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DC247C8E-A1B2-4712-817C-E6B7A20E7709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</calcChain>
</file>

<file path=xl/sharedStrings.xml><?xml version="1.0" encoding="utf-8"?>
<sst xmlns="http://schemas.openxmlformats.org/spreadsheetml/2006/main" count="17996" uniqueCount="81">
  <si>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</si>
  <si>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</si>
  <si>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</si>
  <si>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</si>
  <si>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</si>
  <si>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</si>
  <si>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</si>
  <si>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</si>
  <si>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</si>
  <si>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</si>
  <si>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</si>
  <si>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</si>
  <si>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</si>
  <si>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</si>
  <si>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</si>
  <si>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</si>
  <si>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</si>
  <si>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</si>
  <si>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</si>
  <si>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</si>
  <si>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</si>
  <si>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</si>
  <si>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</si>
  <si>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</si>
  <si>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</si>
  <si>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</si>
  <si>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</si>
  <si>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</si>
  <si>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</si>
  <si>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</si>
  <si>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</si>
  <si>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</si>
  <si>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</si>
  <si>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</si>
  <si>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</si>
  <si>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</si>
  <si>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</si>
  <si>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</si>
  <si>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</si>
  <si>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</si>
  <si>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TestNight_on</t>
  </si>
  <si>
    <t>mcp_road_part_02</t>
  </si>
  <si>
    <t>Kooper</t>
  </si>
  <si>
    <t>Plane_01</t>
  </si>
  <si>
    <t>Floor 01</t>
  </si>
  <si>
    <t>Building 07 (16)</t>
  </si>
  <si>
    <t>mcp_roads_turn_01 (1)</t>
  </si>
  <si>
    <t>mcp_roads_T_cross_01</t>
  </si>
  <si>
    <t>Building 15 (34)</t>
  </si>
  <si>
    <t>Tree 02 (6)</t>
  </si>
  <si>
    <t>Stand 03 (4)</t>
  </si>
  <si>
    <t>Stand 03 (2)</t>
  </si>
  <si>
    <t>mcp_road_part_01</t>
  </si>
  <si>
    <t>Building 15 (31)</t>
  </si>
  <si>
    <t>mcp_roads_cross_01</t>
  </si>
  <si>
    <t>Building 15 (33)</t>
  </si>
  <si>
    <t>Tong (3)</t>
  </si>
  <si>
    <t>Building 24</t>
  </si>
  <si>
    <t>Building 15 (35)</t>
  </si>
  <si>
    <t>mcp_roads_cross_02</t>
  </si>
  <si>
    <t>Building 23 (4)</t>
  </si>
  <si>
    <t>Building 15 (32)</t>
  </si>
  <si>
    <t>FAR</t>
  </si>
  <si>
    <t>Building 13 (1)</t>
  </si>
  <si>
    <t>mcp_roads_turn_01</t>
  </si>
  <si>
    <t>mcp_road_part_02 (2)</t>
  </si>
  <si>
    <t>mcp_road_part_02 (3)</t>
  </si>
  <si>
    <t>mcp_road_part_02 (1)</t>
  </si>
  <si>
    <t>Building 30 (4)</t>
  </si>
  <si>
    <t>Building 07 (14)</t>
  </si>
  <si>
    <t>mcp_road_part_02 (6)</t>
  </si>
  <si>
    <t>Building 07 (18)</t>
  </si>
  <si>
    <t>Plane_01 (1)</t>
  </si>
  <si>
    <t>mcp_road_part_02 (11)</t>
  </si>
  <si>
    <t>mcp_road_part_02 (12)</t>
  </si>
  <si>
    <t>mcp_road_part_02 (8)</t>
  </si>
  <si>
    <t>mcp_road_part_02 (9)</t>
  </si>
  <si>
    <t>mcp_road_part_02 (10)</t>
  </si>
  <si>
    <t>Building 18 (9)</t>
  </si>
  <si>
    <t>Box001</t>
  </si>
  <si>
    <t>Building 15 (22)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</si>
</sst>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8979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"20190303154730974"</f>
        <v>20190303154730974</v>
      </c>
      <c r="B2" t="str">
        <f>"1551599250970855"</f>
        <v>1551599250970855</v>
      </c>
      <c r="C2" t="s">
        <v>40</v>
      </c>
      <c r="D2">
        <v>4.8518879999999998</v>
      </c>
      <c r="E2">
        <v>0.50933019999999996</v>
      </c>
      <c r="F2" t="s">
        <v>41</v>
      </c>
      <c r="G2">
        <v>-444.98590000000002</v>
      </c>
      <c r="H2" s="1">
        <v>-3.0900999999999999E-6</v>
      </c>
      <c r="I2">
        <v>365.44779999999997</v>
      </c>
      <c r="J2">
        <v>-475.67149999999998</v>
      </c>
      <c r="K2">
        <v>1.1204809999999901</v>
      </c>
      <c r="L2">
        <v>367.06369999999998</v>
      </c>
      <c r="M2">
        <v>0.99996549999999995</v>
      </c>
      <c r="N2">
        <v>-8.2978549999999998E-3</v>
      </c>
      <c r="O2">
        <v>4.9823830000000002E-4</v>
      </c>
      <c r="P2">
        <v>0.99960830000000001</v>
      </c>
      <c r="Q2">
        <v>-2.8408800000000001E-3</v>
      </c>
      <c r="R2">
        <v>-2.7847739999999999E-2</v>
      </c>
      <c r="S2">
        <v>2.9964599999999999</v>
      </c>
      <c r="T2">
        <v>-0.1094007</v>
      </c>
      <c r="U2">
        <v>-0.15774540000000001</v>
      </c>
      <c r="V2">
        <v>2.8344609999999999E-2</v>
      </c>
      <c r="W2">
        <v>5.4591070000000004E-3</v>
      </c>
      <c r="X2">
        <v>0.99958329999999995</v>
      </c>
      <c r="Y2">
        <v>5.3025210000000003E-2</v>
      </c>
      <c r="Z2">
        <v>-1.201269E-3</v>
      </c>
      <c r="AA2">
        <v>0.99859240000000005</v>
      </c>
      <c r="AB2">
        <v>1</v>
      </c>
      <c r="AC2">
        <v>30.685599999999901</v>
      </c>
      <c r="AD2">
        <v>-1.1204840900999999</v>
      </c>
      <c r="AE2">
        <v>-1.6159000000000101</v>
      </c>
      <c r="AF2">
        <v>1.6290230249792601</v>
      </c>
      <c r="AG2">
        <v>-1.1204840900999999</v>
      </c>
      <c r="AH2">
        <v>30.644045003684901</v>
      </c>
      <c r="AI2">
        <v>92.091108504205494</v>
      </c>
      <c r="AJ2">
        <v>86.957047537953201</v>
      </c>
      <c r="AK2">
        <v>30.707762777511899</v>
      </c>
      <c r="AL2">
        <v>89.687214654191607</v>
      </c>
      <c r="AM2">
        <v>88.375731718731302</v>
      </c>
      <c r="AN2">
        <v>0.99999999620208901</v>
      </c>
    </row>
    <row r="3" spans="1:40" x14ac:dyDescent="0.25">
      <c r="A3" t="str">
        <f>"20190303154730998"</f>
        <v>20190303154730998</v>
      </c>
      <c r="B3" t="str">
        <f>"1551599250990375"</f>
        <v>1551599250990375</v>
      </c>
      <c r="C3" t="s">
        <v>40</v>
      </c>
      <c r="D3">
        <v>4.8633379999999997</v>
      </c>
      <c r="E3">
        <v>0.50941029999999998</v>
      </c>
      <c r="F3" t="s">
        <v>41</v>
      </c>
      <c r="G3">
        <v>-445.50479999999999</v>
      </c>
      <c r="H3" s="1">
        <v>-2.8382039999999999E-6</v>
      </c>
      <c r="I3">
        <v>365.48509999999999</v>
      </c>
      <c r="J3">
        <v>-475.6585</v>
      </c>
      <c r="K3">
        <v>1.1203160000000001</v>
      </c>
      <c r="L3">
        <v>367.06400000000002</v>
      </c>
      <c r="M3">
        <v>0.99997449999999999</v>
      </c>
      <c r="N3">
        <v>-7.1134369999999898E-3</v>
      </c>
      <c r="O3">
        <v>7.4772589999999996E-4</v>
      </c>
      <c r="P3">
        <v>0.99960649999999995</v>
      </c>
      <c r="Q3">
        <v>-3.2469869999999998E-3</v>
      </c>
      <c r="R3">
        <v>-2.7867650000000001E-2</v>
      </c>
      <c r="S3">
        <v>2.9964599999999999</v>
      </c>
      <c r="T3">
        <v>-0.11129749999999999</v>
      </c>
      <c r="U3">
        <v>-0.1567993</v>
      </c>
      <c r="V3">
        <v>2.8614110000000002E-2</v>
      </c>
      <c r="W3">
        <v>3.8707809999999998E-3</v>
      </c>
      <c r="X3">
        <v>0.99958309999999995</v>
      </c>
      <c r="Y3">
        <v>5.2959649999999997E-2</v>
      </c>
      <c r="Z3">
        <v>-1.1935310000000001E-3</v>
      </c>
      <c r="AA3">
        <v>0.99859600000000004</v>
      </c>
      <c r="AB3">
        <v>1</v>
      </c>
      <c r="AC3">
        <v>30.153700000000001</v>
      </c>
      <c r="AD3">
        <v>-1.1203188382039999</v>
      </c>
      <c r="AE3">
        <v>-1.5789000000000299</v>
      </c>
      <c r="AF3">
        <v>1.5992452823349199</v>
      </c>
      <c r="AG3">
        <v>-1.1203188382039999</v>
      </c>
      <c r="AH3">
        <v>30.111059575573002</v>
      </c>
      <c r="AI3">
        <v>92.127780590374599</v>
      </c>
      <c r="AJ3">
        <v>86.959788392826596</v>
      </c>
      <c r="AK3">
        <v>30.174303778811701</v>
      </c>
      <c r="AL3">
        <v>89.7782200452138</v>
      </c>
      <c r="AM3">
        <v>88.360296270775393</v>
      </c>
      <c r="AN3">
        <v>1.00000006202112</v>
      </c>
    </row>
    <row r="4" spans="1:40" x14ac:dyDescent="0.25">
      <c r="A4" t="str">
        <f>"20190303154731018"</f>
        <v>20190303154731018</v>
      </c>
      <c r="B4" t="str">
        <f>"1551599251010871"</f>
        <v>1551599251010871</v>
      </c>
      <c r="C4" t="s">
        <v>40</v>
      </c>
      <c r="D4">
        <v>4.8031040000000003</v>
      </c>
      <c r="E4">
        <v>0.50899319999999904</v>
      </c>
      <c r="F4" t="s">
        <v>41</v>
      </c>
      <c r="G4">
        <v>-446.0772</v>
      </c>
      <c r="H4" s="1">
        <v>-2.5838589999999999E-6</v>
      </c>
      <c r="I4">
        <v>365.50760000000002</v>
      </c>
      <c r="J4">
        <v>-475.64449999999999</v>
      </c>
      <c r="K4">
        <v>1.12019</v>
      </c>
      <c r="L4">
        <v>367.0643</v>
      </c>
      <c r="M4">
        <v>0.99998100000000001</v>
      </c>
      <c r="N4">
        <v>-6.0976169999999996E-3</v>
      </c>
      <c r="O4">
        <v>1.0092059999999999E-3</v>
      </c>
      <c r="P4">
        <v>0.99960369999999998</v>
      </c>
      <c r="Q4">
        <v>-3.4709910000000001E-3</v>
      </c>
      <c r="R4">
        <v>-2.7936140000000002E-2</v>
      </c>
      <c r="S4">
        <v>2.996429</v>
      </c>
      <c r="T4">
        <v>-0.1134825</v>
      </c>
      <c r="U4">
        <v>-0.15765379999999901</v>
      </c>
      <c r="V4">
        <v>2.8944330000000001E-2</v>
      </c>
      <c r="W4">
        <v>2.6324410000000001E-3</v>
      </c>
      <c r="X4">
        <v>0.99957759999999996</v>
      </c>
      <c r="Y4">
        <v>5.3504080000000002E-2</v>
      </c>
      <c r="Z4">
        <v>-1.207446E-3</v>
      </c>
      <c r="AA4">
        <v>0.99856690000000004</v>
      </c>
      <c r="AB4">
        <v>1</v>
      </c>
      <c r="AC4">
        <v>29.5672999999999</v>
      </c>
      <c r="AD4">
        <v>-1.1201925838589999</v>
      </c>
      <c r="AE4">
        <v>-1.55669999999997</v>
      </c>
      <c r="AF4">
        <v>1.58427153524231</v>
      </c>
      <c r="AG4">
        <v>-1.1201925838589999</v>
      </c>
      <c r="AH4">
        <v>29.523454121257199</v>
      </c>
      <c r="AI4">
        <v>92.169781940989196</v>
      </c>
      <c r="AJ4">
        <v>86.928371091214899</v>
      </c>
      <c r="AK4">
        <v>29.5871440151342</v>
      </c>
      <c r="AL4">
        <v>89.849172072897204</v>
      </c>
      <c r="AM4">
        <v>88.341374723526599</v>
      </c>
      <c r="AN4">
        <v>1.0000000412032599</v>
      </c>
    </row>
    <row r="5" spans="1:40" x14ac:dyDescent="0.25">
      <c r="A5" t="str">
        <f>"20190303154731042"</f>
        <v>20190303154731042</v>
      </c>
      <c r="B5" t="str">
        <f>"1551599251030391"</f>
        <v>1551599251030391</v>
      </c>
      <c r="C5" t="s">
        <v>40</v>
      </c>
      <c r="D5">
        <v>4.9821150000000003</v>
      </c>
      <c r="E5">
        <v>0.50854149999999998</v>
      </c>
      <c r="F5" t="s">
        <v>41</v>
      </c>
      <c r="G5">
        <v>-445.70609999999999</v>
      </c>
      <c r="H5" s="1">
        <v>-2.737314E-6</v>
      </c>
      <c r="I5">
        <v>365.51749999999998</v>
      </c>
      <c r="J5">
        <v>-475.62560000000002</v>
      </c>
      <c r="K5">
        <v>1.120066</v>
      </c>
      <c r="L5">
        <v>367.06459999999998</v>
      </c>
      <c r="M5">
        <v>0.99998679999999995</v>
      </c>
      <c r="N5">
        <v>-4.9659470000000001E-3</v>
      </c>
      <c r="O5">
        <v>1.3553300000000001E-3</v>
      </c>
      <c r="P5">
        <v>0.99960269999999996</v>
      </c>
      <c r="Q5">
        <v>-2.6716840000000001E-3</v>
      </c>
      <c r="R5">
        <v>-2.8068300000000001E-2</v>
      </c>
      <c r="S5">
        <v>2.9964599999999999</v>
      </c>
      <c r="T5">
        <v>-0.1121172</v>
      </c>
      <c r="U5">
        <v>-0.1548157</v>
      </c>
      <c r="V5">
        <v>2.942212E-2</v>
      </c>
      <c r="W5">
        <v>2.3010389999999999E-3</v>
      </c>
      <c r="X5">
        <v>0.99956440000000002</v>
      </c>
      <c r="Y5">
        <v>5.2908320000000002E-2</v>
      </c>
      <c r="Z5">
        <v>-1.164265E-3</v>
      </c>
      <c r="AA5">
        <v>0.99859869999999995</v>
      </c>
      <c r="AB5">
        <v>1</v>
      </c>
      <c r="AC5">
        <v>29.919499999999999</v>
      </c>
      <c r="AD5">
        <v>-1.1200687373139999</v>
      </c>
      <c r="AE5">
        <v>-1.5470999999999999</v>
      </c>
      <c r="AF5">
        <v>1.58543387603908</v>
      </c>
      <c r="AG5">
        <v>-1.1200687373139999</v>
      </c>
      <c r="AH5">
        <v>29.8756178329626</v>
      </c>
      <c r="AI5">
        <v>92.144060123249005</v>
      </c>
      <c r="AJ5">
        <v>86.962287407338195</v>
      </c>
      <c r="AK5">
        <v>29.938615456510899</v>
      </c>
      <c r="AL5">
        <v>89.868160056879603</v>
      </c>
      <c r="AM5">
        <v>88.313988877612402</v>
      </c>
      <c r="AN5">
        <v>0.99999997283656605</v>
      </c>
    </row>
    <row r="6" spans="1:40" x14ac:dyDescent="0.25">
      <c r="A6" t="str">
        <f>"20190303154731064"</f>
        <v>20190303154731064</v>
      </c>
      <c r="B6" t="str">
        <f>"1551599251060647"</f>
        <v>1551599251060647</v>
      </c>
      <c r="C6" t="s">
        <v>40</v>
      </c>
      <c r="D6">
        <v>4.9598040000000001</v>
      </c>
      <c r="E6">
        <v>0.50867559999999901</v>
      </c>
      <c r="F6" t="s">
        <v>41</v>
      </c>
      <c r="G6">
        <v>-444.89620000000002</v>
      </c>
      <c r="H6" s="1">
        <v>-3.121073E-6</v>
      </c>
      <c r="I6">
        <v>365.51209999999998</v>
      </c>
      <c r="J6">
        <v>-475.60419999999999</v>
      </c>
      <c r="K6">
        <v>1.119982</v>
      </c>
      <c r="L6">
        <v>367.06509999999997</v>
      </c>
      <c r="M6">
        <v>0.99999059999999995</v>
      </c>
      <c r="N6">
        <v>-3.9681650000000001E-3</v>
      </c>
      <c r="O6">
        <v>1.7373029999999999E-3</v>
      </c>
      <c r="P6">
        <v>0.99960329999999997</v>
      </c>
      <c r="Q6">
        <v>-1.187415E-3</v>
      </c>
      <c r="R6">
        <v>-2.8141840000000001E-2</v>
      </c>
      <c r="S6">
        <v>2.9966430000000002</v>
      </c>
      <c r="T6">
        <v>-0.1092259</v>
      </c>
      <c r="U6">
        <v>-0.1513977</v>
      </c>
      <c r="V6">
        <v>2.9877399999999998E-2</v>
      </c>
      <c r="W6">
        <v>2.7888420000000001E-3</v>
      </c>
      <c r="X6">
        <v>0.99954969999999999</v>
      </c>
      <c r="Y6">
        <v>5.2153869999999998E-2</v>
      </c>
      <c r="Z6">
        <v>-1.109526E-3</v>
      </c>
      <c r="AA6">
        <v>0.99863849999999998</v>
      </c>
      <c r="AB6">
        <v>2</v>
      </c>
      <c r="AC6">
        <v>30.707999999999899</v>
      </c>
      <c r="AD6">
        <v>-1.1199851210730001</v>
      </c>
      <c r="AE6">
        <v>-1.5529999999999899</v>
      </c>
      <c r="AF6">
        <v>1.60421866799987</v>
      </c>
      <c r="AG6">
        <v>-1.1199851210730001</v>
      </c>
      <c r="AH6">
        <v>30.664569233258401</v>
      </c>
      <c r="AI6">
        <v>92.088873067220007</v>
      </c>
      <c r="AJ6">
        <v>87.005298105665204</v>
      </c>
      <c r="AK6">
        <v>30.726921265683</v>
      </c>
      <c r="AL6">
        <v>89.840210919691501</v>
      </c>
      <c r="AM6">
        <v>88.287889665605505</v>
      </c>
      <c r="AN6">
        <v>1.0000000197202701</v>
      </c>
    </row>
    <row r="7" spans="1:40" x14ac:dyDescent="0.25">
      <c r="A7" t="str">
        <f>"20190303154731097"</f>
        <v>20190303154731097</v>
      </c>
      <c r="B7" t="str">
        <f>"1551599251090903"</f>
        <v>1551599251090903</v>
      </c>
      <c r="C7" t="s">
        <v>40</v>
      </c>
      <c r="D7">
        <v>4.9531739999999997</v>
      </c>
      <c r="E7">
        <v>0.50874889999999995</v>
      </c>
      <c r="F7" t="s">
        <v>41</v>
      </c>
      <c r="G7">
        <v>-443.96379999999999</v>
      </c>
      <c r="H7" s="1">
        <v>-3.5724680000000001E-6</v>
      </c>
      <c r="I7">
        <v>365.45209999999997</v>
      </c>
      <c r="J7">
        <v>-475.5677</v>
      </c>
      <c r="K7">
        <v>1.1199079999999999</v>
      </c>
      <c r="L7">
        <v>367.0659</v>
      </c>
      <c r="M7">
        <v>0.99999349999999998</v>
      </c>
      <c r="N7">
        <v>-2.7213820000000001E-3</v>
      </c>
      <c r="O7">
        <v>2.3667319999999999E-3</v>
      </c>
      <c r="P7">
        <v>0.99961979999999995</v>
      </c>
      <c r="Q7">
        <v>7.3153249999999997E-4</v>
      </c>
      <c r="R7">
        <v>-2.7563979999999998E-2</v>
      </c>
      <c r="S7">
        <v>2.9967649999999999</v>
      </c>
      <c r="T7">
        <v>-0.1060777</v>
      </c>
      <c r="U7">
        <v>-0.15277099999999999</v>
      </c>
      <c r="V7">
        <v>2.99286E-2</v>
      </c>
      <c r="W7">
        <v>3.4621330000000001E-3</v>
      </c>
      <c r="X7">
        <v>0.99954609999999999</v>
      </c>
      <c r="Y7">
        <v>5.3238969999999997E-2</v>
      </c>
      <c r="Z7">
        <v>-1.0911300000000001E-3</v>
      </c>
      <c r="AA7">
        <v>0.99858119999999995</v>
      </c>
      <c r="AB7">
        <v>2</v>
      </c>
      <c r="AC7">
        <v>31.603899999999999</v>
      </c>
      <c r="AD7">
        <v>-1.119911572468</v>
      </c>
      <c r="AE7">
        <v>-1.6138000000000201</v>
      </c>
      <c r="AF7">
        <v>1.6864815099632899</v>
      </c>
      <c r="AG7">
        <v>-1.119911572468</v>
      </c>
      <c r="AH7">
        <v>31.560464611094901</v>
      </c>
      <c r="AI7">
        <v>92.029374227164993</v>
      </c>
      <c r="AJ7">
        <v>86.941221924233005</v>
      </c>
      <c r="AK7">
        <v>31.625327639121299</v>
      </c>
      <c r="AL7">
        <v>89.801634005960594</v>
      </c>
      <c r="AM7">
        <v>88.284951251199104</v>
      </c>
      <c r="AN7">
        <v>1.0000000567440299</v>
      </c>
    </row>
    <row r="8" spans="1:40" x14ac:dyDescent="0.25">
      <c r="A8" t="str">
        <f>"20190303154731119"</f>
        <v>20190303154731119</v>
      </c>
      <c r="B8" t="str">
        <f>"1551599251111399"</f>
        <v>1551599251111399</v>
      </c>
      <c r="C8" t="s">
        <v>40</v>
      </c>
      <c r="D8">
        <v>4.9696170000000004</v>
      </c>
      <c r="E8">
        <v>0.50880009999999998</v>
      </c>
      <c r="F8" t="s">
        <v>41</v>
      </c>
      <c r="G8">
        <v>-442.37240000000003</v>
      </c>
      <c r="H8" s="1">
        <v>-4.3359960000000004E-6</v>
      </c>
      <c r="I8">
        <v>365.3886</v>
      </c>
      <c r="J8">
        <v>-475.54160000000002</v>
      </c>
      <c r="K8">
        <v>1.119882</v>
      </c>
      <c r="L8">
        <v>367.06639999999999</v>
      </c>
      <c r="M8">
        <v>0.99999400000000005</v>
      </c>
      <c r="N8">
        <v>-2.059015E-3</v>
      </c>
      <c r="O8">
        <v>2.803963E-3</v>
      </c>
      <c r="P8">
        <v>0.99964430000000004</v>
      </c>
      <c r="Q8">
        <v>1.5475949999999999E-3</v>
      </c>
      <c r="R8">
        <v>-2.663109E-2</v>
      </c>
      <c r="S8">
        <v>2.9969790000000001</v>
      </c>
      <c r="T8">
        <v>-0.1011095</v>
      </c>
      <c r="U8">
        <v>-0.15142820000000001</v>
      </c>
      <c r="V8">
        <v>2.9432699999999999E-2</v>
      </c>
      <c r="W8">
        <v>3.6161510000000002E-3</v>
      </c>
      <c r="X8">
        <v>0.99956020000000001</v>
      </c>
      <c r="Y8">
        <v>5.3229319999999997E-2</v>
      </c>
      <c r="Z8">
        <v>-1.040671E-3</v>
      </c>
      <c r="AA8">
        <v>0.99858179999999996</v>
      </c>
      <c r="AB8">
        <v>2</v>
      </c>
      <c r="AC8">
        <v>33.169199999999897</v>
      </c>
      <c r="AD8">
        <v>-1.1198863359960001</v>
      </c>
      <c r="AE8">
        <v>-1.67779999999999</v>
      </c>
      <c r="AF8">
        <v>1.7687876593354199</v>
      </c>
      <c r="AG8">
        <v>-1.1198863359960001</v>
      </c>
      <c r="AH8">
        <v>33.126699388470101</v>
      </c>
      <c r="AI8">
        <v>91.933460548862797</v>
      </c>
      <c r="AJ8">
        <v>86.9436157586523</v>
      </c>
      <c r="AK8">
        <v>33.1927848720687</v>
      </c>
      <c r="AL8">
        <v>89.792809353273896</v>
      </c>
      <c r="AM8">
        <v>88.313375866453597</v>
      </c>
      <c r="AN8">
        <v>0.99999997690069198</v>
      </c>
    </row>
    <row r="9" spans="1:40" x14ac:dyDescent="0.25">
      <c r="A9" t="str">
        <f>"20190303154731144"</f>
        <v>20190303154731144</v>
      </c>
      <c r="B9" t="str">
        <f>"1551599251140679"</f>
        <v>1551599251140679</v>
      </c>
      <c r="C9" t="s">
        <v>40</v>
      </c>
      <c r="D9">
        <v>4.990329</v>
      </c>
      <c r="E9">
        <v>0.50892009999999999</v>
      </c>
      <c r="F9" t="s">
        <v>41</v>
      </c>
      <c r="G9">
        <v>-441.88440000000003</v>
      </c>
      <c r="H9" s="1">
        <v>-4.566354E-6</v>
      </c>
      <c r="I9">
        <v>365.39060000000001</v>
      </c>
      <c r="J9">
        <v>-475.50850000000003</v>
      </c>
      <c r="K9">
        <v>1.119856</v>
      </c>
      <c r="L9">
        <v>367.06709999999998</v>
      </c>
      <c r="M9">
        <v>0.99999340000000003</v>
      </c>
      <c r="N9">
        <v>-1.3865609999999999E-3</v>
      </c>
      <c r="O9">
        <v>3.3452820000000002E-3</v>
      </c>
      <c r="P9">
        <v>0.99968639999999998</v>
      </c>
      <c r="Q9">
        <v>2.0861090000000001E-3</v>
      </c>
      <c r="R9">
        <v>-2.4960630000000001E-2</v>
      </c>
      <c r="S9">
        <v>2.997223</v>
      </c>
      <c r="T9">
        <v>-9.9727510000000005E-2</v>
      </c>
      <c r="U9">
        <v>-0.149231</v>
      </c>
      <c r="V9">
        <v>2.8303410000000001E-2</v>
      </c>
      <c r="W9">
        <v>3.4821600000000002E-3</v>
      </c>
      <c r="X9">
        <v>0.99959330000000002</v>
      </c>
      <c r="Y9">
        <v>5.3036819999999998E-2</v>
      </c>
      <c r="Z9">
        <v>-1.024945E-3</v>
      </c>
      <c r="AA9">
        <v>0.99859200000000004</v>
      </c>
      <c r="AB9">
        <v>3</v>
      </c>
      <c r="AC9">
        <v>33.624099999999999</v>
      </c>
      <c r="AD9">
        <v>-1.119860566354</v>
      </c>
      <c r="AE9">
        <v>-1.6764999999999699</v>
      </c>
      <c r="AF9">
        <v>1.78699553257776</v>
      </c>
      <c r="AG9">
        <v>-1.119860566354</v>
      </c>
      <c r="AH9">
        <v>33.581146219729398</v>
      </c>
      <c r="AI9">
        <v>91.907289293802506</v>
      </c>
      <c r="AJ9">
        <v>86.953921110121996</v>
      </c>
      <c r="AK9">
        <v>33.647300369455699</v>
      </c>
      <c r="AL9">
        <v>89.800486522603705</v>
      </c>
      <c r="AM9">
        <v>88.3781076113045</v>
      </c>
      <c r="AN9">
        <v>0.99999998693039105</v>
      </c>
    </row>
    <row r="10" spans="1:40" x14ac:dyDescent="0.25">
      <c r="A10" t="str">
        <f>"20190303154731168"</f>
        <v>20190303154731168</v>
      </c>
      <c r="B10" t="str">
        <f>"1551599251160199"</f>
        <v>1551599251160199</v>
      </c>
      <c r="C10" t="s">
        <v>40</v>
      </c>
      <c r="D10">
        <v>4.9663979999999999</v>
      </c>
      <c r="E10">
        <v>0.50897369999999997</v>
      </c>
      <c r="F10" t="s">
        <v>41</v>
      </c>
      <c r="G10">
        <v>-441.69189999999998</v>
      </c>
      <c r="H10" s="1">
        <v>-4.650285E-6</v>
      </c>
      <c r="I10">
        <v>365.43040000000002</v>
      </c>
      <c r="J10">
        <v>-475.47160000000002</v>
      </c>
      <c r="K10">
        <v>1.119828</v>
      </c>
      <c r="L10">
        <v>367.06779999999998</v>
      </c>
      <c r="M10">
        <v>0.99999210000000005</v>
      </c>
      <c r="N10">
        <v>-7.8659569999999998E-4</v>
      </c>
      <c r="O10">
        <v>3.934814E-3</v>
      </c>
      <c r="P10">
        <v>0.99972459999999996</v>
      </c>
      <c r="Q10">
        <v>2.3462069999999999E-3</v>
      </c>
      <c r="R10">
        <v>-2.335922E-2</v>
      </c>
      <c r="S10">
        <v>2.997528</v>
      </c>
      <c r="T10">
        <v>-9.9265339999999994E-2</v>
      </c>
      <c r="U10">
        <v>-0.1450806</v>
      </c>
      <c r="V10">
        <v>2.7291559999999999E-2</v>
      </c>
      <c r="W10">
        <v>3.1421769999999999E-3</v>
      </c>
      <c r="X10">
        <v>0.99962260000000003</v>
      </c>
      <c r="Y10">
        <v>5.224202E-2</v>
      </c>
      <c r="Z10">
        <v>-1.0119409999999999E-3</v>
      </c>
      <c r="AA10">
        <v>0.99863389999999996</v>
      </c>
      <c r="AB10">
        <v>3</v>
      </c>
      <c r="AC10">
        <v>33.779699999999998</v>
      </c>
      <c r="AD10">
        <v>-1.119832650285</v>
      </c>
      <c r="AE10">
        <v>-1.63739999999995</v>
      </c>
      <c r="AF10">
        <v>1.7683653173818601</v>
      </c>
      <c r="AG10">
        <v>-1.119832650285</v>
      </c>
      <c r="AH10">
        <v>33.736006927373197</v>
      </c>
      <c r="AI10">
        <v>91.8985728501289</v>
      </c>
      <c r="AJ10">
        <v>86.999430724977003</v>
      </c>
      <c r="AK10">
        <v>33.800877273587602</v>
      </c>
      <c r="AL10">
        <v>89.819966227208795</v>
      </c>
      <c r="AM10">
        <v>88.436106929607206</v>
      </c>
      <c r="AN10">
        <v>1.0000000224771399</v>
      </c>
    </row>
    <row r="11" spans="1:40" x14ac:dyDescent="0.25">
      <c r="A11" t="str">
        <f>"20190303154731188"</f>
        <v>20190303154731188</v>
      </c>
      <c r="B11" t="str">
        <f>"1551599251180695"</f>
        <v>1551599251180695</v>
      </c>
      <c r="C11" t="s">
        <v>40</v>
      </c>
      <c r="D11">
        <v>5.0349940000000002</v>
      </c>
      <c r="E11">
        <v>0.5090266</v>
      </c>
      <c r="F11" t="s">
        <v>41</v>
      </c>
      <c r="G11">
        <v>-441.8186</v>
      </c>
      <c r="H11" s="1">
        <v>-4.580675E-6</v>
      </c>
      <c r="I11">
        <v>365.48500000000001</v>
      </c>
      <c r="J11">
        <v>-475.43759999999997</v>
      </c>
      <c r="K11">
        <v>1.1198030000000001</v>
      </c>
      <c r="L11">
        <v>367.0686</v>
      </c>
      <c r="M11">
        <v>0.99999000000000005</v>
      </c>
      <c r="N11">
        <v>-3.3066170000000002E-4</v>
      </c>
      <c r="O11">
        <v>4.464984E-3</v>
      </c>
      <c r="P11">
        <v>0.99975840000000005</v>
      </c>
      <c r="Q11">
        <v>2.5875920000000001E-3</v>
      </c>
      <c r="R11">
        <v>-2.1832219999999999E-2</v>
      </c>
      <c r="S11">
        <v>2.9977420000000001</v>
      </c>
      <c r="T11">
        <v>-9.9752660000000007E-2</v>
      </c>
      <c r="U11">
        <v>-0.14099120000000001</v>
      </c>
      <c r="V11">
        <v>2.6294959999999999E-2</v>
      </c>
      <c r="W11">
        <v>2.9276020000000001E-3</v>
      </c>
      <c r="X11">
        <v>0.99964989999999998</v>
      </c>
      <c r="Y11">
        <v>5.1409040000000003E-2</v>
      </c>
      <c r="Z11">
        <v>-1.010122E-3</v>
      </c>
      <c r="AA11">
        <v>0.99867720000000004</v>
      </c>
      <c r="AB11">
        <v>3</v>
      </c>
      <c r="AC11">
        <v>33.6189999999999</v>
      </c>
      <c r="AD11">
        <v>-1.1198075806749901</v>
      </c>
      <c r="AE11">
        <v>-1.5835999999999899</v>
      </c>
      <c r="AF11">
        <v>1.73177540991336</v>
      </c>
      <c r="AG11">
        <v>-1.1198075806749901</v>
      </c>
      <c r="AH11">
        <v>33.574426640144601</v>
      </c>
      <c r="AI11">
        <v>91.907743308946394</v>
      </c>
      <c r="AJ11">
        <v>87.047289350959502</v>
      </c>
      <c r="AK11">
        <v>33.6377041324549</v>
      </c>
      <c r="AL11">
        <v>89.832260514845203</v>
      </c>
      <c r="AM11">
        <v>88.493229579632199</v>
      </c>
      <c r="AN11">
        <v>0.99999995917244</v>
      </c>
    </row>
    <row r="12" spans="1:40" x14ac:dyDescent="0.25">
      <c r="A12" t="str">
        <f>"20190303154731209"</f>
        <v>20190303154731209</v>
      </c>
      <c r="B12" t="str">
        <f>"1551599251200215"</f>
        <v>1551599251200215</v>
      </c>
      <c r="C12" t="s">
        <v>40</v>
      </c>
      <c r="D12">
        <v>4.9324190000000003</v>
      </c>
      <c r="E12">
        <v>0.50880360000000002</v>
      </c>
      <c r="F12" t="s">
        <v>41</v>
      </c>
      <c r="G12">
        <v>-441.7131</v>
      </c>
      <c r="H12" s="1">
        <v>-4.6224739999999999E-6</v>
      </c>
      <c r="I12">
        <v>365.53059999999999</v>
      </c>
      <c r="J12">
        <v>-475.40089999999998</v>
      </c>
      <c r="K12">
        <v>1.1197699999999999</v>
      </c>
      <c r="L12">
        <v>367.06939999999997</v>
      </c>
      <c r="M12">
        <v>0.99998750000000003</v>
      </c>
      <c r="N12" s="1">
        <v>7.8340059999999894E-5</v>
      </c>
      <c r="O12">
        <v>5.0254590000000003E-3</v>
      </c>
      <c r="P12">
        <v>0.99978460000000002</v>
      </c>
      <c r="Q12">
        <v>2.0478029999999999E-3</v>
      </c>
      <c r="R12">
        <v>-2.0658570000000001E-2</v>
      </c>
      <c r="S12">
        <v>2.997986</v>
      </c>
      <c r="T12">
        <v>-9.9546910000000002E-2</v>
      </c>
      <c r="U12">
        <v>-0.136718799999999</v>
      </c>
      <c r="V12">
        <v>2.5681969999999998E-2</v>
      </c>
      <c r="W12">
        <v>1.9786980000000001E-3</v>
      </c>
      <c r="X12">
        <v>0.99966820000000001</v>
      </c>
      <c r="Y12">
        <v>5.0545340000000001E-2</v>
      </c>
      <c r="Z12">
        <v>-1.0036540000000001E-3</v>
      </c>
      <c r="AA12">
        <v>0.99872119999999998</v>
      </c>
      <c r="AB12">
        <v>4</v>
      </c>
      <c r="AC12">
        <v>33.687799999999903</v>
      </c>
      <c r="AD12">
        <v>-1.1197746224739999</v>
      </c>
      <c r="AE12">
        <v>-1.53879999999998</v>
      </c>
      <c r="AF12">
        <v>1.7061959843368599</v>
      </c>
      <c r="AG12">
        <v>-1.1197746224739999</v>
      </c>
      <c r="AH12">
        <v>33.6425477722631</v>
      </c>
      <c r="AI12">
        <v>91.903911194526501</v>
      </c>
      <c r="AJ12">
        <v>87.096707838903797</v>
      </c>
      <c r="AK12">
        <v>33.704391710148201</v>
      </c>
      <c r="AL12">
        <v>89.886628881061498</v>
      </c>
      <c r="AM12">
        <v>88.528366817191298</v>
      </c>
      <c r="AN12">
        <v>0.99999999446004795</v>
      </c>
    </row>
    <row r="13" spans="1:40" x14ac:dyDescent="0.25">
      <c r="A13" t="str">
        <f>"20190303154731233"</f>
        <v>20190303154731233</v>
      </c>
      <c r="B13" t="str">
        <f>"1551599251230471"</f>
        <v>1551599251230471</v>
      </c>
      <c r="C13" t="s">
        <v>40</v>
      </c>
      <c r="D13">
        <v>5.0495939999999999</v>
      </c>
      <c r="E13">
        <v>0.5084552</v>
      </c>
      <c r="F13" t="s">
        <v>41</v>
      </c>
      <c r="G13">
        <v>-442.09249999999997</v>
      </c>
      <c r="H13" s="1">
        <v>-4.4295109999999998E-6</v>
      </c>
      <c r="I13">
        <v>365.60739999999998</v>
      </c>
      <c r="J13">
        <v>-475.3571</v>
      </c>
      <c r="K13">
        <v>1.1197429999999999</v>
      </c>
      <c r="L13">
        <v>367.07029999999997</v>
      </c>
      <c r="M13">
        <v>0.99998390000000004</v>
      </c>
      <c r="N13">
        <v>4.7951770000000002E-4</v>
      </c>
      <c r="O13">
        <v>5.6795519999999896E-3</v>
      </c>
      <c r="P13">
        <v>0.99979850000000003</v>
      </c>
      <c r="Q13">
        <v>5.8155269999999996E-4</v>
      </c>
      <c r="R13">
        <v>-2.0066710000000001E-2</v>
      </c>
      <c r="S13">
        <v>2.998138</v>
      </c>
      <c r="T13">
        <v>-0.1007926</v>
      </c>
      <c r="U13">
        <v>-0.13159179999999901</v>
      </c>
      <c r="V13">
        <v>2.574481E-2</v>
      </c>
      <c r="W13">
        <v>1.1140499999999999E-4</v>
      </c>
      <c r="X13">
        <v>0.99966849999999996</v>
      </c>
      <c r="Y13">
        <v>4.9491529999999999E-2</v>
      </c>
      <c r="Z13">
        <v>-1.0129220000000001E-3</v>
      </c>
      <c r="AA13">
        <v>0.9987741</v>
      </c>
      <c r="AB13">
        <v>4</v>
      </c>
      <c r="AC13">
        <v>33.264600000000002</v>
      </c>
      <c r="AD13">
        <v>-1.1197474295109999</v>
      </c>
      <c r="AE13">
        <v>-1.4628999999999901</v>
      </c>
      <c r="AF13">
        <v>1.64993845739027</v>
      </c>
      <c r="AG13">
        <v>-1.1197474295109999</v>
      </c>
      <c r="AH13">
        <v>33.218187362386502</v>
      </c>
      <c r="AI13">
        <v>91.928269388091294</v>
      </c>
      <c r="AJ13">
        <v>87.156470868266993</v>
      </c>
      <c r="AK13">
        <v>33.277982253461303</v>
      </c>
      <c r="AL13">
        <v>89.993616963407007</v>
      </c>
      <c r="AM13">
        <v>88.524767979243904</v>
      </c>
      <c r="AN13">
        <v>0.99999995877262904</v>
      </c>
    </row>
    <row r="14" spans="1:40" x14ac:dyDescent="0.25">
      <c r="A14" t="str">
        <f>"20190303154731253"</f>
        <v>20190303154731253</v>
      </c>
      <c r="B14" t="str">
        <f>"1551599251250969"</f>
        <v>1551599251250969</v>
      </c>
      <c r="C14" t="s">
        <v>40</v>
      </c>
      <c r="D14">
        <v>5.0741540000000001</v>
      </c>
      <c r="E14">
        <v>0.50856820000000003</v>
      </c>
      <c r="F14" t="s">
        <v>41</v>
      </c>
      <c r="G14">
        <v>-442.60379999999998</v>
      </c>
      <c r="H14" s="1">
        <v>-4.1742489999999996E-6</v>
      </c>
      <c r="I14">
        <v>365.6841</v>
      </c>
      <c r="J14">
        <v>-475.31709999999998</v>
      </c>
      <c r="K14">
        <v>1.119713</v>
      </c>
      <c r="L14">
        <v>367.07119999999998</v>
      </c>
      <c r="M14">
        <v>0.99998019999999999</v>
      </c>
      <c r="N14">
        <v>7.8311549999999998E-4</v>
      </c>
      <c r="O14">
        <v>6.2631680000000004E-3</v>
      </c>
      <c r="P14">
        <v>0.99980690000000005</v>
      </c>
      <c r="Q14">
        <v>-8.3810069999999996E-4</v>
      </c>
      <c r="R14">
        <v>-1.96425E-2</v>
      </c>
      <c r="S14">
        <v>2.9981080000000002</v>
      </c>
      <c r="T14">
        <v>-0.1024972</v>
      </c>
      <c r="U14">
        <v>-0.12689210000000001</v>
      </c>
      <c r="V14">
        <v>2.5904480000000001E-2</v>
      </c>
      <c r="W14">
        <v>-1.6116780000000001E-3</v>
      </c>
      <c r="X14">
        <v>0.99966310000000003</v>
      </c>
      <c r="Y14">
        <v>4.8511480000000003E-2</v>
      </c>
      <c r="Z14">
        <v>-1.028487E-3</v>
      </c>
      <c r="AA14">
        <v>0.99882210000000005</v>
      </c>
      <c r="AB14">
        <v>4</v>
      </c>
      <c r="AC14">
        <v>32.713299999999997</v>
      </c>
      <c r="AD14">
        <v>-1.119717174249</v>
      </c>
      <c r="AE14">
        <v>-1.38709999999997</v>
      </c>
      <c r="AF14">
        <v>1.59010215406307</v>
      </c>
      <c r="AG14">
        <v>-1.119717174249</v>
      </c>
      <c r="AH14">
        <v>32.665769196587497</v>
      </c>
      <c r="AI14">
        <v>91.960895926323204</v>
      </c>
      <c r="AJ14">
        <v>87.213159620147906</v>
      </c>
      <c r="AK14">
        <v>32.723610262551901</v>
      </c>
      <c r="AL14">
        <v>90.092342389476499</v>
      </c>
      <c r="AM14">
        <v>88.515614616881194</v>
      </c>
      <c r="AN14">
        <v>0.99999997654582695</v>
      </c>
    </row>
    <row r="15" spans="1:40" x14ac:dyDescent="0.25">
      <c r="A15" t="str">
        <f>"20190303154731277"</f>
        <v>20190303154731277</v>
      </c>
      <c r="B15" t="str">
        <f>"1551599251270487"</f>
        <v>1551599251270487</v>
      </c>
      <c r="C15" t="s">
        <v>40</v>
      </c>
      <c r="D15">
        <v>5.0683089999999904</v>
      </c>
      <c r="E15">
        <v>0.50860890000000003</v>
      </c>
      <c r="F15" t="s">
        <v>41</v>
      </c>
      <c r="G15">
        <v>-444.25940000000003</v>
      </c>
      <c r="H15" s="1">
        <v>-3.3778760000000001E-6</v>
      </c>
      <c r="I15">
        <v>365.76139999999998</v>
      </c>
      <c r="J15">
        <v>-475.26679999999999</v>
      </c>
      <c r="K15">
        <v>1.119686</v>
      </c>
      <c r="L15">
        <v>367.07229999999998</v>
      </c>
      <c r="M15">
        <v>0.99997510000000001</v>
      </c>
      <c r="N15">
        <v>1.103417E-3</v>
      </c>
      <c r="O15">
        <v>6.9811329999999996E-3</v>
      </c>
      <c r="P15">
        <v>0.99980369999999996</v>
      </c>
      <c r="Q15">
        <v>-1.5592879999999901E-3</v>
      </c>
      <c r="R15">
        <v>-1.9759820000000001E-2</v>
      </c>
      <c r="S15">
        <v>2.9980159999999998</v>
      </c>
      <c r="T15">
        <v>-0.10808710000000001</v>
      </c>
      <c r="U15">
        <v>-0.1264343</v>
      </c>
      <c r="V15">
        <v>2.6740079999999999E-2</v>
      </c>
      <c r="W15">
        <v>-2.652681E-3</v>
      </c>
      <c r="X15">
        <v>0.9996389</v>
      </c>
      <c r="Y15">
        <v>4.9073470000000001E-2</v>
      </c>
      <c r="Z15">
        <v>-1.1160460000000001E-3</v>
      </c>
      <c r="AA15">
        <v>0.99879459999999998</v>
      </c>
      <c r="AB15">
        <v>4</v>
      </c>
      <c r="AC15">
        <v>31.007399999999901</v>
      </c>
      <c r="AD15">
        <v>-1.119689377876</v>
      </c>
      <c r="AE15">
        <v>-1.3109</v>
      </c>
      <c r="AF15">
        <v>1.525349507154</v>
      </c>
      <c r="AG15">
        <v>-1.119689377876</v>
      </c>
      <c r="AH15">
        <v>30.957197886031398</v>
      </c>
      <c r="AI15">
        <v>92.068917524153903</v>
      </c>
      <c r="AJ15">
        <v>87.179154745923</v>
      </c>
      <c r="AK15">
        <v>31.014972132452499</v>
      </c>
      <c r="AL15">
        <v>90.151987604020704</v>
      </c>
      <c r="AM15">
        <v>88.467718237554806</v>
      </c>
      <c r="AN15">
        <v>0.99999999949405105</v>
      </c>
    </row>
    <row r="16" spans="1:40" x14ac:dyDescent="0.25">
      <c r="A16" t="str">
        <f>"20190303154731298"</f>
        <v>20190303154731298</v>
      </c>
      <c r="B16" t="str">
        <f>"1551599251290984"</f>
        <v>1551599251290984</v>
      </c>
      <c r="C16" t="s">
        <v>40</v>
      </c>
      <c r="D16">
        <v>5.1250900000000001</v>
      </c>
      <c r="E16">
        <v>0.50864489999999996</v>
      </c>
      <c r="F16" t="s">
        <v>41</v>
      </c>
      <c r="G16">
        <v>-445.33359999999999</v>
      </c>
      <c r="H16" s="1">
        <v>-2.8627920000000001E-6</v>
      </c>
      <c r="I16">
        <v>365.80259999999998</v>
      </c>
      <c r="J16">
        <v>-475.2192</v>
      </c>
      <c r="K16">
        <v>1.119664</v>
      </c>
      <c r="L16">
        <v>367.07330000000002</v>
      </c>
      <c r="M16">
        <v>0.99997000000000003</v>
      </c>
      <c r="N16">
        <v>1.3555539999999999E-3</v>
      </c>
      <c r="O16">
        <v>7.6430769999999999E-3</v>
      </c>
      <c r="P16">
        <v>0.99980119999999895</v>
      </c>
      <c r="Q16">
        <v>-1.814377E-3</v>
      </c>
      <c r="R16">
        <v>-1.986839E-2</v>
      </c>
      <c r="S16">
        <v>2.997925</v>
      </c>
      <c r="T16">
        <v>-0.1121413</v>
      </c>
      <c r="U16">
        <v>-0.12716669999999999</v>
      </c>
      <c r="V16">
        <v>2.7510449999999999E-2</v>
      </c>
      <c r="W16">
        <v>-3.159416E-3</v>
      </c>
      <c r="X16">
        <v>0.99961650000000002</v>
      </c>
      <c r="Y16">
        <v>4.9975760000000001E-2</v>
      </c>
      <c r="Z16">
        <v>-1.196091E-3</v>
      </c>
      <c r="AA16">
        <v>0.99874969999999996</v>
      </c>
      <c r="AB16">
        <v>5</v>
      </c>
      <c r="AC16">
        <v>29.8856</v>
      </c>
      <c r="AD16">
        <v>-1.1196668627919999</v>
      </c>
      <c r="AE16">
        <v>-1.2707000000000299</v>
      </c>
      <c r="AF16">
        <v>1.4969835828009701</v>
      </c>
      <c r="AG16">
        <v>-1.1196668627919999</v>
      </c>
      <c r="AH16">
        <v>29.833215681411101</v>
      </c>
      <c r="AI16">
        <v>92.146654012039903</v>
      </c>
      <c r="AJ16">
        <v>87.127397728353799</v>
      </c>
      <c r="AK16">
        <v>29.891727478090001</v>
      </c>
      <c r="AL16">
        <v>90.181021507861502</v>
      </c>
      <c r="AM16">
        <v>88.423560526401801</v>
      </c>
      <c r="AN16">
        <v>0.99999997692045595</v>
      </c>
    </row>
    <row r="17" spans="1:40" x14ac:dyDescent="0.25">
      <c r="A17" t="str">
        <f>"20190303154731321"</f>
        <v>20190303154731321</v>
      </c>
      <c r="B17" t="str">
        <f>"1551599251310503"</f>
        <v>1551599251310503</v>
      </c>
      <c r="C17" t="s">
        <v>40</v>
      </c>
      <c r="D17">
        <v>5.1141750000000004</v>
      </c>
      <c r="E17">
        <v>0.5085056</v>
      </c>
      <c r="F17" t="s">
        <v>41</v>
      </c>
      <c r="G17">
        <v>-445.98110000000003</v>
      </c>
      <c r="H17" s="1">
        <v>-2.5527390000000002E-6</v>
      </c>
      <c r="I17">
        <v>365.82499999999999</v>
      </c>
      <c r="J17">
        <v>-475.16669999999999</v>
      </c>
      <c r="K17">
        <v>1.1196330000000001</v>
      </c>
      <c r="L17">
        <v>367.0745</v>
      </c>
      <c r="M17">
        <v>0.99996379999999996</v>
      </c>
      <c r="N17">
        <v>1.5904160000000001E-3</v>
      </c>
      <c r="O17">
        <v>8.3581109999999997E-3</v>
      </c>
      <c r="P17">
        <v>0.99979720000000005</v>
      </c>
      <c r="Q17">
        <v>-2.1706049999999999E-3</v>
      </c>
      <c r="R17">
        <v>-2.0019490000000001E-2</v>
      </c>
      <c r="S17">
        <v>2.997833</v>
      </c>
      <c r="T17">
        <v>-0.1148013</v>
      </c>
      <c r="U17">
        <v>-0.12799070000000001</v>
      </c>
      <c r="V17">
        <v>2.837663E-2</v>
      </c>
      <c r="W17">
        <v>-3.7499399999999998E-3</v>
      </c>
      <c r="X17">
        <v>0.99959030000000004</v>
      </c>
      <c r="Y17">
        <v>5.0962199999999999E-2</v>
      </c>
      <c r="Z17">
        <v>-1.267535E-3</v>
      </c>
      <c r="AA17">
        <v>0.99869980000000003</v>
      </c>
      <c r="AB17">
        <v>5</v>
      </c>
      <c r="AC17">
        <v>29.185599999999901</v>
      </c>
      <c r="AD17">
        <v>-1.1196355527390001</v>
      </c>
      <c r="AE17">
        <v>-1.24950000000001</v>
      </c>
      <c r="AF17">
        <v>1.4912025779183999</v>
      </c>
      <c r="AG17">
        <v>-1.1196355527390001</v>
      </c>
      <c r="AH17">
        <v>29.131343234910599</v>
      </c>
      <c r="AI17">
        <v>92.198150410211397</v>
      </c>
      <c r="AJ17">
        <v>87.069647475242107</v>
      </c>
      <c r="AK17">
        <v>29.190964827657201</v>
      </c>
      <c r="AL17">
        <v>90.214856232210806</v>
      </c>
      <c r="AM17">
        <v>88.373909200618101</v>
      </c>
      <c r="AN17">
        <v>1.00000003151712</v>
      </c>
    </row>
    <row r="18" spans="1:40" x14ac:dyDescent="0.25">
      <c r="A18" t="str">
        <f>"20190303154731344"</f>
        <v>20190303154731344</v>
      </c>
      <c r="B18" t="str">
        <f>"1551599251340759"</f>
        <v>1551599251340759</v>
      </c>
      <c r="C18" t="s">
        <v>40</v>
      </c>
      <c r="D18">
        <v>5.183236</v>
      </c>
      <c r="E18">
        <v>0.49108249999999998</v>
      </c>
      <c r="F18" t="s">
        <v>41</v>
      </c>
      <c r="G18">
        <v>-446.59289999999999</v>
      </c>
      <c r="H18" s="1">
        <v>-2.2906550000000002E-6</v>
      </c>
      <c r="I18">
        <v>365.86529999999999</v>
      </c>
      <c r="J18">
        <v>-475.10759999999999</v>
      </c>
      <c r="K18">
        <v>1.1196109999999999</v>
      </c>
      <c r="L18">
        <v>367.07589999999999</v>
      </c>
      <c r="M18">
        <v>0.99995670000000003</v>
      </c>
      <c r="N18">
        <v>1.8059619999999999E-3</v>
      </c>
      <c r="O18">
        <v>9.1395939999999991E-3</v>
      </c>
      <c r="P18">
        <v>0.9997954</v>
      </c>
      <c r="Q18">
        <v>-2.3700380000000001E-3</v>
      </c>
      <c r="R18">
        <v>-2.0091609999999999E-2</v>
      </c>
      <c r="S18">
        <v>2.9978030000000002</v>
      </c>
      <c r="T18">
        <v>-0.117465899999999</v>
      </c>
      <c r="U18">
        <v>-0.12686159999999999</v>
      </c>
      <c r="V18">
        <v>2.9230119999999998E-2</v>
      </c>
      <c r="W18">
        <v>-4.1642820000000001E-3</v>
      </c>
      <c r="X18">
        <v>0.99956409999999996</v>
      </c>
      <c r="Y18">
        <v>5.1364819999999999E-2</v>
      </c>
      <c r="Z18">
        <v>-1.3334169999999999E-3</v>
      </c>
      <c r="AA18">
        <v>0.99867899999999998</v>
      </c>
      <c r="AB18">
        <v>5</v>
      </c>
      <c r="AC18">
        <v>28.514700000000001</v>
      </c>
      <c r="AD18">
        <v>-1.119613290655</v>
      </c>
      <c r="AE18">
        <v>-1.2105999999999899</v>
      </c>
      <c r="AF18">
        <v>1.46890209271426</v>
      </c>
      <c r="AG18">
        <v>-1.119613290655</v>
      </c>
      <c r="AH18">
        <v>28.458648995842299</v>
      </c>
      <c r="AI18">
        <v>92.249962803498903</v>
      </c>
      <c r="AJ18">
        <v>87.045282438282101</v>
      </c>
      <c r="AK18">
        <v>28.518518719371599</v>
      </c>
      <c r="AL18">
        <v>90.238596457250694</v>
      </c>
      <c r="AM18">
        <v>88.324984493699702</v>
      </c>
      <c r="AN18">
        <v>1.00000006558429</v>
      </c>
    </row>
    <row r="19" spans="1:40" x14ac:dyDescent="0.25">
      <c r="A19" t="str">
        <f>"20190303154731368"</f>
        <v>20190303154731368</v>
      </c>
      <c r="B19" t="str">
        <f>"1551599251360279"</f>
        <v>1551599251360279</v>
      </c>
      <c r="C19" t="s">
        <v>40</v>
      </c>
      <c r="D19">
        <v>5.2212730000000001</v>
      </c>
      <c r="E19">
        <v>0.49080610000000002</v>
      </c>
      <c r="F19" t="s">
        <v>41</v>
      </c>
      <c r="G19">
        <v>-453.67790000000002</v>
      </c>
      <c r="H19" s="1">
        <v>-3.129458E-6</v>
      </c>
      <c r="I19">
        <v>367.16410000000002</v>
      </c>
      <c r="J19">
        <v>-475.04750000000001</v>
      </c>
      <c r="K19">
        <v>1.1195930000000001</v>
      </c>
      <c r="L19">
        <v>367.07729999999998</v>
      </c>
      <c r="M19">
        <v>0.99994890000000003</v>
      </c>
      <c r="N19">
        <v>1.9899430000000001E-3</v>
      </c>
      <c r="O19">
        <v>9.9158449999999995E-3</v>
      </c>
      <c r="P19">
        <v>0.99979649999999998</v>
      </c>
      <c r="Q19">
        <v>-2.4740389999999999E-3</v>
      </c>
      <c r="R19">
        <v>-2.0030269999999999E-2</v>
      </c>
      <c r="S19">
        <v>3.0004879999999998</v>
      </c>
      <c r="T19">
        <v>-0.1567626</v>
      </c>
      <c r="U19">
        <v>1.235962E-2</v>
      </c>
      <c r="V19">
        <v>2.994469E-2</v>
      </c>
      <c r="W19">
        <v>-4.4516699999999996E-3</v>
      </c>
      <c r="X19">
        <v>0.99954160000000003</v>
      </c>
      <c r="Y19">
        <v>5.7746669999999998E-3</v>
      </c>
      <c r="Z19">
        <v>-6.8241220000000004E-4</v>
      </c>
      <c r="AA19">
        <v>0.99998310000000001</v>
      </c>
      <c r="AB19">
        <v>6</v>
      </c>
      <c r="AC19">
        <v>21.369599999999899</v>
      </c>
      <c r="AD19">
        <v>-1.1195961294579999</v>
      </c>
      <c r="AE19">
        <v>8.6800000000039207E-2</v>
      </c>
      <c r="AF19">
        <v>0.12475986863371499</v>
      </c>
      <c r="AG19">
        <v>-1.1195961294579999</v>
      </c>
      <c r="AH19">
        <v>21.310914265053199</v>
      </c>
      <c r="AI19">
        <v>93.007290815456599</v>
      </c>
      <c r="AJ19">
        <v>89.6645788080356</v>
      </c>
      <c r="AK19">
        <v>21.340668389963</v>
      </c>
      <c r="AL19">
        <v>90.255062756463502</v>
      </c>
      <c r="AM19">
        <v>88.284022049266895</v>
      </c>
      <c r="AN19">
        <v>0.99999995597777103</v>
      </c>
    </row>
    <row r="20" spans="1:40" x14ac:dyDescent="0.25">
      <c r="A20" t="str">
        <f>"20190303154731388"</f>
        <v>20190303154731388</v>
      </c>
      <c r="B20" t="str">
        <f>"1551599251380775"</f>
        <v>1551599251380775</v>
      </c>
      <c r="C20" t="s">
        <v>40</v>
      </c>
      <c r="D20">
        <v>5.2015279999999997</v>
      </c>
      <c r="E20">
        <v>0.49114720000000001</v>
      </c>
      <c r="F20" t="s">
        <v>41</v>
      </c>
      <c r="G20">
        <v>-453.47660000000002</v>
      </c>
      <c r="H20" s="1">
        <v>-3.212616E-6</v>
      </c>
      <c r="I20">
        <v>367.18209999999999</v>
      </c>
      <c r="J20">
        <v>-474.9907</v>
      </c>
      <c r="K20">
        <v>1.119575</v>
      </c>
      <c r="L20">
        <v>367.07859999999999</v>
      </c>
      <c r="M20">
        <v>0.99994130000000003</v>
      </c>
      <c r="N20">
        <v>2.137824E-3</v>
      </c>
      <c r="O20">
        <v>1.063419E-2</v>
      </c>
      <c r="P20">
        <v>0.99980279999999999</v>
      </c>
      <c r="Q20">
        <v>-2.5458410000000001E-3</v>
      </c>
      <c r="R20">
        <v>-1.9702509999999999E-2</v>
      </c>
      <c r="S20">
        <v>3.0005799999999998</v>
      </c>
      <c r="T20">
        <v>-0.1557386</v>
      </c>
      <c r="U20">
        <v>1.45874E-2</v>
      </c>
      <c r="V20">
        <v>3.033537E-2</v>
      </c>
      <c r="W20">
        <v>-4.6709009999999999E-3</v>
      </c>
      <c r="X20">
        <v>0.99952890000000005</v>
      </c>
      <c r="Y20">
        <v>5.7499530000000004E-3</v>
      </c>
      <c r="Z20">
        <v>-7.1724500000000004E-4</v>
      </c>
      <c r="AA20">
        <v>0.99998319999999996</v>
      </c>
      <c r="AB20">
        <v>6</v>
      </c>
      <c r="AC20">
        <v>21.5140999999999</v>
      </c>
      <c r="AD20">
        <v>-1.1195782126160001</v>
      </c>
      <c r="AE20">
        <v>0.103499999999996</v>
      </c>
      <c r="AF20">
        <v>0.12495299689105201</v>
      </c>
      <c r="AG20">
        <v>-1.1195782126160001</v>
      </c>
      <c r="AH20">
        <v>21.4558810953204</v>
      </c>
      <c r="AI20">
        <v>92.9869617693587</v>
      </c>
      <c r="AJ20">
        <v>89.6663293205293</v>
      </c>
      <c r="AK20">
        <v>21.485434652390101</v>
      </c>
      <c r="AL20">
        <v>90.267623877076502</v>
      </c>
      <c r="AM20">
        <v>88.261625738691393</v>
      </c>
      <c r="AN20">
        <v>1.00000003696219</v>
      </c>
    </row>
    <row r="21" spans="1:40" x14ac:dyDescent="0.25">
      <c r="A21" t="str">
        <f>"20190303154731410"</f>
        <v>20190303154731410</v>
      </c>
      <c r="B21" t="str">
        <f>"1551599251400295"</f>
        <v>1551599251400295</v>
      </c>
      <c r="C21" t="s">
        <v>40</v>
      </c>
      <c r="D21">
        <v>5.1613069999999999</v>
      </c>
      <c r="E21">
        <v>0.49133320000000003</v>
      </c>
      <c r="F21" t="s">
        <v>41</v>
      </c>
      <c r="G21">
        <v>-453.34739999999999</v>
      </c>
      <c r="H21" s="1">
        <v>-3.27052E-6</v>
      </c>
      <c r="I21">
        <v>367.16820000000001</v>
      </c>
      <c r="J21">
        <v>-474.92939999999999</v>
      </c>
      <c r="K21">
        <v>1.1195539999999999</v>
      </c>
      <c r="L21">
        <v>367.08010000000002</v>
      </c>
      <c r="M21">
        <v>0.9999325</v>
      </c>
      <c r="N21">
        <v>2.2732439999999998E-3</v>
      </c>
      <c r="O21">
        <v>1.13908E-2</v>
      </c>
      <c r="P21">
        <v>0.99982789999999999</v>
      </c>
      <c r="Q21">
        <v>-2.1219780000000001E-3</v>
      </c>
      <c r="R21">
        <v>-1.8439069999999998E-2</v>
      </c>
      <c r="S21">
        <v>3.0004270000000002</v>
      </c>
      <c r="T21">
        <v>-0.1552076</v>
      </c>
      <c r="U21">
        <v>1.242065E-2</v>
      </c>
      <c r="V21">
        <v>2.982827E-2</v>
      </c>
      <c r="W21">
        <v>-4.3823909999999898E-3</v>
      </c>
      <c r="X21">
        <v>0.99954549999999998</v>
      </c>
      <c r="Y21">
        <v>7.2255729999999999E-3</v>
      </c>
      <c r="Z21">
        <v>-7.9323670000000003E-4</v>
      </c>
      <c r="AA21">
        <v>0.99997360000000002</v>
      </c>
      <c r="AB21">
        <v>6</v>
      </c>
      <c r="AC21">
        <v>21.581999999999901</v>
      </c>
      <c r="AD21">
        <v>-1.1195572705200001</v>
      </c>
      <c r="AE21">
        <v>8.8099999999997097E-2</v>
      </c>
      <c r="AF21">
        <v>0.15731927126801001</v>
      </c>
      <c r="AG21">
        <v>-1.1195572705200001</v>
      </c>
      <c r="AH21">
        <v>21.523684666083099</v>
      </c>
      <c r="AI21">
        <v>92.977484664096806</v>
      </c>
      <c r="AJ21">
        <v>89.581225523866195</v>
      </c>
      <c r="AK21">
        <v>21.553356106186001</v>
      </c>
      <c r="AL21">
        <v>90.251093294926093</v>
      </c>
      <c r="AM21">
        <v>88.290696187536199</v>
      </c>
      <c r="AN21">
        <v>1.0000000688061501</v>
      </c>
    </row>
    <row r="22" spans="1:40" x14ac:dyDescent="0.25">
      <c r="A22" t="str">
        <f>"20190303154731432"</f>
        <v>20190303154731432</v>
      </c>
      <c r="B22" t="str">
        <f>"1551599251420796"</f>
        <v>1551599251420796</v>
      </c>
      <c r="C22" t="s">
        <v>40</v>
      </c>
      <c r="D22">
        <v>5.2030589999999997</v>
      </c>
      <c r="E22">
        <v>0.49158590000000002</v>
      </c>
      <c r="F22" t="s">
        <v>41</v>
      </c>
      <c r="G22">
        <v>-452.75139999999999</v>
      </c>
      <c r="H22" s="1">
        <v>-3.522202E-6</v>
      </c>
      <c r="I22">
        <v>367.19080000000002</v>
      </c>
      <c r="J22">
        <v>-474.86160000000001</v>
      </c>
      <c r="K22">
        <v>1.1195329999999999</v>
      </c>
      <c r="L22">
        <v>367.08179999999999</v>
      </c>
      <c r="M22">
        <v>0.99992259999999999</v>
      </c>
      <c r="N22">
        <v>2.400307E-3</v>
      </c>
      <c r="O22">
        <v>1.220975E-2</v>
      </c>
      <c r="P22">
        <v>0.99985889999999999</v>
      </c>
      <c r="Q22">
        <v>-2.7860200000000002E-3</v>
      </c>
      <c r="R22">
        <v>-1.6571260000000001E-2</v>
      </c>
      <c r="S22">
        <v>3.0004580000000001</v>
      </c>
      <c r="T22">
        <v>-0.15146409999999999</v>
      </c>
      <c r="U22">
        <v>1.498413E-2</v>
      </c>
      <c r="V22">
        <v>2.8780099999999999E-2</v>
      </c>
      <c r="W22">
        <v>-5.1736409999999997E-3</v>
      </c>
      <c r="X22">
        <v>0.99957240000000003</v>
      </c>
      <c r="Y22">
        <v>7.1903449999999999E-3</v>
      </c>
      <c r="Z22">
        <v>-8.1796270000000001E-4</v>
      </c>
      <c r="AA22">
        <v>0.99997380000000002</v>
      </c>
      <c r="AB22">
        <v>6</v>
      </c>
      <c r="AC22">
        <v>22.110199999999999</v>
      </c>
      <c r="AD22">
        <v>-1.119536522202</v>
      </c>
      <c r="AE22">
        <v>0.109000000000037</v>
      </c>
      <c r="AF22">
        <v>0.16055727767745401</v>
      </c>
      <c r="AG22">
        <v>-1.119536522202</v>
      </c>
      <c r="AH22">
        <v>22.053342819952899</v>
      </c>
      <c r="AI22">
        <v>92.906044937063399</v>
      </c>
      <c r="AJ22">
        <v>89.582870863254499</v>
      </c>
      <c r="AK22">
        <v>22.0823248368085</v>
      </c>
      <c r="AL22">
        <v>90.296429109967704</v>
      </c>
      <c r="AM22">
        <v>88.350771968904297</v>
      </c>
      <c r="AN22">
        <v>1.00000002177948</v>
      </c>
    </row>
    <row r="23" spans="1:40" x14ac:dyDescent="0.25">
      <c r="A23" t="str">
        <f>"20190303154731454"</f>
        <v>20190303154731454</v>
      </c>
      <c r="B23" t="str">
        <f>"1551599251450072"</f>
        <v>1551599251450072</v>
      </c>
      <c r="C23" t="s">
        <v>40</v>
      </c>
      <c r="D23">
        <v>5.2111729999999996</v>
      </c>
      <c r="E23">
        <v>0.49150650000000001</v>
      </c>
      <c r="F23" t="s">
        <v>41</v>
      </c>
      <c r="G23">
        <v>-452.64800000000002</v>
      </c>
      <c r="H23" s="1">
        <v>-3.561717E-6</v>
      </c>
      <c r="I23">
        <v>367.21800000000002</v>
      </c>
      <c r="J23">
        <v>-474.79140000000001</v>
      </c>
      <c r="K23">
        <v>1.1195040000000001</v>
      </c>
      <c r="L23">
        <v>367.08359999999999</v>
      </c>
      <c r="M23">
        <v>0.99991200000000002</v>
      </c>
      <c r="N23">
        <v>2.511742E-3</v>
      </c>
      <c r="O23">
        <v>1.30388E-2</v>
      </c>
      <c r="P23">
        <v>0.99989059999999996</v>
      </c>
      <c r="Q23">
        <v>-3.5125310000000002E-3</v>
      </c>
      <c r="R23">
        <v>-1.438619E-2</v>
      </c>
      <c r="S23">
        <v>3.0002749999999998</v>
      </c>
      <c r="T23">
        <v>-0.1512097</v>
      </c>
      <c r="U23">
        <v>1.8402100000000001E-2</v>
      </c>
      <c r="V23">
        <v>2.7424730000000001E-2</v>
      </c>
      <c r="W23">
        <v>-6.0118869999999996E-3</v>
      </c>
      <c r="X23">
        <v>0.99960579999999999</v>
      </c>
      <c r="Y23">
        <v>6.8792239999999998E-3</v>
      </c>
      <c r="Z23">
        <v>-8.5401839999999895E-4</v>
      </c>
      <c r="AA23">
        <v>0.99997599999999998</v>
      </c>
      <c r="AB23">
        <v>7</v>
      </c>
      <c r="AC23">
        <v>22.1433999999999</v>
      </c>
      <c r="AD23">
        <v>-1.1195075617170001</v>
      </c>
      <c r="AE23">
        <v>0.134400000000027</v>
      </c>
      <c r="AF23">
        <v>0.153942186830027</v>
      </c>
      <c r="AG23">
        <v>-1.1195075617170001</v>
      </c>
      <c r="AH23">
        <v>22.086817601149001</v>
      </c>
      <c r="AI23">
        <v>92.901579544345694</v>
      </c>
      <c r="AJ23">
        <v>89.600662488749606</v>
      </c>
      <c r="AK23">
        <v>22.115707249013202</v>
      </c>
      <c r="AL23">
        <v>90.344457824564699</v>
      </c>
      <c r="AM23">
        <v>88.428453284335902</v>
      </c>
      <c r="AN23">
        <v>1.0000000069972499</v>
      </c>
    </row>
    <row r="24" spans="1:40" x14ac:dyDescent="0.25">
      <c r="A24" t="str">
        <f>"20190303154731478"</f>
        <v>20190303154731478</v>
      </c>
      <c r="B24" t="str">
        <f>"1551599251470567"</f>
        <v>1551599251470567</v>
      </c>
      <c r="C24" t="s">
        <v>40</v>
      </c>
      <c r="D24">
        <v>5.206785</v>
      </c>
      <c r="E24">
        <v>0.4915062</v>
      </c>
      <c r="F24" t="s">
        <v>41</v>
      </c>
      <c r="G24">
        <v>-452.85430000000002</v>
      </c>
      <c r="H24" s="1">
        <v>-3.4640869999999999E-6</v>
      </c>
      <c r="I24">
        <v>367.26940000000002</v>
      </c>
      <c r="J24">
        <v>-474.71769999999998</v>
      </c>
      <c r="K24">
        <v>1.1194759999999999</v>
      </c>
      <c r="L24">
        <v>367.08539999999999</v>
      </c>
      <c r="M24">
        <v>0.99990020000000002</v>
      </c>
      <c r="N24">
        <v>2.610794E-3</v>
      </c>
      <c r="O24">
        <v>1.388996E-2</v>
      </c>
      <c r="P24">
        <v>0.99991600000000003</v>
      </c>
      <c r="Q24">
        <v>-4.4377519999999997E-3</v>
      </c>
      <c r="R24">
        <v>-1.2190899999999999E-2</v>
      </c>
      <c r="S24">
        <v>3.0001530000000001</v>
      </c>
      <c r="T24">
        <v>-0.15310550000000001</v>
      </c>
      <c r="U24">
        <v>2.5421139999999998E-2</v>
      </c>
      <c r="V24">
        <v>2.6081440000000001E-2</v>
      </c>
      <c r="W24">
        <v>-7.0364590000000001E-3</v>
      </c>
      <c r="X24">
        <v>0.99963500000000005</v>
      </c>
      <c r="Y24">
        <v>5.3907249999999999E-3</v>
      </c>
      <c r="Z24">
        <v>-8.7499710000000001E-4</v>
      </c>
      <c r="AA24">
        <v>0.99998509999999996</v>
      </c>
      <c r="AB24">
        <v>7</v>
      </c>
      <c r="AC24">
        <v>21.863399999999899</v>
      </c>
      <c r="AD24">
        <v>-1.1194794640869901</v>
      </c>
      <c r="AE24">
        <v>0.184000000000025</v>
      </c>
      <c r="AF24">
        <v>0.119387527104169</v>
      </c>
      <c r="AG24">
        <v>-1.1194794640869901</v>
      </c>
      <c r="AH24">
        <v>21.806678236875001</v>
      </c>
      <c r="AI24">
        <v>92.938743400554699</v>
      </c>
      <c r="AJ24">
        <v>89.6863193461799</v>
      </c>
      <c r="AK24">
        <v>21.83572081198</v>
      </c>
      <c r="AL24">
        <v>90.403162753227207</v>
      </c>
      <c r="AM24">
        <v>88.505436999033293</v>
      </c>
      <c r="AN24">
        <v>0.99999994324636399</v>
      </c>
    </row>
    <row r="25" spans="1:40" x14ac:dyDescent="0.25">
      <c r="A25" t="str">
        <f>"20190303154731500"</f>
        <v>20190303154731500</v>
      </c>
      <c r="B25" t="str">
        <f>"1551599251491064"</f>
        <v>1551599251491064</v>
      </c>
      <c r="C25" t="s">
        <v>40</v>
      </c>
      <c r="D25">
        <v>5.2703660000000001</v>
      </c>
      <c r="E25">
        <v>0.49148049999999999</v>
      </c>
      <c r="F25" t="s">
        <v>41</v>
      </c>
      <c r="G25">
        <v>-453.1148</v>
      </c>
      <c r="H25" s="1">
        <v>-3.344088E-6</v>
      </c>
      <c r="I25">
        <v>367.3159</v>
      </c>
      <c r="J25">
        <v>-474.64359999999999</v>
      </c>
      <c r="K25">
        <v>1.119461</v>
      </c>
      <c r="L25">
        <v>367.0874</v>
      </c>
      <c r="M25">
        <v>0.99988790000000005</v>
      </c>
      <c r="N25">
        <v>2.6950239999999999E-3</v>
      </c>
      <c r="O25">
        <v>1.472565E-2</v>
      </c>
      <c r="P25">
        <v>0.99992899999999996</v>
      </c>
      <c r="Q25">
        <v>-5.3479699999999996E-3</v>
      </c>
      <c r="R25">
        <v>-1.0648090000000001E-2</v>
      </c>
      <c r="S25">
        <v>2.9999690000000001</v>
      </c>
      <c r="T25">
        <v>-0.1554606</v>
      </c>
      <c r="U25">
        <v>3.2012939999999997E-2</v>
      </c>
      <c r="V25">
        <v>2.5375129999999999E-2</v>
      </c>
      <c r="W25">
        <v>-8.0309309999999998E-3</v>
      </c>
      <c r="X25">
        <v>0.99964580000000003</v>
      </c>
      <c r="Y25">
        <v>4.0285549999999996E-3</v>
      </c>
      <c r="Z25">
        <v>-9.0105990000000004E-4</v>
      </c>
      <c r="AA25">
        <v>0.99999150000000003</v>
      </c>
      <c r="AB25">
        <v>7</v>
      </c>
      <c r="AC25">
        <v>21.528799999999901</v>
      </c>
      <c r="AD25">
        <v>-1.1194643440880001</v>
      </c>
      <c r="AE25">
        <v>0.22849999999999601</v>
      </c>
      <c r="AF25">
        <v>8.8312757060903593E-2</v>
      </c>
      <c r="AG25">
        <v>-1.1194643440880001</v>
      </c>
      <c r="AH25">
        <v>21.4717807693896</v>
      </c>
      <c r="AI25">
        <v>92.984476249801205</v>
      </c>
      <c r="AJ25">
        <v>89.764345594845295</v>
      </c>
      <c r="AK25">
        <v>21.501124830330902</v>
      </c>
      <c r="AL25">
        <v>90.460143370902898</v>
      </c>
      <c r="AM25">
        <v>88.545909259416007</v>
      </c>
      <c r="AN25">
        <v>1.00000005926644</v>
      </c>
    </row>
    <row r="26" spans="1:40" x14ac:dyDescent="0.25">
      <c r="A26" t="str">
        <f>"20190303154731522"</f>
        <v>20190303154731522</v>
      </c>
      <c r="B26" t="str">
        <f>"1551599251510592"</f>
        <v>1551599251510592</v>
      </c>
      <c r="C26" t="s">
        <v>40</v>
      </c>
      <c r="D26">
        <v>5.2669100000000002</v>
      </c>
      <c r="E26">
        <v>0.4910659</v>
      </c>
      <c r="F26" t="s">
        <v>41</v>
      </c>
      <c r="G26">
        <v>-453.4769</v>
      </c>
      <c r="H26" s="1">
        <v>-3.1828179999999999E-6</v>
      </c>
      <c r="I26">
        <v>367.3494</v>
      </c>
      <c r="J26">
        <v>-474.56990000000002</v>
      </c>
      <c r="K26">
        <v>1.1194440000000001</v>
      </c>
      <c r="L26">
        <v>367.08940000000001</v>
      </c>
      <c r="M26">
        <v>0.99987539999999997</v>
      </c>
      <c r="N26">
        <v>2.7661230000000001E-3</v>
      </c>
      <c r="O26">
        <v>1.554001E-2</v>
      </c>
      <c r="P26">
        <v>0.99992999999999999</v>
      </c>
      <c r="Q26">
        <v>-5.5861959999999999E-3</v>
      </c>
      <c r="R26">
        <v>-1.044377E-2</v>
      </c>
      <c r="S26">
        <v>2.999695</v>
      </c>
      <c r="T26">
        <v>-0.15864710000000001</v>
      </c>
      <c r="U26">
        <v>3.7139890000000002E-2</v>
      </c>
      <c r="V26">
        <v>2.5985109999999999E-2</v>
      </c>
      <c r="W26">
        <v>-8.3396240000000003E-3</v>
      </c>
      <c r="X26">
        <v>0.9996275</v>
      </c>
      <c r="Y26">
        <v>3.1319099999999999E-3</v>
      </c>
      <c r="Z26">
        <v>-9.4260510000000004E-4</v>
      </c>
      <c r="AA26">
        <v>0.99999459999999996</v>
      </c>
      <c r="AB26">
        <v>7</v>
      </c>
      <c r="AC26">
        <v>21.093</v>
      </c>
      <c r="AD26">
        <v>-1.1194471828179999</v>
      </c>
      <c r="AE26">
        <v>0.25999999999999002</v>
      </c>
      <c r="AF26">
        <v>6.76276343803318E-2</v>
      </c>
      <c r="AG26">
        <v>-1.1194471828179999</v>
      </c>
      <c r="AH26">
        <v>21.035253727648499</v>
      </c>
      <c r="AI26">
        <v>93.046258513782305</v>
      </c>
      <c r="AJ26">
        <v>89.815796627471897</v>
      </c>
      <c r="AK26">
        <v>21.065128408785</v>
      </c>
      <c r="AL26">
        <v>90.477830817377793</v>
      </c>
      <c r="AM26">
        <v>88.510943407612601</v>
      </c>
      <c r="AN26">
        <v>0.99999995701320998</v>
      </c>
    </row>
    <row r="27" spans="1:40" x14ac:dyDescent="0.25">
      <c r="A27" t="str">
        <f>"20190303154731545"</f>
        <v>20190303154731545</v>
      </c>
      <c r="B27" t="str">
        <f>"1551599251540655"</f>
        <v>1551599251540655</v>
      </c>
      <c r="C27" t="s">
        <v>40</v>
      </c>
      <c r="D27">
        <v>5.298432</v>
      </c>
      <c r="E27">
        <v>0.48563060000000002</v>
      </c>
      <c r="F27" t="s">
        <v>41</v>
      </c>
      <c r="G27">
        <v>-454.05739999999997</v>
      </c>
      <c r="H27" s="1">
        <v>-2.9299620000000001E-6</v>
      </c>
      <c r="I27">
        <v>367.37079999999997</v>
      </c>
      <c r="J27">
        <v>-474.48439999999999</v>
      </c>
      <c r="K27">
        <v>1.119429</v>
      </c>
      <c r="L27">
        <v>367.0917</v>
      </c>
      <c r="M27">
        <v>0.99986059999999999</v>
      </c>
      <c r="N27">
        <v>2.8355149999999998E-3</v>
      </c>
      <c r="O27">
        <v>1.6462790000000001E-2</v>
      </c>
      <c r="P27">
        <v>0.99992809999999999</v>
      </c>
      <c r="Q27">
        <v>-5.940758E-3</v>
      </c>
      <c r="R27">
        <v>-1.04417E-2</v>
      </c>
      <c r="S27">
        <v>2.999695</v>
      </c>
      <c r="T27">
        <v>-0.16370479999999901</v>
      </c>
      <c r="U27">
        <v>4.1168209999999997E-2</v>
      </c>
      <c r="V27">
        <v>2.6906090000000001E-2</v>
      </c>
      <c r="W27">
        <v>-8.7626760000000005E-3</v>
      </c>
      <c r="X27">
        <v>0.99959960000000003</v>
      </c>
      <c r="Y27">
        <v>2.7093989999999999E-3</v>
      </c>
      <c r="Z27">
        <v>-1.0143439999999999E-3</v>
      </c>
      <c r="AA27">
        <v>0.99999579999999999</v>
      </c>
      <c r="AB27">
        <v>8</v>
      </c>
      <c r="AC27">
        <v>20.427</v>
      </c>
      <c r="AD27">
        <v>-1.1194319299619999</v>
      </c>
      <c r="AE27">
        <v>0.27909999999997098</v>
      </c>
      <c r="AF27">
        <v>5.7053228775346097E-2</v>
      </c>
      <c r="AG27">
        <v>-1.1194319299619999</v>
      </c>
      <c r="AH27">
        <v>20.3676694333931</v>
      </c>
      <c r="AI27">
        <v>93.145868462354301</v>
      </c>
      <c r="AJ27">
        <v>89.839505414338902</v>
      </c>
      <c r="AK27">
        <v>20.398488695604598</v>
      </c>
      <c r="AL27">
        <v>90.502070756680098</v>
      </c>
      <c r="AM27">
        <v>88.4581493878825</v>
      </c>
      <c r="AN27">
        <v>1.0000000412449599</v>
      </c>
    </row>
    <row r="28" spans="1:40" x14ac:dyDescent="0.25">
      <c r="A28" t="str">
        <f>"20190303154731568"</f>
        <v>20190303154731568</v>
      </c>
      <c r="B28" t="str">
        <f>"1551599251560176"</f>
        <v>1551599251560176</v>
      </c>
      <c r="C28" t="s">
        <v>40</v>
      </c>
      <c r="D28">
        <v>5.3228790000000004</v>
      </c>
      <c r="E28">
        <v>0.48528470000000001</v>
      </c>
      <c r="F28" t="s">
        <v>41</v>
      </c>
      <c r="G28">
        <v>-459.74979999999999</v>
      </c>
      <c r="H28" s="1">
        <v>-6.3226569999999995E-7</v>
      </c>
      <c r="I28">
        <v>367.50760000000002</v>
      </c>
      <c r="J28">
        <v>-474.39510000000001</v>
      </c>
      <c r="K28">
        <v>1.119413</v>
      </c>
      <c r="L28">
        <v>367.0942</v>
      </c>
      <c r="M28">
        <v>0.99984430000000002</v>
      </c>
      <c r="N28">
        <v>2.897335E-3</v>
      </c>
      <c r="O28">
        <v>1.7405899999999998E-2</v>
      </c>
      <c r="P28">
        <v>0.99992899999999996</v>
      </c>
      <c r="Q28">
        <v>-5.7968029999999997E-3</v>
      </c>
      <c r="R28">
        <v>-1.041778E-2</v>
      </c>
      <c r="S28">
        <v>2.9997560000000001</v>
      </c>
      <c r="T28">
        <v>-0.2278994</v>
      </c>
      <c r="U28">
        <v>8.4686280000000003E-2</v>
      </c>
      <c r="V28">
        <v>2.7825059999999999E-2</v>
      </c>
      <c r="W28">
        <v>-8.6796089999999996E-3</v>
      </c>
      <c r="X28">
        <v>0.99957510000000005</v>
      </c>
      <c r="Y28">
        <v>-1.084048E-2</v>
      </c>
      <c r="Z28">
        <v>-9.7504079999999999E-4</v>
      </c>
      <c r="AA28">
        <v>0.99994079999999996</v>
      </c>
      <c r="AB28">
        <v>8</v>
      </c>
      <c r="AC28">
        <v>14.645300000000001</v>
      </c>
      <c r="AD28">
        <v>-1.1194136322657</v>
      </c>
      <c r="AE28">
        <v>0.41340000000002403</v>
      </c>
      <c r="AF28">
        <v>-0.15750222822207699</v>
      </c>
      <c r="AG28">
        <v>-1.1194136322657</v>
      </c>
      <c r="AH28">
        <v>14.565249968532701</v>
      </c>
      <c r="AI28">
        <v>94.394577100399701</v>
      </c>
      <c r="AJ28">
        <v>90.619547295246704</v>
      </c>
      <c r="AK28">
        <v>14.609052004761899</v>
      </c>
      <c r="AL28">
        <v>90.4973112202686</v>
      </c>
      <c r="AM28">
        <v>88.405475585420703</v>
      </c>
      <c r="AN28">
        <v>0.99999997505820304</v>
      </c>
    </row>
    <row r="29" spans="1:40" x14ac:dyDescent="0.25">
      <c r="A29" t="str">
        <f>"20190303154731591"</f>
        <v>20190303154731591</v>
      </c>
      <c r="B29" t="str">
        <f>"1551599251580672"</f>
        <v>1551599251580672</v>
      </c>
      <c r="C29" t="s">
        <v>40</v>
      </c>
      <c r="D29">
        <v>5.3479999999999999</v>
      </c>
      <c r="E29">
        <v>0.48536020000000002</v>
      </c>
      <c r="F29" t="s">
        <v>41</v>
      </c>
      <c r="G29">
        <v>-458.57060000000001</v>
      </c>
      <c r="H29" s="1">
        <v>-1.0209400000000001E-6</v>
      </c>
      <c r="I29">
        <v>367.55509999999998</v>
      </c>
      <c r="J29">
        <v>-474.31360000000001</v>
      </c>
      <c r="K29">
        <v>1.1194109999999999</v>
      </c>
      <c r="L29">
        <v>367.09660000000002</v>
      </c>
      <c r="M29">
        <v>0.99982919999999997</v>
      </c>
      <c r="N29">
        <v>2.9459550000000001E-3</v>
      </c>
      <c r="O29">
        <v>1.8249729999999999E-2</v>
      </c>
      <c r="P29">
        <v>0.99993730000000003</v>
      </c>
      <c r="Q29">
        <v>-5.5092889999999997E-3</v>
      </c>
      <c r="R29">
        <v>-9.7677920000000008E-3</v>
      </c>
      <c r="S29">
        <v>2.9998779999999998</v>
      </c>
      <c r="T29">
        <v>-0.2122077</v>
      </c>
      <c r="U29">
        <v>8.7371829999999998E-2</v>
      </c>
      <c r="V29">
        <v>2.8018930000000001E-2</v>
      </c>
      <c r="W29">
        <v>-8.4401809999999997E-3</v>
      </c>
      <c r="X29">
        <v>0.99957169999999895</v>
      </c>
      <c r="Y29">
        <v>-1.088924E-2</v>
      </c>
      <c r="Z29">
        <v>-9.7410710000000002E-4</v>
      </c>
      <c r="AA29">
        <v>0.99994019999999995</v>
      </c>
      <c r="AB29">
        <v>8</v>
      </c>
      <c r="AC29">
        <v>15.742999999999901</v>
      </c>
      <c r="AD29">
        <v>-1.11941202094</v>
      </c>
      <c r="AE29">
        <v>0.458499999999958</v>
      </c>
      <c r="AF29">
        <v>-0.17025683280947801</v>
      </c>
      <c r="AG29">
        <v>-1.11941202094</v>
      </c>
      <c r="AH29">
        <v>15.6695877664989</v>
      </c>
      <c r="AI29">
        <v>94.085943030577198</v>
      </c>
      <c r="AJ29">
        <v>90.622518871709104</v>
      </c>
      <c r="AK29">
        <v>15.7104440240801</v>
      </c>
      <c r="AL29">
        <v>90.4835925202146</v>
      </c>
      <c r="AM29">
        <v>88.394366136749397</v>
      </c>
      <c r="AN29">
        <v>0.99999994026727101</v>
      </c>
    </row>
    <row r="30" spans="1:40" x14ac:dyDescent="0.25">
      <c r="A30" t="str">
        <f>"20190303154731614"</f>
        <v>20190303154731614</v>
      </c>
      <c r="B30" t="str">
        <f>"1551599251610928"</f>
        <v>1551599251610928</v>
      </c>
      <c r="C30" t="s">
        <v>40</v>
      </c>
      <c r="D30">
        <v>5.2922219999999998</v>
      </c>
      <c r="E30">
        <v>0.4860429</v>
      </c>
      <c r="F30" t="s">
        <v>41</v>
      </c>
      <c r="G30">
        <v>-457.86320000000001</v>
      </c>
      <c r="H30" s="1">
        <v>-1.259571E-6</v>
      </c>
      <c r="I30">
        <v>367.58370000000002</v>
      </c>
      <c r="J30">
        <v>-474.21850000000001</v>
      </c>
      <c r="K30">
        <v>1.1194029999999999</v>
      </c>
      <c r="L30">
        <v>367.0994</v>
      </c>
      <c r="M30">
        <v>0.99981109999999895</v>
      </c>
      <c r="N30">
        <v>2.99476E-3</v>
      </c>
      <c r="O30">
        <v>1.9213009999999999E-2</v>
      </c>
      <c r="P30">
        <v>0.99994530000000004</v>
      </c>
      <c r="Q30">
        <v>-5.163061E-3</v>
      </c>
      <c r="R30">
        <v>-9.1006170000000001E-3</v>
      </c>
      <c r="S30">
        <v>2.9999389999999999</v>
      </c>
      <c r="T30">
        <v>-0.2041374</v>
      </c>
      <c r="U30">
        <v>8.8836670000000006E-2</v>
      </c>
      <c r="V30">
        <v>2.8315079999999999E-2</v>
      </c>
      <c r="W30">
        <v>-8.1420780000000005E-3</v>
      </c>
      <c r="X30">
        <v>0.99956590000000001</v>
      </c>
      <c r="Y30">
        <v>-1.041509E-2</v>
      </c>
      <c r="Z30">
        <v>-1.02465E-3</v>
      </c>
      <c r="AA30">
        <v>0.99994519999999998</v>
      </c>
      <c r="AB30">
        <v>9</v>
      </c>
      <c r="AC30">
        <v>16.3553</v>
      </c>
      <c r="AD30">
        <v>-1.1194042595710001</v>
      </c>
      <c r="AE30">
        <v>0.48430000000001799</v>
      </c>
      <c r="AF30">
        <v>-0.169182874985741</v>
      </c>
      <c r="AG30">
        <v>-1.1194042595710001</v>
      </c>
      <c r="AH30">
        <v>16.2853650576658</v>
      </c>
      <c r="AI30">
        <v>93.9319333475718</v>
      </c>
      <c r="AJ30">
        <v>90.595204097166402</v>
      </c>
      <c r="AK30">
        <v>16.324668566405101</v>
      </c>
      <c r="AL30">
        <v>90.466511854429598</v>
      </c>
      <c r="AM30">
        <v>88.377394779897202</v>
      </c>
      <c r="AN30">
        <v>1.0000000128161799</v>
      </c>
    </row>
    <row r="31" spans="1:40" x14ac:dyDescent="0.25">
      <c r="A31" t="str">
        <f>"20190303154731634"</f>
        <v>20190303154731634</v>
      </c>
      <c r="B31" t="str">
        <f>"1551599251630448"</f>
        <v>1551599251630448</v>
      </c>
      <c r="C31" t="s">
        <v>40</v>
      </c>
      <c r="D31">
        <v>5.2715990000000001</v>
      </c>
      <c r="E31">
        <v>0.48615839999999999</v>
      </c>
      <c r="F31" t="s">
        <v>41</v>
      </c>
      <c r="G31">
        <v>-456.96660000000003</v>
      </c>
      <c r="H31" s="1">
        <v>-1.643025E-6</v>
      </c>
      <c r="I31">
        <v>367.59019999999998</v>
      </c>
      <c r="J31">
        <v>-474.13560000000001</v>
      </c>
      <c r="K31">
        <v>1.1193919999999999</v>
      </c>
      <c r="L31">
        <v>367.10180000000003</v>
      </c>
      <c r="M31">
        <v>0.99979459999999998</v>
      </c>
      <c r="N31">
        <v>3.0311409999999998E-3</v>
      </c>
      <c r="O31">
        <v>2.003802E-2</v>
      </c>
      <c r="P31">
        <v>0.99995400000000001</v>
      </c>
      <c r="Q31">
        <v>-4.8622609999999997E-3</v>
      </c>
      <c r="R31">
        <v>-8.2892030000000002E-3</v>
      </c>
      <c r="S31">
        <v>2.999908</v>
      </c>
      <c r="T31">
        <v>-0.19465099999999999</v>
      </c>
      <c r="U31">
        <v>8.5357669999999997E-2</v>
      </c>
      <c r="V31">
        <v>2.8328760000000001E-2</v>
      </c>
      <c r="W31">
        <v>-7.8772169999999902E-3</v>
      </c>
      <c r="X31">
        <v>0.9995676</v>
      </c>
      <c r="Y31">
        <v>-8.4354249999999999E-3</v>
      </c>
      <c r="Z31">
        <v>-1.0985350000000001E-3</v>
      </c>
      <c r="AA31">
        <v>0.99996379999999996</v>
      </c>
      <c r="AB31">
        <v>9</v>
      </c>
      <c r="AC31">
        <v>17.168999999999901</v>
      </c>
      <c r="AD31">
        <v>-1.119393643025</v>
      </c>
      <c r="AE31">
        <v>0.48839999999995598</v>
      </c>
      <c r="AF31">
        <v>-0.14365741126200701</v>
      </c>
      <c r="AG31">
        <v>-1.119393643025</v>
      </c>
      <c r="AH31">
        <v>17.102697169328302</v>
      </c>
      <c r="AI31">
        <v>93.744609892911797</v>
      </c>
      <c r="AJ31">
        <v>90.481255658664196</v>
      </c>
      <c r="AK31">
        <v>17.139892941486099</v>
      </c>
      <c r="AL31">
        <v>90.451335965991305</v>
      </c>
      <c r="AM31">
        <v>88.376614021742697</v>
      </c>
      <c r="AN31">
        <v>0.99999997808028096</v>
      </c>
    </row>
    <row r="32" spans="1:40" x14ac:dyDescent="0.25">
      <c r="A32" t="str">
        <f>"20190303154731655"</f>
        <v>20190303154731655</v>
      </c>
      <c r="B32" t="str">
        <f>"1551599251650943"</f>
        <v>1551599251650943</v>
      </c>
      <c r="C32" t="s">
        <v>40</v>
      </c>
      <c r="D32">
        <v>5.3182689999999999</v>
      </c>
      <c r="E32">
        <v>0.48607489999999998</v>
      </c>
      <c r="F32" t="s">
        <v>41</v>
      </c>
      <c r="G32">
        <v>-456.56689999999998</v>
      </c>
      <c r="H32" s="1">
        <v>-1.8107009999999999E-6</v>
      </c>
      <c r="I32">
        <v>367.61169999999998</v>
      </c>
      <c r="J32">
        <v>-474.0446</v>
      </c>
      <c r="K32">
        <v>1.1193879999999901</v>
      </c>
      <c r="L32">
        <v>367.1046</v>
      </c>
      <c r="M32">
        <v>0.99977640000000001</v>
      </c>
      <c r="N32">
        <v>3.06588E-3</v>
      </c>
      <c r="O32">
        <v>2.092579E-2</v>
      </c>
      <c r="P32">
        <v>0.99995809999999996</v>
      </c>
      <c r="Q32">
        <v>-5.113055E-3</v>
      </c>
      <c r="R32">
        <v>-7.6066669999999897E-3</v>
      </c>
      <c r="S32">
        <v>2.9999389999999999</v>
      </c>
      <c r="T32">
        <v>-0.19114120000000001</v>
      </c>
      <c r="U32">
        <v>8.7066649999999995E-2</v>
      </c>
      <c r="V32">
        <v>2.853429E-2</v>
      </c>
      <c r="W32">
        <v>-8.1621179999999995E-3</v>
      </c>
      <c r="X32">
        <v>0.99955950000000005</v>
      </c>
      <c r="Y32">
        <v>-8.1180680000000009E-3</v>
      </c>
      <c r="Z32">
        <v>-1.149721E-3</v>
      </c>
      <c r="AA32">
        <v>0.99996640000000003</v>
      </c>
      <c r="AB32">
        <v>9</v>
      </c>
      <c r="AC32">
        <v>17.477699999999999</v>
      </c>
      <c r="AD32">
        <v>-1.1193898107010001</v>
      </c>
      <c r="AE32">
        <v>0.50709999999997901</v>
      </c>
      <c r="AF32">
        <v>-0.140676020994004</v>
      </c>
      <c r="AG32">
        <v>-1.1193898107010001</v>
      </c>
      <c r="AH32">
        <v>17.413116145685802</v>
      </c>
      <c r="AI32">
        <v>93.678037766750194</v>
      </c>
      <c r="AJ32">
        <v>90.462867580387993</v>
      </c>
      <c r="AK32">
        <v>17.449625703559601</v>
      </c>
      <c r="AL32">
        <v>90.467660101327894</v>
      </c>
      <c r="AM32">
        <v>88.364829206459106</v>
      </c>
      <c r="AN32">
        <v>1.0000000099581501</v>
      </c>
    </row>
    <row r="33" spans="1:40" x14ac:dyDescent="0.25">
      <c r="A33" t="str">
        <f>"20190303154731678"</f>
        <v>20190303154731678</v>
      </c>
      <c r="B33" t="str">
        <f>"1551599251670464"</f>
        <v>1551599251670464</v>
      </c>
      <c r="C33" t="s">
        <v>40</v>
      </c>
      <c r="D33">
        <v>5.3285910000000003</v>
      </c>
      <c r="E33">
        <v>0.48619479999999998</v>
      </c>
      <c r="F33" t="s">
        <v>41</v>
      </c>
      <c r="G33">
        <v>-456.68959999999998</v>
      </c>
      <c r="H33" s="1">
        <v>-1.7559790000000001E-6</v>
      </c>
      <c r="I33">
        <v>367.62329999999997</v>
      </c>
      <c r="J33">
        <v>-473.94479999999999</v>
      </c>
      <c r="K33">
        <v>1.119375</v>
      </c>
      <c r="L33">
        <v>367.1078</v>
      </c>
      <c r="M33">
        <v>0.99975590000000003</v>
      </c>
      <c r="N33">
        <v>3.0989300000000002E-3</v>
      </c>
      <c r="O33">
        <v>2.188062E-2</v>
      </c>
      <c r="P33">
        <v>0.99996030000000002</v>
      </c>
      <c r="Q33">
        <v>-5.8328549999999996E-3</v>
      </c>
      <c r="R33">
        <v>-6.7628499999999999E-3</v>
      </c>
      <c r="S33">
        <v>2.9997859999999998</v>
      </c>
      <c r="T33">
        <v>-0.19348480000000001</v>
      </c>
      <c r="U33">
        <v>8.966064E-2</v>
      </c>
      <c r="V33">
        <v>2.8646020000000001E-2</v>
      </c>
      <c r="W33">
        <v>-8.9143699999999996E-3</v>
      </c>
      <c r="X33">
        <v>0.99954989999999999</v>
      </c>
      <c r="Y33">
        <v>-8.0315679999999993E-3</v>
      </c>
      <c r="Z33">
        <v>-1.230809E-3</v>
      </c>
      <c r="AA33">
        <v>0.99996700000000005</v>
      </c>
      <c r="AB33">
        <v>9</v>
      </c>
      <c r="AC33">
        <v>17.255199999999999</v>
      </c>
      <c r="AD33">
        <v>-1.119376755979</v>
      </c>
      <c r="AE33">
        <v>0.51549999999997398</v>
      </c>
      <c r="AF33">
        <v>-0.137243284821287</v>
      </c>
      <c r="AG33">
        <v>-1.119376755979</v>
      </c>
      <c r="AH33">
        <v>17.190070969796601</v>
      </c>
      <c r="AI33">
        <v>93.725587115505803</v>
      </c>
      <c r="AJ33">
        <v>90.457432312463695</v>
      </c>
      <c r="AK33">
        <v>17.2270246992247</v>
      </c>
      <c r="AL33">
        <v>90.510762526778294</v>
      </c>
      <c r="AM33">
        <v>88.358414205639207</v>
      </c>
      <c r="AN33">
        <v>1.00000003152217</v>
      </c>
    </row>
    <row r="34" spans="1:40" x14ac:dyDescent="0.25">
      <c r="A34" t="str">
        <f>"20190303154731700"</f>
        <v>20190303154731700</v>
      </c>
      <c r="B34" t="str">
        <f>"1551599251690960"</f>
        <v>1551599251690960</v>
      </c>
      <c r="C34" t="s">
        <v>40</v>
      </c>
      <c r="D34">
        <v>5.2633049999999999</v>
      </c>
      <c r="E34">
        <v>0.48624529999999999</v>
      </c>
      <c r="F34" t="s">
        <v>41</v>
      </c>
      <c r="G34">
        <v>-456.94229999999999</v>
      </c>
      <c r="H34" s="1">
        <v>-1.647265E-6</v>
      </c>
      <c r="I34">
        <v>367.62509999999997</v>
      </c>
      <c r="J34">
        <v>-473.84859999999998</v>
      </c>
      <c r="K34">
        <v>1.119362</v>
      </c>
      <c r="L34">
        <v>367.11090000000002</v>
      </c>
      <c r="M34">
        <v>0.9997357</v>
      </c>
      <c r="N34">
        <v>3.1265469999999999E-3</v>
      </c>
      <c r="O34">
        <v>2.2783370000000001E-2</v>
      </c>
      <c r="P34">
        <v>0.99995690000000004</v>
      </c>
      <c r="Q34">
        <v>-6.8194299999999996E-3</v>
      </c>
      <c r="R34">
        <v>-6.3577620000000003E-3</v>
      </c>
      <c r="S34">
        <v>2.9995729999999998</v>
      </c>
      <c r="T34">
        <v>-0.19747890000000001</v>
      </c>
      <c r="U34">
        <v>9.1278079999999998E-2</v>
      </c>
      <c r="V34">
        <v>2.9144010000000001E-2</v>
      </c>
      <c r="W34">
        <v>-9.9277199999999993E-3</v>
      </c>
      <c r="X34">
        <v>0.99952589999999997</v>
      </c>
      <c r="Y34">
        <v>-7.6736929999999997E-3</v>
      </c>
      <c r="Z34">
        <v>-1.328653E-3</v>
      </c>
      <c r="AA34">
        <v>0.99996969999999996</v>
      </c>
      <c r="AB34">
        <v>10</v>
      </c>
      <c r="AC34">
        <v>16.906299999999899</v>
      </c>
      <c r="AD34">
        <v>-1.1193636472649999</v>
      </c>
      <c r="AE34">
        <v>0.51419999999995902</v>
      </c>
      <c r="AF34">
        <v>-0.128320214385054</v>
      </c>
      <c r="AG34">
        <v>-1.1193636472649999</v>
      </c>
      <c r="AH34">
        <v>16.839873296073801</v>
      </c>
      <c r="AI34">
        <v>93.802804796609095</v>
      </c>
      <c r="AJ34">
        <v>90.436586682384103</v>
      </c>
      <c r="AK34">
        <v>16.877522735284899</v>
      </c>
      <c r="AL34">
        <v>90.568825812351804</v>
      </c>
      <c r="AM34">
        <v>88.329852388618804</v>
      </c>
      <c r="AN34">
        <v>0.99999997885704395</v>
      </c>
    </row>
    <row r="35" spans="1:40" x14ac:dyDescent="0.25">
      <c r="A35" t="str">
        <f>"20190303154731723"</f>
        <v>20190303154731723</v>
      </c>
      <c r="B35" t="str">
        <f>"1551599251720239"</f>
        <v>1551599251720239</v>
      </c>
      <c r="C35" t="s">
        <v>40</v>
      </c>
      <c r="D35">
        <v>5.2916679999999996</v>
      </c>
      <c r="E35">
        <v>0.48656929999999998</v>
      </c>
      <c r="F35" t="s">
        <v>41</v>
      </c>
      <c r="G35">
        <v>-457.24130000000002</v>
      </c>
      <c r="H35" s="1">
        <v>-1.519928E-6</v>
      </c>
      <c r="I35">
        <v>367.6198</v>
      </c>
      <c r="J35">
        <v>-473.74529999999999</v>
      </c>
      <c r="K35">
        <v>1.1193569999999999</v>
      </c>
      <c r="L35">
        <v>367.11430000000001</v>
      </c>
      <c r="M35">
        <v>0.99971339999999997</v>
      </c>
      <c r="N35">
        <v>3.1522170000000001E-3</v>
      </c>
      <c r="O35">
        <v>2.3732969999999999E-2</v>
      </c>
      <c r="P35">
        <v>0.99995369999999995</v>
      </c>
      <c r="Q35">
        <v>-7.66950599999999E-3</v>
      </c>
      <c r="R35">
        <v>-5.8361749999999999E-3</v>
      </c>
      <c r="S35">
        <v>2.999298</v>
      </c>
      <c r="T35">
        <v>-0.20215810000000001</v>
      </c>
      <c r="U35">
        <v>9.1918949999999999E-2</v>
      </c>
      <c r="V35">
        <v>2.9572790000000002E-2</v>
      </c>
      <c r="W35">
        <v>-1.080267E-2</v>
      </c>
      <c r="X35">
        <v>0.99950430000000001</v>
      </c>
      <c r="Y35">
        <v>-6.9457809999999998E-3</v>
      </c>
      <c r="Z35">
        <v>-1.449121E-3</v>
      </c>
      <c r="AA35">
        <v>0.99997480000000005</v>
      </c>
      <c r="AB35">
        <v>10</v>
      </c>
      <c r="AC35">
        <v>16.503999999999898</v>
      </c>
      <c r="AD35">
        <v>-1.1193585199279901</v>
      </c>
      <c r="AE35">
        <v>0.50549999999998296</v>
      </c>
      <c r="AF35">
        <v>-0.113146757574886</v>
      </c>
      <c r="AG35">
        <v>-1.1193585199279901</v>
      </c>
      <c r="AH35">
        <v>16.4358141446248</v>
      </c>
      <c r="AI35">
        <v>93.896011664195797</v>
      </c>
      <c r="AJ35">
        <v>90.394427024412195</v>
      </c>
      <c r="AK35">
        <v>16.474275470609701</v>
      </c>
      <c r="AL35">
        <v>90.618959408514797</v>
      </c>
      <c r="AM35">
        <v>88.305258036141396</v>
      </c>
      <c r="AN35">
        <v>1.0000000466529999</v>
      </c>
    </row>
    <row r="36" spans="1:40" x14ac:dyDescent="0.25">
      <c r="A36" t="str">
        <f>"20190303154731745"</f>
        <v>20190303154731745</v>
      </c>
      <c r="B36" t="str">
        <f>"1551599251740737"</f>
        <v>1551599251740737</v>
      </c>
      <c r="C36" t="s">
        <v>40</v>
      </c>
      <c r="D36">
        <v>5.2369019999999997</v>
      </c>
      <c r="E36">
        <v>0.48688730000000002</v>
      </c>
      <c r="F36" t="s">
        <v>41</v>
      </c>
      <c r="G36">
        <v>-457.29430000000002</v>
      </c>
      <c r="H36" s="1">
        <v>-1.4981220000000001E-6</v>
      </c>
      <c r="I36">
        <v>367.61470000000003</v>
      </c>
      <c r="J36">
        <v>-473.63810000000001</v>
      </c>
      <c r="K36">
        <v>1.119351</v>
      </c>
      <c r="L36">
        <v>367.11779999999999</v>
      </c>
      <c r="M36">
        <v>0.99968990000000002</v>
      </c>
      <c r="N36">
        <v>3.175864E-3</v>
      </c>
      <c r="O36">
        <v>2.4695450000000001E-2</v>
      </c>
      <c r="P36">
        <v>0.99995239999999996</v>
      </c>
      <c r="Q36">
        <v>-8.0679529999999992E-3</v>
      </c>
      <c r="R36">
        <v>-5.4938729999999998E-3</v>
      </c>
      <c r="S36">
        <v>2.9990540000000001</v>
      </c>
      <c r="T36">
        <v>-0.20405980000000001</v>
      </c>
      <c r="U36">
        <v>9.1247560000000005E-2</v>
      </c>
      <c r="V36">
        <v>3.0193250000000001E-2</v>
      </c>
      <c r="W36">
        <v>-1.122385E-2</v>
      </c>
      <c r="X36">
        <v>0.99948110000000001</v>
      </c>
      <c r="Y36">
        <v>-5.7677240000000001E-3</v>
      </c>
      <c r="Z36">
        <v>-1.5692519999999999E-3</v>
      </c>
      <c r="AA36">
        <v>0.99998209999999998</v>
      </c>
      <c r="AB36">
        <v>10</v>
      </c>
      <c r="AC36">
        <v>16.343799999999899</v>
      </c>
      <c r="AD36">
        <v>-1.119352498122</v>
      </c>
      <c r="AE36">
        <v>0.49690000000003898</v>
      </c>
      <c r="AF36">
        <v>-9.2694501782806499E-2</v>
      </c>
      <c r="AG36">
        <v>-1.119352498122</v>
      </c>
      <c r="AH36">
        <v>16.274818624984398</v>
      </c>
      <c r="AI36">
        <v>93.934439980504706</v>
      </c>
      <c r="AJ36">
        <v>90.326329062753601</v>
      </c>
      <c r="AK36">
        <v>16.3135300766527</v>
      </c>
      <c r="AL36">
        <v>90.6430927130464</v>
      </c>
      <c r="AM36">
        <v>88.269682292907802</v>
      </c>
      <c r="AN36">
        <v>1.0000000382057901</v>
      </c>
    </row>
    <row r="37" spans="1:40" x14ac:dyDescent="0.25">
      <c r="A37" t="str">
        <f>"20190303154731770"</f>
        <v>20190303154731770</v>
      </c>
      <c r="B37" t="str">
        <f>"1551599251760256"</f>
        <v>1551599251760256</v>
      </c>
      <c r="C37" t="s">
        <v>40</v>
      </c>
      <c r="D37">
        <v>5.2350209999999997</v>
      </c>
      <c r="E37">
        <v>0.4873075</v>
      </c>
      <c r="F37" t="s">
        <v>41</v>
      </c>
      <c r="G37">
        <v>-456.976</v>
      </c>
      <c r="H37" s="1">
        <v>-1.6342749999999999E-6</v>
      </c>
      <c r="I37">
        <v>367.61680000000001</v>
      </c>
      <c r="J37">
        <v>-473.51780000000002</v>
      </c>
      <c r="K37">
        <v>1.1193470000000001</v>
      </c>
      <c r="L37">
        <v>367.12200000000001</v>
      </c>
      <c r="M37">
        <v>0.99966319999999997</v>
      </c>
      <c r="N37">
        <v>3.1993239999999999E-3</v>
      </c>
      <c r="O37">
        <v>2.5753470000000001E-2</v>
      </c>
      <c r="P37">
        <v>0.9999555</v>
      </c>
      <c r="Q37">
        <v>-8.4447440000000006E-3</v>
      </c>
      <c r="R37">
        <v>-4.2369629999999998E-3</v>
      </c>
      <c r="S37">
        <v>2.998993</v>
      </c>
      <c r="T37">
        <v>-0.20147010000000001</v>
      </c>
      <c r="U37">
        <v>8.9813229999999994E-2</v>
      </c>
      <c r="V37">
        <v>2.999518E-2</v>
      </c>
      <c r="W37">
        <v>-1.1623720000000001E-2</v>
      </c>
      <c r="X37">
        <v>0.99948250000000005</v>
      </c>
      <c r="Y37">
        <v>-4.236928E-3</v>
      </c>
      <c r="Z37">
        <v>-1.674411E-3</v>
      </c>
      <c r="AA37">
        <v>0.99998960000000003</v>
      </c>
      <c r="AB37">
        <v>11</v>
      </c>
      <c r="AC37">
        <v>16.541799999999999</v>
      </c>
      <c r="AD37">
        <v>-1.1193486342750001</v>
      </c>
      <c r="AE37">
        <v>0.49480000000005397</v>
      </c>
      <c r="AF37">
        <v>-6.8312433754571494E-2</v>
      </c>
      <c r="AG37">
        <v>-1.1193486342750001</v>
      </c>
      <c r="AH37">
        <v>16.4736916542684</v>
      </c>
      <c r="AI37">
        <v>93.887105445410498</v>
      </c>
      <c r="AJ37">
        <v>90.237590443608696</v>
      </c>
      <c r="AK37">
        <v>16.511817727723699</v>
      </c>
      <c r="AL37">
        <v>90.666005066433101</v>
      </c>
      <c r="AM37">
        <v>88.281028881453395</v>
      </c>
      <c r="AN37">
        <v>1.0000000447480499</v>
      </c>
    </row>
    <row r="38" spans="1:40" x14ac:dyDescent="0.25">
      <c r="A38" t="str">
        <f>"20190303154731791"</f>
        <v>20190303154731791</v>
      </c>
      <c r="B38" t="str">
        <f>"1551599251780752"</f>
        <v>1551599251780752</v>
      </c>
      <c r="C38" t="s">
        <v>40</v>
      </c>
      <c r="D38">
        <v>5.2379030000000002</v>
      </c>
      <c r="E38">
        <v>0.4877107</v>
      </c>
      <c r="F38" t="s">
        <v>41</v>
      </c>
      <c r="G38">
        <v>-456.62819999999999</v>
      </c>
      <c r="H38" s="1">
        <v>-1.781131E-6</v>
      </c>
      <c r="I38">
        <v>367.63</v>
      </c>
      <c r="J38">
        <v>-473.41629999999998</v>
      </c>
      <c r="K38">
        <v>1.1193379999999999</v>
      </c>
      <c r="L38">
        <v>367.12549999999999</v>
      </c>
      <c r="M38">
        <v>0.99964030000000004</v>
      </c>
      <c r="N38">
        <v>3.2171959999999999E-3</v>
      </c>
      <c r="O38">
        <v>2.6626199999999999E-2</v>
      </c>
      <c r="P38">
        <v>0.99994689999999997</v>
      </c>
      <c r="Q38">
        <v>-9.7266620000000005E-3</v>
      </c>
      <c r="R38">
        <v>-3.435876E-3</v>
      </c>
      <c r="S38">
        <v>2.99884</v>
      </c>
      <c r="T38">
        <v>-0.1987457</v>
      </c>
      <c r="U38">
        <v>9.0209960000000006E-2</v>
      </c>
      <c r="V38">
        <v>3.006779E-2</v>
      </c>
      <c r="W38">
        <v>-1.292303E-2</v>
      </c>
      <c r="X38">
        <v>0.99946429999999997</v>
      </c>
      <c r="Y38">
        <v>-3.4998960000000002E-3</v>
      </c>
      <c r="Z38">
        <v>-1.7373410000000001E-3</v>
      </c>
      <c r="AA38">
        <v>0.9999924</v>
      </c>
      <c r="AB38">
        <v>11</v>
      </c>
      <c r="AC38">
        <v>16.788099999999901</v>
      </c>
      <c r="AD38">
        <v>-1.119339781131</v>
      </c>
      <c r="AE38">
        <v>0.50450000000000705</v>
      </c>
      <c r="AF38">
        <v>-5.7062078074088002E-2</v>
      </c>
      <c r="AG38">
        <v>-1.119339781131</v>
      </c>
      <c r="AH38">
        <v>16.7213133122867</v>
      </c>
      <c r="AI38">
        <v>93.829695269309696</v>
      </c>
      <c r="AJ38">
        <v>90.195523132166699</v>
      </c>
      <c r="AK38">
        <v>16.758833387620701</v>
      </c>
      <c r="AL38">
        <v>90.7404557018763</v>
      </c>
      <c r="AM38">
        <v>88.276838876535393</v>
      </c>
      <c r="AN38">
        <v>0.99999998183717698</v>
      </c>
    </row>
    <row r="39" spans="1:40" x14ac:dyDescent="0.25">
      <c r="A39" t="str">
        <f>"20190303154731814"</f>
        <v>20190303154731814</v>
      </c>
      <c r="B39" t="str">
        <f>"1551599251811007"</f>
        <v>1551599251811007</v>
      </c>
      <c r="C39" t="s">
        <v>40</v>
      </c>
      <c r="D39">
        <v>5.2695270000000001</v>
      </c>
      <c r="E39">
        <v>0.48813689999999998</v>
      </c>
      <c r="F39" t="s">
        <v>41</v>
      </c>
      <c r="G39">
        <v>-456.5745</v>
      </c>
      <c r="H39" s="1">
        <v>-1.804684E-6</v>
      </c>
      <c r="I39">
        <v>367.62720000000002</v>
      </c>
      <c r="J39">
        <v>-473.2944</v>
      </c>
      <c r="K39">
        <v>1.119327</v>
      </c>
      <c r="L39">
        <v>367.12990000000002</v>
      </c>
      <c r="M39">
        <v>0.99961250000000001</v>
      </c>
      <c r="N39">
        <v>3.236587E-3</v>
      </c>
      <c r="O39">
        <v>2.7647769999999999E-2</v>
      </c>
      <c r="P39">
        <v>0.99993520000000002</v>
      </c>
      <c r="Q39">
        <v>-1.126837E-2</v>
      </c>
      <c r="R39">
        <v>-1.7681299999999999E-3</v>
      </c>
      <c r="S39">
        <v>2.9985050000000002</v>
      </c>
      <c r="T39">
        <v>-0.19928599999999999</v>
      </c>
      <c r="U39">
        <v>8.932495E-2</v>
      </c>
      <c r="V39">
        <v>2.9422879999999998E-2</v>
      </c>
      <c r="W39">
        <v>-1.4484199999999999E-2</v>
      </c>
      <c r="X39">
        <v>0.99946210000000002</v>
      </c>
      <c r="Y39">
        <v>-2.1919909999999999E-3</v>
      </c>
      <c r="Z39">
        <v>-1.8549110000000001E-3</v>
      </c>
      <c r="AA39">
        <v>0.99999590000000005</v>
      </c>
      <c r="AB39">
        <v>11</v>
      </c>
      <c r="AC39">
        <v>16.7198999999999</v>
      </c>
      <c r="AD39">
        <v>-1.119328804684</v>
      </c>
      <c r="AE39">
        <v>0.49729999999999502</v>
      </c>
      <c r="AF39">
        <v>-3.4684219929508403E-2</v>
      </c>
      <c r="AG39">
        <v>-1.119328804684</v>
      </c>
      <c r="AH39">
        <v>16.6526903853857</v>
      </c>
      <c r="AI39">
        <v>93.845405956646999</v>
      </c>
      <c r="AJ39">
        <v>90.119335464604703</v>
      </c>
      <c r="AK39">
        <v>16.690302484964899</v>
      </c>
      <c r="AL39">
        <v>90.829912554813802</v>
      </c>
      <c r="AM39">
        <v>88.3137728749644</v>
      </c>
      <c r="AN39">
        <v>0.99999999362677205</v>
      </c>
    </row>
    <row r="40" spans="1:40" x14ac:dyDescent="0.25">
      <c r="A40" t="str">
        <f>"20190303154731835"</f>
        <v>20190303154731835</v>
      </c>
      <c r="B40" t="str">
        <f>"1551599251830528"</f>
        <v>1551599251830528</v>
      </c>
      <c r="C40" t="s">
        <v>40</v>
      </c>
      <c r="D40">
        <v>5.2929199999999996</v>
      </c>
      <c r="E40">
        <v>0.4884443</v>
      </c>
      <c r="F40" t="s">
        <v>41</v>
      </c>
      <c r="G40">
        <v>-456.38799999999998</v>
      </c>
      <c r="H40" s="1">
        <v>-1.8820520000000001E-6</v>
      </c>
      <c r="I40">
        <v>367.642</v>
      </c>
      <c r="J40">
        <v>-473.18680000000001</v>
      </c>
      <c r="K40">
        <v>1.1193169999999999</v>
      </c>
      <c r="L40">
        <v>367.13389999999998</v>
      </c>
      <c r="M40">
        <v>0.99958780000000003</v>
      </c>
      <c r="N40">
        <v>3.252436E-3</v>
      </c>
      <c r="O40">
        <v>2.8524440000000002E-2</v>
      </c>
      <c r="P40">
        <v>0.99992389999999998</v>
      </c>
      <c r="Q40">
        <v>-1.2336120000000001E-2</v>
      </c>
      <c r="R40">
        <v>-2.886357E-4</v>
      </c>
      <c r="S40">
        <v>2.9981080000000002</v>
      </c>
      <c r="T40">
        <v>-0.19849620000000001</v>
      </c>
      <c r="U40">
        <v>9.0820310000000001E-2</v>
      </c>
      <c r="V40">
        <v>2.8821119999999999E-2</v>
      </c>
      <c r="W40">
        <v>-1.556803E-2</v>
      </c>
      <c r="X40">
        <v>0.99946330000000005</v>
      </c>
      <c r="Y40">
        <v>-1.8196810000000001E-3</v>
      </c>
      <c r="Z40">
        <v>-1.9211020000000001E-3</v>
      </c>
      <c r="AA40">
        <v>0.99999649999999995</v>
      </c>
      <c r="AB40">
        <v>11</v>
      </c>
      <c r="AC40">
        <v>16.7987999999999</v>
      </c>
      <c r="AD40">
        <v>-1.1193188820519999</v>
      </c>
      <c r="AE40">
        <v>0.50810000000001299</v>
      </c>
      <c r="AF40">
        <v>-2.85875470964525E-2</v>
      </c>
      <c r="AG40">
        <v>-1.1193188820519999</v>
      </c>
      <c r="AH40">
        <v>16.732239958942301</v>
      </c>
      <c r="AI40">
        <v>93.827147203912602</v>
      </c>
      <c r="AJ40">
        <v>90.097891507981998</v>
      </c>
      <c r="AK40">
        <v>16.769661476940801</v>
      </c>
      <c r="AL40">
        <v>90.892018489720201</v>
      </c>
      <c r="AM40">
        <v>88.348242457016795</v>
      </c>
      <c r="AN40">
        <v>0.99999995428151101</v>
      </c>
    </row>
    <row r="41" spans="1:40" x14ac:dyDescent="0.25">
      <c r="A41" t="str">
        <f>"20190303154731857"</f>
        <v>20190303154731857</v>
      </c>
      <c r="B41" t="str">
        <f>"1551599251851025"</f>
        <v>1551599251851025</v>
      </c>
      <c r="C41" t="s">
        <v>40</v>
      </c>
      <c r="D41">
        <v>5.2814139999999998</v>
      </c>
      <c r="E41">
        <v>0.48868200000000001</v>
      </c>
      <c r="F41" t="s">
        <v>41</v>
      </c>
      <c r="G41">
        <v>-456.35219999999998</v>
      </c>
      <c r="H41" s="1">
        <v>-1.895198E-6</v>
      </c>
      <c r="I41">
        <v>367.65440000000001</v>
      </c>
      <c r="J41">
        <v>-473.06420000000003</v>
      </c>
      <c r="K41">
        <v>1.1193029999999999</v>
      </c>
      <c r="L41">
        <v>367.13839999999999</v>
      </c>
      <c r="M41">
        <v>0.9995598</v>
      </c>
      <c r="N41">
        <v>3.2692429999999998E-3</v>
      </c>
      <c r="O41">
        <v>2.9492379999999999E-2</v>
      </c>
      <c r="P41">
        <v>0.99991470000000005</v>
      </c>
      <c r="Q41">
        <v>-1.296861E-2</v>
      </c>
      <c r="R41">
        <v>1.6814569999999999E-3</v>
      </c>
      <c r="S41">
        <v>2.9978030000000002</v>
      </c>
      <c r="T41">
        <v>-0.19932140000000001</v>
      </c>
      <c r="U41">
        <v>9.27124E-2</v>
      </c>
      <c r="V41">
        <v>2.781985E-2</v>
      </c>
      <c r="W41">
        <v>-1.6217970000000002E-2</v>
      </c>
      <c r="X41">
        <v>0.99948139999999996</v>
      </c>
      <c r="Y41">
        <v>-1.488575E-3</v>
      </c>
      <c r="Z41">
        <v>-2.007179E-3</v>
      </c>
      <c r="AA41">
        <v>0.99999689999999997</v>
      </c>
      <c r="AB41">
        <v>12</v>
      </c>
      <c r="AC41">
        <v>16.712</v>
      </c>
      <c r="AD41">
        <v>-1.119304895198</v>
      </c>
      <c r="AE41">
        <v>0.516000000000019</v>
      </c>
      <c r="AF41">
        <v>-2.2794168659529102E-2</v>
      </c>
      <c r="AG41">
        <v>-1.119304895198</v>
      </c>
      <c r="AH41">
        <v>16.6453518256697</v>
      </c>
      <c r="AI41">
        <v>93.847019013076206</v>
      </c>
      <c r="AJ41">
        <v>90.0784608735825</v>
      </c>
      <c r="AK41">
        <v>16.6829583834182</v>
      </c>
      <c r="AL41">
        <v>90.929261955928894</v>
      </c>
      <c r="AM41">
        <v>88.405624612786994</v>
      </c>
      <c r="AN41">
        <v>1.00000001777545</v>
      </c>
    </row>
    <row r="42" spans="1:40" x14ac:dyDescent="0.25">
      <c r="A42" t="str">
        <f>"20190303154731879"</f>
        <v>20190303154731879</v>
      </c>
      <c r="B42" t="str">
        <f>"1551599251870544"</f>
        <v>1551599251870544</v>
      </c>
      <c r="C42" t="s">
        <v>40</v>
      </c>
      <c r="D42">
        <v>5.2028850000000002</v>
      </c>
      <c r="E42">
        <v>0.4888267</v>
      </c>
      <c r="F42" t="s">
        <v>41</v>
      </c>
      <c r="G42">
        <v>-456.22309999999999</v>
      </c>
      <c r="H42" s="1">
        <v>-1.9457510000000002E-6</v>
      </c>
      <c r="I42">
        <v>367.68169999999998</v>
      </c>
      <c r="J42">
        <v>-472.94670000000002</v>
      </c>
      <c r="K42">
        <v>1.1192899999999999</v>
      </c>
      <c r="L42">
        <v>367.1429</v>
      </c>
      <c r="M42">
        <v>0.9995328</v>
      </c>
      <c r="N42">
        <v>3.2843159999999998E-3</v>
      </c>
      <c r="O42">
        <v>3.038768E-2</v>
      </c>
      <c r="P42">
        <v>0.99991649999999999</v>
      </c>
      <c r="Q42">
        <v>-1.2499079999999999E-2</v>
      </c>
      <c r="R42">
        <v>3.3267769999999999E-3</v>
      </c>
      <c r="S42">
        <v>2.9974980000000002</v>
      </c>
      <c r="T42">
        <v>-0.19922090000000001</v>
      </c>
      <c r="U42">
        <v>9.6710210000000005E-2</v>
      </c>
      <c r="V42">
        <v>2.7070259999999999E-2</v>
      </c>
      <c r="W42">
        <v>-1.5764179999999999E-2</v>
      </c>
      <c r="X42">
        <v>0.99950919999999999</v>
      </c>
      <c r="Y42">
        <v>-1.929619E-3</v>
      </c>
      <c r="Z42">
        <v>-2.0552320000000002E-3</v>
      </c>
      <c r="AA42">
        <v>0.999996</v>
      </c>
      <c r="AB42">
        <v>12</v>
      </c>
      <c r="AC42">
        <v>16.723600000000001</v>
      </c>
      <c r="AD42">
        <v>-1.119291945751</v>
      </c>
      <c r="AE42">
        <v>0.53879999999997996</v>
      </c>
      <c r="AF42">
        <v>-3.0221793451889901E-2</v>
      </c>
      <c r="AG42">
        <v>-1.119291945751</v>
      </c>
      <c r="AH42">
        <v>16.657709288355001</v>
      </c>
      <c r="AI42">
        <v>93.844126620919297</v>
      </c>
      <c r="AJ42">
        <v>90.103950626357701</v>
      </c>
      <c r="AK42">
        <v>16.6952989356876</v>
      </c>
      <c r="AL42">
        <v>90.903258418411795</v>
      </c>
      <c r="AM42">
        <v>88.4486059927615</v>
      </c>
      <c r="AN42">
        <v>0.99999997461608903</v>
      </c>
    </row>
    <row r="43" spans="1:40" x14ac:dyDescent="0.25">
      <c r="A43" t="str">
        <f>"20190303154731902"</f>
        <v>20190303154731902</v>
      </c>
      <c r="B43" t="str">
        <f>"1551599251890064"</f>
        <v>1551599251890064</v>
      </c>
      <c r="C43" t="s">
        <v>40</v>
      </c>
      <c r="D43">
        <v>5.2974839999999999</v>
      </c>
      <c r="E43">
        <v>0.48898029999999998</v>
      </c>
      <c r="F43" t="s">
        <v>41</v>
      </c>
      <c r="G43">
        <v>-455.78050000000002</v>
      </c>
      <c r="H43" s="1">
        <v>-2.1293219999999999E-6</v>
      </c>
      <c r="I43">
        <v>367.7174</v>
      </c>
      <c r="J43">
        <v>-472.82150000000001</v>
      </c>
      <c r="K43">
        <v>1.119278</v>
      </c>
      <c r="L43">
        <v>367.14769999999999</v>
      </c>
      <c r="M43">
        <v>0.99950459999999997</v>
      </c>
      <c r="N43">
        <v>3.2994090000000001E-3</v>
      </c>
      <c r="O43">
        <v>3.1302469999999999E-2</v>
      </c>
      <c r="P43">
        <v>0.99991140000000001</v>
      </c>
      <c r="Q43">
        <v>-1.2511710000000001E-2</v>
      </c>
      <c r="R43">
        <v>4.5553809999999998E-3</v>
      </c>
      <c r="S43">
        <v>2.9974059999999998</v>
      </c>
      <c r="T43">
        <v>-0.1954389</v>
      </c>
      <c r="U43">
        <v>0.10034179999999999</v>
      </c>
      <c r="V43">
        <v>2.67569E-2</v>
      </c>
      <c r="W43">
        <v>-1.579235E-2</v>
      </c>
      <c r="X43">
        <v>0.99951719999999999</v>
      </c>
      <c r="Y43">
        <v>-2.2247259999999998E-3</v>
      </c>
      <c r="Z43">
        <v>-2.0721590000000001E-3</v>
      </c>
      <c r="AA43">
        <v>0.99999539999999998</v>
      </c>
      <c r="AB43">
        <v>12</v>
      </c>
      <c r="AC43">
        <v>17.040999999999901</v>
      </c>
      <c r="AD43">
        <v>-1.1192801293220001</v>
      </c>
      <c r="AE43">
        <v>0.56970000000001098</v>
      </c>
      <c r="AF43">
        <v>-3.5838136376622198E-2</v>
      </c>
      <c r="AG43">
        <v>-1.1192801293220001</v>
      </c>
      <c r="AH43">
        <v>16.977322577455801</v>
      </c>
      <c r="AI43">
        <v>93.771926514908998</v>
      </c>
      <c r="AJ43">
        <v>90.120947864460902</v>
      </c>
      <c r="AK43">
        <v>17.014216240511999</v>
      </c>
      <c r="AL43">
        <v>90.904872635227306</v>
      </c>
      <c r="AM43">
        <v>88.4665682672575</v>
      </c>
      <c r="AN43">
        <v>0.99999998155598602</v>
      </c>
    </row>
    <row r="44" spans="1:40" x14ac:dyDescent="0.25">
      <c r="A44" t="str">
        <f>"20190303154731924"</f>
        <v>20190303154731924</v>
      </c>
      <c r="B44" t="str">
        <f>"1551599251920321"</f>
        <v>1551599251920321</v>
      </c>
      <c r="C44" t="s">
        <v>40</v>
      </c>
      <c r="D44">
        <v>5.3546829999999996</v>
      </c>
      <c r="E44">
        <v>0.5024459</v>
      </c>
      <c r="F44" t="s">
        <v>41</v>
      </c>
      <c r="G44">
        <v>-455.56830000000002</v>
      </c>
      <c r="H44" s="1">
        <v>-2.2164749999999998E-6</v>
      </c>
      <c r="I44">
        <v>367.73930000000001</v>
      </c>
      <c r="J44">
        <v>-472.69639999999998</v>
      </c>
      <c r="K44">
        <v>1.119273</v>
      </c>
      <c r="L44">
        <v>367.15260000000001</v>
      </c>
      <c r="M44">
        <v>0.99947680000000005</v>
      </c>
      <c r="N44">
        <v>3.3139860000000001E-3</v>
      </c>
      <c r="O44">
        <v>3.2175559999999999E-2</v>
      </c>
      <c r="P44">
        <v>0.99990829999999997</v>
      </c>
      <c r="Q44">
        <v>-1.250306E-2</v>
      </c>
      <c r="R44">
        <v>5.2480340000000004E-3</v>
      </c>
      <c r="S44">
        <v>2.9973749999999999</v>
      </c>
      <c r="T44">
        <v>-0.19444929999999999</v>
      </c>
      <c r="U44">
        <v>0.10278320000000001</v>
      </c>
      <c r="V44">
        <v>2.6937200000000001E-2</v>
      </c>
      <c r="W44">
        <v>-1.5798489999999998E-2</v>
      </c>
      <c r="X44">
        <v>0.99951230000000002</v>
      </c>
      <c r="Y44">
        <v>-2.1666340000000002E-3</v>
      </c>
      <c r="Z44">
        <v>-2.1238920000000001E-3</v>
      </c>
      <c r="AA44">
        <v>0.99999539999999998</v>
      </c>
      <c r="AB44">
        <v>13</v>
      </c>
      <c r="AC44">
        <v>17.1280999999999</v>
      </c>
      <c r="AD44">
        <v>-1.1192752164749999</v>
      </c>
      <c r="AE44">
        <v>0.58670000000000699</v>
      </c>
      <c r="AF44">
        <v>-3.5137151624405699E-2</v>
      </c>
      <c r="AG44">
        <v>-1.1192752164749999</v>
      </c>
      <c r="AH44">
        <v>17.065320901204601</v>
      </c>
      <c r="AI44">
        <v>93.752516053295494</v>
      </c>
      <c r="AJ44">
        <v>90.117970687977007</v>
      </c>
      <c r="AK44">
        <v>17.1020229531693</v>
      </c>
      <c r="AL44">
        <v>90.905224439106306</v>
      </c>
      <c r="AM44">
        <v>88.456232735069193</v>
      </c>
      <c r="AN44">
        <v>1.0000000214407001</v>
      </c>
    </row>
    <row r="45" spans="1:40" x14ac:dyDescent="0.25">
      <c r="A45" t="str">
        <f>"20190303154731947"</f>
        <v>20190303154731947</v>
      </c>
      <c r="B45" t="str">
        <f>"1551599251940819"</f>
        <v>1551599251940819</v>
      </c>
      <c r="C45" t="s">
        <v>40</v>
      </c>
      <c r="D45">
        <v>5.3264239999999896</v>
      </c>
      <c r="E45">
        <v>0.50492749999999997</v>
      </c>
      <c r="F45" t="s">
        <v>41</v>
      </c>
      <c r="G45">
        <v>-451.48340000000002</v>
      </c>
      <c r="H45" s="1">
        <v>-4.0767140000000003E-6</v>
      </c>
      <c r="I45">
        <v>367.13130000000001</v>
      </c>
      <c r="J45">
        <v>-472.55709999999999</v>
      </c>
      <c r="K45">
        <v>1.1192580000000001</v>
      </c>
      <c r="L45">
        <v>367.15809999999999</v>
      </c>
      <c r="M45">
        <v>0.99944659999999996</v>
      </c>
      <c r="N45">
        <v>3.3322170000000002E-3</v>
      </c>
      <c r="O45">
        <v>3.3099419999999997E-2</v>
      </c>
      <c r="P45">
        <v>0.99990400000000002</v>
      </c>
      <c r="Q45">
        <v>-1.2650089999999999E-2</v>
      </c>
      <c r="R45">
        <v>5.6884419999999897E-3</v>
      </c>
      <c r="S45">
        <v>2.998291</v>
      </c>
      <c r="T45">
        <v>-0.1582006</v>
      </c>
      <c r="U45">
        <v>-2.9907229999999998E-3</v>
      </c>
      <c r="V45">
        <v>2.742091E-2</v>
      </c>
      <c r="W45">
        <v>-1.59638E-2</v>
      </c>
      <c r="X45">
        <v>0.99949650000000001</v>
      </c>
      <c r="Y45">
        <v>3.4000179999999998E-2</v>
      </c>
      <c r="Z45">
        <v>-2.6949029999999998E-3</v>
      </c>
      <c r="AA45">
        <v>0.99941820000000003</v>
      </c>
      <c r="AB45">
        <v>13</v>
      </c>
      <c r="AC45">
        <v>21.073699999999899</v>
      </c>
      <c r="AD45">
        <v>-1.119262076714</v>
      </c>
      <c r="AE45">
        <v>-2.67999999999801E-2</v>
      </c>
      <c r="AF45">
        <v>0.72227892510135105</v>
      </c>
      <c r="AG45">
        <v>-1.119262076714</v>
      </c>
      <c r="AH45">
        <v>21.002022036672699</v>
      </c>
      <c r="AI45">
        <v>93.048782699881201</v>
      </c>
      <c r="AJ45">
        <v>88.030321543517204</v>
      </c>
      <c r="AK45">
        <v>21.044224007335099</v>
      </c>
      <c r="AL45">
        <v>90.914697217232302</v>
      </c>
      <c r="AM45">
        <v>88.428500329363402</v>
      </c>
      <c r="AN45">
        <v>1.0000000013639501</v>
      </c>
    </row>
    <row r="46" spans="1:40" x14ac:dyDescent="0.25">
      <c r="A46" t="str">
        <f>"20190303154731971"</f>
        <v>20190303154731971</v>
      </c>
      <c r="B46" t="str">
        <f>"1551599251960339"</f>
        <v>1551599251960339</v>
      </c>
      <c r="C46" t="s">
        <v>40</v>
      </c>
      <c r="D46">
        <v>5.333412</v>
      </c>
      <c r="E46">
        <v>0.50576189999999999</v>
      </c>
      <c r="F46" t="s">
        <v>41</v>
      </c>
      <c r="G46">
        <v>-451.26080000000002</v>
      </c>
      <c r="H46" s="1">
        <v>-4.1944650000000003E-6</v>
      </c>
      <c r="I46">
        <v>367.00580000000002</v>
      </c>
      <c r="J46">
        <v>-472.42079999999999</v>
      </c>
      <c r="K46">
        <v>1.11924</v>
      </c>
      <c r="L46">
        <v>367.1635</v>
      </c>
      <c r="M46">
        <v>0.99941780000000002</v>
      </c>
      <c r="N46">
        <v>3.3633560000000001E-3</v>
      </c>
      <c r="O46">
        <v>3.3956800000000002E-2</v>
      </c>
      <c r="P46">
        <v>0.99989550000000005</v>
      </c>
      <c r="Q46">
        <v>-1.30457E-2</v>
      </c>
      <c r="R46">
        <v>6.2488309999999998E-3</v>
      </c>
      <c r="S46">
        <v>2.9984130000000002</v>
      </c>
      <c r="T46">
        <v>-0.15758559999999999</v>
      </c>
      <c r="U46">
        <v>-2.1423339999999999E-2</v>
      </c>
      <c r="V46">
        <v>2.7718010000000001E-2</v>
      </c>
      <c r="W46">
        <v>-1.6390849999999998E-2</v>
      </c>
      <c r="X46">
        <v>0.99948139999999996</v>
      </c>
      <c r="Y46">
        <v>4.0990720000000001E-2</v>
      </c>
      <c r="Z46">
        <v>-2.9047510000000001E-3</v>
      </c>
      <c r="AA46">
        <v>0.99915529999999997</v>
      </c>
      <c r="AB46">
        <v>13</v>
      </c>
      <c r="AC46">
        <v>21.159999999999901</v>
      </c>
      <c r="AD46">
        <v>-1.119244194465</v>
      </c>
      <c r="AE46">
        <v>-0.157699999999977</v>
      </c>
      <c r="AF46">
        <v>0.87369459583491704</v>
      </c>
      <c r="AG46">
        <v>-1.119244194465</v>
      </c>
      <c r="AH46">
        <v>21.083457656658901</v>
      </c>
      <c r="AI46">
        <v>93.0361714550762</v>
      </c>
      <c r="AJ46">
        <v>87.627031178856797</v>
      </c>
      <c r="AK46">
        <v>21.131214744395599</v>
      </c>
      <c r="AL46">
        <v>90.939168575688399</v>
      </c>
      <c r="AM46">
        <v>88.411458139589399</v>
      </c>
      <c r="AN46">
        <v>1.0000000084940199</v>
      </c>
    </row>
    <row r="47" spans="1:40" x14ac:dyDescent="0.25">
      <c r="A47" t="str">
        <f>"20190303154731992"</f>
        <v>20190303154731992</v>
      </c>
      <c r="B47" t="str">
        <f>"1551599251980835"</f>
        <v>1551599251980835</v>
      </c>
      <c r="C47" t="s">
        <v>40</v>
      </c>
      <c r="D47">
        <v>5.337313</v>
      </c>
      <c r="E47">
        <v>0.50693489999999997</v>
      </c>
      <c r="F47" t="s">
        <v>41</v>
      </c>
      <c r="G47">
        <v>-451.91269999999997</v>
      </c>
      <c r="H47" s="1">
        <v>-3.9189510000000002E-6</v>
      </c>
      <c r="I47">
        <v>366.98250000000002</v>
      </c>
      <c r="J47">
        <v>-472.28719999999998</v>
      </c>
      <c r="K47">
        <v>1.1192120000000001</v>
      </c>
      <c r="L47">
        <v>367.16890000000001</v>
      </c>
      <c r="M47">
        <v>0.99939040000000001</v>
      </c>
      <c r="N47">
        <v>3.4152990000000001E-3</v>
      </c>
      <c r="O47">
        <v>3.4748769999999998E-2</v>
      </c>
      <c r="P47">
        <v>0.999884</v>
      </c>
      <c r="Q47">
        <v>-1.3526949999999999E-2</v>
      </c>
      <c r="R47">
        <v>7.0408569999999898E-3</v>
      </c>
      <c r="S47">
        <v>2.9983520000000001</v>
      </c>
      <c r="T47">
        <v>-0.16363620000000001</v>
      </c>
      <c r="U47">
        <v>-2.6458740000000001E-2</v>
      </c>
      <c r="V47">
        <v>2.7717970000000001E-2</v>
      </c>
      <c r="W47">
        <v>-1.6924709999999999E-2</v>
      </c>
      <c r="X47">
        <v>0.99947249999999999</v>
      </c>
      <c r="Y47">
        <v>4.3447409999999999E-2</v>
      </c>
      <c r="Z47">
        <v>-3.12379E-3</v>
      </c>
      <c r="AA47">
        <v>0.99905089999999996</v>
      </c>
      <c r="AB47">
        <v>13</v>
      </c>
      <c r="AC47">
        <v>20.374500000000001</v>
      </c>
      <c r="AD47">
        <v>-1.119215918951</v>
      </c>
      <c r="AE47">
        <v>-0.18639999999999099</v>
      </c>
      <c r="AF47">
        <v>0.89159007208332997</v>
      </c>
      <c r="AG47">
        <v>-1.119215918951</v>
      </c>
      <c r="AH47">
        <v>20.2944836629623</v>
      </c>
      <c r="AI47">
        <v>93.153558829077497</v>
      </c>
      <c r="AJ47">
        <v>87.484463192984194</v>
      </c>
      <c r="AK47">
        <v>20.344867762561499</v>
      </c>
      <c r="AL47">
        <v>90.969760748744804</v>
      </c>
      <c r="AM47">
        <v>88.411446292631695</v>
      </c>
      <c r="AN47">
        <v>1.0000000049628699</v>
      </c>
    </row>
    <row r="48" spans="1:40" x14ac:dyDescent="0.25">
      <c r="A48" t="str">
        <f>"20190303154732014"</f>
        <v>20190303154732014</v>
      </c>
      <c r="B48" t="str">
        <f>"1551599252010115"</f>
        <v>1551599252010115</v>
      </c>
      <c r="C48" t="s">
        <v>40</v>
      </c>
      <c r="D48">
        <v>5.2660650000000002</v>
      </c>
      <c r="E48">
        <v>0.50769839999999999</v>
      </c>
      <c r="F48" t="s">
        <v>41</v>
      </c>
      <c r="G48">
        <v>-451.71949999999998</v>
      </c>
      <c r="H48" s="1">
        <v>-4.0097489999999998E-6</v>
      </c>
      <c r="I48">
        <v>366.93770000000001</v>
      </c>
      <c r="J48">
        <v>-472.14690000000002</v>
      </c>
      <c r="K48">
        <v>1.119175</v>
      </c>
      <c r="L48">
        <v>367.17469999999997</v>
      </c>
      <c r="M48">
        <v>0.9993628</v>
      </c>
      <c r="N48">
        <v>3.4977490000000001E-3</v>
      </c>
      <c r="O48">
        <v>3.5523829999999999E-2</v>
      </c>
      <c r="P48">
        <v>0.99987409999999999</v>
      </c>
      <c r="Q48">
        <v>-1.3620749999999999E-2</v>
      </c>
      <c r="R48">
        <v>8.1508889999999997E-3</v>
      </c>
      <c r="S48">
        <v>2.998383</v>
      </c>
      <c r="T48">
        <v>-0.16316029999999901</v>
      </c>
      <c r="U48">
        <v>-3.3691409999999998E-2</v>
      </c>
      <c r="V48">
        <v>2.7383029999999999E-2</v>
      </c>
      <c r="W48">
        <v>-1.7102099999999999E-2</v>
      </c>
      <c r="X48">
        <v>0.99947870000000005</v>
      </c>
      <c r="Y48">
        <v>4.6626479999999998E-2</v>
      </c>
      <c r="Z48">
        <v>-3.2415719999999999E-3</v>
      </c>
      <c r="AA48">
        <v>0.99890710000000005</v>
      </c>
      <c r="AB48">
        <v>14</v>
      </c>
      <c r="AC48">
        <v>20.427399999999999</v>
      </c>
      <c r="AD48">
        <v>-1.119179009749</v>
      </c>
      <c r="AE48">
        <v>-0.23699999999996599</v>
      </c>
      <c r="AF48">
        <v>0.95963408506513004</v>
      </c>
      <c r="AG48">
        <v>-1.119179009749</v>
      </c>
      <c r="AH48">
        <v>20.345025239079298</v>
      </c>
      <c r="AI48">
        <v>93.145175254075298</v>
      </c>
      <c r="AJ48">
        <v>87.299474397052904</v>
      </c>
      <c r="AK48">
        <v>20.398370307744099</v>
      </c>
      <c r="AL48">
        <v>90.979925931074305</v>
      </c>
      <c r="AM48">
        <v>88.430642221260499</v>
      </c>
      <c r="AN48">
        <v>0.99999999195503997</v>
      </c>
    </row>
    <row r="49" spans="1:40" x14ac:dyDescent="0.25">
      <c r="A49" t="str">
        <f>"20190303154732035"</f>
        <v>20190303154732035</v>
      </c>
      <c r="B49" t="str">
        <f>"1551599252030611"</f>
        <v>1551599252030611</v>
      </c>
      <c r="C49" t="s">
        <v>40</v>
      </c>
      <c r="D49">
        <v>5.3157420000000002</v>
      </c>
      <c r="E49">
        <v>0.50800219999999996</v>
      </c>
      <c r="F49" t="s">
        <v>41</v>
      </c>
      <c r="G49">
        <v>-451.76350000000002</v>
      </c>
      <c r="H49" s="1">
        <v>-3.9926069999999997E-6</v>
      </c>
      <c r="I49">
        <v>366.92809999999997</v>
      </c>
      <c r="J49">
        <v>-472.00959999999998</v>
      </c>
      <c r="K49">
        <v>1.1191230000000001</v>
      </c>
      <c r="L49">
        <v>367.18029999999999</v>
      </c>
      <c r="M49">
        <v>0.99933760000000005</v>
      </c>
      <c r="N49">
        <v>3.6046720000000002E-3</v>
      </c>
      <c r="O49">
        <v>3.6215829999999997E-2</v>
      </c>
      <c r="P49">
        <v>0.99986640000000004</v>
      </c>
      <c r="Q49">
        <v>-1.351831E-2</v>
      </c>
      <c r="R49">
        <v>9.2001400000000007E-3</v>
      </c>
      <c r="S49">
        <v>2.9984440000000001</v>
      </c>
      <c r="T49">
        <v>-0.1646328</v>
      </c>
      <c r="U49">
        <v>-3.6254880000000003E-2</v>
      </c>
      <c r="V49">
        <v>2.7025440000000001E-2</v>
      </c>
      <c r="W49">
        <v>-1.7108000000000002E-2</v>
      </c>
      <c r="X49">
        <v>0.99948840000000005</v>
      </c>
      <c r="Y49">
        <v>4.8166130000000001E-2</v>
      </c>
      <c r="Z49">
        <v>-3.351522E-3</v>
      </c>
      <c r="AA49">
        <v>0.99883370000000005</v>
      </c>
      <c r="AB49">
        <v>14</v>
      </c>
      <c r="AC49">
        <v>20.246099999999899</v>
      </c>
      <c r="AD49">
        <v>-1.11912699260699</v>
      </c>
      <c r="AE49">
        <v>-0.25220000000001602</v>
      </c>
      <c r="AF49">
        <v>0.98226774194800104</v>
      </c>
      <c r="AG49">
        <v>-1.11912699260699</v>
      </c>
      <c r="AH49">
        <v>20.162089715489699</v>
      </c>
      <c r="AI49">
        <v>93.173272031844107</v>
      </c>
      <c r="AJ49">
        <v>87.210838091653201</v>
      </c>
      <c r="AK49">
        <v>20.217001677744101</v>
      </c>
      <c r="AL49">
        <v>90.9802639590268</v>
      </c>
      <c r="AM49">
        <v>88.451141154103894</v>
      </c>
      <c r="AN49">
        <v>1.00000005990287</v>
      </c>
    </row>
    <row r="50" spans="1:40" x14ac:dyDescent="0.25">
      <c r="A50" t="str">
        <f>"20190303154732058"</f>
        <v>20190303154732058</v>
      </c>
      <c r="B50" t="str">
        <f>"1551599252050612"</f>
        <v>1551599252050612</v>
      </c>
      <c r="C50" t="s">
        <v>40</v>
      </c>
      <c r="D50">
        <v>5.2855679999999996</v>
      </c>
      <c r="E50">
        <v>0.50832619999999995</v>
      </c>
      <c r="F50" t="s">
        <v>41</v>
      </c>
      <c r="G50">
        <v>-451.82740000000001</v>
      </c>
      <c r="H50" s="1">
        <v>-3.9630190000000003E-6</v>
      </c>
      <c r="I50">
        <v>366.94029999999998</v>
      </c>
      <c r="J50">
        <v>-471.86189999999999</v>
      </c>
      <c r="K50">
        <v>1.1190610000000001</v>
      </c>
      <c r="L50">
        <v>367.18639999999999</v>
      </c>
      <c r="M50">
        <v>0.99931340000000002</v>
      </c>
      <c r="N50">
        <v>3.7309230000000001E-3</v>
      </c>
      <c r="O50">
        <v>3.6867339999999998E-2</v>
      </c>
      <c r="P50">
        <v>0.99983829999999996</v>
      </c>
      <c r="Q50">
        <v>-1.491633E-2</v>
      </c>
      <c r="R50">
        <v>1.005842E-2</v>
      </c>
      <c r="S50">
        <v>2.9984440000000001</v>
      </c>
      <c r="T50">
        <v>-0.1662662</v>
      </c>
      <c r="U50">
        <v>-3.5644530000000001E-2</v>
      </c>
      <c r="V50">
        <v>2.6818000000000002E-2</v>
      </c>
      <c r="W50">
        <v>-1.8633960000000001E-2</v>
      </c>
      <c r="X50">
        <v>0.99946670000000004</v>
      </c>
      <c r="Y50">
        <v>4.8609630000000001E-2</v>
      </c>
      <c r="Z50">
        <v>-3.4357889999999999E-3</v>
      </c>
      <c r="AA50">
        <v>0.99881200000000003</v>
      </c>
      <c r="AB50">
        <v>14</v>
      </c>
      <c r="AC50">
        <v>20.034499999999898</v>
      </c>
      <c r="AD50">
        <v>-1.1190649630189999</v>
      </c>
      <c r="AE50">
        <v>-0.246100000000012</v>
      </c>
      <c r="AF50">
        <v>0.98149461638689794</v>
      </c>
      <c r="AG50">
        <v>-1.1190649630189999</v>
      </c>
      <c r="AH50">
        <v>19.949573484905599</v>
      </c>
      <c r="AI50">
        <v>93.206753222123595</v>
      </c>
      <c r="AJ50">
        <v>87.183388812059604</v>
      </c>
      <c r="AK50">
        <v>20.0050273757148</v>
      </c>
      <c r="AL50">
        <v>91.067708997947804</v>
      </c>
      <c r="AM50">
        <v>88.462990698803097</v>
      </c>
      <c r="AN50">
        <v>1.0000000569990799</v>
      </c>
    </row>
    <row r="51" spans="1:40" x14ac:dyDescent="0.25">
      <c r="A51" t="str">
        <f>"20190303154732080"</f>
        <v>20190303154732080</v>
      </c>
      <c r="B51" t="str">
        <f>"1551599252070132"</f>
        <v>1551599252070132</v>
      </c>
      <c r="C51" t="s">
        <v>40</v>
      </c>
      <c r="D51">
        <v>5.2305710000000003</v>
      </c>
      <c r="E51">
        <v>0.50911890000000004</v>
      </c>
      <c r="F51" t="s">
        <v>41</v>
      </c>
      <c r="G51">
        <v>-452.36160000000001</v>
      </c>
      <c r="H51" s="1">
        <v>-3.731202E-6</v>
      </c>
      <c r="I51">
        <v>366.95510000000002</v>
      </c>
      <c r="J51">
        <v>-471.71379999999999</v>
      </c>
      <c r="K51">
        <v>1.1190009999999999</v>
      </c>
      <c r="L51">
        <v>367.19260000000003</v>
      </c>
      <c r="M51">
        <v>0.9992934</v>
      </c>
      <c r="N51">
        <v>3.829669E-3</v>
      </c>
      <c r="O51">
        <v>3.7390329999999999E-2</v>
      </c>
      <c r="P51">
        <v>0.99980840000000004</v>
      </c>
      <c r="Q51">
        <v>-1.644849E-2</v>
      </c>
      <c r="R51">
        <v>1.0622080000000001E-2</v>
      </c>
      <c r="S51">
        <v>2.9982600000000001</v>
      </c>
      <c r="T51">
        <v>-0.17206080000000001</v>
      </c>
      <c r="U51">
        <v>-3.5552979999999998E-2</v>
      </c>
      <c r="V51">
        <v>2.677564E-2</v>
      </c>
      <c r="W51">
        <v>-2.0266920000000001E-2</v>
      </c>
      <c r="X51">
        <v>0.99943599999999999</v>
      </c>
      <c r="Y51">
        <v>4.9091370000000002E-2</v>
      </c>
      <c r="Z51">
        <v>-3.6000139999999999E-3</v>
      </c>
      <c r="AA51">
        <v>0.9987878</v>
      </c>
      <c r="AB51">
        <v>14</v>
      </c>
      <c r="AC51">
        <v>19.3521999999999</v>
      </c>
      <c r="AD51">
        <v>-1.1190047312019999</v>
      </c>
      <c r="AE51">
        <v>-0.23750000000001101</v>
      </c>
      <c r="AF51">
        <v>0.95772269511044905</v>
      </c>
      <c r="AG51">
        <v>-1.1190047312019999</v>
      </c>
      <c r="AH51">
        <v>19.265382879099398</v>
      </c>
      <c r="AI51">
        <v>93.320125159081201</v>
      </c>
      <c r="AJ51">
        <v>87.1540491660013</v>
      </c>
      <c r="AK51">
        <v>19.321604017976298</v>
      </c>
      <c r="AL51">
        <v>91.161288487875794</v>
      </c>
      <c r="AM51">
        <v>88.465370182997603</v>
      </c>
      <c r="AN51">
        <v>1.0000000005198399</v>
      </c>
    </row>
    <row r="52" spans="1:40" x14ac:dyDescent="0.25">
      <c r="A52" t="str">
        <f>"20190303154732104"</f>
        <v>20190303154732104</v>
      </c>
      <c r="B52" t="str">
        <f>"1551599252100388"</f>
        <v>1551599252100388</v>
      </c>
      <c r="C52" t="s">
        <v>40</v>
      </c>
      <c r="D52">
        <v>5.309571</v>
      </c>
      <c r="E52">
        <v>0.50995849999999998</v>
      </c>
      <c r="F52" t="s">
        <v>41</v>
      </c>
      <c r="G52">
        <v>-452.4024</v>
      </c>
      <c r="H52" s="1">
        <v>-3.7173310000000002E-6</v>
      </c>
      <c r="I52">
        <v>366.93459999999999</v>
      </c>
      <c r="J52">
        <v>-471.5591</v>
      </c>
      <c r="K52">
        <v>1.1189579999999999</v>
      </c>
      <c r="L52">
        <v>367.19909999999999</v>
      </c>
      <c r="M52">
        <v>0.9992799</v>
      </c>
      <c r="N52">
        <v>3.8432340000000001E-3</v>
      </c>
      <c r="O52">
        <v>3.7749739999999997E-2</v>
      </c>
      <c r="P52">
        <v>0.99977389999999999</v>
      </c>
      <c r="Q52">
        <v>-1.8261759999999998E-2</v>
      </c>
      <c r="R52">
        <v>1.091716E-2</v>
      </c>
      <c r="S52">
        <v>2.998138</v>
      </c>
      <c r="T52">
        <v>-0.17372789999999999</v>
      </c>
      <c r="U52">
        <v>-4.0039060000000001E-2</v>
      </c>
      <c r="V52">
        <v>2.6837369999999999E-2</v>
      </c>
      <c r="W52">
        <v>-2.2096310000000001E-2</v>
      </c>
      <c r="X52">
        <v>0.99939549999999999</v>
      </c>
      <c r="Y52">
        <v>5.0938850000000001E-2</v>
      </c>
      <c r="Z52">
        <v>-3.7067609999999998E-3</v>
      </c>
      <c r="AA52">
        <v>0.99869490000000005</v>
      </c>
      <c r="AB52">
        <v>15</v>
      </c>
      <c r="AC52">
        <v>19.156700000000001</v>
      </c>
      <c r="AD52">
        <v>-1.11896171733099</v>
      </c>
      <c r="AE52">
        <v>-0.26449999999999801</v>
      </c>
      <c r="AF52">
        <v>0.98412018172136695</v>
      </c>
      <c r="AG52">
        <v>-1.11896171733099</v>
      </c>
      <c r="AH52">
        <v>19.068015815474599</v>
      </c>
      <c r="AI52">
        <v>93.353962898842596</v>
      </c>
      <c r="AJ52">
        <v>87.045526483226197</v>
      </c>
      <c r="AK52">
        <v>19.126154736279702</v>
      </c>
      <c r="AL52">
        <v>91.2661284413049</v>
      </c>
      <c r="AM52">
        <v>88.461771559176597</v>
      </c>
      <c r="AN52">
        <v>0.99999992838218899</v>
      </c>
    </row>
    <row r="53" spans="1:40" x14ac:dyDescent="0.25">
      <c r="A53" t="str">
        <f>"20190303154732125"</f>
        <v>20190303154732125</v>
      </c>
      <c r="B53" t="str">
        <f>"1551599252120884"</f>
        <v>1551599252120884</v>
      </c>
      <c r="C53" t="s">
        <v>40</v>
      </c>
      <c r="D53">
        <v>5.271166</v>
      </c>
      <c r="E53">
        <v>0.51002760000000003</v>
      </c>
      <c r="F53" t="s">
        <v>41</v>
      </c>
      <c r="G53">
        <v>-452.5625</v>
      </c>
      <c r="H53" s="1">
        <v>-3.6533650000000001E-6</v>
      </c>
      <c r="I53">
        <v>366.90809999999999</v>
      </c>
      <c r="J53">
        <v>-471.40879999999999</v>
      </c>
      <c r="K53">
        <v>1.1189309999999999</v>
      </c>
      <c r="L53">
        <v>367.20530000000002</v>
      </c>
      <c r="M53">
        <v>0.99927089999999996</v>
      </c>
      <c r="N53">
        <v>3.7827450000000001E-3</v>
      </c>
      <c r="O53">
        <v>3.7992850000000002E-2</v>
      </c>
      <c r="P53">
        <v>0.99973299999999998</v>
      </c>
      <c r="Q53">
        <v>-2.0518970000000001E-2</v>
      </c>
      <c r="R53">
        <v>1.0613320000000001E-2</v>
      </c>
      <c r="S53">
        <v>2.9979550000000001</v>
      </c>
      <c r="T53">
        <v>-0.17658869999999999</v>
      </c>
      <c r="U53">
        <v>-4.5898439999999999E-2</v>
      </c>
      <c r="V53">
        <v>2.7380740000000001E-2</v>
      </c>
      <c r="W53">
        <v>-2.4295589999999999E-2</v>
      </c>
      <c r="X53">
        <v>0.99932980000000005</v>
      </c>
      <c r="Y53">
        <v>5.3125039999999998E-2</v>
      </c>
      <c r="Z53">
        <v>-3.8417759999999999E-3</v>
      </c>
      <c r="AA53">
        <v>0.99858049999999998</v>
      </c>
      <c r="AB53">
        <v>15</v>
      </c>
      <c r="AC53">
        <v>18.8462999999999</v>
      </c>
      <c r="AD53">
        <v>-1.118934653365</v>
      </c>
      <c r="AE53">
        <v>-0.29720000000003199</v>
      </c>
      <c r="AF53">
        <v>1.0094577203817601</v>
      </c>
      <c r="AG53">
        <v>-1.118934653365</v>
      </c>
      <c r="AH53">
        <v>18.755305700175299</v>
      </c>
      <c r="AI53">
        <v>93.409275457910297</v>
      </c>
      <c r="AJ53">
        <v>86.919169673757906</v>
      </c>
      <c r="AK53">
        <v>18.8157516872106</v>
      </c>
      <c r="AL53">
        <v>91.392171730814198</v>
      </c>
      <c r="AM53">
        <v>88.430539700964303</v>
      </c>
      <c r="AN53">
        <v>1.0000000148922099</v>
      </c>
    </row>
    <row r="54" spans="1:40" x14ac:dyDescent="0.25">
      <c r="A54" t="str">
        <f>"20190303154732159"</f>
        <v>20190303154732159</v>
      </c>
      <c r="B54" t="str">
        <f>"1551599252150164"</f>
        <v>1551599252150164</v>
      </c>
      <c r="C54" t="s">
        <v>40</v>
      </c>
      <c r="D54">
        <v>5.259944</v>
      </c>
      <c r="E54">
        <v>0.51009349999999998</v>
      </c>
      <c r="F54" t="s">
        <v>41</v>
      </c>
      <c r="G54">
        <v>-453.20890000000003</v>
      </c>
      <c r="H54" s="1">
        <v>-3.3742889999999999E-6</v>
      </c>
      <c r="I54">
        <v>366.91820000000001</v>
      </c>
      <c r="J54">
        <v>-471.16520000000003</v>
      </c>
      <c r="K54">
        <v>1.118927</v>
      </c>
      <c r="L54">
        <v>367.21519999999998</v>
      </c>
      <c r="M54">
        <v>0.99925649999999999</v>
      </c>
      <c r="N54">
        <v>3.5605929999999999E-3</v>
      </c>
      <c r="O54">
        <v>3.8389970000000002E-2</v>
      </c>
      <c r="P54">
        <v>0.99970490000000001</v>
      </c>
      <c r="Q54">
        <v>-2.2158400000000002E-2</v>
      </c>
      <c r="R54">
        <v>9.9468890000000004E-3</v>
      </c>
      <c r="S54">
        <v>2.9974980000000002</v>
      </c>
      <c r="T54">
        <v>-0.18428620000000001</v>
      </c>
      <c r="U54">
        <v>-4.7271729999999998E-2</v>
      </c>
      <c r="V54">
        <v>2.844271E-2</v>
      </c>
      <c r="W54">
        <v>-2.571288E-2</v>
      </c>
      <c r="X54">
        <v>0.99926470000000001</v>
      </c>
      <c r="Y54">
        <v>5.3965199999999901E-2</v>
      </c>
      <c r="Z54">
        <v>-4.0552069999999999E-3</v>
      </c>
      <c r="AA54">
        <v>0.99853460000000005</v>
      </c>
      <c r="AB54">
        <v>15</v>
      </c>
      <c r="AC54">
        <v>17.956299999999999</v>
      </c>
      <c r="AD54">
        <v>-1.118930374289</v>
      </c>
      <c r="AE54">
        <v>-0.29699999999996801</v>
      </c>
      <c r="AF54">
        <v>0.98231391386516698</v>
      </c>
      <c r="AG54">
        <v>-1.118930374289</v>
      </c>
      <c r="AH54">
        <v>17.862319932826502</v>
      </c>
      <c r="AI54">
        <v>93.579041351803994</v>
      </c>
      <c r="AJ54">
        <v>86.852267452447094</v>
      </c>
      <c r="AK54">
        <v>17.924269000172099</v>
      </c>
      <c r="AL54">
        <v>91.473401831297096</v>
      </c>
      <c r="AM54">
        <v>88.369593809462501</v>
      </c>
      <c r="AN54">
        <v>1.00000004030806</v>
      </c>
    </row>
    <row r="55" spans="1:40" x14ac:dyDescent="0.25">
      <c r="A55" t="str">
        <f>"20190303154732183"</f>
        <v>20190303154732183</v>
      </c>
      <c r="B55" t="str">
        <f>"1551599252180420"</f>
        <v>1551599252180420</v>
      </c>
      <c r="C55" t="s">
        <v>40</v>
      </c>
      <c r="D55">
        <v>5.1984870000000001</v>
      </c>
      <c r="E55">
        <v>0.51036459999999995</v>
      </c>
      <c r="F55" t="s">
        <v>41</v>
      </c>
      <c r="G55">
        <v>-453.30130000000003</v>
      </c>
      <c r="H55" s="1">
        <v>-3.3344350000000001E-6</v>
      </c>
      <c r="I55">
        <v>366.9194</v>
      </c>
      <c r="J55">
        <v>-470.99779999999998</v>
      </c>
      <c r="K55">
        <v>1.119011</v>
      </c>
      <c r="L55">
        <v>367.22190000000001</v>
      </c>
      <c r="M55">
        <v>0.99925520000000001</v>
      </c>
      <c r="N55">
        <v>3.2815449999999999E-3</v>
      </c>
      <c r="O55">
        <v>3.8448400000000001E-2</v>
      </c>
      <c r="P55">
        <v>0.99966960000000005</v>
      </c>
      <c r="Q55">
        <v>-2.3855500000000002E-2</v>
      </c>
      <c r="R55">
        <v>9.5690919999999995E-3</v>
      </c>
      <c r="S55">
        <v>2.9971920000000001</v>
      </c>
      <c r="T55">
        <v>-0.18773200000000001</v>
      </c>
      <c r="U55">
        <v>-4.9621579999999998E-2</v>
      </c>
      <c r="V55">
        <v>2.8884110000000001E-2</v>
      </c>
      <c r="W55">
        <v>-2.7123649999999999E-2</v>
      </c>
      <c r="X55">
        <v>0.99921470000000001</v>
      </c>
      <c r="Y55">
        <v>5.4799699999999903E-2</v>
      </c>
      <c r="Z55">
        <v>-4.1559359999999998E-3</v>
      </c>
      <c r="AA55">
        <v>0.99848870000000001</v>
      </c>
      <c r="AB55">
        <v>16</v>
      </c>
      <c r="AC55">
        <v>17.696499999999901</v>
      </c>
      <c r="AD55">
        <v>-1.1190143344350001</v>
      </c>
      <c r="AE55">
        <v>-0.30250000000000898</v>
      </c>
      <c r="AF55">
        <v>0.97876963617942103</v>
      </c>
      <c r="AG55">
        <v>-1.1190143344350001</v>
      </c>
      <c r="AH55">
        <v>17.601425481409802</v>
      </c>
      <c r="AI55">
        <v>93.632099403994999</v>
      </c>
      <c r="AJ55">
        <v>86.817208142500903</v>
      </c>
      <c r="AK55">
        <v>17.664098110546199</v>
      </c>
      <c r="AL55">
        <v>91.554261285400003</v>
      </c>
      <c r="AM55">
        <v>88.344222846564605</v>
      </c>
      <c r="AN55">
        <v>1.0000000004479499</v>
      </c>
    </row>
    <row r="56" spans="1:40" x14ac:dyDescent="0.25">
      <c r="A56" t="str">
        <f>"20190303154732201"</f>
        <v>20190303154732201</v>
      </c>
      <c r="B56" t="str">
        <f>"1551599252190180"</f>
        <v>1551599252190180</v>
      </c>
      <c r="C56" t="s">
        <v>40</v>
      </c>
      <c r="D56">
        <v>5.1564709999999998</v>
      </c>
      <c r="E56">
        <v>0.51041040000000004</v>
      </c>
      <c r="F56" t="s">
        <v>41</v>
      </c>
      <c r="G56">
        <v>-453.2593</v>
      </c>
      <c r="H56" s="1">
        <v>-3.3545849999999998E-6</v>
      </c>
      <c r="I56">
        <v>366.90730000000002</v>
      </c>
      <c r="J56">
        <v>-470.85680000000002</v>
      </c>
      <c r="K56">
        <v>1.1190450000000001</v>
      </c>
      <c r="L56">
        <v>367.2276</v>
      </c>
      <c r="M56">
        <v>0.99925430000000004</v>
      </c>
      <c r="N56">
        <v>3.0681770000000001E-3</v>
      </c>
      <c r="O56">
        <v>3.8487340000000002E-2</v>
      </c>
      <c r="P56">
        <v>0.99961080000000002</v>
      </c>
      <c r="Q56">
        <v>-2.6207950000000001E-2</v>
      </c>
      <c r="R56">
        <v>9.555951E-3</v>
      </c>
      <c r="S56">
        <v>2.9970089999999998</v>
      </c>
      <c r="T56">
        <v>-0.18906239999999999</v>
      </c>
      <c r="U56">
        <v>-5.3131100000000001E-2</v>
      </c>
      <c r="V56">
        <v>2.8939019999999999E-2</v>
      </c>
      <c r="W56">
        <v>-2.925852E-2</v>
      </c>
      <c r="X56">
        <v>0.99915290000000001</v>
      </c>
      <c r="Y56">
        <v>5.600364E-2</v>
      </c>
      <c r="Z56">
        <v>-4.221608E-3</v>
      </c>
      <c r="AA56">
        <v>0.99842169999999997</v>
      </c>
      <c r="AB56">
        <v>16</v>
      </c>
      <c r="AC56">
        <v>17.5975</v>
      </c>
      <c r="AD56">
        <v>-1.1190483545850001</v>
      </c>
      <c r="AE56">
        <v>-0.32029999999997399</v>
      </c>
      <c r="AF56">
        <v>0.99333133031556797</v>
      </c>
      <c r="AG56">
        <v>-1.1190483545850001</v>
      </c>
      <c r="AH56">
        <v>17.501384467593201</v>
      </c>
      <c r="AI56">
        <v>93.652681221692305</v>
      </c>
      <c r="AJ56">
        <v>86.751531452423706</v>
      </c>
      <c r="AK56">
        <v>17.565233691420101</v>
      </c>
      <c r="AL56">
        <v>91.676628946846904</v>
      </c>
      <c r="AM56">
        <v>88.340974345470499</v>
      </c>
      <c r="AN56">
        <v>1.0000000227247801</v>
      </c>
    </row>
    <row r="57" spans="1:40" x14ac:dyDescent="0.25">
      <c r="A57" t="str">
        <f>"20190303154732225"</f>
        <v>20190303154732225</v>
      </c>
      <c r="B57" t="str">
        <f>"1551599252220437"</f>
        <v>1551599252220437</v>
      </c>
      <c r="C57" t="s">
        <v>40</v>
      </c>
      <c r="D57">
        <v>5.1004180000000003</v>
      </c>
      <c r="E57">
        <v>0.51039809999999997</v>
      </c>
      <c r="F57" t="s">
        <v>42</v>
      </c>
      <c r="G57">
        <v>-469.98009999999999</v>
      </c>
      <c r="H57">
        <v>1.0615410000000001</v>
      </c>
      <c r="I57">
        <v>367.21170000000001</v>
      </c>
      <c r="J57">
        <v>-470.68200000000002</v>
      </c>
      <c r="K57">
        <v>1.119022</v>
      </c>
      <c r="L57">
        <v>367.23469999999998</v>
      </c>
      <c r="M57">
        <v>0.99924809999999997</v>
      </c>
      <c r="N57">
        <v>2.8667480000000001E-3</v>
      </c>
      <c r="O57">
        <v>3.8667710000000001E-2</v>
      </c>
      <c r="P57">
        <v>0.99954219999999905</v>
      </c>
      <c r="Q57">
        <v>-2.8599900000000001E-2</v>
      </c>
      <c r="R57">
        <v>9.8784000000000007E-3</v>
      </c>
      <c r="S57">
        <v>2.996521</v>
      </c>
      <c r="T57">
        <v>-0.1968114</v>
      </c>
      <c r="U57">
        <v>-5.3283690000000002E-2</v>
      </c>
      <c r="V57">
        <v>2.879661E-2</v>
      </c>
      <c r="W57">
        <v>-3.1448150000000001E-2</v>
      </c>
      <c r="X57">
        <v>0.99909049999999999</v>
      </c>
      <c r="Y57">
        <v>5.6220989999999998E-2</v>
      </c>
      <c r="Z57">
        <v>-4.4107230000000001E-3</v>
      </c>
      <c r="AA57">
        <v>0.99840859999999998</v>
      </c>
      <c r="AB57">
        <v>16</v>
      </c>
      <c r="AC57">
        <v>0.701899999999966</v>
      </c>
      <c r="AD57">
        <v>-5.7480999999999803E-2</v>
      </c>
      <c r="AE57">
        <v>-2.2999999999967699E-2</v>
      </c>
      <c r="AF57">
        <v>4.9790211921550503E-2</v>
      </c>
      <c r="AG57">
        <v>-5.7480999999999803E-2</v>
      </c>
      <c r="AH57">
        <v>0.695824137997888</v>
      </c>
      <c r="AI57">
        <v>94.710407330369307</v>
      </c>
      <c r="AJ57">
        <v>85.907133982096795</v>
      </c>
      <c r="AK57">
        <v>0.69996740037282901</v>
      </c>
      <c r="AL57">
        <v>91.802143348566005</v>
      </c>
      <c r="AM57">
        <v>88.349030893084205</v>
      </c>
      <c r="AN57">
        <v>1.0000000290380799</v>
      </c>
    </row>
    <row r="58" spans="1:40" x14ac:dyDescent="0.25">
      <c r="A58" t="str">
        <f>"20190303154732247"</f>
        <v>20190303154732247</v>
      </c>
      <c r="B58" t="str">
        <f>"1551599252240933"</f>
        <v>1551599252240933</v>
      </c>
      <c r="C58" t="s">
        <v>40</v>
      </c>
      <c r="D58">
        <v>5.0581579999999997</v>
      </c>
      <c r="E58">
        <v>0.51033229999999996</v>
      </c>
      <c r="F58" t="s">
        <v>42</v>
      </c>
      <c r="G58">
        <v>-469.83049999999997</v>
      </c>
      <c r="H58">
        <v>1.0607899999999999</v>
      </c>
      <c r="I58">
        <v>367.21940000000001</v>
      </c>
      <c r="J58">
        <v>-470.51249999999999</v>
      </c>
      <c r="K58">
        <v>1.1189789999999999</v>
      </c>
      <c r="L58">
        <v>367.24169999999998</v>
      </c>
      <c r="M58">
        <v>0.99923580000000001</v>
      </c>
      <c r="N58">
        <v>2.722347E-3</v>
      </c>
      <c r="O58">
        <v>3.8993949999999999E-2</v>
      </c>
      <c r="P58">
        <v>0.99946089999999999</v>
      </c>
      <c r="Q58">
        <v>-3.10449E-2</v>
      </c>
      <c r="R58">
        <v>1.067866E-2</v>
      </c>
      <c r="S58">
        <v>2.9960019999999998</v>
      </c>
      <c r="T58">
        <v>-0.20518700000000001</v>
      </c>
      <c r="U58">
        <v>-5.2551269999999997E-2</v>
      </c>
      <c r="V58">
        <v>2.831993E-2</v>
      </c>
      <c r="W58">
        <v>-3.3750130000000003E-2</v>
      </c>
      <c r="X58">
        <v>0.99902899999999994</v>
      </c>
      <c r="Y58">
        <v>5.6287230000000001E-2</v>
      </c>
      <c r="Z58">
        <v>-4.6213529999999999E-3</v>
      </c>
      <c r="AA58">
        <v>0.99840390000000001</v>
      </c>
      <c r="AB58">
        <v>17</v>
      </c>
      <c r="AC58">
        <v>0.68200000000001604</v>
      </c>
      <c r="AD58">
        <v>-5.8189000000000199E-2</v>
      </c>
      <c r="AE58">
        <v>-2.22999999999728E-2</v>
      </c>
      <c r="AF58">
        <v>4.8524146741019202E-2</v>
      </c>
      <c r="AG58">
        <v>-5.8189000000000199E-2</v>
      </c>
      <c r="AH58">
        <v>0.67569810954883802</v>
      </c>
      <c r="AI58">
        <v>94.909408303649101</v>
      </c>
      <c r="AJ58">
        <v>85.8924493815001</v>
      </c>
      <c r="AK58">
        <v>0.67993270827767704</v>
      </c>
      <c r="AL58">
        <v>91.934107275111998</v>
      </c>
      <c r="AM58">
        <v>88.3762452916516</v>
      </c>
      <c r="AN58">
        <v>1.00000001627561</v>
      </c>
    </row>
    <row r="59" spans="1:40" x14ac:dyDescent="0.25">
      <c r="A59" t="str">
        <f>"20190303154732271"</f>
        <v>20190303154732271</v>
      </c>
      <c r="B59" t="str">
        <f>"1551599252260452"</f>
        <v>1551599252260452</v>
      </c>
      <c r="C59" t="s">
        <v>40</v>
      </c>
      <c r="D59">
        <v>5.190893</v>
      </c>
      <c r="E59">
        <v>0.48900979999999999</v>
      </c>
      <c r="F59" t="s">
        <v>42</v>
      </c>
      <c r="G59">
        <v>-469.67840000000001</v>
      </c>
      <c r="H59">
        <v>1.060603</v>
      </c>
      <c r="I59">
        <v>367.2278</v>
      </c>
      <c r="J59">
        <v>-470.34129999999999</v>
      </c>
      <c r="K59">
        <v>1.118943</v>
      </c>
      <c r="L59">
        <v>367.24869999999999</v>
      </c>
      <c r="M59">
        <v>0.99921890000000002</v>
      </c>
      <c r="N59">
        <v>2.6122179999999999E-3</v>
      </c>
      <c r="O59">
        <v>3.942996E-2</v>
      </c>
      <c r="P59">
        <v>0.99940949999999995</v>
      </c>
      <c r="Q59">
        <v>-3.2451299999999898E-2</v>
      </c>
      <c r="R59">
        <v>1.1298249999999999E-2</v>
      </c>
      <c r="S59">
        <v>2.9956670000000001</v>
      </c>
      <c r="T59">
        <v>-0.20971970000000001</v>
      </c>
      <c r="U59">
        <v>-4.9468989999999997E-2</v>
      </c>
      <c r="V59">
        <v>2.8133950000000001E-2</v>
      </c>
      <c r="W59">
        <v>-3.5047670000000003E-2</v>
      </c>
      <c r="X59">
        <v>0.99898960000000003</v>
      </c>
      <c r="Y59">
        <v>5.568816E-2</v>
      </c>
      <c r="Z59">
        <v>-4.7333590000000004E-3</v>
      </c>
      <c r="AA59">
        <v>0.99843700000000002</v>
      </c>
      <c r="AB59">
        <v>17</v>
      </c>
      <c r="AC59">
        <v>0.66289999999997895</v>
      </c>
      <c r="AD59">
        <v>-5.8340000000000003E-2</v>
      </c>
      <c r="AE59">
        <v>-2.0899999999983199E-2</v>
      </c>
      <c r="AF59">
        <v>4.6660914268491102E-2</v>
      </c>
      <c r="AG59">
        <v>-5.8340000000000003E-2</v>
      </c>
      <c r="AH59">
        <v>0.65648081958840598</v>
      </c>
      <c r="AI59">
        <v>95.065695437015506</v>
      </c>
      <c r="AJ59">
        <v>85.934405310362806</v>
      </c>
      <c r="AK59">
        <v>0.66071768782728701</v>
      </c>
      <c r="AL59">
        <v>92.008494821864204</v>
      </c>
      <c r="AM59">
        <v>88.386839422752502</v>
      </c>
      <c r="AN59">
        <v>1.00000003961159</v>
      </c>
    </row>
    <row r="60" spans="1:40" x14ac:dyDescent="0.25">
      <c r="A60" t="str">
        <f>"20190303154732291"</f>
        <v>20190303154732291</v>
      </c>
      <c r="B60" t="str">
        <f>"1551599252280948"</f>
        <v>1551599252280948</v>
      </c>
      <c r="C60" t="s">
        <v>40</v>
      </c>
      <c r="D60">
        <v>5.1269809999999998</v>
      </c>
      <c r="E60">
        <v>0.4880042</v>
      </c>
      <c r="F60" t="s">
        <v>41</v>
      </c>
      <c r="G60">
        <v>-455.8938</v>
      </c>
      <c r="H60" s="1">
        <v>-2.0589150000000001E-6</v>
      </c>
      <c r="I60">
        <v>367.84019999999998</v>
      </c>
      <c r="J60">
        <v>-470.1764</v>
      </c>
      <c r="K60">
        <v>1.1189249999999999</v>
      </c>
      <c r="L60">
        <v>367.25549999999998</v>
      </c>
      <c r="M60">
        <v>0.9992008</v>
      </c>
      <c r="N60">
        <v>2.5336410000000001E-3</v>
      </c>
      <c r="O60">
        <v>3.989268E-2</v>
      </c>
      <c r="P60">
        <v>0.99933799999999995</v>
      </c>
      <c r="Q60">
        <v>-3.4359140000000003E-2</v>
      </c>
      <c r="R60">
        <v>1.1964300000000001E-2</v>
      </c>
      <c r="S60">
        <v>2.9928889999999999</v>
      </c>
      <c r="T60">
        <v>-0.23179449999999999</v>
      </c>
      <c r="U60">
        <v>0.1225586</v>
      </c>
      <c r="V60">
        <v>2.7928959999999999E-2</v>
      </c>
      <c r="W60">
        <v>-3.6877010000000002E-2</v>
      </c>
      <c r="X60">
        <v>0.99892939999999997</v>
      </c>
      <c r="Y60">
        <v>-1.1474479999999999E-3</v>
      </c>
      <c r="Z60">
        <v>-3.1404990000000002E-3</v>
      </c>
      <c r="AA60">
        <v>0.99999439999999995</v>
      </c>
      <c r="AB60">
        <v>17</v>
      </c>
      <c r="AC60">
        <v>14.2826</v>
      </c>
      <c r="AD60">
        <v>-1.118927058915</v>
      </c>
      <c r="AE60">
        <v>0.584699999999997</v>
      </c>
      <c r="AF60">
        <v>-1.43734929924703E-2</v>
      </c>
      <c r="AG60">
        <v>-1.118927058915</v>
      </c>
      <c r="AH60">
        <v>14.2075037163586</v>
      </c>
      <c r="AI60">
        <v>94.503092904338203</v>
      </c>
      <c r="AJ60">
        <v>90.057965158468704</v>
      </c>
      <c r="AK60">
        <v>14.251503998203701</v>
      </c>
      <c r="AL60">
        <v>92.113376339969506</v>
      </c>
      <c r="AM60">
        <v>88.398490656070507</v>
      </c>
      <c r="AN60">
        <v>0.99999994342878895</v>
      </c>
    </row>
    <row r="61" spans="1:40" x14ac:dyDescent="0.25">
      <c r="A61" t="str">
        <f>"20190303154732315"</f>
        <v>20190303154732315</v>
      </c>
      <c r="B61" t="str">
        <f>"1551599252310229"</f>
        <v>1551599252310229</v>
      </c>
      <c r="C61" t="s">
        <v>40</v>
      </c>
      <c r="D61">
        <v>5.1003780000000001</v>
      </c>
      <c r="E61">
        <v>0.48734129999999998</v>
      </c>
      <c r="F61" t="s">
        <v>41</v>
      </c>
      <c r="G61">
        <v>-455.9973</v>
      </c>
      <c r="H61" s="1">
        <v>-2.0072060000000002E-6</v>
      </c>
      <c r="I61">
        <v>367.88139999999999</v>
      </c>
      <c r="J61">
        <v>-469.99529999999999</v>
      </c>
      <c r="K61">
        <v>1.1189359999999999</v>
      </c>
      <c r="L61">
        <v>367.26299999999998</v>
      </c>
      <c r="M61">
        <v>0.99918059999999997</v>
      </c>
      <c r="N61">
        <v>2.473687E-3</v>
      </c>
      <c r="O61">
        <v>4.039893E-2</v>
      </c>
      <c r="P61">
        <v>0.99928689999999998</v>
      </c>
      <c r="Q61">
        <v>-3.545674E-2</v>
      </c>
      <c r="R61">
        <v>1.2997989999999999E-2</v>
      </c>
      <c r="S61">
        <v>2.9923099999999998</v>
      </c>
      <c r="T61">
        <v>-0.23613329999999999</v>
      </c>
      <c r="U61">
        <v>0.13211059999999999</v>
      </c>
      <c r="V61">
        <v>2.740242E-2</v>
      </c>
      <c r="W61">
        <v>-3.791365E-2</v>
      </c>
      <c r="X61">
        <v>0.99890520000000005</v>
      </c>
      <c r="Y61">
        <v>-3.8330489999999998E-3</v>
      </c>
      <c r="Z61">
        <v>-3.1337560000000001E-3</v>
      </c>
      <c r="AA61">
        <v>0.99998770000000003</v>
      </c>
      <c r="AB61">
        <v>17</v>
      </c>
      <c r="AC61">
        <v>13.9979999999999</v>
      </c>
      <c r="AD61">
        <v>-1.118938007206</v>
      </c>
      <c r="AE61">
        <v>0.61839999999995099</v>
      </c>
      <c r="AF61">
        <v>-5.2057237600926599E-2</v>
      </c>
      <c r="AG61">
        <v>-1.118938007206</v>
      </c>
      <c r="AH61">
        <v>13.9227662258957</v>
      </c>
      <c r="AI61">
        <v>94.594811342081002</v>
      </c>
      <c r="AJ61">
        <v>90.214227981712995</v>
      </c>
      <c r="AK61">
        <v>13.9677539927112</v>
      </c>
      <c r="AL61">
        <v>92.172812962378998</v>
      </c>
      <c r="AM61">
        <v>88.428630312072997</v>
      </c>
      <c r="AN61">
        <v>0.99999996803260804</v>
      </c>
    </row>
    <row r="62" spans="1:40" x14ac:dyDescent="0.25">
      <c r="A62" t="str">
        <f>"20190303154732337"</f>
        <v>20190303154732337</v>
      </c>
      <c r="B62" t="str">
        <f>"1551599252330724"</f>
        <v>1551599252330724</v>
      </c>
      <c r="C62" t="s">
        <v>40</v>
      </c>
      <c r="D62">
        <v>5.1007419999999897</v>
      </c>
      <c r="E62">
        <v>0.48703940000000001</v>
      </c>
      <c r="F62" t="s">
        <v>41</v>
      </c>
      <c r="G62">
        <v>-456.53149999999999</v>
      </c>
      <c r="H62" s="1">
        <v>-1.7753589999999999E-6</v>
      </c>
      <c r="I62">
        <v>367.8965</v>
      </c>
      <c r="J62">
        <v>-469.81049999999999</v>
      </c>
      <c r="K62">
        <v>1.118965</v>
      </c>
      <c r="L62">
        <v>367.27080000000001</v>
      </c>
      <c r="M62">
        <v>0.99916090000000002</v>
      </c>
      <c r="N62">
        <v>2.4321070000000002E-3</v>
      </c>
      <c r="O62">
        <v>4.0888470000000003E-2</v>
      </c>
      <c r="P62">
        <v>0.9992164</v>
      </c>
      <c r="Q62">
        <v>-3.7111169999999999E-2</v>
      </c>
      <c r="R62">
        <v>1.3778759999999999E-2</v>
      </c>
      <c r="S62">
        <v>2.9914860000000001</v>
      </c>
      <c r="T62">
        <v>-0.24861249999999999</v>
      </c>
      <c r="U62">
        <v>0.1407776</v>
      </c>
      <c r="V62">
        <v>2.711262E-2</v>
      </c>
      <c r="W62">
        <v>-3.952464E-2</v>
      </c>
      <c r="X62">
        <v>0.99885069999999998</v>
      </c>
      <c r="Y62">
        <v>-6.2527069999999997E-3</v>
      </c>
      <c r="Z62">
        <v>-3.2365179999999999E-3</v>
      </c>
      <c r="AA62">
        <v>0.99997519999999995</v>
      </c>
      <c r="AB62">
        <v>18</v>
      </c>
      <c r="AC62">
        <v>13.2789999999999</v>
      </c>
      <c r="AD62">
        <v>-1.118966775359</v>
      </c>
      <c r="AE62">
        <v>0.62569999999999404</v>
      </c>
      <c r="AF62">
        <v>-8.1638801670427405E-2</v>
      </c>
      <c r="AG62">
        <v>-1.118966775359</v>
      </c>
      <c r="AH62">
        <v>13.1999570926773</v>
      </c>
      <c r="AI62">
        <v>94.845314572199598</v>
      </c>
      <c r="AJ62">
        <v>90.354357147343094</v>
      </c>
      <c r="AK62">
        <v>13.247551426086901</v>
      </c>
      <c r="AL62">
        <v>92.265185083807907</v>
      </c>
      <c r="AM62">
        <v>88.445155668991205</v>
      </c>
      <c r="AN62">
        <v>1.0000000061104399</v>
      </c>
    </row>
    <row r="63" spans="1:40" x14ac:dyDescent="0.25">
      <c r="A63" t="str">
        <f>"20190303154732360"</f>
        <v>20190303154732360</v>
      </c>
      <c r="B63" t="str">
        <f>"1551599252351220"</f>
        <v>1551599252351220</v>
      </c>
      <c r="C63" t="s">
        <v>40</v>
      </c>
      <c r="D63">
        <v>5.1215270000000004</v>
      </c>
      <c r="E63">
        <v>0.48676399999999997</v>
      </c>
      <c r="F63" t="s">
        <v>41</v>
      </c>
      <c r="G63">
        <v>-456.95650000000001</v>
      </c>
      <c r="H63" s="1">
        <v>-1.593067E-6</v>
      </c>
      <c r="I63">
        <v>367.8963</v>
      </c>
      <c r="J63">
        <v>-469.6275</v>
      </c>
      <c r="K63">
        <v>1.1189910000000001</v>
      </c>
      <c r="L63">
        <v>367.27879999999999</v>
      </c>
      <c r="M63">
        <v>0.99914230000000004</v>
      </c>
      <c r="N63">
        <v>2.3979100000000001E-3</v>
      </c>
      <c r="O63">
        <v>4.1339639999999997E-2</v>
      </c>
      <c r="P63">
        <v>0.99909340000000002</v>
      </c>
      <c r="Q63">
        <v>-3.9840420000000001E-2</v>
      </c>
      <c r="R63">
        <v>1.5010900000000001E-2</v>
      </c>
      <c r="S63">
        <v>2.990723</v>
      </c>
      <c r="T63">
        <v>-0.26034610000000002</v>
      </c>
      <c r="U63">
        <v>0.14553829999999901</v>
      </c>
      <c r="V63">
        <v>2.6331759999999999E-2</v>
      </c>
      <c r="W63">
        <v>-4.2218289999999999E-2</v>
      </c>
      <c r="X63">
        <v>0.99876140000000002</v>
      </c>
      <c r="Y63">
        <v>-7.4106659999999998E-3</v>
      </c>
      <c r="Z63">
        <v>-3.3741679999999999E-3</v>
      </c>
      <c r="AA63">
        <v>0.99996689999999999</v>
      </c>
      <c r="AB63">
        <v>18</v>
      </c>
      <c r="AC63">
        <v>12.6709999999999</v>
      </c>
      <c r="AD63">
        <v>-1.1189925930669999</v>
      </c>
      <c r="AE63">
        <v>0.61750000000000604</v>
      </c>
      <c r="AF63">
        <v>-9.2436860628876599E-2</v>
      </c>
      <c r="AG63">
        <v>-1.1189925930669999</v>
      </c>
      <c r="AH63">
        <v>12.587757550361401</v>
      </c>
      <c r="AI63">
        <v>95.079836555716597</v>
      </c>
      <c r="AJ63">
        <v>90.420737908769794</v>
      </c>
      <c r="AK63">
        <v>12.6377343358381</v>
      </c>
      <c r="AL63">
        <v>92.419648892688599</v>
      </c>
      <c r="AM63">
        <v>88.489780137446104</v>
      </c>
      <c r="AN63">
        <v>1.0000000398625899</v>
      </c>
    </row>
    <row r="64" spans="1:40" x14ac:dyDescent="0.25">
      <c r="A64" t="str">
        <f>"20190303154732385"</f>
        <v>20190303154732385</v>
      </c>
      <c r="B64" t="str">
        <f>"1551599252380500"</f>
        <v>1551599252380500</v>
      </c>
      <c r="C64" t="s">
        <v>40</v>
      </c>
      <c r="D64">
        <v>5.0427089999999897</v>
      </c>
      <c r="E64">
        <v>0.48800939999999998</v>
      </c>
      <c r="F64" t="s">
        <v>41</v>
      </c>
      <c r="G64">
        <v>-457.26459999999997</v>
      </c>
      <c r="H64" s="1">
        <v>-1.4597260000000001E-6</v>
      </c>
      <c r="I64">
        <v>367.90289999999999</v>
      </c>
      <c r="J64">
        <v>-469.42500000000001</v>
      </c>
      <c r="K64">
        <v>1.1190089999999999</v>
      </c>
      <c r="L64">
        <v>367.28769999999997</v>
      </c>
      <c r="M64">
        <v>0.9991236</v>
      </c>
      <c r="N64">
        <v>2.3509889999999999E-3</v>
      </c>
      <c r="O64">
        <v>4.1792669999999997E-2</v>
      </c>
      <c r="P64">
        <v>0.99897429999999998</v>
      </c>
      <c r="Q64">
        <v>-4.2194870000000002E-2</v>
      </c>
      <c r="R64">
        <v>1.6432200000000001E-2</v>
      </c>
      <c r="S64">
        <v>2.989655</v>
      </c>
      <c r="T64">
        <v>-0.2705977</v>
      </c>
      <c r="U64">
        <v>0.15093989999999999</v>
      </c>
      <c r="V64">
        <v>2.5362220000000001E-2</v>
      </c>
      <c r="W64">
        <v>-4.4525790000000003E-2</v>
      </c>
      <c r="X64">
        <v>0.99868630000000003</v>
      </c>
      <c r="Y64">
        <v>-8.7838689999999997E-3</v>
      </c>
      <c r="Z64">
        <v>-3.4827180000000001E-3</v>
      </c>
      <c r="AA64">
        <v>0.99995540000000005</v>
      </c>
      <c r="AB64">
        <v>18</v>
      </c>
      <c r="AC64">
        <v>12.160399999999999</v>
      </c>
      <c r="AD64">
        <v>-1.119010459726</v>
      </c>
      <c r="AE64">
        <v>0.61520000000001496</v>
      </c>
      <c r="AF64">
        <v>-0.105554009570501</v>
      </c>
      <c r="AG64">
        <v>-1.119010459726</v>
      </c>
      <c r="AH64">
        <v>12.073510832864701</v>
      </c>
      <c r="AI64">
        <v>95.295021795479698</v>
      </c>
      <c r="AJ64">
        <v>90.500901955159705</v>
      </c>
      <c r="AK64">
        <v>12.125716056761901</v>
      </c>
      <c r="AL64">
        <v>92.551983412547202</v>
      </c>
      <c r="AM64">
        <v>88.545253008624101</v>
      </c>
      <c r="AN64">
        <v>1.00000005699306</v>
      </c>
    </row>
    <row r="65" spans="1:40" x14ac:dyDescent="0.25">
      <c r="A65" t="str">
        <f>"20190303154732403"</f>
        <v>20190303154732403</v>
      </c>
      <c r="B65" t="str">
        <f>"1551599252391237"</f>
        <v>1551599252391237</v>
      </c>
      <c r="C65" t="s">
        <v>40</v>
      </c>
      <c r="D65">
        <v>5.0831039999999996</v>
      </c>
      <c r="E65">
        <v>0.48830849999999998</v>
      </c>
      <c r="F65" t="s">
        <v>42</v>
      </c>
      <c r="G65">
        <v>-468.56650000000002</v>
      </c>
      <c r="H65">
        <v>1.043326</v>
      </c>
      <c r="I65">
        <v>367.32900000000001</v>
      </c>
      <c r="J65">
        <v>-469.26620000000003</v>
      </c>
      <c r="K65">
        <v>1.119016</v>
      </c>
      <c r="L65">
        <v>367.29480000000001</v>
      </c>
      <c r="M65">
        <v>0.9991101</v>
      </c>
      <c r="N65">
        <v>2.3012269999999999E-3</v>
      </c>
      <c r="O65">
        <v>4.2115600000000003E-2</v>
      </c>
      <c r="P65">
        <v>0.99886330000000001</v>
      </c>
      <c r="Q65">
        <v>-4.4267870000000001E-2</v>
      </c>
      <c r="R65">
        <v>1.7675369999999999E-2</v>
      </c>
      <c r="S65">
        <v>2.9895939999999999</v>
      </c>
      <c r="T65">
        <v>-0.26388440000000002</v>
      </c>
      <c r="U65">
        <v>0.14498900000000001</v>
      </c>
      <c r="V65">
        <v>2.4438709999999999E-2</v>
      </c>
      <c r="W65">
        <v>-4.6550040000000001E-2</v>
      </c>
      <c r="X65">
        <v>0.99861699999999998</v>
      </c>
      <c r="Y65">
        <v>-6.4790949999999998E-3</v>
      </c>
      <c r="Z65">
        <v>-3.5252600000000001E-3</v>
      </c>
      <c r="AA65">
        <v>0.9999728</v>
      </c>
      <c r="AB65">
        <v>18</v>
      </c>
      <c r="AC65">
        <v>0.69970000000000698</v>
      </c>
      <c r="AD65">
        <v>-7.5689999999999993E-2</v>
      </c>
      <c r="AE65">
        <v>3.4199999999998398E-2</v>
      </c>
      <c r="AF65">
        <v>-4.6470432815426599E-3</v>
      </c>
      <c r="AG65">
        <v>-7.5689999999999993E-2</v>
      </c>
      <c r="AH65">
        <v>0.69243609356410196</v>
      </c>
      <c r="AI65">
        <v>96.238079264833104</v>
      </c>
      <c r="AJ65">
        <v>90.384514863508798</v>
      </c>
      <c r="AK65">
        <v>0.69657613710317001</v>
      </c>
      <c r="AL65">
        <v>92.668084909359706</v>
      </c>
      <c r="AM65">
        <v>88.598105676356795</v>
      </c>
      <c r="AN65">
        <v>1.00000003472973</v>
      </c>
    </row>
    <row r="66" spans="1:40" x14ac:dyDescent="0.25">
      <c r="A66" t="str">
        <f>"20190303154732428"</f>
        <v>20190303154732428</v>
      </c>
      <c r="B66" t="str">
        <f>"1551599252420516"</f>
        <v>1551599252420516</v>
      </c>
      <c r="C66" t="s">
        <v>40</v>
      </c>
      <c r="D66">
        <v>5.0572330000000001</v>
      </c>
      <c r="E66">
        <v>0.48889640000000001</v>
      </c>
      <c r="F66" t="s">
        <v>42</v>
      </c>
      <c r="G66">
        <v>-468.39940000000001</v>
      </c>
      <c r="H66">
        <v>1.041423</v>
      </c>
      <c r="I66">
        <v>367.33710000000002</v>
      </c>
      <c r="J66">
        <v>-469.06279999999998</v>
      </c>
      <c r="K66">
        <v>1.11901299999999</v>
      </c>
      <c r="L66">
        <v>367.3039</v>
      </c>
      <c r="M66">
        <v>0.99909479999999995</v>
      </c>
      <c r="N66">
        <v>2.2144360000000002E-3</v>
      </c>
      <c r="O66">
        <v>4.2483409999999999E-2</v>
      </c>
      <c r="P66">
        <v>0.99873599999999996</v>
      </c>
      <c r="Q66">
        <v>-4.6448650000000001E-2</v>
      </c>
      <c r="R66">
        <v>1.9214370000000001E-2</v>
      </c>
      <c r="S66">
        <v>2.9889220000000001</v>
      </c>
      <c r="T66">
        <v>-0.26771869999999998</v>
      </c>
      <c r="U66">
        <v>0.146698</v>
      </c>
      <c r="V66">
        <v>2.3261230000000001E-2</v>
      </c>
      <c r="W66">
        <v>-4.8646380000000003E-2</v>
      </c>
      <c r="X66">
        <v>0.99854520000000002</v>
      </c>
      <c r="Y66">
        <v>-6.6968039999999998E-3</v>
      </c>
      <c r="Z66">
        <v>-3.595703E-3</v>
      </c>
      <c r="AA66">
        <v>0.9999711</v>
      </c>
      <c r="AB66">
        <v>19</v>
      </c>
      <c r="AC66">
        <v>0.66339999999996702</v>
      </c>
      <c r="AD66">
        <v>-7.7589999999999798E-2</v>
      </c>
      <c r="AE66">
        <v>3.3200000000022101E-2</v>
      </c>
      <c r="AF66">
        <v>-4.9193404779947101E-3</v>
      </c>
      <c r="AG66">
        <v>-7.7589999999999798E-2</v>
      </c>
      <c r="AH66">
        <v>0.65527033597544704</v>
      </c>
      <c r="AI66">
        <v>96.752712661125898</v>
      </c>
      <c r="AJ66">
        <v>90.430131102994295</v>
      </c>
      <c r="AK66">
        <v>0.65986636618342198</v>
      </c>
      <c r="AL66">
        <v>92.788332652139104</v>
      </c>
      <c r="AM66">
        <v>88.665529309826297</v>
      </c>
      <c r="AN66">
        <v>1.00000003577562</v>
      </c>
    </row>
    <row r="67" spans="1:40" x14ac:dyDescent="0.25">
      <c r="A67" t="str">
        <f>"20190303154732448"</f>
        <v>20190303154732448</v>
      </c>
      <c r="B67" t="str">
        <f>"1551599252441012"</f>
        <v>1551599252441012</v>
      </c>
      <c r="C67" t="s">
        <v>40</v>
      </c>
      <c r="D67">
        <v>5.0556010000000002</v>
      </c>
      <c r="E67">
        <v>0.4891007</v>
      </c>
      <c r="F67" t="s">
        <v>42</v>
      </c>
      <c r="G67">
        <v>-468.22609999999997</v>
      </c>
      <c r="H67">
        <v>1.0449360000000001</v>
      </c>
      <c r="I67">
        <v>367.34410000000003</v>
      </c>
      <c r="J67">
        <v>-468.88400000000001</v>
      </c>
      <c r="K67">
        <v>1.1190020000000001</v>
      </c>
      <c r="L67">
        <v>367.31189999999998</v>
      </c>
      <c r="M67">
        <v>0.99908300000000005</v>
      </c>
      <c r="N67">
        <v>2.1105220000000001E-3</v>
      </c>
      <c r="O67">
        <v>4.2765070000000002E-2</v>
      </c>
      <c r="P67">
        <v>0.9986159</v>
      </c>
      <c r="Q67">
        <v>-4.8204619999999997E-2</v>
      </c>
      <c r="R67">
        <v>2.104574E-2</v>
      </c>
      <c r="S67">
        <v>2.9886780000000002</v>
      </c>
      <c r="T67">
        <v>-0.26506750000000001</v>
      </c>
      <c r="U67">
        <v>0.1462097</v>
      </c>
      <c r="V67">
        <v>2.1704339999999999E-2</v>
      </c>
      <c r="W67">
        <v>-5.0301329999999998E-2</v>
      </c>
      <c r="X67">
        <v>0.9984982</v>
      </c>
      <c r="Y67">
        <v>-6.2554569999999999E-3</v>
      </c>
      <c r="Z67">
        <v>-3.6013159999999998E-3</v>
      </c>
      <c r="AA67">
        <v>0.99997400000000003</v>
      </c>
      <c r="AB67">
        <v>19</v>
      </c>
      <c r="AC67">
        <v>0.65790000000004001</v>
      </c>
      <c r="AD67">
        <v>-7.4065999999999896E-2</v>
      </c>
      <c r="AE67">
        <v>3.2200000000045699E-2</v>
      </c>
      <c r="AF67">
        <v>-3.9849565947702396E-3</v>
      </c>
      <c r="AG67">
        <v>-7.4065999999999896E-2</v>
      </c>
      <c r="AH67">
        <v>0.65045096333239505</v>
      </c>
      <c r="AI67">
        <v>96.496094180441403</v>
      </c>
      <c r="AJ67">
        <v>90.351015450511099</v>
      </c>
      <c r="AK67">
        <v>0.65466640965846401</v>
      </c>
      <c r="AL67">
        <v>92.883270733583799</v>
      </c>
      <c r="AM67">
        <v>88.754758622238597</v>
      </c>
      <c r="AN67">
        <v>0.99999997878892199</v>
      </c>
    </row>
    <row r="68" spans="1:40" x14ac:dyDescent="0.25">
      <c r="A68" t="str">
        <f>"20190303154732471"</f>
        <v>20190303154732471</v>
      </c>
      <c r="B68" t="str">
        <f>"1551599252460532"</f>
        <v>1551599252460532</v>
      </c>
      <c r="C68" t="s">
        <v>40</v>
      </c>
      <c r="D68">
        <v>5.0816660000000002</v>
      </c>
      <c r="E68">
        <v>0.48920439999999998</v>
      </c>
      <c r="F68" t="s">
        <v>42</v>
      </c>
      <c r="G68">
        <v>-468.0532</v>
      </c>
      <c r="H68">
        <v>1.045336</v>
      </c>
      <c r="I68">
        <v>367.3535</v>
      </c>
      <c r="J68">
        <v>-468.69409999999999</v>
      </c>
      <c r="K68">
        <v>1.1189899999999999</v>
      </c>
      <c r="L68">
        <v>367.32049999999998</v>
      </c>
      <c r="M68">
        <v>0.99907250000000003</v>
      </c>
      <c r="N68">
        <v>1.9565110000000002E-3</v>
      </c>
      <c r="O68">
        <v>4.3018250000000001E-2</v>
      </c>
      <c r="P68">
        <v>0.99845910000000004</v>
      </c>
      <c r="Q68">
        <v>-5.0623670000000003E-2</v>
      </c>
      <c r="R68">
        <v>2.2733300000000001E-2</v>
      </c>
      <c r="S68">
        <v>2.9882200000000001</v>
      </c>
      <c r="T68">
        <v>-0.26508120000000002</v>
      </c>
      <c r="U68">
        <v>0.1502686</v>
      </c>
      <c r="V68">
        <v>2.0259800000000001E-2</v>
      </c>
      <c r="W68">
        <v>-5.256947E-2</v>
      </c>
      <c r="X68">
        <v>0.99841170000000001</v>
      </c>
      <c r="Y68">
        <v>-7.3606510000000002E-3</v>
      </c>
      <c r="Z68">
        <v>-3.5698879999999998E-3</v>
      </c>
      <c r="AA68">
        <v>0.99996660000000004</v>
      </c>
      <c r="AB68">
        <v>19</v>
      </c>
      <c r="AC68">
        <v>0.64089999999998704</v>
      </c>
      <c r="AD68">
        <v>-7.3653999999999803E-2</v>
      </c>
      <c r="AE68">
        <v>3.3000000000015399E-2</v>
      </c>
      <c r="AF68">
        <v>-5.3288128885278499E-3</v>
      </c>
      <c r="AG68">
        <v>-7.3653999999999803E-2</v>
      </c>
      <c r="AH68">
        <v>0.63338318753204803</v>
      </c>
      <c r="AI68">
        <v>96.632709683724599</v>
      </c>
      <c r="AJ68">
        <v>90.482032505559403</v>
      </c>
      <c r="AK68">
        <v>0.63767356085309002</v>
      </c>
      <c r="AL68">
        <v>93.013397899556196</v>
      </c>
      <c r="AM68">
        <v>88.837511873294105</v>
      </c>
      <c r="AN68">
        <v>0.999999965684505</v>
      </c>
    </row>
    <row r="69" spans="1:40" x14ac:dyDescent="0.25">
      <c r="A69" t="str">
        <f>"20190303154732493"</f>
        <v>20190303154732493</v>
      </c>
      <c r="B69" t="str">
        <f>"1551599252481028"</f>
        <v>1551599252481028</v>
      </c>
      <c r="C69" t="s">
        <v>40</v>
      </c>
      <c r="D69">
        <v>5.1723840000000001</v>
      </c>
      <c r="E69">
        <v>0.48920069999999999</v>
      </c>
      <c r="F69" t="s">
        <v>42</v>
      </c>
      <c r="G69">
        <v>-467.8784</v>
      </c>
      <c r="H69">
        <v>1.0459560000000001</v>
      </c>
      <c r="I69">
        <v>367.3621</v>
      </c>
      <c r="J69">
        <v>-468.49549999999999</v>
      </c>
      <c r="K69">
        <v>1.118984</v>
      </c>
      <c r="L69">
        <v>367.32940000000002</v>
      </c>
      <c r="M69">
        <v>0.99906360000000005</v>
      </c>
      <c r="N69">
        <v>1.73021E-3</v>
      </c>
      <c r="O69">
        <v>4.3232680000000002E-2</v>
      </c>
      <c r="P69">
        <v>0.99830280000000005</v>
      </c>
      <c r="Q69">
        <v>-5.3085340000000002E-2</v>
      </c>
      <c r="R69">
        <v>2.3946789999999999E-2</v>
      </c>
      <c r="S69">
        <v>2.987549</v>
      </c>
      <c r="T69">
        <v>-0.26771040000000002</v>
      </c>
      <c r="U69">
        <v>0.15396119999999999</v>
      </c>
      <c r="V69">
        <v>1.9248749999999999E-2</v>
      </c>
      <c r="W69">
        <v>-5.4807910000000001E-2</v>
      </c>
      <c r="X69">
        <v>0.99831130000000001</v>
      </c>
      <c r="Y69">
        <v>-8.3888920000000002E-3</v>
      </c>
      <c r="Z69">
        <v>-3.568809E-3</v>
      </c>
      <c r="AA69">
        <v>0.99995849999999997</v>
      </c>
      <c r="AB69">
        <v>19</v>
      </c>
      <c r="AC69">
        <v>0.61709999999999299</v>
      </c>
      <c r="AD69">
        <v>-7.3027999999999996E-2</v>
      </c>
      <c r="AE69">
        <v>3.2699999999976997E-2</v>
      </c>
      <c r="AF69">
        <v>-5.90799459466661E-3</v>
      </c>
      <c r="AG69">
        <v>-7.3027999999999996E-2</v>
      </c>
      <c r="AH69">
        <v>0.60942592939986595</v>
      </c>
      <c r="AI69">
        <v>96.832898666645207</v>
      </c>
      <c r="AJ69">
        <v>90.5554285364028</v>
      </c>
      <c r="AK69">
        <v>0.61381426882162005</v>
      </c>
      <c r="AL69">
        <v>93.141836431315198</v>
      </c>
      <c r="AM69">
        <v>88.895399165387701</v>
      </c>
      <c r="AN69">
        <v>0.99999993654140795</v>
      </c>
    </row>
    <row r="70" spans="1:40" x14ac:dyDescent="0.25">
      <c r="A70" t="str">
        <f>"20190303154732516"</f>
        <v>20190303154732516</v>
      </c>
      <c r="B70" t="str">
        <f>"1551599252511285"</f>
        <v>1551599252511285</v>
      </c>
      <c r="C70" t="s">
        <v>40</v>
      </c>
      <c r="D70">
        <v>5.2143870000000003</v>
      </c>
      <c r="E70">
        <v>0.4889056</v>
      </c>
      <c r="F70" t="s">
        <v>42</v>
      </c>
      <c r="G70">
        <v>-467.70159999999998</v>
      </c>
      <c r="H70">
        <v>1.0469850000000001</v>
      </c>
      <c r="I70">
        <v>367.37130000000002</v>
      </c>
      <c r="J70">
        <v>-468.2946</v>
      </c>
      <c r="K70">
        <v>1.1190040000000001</v>
      </c>
      <c r="L70">
        <v>367.33839999999998</v>
      </c>
      <c r="M70">
        <v>0.99905690000000003</v>
      </c>
      <c r="N70">
        <v>1.4221030000000001E-3</v>
      </c>
      <c r="O70">
        <v>4.340128E-2</v>
      </c>
      <c r="P70">
        <v>0.99822060000000001</v>
      </c>
      <c r="Q70">
        <v>-5.4117180000000001E-2</v>
      </c>
      <c r="R70">
        <v>2.5044609999999998E-2</v>
      </c>
      <c r="S70">
        <v>2.9869379999999999</v>
      </c>
      <c r="T70">
        <v>-0.27090379999999997</v>
      </c>
      <c r="U70">
        <v>0.1575317</v>
      </c>
      <c r="V70">
        <v>1.830963E-2</v>
      </c>
      <c r="W70">
        <v>-5.5534739999999999E-2</v>
      </c>
      <c r="X70">
        <v>0.99828890000000003</v>
      </c>
      <c r="Y70">
        <v>-9.421436E-3</v>
      </c>
      <c r="Z70">
        <v>-3.5657340000000001E-3</v>
      </c>
      <c r="AA70">
        <v>0.99994930000000004</v>
      </c>
      <c r="AB70">
        <v>19</v>
      </c>
      <c r="AC70">
        <v>0.59300000000001696</v>
      </c>
      <c r="AD70">
        <v>-7.2019E-2</v>
      </c>
      <c r="AE70">
        <v>3.2900000000040501E-2</v>
      </c>
      <c r="AF70">
        <v>-7.0286658522867099E-3</v>
      </c>
      <c r="AG70">
        <v>-7.2019E-2</v>
      </c>
      <c r="AH70">
        <v>0.58526313328929602</v>
      </c>
      <c r="AI70">
        <v>97.014710081857501</v>
      </c>
      <c r="AJ70">
        <v>90.688055520947998</v>
      </c>
      <c r="AK70">
        <v>0.58971948729227797</v>
      </c>
      <c r="AL70">
        <v>93.183543925255904</v>
      </c>
      <c r="AM70">
        <v>88.949255155887698</v>
      </c>
      <c r="AN70">
        <v>1.0000000388804</v>
      </c>
    </row>
    <row r="71" spans="1:40" x14ac:dyDescent="0.25">
      <c r="A71" t="str">
        <f>"20190303154732539"</f>
        <v>20190303154732539</v>
      </c>
      <c r="B71" t="str">
        <f>"1551599252530804"</f>
        <v>1551599252530804</v>
      </c>
      <c r="C71" t="s">
        <v>40</v>
      </c>
      <c r="D71">
        <v>5.2168229999999998</v>
      </c>
      <c r="E71">
        <v>0.48870190000000002</v>
      </c>
      <c r="F71" t="s">
        <v>41</v>
      </c>
      <c r="G71">
        <v>-455.86970000000002</v>
      </c>
      <c r="H71" s="1">
        <v>-2.0379259999999999E-6</v>
      </c>
      <c r="I71">
        <v>368.01690000000002</v>
      </c>
      <c r="J71">
        <v>-468.08859999999999</v>
      </c>
      <c r="K71">
        <v>1.119051</v>
      </c>
      <c r="L71">
        <v>367.3476</v>
      </c>
      <c r="M71">
        <v>0.99905180000000005</v>
      </c>
      <c r="N71">
        <v>1.026267E-3</v>
      </c>
      <c r="O71">
        <v>4.352876E-2</v>
      </c>
      <c r="P71">
        <v>0.99815109999999996</v>
      </c>
      <c r="Q71">
        <v>-5.5177110000000001E-2</v>
      </c>
      <c r="R71">
        <v>2.549939E-2</v>
      </c>
      <c r="S71">
        <v>2.9866640000000002</v>
      </c>
      <c r="T71">
        <v>-0.26897989999999999</v>
      </c>
      <c r="U71">
        <v>0.1631165</v>
      </c>
      <c r="V71">
        <v>1.7972970000000001E-2</v>
      </c>
      <c r="W71">
        <v>-5.6201639999999997E-2</v>
      </c>
      <c r="X71">
        <v>0.99825759999999997</v>
      </c>
      <c r="Y71">
        <v>-1.1153E-2</v>
      </c>
      <c r="Z71">
        <v>-3.456789E-3</v>
      </c>
      <c r="AA71">
        <v>0.99993180000000004</v>
      </c>
      <c r="AB71">
        <v>20</v>
      </c>
      <c r="AC71">
        <v>12.2188999999999</v>
      </c>
      <c r="AD71">
        <v>-1.119053037926</v>
      </c>
      <c r="AE71">
        <v>0.66930000000002099</v>
      </c>
      <c r="AF71">
        <v>-0.135657420447585</v>
      </c>
      <c r="AG71">
        <v>-1.119053037926</v>
      </c>
      <c r="AH71">
        <v>12.134973722697699</v>
      </c>
      <c r="AI71">
        <v>95.268426333859594</v>
      </c>
      <c r="AJ71">
        <v>90.640485432430694</v>
      </c>
      <c r="AK71">
        <v>12.187217479309099</v>
      </c>
      <c r="AL71">
        <v>93.221814558330706</v>
      </c>
      <c r="AM71">
        <v>88.968538703266901</v>
      </c>
      <c r="AN71">
        <v>0.99999994397353298</v>
      </c>
    </row>
    <row r="72" spans="1:40" x14ac:dyDescent="0.25">
      <c r="A72" t="str">
        <f>"20190303154732563"</f>
        <v>20190303154732563</v>
      </c>
      <c r="B72" t="str">
        <f>"1551599252551301"</f>
        <v>1551599252551301</v>
      </c>
      <c r="C72" t="s">
        <v>40</v>
      </c>
      <c r="D72">
        <v>5.1814989999999996</v>
      </c>
      <c r="E72">
        <v>0.4886433</v>
      </c>
      <c r="F72" t="s">
        <v>41</v>
      </c>
      <c r="G72">
        <v>-455.80500000000001</v>
      </c>
      <c r="H72" s="1">
        <v>-2.0631979999999999E-6</v>
      </c>
      <c r="I72">
        <v>368.03089999999997</v>
      </c>
      <c r="J72">
        <v>-467.87900000000002</v>
      </c>
      <c r="K72">
        <v>1.11911</v>
      </c>
      <c r="L72">
        <v>367.35680000000002</v>
      </c>
      <c r="M72">
        <v>0.99904839999999995</v>
      </c>
      <c r="N72">
        <v>5.6123350000000002E-4</v>
      </c>
      <c r="O72">
        <v>4.3614390000000003E-2</v>
      </c>
      <c r="P72">
        <v>0.99809519999999996</v>
      </c>
      <c r="Q72">
        <v>-5.5959670000000003E-2</v>
      </c>
      <c r="R72">
        <v>2.5975169999999999E-2</v>
      </c>
      <c r="S72">
        <v>2.986237</v>
      </c>
      <c r="T72">
        <v>-0.27204869999999998</v>
      </c>
      <c r="U72">
        <v>0.1661377</v>
      </c>
      <c r="V72">
        <v>1.757566E-2</v>
      </c>
      <c r="W72">
        <v>-5.6521519999999999E-2</v>
      </c>
      <c r="X72">
        <v>0.99824669999999904</v>
      </c>
      <c r="Y72">
        <v>-1.208122E-2</v>
      </c>
      <c r="Z72">
        <v>-3.4389860000000002E-3</v>
      </c>
      <c r="AA72">
        <v>0.99992110000000001</v>
      </c>
      <c r="AB72">
        <v>20</v>
      </c>
      <c r="AC72">
        <v>12.074</v>
      </c>
      <c r="AD72">
        <v>-1.1191120631980001</v>
      </c>
      <c r="AE72">
        <v>0.67409999999995296</v>
      </c>
      <c r="AF72">
        <v>-0.14561132455808901</v>
      </c>
      <c r="AG72">
        <v>-1.1191120631980001</v>
      </c>
      <c r="AH72">
        <v>11.9892316338013</v>
      </c>
      <c r="AI72">
        <v>95.332322721318207</v>
      </c>
      <c r="AJ72">
        <v>90.695833096698294</v>
      </c>
      <c r="AK72">
        <v>12.0422294296686</v>
      </c>
      <c r="AL72">
        <v>93.240171233974095</v>
      </c>
      <c r="AM72">
        <v>88.991324383957803</v>
      </c>
      <c r="AN72">
        <v>1.00000003005421</v>
      </c>
    </row>
    <row r="73" spans="1:40" x14ac:dyDescent="0.25">
      <c r="A73" t="str">
        <f>"20190303154732586"</f>
        <v>20190303154732586</v>
      </c>
      <c r="B73" t="str">
        <f>"1551599252580581"</f>
        <v>1551599252580581</v>
      </c>
      <c r="C73" t="s">
        <v>40</v>
      </c>
      <c r="D73">
        <v>5.2300170000000001</v>
      </c>
      <c r="E73">
        <v>0.48878369999999999</v>
      </c>
      <c r="F73" t="s">
        <v>42</v>
      </c>
      <c r="G73">
        <v>-466.99250000000001</v>
      </c>
      <c r="H73">
        <v>1.037296</v>
      </c>
      <c r="I73">
        <v>367.40649999999999</v>
      </c>
      <c r="J73">
        <v>-467.6739</v>
      </c>
      <c r="K73">
        <v>1.119173</v>
      </c>
      <c r="L73">
        <v>367.36579999999998</v>
      </c>
      <c r="M73">
        <v>0.9990462</v>
      </c>
      <c r="N73" s="1">
        <v>8.5530529999999999E-5</v>
      </c>
      <c r="O73">
        <v>4.3665349999999999E-2</v>
      </c>
      <c r="P73">
        <v>0.99803090000000005</v>
      </c>
      <c r="Q73">
        <v>-5.7157779999999998E-2</v>
      </c>
      <c r="R73">
        <v>2.5834469999999998E-2</v>
      </c>
      <c r="S73">
        <v>2.9859010000000001</v>
      </c>
      <c r="T73">
        <v>-0.27564429999999901</v>
      </c>
      <c r="U73">
        <v>0.16799929999999999</v>
      </c>
      <c r="V73">
        <v>1.7761740000000002E-2</v>
      </c>
      <c r="W73">
        <v>-5.7245560000000001E-2</v>
      </c>
      <c r="X73">
        <v>0.99820209999999998</v>
      </c>
      <c r="Y73">
        <v>-1.265701E-2</v>
      </c>
      <c r="Z73">
        <v>-3.4388270000000002E-3</v>
      </c>
      <c r="AA73">
        <v>0.99991399999999997</v>
      </c>
      <c r="AB73">
        <v>20</v>
      </c>
      <c r="AC73">
        <v>0.68139999999999601</v>
      </c>
      <c r="AD73">
        <v>-8.1876999999999894E-2</v>
      </c>
      <c r="AE73">
        <v>4.0700000000015203E-2</v>
      </c>
      <c r="AF73">
        <v>-1.0752907958583399E-2</v>
      </c>
      <c r="AG73">
        <v>-8.1876999999999894E-2</v>
      </c>
      <c r="AH73">
        <v>0.67284696085061801</v>
      </c>
      <c r="AI73">
        <v>96.937185804570106</v>
      </c>
      <c r="AJ73">
        <v>90.9155778910648</v>
      </c>
      <c r="AK73">
        <v>0.67789564158834903</v>
      </c>
      <c r="AL73">
        <v>93.281723104124296</v>
      </c>
      <c r="AM73">
        <v>88.980601869013498</v>
      </c>
      <c r="AN73">
        <v>0.99999998299597503</v>
      </c>
    </row>
    <row r="74" spans="1:40" x14ac:dyDescent="0.25">
      <c r="A74" t="str">
        <f>"20190303154732607"</f>
        <v>20190303154732607</v>
      </c>
      <c r="B74" t="str">
        <f>"1551599252601077"</f>
        <v>1551599252601077</v>
      </c>
      <c r="C74" t="s">
        <v>40</v>
      </c>
      <c r="D74">
        <v>5.2908280000000003</v>
      </c>
      <c r="E74">
        <v>0.48863659999999998</v>
      </c>
      <c r="F74" t="s">
        <v>42</v>
      </c>
      <c r="G74">
        <v>-466.8091</v>
      </c>
      <c r="H74">
        <v>1.0390299999999999</v>
      </c>
      <c r="I74">
        <v>367.41359999999997</v>
      </c>
      <c r="J74">
        <v>-467.47500000000002</v>
      </c>
      <c r="K74">
        <v>1.11924</v>
      </c>
      <c r="L74">
        <v>367.37450000000001</v>
      </c>
      <c r="M74">
        <v>0.99904510000000002</v>
      </c>
      <c r="N74">
        <v>-3.6514099999999998E-4</v>
      </c>
      <c r="O74">
        <v>4.3692519999999999E-2</v>
      </c>
      <c r="P74">
        <v>0.99796499999999999</v>
      </c>
      <c r="Q74">
        <v>-5.8383070000000002E-2</v>
      </c>
      <c r="R74">
        <v>2.5642180000000001E-2</v>
      </c>
      <c r="S74">
        <v>2.9857179999999999</v>
      </c>
      <c r="T74">
        <v>-0.27695360000000002</v>
      </c>
      <c r="U74">
        <v>0.16659549999999901</v>
      </c>
      <c r="V74">
        <v>1.797752E-2</v>
      </c>
      <c r="W74">
        <v>-5.8021179999999999E-2</v>
      </c>
      <c r="X74">
        <v>0.99815339999999997</v>
      </c>
      <c r="Y74">
        <v>-1.216601E-2</v>
      </c>
      <c r="Z74">
        <v>-3.4581400000000002E-3</v>
      </c>
      <c r="AA74">
        <v>0.99992000000000003</v>
      </c>
      <c r="AB74">
        <v>20</v>
      </c>
      <c r="AC74">
        <v>0.66590000000002103</v>
      </c>
      <c r="AD74">
        <v>-8.0210000000000101E-2</v>
      </c>
      <c r="AE74">
        <v>3.9099999999962103E-2</v>
      </c>
      <c r="AF74">
        <v>-9.8257412537551894E-3</v>
      </c>
      <c r="AG74">
        <v>-8.0210000000000101E-2</v>
      </c>
      <c r="AH74">
        <v>0.65746602796619202</v>
      </c>
      <c r="AI74">
        <v>96.954868927698001</v>
      </c>
      <c r="AJ74">
        <v>90.856213968340299</v>
      </c>
      <c r="AK74">
        <v>0.66241359226757102</v>
      </c>
      <c r="AL74">
        <v>93.326237027552395</v>
      </c>
      <c r="AM74">
        <v>88.968169956015799</v>
      </c>
      <c r="AN74">
        <v>0.99999992924274805</v>
      </c>
    </row>
    <row r="75" spans="1:40" x14ac:dyDescent="0.25">
      <c r="A75" t="str">
        <f>"20190303154732629"</f>
        <v>20190303154732629</v>
      </c>
      <c r="B75" t="str">
        <f>"1551599252620597"</f>
        <v>1551599252620597</v>
      </c>
      <c r="C75" t="s">
        <v>40</v>
      </c>
      <c r="D75">
        <v>5.2880539999999998</v>
      </c>
      <c r="E75">
        <v>0.48862610000000001</v>
      </c>
      <c r="F75" t="s">
        <v>42</v>
      </c>
      <c r="G75">
        <v>-466.6259</v>
      </c>
      <c r="H75">
        <v>1.03901</v>
      </c>
      <c r="I75">
        <v>367.42180000000002</v>
      </c>
      <c r="J75">
        <v>-467.27330000000001</v>
      </c>
      <c r="K75">
        <v>1.1193109999999999</v>
      </c>
      <c r="L75">
        <v>367.38330000000002</v>
      </c>
      <c r="M75">
        <v>0.99904400000000004</v>
      </c>
      <c r="N75">
        <v>-7.9843939999999999E-4</v>
      </c>
      <c r="O75">
        <v>4.3706670000000003E-2</v>
      </c>
      <c r="P75">
        <v>0.99788750000000004</v>
      </c>
      <c r="Q75">
        <v>-5.981293E-2</v>
      </c>
      <c r="R75">
        <v>2.535923E-2</v>
      </c>
      <c r="S75">
        <v>2.9852910000000001</v>
      </c>
      <c r="T75">
        <v>-0.28228959999999997</v>
      </c>
      <c r="U75">
        <v>0.1668396</v>
      </c>
      <c r="V75">
        <v>1.8271949999999999E-2</v>
      </c>
      <c r="W75">
        <v>-5.9018319999999999E-2</v>
      </c>
      <c r="X75">
        <v>0.99808969999999997</v>
      </c>
      <c r="Y75">
        <v>-1.224424E-2</v>
      </c>
      <c r="Z75">
        <v>-3.5013919999999999E-3</v>
      </c>
      <c r="AA75">
        <v>0.99991890000000005</v>
      </c>
      <c r="AB75">
        <v>20</v>
      </c>
      <c r="AC75">
        <v>0.64740000000000397</v>
      </c>
      <c r="AD75">
        <v>-8.0301000000000095E-2</v>
      </c>
      <c r="AE75">
        <v>3.8499999999999E-2</v>
      </c>
      <c r="AF75">
        <v>-1.00139782023846E-2</v>
      </c>
      <c r="AG75">
        <v>-8.0301000000000095E-2</v>
      </c>
      <c r="AH75">
        <v>0.63867272561407995</v>
      </c>
      <c r="AI75">
        <v>97.165383414166897</v>
      </c>
      <c r="AJ75">
        <v>90.898287421731794</v>
      </c>
      <c r="AK75">
        <v>0.64377898443779302</v>
      </c>
      <c r="AL75">
        <v>93.383466657890295</v>
      </c>
      <c r="AM75">
        <v>88.951207804779798</v>
      </c>
      <c r="AN75">
        <v>1.0000000377492499</v>
      </c>
    </row>
    <row r="76" spans="1:40" x14ac:dyDescent="0.25">
      <c r="A76" t="str">
        <f>"20190303154732650"</f>
        <v>20190303154732650</v>
      </c>
      <c r="B76" t="str">
        <f>"1551599252641092"</f>
        <v>1551599252641092</v>
      </c>
      <c r="C76" t="s">
        <v>40</v>
      </c>
      <c r="D76">
        <v>5.3093669999999999</v>
      </c>
      <c r="E76">
        <v>0.48853390000000002</v>
      </c>
      <c r="F76" t="s">
        <v>42</v>
      </c>
      <c r="G76">
        <v>-466.44139999999999</v>
      </c>
      <c r="H76">
        <v>1.039447</v>
      </c>
      <c r="I76">
        <v>367.42939999999999</v>
      </c>
      <c r="J76">
        <v>-467.07780000000002</v>
      </c>
      <c r="K76">
        <v>1.1193759999999999</v>
      </c>
      <c r="L76">
        <v>367.39179999999999</v>
      </c>
      <c r="M76">
        <v>0.99904329999999997</v>
      </c>
      <c r="N76">
        <v>-1.197116E-3</v>
      </c>
      <c r="O76">
        <v>4.3714870000000003E-2</v>
      </c>
      <c r="P76">
        <v>0.99790210000000001</v>
      </c>
      <c r="Q76">
        <v>-5.974931E-2</v>
      </c>
      <c r="R76">
        <v>2.4935059999999998E-2</v>
      </c>
      <c r="S76">
        <v>2.9848940000000002</v>
      </c>
      <c r="T76">
        <v>-0.28674040000000001</v>
      </c>
      <c r="U76">
        <v>0.16622919999999999</v>
      </c>
      <c r="V76">
        <v>1.8706319999999999E-2</v>
      </c>
      <c r="W76">
        <v>-5.8556249999999997E-2</v>
      </c>
      <c r="X76">
        <v>0.99810880000000002</v>
      </c>
      <c r="Y76">
        <v>-1.2043099999999999E-2</v>
      </c>
      <c r="Z76">
        <v>-3.548168E-3</v>
      </c>
      <c r="AA76">
        <v>0.99992119999999995</v>
      </c>
      <c r="AB76">
        <v>20</v>
      </c>
      <c r="AC76">
        <v>0.63640000000003705</v>
      </c>
      <c r="AD76">
        <v>-7.9928999999999903E-2</v>
      </c>
      <c r="AE76">
        <v>3.7599999999997601E-2</v>
      </c>
      <c r="AF76">
        <v>-9.5930947177654598E-3</v>
      </c>
      <c r="AG76">
        <v>-7.9928999999999903E-2</v>
      </c>
      <c r="AH76">
        <v>0.62757030371046796</v>
      </c>
      <c r="AI76">
        <v>97.257424289285197</v>
      </c>
      <c r="AJ76">
        <v>90.875760104966304</v>
      </c>
      <c r="AK76">
        <v>0.63271254026335899</v>
      </c>
      <c r="AL76">
        <v>93.356946363374007</v>
      </c>
      <c r="AM76">
        <v>88.926301699565101</v>
      </c>
      <c r="AN76">
        <v>0.99999996872972197</v>
      </c>
    </row>
    <row r="77" spans="1:40" x14ac:dyDescent="0.25">
      <c r="A77" t="str">
        <f>"20190303154732672"</f>
        <v>20190303154732672</v>
      </c>
      <c r="B77" t="str">
        <f>"1551599252660612"</f>
        <v>1551599252660612</v>
      </c>
      <c r="C77" t="s">
        <v>40</v>
      </c>
      <c r="D77">
        <v>5.3304210000000003</v>
      </c>
      <c r="E77">
        <v>0.48838989999999999</v>
      </c>
      <c r="F77" t="s">
        <v>42</v>
      </c>
      <c r="G77">
        <v>-466.25540000000001</v>
      </c>
      <c r="H77">
        <v>1.040295</v>
      </c>
      <c r="I77">
        <v>367.43729999999999</v>
      </c>
      <c r="J77">
        <v>-466.87740000000002</v>
      </c>
      <c r="K77">
        <v>1.1194390000000001</v>
      </c>
      <c r="L77">
        <v>367.4006</v>
      </c>
      <c r="M77">
        <v>0.9990424</v>
      </c>
      <c r="N77">
        <v>-1.5962019999999999E-3</v>
      </c>
      <c r="O77">
        <v>4.3724840000000001E-2</v>
      </c>
      <c r="P77">
        <v>0.99787490000000001</v>
      </c>
      <c r="Q77">
        <v>-6.0371130000000002E-2</v>
      </c>
      <c r="R77">
        <v>2.452302E-2</v>
      </c>
      <c r="S77">
        <v>2.9850159999999999</v>
      </c>
      <c r="T77">
        <v>-0.2871957</v>
      </c>
      <c r="U77">
        <v>0.16567989999999999</v>
      </c>
      <c r="V77">
        <v>1.9128869999999999E-2</v>
      </c>
      <c r="W77">
        <v>-5.8779159999999997E-2</v>
      </c>
      <c r="X77">
        <v>0.99808770000000002</v>
      </c>
      <c r="Y77">
        <v>-1.184691E-2</v>
      </c>
      <c r="Z77">
        <v>-3.5444370000000001E-3</v>
      </c>
      <c r="AA77">
        <v>0.99992349999999997</v>
      </c>
      <c r="AB77">
        <v>21</v>
      </c>
      <c r="AC77">
        <v>0.62200000000001399</v>
      </c>
      <c r="AD77">
        <v>-7.9143999999999798E-2</v>
      </c>
      <c r="AE77">
        <v>3.6699999999996097E-2</v>
      </c>
      <c r="AF77">
        <v>-9.3176842123212401E-3</v>
      </c>
      <c r="AG77">
        <v>-7.9143999999999798E-2</v>
      </c>
      <c r="AH77">
        <v>0.61311769998673105</v>
      </c>
      <c r="AI77">
        <v>97.354484391149896</v>
      </c>
      <c r="AJ77">
        <v>90.870669508161399</v>
      </c>
      <c r="AK77">
        <v>0.61827494370393099</v>
      </c>
      <c r="AL77">
        <v>93.369740164171702</v>
      </c>
      <c r="AM77">
        <v>88.902031000094993</v>
      </c>
      <c r="AN77">
        <v>0.99999998010453595</v>
      </c>
    </row>
    <row r="78" spans="1:40" x14ac:dyDescent="0.25">
      <c r="A78" t="str">
        <f>"20190303154732694"</f>
        <v>20190303154732694</v>
      </c>
      <c r="B78" t="str">
        <f>"1551599252690869"</f>
        <v>1551599252690869</v>
      </c>
      <c r="C78" t="s">
        <v>40</v>
      </c>
      <c r="D78">
        <v>5.3028430000000002</v>
      </c>
      <c r="E78">
        <v>0.48827599999999999</v>
      </c>
      <c r="F78" t="s">
        <v>42</v>
      </c>
      <c r="G78">
        <v>-466.06880000000001</v>
      </c>
      <c r="H78">
        <v>1.0408550000000001</v>
      </c>
      <c r="I78">
        <v>367.44479999999999</v>
      </c>
      <c r="J78">
        <v>-466.66520000000003</v>
      </c>
      <c r="K78">
        <v>1.119505</v>
      </c>
      <c r="L78">
        <v>367.41</v>
      </c>
      <c r="M78">
        <v>0.99904099999999996</v>
      </c>
      <c r="N78">
        <v>-2.0282070000000002E-3</v>
      </c>
      <c r="O78">
        <v>4.374227E-2</v>
      </c>
      <c r="P78">
        <v>0.99786819999999998</v>
      </c>
      <c r="Q78">
        <v>-6.062932E-2</v>
      </c>
      <c r="R78">
        <v>2.415782E-2</v>
      </c>
      <c r="S78">
        <v>2.984772</v>
      </c>
      <c r="T78">
        <v>-0.2904775</v>
      </c>
      <c r="U78">
        <v>0.16546629999999901</v>
      </c>
      <c r="V78">
        <v>1.9512789999999999E-2</v>
      </c>
      <c r="W78">
        <v>-5.8605629999999999E-2</v>
      </c>
      <c r="X78">
        <v>0.99809049999999999</v>
      </c>
      <c r="Y78">
        <v>-1.176434E-2</v>
      </c>
      <c r="Z78">
        <v>-3.570293E-3</v>
      </c>
      <c r="AA78">
        <v>0.99992440000000005</v>
      </c>
      <c r="AB78">
        <v>21</v>
      </c>
      <c r="AC78">
        <v>0.59640000000001603</v>
      </c>
      <c r="AD78">
        <v>-7.8650000000000095E-2</v>
      </c>
      <c r="AE78">
        <v>3.4799999999961501E-2</v>
      </c>
      <c r="AF78">
        <v>-8.5308964051244805E-3</v>
      </c>
      <c r="AG78">
        <v>-7.8650000000000095E-2</v>
      </c>
      <c r="AH78">
        <v>0.58717453953115994</v>
      </c>
      <c r="AI78">
        <v>97.628365657351097</v>
      </c>
      <c r="AJ78">
        <v>90.832375962240306</v>
      </c>
      <c r="AK78">
        <v>0.59247999001409701</v>
      </c>
      <c r="AL78">
        <v>93.359780365757004</v>
      </c>
      <c r="AM78">
        <v>88.880003255996698</v>
      </c>
      <c r="AN78">
        <v>1.00000000751576</v>
      </c>
    </row>
    <row r="79" spans="1:40" x14ac:dyDescent="0.25">
      <c r="A79" t="str">
        <f>"20190303154732717"</f>
        <v>20190303154732717</v>
      </c>
      <c r="B79" t="str">
        <f>"1551599252710389"</f>
        <v>1551599252710389</v>
      </c>
      <c r="C79" t="s">
        <v>40</v>
      </c>
      <c r="D79">
        <v>5.3651770000000001</v>
      </c>
      <c r="E79">
        <v>0.48821759999999997</v>
      </c>
      <c r="F79" t="s">
        <v>42</v>
      </c>
      <c r="G79">
        <v>-465.88010000000003</v>
      </c>
      <c r="H79">
        <v>1.0426869999999999</v>
      </c>
      <c r="I79">
        <v>367.45319999999998</v>
      </c>
      <c r="J79">
        <v>-466.44839999999999</v>
      </c>
      <c r="K79">
        <v>1.1195759999999999</v>
      </c>
      <c r="L79">
        <v>367.41950000000003</v>
      </c>
      <c r="M79">
        <v>0.9990386</v>
      </c>
      <c r="N79">
        <v>-2.4990569999999998E-3</v>
      </c>
      <c r="O79">
        <v>4.3769089999999997E-2</v>
      </c>
      <c r="P79">
        <v>0.99784629999999996</v>
      </c>
      <c r="Q79">
        <v>-6.1136679999999999E-2</v>
      </c>
      <c r="R79">
        <v>2.3775250000000001E-2</v>
      </c>
      <c r="S79">
        <v>2.9846499999999998</v>
      </c>
      <c r="T79">
        <v>-0.29219840000000002</v>
      </c>
      <c r="U79">
        <v>0.16516110000000001</v>
      </c>
      <c r="V79">
        <v>1.9922019999999999E-2</v>
      </c>
      <c r="W79">
        <v>-5.8642729999999997E-2</v>
      </c>
      <c r="X79">
        <v>0.99808030000000003</v>
      </c>
      <c r="Y79">
        <v>-1.1638020000000001E-2</v>
      </c>
      <c r="Z79">
        <v>-3.5776480000000001E-3</v>
      </c>
      <c r="AA79">
        <v>0.99992590000000003</v>
      </c>
      <c r="AB79">
        <v>21</v>
      </c>
      <c r="AC79">
        <v>0.56829999999996506</v>
      </c>
      <c r="AD79">
        <v>-7.6888999999999902E-2</v>
      </c>
      <c r="AE79">
        <v>3.3699999999953399E-2</v>
      </c>
      <c r="AF79">
        <v>-8.6361224797835007E-3</v>
      </c>
      <c r="AG79">
        <v>-7.6888999999999902E-2</v>
      </c>
      <c r="AH79">
        <v>0.55903308114189798</v>
      </c>
      <c r="AI79">
        <v>97.830361851751505</v>
      </c>
      <c r="AJ79">
        <v>90.885053191428895</v>
      </c>
      <c r="AK79">
        <v>0.56436201745288395</v>
      </c>
      <c r="AL79">
        <v>93.361909487831298</v>
      </c>
      <c r="AM79">
        <v>88.856508728193603</v>
      </c>
      <c r="AN79">
        <v>1.0000000709554</v>
      </c>
    </row>
    <row r="80" spans="1:40" x14ac:dyDescent="0.25">
      <c r="A80" t="str">
        <f>"20190303154732739"</f>
        <v>20190303154732739</v>
      </c>
      <c r="B80" t="str">
        <f>"1551599252730885"</f>
        <v>1551599252730885</v>
      </c>
      <c r="C80" t="s">
        <v>40</v>
      </c>
      <c r="D80">
        <v>5.3029460000000004</v>
      </c>
      <c r="E80">
        <v>0.48807919999999999</v>
      </c>
      <c r="F80" t="s">
        <v>42</v>
      </c>
      <c r="G80">
        <v>-465.68810000000002</v>
      </c>
      <c r="H80">
        <v>1.044745</v>
      </c>
      <c r="I80">
        <v>367.46089999999998</v>
      </c>
      <c r="J80">
        <v>-466.24450000000002</v>
      </c>
      <c r="K80">
        <v>1.119637</v>
      </c>
      <c r="L80">
        <v>367.42840000000001</v>
      </c>
      <c r="M80">
        <v>0.99903600000000004</v>
      </c>
      <c r="N80">
        <v>-2.9740109999999999E-3</v>
      </c>
      <c r="O80">
        <v>4.3802220000000003E-2</v>
      </c>
      <c r="P80">
        <v>0.99779479999999998</v>
      </c>
      <c r="Q80">
        <v>-6.1988790000000002E-2</v>
      </c>
      <c r="R80">
        <v>2.373024E-2</v>
      </c>
      <c r="S80">
        <v>2.9845890000000002</v>
      </c>
      <c r="T80">
        <v>-0.29395880000000002</v>
      </c>
      <c r="U80">
        <v>0.16439819999999999</v>
      </c>
      <c r="V80">
        <v>1.999857E-2</v>
      </c>
      <c r="W80">
        <v>-5.9020719999999999E-2</v>
      </c>
      <c r="X80">
        <v>0.99805639999999995</v>
      </c>
      <c r="Y80">
        <v>-1.13522E-2</v>
      </c>
      <c r="Z80">
        <v>-3.5940479999999999E-3</v>
      </c>
      <c r="AA80">
        <v>0.99992910000000002</v>
      </c>
      <c r="AB80">
        <v>21</v>
      </c>
      <c r="AC80">
        <v>0.55639999999999601</v>
      </c>
      <c r="AD80">
        <v>-7.4891999999999903E-2</v>
      </c>
      <c r="AE80">
        <v>3.24999999999704E-2</v>
      </c>
      <c r="AF80">
        <v>-7.9535411845938295E-3</v>
      </c>
      <c r="AG80">
        <v>-7.4891999999999903E-2</v>
      </c>
      <c r="AH80">
        <v>0.54740569091644797</v>
      </c>
      <c r="AI80">
        <v>97.7896069664571</v>
      </c>
      <c r="AJ80">
        <v>90.832421522534005</v>
      </c>
      <c r="AK80">
        <v>0.55256226882505199</v>
      </c>
      <c r="AL80">
        <v>93.383604593728805</v>
      </c>
      <c r="AM80">
        <v>88.8520885766318</v>
      </c>
      <c r="AN80">
        <v>0.99999998288616099</v>
      </c>
    </row>
    <row r="81" spans="1:40" x14ac:dyDescent="0.25">
      <c r="A81" t="str">
        <f>"20190303154732763"</f>
        <v>20190303154732763</v>
      </c>
      <c r="B81" t="str">
        <f>"1551599252750405"</f>
        <v>1551599252750405</v>
      </c>
      <c r="C81" t="s">
        <v>40</v>
      </c>
      <c r="D81">
        <v>5.2687910000000002</v>
      </c>
      <c r="E81">
        <v>0.48812699999999998</v>
      </c>
      <c r="F81" t="s">
        <v>42</v>
      </c>
      <c r="G81">
        <v>-465.49430000000001</v>
      </c>
      <c r="H81">
        <v>1.0448980000000001</v>
      </c>
      <c r="I81">
        <v>367.46980000000002</v>
      </c>
      <c r="J81">
        <v>-466.02820000000003</v>
      </c>
      <c r="K81">
        <v>1.119712</v>
      </c>
      <c r="L81">
        <v>367.43799999999999</v>
      </c>
      <c r="M81">
        <v>0.99903229999999998</v>
      </c>
      <c r="N81">
        <v>-3.5052379999999999E-3</v>
      </c>
      <c r="O81">
        <v>4.3844010000000003E-2</v>
      </c>
      <c r="P81">
        <v>0.99771509999999997</v>
      </c>
      <c r="Q81">
        <v>-6.3207029999999997E-2</v>
      </c>
      <c r="R81">
        <v>2.386837E-2</v>
      </c>
      <c r="S81">
        <v>2.9842529999999998</v>
      </c>
      <c r="T81">
        <v>-0.297485099999999</v>
      </c>
      <c r="U81">
        <v>0.1652527</v>
      </c>
      <c r="V81">
        <v>1.9899139999999999E-2</v>
      </c>
      <c r="W81">
        <v>-5.9708949999999997E-2</v>
      </c>
      <c r="X81">
        <v>0.9980175</v>
      </c>
      <c r="Y81">
        <v>-1.160192E-2</v>
      </c>
      <c r="Z81">
        <v>-3.6040180000000001E-3</v>
      </c>
      <c r="AA81">
        <v>0.99992619999999999</v>
      </c>
      <c r="AB81">
        <v>21</v>
      </c>
      <c r="AC81">
        <v>0.53390000000001603</v>
      </c>
      <c r="AD81">
        <v>-7.4814000000000103E-2</v>
      </c>
      <c r="AE81">
        <v>3.1799999999975598E-2</v>
      </c>
      <c r="AF81">
        <v>-8.2005077537244692E-3</v>
      </c>
      <c r="AG81">
        <v>-7.4814000000000103E-2</v>
      </c>
      <c r="AH81">
        <v>0.52451797982481196</v>
      </c>
      <c r="AI81">
        <v>98.116583378013004</v>
      </c>
      <c r="AJ81">
        <v>90.895710395280901</v>
      </c>
      <c r="AK81">
        <v>0.52989007735842797</v>
      </c>
      <c r="AL81">
        <v>93.423106768047404</v>
      </c>
      <c r="AM81">
        <v>88.857749802323696</v>
      </c>
      <c r="AN81">
        <v>1.0000000323945399</v>
      </c>
    </row>
    <row r="82" spans="1:40" x14ac:dyDescent="0.25">
      <c r="A82" t="str">
        <f>"20190303154732785"</f>
        <v>20190303154732785</v>
      </c>
      <c r="B82" t="str">
        <f>"1551599252780661"</f>
        <v>1551599252780661</v>
      </c>
      <c r="C82" t="s">
        <v>40</v>
      </c>
      <c r="D82">
        <v>5.3538690000000004</v>
      </c>
      <c r="E82">
        <v>0.48810789999999998</v>
      </c>
      <c r="F82" t="s">
        <v>42</v>
      </c>
      <c r="G82">
        <v>-465.13459999999998</v>
      </c>
      <c r="H82">
        <v>1.0299879999999999</v>
      </c>
      <c r="I82">
        <v>367.4873</v>
      </c>
      <c r="J82">
        <v>-465.81220000000002</v>
      </c>
      <c r="K82">
        <v>1.1197839999999999</v>
      </c>
      <c r="L82">
        <v>367.44760000000002</v>
      </c>
      <c r="M82">
        <v>0.99902829999999998</v>
      </c>
      <c r="N82">
        <v>-4.0508840000000003E-3</v>
      </c>
      <c r="O82">
        <v>4.3888780000000002E-2</v>
      </c>
      <c r="P82">
        <v>0.9976777</v>
      </c>
      <c r="Q82">
        <v>-6.373848E-2</v>
      </c>
      <c r="R82">
        <v>2.4016249999999999E-2</v>
      </c>
      <c r="S82">
        <v>2.9839479999999998</v>
      </c>
      <c r="T82">
        <v>-0.299791799999999</v>
      </c>
      <c r="U82">
        <v>0.1655884</v>
      </c>
      <c r="V82">
        <v>1.9794630000000001E-2</v>
      </c>
      <c r="W82">
        <v>-5.9695909999999998E-2</v>
      </c>
      <c r="X82">
        <v>0.99802040000000003</v>
      </c>
      <c r="Y82">
        <v>-1.167439E-2</v>
      </c>
      <c r="Z82">
        <v>-3.607023E-3</v>
      </c>
      <c r="AA82">
        <v>0.99992539999999996</v>
      </c>
      <c r="AB82">
        <v>21</v>
      </c>
      <c r="AC82">
        <v>0.67760000000003995</v>
      </c>
      <c r="AD82">
        <v>-8.9796000000000195E-2</v>
      </c>
      <c r="AE82">
        <v>3.9699999999982E-2</v>
      </c>
      <c r="AF82">
        <v>-9.7517942373946207E-3</v>
      </c>
      <c r="AG82">
        <v>-8.9796000000000195E-2</v>
      </c>
      <c r="AH82">
        <v>0.66701559635520202</v>
      </c>
      <c r="AI82">
        <v>97.666453598846005</v>
      </c>
      <c r="AJ82">
        <v>90.8376068737862</v>
      </c>
      <c r="AK82">
        <v>0.67310342807620105</v>
      </c>
      <c r="AL82">
        <v>93.422358153671695</v>
      </c>
      <c r="AM82">
        <v>88.863750607988806</v>
      </c>
      <c r="AN82">
        <v>1.00000007393185</v>
      </c>
    </row>
    <row r="83" spans="1:40" x14ac:dyDescent="0.25">
      <c r="A83" t="str">
        <f>"20190303154732806"</f>
        <v>20190303154732806</v>
      </c>
      <c r="B83" t="str">
        <f>"1551599252801156"</f>
        <v>1551599252801156</v>
      </c>
      <c r="C83" t="s">
        <v>40</v>
      </c>
      <c r="D83">
        <v>5.3026939999999998</v>
      </c>
      <c r="E83">
        <v>0.48817080000000002</v>
      </c>
      <c r="F83" t="s">
        <v>42</v>
      </c>
      <c r="G83">
        <v>-464.9436</v>
      </c>
      <c r="H83">
        <v>1.0320929999999999</v>
      </c>
      <c r="I83">
        <v>367.49560000000002</v>
      </c>
      <c r="J83">
        <v>-465.61149999999998</v>
      </c>
      <c r="K83">
        <v>1.11985</v>
      </c>
      <c r="L83">
        <v>367.45650000000001</v>
      </c>
      <c r="M83">
        <v>0.99902429999999998</v>
      </c>
      <c r="N83">
        <v>-4.5532630000000001E-3</v>
      </c>
      <c r="O83">
        <v>4.3931640000000001E-2</v>
      </c>
      <c r="P83">
        <v>0.99755479999999996</v>
      </c>
      <c r="Q83">
        <v>-6.5563650000000001E-2</v>
      </c>
      <c r="R83">
        <v>2.4210579999999999E-2</v>
      </c>
      <c r="S83">
        <v>2.983765</v>
      </c>
      <c r="T83">
        <v>-0.301367</v>
      </c>
      <c r="U83">
        <v>0.1660461</v>
      </c>
      <c r="V83">
        <v>1.9638160000000002E-2</v>
      </c>
      <c r="W83">
        <v>-6.1020150000000002E-2</v>
      </c>
      <c r="X83">
        <v>0.99794329999999998</v>
      </c>
      <c r="Y83">
        <v>-1.178652E-2</v>
      </c>
      <c r="Z83">
        <v>-3.6004280000000001E-3</v>
      </c>
      <c r="AA83">
        <v>0.99992409999999998</v>
      </c>
      <c r="AB83">
        <v>21</v>
      </c>
      <c r="AC83">
        <v>0.66789999999997396</v>
      </c>
      <c r="AD83">
        <v>-8.7757000000000002E-2</v>
      </c>
      <c r="AE83">
        <v>3.9100000000019002E-2</v>
      </c>
      <c r="AF83">
        <v>-9.5556030051482197E-3</v>
      </c>
      <c r="AG83">
        <v>-8.7757000000000002E-2</v>
      </c>
      <c r="AH83">
        <v>0.65765789286553</v>
      </c>
      <c r="AI83">
        <v>97.599780890781204</v>
      </c>
      <c r="AJ83">
        <v>90.832434622609696</v>
      </c>
      <c r="AK83">
        <v>0.663555954419913</v>
      </c>
      <c r="AL83">
        <v>93.498370455767798</v>
      </c>
      <c r="AM83">
        <v>88.872642887421406</v>
      </c>
      <c r="AN83">
        <v>0.99999997302454802</v>
      </c>
    </row>
    <row r="84" spans="1:40" x14ac:dyDescent="0.25">
      <c r="A84" t="str">
        <f>"20190303154732829"</f>
        <v>20190303154732829</v>
      </c>
      <c r="B84" t="str">
        <f>"1551599252820677"</f>
        <v>1551599252820677</v>
      </c>
      <c r="C84" t="s">
        <v>40</v>
      </c>
      <c r="D84">
        <v>5.2854010000000002</v>
      </c>
      <c r="E84">
        <v>0.48818329999999999</v>
      </c>
      <c r="F84" t="s">
        <v>42</v>
      </c>
      <c r="G84">
        <v>-464.75330000000002</v>
      </c>
      <c r="H84">
        <v>1.031962</v>
      </c>
      <c r="I84">
        <v>367.50400000000002</v>
      </c>
      <c r="J84">
        <v>-465.39280000000002</v>
      </c>
      <c r="K84">
        <v>1.1199190000000001</v>
      </c>
      <c r="L84">
        <v>367.46609999999998</v>
      </c>
      <c r="M84">
        <v>0.99901949999999995</v>
      </c>
      <c r="N84">
        <v>-5.0951479999999999E-3</v>
      </c>
      <c r="O84">
        <v>4.3978089999999997E-2</v>
      </c>
      <c r="P84">
        <v>0.99747050000000004</v>
      </c>
      <c r="Q84">
        <v>-6.6838610000000007E-2</v>
      </c>
      <c r="R84">
        <v>2.4191029999999999E-2</v>
      </c>
      <c r="S84">
        <v>2.983215</v>
      </c>
      <c r="T84">
        <v>-0.30568440000000002</v>
      </c>
      <c r="U84">
        <v>0.16622919999999999</v>
      </c>
      <c r="V84">
        <v>1.9700599999999999E-2</v>
      </c>
      <c r="W84">
        <v>-6.1754719999999999E-2</v>
      </c>
      <c r="X84">
        <v>0.99789689999999998</v>
      </c>
      <c r="Y84">
        <v>-1.181317E-2</v>
      </c>
      <c r="Z84">
        <v>-3.6318050000000001E-3</v>
      </c>
      <c r="AA84">
        <v>0.99992360000000002</v>
      </c>
      <c r="AB84">
        <v>21</v>
      </c>
      <c r="AC84">
        <v>0.63949999999999796</v>
      </c>
      <c r="AD84">
        <v>-8.7956999999999994E-2</v>
      </c>
      <c r="AE84">
        <v>3.7900000000036002E-2</v>
      </c>
      <c r="AF84">
        <v>-9.5587832343210499E-3</v>
      </c>
      <c r="AG84">
        <v>-8.7956999999999994E-2</v>
      </c>
      <c r="AH84">
        <v>0.62869642874387499</v>
      </c>
      <c r="AI84">
        <v>97.963294130099797</v>
      </c>
      <c r="AJ84">
        <v>90.871065455417593</v>
      </c>
      <c r="AK84">
        <v>0.63489133219884397</v>
      </c>
      <c r="AL84">
        <v>93.5405376816651</v>
      </c>
      <c r="AM84">
        <v>88.869006785392997</v>
      </c>
      <c r="AN84">
        <v>0.99999999105612403</v>
      </c>
    </row>
    <row r="85" spans="1:40" x14ac:dyDescent="0.25">
      <c r="A85" t="str">
        <f>"20190303154732854"</f>
        <v>20190303154732854</v>
      </c>
      <c r="B85" t="str">
        <f>"1551599252850933"</f>
        <v>1551599252850933</v>
      </c>
      <c r="C85" t="s">
        <v>40</v>
      </c>
      <c r="D85">
        <v>5.3080730000000003</v>
      </c>
      <c r="E85">
        <v>0.48824240000000002</v>
      </c>
      <c r="F85" t="s">
        <v>42</v>
      </c>
      <c r="G85">
        <v>-464.56110000000001</v>
      </c>
      <c r="H85">
        <v>1.0339020000000001</v>
      </c>
      <c r="I85">
        <v>367.51209999999998</v>
      </c>
      <c r="J85">
        <v>-465.15159999999997</v>
      </c>
      <c r="K85">
        <v>1.1200030000000001</v>
      </c>
      <c r="L85">
        <v>367.47680000000003</v>
      </c>
      <c r="M85">
        <v>0.99901410000000002</v>
      </c>
      <c r="N85">
        <v>-5.7194979999999999E-3</v>
      </c>
      <c r="O85">
        <v>4.4027480000000001E-2</v>
      </c>
      <c r="P85">
        <v>0.99738749999999998</v>
      </c>
      <c r="Q85">
        <v>-6.821903E-2</v>
      </c>
      <c r="R85">
        <v>2.3761939999999999E-2</v>
      </c>
      <c r="S85">
        <v>2.9828800000000002</v>
      </c>
      <c r="T85">
        <v>-0.3087472</v>
      </c>
      <c r="U85">
        <v>0.16595460000000001</v>
      </c>
      <c r="V85">
        <v>2.017528E-2</v>
      </c>
      <c r="W85">
        <v>-6.2512529999999997E-2</v>
      </c>
      <c r="X85">
        <v>0.99784019999999995</v>
      </c>
      <c r="Y85">
        <v>-1.1679119999999999E-2</v>
      </c>
      <c r="Z85">
        <v>-3.6520060000000002E-3</v>
      </c>
      <c r="AA85">
        <v>0.99992510000000001</v>
      </c>
      <c r="AB85">
        <v>21</v>
      </c>
      <c r="AC85">
        <v>0.59049999999996305</v>
      </c>
      <c r="AD85">
        <v>-8.61009999999999E-2</v>
      </c>
      <c r="AE85">
        <v>3.5299999999949698E-2</v>
      </c>
      <c r="AF85">
        <v>-9.0748703292563397E-3</v>
      </c>
      <c r="AG85">
        <v>-8.61009999999999E-2</v>
      </c>
      <c r="AH85">
        <v>0.57921102694738003</v>
      </c>
      <c r="AI85">
        <v>98.454204805786901</v>
      </c>
      <c r="AJ85">
        <v>90.897616251285697</v>
      </c>
      <c r="AK85">
        <v>0.58564592477872801</v>
      </c>
      <c r="AL85">
        <v>93.584041159220504</v>
      </c>
      <c r="AM85">
        <v>88.841697385761293</v>
      </c>
      <c r="AN85">
        <v>0.99999996153305803</v>
      </c>
    </row>
    <row r="86" spans="1:40" x14ac:dyDescent="0.25">
      <c r="A86" t="str">
        <f>"20190303154732872"</f>
        <v>20190303154732872</v>
      </c>
      <c r="B86" t="str">
        <f>"1551599252860692"</f>
        <v>1551599252860692</v>
      </c>
      <c r="C86" t="s">
        <v>40</v>
      </c>
      <c r="D86">
        <v>5.3002979999999997</v>
      </c>
      <c r="E86">
        <v>0.48825059999999898</v>
      </c>
      <c r="F86" t="s">
        <v>42</v>
      </c>
      <c r="G86">
        <v>-464.36709999999999</v>
      </c>
      <c r="H86">
        <v>1.03806</v>
      </c>
      <c r="I86">
        <v>367.51979999999998</v>
      </c>
      <c r="J86">
        <v>-464.98250000000002</v>
      </c>
      <c r="K86">
        <v>1.1200669999999999</v>
      </c>
      <c r="L86">
        <v>367.48430000000002</v>
      </c>
      <c r="M86">
        <v>0.9990097</v>
      </c>
      <c r="N86">
        <v>-6.1951609999999898E-3</v>
      </c>
      <c r="O86">
        <v>4.4062919999999998E-2</v>
      </c>
      <c r="P86">
        <v>0.99736409999999998</v>
      </c>
      <c r="Q86">
        <v>-6.8754029999999994E-2</v>
      </c>
      <c r="R86">
        <v>2.3196370000000001E-2</v>
      </c>
      <c r="S86">
        <v>2.982666</v>
      </c>
      <c r="T86">
        <v>-0.31167909999999999</v>
      </c>
      <c r="U86">
        <v>0.16436770000000001</v>
      </c>
      <c r="V86">
        <v>2.0775180000000001E-2</v>
      </c>
      <c r="W86">
        <v>-6.2573080000000003E-2</v>
      </c>
      <c r="X86">
        <v>0.99782409999999999</v>
      </c>
      <c r="Y86">
        <v>-1.112117E-2</v>
      </c>
      <c r="Z86">
        <v>-3.7001249999999999E-3</v>
      </c>
      <c r="AA86">
        <v>0.99993129999999997</v>
      </c>
      <c r="AB86">
        <v>21</v>
      </c>
      <c r="AC86">
        <v>0.61540000000002204</v>
      </c>
      <c r="AD86">
        <v>-8.2006999999999899E-2</v>
      </c>
      <c r="AE86">
        <v>3.5499999999956303E-2</v>
      </c>
      <c r="AF86">
        <v>-8.2034903177700801E-3</v>
      </c>
      <c r="AG86">
        <v>-8.2006999999999899E-2</v>
      </c>
      <c r="AH86">
        <v>0.60564730165079905</v>
      </c>
      <c r="AI86">
        <v>97.710474721244694</v>
      </c>
      <c r="AJ86">
        <v>90.776023652157207</v>
      </c>
      <c r="AK86">
        <v>0.61122917085107098</v>
      </c>
      <c r="AL86">
        <v>93.5875172061412</v>
      </c>
      <c r="AM86">
        <v>88.807246510072105</v>
      </c>
      <c r="AN86">
        <v>0.99999996649276301</v>
      </c>
    </row>
    <row r="87" spans="1:40" x14ac:dyDescent="0.25">
      <c r="A87" t="str">
        <f>"20190303154732895"</f>
        <v>20190303154732895</v>
      </c>
      <c r="B87" t="str">
        <f>"1551599252890949"</f>
        <v>1551599252890949</v>
      </c>
      <c r="C87" t="s">
        <v>40</v>
      </c>
      <c r="D87">
        <v>5.3303580000000004</v>
      </c>
      <c r="E87">
        <v>0.48831000000000002</v>
      </c>
      <c r="F87" t="s">
        <v>42</v>
      </c>
      <c r="G87">
        <v>-464.17829999999998</v>
      </c>
      <c r="H87">
        <v>1.0357229999999999</v>
      </c>
      <c r="I87">
        <v>367.52780000000001</v>
      </c>
      <c r="J87">
        <v>-464.76139999999998</v>
      </c>
      <c r="K87">
        <v>1.120163</v>
      </c>
      <c r="L87">
        <v>367.49400000000003</v>
      </c>
      <c r="M87">
        <v>0.99900330000000004</v>
      </c>
      <c r="N87">
        <v>-6.8678949999999997E-3</v>
      </c>
      <c r="O87">
        <v>4.4104829999999998E-2</v>
      </c>
      <c r="P87">
        <v>0.99731939999999997</v>
      </c>
      <c r="Q87">
        <v>-6.9593360000000007E-2</v>
      </c>
      <c r="R87">
        <v>2.2600430000000001E-2</v>
      </c>
      <c r="S87">
        <v>2.9825740000000001</v>
      </c>
      <c r="T87">
        <v>-0.31303730000000002</v>
      </c>
      <c r="U87">
        <v>0.1626282</v>
      </c>
      <c r="V87">
        <v>2.141113E-2</v>
      </c>
      <c r="W87">
        <v>-6.2741400000000003E-2</v>
      </c>
      <c r="X87">
        <v>0.99780009999999997</v>
      </c>
      <c r="Y87">
        <v>-1.050123E-2</v>
      </c>
      <c r="Z87">
        <v>-3.7230190000000002E-3</v>
      </c>
      <c r="AA87">
        <v>0.99993799999999999</v>
      </c>
      <c r="AB87">
        <v>21</v>
      </c>
      <c r="AC87">
        <v>0.58310000000000095</v>
      </c>
      <c r="AD87">
        <v>-8.4440000000000001E-2</v>
      </c>
      <c r="AE87">
        <v>3.3799999999985099E-2</v>
      </c>
      <c r="AF87">
        <v>-7.8841926223594695E-3</v>
      </c>
      <c r="AG87">
        <v>-8.4440000000000001E-2</v>
      </c>
      <c r="AH87">
        <v>0.572066942751985</v>
      </c>
      <c r="AI87">
        <v>98.395734708787998</v>
      </c>
      <c r="AJ87">
        <v>90.789597039707303</v>
      </c>
      <c r="AK87">
        <v>0.57831899595544101</v>
      </c>
      <c r="AL87">
        <v>93.597180171462298</v>
      </c>
      <c r="AM87">
        <v>88.770716556257597</v>
      </c>
      <c r="AN87">
        <v>0.99999997966092302</v>
      </c>
    </row>
    <row r="88" spans="1:40" x14ac:dyDescent="0.25">
      <c r="A88" t="str">
        <f>"20190303154732918"</f>
        <v>20190303154732918</v>
      </c>
      <c r="B88" t="str">
        <f>"1551599252910469"</f>
        <v>1551599252910469</v>
      </c>
      <c r="C88" t="s">
        <v>40</v>
      </c>
      <c r="D88">
        <v>5.3075109999999999</v>
      </c>
      <c r="E88">
        <v>0.48827769999999998</v>
      </c>
      <c r="F88" t="s">
        <v>42</v>
      </c>
      <c r="G88">
        <v>-463.98559999999998</v>
      </c>
      <c r="H88">
        <v>1.038486</v>
      </c>
      <c r="I88">
        <v>367.53559999999999</v>
      </c>
      <c r="J88">
        <v>-464.55</v>
      </c>
      <c r="K88">
        <v>1.12026</v>
      </c>
      <c r="L88">
        <v>367.5034</v>
      </c>
      <c r="M88">
        <v>0.99899689999999997</v>
      </c>
      <c r="N88">
        <v>-7.5575950000000003E-3</v>
      </c>
      <c r="O88">
        <v>4.414212E-2</v>
      </c>
      <c r="P88">
        <v>0.99724170000000001</v>
      </c>
      <c r="Q88">
        <v>-7.0859270000000002E-2</v>
      </c>
      <c r="R88">
        <v>2.2102630000000002E-2</v>
      </c>
      <c r="S88">
        <v>2.982513</v>
      </c>
      <c r="T88">
        <v>-0.3141795</v>
      </c>
      <c r="U88">
        <v>0.16021729999999901</v>
      </c>
      <c r="V88">
        <v>2.1942509999999998E-2</v>
      </c>
      <c r="W88">
        <v>-6.3319749999999994E-2</v>
      </c>
      <c r="X88">
        <v>0.99775210000000003</v>
      </c>
      <c r="Y88">
        <v>-9.6618840000000008E-3</v>
      </c>
      <c r="Z88">
        <v>-3.7548379999999999E-3</v>
      </c>
      <c r="AA88">
        <v>0.99994629999999995</v>
      </c>
      <c r="AB88">
        <v>21</v>
      </c>
      <c r="AC88">
        <v>0.56440000000003399</v>
      </c>
      <c r="AD88">
        <v>-8.1773999999999999E-2</v>
      </c>
      <c r="AE88">
        <v>3.2199999999988897E-2</v>
      </c>
      <c r="AF88">
        <v>-7.1054192350398799E-3</v>
      </c>
      <c r="AG88">
        <v>-8.1773999999999999E-2</v>
      </c>
      <c r="AH88">
        <v>0.55368590646159899</v>
      </c>
      <c r="AI88">
        <v>98.400612305231505</v>
      </c>
      <c r="AJ88">
        <v>90.735233068141994</v>
      </c>
      <c r="AK88">
        <v>0.55973704279126302</v>
      </c>
      <c r="AL88">
        <v>93.630382920144896</v>
      </c>
      <c r="AM88">
        <v>88.740157408029901</v>
      </c>
      <c r="AN88">
        <v>1.0000000587697799</v>
      </c>
    </row>
    <row r="89" spans="1:40" x14ac:dyDescent="0.25">
      <c r="A89" t="str">
        <f>"20190303154732939"</f>
        <v>20190303154732939</v>
      </c>
      <c r="B89" t="str">
        <f>"1551599252930965"</f>
        <v>1551599252930965</v>
      </c>
      <c r="C89" t="s">
        <v>40</v>
      </c>
      <c r="D89">
        <v>5.3098989999999997</v>
      </c>
      <c r="E89">
        <v>0.48829099999999998</v>
      </c>
      <c r="F89" t="s">
        <v>42</v>
      </c>
      <c r="G89">
        <v>-463.7944</v>
      </c>
      <c r="H89">
        <v>1.0397459999999901</v>
      </c>
      <c r="I89">
        <v>367.54340000000002</v>
      </c>
      <c r="J89">
        <v>-464.33980000000003</v>
      </c>
      <c r="K89">
        <v>1.120352</v>
      </c>
      <c r="L89">
        <v>367.51280000000003</v>
      </c>
      <c r="M89">
        <v>0.99898940000000003</v>
      </c>
      <c r="N89">
        <v>-8.2679369999999995E-3</v>
      </c>
      <c r="O89">
        <v>4.4181730000000002E-2</v>
      </c>
      <c r="P89">
        <v>0.99717520000000004</v>
      </c>
      <c r="Q89">
        <v>-7.1744329999999995E-2</v>
      </c>
      <c r="R89">
        <v>2.2249890000000001E-2</v>
      </c>
      <c r="S89">
        <v>2.9821469999999999</v>
      </c>
      <c r="T89">
        <v>-0.31806889999999999</v>
      </c>
      <c r="U89">
        <v>0.1592712</v>
      </c>
      <c r="V89">
        <v>2.1831900000000001E-2</v>
      </c>
      <c r="W89">
        <v>-6.3496629999999998E-2</v>
      </c>
      <c r="X89">
        <v>0.99774320000000005</v>
      </c>
      <c r="Y89">
        <v>-9.3153929999999999E-3</v>
      </c>
      <c r="Z89">
        <v>-3.7951840000000001E-3</v>
      </c>
      <c r="AA89">
        <v>0.99994939999999999</v>
      </c>
      <c r="AB89">
        <v>21</v>
      </c>
      <c r="AC89">
        <v>0.54540000000002897</v>
      </c>
      <c r="AD89">
        <v>-8.0606000000000094E-2</v>
      </c>
      <c r="AE89">
        <v>3.0599999999992598E-2</v>
      </c>
      <c r="AF89">
        <v>-6.3346495890181601E-3</v>
      </c>
      <c r="AG89">
        <v>-8.0606000000000094E-2</v>
      </c>
      <c r="AH89">
        <v>0.53457942578153195</v>
      </c>
      <c r="AI89">
        <v>98.574096446471899</v>
      </c>
      <c r="AJ89">
        <v>90.678910713689206</v>
      </c>
      <c r="AK89">
        <v>0.54065942837458003</v>
      </c>
      <c r="AL89">
        <v>93.640538142813796</v>
      </c>
      <c r="AM89">
        <v>88.746494939497197</v>
      </c>
      <c r="AN89">
        <v>0.99999997351260295</v>
      </c>
    </row>
    <row r="90" spans="1:40" x14ac:dyDescent="0.25">
      <c r="A90" t="str">
        <f>"20190303154732964"</f>
        <v>20190303154732964</v>
      </c>
      <c r="B90" t="str">
        <f>"1551599252961220"</f>
        <v>1551599252961220</v>
      </c>
      <c r="C90" t="s">
        <v>40</v>
      </c>
      <c r="D90">
        <v>5.340058</v>
      </c>
      <c r="E90">
        <v>0.48825730000000001</v>
      </c>
      <c r="F90" t="s">
        <v>42</v>
      </c>
      <c r="G90">
        <v>-463.60320000000002</v>
      </c>
      <c r="H90">
        <v>1.04142</v>
      </c>
      <c r="I90">
        <v>367.55200000000002</v>
      </c>
      <c r="J90">
        <v>-464.12049999999999</v>
      </c>
      <c r="K90">
        <v>1.1204449999999999</v>
      </c>
      <c r="L90">
        <v>367.52249999999998</v>
      </c>
      <c r="M90">
        <v>0.99898109999999996</v>
      </c>
      <c r="N90">
        <v>-8.997204E-3</v>
      </c>
      <c r="O90">
        <v>4.4226880000000003E-2</v>
      </c>
      <c r="P90">
        <v>0.99709740000000002</v>
      </c>
      <c r="Q90">
        <v>-7.2658390000000003E-2</v>
      </c>
      <c r="R90">
        <v>2.2750200000000002E-2</v>
      </c>
      <c r="S90">
        <v>2.981903</v>
      </c>
      <c r="T90">
        <v>-0.31975579999999998</v>
      </c>
      <c r="U90">
        <v>0.15930179999999999</v>
      </c>
      <c r="V90">
        <v>2.1373590000000001E-2</v>
      </c>
      <c r="W90">
        <v>-6.3683699999999996E-2</v>
      </c>
      <c r="X90">
        <v>0.99774119999999999</v>
      </c>
      <c r="Y90">
        <v>-9.2832720000000004E-3</v>
      </c>
      <c r="Z90">
        <v>-3.7883970000000002E-3</v>
      </c>
      <c r="AA90">
        <v>0.9999498</v>
      </c>
      <c r="AB90">
        <v>21</v>
      </c>
      <c r="AC90">
        <v>0.517299999999977</v>
      </c>
      <c r="AD90">
        <v>-7.9025000000000095E-2</v>
      </c>
      <c r="AE90">
        <v>2.94999999999845E-2</v>
      </c>
      <c r="AF90">
        <v>-6.44179893201321E-3</v>
      </c>
      <c r="AG90">
        <v>-7.9025000000000095E-2</v>
      </c>
      <c r="AH90">
        <v>0.50632085187948095</v>
      </c>
      <c r="AI90">
        <v>98.870272116795206</v>
      </c>
      <c r="AJ90">
        <v>90.728921151984494</v>
      </c>
      <c r="AK90">
        <v>0.51249122182379303</v>
      </c>
      <c r="AL90">
        <v>93.651278202979796</v>
      </c>
      <c r="AM90">
        <v>88.772798772231397</v>
      </c>
      <c r="AN90">
        <v>0.99999997308630795</v>
      </c>
    </row>
    <row r="91" spans="1:40" x14ac:dyDescent="0.25">
      <c r="A91" t="str">
        <f>"20190303154732985"</f>
        <v>20190303154732985</v>
      </c>
      <c r="B91" t="str">
        <f>"1551599252980741"</f>
        <v>1551599252980741</v>
      </c>
      <c r="C91" t="s">
        <v>40</v>
      </c>
      <c r="D91">
        <v>5.3324309999999997</v>
      </c>
      <c r="E91">
        <v>0.4882261</v>
      </c>
      <c r="F91" t="s">
        <v>42</v>
      </c>
      <c r="G91">
        <v>-463.23649999999998</v>
      </c>
      <c r="H91">
        <v>1.0250220000000001</v>
      </c>
      <c r="I91">
        <v>367.57</v>
      </c>
      <c r="J91">
        <v>-463.90730000000002</v>
      </c>
      <c r="K91">
        <v>1.1205229999999999</v>
      </c>
      <c r="L91">
        <v>367.53199999999998</v>
      </c>
      <c r="M91">
        <v>0.998973</v>
      </c>
      <c r="N91">
        <v>-9.6600599999999998E-3</v>
      </c>
      <c r="O91">
        <v>4.4270249999999997E-2</v>
      </c>
      <c r="P91">
        <v>0.99704839999999995</v>
      </c>
      <c r="Q91">
        <v>-7.3240699999999895E-2</v>
      </c>
      <c r="R91">
        <v>2.302392E-2</v>
      </c>
      <c r="S91">
        <v>2.9816280000000002</v>
      </c>
      <c r="T91">
        <v>-0.32197480000000001</v>
      </c>
      <c r="U91">
        <v>0.16107179999999999</v>
      </c>
      <c r="V91">
        <v>2.1141389999999999E-2</v>
      </c>
      <c r="W91">
        <v>-6.3605049999999996E-2</v>
      </c>
      <c r="X91">
        <v>0.99775119999999895</v>
      </c>
      <c r="Y91">
        <v>-9.8324009999999993E-3</v>
      </c>
      <c r="Z91">
        <v>-3.757593E-3</v>
      </c>
      <c r="AA91">
        <v>0.99994459999999996</v>
      </c>
      <c r="AB91">
        <v>21</v>
      </c>
      <c r="AC91">
        <v>0.67080000000004203</v>
      </c>
      <c r="AD91">
        <v>-9.5501000000000003E-2</v>
      </c>
      <c r="AE91">
        <v>3.80000000000109E-2</v>
      </c>
      <c r="AF91">
        <v>-8.1011980484903094E-3</v>
      </c>
      <c r="AG91">
        <v>-9.5501000000000003E-2</v>
      </c>
      <c r="AH91">
        <v>0.65851986540569096</v>
      </c>
      <c r="AI91">
        <v>98.251102495454504</v>
      </c>
      <c r="AJ91">
        <v>90.704824664766505</v>
      </c>
      <c r="AK91">
        <v>0.66545810051779397</v>
      </c>
      <c r="AL91">
        <v>93.646762604440497</v>
      </c>
      <c r="AM91">
        <v>88.786139083876805</v>
      </c>
      <c r="AN91">
        <v>1.00000000892903</v>
      </c>
    </row>
    <row r="92" spans="1:40" x14ac:dyDescent="0.25">
      <c r="A92" t="str">
        <f>"20190303154733008"</f>
        <v>20190303154733008</v>
      </c>
      <c r="B92" t="str">
        <f>"1551599253001237"</f>
        <v>1551599253001237</v>
      </c>
      <c r="C92" t="s">
        <v>40</v>
      </c>
      <c r="D92">
        <v>5.3372140000000003</v>
      </c>
      <c r="E92">
        <v>0.48826540000000002</v>
      </c>
      <c r="F92" t="s">
        <v>42</v>
      </c>
      <c r="G92">
        <v>-463.04689999999999</v>
      </c>
      <c r="H92">
        <v>1.0272650000000001</v>
      </c>
      <c r="I92">
        <v>367.57819999999998</v>
      </c>
      <c r="J92">
        <v>-463.69760000000002</v>
      </c>
      <c r="K92">
        <v>1.1205969999999901</v>
      </c>
      <c r="L92">
        <v>367.54140000000001</v>
      </c>
      <c r="M92">
        <v>0.99896529999999994</v>
      </c>
      <c r="N92">
        <v>-1.025158E-2</v>
      </c>
      <c r="O92">
        <v>4.431069E-2</v>
      </c>
      <c r="P92">
        <v>0.99698900000000001</v>
      </c>
      <c r="Q92">
        <v>-7.3905070000000003E-2</v>
      </c>
      <c r="R92">
        <v>2.3479690000000001E-2</v>
      </c>
      <c r="S92">
        <v>2.9813540000000001</v>
      </c>
      <c r="T92">
        <v>-0.3234823</v>
      </c>
      <c r="U92">
        <v>0.162139899999999</v>
      </c>
      <c r="V92">
        <v>2.072386E-2</v>
      </c>
      <c r="W92">
        <v>-6.3679529999999998E-2</v>
      </c>
      <c r="X92">
        <v>0.99775519999999995</v>
      </c>
      <c r="Y92">
        <v>-1.015074E-2</v>
      </c>
      <c r="Z92">
        <v>-3.7337070000000002E-3</v>
      </c>
      <c r="AA92">
        <v>0.99994150000000004</v>
      </c>
      <c r="AB92">
        <v>21</v>
      </c>
      <c r="AC92">
        <v>0.65070000000002803</v>
      </c>
      <c r="AD92">
        <v>-9.3331999999999901E-2</v>
      </c>
      <c r="AE92">
        <v>3.6799999999971002E-2</v>
      </c>
      <c r="AF92">
        <v>-7.7700290699183596E-3</v>
      </c>
      <c r="AG92">
        <v>-9.3331999999999901E-2</v>
      </c>
      <c r="AH92">
        <v>0.63859553641395195</v>
      </c>
      <c r="AI92">
        <v>98.314414062568602</v>
      </c>
      <c r="AJ92">
        <v>90.6971046297692</v>
      </c>
      <c r="AK92">
        <v>0.64542659900531696</v>
      </c>
      <c r="AL92">
        <v>93.651038695163706</v>
      </c>
      <c r="AM92">
        <v>88.810109929178296</v>
      </c>
      <c r="AN92">
        <v>1.0000000000206799</v>
      </c>
    </row>
    <row r="93" spans="1:40" x14ac:dyDescent="0.25">
      <c r="A93" t="str">
        <f>"20190303154733030"</f>
        <v>20190303154733030</v>
      </c>
      <c r="B93" t="str">
        <f>"1551599253020757"</f>
        <v>1551599253020757</v>
      </c>
      <c r="C93" t="s">
        <v>40</v>
      </c>
      <c r="D93">
        <v>5.3215149999999998</v>
      </c>
      <c r="E93">
        <v>0.48828189999999999</v>
      </c>
      <c r="F93" t="s">
        <v>42</v>
      </c>
      <c r="G93">
        <v>-462.8578</v>
      </c>
      <c r="H93">
        <v>1.0292269999999999</v>
      </c>
      <c r="I93">
        <v>367.5874</v>
      </c>
      <c r="J93">
        <v>-463.49130000000002</v>
      </c>
      <c r="K93">
        <v>1.120654</v>
      </c>
      <c r="L93">
        <v>367.55059999999997</v>
      </c>
      <c r="M93">
        <v>0.99895820000000002</v>
      </c>
      <c r="N93">
        <v>-1.077285E-2</v>
      </c>
      <c r="O93">
        <v>4.4348070000000003E-2</v>
      </c>
      <c r="P93">
        <v>0.99694050000000001</v>
      </c>
      <c r="Q93">
        <v>-7.4419029999999997E-2</v>
      </c>
      <c r="R93">
        <v>2.3911769999999999E-2</v>
      </c>
      <c r="S93">
        <v>2.9811399999999999</v>
      </c>
      <c r="T93">
        <v>-0.32435639999999999</v>
      </c>
      <c r="U93">
        <v>0.16339110000000001</v>
      </c>
      <c r="V93">
        <v>2.0327669999999999E-2</v>
      </c>
      <c r="W93">
        <v>-6.367362E-2</v>
      </c>
      <c r="X93">
        <v>0.99776379999999998</v>
      </c>
      <c r="Y93">
        <v>-1.0531520000000001E-2</v>
      </c>
      <c r="Z93">
        <v>-3.7005969999999999E-3</v>
      </c>
      <c r="AA93">
        <v>0.99993770000000004</v>
      </c>
      <c r="AB93">
        <v>21</v>
      </c>
      <c r="AC93">
        <v>0.63350000000002604</v>
      </c>
      <c r="AD93">
        <v>-9.1426999999999897E-2</v>
      </c>
      <c r="AE93">
        <v>3.6800000000027901E-2</v>
      </c>
      <c r="AF93">
        <v>-8.4913938695264507E-3</v>
      </c>
      <c r="AG93">
        <v>-9.1426999999999897E-2</v>
      </c>
      <c r="AH93">
        <v>0.62160526150527895</v>
      </c>
      <c r="AI93">
        <v>98.366421348313906</v>
      </c>
      <c r="AJ93">
        <v>90.782636186711798</v>
      </c>
      <c r="AK93">
        <v>0.628350301368507</v>
      </c>
      <c r="AL93">
        <v>93.650699124209297</v>
      </c>
      <c r="AM93">
        <v>88.832861448297194</v>
      </c>
      <c r="AN93">
        <v>1.0000000723209801</v>
      </c>
    </row>
    <row r="94" spans="1:40" x14ac:dyDescent="0.25">
      <c r="A94" t="str">
        <f>"20190303154733051"</f>
        <v>20190303154733051</v>
      </c>
      <c r="B94" t="str">
        <f>"1551599253041253"</f>
        <v>1551599253041253</v>
      </c>
      <c r="C94" t="s">
        <v>40</v>
      </c>
      <c r="D94">
        <v>5.344824</v>
      </c>
      <c r="E94">
        <v>0.48818539999999999</v>
      </c>
      <c r="F94" t="s">
        <v>42</v>
      </c>
      <c r="G94">
        <v>-462.66860000000003</v>
      </c>
      <c r="H94">
        <v>1.0310029999999999</v>
      </c>
      <c r="I94">
        <v>367.59539999999998</v>
      </c>
      <c r="J94">
        <v>-463.29</v>
      </c>
      <c r="K94">
        <v>1.120695</v>
      </c>
      <c r="L94">
        <v>367.55950000000001</v>
      </c>
      <c r="M94">
        <v>0.99895149999999999</v>
      </c>
      <c r="N94">
        <v>-1.122663E-2</v>
      </c>
      <c r="O94">
        <v>4.4383859999999997E-2</v>
      </c>
      <c r="P94">
        <v>0.99694229999999995</v>
      </c>
      <c r="Q94">
        <v>-7.4252929999999995E-2</v>
      </c>
      <c r="R94">
        <v>2.434277E-2</v>
      </c>
      <c r="S94">
        <v>2.980988</v>
      </c>
      <c r="T94">
        <v>-0.32519629999999999</v>
      </c>
      <c r="U94">
        <v>0.1642151</v>
      </c>
      <c r="V94">
        <v>1.9933389999999999E-2</v>
      </c>
      <c r="W94">
        <v>-6.3054479999999996E-2</v>
      </c>
      <c r="X94">
        <v>0.997811</v>
      </c>
      <c r="Y94">
        <v>-1.07711E-2</v>
      </c>
      <c r="Z94">
        <v>-3.678321E-3</v>
      </c>
      <c r="AA94">
        <v>0.99993520000000002</v>
      </c>
      <c r="AB94">
        <v>21</v>
      </c>
      <c r="AC94">
        <v>0.62139999999999396</v>
      </c>
      <c r="AD94">
        <v>-8.96919999999998E-2</v>
      </c>
      <c r="AE94">
        <v>3.5899999999969602E-2</v>
      </c>
      <c r="AF94">
        <v>-8.1142627872598794E-3</v>
      </c>
      <c r="AG94">
        <v>-8.96919999999998E-2</v>
      </c>
      <c r="AH94">
        <v>0.60972060959821395</v>
      </c>
      <c r="AI94">
        <v>98.367657949896596</v>
      </c>
      <c r="AJ94">
        <v>90.762456706689406</v>
      </c>
      <c r="AK94">
        <v>0.61633571849552804</v>
      </c>
      <c r="AL94">
        <v>93.615153851033597</v>
      </c>
      <c r="AM94">
        <v>88.855547570537794</v>
      </c>
      <c r="AN94">
        <v>0.99999999960298103</v>
      </c>
    </row>
    <row r="95" spans="1:40" x14ac:dyDescent="0.25">
      <c r="A95" t="str">
        <f>"20190303154733073"</f>
        <v>20190303154733073</v>
      </c>
      <c r="B95" t="str">
        <f>"1551599253070533"</f>
        <v>1551599253070533</v>
      </c>
      <c r="C95" t="s">
        <v>40</v>
      </c>
      <c r="D95">
        <v>5.3936849999999996</v>
      </c>
      <c r="E95">
        <v>0.48010530000000001</v>
      </c>
      <c r="F95" t="s">
        <v>42</v>
      </c>
      <c r="G95">
        <v>-462.47980000000001</v>
      </c>
      <c r="H95">
        <v>1.0326040000000001</v>
      </c>
      <c r="I95">
        <v>367.6046</v>
      </c>
      <c r="J95">
        <v>-463.08049999999997</v>
      </c>
      <c r="K95">
        <v>1.1207260000000001</v>
      </c>
      <c r="L95">
        <v>367.56889999999999</v>
      </c>
      <c r="M95">
        <v>0.99894510000000003</v>
      </c>
      <c r="N95">
        <v>-1.1645010000000001E-2</v>
      </c>
      <c r="O95">
        <v>4.4422089999999997E-2</v>
      </c>
      <c r="P95">
        <v>0.99692389999999997</v>
      </c>
      <c r="Q95">
        <v>-7.4290980000000006E-2</v>
      </c>
      <c r="R95">
        <v>2.4974690000000001E-2</v>
      </c>
      <c r="S95">
        <v>2.9809570000000001</v>
      </c>
      <c r="T95">
        <v>-0.32416929999999999</v>
      </c>
      <c r="U95">
        <v>0.16616819999999999</v>
      </c>
      <c r="V95">
        <v>1.9339800000000001E-2</v>
      </c>
      <c r="W95">
        <v>-6.2674919999999995E-2</v>
      </c>
      <c r="X95">
        <v>0.99784660000000003</v>
      </c>
      <c r="Y95">
        <v>-1.1379459999999999E-2</v>
      </c>
      <c r="Z95">
        <v>-3.611361E-3</v>
      </c>
      <c r="AA95">
        <v>0.9999287</v>
      </c>
      <c r="AB95">
        <v>21</v>
      </c>
      <c r="AC95">
        <v>0.60069999999996004</v>
      </c>
      <c r="AD95">
        <v>-8.8122000000000006E-2</v>
      </c>
      <c r="AE95">
        <v>3.5700000000019799E-2</v>
      </c>
      <c r="AF95">
        <v>-8.7900963768249001E-3</v>
      </c>
      <c r="AG95">
        <v>-8.8122000000000006E-2</v>
      </c>
      <c r="AH95">
        <v>0.589060622640871</v>
      </c>
      <c r="AI95">
        <v>98.507277272499493</v>
      </c>
      <c r="AJ95">
        <v>90.854917180953095</v>
      </c>
      <c r="AK95">
        <v>0.59568042592011095</v>
      </c>
      <c r="AL95">
        <v>93.593363544426694</v>
      </c>
      <c r="AM95">
        <v>88.889658792316695</v>
      </c>
      <c r="AN95">
        <v>1.0000000052963001</v>
      </c>
    </row>
    <row r="96" spans="1:40" x14ac:dyDescent="0.25">
      <c r="A96" t="str">
        <f>"20190303154733097"</f>
        <v>20190303154733097</v>
      </c>
      <c r="B96" t="str">
        <f>"1551599253091028"</f>
        <v>1551599253091028</v>
      </c>
      <c r="C96" t="s">
        <v>40</v>
      </c>
      <c r="D96">
        <v>5.3538699999999997</v>
      </c>
      <c r="E96">
        <v>0.47987489999999999</v>
      </c>
      <c r="F96" t="s">
        <v>41</v>
      </c>
      <c r="G96">
        <v>-449.71780000000001</v>
      </c>
      <c r="H96" s="1">
        <v>-3.5956810000000003E-7</v>
      </c>
      <c r="I96">
        <v>368.61290000000002</v>
      </c>
      <c r="J96">
        <v>-462.85969999999998</v>
      </c>
      <c r="K96">
        <v>1.120749</v>
      </c>
      <c r="L96">
        <v>367.5788</v>
      </c>
      <c r="M96">
        <v>0.99893849999999995</v>
      </c>
      <c r="N96">
        <v>-1.203188E-2</v>
      </c>
      <c r="O96">
        <v>4.4464509999999999E-2</v>
      </c>
      <c r="P96">
        <v>0.99686710000000001</v>
      </c>
      <c r="Q96">
        <v>-7.4990699999999993E-2</v>
      </c>
      <c r="R96">
        <v>2.5147470000000002E-2</v>
      </c>
      <c r="S96">
        <v>2.9847410000000001</v>
      </c>
      <c r="T96">
        <v>-0.25032929999999998</v>
      </c>
      <c r="U96">
        <v>0.2331848</v>
      </c>
      <c r="V96">
        <v>1.920707E-2</v>
      </c>
      <c r="W96">
        <v>-6.2989110000000001E-2</v>
      </c>
      <c r="X96">
        <v>0.99782939999999998</v>
      </c>
      <c r="Y96">
        <v>-3.3458700000000001E-2</v>
      </c>
      <c r="Z96">
        <v>-1.5802570000000001E-3</v>
      </c>
      <c r="AA96">
        <v>0.99943879999999996</v>
      </c>
      <c r="AB96">
        <v>21</v>
      </c>
      <c r="AC96">
        <v>13.1418999999999</v>
      </c>
      <c r="AD96">
        <v>-1.1207493595681</v>
      </c>
      <c r="AE96">
        <v>1.03410000000002</v>
      </c>
      <c r="AF96">
        <v>-0.44546679317324001</v>
      </c>
      <c r="AG96">
        <v>-1.1207493595681</v>
      </c>
      <c r="AH96">
        <v>13.080339303495601</v>
      </c>
      <c r="AI96">
        <v>94.894431194888995</v>
      </c>
      <c r="AJ96">
        <v>91.950523291522501</v>
      </c>
      <c r="AK96">
        <v>13.1358211043453</v>
      </c>
      <c r="AL96">
        <v>93.6114008720687</v>
      </c>
      <c r="AM96">
        <v>88.897258227175598</v>
      </c>
      <c r="AN96">
        <v>1.00000002551046</v>
      </c>
    </row>
    <row r="97" spans="1:40" x14ac:dyDescent="0.25">
      <c r="A97" t="str">
        <f>"20190303154733118"</f>
        <v>20190303154733118</v>
      </c>
      <c r="B97" t="str">
        <f>"1551599253110549"</f>
        <v>1551599253110549</v>
      </c>
      <c r="C97" t="s">
        <v>40</v>
      </c>
      <c r="D97">
        <v>5.3770429999999996</v>
      </c>
      <c r="E97">
        <v>0.47967929999999998</v>
      </c>
      <c r="F97" t="s">
        <v>41</v>
      </c>
      <c r="G97">
        <v>-450.00279999999998</v>
      </c>
      <c r="H97" s="1">
        <v>-4.4524599999999999E-6</v>
      </c>
      <c r="I97">
        <v>368.59379999999999</v>
      </c>
      <c r="J97">
        <v>-462.66890000000001</v>
      </c>
      <c r="K97">
        <v>1.120762</v>
      </c>
      <c r="L97">
        <v>367.58730000000003</v>
      </c>
      <c r="M97">
        <v>0.99893339999999997</v>
      </c>
      <c r="N97">
        <v>-1.2322700000000001E-2</v>
      </c>
      <c r="O97">
        <v>4.4501039999999999E-2</v>
      </c>
      <c r="P97">
        <v>0.99680080000000004</v>
      </c>
      <c r="Q97">
        <v>-7.572371E-2</v>
      </c>
      <c r="R97">
        <v>2.5577510000000001E-2</v>
      </c>
      <c r="S97">
        <v>2.9838870000000002</v>
      </c>
      <c r="T97">
        <v>-0.260107899999999</v>
      </c>
      <c r="U97">
        <v>0.23559569999999999</v>
      </c>
      <c r="V97">
        <v>1.8811000000000001E-2</v>
      </c>
      <c r="W97">
        <v>-6.3432489999999994E-2</v>
      </c>
      <c r="X97">
        <v>0.99780880000000005</v>
      </c>
      <c r="Y97">
        <v>-3.4242759999999997E-2</v>
      </c>
      <c r="Z97">
        <v>-1.617056E-3</v>
      </c>
      <c r="AA97">
        <v>0.99941219999999997</v>
      </c>
      <c r="AB97">
        <v>21</v>
      </c>
      <c r="AC97">
        <v>12.6661</v>
      </c>
      <c r="AD97">
        <v>-1.1207664524600001</v>
      </c>
      <c r="AE97">
        <v>1.00649999999996</v>
      </c>
      <c r="AF97">
        <v>-0.43839440837954202</v>
      </c>
      <c r="AG97">
        <v>-1.1207664524600001</v>
      </c>
      <c r="AH97">
        <v>12.600306566269699</v>
      </c>
      <c r="AI97">
        <v>95.079885177991997</v>
      </c>
      <c r="AJ97">
        <v>91.992651634464593</v>
      </c>
      <c r="AK97">
        <v>12.657647200891599</v>
      </c>
      <c r="AL97">
        <v>93.636855788411495</v>
      </c>
      <c r="AM97">
        <v>88.919970188766797</v>
      </c>
      <c r="AN97">
        <v>0.99999996793301904</v>
      </c>
    </row>
    <row r="98" spans="1:40" x14ac:dyDescent="0.25">
      <c r="A98" t="str">
        <f>"20190303154733140"</f>
        <v>20190303154733140</v>
      </c>
      <c r="B98" t="str">
        <f>"1551599253131045"</f>
        <v>1551599253131045</v>
      </c>
      <c r="C98" t="s">
        <v>40</v>
      </c>
      <c r="D98">
        <v>5.3437679999999999</v>
      </c>
      <c r="E98">
        <v>0.47940519999999998</v>
      </c>
      <c r="F98" t="s">
        <v>41</v>
      </c>
      <c r="G98">
        <v>-450.10660000000001</v>
      </c>
      <c r="H98" s="1">
        <v>-4.4083809999999997E-6</v>
      </c>
      <c r="I98">
        <v>368.59120000000001</v>
      </c>
      <c r="J98">
        <v>-462.4581</v>
      </c>
      <c r="K98">
        <v>1.1207750000000001</v>
      </c>
      <c r="L98">
        <v>367.5967</v>
      </c>
      <c r="M98">
        <v>0.99892809999999999</v>
      </c>
      <c r="N98">
        <v>-1.26053E-2</v>
      </c>
      <c r="O98">
        <v>4.4539589999999997E-2</v>
      </c>
      <c r="P98">
        <v>0.99676569999999998</v>
      </c>
      <c r="Q98">
        <v>-7.6098579999999999E-2</v>
      </c>
      <c r="R98">
        <v>2.5829600000000001E-2</v>
      </c>
      <c r="S98">
        <v>2.9833069999999999</v>
      </c>
      <c r="T98">
        <v>-0.26615860000000002</v>
      </c>
      <c r="U98">
        <v>0.2384338</v>
      </c>
      <c r="V98">
        <v>1.8596020000000001E-2</v>
      </c>
      <c r="W98">
        <v>-6.3525699999999893E-2</v>
      </c>
      <c r="X98">
        <v>0.99780690000000005</v>
      </c>
      <c r="Y98">
        <v>-3.5158969999999998E-2</v>
      </c>
      <c r="Z98">
        <v>-1.6115089999999999E-3</v>
      </c>
      <c r="AA98">
        <v>0.99938039999999995</v>
      </c>
      <c r="AB98">
        <v>21</v>
      </c>
      <c r="AC98">
        <v>12.3514999999999</v>
      </c>
      <c r="AD98">
        <v>-1.1207794083810001</v>
      </c>
      <c r="AE98">
        <v>0.99450000000001604</v>
      </c>
      <c r="AF98">
        <v>-0.43974104609720699</v>
      </c>
      <c r="AG98">
        <v>-1.1207794083810001</v>
      </c>
      <c r="AH98">
        <v>12.2830539052545</v>
      </c>
      <c r="AI98">
        <v>95.210253481923502</v>
      </c>
      <c r="AJ98">
        <v>92.050349232043303</v>
      </c>
      <c r="AK98">
        <v>12.3419176755179</v>
      </c>
      <c r="AL98">
        <v>93.642207120306594</v>
      </c>
      <c r="AM98">
        <v>88.932308316228799</v>
      </c>
      <c r="AN98">
        <v>0.99999996810396896</v>
      </c>
    </row>
    <row r="99" spans="1:40" x14ac:dyDescent="0.25">
      <c r="A99" t="str">
        <f>"20190303154733164"</f>
        <v>20190303154733164</v>
      </c>
      <c r="B99" t="str">
        <f>"1551599253160325"</f>
        <v>1551599253160325</v>
      </c>
      <c r="C99" t="s">
        <v>40</v>
      </c>
      <c r="D99">
        <v>5.3208960000000003</v>
      </c>
      <c r="E99">
        <v>0.47931810000000002</v>
      </c>
      <c r="F99" t="s">
        <v>41</v>
      </c>
      <c r="G99">
        <v>-450.01519999999999</v>
      </c>
      <c r="H99" s="1">
        <v>-4.4453450000000002E-6</v>
      </c>
      <c r="I99">
        <v>368.60399999999998</v>
      </c>
      <c r="J99">
        <v>-462.24299999999999</v>
      </c>
      <c r="K99">
        <v>1.1207910000000001</v>
      </c>
      <c r="L99">
        <v>367.60640000000001</v>
      </c>
      <c r="M99">
        <v>0.99892349999999996</v>
      </c>
      <c r="N99">
        <v>-1.285209E-2</v>
      </c>
      <c r="O99">
        <v>4.4573790000000002E-2</v>
      </c>
      <c r="P99">
        <v>0.99675069999999999</v>
      </c>
      <c r="Q99">
        <v>-7.6352859999999995E-2</v>
      </c>
      <c r="R99">
        <v>2.5669379999999999E-2</v>
      </c>
      <c r="S99">
        <v>2.9830320000000001</v>
      </c>
      <c r="T99">
        <v>-0.2686907</v>
      </c>
      <c r="U99">
        <v>0.24148559999999999</v>
      </c>
      <c r="V99">
        <v>1.8789159999999999E-2</v>
      </c>
      <c r="W99">
        <v>-6.3534090000000001E-2</v>
      </c>
      <c r="X99">
        <v>0.99780279999999999</v>
      </c>
      <c r="Y99">
        <v>-3.6142130000000001E-2</v>
      </c>
      <c r="Z99">
        <v>-1.571156E-3</v>
      </c>
      <c r="AA99">
        <v>0.99934540000000005</v>
      </c>
      <c r="AB99">
        <v>21</v>
      </c>
      <c r="AC99">
        <v>12.2278</v>
      </c>
      <c r="AD99">
        <v>-1.120795445345</v>
      </c>
      <c r="AE99">
        <v>0.99760000000003402</v>
      </c>
      <c r="AF99">
        <v>-0.44778675189234501</v>
      </c>
      <c r="AG99">
        <v>-1.120795445345</v>
      </c>
      <c r="AH99">
        <v>12.158639991024801</v>
      </c>
      <c r="AI99">
        <v>95.263149504000495</v>
      </c>
      <c r="AJ99">
        <v>92.109175105051904</v>
      </c>
      <c r="AK99">
        <v>12.218396860342301</v>
      </c>
      <c r="AL99">
        <v>93.642688614166204</v>
      </c>
      <c r="AM99">
        <v>88.921217346131897</v>
      </c>
      <c r="AN99">
        <v>1.0000000204067301</v>
      </c>
    </row>
    <row r="100" spans="1:40" x14ac:dyDescent="0.25">
      <c r="A100" t="str">
        <f>"20190303154733198"</f>
        <v>20190303154733198</v>
      </c>
      <c r="B100" t="str">
        <f>"1551599253190581"</f>
        <v>1551599253190581</v>
      </c>
      <c r="C100" t="s">
        <v>40</v>
      </c>
      <c r="D100">
        <v>5.3172360000000003</v>
      </c>
      <c r="E100">
        <v>0.47922480000000001</v>
      </c>
      <c r="F100" t="s">
        <v>41</v>
      </c>
      <c r="G100">
        <v>-449.923</v>
      </c>
      <c r="H100" s="1">
        <v>-2.8303379999999998E-7</v>
      </c>
      <c r="I100">
        <v>368.6044</v>
      </c>
      <c r="J100">
        <v>-461.92399999999998</v>
      </c>
      <c r="K100">
        <v>1.120811</v>
      </c>
      <c r="L100">
        <v>367.62060000000002</v>
      </c>
      <c r="M100">
        <v>0.99891759999999996</v>
      </c>
      <c r="N100">
        <v>-1.3159290000000001E-2</v>
      </c>
      <c r="O100">
        <v>4.4614290000000001E-2</v>
      </c>
      <c r="P100">
        <v>0.99671240000000005</v>
      </c>
      <c r="Q100">
        <v>-7.6987860000000005E-2</v>
      </c>
      <c r="R100">
        <v>2.5245630000000002E-2</v>
      </c>
      <c r="S100">
        <v>2.9827880000000002</v>
      </c>
      <c r="T100">
        <v>-0.2713547</v>
      </c>
      <c r="U100">
        <v>0.2416382</v>
      </c>
      <c r="V100">
        <v>1.9250449999999999E-2</v>
      </c>
      <c r="W100">
        <v>-6.3863500000000004E-2</v>
      </c>
      <c r="X100">
        <v>0.99777289999999996</v>
      </c>
      <c r="Y100">
        <v>-3.615724E-2</v>
      </c>
      <c r="Z100">
        <v>-1.5779259999999999E-3</v>
      </c>
      <c r="AA100">
        <v>0.99934489999999998</v>
      </c>
      <c r="AB100">
        <v>21</v>
      </c>
      <c r="AC100">
        <v>12.000999999999999</v>
      </c>
      <c r="AD100">
        <v>-1.1208112830338</v>
      </c>
      <c r="AE100">
        <v>0.98379999999997303</v>
      </c>
      <c r="AF100">
        <v>-0.44351514104564499</v>
      </c>
      <c r="AG100">
        <v>-1.1208112830338</v>
      </c>
      <c r="AH100">
        <v>11.929585096613099</v>
      </c>
      <c r="AI100">
        <v>95.363627713625505</v>
      </c>
      <c r="AJ100">
        <v>92.129147611239802</v>
      </c>
      <c r="AK100">
        <v>11.9903262753707</v>
      </c>
      <c r="AL100">
        <v>93.661601107113299</v>
      </c>
      <c r="AM100">
        <v>88.8947056847325</v>
      </c>
      <c r="AN100">
        <v>0.999999943215929</v>
      </c>
    </row>
    <row r="101" spans="1:40" x14ac:dyDescent="0.25">
      <c r="A101" t="str">
        <f>"20190303154733218"</f>
        <v>20190303154733218</v>
      </c>
      <c r="B101" t="str">
        <f>"1551599253211077"</f>
        <v>1551599253211077</v>
      </c>
      <c r="C101" t="s">
        <v>40</v>
      </c>
      <c r="D101">
        <v>5.3141170000000004</v>
      </c>
      <c r="E101">
        <v>0.4792225</v>
      </c>
      <c r="F101" t="s">
        <v>41</v>
      </c>
      <c r="G101">
        <v>-449.69639999999998</v>
      </c>
      <c r="H101" s="1">
        <v>-3.6876010000000002E-7</v>
      </c>
      <c r="I101">
        <v>368.60930000000002</v>
      </c>
      <c r="J101">
        <v>-461.7364</v>
      </c>
      <c r="K101">
        <v>1.120817</v>
      </c>
      <c r="L101">
        <v>367.62909999999999</v>
      </c>
      <c r="M101">
        <v>0.998915</v>
      </c>
      <c r="N101">
        <v>-1.330979E-2</v>
      </c>
      <c r="O101">
        <v>4.4629969999999998E-2</v>
      </c>
      <c r="P101">
        <v>0.99672240000000001</v>
      </c>
      <c r="Q101">
        <v>-7.7068269999999994E-2</v>
      </c>
      <c r="R101">
        <v>2.459691E-2</v>
      </c>
      <c r="S101">
        <v>2.982666</v>
      </c>
      <c r="T101">
        <v>-0.27339829999999998</v>
      </c>
      <c r="U101">
        <v>0.2411499</v>
      </c>
      <c r="V101">
        <v>1.9914009999999999E-2</v>
      </c>
      <c r="W101">
        <v>-6.3794260000000005E-2</v>
      </c>
      <c r="X101">
        <v>0.99776430000000005</v>
      </c>
      <c r="Y101">
        <v>-3.5982300000000002E-2</v>
      </c>
      <c r="Z101">
        <v>-1.597013E-3</v>
      </c>
      <c r="AA101">
        <v>0.99935110000000005</v>
      </c>
      <c r="AB101">
        <v>21</v>
      </c>
      <c r="AC101">
        <v>12.04</v>
      </c>
      <c r="AD101">
        <v>-1.1208173687601</v>
      </c>
      <c r="AE101">
        <v>0.98020000000002405</v>
      </c>
      <c r="AF101">
        <v>-0.43805953382118001</v>
      </c>
      <c r="AG101">
        <v>-1.1208173687601</v>
      </c>
      <c r="AH101">
        <v>11.968713740976099</v>
      </c>
      <c r="AI101">
        <v>95.346336387885302</v>
      </c>
      <c r="AJ101">
        <v>92.096111961661407</v>
      </c>
      <c r="AK101">
        <v>12.0290579989755</v>
      </c>
      <c r="AL101">
        <v>93.657625864190905</v>
      </c>
      <c r="AM101">
        <v>88.8566064558064</v>
      </c>
      <c r="AN101">
        <v>0.99999993687885602</v>
      </c>
    </row>
    <row r="102" spans="1:40" x14ac:dyDescent="0.25">
      <c r="A102" t="str">
        <f>"20190303154733241"</f>
        <v>20190303154733241</v>
      </c>
      <c r="B102" t="str">
        <f>"1551599253230600"</f>
        <v>1551599253230600</v>
      </c>
      <c r="C102" t="s">
        <v>40</v>
      </c>
      <c r="D102">
        <v>5.3098650000000003</v>
      </c>
      <c r="E102">
        <v>0.47911969999999998</v>
      </c>
      <c r="F102" t="s">
        <v>41</v>
      </c>
      <c r="G102">
        <v>-449.4622</v>
      </c>
      <c r="H102" s="1">
        <v>-4.5773239999999998E-7</v>
      </c>
      <c r="I102">
        <v>368.61279999999999</v>
      </c>
      <c r="J102">
        <v>-461.52710000000002</v>
      </c>
      <c r="K102">
        <v>1.1208290000000001</v>
      </c>
      <c r="L102">
        <v>367.63839999999999</v>
      </c>
      <c r="M102">
        <v>0.99891260000000004</v>
      </c>
      <c r="N102">
        <v>-1.345531E-2</v>
      </c>
      <c r="O102">
        <v>4.4639579999999998E-2</v>
      </c>
      <c r="P102">
        <v>0.99666809999999995</v>
      </c>
      <c r="Q102">
        <v>-7.7814069999999999E-2</v>
      </c>
      <c r="R102">
        <v>2.4446969999999998E-2</v>
      </c>
      <c r="S102">
        <v>2.98291</v>
      </c>
      <c r="T102">
        <v>-0.2723855</v>
      </c>
      <c r="U102">
        <v>0.2390747</v>
      </c>
      <c r="V102">
        <v>2.0070089999999999E-2</v>
      </c>
      <c r="W102">
        <v>-6.4395930000000004E-2</v>
      </c>
      <c r="X102">
        <v>0.99772260000000002</v>
      </c>
      <c r="Y102">
        <v>-3.5277900000000001E-2</v>
      </c>
      <c r="Z102">
        <v>-1.6163589999999999E-3</v>
      </c>
      <c r="AA102">
        <v>0.99937619999999905</v>
      </c>
      <c r="AB102">
        <v>21</v>
      </c>
      <c r="AC102">
        <v>12.0649</v>
      </c>
      <c r="AD102">
        <v>-1.1208294577323901</v>
      </c>
      <c r="AE102">
        <v>0.97440000000000204</v>
      </c>
      <c r="AF102">
        <v>-0.43111114826853397</v>
      </c>
      <c r="AG102">
        <v>-1.1208294577323901</v>
      </c>
      <c r="AH102">
        <v>11.9935333819843</v>
      </c>
      <c r="AI102">
        <v>95.335519589211899</v>
      </c>
      <c r="AJ102">
        <v>92.058627627591306</v>
      </c>
      <c r="AK102">
        <v>12.0535039917965</v>
      </c>
      <c r="AL102">
        <v>93.692169758040805</v>
      </c>
      <c r="AM102">
        <v>88.847599139585398</v>
      </c>
      <c r="AN102">
        <v>1.0000000154319599</v>
      </c>
    </row>
    <row r="103" spans="1:40" x14ac:dyDescent="0.25">
      <c r="A103" t="str">
        <f>"20190303154733263"</f>
        <v>20190303154733263</v>
      </c>
      <c r="B103" t="str">
        <f>"1551599253260521"</f>
        <v>1551599253260521</v>
      </c>
      <c r="C103" t="s">
        <v>40</v>
      </c>
      <c r="D103">
        <v>5.2996150000000002</v>
      </c>
      <c r="E103">
        <v>0.47915859999999899</v>
      </c>
      <c r="F103" t="s">
        <v>41</v>
      </c>
      <c r="G103">
        <v>-449.34249999999997</v>
      </c>
      <c r="H103" s="1">
        <v>-5.0249819999999999E-7</v>
      </c>
      <c r="I103">
        <v>368.61739999999998</v>
      </c>
      <c r="J103">
        <v>-461.33100000000002</v>
      </c>
      <c r="K103">
        <v>1.1208370000000001</v>
      </c>
      <c r="L103">
        <v>367.6472</v>
      </c>
      <c r="M103">
        <v>0.99891090000000005</v>
      </c>
      <c r="N103">
        <v>-1.3572580000000001E-2</v>
      </c>
      <c r="O103">
        <v>4.464249E-2</v>
      </c>
      <c r="P103">
        <v>0.9966486</v>
      </c>
      <c r="Q103">
        <v>-7.8156320000000001E-2</v>
      </c>
      <c r="R103">
        <v>2.4150270000000001E-2</v>
      </c>
      <c r="S103">
        <v>2.9827270000000001</v>
      </c>
      <c r="T103">
        <v>-0.2743719</v>
      </c>
      <c r="U103">
        <v>0.23965449999999999</v>
      </c>
      <c r="V103">
        <v>2.0367989999999999E-2</v>
      </c>
      <c r="W103">
        <v>-6.4621810000000002E-2</v>
      </c>
      <c r="X103">
        <v>0.99770190000000003</v>
      </c>
      <c r="Y103">
        <v>-3.5471320000000001E-2</v>
      </c>
      <c r="Z103">
        <v>-1.6170609999999999E-3</v>
      </c>
      <c r="AA103">
        <v>0.99936939999999996</v>
      </c>
      <c r="AB103">
        <v>21</v>
      </c>
      <c r="AC103">
        <v>11.988499999999901</v>
      </c>
      <c r="AD103">
        <v>-1.1208375024982</v>
      </c>
      <c r="AE103">
        <v>0.97019999999997697</v>
      </c>
      <c r="AF103">
        <v>-0.43025050397020798</v>
      </c>
      <c r="AG103">
        <v>-1.1208375024982</v>
      </c>
      <c r="AH103">
        <v>11.916379696660799</v>
      </c>
      <c r="AI103">
        <v>95.369871090807294</v>
      </c>
      <c r="AJ103">
        <v>92.067812108498202</v>
      </c>
      <c r="AK103">
        <v>11.9767064453531</v>
      </c>
      <c r="AL103">
        <v>93.705138956875899</v>
      </c>
      <c r="AM103">
        <v>88.8304745317037</v>
      </c>
      <c r="AN103">
        <v>0.99999995730396196</v>
      </c>
    </row>
    <row r="104" spans="1:40" x14ac:dyDescent="0.25">
      <c r="A104" t="str">
        <f>"20190303154733286"</f>
        <v>20190303154733286</v>
      </c>
      <c r="B104" t="str">
        <f>"1551599253281018"</f>
        <v>1551599253281018</v>
      </c>
      <c r="C104" t="s">
        <v>40</v>
      </c>
      <c r="D104">
        <v>5.310683</v>
      </c>
      <c r="E104">
        <v>0.47913230000000001</v>
      </c>
      <c r="F104" t="s">
        <v>41</v>
      </c>
      <c r="G104">
        <v>-449.1293</v>
      </c>
      <c r="H104" s="1">
        <v>-5.8292679999999998E-7</v>
      </c>
      <c r="I104">
        <v>368.62279999999998</v>
      </c>
      <c r="J104">
        <v>-461.10969999999998</v>
      </c>
      <c r="K104">
        <v>1.120849</v>
      </c>
      <c r="L104">
        <v>367.65699999999998</v>
      </c>
      <c r="M104">
        <v>0.99890939999999995</v>
      </c>
      <c r="N104">
        <v>-1.368573E-2</v>
      </c>
      <c r="O104">
        <v>4.4640319999999997E-2</v>
      </c>
      <c r="P104">
        <v>0.99665630000000005</v>
      </c>
      <c r="Q104">
        <v>-7.8147939999999999E-2</v>
      </c>
      <c r="R104">
        <v>2.3856510000000001E-2</v>
      </c>
      <c r="S104">
        <v>2.9827880000000002</v>
      </c>
      <c r="T104">
        <v>-0.2739973</v>
      </c>
      <c r="U104">
        <v>0.23849490000000001</v>
      </c>
      <c r="V104">
        <v>2.0659070000000002E-2</v>
      </c>
      <c r="W104">
        <v>-6.4500779999999994E-2</v>
      </c>
      <c r="X104">
        <v>0.99770380000000003</v>
      </c>
      <c r="Y104">
        <v>-3.5086979999999997E-2</v>
      </c>
      <c r="Z104">
        <v>-1.626707E-3</v>
      </c>
      <c r="AA104">
        <v>0.99938289999999996</v>
      </c>
      <c r="AB104">
        <v>21</v>
      </c>
      <c r="AC104">
        <v>11.9803999999999</v>
      </c>
      <c r="AD104">
        <v>-1.1208495829267999</v>
      </c>
      <c r="AE104">
        <v>0.96580000000000099</v>
      </c>
      <c r="AF104">
        <v>-0.42627105054023401</v>
      </c>
      <c r="AG104">
        <v>-1.1208495829267999</v>
      </c>
      <c r="AH104">
        <v>11.908015752771799</v>
      </c>
      <c r="AI104">
        <v>95.373737520770604</v>
      </c>
      <c r="AJ104">
        <v>92.050140707264006</v>
      </c>
      <c r="AK104">
        <v>11.9682433950993</v>
      </c>
      <c r="AL104">
        <v>93.698189755211104</v>
      </c>
      <c r="AM104">
        <v>88.813767783167407</v>
      </c>
      <c r="AN104">
        <v>1.00000001016415</v>
      </c>
    </row>
    <row r="105" spans="1:40" x14ac:dyDescent="0.25">
      <c r="A105" t="str">
        <f>"20190303154733309"</f>
        <v>20190303154733309</v>
      </c>
      <c r="B105" t="str">
        <f>"1551599253300537"</f>
        <v>1551599253300537</v>
      </c>
      <c r="C105" t="s">
        <v>40</v>
      </c>
      <c r="D105">
        <v>5.325634</v>
      </c>
      <c r="E105">
        <v>0.47895100000000002</v>
      </c>
      <c r="F105" t="s">
        <v>41</v>
      </c>
      <c r="G105">
        <v>-448.87630000000001</v>
      </c>
      <c r="H105" s="1">
        <v>-6.8634499999999997E-7</v>
      </c>
      <c r="I105">
        <v>368.63139999999999</v>
      </c>
      <c r="J105">
        <v>-460.91030000000001</v>
      </c>
      <c r="K105">
        <v>1.1208659999999999</v>
      </c>
      <c r="L105">
        <v>367.666</v>
      </c>
      <c r="M105">
        <v>0.99890849999999998</v>
      </c>
      <c r="N105">
        <v>-1.3773270000000001E-2</v>
      </c>
      <c r="O105">
        <v>4.4634060000000003E-2</v>
      </c>
      <c r="P105">
        <v>0.99663679999999999</v>
      </c>
      <c r="Q105">
        <v>-7.8459840000000003E-2</v>
      </c>
      <c r="R105">
        <v>2.3649099999999999E-2</v>
      </c>
      <c r="S105">
        <v>2.98291</v>
      </c>
      <c r="T105">
        <v>-0.27330159999999998</v>
      </c>
      <c r="U105">
        <v>0.23757929999999999</v>
      </c>
      <c r="V105">
        <v>2.085882E-2</v>
      </c>
      <c r="W105">
        <v>-6.4725770000000002E-2</v>
      </c>
      <c r="X105">
        <v>0.99768509999999999</v>
      </c>
      <c r="Y105">
        <v>-3.4786119999999997E-2</v>
      </c>
      <c r="Z105">
        <v>-1.6302599999999999E-3</v>
      </c>
      <c r="AA105">
        <v>0.99939350000000005</v>
      </c>
      <c r="AB105">
        <v>20</v>
      </c>
      <c r="AC105">
        <v>12.033999999999899</v>
      </c>
      <c r="AD105">
        <v>-1.1208666863450001</v>
      </c>
      <c r="AE105">
        <v>0.96539999999998805</v>
      </c>
      <c r="AF105">
        <v>-0.42360903147203699</v>
      </c>
      <c r="AG105">
        <v>-1.1208666863450001</v>
      </c>
      <c r="AH105">
        <v>11.9619874385687</v>
      </c>
      <c r="AI105">
        <v>95.349786355575503</v>
      </c>
      <c r="AJ105">
        <v>92.028163925504501</v>
      </c>
      <c r="AK105">
        <v>12.0218521959213</v>
      </c>
      <c r="AL105">
        <v>93.711107625661995</v>
      </c>
      <c r="AM105">
        <v>88.802279132701102</v>
      </c>
      <c r="AN105">
        <v>1.0000000372179401</v>
      </c>
    </row>
    <row r="106" spans="1:40" x14ac:dyDescent="0.25">
      <c r="A106" t="str">
        <f>"20190303154733330"</f>
        <v>20190303154733330</v>
      </c>
      <c r="B106" t="str">
        <f>"1551599253321033"</f>
        <v>1551599253321033</v>
      </c>
      <c r="C106" t="s">
        <v>40</v>
      </c>
      <c r="D106">
        <v>5.2931049999999997</v>
      </c>
      <c r="E106">
        <v>0.47892869999999998</v>
      </c>
      <c r="F106" t="s">
        <v>41</v>
      </c>
      <c r="G106">
        <v>-448.71289999999999</v>
      </c>
      <c r="H106" s="1">
        <v>-7.6190320000000003E-7</v>
      </c>
      <c r="I106">
        <v>368.64109999999999</v>
      </c>
      <c r="J106">
        <v>-460.71159999999998</v>
      </c>
      <c r="K106">
        <v>1.120876</v>
      </c>
      <c r="L106">
        <v>367.6748</v>
      </c>
      <c r="M106">
        <v>0.99890829999999997</v>
      </c>
      <c r="N106">
        <v>-1.3848070000000001E-2</v>
      </c>
      <c r="O106">
        <v>4.4617419999999998E-2</v>
      </c>
      <c r="P106">
        <v>0.99666140000000003</v>
      </c>
      <c r="Q106">
        <v>-7.8121579999999996E-2</v>
      </c>
      <c r="R106">
        <v>2.373169E-2</v>
      </c>
      <c r="S106">
        <v>2.9828800000000002</v>
      </c>
      <c r="T106">
        <v>-0.27410820000000002</v>
      </c>
      <c r="U106">
        <v>0.23846439999999999</v>
      </c>
      <c r="V106">
        <v>2.0760480000000001E-2</v>
      </c>
      <c r="W106">
        <v>-6.43127E-2</v>
      </c>
      <c r="X106">
        <v>0.99771379999999998</v>
      </c>
      <c r="Y106">
        <v>-3.5096269999999999E-2</v>
      </c>
      <c r="Z106">
        <v>-1.615273E-3</v>
      </c>
      <c r="AA106">
        <v>0.99938260000000001</v>
      </c>
      <c r="AB106">
        <v>20</v>
      </c>
      <c r="AC106">
        <v>11.9986999999999</v>
      </c>
      <c r="AD106">
        <v>-1.1208767619032001</v>
      </c>
      <c r="AE106">
        <v>0.96629999999998895</v>
      </c>
      <c r="AF106">
        <v>-0.42623954738458802</v>
      </c>
      <c r="AG106">
        <v>-1.1208767619032001</v>
      </c>
      <c r="AH106">
        <v>11.9264593931004</v>
      </c>
      <c r="AI106">
        <v>95.365616252723697</v>
      </c>
      <c r="AJ106">
        <v>92.046821821075596</v>
      </c>
      <c r="AK106">
        <v>11.986595785393</v>
      </c>
      <c r="AL106">
        <v>93.687391278501806</v>
      </c>
      <c r="AM106">
        <v>88.807958498308395</v>
      </c>
      <c r="AN106">
        <v>0.99999997381077899</v>
      </c>
    </row>
    <row r="107" spans="1:40" x14ac:dyDescent="0.25">
      <c r="A107" t="str">
        <f>"20190303154733352"</f>
        <v>20190303154733352</v>
      </c>
      <c r="B107" t="str">
        <f>"1551599253340553"</f>
        <v>1551599253340553</v>
      </c>
      <c r="C107" t="s">
        <v>40</v>
      </c>
      <c r="D107">
        <v>5.3440059999999896</v>
      </c>
      <c r="E107">
        <v>0.47886089999999998</v>
      </c>
      <c r="F107" t="s">
        <v>41</v>
      </c>
      <c r="G107">
        <v>-448.41750000000002</v>
      </c>
      <c r="H107" s="1">
        <v>-8.983581E-7</v>
      </c>
      <c r="I107">
        <v>368.65879999999999</v>
      </c>
      <c r="J107">
        <v>-460.517</v>
      </c>
      <c r="K107">
        <v>1.120881</v>
      </c>
      <c r="L107">
        <v>367.68340000000001</v>
      </c>
      <c r="M107">
        <v>0.99890880000000004</v>
      </c>
      <c r="N107">
        <v>-1.391119E-2</v>
      </c>
      <c r="O107">
        <v>4.4585519999999997E-2</v>
      </c>
      <c r="P107">
        <v>0.99668540000000005</v>
      </c>
      <c r="Q107">
        <v>-7.7854720000000002E-2</v>
      </c>
      <c r="R107">
        <v>2.360278E-2</v>
      </c>
      <c r="S107">
        <v>2.9830320000000001</v>
      </c>
      <c r="T107">
        <v>-0.27196910000000002</v>
      </c>
      <c r="U107">
        <v>0.2387695</v>
      </c>
      <c r="V107">
        <v>2.0857230000000001E-2</v>
      </c>
      <c r="W107">
        <v>-6.398305E-2</v>
      </c>
      <c r="X107">
        <v>0.99773299999999998</v>
      </c>
      <c r="Y107">
        <v>-3.5224650000000003E-2</v>
      </c>
      <c r="Z107">
        <v>-1.582789E-3</v>
      </c>
      <c r="AA107">
        <v>0.99937810000000005</v>
      </c>
      <c r="AB107">
        <v>20</v>
      </c>
      <c r="AC107">
        <v>12.0994999999999</v>
      </c>
      <c r="AD107">
        <v>-1.1208818983580999</v>
      </c>
      <c r="AE107">
        <v>0.97539999999997895</v>
      </c>
      <c r="AF107">
        <v>-0.43123822998750599</v>
      </c>
      <c r="AG107">
        <v>-1.1208818983580999</v>
      </c>
      <c r="AH107">
        <v>12.0283981713463</v>
      </c>
      <c r="AI107">
        <v>95.320408484377097</v>
      </c>
      <c r="AJ107">
        <v>92.053270286681297</v>
      </c>
      <c r="AK107">
        <v>12.088205210432101</v>
      </c>
      <c r="AL107">
        <v>93.668464657965899</v>
      </c>
      <c r="AM107">
        <v>88.802427884532904</v>
      </c>
      <c r="AN107">
        <v>0.99999999700978703</v>
      </c>
    </row>
    <row r="108" spans="1:40" x14ac:dyDescent="0.25">
      <c r="A108" t="str">
        <f>"20190303154733378"</f>
        <v>20190303154733378</v>
      </c>
      <c r="B108" t="str">
        <f>"1551599253370509"</f>
        <v>1551599253370509</v>
      </c>
      <c r="C108" t="s">
        <v>40</v>
      </c>
      <c r="D108">
        <v>5.3304919999999996</v>
      </c>
      <c r="E108">
        <v>0.47877760000000003</v>
      </c>
      <c r="F108" t="s">
        <v>41</v>
      </c>
      <c r="G108">
        <v>-448.1619</v>
      </c>
      <c r="H108" s="1">
        <v>-1.016632E-6</v>
      </c>
      <c r="I108">
        <v>368.67329999999998</v>
      </c>
      <c r="J108">
        <v>-460.286</v>
      </c>
      <c r="K108">
        <v>1.120878</v>
      </c>
      <c r="L108">
        <v>367.69369999999998</v>
      </c>
      <c r="M108">
        <v>0.99891050000000003</v>
      </c>
      <c r="N108">
        <v>-1.397492E-2</v>
      </c>
      <c r="O108">
        <v>4.4523310000000003E-2</v>
      </c>
      <c r="P108">
        <v>0.99671860000000001</v>
      </c>
      <c r="Q108">
        <v>-7.7341409999999999E-2</v>
      </c>
      <c r="R108">
        <v>2.3884780000000001E-2</v>
      </c>
      <c r="S108">
        <v>2.9832459999999998</v>
      </c>
      <c r="T108">
        <v>-0.27064589999999999</v>
      </c>
      <c r="U108">
        <v>0.2390137</v>
      </c>
      <c r="V108">
        <v>2.0512180000000001E-2</v>
      </c>
      <c r="W108">
        <v>-6.3406400000000002E-2</v>
      </c>
      <c r="X108">
        <v>0.99777700000000003</v>
      </c>
      <c r="Y108">
        <v>-3.5361280000000002E-2</v>
      </c>
      <c r="Z108">
        <v>-1.554901E-3</v>
      </c>
      <c r="AA108">
        <v>0.99937339999999997</v>
      </c>
      <c r="AB108">
        <v>20</v>
      </c>
      <c r="AC108">
        <v>12.1241</v>
      </c>
      <c r="AD108">
        <v>-1.120879016632</v>
      </c>
      <c r="AE108">
        <v>0.97960000000000402</v>
      </c>
      <c r="AF108">
        <v>-0.43507603552284901</v>
      </c>
      <c r="AG108">
        <v>-1.120879016632</v>
      </c>
      <c r="AH108">
        <v>12.053341183616601</v>
      </c>
      <c r="AI108">
        <v>95.309401603858504</v>
      </c>
      <c r="AJ108">
        <v>92.067244453732997</v>
      </c>
      <c r="AK108">
        <v>12.113162040329501</v>
      </c>
      <c r="AL108">
        <v>93.635357695151896</v>
      </c>
      <c r="AM108">
        <v>88.8222861229725</v>
      </c>
      <c r="AN108">
        <v>1.0000000314091499</v>
      </c>
    </row>
    <row r="109" spans="1:40" x14ac:dyDescent="0.25">
      <c r="A109" t="str">
        <f>"20190303154733399"</f>
        <v>20190303154733399</v>
      </c>
      <c r="B109" t="str">
        <f>"1551599253391005"</f>
        <v>1551599253391005</v>
      </c>
      <c r="C109" t="s">
        <v>40</v>
      </c>
      <c r="D109">
        <v>5.304729</v>
      </c>
      <c r="E109">
        <v>0.4787728</v>
      </c>
      <c r="F109" t="s">
        <v>41</v>
      </c>
      <c r="G109">
        <v>-447.78660000000002</v>
      </c>
      <c r="H109" s="1">
        <v>-1.188863E-6</v>
      </c>
      <c r="I109">
        <v>368.70249999999999</v>
      </c>
      <c r="J109">
        <v>-460.09100000000001</v>
      </c>
      <c r="K109">
        <v>1.1208659999999999</v>
      </c>
      <c r="L109">
        <v>367.70229999999998</v>
      </c>
      <c r="M109">
        <v>0.99891350000000001</v>
      </c>
      <c r="N109">
        <v>-1.402012E-2</v>
      </c>
      <c r="O109">
        <v>4.4445999999999999E-2</v>
      </c>
      <c r="P109">
        <v>0.99673339999999999</v>
      </c>
      <c r="Q109">
        <v>-7.7265619999999993E-2</v>
      </c>
      <c r="R109">
        <v>2.351108E-2</v>
      </c>
      <c r="S109">
        <v>2.9833370000000001</v>
      </c>
      <c r="T109">
        <v>-0.26752959999999998</v>
      </c>
      <c r="U109">
        <v>0.24078369999999999</v>
      </c>
      <c r="V109">
        <v>2.0806169999999999E-2</v>
      </c>
      <c r="W109">
        <v>-6.3286499999999996E-2</v>
      </c>
      <c r="X109">
        <v>0.99777850000000001</v>
      </c>
      <c r="Y109">
        <v>-3.6021820000000003E-2</v>
      </c>
      <c r="Z109">
        <v>-1.4841710000000001E-3</v>
      </c>
      <c r="AA109">
        <v>0.99934990000000001</v>
      </c>
      <c r="AB109">
        <v>20</v>
      </c>
      <c r="AC109">
        <v>12.3043999999999</v>
      </c>
      <c r="AD109">
        <v>-1.120867188863</v>
      </c>
      <c r="AE109">
        <v>1.0002</v>
      </c>
      <c r="AF109">
        <v>-0.44857834207758301</v>
      </c>
      <c r="AG109">
        <v>-1.120867188863</v>
      </c>
      <c r="AH109">
        <v>12.2358278603485</v>
      </c>
      <c r="AI109">
        <v>95.230497358165096</v>
      </c>
      <c r="AJ109">
        <v>92.099583349253905</v>
      </c>
      <c r="AK109">
        <v>12.295244983819201</v>
      </c>
      <c r="AL109">
        <v>93.628474197146502</v>
      </c>
      <c r="AM109">
        <v>88.805413237997797</v>
      </c>
      <c r="AN109">
        <v>1.00000000642728</v>
      </c>
    </row>
    <row r="110" spans="1:40" x14ac:dyDescent="0.25">
      <c r="A110" t="str">
        <f>"20190303154733420"</f>
        <v>20190303154733420</v>
      </c>
      <c r="B110" t="str">
        <f>"1551599253410525"</f>
        <v>1551599253410525</v>
      </c>
      <c r="C110" t="s">
        <v>40</v>
      </c>
      <c r="D110">
        <v>5.2729559999999998</v>
      </c>
      <c r="E110">
        <v>0.50207460000000004</v>
      </c>
      <c r="F110" t="s">
        <v>41</v>
      </c>
      <c r="G110">
        <v>-447.55860000000001</v>
      </c>
      <c r="H110" s="1">
        <v>-1.295594E-6</v>
      </c>
      <c r="I110">
        <v>368.70830000000001</v>
      </c>
      <c r="J110">
        <v>-459.9033</v>
      </c>
      <c r="K110">
        <v>1.120865</v>
      </c>
      <c r="L110">
        <v>367.7106</v>
      </c>
      <c r="M110">
        <v>0.99891719999999895</v>
      </c>
      <c r="N110">
        <v>-1.4057299999999899E-2</v>
      </c>
      <c r="O110">
        <v>4.4347350000000001E-2</v>
      </c>
      <c r="P110">
        <v>0.99678999999999995</v>
      </c>
      <c r="Q110">
        <v>-7.6721230000000001E-2</v>
      </c>
      <c r="R110">
        <v>2.2885160000000002E-2</v>
      </c>
      <c r="S110">
        <v>2.9834900000000002</v>
      </c>
      <c r="T110">
        <v>-0.26683689999999999</v>
      </c>
      <c r="U110">
        <v>0.23950199999999999</v>
      </c>
      <c r="V110">
        <v>2.1332719999999999E-2</v>
      </c>
      <c r="W110">
        <v>-6.2705730000000001E-2</v>
      </c>
      <c r="X110">
        <v>0.99780400000000002</v>
      </c>
      <c r="Y110">
        <v>-3.5690920000000001E-2</v>
      </c>
      <c r="Z110">
        <v>-1.4853749999999999E-3</v>
      </c>
      <c r="AA110">
        <v>0.99936179999999997</v>
      </c>
      <c r="AB110">
        <v>20</v>
      </c>
      <c r="AC110">
        <v>12.3446999999999</v>
      </c>
      <c r="AD110">
        <v>-1.1208662955940001</v>
      </c>
      <c r="AE110">
        <v>0.99770000000000802</v>
      </c>
      <c r="AF110">
        <v>-0.44555994357599998</v>
      </c>
      <c r="AG110">
        <v>-1.1208662955940001</v>
      </c>
      <c r="AH110">
        <v>12.276251638534101</v>
      </c>
      <c r="AI110">
        <v>95.213434317314096</v>
      </c>
      <c r="AJ110">
        <v>92.078607081240094</v>
      </c>
      <c r="AK110">
        <v>12.335364575420099</v>
      </c>
      <c r="AL110">
        <v>93.5951324768711</v>
      </c>
      <c r="AM110">
        <v>88.775221744338197</v>
      </c>
      <c r="AN110">
        <v>0.99999995796671404</v>
      </c>
    </row>
    <row r="111" spans="1:40" x14ac:dyDescent="0.25">
      <c r="A111" t="str">
        <f>"20190303154733443"</f>
        <v>20190303154733443</v>
      </c>
      <c r="B111" t="str">
        <f>"1551599253431022"</f>
        <v>1551599253431022</v>
      </c>
      <c r="C111" t="s">
        <v>40</v>
      </c>
      <c r="D111">
        <v>5.2801269999999896</v>
      </c>
      <c r="E111">
        <v>0.50389529999999905</v>
      </c>
      <c r="F111" t="s">
        <v>43</v>
      </c>
      <c r="G111">
        <v>-438.46089999999998</v>
      </c>
      <c r="H111">
        <v>-0.05</v>
      </c>
      <c r="I111">
        <v>368.0865</v>
      </c>
      <c r="J111">
        <v>-459.70089999999999</v>
      </c>
      <c r="K111">
        <v>1.1208579999999999</v>
      </c>
      <c r="L111">
        <v>367.71940000000001</v>
      </c>
      <c r="M111">
        <v>0.9989228</v>
      </c>
      <c r="N111">
        <v>-1.409121E-2</v>
      </c>
      <c r="O111">
        <v>4.4211180000000003E-2</v>
      </c>
      <c r="P111">
        <v>0.99684530000000005</v>
      </c>
      <c r="Q111">
        <v>-7.613897E-2</v>
      </c>
      <c r="R111">
        <v>2.241369E-2</v>
      </c>
      <c r="S111">
        <v>2.9958499999999999</v>
      </c>
      <c r="T111">
        <v>-0.16358839999999999</v>
      </c>
      <c r="U111">
        <v>5.2520749999999998E-2</v>
      </c>
      <c r="V111">
        <v>2.1667639999999998E-2</v>
      </c>
      <c r="W111">
        <v>-6.2090230000000003E-2</v>
      </c>
      <c r="X111">
        <v>0.99783529999999998</v>
      </c>
      <c r="Y111">
        <v>2.661138E-2</v>
      </c>
      <c r="Z111">
        <v>-2.702159E-3</v>
      </c>
      <c r="AA111">
        <v>0.99964219999999904</v>
      </c>
      <c r="AB111">
        <v>20</v>
      </c>
      <c r="AC111">
        <v>21.24</v>
      </c>
      <c r="AD111">
        <v>-1.170858</v>
      </c>
      <c r="AE111">
        <v>0.36709999999999299</v>
      </c>
      <c r="AF111">
        <v>0.57066414283557398</v>
      </c>
      <c r="AG111">
        <v>-1.170858</v>
      </c>
      <c r="AH111">
        <v>21.171143839172</v>
      </c>
      <c r="AI111">
        <v>93.164338645674405</v>
      </c>
      <c r="AJ111">
        <v>88.455977065214796</v>
      </c>
      <c r="AK111">
        <v>21.2111738826259</v>
      </c>
      <c r="AL111">
        <v>93.559797973090099</v>
      </c>
      <c r="AM111">
        <v>88.756037943643406</v>
      </c>
      <c r="AN111">
        <v>0.999999984605356</v>
      </c>
    </row>
    <row r="112" spans="1:40" x14ac:dyDescent="0.25">
      <c r="A112" t="str">
        <f>"20190303154733464"</f>
        <v>20190303154733464</v>
      </c>
      <c r="B112" t="str">
        <f>"1551599253461023"</f>
        <v>1551599253461023</v>
      </c>
      <c r="C112" t="s">
        <v>40</v>
      </c>
      <c r="D112">
        <v>5.2829480000000002</v>
      </c>
      <c r="E112">
        <v>0.50430559999999902</v>
      </c>
      <c r="F112" t="s">
        <v>43</v>
      </c>
      <c r="G112">
        <v>-437.61590000000001</v>
      </c>
      <c r="H112">
        <v>-0.05</v>
      </c>
      <c r="I112">
        <v>367.99040000000002</v>
      </c>
      <c r="J112">
        <v>-459.50099999999998</v>
      </c>
      <c r="K112">
        <v>1.12086</v>
      </c>
      <c r="L112">
        <v>367.72800000000001</v>
      </c>
      <c r="M112">
        <v>0.99892970000000003</v>
      </c>
      <c r="N112">
        <v>-1.411951E-2</v>
      </c>
      <c r="O112">
        <v>4.4050510000000001E-2</v>
      </c>
      <c r="P112">
        <v>0.99692179999999997</v>
      </c>
      <c r="Q112">
        <v>-7.5267580000000001E-2</v>
      </c>
      <c r="R112">
        <v>2.1962619999999999E-2</v>
      </c>
      <c r="S112">
        <v>2.996521</v>
      </c>
      <c r="T112">
        <v>-0.1588638</v>
      </c>
      <c r="U112">
        <v>3.6773680000000003E-2</v>
      </c>
      <c r="V112">
        <v>2.1959360000000001E-2</v>
      </c>
      <c r="W112">
        <v>-6.1190660000000001E-2</v>
      </c>
      <c r="X112">
        <v>0.99788449999999995</v>
      </c>
      <c r="Y112">
        <v>3.1702660000000001E-2</v>
      </c>
      <c r="Z112">
        <v>-2.7748680000000002E-3</v>
      </c>
      <c r="AA112">
        <v>0.99949350000000003</v>
      </c>
      <c r="AB112">
        <v>20</v>
      </c>
      <c r="AC112">
        <v>21.885099999999898</v>
      </c>
      <c r="AD112">
        <v>-1.17086</v>
      </c>
      <c r="AE112">
        <v>0.26240000000001301</v>
      </c>
      <c r="AF112">
        <v>0.69999721460664399</v>
      </c>
      <c r="AG112">
        <v>-1.17086</v>
      </c>
      <c r="AH112">
        <v>21.8129860124128</v>
      </c>
      <c r="AI112">
        <v>93.070950515505103</v>
      </c>
      <c r="AJ112">
        <v>88.161960637224198</v>
      </c>
      <c r="AK112">
        <v>21.855600381087001</v>
      </c>
      <c r="AL112">
        <v>93.508158180032694</v>
      </c>
      <c r="AM112">
        <v>88.7393574982827</v>
      </c>
      <c r="AN112">
        <v>0.99999999285154695</v>
      </c>
    </row>
    <row r="113" spans="1:40" x14ac:dyDescent="0.25">
      <c r="A113" t="str">
        <f>"20190303154733488"</f>
        <v>20190303154733488</v>
      </c>
      <c r="B113" t="str">
        <f>"1551599253480544"</f>
        <v>1551599253480544</v>
      </c>
      <c r="C113" t="s">
        <v>40</v>
      </c>
      <c r="D113">
        <v>5.2747279999999996</v>
      </c>
      <c r="E113">
        <v>0.50492409999999999</v>
      </c>
      <c r="F113" t="s">
        <v>43</v>
      </c>
      <c r="G113">
        <v>-437.774</v>
      </c>
      <c r="H113">
        <v>-0.05</v>
      </c>
      <c r="I113">
        <v>367.95749999999998</v>
      </c>
      <c r="J113">
        <v>-459.29469999999998</v>
      </c>
      <c r="K113">
        <v>1.120865</v>
      </c>
      <c r="L113">
        <v>367.73689999999999</v>
      </c>
      <c r="M113">
        <v>0.99893739999999998</v>
      </c>
      <c r="N113">
        <v>-1.414406E-2</v>
      </c>
      <c r="O113">
        <v>4.3864569999999999E-2</v>
      </c>
      <c r="P113">
        <v>0.99696390000000001</v>
      </c>
      <c r="Q113">
        <v>-7.4962239999999999E-2</v>
      </c>
      <c r="R113">
        <v>2.10539E-2</v>
      </c>
      <c r="S113">
        <v>2.9963380000000002</v>
      </c>
      <c r="T113">
        <v>-0.16147110000000001</v>
      </c>
      <c r="U113">
        <v>3.1646729999999998E-2</v>
      </c>
      <c r="V113">
        <v>2.268264E-2</v>
      </c>
      <c r="W113">
        <v>-6.0861480000000003E-2</v>
      </c>
      <c r="X113">
        <v>0.99788840000000001</v>
      </c>
      <c r="Y113">
        <v>3.3220039999999999E-2</v>
      </c>
      <c r="Z113">
        <v>-2.870662E-3</v>
      </c>
      <c r="AA113">
        <v>0.99944390000000005</v>
      </c>
      <c r="AB113">
        <v>20</v>
      </c>
      <c r="AC113">
        <v>21.520699999999898</v>
      </c>
      <c r="AD113">
        <v>-1.170865</v>
      </c>
      <c r="AE113">
        <v>0.22059999999999</v>
      </c>
      <c r="AF113">
        <v>0.72156736436577895</v>
      </c>
      <c r="AG113">
        <v>-1.170865</v>
      </c>
      <c r="AH113">
        <v>21.4461840107165</v>
      </c>
      <c r="AI113">
        <v>93.123225197854794</v>
      </c>
      <c r="AJ113">
        <v>88.072982358332197</v>
      </c>
      <c r="AK113">
        <v>21.490239480542201</v>
      </c>
      <c r="AL113">
        <v>93.489262519831499</v>
      </c>
      <c r="AM113">
        <v>88.697854610182901</v>
      </c>
      <c r="AN113">
        <v>0.99999994037985795</v>
      </c>
    </row>
    <row r="114" spans="1:40" x14ac:dyDescent="0.25">
      <c r="A114" t="str">
        <f>"20190303154733509"</f>
        <v>20190303154733509</v>
      </c>
      <c r="B114" t="str">
        <f>"1551599253501039"</f>
        <v>1551599253501039</v>
      </c>
      <c r="C114" t="s">
        <v>40</v>
      </c>
      <c r="D114">
        <v>5.3283449999999997</v>
      </c>
      <c r="E114">
        <v>0.50484779999999996</v>
      </c>
      <c r="F114" t="s">
        <v>43</v>
      </c>
      <c r="G114">
        <v>-437.2672</v>
      </c>
      <c r="H114">
        <v>-0.05</v>
      </c>
      <c r="I114">
        <v>367.91500000000002</v>
      </c>
      <c r="J114">
        <v>-459.10289999999998</v>
      </c>
      <c r="K114">
        <v>1.1208720000000001</v>
      </c>
      <c r="L114">
        <v>367.74509999999998</v>
      </c>
      <c r="M114">
        <v>0.99894510000000003</v>
      </c>
      <c r="N114">
        <v>-1.4163220000000001E-2</v>
      </c>
      <c r="O114">
        <v>4.3680919999999998E-2</v>
      </c>
      <c r="P114">
        <v>0.99701850000000003</v>
      </c>
      <c r="Q114">
        <v>-7.446361E-2</v>
      </c>
      <c r="R114">
        <v>2.0230359999999999E-2</v>
      </c>
      <c r="S114">
        <v>2.9966430000000002</v>
      </c>
      <c r="T114">
        <v>-0.15928539999999999</v>
      </c>
      <c r="U114">
        <v>2.4230959999999999E-2</v>
      </c>
      <c r="V114">
        <v>2.332418E-2</v>
      </c>
      <c r="W114">
        <v>-6.0343809999999998E-2</v>
      </c>
      <c r="X114">
        <v>0.99790509999999999</v>
      </c>
      <c r="Y114">
        <v>3.5509190000000003E-2</v>
      </c>
      <c r="Z114">
        <v>-2.8957340000000001E-3</v>
      </c>
      <c r="AA114">
        <v>0.99936519999999995</v>
      </c>
      <c r="AB114">
        <v>20</v>
      </c>
      <c r="AC114">
        <v>21.8356999999999</v>
      </c>
      <c r="AD114">
        <v>-1.1708719999999999</v>
      </c>
      <c r="AE114">
        <v>0.16990000000004099</v>
      </c>
      <c r="AF114">
        <v>0.78191326638277003</v>
      </c>
      <c r="AG114">
        <v>-1.1708719999999999</v>
      </c>
      <c r="AH114">
        <v>21.759714368983499</v>
      </c>
      <c r="AI114">
        <v>93.078084657425705</v>
      </c>
      <c r="AJ114">
        <v>87.9420197596978</v>
      </c>
      <c r="AK114">
        <v>21.805217243042499</v>
      </c>
      <c r="AL114">
        <v>93.459547420362895</v>
      </c>
      <c r="AM114">
        <v>88.661061258884402</v>
      </c>
      <c r="AN114">
        <v>0.99999999069199896</v>
      </c>
    </row>
    <row r="115" spans="1:40" x14ac:dyDescent="0.25">
      <c r="A115" t="str">
        <f>"20190303154733532"</f>
        <v>20190303154733532</v>
      </c>
      <c r="B115" t="str">
        <f>"1551599253520562"</f>
        <v>1551599253520562</v>
      </c>
      <c r="C115" t="s">
        <v>40</v>
      </c>
      <c r="D115">
        <v>5.3034280000000003</v>
      </c>
      <c r="E115">
        <v>0.50507979999999997</v>
      </c>
      <c r="F115" t="s">
        <v>43</v>
      </c>
      <c r="G115">
        <v>-437.62599999999998</v>
      </c>
      <c r="H115">
        <v>-0.05</v>
      </c>
      <c r="I115">
        <v>367.90550000000002</v>
      </c>
      <c r="J115">
        <v>-458.90339999999998</v>
      </c>
      <c r="K115">
        <v>1.1208819999999999</v>
      </c>
      <c r="L115">
        <v>367.75369999999998</v>
      </c>
      <c r="M115">
        <v>0.9989536</v>
      </c>
      <c r="N115">
        <v>-1.4179890000000001E-2</v>
      </c>
      <c r="O115">
        <v>4.3484420000000003E-2</v>
      </c>
      <c r="P115">
        <v>0.99703909999999996</v>
      </c>
      <c r="Q115">
        <v>-7.4250670000000005E-2</v>
      </c>
      <c r="R115">
        <v>2.000132E-2</v>
      </c>
      <c r="S115">
        <v>2.9963069999999998</v>
      </c>
      <c r="T115">
        <v>-0.16335179999999999</v>
      </c>
      <c r="U115">
        <v>2.2369380000000001E-2</v>
      </c>
      <c r="V115">
        <v>2.3357920000000001E-2</v>
      </c>
      <c r="W115">
        <v>-6.0114010000000002E-2</v>
      </c>
      <c r="X115">
        <v>0.99791819999999998</v>
      </c>
      <c r="Y115">
        <v>3.5926649999999997E-2</v>
      </c>
      <c r="Z115">
        <v>-2.9853140000000002E-3</v>
      </c>
      <c r="AA115">
        <v>0.99934999999999996</v>
      </c>
      <c r="AB115">
        <v>20</v>
      </c>
      <c r="AC115">
        <v>21.2774</v>
      </c>
      <c r="AD115">
        <v>-1.170882</v>
      </c>
      <c r="AE115">
        <v>0.15180000000003699</v>
      </c>
      <c r="AF115">
        <v>0.77133625990459198</v>
      </c>
      <c r="AG115">
        <v>-1.170882</v>
      </c>
      <c r="AH115">
        <v>21.1996770996222</v>
      </c>
      <c r="AI115">
        <v>93.159212254328907</v>
      </c>
      <c r="AJ115">
        <v>87.916250055535997</v>
      </c>
      <c r="AK115">
        <v>21.245993349618001</v>
      </c>
      <c r="AL115">
        <v>93.446356836387295</v>
      </c>
      <c r="AM115">
        <v>88.659142695946798</v>
      </c>
      <c r="AN115">
        <v>1.0000000102581199</v>
      </c>
    </row>
    <row r="116" spans="1:40" x14ac:dyDescent="0.25">
      <c r="A116" t="str">
        <f>"20190303154733554"</f>
        <v>20190303154733554</v>
      </c>
      <c r="B116" t="str">
        <f>"1551599253550815"</f>
        <v>1551599253550815</v>
      </c>
      <c r="C116" t="s">
        <v>40</v>
      </c>
      <c r="D116">
        <v>5.2833819999999996</v>
      </c>
      <c r="E116">
        <v>0.50536530000000002</v>
      </c>
      <c r="F116" t="s">
        <v>43</v>
      </c>
      <c r="G116">
        <v>-437.22300000000001</v>
      </c>
      <c r="H116">
        <v>-0.05</v>
      </c>
      <c r="I116">
        <v>367.89609999999999</v>
      </c>
      <c r="J116">
        <v>-458.6995</v>
      </c>
      <c r="K116">
        <v>1.1208929999999999</v>
      </c>
      <c r="L116">
        <v>367.76229999999998</v>
      </c>
      <c r="M116">
        <v>0.99896200000000002</v>
      </c>
      <c r="N116">
        <v>-1.4193880000000001E-2</v>
      </c>
      <c r="O116">
        <v>4.3284580000000003E-2</v>
      </c>
      <c r="P116">
        <v>0.99705460000000001</v>
      </c>
      <c r="Q116">
        <v>-7.4078809999999995E-2</v>
      </c>
      <c r="R116">
        <v>1.9869899999999999E-2</v>
      </c>
      <c r="S116">
        <v>2.996429</v>
      </c>
      <c r="T116">
        <v>-0.161827</v>
      </c>
      <c r="U116">
        <v>1.9683840000000001E-2</v>
      </c>
      <c r="V116">
        <v>2.32908E-2</v>
      </c>
      <c r="W116">
        <v>-5.9927809999999998E-2</v>
      </c>
      <c r="X116">
        <v>0.99793089999999995</v>
      </c>
      <c r="Y116">
        <v>3.6623570000000001E-2</v>
      </c>
      <c r="Z116">
        <v>-2.9694550000000002E-3</v>
      </c>
      <c r="AA116">
        <v>0.99932469999999995</v>
      </c>
      <c r="AB116">
        <v>20</v>
      </c>
      <c r="AC116">
        <v>21.476499999999898</v>
      </c>
      <c r="AD116">
        <v>-1.170893</v>
      </c>
      <c r="AE116">
        <v>0.133800000000007</v>
      </c>
      <c r="AF116">
        <v>0.793661328981765</v>
      </c>
      <c r="AG116">
        <v>-1.170893</v>
      </c>
      <c r="AH116">
        <v>21.3985572459213</v>
      </c>
      <c r="AI116">
        <v>93.129857435845807</v>
      </c>
      <c r="AJ116">
        <v>87.875903050445402</v>
      </c>
      <c r="AK116">
        <v>21.445259171423899</v>
      </c>
      <c r="AL116">
        <v>93.435669326776903</v>
      </c>
      <c r="AM116">
        <v>88.663011316205896</v>
      </c>
      <c r="AN116">
        <v>0.99999994247542101</v>
      </c>
    </row>
    <row r="117" spans="1:40" x14ac:dyDescent="0.25">
      <c r="A117" t="str">
        <f>"20190303154733579"</f>
        <v>20190303154733579</v>
      </c>
      <c r="B117" t="str">
        <f>"1551599253570335"</f>
        <v>1551599253570335</v>
      </c>
      <c r="C117" t="s">
        <v>40</v>
      </c>
      <c r="D117">
        <v>5.3112139999999997</v>
      </c>
      <c r="E117">
        <v>0.50560709999999998</v>
      </c>
      <c r="F117" t="s">
        <v>43</v>
      </c>
      <c r="G117">
        <v>-437.06939999999997</v>
      </c>
      <c r="H117">
        <v>-0.05</v>
      </c>
      <c r="I117">
        <v>367.88670000000002</v>
      </c>
      <c r="J117">
        <v>-458.48910000000001</v>
      </c>
      <c r="K117">
        <v>1.1209070000000001</v>
      </c>
      <c r="L117">
        <v>367.77120000000002</v>
      </c>
      <c r="M117">
        <v>0.99897069999999999</v>
      </c>
      <c r="N117">
        <v>-1.420576E-2</v>
      </c>
      <c r="O117">
        <v>4.3082040000000002E-2</v>
      </c>
      <c r="P117">
        <v>0.9970772</v>
      </c>
      <c r="Q117">
        <v>-7.3895139999999998E-2</v>
      </c>
      <c r="R117">
        <v>1.9416369999999999E-2</v>
      </c>
      <c r="S117">
        <v>2.9964900000000001</v>
      </c>
      <c r="T117">
        <v>-0.1622072</v>
      </c>
      <c r="U117">
        <v>1.724243E-2</v>
      </c>
      <c r="V117">
        <v>2.354359E-2</v>
      </c>
      <c r="W117">
        <v>-5.9732029999999998E-2</v>
      </c>
      <c r="X117">
        <v>0.99793679999999996</v>
      </c>
      <c r="Y117">
        <v>3.7233799999999997E-2</v>
      </c>
      <c r="Z117">
        <v>-2.9896850000000002E-3</v>
      </c>
      <c r="AA117">
        <v>0.99930209999999997</v>
      </c>
      <c r="AB117">
        <v>20</v>
      </c>
      <c r="AC117">
        <v>21.419699999999999</v>
      </c>
      <c r="AD117">
        <v>-1.1709069999999999</v>
      </c>
      <c r="AE117">
        <v>0.11549999999999699</v>
      </c>
      <c r="AF117">
        <v>0.80509883500740498</v>
      </c>
      <c r="AG117">
        <v>-1.1709069999999999</v>
      </c>
      <c r="AH117">
        <v>21.3410144924914</v>
      </c>
      <c r="AI117">
        <v>93.138242812155397</v>
      </c>
      <c r="AJ117">
        <v>87.839516935015496</v>
      </c>
      <c r="AK117">
        <v>21.3882703112128</v>
      </c>
      <c r="AL117">
        <v>93.424431505304398</v>
      </c>
      <c r="AM117">
        <v>88.648513460469601</v>
      </c>
      <c r="AN117">
        <v>1.0000000364161199</v>
      </c>
    </row>
    <row r="118" spans="1:40" x14ac:dyDescent="0.25">
      <c r="A118" t="str">
        <f>"20190303154733603"</f>
        <v>20190303154733603</v>
      </c>
      <c r="B118" t="str">
        <f>"1551599253590832"</f>
        <v>1551599253590832</v>
      </c>
      <c r="C118" t="s">
        <v>40</v>
      </c>
      <c r="D118">
        <v>5.3129809999999997</v>
      </c>
      <c r="E118">
        <v>0.50575700000000001</v>
      </c>
      <c r="F118" t="s">
        <v>43</v>
      </c>
      <c r="G118">
        <v>-436.83179999999999</v>
      </c>
      <c r="H118">
        <v>-0.05</v>
      </c>
      <c r="I118">
        <v>367.87040000000002</v>
      </c>
      <c r="J118">
        <v>-458.28070000000002</v>
      </c>
      <c r="K118">
        <v>1.1209100000000001</v>
      </c>
      <c r="L118">
        <v>367.7799</v>
      </c>
      <c r="M118">
        <v>0.9989789</v>
      </c>
      <c r="N118">
        <v>-1.4215169999999999E-2</v>
      </c>
      <c r="O118">
        <v>4.2887920000000003E-2</v>
      </c>
      <c r="P118">
        <v>0.99709479999999995</v>
      </c>
      <c r="Q118">
        <v>-7.3746729999999996E-2</v>
      </c>
      <c r="R118">
        <v>1.907476E-2</v>
      </c>
      <c r="S118">
        <v>2.996521</v>
      </c>
      <c r="T118">
        <v>-0.1620075</v>
      </c>
      <c r="U118">
        <v>1.3732909999999999E-2</v>
      </c>
      <c r="V118">
        <v>2.3692520000000002E-2</v>
      </c>
      <c r="W118">
        <v>-5.9573960000000002E-2</v>
      </c>
      <c r="X118">
        <v>0.99794269999999996</v>
      </c>
      <c r="Y118">
        <v>3.820863E-2</v>
      </c>
      <c r="Z118">
        <v>-3.01089E-3</v>
      </c>
      <c r="AA118">
        <v>0.99926530000000002</v>
      </c>
      <c r="AB118">
        <v>20</v>
      </c>
      <c r="AC118">
        <v>21.448899999999998</v>
      </c>
      <c r="AD118">
        <v>-1.1709099999999999</v>
      </c>
      <c r="AE118">
        <v>9.0500000000019995E-2</v>
      </c>
      <c r="AF118">
        <v>0.82710995701631496</v>
      </c>
      <c r="AG118">
        <v>-1.1709099999999999</v>
      </c>
      <c r="AH118">
        <v>21.369359816714699</v>
      </c>
      <c r="AI118">
        <v>93.133979449873607</v>
      </c>
      <c r="AJ118">
        <v>87.783449466958103</v>
      </c>
      <c r="AK118">
        <v>21.4173920000853</v>
      </c>
      <c r="AL118">
        <v>93.415358686801</v>
      </c>
      <c r="AM118">
        <v>88.639975582697701</v>
      </c>
      <c r="AN118">
        <v>1.0000000123486601</v>
      </c>
    </row>
    <row r="119" spans="1:40" x14ac:dyDescent="0.25">
      <c r="A119" t="str">
        <f>"20190303154733624"</f>
        <v>20190303154733624</v>
      </c>
      <c r="B119" t="str">
        <f>"1551599253621088"</f>
        <v>1551599253621088</v>
      </c>
      <c r="C119" t="s">
        <v>40</v>
      </c>
      <c r="D119">
        <v>5.304805</v>
      </c>
      <c r="E119">
        <v>0.50585820000000004</v>
      </c>
      <c r="F119" t="s">
        <v>43</v>
      </c>
      <c r="G119">
        <v>-436.59750000000003</v>
      </c>
      <c r="H119">
        <v>-0.05</v>
      </c>
      <c r="I119">
        <v>367.86360000000002</v>
      </c>
      <c r="J119">
        <v>-458.0804</v>
      </c>
      <c r="K119">
        <v>1.120914</v>
      </c>
      <c r="L119">
        <v>367.78829999999999</v>
      </c>
      <c r="M119">
        <v>0.99898640000000005</v>
      </c>
      <c r="N119">
        <v>-1.422212E-2</v>
      </c>
      <c r="O119">
        <v>4.2708049999999997E-2</v>
      </c>
      <c r="P119">
        <v>0.99704680000000001</v>
      </c>
      <c r="Q119">
        <v>-7.4544520000000003E-2</v>
      </c>
      <c r="R119">
        <v>1.847029E-2</v>
      </c>
      <c r="S119">
        <v>2.996521</v>
      </c>
      <c r="T119">
        <v>-0.161814299999999</v>
      </c>
      <c r="U119">
        <v>1.1566160000000001E-2</v>
      </c>
      <c r="V119">
        <v>2.4114980000000001E-2</v>
      </c>
      <c r="W119">
        <v>-6.0365639999999998E-2</v>
      </c>
      <c r="X119">
        <v>0.99788500000000002</v>
      </c>
      <c r="Y119">
        <v>3.8750659999999999E-2</v>
      </c>
      <c r="Z119">
        <v>-3.0180950000000002E-3</v>
      </c>
      <c r="AA119">
        <v>0.99924429999999997</v>
      </c>
      <c r="AB119">
        <v>20</v>
      </c>
      <c r="AC119">
        <v>21.482899999999901</v>
      </c>
      <c r="AD119">
        <v>-1.170914</v>
      </c>
      <c r="AE119">
        <v>7.5300000000026998E-2</v>
      </c>
      <c r="AF119">
        <v>0.83985928539698396</v>
      </c>
      <c r="AG119">
        <v>-1.170914</v>
      </c>
      <c r="AH119">
        <v>21.402929479733</v>
      </c>
      <c r="AI119">
        <v>93.129019358012997</v>
      </c>
      <c r="AJ119">
        <v>87.752844228489494</v>
      </c>
      <c r="AK119">
        <v>21.451382089018999</v>
      </c>
      <c r="AL119">
        <v>93.460800411629407</v>
      </c>
      <c r="AM119">
        <v>88.615654406124904</v>
      </c>
      <c r="AN119">
        <v>1.0000000079889999</v>
      </c>
    </row>
    <row r="120" spans="1:40" x14ac:dyDescent="0.25">
      <c r="A120" t="str">
        <f>"20190303154733643"</f>
        <v>20190303154733643</v>
      </c>
      <c r="B120" t="str">
        <f>"1551599253640607"</f>
        <v>1551599253640607</v>
      </c>
      <c r="C120" t="s">
        <v>40</v>
      </c>
      <c r="D120">
        <v>5.2953330000000003</v>
      </c>
      <c r="E120">
        <v>0.50595210000000002</v>
      </c>
      <c r="F120" t="s">
        <v>43</v>
      </c>
      <c r="G120">
        <v>-436.83879999999999</v>
      </c>
      <c r="H120">
        <v>-0.05</v>
      </c>
      <c r="I120">
        <v>367.85129999999998</v>
      </c>
      <c r="J120">
        <v>-457.91109999999998</v>
      </c>
      <c r="K120">
        <v>1.1209169999999999</v>
      </c>
      <c r="L120">
        <v>367.7953</v>
      </c>
      <c r="M120">
        <v>0.99899289999999996</v>
      </c>
      <c r="N120">
        <v>-1.422674E-2</v>
      </c>
      <c r="O120">
        <v>4.2558100000000001E-2</v>
      </c>
      <c r="P120">
        <v>0.99699859999999896</v>
      </c>
      <c r="Q120">
        <v>-7.5256630000000005E-2</v>
      </c>
      <c r="R120">
        <v>1.817115E-2</v>
      </c>
      <c r="S120">
        <v>2.9963679999999999</v>
      </c>
      <c r="T120">
        <v>-0.1651707</v>
      </c>
      <c r="U120">
        <v>8.8806149999999997E-3</v>
      </c>
      <c r="V120">
        <v>2.4262639999999999E-2</v>
      </c>
      <c r="W120">
        <v>-6.1073769999999999E-2</v>
      </c>
      <c r="X120">
        <v>0.99783829999999996</v>
      </c>
      <c r="Y120">
        <v>3.9490160000000003E-2</v>
      </c>
      <c r="Z120">
        <v>-3.107088E-3</v>
      </c>
      <c r="AA120">
        <v>0.99921510000000002</v>
      </c>
      <c r="AB120">
        <v>20</v>
      </c>
      <c r="AC120">
        <v>21.072299999999899</v>
      </c>
      <c r="AD120">
        <v>-1.170917</v>
      </c>
      <c r="AE120">
        <v>5.5999999999983098E-2</v>
      </c>
      <c r="AF120">
        <v>0.83834987037634801</v>
      </c>
      <c r="AG120">
        <v>-1.170917</v>
      </c>
      <c r="AH120">
        <v>20.990776243758202</v>
      </c>
      <c r="AI120">
        <v>93.190252106014299</v>
      </c>
      <c r="AJ120">
        <v>87.712881447450997</v>
      </c>
      <c r="AK120">
        <v>21.040117975942302</v>
      </c>
      <c r="AL120">
        <v>93.501448382243495</v>
      </c>
      <c r="AM120">
        <v>88.607115998739104</v>
      </c>
      <c r="AN120">
        <v>0.99999997701433596</v>
      </c>
    </row>
    <row r="121" spans="1:40" x14ac:dyDescent="0.25">
      <c r="A121" t="str">
        <f>"20190303154733665"</f>
        <v>20190303154733665</v>
      </c>
      <c r="B121" t="str">
        <f>"1551599253661103"</f>
        <v>1551599253661103</v>
      </c>
      <c r="C121" t="s">
        <v>40</v>
      </c>
      <c r="D121">
        <v>5.3368549999999999</v>
      </c>
      <c r="E121">
        <v>0.5057585</v>
      </c>
      <c r="F121" t="s">
        <v>43</v>
      </c>
      <c r="G121">
        <v>-437.0942</v>
      </c>
      <c r="H121">
        <v>-0.05</v>
      </c>
      <c r="I121">
        <v>367.84589999999997</v>
      </c>
      <c r="J121">
        <v>-457.7165</v>
      </c>
      <c r="K121">
        <v>1.1209249999999999</v>
      </c>
      <c r="L121">
        <v>367.80340000000001</v>
      </c>
      <c r="M121">
        <v>0.99899990000000005</v>
      </c>
      <c r="N121">
        <v>-1.423074E-2</v>
      </c>
      <c r="O121">
        <v>4.2389030000000001E-2</v>
      </c>
      <c r="P121">
        <v>0.99699590000000005</v>
      </c>
      <c r="Q121">
        <v>-7.5363219999999995E-2</v>
      </c>
      <c r="R121">
        <v>1.7881959999999999E-2</v>
      </c>
      <c r="S121">
        <v>2.9961850000000001</v>
      </c>
      <c r="T121">
        <v>-0.16853070000000001</v>
      </c>
      <c r="U121">
        <v>7.2937009999999997E-3</v>
      </c>
      <c r="V121">
        <v>2.4382999999999998E-2</v>
      </c>
      <c r="W121">
        <v>-6.1176389999999997E-2</v>
      </c>
      <c r="X121">
        <v>0.99782910000000002</v>
      </c>
      <c r="Y121">
        <v>3.9844770000000002E-2</v>
      </c>
      <c r="Z121">
        <v>-3.182341E-3</v>
      </c>
      <c r="AA121">
        <v>0.9992008</v>
      </c>
      <c r="AB121">
        <v>20</v>
      </c>
      <c r="AC121">
        <v>20.622299999999999</v>
      </c>
      <c r="AD121">
        <v>-1.170925</v>
      </c>
      <c r="AE121">
        <v>4.2499999999961298E-2</v>
      </c>
      <c r="AF121">
        <v>0.82911298537794698</v>
      </c>
      <c r="AG121">
        <v>-1.170925</v>
      </c>
      <c r="AH121">
        <v>20.539345370864201</v>
      </c>
      <c r="AI121">
        <v>93.260186893051994</v>
      </c>
      <c r="AJ121">
        <v>87.688392877465404</v>
      </c>
      <c r="AK121">
        <v>20.589395376304498</v>
      </c>
      <c r="AL121">
        <v>93.507339019710898</v>
      </c>
      <c r="AM121">
        <v>88.600196142003497</v>
      </c>
      <c r="AN121">
        <v>0.99999999709462095</v>
      </c>
    </row>
    <row r="122" spans="1:40" x14ac:dyDescent="0.25">
      <c r="A122" t="str">
        <f>"20190303154733688"</f>
        <v>20190303154733688</v>
      </c>
      <c r="B122" t="str">
        <f>"1551599253680623"</f>
        <v>1551599253680623</v>
      </c>
      <c r="C122" t="s">
        <v>40</v>
      </c>
      <c r="D122">
        <v>5.3555640000000002</v>
      </c>
      <c r="E122">
        <v>0.50561120000000004</v>
      </c>
      <c r="F122" t="s">
        <v>43</v>
      </c>
      <c r="G122">
        <v>-437.5145</v>
      </c>
      <c r="H122">
        <v>-0.05</v>
      </c>
      <c r="I122">
        <v>367.85610000000003</v>
      </c>
      <c r="J122">
        <v>-457.51510000000002</v>
      </c>
      <c r="K122">
        <v>1.1209279999999999</v>
      </c>
      <c r="L122">
        <v>367.81180000000001</v>
      </c>
      <c r="M122">
        <v>0.99900730000000004</v>
      </c>
      <c r="N122">
        <v>-1.4233579999999999E-2</v>
      </c>
      <c r="O122">
        <v>4.2215009999999997E-2</v>
      </c>
      <c r="P122">
        <v>0.99701300000000004</v>
      </c>
      <c r="Q122">
        <v>-7.5130699999999995E-2</v>
      </c>
      <c r="R122">
        <v>1.7908380000000002E-2</v>
      </c>
      <c r="S122">
        <v>2.9957889999999998</v>
      </c>
      <c r="T122">
        <v>-0.17363879999999901</v>
      </c>
      <c r="U122">
        <v>7.8125E-3</v>
      </c>
      <c r="V122">
        <v>2.4183940000000001E-2</v>
      </c>
      <c r="W122">
        <v>-6.0940559999999998E-2</v>
      </c>
      <c r="X122">
        <v>0.99784839999999997</v>
      </c>
      <c r="Y122">
        <v>3.9490780000000003E-2</v>
      </c>
      <c r="Z122">
        <v>-3.2683819999999998E-3</v>
      </c>
      <c r="AA122">
        <v>0.99921459999999995</v>
      </c>
      <c r="AB122">
        <v>20</v>
      </c>
      <c r="AC122">
        <v>20.000599999999999</v>
      </c>
      <c r="AD122">
        <v>-1.170928</v>
      </c>
      <c r="AE122">
        <v>4.43000000000211E-2</v>
      </c>
      <c r="AF122">
        <v>0.79741733311367802</v>
      </c>
      <c r="AG122">
        <v>-1.170928</v>
      </c>
      <c r="AH122">
        <v>19.916374605179598</v>
      </c>
      <c r="AI122">
        <v>93.3619858269264</v>
      </c>
      <c r="AJ122">
        <v>87.707200325278393</v>
      </c>
      <c r="AK122">
        <v>19.966695375003301</v>
      </c>
      <c r="AL122">
        <v>93.493801610442006</v>
      </c>
      <c r="AM122">
        <v>88.611646330935798</v>
      </c>
      <c r="AN122">
        <v>1.00000002209479</v>
      </c>
    </row>
    <row r="123" spans="1:40" x14ac:dyDescent="0.25">
      <c r="A123" t="str">
        <f>"20190303154733710"</f>
        <v>20190303154733710</v>
      </c>
      <c r="B123" t="str">
        <f>"1551599253701119"</f>
        <v>1551599253701119</v>
      </c>
      <c r="C123" t="s">
        <v>40</v>
      </c>
      <c r="D123">
        <v>5.2972929999999998</v>
      </c>
      <c r="E123">
        <v>0.50550320000000004</v>
      </c>
      <c r="F123" t="s">
        <v>43</v>
      </c>
      <c r="G123">
        <v>-437.66669999999999</v>
      </c>
      <c r="H123">
        <v>-0.05</v>
      </c>
      <c r="I123">
        <v>367.87119999999999</v>
      </c>
      <c r="J123">
        <v>-457.3229</v>
      </c>
      <c r="K123">
        <v>1.12093</v>
      </c>
      <c r="L123">
        <v>367.81970000000001</v>
      </c>
      <c r="M123">
        <v>0.99901419999999996</v>
      </c>
      <c r="N123">
        <v>-1.4235360000000001E-2</v>
      </c>
      <c r="O123">
        <v>4.2048919999999997E-2</v>
      </c>
      <c r="P123">
        <v>0.99701960000000001</v>
      </c>
      <c r="Q123">
        <v>-7.4929510000000005E-2</v>
      </c>
      <c r="R123">
        <v>1.8375929999999999E-2</v>
      </c>
      <c r="S123">
        <v>2.995514</v>
      </c>
      <c r="T123">
        <v>-0.1767157</v>
      </c>
      <c r="U123">
        <v>8.9721680000000009E-3</v>
      </c>
      <c r="V123">
        <v>2.3551639999999999E-2</v>
      </c>
      <c r="W123">
        <v>-6.0736900000000003E-2</v>
      </c>
      <c r="X123">
        <v>0.99787590000000004</v>
      </c>
      <c r="Y123">
        <v>3.8934360000000001E-2</v>
      </c>
      <c r="Z123">
        <v>-3.3043780000000002E-3</v>
      </c>
      <c r="AA123">
        <v>0.99923629999999997</v>
      </c>
      <c r="AB123">
        <v>20</v>
      </c>
      <c r="AC123">
        <v>19.656199999999998</v>
      </c>
      <c r="AD123">
        <v>-1.17093</v>
      </c>
      <c r="AE123">
        <v>5.1499999999975898E-2</v>
      </c>
      <c r="AF123">
        <v>0.77241025230981897</v>
      </c>
      <c r="AG123">
        <v>-1.17093</v>
      </c>
      <c r="AH123">
        <v>19.571525400652298</v>
      </c>
      <c r="AI123">
        <v>93.421167697680204</v>
      </c>
      <c r="AJ123">
        <v>87.739936417522301</v>
      </c>
      <c r="AK123">
        <v>19.621730330711198</v>
      </c>
      <c r="AL123">
        <v>93.482111239101101</v>
      </c>
      <c r="AM123">
        <v>88.647969054765895</v>
      </c>
      <c r="AN123">
        <v>0.99999998128455403</v>
      </c>
    </row>
    <row r="124" spans="1:40" x14ac:dyDescent="0.25">
      <c r="A124" t="str">
        <f>"20190303154733732"</f>
        <v>20190303154733732</v>
      </c>
      <c r="B124" t="str">
        <f>"1551599253720642"</f>
        <v>1551599253720642</v>
      </c>
      <c r="C124" t="s">
        <v>40</v>
      </c>
      <c r="D124">
        <v>5.3737690000000002</v>
      </c>
      <c r="E124">
        <v>0.48859639999999999</v>
      </c>
      <c r="F124" t="s">
        <v>43</v>
      </c>
      <c r="G124">
        <v>-437.61380000000003</v>
      </c>
      <c r="H124">
        <v>-0.05</v>
      </c>
      <c r="I124">
        <v>367.89479999999998</v>
      </c>
      <c r="J124">
        <v>-457.13279999999997</v>
      </c>
      <c r="K124">
        <v>1.1209450000000001</v>
      </c>
      <c r="L124">
        <v>367.82749999999999</v>
      </c>
      <c r="M124">
        <v>0.99902100000000005</v>
      </c>
      <c r="N124">
        <v>-1.423636E-2</v>
      </c>
      <c r="O124">
        <v>4.1885079999999998E-2</v>
      </c>
      <c r="P124">
        <v>0.99701130000000004</v>
      </c>
      <c r="Q124">
        <v>-7.4997540000000001E-2</v>
      </c>
      <c r="R124">
        <v>1.8545760000000001E-2</v>
      </c>
      <c r="S124">
        <v>2.9953919999999998</v>
      </c>
      <c r="T124">
        <v>-0.1779579</v>
      </c>
      <c r="U124">
        <v>1.141357E-2</v>
      </c>
      <c r="V124">
        <v>2.3218369999999999E-2</v>
      </c>
      <c r="W124">
        <v>-6.0803740000000002E-2</v>
      </c>
      <c r="X124">
        <v>0.99787969999999904</v>
      </c>
      <c r="Y124">
        <v>3.7956379999999998E-2</v>
      </c>
      <c r="Z124">
        <v>-3.286555E-3</v>
      </c>
      <c r="AA124">
        <v>0.999274</v>
      </c>
      <c r="AB124">
        <v>20</v>
      </c>
      <c r="AC124">
        <v>19.518999999999899</v>
      </c>
      <c r="AD124">
        <v>-1.1709449999999999</v>
      </c>
      <c r="AE124">
        <v>6.7299999999988799E-2</v>
      </c>
      <c r="AF124">
        <v>0.74770599958867401</v>
      </c>
      <c r="AG124">
        <v>-1.1709449999999999</v>
      </c>
      <c r="AH124">
        <v>19.434745530511901</v>
      </c>
      <c r="AI124">
        <v>93.445364630369298</v>
      </c>
      <c r="AJ124">
        <v>87.796766614604607</v>
      </c>
      <c r="AK124">
        <v>19.484340129719499</v>
      </c>
      <c r="AL124">
        <v>93.485947769759306</v>
      </c>
      <c r="AM124">
        <v>88.667099235650895</v>
      </c>
      <c r="AN124">
        <v>1.0000000415877599</v>
      </c>
    </row>
    <row r="125" spans="1:40" x14ac:dyDescent="0.25">
      <c r="A125" t="str">
        <f>"20190303154733755"</f>
        <v>20190303154733755</v>
      </c>
      <c r="B125" t="str">
        <f>"1551599253750896"</f>
        <v>1551599253750896</v>
      </c>
      <c r="C125" t="s">
        <v>40</v>
      </c>
      <c r="D125">
        <v>5.361777</v>
      </c>
      <c r="E125">
        <v>0.48625210000000002</v>
      </c>
      <c r="F125" t="s">
        <v>41</v>
      </c>
      <c r="G125">
        <v>-441.69170000000003</v>
      </c>
      <c r="H125" s="1">
        <v>-4.0907859999999999E-6</v>
      </c>
      <c r="I125">
        <v>368.58519999999999</v>
      </c>
      <c r="J125">
        <v>-456.93290000000002</v>
      </c>
      <c r="K125">
        <v>1.1209469999999999</v>
      </c>
      <c r="L125">
        <v>367.83569999999997</v>
      </c>
      <c r="M125">
        <v>0.99902829999999998</v>
      </c>
      <c r="N125">
        <v>-1.4236550000000001E-2</v>
      </c>
      <c r="O125">
        <v>4.171184E-2</v>
      </c>
      <c r="P125">
        <v>0.99704020000000004</v>
      </c>
      <c r="Q125">
        <v>-7.4659100000000006E-2</v>
      </c>
      <c r="R125">
        <v>1.8359259999999999E-2</v>
      </c>
      <c r="S125">
        <v>2.9899900000000001</v>
      </c>
      <c r="T125">
        <v>-0.21705759999999999</v>
      </c>
      <c r="U125">
        <v>0.14672850000000001</v>
      </c>
      <c r="V125">
        <v>2.3233239999999999E-2</v>
      </c>
      <c r="W125">
        <v>-6.0464740000000003E-2</v>
      </c>
      <c r="X125">
        <v>0.99789989999999995</v>
      </c>
      <c r="Y125">
        <v>-7.3532290000000002E-3</v>
      </c>
      <c r="Z125">
        <v>-2.1088280000000001E-3</v>
      </c>
      <c r="AA125">
        <v>0.99997069999999999</v>
      </c>
      <c r="AB125">
        <v>20</v>
      </c>
      <c r="AC125">
        <v>15.2411999999999</v>
      </c>
      <c r="AD125">
        <v>-1.1209510907860001</v>
      </c>
      <c r="AE125">
        <v>0.74950000000001105</v>
      </c>
      <c r="AF125">
        <v>-0.112437931056015</v>
      </c>
      <c r="AG125">
        <v>-1.1209510907860001</v>
      </c>
      <c r="AH125">
        <v>15.177299454175101</v>
      </c>
      <c r="AI125">
        <v>94.223914380071804</v>
      </c>
      <c r="AJ125">
        <v>90.424456345098605</v>
      </c>
      <c r="AK125">
        <v>15.219053596001901</v>
      </c>
      <c r="AL125">
        <v>93.466488878934896</v>
      </c>
      <c r="AM125">
        <v>88.666272888161203</v>
      </c>
      <c r="AN125">
        <v>0.999999989322087</v>
      </c>
    </row>
    <row r="126" spans="1:40" x14ac:dyDescent="0.25">
      <c r="A126" t="str">
        <f>"20190303154733778"</f>
        <v>20190303154733778</v>
      </c>
      <c r="B126" t="str">
        <f>"1551599253770416"</f>
        <v>1551599253770416</v>
      </c>
      <c r="C126" t="s">
        <v>40</v>
      </c>
      <c r="D126">
        <v>5.3673159999999998</v>
      </c>
      <c r="E126">
        <v>0.48609340000000001</v>
      </c>
      <c r="F126" t="s">
        <v>41</v>
      </c>
      <c r="G126">
        <v>-442.09820000000002</v>
      </c>
      <c r="H126" s="1">
        <v>-3.8865139999999999E-6</v>
      </c>
      <c r="I126">
        <v>368.65339999999998</v>
      </c>
      <c r="J126">
        <v>-456.73259999999999</v>
      </c>
      <c r="K126">
        <v>1.1209530000000001</v>
      </c>
      <c r="L126">
        <v>367.84379999999999</v>
      </c>
      <c r="M126">
        <v>0.99903560000000002</v>
      </c>
      <c r="N126">
        <v>-1.423604E-2</v>
      </c>
      <c r="O126">
        <v>4.1537579999999998E-2</v>
      </c>
      <c r="P126">
        <v>0.99700339999999998</v>
      </c>
      <c r="Q126">
        <v>-7.5223159999999997E-2</v>
      </c>
      <c r="R126">
        <v>1.8047029999999999E-2</v>
      </c>
      <c r="S126">
        <v>2.9889220000000001</v>
      </c>
      <c r="T126">
        <v>-0.22585079999999999</v>
      </c>
      <c r="U126">
        <v>0.16476440000000001</v>
      </c>
      <c r="V126">
        <v>2.3369899999999999E-2</v>
      </c>
      <c r="W126">
        <v>-6.1029899999999998E-2</v>
      </c>
      <c r="X126">
        <v>0.99786229999999998</v>
      </c>
      <c r="Y126">
        <v>-1.354701E-2</v>
      </c>
      <c r="Z126">
        <v>-1.932378E-3</v>
      </c>
      <c r="AA126">
        <v>0.99990639999999997</v>
      </c>
      <c r="AB126">
        <v>20</v>
      </c>
      <c r="AC126">
        <v>14.6343999999999</v>
      </c>
      <c r="AD126">
        <v>-1.1209568865140001</v>
      </c>
      <c r="AE126">
        <v>0.809599999999989</v>
      </c>
      <c r="AF126">
        <v>-0.19979336623555899</v>
      </c>
      <c r="AG126">
        <v>-1.1209568865140001</v>
      </c>
      <c r="AH126">
        <v>14.570174614314199</v>
      </c>
      <c r="AI126">
        <v>94.398974510656501</v>
      </c>
      <c r="AJ126">
        <v>90.785618536171299</v>
      </c>
      <c r="AK126">
        <v>14.6145971556598</v>
      </c>
      <c r="AL126">
        <v>93.498930089591894</v>
      </c>
      <c r="AM126">
        <v>88.658380111864503</v>
      </c>
      <c r="AN126">
        <v>0.99999998534065404</v>
      </c>
    </row>
    <row r="127" spans="1:40" x14ac:dyDescent="0.25">
      <c r="A127" t="str">
        <f>"20190303154733802"</f>
        <v>20190303154733802</v>
      </c>
      <c r="B127" t="str">
        <f>"1551599253790911"</f>
        <v>1551599253790911</v>
      </c>
      <c r="C127" t="s">
        <v>40</v>
      </c>
      <c r="D127">
        <v>5.3456530000000004</v>
      </c>
      <c r="E127">
        <v>0.48568790000000001</v>
      </c>
      <c r="F127" t="s">
        <v>41</v>
      </c>
      <c r="G127">
        <v>-442.10899999999998</v>
      </c>
      <c r="H127" s="1">
        <v>-3.8817609999999998E-6</v>
      </c>
      <c r="I127">
        <v>368.6515</v>
      </c>
      <c r="J127">
        <v>-456.53199999999998</v>
      </c>
      <c r="K127">
        <v>1.12096</v>
      </c>
      <c r="L127">
        <v>367.8519</v>
      </c>
      <c r="M127">
        <v>0.99904269999999995</v>
      </c>
      <c r="N127">
        <v>-1.423496E-2</v>
      </c>
      <c r="O127">
        <v>4.1362780000000002E-2</v>
      </c>
      <c r="P127">
        <v>0.99700520000000004</v>
      </c>
      <c r="Q127">
        <v>-7.5249880000000005E-2</v>
      </c>
      <c r="R127">
        <v>1.7841059999999999E-2</v>
      </c>
      <c r="S127">
        <v>2.9887079999999999</v>
      </c>
      <c r="T127">
        <v>-0.22909579999999999</v>
      </c>
      <c r="U127">
        <v>0.16506960000000001</v>
      </c>
      <c r="V127">
        <v>2.3401269999999998E-2</v>
      </c>
      <c r="W127">
        <v>-6.1057720000000003E-2</v>
      </c>
      <c r="X127">
        <v>0.99785990000000002</v>
      </c>
      <c r="Y127">
        <v>-1.382792E-2</v>
      </c>
      <c r="Z127">
        <v>-1.9465439999999999E-3</v>
      </c>
      <c r="AA127">
        <v>0.99990250000000003</v>
      </c>
      <c r="AB127">
        <v>20</v>
      </c>
      <c r="AC127">
        <v>14.422999999999901</v>
      </c>
      <c r="AD127">
        <v>-1.1209638817609999</v>
      </c>
      <c r="AE127">
        <v>0.79959999999999798</v>
      </c>
      <c r="AF127">
        <v>-0.20106884711287901</v>
      </c>
      <c r="AG127">
        <v>-1.1209638817609999</v>
      </c>
      <c r="AH127">
        <v>14.3572720408786</v>
      </c>
      <c r="AI127">
        <v>94.463954475983002</v>
      </c>
      <c r="AJ127">
        <v>90.802355992065202</v>
      </c>
      <c r="AK127">
        <v>14.4023695675846</v>
      </c>
      <c r="AL127">
        <v>93.500526906763596</v>
      </c>
      <c r="AM127">
        <v>88.656576651598996</v>
      </c>
      <c r="AN127">
        <v>1.0000000223186101</v>
      </c>
    </row>
    <row r="128" spans="1:40" x14ac:dyDescent="0.25">
      <c r="A128" t="str">
        <f>"20190303154733825"</f>
        <v>20190303154733825</v>
      </c>
      <c r="B128" t="str">
        <f>"1551599253821167"</f>
        <v>1551599253821167</v>
      </c>
      <c r="C128" t="s">
        <v>40</v>
      </c>
      <c r="D128">
        <v>5.387753</v>
      </c>
      <c r="E128">
        <v>0.48528300000000002</v>
      </c>
      <c r="F128" t="s">
        <v>41</v>
      </c>
      <c r="G128">
        <v>-442.0224</v>
      </c>
      <c r="H128" s="1">
        <v>-3.9200389999999998E-6</v>
      </c>
      <c r="I128">
        <v>368.66649999999998</v>
      </c>
      <c r="J128">
        <v>-456.32690000000002</v>
      </c>
      <c r="K128">
        <v>1.120962</v>
      </c>
      <c r="L128">
        <v>367.86020000000002</v>
      </c>
      <c r="M128">
        <v>0.99905029999999995</v>
      </c>
      <c r="N128">
        <v>-1.4233300000000001E-2</v>
      </c>
      <c r="O128">
        <v>4.1182570000000002E-2</v>
      </c>
      <c r="P128">
        <v>0.99704919999999997</v>
      </c>
      <c r="Q128">
        <v>-7.4826459999999997E-2</v>
      </c>
      <c r="R128">
        <v>1.714647E-2</v>
      </c>
      <c r="S128">
        <v>2.9885860000000002</v>
      </c>
      <c r="T128">
        <v>-0.23088790000000001</v>
      </c>
      <c r="U128">
        <v>0.16778560000000001</v>
      </c>
      <c r="V128">
        <v>2.3917509999999999E-2</v>
      </c>
      <c r="W128">
        <v>-6.063578E-2</v>
      </c>
      <c r="X128">
        <v>0.99787340000000002</v>
      </c>
      <c r="Y128">
        <v>-1.491313E-2</v>
      </c>
      <c r="Z128">
        <v>-1.9063280000000001E-3</v>
      </c>
      <c r="AA128">
        <v>0.99988699999999997</v>
      </c>
      <c r="AB128">
        <v>19</v>
      </c>
      <c r="AC128">
        <v>14.304500000000001</v>
      </c>
      <c r="AD128">
        <v>-1.1209659200390001</v>
      </c>
      <c r="AE128">
        <v>0.80629999999996405</v>
      </c>
      <c r="AF128">
        <v>-0.21514309100054599</v>
      </c>
      <c r="AG128">
        <v>-1.1209659200390001</v>
      </c>
      <c r="AH128">
        <v>14.2384098013724</v>
      </c>
      <c r="AI128">
        <v>94.501003101400997</v>
      </c>
      <c r="AJ128">
        <v>90.8656762434413</v>
      </c>
      <c r="AK128">
        <v>14.2840878188043</v>
      </c>
      <c r="AL128">
        <v>93.476306608844595</v>
      </c>
      <c r="AM128">
        <v>88.626970065536398</v>
      </c>
      <c r="AN128">
        <v>1.0000000337641799</v>
      </c>
    </row>
    <row r="129" spans="1:40" x14ac:dyDescent="0.25">
      <c r="A129" t="str">
        <f>"20190303154733845"</f>
        <v>20190303154733845</v>
      </c>
      <c r="B129" t="str">
        <f>"1551599253840688"</f>
        <v>1551599253840688</v>
      </c>
      <c r="C129" t="s">
        <v>40</v>
      </c>
      <c r="D129">
        <v>5.3776609999999998</v>
      </c>
      <c r="E129">
        <v>0.48493809999999898</v>
      </c>
      <c r="F129" t="s">
        <v>41</v>
      </c>
      <c r="G129">
        <v>-441.83010000000002</v>
      </c>
      <c r="H129" s="1">
        <v>-4.0086820000000002E-6</v>
      </c>
      <c r="I129">
        <v>368.67910000000001</v>
      </c>
      <c r="J129">
        <v>-456.15030000000002</v>
      </c>
      <c r="K129">
        <v>1.1209639999999901</v>
      </c>
      <c r="L129">
        <v>367.8673</v>
      </c>
      <c r="M129">
        <v>0.99905679999999997</v>
      </c>
      <c r="N129">
        <v>-1.4231529999999999E-2</v>
      </c>
      <c r="O129">
        <v>4.1027559999999998E-2</v>
      </c>
      <c r="P129">
        <v>0.99711099999999997</v>
      </c>
      <c r="Q129">
        <v>-7.4092710000000006E-2</v>
      </c>
      <c r="R129">
        <v>1.673492E-2</v>
      </c>
      <c r="S129">
        <v>2.9886469999999998</v>
      </c>
      <c r="T129">
        <v>-0.23109789999999999</v>
      </c>
      <c r="U129">
        <v>0.16882320000000001</v>
      </c>
      <c r="V129">
        <v>2.4176880000000001E-2</v>
      </c>
      <c r="W129">
        <v>-5.9903280000000003E-2</v>
      </c>
      <c r="X129">
        <v>0.99791129999999995</v>
      </c>
      <c r="Y129">
        <v>-1.54112E-2</v>
      </c>
      <c r="Z129">
        <v>-1.876185E-3</v>
      </c>
      <c r="AA129">
        <v>0.99987950000000003</v>
      </c>
      <c r="AB129">
        <v>19</v>
      </c>
      <c r="AC129">
        <v>14.3202</v>
      </c>
      <c r="AD129">
        <v>-1.12096800868199</v>
      </c>
      <c r="AE129">
        <v>0.81180000000000496</v>
      </c>
      <c r="AF129">
        <v>-0.22217700746599101</v>
      </c>
      <c r="AG129">
        <v>-1.12096800868199</v>
      </c>
      <c r="AH129">
        <v>14.2543847697322</v>
      </c>
      <c r="AI129">
        <v>94.495955097639296</v>
      </c>
      <c r="AJ129">
        <v>90.892972536071298</v>
      </c>
      <c r="AK129">
        <v>14.300119477217899</v>
      </c>
      <c r="AL129">
        <v>93.434261327911599</v>
      </c>
      <c r="AM129">
        <v>88.612138923923297</v>
      </c>
      <c r="AN129">
        <v>0.99999994357448996</v>
      </c>
    </row>
    <row r="130" spans="1:40" x14ac:dyDescent="0.25">
      <c r="A130" t="str">
        <f>"20190303154733868"</f>
        <v>20190303154733868</v>
      </c>
      <c r="B130" t="str">
        <f>"1551599253860207"</f>
        <v>1551599253860207</v>
      </c>
      <c r="C130" t="s">
        <v>40</v>
      </c>
      <c r="D130">
        <v>5.3594609999999996</v>
      </c>
      <c r="E130">
        <v>0.4846879</v>
      </c>
      <c r="F130" t="s">
        <v>41</v>
      </c>
      <c r="G130">
        <v>-441.6096</v>
      </c>
      <c r="H130" s="1">
        <v>-4.1099180000000003E-6</v>
      </c>
      <c r="I130">
        <v>368.69589999999999</v>
      </c>
      <c r="J130">
        <v>-455.95359999999999</v>
      </c>
      <c r="K130">
        <v>1.120967</v>
      </c>
      <c r="L130">
        <v>367.87520000000001</v>
      </c>
      <c r="M130">
        <v>0.9990639</v>
      </c>
      <c r="N130">
        <v>-1.4229179999999999E-2</v>
      </c>
      <c r="O130">
        <v>4.0853430000000003E-2</v>
      </c>
      <c r="P130">
        <v>0.99713620000000003</v>
      </c>
      <c r="Q130">
        <v>-7.3875410000000002E-2</v>
      </c>
      <c r="R130">
        <v>1.6186929999999999E-2</v>
      </c>
      <c r="S130">
        <v>2.9887389999999998</v>
      </c>
      <c r="T130">
        <v>-0.2304078</v>
      </c>
      <c r="U130">
        <v>0.17031859999999999</v>
      </c>
      <c r="V130">
        <v>2.4551529999999998E-2</v>
      </c>
      <c r="W130">
        <v>-5.9688329999999998E-2</v>
      </c>
      <c r="X130">
        <v>0.99791510000000005</v>
      </c>
      <c r="Y130">
        <v>-1.607944E-2</v>
      </c>
      <c r="Z130">
        <v>-1.827162E-3</v>
      </c>
      <c r="AA130">
        <v>0.99986900000000001</v>
      </c>
      <c r="AB130">
        <v>19</v>
      </c>
      <c r="AC130">
        <v>14.3439999999999</v>
      </c>
      <c r="AD130">
        <v>-1.120971109918</v>
      </c>
      <c r="AE130">
        <v>0.820699999999987</v>
      </c>
      <c r="AF130">
        <v>-0.23253826704550101</v>
      </c>
      <c r="AG130">
        <v>-1.120971109918</v>
      </c>
      <c r="AH130">
        <v>14.2786351178632</v>
      </c>
      <c r="AI130">
        <v>94.488313120716995</v>
      </c>
      <c r="AJ130">
        <v>90.933022200419003</v>
      </c>
      <c r="AK130">
        <v>14.3244570963087</v>
      </c>
      <c r="AL130">
        <v>93.4219232929035</v>
      </c>
      <c r="AM130">
        <v>88.590646310364207</v>
      </c>
      <c r="AN130">
        <v>1.00000001058577</v>
      </c>
    </row>
    <row r="131" spans="1:40" x14ac:dyDescent="0.25">
      <c r="A131" t="str">
        <f>"20190303154733890"</f>
        <v>20190303154733890</v>
      </c>
      <c r="B131" t="str">
        <f>"1551599253880703"</f>
        <v>1551599253880703</v>
      </c>
      <c r="C131" t="s">
        <v>40</v>
      </c>
      <c r="D131">
        <v>5.3667170000000004</v>
      </c>
      <c r="E131">
        <v>0.4846184</v>
      </c>
      <c r="F131" t="s">
        <v>41</v>
      </c>
      <c r="G131">
        <v>-441.44009999999997</v>
      </c>
      <c r="H131" s="1">
        <v>-4.1885900000000002E-6</v>
      </c>
      <c r="I131">
        <v>368.70409999999998</v>
      </c>
      <c r="J131">
        <v>-455.76979999999998</v>
      </c>
      <c r="K131">
        <v>1.1209709999999999</v>
      </c>
      <c r="L131">
        <v>367.88249999999999</v>
      </c>
      <c r="M131">
        <v>0.99907060000000003</v>
      </c>
      <c r="N131">
        <v>-1.422669E-2</v>
      </c>
      <c r="O131">
        <v>4.0688330000000002E-2</v>
      </c>
      <c r="P131">
        <v>0.99712219999999996</v>
      </c>
      <c r="Q131">
        <v>-7.4150499999999994E-2</v>
      </c>
      <c r="R131">
        <v>1.5783910000000002E-2</v>
      </c>
      <c r="S131">
        <v>2.9887700000000001</v>
      </c>
      <c r="T131">
        <v>-0.23084270000000001</v>
      </c>
      <c r="U131">
        <v>0.17071529999999999</v>
      </c>
      <c r="V131">
        <v>2.4788790000000002E-2</v>
      </c>
      <c r="W131">
        <v>-5.996638E-2</v>
      </c>
      <c r="X131">
        <v>0.99789260000000002</v>
      </c>
      <c r="Y131">
        <v>-1.6375199999999999E-2</v>
      </c>
      <c r="Z131">
        <v>-1.8081320000000001E-3</v>
      </c>
      <c r="AA131">
        <v>0.99986430000000004</v>
      </c>
      <c r="AB131">
        <v>19</v>
      </c>
      <c r="AC131">
        <v>14.329700000000001</v>
      </c>
      <c r="AD131">
        <v>-1.1209751885899999</v>
      </c>
      <c r="AE131">
        <v>0.82159999999998901</v>
      </c>
      <c r="AF131">
        <v>-0.23636719374519999</v>
      </c>
      <c r="AG131">
        <v>-1.1209751885899999</v>
      </c>
      <c r="AH131">
        <v>14.2642594060801</v>
      </c>
      <c r="AI131">
        <v>94.492813340741094</v>
      </c>
      <c r="AJ131">
        <v>90.949337984137998</v>
      </c>
      <c r="AK131">
        <v>14.3101904679028</v>
      </c>
      <c r="AL131">
        <v>93.437882850370499</v>
      </c>
      <c r="AM131">
        <v>88.577000161660393</v>
      </c>
      <c r="AN131">
        <v>1.0000000459873599</v>
      </c>
    </row>
    <row r="132" spans="1:40" x14ac:dyDescent="0.25">
      <c r="A132" t="str">
        <f>"20190303154733912"</f>
        <v>20190303154733912</v>
      </c>
      <c r="B132" t="str">
        <f>"1551599253900223"</f>
        <v>1551599253900223</v>
      </c>
      <c r="C132" t="s">
        <v>40</v>
      </c>
      <c r="D132">
        <v>5.3736519999999999</v>
      </c>
      <c r="E132">
        <v>0.48449330000000002</v>
      </c>
      <c r="F132" t="s">
        <v>41</v>
      </c>
      <c r="G132">
        <v>-441.36880000000002</v>
      </c>
      <c r="H132" s="1">
        <v>-4.2227829999999998E-6</v>
      </c>
      <c r="I132">
        <v>368.70159999999998</v>
      </c>
      <c r="J132">
        <v>-455.57479999999998</v>
      </c>
      <c r="K132">
        <v>1.120965</v>
      </c>
      <c r="L132">
        <v>367.89019999999999</v>
      </c>
      <c r="M132">
        <v>0.99907809999999997</v>
      </c>
      <c r="N132">
        <v>-1.422377E-2</v>
      </c>
      <c r="O132">
        <v>4.0507170000000002E-2</v>
      </c>
      <c r="P132">
        <v>0.99708540000000001</v>
      </c>
      <c r="Q132">
        <v>-7.4691359999999998E-2</v>
      </c>
      <c r="R132">
        <v>1.556048E-2</v>
      </c>
      <c r="S132">
        <v>2.9886780000000002</v>
      </c>
      <c r="T132">
        <v>-0.2326384</v>
      </c>
      <c r="U132">
        <v>0.16998289999999999</v>
      </c>
      <c r="V132">
        <v>2.4829130000000001E-2</v>
      </c>
      <c r="W132">
        <v>-6.0510840000000003E-2</v>
      </c>
      <c r="X132">
        <v>0.99785869999999999</v>
      </c>
      <c r="Y132">
        <v>-1.631459E-2</v>
      </c>
      <c r="Z132">
        <v>-1.819099E-3</v>
      </c>
      <c r="AA132">
        <v>0.99986520000000001</v>
      </c>
      <c r="AB132">
        <v>19</v>
      </c>
      <c r="AC132">
        <v>14.2059999999999</v>
      </c>
      <c r="AD132">
        <v>-1.1209692227829999</v>
      </c>
      <c r="AE132">
        <v>0.81139999999999102</v>
      </c>
      <c r="AF132">
        <v>-0.23377998984098</v>
      </c>
      <c r="AG132">
        <v>-1.1209692227829999</v>
      </c>
      <c r="AH132">
        <v>14.139455879539099</v>
      </c>
      <c r="AI132">
        <v>94.532283888927395</v>
      </c>
      <c r="AJ132">
        <v>90.947234922614797</v>
      </c>
      <c r="AK132">
        <v>14.1857476944823</v>
      </c>
      <c r="AL132">
        <v>93.469134965983201</v>
      </c>
      <c r="AM132">
        <v>88.574636997618995</v>
      </c>
      <c r="AN132">
        <v>1.0000000163098699</v>
      </c>
    </row>
    <row r="133" spans="1:40" x14ac:dyDescent="0.25">
      <c r="A133" t="str">
        <f>"20190303154733934"</f>
        <v>20190303154733934</v>
      </c>
      <c r="B133" t="str">
        <f>"1551599253930480"</f>
        <v>1551599253930480</v>
      </c>
      <c r="C133" t="s">
        <v>40</v>
      </c>
      <c r="D133">
        <v>5.3937920000000004</v>
      </c>
      <c r="E133">
        <v>0.48430230000000002</v>
      </c>
      <c r="F133" t="s">
        <v>41</v>
      </c>
      <c r="G133">
        <v>-441.32490000000001</v>
      </c>
      <c r="H133" s="1">
        <v>-4.2435070000000001E-6</v>
      </c>
      <c r="I133">
        <v>368.70179999999999</v>
      </c>
      <c r="J133">
        <v>-455.38799999999998</v>
      </c>
      <c r="K133">
        <v>1.1209519999999999</v>
      </c>
      <c r="L133">
        <v>367.89760000000001</v>
      </c>
      <c r="M133">
        <v>0.99908540000000001</v>
      </c>
      <c r="N133">
        <v>-1.4220719999999999E-2</v>
      </c>
      <c r="O133">
        <v>4.0325140000000002E-2</v>
      </c>
      <c r="P133">
        <v>0.99704029999999999</v>
      </c>
      <c r="Q133">
        <v>-7.5382279999999996E-2</v>
      </c>
      <c r="R133">
        <v>1.510732E-2</v>
      </c>
      <c r="S133">
        <v>2.9884949999999999</v>
      </c>
      <c r="T133">
        <v>-0.23508879999999999</v>
      </c>
      <c r="U133">
        <v>0.1701965</v>
      </c>
      <c r="V133">
        <v>2.5097589999999999E-2</v>
      </c>
      <c r="W133">
        <v>-6.120598E-2</v>
      </c>
      <c r="X133">
        <v>0.99780959999999996</v>
      </c>
      <c r="Y133">
        <v>-1.657117E-2</v>
      </c>
      <c r="Z133">
        <v>-1.8221960000000001E-3</v>
      </c>
      <c r="AA133">
        <v>0.999861</v>
      </c>
      <c r="AB133">
        <v>19</v>
      </c>
      <c r="AC133">
        <v>14.0631</v>
      </c>
      <c r="AD133">
        <v>-1.120956243507</v>
      </c>
      <c r="AE133">
        <v>0.80419999999998004</v>
      </c>
      <c r="AF133">
        <v>-0.234904301076376</v>
      </c>
      <c r="AG133">
        <v>-1.120956243507</v>
      </c>
      <c r="AH133">
        <v>13.9954609005673</v>
      </c>
      <c r="AI133">
        <v>94.578646078225105</v>
      </c>
      <c r="AJ133">
        <v>90.961580435807903</v>
      </c>
      <c r="AK133">
        <v>14.0422451463372</v>
      </c>
      <c r="AL133">
        <v>93.509037471219997</v>
      </c>
      <c r="AM133">
        <v>88.559161139438601</v>
      </c>
      <c r="AN133">
        <v>1.0000000294318601</v>
      </c>
    </row>
    <row r="134" spans="1:40" x14ac:dyDescent="0.25">
      <c r="A134" t="str">
        <f>"20190303154733957"</f>
        <v>20190303154733957</v>
      </c>
      <c r="B134" t="str">
        <f>"1551599253950976"</f>
        <v>1551599253950976</v>
      </c>
      <c r="C134" t="s">
        <v>40</v>
      </c>
      <c r="D134">
        <v>5.4139749999999998</v>
      </c>
      <c r="E134">
        <v>0.48418709999999998</v>
      </c>
      <c r="F134" t="s">
        <v>41</v>
      </c>
      <c r="G134">
        <v>-441.27940000000001</v>
      </c>
      <c r="H134" s="1">
        <v>-4.2648229999999998E-6</v>
      </c>
      <c r="I134">
        <v>368.70269999999999</v>
      </c>
      <c r="J134">
        <v>-455.18720000000002</v>
      </c>
      <c r="K134">
        <v>1.1209450000000001</v>
      </c>
      <c r="L134">
        <v>367.90550000000002</v>
      </c>
      <c r="M134">
        <v>0.99909389999999998</v>
      </c>
      <c r="N134">
        <v>-1.4217240000000001E-2</v>
      </c>
      <c r="O134">
        <v>4.0116409999999998E-2</v>
      </c>
      <c r="P134">
        <v>0.99701810000000002</v>
      </c>
      <c r="Q134">
        <v>-7.5729740000000004E-2</v>
      </c>
      <c r="R134">
        <v>1.483426E-2</v>
      </c>
      <c r="S134">
        <v>2.9883730000000002</v>
      </c>
      <c r="T134">
        <v>-0.23743239999999999</v>
      </c>
      <c r="U134">
        <v>0.17053219999999999</v>
      </c>
      <c r="V134">
        <v>2.5159979999999998E-2</v>
      </c>
      <c r="W134">
        <v>-6.1557830000000001E-2</v>
      </c>
      <c r="X134">
        <v>0.99778630000000001</v>
      </c>
      <c r="Y134">
        <v>-1.689363E-2</v>
      </c>
      <c r="Z134">
        <v>-1.8188049999999999E-3</v>
      </c>
      <c r="AA134">
        <v>0.99985559999999996</v>
      </c>
      <c r="AB134">
        <v>19</v>
      </c>
      <c r="AC134">
        <v>13.9078</v>
      </c>
      <c r="AD134">
        <v>-1.1209492648229999</v>
      </c>
      <c r="AE134">
        <v>0.79719999999997504</v>
      </c>
      <c r="AF134">
        <v>-0.23703597820889599</v>
      </c>
      <c r="AG134">
        <v>-1.1209492648229999</v>
      </c>
      <c r="AH134">
        <v>13.8389806927023</v>
      </c>
      <c r="AI134">
        <v>94.630138348569403</v>
      </c>
      <c r="AJ134">
        <v>90.981274095505</v>
      </c>
      <c r="AK134">
        <v>13.8863278055164</v>
      </c>
      <c r="AL134">
        <v>93.529235372019201</v>
      </c>
      <c r="AM134">
        <v>88.555547163949996</v>
      </c>
      <c r="AN134">
        <v>0.99999994574779805</v>
      </c>
    </row>
    <row r="135" spans="1:40" x14ac:dyDescent="0.25">
      <c r="A135" t="str">
        <f>"20190303154733978"</f>
        <v>20190303154733978</v>
      </c>
      <c r="B135" t="str">
        <f>"1551599253970495"</f>
        <v>1551599253970495</v>
      </c>
      <c r="C135" t="s">
        <v>40</v>
      </c>
      <c r="D135">
        <v>5.383597</v>
      </c>
      <c r="E135">
        <v>0.48415409999999998</v>
      </c>
      <c r="F135" t="s">
        <v>41</v>
      </c>
      <c r="G135">
        <v>-441.16489999999999</v>
      </c>
      <c r="H135" s="1">
        <v>-4.3183940000000003E-6</v>
      </c>
      <c r="I135">
        <v>368.70580000000001</v>
      </c>
      <c r="J135">
        <v>-455.00510000000003</v>
      </c>
      <c r="K135">
        <v>1.1209340000000001</v>
      </c>
      <c r="L135">
        <v>367.91250000000002</v>
      </c>
      <c r="M135">
        <v>0.99910220000000005</v>
      </c>
      <c r="N135">
        <v>-1.421389E-2</v>
      </c>
      <c r="O135">
        <v>3.9909960000000001E-2</v>
      </c>
      <c r="P135">
        <v>0.9969903</v>
      </c>
      <c r="Q135">
        <v>-7.6169120000000007E-2</v>
      </c>
      <c r="R135">
        <v>1.444809E-2</v>
      </c>
      <c r="S135">
        <v>2.9882810000000002</v>
      </c>
      <c r="T135">
        <v>-0.2388854</v>
      </c>
      <c r="U135">
        <v>0.17056270000000001</v>
      </c>
      <c r="V135">
        <v>2.5336910000000001E-2</v>
      </c>
      <c r="W135">
        <v>-6.2001769999999998E-2</v>
      </c>
      <c r="X135">
        <v>0.99775440000000004</v>
      </c>
      <c r="Y135">
        <v>-1.711147E-2</v>
      </c>
      <c r="Z135">
        <v>-1.8106039999999999E-3</v>
      </c>
      <c r="AA135">
        <v>0.99985190000000002</v>
      </c>
      <c r="AB135">
        <v>19</v>
      </c>
      <c r="AC135">
        <v>13.840199999999999</v>
      </c>
      <c r="AD135">
        <v>-1.120938318394</v>
      </c>
      <c r="AE135">
        <v>0.79329999999998702</v>
      </c>
      <c r="AF135">
        <v>-0.23868962591451301</v>
      </c>
      <c r="AG135">
        <v>-1.120938318394</v>
      </c>
      <c r="AH135">
        <v>13.770799367873501</v>
      </c>
      <c r="AI135">
        <v>94.652900868991395</v>
      </c>
      <c r="AJ135">
        <v>90.993009809499299</v>
      </c>
      <c r="AK135">
        <v>13.8184076753216</v>
      </c>
      <c r="AL135">
        <v>93.554719711658095</v>
      </c>
      <c r="AM135">
        <v>88.545347345833406</v>
      </c>
      <c r="AN135">
        <v>1.0000000106054201</v>
      </c>
    </row>
    <row r="136" spans="1:40" x14ac:dyDescent="0.25">
      <c r="A136" t="str">
        <f>"20190303154734003"</f>
        <v>20190303154734003</v>
      </c>
      <c r="B136" t="str">
        <f>"1551599253990991"</f>
        <v>1551599253990991</v>
      </c>
      <c r="C136" t="s">
        <v>40</v>
      </c>
      <c r="D136">
        <v>5.3867070000000004</v>
      </c>
      <c r="E136">
        <v>0.4839852</v>
      </c>
      <c r="F136" t="s">
        <v>41</v>
      </c>
      <c r="G136">
        <v>-441.07420000000002</v>
      </c>
      <c r="H136" s="1">
        <v>-4.3616449999999996E-6</v>
      </c>
      <c r="I136">
        <v>368.70370000000003</v>
      </c>
      <c r="J136">
        <v>-454.80029999999999</v>
      </c>
      <c r="K136">
        <v>1.120922</v>
      </c>
      <c r="L136">
        <v>367.9203</v>
      </c>
      <c r="M136">
        <v>0.99911249999999996</v>
      </c>
      <c r="N136">
        <v>-1.4210240000000001E-2</v>
      </c>
      <c r="O136">
        <v>3.9651869999999999E-2</v>
      </c>
      <c r="P136">
        <v>0.99695750000000005</v>
      </c>
      <c r="Q136">
        <v>-7.6691159999999994E-2</v>
      </c>
      <c r="R136">
        <v>1.3936560000000001E-2</v>
      </c>
      <c r="S136">
        <v>2.9882200000000001</v>
      </c>
      <c r="T136">
        <v>-0.24044489999999999</v>
      </c>
      <c r="U136">
        <v>0.16970829999999901</v>
      </c>
      <c r="V136">
        <v>2.558649E-2</v>
      </c>
      <c r="W136">
        <v>-6.2529150000000006E-2</v>
      </c>
      <c r="X136">
        <v>0.99771509999999997</v>
      </c>
      <c r="Y136">
        <v>-1.708606E-2</v>
      </c>
      <c r="Z136">
        <v>-1.811296E-3</v>
      </c>
      <c r="AA136">
        <v>0.99985239999999997</v>
      </c>
      <c r="AB136">
        <v>19</v>
      </c>
      <c r="AC136">
        <v>13.726099999999899</v>
      </c>
      <c r="AD136">
        <v>-1.120926361645</v>
      </c>
      <c r="AE136">
        <v>0.78340000000002796</v>
      </c>
      <c r="AF136">
        <v>-0.23688860118461999</v>
      </c>
      <c r="AG136">
        <v>-1.120926361645</v>
      </c>
      <c r="AH136">
        <v>13.6555961106944</v>
      </c>
      <c r="AI136">
        <v>94.691928811543605</v>
      </c>
      <c r="AJ136">
        <v>90.993831079536903</v>
      </c>
      <c r="AK136">
        <v>13.703572426780299</v>
      </c>
      <c r="AL136">
        <v>93.584995172625796</v>
      </c>
      <c r="AM136">
        <v>88.530966770831299</v>
      </c>
      <c r="AN136">
        <v>0.99999999191912603</v>
      </c>
    </row>
    <row r="137" spans="1:40" x14ac:dyDescent="0.25">
      <c r="A137" t="str">
        <f>"20190303154734025"</f>
        <v>20190303154734025</v>
      </c>
      <c r="B137" t="str">
        <f>"1551599254020271"</f>
        <v>1551599254020271</v>
      </c>
      <c r="C137" t="s">
        <v>40</v>
      </c>
      <c r="D137">
        <v>5.3799929999999998</v>
      </c>
      <c r="E137">
        <v>0.48387210000000003</v>
      </c>
      <c r="F137" t="s">
        <v>41</v>
      </c>
      <c r="G137">
        <v>-440.9846</v>
      </c>
      <c r="H137" s="1">
        <v>-4.4040249999999997E-6</v>
      </c>
      <c r="I137">
        <v>368.70350000000002</v>
      </c>
      <c r="J137">
        <v>-454.6112</v>
      </c>
      <c r="K137">
        <v>1.1208990000000001</v>
      </c>
      <c r="L137">
        <v>367.92759999999998</v>
      </c>
      <c r="M137">
        <v>0.99912310000000004</v>
      </c>
      <c r="N137">
        <v>-1.4206659999999999E-2</v>
      </c>
      <c r="O137">
        <v>3.9385129999999997E-2</v>
      </c>
      <c r="P137">
        <v>0.99696859999999998</v>
      </c>
      <c r="Q137">
        <v>-7.6664889999999999E-2</v>
      </c>
      <c r="R137">
        <v>1.3279020000000001E-2</v>
      </c>
      <c r="S137">
        <v>2.9881289999999998</v>
      </c>
      <c r="T137">
        <v>-0.24243999999999999</v>
      </c>
      <c r="U137">
        <v>0.16937260000000001</v>
      </c>
      <c r="V137">
        <v>2.597534E-2</v>
      </c>
      <c r="W137">
        <v>-6.2507750000000001E-2</v>
      </c>
      <c r="X137">
        <v>0.99770639999999999</v>
      </c>
      <c r="Y137">
        <v>-1.724235E-2</v>
      </c>
      <c r="Z137">
        <v>-1.8069869999999999E-3</v>
      </c>
      <c r="AA137">
        <v>0.99984969999999995</v>
      </c>
      <c r="AB137">
        <v>19</v>
      </c>
      <c r="AC137">
        <v>13.6265999999999</v>
      </c>
      <c r="AD137">
        <v>-1.1209034040250001</v>
      </c>
      <c r="AE137">
        <v>0.77590000000003501</v>
      </c>
      <c r="AF137">
        <v>-0.23696007898399801</v>
      </c>
      <c r="AG137">
        <v>-1.1209034040250001</v>
      </c>
      <c r="AH137">
        <v>13.5551630351227</v>
      </c>
      <c r="AI137">
        <v>94.726428055985593</v>
      </c>
      <c r="AJ137">
        <v>91.001495125679796</v>
      </c>
      <c r="AK137">
        <v>13.6034929128126</v>
      </c>
      <c r="AL137">
        <v>93.583766614818799</v>
      </c>
      <c r="AM137">
        <v>88.508638185823202</v>
      </c>
      <c r="AN137">
        <v>0.99999999884956903</v>
      </c>
    </row>
    <row r="138" spans="1:40" x14ac:dyDescent="0.25">
      <c r="A138" t="str">
        <f>"20190303154734047"</f>
        <v>20190303154734047</v>
      </c>
      <c r="B138" t="str">
        <f>"1551599254040767"</f>
        <v>1551599254040767</v>
      </c>
      <c r="C138" t="s">
        <v>40</v>
      </c>
      <c r="D138">
        <v>5.4132189999999998</v>
      </c>
      <c r="E138">
        <v>0.4838654</v>
      </c>
      <c r="F138" t="s">
        <v>41</v>
      </c>
      <c r="G138">
        <v>-440.88080000000002</v>
      </c>
      <c r="H138" s="1">
        <v>-4.4534740000000003E-6</v>
      </c>
      <c r="I138">
        <v>368.7013</v>
      </c>
      <c r="J138">
        <v>-454.42290000000003</v>
      </c>
      <c r="K138">
        <v>1.1208849999999999</v>
      </c>
      <c r="L138">
        <v>367.93470000000002</v>
      </c>
      <c r="M138">
        <v>0.99913439999999998</v>
      </c>
      <c r="N138">
        <v>-1.420303E-2</v>
      </c>
      <c r="O138">
        <v>3.9097E-2</v>
      </c>
      <c r="P138">
        <v>0.99694819999999995</v>
      </c>
      <c r="Q138">
        <v>-7.7031210000000003E-2</v>
      </c>
      <c r="R138">
        <v>1.2674960000000001E-2</v>
      </c>
      <c r="S138">
        <v>2.9880979999999999</v>
      </c>
      <c r="T138">
        <v>-0.2439393</v>
      </c>
      <c r="U138">
        <v>0.16839599999999999</v>
      </c>
      <c r="V138">
        <v>2.628811E-2</v>
      </c>
      <c r="W138">
        <v>-6.2879270000000001E-2</v>
      </c>
      <c r="X138">
        <v>0.99767490000000003</v>
      </c>
      <c r="Y138">
        <v>-1.7205599999999901E-2</v>
      </c>
      <c r="Z138">
        <v>-1.8049660000000001E-3</v>
      </c>
      <c r="AA138">
        <v>0.99985029999999997</v>
      </c>
      <c r="AB138">
        <v>19</v>
      </c>
      <c r="AC138">
        <v>13.5421</v>
      </c>
      <c r="AD138">
        <v>-1.1208894534739999</v>
      </c>
      <c r="AE138">
        <v>0.76659999999998196</v>
      </c>
      <c r="AF138">
        <v>-0.23490065858857601</v>
      </c>
      <c r="AG138">
        <v>-1.1208894534739999</v>
      </c>
      <c r="AH138">
        <v>13.4697324050106</v>
      </c>
      <c r="AI138">
        <v>94.756212475691299</v>
      </c>
      <c r="AJ138">
        <v>90.999088311758797</v>
      </c>
      <c r="AK138">
        <v>13.5183306125019</v>
      </c>
      <c r="AL138">
        <v>93.605094963133496</v>
      </c>
      <c r="AM138">
        <v>88.490641269628398</v>
      </c>
      <c r="AN138">
        <v>1.00000003670655</v>
      </c>
    </row>
    <row r="139" spans="1:40" x14ac:dyDescent="0.25">
      <c r="A139" t="str">
        <f>"20190303154734069"</f>
        <v>20190303154734069</v>
      </c>
      <c r="B139" t="str">
        <f>"1551599254060287"</f>
        <v>1551599254060287</v>
      </c>
      <c r="C139" t="s">
        <v>40</v>
      </c>
      <c r="D139">
        <v>5.3866420000000002</v>
      </c>
      <c r="E139">
        <v>0.4838171</v>
      </c>
      <c r="F139" t="s">
        <v>41</v>
      </c>
      <c r="G139">
        <v>-440.77289999999999</v>
      </c>
      <c r="H139" s="1">
        <v>-4.5052520000000002E-6</v>
      </c>
      <c r="I139">
        <v>368.697</v>
      </c>
      <c r="J139">
        <v>-454.23689999999999</v>
      </c>
      <c r="K139">
        <v>1.1208769999999999</v>
      </c>
      <c r="L139">
        <v>367.94159999999999</v>
      </c>
      <c r="M139">
        <v>0.99914669999999906</v>
      </c>
      <c r="N139">
        <v>-1.41993E-2</v>
      </c>
      <c r="O139">
        <v>3.878877E-2</v>
      </c>
      <c r="P139">
        <v>0.99694709999999997</v>
      </c>
      <c r="Q139">
        <v>-7.7154959999999995E-2</v>
      </c>
      <c r="R139">
        <v>1.201056E-2</v>
      </c>
      <c r="S139">
        <v>2.9880979999999999</v>
      </c>
      <c r="T139">
        <v>-0.24537300000000001</v>
      </c>
      <c r="U139">
        <v>0.16687009999999999</v>
      </c>
      <c r="V139">
        <v>2.664238E-2</v>
      </c>
      <c r="W139">
        <v>-6.3008060000000005E-2</v>
      </c>
      <c r="X139">
        <v>0.99765740000000003</v>
      </c>
      <c r="Y139">
        <v>-1.700571E-2</v>
      </c>
      <c r="Z139">
        <v>-1.8084889999999999E-3</v>
      </c>
      <c r="AA139">
        <v>0.99985369999999996</v>
      </c>
      <c r="AB139">
        <v>19</v>
      </c>
      <c r="AC139">
        <v>13.464</v>
      </c>
      <c r="AD139">
        <v>-1.120881505252</v>
      </c>
      <c r="AE139">
        <v>0.755399999999951</v>
      </c>
      <c r="AF139">
        <v>-0.230931351311878</v>
      </c>
      <c r="AG139">
        <v>-1.120881505252</v>
      </c>
      <c r="AH139">
        <v>13.390655238131901</v>
      </c>
      <c r="AI139">
        <v>94.784152021480097</v>
      </c>
      <c r="AJ139">
        <v>90.988008432018802</v>
      </c>
      <c r="AK139">
        <v>13.439469942834201</v>
      </c>
      <c r="AL139">
        <v>93.612488663663299</v>
      </c>
      <c r="AM139">
        <v>88.470283275665906</v>
      </c>
      <c r="AN139">
        <v>1.00000005990589</v>
      </c>
    </row>
    <row r="140" spans="1:40" x14ac:dyDescent="0.25">
      <c r="A140" t="str">
        <f>"20190303154734090"</f>
        <v>20190303154734090</v>
      </c>
      <c r="B140" t="str">
        <f>"1551599254080787"</f>
        <v>1551599254080787</v>
      </c>
      <c r="C140" t="s">
        <v>40</v>
      </c>
      <c r="D140">
        <v>5.3520669999999999</v>
      </c>
      <c r="E140">
        <v>0.48380390000000001</v>
      </c>
      <c r="F140" t="s">
        <v>41</v>
      </c>
      <c r="G140">
        <v>-440.61399999999998</v>
      </c>
      <c r="H140" s="1">
        <v>-4.5808640000000003E-6</v>
      </c>
      <c r="I140">
        <v>368.6943</v>
      </c>
      <c r="J140">
        <v>-454.05630000000002</v>
      </c>
      <c r="K140">
        <v>1.120865</v>
      </c>
      <c r="L140">
        <v>367.94819999999999</v>
      </c>
      <c r="M140">
        <v>0.99915920000000003</v>
      </c>
      <c r="N140">
        <v>-1.419315E-2</v>
      </c>
      <c r="O140">
        <v>3.846712E-2</v>
      </c>
      <c r="P140">
        <v>0.99695579999999995</v>
      </c>
      <c r="Q140">
        <v>-7.7071199999999895E-2</v>
      </c>
      <c r="R140">
        <v>1.1807140000000001E-2</v>
      </c>
      <c r="S140">
        <v>2.988159</v>
      </c>
      <c r="T140">
        <v>-0.24586369999999999</v>
      </c>
      <c r="U140">
        <v>0.1651001</v>
      </c>
      <c r="V140">
        <v>2.652349E-2</v>
      </c>
      <c r="W140">
        <v>-6.2930979999999997E-2</v>
      </c>
      <c r="X140">
        <v>0.99766529999999998</v>
      </c>
      <c r="Y140">
        <v>-1.6736540000000001E-2</v>
      </c>
      <c r="Z140">
        <v>-1.804869E-3</v>
      </c>
      <c r="AA140">
        <v>0.99985829999999998</v>
      </c>
      <c r="AB140">
        <v>19</v>
      </c>
      <c r="AC140">
        <v>13.4422999999999</v>
      </c>
      <c r="AD140">
        <v>-1.1208695808639999</v>
      </c>
      <c r="AE140">
        <v>0.74610000000001198</v>
      </c>
      <c r="AF140">
        <v>-0.22683676933264499</v>
      </c>
      <c r="AG140">
        <v>-1.1208695808639999</v>
      </c>
      <c r="AH140">
        <v>13.3683891365917</v>
      </c>
      <c r="AI140">
        <v>94.792055222888195</v>
      </c>
      <c r="AJ140">
        <v>90.9721098232136</v>
      </c>
      <c r="AK140">
        <v>13.4172140045752</v>
      </c>
      <c r="AL140">
        <v>93.608064002435896</v>
      </c>
      <c r="AM140">
        <v>88.477118375043901</v>
      </c>
      <c r="AN140">
        <v>0.99999992729481202</v>
      </c>
    </row>
    <row r="141" spans="1:40" x14ac:dyDescent="0.25">
      <c r="A141" t="str">
        <f>"20190303154734112"</f>
        <v>20190303154734112</v>
      </c>
      <c r="B141" t="str">
        <f>"1551599254100303"</f>
        <v>1551599254100303</v>
      </c>
      <c r="C141" t="s">
        <v>40</v>
      </c>
      <c r="D141">
        <v>5.3766280000000002</v>
      </c>
      <c r="E141">
        <v>0.4837842</v>
      </c>
      <c r="F141" t="s">
        <v>41</v>
      </c>
      <c r="G141">
        <v>-440.42509999999999</v>
      </c>
      <c r="H141" s="1">
        <v>-4.669366E-6</v>
      </c>
      <c r="I141">
        <v>368.69869999999997</v>
      </c>
      <c r="J141">
        <v>-453.86919999999998</v>
      </c>
      <c r="K141">
        <v>1.120851</v>
      </c>
      <c r="L141">
        <v>367.95499999999998</v>
      </c>
      <c r="M141">
        <v>0.99917330000000004</v>
      </c>
      <c r="N141">
        <v>-1.416474E-2</v>
      </c>
      <c r="O141">
        <v>3.8111560000000003E-2</v>
      </c>
      <c r="P141">
        <v>0.99696940000000001</v>
      </c>
      <c r="Q141">
        <v>-7.6865669999999997E-2</v>
      </c>
      <c r="R141">
        <v>1.1999900000000001E-2</v>
      </c>
      <c r="S141">
        <v>2.988251</v>
      </c>
      <c r="T141">
        <v>-0.2457192</v>
      </c>
      <c r="U141">
        <v>0.16452030000000001</v>
      </c>
      <c r="V141">
        <v>2.59752E-2</v>
      </c>
      <c r="W141">
        <v>-6.2753779999999995E-2</v>
      </c>
      <c r="X141">
        <v>0.99769099999999999</v>
      </c>
      <c r="Y141">
        <v>-1.6895839999999999E-2</v>
      </c>
      <c r="Z141">
        <v>-1.7729229999999901E-3</v>
      </c>
      <c r="AA141">
        <v>0.99985570000000001</v>
      </c>
      <c r="AB141">
        <v>19</v>
      </c>
      <c r="AC141">
        <v>13.444099999999899</v>
      </c>
      <c r="AD141">
        <v>-1.1208556693659999</v>
      </c>
      <c r="AE141">
        <v>0.74369999999998904</v>
      </c>
      <c r="AF141">
        <v>-0.229144775275299</v>
      </c>
      <c r="AG141">
        <v>-1.1208556693659999</v>
      </c>
      <c r="AH141">
        <v>13.370028064707499</v>
      </c>
      <c r="AI141">
        <v>94.791397479013398</v>
      </c>
      <c r="AJ141">
        <v>90.981878512138493</v>
      </c>
      <c r="AK141">
        <v>13.4188850211429</v>
      </c>
      <c r="AL141">
        <v>93.597890677457301</v>
      </c>
      <c r="AM141">
        <v>88.508623210621593</v>
      </c>
      <c r="AN141">
        <v>1.00000003970016</v>
      </c>
    </row>
    <row r="142" spans="1:40" x14ac:dyDescent="0.25">
      <c r="A142" t="str">
        <f>"20190303154734135"</f>
        <v>20190303154734135</v>
      </c>
      <c r="B142" t="str">
        <f>"1551599254130560"</f>
        <v>1551599254130560</v>
      </c>
      <c r="C142" t="s">
        <v>40</v>
      </c>
      <c r="D142">
        <v>5.3498229999999998</v>
      </c>
      <c r="E142">
        <v>0.48378060000000001</v>
      </c>
      <c r="F142" t="s">
        <v>41</v>
      </c>
      <c r="G142">
        <v>-440.21350000000001</v>
      </c>
      <c r="H142" s="1">
        <v>-4.7673530000000001E-6</v>
      </c>
      <c r="I142">
        <v>368.71019999999999</v>
      </c>
      <c r="J142">
        <v>-453.6816</v>
      </c>
      <c r="K142">
        <v>1.120816</v>
      </c>
      <c r="L142">
        <v>367.96170000000001</v>
      </c>
      <c r="M142">
        <v>0.99918879999999999</v>
      </c>
      <c r="N142">
        <v>-1.4077289999999999E-2</v>
      </c>
      <c r="O142">
        <v>3.7733019999999999E-2</v>
      </c>
      <c r="P142">
        <v>0.99700420000000001</v>
      </c>
      <c r="Q142">
        <v>-7.6334750000000007E-2</v>
      </c>
      <c r="R142">
        <v>1.24876E-2</v>
      </c>
      <c r="S142">
        <v>2.9881899999999999</v>
      </c>
      <c r="T142">
        <v>-0.24527060000000001</v>
      </c>
      <c r="U142">
        <v>0.1652527</v>
      </c>
      <c r="V142">
        <v>2.5110210000000001E-2</v>
      </c>
      <c r="W142">
        <v>-6.2309499999999997E-2</v>
      </c>
      <c r="X142">
        <v>0.99774090000000004</v>
      </c>
      <c r="Y142">
        <v>-1.7516940000000002E-2</v>
      </c>
      <c r="Z142">
        <v>-1.717147E-3</v>
      </c>
      <c r="AA142">
        <v>0.99984510000000004</v>
      </c>
      <c r="AB142">
        <v>19</v>
      </c>
      <c r="AC142">
        <v>13.4680999999999</v>
      </c>
      <c r="AD142">
        <v>-1.120820767353</v>
      </c>
      <c r="AE142">
        <v>0.74849999999997796</v>
      </c>
      <c r="AF142">
        <v>-0.23808067632698199</v>
      </c>
      <c r="AG142">
        <v>-1.120820767353</v>
      </c>
      <c r="AH142">
        <v>13.3942745969348</v>
      </c>
      <c r="AI142">
        <v>94.782563201119103</v>
      </c>
      <c r="AJ142">
        <v>91.018314318716094</v>
      </c>
      <c r="AK142">
        <v>13.4431958097419</v>
      </c>
      <c r="AL142">
        <v>93.572385715955704</v>
      </c>
      <c r="AM142">
        <v>88.558337720076395</v>
      </c>
      <c r="AN142">
        <v>0.99999994998465003</v>
      </c>
    </row>
    <row r="143" spans="1:40" x14ac:dyDescent="0.25">
      <c r="A143" t="str">
        <f>"20190303154734157"</f>
        <v>20190303154734157</v>
      </c>
      <c r="B143" t="str">
        <f>"1551599254151055"</f>
        <v>1551599254151055</v>
      </c>
      <c r="C143" t="s">
        <v>40</v>
      </c>
      <c r="D143">
        <v>5.3041600000000004</v>
      </c>
      <c r="E143">
        <v>0.4837996</v>
      </c>
      <c r="F143" t="s">
        <v>41</v>
      </c>
      <c r="G143">
        <v>-439.96690000000001</v>
      </c>
      <c r="H143" s="1">
        <v>-4.8808860000000002E-6</v>
      </c>
      <c r="I143">
        <v>368.72730000000001</v>
      </c>
      <c r="J143">
        <v>-453.48739999999998</v>
      </c>
      <c r="K143">
        <v>1.1207590000000001</v>
      </c>
      <c r="L143">
        <v>367.96859999999998</v>
      </c>
      <c r="M143">
        <v>0.99920620000000004</v>
      </c>
      <c r="N143">
        <v>-1.390634E-2</v>
      </c>
      <c r="O143">
        <v>3.7333070000000003E-2</v>
      </c>
      <c r="P143">
        <v>0.99699959999999999</v>
      </c>
      <c r="Q143">
        <v>-7.6369190000000003E-2</v>
      </c>
      <c r="R143">
        <v>1.263571E-2</v>
      </c>
      <c r="S143">
        <v>2.9881899999999999</v>
      </c>
      <c r="T143">
        <v>-0.2442069</v>
      </c>
      <c r="U143">
        <v>0.16680909999999999</v>
      </c>
      <c r="V143">
        <v>2.456063E-2</v>
      </c>
      <c r="W143">
        <v>-6.2514890000000004E-2</v>
      </c>
      <c r="X143">
        <v>0.99774180000000001</v>
      </c>
      <c r="Y143">
        <v>-1.8432130000000001E-2</v>
      </c>
      <c r="Z143">
        <v>-1.6440980000000001E-3</v>
      </c>
      <c r="AA143">
        <v>0.99982879999999996</v>
      </c>
      <c r="AB143">
        <v>19</v>
      </c>
      <c r="AC143">
        <v>13.520499999999901</v>
      </c>
      <c r="AD143">
        <v>-1.1207638808859901</v>
      </c>
      <c r="AE143">
        <v>0.75870000000003202</v>
      </c>
      <c r="AF143">
        <v>-0.25163678873099399</v>
      </c>
      <c r="AG143">
        <v>-1.1207638808859901</v>
      </c>
      <c r="AH143">
        <v>13.4472889490652</v>
      </c>
      <c r="AI143">
        <v>94.763473667117793</v>
      </c>
      <c r="AJ143">
        <v>91.072040876649396</v>
      </c>
      <c r="AK143">
        <v>13.496259216160301</v>
      </c>
      <c r="AL143">
        <v>93.584176440528296</v>
      </c>
      <c r="AM143">
        <v>88.589879360015402</v>
      </c>
      <c r="AN143">
        <v>1.0000000177424699</v>
      </c>
    </row>
    <row r="144" spans="1:40" x14ac:dyDescent="0.25">
      <c r="A144" t="str">
        <f>"20190303154734180"</f>
        <v>20190303154734180</v>
      </c>
      <c r="B144" t="str">
        <f>"1551599254170575"</f>
        <v>1551599254170575</v>
      </c>
      <c r="C144" t="s">
        <v>40</v>
      </c>
      <c r="D144">
        <v>5.3279389999999998</v>
      </c>
      <c r="E144">
        <v>0.48490339999999998</v>
      </c>
      <c r="F144" t="s">
        <v>43</v>
      </c>
      <c r="G144">
        <v>-439.18150000000003</v>
      </c>
      <c r="H144">
        <v>-0.05</v>
      </c>
      <c r="I144">
        <v>368.76839999999999</v>
      </c>
      <c r="J144">
        <v>-453.29950000000002</v>
      </c>
      <c r="K144">
        <v>1.1207009999999999</v>
      </c>
      <c r="L144">
        <v>367.9751</v>
      </c>
      <c r="M144">
        <v>0.999224</v>
      </c>
      <c r="N144">
        <v>-1.3673619999999999E-2</v>
      </c>
      <c r="O144">
        <v>3.6938560000000002E-2</v>
      </c>
      <c r="P144">
        <v>0.99700500000000003</v>
      </c>
      <c r="Q144">
        <v>-7.6341469999999995E-2</v>
      </c>
      <c r="R144">
        <v>1.2382809999999999E-2</v>
      </c>
      <c r="S144">
        <v>2.9881899999999999</v>
      </c>
      <c r="T144">
        <v>-0.2445456</v>
      </c>
      <c r="U144">
        <v>0.1670837</v>
      </c>
      <c r="V144">
        <v>2.4419010000000001E-2</v>
      </c>
      <c r="W144">
        <v>-6.2719440000000001E-2</v>
      </c>
      <c r="X144">
        <v>0.99773239999999996</v>
      </c>
      <c r="Y144">
        <v>-1.891669E-2</v>
      </c>
      <c r="Z144">
        <v>-1.6082030000000001E-3</v>
      </c>
      <c r="AA144">
        <v>0.99981980000000004</v>
      </c>
      <c r="AB144">
        <v>19</v>
      </c>
      <c r="AC144">
        <v>14.117999999999901</v>
      </c>
      <c r="AD144">
        <v>-1.170701</v>
      </c>
      <c r="AE144">
        <v>0.79329999999998702</v>
      </c>
      <c r="AF144">
        <v>-0.26936479624680698</v>
      </c>
      <c r="AG144">
        <v>-1.170701</v>
      </c>
      <c r="AH144">
        <v>14.041422207628999</v>
      </c>
      <c r="AI144">
        <v>94.765129412935394</v>
      </c>
      <c r="AJ144">
        <v>91.099003572532595</v>
      </c>
      <c r="AK144">
        <v>14.092715701303099</v>
      </c>
      <c r="AL144">
        <v>93.595919475179102</v>
      </c>
      <c r="AM144">
        <v>88.597993853218</v>
      </c>
      <c r="AN144">
        <v>0.99999997910652605</v>
      </c>
    </row>
    <row r="145" spans="1:40" x14ac:dyDescent="0.25">
      <c r="A145" t="str">
        <f>"20190303154734204"</f>
        <v>20190303154734204</v>
      </c>
      <c r="B145" t="str">
        <f>"1551599254200831"</f>
        <v>1551599254200831</v>
      </c>
      <c r="C145" t="s">
        <v>40</v>
      </c>
      <c r="D145">
        <v>5.3061350000000003</v>
      </c>
      <c r="E145">
        <v>0.48601610000000001</v>
      </c>
      <c r="F145" t="s">
        <v>43</v>
      </c>
      <c r="G145">
        <v>-438.89550000000003</v>
      </c>
      <c r="H145">
        <v>-0.05</v>
      </c>
      <c r="I145">
        <v>368.73540000000003</v>
      </c>
      <c r="J145">
        <v>-453.10129999999998</v>
      </c>
      <c r="K145">
        <v>1.1206480000000001</v>
      </c>
      <c r="L145">
        <v>367.9819</v>
      </c>
      <c r="M145">
        <v>0.99924389999999996</v>
      </c>
      <c r="N145">
        <v>-1.336207E-2</v>
      </c>
      <c r="O145">
        <v>3.6511929999999998E-2</v>
      </c>
      <c r="P145">
        <v>0.99699629999999995</v>
      </c>
      <c r="Q145">
        <v>-7.6520770000000002E-2</v>
      </c>
      <c r="R145">
        <v>1.1948459999999999E-2</v>
      </c>
      <c r="S145">
        <v>2.9885250000000001</v>
      </c>
      <c r="T145">
        <v>-0.24289659999999999</v>
      </c>
      <c r="U145">
        <v>0.15774540000000001</v>
      </c>
      <c r="V145">
        <v>2.442778E-2</v>
      </c>
      <c r="W145">
        <v>-6.320945E-2</v>
      </c>
      <c r="X145">
        <v>0.99770130000000001</v>
      </c>
      <c r="Y145">
        <v>-1.6232280000000002E-2</v>
      </c>
      <c r="Z145">
        <v>-1.705486E-3</v>
      </c>
      <c r="AA145">
        <v>0.99986679999999994</v>
      </c>
      <c r="AB145">
        <v>19</v>
      </c>
      <c r="AC145">
        <v>14.205799999999901</v>
      </c>
      <c r="AD145">
        <v>-1.1706479999999999</v>
      </c>
      <c r="AE145">
        <v>0.75350000000003003</v>
      </c>
      <c r="AF145">
        <v>-0.23269426569343199</v>
      </c>
      <c r="AG145">
        <v>-1.1706479999999999</v>
      </c>
      <c r="AH145">
        <v>14.128167853641701</v>
      </c>
      <c r="AI145">
        <v>94.736019982426598</v>
      </c>
      <c r="AJ145">
        <v>90.943589722407197</v>
      </c>
      <c r="AK145">
        <v>14.1784939348954</v>
      </c>
      <c r="AL145">
        <v>93.624050660595898</v>
      </c>
      <c r="AM145">
        <v>88.5974468277319</v>
      </c>
      <c r="AN145">
        <v>1.0000000175133601</v>
      </c>
    </row>
    <row r="146" spans="1:40" x14ac:dyDescent="0.25">
      <c r="A146" t="str">
        <f>"20190303154734235"</f>
        <v>20190303154734235</v>
      </c>
      <c r="B146" t="str">
        <f>"1551599254231087"</f>
        <v>1551599254231087</v>
      </c>
      <c r="C146" t="s">
        <v>40</v>
      </c>
      <c r="D146">
        <v>5.2889799999999996</v>
      </c>
      <c r="E146">
        <v>0.4870448</v>
      </c>
      <c r="F146" t="s">
        <v>43</v>
      </c>
      <c r="G146">
        <v>-438.73970000000003</v>
      </c>
      <c r="H146">
        <v>-0.05</v>
      </c>
      <c r="I146">
        <v>368.68900000000002</v>
      </c>
      <c r="J146">
        <v>-452.83280000000002</v>
      </c>
      <c r="K146">
        <v>1.120557</v>
      </c>
      <c r="L146">
        <v>367.99099999999999</v>
      </c>
      <c r="M146">
        <v>0.99927220000000005</v>
      </c>
      <c r="N146">
        <v>-1.2828640000000001E-2</v>
      </c>
      <c r="O146">
        <v>3.592704E-2</v>
      </c>
      <c r="P146">
        <v>0.99701119999999999</v>
      </c>
      <c r="Q146">
        <v>-7.6560589999999998E-2</v>
      </c>
      <c r="R146">
        <v>1.035521E-2</v>
      </c>
      <c r="S146">
        <v>2.9886170000000001</v>
      </c>
      <c r="T146">
        <v>-0.24360950000000001</v>
      </c>
      <c r="U146">
        <v>0.1471558</v>
      </c>
      <c r="V146">
        <v>2.5438570000000001E-2</v>
      </c>
      <c r="W146">
        <v>-6.3781660000000004E-2</v>
      </c>
      <c r="X146">
        <v>0.99763959999999996</v>
      </c>
      <c r="Y146">
        <v>-1.329428E-2</v>
      </c>
      <c r="Z146">
        <v>-1.8345119999999999E-3</v>
      </c>
      <c r="AA146">
        <v>0.99990990000000002</v>
      </c>
      <c r="AB146">
        <v>19</v>
      </c>
      <c r="AC146">
        <v>14.0930999999999</v>
      </c>
      <c r="AD146">
        <v>-1.1705570000000001</v>
      </c>
      <c r="AE146">
        <v>0.69800000000003504</v>
      </c>
      <c r="AF146">
        <v>-0.18987761850224899</v>
      </c>
      <c r="AG146">
        <v>-1.1705570000000001</v>
      </c>
      <c r="AH146">
        <v>14.0126457942145</v>
      </c>
      <c r="AI146">
        <v>94.7747233311011</v>
      </c>
      <c r="AJ146">
        <v>90.776335928136604</v>
      </c>
      <c r="AK146">
        <v>14.062734419534999</v>
      </c>
      <c r="AL146">
        <v>93.656902246719596</v>
      </c>
      <c r="AM146">
        <v>88.539345336964203</v>
      </c>
      <c r="AN146">
        <v>0.99999999624208002</v>
      </c>
    </row>
    <row r="147" spans="1:40" x14ac:dyDescent="0.25">
      <c r="A147" t="str">
        <f>"20190303154734258"</f>
        <v>20190303154734258</v>
      </c>
      <c r="B147" t="str">
        <f>"1551599254250608"</f>
        <v>1551599254250608</v>
      </c>
      <c r="C147" t="s">
        <v>40</v>
      </c>
      <c r="D147">
        <v>5.3244999999999996</v>
      </c>
      <c r="E147">
        <v>0.4876607</v>
      </c>
      <c r="F147" t="s">
        <v>43</v>
      </c>
      <c r="G147">
        <v>-438.48489999999998</v>
      </c>
      <c r="H147">
        <v>-0.05</v>
      </c>
      <c r="I147">
        <v>368.63560000000001</v>
      </c>
      <c r="J147">
        <v>-452.63569999999999</v>
      </c>
      <c r="K147">
        <v>1.1204860000000001</v>
      </c>
      <c r="L147">
        <v>367.99759999999998</v>
      </c>
      <c r="M147">
        <v>0.99929299999999999</v>
      </c>
      <c r="N147">
        <v>-1.237562E-2</v>
      </c>
      <c r="O147">
        <v>3.550234E-2</v>
      </c>
      <c r="P147">
        <v>0.99708969999999997</v>
      </c>
      <c r="Q147">
        <v>-7.5695269999999995E-2</v>
      </c>
      <c r="R147">
        <v>9.0801830000000004E-3</v>
      </c>
      <c r="S147">
        <v>2.9888309999999998</v>
      </c>
      <c r="T147">
        <v>-0.24384110000000001</v>
      </c>
      <c r="U147">
        <v>0.13427729999999999</v>
      </c>
      <c r="V147">
        <v>2.6292840000000001E-2</v>
      </c>
      <c r="W147">
        <v>-6.3367870000000007E-2</v>
      </c>
      <c r="X147">
        <v>0.99764379999999997</v>
      </c>
      <c r="Y147">
        <v>-9.4321240000000001E-3</v>
      </c>
      <c r="Z147">
        <v>-2.0080110000000001E-3</v>
      </c>
      <c r="AA147">
        <v>0.99995350000000005</v>
      </c>
      <c r="AB147">
        <v>19</v>
      </c>
      <c r="AC147">
        <v>14.1508</v>
      </c>
      <c r="AD147">
        <v>-1.1704859999999999</v>
      </c>
      <c r="AE147">
        <v>0.63800000000003299</v>
      </c>
      <c r="AF147">
        <v>-0.134256077883669</v>
      </c>
      <c r="AG147">
        <v>-1.1704859999999999</v>
      </c>
      <c r="AH147">
        <v>14.068471672354599</v>
      </c>
      <c r="AI147">
        <v>94.7557954427255</v>
      </c>
      <c r="AJ147">
        <v>90.546759684812102</v>
      </c>
      <c r="AK147">
        <v>14.117717852630699</v>
      </c>
      <c r="AL147">
        <v>93.633145841891505</v>
      </c>
      <c r="AM147">
        <v>88.490322778895703</v>
      </c>
      <c r="AN147">
        <v>0.99999997603102098</v>
      </c>
    </row>
    <row r="148" spans="1:40" x14ac:dyDescent="0.25">
      <c r="A148" t="str">
        <f>"20190303154734281"</f>
        <v>20190303154734281</v>
      </c>
      <c r="B148" t="str">
        <f>"1551599254271103"</f>
        <v>1551599254271103</v>
      </c>
      <c r="C148" t="s">
        <v>40</v>
      </c>
      <c r="D148">
        <v>5.3069610000000003</v>
      </c>
      <c r="E148">
        <v>0.48819299999999999</v>
      </c>
      <c r="F148" t="s">
        <v>43</v>
      </c>
      <c r="G148">
        <v>-438.12670000000003</v>
      </c>
      <c r="H148">
        <v>-0.05</v>
      </c>
      <c r="I148">
        <v>368.60669999999999</v>
      </c>
      <c r="J148">
        <v>-452.44060000000002</v>
      </c>
      <c r="K148">
        <v>1.1204080000000001</v>
      </c>
      <c r="L148">
        <v>368.00409999999999</v>
      </c>
      <c r="M148">
        <v>0.99931380000000003</v>
      </c>
      <c r="N148">
        <v>-1.1865250000000001E-2</v>
      </c>
      <c r="O148">
        <v>3.508965E-2</v>
      </c>
      <c r="P148">
        <v>0.99709789999999998</v>
      </c>
      <c r="Q148">
        <v>-7.5646770000000002E-2</v>
      </c>
      <c r="R148">
        <v>8.5659999999999903E-3</v>
      </c>
      <c r="S148">
        <v>2.9893190000000001</v>
      </c>
      <c r="T148">
        <v>-0.24115710000000001</v>
      </c>
      <c r="U148">
        <v>0.1254883</v>
      </c>
      <c r="V148">
        <v>2.6395430000000001E-2</v>
      </c>
      <c r="W148">
        <v>-6.382844E-2</v>
      </c>
      <c r="X148">
        <v>0.99761180000000005</v>
      </c>
      <c r="Y148">
        <v>-6.9118670000000004E-3</v>
      </c>
      <c r="Z148">
        <v>-2.0889279999999999E-3</v>
      </c>
      <c r="AA148">
        <v>0.99997400000000003</v>
      </c>
      <c r="AB148">
        <v>19</v>
      </c>
      <c r="AC148">
        <v>14.313899999999901</v>
      </c>
      <c r="AD148">
        <v>-1.1704079999999999</v>
      </c>
      <c r="AE148">
        <v>0.60259999999999503</v>
      </c>
      <c r="AF148">
        <v>-9.9261306801246493E-2</v>
      </c>
      <c r="AG148">
        <v>-1.1704079999999999</v>
      </c>
      <c r="AH148">
        <v>14.231250218730899</v>
      </c>
      <c r="AI148">
        <v>94.701430775717199</v>
      </c>
      <c r="AJ148">
        <v>90.399624884500696</v>
      </c>
      <c r="AK148">
        <v>14.2796425193918</v>
      </c>
      <c r="AL148">
        <v>93.659587833568295</v>
      </c>
      <c r="AM148">
        <v>88.484386436485806</v>
      </c>
      <c r="AN148">
        <v>1.0000000459884699</v>
      </c>
    </row>
    <row r="149" spans="1:40" x14ac:dyDescent="0.25">
      <c r="A149" t="str">
        <f>"20190303154734302"</f>
        <v>20190303154734302</v>
      </c>
      <c r="B149" t="str">
        <f>"1551599254290623"</f>
        <v>1551599254290623</v>
      </c>
      <c r="C149" t="s">
        <v>40</v>
      </c>
      <c r="D149">
        <v>5.194445</v>
      </c>
      <c r="E149">
        <v>0.4887629</v>
      </c>
      <c r="F149" t="s">
        <v>43</v>
      </c>
      <c r="G149">
        <v>-437.95030000000003</v>
      </c>
      <c r="H149">
        <v>-0.05</v>
      </c>
      <c r="I149">
        <v>368.58479999999997</v>
      </c>
      <c r="J149">
        <v>-452.26130000000001</v>
      </c>
      <c r="K149">
        <v>1.1203270000000001</v>
      </c>
      <c r="L149">
        <v>368.00990000000002</v>
      </c>
      <c r="M149">
        <v>0.99933280000000002</v>
      </c>
      <c r="N149">
        <v>-1.1350539999999999E-2</v>
      </c>
      <c r="O149">
        <v>3.471809E-2</v>
      </c>
      <c r="P149">
        <v>0.99712120000000004</v>
      </c>
      <c r="Q149">
        <v>-7.5388029999999995E-2</v>
      </c>
      <c r="R149">
        <v>8.1386459999999994E-3</v>
      </c>
      <c r="S149">
        <v>2.9893489999999998</v>
      </c>
      <c r="T149">
        <v>-0.2414559</v>
      </c>
      <c r="U149">
        <v>0.119812</v>
      </c>
      <c r="V149">
        <v>2.645231E-2</v>
      </c>
      <c r="W149">
        <v>-6.4083080000000001E-2</v>
      </c>
      <c r="X149">
        <v>0.99759390000000003</v>
      </c>
      <c r="Y149">
        <v>-5.3941719999999896E-3</v>
      </c>
      <c r="Z149">
        <v>-2.1560730000000001E-3</v>
      </c>
      <c r="AA149">
        <v>0.99998310000000001</v>
      </c>
      <c r="AB149">
        <v>19</v>
      </c>
      <c r="AC149">
        <v>14.3109999999999</v>
      </c>
      <c r="AD149">
        <v>-1.1703269999999999</v>
      </c>
      <c r="AE149">
        <v>0.574899999999956</v>
      </c>
      <c r="AF149">
        <v>-7.7155675551232303E-2</v>
      </c>
      <c r="AG149">
        <v>-1.1703269999999999</v>
      </c>
      <c r="AH149">
        <v>14.2273377878087</v>
      </c>
      <c r="AI149">
        <v>94.702438874155007</v>
      </c>
      <c r="AJ149">
        <v>90.3107152795817</v>
      </c>
      <c r="AK149">
        <v>14.275600120961901</v>
      </c>
      <c r="AL149">
        <v>93.674207812374405</v>
      </c>
      <c r="AM149">
        <v>88.481094700350397</v>
      </c>
      <c r="AN149">
        <v>0.99999997758191606</v>
      </c>
    </row>
    <row r="150" spans="1:40" x14ac:dyDescent="0.25">
      <c r="A150" t="str">
        <f>"20190303154734324"</f>
        <v>20190303154734324</v>
      </c>
      <c r="B150" t="str">
        <f>"1551599254320879"</f>
        <v>1551599254320879</v>
      </c>
      <c r="C150" t="s">
        <v>40</v>
      </c>
      <c r="D150">
        <v>5.2357670000000001</v>
      </c>
      <c r="E150">
        <v>0.48960579999999998</v>
      </c>
      <c r="F150" t="s">
        <v>43</v>
      </c>
      <c r="G150">
        <v>-437.66759999999999</v>
      </c>
      <c r="H150">
        <v>-0.05</v>
      </c>
      <c r="I150">
        <v>368.56810000000002</v>
      </c>
      <c r="J150">
        <v>-452.06490000000002</v>
      </c>
      <c r="K150">
        <v>1.120244</v>
      </c>
      <c r="L150">
        <v>368.0163</v>
      </c>
      <c r="M150">
        <v>0.99935300000000005</v>
      </c>
      <c r="N150">
        <v>-1.0780639999999999E-2</v>
      </c>
      <c r="O150">
        <v>3.4315819999999997E-2</v>
      </c>
      <c r="P150">
        <v>0.99709570000000003</v>
      </c>
      <c r="Q150">
        <v>-7.5758790000000006E-2</v>
      </c>
      <c r="R150">
        <v>7.793861E-3</v>
      </c>
      <c r="S150">
        <v>2.9896240000000001</v>
      </c>
      <c r="T150">
        <v>-0.23974970000000001</v>
      </c>
      <c r="U150">
        <v>0.1143494</v>
      </c>
      <c r="V150">
        <v>2.6393839999999998E-2</v>
      </c>
      <c r="W150">
        <v>-6.5022739999999996E-2</v>
      </c>
      <c r="X150">
        <v>0.9975347</v>
      </c>
      <c r="Y150">
        <v>-3.9734459999999899E-3</v>
      </c>
      <c r="Z150">
        <v>-2.1957560000000001E-3</v>
      </c>
      <c r="AA150">
        <v>0.99998969999999998</v>
      </c>
      <c r="AB150">
        <v>19</v>
      </c>
      <c r="AC150">
        <v>14.3973</v>
      </c>
      <c r="AD150">
        <v>-1.1702440000000001</v>
      </c>
      <c r="AE150">
        <v>0.55180000000001395</v>
      </c>
      <c r="AF150">
        <v>-5.7015025080138601E-2</v>
      </c>
      <c r="AG150">
        <v>-1.1702440000000001</v>
      </c>
      <c r="AH150">
        <v>14.313329624684</v>
      </c>
      <c r="AI150">
        <v>94.674014526926001</v>
      </c>
      <c r="AJ150">
        <v>90.228228030371994</v>
      </c>
      <c r="AK150">
        <v>14.361202132045801</v>
      </c>
      <c r="AL150">
        <v>93.728158681421405</v>
      </c>
      <c r="AM150">
        <v>88.484360610072301</v>
      </c>
      <c r="AN150">
        <v>1.00000003460557</v>
      </c>
    </row>
    <row r="151" spans="1:40" x14ac:dyDescent="0.25">
      <c r="A151" t="str">
        <f>"20190303154734347"</f>
        <v>20190303154734347</v>
      </c>
      <c r="B151" t="str">
        <f>"1551599254340399"</f>
        <v>1551599254340399</v>
      </c>
      <c r="C151" t="s">
        <v>40</v>
      </c>
      <c r="D151">
        <v>5.2719139999999998</v>
      </c>
      <c r="E151">
        <v>0.49010500000000001</v>
      </c>
      <c r="F151" t="s">
        <v>43</v>
      </c>
      <c r="G151">
        <v>-437.42</v>
      </c>
      <c r="H151">
        <v>-0.05</v>
      </c>
      <c r="I151">
        <v>368.53680000000003</v>
      </c>
      <c r="J151">
        <v>-451.86709999999999</v>
      </c>
      <c r="K151">
        <v>1.1201719999999999</v>
      </c>
      <c r="L151">
        <v>368.02260000000001</v>
      </c>
      <c r="M151">
        <v>0.99937260000000006</v>
      </c>
      <c r="N151">
        <v>-1.0231550000000001E-2</v>
      </c>
      <c r="O151">
        <v>3.3912310000000001E-2</v>
      </c>
      <c r="P151">
        <v>0.99712900000000004</v>
      </c>
      <c r="Q151">
        <v>-7.5352649999999993E-2</v>
      </c>
      <c r="R151">
        <v>7.4833390000000003E-3</v>
      </c>
      <c r="S151">
        <v>2.9897459999999998</v>
      </c>
      <c r="T151">
        <v>-0.238903</v>
      </c>
      <c r="U151">
        <v>0.1062622</v>
      </c>
      <c r="V151">
        <v>2.630217E-2</v>
      </c>
      <c r="W151">
        <v>-6.5164130000000001E-2</v>
      </c>
      <c r="X151">
        <v>0.99752779999999996</v>
      </c>
      <c r="Y151">
        <v>-1.6826510000000001E-3</v>
      </c>
      <c r="Z151">
        <v>-2.2816659999999999E-3</v>
      </c>
      <c r="AA151">
        <v>0.999996</v>
      </c>
      <c r="AB151">
        <v>19</v>
      </c>
      <c r="AC151">
        <v>14.447099999999899</v>
      </c>
      <c r="AD151">
        <v>-1.170172</v>
      </c>
      <c r="AE151">
        <v>0.51420000000001598</v>
      </c>
      <c r="AF151">
        <v>-2.3788240870683298E-2</v>
      </c>
      <c r="AG151">
        <v>-1.170172</v>
      </c>
      <c r="AH151">
        <v>14.362124209725801</v>
      </c>
      <c r="AI151">
        <v>94.657949893771899</v>
      </c>
      <c r="AJ151">
        <v>90.094899928286907</v>
      </c>
      <c r="AK151">
        <v>14.409735604985199</v>
      </c>
      <c r="AL151">
        <v>93.736277303276395</v>
      </c>
      <c r="AM151">
        <v>88.489611781306706</v>
      </c>
      <c r="AN151">
        <v>0.99999993987910096</v>
      </c>
    </row>
    <row r="152" spans="1:40" x14ac:dyDescent="0.25">
      <c r="A152" t="str">
        <f>"20190303154734368"</f>
        <v>20190303154734368</v>
      </c>
      <c r="B152" t="str">
        <f>"1551599254360895"</f>
        <v>1551599254360895</v>
      </c>
      <c r="C152" t="s">
        <v>40</v>
      </c>
      <c r="D152">
        <v>5.2402009999999999</v>
      </c>
      <c r="E152">
        <v>0.4904984</v>
      </c>
      <c r="F152" t="s">
        <v>43</v>
      </c>
      <c r="G152">
        <v>-437.09629999999999</v>
      </c>
      <c r="H152">
        <v>-0.05</v>
      </c>
      <c r="I152">
        <v>368.52190000000002</v>
      </c>
      <c r="J152">
        <v>-451.67790000000002</v>
      </c>
      <c r="K152">
        <v>1.12012</v>
      </c>
      <c r="L152">
        <v>368.02850000000001</v>
      </c>
      <c r="M152">
        <v>0.99939049999999996</v>
      </c>
      <c r="N152">
        <v>-9.7312879999999994E-3</v>
      </c>
      <c r="O152">
        <v>3.3526750000000001E-2</v>
      </c>
      <c r="P152">
        <v>0.99716939999999998</v>
      </c>
      <c r="Q152">
        <v>-7.487096E-2</v>
      </c>
      <c r="R152">
        <v>6.9277059999999996E-3</v>
      </c>
      <c r="S152">
        <v>2.9899900000000001</v>
      </c>
      <c r="T152">
        <v>-0.23687279999999999</v>
      </c>
      <c r="U152">
        <v>0.1010742</v>
      </c>
      <c r="V152">
        <v>2.647366E-2</v>
      </c>
      <c r="W152">
        <v>-6.51814E-2</v>
      </c>
      <c r="X152">
        <v>0.99752220000000003</v>
      </c>
      <c r="Y152">
        <v>-3.3619470000000002E-4</v>
      </c>
      <c r="Z152">
        <v>-2.309649E-3</v>
      </c>
      <c r="AA152">
        <v>0.99999729999999998</v>
      </c>
      <c r="AB152">
        <v>19</v>
      </c>
      <c r="AC152">
        <v>14.5816</v>
      </c>
      <c r="AD152">
        <v>-1.17012</v>
      </c>
      <c r="AE152">
        <v>0.493400000000008</v>
      </c>
      <c r="AF152">
        <v>-4.1988075619864796E-3</v>
      </c>
      <c r="AG152">
        <v>-1.17012</v>
      </c>
      <c r="AH152">
        <v>14.4967002539103</v>
      </c>
      <c r="AI152">
        <v>94.614698687121503</v>
      </c>
      <c r="AJ152">
        <v>90.016595083111895</v>
      </c>
      <c r="AK152">
        <v>14.5438480704423</v>
      </c>
      <c r="AL152">
        <v>93.737268667623397</v>
      </c>
      <c r="AM152">
        <v>88.479760134478099</v>
      </c>
      <c r="AN152">
        <v>1.00000000453629</v>
      </c>
    </row>
    <row r="153" spans="1:40" x14ac:dyDescent="0.25">
      <c r="A153" t="str">
        <f>"20190303154734392"</f>
        <v>20190303154734392</v>
      </c>
      <c r="B153" t="str">
        <f>"1551599254380415"</f>
        <v>1551599254380415</v>
      </c>
      <c r="C153" t="s">
        <v>40</v>
      </c>
      <c r="D153">
        <v>5.186604</v>
      </c>
      <c r="E153">
        <v>0.49088280000000001</v>
      </c>
      <c r="F153" t="s">
        <v>43</v>
      </c>
      <c r="G153">
        <v>-436.81849999999997</v>
      </c>
      <c r="H153">
        <v>-0.05</v>
      </c>
      <c r="I153">
        <v>368.50880000000001</v>
      </c>
      <c r="J153">
        <v>-451.47789999999998</v>
      </c>
      <c r="K153">
        <v>1.1200619999999999</v>
      </c>
      <c r="L153">
        <v>368.03480000000002</v>
      </c>
      <c r="M153">
        <v>0.99940899999999999</v>
      </c>
      <c r="N153">
        <v>-9.2132929999999991E-3</v>
      </c>
      <c r="O153">
        <v>3.311832E-2</v>
      </c>
      <c r="P153">
        <v>0.9972181</v>
      </c>
      <c r="Q153">
        <v>-7.4263410000000002E-2</v>
      </c>
      <c r="R153">
        <v>6.42517E-3</v>
      </c>
      <c r="S153">
        <v>2.9902039999999999</v>
      </c>
      <c r="T153">
        <v>-0.23546590000000001</v>
      </c>
      <c r="U153">
        <v>9.6649170000000006E-2</v>
      </c>
      <c r="V153">
        <v>2.6569829999999999E-2</v>
      </c>
      <c r="W153">
        <v>-6.509036E-2</v>
      </c>
      <c r="X153">
        <v>0.99752560000000001</v>
      </c>
      <c r="Y153">
        <v>7.3276979999999895E-4</v>
      </c>
      <c r="Z153">
        <v>-2.3299750000000002E-3</v>
      </c>
      <c r="AA153">
        <v>0.99999700000000002</v>
      </c>
      <c r="AB153">
        <v>20</v>
      </c>
      <c r="AC153">
        <v>14.6594</v>
      </c>
      <c r="AD153">
        <v>-1.1700619999999999</v>
      </c>
      <c r="AE153">
        <v>0.47399999999998899</v>
      </c>
      <c r="AF153">
        <v>1.17008690893576E-2</v>
      </c>
      <c r="AG153">
        <v>-1.1700619999999999</v>
      </c>
      <c r="AH153">
        <v>14.574305305391</v>
      </c>
      <c r="AI153">
        <v>94.590003856982406</v>
      </c>
      <c r="AJ153">
        <v>89.954000533310605</v>
      </c>
      <c r="AK153">
        <v>14.621202314752701</v>
      </c>
      <c r="AL153">
        <v>93.732041313564295</v>
      </c>
      <c r="AM153">
        <v>88.474245412474502</v>
      </c>
      <c r="AN153">
        <v>1.0000000167432499</v>
      </c>
    </row>
    <row r="154" spans="1:40" x14ac:dyDescent="0.25">
      <c r="A154" t="str">
        <f>"20190303154734416"</f>
        <v>20190303154734416</v>
      </c>
      <c r="B154" t="str">
        <f>"1551599254410672"</f>
        <v>1551599254410672</v>
      </c>
      <c r="C154" t="s">
        <v>40</v>
      </c>
      <c r="D154">
        <v>5.1841150000000003</v>
      </c>
      <c r="E154">
        <v>0.4914346</v>
      </c>
      <c r="F154" t="s">
        <v>43</v>
      </c>
      <c r="G154">
        <v>-436.50049999999999</v>
      </c>
      <c r="H154">
        <v>-0.05</v>
      </c>
      <c r="I154">
        <v>368.4948</v>
      </c>
      <c r="J154">
        <v>-451.25979999999998</v>
      </c>
      <c r="K154">
        <v>1.1199950000000001</v>
      </c>
      <c r="L154">
        <v>368.04149999999998</v>
      </c>
      <c r="M154">
        <v>0.99942889999999995</v>
      </c>
      <c r="N154">
        <v>-8.644901E-3</v>
      </c>
      <c r="O154">
        <v>3.2671659999999998E-2</v>
      </c>
      <c r="P154">
        <v>0.99726990000000004</v>
      </c>
      <c r="Q154">
        <v>-7.3657539999999994E-2</v>
      </c>
      <c r="R154">
        <v>5.2578049999999999E-3</v>
      </c>
      <c r="S154">
        <v>2.9903559999999998</v>
      </c>
      <c r="T154">
        <v>-0.23361119999999999</v>
      </c>
      <c r="U154">
        <v>9.1857910000000001E-2</v>
      </c>
      <c r="V154">
        <v>2.729227E-2</v>
      </c>
      <c r="W154">
        <v>-6.5051830000000005E-2</v>
      </c>
      <c r="X154">
        <v>0.99750859999999997</v>
      </c>
      <c r="Y154">
        <v>1.885327E-3</v>
      </c>
      <c r="Z154">
        <v>-2.3468249999999999E-3</v>
      </c>
      <c r="AA154">
        <v>0.99999550000000004</v>
      </c>
      <c r="AB154">
        <v>20</v>
      </c>
      <c r="AC154">
        <v>14.7592999999999</v>
      </c>
      <c r="AD154">
        <v>-1.1699949999999999</v>
      </c>
      <c r="AE154">
        <v>0.45330000000001203</v>
      </c>
      <c r="AF154">
        <v>2.8988802677066602E-2</v>
      </c>
      <c r="AG154">
        <v>-1.1699949999999999</v>
      </c>
      <c r="AH154">
        <v>14.674105365450799</v>
      </c>
      <c r="AI154">
        <v>94.558651473585201</v>
      </c>
      <c r="AJ154">
        <v>89.886811914968405</v>
      </c>
      <c r="AK154">
        <v>14.720703003833</v>
      </c>
      <c r="AL154">
        <v>93.729829051834102</v>
      </c>
      <c r="AM154">
        <v>88.432753502390995</v>
      </c>
      <c r="AN154">
        <v>1.00000000783103</v>
      </c>
    </row>
    <row r="155" spans="1:40" x14ac:dyDescent="0.25">
      <c r="A155" t="str">
        <f>"20190303154734438"</f>
        <v>20190303154734438</v>
      </c>
      <c r="B155" t="str">
        <f>"1551599254431167"</f>
        <v>1551599254431167</v>
      </c>
      <c r="C155" t="s">
        <v>40</v>
      </c>
      <c r="D155">
        <v>5.1589549999999997</v>
      </c>
      <c r="E155">
        <v>0.49176520000000001</v>
      </c>
      <c r="F155" t="s">
        <v>43</v>
      </c>
      <c r="G155">
        <v>-436.10140000000001</v>
      </c>
      <c r="H155">
        <v>-0.05</v>
      </c>
      <c r="I155">
        <v>368.46820000000002</v>
      </c>
      <c r="J155">
        <v>-451.06380000000001</v>
      </c>
      <c r="K155">
        <v>1.1199250000000001</v>
      </c>
      <c r="L155">
        <v>368.04739999999998</v>
      </c>
      <c r="M155">
        <v>0.99944619999999995</v>
      </c>
      <c r="N155">
        <v>-8.1286029999999999E-3</v>
      </c>
      <c r="O155">
        <v>3.2269730000000003E-2</v>
      </c>
      <c r="P155">
        <v>0.99732969999999999</v>
      </c>
      <c r="Q155">
        <v>-7.2862040000000003E-2</v>
      </c>
      <c r="R155">
        <v>4.9782699999999999E-3</v>
      </c>
      <c r="S155">
        <v>2.990723</v>
      </c>
      <c r="T155">
        <v>-0.2308383</v>
      </c>
      <c r="U155">
        <v>8.4197999999999995E-2</v>
      </c>
      <c r="V155">
        <v>2.7172459999999999E-2</v>
      </c>
      <c r="W155">
        <v>-6.4770949999999994E-2</v>
      </c>
      <c r="X155">
        <v>0.99753020000000003</v>
      </c>
      <c r="Y155">
        <v>4.0407660000000003E-3</v>
      </c>
      <c r="Z155">
        <v>-2.396095E-3</v>
      </c>
      <c r="AA155">
        <v>0.99998900000000002</v>
      </c>
      <c r="AB155">
        <v>20</v>
      </c>
      <c r="AC155">
        <v>14.962400000000001</v>
      </c>
      <c r="AD155">
        <v>-1.1699250000000001</v>
      </c>
      <c r="AE155">
        <v>0.42080000000004197</v>
      </c>
      <c r="AF155">
        <v>6.1889617053231698E-2</v>
      </c>
      <c r="AG155">
        <v>-1.1699250000000001</v>
      </c>
      <c r="AH155">
        <v>14.877301129772899</v>
      </c>
      <c r="AI155">
        <v>94.496348093796698</v>
      </c>
      <c r="AJ155">
        <v>89.761650761332007</v>
      </c>
      <c r="AK155">
        <v>14.923358996427901</v>
      </c>
      <c r="AL155">
        <v>93.713701610354704</v>
      </c>
      <c r="AM155">
        <v>88.439663900434198</v>
      </c>
      <c r="AN155">
        <v>1.00000005922919</v>
      </c>
    </row>
    <row r="156" spans="1:40" x14ac:dyDescent="0.25">
      <c r="A156" t="str">
        <f>"20190303154734458"</f>
        <v>20190303154734458</v>
      </c>
      <c r="B156" t="str">
        <f>"1551599254450832"</f>
        <v>1551599254450832</v>
      </c>
      <c r="C156" t="s">
        <v>40</v>
      </c>
      <c r="D156">
        <v>5.096724</v>
      </c>
      <c r="E156">
        <v>0.49214380000000002</v>
      </c>
      <c r="F156" t="s">
        <v>43</v>
      </c>
      <c r="G156">
        <v>-435.74720000000002</v>
      </c>
      <c r="H156">
        <v>-0.05</v>
      </c>
      <c r="I156">
        <v>368.4597</v>
      </c>
      <c r="J156">
        <v>-450.8777</v>
      </c>
      <c r="K156">
        <v>1.119869</v>
      </c>
      <c r="L156">
        <v>368.053</v>
      </c>
      <c r="M156">
        <v>0.99946239999999997</v>
      </c>
      <c r="N156">
        <v>-7.6385530000000002E-3</v>
      </c>
      <c r="O156">
        <v>3.1887400000000003E-2</v>
      </c>
      <c r="P156">
        <v>0.99734800000000001</v>
      </c>
      <c r="Q156">
        <v>-7.2598650000000001E-2</v>
      </c>
      <c r="R156">
        <v>5.1632479999999996E-3</v>
      </c>
      <c r="S156">
        <v>2.990936</v>
      </c>
      <c r="T156">
        <v>-0.2284553</v>
      </c>
      <c r="U156">
        <v>8.0505370000000007E-2</v>
      </c>
      <c r="V156">
        <v>2.6606049999999999E-2</v>
      </c>
      <c r="W156">
        <v>-6.499597E-2</v>
      </c>
      <c r="X156">
        <v>0.99753080000000005</v>
      </c>
      <c r="Y156">
        <v>4.8929630000000002E-3</v>
      </c>
      <c r="Z156">
        <v>-2.3931019999999998E-3</v>
      </c>
      <c r="AA156">
        <v>0.99998520000000002</v>
      </c>
      <c r="AB156">
        <v>20</v>
      </c>
      <c r="AC156">
        <v>15.1304999999999</v>
      </c>
      <c r="AD156">
        <v>-1.169869</v>
      </c>
      <c r="AE156">
        <v>0.406699999999943</v>
      </c>
      <c r="AF156">
        <v>7.5541879652136101E-2</v>
      </c>
      <c r="AG156">
        <v>-1.169869</v>
      </c>
      <c r="AH156">
        <v>15.0458922968189</v>
      </c>
      <c r="AI156">
        <v>94.445939622715599</v>
      </c>
      <c r="AJ156">
        <v>89.712333809990795</v>
      </c>
      <c r="AK156">
        <v>15.091493466857999</v>
      </c>
      <c r="AL156">
        <v>93.726621648634605</v>
      </c>
      <c r="AM156">
        <v>88.472174449151794</v>
      </c>
      <c r="AN156">
        <v>1.0000000274807399</v>
      </c>
    </row>
    <row r="157" spans="1:40" x14ac:dyDescent="0.25">
      <c r="A157" t="str">
        <f>"20190303154734482"</f>
        <v>20190303154734482</v>
      </c>
      <c r="B157" t="str">
        <f>"1551599254470335"</f>
        <v>1551599254470335</v>
      </c>
      <c r="C157" t="s">
        <v>40</v>
      </c>
      <c r="D157">
        <v>5.1662650000000001</v>
      </c>
      <c r="E157">
        <v>0.49244529999999997</v>
      </c>
      <c r="F157" t="s">
        <v>43</v>
      </c>
      <c r="G157">
        <v>-435.4495</v>
      </c>
      <c r="H157">
        <v>-0.05</v>
      </c>
      <c r="I157">
        <v>368.45609999999999</v>
      </c>
      <c r="J157">
        <v>-450.67129999999997</v>
      </c>
      <c r="K157">
        <v>1.119807</v>
      </c>
      <c r="L157">
        <v>368.0591</v>
      </c>
      <c r="M157">
        <v>0.99947969999999997</v>
      </c>
      <c r="N157">
        <v>-7.1047109999999997E-3</v>
      </c>
      <c r="O157">
        <v>3.1463390000000001E-2</v>
      </c>
      <c r="P157">
        <v>0.99736389999999997</v>
      </c>
      <c r="Q157">
        <v>-7.2336079999999997E-2</v>
      </c>
      <c r="R157">
        <v>5.7514539999999996E-3</v>
      </c>
      <c r="S157">
        <v>2.991028</v>
      </c>
      <c r="T157">
        <v>-0.2267998</v>
      </c>
      <c r="U157">
        <v>7.8155520000000006E-2</v>
      </c>
      <c r="V157">
        <v>2.559502E-2</v>
      </c>
      <c r="W157">
        <v>-6.5265210000000004E-2</v>
      </c>
      <c r="X157">
        <v>0.99753959999999997</v>
      </c>
      <c r="Y157">
        <v>5.2547200000000001E-3</v>
      </c>
      <c r="Z157">
        <v>-2.3757420000000001E-3</v>
      </c>
      <c r="AA157">
        <v>0.99998339999999997</v>
      </c>
      <c r="AB157">
        <v>20</v>
      </c>
      <c r="AC157">
        <v>15.221799999999901</v>
      </c>
      <c r="AD157">
        <v>-1.169807</v>
      </c>
      <c r="AE157">
        <v>0.39699999999999103</v>
      </c>
      <c r="AF157">
        <v>8.1656121739364096E-2</v>
      </c>
      <c r="AG157">
        <v>-1.169807</v>
      </c>
      <c r="AH157">
        <v>15.1374132618326</v>
      </c>
      <c r="AI157">
        <v>94.418924384639098</v>
      </c>
      <c r="AJ157">
        <v>89.690930961125105</v>
      </c>
      <c r="AK157">
        <v>15.182766427729</v>
      </c>
      <c r="AL157">
        <v>93.742081066199404</v>
      </c>
      <c r="AM157">
        <v>88.530218816671706</v>
      </c>
      <c r="AN157">
        <v>0.99999995312665102</v>
      </c>
    </row>
    <row r="158" spans="1:40" x14ac:dyDescent="0.25">
      <c r="A158" t="str">
        <f>"20190303154734504"</f>
        <v>20190303154734504</v>
      </c>
      <c r="B158" t="str">
        <f>"1551599254500592"</f>
        <v>1551599254500592</v>
      </c>
      <c r="C158" t="s">
        <v>40</v>
      </c>
      <c r="D158">
        <v>5.1353030000000004</v>
      </c>
      <c r="E158">
        <v>0.49286370000000002</v>
      </c>
      <c r="F158" t="s">
        <v>43</v>
      </c>
      <c r="G158">
        <v>-435.17349999999999</v>
      </c>
      <c r="H158">
        <v>-0.05</v>
      </c>
      <c r="I158">
        <v>368.46080000000001</v>
      </c>
      <c r="J158">
        <v>-450.46519999999998</v>
      </c>
      <c r="K158">
        <v>1.1197490000000001</v>
      </c>
      <c r="L158">
        <v>368.0652</v>
      </c>
      <c r="M158">
        <v>0.99949639999999995</v>
      </c>
      <c r="N158">
        <v>-6.5989830000000001E-3</v>
      </c>
      <c r="O158">
        <v>3.1040680000000001E-2</v>
      </c>
      <c r="P158">
        <v>0.99743680000000001</v>
      </c>
      <c r="Q158">
        <v>-7.128843E-2</v>
      </c>
      <c r="R158">
        <v>6.1743980000000002E-3</v>
      </c>
      <c r="S158">
        <v>2.9911189999999999</v>
      </c>
      <c r="T158">
        <v>-0.22577539999999999</v>
      </c>
      <c r="U158">
        <v>7.7514650000000004E-2</v>
      </c>
      <c r="V158">
        <v>2.4752639999999999E-2</v>
      </c>
      <c r="W158">
        <v>-6.4721109999999998E-2</v>
      </c>
      <c r="X158">
        <v>0.99759629999999999</v>
      </c>
      <c r="Y158">
        <v>5.0481279999999998E-3</v>
      </c>
      <c r="Z158">
        <v>-2.3410919999999999E-3</v>
      </c>
      <c r="AA158">
        <v>0.99998450000000005</v>
      </c>
      <c r="AB158">
        <v>20</v>
      </c>
      <c r="AC158">
        <v>15.291699999999899</v>
      </c>
      <c r="AD158">
        <v>-1.1697489999999999</v>
      </c>
      <c r="AE158">
        <v>0.39560000000000101</v>
      </c>
      <c r="AF158">
        <v>7.8804886094364202E-2</v>
      </c>
      <c r="AG158">
        <v>-1.1697489999999999</v>
      </c>
      <c r="AH158">
        <v>15.207681320282299</v>
      </c>
      <c r="AI158">
        <v>94.398374468512102</v>
      </c>
      <c r="AJ158">
        <v>89.703100895560596</v>
      </c>
      <c r="AK158">
        <v>15.2528061048561</v>
      </c>
      <c r="AL158">
        <v>93.710840403368195</v>
      </c>
      <c r="AM158">
        <v>88.578652638500998</v>
      </c>
      <c r="AN158">
        <v>0.99999994652014401</v>
      </c>
    </row>
    <row r="159" spans="1:40" x14ac:dyDescent="0.25">
      <c r="A159" t="str">
        <f>"20190303154734525"</f>
        <v>20190303154734525</v>
      </c>
      <c r="B159" t="str">
        <f>"1551599254521087"</f>
        <v>1551599254521087</v>
      </c>
      <c r="C159" t="s">
        <v>40</v>
      </c>
      <c r="D159">
        <v>5.1505089999999996</v>
      </c>
      <c r="E159">
        <v>0.49319659999999899</v>
      </c>
      <c r="F159" t="s">
        <v>43</v>
      </c>
      <c r="G159">
        <v>-434.75049999999999</v>
      </c>
      <c r="H159">
        <v>-0.05</v>
      </c>
      <c r="I159">
        <v>368.46230000000003</v>
      </c>
      <c r="J159">
        <v>-450.26299999999998</v>
      </c>
      <c r="K159">
        <v>1.119704</v>
      </c>
      <c r="L159">
        <v>368.07100000000003</v>
      </c>
      <c r="M159">
        <v>0.99951210000000001</v>
      </c>
      <c r="N159">
        <v>-6.1386590000000003E-3</v>
      </c>
      <c r="O159">
        <v>3.0627689999999999E-2</v>
      </c>
      <c r="P159">
        <v>0.99749359999999998</v>
      </c>
      <c r="Q159">
        <v>-7.0483270000000001E-2</v>
      </c>
      <c r="R159">
        <v>6.2260969999999999E-3</v>
      </c>
      <c r="S159">
        <v>2.9913639999999999</v>
      </c>
      <c r="T159">
        <v>-0.222667</v>
      </c>
      <c r="U159">
        <v>7.5592039999999999E-2</v>
      </c>
      <c r="V159">
        <v>2.4290429999999998E-2</v>
      </c>
      <c r="W159">
        <v>-6.4374719999999996E-2</v>
      </c>
      <c r="X159">
        <v>0.99763009999999996</v>
      </c>
      <c r="Y159">
        <v>5.2812479999999997E-3</v>
      </c>
      <c r="Z159">
        <v>-2.3005289999999999E-3</v>
      </c>
      <c r="AA159">
        <v>0.99998339999999997</v>
      </c>
      <c r="AB159">
        <v>21</v>
      </c>
      <c r="AC159">
        <v>15.512499999999999</v>
      </c>
      <c r="AD159">
        <v>-1.1697040000000001</v>
      </c>
      <c r="AE159">
        <v>0.39130000000005699</v>
      </c>
      <c r="AF159">
        <v>8.3529902969324304E-2</v>
      </c>
      <c r="AG159">
        <v>-1.1697040000000001</v>
      </c>
      <c r="AH159">
        <v>15.4295342572387</v>
      </c>
      <c r="AI159">
        <v>94.335204034431797</v>
      </c>
      <c r="AJ159">
        <v>89.689824458081404</v>
      </c>
      <c r="AK159">
        <v>15.474033478301999</v>
      </c>
      <c r="AL159">
        <v>93.690952144688396</v>
      </c>
      <c r="AM159">
        <v>88.605230338330003</v>
      </c>
      <c r="AN159">
        <v>0.99999997299533605</v>
      </c>
    </row>
    <row r="160" spans="1:40" x14ac:dyDescent="0.25">
      <c r="A160" t="str">
        <f>"20190303154734547"</f>
        <v>20190303154734547</v>
      </c>
      <c r="B160" t="str">
        <f>"1551599254540607"</f>
        <v>1551599254540607</v>
      </c>
      <c r="C160" t="s">
        <v>40</v>
      </c>
      <c r="D160">
        <v>5.0653100000000002</v>
      </c>
      <c r="E160">
        <v>0.49355860000000001</v>
      </c>
      <c r="F160" t="s">
        <v>43</v>
      </c>
      <c r="G160">
        <v>-434.3211</v>
      </c>
      <c r="H160">
        <v>-0.05</v>
      </c>
      <c r="I160">
        <v>368.459</v>
      </c>
      <c r="J160">
        <v>-450.0609</v>
      </c>
      <c r="K160">
        <v>1.119664</v>
      </c>
      <c r="L160">
        <v>368.07679999999999</v>
      </c>
      <c r="M160">
        <v>0.99952700000000005</v>
      </c>
      <c r="N160">
        <v>-5.7184489999999996E-3</v>
      </c>
      <c r="O160">
        <v>3.021625E-2</v>
      </c>
      <c r="P160">
        <v>0.9975716</v>
      </c>
      <c r="Q160">
        <v>-6.9417610000000005E-2</v>
      </c>
      <c r="R160">
        <v>5.6498499999999997E-3</v>
      </c>
      <c r="S160">
        <v>2.9915769999999999</v>
      </c>
      <c r="T160">
        <v>-0.21950049999999999</v>
      </c>
      <c r="U160">
        <v>7.2814939999999995E-2</v>
      </c>
      <c r="V160">
        <v>2.4457889999999999E-2</v>
      </c>
      <c r="W160">
        <v>-6.3728209999999993E-2</v>
      </c>
      <c r="X160">
        <v>0.99766759999999999</v>
      </c>
      <c r="Y160">
        <v>5.8003459999999996E-3</v>
      </c>
      <c r="Z160">
        <v>-2.2697939999999999E-3</v>
      </c>
      <c r="AA160">
        <v>0.9999806</v>
      </c>
      <c r="AB160">
        <v>21</v>
      </c>
      <c r="AC160">
        <v>15.739800000000001</v>
      </c>
      <c r="AD160">
        <v>-1.169664</v>
      </c>
      <c r="AE160">
        <v>0.38220000000001098</v>
      </c>
      <c r="AF160">
        <v>9.3066402678327401E-2</v>
      </c>
      <c r="AG160">
        <v>-1.169664</v>
      </c>
      <c r="AH160">
        <v>15.657744999751801</v>
      </c>
      <c r="AI160">
        <v>94.272095975925893</v>
      </c>
      <c r="AJ160">
        <v>89.659449729521597</v>
      </c>
      <c r="AK160">
        <v>15.701648120673701</v>
      </c>
      <c r="AL160">
        <v>93.653833323398601</v>
      </c>
      <c r="AM160">
        <v>88.595671298318905</v>
      </c>
      <c r="AN160">
        <v>1.0000000566114</v>
      </c>
    </row>
    <row r="161" spans="1:40" x14ac:dyDescent="0.25">
      <c r="A161" t="str">
        <f>"20190303154734571"</f>
        <v>20190303154734571</v>
      </c>
      <c r="B161" t="str">
        <f>"1551599254561104"</f>
        <v>1551599254561104</v>
      </c>
      <c r="C161" t="s">
        <v>40</v>
      </c>
      <c r="D161">
        <v>5.0787409999999999</v>
      </c>
      <c r="E161">
        <v>0.49389290000000002</v>
      </c>
      <c r="F161" t="s">
        <v>43</v>
      </c>
      <c r="G161">
        <v>-433.76940000000002</v>
      </c>
      <c r="H161">
        <v>-0.05</v>
      </c>
      <c r="I161">
        <v>368.44880000000001</v>
      </c>
      <c r="J161">
        <v>-449.83909999999997</v>
      </c>
      <c r="K161">
        <v>1.1196219999999999</v>
      </c>
      <c r="L161">
        <v>368.0829</v>
      </c>
      <c r="M161">
        <v>0.99954299999999996</v>
      </c>
      <c r="N161">
        <v>-5.303632E-3</v>
      </c>
      <c r="O161">
        <v>2.9765360000000001E-2</v>
      </c>
      <c r="P161">
        <v>0.99763389999999996</v>
      </c>
      <c r="Q161">
        <v>-6.8590509999999993E-2</v>
      </c>
      <c r="R161">
        <v>4.7326369999999996E-3</v>
      </c>
      <c r="S161">
        <v>2.9919739999999999</v>
      </c>
      <c r="T161">
        <v>-0.21481220000000001</v>
      </c>
      <c r="U161">
        <v>6.8328860000000005E-2</v>
      </c>
      <c r="V161">
        <v>2.4926170000000001E-2</v>
      </c>
      <c r="W161">
        <v>-6.3315259999999998E-2</v>
      </c>
      <c r="X161">
        <v>0.99768230000000002</v>
      </c>
      <c r="Y161">
        <v>6.8521210000000001E-3</v>
      </c>
      <c r="Z161">
        <v>-2.239736E-3</v>
      </c>
      <c r="AA161">
        <v>0.99997400000000003</v>
      </c>
      <c r="AB161">
        <v>21</v>
      </c>
      <c r="AC161">
        <v>16.069699999999902</v>
      </c>
      <c r="AD161">
        <v>-1.1696219999999999</v>
      </c>
      <c r="AE161">
        <v>0.36590000000001</v>
      </c>
      <c r="AF161">
        <v>0.111996189117946</v>
      </c>
      <c r="AG161">
        <v>-1.1696219999999999</v>
      </c>
      <c r="AH161">
        <v>15.9888130972125</v>
      </c>
      <c r="AI161">
        <v>94.183776060739902</v>
      </c>
      <c r="AJ161">
        <v>89.598669146171304</v>
      </c>
      <c r="AK161">
        <v>16.031927614197102</v>
      </c>
      <c r="AL161">
        <v>93.630125162508406</v>
      </c>
      <c r="AM161">
        <v>88.568815647673006</v>
      </c>
      <c r="AN161">
        <v>1.0000000539165099</v>
      </c>
    </row>
    <row r="162" spans="1:40" x14ac:dyDescent="0.25">
      <c r="A162" t="str">
        <f>"20190303154734593"</f>
        <v>20190303154734593</v>
      </c>
      <c r="B162" t="str">
        <f>"1551599254580625"</f>
        <v>1551599254580625</v>
      </c>
      <c r="C162" t="s">
        <v>40</v>
      </c>
      <c r="D162">
        <v>5.032807</v>
      </c>
      <c r="E162">
        <v>0.49420259999999999</v>
      </c>
      <c r="F162" t="s">
        <v>43</v>
      </c>
      <c r="G162">
        <v>-433.26179999999999</v>
      </c>
      <c r="H162">
        <v>-0.05</v>
      </c>
      <c r="I162">
        <v>368.43119999999999</v>
      </c>
      <c r="J162">
        <v>-449.63040000000001</v>
      </c>
      <c r="K162">
        <v>1.1195870000000001</v>
      </c>
      <c r="L162">
        <v>368.08870000000002</v>
      </c>
      <c r="M162">
        <v>0.99955720000000003</v>
      </c>
      <c r="N162">
        <v>-4.9572610000000001E-3</v>
      </c>
      <c r="O162">
        <v>2.9342569999999998E-2</v>
      </c>
      <c r="P162">
        <v>0.99766220000000005</v>
      </c>
      <c r="Q162">
        <v>-6.8199490000000001E-2</v>
      </c>
      <c r="R162">
        <v>4.3502659999999898E-3</v>
      </c>
      <c r="S162">
        <v>2.9923099999999998</v>
      </c>
      <c r="T162">
        <v>-0.21112429999999999</v>
      </c>
      <c r="U162">
        <v>6.2866210000000006E-2</v>
      </c>
      <c r="V162">
        <v>2.4886760000000001E-2</v>
      </c>
      <c r="W162">
        <v>-6.3269919999999993E-2</v>
      </c>
      <c r="X162">
        <v>0.99768610000000002</v>
      </c>
      <c r="Y162">
        <v>8.2559139999999996E-3</v>
      </c>
      <c r="Z162">
        <v>-2.2331510000000001E-3</v>
      </c>
      <c r="AA162">
        <v>0.99996339999999995</v>
      </c>
      <c r="AB162">
        <v>21</v>
      </c>
      <c r="AC162">
        <v>16.368600000000001</v>
      </c>
      <c r="AD162">
        <v>-1.1695869999999999</v>
      </c>
      <c r="AE162">
        <v>0.34249999999997199</v>
      </c>
      <c r="AF162">
        <v>0.13724970680689799</v>
      </c>
      <c r="AG162">
        <v>-1.1695869999999999</v>
      </c>
      <c r="AH162">
        <v>16.288476558379202</v>
      </c>
      <c r="AI162">
        <v>94.106904493412003</v>
      </c>
      <c r="AJ162">
        <v>89.517226622941607</v>
      </c>
      <c r="AK162">
        <v>16.3309901667185</v>
      </c>
      <c r="AL162">
        <v>93.627522371131903</v>
      </c>
      <c r="AM162">
        <v>88.571082950539505</v>
      </c>
      <c r="AN162">
        <v>0.99999999386665595</v>
      </c>
    </row>
    <row r="163" spans="1:40" x14ac:dyDescent="0.25">
      <c r="A163" t="str">
        <f>"20190303154734619"</f>
        <v>20190303154734619</v>
      </c>
      <c r="B163" t="str">
        <f>"1551599254610879"</f>
        <v>1551599254610879</v>
      </c>
      <c r="C163" t="s">
        <v>40</v>
      </c>
      <c r="D163">
        <v>5.0464409999999997</v>
      </c>
      <c r="E163">
        <v>0.49465900000000002</v>
      </c>
      <c r="F163" t="s">
        <v>43</v>
      </c>
      <c r="G163">
        <v>-432.8768</v>
      </c>
      <c r="H163">
        <v>-0.05</v>
      </c>
      <c r="I163">
        <v>368.42020000000002</v>
      </c>
      <c r="J163">
        <v>-449.38029999999998</v>
      </c>
      <c r="K163">
        <v>1.119553</v>
      </c>
      <c r="L163">
        <v>368.09550000000002</v>
      </c>
      <c r="M163">
        <v>0.99957370000000001</v>
      </c>
      <c r="N163">
        <v>-4.5954589999999997E-3</v>
      </c>
      <c r="O163">
        <v>2.883672E-2</v>
      </c>
      <c r="P163">
        <v>0.99770669999999995</v>
      </c>
      <c r="Q163">
        <v>-6.7570399999999906E-2</v>
      </c>
      <c r="R163">
        <v>3.958006E-3</v>
      </c>
      <c r="S163">
        <v>2.9925229999999998</v>
      </c>
      <c r="T163">
        <v>-0.20891180000000001</v>
      </c>
      <c r="U163">
        <v>5.9204100000000003E-2</v>
      </c>
      <c r="V163">
        <v>2.477474E-2</v>
      </c>
      <c r="W163">
        <v>-6.300182E-2</v>
      </c>
      <c r="X163">
        <v>0.99770590000000003</v>
      </c>
      <c r="Y163">
        <v>8.9749949999999995E-3</v>
      </c>
      <c r="Z163">
        <v>-2.2112709999999999E-3</v>
      </c>
      <c r="AA163">
        <v>0.99995730000000005</v>
      </c>
      <c r="AB163">
        <v>21</v>
      </c>
      <c r="AC163">
        <v>16.503499999999899</v>
      </c>
      <c r="AD163">
        <v>-1.1695530000000001</v>
      </c>
      <c r="AE163">
        <v>0.32470000000000698</v>
      </c>
      <c r="AF163">
        <v>0.150590813259078</v>
      </c>
      <c r="AG163">
        <v>-1.1695530000000001</v>
      </c>
      <c r="AH163">
        <v>16.423550770597501</v>
      </c>
      <c r="AI163">
        <v>94.073097192795103</v>
      </c>
      <c r="AJ163">
        <v>89.474658290260393</v>
      </c>
      <c r="AK163">
        <v>16.465829822005301</v>
      </c>
      <c r="AL163">
        <v>93.612130498350098</v>
      </c>
      <c r="AM163">
        <v>88.577540345442898</v>
      </c>
      <c r="AN163">
        <v>1.0000000399800899</v>
      </c>
    </row>
    <row r="164" spans="1:40" x14ac:dyDescent="0.25">
      <c r="A164" t="str">
        <f>"20190303154734640"</f>
        <v>20190303154734640</v>
      </c>
      <c r="B164" t="str">
        <f>"1551599254631375"</f>
        <v>1551599254631375</v>
      </c>
      <c r="C164" t="s">
        <v>40</v>
      </c>
      <c r="D164">
        <v>5.0928529999999999</v>
      </c>
      <c r="E164">
        <v>0.4949556</v>
      </c>
      <c r="F164" t="s">
        <v>43</v>
      </c>
      <c r="G164">
        <v>-432.34199999999998</v>
      </c>
      <c r="H164">
        <v>-0.05</v>
      </c>
      <c r="I164">
        <v>368.40629999999999</v>
      </c>
      <c r="J164">
        <v>-449.18259999999998</v>
      </c>
      <c r="K164">
        <v>1.119524</v>
      </c>
      <c r="L164">
        <v>368.10070000000002</v>
      </c>
      <c r="M164">
        <v>0.99958619999999998</v>
      </c>
      <c r="N164">
        <v>-4.3519040000000002E-3</v>
      </c>
      <c r="O164">
        <v>2.843685E-2</v>
      </c>
      <c r="P164">
        <v>0.99773279999999998</v>
      </c>
      <c r="Q164">
        <v>-6.7213159999999994E-2</v>
      </c>
      <c r="R164">
        <v>3.4519960000000001E-3</v>
      </c>
      <c r="S164">
        <v>2.992737</v>
      </c>
      <c r="T164">
        <v>-0.2054291</v>
      </c>
      <c r="U164">
        <v>5.4595949999999997E-2</v>
      </c>
      <c r="V164">
        <v>2.4881710000000001E-2</v>
      </c>
      <c r="W164">
        <v>-6.2887769999999996E-2</v>
      </c>
      <c r="X164">
        <v>0.9977104</v>
      </c>
      <c r="Y164">
        <v>1.011602E-2</v>
      </c>
      <c r="Z164">
        <v>-2.1943689999999998E-3</v>
      </c>
      <c r="AA164">
        <v>0.99994640000000001</v>
      </c>
      <c r="AB164">
        <v>21</v>
      </c>
      <c r="AC164">
        <v>16.840599999999899</v>
      </c>
      <c r="AD164">
        <v>-1.169524</v>
      </c>
      <c r="AE164">
        <v>0.30559999999996901</v>
      </c>
      <c r="AF164">
        <v>0.17258960272829499</v>
      </c>
      <c r="AG164">
        <v>-1.169524</v>
      </c>
      <c r="AH164">
        <v>16.761667479925499</v>
      </c>
      <c r="AI164">
        <v>93.991060548935494</v>
      </c>
      <c r="AJ164">
        <v>89.410064279851596</v>
      </c>
      <c r="AK164">
        <v>16.803305337496401</v>
      </c>
      <c r="AL164">
        <v>93.6055830513926</v>
      </c>
      <c r="AM164">
        <v>88.571407565873997</v>
      </c>
      <c r="AN164">
        <v>1.0000000066881201</v>
      </c>
    </row>
    <row r="165" spans="1:40" x14ac:dyDescent="0.25">
      <c r="A165" t="str">
        <f>"20190303154734659"</f>
        <v>20190303154734659</v>
      </c>
      <c r="B165" t="str">
        <f>"1551599254650899"</f>
        <v>1551599254650899</v>
      </c>
      <c r="C165" t="s">
        <v>40</v>
      </c>
      <c r="D165">
        <v>5.091634</v>
      </c>
      <c r="E165">
        <v>0.49523339999999999</v>
      </c>
      <c r="F165" t="s">
        <v>43</v>
      </c>
      <c r="G165">
        <v>-431.96839999999997</v>
      </c>
      <c r="H165">
        <v>-0.05</v>
      </c>
      <c r="I165">
        <v>368.39229999999998</v>
      </c>
      <c r="J165">
        <v>-448.98630000000003</v>
      </c>
      <c r="K165">
        <v>1.1195029999999999</v>
      </c>
      <c r="L165">
        <v>368.10590000000002</v>
      </c>
      <c r="M165">
        <v>0.99959819999999999</v>
      </c>
      <c r="N165">
        <v>-4.1418380000000001E-3</v>
      </c>
      <c r="O165">
        <v>2.8040039999999999E-2</v>
      </c>
      <c r="P165">
        <v>0.99777199999999999</v>
      </c>
      <c r="Q165">
        <v>-6.6643220000000003E-2</v>
      </c>
      <c r="R165">
        <v>3.1487469999999999E-3</v>
      </c>
      <c r="S165">
        <v>2.99295</v>
      </c>
      <c r="T165">
        <v>-0.20333889999999999</v>
      </c>
      <c r="U165">
        <v>5.0689699999999997E-2</v>
      </c>
      <c r="V165">
        <v>2.4789720000000001E-2</v>
      </c>
      <c r="W165">
        <v>-6.2527390000000002E-2</v>
      </c>
      <c r="X165">
        <v>0.99773529999999999</v>
      </c>
      <c r="Y165">
        <v>1.102506E-2</v>
      </c>
      <c r="Z165">
        <v>-2.1832890000000001E-3</v>
      </c>
      <c r="AA165">
        <v>0.99993679999999996</v>
      </c>
      <c r="AB165">
        <v>21</v>
      </c>
      <c r="AC165">
        <v>17.017900000000001</v>
      </c>
      <c r="AD165">
        <v>-1.169503</v>
      </c>
      <c r="AE165">
        <v>0.28639999999995702</v>
      </c>
      <c r="AF165">
        <v>0.19000224315359801</v>
      </c>
      <c r="AG165">
        <v>-1.169503</v>
      </c>
      <c r="AH165">
        <v>16.939262720479199</v>
      </c>
      <c r="AI165">
        <v>93.949240790969796</v>
      </c>
      <c r="AJ165">
        <v>89.357358682334905</v>
      </c>
      <c r="AK165">
        <v>16.980649564514</v>
      </c>
      <c r="AL165">
        <v>93.584894224536498</v>
      </c>
      <c r="AM165">
        <v>88.576722534898906</v>
      </c>
      <c r="AN165">
        <v>0.99999996679198899</v>
      </c>
    </row>
    <row r="166" spans="1:40" x14ac:dyDescent="0.25">
      <c r="A166" t="str">
        <f>"20190303154734682"</f>
        <v>20190303154734682</v>
      </c>
      <c r="B166" t="str">
        <f>"1551599254671391"</f>
        <v>1551599254671391</v>
      </c>
      <c r="C166" t="s">
        <v>40</v>
      </c>
      <c r="D166">
        <v>5.0801470000000002</v>
      </c>
      <c r="E166">
        <v>0.49546859999999998</v>
      </c>
      <c r="F166" t="s">
        <v>43</v>
      </c>
      <c r="G166">
        <v>-431.53719999999998</v>
      </c>
      <c r="H166">
        <v>-0.05</v>
      </c>
      <c r="I166">
        <v>368.3843</v>
      </c>
      <c r="J166">
        <v>-448.7715</v>
      </c>
      <c r="K166">
        <v>1.119483</v>
      </c>
      <c r="L166">
        <v>368.1114</v>
      </c>
      <c r="M166">
        <v>0.99961109999999997</v>
      </c>
      <c r="N166">
        <v>-3.944782E-3</v>
      </c>
      <c r="O166">
        <v>2.7605500000000002E-2</v>
      </c>
      <c r="P166">
        <v>0.99779530000000005</v>
      </c>
      <c r="Q166">
        <v>-6.6315799999999994E-2</v>
      </c>
      <c r="R166">
        <v>2.6175170000000002E-3</v>
      </c>
      <c r="S166">
        <v>2.9932249999999998</v>
      </c>
      <c r="T166">
        <v>-0.2006173</v>
      </c>
      <c r="U166">
        <v>4.7760009999999999E-2</v>
      </c>
      <c r="V166">
        <v>2.4887240000000001E-2</v>
      </c>
      <c r="W166">
        <v>-6.2396779999999999E-2</v>
      </c>
      <c r="X166">
        <v>0.99774110000000005</v>
      </c>
      <c r="Y166">
        <v>1.1571970000000001E-2</v>
      </c>
      <c r="Z166">
        <v>-2.1491570000000001E-3</v>
      </c>
      <c r="AA166">
        <v>0.99993069999999895</v>
      </c>
      <c r="AB166">
        <v>22</v>
      </c>
      <c r="AC166">
        <v>17.234300000000001</v>
      </c>
      <c r="AD166">
        <v>-1.1694830000000001</v>
      </c>
      <c r="AE166">
        <v>0.27289999999999198</v>
      </c>
      <c r="AF166">
        <v>0.202039086682168</v>
      </c>
      <c r="AG166">
        <v>-1.1694830000000001</v>
      </c>
      <c r="AH166">
        <v>17.156285830526201</v>
      </c>
      <c r="AI166">
        <v>93.8993474070178</v>
      </c>
      <c r="AJ166">
        <v>89.325293831642099</v>
      </c>
      <c r="AK166">
        <v>17.197286232965698</v>
      </c>
      <c r="AL166">
        <v>93.577395998840501</v>
      </c>
      <c r="AM166">
        <v>88.571134139152804</v>
      </c>
      <c r="AN166">
        <v>1.0000000177491899</v>
      </c>
    </row>
    <row r="167" spans="1:40" x14ac:dyDescent="0.25">
      <c r="A167" t="str">
        <f>"20190303154734703"</f>
        <v>20190303154734703</v>
      </c>
      <c r="B167" t="str">
        <f>"1551599254700671"</f>
        <v>1551599254700671</v>
      </c>
      <c r="C167" t="s">
        <v>40</v>
      </c>
      <c r="D167">
        <v>5.124358</v>
      </c>
      <c r="E167">
        <v>0.49585099999999999</v>
      </c>
      <c r="F167" t="s">
        <v>43</v>
      </c>
      <c r="G167">
        <v>-431.16820000000001</v>
      </c>
      <c r="H167">
        <v>-0.05</v>
      </c>
      <c r="I167">
        <v>368.37020000000001</v>
      </c>
      <c r="J167">
        <v>-448.55329999999998</v>
      </c>
      <c r="K167">
        <v>1.119469</v>
      </c>
      <c r="L167">
        <v>368.11700000000002</v>
      </c>
      <c r="M167">
        <v>0.99962379999999995</v>
      </c>
      <c r="N167">
        <v>-3.776583E-3</v>
      </c>
      <c r="O167">
        <v>2.716491E-2</v>
      </c>
      <c r="P167">
        <v>0.99780670000000005</v>
      </c>
      <c r="Q167">
        <v>-6.6160010000000005E-2</v>
      </c>
      <c r="R167">
        <v>2.1685860000000001E-3</v>
      </c>
      <c r="S167">
        <v>2.9933169999999998</v>
      </c>
      <c r="T167">
        <v>-0.1988616</v>
      </c>
      <c r="U167">
        <v>4.400635E-2</v>
      </c>
      <c r="V167">
        <v>2.4896140000000001E-2</v>
      </c>
      <c r="W167">
        <v>-6.2409010000000001E-2</v>
      </c>
      <c r="X167">
        <v>0.99774010000000002</v>
      </c>
      <c r="Y167">
        <v>1.238556E-2</v>
      </c>
      <c r="Z167">
        <v>-2.1342330000000001E-3</v>
      </c>
      <c r="AA167">
        <v>0.99992099999999995</v>
      </c>
      <c r="AB167">
        <v>22</v>
      </c>
      <c r="AC167">
        <v>17.385099999999898</v>
      </c>
      <c r="AD167">
        <v>-1.1694690000000001</v>
      </c>
      <c r="AE167">
        <v>0.253200000000049</v>
      </c>
      <c r="AF167">
        <v>0.21817446035417001</v>
      </c>
      <c r="AG167">
        <v>-1.1694690000000001</v>
      </c>
      <c r="AH167">
        <v>17.307262855184</v>
      </c>
      <c r="AI167">
        <v>93.865350569509005</v>
      </c>
      <c r="AJ167">
        <v>89.277770621869095</v>
      </c>
      <c r="AK167">
        <v>17.348100915533799</v>
      </c>
      <c r="AL167">
        <v>93.578098141205103</v>
      </c>
      <c r="AM167">
        <v>88.5706219381062</v>
      </c>
      <c r="AN167">
        <v>1.0000000047320401</v>
      </c>
    </row>
    <row r="168" spans="1:40" x14ac:dyDescent="0.25">
      <c r="A168" t="str">
        <f>"20190303154734728"</f>
        <v>20190303154734728</v>
      </c>
      <c r="B168" t="str">
        <f>"1551599254721168"</f>
        <v>1551599254721168</v>
      </c>
      <c r="C168" t="s">
        <v>40</v>
      </c>
      <c r="D168">
        <v>5.0906539999999998</v>
      </c>
      <c r="E168">
        <v>0.49603570000000002</v>
      </c>
      <c r="F168" t="s">
        <v>43</v>
      </c>
      <c r="G168">
        <v>-430.7824</v>
      </c>
      <c r="H168">
        <v>-0.05</v>
      </c>
      <c r="I168">
        <v>368.35140000000001</v>
      </c>
      <c r="J168">
        <v>-448.31119999999999</v>
      </c>
      <c r="K168">
        <v>1.1194519999999999</v>
      </c>
      <c r="L168">
        <v>368.12299999999999</v>
      </c>
      <c r="M168">
        <v>0.99963769999999996</v>
      </c>
      <c r="N168">
        <v>-3.620982E-3</v>
      </c>
      <c r="O168">
        <v>2.6675170000000002E-2</v>
      </c>
      <c r="P168">
        <v>0.99782479999999996</v>
      </c>
      <c r="Q168">
        <v>-6.5910189999999994E-2</v>
      </c>
      <c r="R168">
        <v>1.4663759999999999E-3</v>
      </c>
      <c r="S168">
        <v>2.9934690000000002</v>
      </c>
      <c r="T168">
        <v>-0.1969948</v>
      </c>
      <c r="U168">
        <v>3.9489749999999997E-2</v>
      </c>
      <c r="V168">
        <v>2.5109260000000001E-2</v>
      </c>
      <c r="W168">
        <v>-6.231478E-2</v>
      </c>
      <c r="X168">
        <v>0.99774059999999998</v>
      </c>
      <c r="Y168">
        <v>1.340481E-2</v>
      </c>
      <c r="Z168">
        <v>-2.121614E-3</v>
      </c>
      <c r="AA168">
        <v>0.99990789999999996</v>
      </c>
      <c r="AB168">
        <v>22</v>
      </c>
      <c r="AC168">
        <v>17.528799999999901</v>
      </c>
      <c r="AD168">
        <v>-1.1694519999999999</v>
      </c>
      <c r="AE168">
        <v>0.22839999999996499</v>
      </c>
      <c r="AF168">
        <v>0.23820792257930201</v>
      </c>
      <c r="AG168">
        <v>-1.1694519999999999</v>
      </c>
      <c r="AH168">
        <v>17.450993327152201</v>
      </c>
      <c r="AI168">
        <v>93.833502014944798</v>
      </c>
      <c r="AJ168">
        <v>89.217955059996399</v>
      </c>
      <c r="AK168">
        <v>17.491756032457001</v>
      </c>
      <c r="AL168">
        <v>93.572688805857098</v>
      </c>
      <c r="AM168">
        <v>88.558391806501206</v>
      </c>
      <c r="AN168">
        <v>0.99999995581627699</v>
      </c>
    </row>
    <row r="169" spans="1:40" x14ac:dyDescent="0.25">
      <c r="A169" t="str">
        <f>"20190303154734748"</f>
        <v>20190303154734748</v>
      </c>
      <c r="B169" t="str">
        <f>"1551599254740688"</f>
        <v>1551599254740688</v>
      </c>
      <c r="C169" t="s">
        <v>40</v>
      </c>
      <c r="D169">
        <v>5.108873</v>
      </c>
      <c r="E169">
        <v>0.49598409999999898</v>
      </c>
      <c r="F169" t="s">
        <v>43</v>
      </c>
      <c r="G169">
        <v>-430.41320000000002</v>
      </c>
      <c r="H169">
        <v>-0.05</v>
      </c>
      <c r="I169">
        <v>368.33870000000002</v>
      </c>
      <c r="J169">
        <v>-448.10910000000001</v>
      </c>
      <c r="K169">
        <v>1.1194379999999999</v>
      </c>
      <c r="L169">
        <v>368.12799999999999</v>
      </c>
      <c r="M169">
        <v>0.99964869999999995</v>
      </c>
      <c r="N169">
        <v>-3.5130880000000001E-3</v>
      </c>
      <c r="O169">
        <v>2.626734E-2</v>
      </c>
      <c r="P169">
        <v>0.99784059999999997</v>
      </c>
      <c r="Q169">
        <v>-6.5675010000000006E-2</v>
      </c>
      <c r="R169">
        <v>9.1236210000000004E-4</v>
      </c>
      <c r="S169">
        <v>2.9935299999999998</v>
      </c>
      <c r="T169">
        <v>-0.1955973</v>
      </c>
      <c r="U169">
        <v>3.6071779999999998E-2</v>
      </c>
      <c r="V169">
        <v>2.5256230000000001E-2</v>
      </c>
      <c r="W169">
        <v>-6.2187529999999998E-2</v>
      </c>
      <c r="X169">
        <v>0.99774490000000005</v>
      </c>
      <c r="Y169">
        <v>1.413882E-2</v>
      </c>
      <c r="Z169">
        <v>-2.1082779999999999E-3</v>
      </c>
      <c r="AA169">
        <v>0.99989779999999995</v>
      </c>
      <c r="AB169">
        <v>22</v>
      </c>
      <c r="AC169">
        <v>17.695899999999899</v>
      </c>
      <c r="AD169">
        <v>-1.169438</v>
      </c>
      <c r="AE169">
        <v>0.21069999999997399</v>
      </c>
      <c r="AF169">
        <v>0.2530946564039</v>
      </c>
      <c r="AG169">
        <v>-1.169438</v>
      </c>
      <c r="AH169">
        <v>17.618395370930799</v>
      </c>
      <c r="AI169">
        <v>93.797101627603695</v>
      </c>
      <c r="AJ169">
        <v>89.176981902342604</v>
      </c>
      <c r="AK169">
        <v>17.658977818304699</v>
      </c>
      <c r="AL169">
        <v>93.565383499852402</v>
      </c>
      <c r="AM169">
        <v>88.549963596595703</v>
      </c>
      <c r="AN169">
        <v>1.0000000257586601</v>
      </c>
    </row>
    <row r="170" spans="1:40" x14ac:dyDescent="0.25">
      <c r="A170" t="str">
        <f>"20190303154734771"</f>
        <v>20190303154734771</v>
      </c>
      <c r="B170" t="str">
        <f>"1551599254760464"</f>
        <v>1551599254760464</v>
      </c>
      <c r="C170" t="s">
        <v>40</v>
      </c>
      <c r="D170">
        <v>5.0888660000000003</v>
      </c>
      <c r="E170">
        <v>0.49588949999999998</v>
      </c>
      <c r="F170" t="s">
        <v>43</v>
      </c>
      <c r="G170">
        <v>-430.09640000000002</v>
      </c>
      <c r="H170">
        <v>-0.05</v>
      </c>
      <c r="I170">
        <v>368.3374</v>
      </c>
      <c r="J170">
        <v>-447.87860000000001</v>
      </c>
      <c r="K170">
        <v>1.1194200000000001</v>
      </c>
      <c r="L170">
        <v>368.13350000000003</v>
      </c>
      <c r="M170">
        <v>0.99966140000000003</v>
      </c>
      <c r="N170">
        <v>-3.4161780000000002E-3</v>
      </c>
      <c r="O170">
        <v>2.580201E-2</v>
      </c>
      <c r="P170">
        <v>0.99786280000000005</v>
      </c>
      <c r="Q170">
        <v>-6.5347669999999997E-2</v>
      </c>
      <c r="R170">
        <v>3.687521E-4</v>
      </c>
      <c r="S170">
        <v>2.9936829999999999</v>
      </c>
      <c r="T170">
        <v>-0.1943597</v>
      </c>
      <c r="U170">
        <v>3.482056E-2</v>
      </c>
      <c r="V170">
        <v>2.533529E-2</v>
      </c>
      <c r="W170">
        <v>-6.1957079999999998E-2</v>
      </c>
      <c r="X170">
        <v>0.99775720000000001</v>
      </c>
      <c r="Y170">
        <v>1.409377E-2</v>
      </c>
      <c r="Z170">
        <v>-2.0661770000000002E-3</v>
      </c>
      <c r="AA170">
        <v>0.99989859999999997</v>
      </c>
      <c r="AB170">
        <v>22</v>
      </c>
      <c r="AC170">
        <v>17.7821999999999</v>
      </c>
      <c r="AD170">
        <v>-1.1694199999999999</v>
      </c>
      <c r="AE170">
        <v>0.20389999999997599</v>
      </c>
      <c r="AF170">
        <v>0.253889103331564</v>
      </c>
      <c r="AG170">
        <v>-1.1694199999999999</v>
      </c>
      <c r="AH170">
        <v>17.704979673680398</v>
      </c>
      <c r="AI170">
        <v>93.778529616662794</v>
      </c>
      <c r="AJ170">
        <v>89.178435820474405</v>
      </c>
      <c r="AK170">
        <v>17.7453742721484</v>
      </c>
      <c r="AL170">
        <v>93.552154292110998</v>
      </c>
      <c r="AM170">
        <v>88.545444394121603</v>
      </c>
      <c r="AN170">
        <v>0.999999993416675</v>
      </c>
    </row>
    <row r="171" spans="1:40" x14ac:dyDescent="0.25">
      <c r="A171" t="str">
        <f>"20190303154734793"</f>
        <v>20190303154734793</v>
      </c>
      <c r="B171" t="str">
        <f>"1551599254790721"</f>
        <v>1551599254790721</v>
      </c>
      <c r="C171" t="s">
        <v>40</v>
      </c>
      <c r="D171">
        <v>5.1344969999999996</v>
      </c>
      <c r="E171">
        <v>0.49571340000000003</v>
      </c>
      <c r="F171" t="s">
        <v>43</v>
      </c>
      <c r="G171">
        <v>-429.72250000000003</v>
      </c>
      <c r="H171">
        <v>-0.05</v>
      </c>
      <c r="I171">
        <v>368.33949999999999</v>
      </c>
      <c r="J171">
        <v>-447.64620000000002</v>
      </c>
      <c r="K171">
        <v>1.1194109999999999</v>
      </c>
      <c r="L171">
        <v>368.13889999999998</v>
      </c>
      <c r="M171">
        <v>0.99967360000000005</v>
      </c>
      <c r="N171">
        <v>-3.345163E-3</v>
      </c>
      <c r="O171">
        <v>2.5333830000000002E-2</v>
      </c>
      <c r="P171">
        <v>0.99785699999999999</v>
      </c>
      <c r="Q171">
        <v>-6.5430890000000005E-2</v>
      </c>
      <c r="R171">
        <v>-5.8299980000000001E-4</v>
      </c>
      <c r="S171">
        <v>2.9937740000000002</v>
      </c>
      <c r="T171">
        <v>-0.19282630000000001</v>
      </c>
      <c r="U171">
        <v>3.3966059999999999E-2</v>
      </c>
      <c r="V171">
        <v>2.5818850000000001E-2</v>
      </c>
      <c r="W171">
        <v>-6.2111819999999998E-2</v>
      </c>
      <c r="X171">
        <v>0.99773520000000004</v>
      </c>
      <c r="Y171">
        <v>1.391365E-2</v>
      </c>
      <c r="Z171">
        <v>-2.0160310000000002E-3</v>
      </c>
      <c r="AA171">
        <v>0.99990120000000005</v>
      </c>
      <c r="AB171">
        <v>23</v>
      </c>
      <c r="AC171">
        <v>17.923699999999901</v>
      </c>
      <c r="AD171">
        <v>-1.169411</v>
      </c>
      <c r="AE171">
        <v>0.20060000000000799</v>
      </c>
      <c r="AF171">
        <v>0.25246826338080203</v>
      </c>
      <c r="AG171">
        <v>-1.169411</v>
      </c>
      <c r="AH171">
        <v>17.847068121412502</v>
      </c>
      <c r="AI171">
        <v>93.748514720442799</v>
      </c>
      <c r="AJ171">
        <v>89.1895362836337</v>
      </c>
      <c r="AK171">
        <v>17.887121144590999</v>
      </c>
      <c r="AL171">
        <v>93.561037289737797</v>
      </c>
      <c r="AM171">
        <v>88.517661734154501</v>
      </c>
      <c r="AN171">
        <v>1.0000000102590301</v>
      </c>
    </row>
    <row r="172" spans="1:40" x14ac:dyDescent="0.25">
      <c r="A172" t="str">
        <f>"20190303154734809"</f>
        <v>20190303154734809</v>
      </c>
      <c r="B172" t="str">
        <f>"1551599254800480"</f>
        <v>1551599254800480</v>
      </c>
      <c r="C172" t="s">
        <v>40</v>
      </c>
      <c r="D172">
        <v>5.1368039999999997</v>
      </c>
      <c r="E172">
        <v>0.49562580000000001</v>
      </c>
      <c r="F172" t="s">
        <v>43</v>
      </c>
      <c r="G172">
        <v>-429.53969999999998</v>
      </c>
      <c r="H172">
        <v>-0.05</v>
      </c>
      <c r="I172">
        <v>368.33609999999999</v>
      </c>
      <c r="J172">
        <v>-447.49540000000002</v>
      </c>
      <c r="K172">
        <v>1.1194040000000001</v>
      </c>
      <c r="L172">
        <v>368.14249999999998</v>
      </c>
      <c r="M172">
        <v>0.99968120000000005</v>
      </c>
      <c r="N172">
        <v>-3.312639E-3</v>
      </c>
      <c r="O172">
        <v>2.5030139999999999E-2</v>
      </c>
      <c r="P172">
        <v>0.99788069999999895</v>
      </c>
      <c r="Q172">
        <v>-6.5066470000000001E-2</v>
      </c>
      <c r="R172">
        <v>-7.3286929999999905E-4</v>
      </c>
      <c r="S172">
        <v>2.993744</v>
      </c>
      <c r="T172">
        <v>-0.19335189999999999</v>
      </c>
      <c r="U172">
        <v>3.259277E-2</v>
      </c>
      <c r="V172">
        <v>2.566597E-2</v>
      </c>
      <c r="W172">
        <v>-6.1779830000000001E-2</v>
      </c>
      <c r="X172">
        <v>0.99775979999999997</v>
      </c>
      <c r="Y172">
        <v>1.406816E-2</v>
      </c>
      <c r="Z172">
        <v>-2.0089660000000001E-3</v>
      </c>
      <c r="AA172">
        <v>0.99989899999999998</v>
      </c>
      <c r="AB172">
        <v>23</v>
      </c>
      <c r="AC172">
        <v>17.9557</v>
      </c>
      <c r="AD172">
        <v>-1.1694040000000001</v>
      </c>
      <c r="AE172">
        <v>0.19360000000000299</v>
      </c>
      <c r="AF172">
        <v>0.25481612131218401</v>
      </c>
      <c r="AG172">
        <v>-1.1694040000000001</v>
      </c>
      <c r="AH172">
        <v>17.879093989908199</v>
      </c>
      <c r="AI172">
        <v>93.741791349961304</v>
      </c>
      <c r="AJ172">
        <v>89.183465342313994</v>
      </c>
      <c r="AK172">
        <v>17.919108205233499</v>
      </c>
      <c r="AL172">
        <v>93.541978907970204</v>
      </c>
      <c r="AM172">
        <v>88.526471470925699</v>
      </c>
      <c r="AN172">
        <v>1.0000000539534499</v>
      </c>
    </row>
    <row r="173" spans="1:40" x14ac:dyDescent="0.25">
      <c r="A173" t="str">
        <f>"20190303154734832"</f>
        <v>20190303154734832</v>
      </c>
      <c r="B173" t="str">
        <f>"1551599254820976"</f>
        <v>1551599254820976</v>
      </c>
      <c r="C173" t="s">
        <v>40</v>
      </c>
      <c r="D173">
        <v>5.1686120000000004</v>
      </c>
      <c r="E173">
        <v>0.49548449999999999</v>
      </c>
      <c r="F173" t="s">
        <v>43</v>
      </c>
      <c r="G173">
        <v>-429.3141</v>
      </c>
      <c r="H173">
        <v>-0.05</v>
      </c>
      <c r="I173">
        <v>368.34059999999999</v>
      </c>
      <c r="J173">
        <v>-447.25689999999997</v>
      </c>
      <c r="K173">
        <v>1.1194</v>
      </c>
      <c r="L173">
        <v>368.14789999999999</v>
      </c>
      <c r="M173">
        <v>0.99969330000000001</v>
      </c>
      <c r="N173">
        <v>-3.2798150000000002E-3</v>
      </c>
      <c r="O173">
        <v>2.4550369999999998E-2</v>
      </c>
      <c r="P173">
        <v>0.99788239999999995</v>
      </c>
      <c r="Q173">
        <v>-6.5033439999999998E-2</v>
      </c>
      <c r="R173">
        <v>-1.188993E-3</v>
      </c>
      <c r="S173">
        <v>2.993805</v>
      </c>
      <c r="T173">
        <v>-0.19255939999999999</v>
      </c>
      <c r="U173">
        <v>3.2623289999999999E-2</v>
      </c>
      <c r="V173">
        <v>2.5642729999999999E-2</v>
      </c>
      <c r="W173">
        <v>-6.1779779999999999E-2</v>
      </c>
      <c r="X173">
        <v>0.99776039999999999</v>
      </c>
      <c r="Y173">
        <v>1.358087E-2</v>
      </c>
      <c r="Z173">
        <v>-1.9553539999999999E-3</v>
      </c>
      <c r="AA173">
        <v>0.99990590000000001</v>
      </c>
      <c r="AB173">
        <v>23</v>
      </c>
      <c r="AC173">
        <v>17.942799999999899</v>
      </c>
      <c r="AD173">
        <v>-1.1694</v>
      </c>
      <c r="AE173">
        <v>0.19270000000000201</v>
      </c>
      <c r="AF173">
        <v>0.24681453809875001</v>
      </c>
      <c r="AG173">
        <v>-1.1694</v>
      </c>
      <c r="AH173">
        <v>17.8662424884266</v>
      </c>
      <c r="AI173">
        <v>93.744485385187602</v>
      </c>
      <c r="AJ173">
        <v>89.208533530625701</v>
      </c>
      <c r="AK173">
        <v>17.906173081691001</v>
      </c>
      <c r="AL173">
        <v>93.541976039968503</v>
      </c>
      <c r="AM173">
        <v>88.527806017706297</v>
      </c>
      <c r="AN173">
        <v>1.0000000533134199</v>
      </c>
    </row>
    <row r="174" spans="1:40" x14ac:dyDescent="0.25">
      <c r="A174" t="str">
        <f>"20190303154734852"</f>
        <v>20190303154734852</v>
      </c>
      <c r="B174" t="str">
        <f>"1551599254840496"</f>
        <v>1551599254840496</v>
      </c>
      <c r="C174" t="s">
        <v>40</v>
      </c>
      <c r="D174">
        <v>5.1630849999999997</v>
      </c>
      <c r="E174">
        <v>0.49533670000000002</v>
      </c>
      <c r="F174" t="s">
        <v>43</v>
      </c>
      <c r="G174">
        <v>-429.11750000000001</v>
      </c>
      <c r="H174">
        <v>-0.05</v>
      </c>
      <c r="I174">
        <v>368.34500000000003</v>
      </c>
      <c r="J174">
        <v>-447.04669999999999</v>
      </c>
      <c r="K174">
        <v>1.1193959999999901</v>
      </c>
      <c r="L174">
        <v>368.15260000000001</v>
      </c>
      <c r="M174">
        <v>0.99970360000000003</v>
      </c>
      <c r="N174">
        <v>-3.2662310000000001E-3</v>
      </c>
      <c r="O174">
        <v>2.4127900000000001E-2</v>
      </c>
      <c r="P174">
        <v>0.99788279999999996</v>
      </c>
      <c r="Q174">
        <v>-6.5029980000000001E-2</v>
      </c>
      <c r="R174">
        <v>-1.151069E-3</v>
      </c>
      <c r="S174">
        <v>2.9938349999999998</v>
      </c>
      <c r="T174">
        <v>-0.1930047</v>
      </c>
      <c r="U174">
        <v>3.2531740000000003E-2</v>
      </c>
      <c r="V174">
        <v>2.5182550000000001E-2</v>
      </c>
      <c r="W174">
        <v>-6.1789719999999999E-2</v>
      </c>
      <c r="X174">
        <v>0.99777139999999997</v>
      </c>
      <c r="Y174">
        <v>1.319028E-2</v>
      </c>
      <c r="Z174">
        <v>-1.9211880000000001E-3</v>
      </c>
      <c r="AA174">
        <v>0.99991110000000005</v>
      </c>
      <c r="AB174">
        <v>23</v>
      </c>
      <c r="AC174">
        <v>17.929199999999899</v>
      </c>
      <c r="AD174">
        <v>-1.1693960000000001</v>
      </c>
      <c r="AE174">
        <v>0.19240000000002</v>
      </c>
      <c r="AF174">
        <v>0.23923464403615199</v>
      </c>
      <c r="AG174">
        <v>-1.1693960000000001</v>
      </c>
      <c r="AH174">
        <v>17.852685365214398</v>
      </c>
      <c r="AI174">
        <v>93.747329074953399</v>
      </c>
      <c r="AJ174">
        <v>89.2322547142102</v>
      </c>
      <c r="AK174">
        <v>17.892542998944101</v>
      </c>
      <c r="AL174">
        <v>93.542547021954206</v>
      </c>
      <c r="AM174">
        <v>88.554230372857802</v>
      </c>
      <c r="AN174">
        <v>0.99999994849006901</v>
      </c>
    </row>
    <row r="175" spans="1:40" x14ac:dyDescent="0.25">
      <c r="A175" t="str">
        <f>"20190303154734871"</f>
        <v>20190303154734871</v>
      </c>
      <c r="B175" t="str">
        <f>"1551599254860525"</f>
        <v>1551599254860525</v>
      </c>
      <c r="C175" t="s">
        <v>40</v>
      </c>
      <c r="D175">
        <v>5.1663230000000002</v>
      </c>
      <c r="E175">
        <v>0.49521730000000003</v>
      </c>
      <c r="F175" t="s">
        <v>43</v>
      </c>
      <c r="G175">
        <v>-428.9443</v>
      </c>
      <c r="H175">
        <v>-0.05</v>
      </c>
      <c r="I175">
        <v>368.35640000000001</v>
      </c>
      <c r="J175">
        <v>-446.84699999999998</v>
      </c>
      <c r="K175">
        <v>1.119383</v>
      </c>
      <c r="L175">
        <v>368.15699999999998</v>
      </c>
      <c r="M175">
        <v>0.99971319999999997</v>
      </c>
      <c r="N175">
        <v>-3.264608E-3</v>
      </c>
      <c r="O175">
        <v>2.3726629999999999E-2</v>
      </c>
      <c r="P175">
        <v>0.99787930000000002</v>
      </c>
      <c r="Q175">
        <v>-6.5082399999999999E-2</v>
      </c>
      <c r="R175">
        <v>-1.1487100000000001E-3</v>
      </c>
      <c r="S175">
        <v>2.9937740000000002</v>
      </c>
      <c r="T175">
        <v>-0.1933947</v>
      </c>
      <c r="U175">
        <v>3.3691409999999998E-2</v>
      </c>
      <c r="V175">
        <v>2.4779220000000001E-2</v>
      </c>
      <c r="W175">
        <v>-6.1843660000000002E-2</v>
      </c>
      <c r="X175">
        <v>0.99777819999999995</v>
      </c>
      <c r="Y175">
        <v>1.2403590000000001E-2</v>
      </c>
      <c r="Z175">
        <v>-1.8739939999999999E-3</v>
      </c>
      <c r="AA175">
        <v>0.99992130000000001</v>
      </c>
      <c r="AB175">
        <v>23</v>
      </c>
      <c r="AC175">
        <v>17.9026999999999</v>
      </c>
      <c r="AD175">
        <v>-1.1693830000000001</v>
      </c>
      <c r="AE175">
        <v>0.199400000000025</v>
      </c>
      <c r="AF175">
        <v>0.224471518251394</v>
      </c>
      <c r="AG175">
        <v>-1.1693830000000001</v>
      </c>
      <c r="AH175">
        <v>17.826343673055099</v>
      </c>
      <c r="AI175">
        <v>93.752848334717001</v>
      </c>
      <c r="AJ175">
        <v>89.278562606584998</v>
      </c>
      <c r="AK175">
        <v>17.866067637089799</v>
      </c>
      <c r="AL175">
        <v>93.545643323157705</v>
      </c>
      <c r="AM175">
        <v>88.577386277810504</v>
      </c>
      <c r="AN175">
        <v>0.99999999221062097</v>
      </c>
    </row>
    <row r="176" spans="1:40" x14ac:dyDescent="0.25">
      <c r="A176" t="str">
        <f>"20190303154734894"</f>
        <v>20190303154734894</v>
      </c>
      <c r="B176" t="str">
        <f>"1551599254890781"</f>
        <v>1551599254890781</v>
      </c>
      <c r="C176" t="s">
        <v>40</v>
      </c>
      <c r="D176">
        <v>5.1556220000000001</v>
      </c>
      <c r="E176">
        <v>0.49504589999999998</v>
      </c>
      <c r="F176" t="s">
        <v>43</v>
      </c>
      <c r="G176">
        <v>-428.81290000000001</v>
      </c>
      <c r="H176">
        <v>-0.05</v>
      </c>
      <c r="I176">
        <v>368.36680000000001</v>
      </c>
      <c r="J176">
        <v>-446.60419999999999</v>
      </c>
      <c r="K176">
        <v>1.119367</v>
      </c>
      <c r="L176">
        <v>368.16230000000002</v>
      </c>
      <c r="M176">
        <v>0.99972459999999996</v>
      </c>
      <c r="N176">
        <v>-3.2754659999999999E-3</v>
      </c>
      <c r="O176">
        <v>2.3238789999999999E-2</v>
      </c>
      <c r="P176">
        <v>0.99786909999999895</v>
      </c>
      <c r="Q176">
        <v>-6.5236260000000004E-2</v>
      </c>
      <c r="R176">
        <v>-1.257443E-3</v>
      </c>
      <c r="S176">
        <v>2.9937130000000001</v>
      </c>
      <c r="T176">
        <v>-0.1941215</v>
      </c>
      <c r="U176">
        <v>3.482056E-2</v>
      </c>
      <c r="V176">
        <v>2.4400189999999999E-2</v>
      </c>
      <c r="W176">
        <v>-6.1986630000000001E-2</v>
      </c>
      <c r="X176">
        <v>0.99777870000000002</v>
      </c>
      <c r="Y176">
        <v>1.15406E-2</v>
      </c>
      <c r="Z176">
        <v>-1.8217229999999999E-3</v>
      </c>
      <c r="AA176">
        <v>0.99993180000000004</v>
      </c>
      <c r="AB176">
        <v>23</v>
      </c>
      <c r="AC176">
        <v>17.7912999999999</v>
      </c>
      <c r="AD176">
        <v>-1.169367</v>
      </c>
      <c r="AE176">
        <v>0.20449999999999499</v>
      </c>
      <c r="AF176">
        <v>0.20810681225932601</v>
      </c>
      <c r="AG176">
        <v>-1.169367</v>
      </c>
      <c r="AH176">
        <v>17.714729666175199</v>
      </c>
      <c r="AI176">
        <v>93.776412616099805</v>
      </c>
      <c r="AJ176">
        <v>89.326939006009695</v>
      </c>
      <c r="AK176">
        <v>17.7545029435258</v>
      </c>
      <c r="AL176">
        <v>93.553850538152204</v>
      </c>
      <c r="AM176">
        <v>88.599138945395794</v>
      </c>
      <c r="AN176">
        <v>1.0000000228722401</v>
      </c>
    </row>
    <row r="177" spans="1:40" x14ac:dyDescent="0.25">
      <c r="A177" t="str">
        <f>"20190303154734917"</f>
        <v>20190303154734917</v>
      </c>
      <c r="B177" t="str">
        <f>"1551599254911277"</f>
        <v>1551599254911277</v>
      </c>
      <c r="C177" t="s">
        <v>40</v>
      </c>
      <c r="D177">
        <v>5.1513580000000001</v>
      </c>
      <c r="E177">
        <v>0.49495519999999998</v>
      </c>
      <c r="F177" t="s">
        <v>43</v>
      </c>
      <c r="G177">
        <v>-428.68200000000002</v>
      </c>
      <c r="H177">
        <v>-0.05</v>
      </c>
      <c r="I177">
        <v>368.37580000000003</v>
      </c>
      <c r="J177">
        <v>-446.36160000000001</v>
      </c>
      <c r="K177">
        <v>1.1193580000000001</v>
      </c>
      <c r="L177">
        <v>368.16739999999999</v>
      </c>
      <c r="M177">
        <v>0.9997357</v>
      </c>
      <c r="N177">
        <v>-3.2969520000000001E-3</v>
      </c>
      <c r="O177">
        <v>2.2751159999999999E-2</v>
      </c>
      <c r="P177">
        <v>0.99786989999999998</v>
      </c>
      <c r="Q177">
        <v>-6.5215990000000001E-2</v>
      </c>
      <c r="R177">
        <v>-1.6351289999999999E-3</v>
      </c>
      <c r="S177">
        <v>2.9936829999999999</v>
      </c>
      <c r="T177">
        <v>-0.19532749999999999</v>
      </c>
      <c r="U177">
        <v>3.567505E-2</v>
      </c>
      <c r="V177">
        <v>2.4290599999999999E-2</v>
      </c>
      <c r="W177">
        <v>-6.1945060000000003E-2</v>
      </c>
      <c r="X177">
        <v>0.997784</v>
      </c>
      <c r="Y177">
        <v>1.076918E-2</v>
      </c>
      <c r="Z177">
        <v>-1.776435E-3</v>
      </c>
      <c r="AA177">
        <v>0.99994050000000001</v>
      </c>
      <c r="AB177">
        <v>23</v>
      </c>
      <c r="AC177">
        <v>17.679600000000001</v>
      </c>
      <c r="AD177">
        <v>-1.1693579999999999</v>
      </c>
      <c r="AE177">
        <v>0.20840000000004</v>
      </c>
      <c r="AF177">
        <v>0.19304315445435599</v>
      </c>
      <c r="AG177">
        <v>-1.1693579999999999</v>
      </c>
      <c r="AH177">
        <v>17.602768650670601</v>
      </c>
      <c r="AI177">
        <v>93.800366466683798</v>
      </c>
      <c r="AJ177">
        <v>89.371683235829494</v>
      </c>
      <c r="AK177">
        <v>17.6426224796848</v>
      </c>
      <c r="AL177">
        <v>93.551464009127798</v>
      </c>
      <c r="AM177">
        <v>88.6054356290187</v>
      </c>
      <c r="AN177">
        <v>1.00000006718137</v>
      </c>
    </row>
    <row r="178" spans="1:40" x14ac:dyDescent="0.25">
      <c r="A178" t="str">
        <f>"20190303154734939"</f>
        <v>20190303154734939</v>
      </c>
      <c r="B178" t="str">
        <f>"1551599254930797"</f>
        <v>1551599254930797</v>
      </c>
      <c r="C178" t="s">
        <v>40</v>
      </c>
      <c r="D178">
        <v>5.1431360000000002</v>
      </c>
      <c r="E178">
        <v>0.49484909999999999</v>
      </c>
      <c r="F178" t="s">
        <v>43</v>
      </c>
      <c r="G178">
        <v>-428.4778</v>
      </c>
      <c r="H178">
        <v>-0.05</v>
      </c>
      <c r="I178">
        <v>368.37830000000002</v>
      </c>
      <c r="J178">
        <v>-446.12779999999998</v>
      </c>
      <c r="K178">
        <v>1.119353</v>
      </c>
      <c r="L178">
        <v>368.1721</v>
      </c>
      <c r="M178">
        <v>0.99974629999999998</v>
      </c>
      <c r="N178">
        <v>-3.3246069999999998E-3</v>
      </c>
      <c r="O178">
        <v>2.22814E-2</v>
      </c>
      <c r="P178">
        <v>0.99788889999999997</v>
      </c>
      <c r="Q178">
        <v>-6.490377E-2</v>
      </c>
      <c r="R178">
        <v>-2.3771899999999999E-3</v>
      </c>
      <c r="S178">
        <v>2.9936829999999999</v>
      </c>
      <c r="T178">
        <v>-0.19574569999999999</v>
      </c>
      <c r="U178">
        <v>3.5308840000000001E-2</v>
      </c>
      <c r="V178">
        <v>2.4563709999999999E-2</v>
      </c>
      <c r="W178">
        <v>-6.1605609999999998E-2</v>
      </c>
      <c r="X178">
        <v>0.99779830000000003</v>
      </c>
      <c r="Y178">
        <v>1.042304E-2</v>
      </c>
      <c r="Z178">
        <v>-1.7388810000000001E-3</v>
      </c>
      <c r="AA178">
        <v>0.99994419999999995</v>
      </c>
      <c r="AB178">
        <v>24</v>
      </c>
      <c r="AC178">
        <v>17.649999999999899</v>
      </c>
      <c r="AD178">
        <v>-1.1693530000000001</v>
      </c>
      <c r="AE178">
        <v>0.206200000000023</v>
      </c>
      <c r="AF178">
        <v>0.18630240245797799</v>
      </c>
      <c r="AG178">
        <v>-1.1693530000000001</v>
      </c>
      <c r="AH178">
        <v>17.5730883917916</v>
      </c>
      <c r="AI178">
        <v>93.806764991542806</v>
      </c>
      <c r="AJ178">
        <v>89.392597291121902</v>
      </c>
      <c r="AK178">
        <v>17.612936457317101</v>
      </c>
      <c r="AL178">
        <v>93.531977846600995</v>
      </c>
      <c r="AM178">
        <v>88.589782422107504</v>
      </c>
      <c r="AN178">
        <v>1.0000000372576601</v>
      </c>
    </row>
    <row r="179" spans="1:40" x14ac:dyDescent="0.25">
      <c r="A179" t="str">
        <f>"20190303154734961"</f>
        <v>20190303154734961</v>
      </c>
      <c r="B179" t="str">
        <f>"1551599254951293"</f>
        <v>1551599254951293</v>
      </c>
      <c r="C179" t="s">
        <v>40</v>
      </c>
      <c r="D179">
        <v>5.1366420000000002</v>
      </c>
      <c r="E179">
        <v>0.49473319999999998</v>
      </c>
      <c r="F179" t="s">
        <v>43</v>
      </c>
      <c r="G179">
        <v>-428.19749999999999</v>
      </c>
      <c r="H179">
        <v>-0.05</v>
      </c>
      <c r="I179">
        <v>368.37549999999999</v>
      </c>
      <c r="J179">
        <v>-445.89550000000003</v>
      </c>
      <c r="K179">
        <v>1.1193500000000001</v>
      </c>
      <c r="L179">
        <v>368.17680000000001</v>
      </c>
      <c r="M179">
        <v>0.99975650000000005</v>
      </c>
      <c r="N179">
        <v>-3.3559739999999998E-3</v>
      </c>
      <c r="O179">
        <v>2.181485E-2</v>
      </c>
      <c r="P179">
        <v>0.99789150000000004</v>
      </c>
      <c r="Q179">
        <v>-6.4821500000000004E-2</v>
      </c>
      <c r="R179">
        <v>-3.2949199999999998E-3</v>
      </c>
      <c r="S179">
        <v>2.993805</v>
      </c>
      <c r="T179">
        <v>-0.19524549999999999</v>
      </c>
      <c r="U179">
        <v>3.3966059999999999E-2</v>
      </c>
      <c r="V179">
        <v>2.5015720000000002E-2</v>
      </c>
      <c r="W179">
        <v>-6.1492650000000003E-2</v>
      </c>
      <c r="X179">
        <v>0.99779399999999996</v>
      </c>
      <c r="Y179">
        <v>1.040663E-2</v>
      </c>
      <c r="Z179">
        <v>-1.7043169999999999E-3</v>
      </c>
      <c r="AA179">
        <v>0.99994439999999996</v>
      </c>
      <c r="AB179">
        <v>24</v>
      </c>
      <c r="AC179">
        <v>17.698</v>
      </c>
      <c r="AD179">
        <v>-1.1693499999999999</v>
      </c>
      <c r="AE179">
        <v>0.19869999999997301</v>
      </c>
      <c r="AF179">
        <v>0.18661406107005801</v>
      </c>
      <c r="AG179">
        <v>-1.1693499999999999</v>
      </c>
      <c r="AH179">
        <v>17.621206096420199</v>
      </c>
      <c r="AI179">
        <v>93.796391151634595</v>
      </c>
      <c r="AJ179">
        <v>89.393242531824498</v>
      </c>
      <c r="AK179">
        <v>17.660948686942199</v>
      </c>
      <c r="AL179">
        <v>93.525493555307193</v>
      </c>
      <c r="AM179">
        <v>88.563836835650704</v>
      </c>
      <c r="AN179">
        <v>0.99999999934356998</v>
      </c>
    </row>
    <row r="180" spans="1:40" x14ac:dyDescent="0.25">
      <c r="A180" t="str">
        <f>"20190303154734983"</f>
        <v>20190303154734983</v>
      </c>
      <c r="B180" t="str">
        <f>"1551599254980573"</f>
        <v>1551599254980573</v>
      </c>
      <c r="C180" t="s">
        <v>40</v>
      </c>
      <c r="D180">
        <v>5.1153779999999998</v>
      </c>
      <c r="E180">
        <v>0.49454759999999998</v>
      </c>
      <c r="F180" t="s">
        <v>43</v>
      </c>
      <c r="G180">
        <v>-427.99630000000002</v>
      </c>
      <c r="H180">
        <v>-0.05</v>
      </c>
      <c r="I180">
        <v>368.3682</v>
      </c>
      <c r="J180">
        <v>-445.65370000000001</v>
      </c>
      <c r="K180">
        <v>1.1193360000000001</v>
      </c>
      <c r="L180">
        <v>368.1816</v>
      </c>
      <c r="M180">
        <v>0.99976679999999996</v>
      </c>
      <c r="N180">
        <v>-3.3911940000000002E-3</v>
      </c>
      <c r="O180">
        <v>2.1329819999999999E-2</v>
      </c>
      <c r="P180">
        <v>0.99785210000000002</v>
      </c>
      <c r="Q180">
        <v>-6.5381899999999896E-2</v>
      </c>
      <c r="R180">
        <v>-4.0613079999999996E-3</v>
      </c>
      <c r="S180">
        <v>2.9937740000000002</v>
      </c>
      <c r="T180">
        <v>-0.19558239999999999</v>
      </c>
      <c r="U180">
        <v>3.2012939999999997E-2</v>
      </c>
      <c r="V180">
        <v>2.5295990000000001E-2</v>
      </c>
      <c r="W180">
        <v>-6.2018499999999997E-2</v>
      </c>
      <c r="X180">
        <v>0.99775440000000004</v>
      </c>
      <c r="Y180">
        <v>1.057403E-2</v>
      </c>
      <c r="Z180">
        <v>-1.682535E-3</v>
      </c>
      <c r="AA180">
        <v>0.99994269999999996</v>
      </c>
      <c r="AB180">
        <v>24</v>
      </c>
      <c r="AC180">
        <v>17.6573999999999</v>
      </c>
      <c r="AD180">
        <v>-1.1693359999999999</v>
      </c>
      <c r="AE180">
        <v>0.18659999999999799</v>
      </c>
      <c r="AF180">
        <v>0.189243912731517</v>
      </c>
      <c r="AG180">
        <v>-1.1693359999999999</v>
      </c>
      <c r="AH180">
        <v>17.580272206085301</v>
      </c>
      <c r="AI180">
        <v>93.805152244034204</v>
      </c>
      <c r="AJ180">
        <v>89.383259906835704</v>
      </c>
      <c r="AK180">
        <v>17.620134244081601</v>
      </c>
      <c r="AL180">
        <v>93.555680113052105</v>
      </c>
      <c r="AM180">
        <v>88.547695654020302</v>
      </c>
      <c r="AN180">
        <v>1.0000000120858401</v>
      </c>
    </row>
    <row r="181" spans="1:40" x14ac:dyDescent="0.25">
      <c r="A181" t="str">
        <f>"20190303154735005"</f>
        <v>20190303154735005</v>
      </c>
      <c r="B181" t="str">
        <f>"1551599255001069"</f>
        <v>1551599255001069</v>
      </c>
      <c r="C181" t="s">
        <v>40</v>
      </c>
      <c r="D181">
        <v>5.1011959999999998</v>
      </c>
      <c r="E181">
        <v>0.4944576</v>
      </c>
      <c r="F181" t="s">
        <v>43</v>
      </c>
      <c r="G181">
        <v>-427.94049999999999</v>
      </c>
      <c r="H181">
        <v>-0.05</v>
      </c>
      <c r="I181">
        <v>368.36660000000001</v>
      </c>
      <c r="J181">
        <v>-445.4092</v>
      </c>
      <c r="K181">
        <v>1.1193219999999999</v>
      </c>
      <c r="L181">
        <v>368.18619999999999</v>
      </c>
      <c r="M181">
        <v>0.99977700000000003</v>
      </c>
      <c r="N181">
        <v>-3.428249E-3</v>
      </c>
      <c r="O181">
        <v>2.083983E-2</v>
      </c>
      <c r="P181">
        <v>0.99786379999999997</v>
      </c>
      <c r="Q181">
        <v>-6.5195920000000004E-2</v>
      </c>
      <c r="R181">
        <v>-4.2381069999999996E-3</v>
      </c>
      <c r="S181">
        <v>2.9935909999999999</v>
      </c>
      <c r="T181">
        <v>-0.19762250000000001</v>
      </c>
      <c r="U181">
        <v>3.1280519999999999E-2</v>
      </c>
      <c r="V181">
        <v>2.498336E-2</v>
      </c>
      <c r="W181">
        <v>-6.179544E-2</v>
      </c>
      <c r="X181">
        <v>0.99777610000000005</v>
      </c>
      <c r="Y181">
        <v>1.032809E-2</v>
      </c>
      <c r="Z181">
        <v>-1.660976E-3</v>
      </c>
      <c r="AA181">
        <v>0.99994530000000004</v>
      </c>
      <c r="AB181">
        <v>24</v>
      </c>
      <c r="AC181">
        <v>17.468699999999998</v>
      </c>
      <c r="AD181">
        <v>-1.169322</v>
      </c>
      <c r="AE181">
        <v>0.18040000000001999</v>
      </c>
      <c r="AF181">
        <v>0.18286675171095099</v>
      </c>
      <c r="AG181">
        <v>-1.169322</v>
      </c>
      <c r="AH181">
        <v>17.390751111243901</v>
      </c>
      <c r="AI181">
        <v>93.846460512764494</v>
      </c>
      <c r="AJ181">
        <v>89.397547185660798</v>
      </c>
      <c r="AK181">
        <v>17.4309775515258</v>
      </c>
      <c r="AL181">
        <v>93.542875215598997</v>
      </c>
      <c r="AM181">
        <v>88.5656681399539</v>
      </c>
      <c r="AN181">
        <v>0.999999995206446</v>
      </c>
    </row>
    <row r="182" spans="1:40" x14ac:dyDescent="0.25">
      <c r="A182" t="str">
        <f>"20190303154735030"</f>
        <v>20190303154735030</v>
      </c>
      <c r="B182" t="str">
        <f>"1551599255020590"</f>
        <v>1551599255020590</v>
      </c>
      <c r="C182" t="s">
        <v>40</v>
      </c>
      <c r="D182">
        <v>5.1010309999999999</v>
      </c>
      <c r="E182">
        <v>0.4943418</v>
      </c>
      <c r="F182" t="s">
        <v>43</v>
      </c>
      <c r="G182">
        <v>-427.65410000000003</v>
      </c>
      <c r="H182">
        <v>-0.05</v>
      </c>
      <c r="I182">
        <v>368.37270000000001</v>
      </c>
      <c r="J182">
        <v>-445.1454</v>
      </c>
      <c r="K182">
        <v>1.119316</v>
      </c>
      <c r="L182">
        <v>368.19119999999998</v>
      </c>
      <c r="M182">
        <v>0.99978769999999995</v>
      </c>
      <c r="N182">
        <v>-3.47066E-3</v>
      </c>
      <c r="O182">
        <v>2.03115E-2</v>
      </c>
      <c r="P182">
        <v>0.99785170000000001</v>
      </c>
      <c r="Q182">
        <v>-6.5407170000000001E-2</v>
      </c>
      <c r="R182">
        <v>-3.7699579999999999E-3</v>
      </c>
      <c r="S182">
        <v>2.9937130000000001</v>
      </c>
      <c r="T182">
        <v>-0.1971608</v>
      </c>
      <c r="U182">
        <v>3.143311E-2</v>
      </c>
      <c r="V182">
        <v>2.3987459999999999E-2</v>
      </c>
      <c r="W182">
        <v>-6.1963799999999999E-2</v>
      </c>
      <c r="X182">
        <v>0.99779010000000001</v>
      </c>
      <c r="Y182">
        <v>9.7518359999999998E-3</v>
      </c>
      <c r="Z182">
        <v>-1.603372E-3</v>
      </c>
      <c r="AA182">
        <v>0.99995120000000004</v>
      </c>
      <c r="AB182">
        <v>24</v>
      </c>
      <c r="AC182">
        <v>17.491299999999899</v>
      </c>
      <c r="AD182">
        <v>-1.169316</v>
      </c>
      <c r="AE182">
        <v>0.181500000000028</v>
      </c>
      <c r="AF182">
        <v>0.173040862274561</v>
      </c>
      <c r="AG182">
        <v>-1.169316</v>
      </c>
      <c r="AH182">
        <v>17.413563569414901</v>
      </c>
      <c r="AI182">
        <v>93.841439578853894</v>
      </c>
      <c r="AJ182">
        <v>89.430663073062405</v>
      </c>
      <c r="AK182">
        <v>17.453636848345599</v>
      </c>
      <c r="AL182">
        <v>93.552540047497999</v>
      </c>
      <c r="AM182">
        <v>88.622841079760093</v>
      </c>
      <c r="AN182">
        <v>0.99999999720285004</v>
      </c>
    </row>
    <row r="183" spans="1:40" x14ac:dyDescent="0.25">
      <c r="A183" t="str">
        <f>"20190303154735051"</f>
        <v>20190303154735051</v>
      </c>
      <c r="B183" t="str">
        <f>"1551599255041084"</f>
        <v>1551599255041084</v>
      </c>
      <c r="C183" t="s">
        <v>40</v>
      </c>
      <c r="D183">
        <v>5.0253230000000002</v>
      </c>
      <c r="E183">
        <v>0.49436000000000002</v>
      </c>
      <c r="F183" t="s">
        <v>43</v>
      </c>
      <c r="G183">
        <v>-427.47250000000003</v>
      </c>
      <c r="H183">
        <v>-0.05</v>
      </c>
      <c r="I183">
        <v>368.39089999999999</v>
      </c>
      <c r="J183">
        <v>-444.91180000000003</v>
      </c>
      <c r="K183">
        <v>1.1193090000000001</v>
      </c>
      <c r="L183">
        <v>368.19540000000001</v>
      </c>
      <c r="M183">
        <v>0.99979689999999999</v>
      </c>
      <c r="N183">
        <v>-3.5119470000000001E-3</v>
      </c>
      <c r="O183">
        <v>1.9843920000000001E-2</v>
      </c>
      <c r="P183">
        <v>0.99782969999999904</v>
      </c>
      <c r="Q183">
        <v>-6.5747940000000005E-2</v>
      </c>
      <c r="R183">
        <v>-3.585207E-3</v>
      </c>
      <c r="S183">
        <v>2.9936219999999998</v>
      </c>
      <c r="T183">
        <v>-0.19807140000000001</v>
      </c>
      <c r="U183">
        <v>3.3843989999999997E-2</v>
      </c>
      <c r="V183">
        <v>2.333497E-2</v>
      </c>
      <c r="W183">
        <v>-6.226309E-2</v>
      </c>
      <c r="X183">
        <v>0.99778690000000003</v>
      </c>
      <c r="Y183">
        <v>8.4819330000000005E-3</v>
      </c>
      <c r="Z183">
        <v>-1.5369610000000001E-3</v>
      </c>
      <c r="AA183">
        <v>0.99996289999999999</v>
      </c>
      <c r="AB183">
        <v>24</v>
      </c>
      <c r="AC183">
        <v>17.439299999999999</v>
      </c>
      <c r="AD183">
        <v>-1.1693089999999999</v>
      </c>
      <c r="AE183">
        <v>0.19549999999998099</v>
      </c>
      <c r="AF183">
        <v>0.14993074829175401</v>
      </c>
      <c r="AG183">
        <v>-1.1693089999999999</v>
      </c>
      <c r="AH183">
        <v>17.361701732495</v>
      </c>
      <c r="AI183">
        <v>93.852903411411802</v>
      </c>
      <c r="AJ183">
        <v>89.505222143917393</v>
      </c>
      <c r="AK183">
        <v>17.401679511325501</v>
      </c>
      <c r="AL183">
        <v>93.569721425807202</v>
      </c>
      <c r="AM183">
        <v>88.660283448903996</v>
      </c>
      <c r="AN183">
        <v>0.99999995550642795</v>
      </c>
    </row>
    <row r="184" spans="1:40" x14ac:dyDescent="0.25">
      <c r="A184" t="str">
        <f>"20190303154735073"</f>
        <v>20190303154735073</v>
      </c>
      <c r="B184" t="str">
        <f>"1551599255060606"</f>
        <v>1551599255060606</v>
      </c>
      <c r="C184" t="s">
        <v>40</v>
      </c>
      <c r="D184">
        <v>5.0492319999999999</v>
      </c>
      <c r="E184">
        <v>0.50102079999999904</v>
      </c>
      <c r="F184" t="s">
        <v>43</v>
      </c>
      <c r="G184">
        <v>-427.28789999999998</v>
      </c>
      <c r="H184">
        <v>-0.05</v>
      </c>
      <c r="I184">
        <v>368.39679999999998</v>
      </c>
      <c r="J184">
        <v>-444.67320000000001</v>
      </c>
      <c r="K184">
        <v>1.1193010000000001</v>
      </c>
      <c r="L184">
        <v>368.19959999999998</v>
      </c>
      <c r="M184">
        <v>0.99980619999999998</v>
      </c>
      <c r="N184">
        <v>-3.558931E-3</v>
      </c>
      <c r="O184">
        <v>1.9368570000000002E-2</v>
      </c>
      <c r="P184">
        <v>0.99780089999999999</v>
      </c>
      <c r="Q184">
        <v>-6.6172789999999995E-2</v>
      </c>
      <c r="R184">
        <v>-3.8323139999999999E-3</v>
      </c>
      <c r="S184">
        <v>2.9935610000000001</v>
      </c>
      <c r="T184">
        <v>-0.1986164</v>
      </c>
      <c r="U184">
        <v>3.4210209999999998E-2</v>
      </c>
      <c r="V184">
        <v>2.3106539999999998E-2</v>
      </c>
      <c r="W184">
        <v>-6.2641089999999996E-2</v>
      </c>
      <c r="X184">
        <v>0.99776860000000001</v>
      </c>
      <c r="Y184">
        <v>7.8859959999999993E-3</v>
      </c>
      <c r="Z184">
        <v>-1.490016E-3</v>
      </c>
      <c r="AA184">
        <v>0.99996779999999996</v>
      </c>
      <c r="AB184">
        <v>24</v>
      </c>
      <c r="AC184">
        <v>17.385300000000001</v>
      </c>
      <c r="AD184">
        <v>-1.1693009999999999</v>
      </c>
      <c r="AE184">
        <v>0.19720000000000901</v>
      </c>
      <c r="AF184">
        <v>0.138939054423872</v>
      </c>
      <c r="AG184">
        <v>-1.1693009999999999</v>
      </c>
      <c r="AH184">
        <v>17.3075749779982</v>
      </c>
      <c r="AI184">
        <v>93.864909464710195</v>
      </c>
      <c r="AJ184">
        <v>89.540059745951794</v>
      </c>
      <c r="AK184">
        <v>17.347585437416701</v>
      </c>
      <c r="AL184">
        <v>93.591421435589794</v>
      </c>
      <c r="AM184">
        <v>88.673369130375093</v>
      </c>
      <c r="AN184">
        <v>0.99999999874655898</v>
      </c>
    </row>
    <row r="185" spans="1:40" x14ac:dyDescent="0.25">
      <c r="A185" t="str">
        <f>"20190303154735095"</f>
        <v>20190303154735095</v>
      </c>
      <c r="B185" t="str">
        <f>"1551599255090862"</f>
        <v>1551599255090862</v>
      </c>
      <c r="C185" t="s">
        <v>40</v>
      </c>
      <c r="D185">
        <v>5.0574250000000003</v>
      </c>
      <c r="E185">
        <v>0.50055550000000004</v>
      </c>
      <c r="F185" t="s">
        <v>43</v>
      </c>
      <c r="G185">
        <v>-416.89960000000002</v>
      </c>
      <c r="H185">
        <v>-0.05</v>
      </c>
      <c r="I185">
        <v>368.01530000000002</v>
      </c>
      <c r="J185">
        <v>-444.41820000000001</v>
      </c>
      <c r="K185">
        <v>1.1193029999999999</v>
      </c>
      <c r="L185">
        <v>368.20400000000001</v>
      </c>
      <c r="M185">
        <v>0.99981549999999997</v>
      </c>
      <c r="N185">
        <v>-3.6166530000000001E-3</v>
      </c>
      <c r="O185">
        <v>1.8868059999999999E-2</v>
      </c>
      <c r="P185">
        <v>0.99780250000000004</v>
      </c>
      <c r="Q185">
        <v>-6.6047519999999998E-2</v>
      </c>
      <c r="R185">
        <v>-5.2976419999999896E-3</v>
      </c>
      <c r="S185">
        <v>2.9981689999999999</v>
      </c>
      <c r="T185">
        <v>-0.12622619999999901</v>
      </c>
      <c r="U185">
        <v>-1.9897459999999999E-2</v>
      </c>
      <c r="V185">
        <v>2.407221E-2</v>
      </c>
      <c r="W185">
        <v>-6.2459069999999998E-2</v>
      </c>
      <c r="X185">
        <v>0.99775720000000001</v>
      </c>
      <c r="Y185">
        <v>2.5464520000000001E-2</v>
      </c>
      <c r="Z185">
        <v>-1.307639E-3</v>
      </c>
      <c r="AA185">
        <v>0.99967490000000003</v>
      </c>
      <c r="AB185">
        <v>25</v>
      </c>
      <c r="AC185">
        <v>27.5185999999999</v>
      </c>
      <c r="AD185">
        <v>-1.169303</v>
      </c>
      <c r="AE185">
        <v>-0.18869999999998299</v>
      </c>
      <c r="AF185">
        <v>0.70661662076061205</v>
      </c>
      <c r="AG185">
        <v>-1.169303</v>
      </c>
      <c r="AH185">
        <v>27.460562545904502</v>
      </c>
      <c r="AI185">
        <v>92.437442788363001</v>
      </c>
      <c r="AJ185">
        <v>88.525987303747002</v>
      </c>
      <c r="AK185">
        <v>27.494528035448798</v>
      </c>
      <c r="AL185">
        <v>93.580971925361297</v>
      </c>
      <c r="AM185">
        <v>88.617931775679097</v>
      </c>
      <c r="AN185">
        <v>1.0000000184356901</v>
      </c>
    </row>
    <row r="186" spans="1:40" x14ac:dyDescent="0.25">
      <c r="A186" t="str">
        <f>"20190303154735118"</f>
        <v>20190303154735118</v>
      </c>
      <c r="B186" t="str">
        <f>"1551599255111357"</f>
        <v>1551599255111357</v>
      </c>
      <c r="C186" t="s">
        <v>40</v>
      </c>
      <c r="D186">
        <v>5.0734709999999996</v>
      </c>
      <c r="E186">
        <v>0.50053510000000001</v>
      </c>
      <c r="F186" t="s">
        <v>43</v>
      </c>
      <c r="G186">
        <v>-419.54820000000001</v>
      </c>
      <c r="H186">
        <v>-0.05</v>
      </c>
      <c r="I186">
        <v>368.03129999999999</v>
      </c>
      <c r="J186">
        <v>-444.17</v>
      </c>
      <c r="K186">
        <v>1.1193090000000001</v>
      </c>
      <c r="L186">
        <v>368.20819999999998</v>
      </c>
      <c r="M186">
        <v>0.99982400000000005</v>
      </c>
      <c r="N186">
        <v>-3.682378E-3</v>
      </c>
      <c r="O186">
        <v>1.839259E-2</v>
      </c>
      <c r="P186">
        <v>0.99778809999999996</v>
      </c>
      <c r="Q186">
        <v>-6.6085980000000002E-2</v>
      </c>
      <c r="R186">
        <v>-7.1637430000000002E-3</v>
      </c>
      <c r="S186">
        <v>2.9971619999999999</v>
      </c>
      <c r="T186">
        <v>-0.14091579999999901</v>
      </c>
      <c r="U186">
        <v>-2.081299E-2</v>
      </c>
      <c r="V186">
        <v>2.5464299999999999E-2</v>
      </c>
      <c r="W186">
        <v>-6.2432969999999997E-2</v>
      </c>
      <c r="X186">
        <v>0.99772419999999995</v>
      </c>
      <c r="Y186">
        <v>2.5287779999999999E-2</v>
      </c>
      <c r="Z186">
        <v>-1.4372709999999999E-3</v>
      </c>
      <c r="AA186">
        <v>0.99967919999999999</v>
      </c>
      <c r="AB186">
        <v>25</v>
      </c>
      <c r="AC186">
        <v>24.6218</v>
      </c>
      <c r="AD186">
        <v>-1.1693089999999999</v>
      </c>
      <c r="AE186">
        <v>-0.17689999999998901</v>
      </c>
      <c r="AF186">
        <v>0.62831483281282097</v>
      </c>
      <c r="AG186">
        <v>-1.1693089999999999</v>
      </c>
      <c r="AH186">
        <v>24.558994385878201</v>
      </c>
      <c r="AI186">
        <v>92.725032120499094</v>
      </c>
      <c r="AJ186">
        <v>88.534470253186299</v>
      </c>
      <c r="AK186">
        <v>24.594842311188199</v>
      </c>
      <c r="AL186">
        <v>93.579473852408697</v>
      </c>
      <c r="AM186">
        <v>88.537992514363793</v>
      </c>
      <c r="AN186">
        <v>0.999999942791573</v>
      </c>
    </row>
    <row r="187" spans="1:40" x14ac:dyDescent="0.25">
      <c r="A187" t="str">
        <f>"20190303154735140"</f>
        <v>20190303154735140</v>
      </c>
      <c r="B187" t="str">
        <f>"1551599255130880"</f>
        <v>1551599255130880</v>
      </c>
      <c r="C187" t="s">
        <v>40</v>
      </c>
      <c r="D187">
        <v>5.0718740000000002</v>
      </c>
      <c r="E187">
        <v>0.50038870000000002</v>
      </c>
      <c r="F187" t="s">
        <v>43</v>
      </c>
      <c r="G187">
        <v>-419.93810000000002</v>
      </c>
      <c r="H187">
        <v>-0.05</v>
      </c>
      <c r="I187">
        <v>367.99689999999998</v>
      </c>
      <c r="J187">
        <v>-443.92599999999999</v>
      </c>
      <c r="K187">
        <v>1.119318</v>
      </c>
      <c r="L187">
        <v>368.2122</v>
      </c>
      <c r="M187">
        <v>0.99983200000000005</v>
      </c>
      <c r="N187">
        <v>-3.7572119999999998E-3</v>
      </c>
      <c r="O187">
        <v>1.7943110000000002E-2</v>
      </c>
      <c r="P187">
        <v>0.99774910000000006</v>
      </c>
      <c r="Q187">
        <v>-6.6441159999999999E-2</v>
      </c>
      <c r="R187">
        <v>-9.0621109999999994E-3</v>
      </c>
      <c r="S187">
        <v>2.9968870000000001</v>
      </c>
      <c r="T187">
        <v>-0.14461479999999999</v>
      </c>
      <c r="U187">
        <v>-2.6123049999999998E-2</v>
      </c>
      <c r="V187">
        <v>2.691437E-2</v>
      </c>
      <c r="W187">
        <v>-6.2714389999999995E-2</v>
      </c>
      <c r="X187">
        <v>0.99766860000000002</v>
      </c>
      <c r="Y187">
        <v>2.6606419999999999E-2</v>
      </c>
      <c r="Z187">
        <v>-1.4895030000000001E-3</v>
      </c>
      <c r="AA187">
        <v>0.99964489999999995</v>
      </c>
      <c r="AB187">
        <v>25</v>
      </c>
      <c r="AC187">
        <v>23.9878999999999</v>
      </c>
      <c r="AD187">
        <v>-1.1693180000000001</v>
      </c>
      <c r="AE187">
        <v>-0.21530000000001301</v>
      </c>
      <c r="AF187">
        <v>0.64415537212282503</v>
      </c>
      <c r="AG187">
        <v>-1.1693180000000001</v>
      </c>
      <c r="AH187">
        <v>23.923333181968001</v>
      </c>
      <c r="AI187">
        <v>92.797247947612604</v>
      </c>
      <c r="AJ187">
        <v>88.457636797997594</v>
      </c>
      <c r="AK187">
        <v>23.960553233679899</v>
      </c>
      <c r="AL187">
        <v>93.595629281291394</v>
      </c>
      <c r="AM187">
        <v>88.454691389571806</v>
      </c>
      <c r="AN187">
        <v>1.0000000567257601</v>
      </c>
    </row>
    <row r="188" spans="1:40" x14ac:dyDescent="0.25">
      <c r="A188" t="str">
        <f>"20190303154735163"</f>
        <v>20190303154735163</v>
      </c>
      <c r="B188" t="str">
        <f>"1551599255151373"</f>
        <v>1551599255151373</v>
      </c>
      <c r="C188" t="s">
        <v>40</v>
      </c>
      <c r="D188">
        <v>5.041614</v>
      </c>
      <c r="E188">
        <v>0.50019789999999997</v>
      </c>
      <c r="F188" t="s">
        <v>43</v>
      </c>
      <c r="G188">
        <v>-419.94580000000002</v>
      </c>
      <c r="H188">
        <v>-0.05</v>
      </c>
      <c r="I188">
        <v>367.96719999999999</v>
      </c>
      <c r="J188">
        <v>-443.66739999999999</v>
      </c>
      <c r="K188">
        <v>1.1193409999999999</v>
      </c>
      <c r="L188">
        <v>368.21629999999999</v>
      </c>
      <c r="M188">
        <v>0.99983979999999995</v>
      </c>
      <c r="N188">
        <v>-3.8478879999999998E-3</v>
      </c>
      <c r="O188">
        <v>1.7490680000000002E-2</v>
      </c>
      <c r="P188">
        <v>0.99769470000000005</v>
      </c>
      <c r="Q188">
        <v>-6.7077120000000004E-2</v>
      </c>
      <c r="R188">
        <v>-1.032366E-2</v>
      </c>
      <c r="S188">
        <v>2.9967350000000001</v>
      </c>
      <c r="T188">
        <v>-0.14612620000000001</v>
      </c>
      <c r="U188">
        <v>-3.0609129999999998E-2</v>
      </c>
      <c r="V188">
        <v>2.7724579999999999E-2</v>
      </c>
      <c r="W188">
        <v>-6.3259899999999994E-2</v>
      </c>
      <c r="X188">
        <v>0.9976119</v>
      </c>
      <c r="Y188">
        <v>2.7648900000000001E-2</v>
      </c>
      <c r="Z188">
        <v>-1.5119879999999999E-3</v>
      </c>
      <c r="AA188">
        <v>0.99961659999999997</v>
      </c>
      <c r="AB188">
        <v>25</v>
      </c>
      <c r="AC188">
        <v>23.721599999999899</v>
      </c>
      <c r="AD188">
        <v>-1.169341</v>
      </c>
      <c r="AE188">
        <v>-0.24909999999999799</v>
      </c>
      <c r="AF188">
        <v>0.66236248686014598</v>
      </c>
      <c r="AG188">
        <v>-1.169341</v>
      </c>
      <c r="AH188">
        <v>23.6561377033231</v>
      </c>
      <c r="AI188">
        <v>92.828764090829296</v>
      </c>
      <c r="AJ188">
        <v>88.396159902625499</v>
      </c>
      <c r="AK188">
        <v>23.694280606865199</v>
      </c>
      <c r="AL188">
        <v>93.626947146693496</v>
      </c>
      <c r="AM188">
        <v>88.408105737818701</v>
      </c>
      <c r="AN188">
        <v>0.99999998515289801</v>
      </c>
    </row>
    <row r="189" spans="1:40" x14ac:dyDescent="0.25">
      <c r="A189" t="str">
        <f>"20190303154735185"</f>
        <v>20190303154735185</v>
      </c>
      <c r="B189" t="str">
        <f>"1551599255180654"</f>
        <v>1551599255180654</v>
      </c>
      <c r="C189" t="s">
        <v>40</v>
      </c>
      <c r="D189">
        <v>5.0178669999999999</v>
      </c>
      <c r="E189">
        <v>0.50068939999999995</v>
      </c>
      <c r="F189" t="s">
        <v>43</v>
      </c>
      <c r="G189">
        <v>-420.01900000000001</v>
      </c>
      <c r="H189">
        <v>-0.05</v>
      </c>
      <c r="I189">
        <v>367.95639999999997</v>
      </c>
      <c r="J189">
        <v>-443.4151</v>
      </c>
      <c r="K189">
        <v>1.1193599999999999</v>
      </c>
      <c r="L189">
        <v>368.22030000000001</v>
      </c>
      <c r="M189">
        <v>0.99984649999999997</v>
      </c>
      <c r="N189">
        <v>-3.9458439999999996E-3</v>
      </c>
      <c r="O189">
        <v>1.7072049999999998E-2</v>
      </c>
      <c r="P189">
        <v>0.9976545</v>
      </c>
      <c r="Q189">
        <v>-6.7581530000000001E-2</v>
      </c>
      <c r="R189">
        <v>-1.089642E-2</v>
      </c>
      <c r="S189">
        <v>2.9966430000000002</v>
      </c>
      <c r="T189">
        <v>-0.14817539999999901</v>
      </c>
      <c r="U189">
        <v>-3.2928470000000001E-2</v>
      </c>
      <c r="V189">
        <v>2.788071E-2</v>
      </c>
      <c r="W189">
        <v>-6.3665890000000003E-2</v>
      </c>
      <c r="X189">
        <v>0.99758170000000002</v>
      </c>
      <c r="Y189">
        <v>2.8002740000000002E-2</v>
      </c>
      <c r="Z189">
        <v>-1.523457E-3</v>
      </c>
      <c r="AA189">
        <v>0.99960669999999996</v>
      </c>
      <c r="AB189">
        <v>25</v>
      </c>
      <c r="AC189">
        <v>23.396099999999901</v>
      </c>
      <c r="AD189">
        <v>-1.16936</v>
      </c>
      <c r="AE189">
        <v>-0.263900000000035</v>
      </c>
      <c r="AF189">
        <v>0.66163141789100999</v>
      </c>
      <c r="AG189">
        <v>-1.16936</v>
      </c>
      <c r="AH189">
        <v>23.3299118958018</v>
      </c>
      <c r="AI189">
        <v>92.868271029944395</v>
      </c>
      <c r="AJ189">
        <v>88.375539098842793</v>
      </c>
      <c r="AK189">
        <v>23.368567521536502</v>
      </c>
      <c r="AL189">
        <v>93.650255723869094</v>
      </c>
      <c r="AM189">
        <v>88.399097255097601</v>
      </c>
      <c r="AN189">
        <v>0.99999996385724199</v>
      </c>
    </row>
    <row r="190" spans="1:40" x14ac:dyDescent="0.25">
      <c r="A190" t="str">
        <f>"20190303154735207"</f>
        <v>20190303154735207</v>
      </c>
      <c r="B190" t="str">
        <f>"1551599255201149"</f>
        <v>1551599255201149</v>
      </c>
      <c r="C190" t="s">
        <v>40</v>
      </c>
      <c r="D190">
        <v>5.0916480000000002</v>
      </c>
      <c r="E190">
        <v>0.5009342</v>
      </c>
      <c r="F190" t="s">
        <v>43</v>
      </c>
      <c r="G190">
        <v>-418.07670000000002</v>
      </c>
      <c r="H190">
        <v>-0.05</v>
      </c>
      <c r="I190">
        <v>367.89490000000001</v>
      </c>
      <c r="J190">
        <v>-443.15550000000002</v>
      </c>
      <c r="K190">
        <v>1.119375</v>
      </c>
      <c r="L190">
        <v>368.2242</v>
      </c>
      <c r="M190">
        <v>0.99985299999999999</v>
      </c>
      <c r="N190">
        <v>-4.0514440000000004E-3</v>
      </c>
      <c r="O190">
        <v>1.6661680000000002E-2</v>
      </c>
      <c r="P190">
        <v>0.99762879999999998</v>
      </c>
      <c r="Q190">
        <v>-6.7998100000000006E-2</v>
      </c>
      <c r="R190">
        <v>-1.063564E-2</v>
      </c>
      <c r="S190">
        <v>2.9972530000000002</v>
      </c>
      <c r="T190">
        <v>-0.13832269999999999</v>
      </c>
      <c r="U190">
        <v>-3.8482669999999997E-2</v>
      </c>
      <c r="V190">
        <v>2.7212320000000002E-2</v>
      </c>
      <c r="W190">
        <v>-6.3975820000000003E-2</v>
      </c>
      <c r="X190">
        <v>0.99758029999999998</v>
      </c>
      <c r="Y190">
        <v>2.9448060000000002E-2</v>
      </c>
      <c r="Z190">
        <v>-1.43983E-3</v>
      </c>
      <c r="AA190">
        <v>0.99956529999999999</v>
      </c>
      <c r="AB190">
        <v>25</v>
      </c>
      <c r="AC190">
        <v>25.078800000000001</v>
      </c>
      <c r="AD190">
        <v>-1.1693750000000001</v>
      </c>
      <c r="AE190">
        <v>-0.32929999999998899</v>
      </c>
      <c r="AF190">
        <v>0.74549209781957204</v>
      </c>
      <c r="AG190">
        <v>-1.1693750000000001</v>
      </c>
      <c r="AH190">
        <v>25.015453334017199</v>
      </c>
      <c r="AI190">
        <v>92.675220186711996</v>
      </c>
      <c r="AJ190">
        <v>88.293018632247197</v>
      </c>
      <c r="AK190">
        <v>25.053864010665698</v>
      </c>
      <c r="AL190">
        <v>93.668049785231801</v>
      </c>
      <c r="AM190">
        <v>88.4374545746047</v>
      </c>
      <c r="AN190">
        <v>0.99999993542626997</v>
      </c>
    </row>
    <row r="191" spans="1:40" x14ac:dyDescent="0.25">
      <c r="A191" t="str">
        <f>"20190303154735231"</f>
        <v>20190303154735231</v>
      </c>
      <c r="B191" t="str">
        <f>"1551599255220669"</f>
        <v>1551599255220669</v>
      </c>
      <c r="C191" t="s">
        <v>40</v>
      </c>
      <c r="D191">
        <v>5.0266279999999997</v>
      </c>
      <c r="E191">
        <v>0.50117679999999998</v>
      </c>
      <c r="F191" t="s">
        <v>43</v>
      </c>
      <c r="G191">
        <v>-417.06189999999998</v>
      </c>
      <c r="H191">
        <v>-0.05</v>
      </c>
      <c r="I191">
        <v>367.88049999999998</v>
      </c>
      <c r="J191">
        <v>-442.89359999999999</v>
      </c>
      <c r="K191">
        <v>1.119402</v>
      </c>
      <c r="L191">
        <v>368.22820000000002</v>
      </c>
      <c r="M191">
        <v>0.99985919999999895</v>
      </c>
      <c r="N191">
        <v>-4.1602770000000004E-3</v>
      </c>
      <c r="O191">
        <v>1.626791E-2</v>
      </c>
      <c r="P191">
        <v>0.99761549999999999</v>
      </c>
      <c r="Q191">
        <v>-6.829064E-2</v>
      </c>
      <c r="R191">
        <v>-9.9985279999999996E-3</v>
      </c>
      <c r="S191">
        <v>2.9975890000000001</v>
      </c>
      <c r="T191">
        <v>-0.13433610000000001</v>
      </c>
      <c r="U191">
        <v>-3.9489749999999997E-2</v>
      </c>
      <c r="V191">
        <v>2.618374E-2</v>
      </c>
      <c r="W191">
        <v>-6.4158339999999994E-2</v>
      </c>
      <c r="X191">
        <v>0.99759609999999999</v>
      </c>
      <c r="Y191">
        <v>2.939191E-2</v>
      </c>
      <c r="Z191">
        <v>-1.380406E-3</v>
      </c>
      <c r="AA191">
        <v>0.99956699999999998</v>
      </c>
      <c r="AB191">
        <v>25</v>
      </c>
      <c r="AC191">
        <v>25.831700000000001</v>
      </c>
      <c r="AD191">
        <v>-1.1694020000000001</v>
      </c>
      <c r="AE191">
        <v>-0.34770000000003098</v>
      </c>
      <c r="AF191">
        <v>0.76631513327772705</v>
      </c>
      <c r="AG191">
        <v>-1.1694020000000001</v>
      </c>
      <c r="AH191">
        <v>25.769822707264399</v>
      </c>
      <c r="AI191">
        <v>92.597081170366494</v>
      </c>
      <c r="AJ191">
        <v>88.296701987639395</v>
      </c>
      <c r="AK191">
        <v>25.807721756965201</v>
      </c>
      <c r="AL191">
        <v>93.678528960821694</v>
      </c>
      <c r="AM191">
        <v>88.496512327973306</v>
      </c>
      <c r="AN191">
        <v>0.99999992978357399</v>
      </c>
    </row>
    <row r="192" spans="1:40" x14ac:dyDescent="0.25">
      <c r="A192" t="str">
        <f>"20190303154735263"</f>
        <v>20190303154735263</v>
      </c>
      <c r="B192" t="str">
        <f>"1551599255250929"</f>
        <v>1551599255250929</v>
      </c>
      <c r="C192" t="s">
        <v>40</v>
      </c>
      <c r="D192">
        <v>5.0646100000000001</v>
      </c>
      <c r="E192">
        <v>0.50124599999999997</v>
      </c>
      <c r="F192" t="s">
        <v>43</v>
      </c>
      <c r="G192">
        <v>-416.13749999999999</v>
      </c>
      <c r="H192">
        <v>-0.05</v>
      </c>
      <c r="I192">
        <v>367.87329999999997</v>
      </c>
      <c r="J192">
        <v>-442.52190000000002</v>
      </c>
      <c r="K192">
        <v>1.1194379999999999</v>
      </c>
      <c r="L192">
        <v>368.23360000000002</v>
      </c>
      <c r="M192">
        <v>0.99986679999999994</v>
      </c>
      <c r="N192">
        <v>-4.3277890000000003E-3</v>
      </c>
      <c r="O192">
        <v>1.573809E-2</v>
      </c>
      <c r="P192">
        <v>0.997695</v>
      </c>
      <c r="Q192">
        <v>-6.7258719999999994E-2</v>
      </c>
      <c r="R192">
        <v>-9.014223E-3</v>
      </c>
      <c r="S192">
        <v>2.9978030000000002</v>
      </c>
      <c r="T192">
        <v>-0.1310219</v>
      </c>
      <c r="U192">
        <v>-3.9764399999999998E-2</v>
      </c>
      <c r="V192">
        <v>2.4674939999999999E-2</v>
      </c>
      <c r="W192">
        <v>-6.2957170000000007E-2</v>
      </c>
      <c r="X192">
        <v>0.99771120000000002</v>
      </c>
      <c r="Y192">
        <v>2.8955990000000001E-2</v>
      </c>
      <c r="Z192">
        <v>-1.314546E-3</v>
      </c>
      <c r="AA192">
        <v>0.99957980000000002</v>
      </c>
      <c r="AB192">
        <v>26</v>
      </c>
      <c r="AC192">
        <v>26.384399999999999</v>
      </c>
      <c r="AD192">
        <v>-1.169438</v>
      </c>
      <c r="AE192">
        <v>-0.36030000000005202</v>
      </c>
      <c r="AF192">
        <v>0.773979092582602</v>
      </c>
      <c r="AG192">
        <v>-1.169438</v>
      </c>
      <c r="AH192">
        <v>26.323757383736101</v>
      </c>
      <c r="AI192">
        <v>92.542606166644305</v>
      </c>
      <c r="AJ192">
        <v>88.315857325410505</v>
      </c>
      <c r="AK192">
        <v>26.361085555595</v>
      </c>
      <c r="AL192">
        <v>93.609567123265293</v>
      </c>
      <c r="AM192">
        <v>88.5832756175746</v>
      </c>
      <c r="AN192">
        <v>1.00000004826192</v>
      </c>
    </row>
    <row r="193" spans="1:40" x14ac:dyDescent="0.25">
      <c r="A193" t="str">
        <f>"20190303154735287"</f>
        <v>20190303154735287</v>
      </c>
      <c r="B193" t="str">
        <f>"1551599255281182"</f>
        <v>1551599255281182</v>
      </c>
      <c r="C193" t="s">
        <v>40</v>
      </c>
      <c r="D193">
        <v>5.1550200000000004</v>
      </c>
      <c r="E193">
        <v>0.50129299999999999</v>
      </c>
      <c r="F193" t="s">
        <v>43</v>
      </c>
      <c r="G193">
        <v>-414.50549999999998</v>
      </c>
      <c r="H193">
        <v>-0.05</v>
      </c>
      <c r="I193">
        <v>367.88659999999999</v>
      </c>
      <c r="J193">
        <v>-442.24180000000001</v>
      </c>
      <c r="K193">
        <v>1.1194649999999999</v>
      </c>
      <c r="L193">
        <v>368.23759999999999</v>
      </c>
      <c r="M193">
        <v>0.99987210000000004</v>
      </c>
      <c r="N193">
        <v>-4.4683220000000003E-3</v>
      </c>
      <c r="O193">
        <v>1.535456E-2</v>
      </c>
      <c r="P193">
        <v>0.99776699999999996</v>
      </c>
      <c r="Q193">
        <v>-6.6275459999999994E-2</v>
      </c>
      <c r="R193">
        <v>-8.2963640000000005E-3</v>
      </c>
      <c r="S193">
        <v>2.9981080000000002</v>
      </c>
      <c r="T193">
        <v>-0.12514459999999999</v>
      </c>
      <c r="U193">
        <v>-3.7139890000000002E-2</v>
      </c>
      <c r="V193">
        <v>2.357691E-2</v>
      </c>
      <c r="W193">
        <v>-6.1832350000000001E-2</v>
      </c>
      <c r="X193">
        <v>0.99780800000000003</v>
      </c>
      <c r="Y193">
        <v>2.7701549999999998E-2</v>
      </c>
      <c r="Z193">
        <v>-1.211826E-3</v>
      </c>
      <c r="AA193">
        <v>0.99961549999999999</v>
      </c>
      <c r="AB193">
        <v>26</v>
      </c>
      <c r="AC193">
        <v>27.7363</v>
      </c>
      <c r="AD193">
        <v>-1.169465</v>
      </c>
      <c r="AE193">
        <v>-0.35099999999999898</v>
      </c>
      <c r="AF193">
        <v>0.77546318602830899</v>
      </c>
      <c r="AG193">
        <v>-1.169465</v>
      </c>
      <c r="AH193">
        <v>27.678442414167598</v>
      </c>
      <c r="AI193">
        <v>92.418464951202793</v>
      </c>
      <c r="AJ193">
        <v>88.395171689856497</v>
      </c>
      <c r="AK193">
        <v>27.713988634144801</v>
      </c>
      <c r="AL193">
        <v>93.544994188443695</v>
      </c>
      <c r="AM193">
        <v>88.646426848127703</v>
      </c>
      <c r="AN193">
        <v>0.99999995752783399</v>
      </c>
    </row>
    <row r="194" spans="1:40" x14ac:dyDescent="0.25">
      <c r="A194" t="str">
        <f>"20190303154735307"</f>
        <v>20190303154735307</v>
      </c>
      <c r="B194" t="str">
        <f>"1551599255300701"</f>
        <v>1551599255300701</v>
      </c>
      <c r="C194" t="s">
        <v>40</v>
      </c>
      <c r="D194">
        <v>5.0245800000000003</v>
      </c>
      <c r="E194">
        <v>0.50147249999999999</v>
      </c>
      <c r="F194" t="s">
        <v>43</v>
      </c>
      <c r="G194">
        <v>-413.03629999999998</v>
      </c>
      <c r="H194">
        <v>-0.05</v>
      </c>
      <c r="I194">
        <v>367.89249999999998</v>
      </c>
      <c r="J194">
        <v>-441.99979999999999</v>
      </c>
      <c r="K194">
        <v>1.1194850000000001</v>
      </c>
      <c r="L194">
        <v>368.24099999999999</v>
      </c>
      <c r="M194">
        <v>0.99987649999999995</v>
      </c>
      <c r="N194">
        <v>-4.5958149999999996E-3</v>
      </c>
      <c r="O194">
        <v>1.50287999999999E-2</v>
      </c>
      <c r="P194">
        <v>0.99782700000000002</v>
      </c>
      <c r="Q194">
        <v>-6.5452720000000006E-2</v>
      </c>
      <c r="R194">
        <v>-7.5693690000000003E-3</v>
      </c>
      <c r="S194">
        <v>2.9984440000000001</v>
      </c>
      <c r="T194">
        <v>-0.12006559999999999</v>
      </c>
      <c r="U194">
        <v>-3.5430910000000003E-2</v>
      </c>
      <c r="V194">
        <v>2.2526810000000001E-2</v>
      </c>
      <c r="W194">
        <v>-6.0881339999999999E-2</v>
      </c>
      <c r="X194">
        <v>0.99789079999999997</v>
      </c>
      <c r="Y194">
        <v>2.6808800000000001E-2</v>
      </c>
      <c r="Z194">
        <v>-1.130631E-3</v>
      </c>
      <c r="AA194">
        <v>0.99963990000000003</v>
      </c>
      <c r="AB194">
        <v>26</v>
      </c>
      <c r="AC194">
        <v>28.9635</v>
      </c>
      <c r="AD194">
        <v>-1.1694850000000001</v>
      </c>
      <c r="AE194">
        <v>-0.34850000000000098</v>
      </c>
      <c r="AF194">
        <v>0.782476341107048</v>
      </c>
      <c r="AG194">
        <v>-1.1694850000000001</v>
      </c>
      <c r="AH194">
        <v>28.907867424497098</v>
      </c>
      <c r="AI194">
        <v>92.315824292124901</v>
      </c>
      <c r="AJ194">
        <v>88.449500032166398</v>
      </c>
      <c r="AK194">
        <v>28.9420932798911</v>
      </c>
      <c r="AL194">
        <v>93.490402243808106</v>
      </c>
      <c r="AM194">
        <v>88.706800424937995</v>
      </c>
      <c r="AN194">
        <v>1.0000000217267999</v>
      </c>
    </row>
    <row r="195" spans="1:40" x14ac:dyDescent="0.25">
      <c r="A195" t="str">
        <f>"20190303154735329"</f>
        <v>20190303154735329</v>
      </c>
      <c r="B195" t="str">
        <f>"1551599255321197"</f>
        <v>1551599255321197</v>
      </c>
      <c r="C195" t="s">
        <v>40</v>
      </c>
      <c r="D195">
        <v>5.0052719999999997</v>
      </c>
      <c r="E195">
        <v>0.50155349999999999</v>
      </c>
      <c r="F195" t="s">
        <v>43</v>
      </c>
      <c r="G195">
        <v>-411.83049999999997</v>
      </c>
      <c r="H195">
        <v>-0.05</v>
      </c>
      <c r="I195">
        <v>367.89010000000002</v>
      </c>
      <c r="J195">
        <v>-441.7441</v>
      </c>
      <c r="K195">
        <v>1.1194980000000001</v>
      </c>
      <c r="L195">
        <v>368.24450000000002</v>
      </c>
      <c r="M195">
        <v>0.99988100000000002</v>
      </c>
      <c r="N195">
        <v>-4.7407909999999899E-3</v>
      </c>
      <c r="O195">
        <v>1.468705E-2</v>
      </c>
      <c r="P195">
        <v>0.99785380000000001</v>
      </c>
      <c r="Q195">
        <v>-6.504016E-2</v>
      </c>
      <c r="R195">
        <v>-7.6183179999999998E-3</v>
      </c>
      <c r="S195">
        <v>2.998688</v>
      </c>
      <c r="T195">
        <v>-0.1162415</v>
      </c>
      <c r="U195">
        <v>-3.4881589999999997E-2</v>
      </c>
      <c r="V195">
        <v>2.223514E-2</v>
      </c>
      <c r="W195">
        <v>-6.032382E-2</v>
      </c>
      <c r="X195">
        <v>0.99793120000000002</v>
      </c>
      <c r="Y195">
        <v>2.628581E-2</v>
      </c>
      <c r="Z195">
        <v>-1.0710909999999999E-3</v>
      </c>
      <c r="AA195">
        <v>0.99965389999999998</v>
      </c>
      <c r="AB195">
        <v>26</v>
      </c>
      <c r="AC195">
        <v>29.913599999999999</v>
      </c>
      <c r="AD195">
        <v>-1.1694979999999999</v>
      </c>
      <c r="AE195">
        <v>-0.35439999999999799</v>
      </c>
      <c r="AF195">
        <v>0.79249805325840095</v>
      </c>
      <c r="AG195">
        <v>-1.1694979999999999</v>
      </c>
      <c r="AH195">
        <v>29.859534792558101</v>
      </c>
      <c r="AI195">
        <v>92.242148642508795</v>
      </c>
      <c r="AJ195">
        <v>88.479677035878595</v>
      </c>
      <c r="AK195">
        <v>29.892935566190399</v>
      </c>
      <c r="AL195">
        <v>93.458399877868899</v>
      </c>
      <c r="AM195">
        <v>88.723590446125797</v>
      </c>
      <c r="AN195">
        <v>1.0000000223218199</v>
      </c>
    </row>
    <row r="196" spans="1:40" x14ac:dyDescent="0.25">
      <c r="A196" t="str">
        <f>"20190303154735351"</f>
        <v>20190303154735351</v>
      </c>
      <c r="B196" t="str">
        <f>"1551599255340717"</f>
        <v>1551599255340717</v>
      </c>
      <c r="C196" t="s">
        <v>40</v>
      </c>
      <c r="D196">
        <v>5.0326440000000003</v>
      </c>
      <c r="E196">
        <v>0.5016178</v>
      </c>
      <c r="F196" t="s">
        <v>43</v>
      </c>
      <c r="G196">
        <v>-410.89080000000001</v>
      </c>
      <c r="H196">
        <v>-0.05</v>
      </c>
      <c r="I196">
        <v>367.87900000000002</v>
      </c>
      <c r="J196">
        <v>-441.49599999999998</v>
      </c>
      <c r="K196">
        <v>1.119516</v>
      </c>
      <c r="L196">
        <v>368.24779999999998</v>
      </c>
      <c r="M196">
        <v>0.99988509999999997</v>
      </c>
      <c r="N196">
        <v>-4.8961730000000002E-3</v>
      </c>
      <c r="O196">
        <v>1.435646E-2</v>
      </c>
      <c r="P196">
        <v>0.99783330000000003</v>
      </c>
      <c r="Q196">
        <v>-6.5258789999999997E-2</v>
      </c>
      <c r="R196">
        <v>-8.3884900000000002E-3</v>
      </c>
      <c r="S196">
        <v>2.9987789999999999</v>
      </c>
      <c r="T196">
        <v>-0.1136692</v>
      </c>
      <c r="U196">
        <v>-3.5522459999999999E-2</v>
      </c>
      <c r="V196">
        <v>2.2674900000000001E-2</v>
      </c>
      <c r="W196">
        <v>-6.0387879999999998E-2</v>
      </c>
      <c r="X196">
        <v>0.99791739999999995</v>
      </c>
      <c r="Y196">
        <v>2.617017E-2</v>
      </c>
      <c r="Z196">
        <v>-1.0335909999999999E-3</v>
      </c>
      <c r="AA196">
        <v>0.99965700000000002</v>
      </c>
      <c r="AB196">
        <v>26</v>
      </c>
      <c r="AC196">
        <v>30.6051999999999</v>
      </c>
      <c r="AD196">
        <v>-1.169516</v>
      </c>
      <c r="AE196">
        <v>-0.36879999999996399</v>
      </c>
      <c r="AF196">
        <v>0.80697132820117901</v>
      </c>
      <c r="AG196">
        <v>-1.169516</v>
      </c>
      <c r="AH196">
        <v>30.5521443056065</v>
      </c>
      <c r="AI196">
        <v>92.1914109247124</v>
      </c>
      <c r="AJ196">
        <v>88.4870029659876</v>
      </c>
      <c r="AK196">
        <v>30.585167844388199</v>
      </c>
      <c r="AL196">
        <v>93.462077053477699</v>
      </c>
      <c r="AM196">
        <v>88.698336603608297</v>
      </c>
      <c r="AN196">
        <v>0.999999992181832</v>
      </c>
    </row>
    <row r="197" spans="1:40" x14ac:dyDescent="0.25">
      <c r="A197" t="str">
        <f>"20190303154735374"</f>
        <v>20190303154735374</v>
      </c>
      <c r="B197" t="str">
        <f>"1551599255370973"</f>
        <v>1551599255370973</v>
      </c>
      <c r="C197" t="s">
        <v>40</v>
      </c>
      <c r="D197">
        <v>4.9785879999999896</v>
      </c>
      <c r="E197">
        <v>0.50183500000000003</v>
      </c>
      <c r="F197" t="s">
        <v>43</v>
      </c>
      <c r="G197">
        <v>-410.58659999999998</v>
      </c>
      <c r="H197">
        <v>-0.05</v>
      </c>
      <c r="I197">
        <v>367.85109999999997</v>
      </c>
      <c r="J197">
        <v>-441.21179999999998</v>
      </c>
      <c r="K197">
        <v>1.1194710000000001</v>
      </c>
      <c r="L197">
        <v>368.25139999999999</v>
      </c>
      <c r="M197">
        <v>0.99988440000000001</v>
      </c>
      <c r="N197">
        <v>-4.9289340000000003E-3</v>
      </c>
      <c r="O197">
        <v>1.4387489999999999E-2</v>
      </c>
      <c r="P197">
        <v>0.99782700000000002</v>
      </c>
      <c r="Q197">
        <v>-6.5228499999999995E-2</v>
      </c>
      <c r="R197">
        <v>-9.3114479999999999E-3</v>
      </c>
      <c r="S197">
        <v>2.9987789999999999</v>
      </c>
      <c r="T197">
        <v>-0.1134647</v>
      </c>
      <c r="U197">
        <v>-3.8482669999999997E-2</v>
      </c>
      <c r="V197">
        <v>2.3625170000000001E-2</v>
      </c>
      <c r="W197">
        <v>-6.0327020000000002E-2</v>
      </c>
      <c r="X197">
        <v>0.99789910000000004</v>
      </c>
      <c r="Y197">
        <v>2.7187099999999999E-2</v>
      </c>
      <c r="Z197">
        <v>-1.0544350000000001E-3</v>
      </c>
      <c r="AA197">
        <v>0.99962980000000001</v>
      </c>
      <c r="AB197">
        <v>26</v>
      </c>
      <c r="AC197">
        <v>30.6252</v>
      </c>
      <c r="AD197">
        <v>-1.1694709999999999</v>
      </c>
      <c r="AE197">
        <v>-0.40030000000001498</v>
      </c>
      <c r="AF197">
        <v>0.83965945984316803</v>
      </c>
      <c r="AG197">
        <v>-1.1694709999999999</v>
      </c>
      <c r="AH197">
        <v>30.571698230269799</v>
      </c>
      <c r="AI197">
        <v>92.189864484659594</v>
      </c>
      <c r="AJ197">
        <v>88.426752365839803</v>
      </c>
      <c r="AK197">
        <v>30.6055783005488</v>
      </c>
      <c r="AL197">
        <v>93.458583442645605</v>
      </c>
      <c r="AM197">
        <v>88.643781005613604</v>
      </c>
      <c r="AN197">
        <v>1.0000000558902</v>
      </c>
    </row>
    <row r="198" spans="1:40" x14ac:dyDescent="0.25">
      <c r="A198" t="str">
        <f>"20190303154735397"</f>
        <v>20190303154735397</v>
      </c>
      <c r="B198" t="str">
        <f>"1551599255390493"</f>
        <v>1551599255390493</v>
      </c>
      <c r="C198" t="s">
        <v>40</v>
      </c>
      <c r="D198">
        <v>4.991225</v>
      </c>
      <c r="E198">
        <v>0.50190059999999903</v>
      </c>
      <c r="F198" t="s">
        <v>43</v>
      </c>
      <c r="G198">
        <v>-410.02319999999997</v>
      </c>
      <c r="H198">
        <v>-0.05</v>
      </c>
      <c r="I198">
        <v>367.80549999999999</v>
      </c>
      <c r="J198">
        <v>-440.94189999999998</v>
      </c>
      <c r="K198">
        <v>1.1193979999999999</v>
      </c>
      <c r="L198">
        <v>368.25470000000001</v>
      </c>
      <c r="M198">
        <v>0.9998842</v>
      </c>
      <c r="N198">
        <v>-4.6634229999999999E-3</v>
      </c>
      <c r="O198">
        <v>1.4488930000000001E-2</v>
      </c>
      <c r="P198">
        <v>0.99781690000000001</v>
      </c>
      <c r="Q198">
        <v>-6.5357299999999993E-2</v>
      </c>
      <c r="R198">
        <v>-9.4921659999999998E-3</v>
      </c>
      <c r="S198">
        <v>2.9988100000000002</v>
      </c>
      <c r="T198">
        <v>-0.11244560000000001</v>
      </c>
      <c r="U198">
        <v>-4.2877199999999997E-2</v>
      </c>
      <c r="V198">
        <v>2.3917029999999999E-2</v>
      </c>
      <c r="W198">
        <v>-6.0716939999999997E-2</v>
      </c>
      <c r="X198">
        <v>0.99786839999999999</v>
      </c>
      <c r="Y198">
        <v>2.875219E-2</v>
      </c>
      <c r="Z198">
        <v>-1.081437E-3</v>
      </c>
      <c r="AA198">
        <v>0.99958599999999997</v>
      </c>
      <c r="AB198">
        <v>26</v>
      </c>
      <c r="AC198">
        <v>30.918700000000001</v>
      </c>
      <c r="AD198">
        <v>-1.1693979999999999</v>
      </c>
      <c r="AE198">
        <v>-0.44920000000001797</v>
      </c>
      <c r="AF198">
        <v>0.895855343499946</v>
      </c>
      <c r="AG198">
        <v>-1.1693979999999999</v>
      </c>
      <c r="AH198">
        <v>30.864803681159501</v>
      </c>
      <c r="AI198">
        <v>92.168857887529597</v>
      </c>
      <c r="AJ198">
        <v>88.337448573050096</v>
      </c>
      <c r="AK198">
        <v>30.8999377791509</v>
      </c>
      <c r="AL198">
        <v>93.480965583930299</v>
      </c>
      <c r="AM198">
        <v>88.626990733253905</v>
      </c>
      <c r="AN198">
        <v>0.99999995742277104</v>
      </c>
    </row>
    <row r="199" spans="1:40" x14ac:dyDescent="0.25">
      <c r="A199" t="str">
        <f>"20190303154735418"</f>
        <v>20190303154735418</v>
      </c>
      <c r="B199" t="str">
        <f>"1551599255410989"</f>
        <v>1551599255410989</v>
      </c>
      <c r="C199" t="s">
        <v>40</v>
      </c>
      <c r="D199">
        <v>4.9769220000000001</v>
      </c>
      <c r="E199">
        <v>0.50179229999999997</v>
      </c>
      <c r="F199" t="s">
        <v>43</v>
      </c>
      <c r="G199">
        <v>-409.71319999999997</v>
      </c>
      <c r="H199">
        <v>-0.05</v>
      </c>
      <c r="I199">
        <v>367.79570000000001</v>
      </c>
      <c r="J199">
        <v>-440.68729999999999</v>
      </c>
      <c r="K199">
        <v>1.1193550000000001</v>
      </c>
      <c r="L199">
        <v>368.2577</v>
      </c>
      <c r="M199">
        <v>0.99988900000000003</v>
      </c>
      <c r="N199">
        <v>-4.4992840000000001E-3</v>
      </c>
      <c r="O199">
        <v>1.419754E-2</v>
      </c>
      <c r="P199">
        <v>0.99780259999999998</v>
      </c>
      <c r="Q199">
        <v>-6.5425280000000002E-2</v>
      </c>
      <c r="R199">
        <v>-1.046794E-2</v>
      </c>
      <c r="S199">
        <v>2.9987789999999999</v>
      </c>
      <c r="T199">
        <v>-0.1122932</v>
      </c>
      <c r="U199">
        <v>-4.4067380000000003E-2</v>
      </c>
      <c r="V199">
        <v>2.463073E-2</v>
      </c>
      <c r="W199">
        <v>-6.0937400000000003E-2</v>
      </c>
      <c r="X199">
        <v>0.99783770000000005</v>
      </c>
      <c r="Y199">
        <v>2.8857839999999999E-2</v>
      </c>
      <c r="Z199">
        <v>-1.072616E-3</v>
      </c>
      <c r="AA199">
        <v>0.99958290000000005</v>
      </c>
      <c r="AB199">
        <v>26</v>
      </c>
      <c r="AC199">
        <v>30.9741</v>
      </c>
      <c r="AD199">
        <v>-1.1693549999999999</v>
      </c>
      <c r="AE199">
        <v>-0.46199999999998898</v>
      </c>
      <c r="AF199">
        <v>0.90043088074881295</v>
      </c>
      <c r="AG199">
        <v>-1.1693549999999999</v>
      </c>
      <c r="AH199">
        <v>30.920358844958901</v>
      </c>
      <c r="AI199">
        <v>92.164879220202195</v>
      </c>
      <c r="AJ199">
        <v>88.331962661641299</v>
      </c>
      <c r="AK199">
        <v>30.955561018790402</v>
      </c>
      <c r="AL199">
        <v>93.493620094608602</v>
      </c>
      <c r="AM199">
        <v>88.585992135295399</v>
      </c>
      <c r="AN199">
        <v>1.0000000575601899</v>
      </c>
    </row>
    <row r="200" spans="1:40" x14ac:dyDescent="0.25">
      <c r="A200" t="str">
        <f>"20190303154735444"</f>
        <v>20190303154735444</v>
      </c>
      <c r="B200" t="str">
        <f>"1551599255441246"</f>
        <v>1551599255441246</v>
      </c>
      <c r="C200" t="s">
        <v>40</v>
      </c>
      <c r="D200">
        <v>4.95669</v>
      </c>
      <c r="E200">
        <v>0.4921218</v>
      </c>
      <c r="F200" t="s">
        <v>43</v>
      </c>
      <c r="G200">
        <v>-409.46469999999999</v>
      </c>
      <c r="H200">
        <v>-0.05</v>
      </c>
      <c r="I200">
        <v>367.77730000000003</v>
      </c>
      <c r="J200">
        <v>-440.38900000000001</v>
      </c>
      <c r="K200">
        <v>1.11917</v>
      </c>
      <c r="L200">
        <v>368.26130000000001</v>
      </c>
      <c r="M200">
        <v>0.99989720000000004</v>
      </c>
      <c r="N200">
        <v>-4.7873489999999998E-3</v>
      </c>
      <c r="O200">
        <v>1.350875E-2</v>
      </c>
      <c r="P200">
        <v>0.99777579999999999</v>
      </c>
      <c r="Q200">
        <v>-6.5689380000000006E-2</v>
      </c>
      <c r="R200">
        <v>-1.131807E-2</v>
      </c>
      <c r="S200">
        <v>2.9987490000000001</v>
      </c>
      <c r="T200">
        <v>-0.1123097</v>
      </c>
      <c r="U200">
        <v>-4.6142580000000002E-2</v>
      </c>
      <c r="V200">
        <v>2.4827209999999999E-2</v>
      </c>
      <c r="W200">
        <v>-6.0900339999999997E-2</v>
      </c>
      <c r="X200">
        <v>0.99783500000000003</v>
      </c>
      <c r="Y200">
        <v>2.8861339999999999E-2</v>
      </c>
      <c r="Z200">
        <v>-1.050434E-3</v>
      </c>
      <c r="AA200">
        <v>0.99958290000000005</v>
      </c>
      <c r="AB200">
        <v>27</v>
      </c>
      <c r="AC200">
        <v>30.924299999999999</v>
      </c>
      <c r="AD200">
        <v>-1.16917</v>
      </c>
      <c r="AE200">
        <v>-0.48399999999998</v>
      </c>
      <c r="AF200">
        <v>0.900422544528934</v>
      </c>
      <c r="AG200">
        <v>-1.16917</v>
      </c>
      <c r="AH200">
        <v>30.870823733536</v>
      </c>
      <c r="AI200">
        <v>92.168004006751502</v>
      </c>
      <c r="AJ200">
        <v>88.329303114856899</v>
      </c>
      <c r="AK200">
        <v>30.9060750862132</v>
      </c>
      <c r="AL200">
        <v>93.491493087425297</v>
      </c>
      <c r="AM200">
        <v>88.574713335555003</v>
      </c>
      <c r="AN200">
        <v>0.99999996449674899</v>
      </c>
    </row>
    <row r="201" spans="1:40" x14ac:dyDescent="0.25">
      <c r="A201" t="str">
        <f>"20190303154735465"</f>
        <v>20190303154735465</v>
      </c>
      <c r="B201" t="str">
        <f>"1551599255460766"</f>
        <v>1551599255460766</v>
      </c>
      <c r="C201" t="s">
        <v>40</v>
      </c>
      <c r="D201">
        <v>4.9665900000000001</v>
      </c>
      <c r="E201">
        <v>0.49173549999999999</v>
      </c>
      <c r="F201" t="s">
        <v>41</v>
      </c>
      <c r="G201">
        <v>-398.28890000000001</v>
      </c>
      <c r="H201" s="1">
        <v>-8.8688529999999997E-7</v>
      </c>
      <c r="I201">
        <v>368.6551</v>
      </c>
      <c r="J201">
        <v>-440.12709999999998</v>
      </c>
      <c r="K201">
        <v>1.1187560000000001</v>
      </c>
      <c r="L201">
        <v>368.26440000000002</v>
      </c>
      <c r="M201">
        <v>0.99990239999999997</v>
      </c>
      <c r="N201">
        <v>-5.4972830000000004E-3</v>
      </c>
      <c r="O201">
        <v>1.285179E-2</v>
      </c>
      <c r="P201">
        <v>0.99775210000000003</v>
      </c>
      <c r="Q201">
        <v>-6.5953789999999998E-2</v>
      </c>
      <c r="R201">
        <v>-1.188466E-2</v>
      </c>
      <c r="S201">
        <v>3.0017399999999999</v>
      </c>
      <c r="T201">
        <v>-7.979667E-2</v>
      </c>
      <c r="U201">
        <v>2.8076170000000001E-2</v>
      </c>
      <c r="V201">
        <v>2.4755579999999999E-2</v>
      </c>
      <c r="W201">
        <v>-6.0449160000000002E-2</v>
      </c>
      <c r="X201">
        <v>0.99786419999999998</v>
      </c>
      <c r="Y201">
        <v>3.494951E-3</v>
      </c>
      <c r="Z201">
        <v>-3.2697709999999998E-4</v>
      </c>
      <c r="AA201">
        <v>0.99999389999999999</v>
      </c>
      <c r="AB201">
        <v>27</v>
      </c>
      <c r="AC201">
        <v>41.838199999999901</v>
      </c>
      <c r="AD201">
        <v>-1.1187568868853</v>
      </c>
      <c r="AE201">
        <v>0.39069999999998101</v>
      </c>
      <c r="AF201">
        <v>0.14693104863491799</v>
      </c>
      <c r="AG201">
        <v>-1.1187568868853</v>
      </c>
      <c r="AH201">
        <v>41.809873057693501</v>
      </c>
      <c r="AI201">
        <v>91.5327566361359</v>
      </c>
      <c r="AJ201">
        <v>89.7986481734021</v>
      </c>
      <c r="AK201">
        <v>41.825096423145801</v>
      </c>
      <c r="AL201">
        <v>93.4655947089622</v>
      </c>
      <c r="AM201">
        <v>88.578865369679406</v>
      </c>
      <c r="AN201">
        <v>0.99999995066373903</v>
      </c>
    </row>
    <row r="202" spans="1:40" x14ac:dyDescent="0.25">
      <c r="A202" t="str">
        <f>"20190303154735487"</f>
        <v>20190303154735487</v>
      </c>
      <c r="B202" t="str">
        <f>"1551599255481262"</f>
        <v>1551599255481262</v>
      </c>
      <c r="C202" t="s">
        <v>40</v>
      </c>
      <c r="D202">
        <v>5.0178890000000003</v>
      </c>
      <c r="E202">
        <v>0.49119020000000002</v>
      </c>
      <c r="F202" t="s">
        <v>41</v>
      </c>
      <c r="G202">
        <v>-398.04899999999998</v>
      </c>
      <c r="H202" s="1">
        <v>-9.8633729999999998E-7</v>
      </c>
      <c r="I202">
        <v>368.6746</v>
      </c>
      <c r="J202">
        <v>-439.85469999999998</v>
      </c>
      <c r="K202">
        <v>1.118031</v>
      </c>
      <c r="L202">
        <v>368.26769999999999</v>
      </c>
      <c r="M202">
        <v>0.99990349999999995</v>
      </c>
      <c r="N202">
        <v>-6.6466759999999998E-3</v>
      </c>
      <c r="O202">
        <v>1.2206430000000001E-2</v>
      </c>
      <c r="P202">
        <v>0.99771140000000003</v>
      </c>
      <c r="Q202">
        <v>-6.6511680000000004E-2</v>
      </c>
      <c r="R202">
        <v>-1.218405E-2</v>
      </c>
      <c r="S202">
        <v>3.001862</v>
      </c>
      <c r="T202">
        <v>-7.9812049999999995E-2</v>
      </c>
      <c r="U202">
        <v>2.9266360000000002E-2</v>
      </c>
      <c r="V202">
        <v>2.4416500000000001E-2</v>
      </c>
      <c r="W202">
        <v>-5.9857899999999999E-2</v>
      </c>
      <c r="X202">
        <v>0.99790820000000002</v>
      </c>
      <c r="Y202">
        <v>2.4543999999999998E-3</v>
      </c>
      <c r="Z202">
        <v>-2.841203E-4</v>
      </c>
      <c r="AA202">
        <v>0.99999700000000002</v>
      </c>
      <c r="AB202">
        <v>27</v>
      </c>
      <c r="AC202">
        <v>41.805699999999902</v>
      </c>
      <c r="AD202">
        <v>-1.1180319863373001</v>
      </c>
      <c r="AE202">
        <v>0.40690000000000698</v>
      </c>
      <c r="AF202">
        <v>0.103365969847775</v>
      </c>
      <c r="AG202">
        <v>-1.1180319863373001</v>
      </c>
      <c r="AH202">
        <v>41.777674944570897</v>
      </c>
      <c r="AI202">
        <v>91.532948698196506</v>
      </c>
      <c r="AJ202">
        <v>89.858239556402097</v>
      </c>
      <c r="AK202">
        <v>41.792760184276197</v>
      </c>
      <c r="AL202">
        <v>93.431656533138494</v>
      </c>
      <c r="AM202">
        <v>88.598384771627195</v>
      </c>
      <c r="AN202">
        <v>0.99999995464594804</v>
      </c>
    </row>
    <row r="203" spans="1:40" x14ac:dyDescent="0.25">
      <c r="A203" t="str">
        <f>"20190303154735508"</f>
        <v>20190303154735508</v>
      </c>
      <c r="B203" t="str">
        <f>"1551599255500782"</f>
        <v>1551599255500782</v>
      </c>
      <c r="C203" t="s">
        <v>40</v>
      </c>
      <c r="D203">
        <v>5.0098570000000002</v>
      </c>
      <c r="E203">
        <v>0.49051139999999999</v>
      </c>
      <c r="F203" t="s">
        <v>43</v>
      </c>
      <c r="G203">
        <v>-400.44490000000002</v>
      </c>
      <c r="H203">
        <v>-0.05</v>
      </c>
      <c r="I203">
        <v>368.69839999999999</v>
      </c>
      <c r="J203">
        <v>-439.59969999999998</v>
      </c>
      <c r="K203">
        <v>1.117137</v>
      </c>
      <c r="L203">
        <v>368.2706</v>
      </c>
      <c r="M203">
        <v>0.99989980000000001</v>
      </c>
      <c r="N203">
        <v>-8.2060299999999996E-3</v>
      </c>
      <c r="O203">
        <v>1.154239E-2</v>
      </c>
      <c r="P203">
        <v>0.99763579999999996</v>
      </c>
      <c r="Q203">
        <v>-6.7649100000000004E-2</v>
      </c>
      <c r="R203">
        <v>-1.2112400000000001E-2</v>
      </c>
      <c r="S203">
        <v>3.0013429999999999</v>
      </c>
      <c r="T203">
        <v>-8.8953850000000001E-2</v>
      </c>
      <c r="U203">
        <v>3.2806399999999999E-2</v>
      </c>
      <c r="V203">
        <v>2.3679950000000002E-2</v>
      </c>
      <c r="W203">
        <v>-5.9440859999999998E-2</v>
      </c>
      <c r="X203">
        <v>0.99795089999999997</v>
      </c>
      <c r="Y203">
        <v>6.0990719999999999E-4</v>
      </c>
      <c r="Z203">
        <v>-2.5883239999999999E-4</v>
      </c>
      <c r="AA203">
        <v>0.99999979999999999</v>
      </c>
      <c r="AB203">
        <v>27</v>
      </c>
      <c r="AC203">
        <v>39.154799999999902</v>
      </c>
      <c r="AD203">
        <v>-1.1671370000000001</v>
      </c>
      <c r="AE203">
        <v>0.42779999999999002</v>
      </c>
      <c r="AF203">
        <v>2.4162183331948198E-2</v>
      </c>
      <c r="AG203">
        <v>-1.1671370000000001</v>
      </c>
      <c r="AH203">
        <v>39.1223721275827</v>
      </c>
      <c r="AI203">
        <v>91.708796772057994</v>
      </c>
      <c r="AJ203">
        <v>89.964613828931206</v>
      </c>
      <c r="AK203">
        <v>39.139785301875797</v>
      </c>
      <c r="AL203">
        <v>93.407719199653499</v>
      </c>
      <c r="AM203">
        <v>88.640708034027497</v>
      </c>
      <c r="AN203">
        <v>0.99999997734017498</v>
      </c>
    </row>
    <row r="204" spans="1:40" x14ac:dyDescent="0.25">
      <c r="A204" t="str">
        <f>"20190303154735532"</f>
        <v>20190303154735532</v>
      </c>
      <c r="B204" t="str">
        <f>"1551599255521277"</f>
        <v>1551599255521277</v>
      </c>
      <c r="C204" t="s">
        <v>40</v>
      </c>
      <c r="D204">
        <v>4.9901819999999999</v>
      </c>
      <c r="E204">
        <v>0.48984220000000001</v>
      </c>
      <c r="F204" t="s">
        <v>43</v>
      </c>
      <c r="G204">
        <v>-404.31349999999998</v>
      </c>
      <c r="H204">
        <v>-0.05</v>
      </c>
      <c r="I204">
        <v>368.72269999999997</v>
      </c>
      <c r="J204">
        <v>-439.31959999999998</v>
      </c>
      <c r="K204">
        <v>1.1159300000000001</v>
      </c>
      <c r="L204">
        <v>368.27370000000002</v>
      </c>
      <c r="M204">
        <v>0.99988529999999998</v>
      </c>
      <c r="N204">
        <v>-1.0481860000000001E-2</v>
      </c>
      <c r="O204">
        <v>1.095019E-2</v>
      </c>
      <c r="P204">
        <v>0.99750859999999997</v>
      </c>
      <c r="Q204">
        <v>-6.9489640000000005E-2</v>
      </c>
      <c r="R204">
        <v>-1.2165459999999999E-2</v>
      </c>
      <c r="S204">
        <v>3.0008539999999999</v>
      </c>
      <c r="T204">
        <v>-9.9257109999999996E-2</v>
      </c>
      <c r="U204">
        <v>3.8452149999999997E-2</v>
      </c>
      <c r="V204">
        <v>2.312896E-2</v>
      </c>
      <c r="W204">
        <v>-5.9016220000000001E-2</v>
      </c>
      <c r="X204">
        <v>0.99798909999999996</v>
      </c>
      <c r="Y204">
        <v>-1.8634770000000001E-3</v>
      </c>
      <c r="Z204">
        <v>-2.067274E-4</v>
      </c>
      <c r="AA204">
        <v>0.99999830000000001</v>
      </c>
      <c r="AB204">
        <v>27</v>
      </c>
      <c r="AC204">
        <v>35.006100000000004</v>
      </c>
      <c r="AD204">
        <v>-1.1659299999999999</v>
      </c>
      <c r="AE204">
        <v>0.44899999999995499</v>
      </c>
      <c r="AF204">
        <v>-6.5555935499651496E-2</v>
      </c>
      <c r="AG204">
        <v>-1.1659299999999999</v>
      </c>
      <c r="AH204">
        <v>34.970131136256001</v>
      </c>
      <c r="AI204">
        <v>91.909572897988298</v>
      </c>
      <c r="AJ204">
        <v>90.107408062372798</v>
      </c>
      <c r="AK204">
        <v>34.9896236337649</v>
      </c>
      <c r="AL204">
        <v>93.383346073767996</v>
      </c>
      <c r="AM204">
        <v>88.672375667761102</v>
      </c>
      <c r="AN204">
        <v>1.0000000533662801</v>
      </c>
    </row>
    <row r="205" spans="1:40" x14ac:dyDescent="0.25">
      <c r="A205" t="str">
        <f>"20190303154735554"</f>
        <v>20190303154735554</v>
      </c>
      <c r="B205" t="str">
        <f>"1551599255550558"</f>
        <v>1551599255550558</v>
      </c>
      <c r="C205" t="s">
        <v>40</v>
      </c>
      <c r="D205">
        <v>4.994548</v>
      </c>
      <c r="E205">
        <v>0.4892956</v>
      </c>
      <c r="F205" t="s">
        <v>43</v>
      </c>
      <c r="G205">
        <v>-407.86829999999998</v>
      </c>
      <c r="H205">
        <v>-0.05</v>
      </c>
      <c r="I205">
        <v>368.73430000000002</v>
      </c>
      <c r="J205">
        <v>-439.05220000000003</v>
      </c>
      <c r="K205">
        <v>1.1145849999999999</v>
      </c>
      <c r="L205">
        <v>368.27640000000002</v>
      </c>
      <c r="M205">
        <v>0.99986010000000003</v>
      </c>
      <c r="N205">
        <v>-1.294698E-2</v>
      </c>
      <c r="O205">
        <v>1.0603899999999999E-2</v>
      </c>
      <c r="P205">
        <v>0.99736290000000005</v>
      </c>
      <c r="Q205">
        <v>-7.1521970000000004E-2</v>
      </c>
      <c r="R205">
        <v>-1.2335550000000001E-2</v>
      </c>
      <c r="S205">
        <v>3.0002439999999999</v>
      </c>
      <c r="T205">
        <v>-0.1112219</v>
      </c>
      <c r="U205">
        <v>4.3945310000000001E-2</v>
      </c>
      <c r="V205">
        <v>2.293369E-2</v>
      </c>
      <c r="W205">
        <v>-5.8596879999999997E-2</v>
      </c>
      <c r="X205">
        <v>0.99801830000000002</v>
      </c>
      <c r="Y205">
        <v>-4.0405390000000001E-3</v>
      </c>
      <c r="Z205">
        <v>-1.5463210000000001E-4</v>
      </c>
      <c r="AA205">
        <v>0.99999179999999999</v>
      </c>
      <c r="AB205">
        <v>27</v>
      </c>
      <c r="AC205">
        <v>31.183900000000001</v>
      </c>
      <c r="AD205">
        <v>-1.164585</v>
      </c>
      <c r="AE205">
        <v>0.45789999999999498</v>
      </c>
      <c r="AF205">
        <v>-0.126998536693361</v>
      </c>
      <c r="AG205">
        <v>-1.164585</v>
      </c>
      <c r="AH205">
        <v>31.143575734388499</v>
      </c>
      <c r="AI205">
        <v>92.141506702898695</v>
      </c>
      <c r="AJ205">
        <v>90.233641759261104</v>
      </c>
      <c r="AK205">
        <v>31.165601171389898</v>
      </c>
      <c r="AL205">
        <v>93.359278062762698</v>
      </c>
      <c r="AM205">
        <v>88.683618892964404</v>
      </c>
      <c r="AN205">
        <v>1.0000000378088101</v>
      </c>
    </row>
    <row r="206" spans="1:40" x14ac:dyDescent="0.25">
      <c r="A206" t="str">
        <f>"20190303154735576"</f>
        <v>20190303154735576</v>
      </c>
      <c r="B206" t="str">
        <f>"1551599255571054"</f>
        <v>1551599255571054</v>
      </c>
      <c r="C206" t="s">
        <v>40</v>
      </c>
      <c r="D206">
        <v>5.0017480000000001</v>
      </c>
      <c r="E206">
        <v>0.48920350000000001</v>
      </c>
      <c r="F206" t="s">
        <v>43</v>
      </c>
      <c r="G206">
        <v>-410.55790000000002</v>
      </c>
      <c r="H206">
        <v>-0.05</v>
      </c>
      <c r="I206">
        <v>368.72890000000001</v>
      </c>
      <c r="J206">
        <v>-438.77929999999998</v>
      </c>
      <c r="K206">
        <v>1.113076</v>
      </c>
      <c r="L206">
        <v>368.279</v>
      </c>
      <c r="M206">
        <v>0.99982599999999999</v>
      </c>
      <c r="N206">
        <v>-1.54839E-2</v>
      </c>
      <c r="O206">
        <v>1.041517E-2</v>
      </c>
      <c r="P206">
        <v>0.99720529999999996</v>
      </c>
      <c r="Q206">
        <v>-7.3636699999999999E-2</v>
      </c>
      <c r="R206">
        <v>-1.262422E-2</v>
      </c>
      <c r="S206">
        <v>2.999695</v>
      </c>
      <c r="T206">
        <v>-0.1226</v>
      </c>
      <c r="U206">
        <v>4.7637939999999997E-2</v>
      </c>
      <c r="V206">
        <v>2.3014469999999999E-2</v>
      </c>
      <c r="W206">
        <v>-5.8188770000000001E-2</v>
      </c>
      <c r="X206">
        <v>0.99804029999999999</v>
      </c>
      <c r="Y206">
        <v>-5.4600289999999999E-3</v>
      </c>
      <c r="Z206">
        <v>-1.104017E-4</v>
      </c>
      <c r="AA206">
        <v>0.99998509999999996</v>
      </c>
      <c r="AB206">
        <v>27</v>
      </c>
      <c r="AC206">
        <v>28.2213999999999</v>
      </c>
      <c r="AD206">
        <v>-1.163076</v>
      </c>
      <c r="AE206">
        <v>0.44990000000001301</v>
      </c>
      <c r="AF206">
        <v>-0.15564541696288101</v>
      </c>
      <c r="AG206">
        <v>-1.163076</v>
      </c>
      <c r="AH206">
        <v>28.176709999643801</v>
      </c>
      <c r="AI206">
        <v>92.363672748306996</v>
      </c>
      <c r="AJ206">
        <v>90.316493117528296</v>
      </c>
      <c r="AK206">
        <v>28.201133978647501</v>
      </c>
      <c r="AL206">
        <v>93.3358551767395</v>
      </c>
      <c r="AM206">
        <v>88.679012914944593</v>
      </c>
      <c r="AN206">
        <v>1.0000000196037899</v>
      </c>
    </row>
    <row r="207" spans="1:40" x14ac:dyDescent="0.25">
      <c r="A207" t="str">
        <f>"20190303154735600"</f>
        <v>20190303154735600</v>
      </c>
      <c r="B207" t="str">
        <f>"1551599255590574"</f>
        <v>1551599255590574</v>
      </c>
      <c r="C207" t="s">
        <v>40</v>
      </c>
      <c r="D207">
        <v>4.9333309999999999</v>
      </c>
      <c r="E207">
        <v>0.48916850000000001</v>
      </c>
      <c r="F207" t="s">
        <v>43</v>
      </c>
      <c r="G207">
        <v>-411.74360000000001</v>
      </c>
      <c r="H207">
        <v>-0.05</v>
      </c>
      <c r="I207">
        <v>368.70949999999999</v>
      </c>
      <c r="J207">
        <v>-438.4966</v>
      </c>
      <c r="K207">
        <v>1.111399</v>
      </c>
      <c r="L207">
        <v>368.28160000000003</v>
      </c>
      <c r="M207">
        <v>0.9997914</v>
      </c>
      <c r="N207">
        <v>-1.7676629999999999E-2</v>
      </c>
      <c r="O207">
        <v>1.023231E-2</v>
      </c>
      <c r="P207">
        <v>0.99708609999999998</v>
      </c>
      <c r="Q207">
        <v>-7.5166780000000002E-2</v>
      </c>
      <c r="R207">
        <v>-1.3011790000000001E-2</v>
      </c>
      <c r="S207">
        <v>2.9995419999999999</v>
      </c>
      <c r="T207">
        <v>-0.1290404</v>
      </c>
      <c r="U207">
        <v>4.7760009999999999E-2</v>
      </c>
      <c r="V207">
        <v>2.3206149999999998E-2</v>
      </c>
      <c r="W207">
        <v>-5.7536799999999999E-2</v>
      </c>
      <c r="X207">
        <v>0.99807360000000001</v>
      </c>
      <c r="Y207">
        <v>-5.6828340000000003E-3</v>
      </c>
      <c r="Z207" s="1">
        <v>-8.6675759999999897E-5</v>
      </c>
      <c r="AA207">
        <v>0.99998379999999998</v>
      </c>
      <c r="AB207">
        <v>27</v>
      </c>
      <c r="AC207">
        <v>26.752999999999901</v>
      </c>
      <c r="AD207">
        <v>-1.1613990000000001</v>
      </c>
      <c r="AE207">
        <v>0.42789999999996498</v>
      </c>
      <c r="AF207">
        <v>-0.153800049087368</v>
      </c>
      <c r="AG207">
        <v>-1.1613990000000001</v>
      </c>
      <c r="AH207">
        <v>26.7056616228572</v>
      </c>
      <c r="AI207">
        <v>92.490118290907304</v>
      </c>
      <c r="AJ207">
        <v>90.329967345666503</v>
      </c>
      <c r="AK207">
        <v>26.731346109143999</v>
      </c>
      <c r="AL207">
        <v>93.298437552775297</v>
      </c>
      <c r="AM207">
        <v>88.668059217130903</v>
      </c>
      <c r="AN207">
        <v>0.99999995988450996</v>
      </c>
    </row>
    <row r="208" spans="1:40" x14ac:dyDescent="0.25">
      <c r="A208" t="str">
        <f>"20190303154735620"</f>
        <v>20190303154735620</v>
      </c>
      <c r="B208" t="str">
        <f>"1551599255611070"</f>
        <v>1551599255611070</v>
      </c>
      <c r="C208" t="s">
        <v>40</v>
      </c>
      <c r="D208">
        <v>5.1173270000000004</v>
      </c>
      <c r="E208">
        <v>0.48904069999999999</v>
      </c>
      <c r="F208" t="s">
        <v>43</v>
      </c>
      <c r="G208">
        <v>-412.52859999999998</v>
      </c>
      <c r="H208">
        <v>-0.05</v>
      </c>
      <c r="I208">
        <v>368.68579999999997</v>
      </c>
      <c r="J208">
        <v>-438.2448</v>
      </c>
      <c r="K208">
        <v>1.1098110000000001</v>
      </c>
      <c r="L208">
        <v>368.28379999999999</v>
      </c>
      <c r="M208">
        <v>0.99976509999999996</v>
      </c>
      <c r="N208">
        <v>-1.9239780000000001E-2</v>
      </c>
      <c r="O208">
        <v>9.9896140000000008E-3</v>
      </c>
      <c r="P208">
        <v>0.99694260000000001</v>
      </c>
      <c r="Q208">
        <v>-7.6954019999999998E-2</v>
      </c>
      <c r="R208">
        <v>-1.356243E-2</v>
      </c>
      <c r="S208">
        <v>2.9992679999999998</v>
      </c>
      <c r="T208">
        <v>-0.1341398</v>
      </c>
      <c r="U208">
        <v>4.669189E-2</v>
      </c>
      <c r="V208">
        <v>2.350911E-2</v>
      </c>
      <c r="W208">
        <v>-5.7767880000000001E-2</v>
      </c>
      <c r="X208">
        <v>0.99805319999999997</v>
      </c>
      <c r="Y208">
        <v>-5.5701259999999999E-3</v>
      </c>
      <c r="Z208" s="1">
        <v>-7.6236900000000002E-5</v>
      </c>
      <c r="AA208">
        <v>0.99998450000000005</v>
      </c>
      <c r="AB208">
        <v>27</v>
      </c>
      <c r="AC208">
        <v>25.716200000000001</v>
      </c>
      <c r="AD208">
        <v>-1.1598109999999999</v>
      </c>
      <c r="AE208">
        <v>0.40199999999998598</v>
      </c>
      <c r="AF208">
        <v>-0.14474314726919901</v>
      </c>
      <c r="AG208">
        <v>-1.1598109999999999</v>
      </c>
      <c r="AH208">
        <v>25.6667383380384</v>
      </c>
      <c r="AI208">
        <v>92.587241347962902</v>
      </c>
      <c r="AJ208">
        <v>90.323106248687694</v>
      </c>
      <c r="AK208">
        <v>25.693337055503999</v>
      </c>
      <c r="AL208">
        <v>93.311699393655005</v>
      </c>
      <c r="AM208">
        <v>88.650649334654901</v>
      </c>
      <c r="AN208">
        <v>0.99999999812146301</v>
      </c>
    </row>
    <row r="209" spans="1:40" x14ac:dyDescent="0.25">
      <c r="A209" t="str">
        <f>"20190303154735645"</f>
        <v>20190303154735645</v>
      </c>
      <c r="B209" t="str">
        <f>"1551599255641325"</f>
        <v>1551599255641325</v>
      </c>
      <c r="C209" t="s">
        <v>40</v>
      </c>
      <c r="D209">
        <v>4.9918909999999999</v>
      </c>
      <c r="E209">
        <v>0.48884699999999998</v>
      </c>
      <c r="F209" t="s">
        <v>43</v>
      </c>
      <c r="G209">
        <v>-413.88940000000002</v>
      </c>
      <c r="H209">
        <v>-0.05</v>
      </c>
      <c r="I209">
        <v>368.65879999999999</v>
      </c>
      <c r="J209">
        <v>-437.96280000000002</v>
      </c>
      <c r="K209">
        <v>1.1079139999999901</v>
      </c>
      <c r="L209">
        <v>368.28629999999998</v>
      </c>
      <c r="M209">
        <v>0.99973690000000004</v>
      </c>
      <c r="N209">
        <v>-2.0814719999999998E-2</v>
      </c>
      <c r="O209">
        <v>9.6362040000000006E-3</v>
      </c>
      <c r="P209">
        <v>0.99685389999999996</v>
      </c>
      <c r="Q209">
        <v>-7.8010189999999993E-2</v>
      </c>
      <c r="R209">
        <v>-1.4036969999999999E-2</v>
      </c>
      <c r="S209">
        <v>2.9987789999999999</v>
      </c>
      <c r="T209">
        <v>-0.14280329999999999</v>
      </c>
      <c r="U209">
        <v>4.6173100000000002E-2</v>
      </c>
      <c r="V209">
        <v>2.3629009999999999E-2</v>
      </c>
      <c r="W209">
        <v>-5.7254100000000002E-2</v>
      </c>
      <c r="X209">
        <v>0.99807999999999997</v>
      </c>
      <c r="Y209">
        <v>-5.7516959999999997E-3</v>
      </c>
      <c r="Z209" s="1">
        <v>-6.1270689999999995E-5</v>
      </c>
      <c r="AA209">
        <v>0.99998339999999997</v>
      </c>
      <c r="AB209">
        <v>27</v>
      </c>
      <c r="AC209">
        <v>24.0733999999999</v>
      </c>
      <c r="AD209">
        <v>-1.1579140000000001</v>
      </c>
      <c r="AE209">
        <v>0.372500000000002</v>
      </c>
      <c r="AF209">
        <v>-0.140132109032853</v>
      </c>
      <c r="AG209">
        <v>-1.1579140000000001</v>
      </c>
      <c r="AH209">
        <v>24.020313321382101</v>
      </c>
      <c r="AI209">
        <v>92.759795020917494</v>
      </c>
      <c r="AJ209">
        <v>90.334254063598394</v>
      </c>
      <c r="AK209">
        <v>24.0486143862124</v>
      </c>
      <c r="AL209">
        <v>93.282213078406301</v>
      </c>
      <c r="AM209">
        <v>88.643806410232401</v>
      </c>
      <c r="AN209">
        <v>1.0000000242401901</v>
      </c>
    </row>
    <row r="210" spans="1:40" x14ac:dyDescent="0.25">
      <c r="A210" t="str">
        <f>"20190303154735666"</f>
        <v>20190303154735666</v>
      </c>
      <c r="B210" t="str">
        <f>"1551599255660845"</f>
        <v>1551599255660845</v>
      </c>
      <c r="C210" t="s">
        <v>40</v>
      </c>
      <c r="D210">
        <v>4.9531809999999998</v>
      </c>
      <c r="E210">
        <v>0.48868159999999999</v>
      </c>
      <c r="F210" t="s">
        <v>43</v>
      </c>
      <c r="G210">
        <v>-414.61660000000001</v>
      </c>
      <c r="H210">
        <v>-0.05</v>
      </c>
      <c r="I210">
        <v>368.64760000000001</v>
      </c>
      <c r="J210">
        <v>-437.7022</v>
      </c>
      <c r="K210">
        <v>1.1060160000000001</v>
      </c>
      <c r="L210">
        <v>368.28840000000002</v>
      </c>
      <c r="M210">
        <v>0.9997125</v>
      </c>
      <c r="N210">
        <v>-2.2105429999999999E-2</v>
      </c>
      <c r="O210">
        <v>9.2884539999999998E-3</v>
      </c>
      <c r="P210">
        <v>0.99674410000000002</v>
      </c>
      <c r="Q210">
        <v>-7.930516E-2</v>
      </c>
      <c r="R210">
        <v>-1.4554070000000001E-2</v>
      </c>
      <c r="S210">
        <v>2.9984440000000001</v>
      </c>
      <c r="T210">
        <v>-0.1487155</v>
      </c>
      <c r="U210">
        <v>4.6417239999999999E-2</v>
      </c>
      <c r="V210">
        <v>2.3795859999999999E-2</v>
      </c>
      <c r="W210">
        <v>-5.7263759999999997E-2</v>
      </c>
      <c r="X210">
        <v>0.9980755</v>
      </c>
      <c r="Y210">
        <v>-6.1808280000000002E-3</v>
      </c>
      <c r="Z210" s="1">
        <v>-3.3525219999999997E-5</v>
      </c>
      <c r="AA210">
        <v>0.99998089999999995</v>
      </c>
      <c r="AB210">
        <v>27</v>
      </c>
      <c r="AC210">
        <v>23.085599999999999</v>
      </c>
      <c r="AD210">
        <v>-1.1560159999999999</v>
      </c>
      <c r="AE210">
        <v>0.35919999999998697</v>
      </c>
      <c r="AF210">
        <v>-0.14434070413549299</v>
      </c>
      <c r="AG210">
        <v>-1.1560159999999999</v>
      </c>
      <c r="AH210">
        <v>23.030206009107001</v>
      </c>
      <c r="AI210">
        <v>92.873530341146605</v>
      </c>
      <c r="AJ210">
        <v>90.359093829739095</v>
      </c>
      <c r="AK210">
        <v>23.059652990733301</v>
      </c>
      <c r="AL210">
        <v>93.282767405388299</v>
      </c>
      <c r="AM210">
        <v>88.634227467160997</v>
      </c>
      <c r="AN210">
        <v>1.00000004243136</v>
      </c>
    </row>
    <row r="211" spans="1:40" x14ac:dyDescent="0.25">
      <c r="A211" t="str">
        <f>"20190303154735688"</f>
        <v>20190303154735688</v>
      </c>
      <c r="B211" t="str">
        <f>"1551599255680366"</f>
        <v>1551599255680366</v>
      </c>
      <c r="C211" t="s">
        <v>40</v>
      </c>
      <c r="D211">
        <v>4.9259300000000001</v>
      </c>
      <c r="E211">
        <v>0.48847479999999999</v>
      </c>
      <c r="F211" t="s">
        <v>43</v>
      </c>
      <c r="G211">
        <v>-415.24869999999999</v>
      </c>
      <c r="H211">
        <v>-0.05</v>
      </c>
      <c r="I211">
        <v>368.63189999999997</v>
      </c>
      <c r="J211">
        <v>-437.43950000000001</v>
      </c>
      <c r="K211">
        <v>1.1038969999999999</v>
      </c>
      <c r="L211">
        <v>368.29050000000001</v>
      </c>
      <c r="M211">
        <v>0.99969350000000001</v>
      </c>
      <c r="N211">
        <v>-2.308255E-2</v>
      </c>
      <c r="O211">
        <v>8.9527319999999997E-3</v>
      </c>
      <c r="P211">
        <v>0.99671279999999995</v>
      </c>
      <c r="Q211">
        <v>-7.9654340000000004E-2</v>
      </c>
      <c r="R211">
        <v>-1.48015E-2</v>
      </c>
      <c r="S211">
        <v>2.9981689999999999</v>
      </c>
      <c r="T211">
        <v>-0.15436040000000001</v>
      </c>
      <c r="U211">
        <v>4.586792E-2</v>
      </c>
      <c r="V211">
        <v>2.3703189999999999E-2</v>
      </c>
      <c r="W211">
        <v>-5.6640129999999997E-2</v>
      </c>
      <c r="X211">
        <v>0.99811329999999998</v>
      </c>
      <c r="Y211">
        <v>-6.3336240000000004E-3</v>
      </c>
      <c r="Z211" s="1">
        <v>-1.788071E-5</v>
      </c>
      <c r="AA211">
        <v>0.99997990000000003</v>
      </c>
      <c r="AB211">
        <v>27</v>
      </c>
      <c r="AC211">
        <v>22.190799999999999</v>
      </c>
      <c r="AD211">
        <v>-1.153897</v>
      </c>
      <c r="AE211">
        <v>0.34139999999996401</v>
      </c>
      <c r="AF211">
        <v>-0.14228046450354201</v>
      </c>
      <c r="AG211">
        <v>-1.153897</v>
      </c>
      <c r="AH211">
        <v>22.133136186351301</v>
      </c>
      <c r="AI211">
        <v>92.984315649716606</v>
      </c>
      <c r="AJ211">
        <v>90.368314628560697</v>
      </c>
      <c r="AK211">
        <v>22.163651311567801</v>
      </c>
      <c r="AL211">
        <v>93.246977917204902</v>
      </c>
      <c r="AM211">
        <v>88.639595797664398</v>
      </c>
      <c r="AN211">
        <v>1.0000000525897399</v>
      </c>
    </row>
    <row r="212" spans="1:40" x14ac:dyDescent="0.25">
      <c r="A212" t="str">
        <f>"20190303154735710"</f>
        <v>20190303154735710</v>
      </c>
      <c r="B212" t="str">
        <f>"1551599255700865"</f>
        <v>1551599255700865</v>
      </c>
      <c r="C212" t="s">
        <v>40</v>
      </c>
      <c r="D212">
        <v>4.9560779999999998</v>
      </c>
      <c r="E212">
        <v>0.48835410000000001</v>
      </c>
      <c r="F212" t="s">
        <v>43</v>
      </c>
      <c r="G212">
        <v>-415.39319999999998</v>
      </c>
      <c r="H212">
        <v>-0.05</v>
      </c>
      <c r="I212">
        <v>368.63589999999999</v>
      </c>
      <c r="J212">
        <v>-437.17649999999998</v>
      </c>
      <c r="K212">
        <v>1.1015839999999999</v>
      </c>
      <c r="L212">
        <v>368.29259999999999</v>
      </c>
      <c r="M212">
        <v>0.99968299999999999</v>
      </c>
      <c r="N212">
        <v>-2.36508E-2</v>
      </c>
      <c r="O212">
        <v>8.633478E-3</v>
      </c>
      <c r="P212">
        <v>0.99666739999999998</v>
      </c>
      <c r="Q212">
        <v>-8.0167429999999998E-2</v>
      </c>
      <c r="R212">
        <v>-1.5076569999999999E-2</v>
      </c>
      <c r="S212">
        <v>2.9980470000000001</v>
      </c>
      <c r="T212">
        <v>-0.15691669999999999</v>
      </c>
      <c r="U212">
        <v>4.6966550000000003E-2</v>
      </c>
      <c r="V212">
        <v>2.3653560000000001E-2</v>
      </c>
      <c r="W212">
        <v>-5.658933E-2</v>
      </c>
      <c r="X212">
        <v>0.99811729999999999</v>
      </c>
      <c r="Y212">
        <v>-7.0179719999999999E-3</v>
      </c>
      <c r="Z212" s="1">
        <v>1.9220510000000001E-5</v>
      </c>
      <c r="AA212">
        <v>0.99997539999999996</v>
      </c>
      <c r="AB212">
        <v>27</v>
      </c>
      <c r="AC212">
        <v>21.783300000000001</v>
      </c>
      <c r="AD212">
        <v>-1.1515839999999999</v>
      </c>
      <c r="AE212">
        <v>0.34329999999999899</v>
      </c>
      <c r="AF212">
        <v>-0.15473659285874999</v>
      </c>
      <c r="AG212">
        <v>-1.1515839999999999</v>
      </c>
      <c r="AH212">
        <v>21.724752097120302</v>
      </c>
      <c r="AI212">
        <v>93.0342136539943</v>
      </c>
      <c r="AJ212">
        <v>90.408087684871703</v>
      </c>
      <c r="AK212">
        <v>21.755802508837998</v>
      </c>
      <c r="AL212">
        <v>93.244062806617805</v>
      </c>
      <c r="AM212">
        <v>88.642448598318296</v>
      </c>
      <c r="AN212">
        <v>0.99999999386490601</v>
      </c>
    </row>
    <row r="213" spans="1:40" x14ac:dyDescent="0.25">
      <c r="A213" t="str">
        <f>"20190303154735731"</f>
        <v>20190303154735731</v>
      </c>
      <c r="B213" t="str">
        <f>"1551599255720382"</f>
        <v>1551599255720382</v>
      </c>
      <c r="C213" t="s">
        <v>40</v>
      </c>
      <c r="D213">
        <v>4.9204650000000001</v>
      </c>
      <c r="E213">
        <v>0.48822779999999999</v>
      </c>
      <c r="F213" t="s">
        <v>43</v>
      </c>
      <c r="G213">
        <v>-415.4871</v>
      </c>
      <c r="H213">
        <v>-0.05</v>
      </c>
      <c r="I213">
        <v>368.63409999999999</v>
      </c>
      <c r="J213">
        <v>-436.9248</v>
      </c>
      <c r="K213">
        <v>1.099232</v>
      </c>
      <c r="L213">
        <v>368.29430000000002</v>
      </c>
      <c r="M213">
        <v>0.99968069999999998</v>
      </c>
      <c r="N213">
        <v>-2.3857929999999999E-2</v>
      </c>
      <c r="O213">
        <v>8.3343469999999902E-3</v>
      </c>
      <c r="P213">
        <v>0.99668380000000001</v>
      </c>
      <c r="Q213">
        <v>-8.0002190000000001E-2</v>
      </c>
      <c r="R213">
        <v>-1.488105E-2</v>
      </c>
      <c r="S213">
        <v>2.9980159999999998</v>
      </c>
      <c r="T213">
        <v>-0.15917770000000001</v>
      </c>
      <c r="U213">
        <v>4.721069E-2</v>
      </c>
      <c r="V213">
        <v>2.3155240000000001E-2</v>
      </c>
      <c r="W213">
        <v>-5.621847E-2</v>
      </c>
      <c r="X213">
        <v>0.99814990000000003</v>
      </c>
      <c r="Y213">
        <v>-7.3975730000000002E-3</v>
      </c>
      <c r="Z213" s="1">
        <v>4.1215279999999997E-5</v>
      </c>
      <c r="AA213">
        <v>0.99997259999999999</v>
      </c>
      <c r="AB213">
        <v>27</v>
      </c>
      <c r="AC213">
        <v>21.4377</v>
      </c>
      <c r="AD213">
        <v>-1.149232</v>
      </c>
      <c r="AE213">
        <v>0.33979999999996802</v>
      </c>
      <c r="AF213">
        <v>-0.160606666366546</v>
      </c>
      <c r="AG213">
        <v>-1.149232</v>
      </c>
      <c r="AH213">
        <v>21.3783657649386</v>
      </c>
      <c r="AI213">
        <v>93.076987916228802</v>
      </c>
      <c r="AJ213">
        <v>90.430430984911098</v>
      </c>
      <c r="AK213">
        <v>21.4098353910207</v>
      </c>
      <c r="AL213">
        <v>93.222780346835805</v>
      </c>
      <c r="AM213">
        <v>88.671081755376093</v>
      </c>
      <c r="AN213">
        <v>0.99999995218930304</v>
      </c>
    </row>
    <row r="214" spans="1:40" x14ac:dyDescent="0.25">
      <c r="A214" t="str">
        <f>"20190303154735754"</f>
        <v>20190303154735754</v>
      </c>
      <c r="B214" t="str">
        <f>"1551599255750638"</f>
        <v>1551599255750638</v>
      </c>
      <c r="C214" t="s">
        <v>40</v>
      </c>
      <c r="D214">
        <v>4.9181160000000004</v>
      </c>
      <c r="E214">
        <v>0.48805080000000001</v>
      </c>
      <c r="F214" t="s">
        <v>43</v>
      </c>
      <c r="G214">
        <v>-415.40640000000002</v>
      </c>
      <c r="H214">
        <v>-0.05</v>
      </c>
      <c r="I214">
        <v>368.6431</v>
      </c>
      <c r="J214">
        <v>-436.65249999999997</v>
      </c>
      <c r="K214">
        <v>1.09659</v>
      </c>
      <c r="L214">
        <v>368.2962</v>
      </c>
      <c r="M214">
        <v>0.99968310000000005</v>
      </c>
      <c r="N214">
        <v>-2.3870829999999999E-2</v>
      </c>
      <c r="O214">
        <v>8.0060129999999993E-3</v>
      </c>
      <c r="P214">
        <v>0.99675049999999998</v>
      </c>
      <c r="Q214">
        <v>-7.9151109999999997E-2</v>
      </c>
      <c r="R214">
        <v>-1.4960050000000001E-2</v>
      </c>
      <c r="S214">
        <v>2.9978639999999999</v>
      </c>
      <c r="T214">
        <v>-0.16010679999999999</v>
      </c>
      <c r="U214">
        <v>4.8583979999999999E-2</v>
      </c>
      <c r="V214">
        <v>2.2905249999999999E-2</v>
      </c>
      <c r="W214">
        <v>-5.535404E-2</v>
      </c>
      <c r="X214">
        <v>0.99820410000000004</v>
      </c>
      <c r="Y214">
        <v>-8.1829180000000008E-3</v>
      </c>
      <c r="Z214" s="1">
        <v>7.9950269999999997E-5</v>
      </c>
      <c r="AA214">
        <v>0.99996649999999998</v>
      </c>
      <c r="AB214">
        <v>27</v>
      </c>
      <c r="AC214">
        <v>21.246099999999899</v>
      </c>
      <c r="AD214">
        <v>-1.14659</v>
      </c>
      <c r="AE214">
        <v>0.34690000000000498</v>
      </c>
      <c r="AF214">
        <v>-0.17623073303801101</v>
      </c>
      <c r="AG214">
        <v>-1.14659</v>
      </c>
      <c r="AH214">
        <v>21.186508667408301</v>
      </c>
      <c r="AI214">
        <v>93.097654201074903</v>
      </c>
      <c r="AJ214">
        <v>90.476578964200598</v>
      </c>
      <c r="AK214">
        <v>21.218243928599101</v>
      </c>
      <c r="AL214">
        <v>93.173174520442899</v>
      </c>
      <c r="AM214">
        <v>88.685495393908298</v>
      </c>
      <c r="AN214">
        <v>1.0000000727393401</v>
      </c>
    </row>
    <row r="215" spans="1:40" x14ac:dyDescent="0.25">
      <c r="A215" t="str">
        <f>"20190303154735776"</f>
        <v>20190303154735776</v>
      </c>
      <c r="B215" t="str">
        <f>"1551599255771134"</f>
        <v>1551599255771134</v>
      </c>
      <c r="C215" t="s">
        <v>40</v>
      </c>
      <c r="D215">
        <v>4.8979739999999996</v>
      </c>
      <c r="E215">
        <v>0.48793180000000003</v>
      </c>
      <c r="F215" t="s">
        <v>43</v>
      </c>
      <c r="G215">
        <v>-414.97559999999999</v>
      </c>
      <c r="H215">
        <v>-0.05</v>
      </c>
      <c r="I215">
        <v>368.65609999999998</v>
      </c>
      <c r="J215">
        <v>-436.38330000000002</v>
      </c>
      <c r="K215">
        <v>1.093963</v>
      </c>
      <c r="L215">
        <v>368.29790000000003</v>
      </c>
      <c r="M215">
        <v>0.99968889999999999</v>
      </c>
      <c r="N215">
        <v>-2.3739909999999999E-2</v>
      </c>
      <c r="O215">
        <v>7.6505779999999999E-3</v>
      </c>
      <c r="P215">
        <v>0.99679669999999998</v>
      </c>
      <c r="Q215">
        <v>-7.8578259999999997E-2</v>
      </c>
      <c r="R215">
        <v>-1.4898049999999999E-2</v>
      </c>
      <c r="S215">
        <v>2.9979550000000001</v>
      </c>
      <c r="T215">
        <v>-0.15857539999999901</v>
      </c>
      <c r="U215">
        <v>4.977417E-2</v>
      </c>
      <c r="V215">
        <v>2.2488959999999999E-2</v>
      </c>
      <c r="W215">
        <v>-5.4910720000000003E-2</v>
      </c>
      <c r="X215">
        <v>0.99823799999999996</v>
      </c>
      <c r="Y215">
        <v>-8.9333950000000002E-3</v>
      </c>
      <c r="Z215">
        <v>1.194689E-4</v>
      </c>
      <c r="AA215">
        <v>0.99996010000000002</v>
      </c>
      <c r="AB215">
        <v>26</v>
      </c>
      <c r="AC215">
        <v>21.407699999999998</v>
      </c>
      <c r="AD215">
        <v>-1.1439629999999901</v>
      </c>
      <c r="AE215">
        <v>0.358199999999953</v>
      </c>
      <c r="AF215">
        <v>-0.193808793175866</v>
      </c>
      <c r="AG215">
        <v>-1.1439629999999901</v>
      </c>
      <c r="AH215">
        <v>21.348869453757299</v>
      </c>
      <c r="AI215">
        <v>93.067091448623103</v>
      </c>
      <c r="AJ215">
        <v>90.520126879314205</v>
      </c>
      <c r="AK215">
        <v>21.380375117084601</v>
      </c>
      <c r="AL215">
        <v>93.147735623759601</v>
      </c>
      <c r="AM215">
        <v>88.709421432938498</v>
      </c>
      <c r="AN215">
        <v>1.00000002256839</v>
      </c>
    </row>
    <row r="216" spans="1:40" x14ac:dyDescent="0.25">
      <c r="A216" t="str">
        <f>"20190303154735798"</f>
        <v>20190303154735798</v>
      </c>
      <c r="B216" t="str">
        <f>"1551599255790654"</f>
        <v>1551599255790654</v>
      </c>
      <c r="C216" t="s">
        <v>40</v>
      </c>
      <c r="D216">
        <v>4.9046760000000003</v>
      </c>
      <c r="E216">
        <v>0.48781000000000002</v>
      </c>
      <c r="F216" t="s">
        <v>43</v>
      </c>
      <c r="G216">
        <v>-414.68669999999997</v>
      </c>
      <c r="H216">
        <v>-0.05</v>
      </c>
      <c r="I216">
        <v>368.66829999999999</v>
      </c>
      <c r="J216">
        <v>-436.13060000000002</v>
      </c>
      <c r="K216">
        <v>1.091513</v>
      </c>
      <c r="L216">
        <v>368.29950000000002</v>
      </c>
      <c r="M216">
        <v>0.99969870000000005</v>
      </c>
      <c r="N216">
        <v>-2.3442069999999999E-2</v>
      </c>
      <c r="O216">
        <v>7.2911629999999998E-3</v>
      </c>
      <c r="P216">
        <v>0.99683140000000003</v>
      </c>
      <c r="Q216">
        <v>-7.806014E-2</v>
      </c>
      <c r="R216">
        <v>-1.530492E-2</v>
      </c>
      <c r="S216">
        <v>2.997986</v>
      </c>
      <c r="T216">
        <v>-0.15806999999999999</v>
      </c>
      <c r="U216">
        <v>5.1177979999999998E-2</v>
      </c>
      <c r="V216">
        <v>2.2537829999999998E-2</v>
      </c>
      <c r="W216">
        <v>-5.4689250000000002E-2</v>
      </c>
      <c r="X216">
        <v>0.9982491</v>
      </c>
      <c r="Y216">
        <v>-9.7592760000000008E-3</v>
      </c>
      <c r="Z216">
        <v>1.583539E-4</v>
      </c>
      <c r="AA216">
        <v>0.99995239999999996</v>
      </c>
      <c r="AB216">
        <v>26</v>
      </c>
      <c r="AC216">
        <v>21.443899999999999</v>
      </c>
      <c r="AD216">
        <v>-1.141513</v>
      </c>
      <c r="AE216">
        <v>0.36879999999996399</v>
      </c>
      <c r="AF216">
        <v>-0.211796268024151</v>
      </c>
      <c r="AG216">
        <v>-1.141513</v>
      </c>
      <c r="AH216">
        <v>21.385437371224899</v>
      </c>
      <c r="AI216">
        <v>93.055287913580202</v>
      </c>
      <c r="AJ216">
        <v>90.567425175099203</v>
      </c>
      <c r="AK216">
        <v>21.416928844885799</v>
      </c>
      <c r="AL216">
        <v>93.135027092844695</v>
      </c>
      <c r="AM216">
        <v>88.706632248658494</v>
      </c>
      <c r="AN216">
        <v>1.0000000667487301</v>
      </c>
    </row>
    <row r="217" spans="1:40" x14ac:dyDescent="0.25">
      <c r="A217" t="str">
        <f>"20190303154735824"</f>
        <v>20190303154735824</v>
      </c>
      <c r="B217" t="str">
        <f>"1551599255820909"</f>
        <v>1551599255820909</v>
      </c>
      <c r="C217" t="s">
        <v>40</v>
      </c>
      <c r="D217">
        <v>4.9531970000000003</v>
      </c>
      <c r="E217">
        <v>0.48768139999999999</v>
      </c>
      <c r="F217" t="s">
        <v>43</v>
      </c>
      <c r="G217">
        <v>-414.38459999999998</v>
      </c>
      <c r="H217">
        <v>-0.05</v>
      </c>
      <c r="I217">
        <v>368.66890000000001</v>
      </c>
      <c r="J217">
        <v>-435.83800000000002</v>
      </c>
      <c r="K217">
        <v>1.0887709999999999</v>
      </c>
      <c r="L217">
        <v>368.30119999999999</v>
      </c>
      <c r="M217">
        <v>0.99971460000000001</v>
      </c>
      <c r="N217">
        <v>-2.2879770000000001E-2</v>
      </c>
      <c r="O217">
        <v>6.8772290000000003E-3</v>
      </c>
      <c r="P217">
        <v>0.99683900000000003</v>
      </c>
      <c r="Q217">
        <v>-7.7787739999999994E-2</v>
      </c>
      <c r="R217">
        <v>-1.6158229999999999E-2</v>
      </c>
      <c r="S217">
        <v>2.9980159999999998</v>
      </c>
      <c r="T217">
        <v>-0.15737509999999999</v>
      </c>
      <c r="U217">
        <v>5.0933840000000001E-2</v>
      </c>
      <c r="V217">
        <v>2.2977290000000001E-2</v>
      </c>
      <c r="W217">
        <v>-5.497875E-2</v>
      </c>
      <c r="X217">
        <v>0.99822310000000003</v>
      </c>
      <c r="Y217">
        <v>-1.0091350000000001E-2</v>
      </c>
      <c r="Z217">
        <v>1.7681869999999999E-4</v>
      </c>
      <c r="AA217">
        <v>0.99994899999999998</v>
      </c>
      <c r="AB217">
        <v>26</v>
      </c>
      <c r="AC217">
        <v>21.453399999999998</v>
      </c>
      <c r="AD217">
        <v>-1.138771</v>
      </c>
      <c r="AE217">
        <v>0.36770000000001302</v>
      </c>
      <c r="AF217">
        <v>-0.219494459610103</v>
      </c>
      <c r="AG217">
        <v>-1.138771</v>
      </c>
      <c r="AH217">
        <v>21.3951563592369</v>
      </c>
      <c r="AI217">
        <v>93.046569883717495</v>
      </c>
      <c r="AJ217">
        <v>90.587780933831397</v>
      </c>
      <c r="AK217">
        <v>21.426565120066101</v>
      </c>
      <c r="AL217">
        <v>93.151639461308207</v>
      </c>
      <c r="AM217">
        <v>88.681387652680399</v>
      </c>
      <c r="AN217">
        <v>0.99999998809045798</v>
      </c>
    </row>
    <row r="218" spans="1:40" x14ac:dyDescent="0.25">
      <c r="A218" t="str">
        <f>"20190303154735844"</f>
        <v>20190303154735844</v>
      </c>
      <c r="B218" t="str">
        <f>"1551599255840429"</f>
        <v>1551599255840429</v>
      </c>
      <c r="C218" t="s">
        <v>40</v>
      </c>
      <c r="D218">
        <v>4.9106100000000001</v>
      </c>
      <c r="E218">
        <v>0.4876066</v>
      </c>
      <c r="F218" t="s">
        <v>43</v>
      </c>
      <c r="G218">
        <v>-414.25369999999998</v>
      </c>
      <c r="H218">
        <v>-0.05</v>
      </c>
      <c r="I218">
        <v>368.65559999999999</v>
      </c>
      <c r="J218">
        <v>-435.59930000000003</v>
      </c>
      <c r="K218">
        <v>1.086654</v>
      </c>
      <c r="L218">
        <v>368.30250000000001</v>
      </c>
      <c r="M218">
        <v>0.99972939999999999</v>
      </c>
      <c r="N218">
        <v>-2.2319180000000001E-2</v>
      </c>
      <c r="O218">
        <v>6.5566219999999998E-3</v>
      </c>
      <c r="P218">
        <v>0.99684510000000004</v>
      </c>
      <c r="Q218">
        <v>-7.7506149999999996E-2</v>
      </c>
      <c r="R218">
        <v>-1.7112780000000001E-2</v>
      </c>
      <c r="S218">
        <v>2.997925</v>
      </c>
      <c r="T218">
        <v>-0.15816769999999999</v>
      </c>
      <c r="U218">
        <v>4.9224850000000001E-2</v>
      </c>
      <c r="V218">
        <v>2.3610920000000001E-2</v>
      </c>
      <c r="W218">
        <v>-5.5257689999999998E-2</v>
      </c>
      <c r="X218">
        <v>0.99819290000000005</v>
      </c>
      <c r="Y218">
        <v>-9.8432499999999996E-3</v>
      </c>
      <c r="Z218">
        <v>1.7007869999999999E-4</v>
      </c>
      <c r="AA218">
        <v>0.99995149999999999</v>
      </c>
      <c r="AB218">
        <v>26</v>
      </c>
      <c r="AC218">
        <v>21.345600000000001</v>
      </c>
      <c r="AD218">
        <v>-1.1366540000000001</v>
      </c>
      <c r="AE218">
        <v>0.35309999999998298</v>
      </c>
      <c r="AF218">
        <v>-0.21250011100538199</v>
      </c>
      <c r="AG218">
        <v>-1.1366540000000001</v>
      </c>
      <c r="AH218">
        <v>21.287112161048199</v>
      </c>
      <c r="AI218">
        <v>93.056330613565805</v>
      </c>
      <c r="AJ218">
        <v>90.571940195874106</v>
      </c>
      <c r="AK218">
        <v>21.318496259585</v>
      </c>
      <c r="AL218">
        <v>93.167645914703101</v>
      </c>
      <c r="AM218">
        <v>88.644997520394796</v>
      </c>
      <c r="AN218">
        <v>0.99999997672889596</v>
      </c>
    </row>
    <row r="219" spans="1:40" x14ac:dyDescent="0.25">
      <c r="A219" t="str">
        <f>"20190303154735867"</f>
        <v>20190303154735867</v>
      </c>
      <c r="B219" t="str">
        <f>"1551599255860926"</f>
        <v>1551599255860926</v>
      </c>
      <c r="C219" t="s">
        <v>40</v>
      </c>
      <c r="D219">
        <v>4.9529030000000001</v>
      </c>
      <c r="E219">
        <v>0.48754960000000003</v>
      </c>
      <c r="F219" t="s">
        <v>43</v>
      </c>
      <c r="G219">
        <v>-414.0641</v>
      </c>
      <c r="H219">
        <v>-0.05</v>
      </c>
      <c r="I219">
        <v>368.6422</v>
      </c>
      <c r="J219">
        <v>-435.32549999999998</v>
      </c>
      <c r="K219">
        <v>1.08443</v>
      </c>
      <c r="L219">
        <v>368.30380000000002</v>
      </c>
      <c r="M219">
        <v>0.99974649999999998</v>
      </c>
      <c r="N219">
        <v>-2.164162E-2</v>
      </c>
      <c r="O219">
        <v>6.2058429999999999E-3</v>
      </c>
      <c r="P219">
        <v>0.99687000000000003</v>
      </c>
      <c r="Q219">
        <v>-7.7024800000000004E-2</v>
      </c>
      <c r="R219">
        <v>-1.782276E-2</v>
      </c>
      <c r="S219">
        <v>2.9980470000000001</v>
      </c>
      <c r="T219">
        <v>-0.1582404</v>
      </c>
      <c r="U219">
        <v>4.7302249999999997E-2</v>
      </c>
      <c r="V219">
        <v>2.3970330000000001E-2</v>
      </c>
      <c r="W219">
        <v>-5.5452889999999998E-2</v>
      </c>
      <c r="X219">
        <v>0.99817350000000005</v>
      </c>
      <c r="Y219">
        <v>-9.5531450000000007E-3</v>
      </c>
      <c r="Z219">
        <v>1.6237599999999999E-4</v>
      </c>
      <c r="AA219">
        <v>0.99995429999999996</v>
      </c>
      <c r="AB219">
        <v>26</v>
      </c>
      <c r="AC219">
        <v>21.261399999999899</v>
      </c>
      <c r="AD219">
        <v>-1.1344299999999901</v>
      </c>
      <c r="AE219">
        <v>0.338399999999978</v>
      </c>
      <c r="AF219">
        <v>-0.20583182281242199</v>
      </c>
      <c r="AG219">
        <v>-1.1344299999999901</v>
      </c>
      <c r="AH219">
        <v>21.2027442062776</v>
      </c>
      <c r="AI219">
        <v>93.062484761007696</v>
      </c>
      <c r="AJ219">
        <v>90.556198017170004</v>
      </c>
      <c r="AK219">
        <v>21.234068381754401</v>
      </c>
      <c r="AL219">
        <v>93.178847253928097</v>
      </c>
      <c r="AM219">
        <v>88.624352550596996</v>
      </c>
      <c r="AN219">
        <v>0.99999996791595502</v>
      </c>
    </row>
    <row r="220" spans="1:40" x14ac:dyDescent="0.25">
      <c r="A220" t="str">
        <f>"20190303154735887"</f>
        <v>20190303154735887</v>
      </c>
      <c r="B220" t="str">
        <f>"1551599255880446"</f>
        <v>1551599255880446</v>
      </c>
      <c r="C220" t="s">
        <v>40</v>
      </c>
      <c r="D220">
        <v>4.9158200000000001</v>
      </c>
      <c r="E220">
        <v>0.48750909999999897</v>
      </c>
      <c r="F220" t="s">
        <v>43</v>
      </c>
      <c r="G220">
        <v>-413.74889999999999</v>
      </c>
      <c r="H220">
        <v>-0.05</v>
      </c>
      <c r="I220">
        <v>368.63119999999998</v>
      </c>
      <c r="J220">
        <v>-435.09300000000002</v>
      </c>
      <c r="K220">
        <v>1.082719</v>
      </c>
      <c r="L220">
        <v>368.30489999999998</v>
      </c>
      <c r="M220">
        <v>0.9997606</v>
      </c>
      <c r="N220">
        <v>-2.107243E-2</v>
      </c>
      <c r="O220">
        <v>5.9004340000000004E-3</v>
      </c>
      <c r="P220">
        <v>0.99689119999999998</v>
      </c>
      <c r="Q220">
        <v>-7.6708380000000007E-2</v>
      </c>
      <c r="R220">
        <v>-1.799999E-2</v>
      </c>
      <c r="S220">
        <v>2.9980769999999999</v>
      </c>
      <c r="T220">
        <v>-0.157629399999999</v>
      </c>
      <c r="U220">
        <v>4.5501710000000001E-2</v>
      </c>
      <c r="V220">
        <v>2.384377E-2</v>
      </c>
      <c r="W220">
        <v>-5.5703839999999998E-2</v>
      </c>
      <c r="X220">
        <v>0.99816260000000001</v>
      </c>
      <c r="Y220">
        <v>-9.2588900000000005E-3</v>
      </c>
      <c r="Z220">
        <v>1.5518840000000001E-4</v>
      </c>
      <c r="AA220">
        <v>0.99995710000000004</v>
      </c>
      <c r="AB220">
        <v>26</v>
      </c>
      <c r="AC220">
        <v>21.344100000000001</v>
      </c>
      <c r="AD220">
        <v>-1.132719</v>
      </c>
      <c r="AE220">
        <v>0.32630000000000298</v>
      </c>
      <c r="AF220">
        <v>-0.19976442296038799</v>
      </c>
      <c r="AG220">
        <v>-1.132719</v>
      </c>
      <c r="AH220">
        <v>21.285719709572898</v>
      </c>
      <c r="AI220">
        <v>93.045986276502603</v>
      </c>
      <c r="AJ220">
        <v>90.537699569268796</v>
      </c>
      <c r="AK220">
        <v>21.3167732481289</v>
      </c>
      <c r="AL220">
        <v>93.193247755713301</v>
      </c>
      <c r="AM220">
        <v>88.6315980711896</v>
      </c>
      <c r="AN220">
        <v>1.0000000095986501</v>
      </c>
    </row>
    <row r="221" spans="1:40" x14ac:dyDescent="0.25">
      <c r="A221" t="str">
        <f>"20190303154735910"</f>
        <v>20190303154735910</v>
      </c>
      <c r="B221" t="str">
        <f>"1551599255900945"</f>
        <v>1551599255900945</v>
      </c>
      <c r="C221" t="s">
        <v>40</v>
      </c>
      <c r="D221">
        <v>4.9170579999999999</v>
      </c>
      <c r="E221">
        <v>0.48746089999999997</v>
      </c>
      <c r="F221" t="s">
        <v>43</v>
      </c>
      <c r="G221">
        <v>-413.48309999999998</v>
      </c>
      <c r="H221">
        <v>-0.05</v>
      </c>
      <c r="I221">
        <v>368.63069999999999</v>
      </c>
      <c r="J221">
        <v>-434.83089999999999</v>
      </c>
      <c r="K221">
        <v>1.0809979999999999</v>
      </c>
      <c r="L221">
        <v>368.30599999999998</v>
      </c>
      <c r="M221">
        <v>0.99977539999999998</v>
      </c>
      <c r="N221">
        <v>-2.0455729999999998E-2</v>
      </c>
      <c r="O221">
        <v>5.5434819999999998E-3</v>
      </c>
      <c r="P221">
        <v>0.99694400000000005</v>
      </c>
      <c r="Q221">
        <v>-7.598191E-2</v>
      </c>
      <c r="R221">
        <v>-1.8151270000000001E-2</v>
      </c>
      <c r="S221">
        <v>2.9980470000000001</v>
      </c>
      <c r="T221">
        <v>-0.15714790000000001</v>
      </c>
      <c r="U221">
        <v>4.5196529999999999E-2</v>
      </c>
      <c r="V221">
        <v>2.364107E-2</v>
      </c>
      <c r="W221">
        <v>-5.5591170000000002E-2</v>
      </c>
      <c r="X221">
        <v>0.99817370000000005</v>
      </c>
      <c r="Y221">
        <v>-9.5140309999999992E-3</v>
      </c>
      <c r="Z221">
        <v>1.6958319999999999E-4</v>
      </c>
      <c r="AA221">
        <v>0.99995469999999997</v>
      </c>
      <c r="AB221">
        <v>26</v>
      </c>
      <c r="AC221">
        <v>21.347799999999999</v>
      </c>
      <c r="AD221">
        <v>-1.1309979999999999</v>
      </c>
      <c r="AE221">
        <v>0.32470000000000698</v>
      </c>
      <c r="AF221">
        <v>-0.20575171962883801</v>
      </c>
      <c r="AG221">
        <v>-1.1309979999999999</v>
      </c>
      <c r="AH221">
        <v>21.289529744042099</v>
      </c>
      <c r="AI221">
        <v>93.040815692425994</v>
      </c>
      <c r="AJ221">
        <v>90.553715290858605</v>
      </c>
      <c r="AK221">
        <v>21.320543308475699</v>
      </c>
      <c r="AL221">
        <v>93.186782230498906</v>
      </c>
      <c r="AM221">
        <v>88.643241807076194</v>
      </c>
      <c r="AN221">
        <v>1.0000000068721999</v>
      </c>
    </row>
    <row r="222" spans="1:40" x14ac:dyDescent="0.25">
      <c r="A222" t="str">
        <f>"20190303154735933"</f>
        <v>20190303154735933</v>
      </c>
      <c r="B222" t="str">
        <f>"1551599255920462"</f>
        <v>1551599255920462</v>
      </c>
      <c r="C222" t="s">
        <v>40</v>
      </c>
      <c r="D222">
        <v>4.9381769999999996</v>
      </c>
      <c r="E222">
        <v>0.48746270000000003</v>
      </c>
      <c r="F222" t="s">
        <v>43</v>
      </c>
      <c r="G222">
        <v>-413.04809999999998</v>
      </c>
      <c r="H222">
        <v>-0.05</v>
      </c>
      <c r="I222">
        <v>368.63619999999997</v>
      </c>
      <c r="J222">
        <v>-434.57479999999998</v>
      </c>
      <c r="K222">
        <v>1.0795090000000001</v>
      </c>
      <c r="L222">
        <v>368.30700000000002</v>
      </c>
      <c r="M222">
        <v>0.99978880000000003</v>
      </c>
      <c r="N222">
        <v>-1.9887269999999999E-2</v>
      </c>
      <c r="O222">
        <v>5.1887569999999996E-3</v>
      </c>
      <c r="P222">
        <v>0.99698379999999998</v>
      </c>
      <c r="Q222">
        <v>-7.5443769999999993E-2</v>
      </c>
      <c r="R222">
        <v>-1.8210250000000001E-2</v>
      </c>
      <c r="S222">
        <v>2.998138</v>
      </c>
      <c r="T222">
        <v>-0.15566869999999999</v>
      </c>
      <c r="U222">
        <v>4.5440670000000002E-2</v>
      </c>
      <c r="V222">
        <v>2.334781E-2</v>
      </c>
      <c r="W222">
        <v>-5.561895E-2</v>
      </c>
      <c r="X222">
        <v>0.99817900000000004</v>
      </c>
      <c r="Y222">
        <v>-9.9492839999999992E-3</v>
      </c>
      <c r="Z222">
        <v>1.910871E-4</v>
      </c>
      <c r="AA222">
        <v>0.99995049999999996</v>
      </c>
      <c r="AB222">
        <v>26</v>
      </c>
      <c r="AC222">
        <v>21.526700000000002</v>
      </c>
      <c r="AD222">
        <v>-1.1295090000000001</v>
      </c>
      <c r="AE222">
        <v>0.32920000000001398</v>
      </c>
      <c r="AF222">
        <v>-0.21687970520586899</v>
      </c>
      <c r="AG222">
        <v>-1.1295090000000001</v>
      </c>
      <c r="AH222">
        <v>21.4690256827277</v>
      </c>
      <c r="AI222">
        <v>93.011463861812004</v>
      </c>
      <c r="AJ222">
        <v>90.578781230162903</v>
      </c>
      <c r="AK222">
        <v>21.499811421341199</v>
      </c>
      <c r="AL222">
        <v>93.188376548972897</v>
      </c>
      <c r="AM222">
        <v>88.660072901268094</v>
      </c>
      <c r="AN222">
        <v>0.99999995193594804</v>
      </c>
    </row>
    <row r="223" spans="1:40" x14ac:dyDescent="0.25">
      <c r="A223" t="str">
        <f>"20190303154735955"</f>
        <v>20190303154735955</v>
      </c>
      <c r="B223" t="str">
        <f>"1551599255950718"</f>
        <v>1551599255950718</v>
      </c>
      <c r="C223" t="s">
        <v>40</v>
      </c>
      <c r="D223">
        <v>4.9407540000000001</v>
      </c>
      <c r="E223">
        <v>0.48744310000000002</v>
      </c>
      <c r="F223" t="s">
        <v>43</v>
      </c>
      <c r="G223">
        <v>-412.6859</v>
      </c>
      <c r="H223">
        <v>-0.05</v>
      </c>
      <c r="I223">
        <v>368.6345</v>
      </c>
      <c r="J223">
        <v>-434.31270000000001</v>
      </c>
      <c r="K223">
        <v>1.078174</v>
      </c>
      <c r="L223">
        <v>368.30799999999999</v>
      </c>
      <c r="M223">
        <v>0.9998013</v>
      </c>
      <c r="N223">
        <v>-1.9346269999999999E-2</v>
      </c>
      <c r="O223">
        <v>4.829051E-3</v>
      </c>
      <c r="P223">
        <v>0.99701960000000001</v>
      </c>
      <c r="Q223">
        <v>-7.4876680000000001E-2</v>
      </c>
      <c r="R223">
        <v>-1.8591090000000001E-2</v>
      </c>
      <c r="S223">
        <v>2.9981990000000001</v>
      </c>
      <c r="T223">
        <v>-0.15471289999999999</v>
      </c>
      <c r="U223">
        <v>4.4860839999999999E-2</v>
      </c>
      <c r="V223">
        <v>2.337092E-2</v>
      </c>
      <c r="W223">
        <v>-5.5590960000000002E-2</v>
      </c>
      <c r="X223">
        <v>0.99818010000000001</v>
      </c>
      <c r="Y223">
        <v>-1.0115330000000001E-2</v>
      </c>
      <c r="Z223">
        <v>2.0313239999999999E-4</v>
      </c>
      <c r="AA223">
        <v>0.99994879999999997</v>
      </c>
      <c r="AB223">
        <v>26</v>
      </c>
      <c r="AC223">
        <v>21.626799999999999</v>
      </c>
      <c r="AD223">
        <v>-1.128174</v>
      </c>
      <c r="AE223">
        <v>0.32649999999995299</v>
      </c>
      <c r="AF223">
        <v>-0.22143728632479501</v>
      </c>
      <c r="AG223">
        <v>-1.128174</v>
      </c>
      <c r="AH223">
        <v>21.569442356191601</v>
      </c>
      <c r="AI223">
        <v>92.993928252224507</v>
      </c>
      <c r="AJ223">
        <v>90.588192129304204</v>
      </c>
      <c r="AK223">
        <v>21.600061449058899</v>
      </c>
      <c r="AL223">
        <v>93.186770095170601</v>
      </c>
      <c r="AM223">
        <v>88.658748583812198</v>
      </c>
      <c r="AN223">
        <v>1.00000003338568</v>
      </c>
    </row>
    <row r="224" spans="1:40" x14ac:dyDescent="0.25">
      <c r="A224" t="str">
        <f>"20190303154735978"</f>
        <v>20190303154735978</v>
      </c>
      <c r="B224" t="str">
        <f>"1551599255971214"</f>
        <v>1551599255971214</v>
      </c>
      <c r="C224" t="s">
        <v>40</v>
      </c>
      <c r="D224">
        <v>4.9715369999999997</v>
      </c>
      <c r="E224">
        <v>0.48798560000000002</v>
      </c>
      <c r="F224" t="s">
        <v>43</v>
      </c>
      <c r="G224">
        <v>-412.3365</v>
      </c>
      <c r="H224">
        <v>-0.05</v>
      </c>
      <c r="I224">
        <v>368.62939999999998</v>
      </c>
      <c r="J224">
        <v>-434.05470000000003</v>
      </c>
      <c r="K224">
        <v>1.077029</v>
      </c>
      <c r="L224">
        <v>368.30880000000002</v>
      </c>
      <c r="M224">
        <v>0.99981220000000004</v>
      </c>
      <c r="N224">
        <v>-1.8857289999999999E-2</v>
      </c>
      <c r="O224">
        <v>4.4834030000000004E-3</v>
      </c>
      <c r="P224">
        <v>0.99704689999999996</v>
      </c>
      <c r="Q224">
        <v>-7.4493829999999997E-2</v>
      </c>
      <c r="R224">
        <v>-1.8665930000000001E-2</v>
      </c>
      <c r="S224">
        <v>2.99823</v>
      </c>
      <c r="T224">
        <v>-0.15391769999999999</v>
      </c>
      <c r="U224">
        <v>4.3853759999999999E-2</v>
      </c>
      <c r="V224">
        <v>2.3101090000000001E-2</v>
      </c>
      <c r="W224">
        <v>-5.5695519999999998E-2</v>
      </c>
      <c r="X224">
        <v>0.99818050000000003</v>
      </c>
      <c r="Y224">
        <v>-1.0125250000000001E-2</v>
      </c>
      <c r="Z224">
        <v>2.0979660000000001E-4</v>
      </c>
      <c r="AA224">
        <v>0.99994870000000002</v>
      </c>
      <c r="AB224">
        <v>26</v>
      </c>
      <c r="AC224">
        <v>21.7182</v>
      </c>
      <c r="AD224">
        <v>-1.1270290000000001</v>
      </c>
      <c r="AE224">
        <v>0.32059999999995598</v>
      </c>
      <c r="AF224">
        <v>-0.222608687493622</v>
      </c>
      <c r="AG224">
        <v>-1.1270290000000001</v>
      </c>
      <c r="AH224">
        <v>21.6611005000068</v>
      </c>
      <c r="AI224">
        <v>92.978261837395195</v>
      </c>
      <c r="AJ224">
        <v>90.5888015377502</v>
      </c>
      <c r="AK224">
        <v>21.691542680638999</v>
      </c>
      <c r="AL224">
        <v>93.192770405219207</v>
      </c>
      <c r="AM224">
        <v>88.674229033863497</v>
      </c>
      <c r="AN224">
        <v>0.99999998094375397</v>
      </c>
    </row>
    <row r="225" spans="1:40" x14ac:dyDescent="0.25">
      <c r="A225" t="str">
        <f>"20190303154736000"</f>
        <v>20190303154736000</v>
      </c>
      <c r="B225" t="str">
        <f>"1551599255990737"</f>
        <v>1551599255990737</v>
      </c>
      <c r="C225" t="s">
        <v>40</v>
      </c>
      <c r="D225">
        <v>4.912058</v>
      </c>
      <c r="E225">
        <v>0.48862810000000001</v>
      </c>
      <c r="F225" t="s">
        <v>43</v>
      </c>
      <c r="G225">
        <v>-411.68209999999999</v>
      </c>
      <c r="H225">
        <v>-0.05</v>
      </c>
      <c r="I225">
        <v>368.60160000000002</v>
      </c>
      <c r="J225">
        <v>-433.7978</v>
      </c>
      <c r="K225">
        <v>1.0760379999999901</v>
      </c>
      <c r="L225">
        <v>368.30959999999999</v>
      </c>
      <c r="M225">
        <v>0.99982190000000004</v>
      </c>
      <c r="N225">
        <v>-1.8413599999999999E-2</v>
      </c>
      <c r="O225">
        <v>4.1433709999999999E-3</v>
      </c>
      <c r="P225">
        <v>0.99707509999999999</v>
      </c>
      <c r="Q225">
        <v>-7.3984549999999996E-2</v>
      </c>
      <c r="R225">
        <v>-1.916938E-2</v>
      </c>
      <c r="S225">
        <v>2.998291</v>
      </c>
      <c r="T225">
        <v>-0.1510398</v>
      </c>
      <c r="U225">
        <v>3.924561E-2</v>
      </c>
      <c r="V225">
        <v>2.3265649999999999E-2</v>
      </c>
      <c r="W225">
        <v>-5.5628799999999999E-2</v>
      </c>
      <c r="X225">
        <v>0.99818039999999997</v>
      </c>
      <c r="Y225">
        <v>-8.9310180000000006E-3</v>
      </c>
      <c r="Z225">
        <v>1.7479409999999999E-4</v>
      </c>
      <c r="AA225">
        <v>0.99996010000000002</v>
      </c>
      <c r="AB225">
        <v>26</v>
      </c>
      <c r="AC225">
        <v>22.1157</v>
      </c>
      <c r="AD225">
        <v>-1.1260380000000001</v>
      </c>
      <c r="AE225">
        <v>0.29200000000003001</v>
      </c>
      <c r="AF225">
        <v>-0.19983045338920399</v>
      </c>
      <c r="AG225">
        <v>-1.1260380000000001</v>
      </c>
      <c r="AH225">
        <v>22.059542622056</v>
      </c>
      <c r="AI225">
        <v>92.922029589469702</v>
      </c>
      <c r="AJ225">
        <v>90.519010236495603</v>
      </c>
      <c r="AK225">
        <v>22.089167356010702</v>
      </c>
      <c r="AL225">
        <v>93.188941690280004</v>
      </c>
      <c r="AM225">
        <v>88.664788212683703</v>
      </c>
      <c r="AN225">
        <v>0.99999998240176102</v>
      </c>
    </row>
    <row r="226" spans="1:40" x14ac:dyDescent="0.25">
      <c r="A226" t="str">
        <f>"20190303154736021"</f>
        <v>20190303154736021</v>
      </c>
      <c r="B226" t="str">
        <f>"1551599256011229"</f>
        <v>1551599256011229</v>
      </c>
      <c r="C226" t="s">
        <v>40</v>
      </c>
      <c r="D226">
        <v>4.9179380000000004</v>
      </c>
      <c r="E226">
        <v>0.48916399999999999</v>
      </c>
      <c r="F226" t="s">
        <v>43</v>
      </c>
      <c r="G226">
        <v>-411.02910000000003</v>
      </c>
      <c r="H226">
        <v>-0.05</v>
      </c>
      <c r="I226">
        <v>368.55939999999998</v>
      </c>
      <c r="J226">
        <v>-433.55459999999999</v>
      </c>
      <c r="K226">
        <v>1.0752389999999901</v>
      </c>
      <c r="L226">
        <v>368.31020000000001</v>
      </c>
      <c r="M226">
        <v>0.99983010000000005</v>
      </c>
      <c r="N226">
        <v>-1.8034919999999999E-2</v>
      </c>
      <c r="O226">
        <v>3.8217770000000002E-3</v>
      </c>
      <c r="P226">
        <v>0.99713240000000003</v>
      </c>
      <c r="Q226">
        <v>-7.3051969999999994E-2</v>
      </c>
      <c r="R226">
        <v>-1.9769149999999999E-2</v>
      </c>
      <c r="S226">
        <v>2.9984739999999999</v>
      </c>
      <c r="T226">
        <v>-0.14829120000000001</v>
      </c>
      <c r="U226">
        <v>3.2897950000000002E-2</v>
      </c>
      <c r="V226">
        <v>2.3545030000000002E-2</v>
      </c>
      <c r="W226">
        <v>-5.5073490000000003E-2</v>
      </c>
      <c r="X226">
        <v>0.9982046</v>
      </c>
      <c r="Y226">
        <v>-7.13863E-3</v>
      </c>
      <c r="Z226">
        <v>1.208595E-4</v>
      </c>
      <c r="AA226">
        <v>0.99997449999999999</v>
      </c>
      <c r="AB226">
        <v>26</v>
      </c>
      <c r="AC226">
        <v>22.525499999999901</v>
      </c>
      <c r="AD226">
        <v>-1.1252390000000001</v>
      </c>
      <c r="AE226">
        <v>0.249199999999973</v>
      </c>
      <c r="AF226">
        <v>-0.16269081251027301</v>
      </c>
      <c r="AG226">
        <v>-1.1252390000000001</v>
      </c>
      <c r="AH226">
        <v>22.470222587733101</v>
      </c>
      <c r="AI226">
        <v>92.8667250263874</v>
      </c>
      <c r="AJ226">
        <v>90.414830516615396</v>
      </c>
      <c r="AK226">
        <v>22.4989674040803</v>
      </c>
      <c r="AL226">
        <v>93.157076050274895</v>
      </c>
      <c r="AM226">
        <v>88.648793296755997</v>
      </c>
      <c r="AN226">
        <v>0.999999940599818</v>
      </c>
    </row>
    <row r="227" spans="1:40" x14ac:dyDescent="0.25">
      <c r="A227" t="str">
        <f>"20190303154736045"</f>
        <v>20190303154736045</v>
      </c>
      <c r="B227" t="str">
        <f>"1551599256040510"</f>
        <v>1551599256040510</v>
      </c>
      <c r="C227" t="s">
        <v>40</v>
      </c>
      <c r="D227">
        <v>5.0490320000000004</v>
      </c>
      <c r="E227">
        <v>0.4900023</v>
      </c>
      <c r="F227" t="s">
        <v>43</v>
      </c>
      <c r="G227">
        <v>-410.29</v>
      </c>
      <c r="H227">
        <v>-0.05</v>
      </c>
      <c r="I227">
        <v>368.51859999999999</v>
      </c>
      <c r="J227">
        <v>-433.28320000000002</v>
      </c>
      <c r="K227">
        <v>1.074487</v>
      </c>
      <c r="L227">
        <v>368.31079999999997</v>
      </c>
      <c r="M227">
        <v>0.99983829999999996</v>
      </c>
      <c r="N227">
        <v>-1.7655859999999999E-2</v>
      </c>
      <c r="O227">
        <v>3.4592009999999999E-3</v>
      </c>
      <c r="P227">
        <v>0.99715410000000004</v>
      </c>
      <c r="Q227">
        <v>-7.2623800000000002E-2</v>
      </c>
      <c r="R227">
        <v>-2.024921E-2</v>
      </c>
      <c r="S227">
        <v>2.998535</v>
      </c>
      <c r="T227">
        <v>-0.14503060000000001</v>
      </c>
      <c r="U227">
        <v>2.6855469999999999E-2</v>
      </c>
      <c r="V227">
        <v>2.366383E-2</v>
      </c>
      <c r="W227">
        <v>-5.5023320000000001E-2</v>
      </c>
      <c r="X227">
        <v>0.9982046</v>
      </c>
      <c r="Y227">
        <v>-5.4890499999999997E-3</v>
      </c>
      <c r="Z227" s="1">
        <v>7.5011709999999999E-5</v>
      </c>
      <c r="AA227">
        <v>0.99998489999999995</v>
      </c>
      <c r="AB227">
        <v>26</v>
      </c>
      <c r="AC227">
        <v>22.993200000000002</v>
      </c>
      <c r="AD227">
        <v>-1.124487</v>
      </c>
      <c r="AE227">
        <v>0.20780000000002</v>
      </c>
      <c r="AF227">
        <v>-0.127942291674153</v>
      </c>
      <c r="AG227">
        <v>-1.124487</v>
      </c>
      <c r="AH227">
        <v>22.938922359533599</v>
      </c>
      <c r="AI227">
        <v>92.806401476908704</v>
      </c>
      <c r="AJ227">
        <v>90.319565026026893</v>
      </c>
      <c r="AK227">
        <v>22.96682388272</v>
      </c>
      <c r="AL227">
        <v>93.154197021578497</v>
      </c>
      <c r="AM227">
        <v>88.641978126232999</v>
      </c>
      <c r="AN227">
        <v>0.99999998302762505</v>
      </c>
    </row>
    <row r="228" spans="1:40" x14ac:dyDescent="0.25">
      <c r="A228" t="str">
        <f>"20190303154736071"</f>
        <v>20190303154736071</v>
      </c>
      <c r="B228" t="str">
        <f>"1551599256061006"</f>
        <v>1551599256061006</v>
      </c>
      <c r="C228" t="s">
        <v>40</v>
      </c>
      <c r="D228">
        <v>4.9961609999999999</v>
      </c>
      <c r="E228">
        <v>0.49052469999999998</v>
      </c>
      <c r="F228" t="s">
        <v>43</v>
      </c>
      <c r="G228">
        <v>-409.63189999999997</v>
      </c>
      <c r="H228">
        <v>-0.05</v>
      </c>
      <c r="I228">
        <v>368.45780000000002</v>
      </c>
      <c r="J228">
        <v>-432.99250000000001</v>
      </c>
      <c r="K228">
        <v>1.0738160000000001</v>
      </c>
      <c r="L228">
        <v>368.31130000000002</v>
      </c>
      <c r="M228">
        <v>0.99984580000000001</v>
      </c>
      <c r="N228">
        <v>-1.7293719999999999E-2</v>
      </c>
      <c r="O228">
        <v>3.0676919999999999E-3</v>
      </c>
      <c r="P228">
        <v>0.99716400000000005</v>
      </c>
      <c r="Q228">
        <v>-7.2324840000000001E-2</v>
      </c>
      <c r="R228">
        <v>-2.0821059999999999E-2</v>
      </c>
      <c r="S228">
        <v>2.998535</v>
      </c>
      <c r="T228">
        <v>-0.1425631</v>
      </c>
      <c r="U228">
        <v>1.8646240000000001E-2</v>
      </c>
      <c r="V228">
        <v>2.384553E-2</v>
      </c>
      <c r="W228">
        <v>-5.508561E-2</v>
      </c>
      <c r="X228">
        <v>0.9981968</v>
      </c>
      <c r="Y228">
        <v>-3.146762E-3</v>
      </c>
      <c r="Z228" s="1">
        <v>9.2647020000000001E-6</v>
      </c>
      <c r="AA228">
        <v>0.99999510000000003</v>
      </c>
      <c r="AB228">
        <v>26</v>
      </c>
      <c r="AC228">
        <v>23.360600000000002</v>
      </c>
      <c r="AD228">
        <v>-1.1238159999999999</v>
      </c>
      <c r="AE228">
        <v>0.14650000000000299</v>
      </c>
      <c r="AF228">
        <v>-7.4652706846499495E-2</v>
      </c>
      <c r="AG228">
        <v>-1.1238159999999999</v>
      </c>
      <c r="AH228">
        <v>23.307001912189399</v>
      </c>
      <c r="AI228">
        <v>92.760533181884398</v>
      </c>
      <c r="AJ228">
        <v>90.183518687663096</v>
      </c>
      <c r="AK228">
        <v>23.334199655511998</v>
      </c>
      <c r="AL228">
        <v>93.157771524507098</v>
      </c>
      <c r="AM228">
        <v>88.631543972127901</v>
      </c>
      <c r="AN228">
        <v>0.99999994263014402</v>
      </c>
    </row>
    <row r="229" spans="1:40" x14ac:dyDescent="0.25">
      <c r="A229" t="str">
        <f>"20190303154736089"</f>
        <v>20190303154736089</v>
      </c>
      <c r="B229" t="str">
        <f>"1551599256080525"</f>
        <v>1551599256080525</v>
      </c>
      <c r="C229" t="s">
        <v>40</v>
      </c>
      <c r="D229">
        <v>4.9253660000000004</v>
      </c>
      <c r="E229">
        <v>0.4910022</v>
      </c>
      <c r="F229" t="s">
        <v>43</v>
      </c>
      <c r="G229">
        <v>-409.0652</v>
      </c>
      <c r="H229">
        <v>-0.05</v>
      </c>
      <c r="I229">
        <v>368.41359999999997</v>
      </c>
      <c r="J229">
        <v>-432.78519999999997</v>
      </c>
      <c r="K229">
        <v>1.0734079999999999</v>
      </c>
      <c r="L229">
        <v>368.3116</v>
      </c>
      <c r="M229">
        <v>0.99985069999999998</v>
      </c>
      <c r="N229">
        <v>-1.7061E-2</v>
      </c>
      <c r="O229">
        <v>2.7878960000000002E-3</v>
      </c>
      <c r="P229">
        <v>0.9971681</v>
      </c>
      <c r="Q229">
        <v>-7.2208209999999995E-2</v>
      </c>
      <c r="R229">
        <v>-2.1028499999999999E-2</v>
      </c>
      <c r="S229">
        <v>2.998596</v>
      </c>
      <c r="T229">
        <v>-0.14083760000000001</v>
      </c>
      <c r="U229">
        <v>1.281738E-2</v>
      </c>
      <c r="V229">
        <v>2.3774010000000002E-2</v>
      </c>
      <c r="W229">
        <v>-5.5201029999999998E-2</v>
      </c>
      <c r="X229">
        <v>0.99819219999999997</v>
      </c>
      <c r="Y229">
        <v>-1.485143E-3</v>
      </c>
      <c r="Z229" s="1">
        <v>-3.578029E-5</v>
      </c>
      <c r="AA229">
        <v>0.99999890000000002</v>
      </c>
      <c r="AB229">
        <v>26</v>
      </c>
      <c r="AC229">
        <v>23.719999999999899</v>
      </c>
      <c r="AD229">
        <v>-1.123408</v>
      </c>
      <c r="AE229">
        <v>0.101999999999975</v>
      </c>
      <c r="AF229">
        <v>-3.57808350017398E-2</v>
      </c>
      <c r="AG229">
        <v>-1.123408</v>
      </c>
      <c r="AH229">
        <v>23.667105860307601</v>
      </c>
      <c r="AI229">
        <v>92.717619442598306</v>
      </c>
      <c r="AJ229">
        <v>90.086621882845407</v>
      </c>
      <c r="AK229">
        <v>23.693780314792001</v>
      </c>
      <c r="AL229">
        <v>93.164394459266802</v>
      </c>
      <c r="AM229">
        <v>88.635640549408393</v>
      </c>
      <c r="AN229">
        <v>1.00000001270269</v>
      </c>
    </row>
    <row r="230" spans="1:40" x14ac:dyDescent="0.25">
      <c r="A230" t="str">
        <f>"20190303154736111"</f>
        <v>20190303154736111</v>
      </c>
      <c r="B230" t="str">
        <f>"1551599256101025"</f>
        <v>1551599256101025</v>
      </c>
      <c r="C230" t="s">
        <v>40</v>
      </c>
      <c r="D230">
        <v>4.9032439999999999</v>
      </c>
      <c r="E230">
        <v>0.49141360000000001</v>
      </c>
      <c r="F230" t="s">
        <v>43</v>
      </c>
      <c r="G230">
        <v>-408.66950000000003</v>
      </c>
      <c r="H230">
        <v>-0.05</v>
      </c>
      <c r="I230">
        <v>368.37689999999998</v>
      </c>
      <c r="J230">
        <v>-432.53289999999998</v>
      </c>
      <c r="K230">
        <v>1.0729789999999999</v>
      </c>
      <c r="L230">
        <v>368.31200000000001</v>
      </c>
      <c r="M230">
        <v>0.99985570000000001</v>
      </c>
      <c r="N230">
        <v>-1.6805179999999999E-2</v>
      </c>
      <c r="O230">
        <v>2.4477800000000001E-3</v>
      </c>
      <c r="P230">
        <v>0.99720390000000003</v>
      </c>
      <c r="Q230">
        <v>-7.1701970000000004E-2</v>
      </c>
      <c r="R230">
        <v>-2.10482E-2</v>
      </c>
      <c r="S230">
        <v>2.9985659999999998</v>
      </c>
      <c r="T230">
        <v>-0.1396858</v>
      </c>
      <c r="U230">
        <v>8.1176759999999903E-3</v>
      </c>
      <c r="V230">
        <v>2.345508E-2</v>
      </c>
      <c r="W230">
        <v>-5.494922E-2</v>
      </c>
      <c r="X230">
        <v>0.99821360000000003</v>
      </c>
      <c r="Y230">
        <v>-2.5975219999999999E-4</v>
      </c>
      <c r="Z230" s="1">
        <v>-6.4610390000000007E-5</v>
      </c>
      <c r="AA230">
        <v>0.99999990000000005</v>
      </c>
      <c r="AB230">
        <v>25</v>
      </c>
      <c r="AC230">
        <v>23.863399999999899</v>
      </c>
      <c r="AD230">
        <v>-1.1229789999999999</v>
      </c>
      <c r="AE230">
        <v>6.4900000000022801E-2</v>
      </c>
      <c r="AF230">
        <v>-6.4648807434028602E-3</v>
      </c>
      <c r="AG230">
        <v>-1.1229789999999999</v>
      </c>
      <c r="AH230">
        <v>23.810758480764601</v>
      </c>
      <c r="AI230">
        <v>92.700221111537005</v>
      </c>
      <c r="AJ230">
        <v>90.015556428949907</v>
      </c>
      <c r="AK230">
        <v>23.8372259933581</v>
      </c>
      <c r="AL230">
        <v>93.149944998595103</v>
      </c>
      <c r="AM230">
        <v>88.653965593473998</v>
      </c>
      <c r="AN230">
        <v>0.999999974390687</v>
      </c>
    </row>
    <row r="231" spans="1:40" x14ac:dyDescent="0.25">
      <c r="A231" t="str">
        <f>"20190303154736134"</f>
        <v>20190303154736134</v>
      </c>
      <c r="B231" t="str">
        <f>"1551599256131278"</f>
        <v>1551599256131278</v>
      </c>
      <c r="C231" t="s">
        <v>40</v>
      </c>
      <c r="D231">
        <v>5.0099530000000003</v>
      </c>
      <c r="E231">
        <v>0.49194110000000002</v>
      </c>
      <c r="F231" t="s">
        <v>43</v>
      </c>
      <c r="G231">
        <v>-408.1361</v>
      </c>
      <c r="H231">
        <v>-0.05</v>
      </c>
      <c r="I231">
        <v>368.3492</v>
      </c>
      <c r="J231">
        <v>-432.28019999999998</v>
      </c>
      <c r="K231">
        <v>1.0726169999999999</v>
      </c>
      <c r="L231">
        <v>368.31220000000002</v>
      </c>
      <c r="M231">
        <v>0.99986050000000004</v>
      </c>
      <c r="N231">
        <v>-1.6575929999999999E-2</v>
      </c>
      <c r="O231">
        <v>2.107275E-3</v>
      </c>
      <c r="P231">
        <v>0.99721990000000005</v>
      </c>
      <c r="Q231">
        <v>-7.138216E-2</v>
      </c>
      <c r="R231">
        <v>-2.1383039999999999E-2</v>
      </c>
      <c r="S231">
        <v>2.9985659999999998</v>
      </c>
      <c r="T231">
        <v>-0.1380237</v>
      </c>
      <c r="U231">
        <v>4.5776369999999999E-3</v>
      </c>
      <c r="V231">
        <v>2.3450720000000001E-2</v>
      </c>
      <c r="W231">
        <v>-5.485785E-2</v>
      </c>
      <c r="X231">
        <v>0.99821879999999996</v>
      </c>
      <c r="Y231">
        <v>5.7921030000000003E-4</v>
      </c>
      <c r="Z231" s="1">
        <v>-8.0153289999999996E-5</v>
      </c>
      <c r="AA231">
        <v>0.99999979999999999</v>
      </c>
      <c r="AB231">
        <v>25</v>
      </c>
      <c r="AC231">
        <v>24.144099999999899</v>
      </c>
      <c r="AD231">
        <v>-1.122617</v>
      </c>
      <c r="AE231">
        <v>3.6999999999977697E-2</v>
      </c>
      <c r="AF231">
        <v>1.38553717535206E-2</v>
      </c>
      <c r="AG231">
        <v>-1.122617</v>
      </c>
      <c r="AH231">
        <v>24.0920392307372</v>
      </c>
      <c r="AI231">
        <v>92.667881796207993</v>
      </c>
      <c r="AJ231">
        <v>89.967049105725806</v>
      </c>
      <c r="AK231">
        <v>24.118184326258799</v>
      </c>
      <c r="AL231">
        <v>93.144701748402795</v>
      </c>
      <c r="AM231">
        <v>88.654222720050697</v>
      </c>
      <c r="AN231">
        <v>1.00000004632428</v>
      </c>
    </row>
    <row r="232" spans="1:40" x14ac:dyDescent="0.25">
      <c r="A232" t="str">
        <f>"20190303154736156"</f>
        <v>20190303154736156</v>
      </c>
      <c r="B232" t="str">
        <f>"1551599256150798"</f>
        <v>1551599256150798</v>
      </c>
      <c r="C232" t="s">
        <v>40</v>
      </c>
      <c r="D232">
        <v>4.9838399999999998</v>
      </c>
      <c r="E232">
        <v>0.49223539999999999</v>
      </c>
      <c r="F232" t="s">
        <v>43</v>
      </c>
      <c r="G232">
        <v>-407.8809</v>
      </c>
      <c r="H232">
        <v>-0.05</v>
      </c>
      <c r="I232">
        <v>368.30889999999999</v>
      </c>
      <c r="J232">
        <v>-432.02050000000003</v>
      </c>
      <c r="K232">
        <v>1.0722989999999999</v>
      </c>
      <c r="L232">
        <v>368.31229999999999</v>
      </c>
      <c r="M232">
        <v>0.99986459999999999</v>
      </c>
      <c r="N232">
        <v>-1.6365569999999999E-2</v>
      </c>
      <c r="O232">
        <v>1.758531E-3</v>
      </c>
      <c r="P232">
        <v>0.99726360000000003</v>
      </c>
      <c r="Q232">
        <v>-7.0761379999999999E-2</v>
      </c>
      <c r="R232">
        <v>-2.141067E-2</v>
      </c>
      <c r="S232">
        <v>2.9984739999999999</v>
      </c>
      <c r="T232">
        <v>-0.13796040000000001</v>
      </c>
      <c r="U232">
        <v>-3.9672850000000001E-4</v>
      </c>
      <c r="V232">
        <v>2.3131019999999999E-2</v>
      </c>
      <c r="W232">
        <v>-5.4446050000000003E-2</v>
      </c>
      <c r="X232">
        <v>0.99824880000000005</v>
      </c>
      <c r="Y232">
        <v>1.8875960000000001E-3</v>
      </c>
      <c r="Z232">
        <v>-1.109554E-4</v>
      </c>
      <c r="AA232">
        <v>0.99999819999999995</v>
      </c>
      <c r="AB232">
        <v>25</v>
      </c>
      <c r="AC232">
        <v>24.139600000000002</v>
      </c>
      <c r="AD232">
        <v>-1.1222989999999999</v>
      </c>
      <c r="AE232">
        <v>-3.3999999999991802E-3</v>
      </c>
      <c r="AF232">
        <v>4.5757008370043699E-2</v>
      </c>
      <c r="AG232">
        <v>-1.1222989999999999</v>
      </c>
      <c r="AH232">
        <v>24.087491361026501</v>
      </c>
      <c r="AI232">
        <v>92.667625642929593</v>
      </c>
      <c r="AJ232">
        <v>89.891160093428795</v>
      </c>
      <c r="AK232">
        <v>24.113666017773799</v>
      </c>
      <c r="AL232">
        <v>93.121072046737396</v>
      </c>
      <c r="AM232">
        <v>88.672602760160004</v>
      </c>
      <c r="AN232">
        <v>1.0000000415741399</v>
      </c>
    </row>
    <row r="233" spans="1:40" x14ac:dyDescent="0.25">
      <c r="A233" t="str">
        <f>"20190303154736179"</f>
        <v>20190303154736179</v>
      </c>
      <c r="B233" t="str">
        <f>"1551599256171295"</f>
        <v>1551599256171295</v>
      </c>
      <c r="C233" t="s">
        <v>40</v>
      </c>
      <c r="D233">
        <v>5.0080429999999998</v>
      </c>
      <c r="E233">
        <v>0.49248449999999999</v>
      </c>
      <c r="F233" t="s">
        <v>43</v>
      </c>
      <c r="G233">
        <v>-407.50779999999997</v>
      </c>
      <c r="H233">
        <v>-0.05</v>
      </c>
      <c r="I233">
        <v>368.28789999999998</v>
      </c>
      <c r="J233">
        <v>-431.77280000000002</v>
      </c>
      <c r="K233">
        <v>1.072052</v>
      </c>
      <c r="L233">
        <v>368.31240000000003</v>
      </c>
      <c r="M233">
        <v>0.99986799999999998</v>
      </c>
      <c r="N233">
        <v>-1.618696E-2</v>
      </c>
      <c r="O233">
        <v>1.4260060000000001E-3</v>
      </c>
      <c r="P233">
        <v>0.99728470000000002</v>
      </c>
      <c r="Q233">
        <v>-7.0348010000000002E-2</v>
      </c>
      <c r="R233">
        <v>-2.1783110000000001E-2</v>
      </c>
      <c r="S233">
        <v>2.9984130000000002</v>
      </c>
      <c r="T233">
        <v>-0.13728009999999999</v>
      </c>
      <c r="U233">
        <v>-2.9907229999999998E-3</v>
      </c>
      <c r="V233">
        <v>2.3172180000000001E-2</v>
      </c>
      <c r="W233">
        <v>-5.421057E-2</v>
      </c>
      <c r="X233">
        <v>0.99826060000000005</v>
      </c>
      <c r="Y233">
        <v>2.4195699999999998E-3</v>
      </c>
      <c r="Z233">
        <v>-1.17136E-4</v>
      </c>
      <c r="AA233">
        <v>0.99999709999999997</v>
      </c>
      <c r="AB233">
        <v>25</v>
      </c>
      <c r="AC233">
        <v>24.265000000000001</v>
      </c>
      <c r="AD233">
        <v>-1.122052</v>
      </c>
      <c r="AE233">
        <v>-2.4500000000045902E-2</v>
      </c>
      <c r="AF233">
        <v>5.8980426777877397E-2</v>
      </c>
      <c r="AG233">
        <v>-1.122052</v>
      </c>
      <c r="AH233">
        <v>24.213165809288</v>
      </c>
      <c r="AI233">
        <v>92.653213313089196</v>
      </c>
      <c r="AJ233">
        <v>89.860434489602994</v>
      </c>
      <c r="AK233">
        <v>24.239221891172999</v>
      </c>
      <c r="AL233">
        <v>93.107560271101505</v>
      </c>
      <c r="AM233">
        <v>88.670257311650502</v>
      </c>
      <c r="AN233">
        <v>0.99999998066901796</v>
      </c>
    </row>
    <row r="234" spans="1:40" x14ac:dyDescent="0.25">
      <c r="A234" t="str">
        <f>"20190303154736201"</f>
        <v>20190303154736201</v>
      </c>
      <c r="B234" t="str">
        <f>"1551599256190817"</f>
        <v>1551599256190817</v>
      </c>
      <c r="C234" t="s">
        <v>40</v>
      </c>
      <c r="D234">
        <v>5.0171519999999896</v>
      </c>
      <c r="E234">
        <v>0.4925677</v>
      </c>
      <c r="F234" t="s">
        <v>43</v>
      </c>
      <c r="G234">
        <v>-407.22649999999999</v>
      </c>
      <c r="H234">
        <v>-0.05</v>
      </c>
      <c r="I234">
        <v>368.2636</v>
      </c>
      <c r="J234">
        <v>-431.52190000000002</v>
      </c>
      <c r="K234">
        <v>1.071841</v>
      </c>
      <c r="L234">
        <v>368.31229999999999</v>
      </c>
      <c r="M234">
        <v>0.99987099999999995</v>
      </c>
      <c r="N234">
        <v>-1.6025620000000001E-2</v>
      </c>
      <c r="O234">
        <v>1.0889719999999999E-3</v>
      </c>
      <c r="P234">
        <v>0.99728729999999999</v>
      </c>
      <c r="Q234">
        <v>-7.0165710000000006E-2</v>
      </c>
      <c r="R234">
        <v>-2.224483E-2</v>
      </c>
      <c r="S234">
        <v>2.9983520000000001</v>
      </c>
      <c r="T234">
        <v>-0.13705970000000001</v>
      </c>
      <c r="U234">
        <v>-5.9509280000000003E-3</v>
      </c>
      <c r="V234">
        <v>2.3297729999999999E-2</v>
      </c>
      <c r="W234">
        <v>-5.4189199999999903E-2</v>
      </c>
      <c r="X234">
        <v>0.9982588</v>
      </c>
      <c r="Y234">
        <v>3.069029E-3</v>
      </c>
      <c r="Z234">
        <v>-1.2702509999999999E-4</v>
      </c>
      <c r="AA234">
        <v>0.99999530000000003</v>
      </c>
      <c r="AB234">
        <v>25</v>
      </c>
      <c r="AC234">
        <v>24.295400000000001</v>
      </c>
      <c r="AD234">
        <v>-1.1218410000000001</v>
      </c>
      <c r="AE234">
        <v>-4.86999999999966E-2</v>
      </c>
      <c r="AF234">
        <v>7.50004687353623E-2</v>
      </c>
      <c r="AG234">
        <v>-1.1218410000000001</v>
      </c>
      <c r="AH234">
        <v>24.243642063664801</v>
      </c>
      <c r="AI234">
        <v>92.649380355709397</v>
      </c>
      <c r="AJ234">
        <v>89.822749543979697</v>
      </c>
      <c r="AK234">
        <v>24.269699891236598</v>
      </c>
      <c r="AL234">
        <v>93.106334175930499</v>
      </c>
      <c r="AM234">
        <v>88.663052784288297</v>
      </c>
      <c r="AN234">
        <v>0.99999994269861403</v>
      </c>
    </row>
    <row r="235" spans="1:40" x14ac:dyDescent="0.25">
      <c r="A235" t="str">
        <f>"20190303154736223"</f>
        <v>20190303154736223</v>
      </c>
      <c r="B235" t="str">
        <f>"1551599256210334"</f>
        <v>1551599256210334</v>
      </c>
      <c r="C235" t="s">
        <v>40</v>
      </c>
      <c r="D235">
        <v>5.0063139999999997</v>
      </c>
      <c r="E235">
        <v>0.49233549999999998</v>
      </c>
      <c r="F235" t="s">
        <v>43</v>
      </c>
      <c r="G235">
        <v>-406.91160000000002</v>
      </c>
      <c r="H235">
        <v>-0.05</v>
      </c>
      <c r="I235">
        <v>368.24689999999998</v>
      </c>
      <c r="J235">
        <v>-431.27120000000002</v>
      </c>
      <c r="K235">
        <v>1.0716680000000001</v>
      </c>
      <c r="L235">
        <v>368.31220000000002</v>
      </c>
      <c r="M235">
        <v>0.99987369999999998</v>
      </c>
      <c r="N235">
        <v>-1.588291E-2</v>
      </c>
      <c r="O235">
        <v>7.5182820000000003E-4</v>
      </c>
      <c r="P235">
        <v>0.99726000000000004</v>
      </c>
      <c r="Q235">
        <v>-7.0134859999999993E-2</v>
      </c>
      <c r="R235">
        <v>-2.3535650000000002E-2</v>
      </c>
      <c r="S235">
        <v>2.9983520000000001</v>
      </c>
      <c r="T235">
        <v>-0.1366773</v>
      </c>
      <c r="U235">
        <v>-7.9650880000000004E-3</v>
      </c>
      <c r="V235">
        <v>2.425254E-2</v>
      </c>
      <c r="W235">
        <v>-5.4301660000000002E-2</v>
      </c>
      <c r="X235">
        <v>0.99822999999999995</v>
      </c>
      <c r="Y235">
        <v>3.4033000000000002E-3</v>
      </c>
      <c r="Z235">
        <v>-1.2689129999999901E-4</v>
      </c>
      <c r="AA235">
        <v>0.99999420000000006</v>
      </c>
      <c r="AB235">
        <v>25</v>
      </c>
      <c r="AC235">
        <v>24.3596</v>
      </c>
      <c r="AD235">
        <v>-1.1216680000000001</v>
      </c>
      <c r="AE235">
        <v>-6.5300000000036107E-2</v>
      </c>
      <c r="AF235">
        <v>8.3439611874368505E-2</v>
      </c>
      <c r="AG235">
        <v>-1.1216680000000001</v>
      </c>
      <c r="AH235">
        <v>24.3080051832208</v>
      </c>
      <c r="AI235">
        <v>92.641965416755696</v>
      </c>
      <c r="AJ235">
        <v>89.803327389804394</v>
      </c>
      <c r="AK235">
        <v>24.3340135871283</v>
      </c>
      <c r="AL235">
        <v>93.112786999620894</v>
      </c>
      <c r="AM235">
        <v>88.608241714958496</v>
      </c>
      <c r="AN235">
        <v>0.99999999443760301</v>
      </c>
    </row>
    <row r="236" spans="1:40" x14ac:dyDescent="0.25">
      <c r="A236" t="str">
        <f>"20190303154736246"</f>
        <v>20190303154736246</v>
      </c>
      <c r="B236" t="str">
        <f>"1551599256240591"</f>
        <v>1551599256240591</v>
      </c>
      <c r="C236" t="s">
        <v>40</v>
      </c>
      <c r="D236">
        <v>4.943962</v>
      </c>
      <c r="E236">
        <v>0.46844629999999998</v>
      </c>
      <c r="F236" t="s">
        <v>43</v>
      </c>
      <c r="G236">
        <v>-406.71899999999999</v>
      </c>
      <c r="H236">
        <v>-0.05</v>
      </c>
      <c r="I236">
        <v>368.22770000000003</v>
      </c>
      <c r="J236">
        <v>-431.01319999999998</v>
      </c>
      <c r="K236">
        <v>1.0715220000000001</v>
      </c>
      <c r="L236">
        <v>368.31200000000001</v>
      </c>
      <c r="M236">
        <v>0.99987599999999999</v>
      </c>
      <c r="N236">
        <v>-1.575242E-2</v>
      </c>
      <c r="O236">
        <v>4.0462069999999998E-4</v>
      </c>
      <c r="P236">
        <v>0.99724219999999997</v>
      </c>
      <c r="Q236">
        <v>-7.0029809999999998E-2</v>
      </c>
      <c r="R236">
        <v>-2.4579980000000001E-2</v>
      </c>
      <c r="S236">
        <v>2.998383</v>
      </c>
      <c r="T236">
        <v>-0.13698099999999999</v>
      </c>
      <c r="U236">
        <v>-1.031494E-2</v>
      </c>
      <c r="V236">
        <v>2.4950779999999999E-2</v>
      </c>
      <c r="W236">
        <v>-5.4327380000000002E-2</v>
      </c>
      <c r="X236">
        <v>0.99821139999999997</v>
      </c>
      <c r="Y236">
        <v>3.8392489999999999E-3</v>
      </c>
      <c r="Z236">
        <v>-1.3001740000000001E-4</v>
      </c>
      <c r="AA236">
        <v>0.99999260000000001</v>
      </c>
      <c r="AB236">
        <v>25</v>
      </c>
      <c r="AC236">
        <v>24.294199999999901</v>
      </c>
      <c r="AD236">
        <v>-1.1215219999999999</v>
      </c>
      <c r="AE236">
        <v>-8.4299999999927794E-2</v>
      </c>
      <c r="AF236">
        <v>9.3930970660548202E-2</v>
      </c>
      <c r="AG236">
        <v>-1.1215219999999999</v>
      </c>
      <c r="AH236">
        <v>24.242500545777901</v>
      </c>
      <c r="AI236">
        <v>92.648745408870994</v>
      </c>
      <c r="AJ236">
        <v>89.778000572085105</v>
      </c>
      <c r="AK236">
        <v>24.268610741774499</v>
      </c>
      <c r="AL236">
        <v>93.1142628008662</v>
      </c>
      <c r="AM236">
        <v>88.568162234335801</v>
      </c>
      <c r="AN236">
        <v>1.0000000023651101</v>
      </c>
    </row>
    <row r="237" spans="1:40" x14ac:dyDescent="0.25">
      <c r="A237" t="str">
        <f>"20190303154736269"</f>
        <v>20190303154736269</v>
      </c>
      <c r="B237" t="str">
        <f>"1551599256261086"</f>
        <v>1551599256261086</v>
      </c>
      <c r="C237" t="s">
        <v>40</v>
      </c>
      <c r="D237">
        <v>4.9343349999999999</v>
      </c>
      <c r="E237">
        <v>0.46831729999999999</v>
      </c>
      <c r="F237" t="s">
        <v>43</v>
      </c>
      <c r="G237">
        <v>-411.89699999999999</v>
      </c>
      <c r="H237">
        <v>-0.05</v>
      </c>
      <c r="I237">
        <v>369.44380000000001</v>
      </c>
      <c r="J237">
        <v>-430.75560000000002</v>
      </c>
      <c r="K237">
        <v>1.071401</v>
      </c>
      <c r="L237">
        <v>368.31169999999997</v>
      </c>
      <c r="M237">
        <v>0.99987789999999999</v>
      </c>
      <c r="N237">
        <v>-1.5636710000000002E-2</v>
      </c>
      <c r="O237" s="1">
        <v>5.7877809999999997E-5</v>
      </c>
      <c r="P237">
        <v>0.99719729999999995</v>
      </c>
      <c r="Q237">
        <v>-7.003616E-2</v>
      </c>
      <c r="R237">
        <v>-2.6324690000000001E-2</v>
      </c>
      <c r="S237">
        <v>3.0003359999999999</v>
      </c>
      <c r="T237">
        <v>-0.17602599999999999</v>
      </c>
      <c r="U237">
        <v>0.17764279999999999</v>
      </c>
      <c r="V237">
        <v>2.6349669999999999E-2</v>
      </c>
      <c r="W237">
        <v>-5.4450579999999998E-2</v>
      </c>
      <c r="X237">
        <v>0.99816879999999997</v>
      </c>
      <c r="Y237">
        <v>-5.8918430000000001E-2</v>
      </c>
      <c r="Z237">
        <v>2.1844339999999999E-3</v>
      </c>
      <c r="AA237">
        <v>0.99826040000000005</v>
      </c>
      <c r="AB237">
        <v>25</v>
      </c>
      <c r="AC237">
        <v>18.858599999999999</v>
      </c>
      <c r="AD237">
        <v>-1.1214010000000001</v>
      </c>
      <c r="AE237">
        <v>1.1321000000000301</v>
      </c>
      <c r="AF237">
        <v>-1.1270375603330001</v>
      </c>
      <c r="AG237">
        <v>-1.1214010000000001</v>
      </c>
      <c r="AH237">
        <v>18.792455399372798</v>
      </c>
      <c r="AI237">
        <v>93.408847472487906</v>
      </c>
      <c r="AJ237">
        <v>93.432081731260197</v>
      </c>
      <c r="AK237">
        <v>18.859589969100998</v>
      </c>
      <c r="AL237">
        <v>93.121331918278102</v>
      </c>
      <c r="AM237">
        <v>88.487856620338107</v>
      </c>
      <c r="AN237">
        <v>1.0000000620324401</v>
      </c>
    </row>
    <row r="238" spans="1:40" x14ac:dyDescent="0.25">
      <c r="A238" t="str">
        <f>"20190303154736302"</f>
        <v>20190303154736302</v>
      </c>
      <c r="B238" t="str">
        <f>"1551599256291342"</f>
        <v>1551599256291342</v>
      </c>
      <c r="C238" t="s">
        <v>40</v>
      </c>
      <c r="D238">
        <v>4.9399569999999997</v>
      </c>
      <c r="E238">
        <v>0.46761589999999997</v>
      </c>
      <c r="F238" t="s">
        <v>43</v>
      </c>
      <c r="G238">
        <v>-411.30759999999998</v>
      </c>
      <c r="H238">
        <v>-0.05</v>
      </c>
      <c r="I238">
        <v>369.4341</v>
      </c>
      <c r="J238">
        <v>-430.39780000000002</v>
      </c>
      <c r="K238">
        <v>1.071267</v>
      </c>
      <c r="L238">
        <v>368.31119999999999</v>
      </c>
      <c r="M238">
        <v>0.99987979999999999</v>
      </c>
      <c r="N238">
        <v>-1.5496670000000001E-2</v>
      </c>
      <c r="O238">
        <v>-4.2330800000000001E-4</v>
      </c>
      <c r="P238">
        <v>0.99717999999999996</v>
      </c>
      <c r="Q238">
        <v>-6.9745109999999999E-2</v>
      </c>
      <c r="R238">
        <v>-2.7711240000000002E-2</v>
      </c>
      <c r="S238">
        <v>3.0008849999999998</v>
      </c>
      <c r="T238">
        <v>-0.17303560000000001</v>
      </c>
      <c r="U238">
        <v>0.17318729999999999</v>
      </c>
      <c r="V238">
        <v>2.7256639999999999E-2</v>
      </c>
      <c r="W238">
        <v>-5.4299849999999997E-2</v>
      </c>
      <c r="X238">
        <v>0.99815259999999995</v>
      </c>
      <c r="Y238">
        <v>-5.791669E-2</v>
      </c>
      <c r="Z238">
        <v>2.1344599999999999E-3</v>
      </c>
      <c r="AA238">
        <v>0.99831910000000001</v>
      </c>
      <c r="AB238">
        <v>25</v>
      </c>
      <c r="AC238">
        <v>19.090199999999999</v>
      </c>
      <c r="AD238">
        <v>-1.121267</v>
      </c>
      <c r="AE238">
        <v>1.12290000000001</v>
      </c>
      <c r="AF238">
        <v>-1.12710698883232</v>
      </c>
      <c r="AG238">
        <v>-1.121267</v>
      </c>
      <c r="AH238">
        <v>19.0243186116857</v>
      </c>
      <c r="AI238">
        <v>93.367141225670593</v>
      </c>
      <c r="AJ238">
        <v>93.390558993992201</v>
      </c>
      <c r="AK238">
        <v>19.090634051505301</v>
      </c>
      <c r="AL238">
        <v>93.112683106529005</v>
      </c>
      <c r="AM238">
        <v>88.435807874397895</v>
      </c>
      <c r="AN238">
        <v>1.0000000055104299</v>
      </c>
    </row>
    <row r="239" spans="1:40" x14ac:dyDescent="0.25">
      <c r="A239" t="str">
        <f>"20190303154736323"</f>
        <v>20190303154736323</v>
      </c>
      <c r="B239" t="str">
        <f>"1551599256320622"</f>
        <v>1551599256320622</v>
      </c>
      <c r="C239" t="s">
        <v>40</v>
      </c>
      <c r="D239">
        <v>4.9444129999999999</v>
      </c>
      <c r="E239">
        <v>0.46746559999999998</v>
      </c>
      <c r="F239" t="s">
        <v>43</v>
      </c>
      <c r="G239">
        <v>-411.76089999999999</v>
      </c>
      <c r="H239">
        <v>-0.05</v>
      </c>
      <c r="I239">
        <v>369.39510000000001</v>
      </c>
      <c r="J239">
        <v>-430.15050000000002</v>
      </c>
      <c r="K239">
        <v>1.0711919999999999</v>
      </c>
      <c r="L239">
        <v>368.3107</v>
      </c>
      <c r="M239">
        <v>0.99988100000000002</v>
      </c>
      <c r="N239">
        <v>-1.5413609999999999E-2</v>
      </c>
      <c r="O239">
        <v>-7.5614809999999895E-4</v>
      </c>
      <c r="P239">
        <v>0.99718899999999999</v>
      </c>
      <c r="Q239">
        <v>-6.9673299999999994E-2</v>
      </c>
      <c r="R239">
        <v>-2.7565159999999998E-2</v>
      </c>
      <c r="S239">
        <v>3.0006409999999999</v>
      </c>
      <c r="T239">
        <v>-0.18052960000000001</v>
      </c>
      <c r="U239">
        <v>0.17452999999999999</v>
      </c>
      <c r="V239">
        <v>2.6778920000000001E-2</v>
      </c>
      <c r="W239">
        <v>-5.4310339999999999E-2</v>
      </c>
      <c r="X239">
        <v>0.99816499999999997</v>
      </c>
      <c r="Y239">
        <v>-5.8687320000000001E-2</v>
      </c>
      <c r="Z239">
        <v>2.2493309999999998E-3</v>
      </c>
      <c r="AA239">
        <v>0.99827390000000005</v>
      </c>
      <c r="AB239">
        <v>25</v>
      </c>
      <c r="AC239">
        <v>18.389600000000002</v>
      </c>
      <c r="AD239">
        <v>-1.121192</v>
      </c>
      <c r="AE239">
        <v>1.08440000000001</v>
      </c>
      <c r="AF239">
        <v>-1.0942531438273999</v>
      </c>
      <c r="AG239">
        <v>-1.121192</v>
      </c>
      <c r="AH239">
        <v>18.320908265188599</v>
      </c>
      <c r="AI239">
        <v>93.495771238983195</v>
      </c>
      <c r="AJ239">
        <v>93.418045266305697</v>
      </c>
      <c r="AK239">
        <v>18.387771510030699</v>
      </c>
      <c r="AL239">
        <v>93.113284903124395</v>
      </c>
      <c r="AM239">
        <v>88.463228878713593</v>
      </c>
      <c r="AN239">
        <v>1.00000004540614</v>
      </c>
    </row>
    <row r="240" spans="1:40" x14ac:dyDescent="0.25">
      <c r="A240" t="str">
        <f>"20190303154736346"</f>
        <v>20190303154736346</v>
      </c>
      <c r="B240" t="str">
        <f>"1551599256341118"</f>
        <v>1551599256341118</v>
      </c>
      <c r="C240" t="s">
        <v>40</v>
      </c>
      <c r="D240">
        <v>4.9106139999999998</v>
      </c>
      <c r="E240">
        <v>0.46775280000000002</v>
      </c>
      <c r="F240" t="s">
        <v>43</v>
      </c>
      <c r="G240">
        <v>-411.24099999999999</v>
      </c>
      <c r="H240">
        <v>-0.05</v>
      </c>
      <c r="I240">
        <v>369.42180000000002</v>
      </c>
      <c r="J240">
        <v>-429.89109999999999</v>
      </c>
      <c r="K240">
        <v>1.071129</v>
      </c>
      <c r="L240">
        <v>368.31009999999998</v>
      </c>
      <c r="M240">
        <v>0.99988189999999999</v>
      </c>
      <c r="N240">
        <v>-1.533617E-2</v>
      </c>
      <c r="O240">
        <v>-1.104772E-3</v>
      </c>
      <c r="P240">
        <v>0.9972046</v>
      </c>
      <c r="Q240">
        <v>-6.9713639999999993E-2</v>
      </c>
      <c r="R240">
        <v>-2.6889139999999999E-2</v>
      </c>
      <c r="S240">
        <v>3.0008849999999998</v>
      </c>
      <c r="T240">
        <v>-0.17793010000000001</v>
      </c>
      <c r="U240">
        <v>0.1763306</v>
      </c>
      <c r="V240">
        <v>2.575502E-2</v>
      </c>
      <c r="W240">
        <v>-5.4426919999999997E-2</v>
      </c>
      <c r="X240">
        <v>0.99818560000000001</v>
      </c>
      <c r="Y240">
        <v>-5.9628760000000003E-2</v>
      </c>
      <c r="Z240">
        <v>2.2713379999999999E-3</v>
      </c>
      <c r="AA240">
        <v>0.9982181</v>
      </c>
      <c r="AB240">
        <v>25</v>
      </c>
      <c r="AC240">
        <v>18.650099999999998</v>
      </c>
      <c r="AD240">
        <v>-1.121129</v>
      </c>
      <c r="AE240">
        <v>1.1117000000000401</v>
      </c>
      <c r="AF240">
        <v>-1.12824318412476</v>
      </c>
      <c r="AG240">
        <v>-1.121129</v>
      </c>
      <c r="AH240">
        <v>18.581948956136301</v>
      </c>
      <c r="AI240">
        <v>93.446384122020007</v>
      </c>
      <c r="AJ240">
        <v>93.474571497009904</v>
      </c>
      <c r="AK240">
        <v>18.649897852953998</v>
      </c>
      <c r="AL240">
        <v>93.119974320329305</v>
      </c>
      <c r="AM240">
        <v>88.521991688374001</v>
      </c>
      <c r="AN240">
        <v>1.0000000513616201</v>
      </c>
    </row>
    <row r="241" spans="1:40" x14ac:dyDescent="0.25">
      <c r="A241" t="str">
        <f>"20190303154736367"</f>
        <v>20190303154736367</v>
      </c>
      <c r="B241" t="str">
        <f>"1551599256360639"</f>
        <v>1551599256360639</v>
      </c>
      <c r="C241" t="s">
        <v>40</v>
      </c>
      <c r="D241">
        <v>4.956531</v>
      </c>
      <c r="E241">
        <v>0.46755829999999998</v>
      </c>
      <c r="F241" t="s">
        <v>43</v>
      </c>
      <c r="G241">
        <v>-411.65</v>
      </c>
      <c r="H241">
        <v>-0.05</v>
      </c>
      <c r="I241">
        <v>369.38099999999997</v>
      </c>
      <c r="J241">
        <v>-429.65629999999999</v>
      </c>
      <c r="K241">
        <v>1.0710820000000001</v>
      </c>
      <c r="L241">
        <v>368.30939999999998</v>
      </c>
      <c r="M241">
        <v>0.99988250000000001</v>
      </c>
      <c r="N241">
        <v>-1.5273780000000001E-2</v>
      </c>
      <c r="O241">
        <v>-1.4207390000000001E-3</v>
      </c>
      <c r="P241">
        <v>0.99721380000000004</v>
      </c>
      <c r="Q241">
        <v>-6.9843749999999996E-2</v>
      </c>
      <c r="R241">
        <v>-2.621101E-2</v>
      </c>
      <c r="S241">
        <v>3.0003359999999999</v>
      </c>
      <c r="T241">
        <v>-0.1844047</v>
      </c>
      <c r="U241">
        <v>0.17614749999999901</v>
      </c>
      <c r="V241">
        <v>2.4761890000000002E-2</v>
      </c>
      <c r="W241">
        <v>-5.4618399999999998E-2</v>
      </c>
      <c r="X241">
        <v>0.99820019999999998</v>
      </c>
      <c r="Y241">
        <v>-5.9884489999999999E-2</v>
      </c>
      <c r="Z241">
        <v>2.3607649999999999E-3</v>
      </c>
      <c r="AA241">
        <v>0.99820249999999999</v>
      </c>
      <c r="AB241">
        <v>25</v>
      </c>
      <c r="AC241">
        <v>18.0063</v>
      </c>
      <c r="AD241">
        <v>-1.1210819999999999</v>
      </c>
      <c r="AE241">
        <v>1.0715999999999799</v>
      </c>
      <c r="AF241">
        <v>-1.09296237163787</v>
      </c>
      <c r="AG241">
        <v>-1.1210819999999999</v>
      </c>
      <c r="AH241">
        <v>17.935479902835699</v>
      </c>
      <c r="AI241">
        <v>93.570093279605999</v>
      </c>
      <c r="AJ241">
        <v>93.487210139865496</v>
      </c>
      <c r="AK241">
        <v>18.003689370280899</v>
      </c>
      <c r="AL241">
        <v>93.130961882444794</v>
      </c>
      <c r="AM241">
        <v>88.578981570247095</v>
      </c>
      <c r="AN241">
        <v>0.99999998004748503</v>
      </c>
    </row>
    <row r="242" spans="1:40" x14ac:dyDescent="0.25">
      <c r="A242" t="str">
        <f>"20190303154736390"</f>
        <v>20190303154736390</v>
      </c>
      <c r="B242" t="str">
        <f>"1551599256381134"</f>
        <v>1551599256381134</v>
      </c>
      <c r="C242" t="s">
        <v>40</v>
      </c>
      <c r="D242">
        <v>4.9478200000000001</v>
      </c>
      <c r="E242">
        <v>0.46732109999999899</v>
      </c>
      <c r="F242" t="s">
        <v>43</v>
      </c>
      <c r="G242">
        <v>-411.471</v>
      </c>
      <c r="H242">
        <v>-0.05</v>
      </c>
      <c r="I242">
        <v>369.39859999999999</v>
      </c>
      <c r="J242">
        <v>-429.40260000000001</v>
      </c>
      <c r="K242">
        <v>1.071043</v>
      </c>
      <c r="L242">
        <v>368.30869999999999</v>
      </c>
      <c r="M242">
        <v>0.99988259999999995</v>
      </c>
      <c r="N242">
        <v>-1.5213620000000001E-2</v>
      </c>
      <c r="O242">
        <v>-1.7618779999999999E-3</v>
      </c>
      <c r="P242">
        <v>0.99719899999999995</v>
      </c>
      <c r="Q242">
        <v>-7.0185709999999998E-2</v>
      </c>
      <c r="R242">
        <v>-2.585084E-2</v>
      </c>
      <c r="S242">
        <v>3.0001530000000001</v>
      </c>
      <c r="T242">
        <v>-0.18495239999999999</v>
      </c>
      <c r="U242">
        <v>0.1796875</v>
      </c>
      <c r="V242">
        <v>2.4061309999999999E-2</v>
      </c>
      <c r="W242">
        <v>-5.5020020000000003E-2</v>
      </c>
      <c r="X242">
        <v>0.99819530000000001</v>
      </c>
      <c r="Y242">
        <v>-6.139766E-2</v>
      </c>
      <c r="Z242">
        <v>2.4387200000000001E-3</v>
      </c>
      <c r="AA242">
        <v>0.99811039999999995</v>
      </c>
      <c r="AB242">
        <v>25</v>
      </c>
      <c r="AC242">
        <v>17.9316</v>
      </c>
      <c r="AD242">
        <v>-1.121043</v>
      </c>
      <c r="AE242">
        <v>1.0899000000000001</v>
      </c>
      <c r="AF242">
        <v>-1.1171450067254201</v>
      </c>
      <c r="AG242">
        <v>-1.121043</v>
      </c>
      <c r="AH242">
        <v>17.860102979591399</v>
      </c>
      <c r="AI242">
        <v>93.584642579478</v>
      </c>
      <c r="AJ242">
        <v>93.579173837000795</v>
      </c>
      <c r="AK242">
        <v>17.930087250638501</v>
      </c>
      <c r="AL242">
        <v>93.154007595304705</v>
      </c>
      <c r="AM242">
        <v>88.619163408978395</v>
      </c>
      <c r="AN242">
        <v>1.0000000030909</v>
      </c>
    </row>
    <row r="243" spans="1:40" x14ac:dyDescent="0.25">
      <c r="A243" t="str">
        <f>"20190303154736412"</f>
        <v>20190303154736412</v>
      </c>
      <c r="B243" t="str">
        <f>"1551599256400654"</f>
        <v>1551599256400654</v>
      </c>
      <c r="C243" t="s">
        <v>40</v>
      </c>
      <c r="D243">
        <v>4.9310919999999996</v>
      </c>
      <c r="E243">
        <v>0.46708929999999999</v>
      </c>
      <c r="F243" t="s">
        <v>43</v>
      </c>
      <c r="G243">
        <v>-411.28030000000001</v>
      </c>
      <c r="H243">
        <v>-0.05</v>
      </c>
      <c r="I243">
        <v>369.41329999999999</v>
      </c>
      <c r="J243">
        <v>-429.16239999999999</v>
      </c>
      <c r="K243">
        <v>1.071007</v>
      </c>
      <c r="L243">
        <v>368.30790000000002</v>
      </c>
      <c r="M243">
        <v>0.99988299999999997</v>
      </c>
      <c r="N243">
        <v>-1.5162739999999999E-2</v>
      </c>
      <c r="O243">
        <v>-2.0855700000000001E-3</v>
      </c>
      <c r="P243">
        <v>0.99719500000000005</v>
      </c>
      <c r="Q243">
        <v>-7.0199330000000004E-2</v>
      </c>
      <c r="R243">
        <v>-2.596892E-2</v>
      </c>
      <c r="S243">
        <v>3.0001220000000002</v>
      </c>
      <c r="T243">
        <v>-0.18558720000000001</v>
      </c>
      <c r="U243">
        <v>0.1828613</v>
      </c>
      <c r="V243">
        <v>2.385669E-2</v>
      </c>
      <c r="W243">
        <v>-5.5084210000000002E-2</v>
      </c>
      <c r="X243">
        <v>0.99819669999999905</v>
      </c>
      <c r="Y243">
        <v>-6.2768950000000004E-2</v>
      </c>
      <c r="Z243">
        <v>2.511901E-3</v>
      </c>
      <c r="AA243">
        <v>0.99802489999999999</v>
      </c>
      <c r="AB243">
        <v>25</v>
      </c>
      <c r="AC243">
        <v>17.882099999999902</v>
      </c>
      <c r="AD243">
        <v>-1.1210069999999901</v>
      </c>
      <c r="AE243">
        <v>1.10539999999997</v>
      </c>
      <c r="AF243">
        <v>-1.1382401269319</v>
      </c>
      <c r="AG243">
        <v>-1.1210069999999901</v>
      </c>
      <c r="AH243">
        <v>17.810030546645699</v>
      </c>
      <c r="AI243">
        <v>93.594272059744497</v>
      </c>
      <c r="AJ243">
        <v>93.656803404559398</v>
      </c>
      <c r="AK243">
        <v>17.881538953710301</v>
      </c>
      <c r="AL243">
        <v>93.157690906357303</v>
      </c>
      <c r="AM243">
        <v>88.630903624554193</v>
      </c>
      <c r="AN243">
        <v>1.00000003186998</v>
      </c>
    </row>
    <row r="244" spans="1:40" x14ac:dyDescent="0.25">
      <c r="A244" t="str">
        <f>"20190303154736435"</f>
        <v>20190303154736435</v>
      </c>
      <c r="B244" t="str">
        <f>"1551599256430910"</f>
        <v>1551599256430910</v>
      </c>
      <c r="C244" t="s">
        <v>40</v>
      </c>
      <c r="D244">
        <v>4.9964459999999997</v>
      </c>
      <c r="E244">
        <v>0.46686830000000001</v>
      </c>
      <c r="F244" t="s">
        <v>43</v>
      </c>
      <c r="G244">
        <v>-411.21699999999998</v>
      </c>
      <c r="H244">
        <v>-0.05</v>
      </c>
      <c r="I244">
        <v>369.40910000000002</v>
      </c>
      <c r="J244">
        <v>-428.91489999999999</v>
      </c>
      <c r="K244">
        <v>1.0709770000000001</v>
      </c>
      <c r="L244">
        <v>368.30700000000002</v>
      </c>
      <c r="M244">
        <v>0.99988290000000002</v>
      </c>
      <c r="N244">
        <v>-1.511591E-2</v>
      </c>
      <c r="O244">
        <v>-2.419184E-3</v>
      </c>
      <c r="P244">
        <v>0.99716090000000002</v>
      </c>
      <c r="Q244">
        <v>-7.0501869999999994E-2</v>
      </c>
      <c r="R244">
        <v>-2.6454129999999999E-2</v>
      </c>
      <c r="S244">
        <v>3.0000309999999999</v>
      </c>
      <c r="T244">
        <v>-0.18740570000000001</v>
      </c>
      <c r="U244">
        <v>0.18411250000000001</v>
      </c>
      <c r="V244">
        <v>2.4009320000000001E-2</v>
      </c>
      <c r="W244">
        <v>-5.543385E-2</v>
      </c>
      <c r="X244">
        <v>0.99817370000000005</v>
      </c>
      <c r="Y244">
        <v>-6.3513680000000003E-2</v>
      </c>
      <c r="Z244">
        <v>2.5754139999999998E-3</v>
      </c>
      <c r="AA244">
        <v>0.99797769999999997</v>
      </c>
      <c r="AB244">
        <v>25</v>
      </c>
      <c r="AC244">
        <v>17.697900000000001</v>
      </c>
      <c r="AD244">
        <v>-1.1209769999999999</v>
      </c>
      <c r="AE244">
        <v>1.10210000000006</v>
      </c>
      <c r="AF244">
        <v>-1.1403588088416201</v>
      </c>
      <c r="AG244">
        <v>-1.1209769999999999</v>
      </c>
      <c r="AH244">
        <v>17.6247461645515</v>
      </c>
      <c r="AI244">
        <v>93.631676424521203</v>
      </c>
      <c r="AJ244">
        <v>93.701999374808693</v>
      </c>
      <c r="AK244">
        <v>17.697137763274199</v>
      </c>
      <c r="AL244">
        <v>93.177754409228598</v>
      </c>
      <c r="AM244">
        <v>88.622116068325795</v>
      </c>
      <c r="AN244">
        <v>1.0000000472721799</v>
      </c>
    </row>
    <row r="245" spans="1:40" x14ac:dyDescent="0.25">
      <c r="A245" t="str">
        <f>"20190303154736458"</f>
        <v>20190303154736458</v>
      </c>
      <c r="B245" t="str">
        <f>"1551599256450430"</f>
        <v>1551599256450430</v>
      </c>
      <c r="C245" t="s">
        <v>40</v>
      </c>
      <c r="D245">
        <v>4.9912070000000002</v>
      </c>
      <c r="E245">
        <v>0.4667268</v>
      </c>
      <c r="F245" t="s">
        <v>43</v>
      </c>
      <c r="G245">
        <v>-411.22559999999999</v>
      </c>
      <c r="H245">
        <v>-0.05</v>
      </c>
      <c r="I245">
        <v>369.39749999999998</v>
      </c>
      <c r="J245">
        <v>-428.65879999999999</v>
      </c>
      <c r="K245">
        <v>1.0709489999999999</v>
      </c>
      <c r="L245">
        <v>368.30599999999998</v>
      </c>
      <c r="M245">
        <v>0.99988259999999995</v>
      </c>
      <c r="N245">
        <v>-1.5072759999999999E-2</v>
      </c>
      <c r="O245">
        <v>-2.7642740000000002E-3</v>
      </c>
      <c r="P245">
        <v>0.99712769999999995</v>
      </c>
      <c r="Q245">
        <v>-7.0715680000000003E-2</v>
      </c>
      <c r="R245">
        <v>-2.712674E-2</v>
      </c>
      <c r="S245">
        <v>3</v>
      </c>
      <c r="T245">
        <v>-0.19011140000000001</v>
      </c>
      <c r="U245">
        <v>0.1849365</v>
      </c>
      <c r="V245">
        <v>2.4337879999999999E-2</v>
      </c>
      <c r="W245">
        <v>-5.5691190000000002E-2</v>
      </c>
      <c r="X245">
        <v>0.99815140000000002</v>
      </c>
      <c r="Y245">
        <v>-6.4125829999999995E-2</v>
      </c>
      <c r="Z245">
        <v>2.6454880000000001E-3</v>
      </c>
      <c r="AA245">
        <v>0.99793829999999994</v>
      </c>
      <c r="AB245">
        <v>25</v>
      </c>
      <c r="AC245">
        <v>17.433199999999999</v>
      </c>
      <c r="AD245">
        <v>-1.120949</v>
      </c>
      <c r="AE245">
        <v>1.0914999999999899</v>
      </c>
      <c r="AF245">
        <v>-1.1350170994725</v>
      </c>
      <c r="AG245">
        <v>-1.120949</v>
      </c>
      <c r="AH245">
        <v>17.3586277343252</v>
      </c>
      <c r="AI245">
        <v>93.6869450323736</v>
      </c>
      <c r="AJ245">
        <v>93.741035826013601</v>
      </c>
      <c r="AK245">
        <v>17.431774071951999</v>
      </c>
      <c r="AL245">
        <v>93.192521774665707</v>
      </c>
      <c r="AM245">
        <v>88.603236386236304</v>
      </c>
      <c r="AN245">
        <v>1.0000000291842299</v>
      </c>
    </row>
    <row r="246" spans="1:40" x14ac:dyDescent="0.25">
      <c r="A246" t="str">
        <f>"20190303154736482"</f>
        <v>20190303154736482</v>
      </c>
      <c r="B246" t="str">
        <f>"1551599256470926"</f>
        <v>1551599256470926</v>
      </c>
      <c r="C246" t="s">
        <v>40</v>
      </c>
      <c r="D246">
        <v>4.968159</v>
      </c>
      <c r="E246">
        <v>0.46661000000000002</v>
      </c>
      <c r="F246" t="s">
        <v>43</v>
      </c>
      <c r="G246">
        <v>-411.21850000000001</v>
      </c>
      <c r="H246">
        <v>-0.05</v>
      </c>
      <c r="I246">
        <v>369.3741</v>
      </c>
      <c r="J246">
        <v>-428.40269999999998</v>
      </c>
      <c r="K246">
        <v>1.0709249999999999</v>
      </c>
      <c r="L246">
        <v>368.3048</v>
      </c>
      <c r="M246">
        <v>0.99988220000000005</v>
      </c>
      <c r="N246">
        <v>-1.5034550000000001E-2</v>
      </c>
      <c r="O246">
        <v>-3.109526E-3</v>
      </c>
      <c r="P246">
        <v>0.99707000000000001</v>
      </c>
      <c r="Q246">
        <v>-7.1327760000000004E-2</v>
      </c>
      <c r="R246">
        <v>-2.763931E-2</v>
      </c>
      <c r="S246">
        <v>3.0000309999999999</v>
      </c>
      <c r="T246">
        <v>-0.1928221</v>
      </c>
      <c r="U246">
        <v>0.1837463</v>
      </c>
      <c r="V246">
        <v>2.450592E-2</v>
      </c>
      <c r="W246">
        <v>-5.6342099999999902E-2</v>
      </c>
      <c r="X246">
        <v>0.99811070000000002</v>
      </c>
      <c r="Y246">
        <v>-6.4070920000000003E-2</v>
      </c>
      <c r="Z246">
        <v>2.6905140000000002E-3</v>
      </c>
      <c r="AA246">
        <v>0.99794170000000004</v>
      </c>
      <c r="AB246">
        <v>25</v>
      </c>
      <c r="AC246">
        <v>17.184199999999901</v>
      </c>
      <c r="AD246">
        <v>-1.1209249999999999</v>
      </c>
      <c r="AE246">
        <v>1.0692999999999899</v>
      </c>
      <c r="AF246">
        <v>-1.1179969100939999</v>
      </c>
      <c r="AG246">
        <v>-1.1209249999999999</v>
      </c>
      <c r="AH246">
        <v>17.108277421690801</v>
      </c>
      <c r="AI246">
        <v>93.740674437355096</v>
      </c>
      <c r="AJ246">
        <v>93.738865900116195</v>
      </c>
      <c r="AK246">
        <v>17.181372072222299</v>
      </c>
      <c r="AL246">
        <v>93.229875008974801</v>
      </c>
      <c r="AM246">
        <v>88.593539017194004</v>
      </c>
      <c r="AN246">
        <v>0.99999997090097204</v>
      </c>
    </row>
    <row r="247" spans="1:40" x14ac:dyDescent="0.25">
      <c r="A247" t="str">
        <f>"20190303154736502"</f>
        <v>20190303154736502</v>
      </c>
      <c r="B247" t="str">
        <f>"1551599256490447"</f>
        <v>1551599256490447</v>
      </c>
      <c r="C247" t="s">
        <v>40</v>
      </c>
      <c r="D247">
        <v>4.9534859999999998</v>
      </c>
      <c r="E247">
        <v>0.4664547</v>
      </c>
      <c r="F247" t="s">
        <v>43</v>
      </c>
      <c r="G247">
        <v>-411.23910000000001</v>
      </c>
      <c r="H247">
        <v>-0.05</v>
      </c>
      <c r="I247">
        <v>369.3535</v>
      </c>
      <c r="J247">
        <v>-428.18099999999998</v>
      </c>
      <c r="K247">
        <v>1.070913</v>
      </c>
      <c r="L247">
        <v>368.30380000000002</v>
      </c>
      <c r="M247">
        <v>0.99988169999999998</v>
      </c>
      <c r="N247">
        <v>-1.500491E-2</v>
      </c>
      <c r="O247">
        <v>-3.4084789999999998E-3</v>
      </c>
      <c r="P247">
        <v>0.99698940000000003</v>
      </c>
      <c r="Q247">
        <v>-7.2351380000000007E-2</v>
      </c>
      <c r="R247">
        <v>-2.7892420000000001E-2</v>
      </c>
      <c r="S247">
        <v>2.999908</v>
      </c>
      <c r="T247">
        <v>-0.19591929999999999</v>
      </c>
      <c r="U247">
        <v>0.1832886</v>
      </c>
      <c r="V247">
        <v>2.4460599999999999E-2</v>
      </c>
      <c r="W247">
        <v>-5.7396200000000001E-2</v>
      </c>
      <c r="X247">
        <v>0.99805180000000004</v>
      </c>
      <c r="Y247">
        <v>-6.4214430000000003E-2</v>
      </c>
      <c r="Z247">
        <v>2.7466740000000002E-3</v>
      </c>
      <c r="AA247">
        <v>0.99793229999999999</v>
      </c>
      <c r="AB247">
        <v>25</v>
      </c>
      <c r="AC247">
        <v>16.941899999999901</v>
      </c>
      <c r="AD247">
        <v>-1.1209129999999901</v>
      </c>
      <c r="AE247">
        <v>1.0496999999999701</v>
      </c>
      <c r="AF247">
        <v>-1.1026382405925399</v>
      </c>
      <c r="AG247">
        <v>-1.1209129999999901</v>
      </c>
      <c r="AH247">
        <v>16.864681573636101</v>
      </c>
      <c r="AI247">
        <v>93.7944998579882</v>
      </c>
      <c r="AJ247">
        <v>93.740760022293202</v>
      </c>
      <c r="AK247">
        <v>16.937819860398999</v>
      </c>
      <c r="AL247">
        <v>93.290368232732604</v>
      </c>
      <c r="AM247">
        <v>88.596056196966501</v>
      </c>
      <c r="AN247">
        <v>1.0000000201050101</v>
      </c>
    </row>
    <row r="248" spans="1:40" x14ac:dyDescent="0.25">
      <c r="A248" t="str">
        <f>"20190303154736525"</f>
        <v>20190303154736525</v>
      </c>
      <c r="B248" t="str">
        <f>"1551599256520702"</f>
        <v>1551599256520702</v>
      </c>
      <c r="C248" t="s">
        <v>40</v>
      </c>
      <c r="D248">
        <v>5.0176809999999996</v>
      </c>
      <c r="E248">
        <v>0.4662076</v>
      </c>
      <c r="F248" t="s">
        <v>43</v>
      </c>
      <c r="G248">
        <v>-411.38639999999998</v>
      </c>
      <c r="H248">
        <v>-0.05</v>
      </c>
      <c r="I248">
        <v>369.33139999999997</v>
      </c>
      <c r="J248">
        <v>-427.92910000000001</v>
      </c>
      <c r="K248">
        <v>1.0709040000000001</v>
      </c>
      <c r="L248">
        <v>368.30259999999998</v>
      </c>
      <c r="M248">
        <v>0.99988100000000002</v>
      </c>
      <c r="N248">
        <v>-1.497456E-2</v>
      </c>
      <c r="O248">
        <v>-3.7481929999999999E-3</v>
      </c>
      <c r="P248">
        <v>0.99695160000000005</v>
      </c>
      <c r="Q248">
        <v>-7.2724330000000004E-2</v>
      </c>
      <c r="R248">
        <v>-2.8264870000000001E-2</v>
      </c>
      <c r="S248">
        <v>2.9996339999999999</v>
      </c>
      <c r="T248">
        <v>-0.2002023</v>
      </c>
      <c r="U248">
        <v>0.18353269999999999</v>
      </c>
      <c r="V248">
        <v>2.4494490000000001E-2</v>
      </c>
      <c r="W248">
        <v>-5.7799789999999997E-2</v>
      </c>
      <c r="X248">
        <v>0.99802769999999996</v>
      </c>
      <c r="Y248">
        <v>-6.4631449999999993E-2</v>
      </c>
      <c r="Z248">
        <v>2.8311019999999998E-3</v>
      </c>
      <c r="AA248">
        <v>0.99790520000000005</v>
      </c>
      <c r="AB248">
        <v>24</v>
      </c>
      <c r="AC248">
        <v>16.5427</v>
      </c>
      <c r="AD248">
        <v>-1.1209039999999999</v>
      </c>
      <c r="AE248">
        <v>1.02879999999998</v>
      </c>
      <c r="AF248">
        <v>-1.08583887619103</v>
      </c>
      <c r="AG248">
        <v>-1.1209039999999999</v>
      </c>
      <c r="AH248">
        <v>16.463431881986399</v>
      </c>
      <c r="AI248">
        <v>93.886523688145004</v>
      </c>
      <c r="AJ248">
        <v>93.773454378409596</v>
      </c>
      <c r="AK248">
        <v>16.537232573047699</v>
      </c>
      <c r="AL248">
        <v>93.313530613555301</v>
      </c>
      <c r="AM248">
        <v>88.5940778869778</v>
      </c>
      <c r="AN248">
        <v>1.00000004286584</v>
      </c>
    </row>
    <row r="249" spans="1:40" x14ac:dyDescent="0.25">
      <c r="A249" t="str">
        <f>"20190303154736547"</f>
        <v>20190303154736547</v>
      </c>
      <c r="B249" t="str">
        <f>"1551599256541198"</f>
        <v>1551599256541198</v>
      </c>
      <c r="C249" t="s">
        <v>40</v>
      </c>
      <c r="D249">
        <v>5.0599869999999996</v>
      </c>
      <c r="E249">
        <v>0.46605449999999998</v>
      </c>
      <c r="F249" t="s">
        <v>43</v>
      </c>
      <c r="G249">
        <v>-411.47719999999998</v>
      </c>
      <c r="H249">
        <v>-0.05</v>
      </c>
      <c r="I249">
        <v>369.31470000000002</v>
      </c>
      <c r="J249">
        <v>-427.68430000000001</v>
      </c>
      <c r="K249">
        <v>1.0708949999999999</v>
      </c>
      <c r="L249">
        <v>368.30130000000003</v>
      </c>
      <c r="M249">
        <v>0.99987999999999999</v>
      </c>
      <c r="N249">
        <v>-1.494816E-2</v>
      </c>
      <c r="O249">
        <v>-4.0779249999999996E-3</v>
      </c>
      <c r="P249">
        <v>0.99689559999999999</v>
      </c>
      <c r="Q249">
        <v>-7.3213349999999996E-2</v>
      </c>
      <c r="R249">
        <v>-2.8969990000000001E-2</v>
      </c>
      <c r="S249">
        <v>2.9995120000000002</v>
      </c>
      <c r="T249">
        <v>-0.20436319999999999</v>
      </c>
      <c r="U249">
        <v>0.1845398</v>
      </c>
      <c r="V249">
        <v>2.487089E-2</v>
      </c>
      <c r="W249">
        <v>-5.8315949999999998E-2</v>
      </c>
      <c r="X249">
        <v>0.99798830000000005</v>
      </c>
      <c r="Y249">
        <v>-6.528755E-2</v>
      </c>
      <c r="Z249">
        <v>2.9249810000000001E-3</v>
      </c>
      <c r="AA249">
        <v>0.99786220000000003</v>
      </c>
      <c r="AB249">
        <v>24</v>
      </c>
      <c r="AC249">
        <v>16.207100000000001</v>
      </c>
      <c r="AD249">
        <v>-1.120895</v>
      </c>
      <c r="AE249">
        <v>1.0133999999999901</v>
      </c>
      <c r="AF249">
        <v>-1.07437136482049</v>
      </c>
      <c r="AG249">
        <v>-1.120895</v>
      </c>
      <c r="AH249">
        <v>16.125998581750899</v>
      </c>
      <c r="AI249">
        <v>93.967384973628697</v>
      </c>
      <c r="AJ249">
        <v>93.811615680678599</v>
      </c>
      <c r="AK249">
        <v>16.200571276631099</v>
      </c>
      <c r="AL249">
        <v>93.343154584490506</v>
      </c>
      <c r="AM249">
        <v>88.572426011452905</v>
      </c>
      <c r="AN249">
        <v>0.99999997906534199</v>
      </c>
    </row>
    <row r="250" spans="1:40" x14ac:dyDescent="0.25">
      <c r="A250" t="str">
        <f>"20190303154736570"</f>
        <v>20190303154736570</v>
      </c>
      <c r="B250" t="str">
        <f>"1551599256560719"</f>
        <v>1551599256560719</v>
      </c>
      <c r="C250" t="s">
        <v>40</v>
      </c>
      <c r="D250">
        <v>5.0541010000000002</v>
      </c>
      <c r="E250">
        <v>0.46175080000000002</v>
      </c>
      <c r="F250" t="s">
        <v>43</v>
      </c>
      <c r="G250">
        <v>-411.37720000000002</v>
      </c>
      <c r="H250">
        <v>-0.05</v>
      </c>
      <c r="I250">
        <v>369.29860000000002</v>
      </c>
      <c r="J250">
        <v>-427.43279999999999</v>
      </c>
      <c r="K250">
        <v>1.0708869999999999</v>
      </c>
      <c r="L250">
        <v>368.29989999999998</v>
      </c>
      <c r="M250">
        <v>0.99987890000000001</v>
      </c>
      <c r="N250">
        <v>-1.4923779999999999E-2</v>
      </c>
      <c r="O250">
        <v>-4.4168499999999999E-3</v>
      </c>
      <c r="P250">
        <v>0.99689519999999998</v>
      </c>
      <c r="Q250">
        <v>-7.3046299999999995E-2</v>
      </c>
      <c r="R250">
        <v>-2.9405420000000002E-2</v>
      </c>
      <c r="S250">
        <v>2.9995120000000002</v>
      </c>
      <c r="T250">
        <v>-0.20617630000000001</v>
      </c>
      <c r="U250">
        <v>0.1834412</v>
      </c>
      <c r="V250">
        <v>2.496839E-2</v>
      </c>
      <c r="W250">
        <v>-5.8173080000000002E-2</v>
      </c>
      <c r="X250">
        <v>0.99799420000000005</v>
      </c>
      <c r="Y250">
        <v>-6.5258200000000002E-2</v>
      </c>
      <c r="Z250">
        <v>2.9633889999999999E-3</v>
      </c>
      <c r="AA250">
        <v>0.99786399999999997</v>
      </c>
      <c r="AB250">
        <v>24</v>
      </c>
      <c r="AC250">
        <v>16.055599999999899</v>
      </c>
      <c r="AD250">
        <v>-1.120887</v>
      </c>
      <c r="AE250">
        <v>0.998700000000042</v>
      </c>
      <c r="AF250">
        <v>-1.06444539712144</v>
      </c>
      <c r="AG250">
        <v>-1.120887</v>
      </c>
      <c r="AH250">
        <v>15.973479753421</v>
      </c>
      <c r="AI250">
        <v>94.005111472000607</v>
      </c>
      <c r="AJ250">
        <v>93.812456237096896</v>
      </c>
      <c r="AK250">
        <v>16.048099174144401</v>
      </c>
      <c r="AL250">
        <v>93.334954827887202</v>
      </c>
      <c r="AM250">
        <v>88.566840369314804</v>
      </c>
      <c r="AN250">
        <v>0.99999997548475905</v>
      </c>
    </row>
    <row r="251" spans="1:40" x14ac:dyDescent="0.25">
      <c r="A251" t="str">
        <f>"20190303154736592"</f>
        <v>20190303154736592</v>
      </c>
      <c r="B251" t="str">
        <f>"1551599256581214"</f>
        <v>1551599256581214</v>
      </c>
      <c r="C251" t="s">
        <v>40</v>
      </c>
      <c r="D251">
        <v>5.0311379999999897</v>
      </c>
      <c r="E251">
        <v>0.46220869999999997</v>
      </c>
      <c r="F251" t="s">
        <v>43</v>
      </c>
      <c r="G251">
        <v>-415.09359999999998</v>
      </c>
      <c r="H251">
        <v>-0.05</v>
      </c>
      <c r="I251">
        <v>369.19349999999997</v>
      </c>
      <c r="J251">
        <v>-427.19850000000002</v>
      </c>
      <c r="K251">
        <v>1.0708839999999999</v>
      </c>
      <c r="L251">
        <v>368.29849999999999</v>
      </c>
      <c r="M251">
        <v>0.99987789999999999</v>
      </c>
      <c r="N251">
        <v>-1.49032E-2</v>
      </c>
      <c r="O251">
        <v>-4.7332729999999996E-3</v>
      </c>
      <c r="P251">
        <v>0.99689000000000005</v>
      </c>
      <c r="Q251">
        <v>-7.2976540000000006E-2</v>
      </c>
      <c r="R251">
        <v>-2.9749970000000001E-2</v>
      </c>
      <c r="S251">
        <v>2.9957579999999999</v>
      </c>
      <c r="T251">
        <v>-0.27213419999999999</v>
      </c>
      <c r="U251">
        <v>0.21694949999999999</v>
      </c>
      <c r="V251">
        <v>2.4997680000000001E-2</v>
      </c>
      <c r="W251">
        <v>-5.8123800000000003E-2</v>
      </c>
      <c r="X251">
        <v>0.99799640000000001</v>
      </c>
      <c r="Y251">
        <v>-7.6571239999999999E-2</v>
      </c>
      <c r="Z251">
        <v>4.3971359999999899E-3</v>
      </c>
      <c r="AA251">
        <v>0.99705440000000001</v>
      </c>
      <c r="AB251">
        <v>24</v>
      </c>
      <c r="AC251">
        <v>12.104900000000001</v>
      </c>
      <c r="AD251">
        <v>-1.120884</v>
      </c>
      <c r="AE251">
        <v>0.89499999999998103</v>
      </c>
      <c r="AF251">
        <v>-0.94423994041403803</v>
      </c>
      <c r="AG251">
        <v>-1.120884</v>
      </c>
      <c r="AH251">
        <v>11.9982106384509</v>
      </c>
      <c r="AI251">
        <v>95.320777773554198</v>
      </c>
      <c r="AJ251">
        <v>94.499811510792895</v>
      </c>
      <c r="AK251">
        <v>12.0873913037994</v>
      </c>
      <c r="AL251">
        <v>93.3321263000188</v>
      </c>
      <c r="AM251">
        <v>88.565163017827004</v>
      </c>
      <c r="AN251">
        <v>1.0000000372723901</v>
      </c>
    </row>
    <row r="252" spans="1:40" x14ac:dyDescent="0.25">
      <c r="A252" t="str">
        <f>"20190303154736615"</f>
        <v>20190303154736615</v>
      </c>
      <c r="B252" t="str">
        <f>"1551599256610495"</f>
        <v>1551599256610495</v>
      </c>
      <c r="C252" t="s">
        <v>40</v>
      </c>
      <c r="D252">
        <v>5.0196639999999997</v>
      </c>
      <c r="E252">
        <v>0.48502489999999998</v>
      </c>
      <c r="F252" t="s">
        <v>43</v>
      </c>
      <c r="G252">
        <v>-414.50189999999998</v>
      </c>
      <c r="H252">
        <v>-0.05</v>
      </c>
      <c r="I252">
        <v>369.19810000000001</v>
      </c>
      <c r="J252">
        <v>-426.95330000000001</v>
      </c>
      <c r="K252">
        <v>1.0708759999999999</v>
      </c>
      <c r="L252">
        <v>368.29689999999999</v>
      </c>
      <c r="M252">
        <v>0.9998766</v>
      </c>
      <c r="N252">
        <v>-1.4872939999999999E-2</v>
      </c>
      <c r="O252">
        <v>-5.0646450000000004E-3</v>
      </c>
      <c r="P252">
        <v>0.99695959999999995</v>
      </c>
      <c r="Q252">
        <v>-7.1991379999999994E-2</v>
      </c>
      <c r="R252">
        <v>-2.9815299999999999E-2</v>
      </c>
      <c r="S252">
        <v>2.9963380000000002</v>
      </c>
      <c r="T252">
        <v>-0.26452219999999999</v>
      </c>
      <c r="U252">
        <v>0.21231079999999999</v>
      </c>
      <c r="V252">
        <v>2.4732939999999998E-2</v>
      </c>
      <c r="W252">
        <v>-5.7167559999999999E-2</v>
      </c>
      <c r="X252">
        <v>0.99805820000000001</v>
      </c>
      <c r="Y252">
        <v>-7.5376360000000003E-2</v>
      </c>
      <c r="Z252">
        <v>4.2497239999999999E-3</v>
      </c>
      <c r="AA252">
        <v>0.99714610000000004</v>
      </c>
      <c r="AB252">
        <v>24</v>
      </c>
      <c r="AC252">
        <v>12.4514</v>
      </c>
      <c r="AD252">
        <v>-1.120876</v>
      </c>
      <c r="AE252">
        <v>0.90120000000001699</v>
      </c>
      <c r="AF252">
        <v>-0.95654624613441097</v>
      </c>
      <c r="AG252">
        <v>-1.120876</v>
      </c>
      <c r="AH252">
        <v>12.347140455084601</v>
      </c>
      <c r="AI252">
        <v>95.171692978661298</v>
      </c>
      <c r="AJ252">
        <v>94.4299173357321</v>
      </c>
      <c r="AK252">
        <v>12.434758588165501</v>
      </c>
      <c r="AL252">
        <v>93.277246615860193</v>
      </c>
      <c r="AM252">
        <v>88.5804403947634</v>
      </c>
      <c r="AN252">
        <v>1.00000000941231</v>
      </c>
    </row>
    <row r="253" spans="1:40" x14ac:dyDescent="0.25">
      <c r="A253" t="str">
        <f>"20190303154736636"</f>
        <v>20190303154736636</v>
      </c>
      <c r="B253" t="str">
        <f>"1551599256630990"</f>
        <v>1551599256630990</v>
      </c>
      <c r="C253" t="s">
        <v>40</v>
      </c>
      <c r="D253">
        <v>5.0488030000000004</v>
      </c>
      <c r="E253">
        <v>0.48685600000000001</v>
      </c>
      <c r="F253" t="s">
        <v>43</v>
      </c>
      <c r="G253">
        <v>-410.08</v>
      </c>
      <c r="H253">
        <v>-0.05</v>
      </c>
      <c r="I253">
        <v>368.46390000000002</v>
      </c>
      <c r="J253">
        <v>-426.71629999999999</v>
      </c>
      <c r="K253">
        <v>1.0708569999999999</v>
      </c>
      <c r="L253">
        <v>368.29539999999997</v>
      </c>
      <c r="M253">
        <v>0.99987590000000004</v>
      </c>
      <c r="N253">
        <v>-1.481065E-2</v>
      </c>
      <c r="O253">
        <v>-5.3858899999999999E-3</v>
      </c>
      <c r="P253">
        <v>0.99699930000000003</v>
      </c>
      <c r="Q253">
        <v>-7.1683419999999998E-2</v>
      </c>
      <c r="R253">
        <v>-2.922611E-2</v>
      </c>
      <c r="S253">
        <v>2.9956670000000001</v>
      </c>
      <c r="T253">
        <v>-0.19899990000000001</v>
      </c>
      <c r="U253">
        <v>2.963257E-2</v>
      </c>
      <c r="V253">
        <v>2.3823239999999999E-2</v>
      </c>
      <c r="W253">
        <v>-5.692063E-2</v>
      </c>
      <c r="X253">
        <v>0.99809440000000005</v>
      </c>
      <c r="Y253">
        <v>-1.522917E-2</v>
      </c>
      <c r="Z253">
        <v>8.9587659999999997E-4</v>
      </c>
      <c r="AA253">
        <v>0.99988370000000004</v>
      </c>
      <c r="AB253">
        <v>24</v>
      </c>
      <c r="AC253">
        <v>16.636299999999999</v>
      </c>
      <c r="AD253">
        <v>-1.120857</v>
      </c>
      <c r="AE253">
        <v>0.168500000000051</v>
      </c>
      <c r="AF253">
        <v>-0.25694244427238999</v>
      </c>
      <c r="AG253">
        <v>-1.120857</v>
      </c>
      <c r="AH253">
        <v>16.559988326217201</v>
      </c>
      <c r="AI253">
        <v>93.871674320366097</v>
      </c>
      <c r="AJ253">
        <v>90.888921908471005</v>
      </c>
      <c r="AK253">
        <v>16.599866059657501</v>
      </c>
      <c r="AL253">
        <v>93.263075628674599</v>
      </c>
      <c r="AM253">
        <v>88.632682460088802</v>
      </c>
      <c r="AN253">
        <v>0.999999968097526</v>
      </c>
    </row>
    <row r="254" spans="1:40" x14ac:dyDescent="0.25">
      <c r="A254" t="str">
        <f>"20190303154736658"</f>
        <v>20190303154736658</v>
      </c>
      <c r="B254" t="str">
        <f>"1551599256651487"</f>
        <v>1551599256651487</v>
      </c>
      <c r="C254" t="s">
        <v>40</v>
      </c>
      <c r="D254">
        <v>5.0159129999999896</v>
      </c>
      <c r="E254">
        <v>0.48775170000000001</v>
      </c>
      <c r="F254" t="s">
        <v>43</v>
      </c>
      <c r="G254">
        <v>-409.327</v>
      </c>
      <c r="H254">
        <v>-0.05</v>
      </c>
      <c r="I254">
        <v>368.39420000000001</v>
      </c>
      <c r="J254">
        <v>-426.47989999999999</v>
      </c>
      <c r="K254">
        <v>1.070829</v>
      </c>
      <c r="L254">
        <v>368.2937</v>
      </c>
      <c r="M254">
        <v>0.99987579999999998</v>
      </c>
      <c r="N254">
        <v>-1.46958E-2</v>
      </c>
      <c r="O254">
        <v>-5.705084E-3</v>
      </c>
      <c r="P254">
        <v>0.99704329999999997</v>
      </c>
      <c r="Q254">
        <v>-7.1176729999999994E-2</v>
      </c>
      <c r="R254">
        <v>-2.8966760000000001E-2</v>
      </c>
      <c r="S254">
        <v>2.9956049999999999</v>
      </c>
      <c r="T254">
        <v>-0.19308690000000001</v>
      </c>
      <c r="U254">
        <v>1.7028809999999998E-2</v>
      </c>
      <c r="V254">
        <v>2.324551E-2</v>
      </c>
      <c r="W254">
        <v>-5.6527580000000001E-2</v>
      </c>
      <c r="X254">
        <v>0.99813039999999997</v>
      </c>
      <c r="Y254">
        <v>-1.1354019999999999E-2</v>
      </c>
      <c r="Z254">
        <v>7.3264789999999999E-4</v>
      </c>
      <c r="AA254">
        <v>0.99993529999999997</v>
      </c>
      <c r="AB254">
        <v>24</v>
      </c>
      <c r="AC254">
        <v>17.152899999999899</v>
      </c>
      <c r="AD254">
        <v>-1.1208290000000001</v>
      </c>
      <c r="AE254">
        <v>0.10050000000001</v>
      </c>
      <c r="AF254">
        <v>-0.19752430917856501</v>
      </c>
      <c r="AG254">
        <v>-1.1208290000000001</v>
      </c>
      <c r="AH254">
        <v>17.0791260784532</v>
      </c>
      <c r="AI254">
        <v>93.754439283840995</v>
      </c>
      <c r="AJ254">
        <v>90.6626102924522</v>
      </c>
      <c r="AK254">
        <v>17.1170038588434</v>
      </c>
      <c r="AL254">
        <v>93.240519073226096</v>
      </c>
      <c r="AM254">
        <v>88.665876822453399</v>
      </c>
      <c r="AN254">
        <v>1.00000000821998</v>
      </c>
    </row>
    <row r="255" spans="1:40" x14ac:dyDescent="0.25">
      <c r="A255" t="str">
        <f>"20190303154736684"</f>
        <v>20190303154736684</v>
      </c>
      <c r="B255" t="str">
        <f>"1551599256670538"</f>
        <v>1551599256670538</v>
      </c>
      <c r="C255" t="s">
        <v>40</v>
      </c>
      <c r="D255">
        <v>5.0411839999999897</v>
      </c>
      <c r="E255">
        <v>0.48826779999999997</v>
      </c>
      <c r="F255" t="s">
        <v>43</v>
      </c>
      <c r="G255">
        <v>-408.8596</v>
      </c>
      <c r="H255">
        <v>-0.05</v>
      </c>
      <c r="I255">
        <v>368.35570000000001</v>
      </c>
      <c r="J255">
        <v>-426.20870000000002</v>
      </c>
      <c r="K255">
        <v>1.0707850000000001</v>
      </c>
      <c r="L255">
        <v>368.29169999999999</v>
      </c>
      <c r="M255">
        <v>0.9998766</v>
      </c>
      <c r="N255">
        <v>-1.4493549999999999E-2</v>
      </c>
      <c r="O255">
        <v>-6.0661159999999999E-3</v>
      </c>
      <c r="P255">
        <v>0.99704809999999999</v>
      </c>
      <c r="Q255">
        <v>-7.1124699999999999E-2</v>
      </c>
      <c r="R255">
        <v>-2.891871E-2</v>
      </c>
      <c r="S255">
        <v>2.9956049999999999</v>
      </c>
      <c r="T255">
        <v>-0.19055130000000001</v>
      </c>
      <c r="U255">
        <v>1.0528559999999999E-2</v>
      </c>
      <c r="V255">
        <v>2.2837099999999999E-2</v>
      </c>
      <c r="W255">
        <v>-5.6677230000000002E-2</v>
      </c>
      <c r="X255">
        <v>0.99813130000000005</v>
      </c>
      <c r="Y255">
        <v>-9.5502810000000007E-3</v>
      </c>
      <c r="Z255">
        <v>6.7035909999999996E-4</v>
      </c>
      <c r="AA255">
        <v>0.99995420000000002</v>
      </c>
      <c r="AB255">
        <v>24</v>
      </c>
      <c r="AC255">
        <v>17.3491</v>
      </c>
      <c r="AD255">
        <v>-1.1207849999999999</v>
      </c>
      <c r="AE255">
        <v>6.4000000000021304E-2</v>
      </c>
      <c r="AF255">
        <v>-0.16854811645653001</v>
      </c>
      <c r="AG255">
        <v>-1.1207849999999999</v>
      </c>
      <c r="AH255">
        <v>17.2762924386173</v>
      </c>
      <c r="AI255">
        <v>93.711638141576998</v>
      </c>
      <c r="AJ255">
        <v>90.558961905829804</v>
      </c>
      <c r="AK255">
        <v>17.3134296980238</v>
      </c>
      <c r="AL255">
        <v>93.249107289751606</v>
      </c>
      <c r="AM255">
        <v>88.689309517282695</v>
      </c>
      <c r="AN255">
        <v>0.99999996678828595</v>
      </c>
    </row>
    <row r="256" spans="1:40" x14ac:dyDescent="0.25">
      <c r="A256" t="str">
        <f>"20190303154736705"</f>
        <v>20190303154736705</v>
      </c>
      <c r="B256" t="str">
        <f>"1551599256700793"</f>
        <v>1551599256700793</v>
      </c>
      <c r="C256" t="s">
        <v>40</v>
      </c>
      <c r="D256">
        <v>5.0349069999999996</v>
      </c>
      <c r="E256">
        <v>0.48868529999999999</v>
      </c>
      <c r="F256" t="s">
        <v>43</v>
      </c>
      <c r="G256">
        <v>-408.46730000000002</v>
      </c>
      <c r="H256">
        <v>-0.05</v>
      </c>
      <c r="I256">
        <v>368.33069999999998</v>
      </c>
      <c r="J256">
        <v>-425.97309999999999</v>
      </c>
      <c r="K256">
        <v>1.0707409999999999</v>
      </c>
      <c r="L256">
        <v>368.28989999999999</v>
      </c>
      <c r="M256">
        <v>0.99987780000000004</v>
      </c>
      <c r="N256">
        <v>-1.42732E-2</v>
      </c>
      <c r="O256">
        <v>-6.3735220000000004E-3</v>
      </c>
      <c r="P256">
        <v>0.99709329999999996</v>
      </c>
      <c r="Q256">
        <v>-7.0480440000000005E-2</v>
      </c>
      <c r="R256">
        <v>-2.8941379999999999E-2</v>
      </c>
      <c r="S256">
        <v>2.9956360000000002</v>
      </c>
      <c r="T256">
        <v>-0.18924460000000001</v>
      </c>
      <c r="U256">
        <v>6.5917969999999999E-3</v>
      </c>
      <c r="V256">
        <v>2.255339E-2</v>
      </c>
      <c r="W256">
        <v>-5.625194E-2</v>
      </c>
      <c r="X256">
        <v>0.99816190000000005</v>
      </c>
      <c r="Y256">
        <v>-8.5460650000000003E-3</v>
      </c>
      <c r="Z256">
        <v>6.4206980000000005E-4</v>
      </c>
      <c r="AA256">
        <v>0.9999633</v>
      </c>
      <c r="AB256">
        <v>24</v>
      </c>
      <c r="AC256">
        <v>17.505799999999901</v>
      </c>
      <c r="AD256">
        <v>-1.120741</v>
      </c>
      <c r="AE256">
        <v>4.0799999999990101E-2</v>
      </c>
      <c r="AF256">
        <v>-0.151762116931629</v>
      </c>
      <c r="AG256">
        <v>-1.120741</v>
      </c>
      <c r="AH256">
        <v>17.433728986236101</v>
      </c>
      <c r="AI256">
        <v>93.678103934164099</v>
      </c>
      <c r="AJ256">
        <v>90.498752112486201</v>
      </c>
      <c r="AK256">
        <v>17.470374881345499</v>
      </c>
      <c r="AL256">
        <v>93.224700736551995</v>
      </c>
      <c r="AM256">
        <v>88.705626589076005</v>
      </c>
      <c r="AN256">
        <v>1.00000005738293</v>
      </c>
    </row>
    <row r="257" spans="1:40" x14ac:dyDescent="0.25">
      <c r="A257" t="str">
        <f>"20190303154736726"</f>
        <v>20190303154736726</v>
      </c>
      <c r="B257" t="str">
        <f>"1551599256721289"</f>
        <v>1551599256721289</v>
      </c>
      <c r="C257" t="s">
        <v>40</v>
      </c>
      <c r="D257">
        <v>5.0313639999999999</v>
      </c>
      <c r="E257">
        <v>0.48892160000000001</v>
      </c>
      <c r="F257" t="s">
        <v>43</v>
      </c>
      <c r="G257">
        <v>-408.02670000000001</v>
      </c>
      <c r="H257">
        <v>-0.05</v>
      </c>
      <c r="I257">
        <v>368.30900000000003</v>
      </c>
      <c r="J257">
        <v>-425.74849999999998</v>
      </c>
      <c r="K257">
        <v>1.0707100000000001</v>
      </c>
      <c r="L257">
        <v>368.28809999999999</v>
      </c>
      <c r="M257">
        <v>0.99987910000000002</v>
      </c>
      <c r="N257">
        <v>-1.4047179999999999E-2</v>
      </c>
      <c r="O257">
        <v>-6.6630480000000004E-3</v>
      </c>
      <c r="P257">
        <v>0.99704769999999998</v>
      </c>
      <c r="Q257">
        <v>-7.0870859999999994E-2</v>
      </c>
      <c r="R257">
        <v>-2.955468E-2</v>
      </c>
      <c r="S257">
        <v>2.9955750000000001</v>
      </c>
      <c r="T257">
        <v>-0.18707190000000001</v>
      </c>
      <c r="U257">
        <v>3.1738280000000001E-3</v>
      </c>
      <c r="V257">
        <v>2.287896E-2</v>
      </c>
      <c r="W257">
        <v>-5.6868139999999998E-2</v>
      </c>
      <c r="X257">
        <v>0.99811950000000005</v>
      </c>
      <c r="Y257">
        <v>-7.6970110000000001E-3</v>
      </c>
      <c r="Z257">
        <v>6.163958E-4</v>
      </c>
      <c r="AA257">
        <v>0.99997020000000003</v>
      </c>
      <c r="AB257">
        <v>24</v>
      </c>
      <c r="AC257">
        <v>17.721799999999899</v>
      </c>
      <c r="AD257">
        <v>-1.1207100000000001</v>
      </c>
      <c r="AE257">
        <v>2.0900000000040098E-2</v>
      </c>
      <c r="AF257">
        <v>-0.138438755132301</v>
      </c>
      <c r="AG257">
        <v>-1.1207100000000001</v>
      </c>
      <c r="AH257">
        <v>17.650679130799201</v>
      </c>
      <c r="AI257">
        <v>93.632942625760407</v>
      </c>
      <c r="AJ257">
        <v>90.449376122486697</v>
      </c>
      <c r="AK257">
        <v>17.6867642595093</v>
      </c>
      <c r="AL257">
        <v>93.260063241125295</v>
      </c>
      <c r="AM257">
        <v>88.686892366955504</v>
      </c>
      <c r="AN257">
        <v>0.99999998421899505</v>
      </c>
    </row>
    <row r="258" spans="1:40" x14ac:dyDescent="0.25">
      <c r="A258" t="str">
        <f>"20190303154736748"</f>
        <v>20190303154736748</v>
      </c>
      <c r="B258" t="str">
        <f>"1551599256740810"</f>
        <v>1551599256740810</v>
      </c>
      <c r="C258" t="s">
        <v>40</v>
      </c>
      <c r="D258">
        <v>5.0280909999999999</v>
      </c>
      <c r="E258">
        <v>0.48916809999999999</v>
      </c>
      <c r="F258" t="s">
        <v>43</v>
      </c>
      <c r="G258">
        <v>-407.9144</v>
      </c>
      <c r="H258">
        <v>-0.05</v>
      </c>
      <c r="I258">
        <v>368.28519999999997</v>
      </c>
      <c r="J258">
        <v>-425.5068</v>
      </c>
      <c r="K258">
        <v>1.070686</v>
      </c>
      <c r="L258">
        <v>368.28609999999998</v>
      </c>
      <c r="M258">
        <v>0.99988049999999995</v>
      </c>
      <c r="N258">
        <v>-1.3798059999999999E-2</v>
      </c>
      <c r="O258">
        <v>-6.9664230000000002E-3</v>
      </c>
      <c r="P258">
        <v>0.99709139999999996</v>
      </c>
      <c r="Q258">
        <v>-7.0049879999999995E-2</v>
      </c>
      <c r="R258">
        <v>-3.003488E-2</v>
      </c>
      <c r="S258">
        <v>2.9954830000000001</v>
      </c>
      <c r="T258">
        <v>-0.18823870000000001</v>
      </c>
      <c r="U258">
        <v>-4.8828130000000002E-4</v>
      </c>
      <c r="V258">
        <v>2.3058510000000001E-2</v>
      </c>
      <c r="W258">
        <v>-5.6294509999999999E-2</v>
      </c>
      <c r="X258">
        <v>0.99814789999999998</v>
      </c>
      <c r="Y258">
        <v>-6.7793999999999997E-3</v>
      </c>
      <c r="Z258">
        <v>6.00919E-4</v>
      </c>
      <c r="AA258">
        <v>0.9999768</v>
      </c>
      <c r="AB258">
        <v>24</v>
      </c>
      <c r="AC258">
        <v>17.592399999999898</v>
      </c>
      <c r="AD258">
        <v>-1.1206860000000001</v>
      </c>
      <c r="AE258">
        <v>-9.0000000000145497E-4</v>
      </c>
      <c r="AF258">
        <v>-0.12117605533732501</v>
      </c>
      <c r="AG258">
        <v>-1.1206860000000001</v>
      </c>
      <c r="AH258">
        <v>17.520878641720401</v>
      </c>
      <c r="AI258">
        <v>93.659730601519698</v>
      </c>
      <c r="AJ258">
        <v>90.396256717254303</v>
      </c>
      <c r="AK258">
        <v>17.557101387326899</v>
      </c>
      <c r="AL258">
        <v>93.227143879034003</v>
      </c>
      <c r="AM258">
        <v>88.676628624050196</v>
      </c>
      <c r="AN258">
        <v>0.99999999850698496</v>
      </c>
    </row>
    <row r="259" spans="1:40" x14ac:dyDescent="0.25">
      <c r="A259" t="str">
        <f>"20190303154736771"</f>
        <v>20190303154736771</v>
      </c>
      <c r="B259" t="str">
        <f>"1551599256761309"</f>
        <v>1551599256761309</v>
      </c>
      <c r="C259" t="s">
        <v>40</v>
      </c>
      <c r="D259">
        <v>5.0347269999999904</v>
      </c>
      <c r="E259">
        <v>0.48918660000000003</v>
      </c>
      <c r="F259" t="s">
        <v>43</v>
      </c>
      <c r="G259">
        <v>-407.39980000000003</v>
      </c>
      <c r="H259">
        <v>-0.05</v>
      </c>
      <c r="I259">
        <v>368.2627</v>
      </c>
      <c r="J259">
        <v>-425.26499999999999</v>
      </c>
      <c r="K259">
        <v>1.070675</v>
      </c>
      <c r="L259">
        <v>368.28410000000002</v>
      </c>
      <c r="M259">
        <v>0.99988189999999999</v>
      </c>
      <c r="N259">
        <v>-1.35505E-2</v>
      </c>
      <c r="O259">
        <v>-7.2519280000000004E-3</v>
      </c>
      <c r="P259">
        <v>0.9971624</v>
      </c>
      <c r="Q259">
        <v>-6.8897199999999895E-2</v>
      </c>
      <c r="R259">
        <v>-3.0337579999999999E-2</v>
      </c>
      <c r="S259">
        <v>2.9955750000000001</v>
      </c>
      <c r="T259">
        <v>-0.18540390000000001</v>
      </c>
      <c r="U259">
        <v>-3.8757319999999998E-3</v>
      </c>
      <c r="V259">
        <v>2.3078640000000001E-2</v>
      </c>
      <c r="W259">
        <v>-5.538709E-2</v>
      </c>
      <c r="X259">
        <v>0.99819820000000004</v>
      </c>
      <c r="Y259">
        <v>-5.9364869999999998E-3</v>
      </c>
      <c r="Z259">
        <v>5.7401540000000001E-4</v>
      </c>
      <c r="AA259">
        <v>0.99998220000000004</v>
      </c>
      <c r="AB259">
        <v>24</v>
      </c>
      <c r="AC259">
        <v>17.865199999999898</v>
      </c>
      <c r="AD259">
        <v>-1.1206750000000001</v>
      </c>
      <c r="AE259">
        <v>-2.1400000000028199E-2</v>
      </c>
      <c r="AF259">
        <v>-0.107745624316188</v>
      </c>
      <c r="AG259">
        <v>-1.1206750000000001</v>
      </c>
      <c r="AH259">
        <v>17.794862841557901</v>
      </c>
      <c r="AI259">
        <v>93.603516837220695</v>
      </c>
      <c r="AJ259">
        <v>90.346914395987397</v>
      </c>
      <c r="AK259">
        <v>17.830442090005601</v>
      </c>
      <c r="AL259">
        <v>93.175071286776003</v>
      </c>
      <c r="AM259">
        <v>88.675540456921595</v>
      </c>
      <c r="AN259">
        <v>0.99999999992307798</v>
      </c>
    </row>
    <row r="260" spans="1:40" x14ac:dyDescent="0.25">
      <c r="A260" t="str">
        <f>"20190303154736792"</f>
        <v>20190303154736792</v>
      </c>
      <c r="B260" t="str">
        <f>"1551599256780829"</f>
        <v>1551599256780829</v>
      </c>
      <c r="C260" t="s">
        <v>40</v>
      </c>
      <c r="D260">
        <v>5.0184939999999996</v>
      </c>
      <c r="E260">
        <v>0.48933159999999998</v>
      </c>
      <c r="F260" t="s">
        <v>43</v>
      </c>
      <c r="G260">
        <v>-406.79379999999998</v>
      </c>
      <c r="H260">
        <v>-0.05</v>
      </c>
      <c r="I260">
        <v>368.25319999999999</v>
      </c>
      <c r="J260">
        <v>-425.0376</v>
      </c>
      <c r="K260">
        <v>1.070673</v>
      </c>
      <c r="L260">
        <v>368.28219999999999</v>
      </c>
      <c r="M260">
        <v>0.99988310000000002</v>
      </c>
      <c r="N260">
        <v>-1.3327550000000001E-2</v>
      </c>
      <c r="O260">
        <v>-7.493993E-3</v>
      </c>
      <c r="P260">
        <v>0.99720699999999995</v>
      </c>
      <c r="Q260">
        <v>-6.8264290000000005E-2</v>
      </c>
      <c r="R260">
        <v>-3.0302430000000002E-2</v>
      </c>
      <c r="S260">
        <v>2.995819</v>
      </c>
      <c r="T260">
        <v>-0.18176020000000001</v>
      </c>
      <c r="U260">
        <v>-5.0048829999999999E-3</v>
      </c>
      <c r="V260">
        <v>2.280422E-2</v>
      </c>
      <c r="W260">
        <v>-5.4975080000000003E-2</v>
      </c>
      <c r="X260">
        <v>0.99822730000000004</v>
      </c>
      <c r="Y260">
        <v>-5.8026669999999897E-3</v>
      </c>
      <c r="Z260">
        <v>5.6901680000000004E-4</v>
      </c>
      <c r="AA260">
        <v>0.99998299999999996</v>
      </c>
      <c r="AB260">
        <v>24</v>
      </c>
      <c r="AC260">
        <v>18.2438</v>
      </c>
      <c r="AD260">
        <v>-1.120673</v>
      </c>
      <c r="AE260">
        <v>-2.89999999999963E-2</v>
      </c>
      <c r="AF260">
        <v>-0.10732688703085499</v>
      </c>
      <c r="AG260">
        <v>-1.120673</v>
      </c>
      <c r="AH260">
        <v>18.174924763294701</v>
      </c>
      <c r="AI260">
        <v>93.528351751215894</v>
      </c>
      <c r="AJ260">
        <v>90.338340117342398</v>
      </c>
      <c r="AK260">
        <v>18.209758844779699</v>
      </c>
      <c r="AL260">
        <v>93.1514287755694</v>
      </c>
      <c r="AM260">
        <v>88.691321767962094</v>
      </c>
      <c r="AN260">
        <v>1.0000000171680501</v>
      </c>
    </row>
    <row r="261" spans="1:40" x14ac:dyDescent="0.25">
      <c r="A261" t="str">
        <f>"20190303154736817"</f>
        <v>20190303154736817</v>
      </c>
      <c r="B261" t="str">
        <f>"1551599256811081"</f>
        <v>1551599256811081</v>
      </c>
      <c r="C261" t="s">
        <v>40</v>
      </c>
      <c r="D261">
        <v>5.0130509999999999</v>
      </c>
      <c r="E261">
        <v>0.48934030000000001</v>
      </c>
      <c r="F261" t="s">
        <v>43</v>
      </c>
      <c r="G261">
        <v>-406.41640000000001</v>
      </c>
      <c r="H261">
        <v>-0.05</v>
      </c>
      <c r="I261">
        <v>368.245</v>
      </c>
      <c r="J261">
        <v>-424.76</v>
      </c>
      <c r="K261">
        <v>1.070673</v>
      </c>
      <c r="L261">
        <v>368.27980000000002</v>
      </c>
      <c r="M261">
        <v>0.99988460000000001</v>
      </c>
      <c r="N261">
        <v>-1.30767E-2</v>
      </c>
      <c r="O261">
        <v>-7.7432669999999999E-3</v>
      </c>
      <c r="P261">
        <v>0.99720520000000001</v>
      </c>
      <c r="Q261">
        <v>-6.831682E-2</v>
      </c>
      <c r="R261">
        <v>-3.0249120000000001E-2</v>
      </c>
      <c r="S261">
        <v>2.995911</v>
      </c>
      <c r="T261">
        <v>-0.1803025</v>
      </c>
      <c r="U261">
        <v>-5.9814450000000002E-3</v>
      </c>
      <c r="V261">
        <v>2.2505549999999999E-2</v>
      </c>
      <c r="W261">
        <v>-5.5276409999999998E-2</v>
      </c>
      <c r="X261">
        <v>0.99821740000000003</v>
      </c>
      <c r="Y261">
        <v>-5.7262420000000003E-3</v>
      </c>
      <c r="Z261">
        <v>5.7403399999999996E-4</v>
      </c>
      <c r="AA261">
        <v>0.99998339999999997</v>
      </c>
      <c r="AB261">
        <v>24</v>
      </c>
      <c r="AC261">
        <v>18.343599999999899</v>
      </c>
      <c r="AD261">
        <v>-1.120673</v>
      </c>
      <c r="AE261">
        <v>-3.4800000000018302E-2</v>
      </c>
      <c r="AF261">
        <v>-0.10685374979663501</v>
      </c>
      <c r="AG261">
        <v>-1.120673</v>
      </c>
      <c r="AH261">
        <v>18.275109610903801</v>
      </c>
      <c r="AI261">
        <v>93.509058855132096</v>
      </c>
      <c r="AJ261">
        <v>90.335002046672699</v>
      </c>
      <c r="AK261">
        <v>18.309750325641399</v>
      </c>
      <c r="AL261">
        <v>93.168720124843205</v>
      </c>
      <c r="AM261">
        <v>88.7084430575445</v>
      </c>
      <c r="AN261">
        <v>0.99999997947302499</v>
      </c>
    </row>
    <row r="262" spans="1:40" x14ac:dyDescent="0.25">
      <c r="A262" t="str">
        <f>"20190303154736837"</f>
        <v>20190303154736837</v>
      </c>
      <c r="B262" t="str">
        <f>"1551599256830602"</f>
        <v>1551599256830602</v>
      </c>
      <c r="C262" t="s">
        <v>40</v>
      </c>
      <c r="D262">
        <v>4.9789199999999996</v>
      </c>
      <c r="E262">
        <v>0.48947449999999998</v>
      </c>
      <c r="F262" t="s">
        <v>43</v>
      </c>
      <c r="G262">
        <v>-406.28489999999999</v>
      </c>
      <c r="H262">
        <v>-0.05</v>
      </c>
      <c r="I262">
        <v>368.24430000000001</v>
      </c>
      <c r="J262">
        <v>-424.5421</v>
      </c>
      <c r="K262">
        <v>1.070684</v>
      </c>
      <c r="L262">
        <v>368.27800000000002</v>
      </c>
      <c r="M262">
        <v>0.99988569999999999</v>
      </c>
      <c r="N262">
        <v>-1.290054E-2</v>
      </c>
      <c r="O262">
        <v>-7.8894589999999997E-3</v>
      </c>
      <c r="P262">
        <v>0.99719570000000002</v>
      </c>
      <c r="Q262">
        <v>-6.8455959999999996E-2</v>
      </c>
      <c r="R262">
        <v>-3.024545E-2</v>
      </c>
      <c r="S262">
        <v>2.995819</v>
      </c>
      <c r="T262">
        <v>-0.18172250000000001</v>
      </c>
      <c r="U262">
        <v>-5.7678219999999997E-3</v>
      </c>
      <c r="V262">
        <v>2.235995E-2</v>
      </c>
      <c r="W262">
        <v>-5.5589899999999998E-2</v>
      </c>
      <c r="X262">
        <v>0.99820330000000002</v>
      </c>
      <c r="Y262">
        <v>-5.9426339999999996E-3</v>
      </c>
      <c r="Z262">
        <v>5.9485669999999997E-4</v>
      </c>
      <c r="AA262">
        <v>0.99998220000000004</v>
      </c>
      <c r="AB262">
        <v>24</v>
      </c>
      <c r="AC262">
        <v>18.257200000000001</v>
      </c>
      <c r="AD262">
        <v>-1.120684</v>
      </c>
      <c r="AE262">
        <v>-3.3700000000010201E-2</v>
      </c>
      <c r="AF262">
        <v>-0.10993822781740201</v>
      </c>
      <c r="AG262">
        <v>-1.120684</v>
      </c>
      <c r="AH262">
        <v>18.1883661021512</v>
      </c>
      <c r="AI262">
        <v>93.525782447487799</v>
      </c>
      <c r="AJ262">
        <v>90.346315865643902</v>
      </c>
      <c r="AK262">
        <v>18.2231907334494</v>
      </c>
      <c r="AL262">
        <v>93.186709322285694</v>
      </c>
      <c r="AM262">
        <v>88.716777882359196</v>
      </c>
      <c r="AN262">
        <v>1.0000000162384499</v>
      </c>
    </row>
    <row r="263" spans="1:40" x14ac:dyDescent="0.25">
      <c r="A263" t="str">
        <f>"20190303154736859"</f>
        <v>20190303154736859</v>
      </c>
      <c r="B263" t="str">
        <f>"1551599256851101"</f>
        <v>1551599256851101</v>
      </c>
      <c r="C263" t="s">
        <v>40</v>
      </c>
      <c r="D263">
        <v>5.0149290000000004</v>
      </c>
      <c r="E263">
        <v>0.48959740000000002</v>
      </c>
      <c r="F263" t="s">
        <v>43</v>
      </c>
      <c r="G263">
        <v>-406.18389999999999</v>
      </c>
      <c r="H263">
        <v>-0.05</v>
      </c>
      <c r="I263">
        <v>368.23419999999999</v>
      </c>
      <c r="J263">
        <v>-424.29849999999999</v>
      </c>
      <c r="K263">
        <v>1.070711</v>
      </c>
      <c r="L263">
        <v>368.2758</v>
      </c>
      <c r="M263">
        <v>0.99988710000000003</v>
      </c>
      <c r="N263">
        <v>-1.272349E-2</v>
      </c>
      <c r="O263">
        <v>-7.9974739999999992E-3</v>
      </c>
      <c r="P263">
        <v>0.99724219999999997</v>
      </c>
      <c r="Q263">
        <v>-6.7700460000000004E-2</v>
      </c>
      <c r="R263">
        <v>-3.0413860000000001E-2</v>
      </c>
      <c r="S263">
        <v>2.9956969999999998</v>
      </c>
      <c r="T263">
        <v>-0.18287339999999999</v>
      </c>
      <c r="U263">
        <v>-7.1411130000000001E-3</v>
      </c>
      <c r="V263">
        <v>2.2425629999999998E-2</v>
      </c>
      <c r="W263">
        <v>-5.5008429999999997E-2</v>
      </c>
      <c r="X263">
        <v>0.99823399999999995</v>
      </c>
      <c r="Y263">
        <v>-5.592479E-3</v>
      </c>
      <c r="Z263">
        <v>5.9222080000000002E-4</v>
      </c>
      <c r="AA263">
        <v>0.99998419999999999</v>
      </c>
      <c r="AB263">
        <v>24</v>
      </c>
      <c r="AC263">
        <v>18.114599999999999</v>
      </c>
      <c r="AD263">
        <v>-1.120711</v>
      </c>
      <c r="AE263">
        <v>-4.16000000000167E-2</v>
      </c>
      <c r="AF263">
        <v>-0.102890272953093</v>
      </c>
      <c r="AG263">
        <v>-1.120711</v>
      </c>
      <c r="AH263">
        <v>18.045283043395902</v>
      </c>
      <c r="AI263">
        <v>93.553759938585301</v>
      </c>
      <c r="AJ263">
        <v>90.3266845133722</v>
      </c>
      <c r="AK263">
        <v>18.080343461064601</v>
      </c>
      <c r="AL263">
        <v>93.1533426107938</v>
      </c>
      <c r="AM263">
        <v>88.713049385515404</v>
      </c>
      <c r="AN263">
        <v>0.99999997750397995</v>
      </c>
    </row>
    <row r="264" spans="1:40" x14ac:dyDescent="0.25">
      <c r="A264" t="str">
        <f>"20190303154736884"</f>
        <v>20190303154736884</v>
      </c>
      <c r="B264" t="str">
        <f>"1551599256880884"</f>
        <v>1551599256880884</v>
      </c>
      <c r="C264" t="s">
        <v>40</v>
      </c>
      <c r="D264">
        <v>5.0059120000000004</v>
      </c>
      <c r="E264">
        <v>0.48976259999999999</v>
      </c>
      <c r="F264" t="s">
        <v>43</v>
      </c>
      <c r="G264">
        <v>-405.7722</v>
      </c>
      <c r="H264">
        <v>-0.05</v>
      </c>
      <c r="I264">
        <v>368.22149999999999</v>
      </c>
      <c r="J264">
        <v>-424.0421</v>
      </c>
      <c r="K264">
        <v>1.0707469999999999</v>
      </c>
      <c r="L264">
        <v>368.27370000000002</v>
      </c>
      <c r="M264">
        <v>0.99988869999999996</v>
      </c>
      <c r="N264">
        <v>-1.256086E-2</v>
      </c>
      <c r="O264">
        <v>-8.0480859999999994E-3</v>
      </c>
      <c r="P264">
        <v>0.99730180000000002</v>
      </c>
      <c r="Q264">
        <v>-6.6857200000000006E-2</v>
      </c>
      <c r="R264">
        <v>-3.0317899999999998E-2</v>
      </c>
      <c r="S264">
        <v>2.9956969999999998</v>
      </c>
      <c r="T264">
        <v>-0.1812192</v>
      </c>
      <c r="U264">
        <v>-8.7890629999999997E-3</v>
      </c>
      <c r="V264">
        <v>2.22848E-2</v>
      </c>
      <c r="W264">
        <v>-5.4324419999999998E-2</v>
      </c>
      <c r="X264">
        <v>0.99827460000000001</v>
      </c>
      <c r="Y264">
        <v>-5.0944149999999997E-3</v>
      </c>
      <c r="Z264">
        <v>5.7136019999999999E-4</v>
      </c>
      <c r="AA264">
        <v>0.99998690000000001</v>
      </c>
      <c r="AB264">
        <v>24</v>
      </c>
      <c r="AC264">
        <v>18.2699</v>
      </c>
      <c r="AD264">
        <v>-1.1207469999999999</v>
      </c>
      <c r="AE264">
        <v>-5.2200000000027502E-2</v>
      </c>
      <c r="AF264">
        <v>-9.4495430614206996E-2</v>
      </c>
      <c r="AG264">
        <v>-1.1207469999999999</v>
      </c>
      <c r="AH264">
        <v>18.2012363029867</v>
      </c>
      <c r="AI264">
        <v>93.523510030704202</v>
      </c>
      <c r="AJ264">
        <v>90.297460052922602</v>
      </c>
      <c r="AK264">
        <v>18.235953668003699</v>
      </c>
      <c r="AL264">
        <v>93.114093068013702</v>
      </c>
      <c r="AM264">
        <v>88.721180567862703</v>
      </c>
      <c r="AN264">
        <v>0.99999996596226703</v>
      </c>
    </row>
    <row r="265" spans="1:40" x14ac:dyDescent="0.25">
      <c r="A265" t="str">
        <f>"20190303154736905"</f>
        <v>20190303154736905</v>
      </c>
      <c r="B265" t="str">
        <f>"1551599256901381"</f>
        <v>1551599256901381</v>
      </c>
      <c r="C265" t="s">
        <v>40</v>
      </c>
      <c r="D265">
        <v>4.996232</v>
      </c>
      <c r="E265">
        <v>0.48981720000000001</v>
      </c>
      <c r="F265" t="s">
        <v>43</v>
      </c>
      <c r="G265">
        <v>-405.38819999999998</v>
      </c>
      <c r="H265">
        <v>-0.05</v>
      </c>
      <c r="I265">
        <v>368.21420000000001</v>
      </c>
      <c r="J265">
        <v>-423.81020000000001</v>
      </c>
      <c r="K265">
        <v>1.070783</v>
      </c>
      <c r="L265">
        <v>368.27179999999998</v>
      </c>
      <c r="M265">
        <v>0.99989050000000002</v>
      </c>
      <c r="N265">
        <v>-1.243145E-2</v>
      </c>
      <c r="O265">
        <v>-8.037598E-3</v>
      </c>
      <c r="P265">
        <v>0.99731550000000002</v>
      </c>
      <c r="Q265">
        <v>-6.6457849999999999E-2</v>
      </c>
      <c r="R265">
        <v>-3.0746490000000001E-2</v>
      </c>
      <c r="S265">
        <v>2.9957280000000002</v>
      </c>
      <c r="T265">
        <v>-0.17998729999999999</v>
      </c>
      <c r="U265">
        <v>-9.5520020000000004E-3</v>
      </c>
      <c r="V265">
        <v>2.2728930000000001E-2</v>
      </c>
      <c r="W265">
        <v>-5.4051870000000002E-2</v>
      </c>
      <c r="X265">
        <v>0.99827940000000004</v>
      </c>
      <c r="Y265">
        <v>-4.8301259999999997E-3</v>
      </c>
      <c r="Z265">
        <v>5.5764140000000002E-4</v>
      </c>
      <c r="AA265">
        <v>0.99998819999999999</v>
      </c>
      <c r="AB265">
        <v>24</v>
      </c>
      <c r="AC265">
        <v>18.422000000000001</v>
      </c>
      <c r="AD265">
        <v>-1.1207830000000001</v>
      </c>
      <c r="AE265">
        <v>-5.7599999999979397E-2</v>
      </c>
      <c r="AF265">
        <v>-9.0148248204840395E-2</v>
      </c>
      <c r="AG265">
        <v>-1.1207830000000001</v>
      </c>
      <c r="AH265">
        <v>18.353932712974899</v>
      </c>
      <c r="AI265">
        <v>93.494385852041702</v>
      </c>
      <c r="AJ265">
        <v>90.281415035073707</v>
      </c>
      <c r="AK265">
        <v>18.388342156707701</v>
      </c>
      <c r="AL265">
        <v>93.098454067026793</v>
      </c>
      <c r="AM265">
        <v>88.695709031889393</v>
      </c>
      <c r="AN265">
        <v>0.99999998468689999</v>
      </c>
    </row>
    <row r="266" spans="1:40" x14ac:dyDescent="0.25">
      <c r="A266" t="str">
        <f>"20190303154736927"</f>
        <v>20190303154736927</v>
      </c>
      <c r="B266" t="str">
        <f>"1551599256920901"</f>
        <v>1551599256920901</v>
      </c>
      <c r="C266" t="s">
        <v>40</v>
      </c>
      <c r="D266">
        <v>4.979609</v>
      </c>
      <c r="E266">
        <v>0.4898805</v>
      </c>
      <c r="F266" t="s">
        <v>43</v>
      </c>
      <c r="G266">
        <v>-405.08330000000001</v>
      </c>
      <c r="H266">
        <v>-0.05</v>
      </c>
      <c r="I266">
        <v>368.20139999999998</v>
      </c>
      <c r="J266">
        <v>-423.56200000000001</v>
      </c>
      <c r="K266">
        <v>1.0708230000000001</v>
      </c>
      <c r="L266">
        <v>368.26990000000001</v>
      </c>
      <c r="M266">
        <v>0.99989269999999997</v>
      </c>
      <c r="N266">
        <v>-1.231028E-2</v>
      </c>
      <c r="O266">
        <v>-7.9667560000000002E-3</v>
      </c>
      <c r="P266">
        <v>0.99728229999999995</v>
      </c>
      <c r="Q266">
        <v>-6.6706230000000005E-2</v>
      </c>
      <c r="R266">
        <v>-3.1285790000000001E-2</v>
      </c>
      <c r="S266">
        <v>2.9957579999999999</v>
      </c>
      <c r="T266">
        <v>-0.17929300000000001</v>
      </c>
      <c r="U266">
        <v>-1.126099E-2</v>
      </c>
      <c r="V266">
        <v>2.3344589999999998E-2</v>
      </c>
      <c r="W266">
        <v>-5.4419259999999997E-2</v>
      </c>
      <c r="X266">
        <v>0.99824520000000005</v>
      </c>
      <c r="Y266">
        <v>-4.1904350000000002E-3</v>
      </c>
      <c r="Z266">
        <v>5.2946649999999998E-4</v>
      </c>
      <c r="AA266">
        <v>0.99999110000000002</v>
      </c>
      <c r="AB266">
        <v>24</v>
      </c>
      <c r="AC266">
        <v>18.4786999999999</v>
      </c>
      <c r="AD266">
        <v>-1.1208229999999999</v>
      </c>
      <c r="AE266">
        <v>-6.8500000000028594E-2</v>
      </c>
      <c r="AF266">
        <v>-7.8440015261302107E-2</v>
      </c>
      <c r="AG266">
        <v>-1.1208229999999999</v>
      </c>
      <c r="AH266">
        <v>18.410926158993099</v>
      </c>
      <c r="AI266">
        <v>93.483729599016996</v>
      </c>
      <c r="AJ266">
        <v>90.244108014312999</v>
      </c>
      <c r="AK266">
        <v>18.445178206382799</v>
      </c>
      <c r="AL266">
        <v>93.119535091878802</v>
      </c>
      <c r="AM266">
        <v>88.660346443673902</v>
      </c>
      <c r="AN266">
        <v>0.99999995253212604</v>
      </c>
    </row>
    <row r="267" spans="1:40" x14ac:dyDescent="0.25">
      <c r="A267" t="str">
        <f>"20190303154736949"</f>
        <v>20190303154736949</v>
      </c>
      <c r="B267" t="str">
        <f>"1551599256941397"</f>
        <v>1551599256941397</v>
      </c>
      <c r="C267" t="s">
        <v>40</v>
      </c>
      <c r="D267">
        <v>4.9873010000000004</v>
      </c>
      <c r="E267">
        <v>0.48991289999999998</v>
      </c>
      <c r="F267" t="s">
        <v>43</v>
      </c>
      <c r="G267">
        <v>-404.96170000000001</v>
      </c>
      <c r="H267">
        <v>-0.05</v>
      </c>
      <c r="I267">
        <v>368.18819999999999</v>
      </c>
      <c r="J267">
        <v>-423.33429999999998</v>
      </c>
      <c r="K267">
        <v>1.070862</v>
      </c>
      <c r="L267">
        <v>368.26819999999998</v>
      </c>
      <c r="M267">
        <v>0.99989470000000003</v>
      </c>
      <c r="N267">
        <v>-1.2212850000000001E-2</v>
      </c>
      <c r="O267">
        <v>-7.8391229999999999E-3</v>
      </c>
      <c r="P267">
        <v>0.99728910000000004</v>
      </c>
      <c r="Q267">
        <v>-6.6384109999999996E-2</v>
      </c>
      <c r="R267">
        <v>-3.1744849999999998E-2</v>
      </c>
      <c r="S267">
        <v>2.9956670000000001</v>
      </c>
      <c r="T267">
        <v>-0.18051410000000001</v>
      </c>
      <c r="U267">
        <v>-1.3153079999999999E-2</v>
      </c>
      <c r="V267">
        <v>2.3936010000000001E-2</v>
      </c>
      <c r="W267">
        <v>-5.4192039999999997E-2</v>
      </c>
      <c r="X267">
        <v>0.99824360000000001</v>
      </c>
      <c r="Y267">
        <v>-3.4325789999999998E-3</v>
      </c>
      <c r="Z267">
        <v>5.0057529999999995E-4</v>
      </c>
      <c r="AA267">
        <v>0.99999400000000005</v>
      </c>
      <c r="AB267">
        <v>24</v>
      </c>
      <c r="AC267">
        <v>18.372599999999899</v>
      </c>
      <c r="AD267">
        <v>-1.120862</v>
      </c>
      <c r="AE267">
        <v>-7.9999999999984001E-2</v>
      </c>
      <c r="AF267">
        <v>-6.3800815794886903E-2</v>
      </c>
      <c r="AG267">
        <v>-1.120862</v>
      </c>
      <c r="AH267">
        <v>18.304536464621201</v>
      </c>
      <c r="AI267">
        <v>93.504059553056194</v>
      </c>
      <c r="AJ267">
        <v>90.199704738673503</v>
      </c>
      <c r="AK267">
        <v>18.3389328302327</v>
      </c>
      <c r="AL267">
        <v>93.106496965440499</v>
      </c>
      <c r="AM267">
        <v>88.626417833499502</v>
      </c>
      <c r="AN267">
        <v>0.99999999735751999</v>
      </c>
    </row>
    <row r="268" spans="1:40" x14ac:dyDescent="0.25">
      <c r="A268" t="str">
        <f>"20190303154736971"</f>
        <v>20190303154736971</v>
      </c>
      <c r="B268" t="str">
        <f>"1551599256960921"</f>
        <v>1551599256960921</v>
      </c>
      <c r="C268" t="s">
        <v>40</v>
      </c>
      <c r="D268">
        <v>5.0041539999999998</v>
      </c>
      <c r="E268">
        <v>0.48987720000000001</v>
      </c>
      <c r="F268" t="s">
        <v>43</v>
      </c>
      <c r="G268">
        <v>-404.6814</v>
      </c>
      <c r="H268">
        <v>-0.05</v>
      </c>
      <c r="I268">
        <v>368.17399999999998</v>
      </c>
      <c r="J268">
        <v>-423.09649999999999</v>
      </c>
      <c r="K268">
        <v>1.070905</v>
      </c>
      <c r="L268">
        <v>368.26650000000001</v>
      </c>
      <c r="M268">
        <v>0.99989740000000005</v>
      </c>
      <c r="N268">
        <v>-1.2124009999999999E-2</v>
      </c>
      <c r="O268">
        <v>-7.6337280000000002E-3</v>
      </c>
      <c r="P268">
        <v>0.99728910000000004</v>
      </c>
      <c r="Q268">
        <v>-6.6328079999999998E-2</v>
      </c>
      <c r="R268">
        <v>-3.1862179999999997E-2</v>
      </c>
      <c r="S268">
        <v>2.9957280000000002</v>
      </c>
      <c r="T268">
        <v>-0.18001529999999999</v>
      </c>
      <c r="U268">
        <v>-1.5136719999999999E-2</v>
      </c>
      <c r="V268">
        <v>2.426439E-2</v>
      </c>
      <c r="W268">
        <v>-5.4221940000000003E-2</v>
      </c>
      <c r="X268">
        <v>0.99823399999999995</v>
      </c>
      <c r="Y268">
        <v>-2.5672949999999998E-3</v>
      </c>
      <c r="Z268">
        <v>4.584511E-4</v>
      </c>
      <c r="AA268">
        <v>0.99999660000000001</v>
      </c>
      <c r="AB268">
        <v>24</v>
      </c>
      <c r="AC268">
        <v>18.415099999999899</v>
      </c>
      <c r="AD268">
        <v>-1.12090499999999</v>
      </c>
      <c r="AE268">
        <v>-9.2499999999972701E-2</v>
      </c>
      <c r="AF268">
        <v>-4.7911379938417001E-2</v>
      </c>
      <c r="AG268">
        <v>-1.12090499999999</v>
      </c>
      <c r="AH268">
        <v>18.347294322040302</v>
      </c>
      <c r="AI268">
        <v>93.496056791461399</v>
      </c>
      <c r="AJ268">
        <v>90.149619533710094</v>
      </c>
      <c r="AK268">
        <v>18.381565016584499</v>
      </c>
      <c r="AL268">
        <v>93.108212781973293</v>
      </c>
      <c r="AM268">
        <v>88.607567534937999</v>
      </c>
      <c r="AN268">
        <v>0.99999994907771605</v>
      </c>
    </row>
    <row r="269" spans="1:40" x14ac:dyDescent="0.25">
      <c r="A269" t="str">
        <f>"20190303154736984"</f>
        <v>20190303154736984</v>
      </c>
      <c r="B269" t="str">
        <f>"1551599256980945"</f>
        <v>1551599256980945</v>
      </c>
      <c r="C269" t="s">
        <v>40</v>
      </c>
      <c r="D269">
        <v>5.0132629999999896</v>
      </c>
      <c r="E269">
        <v>0.48989500000000002</v>
      </c>
      <c r="F269" t="s">
        <v>43</v>
      </c>
      <c r="G269">
        <v>-404.49290000000002</v>
      </c>
      <c r="H269">
        <v>-0.05</v>
      </c>
      <c r="I269">
        <v>368.17430000000002</v>
      </c>
      <c r="J269">
        <v>-422.94929999999999</v>
      </c>
      <c r="K269">
        <v>1.0709360000000001</v>
      </c>
      <c r="L269">
        <v>368.26549999999997</v>
      </c>
      <c r="M269">
        <v>0.99989930000000005</v>
      </c>
      <c r="N269">
        <v>-1.207516E-2</v>
      </c>
      <c r="O269">
        <v>-7.4713440000000004E-3</v>
      </c>
      <c r="P269">
        <v>0.99731800000000004</v>
      </c>
      <c r="Q269">
        <v>-6.597836E-2</v>
      </c>
      <c r="R269">
        <v>-3.168982E-2</v>
      </c>
      <c r="S269">
        <v>2.9957280000000002</v>
      </c>
      <c r="T269">
        <v>-0.18049850000000001</v>
      </c>
      <c r="U269">
        <v>-1.486206E-2</v>
      </c>
      <c r="V269">
        <v>2.4257939999999999E-2</v>
      </c>
      <c r="W269">
        <v>-5.3918849999999997E-2</v>
      </c>
      <c r="X269">
        <v>0.99825059999999999</v>
      </c>
      <c r="Y269">
        <v>-2.4968109999999998E-3</v>
      </c>
      <c r="Z269">
        <v>4.4983339999999999E-4</v>
      </c>
      <c r="AA269">
        <v>0.99999680000000002</v>
      </c>
      <c r="AB269">
        <v>24</v>
      </c>
      <c r="AC269">
        <v>18.456399999999899</v>
      </c>
      <c r="AD269">
        <v>-1.1209359999999999</v>
      </c>
      <c r="AE269">
        <v>-9.1199999999957898E-2</v>
      </c>
      <c r="AF269">
        <v>-4.6535049488841199E-2</v>
      </c>
      <c r="AG269">
        <v>-1.1209359999999999</v>
      </c>
      <c r="AH269">
        <v>18.3887382328247</v>
      </c>
      <c r="AI269">
        <v>93.488293929212205</v>
      </c>
      <c r="AJ269">
        <v>90.144993974559696</v>
      </c>
      <c r="AK269">
        <v>18.422930190995</v>
      </c>
      <c r="AL269">
        <v>93.090821481168803</v>
      </c>
      <c r="AM269">
        <v>88.607960667583797</v>
      </c>
      <c r="AN269">
        <v>0.99999997521936201</v>
      </c>
    </row>
    <row r="270" spans="1:40" x14ac:dyDescent="0.25">
      <c r="A270" t="str">
        <f>"20190303154737005"</f>
        <v>20190303154737005</v>
      </c>
      <c r="B270" t="str">
        <f>"1551599257001440"</f>
        <v>1551599257001440</v>
      </c>
      <c r="C270" t="s">
        <v>40</v>
      </c>
      <c r="D270">
        <v>5.0265389999999996</v>
      </c>
      <c r="E270">
        <v>0.48990630000000002</v>
      </c>
      <c r="F270" t="s">
        <v>43</v>
      </c>
      <c r="G270">
        <v>-404.25220000000002</v>
      </c>
      <c r="H270">
        <v>-0.05</v>
      </c>
      <c r="I270">
        <v>368.17320000000001</v>
      </c>
      <c r="J270">
        <v>-422.72789999999998</v>
      </c>
      <c r="K270">
        <v>1.070986</v>
      </c>
      <c r="L270">
        <v>368.26420000000002</v>
      </c>
      <c r="M270">
        <v>0.99990219999999996</v>
      </c>
      <c r="N270">
        <v>-1.2014250000000001E-2</v>
      </c>
      <c r="O270">
        <v>-7.1691510000000003E-3</v>
      </c>
      <c r="P270">
        <v>0.99734319999999999</v>
      </c>
      <c r="Q270">
        <v>-6.587113E-2</v>
      </c>
      <c r="R270">
        <v>-3.1110780000000001E-2</v>
      </c>
      <c r="S270">
        <v>2.9957280000000002</v>
      </c>
      <c r="T270">
        <v>-0.17960100000000001</v>
      </c>
      <c r="U270">
        <v>-1.480103E-2</v>
      </c>
      <c r="V270">
        <v>2.3986899999999999E-2</v>
      </c>
      <c r="W270">
        <v>-5.3869340000000002E-2</v>
      </c>
      <c r="X270">
        <v>0.99825980000000003</v>
      </c>
      <c r="Y270">
        <v>-2.2160489999999999E-3</v>
      </c>
      <c r="Z270">
        <v>4.2303680000000001E-4</v>
      </c>
      <c r="AA270">
        <v>0.99999740000000004</v>
      </c>
      <c r="AB270">
        <v>24</v>
      </c>
      <c r="AC270">
        <v>18.4756999999999</v>
      </c>
      <c r="AD270">
        <v>-1.120986</v>
      </c>
      <c r="AE270">
        <v>-9.1000000000008199E-2</v>
      </c>
      <c r="AF270">
        <v>-4.13148848043597E-2</v>
      </c>
      <c r="AG270">
        <v>-1.120986</v>
      </c>
      <c r="AH270">
        <v>18.408113835858099</v>
      </c>
      <c r="AI270">
        <v>93.484788776955497</v>
      </c>
      <c r="AJ270">
        <v>90.128593541782493</v>
      </c>
      <c r="AK270">
        <v>18.442260477658699</v>
      </c>
      <c r="AL270">
        <v>93.087980707850207</v>
      </c>
      <c r="AM270">
        <v>88.623520932574706</v>
      </c>
      <c r="AN270">
        <v>0.99999995272984099</v>
      </c>
    </row>
    <row r="271" spans="1:40" x14ac:dyDescent="0.25">
      <c r="A271" t="str">
        <f>"20190303154737019"</f>
        <v>20190303154737019</v>
      </c>
      <c r="B271" t="str">
        <f>"1551599257011201"</f>
        <v>1551599257011201</v>
      </c>
      <c r="C271" t="s">
        <v>40</v>
      </c>
      <c r="D271">
        <v>5.0518330000000002</v>
      </c>
      <c r="E271">
        <v>0.48991889999999999</v>
      </c>
      <c r="F271" t="s">
        <v>43</v>
      </c>
      <c r="G271">
        <v>-404.0378</v>
      </c>
      <c r="H271">
        <v>-0.05</v>
      </c>
      <c r="I271">
        <v>368.18209999999999</v>
      </c>
      <c r="J271">
        <v>-422.57310000000001</v>
      </c>
      <c r="K271">
        <v>1.071021</v>
      </c>
      <c r="L271">
        <v>368.26330000000002</v>
      </c>
      <c r="M271">
        <v>0.99990440000000003</v>
      </c>
      <c r="N271">
        <v>-1.198054E-2</v>
      </c>
      <c r="O271">
        <v>-6.9263440000000001E-3</v>
      </c>
      <c r="P271">
        <v>0.99736429999999998</v>
      </c>
      <c r="Q271">
        <v>-6.5821019999999994E-2</v>
      </c>
      <c r="R271">
        <v>-3.0536939999999999E-2</v>
      </c>
      <c r="S271">
        <v>2.9957280000000002</v>
      </c>
      <c r="T271">
        <v>-0.17967620000000001</v>
      </c>
      <c r="U271">
        <v>-1.3153079999999999E-2</v>
      </c>
      <c r="V271">
        <v>2.3660110000000002E-2</v>
      </c>
      <c r="W271">
        <v>-5.3850809999999999E-2</v>
      </c>
      <c r="X271">
        <v>0.99826870000000001</v>
      </c>
      <c r="Y271">
        <v>-2.5228989999999999E-3</v>
      </c>
      <c r="Z271">
        <v>4.228406E-4</v>
      </c>
      <c r="AA271">
        <v>0.99999669999999896</v>
      </c>
      <c r="AB271">
        <v>24</v>
      </c>
      <c r="AC271">
        <v>18.535299999999999</v>
      </c>
      <c r="AD271">
        <v>-1.1210209999999901</v>
      </c>
      <c r="AE271">
        <v>-8.1200000000023906E-2</v>
      </c>
      <c r="AF271">
        <v>-4.7021012748235599E-2</v>
      </c>
      <c r="AG271">
        <v>-1.1210209999999901</v>
      </c>
      <c r="AH271">
        <v>18.467866026700801</v>
      </c>
      <c r="AI271">
        <v>93.473647187694397</v>
      </c>
      <c r="AJ271">
        <v>90.145880404016907</v>
      </c>
      <c r="AK271">
        <v>18.501918134027399</v>
      </c>
      <c r="AL271">
        <v>93.086917160886799</v>
      </c>
      <c r="AM271">
        <v>88.642278683813302</v>
      </c>
      <c r="AN271">
        <v>1.0000000539712699</v>
      </c>
    </row>
    <row r="272" spans="1:40" x14ac:dyDescent="0.25">
      <c r="A272" t="str">
        <f>"20190303154737038"</f>
        <v>20190303154737038</v>
      </c>
      <c r="B272" t="str">
        <f>"1551599257030720"</f>
        <v>1551599257030720</v>
      </c>
      <c r="C272" t="s">
        <v>40</v>
      </c>
      <c r="D272">
        <v>5.0458970000000001</v>
      </c>
      <c r="E272">
        <v>0.4899655</v>
      </c>
      <c r="F272" t="s">
        <v>43</v>
      </c>
      <c r="G272">
        <v>-403.89069999999998</v>
      </c>
      <c r="H272">
        <v>-0.05</v>
      </c>
      <c r="I272">
        <v>368.1925</v>
      </c>
      <c r="J272">
        <v>-422.36799999999999</v>
      </c>
      <c r="K272">
        <v>1.0710660000000001</v>
      </c>
      <c r="L272">
        <v>368.26229999999998</v>
      </c>
      <c r="M272">
        <v>0.9999072</v>
      </c>
      <c r="N272">
        <v>-1.19506E-2</v>
      </c>
      <c r="O272">
        <v>-6.5617760000000001E-3</v>
      </c>
      <c r="P272">
        <v>0.99738340000000003</v>
      </c>
      <c r="Q272">
        <v>-6.5880339999999996E-2</v>
      </c>
      <c r="R272">
        <v>-2.977873E-2</v>
      </c>
      <c r="S272">
        <v>2.9957280000000002</v>
      </c>
      <c r="T272">
        <v>-0.1797559</v>
      </c>
      <c r="U272">
        <v>-1.135254E-2</v>
      </c>
      <c r="V272">
        <v>2.3271170000000001E-2</v>
      </c>
      <c r="W272">
        <v>-5.3937779999999998E-2</v>
      </c>
      <c r="X272">
        <v>0.99827310000000002</v>
      </c>
      <c r="Y272">
        <v>-2.759208E-3</v>
      </c>
      <c r="Z272">
        <v>4.1422380000000002E-4</v>
      </c>
      <c r="AA272">
        <v>0.99999610000000005</v>
      </c>
      <c r="AB272">
        <v>24</v>
      </c>
      <c r="AC272">
        <v>18.4773</v>
      </c>
      <c r="AD272">
        <v>-1.1210659999999999</v>
      </c>
      <c r="AE272">
        <v>-6.9799999999986498E-2</v>
      </c>
      <c r="AF272">
        <v>-5.1265334755249803E-2</v>
      </c>
      <c r="AG272">
        <v>-1.1210659999999999</v>
      </c>
      <c r="AH272">
        <v>18.4095924066898</v>
      </c>
      <c r="AI272">
        <v>93.484752923854302</v>
      </c>
      <c r="AJ272">
        <v>90.159551589163698</v>
      </c>
      <c r="AK272">
        <v>18.443766147166201</v>
      </c>
      <c r="AL272">
        <v>93.091907573101096</v>
      </c>
      <c r="AM272">
        <v>88.664595508267098</v>
      </c>
      <c r="AN272">
        <v>1.00000000682405</v>
      </c>
    </row>
    <row r="273" spans="1:40" x14ac:dyDescent="0.25">
      <c r="A273" t="str">
        <f>"20190303154737060"</f>
        <v>20190303154737060</v>
      </c>
      <c r="B273" t="str">
        <f>"1551599257051216"</f>
        <v>1551599257051216</v>
      </c>
      <c r="C273" t="s">
        <v>40</v>
      </c>
      <c r="D273">
        <v>5.0589589999999998</v>
      </c>
      <c r="E273">
        <v>0.48999340000000002</v>
      </c>
      <c r="F273" t="s">
        <v>43</v>
      </c>
      <c r="G273">
        <v>-403.77359999999999</v>
      </c>
      <c r="H273">
        <v>-0.05</v>
      </c>
      <c r="I273">
        <v>368.20389999999998</v>
      </c>
      <c r="J273">
        <v>-422.12380000000002</v>
      </c>
      <c r="K273">
        <v>1.0711079999999999</v>
      </c>
      <c r="L273">
        <v>368.26130000000001</v>
      </c>
      <c r="M273">
        <v>0.99991030000000003</v>
      </c>
      <c r="N273">
        <v>-1.193316E-2</v>
      </c>
      <c r="O273">
        <v>-6.0838410000000004E-3</v>
      </c>
      <c r="P273">
        <v>0.99743119999999996</v>
      </c>
      <c r="Q273">
        <v>-6.5720440000000005E-2</v>
      </c>
      <c r="R273">
        <v>-2.8495630000000001E-2</v>
      </c>
      <c r="S273">
        <v>2.9956360000000002</v>
      </c>
      <c r="T273">
        <v>-0.18060770000000001</v>
      </c>
      <c r="U273">
        <v>-9.399414E-3</v>
      </c>
      <c r="V273">
        <v>2.2469670000000001E-2</v>
      </c>
      <c r="W273">
        <v>-5.3793359999999998E-2</v>
      </c>
      <c r="X273">
        <v>0.99829920000000005</v>
      </c>
      <c r="Y273">
        <v>-2.9331269999999998E-3</v>
      </c>
      <c r="Z273">
        <v>3.9977019999999999E-4</v>
      </c>
      <c r="AA273">
        <v>0.99999559999999998</v>
      </c>
      <c r="AB273">
        <v>24</v>
      </c>
      <c r="AC273">
        <v>18.350200000000001</v>
      </c>
      <c r="AD273">
        <v>-1.121108</v>
      </c>
      <c r="AE273">
        <v>-5.7400000000029601E-2</v>
      </c>
      <c r="AF273">
        <v>-5.4046975345178001E-2</v>
      </c>
      <c r="AG273">
        <v>-1.121108</v>
      </c>
      <c r="AH273">
        <v>18.2819706803839</v>
      </c>
      <c r="AI273">
        <v>93.509147923283294</v>
      </c>
      <c r="AJ273">
        <v>90.169382973838097</v>
      </c>
      <c r="AK273">
        <v>18.3163930996697</v>
      </c>
      <c r="AL273">
        <v>93.083621054678304</v>
      </c>
      <c r="AM273">
        <v>88.710607081656406</v>
      </c>
      <c r="AN273">
        <v>0.99999995218531801</v>
      </c>
    </row>
    <row r="274" spans="1:40" x14ac:dyDescent="0.25">
      <c r="A274" t="str">
        <f>"20190303154737084"</f>
        <v>20190303154737084</v>
      </c>
      <c r="B274" t="str">
        <f>"1551599257070737"</f>
        <v>1551599257070737</v>
      </c>
      <c r="C274" t="s">
        <v>40</v>
      </c>
      <c r="D274">
        <v>5.0662399999999996</v>
      </c>
      <c r="E274">
        <v>0.48997659999999998</v>
      </c>
      <c r="F274" t="s">
        <v>43</v>
      </c>
      <c r="G274">
        <v>-403.55410000000001</v>
      </c>
      <c r="H274">
        <v>-0.05</v>
      </c>
      <c r="I274">
        <v>368.2251</v>
      </c>
      <c r="J274">
        <v>-421.86930000000001</v>
      </c>
      <c r="K274">
        <v>1.0711379999999999</v>
      </c>
      <c r="L274">
        <v>368.2604</v>
      </c>
      <c r="M274">
        <v>0.99991350000000001</v>
      </c>
      <c r="N274">
        <v>-1.1941729999999999E-2</v>
      </c>
      <c r="O274">
        <v>-5.5447630000000003E-3</v>
      </c>
      <c r="P274">
        <v>0.99748519999999896</v>
      </c>
      <c r="Q274">
        <v>-6.5661280000000002E-2</v>
      </c>
      <c r="R274">
        <v>-2.6687619999999999E-2</v>
      </c>
      <c r="S274">
        <v>2.9956670000000001</v>
      </c>
      <c r="T274">
        <v>-0.1808575</v>
      </c>
      <c r="U274">
        <v>-5.8288569999999998E-3</v>
      </c>
      <c r="V274">
        <v>2.1202209999999999E-2</v>
      </c>
      <c r="W274">
        <v>-5.3725080000000001E-2</v>
      </c>
      <c r="X274">
        <v>0.99833070000000002</v>
      </c>
      <c r="Y274">
        <v>-3.5850999999999999E-3</v>
      </c>
      <c r="Z274">
        <v>3.978327E-4</v>
      </c>
      <c r="AA274">
        <v>0.99999349999999998</v>
      </c>
      <c r="AB274">
        <v>24</v>
      </c>
      <c r="AC274">
        <v>18.315200000000001</v>
      </c>
      <c r="AD274">
        <v>-1.121138</v>
      </c>
      <c r="AE274">
        <v>-3.53000000000065E-2</v>
      </c>
      <c r="AF274">
        <v>-6.6013850368565496E-2</v>
      </c>
      <c r="AG274">
        <v>-1.121138</v>
      </c>
      <c r="AH274">
        <v>18.246742117324199</v>
      </c>
      <c r="AI274">
        <v>93.515992195846806</v>
      </c>
      <c r="AJ274">
        <v>90.207286237146405</v>
      </c>
      <c r="AK274">
        <v>18.281272005514801</v>
      </c>
      <c r="AL274">
        <v>93.079702924756305</v>
      </c>
      <c r="AM274">
        <v>88.783354494906604</v>
      </c>
      <c r="AN274">
        <v>1.00000005224618</v>
      </c>
    </row>
    <row r="275" spans="1:40" x14ac:dyDescent="0.25">
      <c r="A275" t="str">
        <f>"20190303154737107"</f>
        <v>20190303154737107</v>
      </c>
      <c r="B275" t="str">
        <f>"1551599257100993"</f>
        <v>1551599257100993</v>
      </c>
      <c r="C275" t="s">
        <v>40</v>
      </c>
      <c r="D275">
        <v>5.0918769999999904</v>
      </c>
      <c r="E275">
        <v>0.48980800000000002</v>
      </c>
      <c r="F275" t="s">
        <v>43</v>
      </c>
      <c r="G275">
        <v>-403.36520000000002</v>
      </c>
      <c r="H275">
        <v>-0.05</v>
      </c>
      <c r="I275">
        <v>368.25830000000002</v>
      </c>
      <c r="J275">
        <v>-421.6216</v>
      </c>
      <c r="K275">
        <v>1.0711580000000001</v>
      </c>
      <c r="L275">
        <v>368.25970000000001</v>
      </c>
      <c r="M275">
        <v>0.99991589999999997</v>
      </c>
      <c r="N275">
        <v>-1.1969240000000001E-2</v>
      </c>
      <c r="O275">
        <v>-5.0022850000000004E-3</v>
      </c>
      <c r="P275">
        <v>0.99753270000000005</v>
      </c>
      <c r="Q275">
        <v>-6.5685289999999993E-2</v>
      </c>
      <c r="R275">
        <v>-2.477772E-2</v>
      </c>
      <c r="S275">
        <v>2.9956360000000002</v>
      </c>
      <c r="T275">
        <v>-0.18150160000000001</v>
      </c>
      <c r="U275">
        <v>-3.3569339999999902E-4</v>
      </c>
      <c r="V275">
        <v>1.98347E-2</v>
      </c>
      <c r="W275">
        <v>-5.3722020000000002E-2</v>
      </c>
      <c r="X275">
        <v>0.99835890000000005</v>
      </c>
      <c r="Y275">
        <v>-4.8739719999999999E-3</v>
      </c>
      <c r="Z275">
        <v>4.1969179999999998E-4</v>
      </c>
      <c r="AA275">
        <v>0.99998799999999999</v>
      </c>
      <c r="AB275">
        <v>24</v>
      </c>
      <c r="AC275">
        <v>18.2563999999999</v>
      </c>
      <c r="AD275">
        <v>-1.1211580000000001</v>
      </c>
      <c r="AE275">
        <v>-1.39999999998963E-3</v>
      </c>
      <c r="AF275">
        <v>-8.9592382207879406E-2</v>
      </c>
      <c r="AG275">
        <v>-1.1211580000000001</v>
      </c>
      <c r="AH275">
        <v>18.187585775570899</v>
      </c>
      <c r="AI275">
        <v>93.527442471687195</v>
      </c>
      <c r="AJ275">
        <v>90.282237781324795</v>
      </c>
      <c r="AK275">
        <v>18.222329664443699</v>
      </c>
      <c r="AL275">
        <v>93.079527562703603</v>
      </c>
      <c r="AM275">
        <v>88.8618370494044</v>
      </c>
      <c r="AN275">
        <v>0.99999998198309004</v>
      </c>
    </row>
    <row r="276" spans="1:40" x14ac:dyDescent="0.25">
      <c r="A276" t="str">
        <f>"20190303154737129"</f>
        <v>20190303154737129</v>
      </c>
      <c r="B276" t="str">
        <f>"1551599257121489"</f>
        <v>1551599257121489</v>
      </c>
      <c r="C276" t="s">
        <v>40</v>
      </c>
      <c r="D276">
        <v>5.0623129999999996</v>
      </c>
      <c r="E276">
        <v>0.48984549999999999</v>
      </c>
      <c r="F276" t="s">
        <v>43</v>
      </c>
      <c r="G276">
        <v>-403.42360000000002</v>
      </c>
      <c r="H276">
        <v>-0.05</v>
      </c>
      <c r="I276">
        <v>368.30119999999999</v>
      </c>
      <c r="J276">
        <v>-421.38380000000001</v>
      </c>
      <c r="K276">
        <v>1.0711660000000001</v>
      </c>
      <c r="L276">
        <v>368.25920000000002</v>
      </c>
      <c r="M276">
        <v>0.99991770000000002</v>
      </c>
      <c r="N276">
        <v>-1.2017389999999999E-2</v>
      </c>
      <c r="O276">
        <v>-4.4812990000000002E-3</v>
      </c>
      <c r="P276">
        <v>0.9975617</v>
      </c>
      <c r="Q276">
        <v>-6.5809779999999998E-2</v>
      </c>
      <c r="R276">
        <v>-2.32296E-2</v>
      </c>
      <c r="S276">
        <v>2.9954830000000001</v>
      </c>
      <c r="T276">
        <v>-0.18454789999999999</v>
      </c>
      <c r="U276">
        <v>6.8359379999999997E-3</v>
      </c>
      <c r="V276">
        <v>1.8806E-2</v>
      </c>
      <c r="W276">
        <v>-5.3799319999999998E-2</v>
      </c>
      <c r="X276">
        <v>0.9983746</v>
      </c>
      <c r="Y276">
        <v>-6.7428749999999997E-3</v>
      </c>
      <c r="Z276">
        <v>4.7008670000000001E-4</v>
      </c>
      <c r="AA276">
        <v>0.99997720000000001</v>
      </c>
      <c r="AB276">
        <v>24</v>
      </c>
      <c r="AC276">
        <v>17.960199999999901</v>
      </c>
      <c r="AD276">
        <v>-1.1211659999999899</v>
      </c>
      <c r="AE276">
        <v>4.1999999999973101E-2</v>
      </c>
      <c r="AF276">
        <v>-0.122014945125279</v>
      </c>
      <c r="AG276">
        <v>-1.1211659999999899</v>
      </c>
      <c r="AH276">
        <v>17.890116076617101</v>
      </c>
      <c r="AI276">
        <v>93.585929308719699</v>
      </c>
      <c r="AJ276">
        <v>90.390765100129101</v>
      </c>
      <c r="AK276">
        <v>17.925628415239</v>
      </c>
      <c r="AL276">
        <v>93.083963079018005</v>
      </c>
      <c r="AM276">
        <v>88.920868963138801</v>
      </c>
      <c r="AN276">
        <v>0.99999993719680902</v>
      </c>
    </row>
    <row r="277" spans="1:40" x14ac:dyDescent="0.25">
      <c r="A277" t="str">
        <f>"20190303154737150"</f>
        <v>20190303154737150</v>
      </c>
      <c r="B277" t="str">
        <f>"1551599257141012"</f>
        <v>1551599257141012</v>
      </c>
      <c r="C277" t="s">
        <v>40</v>
      </c>
      <c r="D277">
        <v>5.0839790000000002</v>
      </c>
      <c r="E277">
        <v>0.48991240000000003</v>
      </c>
      <c r="F277" t="s">
        <v>43</v>
      </c>
      <c r="G277">
        <v>-403.26150000000001</v>
      </c>
      <c r="H277">
        <v>-0.05</v>
      </c>
      <c r="I277">
        <v>368.32690000000002</v>
      </c>
      <c r="J277">
        <v>-421.15449999999998</v>
      </c>
      <c r="K277">
        <v>1.071169</v>
      </c>
      <c r="L277">
        <v>368.25869999999998</v>
      </c>
      <c r="M277">
        <v>0.9999188</v>
      </c>
      <c r="N277">
        <v>-1.209961E-2</v>
      </c>
      <c r="O277">
        <v>-3.9901069999999997E-3</v>
      </c>
      <c r="P277">
        <v>0.99757770000000001</v>
      </c>
      <c r="Q277">
        <v>-6.5778719999999999E-2</v>
      </c>
      <c r="R277">
        <v>-2.2627439999999999E-2</v>
      </c>
      <c r="S277">
        <v>2.9953609999999999</v>
      </c>
      <c r="T277">
        <v>-0.18531300000000001</v>
      </c>
      <c r="U277">
        <v>1.119995E-2</v>
      </c>
      <c r="V277">
        <v>1.8691869999999999E-2</v>
      </c>
      <c r="W277">
        <v>-5.3686829999999998E-2</v>
      </c>
      <c r="X277">
        <v>0.99838289999999996</v>
      </c>
      <c r="Y277">
        <v>-7.7068559999999998E-3</v>
      </c>
      <c r="Z277">
        <v>4.83225E-4</v>
      </c>
      <c r="AA277">
        <v>0.99997020000000003</v>
      </c>
      <c r="AB277">
        <v>24</v>
      </c>
      <c r="AC277">
        <v>17.892999999999901</v>
      </c>
      <c r="AD277">
        <v>-1.1211690000000001</v>
      </c>
      <c r="AE277">
        <v>6.8200000000047098E-2</v>
      </c>
      <c r="AF277">
        <v>-0.139053721748777</v>
      </c>
      <c r="AG277">
        <v>-1.1211690000000001</v>
      </c>
      <c r="AH277">
        <v>17.822610727872799</v>
      </c>
      <c r="AI277">
        <v>93.599459656290804</v>
      </c>
      <c r="AJ277">
        <v>90.447018107944302</v>
      </c>
      <c r="AK277">
        <v>17.858382038174099</v>
      </c>
      <c r="AL277">
        <v>93.0775082366129</v>
      </c>
      <c r="AM277">
        <v>88.927425382198095</v>
      </c>
      <c r="AN277">
        <v>1.00000003836597</v>
      </c>
    </row>
    <row r="278" spans="1:40" x14ac:dyDescent="0.25">
      <c r="A278" t="str">
        <f>"20190303154737172"</f>
        <v>20190303154737172</v>
      </c>
      <c r="B278" t="str">
        <f>"1551599257161504"</f>
        <v>1551599257161504</v>
      </c>
      <c r="C278" t="s">
        <v>40</v>
      </c>
      <c r="D278">
        <v>5.0731469999999996</v>
      </c>
      <c r="E278">
        <v>0.48994110000000002</v>
      </c>
      <c r="F278" t="s">
        <v>43</v>
      </c>
      <c r="G278">
        <v>-403.08670000000001</v>
      </c>
      <c r="H278">
        <v>-0.05</v>
      </c>
      <c r="I278">
        <v>368.33359999999999</v>
      </c>
      <c r="J278">
        <v>-420.91849999999999</v>
      </c>
      <c r="K278">
        <v>1.071172</v>
      </c>
      <c r="L278">
        <v>368.25839999999999</v>
      </c>
      <c r="M278">
        <v>0.999919</v>
      </c>
      <c r="N278">
        <v>-1.223865E-2</v>
      </c>
      <c r="O278">
        <v>-3.501082E-3</v>
      </c>
      <c r="P278">
        <v>0.99754050000000005</v>
      </c>
      <c r="Q278">
        <v>-6.6290420000000003E-2</v>
      </c>
      <c r="R278">
        <v>-2.2769190000000002E-2</v>
      </c>
      <c r="S278">
        <v>2.9952999999999999</v>
      </c>
      <c r="T278">
        <v>-0.18586839999999999</v>
      </c>
      <c r="U278">
        <v>1.242065E-2</v>
      </c>
      <c r="V278">
        <v>1.9318599999999998E-2</v>
      </c>
      <c r="W278">
        <v>-5.4060940000000002E-2</v>
      </c>
      <c r="X278">
        <v>0.99835070000000004</v>
      </c>
      <c r="Y278">
        <v>-7.626061E-3</v>
      </c>
      <c r="Z278">
        <v>4.5733219999999998E-4</v>
      </c>
      <c r="AA278">
        <v>0.99997080000000005</v>
      </c>
      <c r="AB278">
        <v>24</v>
      </c>
      <c r="AC278">
        <v>17.831799999999902</v>
      </c>
      <c r="AD278">
        <v>-1.1211719999999901</v>
      </c>
      <c r="AE278">
        <v>7.5199999999995201E-2</v>
      </c>
      <c r="AF278">
        <v>-0.13709285513798999</v>
      </c>
      <c r="AG278">
        <v>-1.1211719999999901</v>
      </c>
      <c r="AH278">
        <v>17.761214150000701</v>
      </c>
      <c r="AI278">
        <v>93.611881280109003</v>
      </c>
      <c r="AJ278">
        <v>90.442238123401097</v>
      </c>
      <c r="AK278">
        <v>17.797093841037601</v>
      </c>
      <c r="AL278">
        <v>93.098974586992796</v>
      </c>
      <c r="AM278">
        <v>88.891435521031596</v>
      </c>
      <c r="AN278">
        <v>0.99999995686506504</v>
      </c>
    </row>
    <row r="279" spans="1:40" x14ac:dyDescent="0.25">
      <c r="A279" t="str">
        <f>"20190303154737195"</f>
        <v>20190303154737195</v>
      </c>
      <c r="B279" t="str">
        <f>"1551599257190784"</f>
        <v>1551599257190784</v>
      </c>
      <c r="C279" t="s">
        <v>40</v>
      </c>
      <c r="D279">
        <v>5.0851800000000003</v>
      </c>
      <c r="E279">
        <v>0.49002020000000002</v>
      </c>
      <c r="F279" t="s">
        <v>43</v>
      </c>
      <c r="G279">
        <v>-403.02050000000003</v>
      </c>
      <c r="H279">
        <v>-0.05</v>
      </c>
      <c r="I279">
        <v>368.32870000000003</v>
      </c>
      <c r="J279">
        <v>-420.67</v>
      </c>
      <c r="K279">
        <v>1.0711790000000001</v>
      </c>
      <c r="L279">
        <v>368.25810000000001</v>
      </c>
      <c r="M279">
        <v>0.99991819999999998</v>
      </c>
      <c r="N279">
        <v>-1.244221E-2</v>
      </c>
      <c r="O279">
        <v>-3.0149619999999999E-3</v>
      </c>
      <c r="P279">
        <v>0.99750669999999997</v>
      </c>
      <c r="Q279">
        <v>-6.6718260000000001E-2</v>
      </c>
      <c r="R279">
        <v>-2.3007880000000001E-2</v>
      </c>
      <c r="S279">
        <v>2.9952390000000002</v>
      </c>
      <c r="T279">
        <v>-0.18762870000000001</v>
      </c>
      <c r="U279">
        <v>1.177979E-2</v>
      </c>
      <c r="V279">
        <v>2.0037869999999999E-2</v>
      </c>
      <c r="W279">
        <v>-5.4287139999999998E-2</v>
      </c>
      <c r="X279">
        <v>0.99832430000000005</v>
      </c>
      <c r="Y279">
        <v>-6.9278819999999998E-3</v>
      </c>
      <c r="Z279">
        <v>4.1112149999999998E-4</v>
      </c>
      <c r="AA279">
        <v>0.99997590000000003</v>
      </c>
      <c r="AB279">
        <v>24</v>
      </c>
      <c r="AC279">
        <v>17.6494999999999</v>
      </c>
      <c r="AD279">
        <v>-1.1211789999999999</v>
      </c>
      <c r="AE279">
        <v>7.0600000000013097E-2</v>
      </c>
      <c r="AF279">
        <v>-0.12331873139270499</v>
      </c>
      <c r="AG279">
        <v>-1.1211789999999999</v>
      </c>
      <c r="AH279">
        <v>17.578272914136999</v>
      </c>
      <c r="AI279">
        <v>93.649411498694903</v>
      </c>
      <c r="AJ279">
        <v>90.401946594388605</v>
      </c>
      <c r="AK279">
        <v>17.614423876568701</v>
      </c>
      <c r="AL279">
        <v>93.111953790947197</v>
      </c>
      <c r="AM279">
        <v>88.850141938732705</v>
      </c>
      <c r="AN279">
        <v>1.000000008887</v>
      </c>
    </row>
    <row r="280" spans="1:40" x14ac:dyDescent="0.25">
      <c r="A280" t="str">
        <f>"20190303154737217"</f>
        <v>20190303154737217</v>
      </c>
      <c r="B280" t="str">
        <f>"1551599257211281"</f>
        <v>1551599257211281</v>
      </c>
      <c r="C280" t="s">
        <v>40</v>
      </c>
      <c r="D280">
        <v>5.0797860000000004</v>
      </c>
      <c r="E280">
        <v>0.49007820000000002</v>
      </c>
      <c r="F280" t="s">
        <v>43</v>
      </c>
      <c r="G280">
        <v>-402.935</v>
      </c>
      <c r="H280">
        <v>-0.05</v>
      </c>
      <c r="I280">
        <v>368.32040000000001</v>
      </c>
      <c r="J280">
        <v>-420.43340000000001</v>
      </c>
      <c r="K280">
        <v>1.0711839999999999</v>
      </c>
      <c r="L280">
        <v>368.25790000000001</v>
      </c>
      <c r="M280">
        <v>0.99991649999999999</v>
      </c>
      <c r="N280">
        <v>-1.266568E-2</v>
      </c>
      <c r="O280">
        <v>-2.5939790000000002E-3</v>
      </c>
      <c r="P280">
        <v>0.9974731</v>
      </c>
      <c r="Q280">
        <v>-6.7006079999999996E-2</v>
      </c>
      <c r="R280">
        <v>-2.362152E-2</v>
      </c>
      <c r="S280">
        <v>2.9950869999999998</v>
      </c>
      <c r="T280">
        <v>-0.18934419999999999</v>
      </c>
      <c r="U280">
        <v>1.0528559999999999E-2</v>
      </c>
      <c r="V280">
        <v>2.106688E-2</v>
      </c>
      <c r="W280">
        <v>-5.435342E-2</v>
      </c>
      <c r="X280">
        <v>0.99829950000000001</v>
      </c>
      <c r="Y280">
        <v>-6.0915029999999998E-3</v>
      </c>
      <c r="Z280">
        <v>3.619723E-4</v>
      </c>
      <c r="AA280">
        <v>0.99998140000000002</v>
      </c>
      <c r="AB280">
        <v>24</v>
      </c>
      <c r="AC280">
        <v>17.4984</v>
      </c>
      <c r="AD280">
        <v>-1.121184</v>
      </c>
      <c r="AE280">
        <v>6.25E-2</v>
      </c>
      <c r="AF280">
        <v>-0.107452776847969</v>
      </c>
      <c r="AG280">
        <v>-1.121184</v>
      </c>
      <c r="AH280">
        <v>17.426636315070699</v>
      </c>
      <c r="AI280">
        <v>93.681116570224802</v>
      </c>
      <c r="AJ280">
        <v>90.353281750821395</v>
      </c>
      <c r="AK280">
        <v>17.462996676368299</v>
      </c>
      <c r="AL280">
        <v>93.115756998986896</v>
      </c>
      <c r="AM280">
        <v>88.791080048459307</v>
      </c>
      <c r="AN280">
        <v>0.99999999969943998</v>
      </c>
    </row>
    <row r="281" spans="1:40" x14ac:dyDescent="0.25">
      <c r="A281" t="str">
        <f>"20190303154737240"</f>
        <v>20190303154737240</v>
      </c>
      <c r="B281" t="str">
        <f>"1551599257230804"</f>
        <v>1551599257230804</v>
      </c>
      <c r="C281" t="s">
        <v>40</v>
      </c>
      <c r="D281">
        <v>5.0515470000000002</v>
      </c>
      <c r="E281">
        <v>0.49013960000000001</v>
      </c>
      <c r="F281" t="s">
        <v>43</v>
      </c>
      <c r="G281">
        <v>-402.83</v>
      </c>
      <c r="H281">
        <v>-0.05</v>
      </c>
      <c r="I281">
        <v>368.30720000000002</v>
      </c>
      <c r="J281">
        <v>-420.19380000000001</v>
      </c>
      <c r="K281">
        <v>1.071188</v>
      </c>
      <c r="L281">
        <v>368.2577</v>
      </c>
      <c r="M281">
        <v>0.99991459999999999</v>
      </c>
      <c r="N281">
        <v>-1.289412E-2</v>
      </c>
      <c r="O281">
        <v>-2.223872E-3</v>
      </c>
      <c r="P281">
        <v>0.9974577</v>
      </c>
      <c r="Q281">
        <v>-6.7211930000000003E-2</v>
      </c>
      <c r="R281">
        <v>-2.3685790000000002E-2</v>
      </c>
      <c r="S281">
        <v>2.9949650000000001</v>
      </c>
      <c r="T281">
        <v>-0.19075310000000001</v>
      </c>
      <c r="U281">
        <v>8.3923339999999996E-3</v>
      </c>
      <c r="V281">
        <v>2.1495739999999999E-2</v>
      </c>
      <c r="W281">
        <v>-5.4333109999999997E-2</v>
      </c>
      <c r="X281">
        <v>0.9982915</v>
      </c>
      <c r="Y281">
        <v>-5.0110980000000003E-3</v>
      </c>
      <c r="Z281">
        <v>3.0461209999999998E-4</v>
      </c>
      <c r="AA281">
        <v>0.99998739999999997</v>
      </c>
      <c r="AB281">
        <v>24</v>
      </c>
      <c r="AC281">
        <v>17.363800000000001</v>
      </c>
      <c r="AD281">
        <v>-1.1211879999999901</v>
      </c>
      <c r="AE281">
        <v>4.9500000000023102E-2</v>
      </c>
      <c r="AF281">
        <v>-8.7752083375167406E-2</v>
      </c>
      <c r="AG281">
        <v>-1.1211879999999901</v>
      </c>
      <c r="AH281">
        <v>17.291553183043</v>
      </c>
      <c r="AI281">
        <v>93.709829665955596</v>
      </c>
      <c r="AJ281">
        <v>90.290765138672697</v>
      </c>
      <c r="AK281">
        <v>17.3280862890708</v>
      </c>
      <c r="AL281">
        <v>93.114591485418799</v>
      </c>
      <c r="AM281">
        <v>88.766467623523496</v>
      </c>
      <c r="AN281">
        <v>1.0000000363263299</v>
      </c>
    </row>
    <row r="282" spans="1:40" x14ac:dyDescent="0.25">
      <c r="A282" t="str">
        <f>"20190303154737262"</f>
        <v>20190303154737262</v>
      </c>
      <c r="B282" t="str">
        <f>"1551599257251305"</f>
        <v>1551599257251305</v>
      </c>
      <c r="C282" t="s">
        <v>40</v>
      </c>
      <c r="D282">
        <v>5.0850869999999997</v>
      </c>
      <c r="E282">
        <v>0.50871230000000001</v>
      </c>
      <c r="F282" t="s">
        <v>43</v>
      </c>
      <c r="G282">
        <v>-402.66919999999999</v>
      </c>
      <c r="H282">
        <v>-0.05</v>
      </c>
      <c r="I282">
        <v>368.3005</v>
      </c>
      <c r="J282">
        <v>-419.95800000000003</v>
      </c>
      <c r="K282">
        <v>1.0711790000000001</v>
      </c>
      <c r="L282">
        <v>368.25749999999999</v>
      </c>
      <c r="M282">
        <v>0.99991229999999998</v>
      </c>
      <c r="N282">
        <v>-1.310585E-2</v>
      </c>
      <c r="O282">
        <v>-1.9269319999999999E-3</v>
      </c>
      <c r="P282">
        <v>0.99750760000000005</v>
      </c>
      <c r="Q282">
        <v>-6.6481609999999997E-2</v>
      </c>
      <c r="R282">
        <v>-2.3644149999999999E-2</v>
      </c>
      <c r="S282">
        <v>2.994904</v>
      </c>
      <c r="T282">
        <v>-0.19160749999999999</v>
      </c>
      <c r="U282">
        <v>7.3242189999999999E-3</v>
      </c>
      <c r="V282">
        <v>2.1744759999999998E-2</v>
      </c>
      <c r="W282">
        <v>-5.3392790000000002E-2</v>
      </c>
      <c r="X282">
        <v>0.99833680000000002</v>
      </c>
      <c r="Y282">
        <v>-4.3594080000000004E-3</v>
      </c>
      <c r="Z282">
        <v>2.6583379999999999E-4</v>
      </c>
      <c r="AA282">
        <v>0.9999905</v>
      </c>
      <c r="AB282">
        <v>24</v>
      </c>
      <c r="AC282">
        <v>17.288799999999998</v>
      </c>
      <c r="AD282">
        <v>-1.1211789999999999</v>
      </c>
      <c r="AE282">
        <v>4.3000000000006297E-2</v>
      </c>
      <c r="AF282">
        <v>-7.5997514712205796E-2</v>
      </c>
      <c r="AG282">
        <v>-1.1211789999999999</v>
      </c>
      <c r="AH282">
        <v>17.216281977364002</v>
      </c>
      <c r="AI282">
        <v>93.725985618397402</v>
      </c>
      <c r="AJ282">
        <v>90.252918055701699</v>
      </c>
      <c r="AK282">
        <v>17.252918103798901</v>
      </c>
      <c r="AL282">
        <v>93.060636919297494</v>
      </c>
      <c r="AM282">
        <v>88.752238713184894</v>
      </c>
      <c r="AN282">
        <v>0.99999999542284002</v>
      </c>
    </row>
    <row r="283" spans="1:40" x14ac:dyDescent="0.25">
      <c r="A283" t="str">
        <f>"20190303154737286"</f>
        <v>20190303154737286</v>
      </c>
      <c r="B283" t="str">
        <f>"1551599257281553"</f>
        <v>1551599257281553</v>
      </c>
      <c r="C283" t="s">
        <v>40</v>
      </c>
      <c r="D283">
        <v>5.040667</v>
      </c>
      <c r="E283">
        <v>0.51334440000000003</v>
      </c>
      <c r="F283" t="s">
        <v>41</v>
      </c>
      <c r="G283">
        <v>-399.53219999999999</v>
      </c>
      <c r="H283" s="1">
        <v>-7.6156809999999899E-7</v>
      </c>
      <c r="I283">
        <v>367.29989999999998</v>
      </c>
      <c r="J283">
        <v>-419.69749999999999</v>
      </c>
      <c r="K283">
        <v>1.0711550000000001</v>
      </c>
      <c r="L283">
        <v>368.25740000000002</v>
      </c>
      <c r="M283">
        <v>0.99990990000000002</v>
      </c>
      <c r="N283">
        <v>-1.3318669999999999E-2</v>
      </c>
      <c r="O283">
        <v>-1.6850329999999901E-3</v>
      </c>
      <c r="P283">
        <v>0.99752510000000005</v>
      </c>
      <c r="Q283">
        <v>-6.6313430000000007E-2</v>
      </c>
      <c r="R283">
        <v>-2.3374949999999999E-2</v>
      </c>
      <c r="S283">
        <v>2.993744</v>
      </c>
      <c r="T283">
        <v>-0.1569991</v>
      </c>
      <c r="U283">
        <v>-0.14035029999999901</v>
      </c>
      <c r="V283">
        <v>2.1710440000000001E-2</v>
      </c>
      <c r="W283">
        <v>-5.3014539999999999E-2</v>
      </c>
      <c r="X283">
        <v>0.99835770000000001</v>
      </c>
      <c r="Y283">
        <v>4.507013E-2</v>
      </c>
      <c r="Z283">
        <v>-1.41507E-3</v>
      </c>
      <c r="AA283">
        <v>0.99898279999999995</v>
      </c>
      <c r="AB283">
        <v>24</v>
      </c>
      <c r="AC283">
        <v>20.165299999999998</v>
      </c>
      <c r="AD283">
        <v>-1.07115576156809</v>
      </c>
      <c r="AE283">
        <v>-0.95750000000003799</v>
      </c>
      <c r="AF283">
        <v>0.92092379507899202</v>
      </c>
      <c r="AG283">
        <v>-1.07115576156809</v>
      </c>
      <c r="AH283">
        <v>20.110269381191198</v>
      </c>
      <c r="AI283">
        <v>93.045742136853406</v>
      </c>
      <c r="AJ283">
        <v>87.378045606259604</v>
      </c>
      <c r="AK283">
        <v>20.1598216729702</v>
      </c>
      <c r="AL283">
        <v>93.038934066055006</v>
      </c>
      <c r="AM283">
        <v>88.754233519447993</v>
      </c>
      <c r="AN283">
        <v>0.99999999090284697</v>
      </c>
    </row>
    <row r="284" spans="1:40" x14ac:dyDescent="0.25">
      <c r="A284" t="str">
        <f>"20190303154737308"</f>
        <v>20190303154737308</v>
      </c>
      <c r="B284" t="str">
        <f>"1551599257301073"</f>
        <v>1551599257301073</v>
      </c>
      <c r="C284" t="s">
        <v>40</v>
      </c>
      <c r="D284">
        <v>5.0315300000000001</v>
      </c>
      <c r="E284">
        <v>0.51438039999999996</v>
      </c>
      <c r="F284" t="s">
        <v>41</v>
      </c>
      <c r="G284">
        <v>-398.20030000000003</v>
      </c>
      <c r="H284" s="1">
        <v>-1.2973109999999999E-6</v>
      </c>
      <c r="I284">
        <v>366.98989999999998</v>
      </c>
      <c r="J284">
        <v>-419.45030000000003</v>
      </c>
      <c r="K284">
        <v>1.0711200000000001</v>
      </c>
      <c r="L284">
        <v>368.25720000000001</v>
      </c>
      <c r="M284">
        <v>0.99990769999999995</v>
      </c>
      <c r="N284">
        <v>-1.350089E-2</v>
      </c>
      <c r="O284">
        <v>-1.51828799999999E-3</v>
      </c>
      <c r="P284">
        <v>0.99754200000000004</v>
      </c>
      <c r="Q284">
        <v>-6.6205700000000006E-2</v>
      </c>
      <c r="R284">
        <v>-2.2954499999999999E-2</v>
      </c>
      <c r="S284">
        <v>2.9933779999999999</v>
      </c>
      <c r="T284">
        <v>-0.14915229999999999</v>
      </c>
      <c r="U284">
        <v>-0.17648320000000001</v>
      </c>
      <c r="V284">
        <v>2.1450460000000001E-2</v>
      </c>
      <c r="W284">
        <v>-5.2727179999999998E-2</v>
      </c>
      <c r="X284">
        <v>0.9983786</v>
      </c>
      <c r="Y284">
        <v>5.7250759999999998E-2</v>
      </c>
      <c r="Z284">
        <v>-1.7562679999999901E-3</v>
      </c>
      <c r="AA284">
        <v>0.99835830000000003</v>
      </c>
      <c r="AB284">
        <v>24</v>
      </c>
      <c r="AC284">
        <v>21.25</v>
      </c>
      <c r="AD284">
        <v>-1.071121297311</v>
      </c>
      <c r="AE284">
        <v>-1.2673000000000301</v>
      </c>
      <c r="AF284">
        <v>1.2319131055196</v>
      </c>
      <c r="AG284">
        <v>-1.071121297311</v>
      </c>
      <c r="AH284">
        <v>21.198231585958599</v>
      </c>
      <c r="AI284">
        <v>92.887763184389101</v>
      </c>
      <c r="AJ284">
        <v>86.674056364147006</v>
      </c>
      <c r="AK284">
        <v>21.260995581229</v>
      </c>
      <c r="AL284">
        <v>93.022446301537997</v>
      </c>
      <c r="AM284">
        <v>88.769172570123203</v>
      </c>
      <c r="AN284">
        <v>1.0000000533414599</v>
      </c>
    </row>
    <row r="285" spans="1:40" x14ac:dyDescent="0.25">
      <c r="A285" t="str">
        <f>"20190303154737330"</f>
        <v>20190303154737330</v>
      </c>
      <c r="B285" t="str">
        <f>"1551599257321569"</f>
        <v>1551599257321569</v>
      </c>
      <c r="C285" t="s">
        <v>40</v>
      </c>
      <c r="D285">
        <v>5.0369400000000004</v>
      </c>
      <c r="E285">
        <v>0.51512809999999998</v>
      </c>
      <c r="F285" t="s">
        <v>41</v>
      </c>
      <c r="G285">
        <v>-397.62950000000001</v>
      </c>
      <c r="H285" s="1">
        <v>-1.5100430000000001E-6</v>
      </c>
      <c r="I285">
        <v>366.92039999999997</v>
      </c>
      <c r="J285">
        <v>-419.22949999999997</v>
      </c>
      <c r="K285">
        <v>1.071091</v>
      </c>
      <c r="L285">
        <v>368.25700000000001</v>
      </c>
      <c r="M285">
        <v>0.99990590000000001</v>
      </c>
      <c r="N285">
        <v>-1.3646760000000001E-2</v>
      </c>
      <c r="O285">
        <v>-1.4219409999999999E-3</v>
      </c>
      <c r="P285">
        <v>0.99757119999999999</v>
      </c>
      <c r="Q285">
        <v>-6.6063350000000007E-2</v>
      </c>
      <c r="R285">
        <v>-2.207951E-2</v>
      </c>
      <c r="S285">
        <v>2.9934690000000002</v>
      </c>
      <c r="T285">
        <v>-0.14694019999999999</v>
      </c>
      <c r="U285">
        <v>-0.18338009999999999</v>
      </c>
      <c r="V285">
        <v>2.066643E-2</v>
      </c>
      <c r="W285">
        <v>-5.244103E-2</v>
      </c>
      <c r="X285">
        <v>0.99841020000000003</v>
      </c>
      <c r="Y285">
        <v>5.9635359999999998E-2</v>
      </c>
      <c r="Z285">
        <v>-1.8187259999999999E-3</v>
      </c>
      <c r="AA285">
        <v>0.99821859999999996</v>
      </c>
      <c r="AB285">
        <v>24</v>
      </c>
      <c r="AC285">
        <v>21.599999999999898</v>
      </c>
      <c r="AD285">
        <v>-1.071092510043</v>
      </c>
      <c r="AE285">
        <v>-1.33659999999997</v>
      </c>
      <c r="AF285">
        <v>1.3026908543522899</v>
      </c>
      <c r="AG285">
        <v>-1.071092510043</v>
      </c>
      <c r="AH285">
        <v>21.549093275198</v>
      </c>
      <c r="AI285">
        <v>92.840354406802106</v>
      </c>
      <c r="AJ285">
        <v>86.540552116380198</v>
      </c>
      <c r="AK285">
        <v>21.6149870138815</v>
      </c>
      <c r="AL285">
        <v>93.006028425332502</v>
      </c>
      <c r="AM285">
        <v>88.814184644754206</v>
      </c>
      <c r="AN285">
        <v>1.00000004521022</v>
      </c>
    </row>
    <row r="286" spans="1:40" x14ac:dyDescent="0.25">
      <c r="A286" t="str">
        <f>"20190303154737351"</f>
        <v>20190303154737351</v>
      </c>
      <c r="B286" t="str">
        <f>"1551599257341092"</f>
        <v>1551599257341092</v>
      </c>
      <c r="C286" t="s">
        <v>40</v>
      </c>
      <c r="D286">
        <v>5.0195540000000003</v>
      </c>
      <c r="E286">
        <v>0.51552120000000001</v>
      </c>
      <c r="F286" t="s">
        <v>41</v>
      </c>
      <c r="G286">
        <v>-397.53870000000001</v>
      </c>
      <c r="H286" s="1">
        <v>-1.545013E-6</v>
      </c>
      <c r="I286">
        <v>366.90519999999998</v>
      </c>
      <c r="J286">
        <v>-418.99950000000001</v>
      </c>
      <c r="K286">
        <v>1.0710569999999999</v>
      </c>
      <c r="L286">
        <v>368.2568</v>
      </c>
      <c r="M286">
        <v>0.99990420000000002</v>
      </c>
      <c r="N286">
        <v>-1.378154E-2</v>
      </c>
      <c r="O286">
        <v>-1.373326E-3</v>
      </c>
      <c r="P286">
        <v>0.99758199999999997</v>
      </c>
      <c r="Q286">
        <v>-6.6235130000000003E-2</v>
      </c>
      <c r="R286">
        <v>-2.105773E-2</v>
      </c>
      <c r="S286">
        <v>2.9934080000000001</v>
      </c>
      <c r="T286">
        <v>-0.1478138</v>
      </c>
      <c r="U286">
        <v>-0.186554</v>
      </c>
      <c r="V286">
        <v>1.9688000000000001E-2</v>
      </c>
      <c r="W286">
        <v>-5.2480060000000002E-2</v>
      </c>
      <c r="X286">
        <v>0.99842790000000003</v>
      </c>
      <c r="Y286">
        <v>6.073655E-2</v>
      </c>
      <c r="Z286">
        <v>-1.8676820000000001E-3</v>
      </c>
      <c r="AA286">
        <v>0.99815209999999999</v>
      </c>
      <c r="AB286">
        <v>24</v>
      </c>
      <c r="AC286">
        <v>21.460799999999999</v>
      </c>
      <c r="AD286">
        <v>-1.0710585450129999</v>
      </c>
      <c r="AE286">
        <v>-1.3516000000000099</v>
      </c>
      <c r="AF286">
        <v>1.3188512702572299</v>
      </c>
      <c r="AG286">
        <v>-1.0710585450129999</v>
      </c>
      <c r="AH286">
        <v>21.409520491903301</v>
      </c>
      <c r="AI286">
        <v>92.858550740253193</v>
      </c>
      <c r="AJ286">
        <v>86.474967904696797</v>
      </c>
      <c r="AK286">
        <v>21.4768271114039</v>
      </c>
      <c r="AL286">
        <v>93.008267830647497</v>
      </c>
      <c r="AM286">
        <v>88.870330914623395</v>
      </c>
      <c r="AN286">
        <v>1.0000000227700001</v>
      </c>
    </row>
    <row r="287" spans="1:40" x14ac:dyDescent="0.25">
      <c r="A287" t="str">
        <f>"20190303154737374"</f>
        <v>20190303154737374</v>
      </c>
      <c r="B287" t="str">
        <f>"1551599257371344"</f>
        <v>1551599257371344</v>
      </c>
      <c r="C287" t="s">
        <v>40</v>
      </c>
      <c r="D287">
        <v>5.0413839999999999</v>
      </c>
      <c r="E287">
        <v>0.51619399999999904</v>
      </c>
      <c r="F287" t="s">
        <v>41</v>
      </c>
      <c r="G287">
        <v>-397.48270000000002</v>
      </c>
      <c r="H287" s="1">
        <v>-1.561522E-6</v>
      </c>
      <c r="I287">
        <v>366.91469999999998</v>
      </c>
      <c r="J287">
        <v>-418.76119999999997</v>
      </c>
      <c r="K287">
        <v>1.071018</v>
      </c>
      <c r="L287">
        <v>368.25650000000002</v>
      </c>
      <c r="M287">
        <v>0.99990239999999997</v>
      </c>
      <c r="N287">
        <v>-1.3904089999999999E-2</v>
      </c>
      <c r="O287">
        <v>-1.378382E-3</v>
      </c>
      <c r="P287">
        <v>0.99758860000000005</v>
      </c>
      <c r="Q287">
        <v>-6.6498370000000001E-2</v>
      </c>
      <c r="R287">
        <v>-1.9879259999999999E-2</v>
      </c>
      <c r="S287">
        <v>2.993439</v>
      </c>
      <c r="T287">
        <v>-0.1490061</v>
      </c>
      <c r="U287">
        <v>-0.1867065</v>
      </c>
      <c r="V287">
        <v>1.8499709999999999E-2</v>
      </c>
      <c r="W287">
        <v>-5.2622530000000001E-2</v>
      </c>
      <c r="X287">
        <v>0.99844310000000003</v>
      </c>
      <c r="Y287">
        <v>6.0779960000000001E-2</v>
      </c>
      <c r="Z287">
        <v>-1.884284E-3</v>
      </c>
      <c r="AA287">
        <v>0.99814939999999996</v>
      </c>
      <c r="AB287">
        <v>24</v>
      </c>
      <c r="AC287">
        <v>21.278499999999902</v>
      </c>
      <c r="AD287">
        <v>-1.071019561522</v>
      </c>
      <c r="AE287">
        <v>-1.3418000000000301</v>
      </c>
      <c r="AF287">
        <v>1.3091624241170201</v>
      </c>
      <c r="AG287">
        <v>-1.071019561522</v>
      </c>
      <c r="AH287">
        <v>21.226765462979699</v>
      </c>
      <c r="AI287">
        <v>92.883002690955095</v>
      </c>
      <c r="AJ287">
        <v>86.470748649869506</v>
      </c>
      <c r="AK287">
        <v>21.294049900717098</v>
      </c>
      <c r="AL287">
        <v>93.016442133105699</v>
      </c>
      <c r="AM287">
        <v>88.938513338064297</v>
      </c>
      <c r="AN287">
        <v>0.99999999693564701</v>
      </c>
    </row>
    <row r="288" spans="1:40" x14ac:dyDescent="0.25">
      <c r="A288" t="str">
        <f>"20190303154737386"</f>
        <v>20190303154737386</v>
      </c>
      <c r="B288" t="str">
        <f>"1551599257381104"</f>
        <v>1551599257381104</v>
      </c>
      <c r="C288" t="s">
        <v>40</v>
      </c>
      <c r="D288">
        <v>4.9936389999999999</v>
      </c>
      <c r="E288">
        <v>0.51633430000000002</v>
      </c>
      <c r="F288" t="s">
        <v>41</v>
      </c>
      <c r="G288">
        <v>-397.26299999999998</v>
      </c>
      <c r="H288" s="1">
        <v>-1.6393809999999901E-6</v>
      </c>
      <c r="I288">
        <v>366.90309999999999</v>
      </c>
      <c r="J288">
        <v>-418.62380000000002</v>
      </c>
      <c r="K288">
        <v>1.0709949999999999</v>
      </c>
      <c r="L288">
        <v>368.25630000000001</v>
      </c>
      <c r="M288">
        <v>0.9999015</v>
      </c>
      <c r="N288">
        <v>-1.396738E-2</v>
      </c>
      <c r="O288">
        <v>-1.4097129999999999E-3</v>
      </c>
      <c r="P288">
        <v>0.99759310000000001</v>
      </c>
      <c r="Q288">
        <v>-6.6532229999999998E-2</v>
      </c>
      <c r="R288">
        <v>-1.953562E-2</v>
      </c>
      <c r="S288">
        <v>2.9935610000000001</v>
      </c>
      <c r="T288">
        <v>-0.14913560000000001</v>
      </c>
      <c r="U288">
        <v>-0.188446</v>
      </c>
      <c r="V288">
        <v>1.8121999999999999E-2</v>
      </c>
      <c r="W288">
        <v>-5.2594059999999998E-2</v>
      </c>
      <c r="X288">
        <v>0.99845150000000005</v>
      </c>
      <c r="Y288">
        <v>6.1322799999999997E-2</v>
      </c>
      <c r="Z288">
        <v>-1.90365E-3</v>
      </c>
      <c r="AA288">
        <v>0.99811620000000001</v>
      </c>
      <c r="AB288">
        <v>24</v>
      </c>
      <c r="AC288">
        <v>21.360799999999902</v>
      </c>
      <c r="AD288">
        <v>-1.070996639381</v>
      </c>
      <c r="AE288">
        <v>-1.35320000000001</v>
      </c>
      <c r="AF288">
        <v>1.3197786431957099</v>
      </c>
      <c r="AG288">
        <v>-1.070996639381</v>
      </c>
      <c r="AH288">
        <v>21.3093320122507</v>
      </c>
      <c r="AI288">
        <v>92.871743635623105</v>
      </c>
      <c r="AJ288">
        <v>86.4559526451431</v>
      </c>
      <c r="AK288">
        <v>21.377008216234</v>
      </c>
      <c r="AL288">
        <v>93.014808741721893</v>
      </c>
      <c r="AM288">
        <v>88.960189730933607</v>
      </c>
      <c r="AN288">
        <v>0.99999996994176599</v>
      </c>
    </row>
    <row r="289" spans="1:40" x14ac:dyDescent="0.25">
      <c r="A289" t="str">
        <f>"20190303154737407"</f>
        <v>20190303154737407</v>
      </c>
      <c r="B289" t="str">
        <f>"1551599257400625"</f>
        <v>1551599257400625</v>
      </c>
      <c r="C289" t="s">
        <v>40</v>
      </c>
      <c r="D289">
        <v>5.0517300000000001</v>
      </c>
      <c r="E289">
        <v>0.51671520000000004</v>
      </c>
      <c r="F289" t="s">
        <v>41</v>
      </c>
      <c r="G289">
        <v>-397.25850000000003</v>
      </c>
      <c r="H289" s="1">
        <v>-1.6390699999999999E-6</v>
      </c>
      <c r="I289">
        <v>366.91</v>
      </c>
      <c r="J289">
        <v>-418.40769999999998</v>
      </c>
      <c r="K289">
        <v>1.070959</v>
      </c>
      <c r="L289">
        <v>368.25599999999997</v>
      </c>
      <c r="M289">
        <v>0.99990020000000002</v>
      </c>
      <c r="N289">
        <v>-1.4056809999999999E-2</v>
      </c>
      <c r="O289">
        <v>-1.5047890000000001E-3</v>
      </c>
      <c r="P289">
        <v>0.99755159999999998</v>
      </c>
      <c r="Q289">
        <v>-6.7365270000000005E-2</v>
      </c>
      <c r="R289">
        <v>-1.8788320000000001E-2</v>
      </c>
      <c r="S289">
        <v>2.9935610000000001</v>
      </c>
      <c r="T289">
        <v>-0.1500599</v>
      </c>
      <c r="U289">
        <v>-0.1886292</v>
      </c>
      <c r="V289">
        <v>1.727505E-2</v>
      </c>
      <c r="W289">
        <v>-5.3339709999999999E-2</v>
      </c>
      <c r="X289">
        <v>0.99842699999999995</v>
      </c>
      <c r="Y289">
        <v>6.1287620000000001E-2</v>
      </c>
      <c r="Z289">
        <v>-1.9109800000000001E-3</v>
      </c>
      <c r="AA289">
        <v>0.99811830000000001</v>
      </c>
      <c r="AB289">
        <v>24</v>
      </c>
      <c r="AC289">
        <v>21.149199999999901</v>
      </c>
      <c r="AD289">
        <v>-1.0709606390699999</v>
      </c>
      <c r="AE289">
        <v>-1.3459999999999399</v>
      </c>
      <c r="AF289">
        <v>1.3108225443541801</v>
      </c>
      <c r="AG289">
        <v>-1.0709606390699999</v>
      </c>
      <c r="AH289">
        <v>21.0973212830488</v>
      </c>
      <c r="AI289">
        <v>92.9004205234762</v>
      </c>
      <c r="AJ289">
        <v>86.444658688064294</v>
      </c>
      <c r="AK289">
        <v>21.165117003064498</v>
      </c>
      <c r="AL289">
        <v>93.0575912650243</v>
      </c>
      <c r="AM289">
        <v>89.0087520637518</v>
      </c>
      <c r="AN289">
        <v>1.00000001317219</v>
      </c>
    </row>
    <row r="290" spans="1:40" x14ac:dyDescent="0.25">
      <c r="A290" t="str">
        <f>"20190303154737429"</f>
        <v>20190303154737429</v>
      </c>
      <c r="B290" t="str">
        <f>"1551599257421124"</f>
        <v>1551599257421124</v>
      </c>
      <c r="C290" t="s">
        <v>40</v>
      </c>
      <c r="D290">
        <v>5.0148900000000003</v>
      </c>
      <c r="E290">
        <v>0.51700479999999904</v>
      </c>
      <c r="F290" t="s">
        <v>41</v>
      </c>
      <c r="G290">
        <v>-397.61439999999999</v>
      </c>
      <c r="H290" s="1">
        <v>-1.5096089999999999E-6</v>
      </c>
      <c r="I290">
        <v>366.94139999999999</v>
      </c>
      <c r="J290">
        <v>-418.1712</v>
      </c>
      <c r="K290">
        <v>1.0709139999999999</v>
      </c>
      <c r="L290">
        <v>368.25540000000001</v>
      </c>
      <c r="M290">
        <v>0.99989870000000003</v>
      </c>
      <c r="N290">
        <v>-1.414225E-2</v>
      </c>
      <c r="O290">
        <v>-1.671627E-3</v>
      </c>
      <c r="P290">
        <v>0.99754580000000004</v>
      </c>
      <c r="Q290">
        <v>-6.7604319999999996E-2</v>
      </c>
      <c r="R290">
        <v>-1.823783E-2</v>
      </c>
      <c r="S290">
        <v>2.9934080000000001</v>
      </c>
      <c r="T290">
        <v>-0.1541749</v>
      </c>
      <c r="U290">
        <v>-0.1892395</v>
      </c>
      <c r="V290">
        <v>1.6552130000000002E-2</v>
      </c>
      <c r="W290">
        <v>-5.3495090000000002E-2</v>
      </c>
      <c r="X290">
        <v>0.99843090000000001</v>
      </c>
      <c r="Y290">
        <v>6.1322099999999997E-2</v>
      </c>
      <c r="Z290">
        <v>-1.948665E-3</v>
      </c>
      <c r="AA290">
        <v>0.99811609999999995</v>
      </c>
      <c r="AB290">
        <v>24</v>
      </c>
      <c r="AC290">
        <v>20.556799999999999</v>
      </c>
      <c r="AD290">
        <v>-1.0709155096089999</v>
      </c>
      <c r="AE290">
        <v>-1.31400000000002</v>
      </c>
      <c r="AF290">
        <v>1.2761820473216701</v>
      </c>
      <c r="AG290">
        <v>-1.0709155096089999</v>
      </c>
      <c r="AH290">
        <v>20.503549148304899</v>
      </c>
      <c r="AI290">
        <v>92.9841197037683</v>
      </c>
      <c r="AJ290">
        <v>86.438390260447093</v>
      </c>
      <c r="AK290">
        <v>20.571121221838698</v>
      </c>
      <c r="AL290">
        <v>93.066506714055805</v>
      </c>
      <c r="AM290">
        <v>89.050229391102903</v>
      </c>
      <c r="AN290">
        <v>0.99999997986822697</v>
      </c>
    </row>
    <row r="291" spans="1:40" x14ac:dyDescent="0.25">
      <c r="A291" t="str">
        <f>"20190303154737451"</f>
        <v>20190303154737451</v>
      </c>
      <c r="B291" t="str">
        <f>"1551599257440644"</f>
        <v>1551599257440644</v>
      </c>
      <c r="C291" t="s">
        <v>40</v>
      </c>
      <c r="D291">
        <v>5.0451600000000001</v>
      </c>
      <c r="E291">
        <v>0.51733229999999997</v>
      </c>
      <c r="F291" t="s">
        <v>41</v>
      </c>
      <c r="G291">
        <v>-397.67599999999999</v>
      </c>
      <c r="H291" s="1">
        <v>-1.484892E-6</v>
      </c>
      <c r="I291">
        <v>366.95549999999997</v>
      </c>
      <c r="J291">
        <v>-417.9434</v>
      </c>
      <c r="K291">
        <v>1.070873</v>
      </c>
      <c r="L291">
        <v>368.25479999999999</v>
      </c>
      <c r="M291">
        <v>0.99989720000000004</v>
      </c>
      <c r="N291">
        <v>-1.421361E-2</v>
      </c>
      <c r="O291">
        <v>-1.8904639999999999E-3</v>
      </c>
      <c r="P291">
        <v>0.99755110000000002</v>
      </c>
      <c r="Q291">
        <v>-6.7574690000000007E-2</v>
      </c>
      <c r="R291">
        <v>-1.8040899999999999E-2</v>
      </c>
      <c r="S291">
        <v>2.9933169999999998</v>
      </c>
      <c r="T291">
        <v>-0.1564062</v>
      </c>
      <c r="U291">
        <v>-0.18984989999999999</v>
      </c>
      <c r="V291">
        <v>1.613144E-2</v>
      </c>
      <c r="W291">
        <v>-5.3395669999999999E-2</v>
      </c>
      <c r="X291">
        <v>0.99844310000000003</v>
      </c>
      <c r="Y291">
        <v>6.1305720000000001E-2</v>
      </c>
      <c r="Z291">
        <v>-1.9637159999999999E-3</v>
      </c>
      <c r="AA291">
        <v>0.99811709999999998</v>
      </c>
      <c r="AB291">
        <v>24</v>
      </c>
      <c r="AC291">
        <v>20.267399999999999</v>
      </c>
      <c r="AD291">
        <v>-1.070874484892</v>
      </c>
      <c r="AE291">
        <v>-1.2993000000000099</v>
      </c>
      <c r="AF291">
        <v>1.25748277173843</v>
      </c>
      <c r="AG291">
        <v>-1.070874484892</v>
      </c>
      <c r="AH291">
        <v>20.213619318649801</v>
      </c>
      <c r="AI291">
        <v>93.026733088564498</v>
      </c>
      <c r="AJ291">
        <v>86.440235360594102</v>
      </c>
      <c r="AK291">
        <v>20.280987181173</v>
      </c>
      <c r="AL291">
        <v>93.060802237297196</v>
      </c>
      <c r="AM291">
        <v>89.074375875605398</v>
      </c>
      <c r="AN291">
        <v>0.99999997243441496</v>
      </c>
    </row>
    <row r="292" spans="1:40" x14ac:dyDescent="0.25">
      <c r="A292" t="str">
        <f>"20190303154737466"</f>
        <v>20190303154737466</v>
      </c>
      <c r="B292" t="str">
        <f>"1551599257461136"</f>
        <v>1551599257461136</v>
      </c>
      <c r="C292" t="s">
        <v>40</v>
      </c>
      <c r="D292">
        <v>5.0644900000000002</v>
      </c>
      <c r="E292">
        <v>0.51759390000000005</v>
      </c>
      <c r="F292" t="s">
        <v>41</v>
      </c>
      <c r="G292">
        <v>-397.48669999999998</v>
      </c>
      <c r="H292" s="1">
        <v>-1.552594E-6</v>
      </c>
      <c r="I292">
        <v>366.94310000000002</v>
      </c>
      <c r="J292">
        <v>-417.791</v>
      </c>
      <c r="K292">
        <v>1.070848</v>
      </c>
      <c r="L292">
        <v>368.25439999999998</v>
      </c>
      <c r="M292">
        <v>0.99989629999999996</v>
      </c>
      <c r="N292">
        <v>-1.4256049999999999E-2</v>
      </c>
      <c r="O292">
        <v>-2.0679499999999998E-3</v>
      </c>
      <c r="P292">
        <v>0.99755199999999999</v>
      </c>
      <c r="Q292">
        <v>-6.7591750000000006E-2</v>
      </c>
      <c r="R292">
        <v>-1.7925730000000001E-2</v>
      </c>
      <c r="S292">
        <v>2.9932859999999999</v>
      </c>
      <c r="T292">
        <v>-0.15669330000000001</v>
      </c>
      <c r="U292">
        <v>-0.19192500000000001</v>
      </c>
      <c r="V292">
        <v>1.5835459999999999E-2</v>
      </c>
      <c r="W292">
        <v>-5.3371269999999998E-2</v>
      </c>
      <c r="X292">
        <v>0.99844909999999998</v>
      </c>
      <c r="Y292">
        <v>6.1817190000000001E-2</v>
      </c>
      <c r="Z292">
        <v>-1.9781120000000002E-3</v>
      </c>
      <c r="AA292">
        <v>0.99808549999999996</v>
      </c>
      <c r="AB292">
        <v>24</v>
      </c>
      <c r="AC292">
        <v>20.304300000000001</v>
      </c>
      <c r="AD292">
        <v>-1.0708495525940001</v>
      </c>
      <c r="AE292">
        <v>-1.3112999999999599</v>
      </c>
      <c r="AF292">
        <v>1.2657984445103301</v>
      </c>
      <c r="AG292">
        <v>-1.0708495525940001</v>
      </c>
      <c r="AH292">
        <v>20.2508744741329</v>
      </c>
      <c r="AI292">
        <v>93.021049501128701</v>
      </c>
      <c r="AJ292">
        <v>86.423330840792303</v>
      </c>
      <c r="AK292">
        <v>20.3186338476164</v>
      </c>
      <c r="AL292">
        <v>93.059402354582801</v>
      </c>
      <c r="AM292">
        <v>89.091361831868497</v>
      </c>
      <c r="AN292">
        <v>0.99999992977281404</v>
      </c>
    </row>
    <row r="293" spans="1:40" x14ac:dyDescent="0.25">
      <c r="A293" t="str">
        <f>"20190303154737485"</f>
        <v>20190303154737485</v>
      </c>
      <c r="B293" t="str">
        <f>"1551599257480657"</f>
        <v>1551599257480657</v>
      </c>
      <c r="C293" t="s">
        <v>40</v>
      </c>
      <c r="D293">
        <v>5.116136</v>
      </c>
      <c r="E293">
        <v>0.51801520000000001</v>
      </c>
      <c r="F293" t="s">
        <v>41</v>
      </c>
      <c r="G293">
        <v>-397.42070000000001</v>
      </c>
      <c r="H293" s="1">
        <v>-1.576627E-6</v>
      </c>
      <c r="I293">
        <v>366.93720000000002</v>
      </c>
      <c r="J293">
        <v>-417.58339999999998</v>
      </c>
      <c r="K293">
        <v>1.0708169999999999</v>
      </c>
      <c r="L293">
        <v>368.25360000000001</v>
      </c>
      <c r="M293">
        <v>0.99989490000000003</v>
      </c>
      <c r="N293">
        <v>-1.430712E-2</v>
      </c>
      <c r="O293">
        <v>-2.3548660000000002E-3</v>
      </c>
      <c r="P293">
        <v>0.99755229999999995</v>
      </c>
      <c r="Q293">
        <v>-6.7435610000000007E-2</v>
      </c>
      <c r="R293">
        <v>-1.8485120000000001E-2</v>
      </c>
      <c r="S293">
        <v>2.9932560000000001</v>
      </c>
      <c r="T293">
        <v>-0.157352399999999</v>
      </c>
      <c r="U293">
        <v>-0.19354250000000001</v>
      </c>
      <c r="V293">
        <v>1.610398E-2</v>
      </c>
      <c r="W293">
        <v>-5.3165699999999899E-2</v>
      </c>
      <c r="X293">
        <v>0.9984558</v>
      </c>
      <c r="Y293">
        <v>6.206743E-2</v>
      </c>
      <c r="Z293">
        <v>-1.9835320000000001E-3</v>
      </c>
      <c r="AA293">
        <v>0.99807000000000001</v>
      </c>
      <c r="AB293">
        <v>24</v>
      </c>
      <c r="AC293">
        <v>20.162699999999901</v>
      </c>
      <c r="AD293">
        <v>-1.070818576627</v>
      </c>
      <c r="AE293">
        <v>-1.31639999999998</v>
      </c>
      <c r="AF293">
        <v>1.2653571741309599</v>
      </c>
      <c r="AG293">
        <v>-1.070818576627</v>
      </c>
      <c r="AH293">
        <v>20.1092658238118</v>
      </c>
      <c r="AI293">
        <v>93.042116619625006</v>
      </c>
      <c r="AJ293">
        <v>86.399462467791395</v>
      </c>
      <c r="AK293">
        <v>20.1774714266902</v>
      </c>
      <c r="AL293">
        <v>93.0476072304117</v>
      </c>
      <c r="AM293">
        <v>89.075963012065898</v>
      </c>
      <c r="AN293">
        <v>0.999999957190984</v>
      </c>
    </row>
    <row r="294" spans="1:40" x14ac:dyDescent="0.25">
      <c r="A294" t="str">
        <f>"20190303154737508"</f>
        <v>20190303154737508</v>
      </c>
      <c r="B294" t="str">
        <f>"1551599257501152"</f>
        <v>1551599257501152</v>
      </c>
      <c r="C294" t="s">
        <v>40</v>
      </c>
      <c r="D294">
        <v>5.0155440000000002</v>
      </c>
      <c r="E294">
        <v>0.51819190000000004</v>
      </c>
      <c r="F294" t="s">
        <v>41</v>
      </c>
      <c r="G294">
        <v>-397.09870000000001</v>
      </c>
      <c r="H294" s="1">
        <v>-1.7101529999999999E-6</v>
      </c>
      <c r="I294">
        <v>366.8922</v>
      </c>
      <c r="J294">
        <v>-417.34379999999999</v>
      </c>
      <c r="K294">
        <v>1.070781</v>
      </c>
      <c r="L294">
        <v>368.25259999999997</v>
      </c>
      <c r="M294">
        <v>0.99989309999999998</v>
      </c>
      <c r="N294">
        <v>-1.435759E-2</v>
      </c>
      <c r="O294">
        <v>-2.7491159999999998E-3</v>
      </c>
      <c r="P294">
        <v>0.99754169999999998</v>
      </c>
      <c r="Q294">
        <v>-6.7439470000000001E-2</v>
      </c>
      <c r="R294">
        <v>-1.9038099999999999E-2</v>
      </c>
      <c r="S294">
        <v>2.9931030000000001</v>
      </c>
      <c r="T294">
        <v>-0.15646090000000001</v>
      </c>
      <c r="U294">
        <v>-0.1989136</v>
      </c>
      <c r="V294">
        <v>1.625826E-2</v>
      </c>
      <c r="W294">
        <v>-5.312091E-2</v>
      </c>
      <c r="X294">
        <v>0.99845569999999895</v>
      </c>
      <c r="Y294">
        <v>6.3459329999999994E-2</v>
      </c>
      <c r="Z294">
        <v>-2.0081220000000002E-3</v>
      </c>
      <c r="AA294">
        <v>0.99798240000000005</v>
      </c>
      <c r="AB294">
        <v>23</v>
      </c>
      <c r="AC294">
        <v>20.245099999999901</v>
      </c>
      <c r="AD294">
        <v>-1.0707827101530001</v>
      </c>
      <c r="AE294">
        <v>-1.3603999999999601</v>
      </c>
      <c r="AF294">
        <v>1.30110955789009</v>
      </c>
      <c r="AG294">
        <v>-1.0707827101530001</v>
      </c>
      <c r="AH294">
        <v>20.1925300207592</v>
      </c>
      <c r="AI294">
        <v>93.029204751798702</v>
      </c>
      <c r="AJ294">
        <v>86.313232140195197</v>
      </c>
      <c r="AK294">
        <v>20.262717743019</v>
      </c>
      <c r="AL294">
        <v>93.045037271140302</v>
      </c>
      <c r="AM294">
        <v>89.067111979196397</v>
      </c>
      <c r="AN294">
        <v>0.99999997347997205</v>
      </c>
    </row>
    <row r="295" spans="1:40" x14ac:dyDescent="0.25">
      <c r="A295" t="str">
        <f>"20190303154737530"</f>
        <v>20190303154737530</v>
      </c>
      <c r="B295" t="str">
        <f>"1551599257520672"</f>
        <v>1551599257520672</v>
      </c>
      <c r="C295" t="s">
        <v>40</v>
      </c>
      <c r="D295">
        <v>5.1462870000000001</v>
      </c>
      <c r="E295">
        <v>0.51853070000000001</v>
      </c>
      <c r="F295" t="s">
        <v>41</v>
      </c>
      <c r="G295">
        <v>-396.62020000000001</v>
      </c>
      <c r="H295" s="1">
        <v>-1.9221600000000002E-6</v>
      </c>
      <c r="I295">
        <v>366.85430000000002</v>
      </c>
      <c r="J295">
        <v>-417.1146</v>
      </c>
      <c r="K295">
        <v>1.0707519999999999</v>
      </c>
      <c r="L295">
        <v>368.25150000000002</v>
      </c>
      <c r="M295">
        <v>0.99989130000000004</v>
      </c>
      <c r="N295">
        <v>-1.439898E-2</v>
      </c>
      <c r="O295">
        <v>-3.1815599999999999E-3</v>
      </c>
      <c r="P295">
        <v>0.99751900000000004</v>
      </c>
      <c r="Q295">
        <v>-6.7617430000000006E-2</v>
      </c>
      <c r="R295">
        <v>-1.9590529999999998E-2</v>
      </c>
      <c r="S295">
        <v>2.9930729999999999</v>
      </c>
      <c r="T295">
        <v>-0.15465079999999901</v>
      </c>
      <c r="U295">
        <v>-0.2019348</v>
      </c>
      <c r="V295">
        <v>1.6374929999999999E-2</v>
      </c>
      <c r="W295">
        <v>-5.3259149999999998E-2</v>
      </c>
      <c r="X295">
        <v>0.99844650000000001</v>
      </c>
      <c r="Y295">
        <v>6.4032710000000007E-2</v>
      </c>
      <c r="Z295">
        <v>-1.9948890000000001E-3</v>
      </c>
      <c r="AA295">
        <v>0.99794579999999999</v>
      </c>
      <c r="AB295">
        <v>23</v>
      </c>
      <c r="AC295">
        <v>20.494399999999899</v>
      </c>
      <c r="AD295">
        <v>-1.07075392216</v>
      </c>
      <c r="AE295">
        <v>-1.39719999999999</v>
      </c>
      <c r="AF295">
        <v>1.32837277126578</v>
      </c>
      <c r="AG295">
        <v>-1.07075392216</v>
      </c>
      <c r="AH295">
        <v>20.443197124441198</v>
      </c>
      <c r="AI295">
        <v>92.991944751649896</v>
      </c>
      <c r="AJ295">
        <v>86.282220182576296</v>
      </c>
      <c r="AK295">
        <v>20.514273003204899</v>
      </c>
      <c r="AL295">
        <v>93.052968851451695</v>
      </c>
      <c r="AM295">
        <v>89.060410072885304</v>
      </c>
      <c r="AN295">
        <v>1.0000000443767301</v>
      </c>
    </row>
    <row r="296" spans="1:40" x14ac:dyDescent="0.25">
      <c r="A296" t="str">
        <f>"20190303154737551"</f>
        <v>20190303154737551</v>
      </c>
      <c r="B296" t="str">
        <f>"1551599257541169"</f>
        <v>1551599257541169</v>
      </c>
      <c r="C296" t="s">
        <v>40</v>
      </c>
      <c r="D296">
        <v>5.0727310000000001</v>
      </c>
      <c r="E296">
        <v>0.51870550000000004</v>
      </c>
      <c r="F296" t="s">
        <v>41</v>
      </c>
      <c r="G296">
        <v>-396.5446</v>
      </c>
      <c r="H296" s="1">
        <v>-1.9581520000000001E-6</v>
      </c>
      <c r="I296">
        <v>366.83420000000001</v>
      </c>
      <c r="J296">
        <v>-416.89229999999998</v>
      </c>
      <c r="K296">
        <v>1.070724</v>
      </c>
      <c r="L296">
        <v>368.25029999999998</v>
      </c>
      <c r="M296">
        <v>0.99988920000000003</v>
      </c>
      <c r="N296">
        <v>-1.443326E-2</v>
      </c>
      <c r="O296">
        <v>-3.6451959999999999E-3</v>
      </c>
      <c r="P296">
        <v>0.99750890000000003</v>
      </c>
      <c r="Q296">
        <v>-6.7522330000000005E-2</v>
      </c>
      <c r="R296">
        <v>-2.0406230000000001E-2</v>
      </c>
      <c r="S296">
        <v>2.9928590000000002</v>
      </c>
      <c r="T296">
        <v>-0.1557906</v>
      </c>
      <c r="U296">
        <v>-0.20620730000000001</v>
      </c>
      <c r="V296">
        <v>1.672481E-2</v>
      </c>
      <c r="W296">
        <v>-5.3131230000000002E-2</v>
      </c>
      <c r="X296">
        <v>0.99844750000000004</v>
      </c>
      <c r="Y296">
        <v>6.4989980000000003E-2</v>
      </c>
      <c r="Z296">
        <v>-2.0214880000000001E-3</v>
      </c>
      <c r="AA296">
        <v>0.99788390000000005</v>
      </c>
      <c r="AB296">
        <v>23</v>
      </c>
      <c r="AC296">
        <v>20.3476999999999</v>
      </c>
      <c r="AD296">
        <v>-1.0707259581519999</v>
      </c>
      <c r="AE296">
        <v>-1.4160999999999699</v>
      </c>
      <c r="AF296">
        <v>1.3382238025519999</v>
      </c>
      <c r="AG296">
        <v>-1.0707259581519999</v>
      </c>
      <c r="AH296">
        <v>20.2967959651568</v>
      </c>
      <c r="AI296">
        <v>93.013220487155095</v>
      </c>
      <c r="AJ296">
        <v>86.227790819834198</v>
      </c>
      <c r="AK296">
        <v>20.3690260806545</v>
      </c>
      <c r="AL296">
        <v>93.045629231874599</v>
      </c>
      <c r="AM296">
        <v>89.040338710702002</v>
      </c>
      <c r="AN296">
        <v>1.00000002856354</v>
      </c>
    </row>
    <row r="297" spans="1:40" x14ac:dyDescent="0.25">
      <c r="A297" t="str">
        <f>"20190303154737576"</f>
        <v>20190303154737576</v>
      </c>
      <c r="B297" t="str">
        <f>"1551599257571425"</f>
        <v>1551599257571425</v>
      </c>
      <c r="C297" t="s">
        <v>40</v>
      </c>
      <c r="D297">
        <v>5.0686400000000003</v>
      </c>
      <c r="E297">
        <v>0.51899989999999996</v>
      </c>
      <c r="F297" t="s">
        <v>41</v>
      </c>
      <c r="G297">
        <v>-396.44600000000003</v>
      </c>
      <c r="H297" s="1">
        <v>-2.0039489999999999E-6</v>
      </c>
      <c r="I297">
        <v>366.81450000000001</v>
      </c>
      <c r="J297">
        <v>-416.64440000000002</v>
      </c>
      <c r="K297">
        <v>1.0706960000000001</v>
      </c>
      <c r="L297">
        <v>368.24869999999999</v>
      </c>
      <c r="M297">
        <v>0.99988659999999996</v>
      </c>
      <c r="N297">
        <v>-1.4465550000000001E-2</v>
      </c>
      <c r="O297">
        <v>-4.2068879999999998E-3</v>
      </c>
      <c r="P297">
        <v>0.99748579999999998</v>
      </c>
      <c r="Q297">
        <v>-6.7613560000000003E-2</v>
      </c>
      <c r="R297">
        <v>-2.1231949999999999E-2</v>
      </c>
      <c r="S297">
        <v>2.9925839999999999</v>
      </c>
      <c r="T297">
        <v>-0.15671460000000001</v>
      </c>
      <c r="U297">
        <v>-0.210144</v>
      </c>
      <c r="V297">
        <v>1.6986609999999999E-2</v>
      </c>
      <c r="W297">
        <v>-5.319161E-2</v>
      </c>
      <c r="X297">
        <v>0.99843979999999999</v>
      </c>
      <c r="Y297">
        <v>6.573996E-2</v>
      </c>
      <c r="Z297">
        <v>-2.03542E-3</v>
      </c>
      <c r="AA297">
        <v>0.99783469999999996</v>
      </c>
      <c r="AB297">
        <v>23</v>
      </c>
      <c r="AC297">
        <v>20.198399999999999</v>
      </c>
      <c r="AD297">
        <v>-1.0706980039489999</v>
      </c>
      <c r="AE297">
        <v>-1.4341999999999699</v>
      </c>
      <c r="AF297">
        <v>1.34544433637026</v>
      </c>
      <c r="AG297">
        <v>-1.0706980039489999</v>
      </c>
      <c r="AH297">
        <v>20.147924535069301</v>
      </c>
      <c r="AI297">
        <v>93.035195115508301</v>
      </c>
      <c r="AJ297">
        <v>86.179556864948594</v>
      </c>
      <c r="AK297">
        <v>20.2211641046894</v>
      </c>
      <c r="AL297">
        <v>93.049093849174199</v>
      </c>
      <c r="AM297">
        <v>89.025312117055705</v>
      </c>
      <c r="AN297">
        <v>0.99999996325886098</v>
      </c>
    </row>
    <row r="298" spans="1:40" x14ac:dyDescent="0.25">
      <c r="A298" t="str">
        <f>"20190303154737598"</f>
        <v>20190303154737598</v>
      </c>
      <c r="B298" t="str">
        <f>"1551599257590945"</f>
        <v>1551599257590945</v>
      </c>
      <c r="C298" t="s">
        <v>40</v>
      </c>
      <c r="D298">
        <v>5.0967140000000004</v>
      </c>
      <c r="E298">
        <v>0.51929420000000004</v>
      </c>
      <c r="F298" t="s">
        <v>41</v>
      </c>
      <c r="G298">
        <v>-396.41480000000001</v>
      </c>
      <c r="H298" s="1">
        <v>-2.0207110000000001E-6</v>
      </c>
      <c r="I298">
        <v>366.7955</v>
      </c>
      <c r="J298">
        <v>-416.40699999999998</v>
      </c>
      <c r="K298">
        <v>1.0706800000000001</v>
      </c>
      <c r="L298">
        <v>368.24709999999999</v>
      </c>
      <c r="M298">
        <v>0.99988359999999998</v>
      </c>
      <c r="N298">
        <v>-1.449138E-2</v>
      </c>
      <c r="O298">
        <v>-4.7820149999999997E-3</v>
      </c>
      <c r="P298">
        <v>0.99746100000000004</v>
      </c>
      <c r="Q298">
        <v>-6.7733119999999994E-2</v>
      </c>
      <c r="R298">
        <v>-2.1998139999999999E-2</v>
      </c>
      <c r="S298">
        <v>2.9922179999999998</v>
      </c>
      <c r="T298">
        <v>-0.15836910000000001</v>
      </c>
      <c r="U298">
        <v>-0.2149353</v>
      </c>
      <c r="V298">
        <v>1.717639E-2</v>
      </c>
      <c r="W298">
        <v>-5.328654E-2</v>
      </c>
      <c r="X298">
        <v>0.99843150000000003</v>
      </c>
      <c r="Y298">
        <v>6.6760730000000004E-2</v>
      </c>
      <c r="Z298">
        <v>-2.064621E-3</v>
      </c>
      <c r="AA298">
        <v>0.99776690000000001</v>
      </c>
      <c r="AB298">
        <v>23</v>
      </c>
      <c r="AC298">
        <v>19.992199999999901</v>
      </c>
      <c r="AD298">
        <v>-1.0706820207109999</v>
      </c>
      <c r="AE298">
        <v>-1.45159999999998</v>
      </c>
      <c r="AF298">
        <v>1.3521126565627299</v>
      </c>
      <c r="AG298">
        <v>-1.0706820207109999</v>
      </c>
      <c r="AH298">
        <v>19.9420171902003</v>
      </c>
      <c r="AI298">
        <v>93.066219316100501</v>
      </c>
      <c r="AJ298">
        <v>86.121156635661194</v>
      </c>
      <c r="AK298">
        <v>20.0164586837871</v>
      </c>
      <c r="AL298">
        <v>93.054540635835593</v>
      </c>
      <c r="AM298">
        <v>89.014416527687899</v>
      </c>
      <c r="AN298">
        <v>0.999999971955426</v>
      </c>
    </row>
    <row r="299" spans="1:40" x14ac:dyDescent="0.25">
      <c r="A299" t="str">
        <f>"20190303154737621"</f>
        <v>20190303154737621</v>
      </c>
      <c r="B299" t="str">
        <f>"1551599257611441"</f>
        <v>1551599257611441</v>
      </c>
      <c r="C299" t="s">
        <v>40</v>
      </c>
      <c r="D299">
        <v>5.1478449999999896</v>
      </c>
      <c r="E299">
        <v>0.51944449999999998</v>
      </c>
      <c r="F299" t="s">
        <v>41</v>
      </c>
      <c r="G299">
        <v>-396.36559999999997</v>
      </c>
      <c r="H299" s="1">
        <v>-2.0452599999999999E-6</v>
      </c>
      <c r="I299">
        <v>366.77600000000001</v>
      </c>
      <c r="J299">
        <v>-416.17739999999998</v>
      </c>
      <c r="K299">
        <v>1.070665</v>
      </c>
      <c r="L299">
        <v>368.24529999999999</v>
      </c>
      <c r="M299">
        <v>0.9998804</v>
      </c>
      <c r="N299">
        <v>-1.451208E-2</v>
      </c>
      <c r="O299">
        <v>-5.3658269999999897E-3</v>
      </c>
      <c r="P299">
        <v>0.997417</v>
      </c>
      <c r="Q299">
        <v>-6.8082539999999997E-2</v>
      </c>
      <c r="R299">
        <v>-2.290213E-2</v>
      </c>
      <c r="S299">
        <v>2.9919739999999999</v>
      </c>
      <c r="T299">
        <v>-0.15984119999999999</v>
      </c>
      <c r="U299">
        <v>-0.21960450000000001</v>
      </c>
      <c r="V299">
        <v>1.7495940000000001E-2</v>
      </c>
      <c r="W299">
        <v>-5.3616589999999999E-2</v>
      </c>
      <c r="X299">
        <v>0.99840830000000003</v>
      </c>
      <c r="Y299">
        <v>6.7729629999999999E-2</v>
      </c>
      <c r="Z299">
        <v>-2.089713E-3</v>
      </c>
      <c r="AA299">
        <v>0.99770150000000002</v>
      </c>
      <c r="AB299">
        <v>23</v>
      </c>
      <c r="AC299">
        <v>19.811800000000002</v>
      </c>
      <c r="AD299">
        <v>-1.07066704526</v>
      </c>
      <c r="AE299">
        <v>-1.4692999999999701</v>
      </c>
      <c r="AF299">
        <v>1.3590136438465099</v>
      </c>
      <c r="AG299">
        <v>-1.07066704526</v>
      </c>
      <c r="AH299">
        <v>19.761999847160698</v>
      </c>
      <c r="AI299">
        <v>93.0938501870924</v>
      </c>
      <c r="AJ299">
        <v>86.066018278865499</v>
      </c>
      <c r="AK299">
        <v>19.837587654882501</v>
      </c>
      <c r="AL299">
        <v>93.073478125035606</v>
      </c>
      <c r="AM299">
        <v>88.996061102634002</v>
      </c>
      <c r="AN299">
        <v>0.99999999007429996</v>
      </c>
    </row>
    <row r="300" spans="1:40" x14ac:dyDescent="0.25">
      <c r="A300" t="str">
        <f>"20190303154737642"</f>
        <v>20190303154737642</v>
      </c>
      <c r="B300" t="str">
        <f>"1551599257630961"</f>
        <v>1551599257630961</v>
      </c>
      <c r="C300" t="s">
        <v>40</v>
      </c>
      <c r="D300">
        <v>5.1252550000000001</v>
      </c>
      <c r="E300">
        <v>0.51960870000000003</v>
      </c>
      <c r="F300" t="s">
        <v>41</v>
      </c>
      <c r="G300">
        <v>-396.41719999999998</v>
      </c>
      <c r="H300" s="1">
        <v>-2.0244519999999998E-6</v>
      </c>
      <c r="I300">
        <v>366.76850000000002</v>
      </c>
      <c r="J300">
        <v>-415.95229999999998</v>
      </c>
      <c r="K300">
        <v>1.0706599999999999</v>
      </c>
      <c r="L300">
        <v>368.24340000000001</v>
      </c>
      <c r="M300">
        <v>0.99987689999999996</v>
      </c>
      <c r="N300">
        <v>-1.452867E-2</v>
      </c>
      <c r="O300">
        <v>-5.9576159999999998E-3</v>
      </c>
      <c r="P300">
        <v>0.99736860000000005</v>
      </c>
      <c r="Q300">
        <v>-6.8462060000000005E-2</v>
      </c>
      <c r="R300">
        <v>-2.386042E-2</v>
      </c>
      <c r="S300">
        <v>2.9916079999999998</v>
      </c>
      <c r="T300">
        <v>-0.16209409999999999</v>
      </c>
      <c r="U300">
        <v>-0.22357179999999999</v>
      </c>
      <c r="V300">
        <v>1.786254E-2</v>
      </c>
      <c r="W300">
        <v>-5.3980739999999999E-2</v>
      </c>
      <c r="X300">
        <v>0.9983822</v>
      </c>
      <c r="Y300">
        <v>6.8460049999999995E-2</v>
      </c>
      <c r="Z300">
        <v>-2.1135479999999998E-3</v>
      </c>
      <c r="AA300">
        <v>0.99765159999999997</v>
      </c>
      <c r="AB300">
        <v>23</v>
      </c>
      <c r="AC300">
        <v>19.5351</v>
      </c>
      <c r="AD300">
        <v>-1.070662024452</v>
      </c>
      <c r="AE300">
        <v>-1.4748999999999901</v>
      </c>
      <c r="AF300">
        <v>1.35443352206713</v>
      </c>
      <c r="AG300">
        <v>-1.070662024452</v>
      </c>
      <c r="AH300">
        <v>19.485342393524501</v>
      </c>
      <c r="AI300">
        <v>93.137515815537</v>
      </c>
      <c r="AJ300">
        <v>86.023744472635201</v>
      </c>
      <c r="AK300">
        <v>19.5616813062984</v>
      </c>
      <c r="AL300">
        <v>93.094372599860705</v>
      </c>
      <c r="AM300">
        <v>88.975002788861104</v>
      </c>
      <c r="AN300">
        <v>1.00000000395151</v>
      </c>
    </row>
    <row r="301" spans="1:40" x14ac:dyDescent="0.25">
      <c r="A301" t="str">
        <f>"20190303154737664"</f>
        <v>20190303154737664</v>
      </c>
      <c r="B301" t="str">
        <f>"1551599257661217"</f>
        <v>1551599257661217</v>
      </c>
      <c r="C301" t="s">
        <v>40</v>
      </c>
      <c r="D301">
        <v>5.1481029999999999</v>
      </c>
      <c r="E301">
        <v>0.51954299999999998</v>
      </c>
      <c r="F301" t="s">
        <v>41</v>
      </c>
      <c r="G301">
        <v>-396.45179999999999</v>
      </c>
      <c r="H301" s="1">
        <v>-2.0114860000000002E-6</v>
      </c>
      <c r="I301">
        <v>366.75790000000001</v>
      </c>
      <c r="J301">
        <v>-415.72640000000001</v>
      </c>
      <c r="K301">
        <v>1.070657</v>
      </c>
      <c r="L301">
        <v>368.2414</v>
      </c>
      <c r="M301">
        <v>0.99987280000000001</v>
      </c>
      <c r="N301">
        <v>-1.4542329999999999E-2</v>
      </c>
      <c r="O301">
        <v>-6.5619270000000004E-3</v>
      </c>
      <c r="P301">
        <v>0.99731709999999996</v>
      </c>
      <c r="Q301">
        <v>-6.8691450000000001E-2</v>
      </c>
      <c r="R301">
        <v>-2.5297340000000001E-2</v>
      </c>
      <c r="S301">
        <v>2.9911799999999999</v>
      </c>
      <c r="T301">
        <v>-0.16422800000000001</v>
      </c>
      <c r="U301">
        <v>-0.2278442</v>
      </c>
      <c r="V301">
        <v>1.8696359999999999E-2</v>
      </c>
      <c r="W301">
        <v>-5.419798E-2</v>
      </c>
      <c r="X301">
        <v>0.9983552</v>
      </c>
      <c r="Y301">
        <v>6.9280610000000006E-2</v>
      </c>
      <c r="Z301">
        <v>-2.1384889999999999E-3</v>
      </c>
      <c r="AA301">
        <v>0.99759489999999995</v>
      </c>
      <c r="AB301">
        <v>23</v>
      </c>
      <c r="AC301">
        <v>19.2746</v>
      </c>
      <c r="AD301">
        <v>-1.070659011486</v>
      </c>
      <c r="AE301">
        <v>-1.48349999999999</v>
      </c>
      <c r="AF301">
        <v>1.35282654692755</v>
      </c>
      <c r="AG301">
        <v>-1.070659011486</v>
      </c>
      <c r="AH301">
        <v>19.224950502273899</v>
      </c>
      <c r="AI301">
        <v>93.179726790596007</v>
      </c>
      <c r="AJ301">
        <v>85.974830053159806</v>
      </c>
      <c r="AK301">
        <v>19.302206407554301</v>
      </c>
      <c r="AL301">
        <v>93.106837670227904</v>
      </c>
      <c r="AM301">
        <v>88.927138038317693</v>
      </c>
      <c r="AN301">
        <v>1.0000000401401801</v>
      </c>
    </row>
    <row r="302" spans="1:40" x14ac:dyDescent="0.25">
      <c r="A302" t="str">
        <f>"20190303154737687"</f>
        <v>20190303154737687</v>
      </c>
      <c r="B302" t="str">
        <f>"1551599257680737"</f>
        <v>1551599257680737</v>
      </c>
      <c r="C302" t="s">
        <v>40</v>
      </c>
      <c r="D302">
        <v>5.1496760000000004</v>
      </c>
      <c r="E302">
        <v>0.49899830000000001</v>
      </c>
      <c r="F302" t="s">
        <v>41</v>
      </c>
      <c r="G302">
        <v>-396.5394</v>
      </c>
      <c r="H302" s="1">
        <v>-1.9744530000000001E-6</v>
      </c>
      <c r="I302">
        <v>366.75490000000002</v>
      </c>
      <c r="J302">
        <v>-415.49009999999998</v>
      </c>
      <c r="K302">
        <v>1.0706599999999999</v>
      </c>
      <c r="L302">
        <v>368.23899999999998</v>
      </c>
      <c r="M302">
        <v>0.99986830000000004</v>
      </c>
      <c r="N302">
        <v>-1.455382E-2</v>
      </c>
      <c r="O302">
        <v>-7.1995080000000003E-3</v>
      </c>
      <c r="P302">
        <v>0.99729100000000004</v>
      </c>
      <c r="Q302">
        <v>-6.8615629999999997E-2</v>
      </c>
      <c r="R302">
        <v>-2.6510570000000001E-2</v>
      </c>
      <c r="S302">
        <v>2.990723</v>
      </c>
      <c r="T302">
        <v>-0.16688510000000001</v>
      </c>
      <c r="U302">
        <v>-0.23168949999999999</v>
      </c>
      <c r="V302">
        <v>1.927365E-2</v>
      </c>
      <c r="W302">
        <v>-5.4111369999999999E-2</v>
      </c>
      <c r="X302">
        <v>0.99834889999999998</v>
      </c>
      <c r="Y302">
        <v>6.9926779999999994E-2</v>
      </c>
      <c r="Z302">
        <v>-2.1604800000000002E-3</v>
      </c>
      <c r="AA302">
        <v>0.99754980000000004</v>
      </c>
      <c r="AB302">
        <v>23</v>
      </c>
      <c r="AC302">
        <v>18.950699999999902</v>
      </c>
      <c r="AD302">
        <v>-1.0706619744529999</v>
      </c>
      <c r="AE302">
        <v>-1.48410000000001</v>
      </c>
      <c r="AF302">
        <v>1.34334962948642</v>
      </c>
      <c r="AG302">
        <v>-1.0706619744529999</v>
      </c>
      <c r="AH302">
        <v>18.900931854846501</v>
      </c>
      <c r="AI302">
        <v>93.233970950649905</v>
      </c>
      <c r="AJ302">
        <v>85.934641899610298</v>
      </c>
      <c r="AK302">
        <v>18.978833743729599</v>
      </c>
      <c r="AL302">
        <v>93.101868052660706</v>
      </c>
      <c r="AM302">
        <v>88.8940122641051</v>
      </c>
      <c r="AN302">
        <v>1.0000000200393999</v>
      </c>
    </row>
    <row r="303" spans="1:40" x14ac:dyDescent="0.25">
      <c r="A303" t="str">
        <f>"20190303154737710"</f>
        <v>20190303154737710</v>
      </c>
      <c r="B303" t="str">
        <f>"1551599257701233"</f>
        <v>1551599257701233</v>
      </c>
      <c r="C303" t="s">
        <v>40</v>
      </c>
      <c r="D303">
        <v>5.1890580000000002</v>
      </c>
      <c r="E303">
        <v>0.49706990000000001</v>
      </c>
      <c r="F303" t="s">
        <v>41</v>
      </c>
      <c r="G303">
        <v>-397.1481</v>
      </c>
      <c r="H303" s="1">
        <v>-1.5277250000000001E-6</v>
      </c>
      <c r="I303">
        <v>367.80130000000003</v>
      </c>
      <c r="J303">
        <v>-415.26139999999998</v>
      </c>
      <c r="K303">
        <v>1.070668</v>
      </c>
      <c r="L303">
        <v>368.23660000000001</v>
      </c>
      <c r="M303">
        <v>0.99986339999999996</v>
      </c>
      <c r="N303">
        <v>-1.456261E-2</v>
      </c>
      <c r="O303">
        <v>-7.8174500000000001E-3</v>
      </c>
      <c r="P303">
        <v>0.99724429999999997</v>
      </c>
      <c r="Q303">
        <v>-6.8843089999999996E-2</v>
      </c>
      <c r="R303">
        <v>-2.7651829999999999E-2</v>
      </c>
      <c r="S303">
        <v>2.9942319999999998</v>
      </c>
      <c r="T303">
        <v>-0.1747785</v>
      </c>
      <c r="U303">
        <v>-7.1441649999999995E-2</v>
      </c>
      <c r="V303">
        <v>1.9799020000000001E-2</v>
      </c>
      <c r="W303">
        <v>-5.4330759999999999E-2</v>
      </c>
      <c r="X303">
        <v>0.99832670000000001</v>
      </c>
      <c r="Y303">
        <v>1.600963E-2</v>
      </c>
      <c r="Z303">
        <v>-2.4142099999999999E-4</v>
      </c>
      <c r="AA303">
        <v>0.99987179999999998</v>
      </c>
      <c r="AB303">
        <v>23</v>
      </c>
      <c r="AC303">
        <v>18.113299999999899</v>
      </c>
      <c r="AD303">
        <v>-1.070669527725</v>
      </c>
      <c r="AE303">
        <v>-0.43529999999998298</v>
      </c>
      <c r="AF303">
        <v>0.29264995007318401</v>
      </c>
      <c r="AG303">
        <v>-1.070669527725</v>
      </c>
      <c r="AH303">
        <v>18.053109581842701</v>
      </c>
      <c r="AI303">
        <v>93.393600627038595</v>
      </c>
      <c r="AJ303">
        <v>89.071288055006093</v>
      </c>
      <c r="AK303">
        <v>18.0871983127542</v>
      </c>
      <c r="AL303">
        <v>93.114456703587507</v>
      </c>
      <c r="AM303">
        <v>88.863847282139204</v>
      </c>
      <c r="AN303">
        <v>1.0000000163040099</v>
      </c>
    </row>
    <row r="304" spans="1:40" x14ac:dyDescent="0.25">
      <c r="A304" t="str">
        <f>"20190303154737731"</f>
        <v>20190303154737731</v>
      </c>
      <c r="B304" t="str">
        <f>"1551599257720754"</f>
        <v>1551599257720754</v>
      </c>
      <c r="C304" t="s">
        <v>40</v>
      </c>
      <c r="D304">
        <v>5.1835449999999996</v>
      </c>
      <c r="E304">
        <v>0.49597190000000002</v>
      </c>
      <c r="F304" t="s">
        <v>41</v>
      </c>
      <c r="G304">
        <v>-396.61840000000001</v>
      </c>
      <c r="H304" s="1">
        <v>-1.7434060000000001E-6</v>
      </c>
      <c r="I304">
        <v>367.86630000000002</v>
      </c>
      <c r="J304">
        <v>-415.04289999999997</v>
      </c>
      <c r="K304">
        <v>1.07067</v>
      </c>
      <c r="L304">
        <v>368.23419999999999</v>
      </c>
      <c r="M304">
        <v>0.99985860000000004</v>
      </c>
      <c r="N304">
        <v>-1.4569149999999999E-2</v>
      </c>
      <c r="O304">
        <v>-8.4063769999999996E-3</v>
      </c>
      <c r="P304">
        <v>0.99721420000000005</v>
      </c>
      <c r="Q304">
        <v>-6.9083580000000006E-2</v>
      </c>
      <c r="R304">
        <v>-2.8136370000000001E-2</v>
      </c>
      <c r="S304">
        <v>2.994812</v>
      </c>
      <c r="T304">
        <v>-0.17199159999999999</v>
      </c>
      <c r="U304">
        <v>-5.9478759999999999E-2</v>
      </c>
      <c r="V304">
        <v>1.9696749999999999E-2</v>
      </c>
      <c r="W304">
        <v>-5.4564519999999998E-2</v>
      </c>
      <c r="X304">
        <v>0.99831590000000003</v>
      </c>
      <c r="Y304">
        <v>1.143446E-2</v>
      </c>
      <c r="Z304" s="1">
        <v>-5.1509689999999998E-5</v>
      </c>
      <c r="AA304">
        <v>0.99993460000000001</v>
      </c>
      <c r="AB304">
        <v>23</v>
      </c>
      <c r="AC304">
        <v>18.424499999999899</v>
      </c>
      <c r="AD304">
        <v>-1.070671743406</v>
      </c>
      <c r="AE304">
        <v>-0.36789999999996298</v>
      </c>
      <c r="AF304">
        <v>0.21227073935492499</v>
      </c>
      <c r="AG304">
        <v>-1.070671743406</v>
      </c>
      <c r="AH304">
        <v>18.364949563231601</v>
      </c>
      <c r="AI304">
        <v>93.336329829862095</v>
      </c>
      <c r="AJ304">
        <v>89.337777876073801</v>
      </c>
      <c r="AK304">
        <v>18.397357671930902</v>
      </c>
      <c r="AL304">
        <v>93.1278702929161</v>
      </c>
      <c r="AM304">
        <v>88.869702222621697</v>
      </c>
      <c r="AN304">
        <v>0.99999994249809898</v>
      </c>
    </row>
    <row r="305" spans="1:40" x14ac:dyDescent="0.25">
      <c r="A305" t="str">
        <f>"20190303154737753"</f>
        <v>20190303154737753</v>
      </c>
      <c r="B305" t="str">
        <f>"1551599257741252"</f>
        <v>1551599257741252</v>
      </c>
      <c r="C305" t="s">
        <v>40</v>
      </c>
      <c r="D305">
        <v>5.1346509999999999</v>
      </c>
      <c r="E305">
        <v>0.49532599999999999</v>
      </c>
      <c r="F305" t="s">
        <v>41</v>
      </c>
      <c r="G305">
        <v>-396.7285</v>
      </c>
      <c r="H305" s="1">
        <v>-1.68784E-6</v>
      </c>
      <c r="I305">
        <v>367.9135</v>
      </c>
      <c r="J305">
        <v>-414.81060000000002</v>
      </c>
      <c r="K305">
        <v>1.0706850000000001</v>
      </c>
      <c r="L305">
        <v>368.23149999999998</v>
      </c>
      <c r="M305">
        <v>0.99985310000000005</v>
      </c>
      <c r="N305">
        <v>-1.4574409999999999E-2</v>
      </c>
      <c r="O305">
        <v>-9.0290089999999993E-3</v>
      </c>
      <c r="P305">
        <v>0.99718669999999998</v>
      </c>
      <c r="Q305">
        <v>-6.940143E-2</v>
      </c>
      <c r="R305">
        <v>-2.8330310000000001E-2</v>
      </c>
      <c r="S305">
        <v>2.9947810000000001</v>
      </c>
      <c r="T305">
        <v>-0.1750757</v>
      </c>
      <c r="U305">
        <v>-5.2429199999999898E-2</v>
      </c>
      <c r="V305">
        <v>1.9270229999999999E-2</v>
      </c>
      <c r="W305">
        <v>-5.4876550000000003E-2</v>
      </c>
      <c r="X305">
        <v>0.99830719999999995</v>
      </c>
      <c r="Y305">
        <v>8.4654980000000001E-3</v>
      </c>
      <c r="Z305" s="1">
        <v>8.6841580000000004E-5</v>
      </c>
      <c r="AA305">
        <v>0.99996419999999997</v>
      </c>
      <c r="AB305">
        <v>23</v>
      </c>
      <c r="AC305">
        <v>18.082100000000001</v>
      </c>
      <c r="AD305">
        <v>-1.0706866878399901</v>
      </c>
      <c r="AE305">
        <v>-0.31799999999998302</v>
      </c>
      <c r="AF305">
        <v>0.15416590424779</v>
      </c>
      <c r="AG305">
        <v>-1.0706866878399901</v>
      </c>
      <c r="AH305">
        <v>18.021069764056399</v>
      </c>
      <c r="AI305">
        <v>93.399995848564899</v>
      </c>
      <c r="AJ305">
        <v>89.5098603854168</v>
      </c>
      <c r="AK305">
        <v>18.053506378278399</v>
      </c>
      <c r="AL305">
        <v>93.145774873853995</v>
      </c>
      <c r="AM305">
        <v>88.8941622884021</v>
      </c>
      <c r="AN305">
        <v>1.0000000215379901</v>
      </c>
    </row>
    <row r="306" spans="1:40" x14ac:dyDescent="0.25">
      <c r="A306" t="str">
        <f>"20190303154737776"</f>
        <v>20190303154737776</v>
      </c>
      <c r="B306" t="str">
        <f>"1551599257771504"</f>
        <v>1551599257771504</v>
      </c>
      <c r="C306" t="s">
        <v>40</v>
      </c>
      <c r="D306">
        <v>5.1092820000000003</v>
      </c>
      <c r="E306">
        <v>0.49452479999999999</v>
      </c>
      <c r="F306" t="s">
        <v>41</v>
      </c>
      <c r="G306">
        <v>-396.55290000000002</v>
      </c>
      <c r="H306" s="1">
        <v>-1.7581839999999999E-6</v>
      </c>
      <c r="I306">
        <v>367.94139999999999</v>
      </c>
      <c r="J306">
        <v>-414.5804</v>
      </c>
      <c r="K306">
        <v>1.0706929999999999</v>
      </c>
      <c r="L306">
        <v>368.22879999999998</v>
      </c>
      <c r="M306">
        <v>0.99984720000000005</v>
      </c>
      <c r="N306">
        <v>-1.457813E-2</v>
      </c>
      <c r="O306">
        <v>-9.6416290000000005E-3</v>
      </c>
      <c r="P306">
        <v>0.99718799999999996</v>
      </c>
      <c r="Q306">
        <v>-6.9498399999999905E-2</v>
      </c>
      <c r="R306">
        <v>-2.8039580000000001E-2</v>
      </c>
      <c r="S306">
        <v>2.9948730000000001</v>
      </c>
      <c r="T306">
        <v>-0.175627799999999</v>
      </c>
      <c r="U306">
        <v>-4.7576899999999998E-2</v>
      </c>
      <c r="V306">
        <v>1.836935E-2</v>
      </c>
      <c r="W306">
        <v>-5.4968509999999998E-2</v>
      </c>
      <c r="X306">
        <v>0.99831910000000001</v>
      </c>
      <c r="Y306">
        <v>6.2379019999999896E-3</v>
      </c>
      <c r="Z306">
        <v>1.961469E-4</v>
      </c>
      <c r="AA306">
        <v>0.99998050000000005</v>
      </c>
      <c r="AB306">
        <v>23</v>
      </c>
      <c r="AC306">
        <v>18.0274999999999</v>
      </c>
      <c r="AD306">
        <v>-1.0706947581840001</v>
      </c>
      <c r="AE306">
        <v>-0.287399999999991</v>
      </c>
      <c r="AF306">
        <v>0.113154645316112</v>
      </c>
      <c r="AG306">
        <v>-1.0706947581840001</v>
      </c>
      <c r="AH306">
        <v>17.966074921972599</v>
      </c>
      <c r="AI306">
        <v>93.410461497892697</v>
      </c>
      <c r="AJ306">
        <v>89.639142221481507</v>
      </c>
      <c r="AK306">
        <v>17.998306568699501</v>
      </c>
      <c r="AL306">
        <v>93.1510518334332</v>
      </c>
      <c r="AM306">
        <v>88.945860625785201</v>
      </c>
      <c r="AN306">
        <v>0.99999999776792603</v>
      </c>
    </row>
    <row r="307" spans="1:40" x14ac:dyDescent="0.25">
      <c r="A307" t="str">
        <f>"20190303154737797"</f>
        <v>20190303154737797</v>
      </c>
      <c r="B307" t="str">
        <f>"1551599257791025"</f>
        <v>1551599257791025</v>
      </c>
      <c r="C307" t="s">
        <v>40</v>
      </c>
      <c r="D307">
        <v>5.1190020000000001</v>
      </c>
      <c r="E307">
        <v>0.49432389999999998</v>
      </c>
      <c r="F307" t="s">
        <v>41</v>
      </c>
      <c r="G307">
        <v>-396.78320000000002</v>
      </c>
      <c r="H307" s="1">
        <v>-1.651088E-6</v>
      </c>
      <c r="I307">
        <v>367.98820000000001</v>
      </c>
      <c r="J307">
        <v>-414.35849999999999</v>
      </c>
      <c r="K307">
        <v>1.0706990000000001</v>
      </c>
      <c r="L307">
        <v>368.22590000000002</v>
      </c>
      <c r="M307">
        <v>0.99984139999999999</v>
      </c>
      <c r="N307">
        <v>-1.458049E-2</v>
      </c>
      <c r="O307">
        <v>-1.022839E-2</v>
      </c>
      <c r="P307">
        <v>0.99720160000000002</v>
      </c>
      <c r="Q307">
        <v>-6.9284289999999998E-2</v>
      </c>
      <c r="R307">
        <v>-2.8084049999999999E-2</v>
      </c>
      <c r="S307">
        <v>2.9947810000000001</v>
      </c>
      <c r="T307">
        <v>-0.18016789999999999</v>
      </c>
      <c r="U307">
        <v>-4.0466309999999998E-2</v>
      </c>
      <c r="V307">
        <v>1.7829089999999999E-2</v>
      </c>
      <c r="W307">
        <v>-5.4750960000000001E-2</v>
      </c>
      <c r="X307">
        <v>0.99834080000000003</v>
      </c>
      <c r="Y307">
        <v>3.2850190000000001E-3</v>
      </c>
      <c r="Z307">
        <v>3.4300690000000001E-4</v>
      </c>
      <c r="AA307">
        <v>0.99999450000000001</v>
      </c>
      <c r="AB307">
        <v>23</v>
      </c>
      <c r="AC307">
        <v>17.575299999999899</v>
      </c>
      <c r="AD307">
        <v>-1.0707006510879999</v>
      </c>
      <c r="AE307">
        <v>-0.23770000000001701</v>
      </c>
      <c r="AF307">
        <v>5.7687373703992399E-2</v>
      </c>
      <c r="AG307">
        <v>-1.0707006510879999</v>
      </c>
      <c r="AH307">
        <v>17.511831504236401</v>
      </c>
      <c r="AI307">
        <v>93.498778752736598</v>
      </c>
      <c r="AJ307">
        <v>89.811257258393596</v>
      </c>
      <c r="AK307">
        <v>17.5446279627153</v>
      </c>
      <c r="AL307">
        <v>93.138568492047099</v>
      </c>
      <c r="AM307">
        <v>88.9768794083394</v>
      </c>
      <c r="AN307">
        <v>0.99999994850789298</v>
      </c>
    </row>
    <row r="308" spans="1:40" x14ac:dyDescent="0.25">
      <c r="A308" t="str">
        <f>"20190303154737822"</f>
        <v>20190303154737822</v>
      </c>
      <c r="B308" t="str">
        <f>"1551599257811520"</f>
        <v>1551599257811520</v>
      </c>
      <c r="C308" t="s">
        <v>40</v>
      </c>
      <c r="D308">
        <v>5.1619769999999896</v>
      </c>
      <c r="E308">
        <v>0.49398219999999998</v>
      </c>
      <c r="F308" t="s">
        <v>41</v>
      </c>
      <c r="G308">
        <v>-396.56450000000001</v>
      </c>
      <c r="H308" s="1">
        <v>-1.7441219999999999E-6</v>
      </c>
      <c r="I308">
        <v>367.99290000000002</v>
      </c>
      <c r="J308">
        <v>-414.12040000000002</v>
      </c>
      <c r="K308">
        <v>1.0707040000000001</v>
      </c>
      <c r="L308">
        <v>368.22269999999997</v>
      </c>
      <c r="M308">
        <v>0.99983480000000002</v>
      </c>
      <c r="N308">
        <v>-1.458186E-2</v>
      </c>
      <c r="O308">
        <v>-1.085497E-2</v>
      </c>
      <c r="P308">
        <v>0.9971662</v>
      </c>
      <c r="Q308">
        <v>-6.9563280000000005E-2</v>
      </c>
      <c r="R308">
        <v>-2.8646890000000001E-2</v>
      </c>
      <c r="S308">
        <v>2.9947509999999999</v>
      </c>
      <c r="T308">
        <v>-0.1801991</v>
      </c>
      <c r="U308">
        <v>-3.9215090000000001E-2</v>
      </c>
      <c r="V308">
        <v>1.7767479999999999E-2</v>
      </c>
      <c r="W308">
        <v>-5.5028559999999997E-2</v>
      </c>
      <c r="X308">
        <v>0.99832670000000001</v>
      </c>
      <c r="Y308">
        <v>2.2437410000000001E-3</v>
      </c>
      <c r="Z308">
        <v>4.105186E-4</v>
      </c>
      <c r="AA308">
        <v>0.99999740000000004</v>
      </c>
      <c r="AB308">
        <v>23</v>
      </c>
      <c r="AC308">
        <v>17.555900000000001</v>
      </c>
      <c r="AD308">
        <v>-1.070705744122</v>
      </c>
      <c r="AE308">
        <v>-0.22979999999995401</v>
      </c>
      <c r="AF308">
        <v>3.9052202034770299E-2</v>
      </c>
      <c r="AG308">
        <v>-1.070705744122</v>
      </c>
      <c r="AH308">
        <v>17.4923072628917</v>
      </c>
      <c r="AI308">
        <v>93.502701108136606</v>
      </c>
      <c r="AJ308">
        <v>89.872085334071102</v>
      </c>
      <c r="AK308">
        <v>17.525089136560599</v>
      </c>
      <c r="AL308">
        <v>93.154497612868695</v>
      </c>
      <c r="AM308">
        <v>88.980399747340797</v>
      </c>
      <c r="AN308">
        <v>1.0000000128470501</v>
      </c>
    </row>
    <row r="309" spans="1:40" x14ac:dyDescent="0.25">
      <c r="A309" t="str">
        <f>"20190303154737842"</f>
        <v>20190303154737842</v>
      </c>
      <c r="B309" t="str">
        <f>"1551599257831044"</f>
        <v>1551599257831044</v>
      </c>
      <c r="C309" t="s">
        <v>40</v>
      </c>
      <c r="D309">
        <v>5.1095069999999998</v>
      </c>
      <c r="E309">
        <v>0.49374170000000001</v>
      </c>
      <c r="F309" t="s">
        <v>41</v>
      </c>
      <c r="G309">
        <v>-396.529</v>
      </c>
      <c r="H309" s="1">
        <v>-1.7582350000000001E-6</v>
      </c>
      <c r="I309">
        <v>367.99900000000002</v>
      </c>
      <c r="J309">
        <v>-413.90800000000002</v>
      </c>
      <c r="K309">
        <v>1.070708</v>
      </c>
      <c r="L309">
        <v>368.21980000000002</v>
      </c>
      <c r="M309">
        <v>0.99982859999999996</v>
      </c>
      <c r="N309">
        <v>-1.458219E-2</v>
      </c>
      <c r="O309">
        <v>-1.1411950000000001E-2</v>
      </c>
      <c r="P309">
        <v>0.99713309999999999</v>
      </c>
      <c r="Q309">
        <v>-6.96663E-2</v>
      </c>
      <c r="R309">
        <v>-2.953851E-2</v>
      </c>
      <c r="S309">
        <v>2.9947509999999999</v>
      </c>
      <c r="T309">
        <v>-0.1822761</v>
      </c>
      <c r="U309">
        <v>-3.8085939999999999E-2</v>
      </c>
      <c r="V309">
        <v>1.810407E-2</v>
      </c>
      <c r="W309">
        <v>-5.5131619999999999E-2</v>
      </c>
      <c r="X309">
        <v>0.99831499999999995</v>
      </c>
      <c r="Y309">
        <v>1.3126639999999901E-3</v>
      </c>
      <c r="Z309">
        <v>4.7810270000000002E-4</v>
      </c>
      <c r="AA309">
        <v>0.99999899999999997</v>
      </c>
      <c r="AB309">
        <v>23</v>
      </c>
      <c r="AC309">
        <v>17.379000000000001</v>
      </c>
      <c r="AD309">
        <v>-1.070709758235</v>
      </c>
      <c r="AE309">
        <v>-0.220799999999996</v>
      </c>
      <c r="AF309">
        <v>2.2351434184067601E-2</v>
      </c>
      <c r="AG309">
        <v>-1.070709758235</v>
      </c>
      <c r="AH309">
        <v>17.314677065816699</v>
      </c>
      <c r="AI309">
        <v>93.538563347282604</v>
      </c>
      <c r="AJ309">
        <v>89.926037192112503</v>
      </c>
      <c r="AK309">
        <v>17.347765298922699</v>
      </c>
      <c r="AL309">
        <v>93.160411388419305</v>
      </c>
      <c r="AM309">
        <v>88.961076297120798</v>
      </c>
      <c r="AN309">
        <v>1.0000000460496901</v>
      </c>
    </row>
    <row r="310" spans="1:40" x14ac:dyDescent="0.25">
      <c r="A310" t="str">
        <f>"20190303154737866"</f>
        <v>20190303154737866</v>
      </c>
      <c r="B310" t="str">
        <f>"1551599257861297"</f>
        <v>1551599257861297</v>
      </c>
      <c r="C310" t="s">
        <v>40</v>
      </c>
      <c r="D310">
        <v>5.1369910000000001</v>
      </c>
      <c r="E310">
        <v>0.49326160000000002</v>
      </c>
      <c r="F310" t="s">
        <v>41</v>
      </c>
      <c r="G310">
        <v>-396.45679999999999</v>
      </c>
      <c r="H310" s="1">
        <v>-1.790122E-6</v>
      </c>
      <c r="I310">
        <v>367.99380000000002</v>
      </c>
      <c r="J310">
        <v>-413.67070000000001</v>
      </c>
      <c r="K310">
        <v>1.070727</v>
      </c>
      <c r="L310">
        <v>368.21620000000001</v>
      </c>
      <c r="M310">
        <v>0.99982119999999997</v>
      </c>
      <c r="N310">
        <v>-1.4581729999999999E-2</v>
      </c>
      <c r="O310">
        <v>-1.2034130000000001E-2</v>
      </c>
      <c r="P310">
        <v>0.99711870000000002</v>
      </c>
      <c r="Q310">
        <v>-6.9169939999999999E-2</v>
      </c>
      <c r="R310">
        <v>-3.1146839999999999E-2</v>
      </c>
      <c r="S310">
        <v>2.9945979999999999</v>
      </c>
      <c r="T310">
        <v>-0.18373120000000001</v>
      </c>
      <c r="U310">
        <v>-3.8757319999999998E-2</v>
      </c>
      <c r="V310">
        <v>1.9092649999999999E-2</v>
      </c>
      <c r="W310">
        <v>-5.4636320000000002E-2</v>
      </c>
      <c r="X310">
        <v>0.99832370000000004</v>
      </c>
      <c r="Y310">
        <v>9.170033E-4</v>
      </c>
      <c r="Z310">
        <v>5.2743339999999895E-4</v>
      </c>
      <c r="AA310">
        <v>0.99999950000000004</v>
      </c>
      <c r="AB310">
        <v>23</v>
      </c>
      <c r="AC310">
        <v>17.213899999999999</v>
      </c>
      <c r="AD310">
        <v>-1.070728790122</v>
      </c>
      <c r="AE310">
        <v>-0.22239999999999299</v>
      </c>
      <c r="AF310">
        <v>1.51489405484256E-2</v>
      </c>
      <c r="AG310">
        <v>-1.070728790122</v>
      </c>
      <c r="AH310">
        <v>17.148991273412399</v>
      </c>
      <c r="AI310">
        <v>93.572728136216</v>
      </c>
      <c r="AJ310">
        <v>89.949386519713698</v>
      </c>
      <c r="AK310">
        <v>17.182391897753099</v>
      </c>
      <c r="AL310">
        <v>93.131990304601104</v>
      </c>
      <c r="AM310">
        <v>88.904368468605696</v>
      </c>
      <c r="AN310">
        <v>0.99999993336442505</v>
      </c>
    </row>
    <row r="311" spans="1:40" x14ac:dyDescent="0.25">
      <c r="A311" t="str">
        <f>"20190303154737888"</f>
        <v>20190303154737888</v>
      </c>
      <c r="B311" t="str">
        <f>"1551599257880817"</f>
        <v>1551599257880817</v>
      </c>
      <c r="C311" t="s">
        <v>40</v>
      </c>
      <c r="D311">
        <v>5.0993570000000004</v>
      </c>
      <c r="E311">
        <v>0.49309209999999898</v>
      </c>
      <c r="F311" t="s">
        <v>41</v>
      </c>
      <c r="G311">
        <v>-396.18150000000003</v>
      </c>
      <c r="H311" s="1">
        <v>-1.9101210000000001E-6</v>
      </c>
      <c r="I311">
        <v>367.98320000000001</v>
      </c>
      <c r="J311">
        <v>-413.4443</v>
      </c>
      <c r="K311">
        <v>1.070724</v>
      </c>
      <c r="L311">
        <v>368.21280000000002</v>
      </c>
      <c r="M311">
        <v>0.99981399999999998</v>
      </c>
      <c r="N311">
        <v>-1.4580620000000001E-2</v>
      </c>
      <c r="O311">
        <v>-1.262865E-2</v>
      </c>
      <c r="P311">
        <v>0.99706159999999999</v>
      </c>
      <c r="Q311">
        <v>-6.9294629999999996E-2</v>
      </c>
      <c r="R311">
        <v>-3.2659720000000003E-2</v>
      </c>
      <c r="S311">
        <v>2.99472</v>
      </c>
      <c r="T311">
        <v>-0.18334220000000001</v>
      </c>
      <c r="U311">
        <v>-3.988647E-2</v>
      </c>
      <c r="V311">
        <v>2.0013449999999999E-2</v>
      </c>
      <c r="W311">
        <v>-5.4763239999999998E-2</v>
      </c>
      <c r="X311">
        <v>0.99829880000000004</v>
      </c>
      <c r="Y311">
        <v>6.9990739999999997E-4</v>
      </c>
      <c r="Z311">
        <v>5.6183579999999995E-4</v>
      </c>
      <c r="AA311">
        <v>0.99999959999999999</v>
      </c>
      <c r="AB311">
        <v>23</v>
      </c>
      <c r="AC311">
        <v>17.262799999999899</v>
      </c>
      <c r="AD311">
        <v>-1.070725910121</v>
      </c>
      <c r="AE311">
        <v>-0.229600000000004</v>
      </c>
      <c r="AF311">
        <v>1.15083964254067E-2</v>
      </c>
      <c r="AG311">
        <v>-1.070725910121</v>
      </c>
      <c r="AH311">
        <v>17.19817145323</v>
      </c>
      <c r="AI311">
        <v>93.562528885642706</v>
      </c>
      <c r="AJ311">
        <v>89.961659735308899</v>
      </c>
      <c r="AK311">
        <v>17.231473754513502</v>
      </c>
      <c r="AL311">
        <v>93.139272909367605</v>
      </c>
      <c r="AM311">
        <v>88.851513558770606</v>
      </c>
      <c r="AN311">
        <v>1.0000000223588199</v>
      </c>
    </row>
    <row r="312" spans="1:40" x14ac:dyDescent="0.25">
      <c r="A312" t="str">
        <f>"20190303154737912"</f>
        <v>20190303154737912</v>
      </c>
      <c r="B312" t="str">
        <f>"1551599257901313"</f>
        <v>1551599257901313</v>
      </c>
      <c r="C312" t="s">
        <v>40</v>
      </c>
      <c r="D312">
        <v>5.1224910000000001</v>
      </c>
      <c r="E312">
        <v>0.49288789999999999</v>
      </c>
      <c r="F312" t="s">
        <v>41</v>
      </c>
      <c r="G312">
        <v>-396.02269999999999</v>
      </c>
      <c r="H312" s="1">
        <v>-1.9818490000000001E-6</v>
      </c>
      <c r="I312">
        <v>367.96289999999999</v>
      </c>
      <c r="J312">
        <v>-413.2054</v>
      </c>
      <c r="K312">
        <v>1.070727</v>
      </c>
      <c r="L312">
        <v>368.209</v>
      </c>
      <c r="M312">
        <v>0.99980599999999997</v>
      </c>
      <c r="N312">
        <v>-1.4578819999999999E-2</v>
      </c>
      <c r="O312">
        <v>-1.3255970000000001E-2</v>
      </c>
      <c r="P312">
        <v>0.99699890000000002</v>
      </c>
      <c r="Q312">
        <v>-6.9541389999999995E-2</v>
      </c>
      <c r="R312">
        <v>-3.4021280000000001E-2</v>
      </c>
      <c r="S312">
        <v>2.9946290000000002</v>
      </c>
      <c r="T312">
        <v>-0.18404770000000001</v>
      </c>
      <c r="U312">
        <v>-4.2938230000000001E-2</v>
      </c>
      <c r="V312">
        <v>2.0749940000000001E-2</v>
      </c>
      <c r="W312">
        <v>-5.5012829999999999E-2</v>
      </c>
      <c r="X312">
        <v>0.99826999999999999</v>
      </c>
      <c r="Y312">
        <v>1.0916669999999999E-3</v>
      </c>
      <c r="Z312">
        <v>5.7924780000000002E-4</v>
      </c>
      <c r="AA312">
        <v>0.99999919999999998</v>
      </c>
      <c r="AB312">
        <v>23</v>
      </c>
      <c r="AC312">
        <v>17.182700000000001</v>
      </c>
      <c r="AD312">
        <v>-1.070728981849</v>
      </c>
      <c r="AE312">
        <v>-0.246100000000012</v>
      </c>
      <c r="AF312">
        <v>1.8210144024079701E-2</v>
      </c>
      <c r="AG312">
        <v>-1.070728981849</v>
      </c>
      <c r="AH312">
        <v>17.117995666983902</v>
      </c>
      <c r="AI312">
        <v>93.579180496477804</v>
      </c>
      <c r="AJ312">
        <v>89.939048705022401</v>
      </c>
      <c r="AK312">
        <v>17.1514596409984</v>
      </c>
      <c r="AL312">
        <v>93.153595079763903</v>
      </c>
      <c r="AM312">
        <v>88.809227151995501</v>
      </c>
      <c r="AN312">
        <v>0.99999998218730601</v>
      </c>
    </row>
    <row r="313" spans="1:40" x14ac:dyDescent="0.25">
      <c r="A313" t="str">
        <f>"20190303154737932"</f>
        <v>20190303154737932</v>
      </c>
      <c r="B313" t="str">
        <f>"1551599257920833"</f>
        <v>1551599257920833</v>
      </c>
      <c r="C313" t="s">
        <v>40</v>
      </c>
      <c r="D313">
        <v>5.0669329999999997</v>
      </c>
      <c r="E313">
        <v>0.49257869999999998</v>
      </c>
      <c r="F313" t="s">
        <v>41</v>
      </c>
      <c r="G313">
        <v>-395.89249999999998</v>
      </c>
      <c r="H313" s="1">
        <v>-2.0407429999999999E-6</v>
      </c>
      <c r="I313">
        <v>367.94569999999999</v>
      </c>
      <c r="J313">
        <v>-412.99759999999998</v>
      </c>
      <c r="K313">
        <v>1.0707310000000001</v>
      </c>
      <c r="L313">
        <v>368.20569999999998</v>
      </c>
      <c r="M313">
        <v>0.99979850000000003</v>
      </c>
      <c r="N313">
        <v>-1.457687E-2</v>
      </c>
      <c r="O313">
        <v>-1.380176E-2</v>
      </c>
      <c r="P313">
        <v>0.9968899</v>
      </c>
      <c r="Q313">
        <v>-7.0599590000000004E-2</v>
      </c>
      <c r="R313">
        <v>-3.5021049999999998E-2</v>
      </c>
      <c r="S313">
        <v>2.9945979999999999</v>
      </c>
      <c r="T313">
        <v>-0.18520200000000001</v>
      </c>
      <c r="U313">
        <v>-4.553223E-2</v>
      </c>
      <c r="V313">
        <v>2.1205760000000001E-2</v>
      </c>
      <c r="W313">
        <v>-5.6074430000000001E-2</v>
      </c>
      <c r="X313">
        <v>0.99820140000000002</v>
      </c>
      <c r="Y313">
        <v>1.412015E-3</v>
      </c>
      <c r="Z313">
        <v>5.9769559999999996E-4</v>
      </c>
      <c r="AA313">
        <v>0.99999879999999997</v>
      </c>
      <c r="AB313">
        <v>23</v>
      </c>
      <c r="AC313">
        <v>17.105099999999901</v>
      </c>
      <c r="AD313">
        <v>-1.07073304074299</v>
      </c>
      <c r="AE313">
        <v>-0.25999999999999002</v>
      </c>
      <c r="AF313">
        <v>2.3776516065829E-2</v>
      </c>
      <c r="AG313">
        <v>-1.07073304074299</v>
      </c>
      <c r="AH313">
        <v>17.040303580010399</v>
      </c>
      <c r="AI313">
        <v>93.595468524681493</v>
      </c>
      <c r="AJ313">
        <v>89.920054643884598</v>
      </c>
      <c r="AK313">
        <v>17.073926925759402</v>
      </c>
      <c r="AL313">
        <v>93.214514171355106</v>
      </c>
      <c r="AM313">
        <v>88.782993271962098</v>
      </c>
      <c r="AN313">
        <v>1.00000003045948</v>
      </c>
    </row>
    <row r="314" spans="1:40" x14ac:dyDescent="0.25">
      <c r="A314" t="str">
        <f>"20190303154737954"</f>
        <v>20190303154737954</v>
      </c>
      <c r="B314" t="str">
        <f>"1551599257951089"</f>
        <v>1551599257951089</v>
      </c>
      <c r="C314" t="s">
        <v>40</v>
      </c>
      <c r="D314">
        <v>5.0866689999999997</v>
      </c>
      <c r="E314">
        <v>0.49233169999999998</v>
      </c>
      <c r="F314" t="s">
        <v>41</v>
      </c>
      <c r="G314">
        <v>-396.06610000000001</v>
      </c>
      <c r="H314" s="1">
        <v>-1.966319E-6</v>
      </c>
      <c r="I314">
        <v>367.94549999999998</v>
      </c>
      <c r="J314">
        <v>-412.77370000000002</v>
      </c>
      <c r="K314">
        <v>1.07074</v>
      </c>
      <c r="L314">
        <v>368.20190000000002</v>
      </c>
      <c r="M314">
        <v>0.99979030000000002</v>
      </c>
      <c r="N314">
        <v>-1.4574210000000001E-2</v>
      </c>
      <c r="O314">
        <v>-1.439092E-2</v>
      </c>
      <c r="P314">
        <v>0.99685559999999995</v>
      </c>
      <c r="Q314">
        <v>-7.0718909999999996E-2</v>
      </c>
      <c r="R314">
        <v>-3.5749219999999998E-2</v>
      </c>
      <c r="S314">
        <v>2.9942929999999999</v>
      </c>
      <c r="T314">
        <v>-0.1893551</v>
      </c>
      <c r="U314">
        <v>-4.5989990000000001E-2</v>
      </c>
      <c r="V314">
        <v>2.1346819999999999E-2</v>
      </c>
      <c r="W314">
        <v>-5.6196599999999999E-2</v>
      </c>
      <c r="X314">
        <v>0.99819150000000001</v>
      </c>
      <c r="Y314">
        <v>9.7966440000000002E-4</v>
      </c>
      <c r="Z314">
        <v>6.6137539999999999E-4</v>
      </c>
      <c r="AA314">
        <v>0.99999930000000004</v>
      </c>
      <c r="AB314">
        <v>22</v>
      </c>
      <c r="AC314">
        <v>16.707599999999999</v>
      </c>
      <c r="AD314">
        <v>-1.0707419663189901</v>
      </c>
      <c r="AE314">
        <v>-0.25640000000004098</v>
      </c>
      <c r="AF314">
        <v>1.58451234278837E-2</v>
      </c>
      <c r="AG314">
        <v>-1.0707419663189901</v>
      </c>
      <c r="AH314">
        <v>16.641227632325499</v>
      </c>
      <c r="AI314">
        <v>93.681490189068498</v>
      </c>
      <c r="AJ314">
        <v>89.9454452253173</v>
      </c>
      <c r="AK314">
        <v>16.6756468101614</v>
      </c>
      <c r="AL314">
        <v>93.221525125216601</v>
      </c>
      <c r="AM314">
        <v>88.774888096595106</v>
      </c>
      <c r="AN314">
        <v>1.0000000076239599</v>
      </c>
    </row>
    <row r="315" spans="1:40" x14ac:dyDescent="0.25">
      <c r="A315" t="str">
        <f>"20190303154737977"</f>
        <v>20190303154737977</v>
      </c>
      <c r="B315" t="str">
        <f>"1551599257970609"</f>
        <v>1551599257970609</v>
      </c>
      <c r="C315" t="s">
        <v>40</v>
      </c>
      <c r="D315">
        <v>5.0639699999999896</v>
      </c>
      <c r="E315">
        <v>0.49213020000000002</v>
      </c>
      <c r="F315" t="s">
        <v>41</v>
      </c>
      <c r="G315">
        <v>-396.02679999999998</v>
      </c>
      <c r="H315" s="1">
        <v>-1.9836529999999999E-6</v>
      </c>
      <c r="I315">
        <v>367.94290000000001</v>
      </c>
      <c r="J315">
        <v>-412.54660000000001</v>
      </c>
      <c r="K315">
        <v>1.070748</v>
      </c>
      <c r="L315">
        <v>368.1979</v>
      </c>
      <c r="M315">
        <v>0.99978149999999999</v>
      </c>
      <c r="N315">
        <v>-1.457112E-2</v>
      </c>
      <c r="O315">
        <v>-1.4988680000000001E-2</v>
      </c>
      <c r="P315">
        <v>0.99686900000000001</v>
      </c>
      <c r="Q315">
        <v>-7.0304160000000004E-2</v>
      </c>
      <c r="R315">
        <v>-3.6185740000000001E-2</v>
      </c>
      <c r="S315">
        <v>2.9942319999999998</v>
      </c>
      <c r="T315">
        <v>-0.19143950000000001</v>
      </c>
      <c r="U315">
        <v>-4.6295169999999997E-2</v>
      </c>
      <c r="V315">
        <v>2.1187629999999999E-2</v>
      </c>
      <c r="W315">
        <v>-5.5784279999999999E-2</v>
      </c>
      <c r="X315">
        <v>0.99821800000000005</v>
      </c>
      <c r="Y315">
        <v>4.8640059999999999E-4</v>
      </c>
      <c r="Z315">
        <v>7.1990659999999996E-4</v>
      </c>
      <c r="AA315">
        <v>0.99999959999999999</v>
      </c>
      <c r="AB315">
        <v>22</v>
      </c>
      <c r="AC315">
        <v>16.5198</v>
      </c>
      <c r="AD315">
        <v>-1.0707499836529999</v>
      </c>
      <c r="AE315">
        <v>-0.25499999999999501</v>
      </c>
      <c r="AF315">
        <v>7.3043858669297702E-3</v>
      </c>
      <c r="AG315">
        <v>-1.0707499836529999</v>
      </c>
      <c r="AH315">
        <v>16.452662963195699</v>
      </c>
      <c r="AI315">
        <v>93.723594990370799</v>
      </c>
      <c r="AJ315">
        <v>89.974562752816993</v>
      </c>
      <c r="AK315">
        <v>16.487470317245698</v>
      </c>
      <c r="AL315">
        <v>93.197863873117896</v>
      </c>
      <c r="AM315">
        <v>88.784053662118794</v>
      </c>
      <c r="AN315">
        <v>0.99999998854206695</v>
      </c>
    </row>
    <row r="316" spans="1:40" x14ac:dyDescent="0.25">
      <c r="A316" t="str">
        <f>"20190303154737997"</f>
        <v>20190303154737997</v>
      </c>
      <c r="B316" t="str">
        <f>"1551599257991105"</f>
        <v>1551599257991105</v>
      </c>
      <c r="C316" t="s">
        <v>40</v>
      </c>
      <c r="D316">
        <v>5.1301959999999998</v>
      </c>
      <c r="E316">
        <v>0.4919693</v>
      </c>
      <c r="F316" t="s">
        <v>41</v>
      </c>
      <c r="G316">
        <v>-395.77730000000003</v>
      </c>
      <c r="H316" s="1">
        <v>-2.0910240000000002E-6</v>
      </c>
      <c r="I316">
        <v>367.9409</v>
      </c>
      <c r="J316">
        <v>-412.33730000000003</v>
      </c>
      <c r="K316">
        <v>1.0707530000000001</v>
      </c>
      <c r="L316">
        <v>368.19409999999999</v>
      </c>
      <c r="M316">
        <v>0.99977329999999998</v>
      </c>
      <c r="N316">
        <v>-1.4568029999999999E-2</v>
      </c>
      <c r="O316">
        <v>-1.553971E-2</v>
      </c>
      <c r="P316">
        <v>0.99688920000000003</v>
      </c>
      <c r="Q316">
        <v>-6.9618310000000003E-2</v>
      </c>
      <c r="R316">
        <v>-3.6954760000000003E-2</v>
      </c>
      <c r="S316">
        <v>2.9942630000000001</v>
      </c>
      <c r="T316">
        <v>-0.1911881</v>
      </c>
      <c r="U316">
        <v>-4.586792E-2</v>
      </c>
      <c r="V316">
        <v>2.1407039999999999E-2</v>
      </c>
      <c r="W316">
        <v>-5.5101079999999997E-2</v>
      </c>
      <c r="X316">
        <v>0.99825129999999995</v>
      </c>
      <c r="Y316">
        <v>-2.052182E-4</v>
      </c>
      <c r="Z316">
        <v>7.7293049999999997E-4</v>
      </c>
      <c r="AA316">
        <v>0.99999970000000005</v>
      </c>
      <c r="AB316">
        <v>22</v>
      </c>
      <c r="AC316">
        <v>16.559999999999999</v>
      </c>
      <c r="AD316">
        <v>-1.070755091024</v>
      </c>
      <c r="AE316">
        <v>-0.25319999999999199</v>
      </c>
      <c r="AF316">
        <v>-4.1779792765905804E-3</v>
      </c>
      <c r="AG316">
        <v>-1.070755091024</v>
      </c>
      <c r="AH316">
        <v>16.492997206792701</v>
      </c>
      <c r="AI316">
        <v>93.714532238733298</v>
      </c>
      <c r="AJ316">
        <v>90.014514073537995</v>
      </c>
      <c r="AK316">
        <v>16.527718862073399</v>
      </c>
      <c r="AL316">
        <v>93.158658980717206</v>
      </c>
      <c r="AM316">
        <v>88.771506652510098</v>
      </c>
      <c r="AN316">
        <v>1.0000000241652001</v>
      </c>
    </row>
    <row r="317" spans="1:40" x14ac:dyDescent="0.25">
      <c r="A317" t="str">
        <f>"20190303154738021"</f>
        <v>20190303154738021</v>
      </c>
      <c r="B317" t="str">
        <f>"1551599258010629"</f>
        <v>1551599258010629</v>
      </c>
      <c r="C317" t="s">
        <v>40</v>
      </c>
      <c r="D317">
        <v>5.1201970000000001</v>
      </c>
      <c r="E317">
        <v>0.49171399999999998</v>
      </c>
      <c r="F317" t="s">
        <v>41</v>
      </c>
      <c r="G317">
        <v>-395.37439999999998</v>
      </c>
      <c r="H317" s="1">
        <v>-2.266124E-6</v>
      </c>
      <c r="I317">
        <v>367.9282</v>
      </c>
      <c r="J317">
        <v>-412.11329999999998</v>
      </c>
      <c r="K317">
        <v>1.0707580000000001</v>
      </c>
      <c r="L317">
        <v>368.18990000000002</v>
      </c>
      <c r="M317">
        <v>0.99976399999999999</v>
      </c>
      <c r="N317">
        <v>-1.456441E-2</v>
      </c>
      <c r="O317">
        <v>-1.6129210000000001E-2</v>
      </c>
      <c r="P317">
        <v>0.99685119999999905</v>
      </c>
      <c r="Q317">
        <v>-6.9688829999999993E-2</v>
      </c>
      <c r="R317">
        <v>-3.7834850000000003E-2</v>
      </c>
      <c r="S317">
        <v>2.9944760000000001</v>
      </c>
      <c r="T317">
        <v>-0.18901999999999999</v>
      </c>
      <c r="U317">
        <v>-4.6936039999999998E-2</v>
      </c>
      <c r="V317">
        <v>2.170008E-2</v>
      </c>
      <c r="W317">
        <v>-5.5175509999999997E-2</v>
      </c>
      <c r="X317">
        <v>0.99824080000000004</v>
      </c>
      <c r="Y317">
        <v>-4.3863639999999998E-4</v>
      </c>
      <c r="Z317">
        <v>7.9926469999999996E-4</v>
      </c>
      <c r="AA317">
        <v>0.99999959999999999</v>
      </c>
      <c r="AB317">
        <v>22</v>
      </c>
      <c r="AC317">
        <v>16.738900000000001</v>
      </c>
      <c r="AD317">
        <v>-1.0707602661239899</v>
      </c>
      <c r="AE317">
        <v>-0.26170000000001797</v>
      </c>
      <c r="AF317">
        <v>-8.3138668852015801E-3</v>
      </c>
      <c r="AG317">
        <v>-1.0707602661239899</v>
      </c>
      <c r="AH317">
        <v>16.672736149009399</v>
      </c>
      <c r="AI317">
        <v>93.674615739019998</v>
      </c>
      <c r="AJ317">
        <v>90.028570562157</v>
      </c>
      <c r="AK317">
        <v>16.7070861421846</v>
      </c>
      <c r="AL317">
        <v>93.162930197861499</v>
      </c>
      <c r="AM317">
        <v>88.754682028037195</v>
      </c>
      <c r="AN317">
        <v>0.99999996258020196</v>
      </c>
    </row>
    <row r="318" spans="1:40" x14ac:dyDescent="0.25">
      <c r="A318" t="str">
        <f>"20190303154738043"</f>
        <v>20190303154738043</v>
      </c>
      <c r="B318" t="str">
        <f>"1551599258040881"</f>
        <v>1551599258040881</v>
      </c>
      <c r="C318" t="s">
        <v>40</v>
      </c>
      <c r="D318">
        <v>5.1069509999999996</v>
      </c>
      <c r="E318">
        <v>0.49146329999999999</v>
      </c>
      <c r="F318" t="s">
        <v>41</v>
      </c>
      <c r="G318">
        <v>-395.19099999999997</v>
      </c>
      <c r="H318" s="1">
        <v>-2.346122E-6</v>
      </c>
      <c r="I318">
        <v>367.92059999999998</v>
      </c>
      <c r="J318">
        <v>-411.89010000000002</v>
      </c>
      <c r="K318">
        <v>1.0707580000000001</v>
      </c>
      <c r="L318">
        <v>368.18560000000002</v>
      </c>
      <c r="M318">
        <v>0.99975440000000004</v>
      </c>
      <c r="N318">
        <v>-1.456055E-2</v>
      </c>
      <c r="O318">
        <v>-1.6713099999999901E-2</v>
      </c>
      <c r="P318">
        <v>0.99678549999999999</v>
      </c>
      <c r="Q318">
        <v>-7.0266850000000006E-2</v>
      </c>
      <c r="R318">
        <v>-3.8489839999999997E-2</v>
      </c>
      <c r="S318">
        <v>2.9944459999999999</v>
      </c>
      <c r="T318">
        <v>-0.18947359999999999</v>
      </c>
      <c r="U318">
        <v>-4.7637939999999997E-2</v>
      </c>
      <c r="V318">
        <v>2.177337E-2</v>
      </c>
      <c r="W318">
        <v>-5.5757840000000003E-2</v>
      </c>
      <c r="X318">
        <v>0.99820690000000001</v>
      </c>
      <c r="Y318">
        <v>-7.8648529999999996E-4</v>
      </c>
      <c r="Z318">
        <v>8.437373E-4</v>
      </c>
      <c r="AA318">
        <v>0.99999930000000004</v>
      </c>
      <c r="AB318">
        <v>22</v>
      </c>
      <c r="AC318">
        <v>16.699100000000001</v>
      </c>
      <c r="AD318">
        <v>-1.0707603461220001</v>
      </c>
      <c r="AE318">
        <v>-0.26500000000004298</v>
      </c>
      <c r="AF318">
        <v>-1.41023450066211E-2</v>
      </c>
      <c r="AG318">
        <v>-1.0707603461220001</v>
      </c>
      <c r="AH318">
        <v>16.6328281609422</v>
      </c>
      <c r="AI318">
        <v>93.683407598403605</v>
      </c>
      <c r="AJ318">
        <v>90.048578909652704</v>
      </c>
      <c r="AK318">
        <v>16.667264299410199</v>
      </c>
      <c r="AL318">
        <v>93.196346524029593</v>
      </c>
      <c r="AM318">
        <v>88.750434992268595</v>
      </c>
      <c r="AN318">
        <v>1.0000000157851101</v>
      </c>
    </row>
    <row r="319" spans="1:40" x14ac:dyDescent="0.25">
      <c r="A319" t="str">
        <f>"20190303154738066"</f>
        <v>20190303154738066</v>
      </c>
      <c r="B319" t="str">
        <f>"1551599258061377"</f>
        <v>1551599258061377</v>
      </c>
      <c r="C319" t="s">
        <v>40</v>
      </c>
      <c r="D319">
        <v>5.1474880000000001</v>
      </c>
      <c r="E319">
        <v>0.49124180000000001</v>
      </c>
      <c r="F319" t="s">
        <v>41</v>
      </c>
      <c r="G319">
        <v>-395.19049999999999</v>
      </c>
      <c r="H319" s="1">
        <v>-2.3465209999999998E-6</v>
      </c>
      <c r="I319">
        <v>367.91969999999998</v>
      </c>
      <c r="J319">
        <v>-411.65559999999999</v>
      </c>
      <c r="K319">
        <v>1.0707580000000001</v>
      </c>
      <c r="L319">
        <v>368.18090000000001</v>
      </c>
      <c r="M319">
        <v>0.99974410000000002</v>
      </c>
      <c r="N319">
        <v>-1.455627E-2</v>
      </c>
      <c r="O319">
        <v>-1.732378E-2</v>
      </c>
      <c r="P319">
        <v>0.99671889999999996</v>
      </c>
      <c r="Q319">
        <v>-7.1063269999999998E-2</v>
      </c>
      <c r="R319">
        <v>-3.8749239999999997E-2</v>
      </c>
      <c r="S319">
        <v>2.9942630000000001</v>
      </c>
      <c r="T319">
        <v>-0.19198799999999999</v>
      </c>
      <c r="U319">
        <v>-4.7668460000000003E-2</v>
      </c>
      <c r="V319">
        <v>2.1424490000000001E-2</v>
      </c>
      <c r="W319">
        <v>-5.6558629999999999E-2</v>
      </c>
      <c r="X319">
        <v>0.99816939999999998</v>
      </c>
      <c r="Y319">
        <v>-1.3831679999999999E-3</v>
      </c>
      <c r="Z319">
        <v>9.1187820000000004E-4</v>
      </c>
      <c r="AA319">
        <v>0.99999859999999896</v>
      </c>
      <c r="AB319">
        <v>22</v>
      </c>
      <c r="AC319">
        <v>16.4651</v>
      </c>
      <c r="AD319">
        <v>-1.0707603465210001</v>
      </c>
      <c r="AE319">
        <v>-0.26120000000003002</v>
      </c>
      <c r="AF319">
        <v>-2.4005663440623701E-2</v>
      </c>
      <c r="AG319">
        <v>-1.0707603465210001</v>
      </c>
      <c r="AH319">
        <v>16.397822206889</v>
      </c>
      <c r="AI319">
        <v>93.736045374131706</v>
      </c>
      <c r="AJ319">
        <v>90.083878346747596</v>
      </c>
      <c r="AK319">
        <v>16.432762309493199</v>
      </c>
      <c r="AL319">
        <v>93.242300922103993</v>
      </c>
      <c r="AM319">
        <v>88.770404701177995</v>
      </c>
      <c r="AN319">
        <v>1.00000001924779</v>
      </c>
    </row>
    <row r="320" spans="1:40" x14ac:dyDescent="0.25">
      <c r="A320" t="str">
        <f>"20190303154738088"</f>
        <v>20190303154738088</v>
      </c>
      <c r="B320" t="str">
        <f>"1551599258080897"</f>
        <v>1551599258080897</v>
      </c>
      <c r="C320" t="s">
        <v>40</v>
      </c>
      <c r="D320">
        <v>5.1873259999999997</v>
      </c>
      <c r="E320">
        <v>0.4911412</v>
      </c>
      <c r="F320" t="s">
        <v>41</v>
      </c>
      <c r="G320">
        <v>-395.32639999999998</v>
      </c>
      <c r="H320" s="1">
        <v>-2.2868810000000002E-6</v>
      </c>
      <c r="I320">
        <v>367.92720000000003</v>
      </c>
      <c r="J320">
        <v>-411.44119999999998</v>
      </c>
      <c r="K320">
        <v>1.070749</v>
      </c>
      <c r="L320">
        <v>368.17660000000001</v>
      </c>
      <c r="M320">
        <v>0.99973440000000002</v>
      </c>
      <c r="N320">
        <v>-1.4552239999999999E-2</v>
      </c>
      <c r="O320">
        <v>-1.78787999999999E-2</v>
      </c>
      <c r="P320">
        <v>0.99669649999999999</v>
      </c>
      <c r="Q320">
        <v>-7.1234329999999998E-2</v>
      </c>
      <c r="R320">
        <v>-3.9011469999999999E-2</v>
      </c>
      <c r="S320">
        <v>2.99411</v>
      </c>
      <c r="T320">
        <v>-0.1963329</v>
      </c>
      <c r="U320">
        <v>-4.6508790000000001E-2</v>
      </c>
      <c r="V320">
        <v>2.1134030000000002E-2</v>
      </c>
      <c r="W320">
        <v>-5.6733310000000002E-2</v>
      </c>
      <c r="X320">
        <v>0.99816570000000004</v>
      </c>
      <c r="Y320">
        <v>-2.3201469999999998E-3</v>
      </c>
      <c r="Z320">
        <v>1.0038639999999999E-3</v>
      </c>
      <c r="AA320">
        <v>0.99999680000000002</v>
      </c>
      <c r="AB320">
        <v>22</v>
      </c>
      <c r="AC320">
        <v>16.114799999999999</v>
      </c>
      <c r="AD320">
        <v>-1.0707512868810001</v>
      </c>
      <c r="AE320">
        <v>-0.24939999999998</v>
      </c>
      <c r="AF320">
        <v>-3.86131929243793E-2</v>
      </c>
      <c r="AG320">
        <v>-1.0707512868810001</v>
      </c>
      <c r="AH320">
        <v>16.045858178259099</v>
      </c>
      <c r="AI320">
        <v>93.817716184950797</v>
      </c>
      <c r="AJ320">
        <v>90.137877868107097</v>
      </c>
      <c r="AK320">
        <v>16.081590840891</v>
      </c>
      <c r="AL320">
        <v>93.252325376659201</v>
      </c>
      <c r="AM320">
        <v>88.787065285624294</v>
      </c>
      <c r="AN320">
        <v>1.0000000401720399</v>
      </c>
    </row>
    <row r="321" spans="1:40" x14ac:dyDescent="0.25">
      <c r="A321" t="str">
        <f>"20190303154738113"</f>
        <v>20190303154738113</v>
      </c>
      <c r="B321" t="str">
        <f>"1551599258101393"</f>
        <v>1551599258101393</v>
      </c>
      <c r="C321" t="s">
        <v>40</v>
      </c>
      <c r="D321">
        <v>5.117381</v>
      </c>
      <c r="E321">
        <v>0.49094500000000002</v>
      </c>
      <c r="F321" t="s">
        <v>41</v>
      </c>
      <c r="G321">
        <v>-395.10739999999998</v>
      </c>
      <c r="H321" s="1">
        <v>-2.381592E-6</v>
      </c>
      <c r="I321">
        <v>367.923</v>
      </c>
      <c r="J321">
        <v>-411.20609999999999</v>
      </c>
      <c r="K321">
        <v>1.070756</v>
      </c>
      <c r="L321">
        <v>368.17169999999999</v>
      </c>
      <c r="M321">
        <v>0.99972340000000004</v>
      </c>
      <c r="N321">
        <v>-1.45475E-2</v>
      </c>
      <c r="O321">
        <v>-1.8482080000000001E-2</v>
      </c>
      <c r="P321">
        <v>0.99666460000000001</v>
      </c>
      <c r="Q321">
        <v>-7.1619440000000006E-2</v>
      </c>
      <c r="R321">
        <v>-3.9118859999999998E-2</v>
      </c>
      <c r="S321">
        <v>2.99411</v>
      </c>
      <c r="T321">
        <v>-0.19627620000000001</v>
      </c>
      <c r="U321">
        <v>-4.6478270000000002E-2</v>
      </c>
      <c r="V321">
        <v>2.0640579999999999E-2</v>
      </c>
      <c r="W321">
        <v>-5.7122680000000002E-2</v>
      </c>
      <c r="X321">
        <v>0.99815379999999998</v>
      </c>
      <c r="Y321">
        <v>-2.931403E-3</v>
      </c>
      <c r="Z321">
        <v>1.058773E-3</v>
      </c>
      <c r="AA321">
        <v>0.99999519999999997</v>
      </c>
      <c r="AB321">
        <v>22</v>
      </c>
      <c r="AC321">
        <v>16.098700000000001</v>
      </c>
      <c r="AD321">
        <v>-1.0707583815919901</v>
      </c>
      <c r="AE321">
        <v>-0.24869999999998499</v>
      </c>
      <c r="AF321">
        <v>-4.86960521528845E-2</v>
      </c>
      <c r="AG321">
        <v>-1.0707583815919901</v>
      </c>
      <c r="AH321">
        <v>16.029650600745299</v>
      </c>
      <c r="AI321">
        <v>93.821583541787604</v>
      </c>
      <c r="AJ321">
        <v>90.174056799735695</v>
      </c>
      <c r="AK321">
        <v>16.0654471832943</v>
      </c>
      <c r="AL321">
        <v>93.274670933478106</v>
      </c>
      <c r="AM321">
        <v>88.815363326673605</v>
      </c>
      <c r="AN321">
        <v>1.0000000212837701</v>
      </c>
    </row>
    <row r="322" spans="1:40" x14ac:dyDescent="0.25">
      <c r="A322" t="str">
        <f>"20190303154738133"</f>
        <v>20190303154738133</v>
      </c>
      <c r="B322" t="str">
        <f>"1551599258120913"</f>
        <v>1551599258120913</v>
      </c>
      <c r="C322" t="s">
        <v>40</v>
      </c>
      <c r="D322">
        <v>5.2066790000000003</v>
      </c>
      <c r="E322">
        <v>0.49077939999999998</v>
      </c>
      <c r="F322" t="s">
        <v>41</v>
      </c>
      <c r="G322">
        <v>-394.96249999999998</v>
      </c>
      <c r="H322" s="1">
        <v>-2.4433509999999999E-6</v>
      </c>
      <c r="I322">
        <v>367.92520000000002</v>
      </c>
      <c r="J322">
        <v>-410.99990000000003</v>
      </c>
      <c r="K322">
        <v>1.07077</v>
      </c>
      <c r="L322">
        <v>368.16730000000001</v>
      </c>
      <c r="M322">
        <v>0.99971359999999998</v>
      </c>
      <c r="N322">
        <v>-1.454314E-2</v>
      </c>
      <c r="O322">
        <v>-1.9005959999999999E-2</v>
      </c>
      <c r="P322">
        <v>0.99669490000000005</v>
      </c>
      <c r="Q322">
        <v>-7.1084220000000004E-2</v>
      </c>
      <c r="R322">
        <v>-3.9324919999999999E-2</v>
      </c>
      <c r="S322">
        <v>2.994049</v>
      </c>
      <c r="T322">
        <v>-0.19736229999999999</v>
      </c>
      <c r="U322">
        <v>-4.5410159999999998E-2</v>
      </c>
      <c r="V322">
        <v>2.0324499999999999E-2</v>
      </c>
      <c r="W322">
        <v>-5.6590689999999999E-2</v>
      </c>
      <c r="X322">
        <v>0.99819060000000004</v>
      </c>
      <c r="Y322">
        <v>-3.8083370000000002E-3</v>
      </c>
      <c r="Z322">
        <v>1.1282219999999999E-3</v>
      </c>
      <c r="AA322">
        <v>0.99999210000000005</v>
      </c>
      <c r="AB322">
        <v>22</v>
      </c>
      <c r="AC322">
        <v>16.037400000000002</v>
      </c>
      <c r="AD322">
        <v>-1.070772443351</v>
      </c>
      <c r="AE322">
        <v>-0.24209999999999299</v>
      </c>
      <c r="AF322">
        <v>-6.2503590850020302E-2</v>
      </c>
      <c r="AG322">
        <v>-1.070772443351</v>
      </c>
      <c r="AH322">
        <v>15.9679377710744</v>
      </c>
      <c r="AI322">
        <v>93.836347742742305</v>
      </c>
      <c r="AJ322">
        <v>90.224272772190204</v>
      </c>
      <c r="AK322">
        <v>16.003921300269301</v>
      </c>
      <c r="AL322">
        <v>93.244140727790096</v>
      </c>
      <c r="AM322">
        <v>88.833542229475</v>
      </c>
      <c r="AN322">
        <v>1.0000000327116401</v>
      </c>
    </row>
    <row r="323" spans="1:40" x14ac:dyDescent="0.25">
      <c r="A323" t="str">
        <f>"20190303154738156"</f>
        <v>20190303154738156</v>
      </c>
      <c r="B323" t="str">
        <f>"1551599258151169"</f>
        <v>1551599258151169</v>
      </c>
      <c r="C323" t="s">
        <v>40</v>
      </c>
      <c r="D323">
        <v>5.2099510000000002</v>
      </c>
      <c r="E323">
        <v>0.49048140000000001</v>
      </c>
      <c r="F323" t="s">
        <v>41</v>
      </c>
      <c r="G323">
        <v>-394.66210000000001</v>
      </c>
      <c r="H323" s="1">
        <v>-2.5725509999999999E-6</v>
      </c>
      <c r="I323">
        <v>367.92320000000001</v>
      </c>
      <c r="J323">
        <v>-410.77519999999998</v>
      </c>
      <c r="K323">
        <v>1.070783</v>
      </c>
      <c r="L323">
        <v>368.16230000000002</v>
      </c>
      <c r="M323">
        <v>0.99970289999999995</v>
      </c>
      <c r="N323">
        <v>-1.4538290000000001E-2</v>
      </c>
      <c r="O323">
        <v>-1.9568809999999999E-2</v>
      </c>
      <c r="P323">
        <v>0.99670749999999997</v>
      </c>
      <c r="Q323">
        <v>-7.0721580000000006E-2</v>
      </c>
      <c r="R323">
        <v>-3.9660420000000002E-2</v>
      </c>
      <c r="S323">
        <v>2.9941710000000001</v>
      </c>
      <c r="T323">
        <v>-0.19623599999999999</v>
      </c>
      <c r="U323">
        <v>-4.4708249999999998E-2</v>
      </c>
      <c r="V323">
        <v>2.0099200000000001E-2</v>
      </c>
      <c r="W323">
        <v>-5.6231990000000003E-2</v>
      </c>
      <c r="X323">
        <v>0.99821539999999997</v>
      </c>
      <c r="Y323">
        <v>-4.6039779999999999E-3</v>
      </c>
      <c r="Z323">
        <v>1.1809050000000001E-3</v>
      </c>
      <c r="AA323">
        <v>0.99998869999999895</v>
      </c>
      <c r="AB323">
        <v>22</v>
      </c>
      <c r="AC323">
        <v>16.1130999999999</v>
      </c>
      <c r="AD323">
        <v>-1.070785572551</v>
      </c>
      <c r="AE323">
        <v>-0.239100000000007</v>
      </c>
      <c r="AF323">
        <v>-7.5957914984361996E-2</v>
      </c>
      <c r="AG323">
        <v>-1.070785572551</v>
      </c>
      <c r="AH323">
        <v>16.0438563196887</v>
      </c>
      <c r="AI323">
        <v>93.818281383333797</v>
      </c>
      <c r="AJ323">
        <v>90.271258689089393</v>
      </c>
      <c r="AK323">
        <v>16.079728758721298</v>
      </c>
      <c r="AL323">
        <v>93.223556059932903</v>
      </c>
      <c r="AM323">
        <v>88.846497718904203</v>
      </c>
      <c r="AN323">
        <v>0.99999999966858</v>
      </c>
    </row>
    <row r="324" spans="1:40" x14ac:dyDescent="0.25">
      <c r="A324" t="str">
        <f>"20190303154738177"</f>
        <v>20190303154738177</v>
      </c>
      <c r="B324" t="str">
        <f>"1551599258170690"</f>
        <v>1551599258170690</v>
      </c>
      <c r="C324" t="s">
        <v>40</v>
      </c>
      <c r="D324">
        <v>5.1608549999999997</v>
      </c>
      <c r="E324">
        <v>0.49038110000000001</v>
      </c>
      <c r="F324" t="s">
        <v>41</v>
      </c>
      <c r="G324">
        <v>-394.48430000000002</v>
      </c>
      <c r="H324" s="1">
        <v>-2.6481679999999999E-6</v>
      </c>
      <c r="I324">
        <v>367.92700000000002</v>
      </c>
      <c r="J324">
        <v>-410.56360000000001</v>
      </c>
      <c r="K324">
        <v>1.0707979999999999</v>
      </c>
      <c r="L324">
        <v>368.15750000000003</v>
      </c>
      <c r="M324">
        <v>0.99969260000000004</v>
      </c>
      <c r="N324">
        <v>-1.453367E-2</v>
      </c>
      <c r="O324">
        <v>-2.0091000000000001E-2</v>
      </c>
      <c r="P324">
        <v>0.99677420000000005</v>
      </c>
      <c r="Q324">
        <v>-6.9642449999999995E-2</v>
      </c>
      <c r="R324">
        <v>-3.9892219999999999E-2</v>
      </c>
      <c r="S324">
        <v>2.994202</v>
      </c>
      <c r="T324">
        <v>-0.1968049</v>
      </c>
      <c r="U324">
        <v>-4.3243410000000003E-2</v>
      </c>
      <c r="V324">
        <v>1.9810709999999999E-2</v>
      </c>
      <c r="W324">
        <v>-5.5155849999999999E-2</v>
      </c>
      <c r="X324">
        <v>0.99828119999999998</v>
      </c>
      <c r="Y324">
        <v>-5.611988E-3</v>
      </c>
      <c r="Z324">
        <v>1.252237E-3</v>
      </c>
      <c r="AA324">
        <v>0.99998350000000003</v>
      </c>
      <c r="AB324">
        <v>22</v>
      </c>
      <c r="AC324">
        <v>16.0792999999999</v>
      </c>
      <c r="AD324">
        <v>-1.0708006481679999</v>
      </c>
      <c r="AE324">
        <v>-0.23050000000006299</v>
      </c>
      <c r="AF324">
        <v>-9.2220941796756106E-2</v>
      </c>
      <c r="AG324">
        <v>-1.0708006481679999</v>
      </c>
      <c r="AH324">
        <v>16.0096985761597</v>
      </c>
      <c r="AI324">
        <v>93.826436936710195</v>
      </c>
      <c r="AJ324">
        <v>90.330038212892205</v>
      </c>
      <c r="AK324">
        <v>16.045733614569102</v>
      </c>
      <c r="AL324">
        <v>93.161801948115496</v>
      </c>
      <c r="AM324">
        <v>88.863124834851305</v>
      </c>
      <c r="AN324">
        <v>0.99999999314668298</v>
      </c>
    </row>
    <row r="325" spans="1:40" x14ac:dyDescent="0.25">
      <c r="A325" t="str">
        <f>"20190303154738198"</f>
        <v>20190303154738198</v>
      </c>
      <c r="B325" t="str">
        <f>"1551599258191186"</f>
        <v>1551599258191186</v>
      </c>
      <c r="C325" t="s">
        <v>40</v>
      </c>
      <c r="D325">
        <v>5.105855</v>
      </c>
      <c r="E325">
        <v>0.49023509999999998</v>
      </c>
      <c r="F325" t="s">
        <v>41</v>
      </c>
      <c r="G325">
        <v>-393.98520000000002</v>
      </c>
      <c r="H325" s="1">
        <v>-2.8637429999999999E-6</v>
      </c>
      <c r="I325">
        <v>367.91890000000001</v>
      </c>
      <c r="J325">
        <v>-410.34829999999999</v>
      </c>
      <c r="K325">
        <v>1.0708059999999999</v>
      </c>
      <c r="L325">
        <v>368.15260000000001</v>
      </c>
      <c r="M325">
        <v>0.99968230000000002</v>
      </c>
      <c r="N325">
        <v>-1.451119E-2</v>
      </c>
      <c r="O325">
        <v>-2.0613880000000001E-2</v>
      </c>
      <c r="P325">
        <v>0.99682459999999995</v>
      </c>
      <c r="Q325">
        <v>-6.8593769999999998E-2</v>
      </c>
      <c r="R325">
        <v>-4.0443760000000002E-2</v>
      </c>
      <c r="S325">
        <v>2.9944459999999999</v>
      </c>
      <c r="T325">
        <v>-0.1934102</v>
      </c>
      <c r="U325">
        <v>-4.3090820000000002E-2</v>
      </c>
      <c r="V325">
        <v>1.984116E-2</v>
      </c>
      <c r="W325">
        <v>-5.4128370000000002E-2</v>
      </c>
      <c r="X325">
        <v>0.99833689999999997</v>
      </c>
      <c r="Y325">
        <v>-6.186614E-3</v>
      </c>
      <c r="Z325">
        <v>1.2754769999999999E-3</v>
      </c>
      <c r="AA325">
        <v>0.99997999999999998</v>
      </c>
      <c r="AB325">
        <v>22</v>
      </c>
      <c r="AC325">
        <v>16.3630999999999</v>
      </c>
      <c r="AD325">
        <v>-1.070808863743</v>
      </c>
      <c r="AE325">
        <v>-0.23369999999999799</v>
      </c>
      <c r="AF325">
        <v>-0.10325006009523301</v>
      </c>
      <c r="AG325">
        <v>-1.070808863743</v>
      </c>
      <c r="AH325">
        <v>16.294673302528999</v>
      </c>
      <c r="AI325">
        <v>93.759726377387807</v>
      </c>
      <c r="AJ325">
        <v>90.363045849173702</v>
      </c>
      <c r="AK325">
        <v>16.330146056717599</v>
      </c>
      <c r="AL325">
        <v>93.102843389517801</v>
      </c>
      <c r="AM325">
        <v>88.861441373713006</v>
      </c>
      <c r="AN325">
        <v>1.0000000589853</v>
      </c>
    </row>
    <row r="326" spans="1:40" x14ac:dyDescent="0.25">
      <c r="A326" t="str">
        <f>"20190303154738222"</f>
        <v>20190303154738222</v>
      </c>
      <c r="B326" t="str">
        <f>"1551599258210705"</f>
        <v>1551599258210705</v>
      </c>
      <c r="C326" t="s">
        <v>40</v>
      </c>
      <c r="D326">
        <v>5.1148619999999996</v>
      </c>
      <c r="E326">
        <v>0.49010959999999998</v>
      </c>
      <c r="F326" t="s">
        <v>41</v>
      </c>
      <c r="G326">
        <v>-393.44589999999999</v>
      </c>
      <c r="H326" s="1">
        <v>-3.0973570000000001E-6</v>
      </c>
      <c r="I326">
        <v>367.90609999999998</v>
      </c>
      <c r="J326">
        <v>-410.1275</v>
      </c>
      <c r="K326">
        <v>1.070786</v>
      </c>
      <c r="L326">
        <v>368.1474</v>
      </c>
      <c r="M326">
        <v>0.99967269999999997</v>
      </c>
      <c r="N326">
        <v>-1.4414949999999999E-2</v>
      </c>
      <c r="O326">
        <v>-2.1142299999999999E-2</v>
      </c>
      <c r="P326">
        <v>0.99681779999999998</v>
      </c>
      <c r="Q326">
        <v>-6.8060289999999996E-2</v>
      </c>
      <c r="R326">
        <v>-4.1500370000000002E-2</v>
      </c>
      <c r="S326">
        <v>2.9947509999999999</v>
      </c>
      <c r="T326">
        <v>-0.18972410000000001</v>
      </c>
      <c r="U326">
        <v>-4.3670649999999998E-2</v>
      </c>
      <c r="V326">
        <v>2.037166E-2</v>
      </c>
      <c r="W326">
        <v>-5.3690750000000002E-2</v>
      </c>
      <c r="X326">
        <v>0.99834979999999995</v>
      </c>
      <c r="Y326">
        <v>-6.5233309999999899E-3</v>
      </c>
      <c r="Z326">
        <v>1.28681E-3</v>
      </c>
      <c r="AA326">
        <v>0.99997789999999998</v>
      </c>
      <c r="AB326">
        <v>22</v>
      </c>
      <c r="AC326">
        <v>16.6816</v>
      </c>
      <c r="AD326">
        <v>-1.070789097357</v>
      </c>
      <c r="AE326">
        <v>-0.241300000000023</v>
      </c>
      <c r="AF326">
        <v>-0.111020589114597</v>
      </c>
      <c r="AG326">
        <v>-1.070789097357</v>
      </c>
      <c r="AH326">
        <v>16.614529565840002</v>
      </c>
      <c r="AI326">
        <v>93.687471138040294</v>
      </c>
      <c r="AJ326">
        <v>90.382852640969006</v>
      </c>
      <c r="AK326">
        <v>16.649369584353501</v>
      </c>
      <c r="AL326">
        <v>93.077733241186095</v>
      </c>
      <c r="AM326">
        <v>88.831022773701804</v>
      </c>
      <c r="AN326">
        <v>1.0000000121633701</v>
      </c>
    </row>
    <row r="327" spans="1:40" x14ac:dyDescent="0.25">
      <c r="A327" t="str">
        <f>"20190303154738244"</f>
        <v>20190303154738244</v>
      </c>
      <c r="B327" t="str">
        <f>"1551599258240962"</f>
        <v>1551599258240962</v>
      </c>
      <c r="C327" t="s">
        <v>40</v>
      </c>
      <c r="D327">
        <v>5.1057589999999999</v>
      </c>
      <c r="E327">
        <v>0.48984689999999997</v>
      </c>
      <c r="F327" t="s">
        <v>41</v>
      </c>
      <c r="G327">
        <v>-393.07209999999998</v>
      </c>
      <c r="H327" s="1">
        <v>-3.2610749999999999E-6</v>
      </c>
      <c r="I327">
        <v>367.887</v>
      </c>
      <c r="J327">
        <v>-409.90039999999999</v>
      </c>
      <c r="K327">
        <v>1.0707390000000001</v>
      </c>
      <c r="L327">
        <v>368.14190000000002</v>
      </c>
      <c r="M327">
        <v>0.99966440000000001</v>
      </c>
      <c r="N327">
        <v>-1.419803E-2</v>
      </c>
      <c r="O327">
        <v>-2.1673479999999998E-2</v>
      </c>
      <c r="P327">
        <v>0.99679910000000005</v>
      </c>
      <c r="Q327">
        <v>-6.7923839999999999E-2</v>
      </c>
      <c r="R327">
        <v>-4.2171970000000003E-2</v>
      </c>
      <c r="S327">
        <v>2.9948429999999999</v>
      </c>
      <c r="T327">
        <v>-0.18802479999999999</v>
      </c>
      <c r="U327">
        <v>-4.5715329999999998E-2</v>
      </c>
      <c r="V327">
        <v>2.0513699999999999E-2</v>
      </c>
      <c r="W327">
        <v>-5.3770770000000002E-2</v>
      </c>
      <c r="X327">
        <v>0.99834259999999997</v>
      </c>
      <c r="Y327">
        <v>-6.37289E-3</v>
      </c>
      <c r="Z327">
        <v>1.296801E-3</v>
      </c>
      <c r="AA327">
        <v>0.99997879999999995</v>
      </c>
      <c r="AB327">
        <v>22</v>
      </c>
      <c r="AC327">
        <v>16.828299999999999</v>
      </c>
      <c r="AD327">
        <v>-1.0707422610749999</v>
      </c>
      <c r="AE327">
        <v>-0.25490000000007701</v>
      </c>
      <c r="AF327">
        <v>-0.109481306437878</v>
      </c>
      <c r="AG327">
        <v>-1.0707422610749999</v>
      </c>
      <c r="AH327">
        <v>16.762026648021902</v>
      </c>
      <c r="AI327">
        <v>93.654955854796199</v>
      </c>
      <c r="AJ327">
        <v>90.374222504699105</v>
      </c>
      <c r="AK327">
        <v>16.796547636199101</v>
      </c>
      <c r="AL327">
        <v>93.0823246352778</v>
      </c>
      <c r="AM327">
        <v>88.822865958677596</v>
      </c>
      <c r="AN327">
        <v>1.0000000272844201</v>
      </c>
    </row>
    <row r="328" spans="1:40" x14ac:dyDescent="0.25">
      <c r="A328" t="str">
        <f>"20190303154738267"</f>
        <v>20190303154738267</v>
      </c>
      <c r="B328" t="str">
        <f>"1551599258260481"</f>
        <v>1551599258260481</v>
      </c>
      <c r="C328" t="s">
        <v>40</v>
      </c>
      <c r="D328">
        <v>5.1116359999999998</v>
      </c>
      <c r="E328">
        <v>0.48964950000000002</v>
      </c>
      <c r="F328" t="s">
        <v>41</v>
      </c>
      <c r="G328">
        <v>-392.78489999999999</v>
      </c>
      <c r="H328" s="1">
        <v>-3.3856860000000001E-6</v>
      </c>
      <c r="I328">
        <v>367.87920000000003</v>
      </c>
      <c r="J328">
        <v>-409.67989999999998</v>
      </c>
      <c r="K328">
        <v>1.0706800000000001</v>
      </c>
      <c r="L328">
        <v>368.13650000000001</v>
      </c>
      <c r="M328">
        <v>0.99965729999999997</v>
      </c>
      <c r="N328">
        <v>-1.39109E-2</v>
      </c>
      <c r="O328">
        <v>-2.2182549999999999E-2</v>
      </c>
      <c r="P328">
        <v>0.99680199999999997</v>
      </c>
      <c r="Q328">
        <v>-6.75486E-2</v>
      </c>
      <c r="R328">
        <v>-4.2700780000000001E-2</v>
      </c>
      <c r="S328">
        <v>2.9949340000000002</v>
      </c>
      <c r="T328">
        <v>-0.18736149999999999</v>
      </c>
      <c r="U328">
        <v>-4.5959470000000002E-2</v>
      </c>
      <c r="V328">
        <v>2.0535370000000001E-2</v>
      </c>
      <c r="W328">
        <v>-5.3681600000000003E-2</v>
      </c>
      <c r="X328">
        <v>0.99834690000000004</v>
      </c>
      <c r="Y328">
        <v>-6.7994719999999896E-3</v>
      </c>
      <c r="Z328">
        <v>1.3375939999999999E-3</v>
      </c>
      <c r="AA328">
        <v>0.99997599999999998</v>
      </c>
      <c r="AB328">
        <v>22</v>
      </c>
      <c r="AC328">
        <v>16.8949999999999</v>
      </c>
      <c r="AD328">
        <v>-1.0706833856860001</v>
      </c>
      <c r="AE328">
        <v>-0.25729999999998598</v>
      </c>
      <c r="AF328">
        <v>-0.117103526394275</v>
      </c>
      <c r="AG328">
        <v>-1.0706833856860001</v>
      </c>
      <c r="AH328">
        <v>16.828978704417999</v>
      </c>
      <c r="AI328">
        <v>93.640244147584596</v>
      </c>
      <c r="AJ328">
        <v>90.398683108323397</v>
      </c>
      <c r="AK328">
        <v>16.863410105374101</v>
      </c>
      <c r="AL328">
        <v>93.077208344692906</v>
      </c>
      <c r="AM328">
        <v>88.821627897292302</v>
      </c>
      <c r="AN328">
        <v>0.99999997416960296</v>
      </c>
    </row>
    <row r="329" spans="1:40" x14ac:dyDescent="0.25">
      <c r="A329" t="str">
        <f>"20190303154738290"</f>
        <v>20190303154738290</v>
      </c>
      <c r="B329" t="str">
        <f>"1551599258280609"</f>
        <v>1551599258280609</v>
      </c>
      <c r="C329" t="s">
        <v>40</v>
      </c>
      <c r="D329">
        <v>5.0925919999999998</v>
      </c>
      <c r="E329">
        <v>0.48949599999999999</v>
      </c>
      <c r="F329" t="s">
        <v>41</v>
      </c>
      <c r="G329">
        <v>-392.44880000000001</v>
      </c>
      <c r="H329" s="1">
        <v>-3.5308589999999999E-6</v>
      </c>
      <c r="I329">
        <v>367.87369999999999</v>
      </c>
      <c r="J329">
        <v>-409.46589999999998</v>
      </c>
      <c r="K329">
        <v>1.0706180000000001</v>
      </c>
      <c r="L329">
        <v>368.13119999999998</v>
      </c>
      <c r="M329">
        <v>0.99965079999999995</v>
      </c>
      <c r="N329">
        <v>-1.3579870000000001E-2</v>
      </c>
      <c r="O329">
        <v>-2.267369E-2</v>
      </c>
      <c r="P329">
        <v>0.99678009999999995</v>
      </c>
      <c r="Q329">
        <v>-6.7633070000000003E-2</v>
      </c>
      <c r="R329">
        <v>-4.3077200000000003E-2</v>
      </c>
      <c r="S329">
        <v>2.995117</v>
      </c>
      <c r="T329">
        <v>-0.1861061</v>
      </c>
      <c r="U329">
        <v>-4.5684809999999999E-2</v>
      </c>
      <c r="V329">
        <v>2.0422929999999999E-2</v>
      </c>
      <c r="W329">
        <v>-5.4096169999999999E-2</v>
      </c>
      <c r="X329">
        <v>0.99832679999999996</v>
      </c>
      <c r="Y329">
        <v>-7.3817049999999997E-3</v>
      </c>
      <c r="Z329">
        <v>1.378858E-3</v>
      </c>
      <c r="AA329">
        <v>0.99997179999999997</v>
      </c>
      <c r="AB329">
        <v>22</v>
      </c>
      <c r="AC329">
        <v>17.0170999999999</v>
      </c>
      <c r="AD329">
        <v>-1.0706215308589999</v>
      </c>
      <c r="AE329">
        <v>-0.25749999999999301</v>
      </c>
      <c r="AF329">
        <v>-0.12793591436673499</v>
      </c>
      <c r="AG329">
        <v>-1.0706215308589999</v>
      </c>
      <c r="AH329">
        <v>16.9514809588654</v>
      </c>
      <c r="AI329">
        <v>93.613783764323401</v>
      </c>
      <c r="AJ329">
        <v>90.432413473971394</v>
      </c>
      <c r="AK329">
        <v>16.985738275368</v>
      </c>
      <c r="AL329">
        <v>93.100996110316402</v>
      </c>
      <c r="AM329">
        <v>88.828054599479401</v>
      </c>
      <c r="AN329">
        <v>0.99999994563834504</v>
      </c>
    </row>
    <row r="330" spans="1:40" x14ac:dyDescent="0.25">
      <c r="A330" t="str">
        <f>"20190303154738313"</f>
        <v>20190303154738313</v>
      </c>
      <c r="B330" t="str">
        <f>"1551599258301106"</f>
        <v>1551599258301106</v>
      </c>
      <c r="C330" t="s">
        <v>40</v>
      </c>
      <c r="D330">
        <v>5.0848620000000002</v>
      </c>
      <c r="E330">
        <v>0.48935070000000003</v>
      </c>
      <c r="F330" t="s">
        <v>41</v>
      </c>
      <c r="G330">
        <v>-392.25200000000001</v>
      </c>
      <c r="H330" s="1">
        <v>-3.6163789999999999E-6</v>
      </c>
      <c r="I330">
        <v>367.86770000000001</v>
      </c>
      <c r="J330">
        <v>-409.23630000000003</v>
      </c>
      <c r="K330">
        <v>1.0705480000000001</v>
      </c>
      <c r="L330">
        <v>368.12540000000001</v>
      </c>
      <c r="M330">
        <v>0.99964430000000004</v>
      </c>
      <c r="N330">
        <v>-1.3171550000000001E-2</v>
      </c>
      <c r="O330">
        <v>-2.3197140000000002E-2</v>
      </c>
      <c r="P330">
        <v>0.99672939999999999</v>
      </c>
      <c r="Q330">
        <v>-6.8179100000000006E-2</v>
      </c>
      <c r="R330">
        <v>-4.339134E-2</v>
      </c>
      <c r="S330">
        <v>2.9950869999999998</v>
      </c>
      <c r="T330">
        <v>-0.186278</v>
      </c>
      <c r="U330">
        <v>-4.58374E-2</v>
      </c>
      <c r="V330">
        <v>2.0216290000000001E-2</v>
      </c>
      <c r="W330">
        <v>-5.5049699999999903E-2</v>
      </c>
      <c r="X330">
        <v>0.99827889999999997</v>
      </c>
      <c r="Y330">
        <v>-7.8519330000000002E-3</v>
      </c>
      <c r="Z330">
        <v>1.4314589999999999E-3</v>
      </c>
      <c r="AA330">
        <v>0.99996819999999997</v>
      </c>
      <c r="AB330">
        <v>22</v>
      </c>
      <c r="AC330">
        <v>16.984300000000001</v>
      </c>
      <c r="AD330">
        <v>-1.0705516163789901</v>
      </c>
      <c r="AE330">
        <v>-0.25769999999999899</v>
      </c>
      <c r="AF330">
        <v>-0.13585104477179899</v>
      </c>
      <c r="AG330">
        <v>-1.0705516163789901</v>
      </c>
      <c r="AH330">
        <v>16.918505365725501</v>
      </c>
      <c r="AI330">
        <v>93.620559223955198</v>
      </c>
      <c r="AJ330">
        <v>90.460059801825594</v>
      </c>
      <c r="AK330">
        <v>16.952886482241901</v>
      </c>
      <c r="AL330">
        <v>93.155710835494403</v>
      </c>
      <c r="AM330">
        <v>88.839853482595601</v>
      </c>
      <c r="AN330">
        <v>0.99999996501833099</v>
      </c>
    </row>
    <row r="331" spans="1:40" x14ac:dyDescent="0.25">
      <c r="A331" t="str">
        <f>"20190303154738334"</f>
        <v>20190303154738334</v>
      </c>
      <c r="B331" t="str">
        <f>"1551599258331361"</f>
        <v>1551599258331361</v>
      </c>
      <c r="C331" t="s">
        <v>40</v>
      </c>
      <c r="D331">
        <v>5.0600319999999996</v>
      </c>
      <c r="E331">
        <v>0.48908069999999998</v>
      </c>
      <c r="F331" t="s">
        <v>41</v>
      </c>
      <c r="G331">
        <v>-392.1712</v>
      </c>
      <c r="H331" s="1">
        <v>-3.6510689999999999E-6</v>
      </c>
      <c r="I331">
        <v>367.8673</v>
      </c>
      <c r="J331">
        <v>-409.02269999999999</v>
      </c>
      <c r="K331">
        <v>1.0704800000000001</v>
      </c>
      <c r="L331">
        <v>368.1198</v>
      </c>
      <c r="M331">
        <v>0.99963840000000004</v>
      </c>
      <c r="N331">
        <v>-1.275051E-2</v>
      </c>
      <c r="O331">
        <v>-2.367665E-2</v>
      </c>
      <c r="P331">
        <v>0.99667600000000001</v>
      </c>
      <c r="Q331">
        <v>-6.8524870000000002E-2</v>
      </c>
      <c r="R331">
        <v>-4.405941E-2</v>
      </c>
      <c r="S331">
        <v>2.9950260000000002</v>
      </c>
      <c r="T331">
        <v>-0.1878879</v>
      </c>
      <c r="U331">
        <v>-4.5288090000000003E-2</v>
      </c>
      <c r="V331">
        <v>2.0407399999999999E-2</v>
      </c>
      <c r="W331">
        <v>-5.5816009999999999E-2</v>
      </c>
      <c r="X331">
        <v>0.99823249999999997</v>
      </c>
      <c r="Y331">
        <v>-8.5110719999999997E-3</v>
      </c>
      <c r="Z331">
        <v>1.5029349999999999E-3</v>
      </c>
      <c r="AA331">
        <v>0.99996260000000003</v>
      </c>
      <c r="AB331">
        <v>22</v>
      </c>
      <c r="AC331">
        <v>16.851499999999898</v>
      </c>
      <c r="AD331">
        <v>-1.0704836510689999</v>
      </c>
      <c r="AE331">
        <v>-0.252499999999997</v>
      </c>
      <c r="AF331">
        <v>-0.14600124511843801</v>
      </c>
      <c r="AG331">
        <v>-1.0704836510689999</v>
      </c>
      <c r="AH331">
        <v>16.785035510791101</v>
      </c>
      <c r="AI331">
        <v>93.649019994876895</v>
      </c>
      <c r="AJ331">
        <v>90.498363210510405</v>
      </c>
      <c r="AK331">
        <v>16.819770174092699</v>
      </c>
      <c r="AL331">
        <v>93.199684647630505</v>
      </c>
      <c r="AM331">
        <v>88.828834926528202</v>
      </c>
      <c r="AN331">
        <v>1.0000000065016601</v>
      </c>
    </row>
    <row r="332" spans="1:40" x14ac:dyDescent="0.25">
      <c r="A332" t="str">
        <f>"20190303154738356"</f>
        <v>20190303154738356</v>
      </c>
      <c r="B332" t="str">
        <f>"1551599258350881"</f>
        <v>1551599258350881</v>
      </c>
      <c r="C332" t="s">
        <v>40</v>
      </c>
      <c r="D332">
        <v>5.0721819999999997</v>
      </c>
      <c r="E332">
        <v>0.4889578</v>
      </c>
      <c r="F332" t="s">
        <v>41</v>
      </c>
      <c r="G332">
        <v>-392.06209999999999</v>
      </c>
      <c r="H332" s="1">
        <v>-3.6987639999999999E-6</v>
      </c>
      <c r="I332">
        <v>367.8623</v>
      </c>
      <c r="J332">
        <v>-408.79790000000003</v>
      </c>
      <c r="K332">
        <v>1.0704149999999999</v>
      </c>
      <c r="L332">
        <v>368.11399999999998</v>
      </c>
      <c r="M332">
        <v>0.99963259999999998</v>
      </c>
      <c r="N332">
        <v>-1.228359E-2</v>
      </c>
      <c r="O332">
        <v>-2.4170759999999999E-2</v>
      </c>
      <c r="P332">
        <v>0.99665610000000004</v>
      </c>
      <c r="Q332">
        <v>-6.8342310000000003E-2</v>
      </c>
      <c r="R332">
        <v>-4.4795160000000001E-2</v>
      </c>
      <c r="S332">
        <v>2.9950559999999999</v>
      </c>
      <c r="T332">
        <v>-0.18903539999999999</v>
      </c>
      <c r="U332">
        <v>-4.5471190000000002E-2</v>
      </c>
      <c r="V332">
        <v>2.0650680000000001E-2</v>
      </c>
      <c r="W332">
        <v>-5.6099429999999999E-2</v>
      </c>
      <c r="X332">
        <v>0.99821159999999998</v>
      </c>
      <c r="Y332">
        <v>-8.9414619999999903E-3</v>
      </c>
      <c r="Z332">
        <v>1.5639409999999999E-3</v>
      </c>
      <c r="AA332">
        <v>0.99995880000000004</v>
      </c>
      <c r="AB332">
        <v>22</v>
      </c>
      <c r="AC332">
        <v>16.735800000000001</v>
      </c>
      <c r="AD332">
        <v>-1.0704186987640001</v>
      </c>
      <c r="AE332">
        <v>-0.25170000000002801</v>
      </c>
      <c r="AF332">
        <v>-0.15229809388357901</v>
      </c>
      <c r="AG332">
        <v>-1.0704186987640001</v>
      </c>
      <c r="AH332">
        <v>16.668819689855901</v>
      </c>
      <c r="AI332">
        <v>93.674155023820404</v>
      </c>
      <c r="AJ332">
        <v>90.523480088402806</v>
      </c>
      <c r="AK332">
        <v>16.7038480821932</v>
      </c>
      <c r="AL332">
        <v>93.215948930200398</v>
      </c>
      <c r="AM332">
        <v>88.814852425533701</v>
      </c>
      <c r="AN332">
        <v>0.99999999750267299</v>
      </c>
    </row>
    <row r="333" spans="1:40" x14ac:dyDescent="0.25">
      <c r="A333" t="str">
        <f>"20190303154738379"</f>
        <v>20190303154738379</v>
      </c>
      <c r="B333" t="str">
        <f>"1551599258371377"</f>
        <v>1551599258371377</v>
      </c>
      <c r="C333" t="s">
        <v>40</v>
      </c>
      <c r="D333">
        <v>5.0485530000000001</v>
      </c>
      <c r="E333">
        <v>0.48883219999999999</v>
      </c>
      <c r="F333" t="s">
        <v>41</v>
      </c>
      <c r="G333">
        <v>-391.76319999999998</v>
      </c>
      <c r="H333" s="1">
        <v>-3.8291579999999998E-6</v>
      </c>
      <c r="I333">
        <v>367.8501</v>
      </c>
      <c r="J333">
        <v>-408.5829</v>
      </c>
      <c r="K333">
        <v>1.0703590000000001</v>
      </c>
      <c r="L333">
        <v>368.10820000000001</v>
      </c>
      <c r="M333">
        <v>0.99962660000000003</v>
      </c>
      <c r="N333">
        <v>-1.183713E-2</v>
      </c>
      <c r="O333">
        <v>-2.463104E-2</v>
      </c>
      <c r="P333">
        <v>0.99663310000000005</v>
      </c>
      <c r="Q333">
        <v>-6.8033640000000006E-2</v>
      </c>
      <c r="R333">
        <v>-4.5761839999999998E-2</v>
      </c>
      <c r="S333">
        <v>2.9950559999999999</v>
      </c>
      <c r="T333">
        <v>-0.18820120000000001</v>
      </c>
      <c r="U333">
        <v>-4.6386719999999999E-2</v>
      </c>
      <c r="V333">
        <v>2.1158989999999999E-2</v>
      </c>
      <c r="W333">
        <v>-5.6236540000000002E-2</v>
      </c>
      <c r="X333">
        <v>0.99819329999999995</v>
      </c>
      <c r="Y333">
        <v>-9.0953040000000002E-3</v>
      </c>
      <c r="Z333">
        <v>1.593945E-3</v>
      </c>
      <c r="AA333">
        <v>0.9999574</v>
      </c>
      <c r="AB333">
        <v>22</v>
      </c>
      <c r="AC333">
        <v>16.819700000000001</v>
      </c>
      <c r="AD333">
        <v>-1.0703628291580001</v>
      </c>
      <c r="AE333">
        <v>-0.25810000000001299</v>
      </c>
      <c r="AF333">
        <v>-0.15566376976388499</v>
      </c>
      <c r="AG333">
        <v>-1.0703628291580001</v>
      </c>
      <c r="AH333">
        <v>16.753124494368201</v>
      </c>
      <c r="AI333">
        <v>93.655520771054796</v>
      </c>
      <c r="AJ333">
        <v>90.532355643776995</v>
      </c>
      <c r="AK333">
        <v>16.788004292323201</v>
      </c>
      <c r="AL333">
        <v>93.223816981540907</v>
      </c>
      <c r="AM333">
        <v>88.785666764792694</v>
      </c>
      <c r="AN333">
        <v>1.0000000577269299</v>
      </c>
    </row>
    <row r="334" spans="1:40" x14ac:dyDescent="0.25">
      <c r="A334" t="str">
        <f>"20190303154738400"</f>
        <v>20190303154738400</v>
      </c>
      <c r="B334" t="str">
        <f>"1551599258391013"</f>
        <v>1551599258391013</v>
      </c>
      <c r="C334" t="s">
        <v>40</v>
      </c>
      <c r="D334">
        <v>5.0612490000000001</v>
      </c>
      <c r="E334">
        <v>0.4887205</v>
      </c>
      <c r="F334" t="s">
        <v>41</v>
      </c>
      <c r="G334">
        <v>-391.43029999999999</v>
      </c>
      <c r="H334" s="1">
        <v>-3.975389E-6</v>
      </c>
      <c r="I334">
        <v>367.83080000000001</v>
      </c>
      <c r="J334">
        <v>-408.36340000000001</v>
      </c>
      <c r="K334">
        <v>1.0703129999999901</v>
      </c>
      <c r="L334">
        <v>368.10230000000001</v>
      </c>
      <c r="M334">
        <v>0.99962039999999996</v>
      </c>
      <c r="N334">
        <v>-1.139887E-2</v>
      </c>
      <c r="O334">
        <v>-2.5090040000000001E-2</v>
      </c>
      <c r="P334">
        <v>0.99661270000000002</v>
      </c>
      <c r="Q334">
        <v>-6.7786349999999995E-2</v>
      </c>
      <c r="R334">
        <v>-4.656925E-2</v>
      </c>
      <c r="S334">
        <v>2.9951479999999999</v>
      </c>
      <c r="T334">
        <v>-0.18690319999999999</v>
      </c>
      <c r="U334">
        <v>-4.8431399999999999E-2</v>
      </c>
      <c r="V334">
        <v>2.150908E-2</v>
      </c>
      <c r="W334">
        <v>-5.6426740000000003E-2</v>
      </c>
      <c r="X334">
        <v>0.99817500000000003</v>
      </c>
      <c r="Y334">
        <v>-8.8726480000000003E-3</v>
      </c>
      <c r="Z334">
        <v>1.6052250000000001E-3</v>
      </c>
      <c r="AA334">
        <v>0.9999593</v>
      </c>
      <c r="AB334">
        <v>22</v>
      </c>
      <c r="AC334">
        <v>16.9331</v>
      </c>
      <c r="AD334">
        <v>-1.0703169753889901</v>
      </c>
      <c r="AE334">
        <v>-0.27150000000000302</v>
      </c>
      <c r="AF334">
        <v>-0.15285461186216301</v>
      </c>
      <c r="AG334">
        <v>-1.0703169753889901</v>
      </c>
      <c r="AH334">
        <v>16.867208455025199</v>
      </c>
      <c r="AI334">
        <v>93.630714951785095</v>
      </c>
      <c r="AJ334">
        <v>90.519213622598201</v>
      </c>
      <c r="AK334">
        <v>16.901824280989501</v>
      </c>
      <c r="AL334">
        <v>93.234732240868397</v>
      </c>
      <c r="AM334">
        <v>88.765558330770901</v>
      </c>
      <c r="AN334">
        <v>0.99999997406723595</v>
      </c>
    </row>
    <row r="335" spans="1:40" x14ac:dyDescent="0.25">
      <c r="A335" t="str">
        <f>"20190303154738414"</f>
        <v>20190303154738414</v>
      </c>
      <c r="B335" t="str">
        <f>"1551599258410530"</f>
        <v>1551599258410530</v>
      </c>
      <c r="C335" t="s">
        <v>40</v>
      </c>
      <c r="D335">
        <v>5.051342</v>
      </c>
      <c r="E335">
        <v>0.48860799999999999</v>
      </c>
      <c r="F335" t="s">
        <v>41</v>
      </c>
      <c r="G335">
        <v>-391.09440000000001</v>
      </c>
      <c r="H335" s="1">
        <v>-4.122394E-6</v>
      </c>
      <c r="I335">
        <v>367.81459999999998</v>
      </c>
      <c r="J335">
        <v>-408.22489999999999</v>
      </c>
      <c r="K335">
        <v>1.07029</v>
      </c>
      <c r="L335">
        <v>368.0985</v>
      </c>
      <c r="M335">
        <v>0.99961610000000001</v>
      </c>
      <c r="N335">
        <v>-1.1138530000000001E-2</v>
      </c>
      <c r="O335">
        <v>-2.537184E-2</v>
      </c>
      <c r="P335">
        <v>0.99661670000000002</v>
      </c>
      <c r="Q335">
        <v>-6.7333039999999997E-2</v>
      </c>
      <c r="R335">
        <v>-4.7137440000000003E-2</v>
      </c>
      <c r="S335">
        <v>2.9952390000000002</v>
      </c>
      <c r="T335">
        <v>-0.18564050000000001</v>
      </c>
      <c r="U335">
        <v>-4.9896240000000001E-2</v>
      </c>
      <c r="V335">
        <v>2.1796320000000001E-2</v>
      </c>
      <c r="W335">
        <v>-5.6233129999999999E-2</v>
      </c>
      <c r="X335">
        <v>0.9981797</v>
      </c>
      <c r="Y335">
        <v>-8.6666980000000005E-3</v>
      </c>
      <c r="Z335">
        <v>1.6048989999999999E-3</v>
      </c>
      <c r="AA335">
        <v>0.99996110000000005</v>
      </c>
      <c r="AB335">
        <v>22</v>
      </c>
      <c r="AC335">
        <v>17.130499999999898</v>
      </c>
      <c r="AD335">
        <v>-1.0702941223939999</v>
      </c>
      <c r="AE335">
        <v>-0.28390000000001597</v>
      </c>
      <c r="AF335">
        <v>-0.150264229910817</v>
      </c>
      <c r="AG335">
        <v>-1.0702941223939999</v>
      </c>
      <c r="AH335">
        <v>17.0655891509643</v>
      </c>
      <c r="AI335">
        <v>93.588552070000901</v>
      </c>
      <c r="AJ335">
        <v>90.504482067516506</v>
      </c>
      <c r="AK335">
        <v>17.099779001985102</v>
      </c>
      <c r="AL335">
        <v>93.223621547387793</v>
      </c>
      <c r="AM335">
        <v>88.749084243992797</v>
      </c>
      <c r="AN335">
        <v>0.99999997898361404</v>
      </c>
    </row>
    <row r="336" spans="1:40" x14ac:dyDescent="0.25">
      <c r="A336" t="str">
        <f>"20190303154738433"</f>
        <v>20190303154738433</v>
      </c>
      <c r="B336" t="str">
        <f>"1551599258431026"</f>
        <v>1551599258431026</v>
      </c>
      <c r="C336" t="s">
        <v>40</v>
      </c>
      <c r="D336">
        <v>5.0440440000000004</v>
      </c>
      <c r="E336">
        <v>0.48849730000000002</v>
      </c>
      <c r="F336" t="s">
        <v>41</v>
      </c>
      <c r="G336">
        <v>-390.78960000000001</v>
      </c>
      <c r="H336" s="1">
        <v>-4.255319E-6</v>
      </c>
      <c r="I336">
        <v>367.80220000000003</v>
      </c>
      <c r="J336">
        <v>-408.02890000000002</v>
      </c>
      <c r="K336">
        <v>1.070265</v>
      </c>
      <c r="L336">
        <v>368.09309999999999</v>
      </c>
      <c r="M336">
        <v>0.99960979999999999</v>
      </c>
      <c r="N336">
        <v>-1.078786E-2</v>
      </c>
      <c r="O336">
        <v>-2.576461E-2</v>
      </c>
      <c r="P336">
        <v>0.99664750000000002</v>
      </c>
      <c r="Q336">
        <v>-6.6452769999999994E-2</v>
      </c>
      <c r="R336">
        <v>-4.7728140000000002E-2</v>
      </c>
      <c r="S336">
        <v>2.9953609999999999</v>
      </c>
      <c r="T336">
        <v>-0.1838745</v>
      </c>
      <c r="U336">
        <v>-5.0903320000000002E-2</v>
      </c>
      <c r="V336">
        <v>2.1995000000000001E-2</v>
      </c>
      <c r="W336">
        <v>-5.5702330000000001E-2</v>
      </c>
      <c r="X336">
        <v>0.99820509999999996</v>
      </c>
      <c r="Y336">
        <v>-8.724206E-3</v>
      </c>
      <c r="Z336">
        <v>1.6166399999999999E-3</v>
      </c>
      <c r="AA336">
        <v>0.99996070000000004</v>
      </c>
      <c r="AB336">
        <v>22</v>
      </c>
      <c r="AC336">
        <v>17.2393</v>
      </c>
      <c r="AD336">
        <v>-1.0702692553190001</v>
      </c>
      <c r="AE336">
        <v>-0.29089999999996502</v>
      </c>
      <c r="AF336">
        <v>-0.152797518560013</v>
      </c>
      <c r="AG336">
        <v>-1.0702692553190001</v>
      </c>
      <c r="AH336">
        <v>17.174893340451099</v>
      </c>
      <c r="AI336">
        <v>93.565687463361797</v>
      </c>
      <c r="AJ336">
        <v>90.509722057510203</v>
      </c>
      <c r="AK336">
        <v>17.208886791900099</v>
      </c>
      <c r="AL336">
        <v>93.193161213132896</v>
      </c>
      <c r="AM336">
        <v>88.737717554148901</v>
      </c>
      <c r="AN336">
        <v>0.99999997562921905</v>
      </c>
    </row>
    <row r="337" spans="1:40" x14ac:dyDescent="0.25">
      <c r="A337" t="str">
        <f>"20190303154738457"</f>
        <v>20190303154738457</v>
      </c>
      <c r="B337" t="str">
        <f>"1551599258450546"</f>
        <v>1551599258450546</v>
      </c>
      <c r="C337" t="s">
        <v>40</v>
      </c>
      <c r="D337">
        <v>5.1102600000000002</v>
      </c>
      <c r="E337">
        <v>0.4885253</v>
      </c>
      <c r="F337" t="s">
        <v>41</v>
      </c>
      <c r="G337">
        <v>-390.3066</v>
      </c>
      <c r="H337" s="1">
        <v>-4.465083E-6</v>
      </c>
      <c r="I337">
        <v>367.7878</v>
      </c>
      <c r="J337">
        <v>-407.80040000000002</v>
      </c>
      <c r="K337">
        <v>1.0702339999999999</v>
      </c>
      <c r="L337">
        <v>368.08670000000001</v>
      </c>
      <c r="M337">
        <v>0.9996024</v>
      </c>
      <c r="N337">
        <v>-1.039721E-2</v>
      </c>
      <c r="O337">
        <v>-2.6212050000000001E-2</v>
      </c>
      <c r="P337">
        <v>0.99667190000000006</v>
      </c>
      <c r="Q337">
        <v>-6.5793809999999994E-2</v>
      </c>
      <c r="R337">
        <v>-4.8128919999999999E-2</v>
      </c>
      <c r="S337">
        <v>2.9955750000000001</v>
      </c>
      <c r="T337">
        <v>-0.18090519999999999</v>
      </c>
      <c r="U337">
        <v>-5.160522E-2</v>
      </c>
      <c r="V337">
        <v>2.19495E-2</v>
      </c>
      <c r="W337">
        <v>-5.543265E-2</v>
      </c>
      <c r="X337">
        <v>0.99822120000000003</v>
      </c>
      <c r="Y337">
        <v>-8.9391079999999994E-3</v>
      </c>
      <c r="Z337">
        <v>1.625011E-3</v>
      </c>
      <c r="AA337">
        <v>0.99995880000000004</v>
      </c>
      <c r="AB337">
        <v>22</v>
      </c>
      <c r="AC337">
        <v>17.4938</v>
      </c>
      <c r="AD337">
        <v>-1.0702384650829999</v>
      </c>
      <c r="AE337">
        <v>-0.298900000000003</v>
      </c>
      <c r="AF337">
        <v>-0.15918022805205401</v>
      </c>
      <c r="AG337">
        <v>-1.0702384650829999</v>
      </c>
      <c r="AH337">
        <v>17.430404871228099</v>
      </c>
      <c r="AI337">
        <v>93.513441845318496</v>
      </c>
      <c r="AJ337">
        <v>90.523229482339005</v>
      </c>
      <c r="AK337">
        <v>17.463956100840299</v>
      </c>
      <c r="AL337">
        <v>93.177685502576196</v>
      </c>
      <c r="AM337">
        <v>88.740348245297497</v>
      </c>
      <c r="AN337">
        <v>1.0000000616828499</v>
      </c>
    </row>
    <row r="338" spans="1:40" x14ac:dyDescent="0.25">
      <c r="A338" t="str">
        <f>"20190303154738478"</f>
        <v>20190303154738478</v>
      </c>
      <c r="B338" t="str">
        <f>"1551599258471045"</f>
        <v>1551599258471045</v>
      </c>
      <c r="C338" t="s">
        <v>40</v>
      </c>
      <c r="D338">
        <v>5.1405940000000001</v>
      </c>
      <c r="E338">
        <v>0.51535310000000001</v>
      </c>
      <c r="F338" t="s">
        <v>41</v>
      </c>
      <c r="G338">
        <v>-389.85140000000001</v>
      </c>
      <c r="H338" s="1">
        <v>-5.2865159999999999E-7</v>
      </c>
      <c r="I338">
        <v>367.767</v>
      </c>
      <c r="J338">
        <v>-407.58120000000002</v>
      </c>
      <c r="K338">
        <v>1.070206</v>
      </c>
      <c r="L338">
        <v>368.08049999999997</v>
      </c>
      <c r="M338">
        <v>0.99959529999999996</v>
      </c>
      <c r="N338">
        <v>-1.0022919999999999E-2</v>
      </c>
      <c r="O338">
        <v>-2.6627919999999999E-2</v>
      </c>
      <c r="P338">
        <v>0.99671399999999999</v>
      </c>
      <c r="Q338">
        <v>-6.5250569999999994E-2</v>
      </c>
      <c r="R338">
        <v>-4.799809E-2</v>
      </c>
      <c r="S338">
        <v>2.9956969999999998</v>
      </c>
      <c r="T338">
        <v>-0.17862249999999999</v>
      </c>
      <c r="U338">
        <v>-5.334473E-2</v>
      </c>
      <c r="V338">
        <v>2.1403459999999999E-2</v>
      </c>
      <c r="W338">
        <v>-5.5261940000000002E-2</v>
      </c>
      <c r="X338">
        <v>0.99824239999999997</v>
      </c>
      <c r="Y338">
        <v>-8.7761469999999998E-3</v>
      </c>
      <c r="Z338">
        <v>1.6246629999999999E-3</v>
      </c>
      <c r="AA338">
        <v>0.99996019999999997</v>
      </c>
      <c r="AB338">
        <v>22</v>
      </c>
      <c r="AC338">
        <v>17.729800000000001</v>
      </c>
      <c r="AD338">
        <v>-1.0702065286516</v>
      </c>
      <c r="AE338">
        <v>-0.31349999999997602</v>
      </c>
      <c r="AF338">
        <v>-0.15816641108125701</v>
      </c>
      <c r="AG338">
        <v>-1.0702065286516</v>
      </c>
      <c r="AH338">
        <v>17.667508161634199</v>
      </c>
      <c r="AI338">
        <v>93.466308587280906</v>
      </c>
      <c r="AJ338">
        <v>90.512920421211007</v>
      </c>
      <c r="AK338">
        <v>17.700598952266301</v>
      </c>
      <c r="AL338">
        <v>93.167889912046505</v>
      </c>
      <c r="AM338">
        <v>88.771701088631303</v>
      </c>
      <c r="AN338">
        <v>0.999999939635145</v>
      </c>
    </row>
    <row r="339" spans="1:40" x14ac:dyDescent="0.25">
      <c r="A339" t="str">
        <f>"20190303154738494"</f>
        <v>20190303154738494</v>
      </c>
      <c r="B339" t="str">
        <f>"1551599258490562"</f>
        <v>1551599258490562</v>
      </c>
      <c r="C339" t="s">
        <v>40</v>
      </c>
      <c r="D339">
        <v>5.2805390000000001</v>
      </c>
      <c r="E339">
        <v>0.52375689999999997</v>
      </c>
      <c r="F339" t="s">
        <v>41</v>
      </c>
      <c r="G339">
        <v>-368.4744</v>
      </c>
      <c r="H339" s="1">
        <v>-1.843171E-6</v>
      </c>
      <c r="I339">
        <v>364.58780000000002</v>
      </c>
      <c r="J339">
        <v>-407.42930000000001</v>
      </c>
      <c r="K339">
        <v>1.0701860000000001</v>
      </c>
      <c r="L339">
        <v>368.0761</v>
      </c>
      <c r="M339">
        <v>0.99959050000000005</v>
      </c>
      <c r="N339">
        <v>-9.7528830000000004E-3</v>
      </c>
      <c r="O339">
        <v>-2.6907319999999998E-2</v>
      </c>
      <c r="P339">
        <v>0.99674390000000002</v>
      </c>
      <c r="Q339">
        <v>-6.475931E-2</v>
      </c>
      <c r="R339">
        <v>-4.8042170000000002E-2</v>
      </c>
      <c r="S339">
        <v>2.991638</v>
      </c>
      <c r="T339">
        <v>-8.1869839999999999E-2</v>
      </c>
      <c r="U339">
        <v>-0.26718140000000001</v>
      </c>
      <c r="V339">
        <v>2.116883E-2</v>
      </c>
      <c r="W339">
        <v>-5.503951E-2</v>
      </c>
      <c r="X339">
        <v>0.99825969999999997</v>
      </c>
      <c r="Y339">
        <v>6.2094009999999998E-2</v>
      </c>
      <c r="Z339">
        <v>-6.7879110000000002E-4</v>
      </c>
      <c r="AA339">
        <v>0.99807009999999996</v>
      </c>
      <c r="AB339">
        <v>23</v>
      </c>
      <c r="AC339">
        <v>38.954900000000002</v>
      </c>
      <c r="AD339">
        <v>-1.0701878431709999</v>
      </c>
      <c r="AE339">
        <v>-3.4882999999999802</v>
      </c>
      <c r="AF339">
        <v>2.4369905621175798</v>
      </c>
      <c r="AG339">
        <v>-1.0701878431709999</v>
      </c>
      <c r="AH339">
        <v>39.005454924572703</v>
      </c>
      <c r="AI339">
        <v>91.568565978665006</v>
      </c>
      <c r="AJ339">
        <v>86.424909890297599</v>
      </c>
      <c r="AK339">
        <v>39.096160155345203</v>
      </c>
      <c r="AL339">
        <v>93.155126159241206</v>
      </c>
      <c r="AM339">
        <v>88.785182993295606</v>
      </c>
      <c r="AN339">
        <v>0.99999994783434798</v>
      </c>
    </row>
    <row r="340" spans="1:40" x14ac:dyDescent="0.25">
      <c r="A340" t="str">
        <f>"20190303154738513"</f>
        <v>20190303154738513</v>
      </c>
      <c r="B340" t="str">
        <f>"1551599258511058"</f>
        <v>1551599258511058</v>
      </c>
      <c r="C340" t="s">
        <v>40</v>
      </c>
      <c r="D340">
        <v>5.3608729999999998</v>
      </c>
      <c r="E340">
        <v>0.58040269999999905</v>
      </c>
      <c r="F340" t="s">
        <v>41</v>
      </c>
      <c r="G340">
        <v>-364.70069999999998</v>
      </c>
      <c r="H340" s="1">
        <v>-3.471305E-6</v>
      </c>
      <c r="I340">
        <v>363.2953</v>
      </c>
      <c r="J340">
        <v>-407.22149999999999</v>
      </c>
      <c r="K340">
        <v>1.070147</v>
      </c>
      <c r="L340">
        <v>368.07010000000002</v>
      </c>
      <c r="M340">
        <v>0.99958400000000003</v>
      </c>
      <c r="N340">
        <v>-9.3707979999999996E-3</v>
      </c>
      <c r="O340">
        <v>-2.7279769999999998E-2</v>
      </c>
      <c r="P340">
        <v>0.99684799999999996</v>
      </c>
      <c r="Q340">
        <v>-6.3571069999999993E-2</v>
      </c>
      <c r="R340">
        <v>-4.7466809999999998E-2</v>
      </c>
      <c r="S340">
        <v>2.988861</v>
      </c>
      <c r="T340">
        <v>-7.4859499999999995E-2</v>
      </c>
      <c r="U340">
        <v>-0.33441159999999998</v>
      </c>
      <c r="V340">
        <v>2.0220439999999999E-2</v>
      </c>
      <c r="W340">
        <v>-5.423091E-2</v>
      </c>
      <c r="X340">
        <v>0.99832370000000004</v>
      </c>
      <c r="Y340">
        <v>8.4006440000000002E-2</v>
      </c>
      <c r="Z340">
        <v>-1.017745E-3</v>
      </c>
      <c r="AA340">
        <v>0.99646469999999998</v>
      </c>
      <c r="AB340">
        <v>23</v>
      </c>
      <c r="AC340">
        <v>42.520800000000001</v>
      </c>
      <c r="AD340">
        <v>-1.0701504713050001</v>
      </c>
      <c r="AE340">
        <v>-4.7748000000000204</v>
      </c>
      <c r="AF340">
        <v>3.61075574846104</v>
      </c>
      <c r="AG340">
        <v>-1.0701504713050001</v>
      </c>
      <c r="AH340">
        <v>42.608582396587103</v>
      </c>
      <c r="AI340">
        <v>91.433593186339905</v>
      </c>
      <c r="AJ340">
        <v>85.156187962273407</v>
      </c>
      <c r="AK340">
        <v>42.774689630119298</v>
      </c>
      <c r="AL340">
        <v>93.108727218529197</v>
      </c>
      <c r="AM340">
        <v>88.839667451111794</v>
      </c>
      <c r="AN340">
        <v>1.00000003388745</v>
      </c>
    </row>
    <row r="341" spans="1:40" x14ac:dyDescent="0.25">
      <c r="A341" t="str">
        <f>"20190303154738535"</f>
        <v>20190303154738535</v>
      </c>
      <c r="B341" t="str">
        <f>"1551599258530578"</f>
        <v>1551599258530578</v>
      </c>
      <c r="C341" t="s">
        <v>40</v>
      </c>
      <c r="D341">
        <v>5.3414859999999997</v>
      </c>
      <c r="E341">
        <v>0.59708640000000002</v>
      </c>
      <c r="F341" t="s">
        <v>41</v>
      </c>
      <c r="G341">
        <v>-372.88510000000002</v>
      </c>
      <c r="H341">
        <v>7.9986009999999996E-2</v>
      </c>
      <c r="I341">
        <v>358.99829999999997</v>
      </c>
      <c r="J341">
        <v>-407.00200000000001</v>
      </c>
      <c r="K341">
        <v>1.070101</v>
      </c>
      <c r="L341">
        <v>368.06369999999998</v>
      </c>
      <c r="M341">
        <v>0.99957739999999995</v>
      </c>
      <c r="N341">
        <v>-8.9541229999999996E-3</v>
      </c>
      <c r="O341">
        <v>-2.7661669999999999E-2</v>
      </c>
      <c r="P341">
        <v>0.99688290000000002</v>
      </c>
      <c r="Q341">
        <v>-6.3096739999999998E-2</v>
      </c>
      <c r="R341">
        <v>-4.7370259999999997E-2</v>
      </c>
      <c r="S341">
        <v>2.9667050000000001</v>
      </c>
      <c r="T341">
        <v>-8.5551020000000005E-2</v>
      </c>
      <c r="U341">
        <v>-0.78381350000000005</v>
      </c>
      <c r="V341">
        <v>1.9742719999999998E-2</v>
      </c>
      <c r="W341">
        <v>-5.41716E-2</v>
      </c>
      <c r="X341">
        <v>0.99833640000000001</v>
      </c>
      <c r="Y341">
        <v>0.22848299999999999</v>
      </c>
      <c r="Z341">
        <v>-3.73909E-3</v>
      </c>
      <c r="AA341">
        <v>0.97354070000000004</v>
      </c>
      <c r="AB341">
        <v>23</v>
      </c>
      <c r="AC341">
        <v>34.116899999999902</v>
      </c>
      <c r="AD341">
        <v>-0.99011499000000003</v>
      </c>
      <c r="AE341">
        <v>-9.0654000000000092</v>
      </c>
      <c r="AF341">
        <v>8.1117812239844795</v>
      </c>
      <c r="AG341">
        <v>-0.99011499000000003</v>
      </c>
      <c r="AH341">
        <v>34.3276128498783</v>
      </c>
      <c r="AI341">
        <v>91.607872428225804</v>
      </c>
      <c r="AJ341">
        <v>76.7046199909378</v>
      </c>
      <c r="AK341">
        <v>35.2869143775754</v>
      </c>
      <c r="AL341">
        <v>93.105324256628407</v>
      </c>
      <c r="AM341">
        <v>88.867088179258602</v>
      </c>
      <c r="AN341">
        <v>0.99999995240225803</v>
      </c>
    </row>
    <row r="342" spans="1:40" x14ac:dyDescent="0.25">
      <c r="A342" t="str">
        <f>"20190303154738558"</f>
        <v>20190303154738558</v>
      </c>
      <c r="B342" t="str">
        <f>"1551599258551074"</f>
        <v>1551599258551074</v>
      </c>
      <c r="C342" t="s">
        <v>40</v>
      </c>
      <c r="D342">
        <v>5.2899890000000003</v>
      </c>
      <c r="E342">
        <v>0.6059175</v>
      </c>
      <c r="F342" t="s">
        <v>41</v>
      </c>
      <c r="G342">
        <v>-372.46890000000002</v>
      </c>
      <c r="H342">
        <v>7.9986199999999993E-2</v>
      </c>
      <c r="I342">
        <v>357.37610000000001</v>
      </c>
      <c r="J342">
        <v>-406.76580000000001</v>
      </c>
      <c r="K342">
        <v>1.070049</v>
      </c>
      <c r="L342">
        <v>368.05680000000001</v>
      </c>
      <c r="M342">
        <v>0.99956999999999996</v>
      </c>
      <c r="N342">
        <v>-8.5001550000000006E-3</v>
      </c>
      <c r="O342">
        <v>-2.8059839999999999E-2</v>
      </c>
      <c r="P342">
        <v>0.99691240000000003</v>
      </c>
      <c r="Q342">
        <v>-6.2883170000000002E-2</v>
      </c>
      <c r="R342">
        <v>-4.702307E-2</v>
      </c>
      <c r="S342">
        <v>2.96048</v>
      </c>
      <c r="T342">
        <v>-8.4881070000000003E-2</v>
      </c>
      <c r="U342">
        <v>-0.91622919999999997</v>
      </c>
      <c r="V342">
        <v>1.8998520000000001E-2</v>
      </c>
      <c r="W342">
        <v>-5.4410300000000002E-2</v>
      </c>
      <c r="X342">
        <v>0.9983379</v>
      </c>
      <c r="Y342">
        <v>0.26860099999999998</v>
      </c>
      <c r="Z342">
        <v>-4.3780590000000001E-3</v>
      </c>
      <c r="AA342">
        <v>0.96324160000000003</v>
      </c>
      <c r="AB342">
        <v>23</v>
      </c>
      <c r="AC342">
        <v>34.296899999999901</v>
      </c>
      <c r="AD342">
        <v>-0.99006280000000002</v>
      </c>
      <c r="AE342">
        <v>-10.6807</v>
      </c>
      <c r="AF342">
        <v>9.7067199648685705</v>
      </c>
      <c r="AG342">
        <v>-0.99006280000000002</v>
      </c>
      <c r="AH342">
        <v>34.556852758376003</v>
      </c>
      <c r="AI342">
        <v>91.579976063528605</v>
      </c>
      <c r="AJ342">
        <v>74.310408391585696</v>
      </c>
      <c r="AK342">
        <v>35.907892020952801</v>
      </c>
      <c r="AL342">
        <v>93.119020831903299</v>
      </c>
      <c r="AM342">
        <v>88.909784314056594</v>
      </c>
      <c r="AN342">
        <v>0.99999999354234503</v>
      </c>
    </row>
    <row r="343" spans="1:40" x14ac:dyDescent="0.25">
      <c r="A343" t="str">
        <f>"20190303154738581"</f>
        <v>20190303154738581</v>
      </c>
      <c r="B343" t="str">
        <f>"1551599258570594"</f>
        <v>1551599258570594</v>
      </c>
      <c r="C343" t="s">
        <v>40</v>
      </c>
      <c r="D343">
        <v>5.3096350000000001</v>
      </c>
      <c r="E343">
        <v>0.61073080000000002</v>
      </c>
      <c r="F343" t="s">
        <v>41</v>
      </c>
      <c r="G343">
        <v>-368.65870000000001</v>
      </c>
      <c r="H343">
        <v>7.998595E-2</v>
      </c>
      <c r="I343">
        <v>355.3562</v>
      </c>
      <c r="J343">
        <v>-406.53840000000002</v>
      </c>
      <c r="K343">
        <v>1.07</v>
      </c>
      <c r="L343">
        <v>368.05</v>
      </c>
      <c r="M343">
        <v>0.99956310000000004</v>
      </c>
      <c r="N343">
        <v>-8.0687520000000002E-3</v>
      </c>
      <c r="O343">
        <v>-2.8432840000000001E-2</v>
      </c>
      <c r="P343">
        <v>0.99688560000000004</v>
      </c>
      <c r="Q343">
        <v>-6.3043039999999995E-2</v>
      </c>
      <c r="R343">
        <v>-4.7381100000000002E-2</v>
      </c>
      <c r="S343">
        <v>2.9579770000000001</v>
      </c>
      <c r="T343">
        <v>-7.6851130000000004E-2</v>
      </c>
      <c r="U343">
        <v>-0.98583980000000004</v>
      </c>
      <c r="V343">
        <v>1.89848E-2</v>
      </c>
      <c r="W343">
        <v>-5.5000739999999999E-2</v>
      </c>
      <c r="X343">
        <v>0.99830580000000002</v>
      </c>
      <c r="Y343">
        <v>0.28896769999999999</v>
      </c>
      <c r="Z343">
        <v>-4.3565899999999996E-3</v>
      </c>
      <c r="AA343">
        <v>0.95732899999999999</v>
      </c>
      <c r="AB343">
        <v>23</v>
      </c>
      <c r="AC343">
        <v>37.8797</v>
      </c>
      <c r="AD343">
        <v>-0.99001404999999998</v>
      </c>
      <c r="AE343">
        <v>-12.6938</v>
      </c>
      <c r="AF343">
        <v>11.6044786061272</v>
      </c>
      <c r="AG343">
        <v>-0.99001404999999998</v>
      </c>
      <c r="AH343">
        <v>38.201856701257697</v>
      </c>
      <c r="AI343">
        <v>91.420445607205707</v>
      </c>
      <c r="AJ343">
        <v>73.102928651174906</v>
      </c>
      <c r="AK343">
        <v>39.937775438332601</v>
      </c>
      <c r="AL343">
        <v>93.152901307682598</v>
      </c>
      <c r="AM343">
        <v>88.910536414490906</v>
      </c>
      <c r="AN343">
        <v>0.99999998717261296</v>
      </c>
    </row>
    <row r="344" spans="1:40" x14ac:dyDescent="0.25">
      <c r="A344" t="str">
        <f>"20190303154738603"</f>
        <v>20190303154738603</v>
      </c>
      <c r="B344" t="str">
        <f>"1551599258591090"</f>
        <v>1551599258591090</v>
      </c>
      <c r="C344" t="s">
        <v>40</v>
      </c>
      <c r="D344">
        <v>5.2503070000000003</v>
      </c>
      <c r="E344">
        <v>0.61360619999999999</v>
      </c>
      <c r="F344" t="s">
        <v>41</v>
      </c>
      <c r="G344">
        <v>-370.22129999999999</v>
      </c>
      <c r="H344">
        <v>7.9986940000000006E-2</v>
      </c>
      <c r="I344">
        <v>355.45359999999999</v>
      </c>
      <c r="J344">
        <v>-406.30439999999999</v>
      </c>
      <c r="K344">
        <v>1.06995</v>
      </c>
      <c r="L344">
        <v>368.04289999999997</v>
      </c>
      <c r="M344">
        <v>0.99955579999999999</v>
      </c>
      <c r="N344">
        <v>-7.6484839999999997E-3</v>
      </c>
      <c r="O344">
        <v>-2.8806120000000001E-2</v>
      </c>
      <c r="P344">
        <v>0.99687899999999996</v>
      </c>
      <c r="Q344">
        <v>-6.290316E-2</v>
      </c>
      <c r="R344">
        <v>-4.7705600000000001E-2</v>
      </c>
      <c r="S344">
        <v>2.9555660000000001</v>
      </c>
      <c r="T344">
        <v>-8.0569269999999998E-2</v>
      </c>
      <c r="U344">
        <v>-1.0251159999999999</v>
      </c>
      <c r="V344">
        <v>1.8936979999999999E-2</v>
      </c>
      <c r="W344">
        <v>-5.5280219999999998E-2</v>
      </c>
      <c r="X344">
        <v>0.99829129999999999</v>
      </c>
      <c r="Y344">
        <v>0.30021409999999998</v>
      </c>
      <c r="Z344">
        <v>-4.6085559999999998E-3</v>
      </c>
      <c r="AA344">
        <v>0.95386070000000001</v>
      </c>
      <c r="AB344">
        <v>23</v>
      </c>
      <c r="AC344">
        <v>36.083100000000002</v>
      </c>
      <c r="AD344">
        <v>-0.98996306000000001</v>
      </c>
      <c r="AE344">
        <v>-12.5892999999999</v>
      </c>
      <c r="AF344">
        <v>11.5368892876542</v>
      </c>
      <c r="AG344">
        <v>-0.98996306000000001</v>
      </c>
      <c r="AH344">
        <v>36.406354981841197</v>
      </c>
      <c r="AI344">
        <v>91.484867876615397</v>
      </c>
      <c r="AJ344">
        <v>72.416998489176507</v>
      </c>
      <c r="AK344">
        <v>38.203436028184598</v>
      </c>
      <c r="AL344">
        <v>93.168938640837695</v>
      </c>
      <c r="AM344">
        <v>88.913264178133105</v>
      </c>
      <c r="AN344">
        <v>1.00000001579522</v>
      </c>
    </row>
    <row r="345" spans="1:40" x14ac:dyDescent="0.25">
      <c r="A345" t="str">
        <f>"20190303154738625"</f>
        <v>20190303154738625</v>
      </c>
      <c r="B345" t="str">
        <f>"1551599258621346"</f>
        <v>1551599258621346</v>
      </c>
      <c r="C345" t="s">
        <v>40</v>
      </c>
      <c r="D345">
        <v>5.2575440000000002</v>
      </c>
      <c r="E345">
        <v>0.61739500000000003</v>
      </c>
      <c r="F345" t="s">
        <v>41</v>
      </c>
      <c r="G345">
        <v>-371.23899999999998</v>
      </c>
      <c r="H345">
        <v>7.9986630000000003E-2</v>
      </c>
      <c r="I345">
        <v>355.58800000000002</v>
      </c>
      <c r="J345">
        <v>-406.06880000000001</v>
      </c>
      <c r="K345">
        <v>1.0699000000000001</v>
      </c>
      <c r="L345">
        <v>368.03570000000002</v>
      </c>
      <c r="M345">
        <v>0.99954810000000005</v>
      </c>
      <c r="N345">
        <v>-7.2575729999999998E-3</v>
      </c>
      <c r="O345">
        <v>-2.9173540000000001E-2</v>
      </c>
      <c r="P345">
        <v>0.99686759999999996</v>
      </c>
      <c r="Q345">
        <v>-6.2306069999999998E-2</v>
      </c>
      <c r="R345">
        <v>-4.8718009999999999E-2</v>
      </c>
      <c r="S345">
        <v>2.9539179999999998</v>
      </c>
      <c r="T345">
        <v>-8.3394529999999994E-2</v>
      </c>
      <c r="U345">
        <v>-1.049194</v>
      </c>
      <c r="V345">
        <v>1.9582639999999998E-2</v>
      </c>
      <c r="W345">
        <v>-5.5073549999999999E-2</v>
      </c>
      <c r="X345">
        <v>0.99829020000000002</v>
      </c>
      <c r="Y345">
        <v>0.30693409999999999</v>
      </c>
      <c r="Z345">
        <v>-4.7581560000000004E-3</v>
      </c>
      <c r="AA345">
        <v>0.95171890000000003</v>
      </c>
      <c r="AB345">
        <v>23</v>
      </c>
      <c r="AC345">
        <v>34.829799999999899</v>
      </c>
      <c r="AD345">
        <v>-0.98991337000000001</v>
      </c>
      <c r="AE345">
        <v>-12.4476999999999</v>
      </c>
      <c r="AF345">
        <v>11.418087599022</v>
      </c>
      <c r="AG345">
        <v>-0.98991337000000001</v>
      </c>
      <c r="AH345">
        <v>35.152947610148303</v>
      </c>
      <c r="AI345">
        <v>91.534173148206506</v>
      </c>
      <c r="AJ345">
        <v>72.005598614307104</v>
      </c>
      <c r="AK345">
        <v>36.974077116013</v>
      </c>
      <c r="AL345">
        <v>93.157079464938505</v>
      </c>
      <c r="AM345">
        <v>88.876219817184605</v>
      </c>
      <c r="AN345">
        <v>0.99999994955750404</v>
      </c>
    </row>
    <row r="346" spans="1:40" x14ac:dyDescent="0.25">
      <c r="A346" t="str">
        <f>"20190303154738647"</f>
        <v>20190303154738647</v>
      </c>
      <c r="B346" t="str">
        <f>"1551599258640867"</f>
        <v>1551599258640867</v>
      </c>
      <c r="C346" t="s">
        <v>40</v>
      </c>
      <c r="D346">
        <v>5.2537129999999896</v>
      </c>
      <c r="E346">
        <v>0.61896119999999899</v>
      </c>
      <c r="F346" t="s">
        <v>43</v>
      </c>
      <c r="G346">
        <v>-364.26609999999999</v>
      </c>
      <c r="H346">
        <v>-0.05</v>
      </c>
      <c r="I346">
        <v>352.71379999999999</v>
      </c>
      <c r="J346">
        <v>-405.83789999999999</v>
      </c>
      <c r="K346">
        <v>1.069866</v>
      </c>
      <c r="L346">
        <v>368.02859999999998</v>
      </c>
      <c r="M346">
        <v>0.99954019999999999</v>
      </c>
      <c r="N346">
        <v>-6.9082930000000002E-3</v>
      </c>
      <c r="O346">
        <v>-2.952927E-2</v>
      </c>
      <c r="P346">
        <v>0.99686229999999998</v>
      </c>
      <c r="Q346">
        <v>-6.163387E-2</v>
      </c>
      <c r="R346">
        <v>-4.9673059999999998E-2</v>
      </c>
      <c r="S346">
        <v>2.9515989999999999</v>
      </c>
      <c r="T346">
        <v>-7.9073550000000006E-2</v>
      </c>
      <c r="U346">
        <v>-1.0818479999999999</v>
      </c>
      <c r="V346">
        <v>2.0182660000000002E-2</v>
      </c>
      <c r="W346">
        <v>-5.4750229999999997E-2</v>
      </c>
      <c r="X346">
        <v>0.99829610000000002</v>
      </c>
      <c r="Y346">
        <v>0.31614170000000003</v>
      </c>
      <c r="Z346">
        <v>-4.6601790000000004E-3</v>
      </c>
      <c r="AA346">
        <v>0.94870049999999995</v>
      </c>
      <c r="AB346">
        <v>23</v>
      </c>
      <c r="AC346">
        <v>41.571800000000003</v>
      </c>
      <c r="AD346">
        <v>-1.119866</v>
      </c>
      <c r="AE346">
        <v>-15.3147999999999</v>
      </c>
      <c r="AF346">
        <v>14.0715161708256</v>
      </c>
      <c r="AG346">
        <v>-1.119866</v>
      </c>
      <c r="AH346">
        <v>41.979093476221102</v>
      </c>
      <c r="AI346">
        <v>91.448905847230193</v>
      </c>
      <c r="AJ346">
        <v>71.468696037598406</v>
      </c>
      <c r="AK346">
        <v>44.288892019208099</v>
      </c>
      <c r="AL346">
        <v>93.138526393260307</v>
      </c>
      <c r="AM346">
        <v>88.841802821648699</v>
      </c>
      <c r="AN346">
        <v>1.00000001536246</v>
      </c>
    </row>
    <row r="347" spans="1:40" x14ac:dyDescent="0.25">
      <c r="A347" t="str">
        <f>"20190303154738669"</f>
        <v>20190303154738669</v>
      </c>
      <c r="B347" t="str">
        <f>"1551599258661362"</f>
        <v>1551599258661362</v>
      </c>
      <c r="C347" t="s">
        <v>40</v>
      </c>
      <c r="D347">
        <v>5.2843470000000003</v>
      </c>
      <c r="E347">
        <v>0.61957839999999997</v>
      </c>
      <c r="F347" t="s">
        <v>43</v>
      </c>
      <c r="G347">
        <v>-361.60770000000002</v>
      </c>
      <c r="H347">
        <v>-0.05</v>
      </c>
      <c r="I347">
        <v>351.5779</v>
      </c>
      <c r="J347">
        <v>-405.60919999999999</v>
      </c>
      <c r="K347">
        <v>1.069842</v>
      </c>
      <c r="L347">
        <v>368.02140000000003</v>
      </c>
      <c r="M347">
        <v>0.99953190000000003</v>
      </c>
      <c r="N347">
        <v>-6.5936619999999897E-3</v>
      </c>
      <c r="O347">
        <v>-2.9876960000000001E-2</v>
      </c>
      <c r="P347">
        <v>0.99690570000000001</v>
      </c>
      <c r="Q347">
        <v>-6.0406960000000003E-2</v>
      </c>
      <c r="R347">
        <v>-5.0300169999999998E-2</v>
      </c>
      <c r="S347">
        <v>2.9501650000000001</v>
      </c>
      <c r="T347">
        <v>-7.4695230000000001E-2</v>
      </c>
      <c r="U347">
        <v>-1.0972599999999999</v>
      </c>
      <c r="V347">
        <v>2.0461509999999999E-2</v>
      </c>
      <c r="W347">
        <v>-5.3837219999999998E-2</v>
      </c>
      <c r="X347">
        <v>0.99834009999999995</v>
      </c>
      <c r="Y347">
        <v>0.32033030000000001</v>
      </c>
      <c r="Z347">
        <v>-4.4739250000000001E-3</v>
      </c>
      <c r="AA347">
        <v>0.94729540000000001</v>
      </c>
      <c r="AB347">
        <v>24</v>
      </c>
      <c r="AC347">
        <v>44.001499999999901</v>
      </c>
      <c r="AD347">
        <v>-1.119842</v>
      </c>
      <c r="AE347">
        <v>-16.4435</v>
      </c>
      <c r="AF347">
        <v>15.112910272682299</v>
      </c>
      <c r="AG347">
        <v>-1.119842</v>
      </c>
      <c r="AH347">
        <v>44.4478872604884</v>
      </c>
      <c r="AI347">
        <v>91.366437551927106</v>
      </c>
      <c r="AJ347">
        <v>71.221240440244898</v>
      </c>
      <c r="AK347">
        <v>46.960289446895402</v>
      </c>
      <c r="AL347">
        <v>93.086137431113499</v>
      </c>
      <c r="AM347">
        <v>88.825856989427095</v>
      </c>
      <c r="AN347">
        <v>1.0000000374583999</v>
      </c>
    </row>
    <row r="348" spans="1:40" x14ac:dyDescent="0.25">
      <c r="A348" t="str">
        <f>"20190303154738691"</f>
        <v>20190303154738691</v>
      </c>
      <c r="B348" t="str">
        <f>"1551599258680885"</f>
        <v>1551599258680885</v>
      </c>
      <c r="C348" t="s">
        <v>40</v>
      </c>
      <c r="D348">
        <v>5.4960089999999999</v>
      </c>
      <c r="E348">
        <v>0.5826076</v>
      </c>
      <c r="F348" t="s">
        <v>43</v>
      </c>
      <c r="G348">
        <v>-361.221</v>
      </c>
      <c r="H348">
        <v>-0.05</v>
      </c>
      <c r="I348">
        <v>351.40199999999999</v>
      </c>
      <c r="J348">
        <v>-405.3655</v>
      </c>
      <c r="K348">
        <v>1.0698110000000001</v>
      </c>
      <c r="L348">
        <v>368.0138</v>
      </c>
      <c r="M348">
        <v>0.99952300000000005</v>
      </c>
      <c r="N348">
        <v>-6.2852450000000001E-3</v>
      </c>
      <c r="O348">
        <v>-3.0240800000000002E-2</v>
      </c>
      <c r="P348">
        <v>0.99694590000000005</v>
      </c>
      <c r="Q348">
        <v>-5.9400950000000001E-2</v>
      </c>
      <c r="R348">
        <v>-5.0705050000000002E-2</v>
      </c>
      <c r="S348">
        <v>2.9491269999999998</v>
      </c>
      <c r="T348">
        <v>-7.440186E-2</v>
      </c>
      <c r="U348">
        <v>-1.104187</v>
      </c>
      <c r="V348">
        <v>2.0501999999999999E-2</v>
      </c>
      <c r="W348">
        <v>-5.3138770000000002E-2</v>
      </c>
      <c r="X348">
        <v>0.99837670000000001</v>
      </c>
      <c r="Y348">
        <v>0.32204870000000002</v>
      </c>
      <c r="Z348">
        <v>-4.4214830000000004E-3</v>
      </c>
      <c r="AA348">
        <v>0.94671280000000002</v>
      </c>
      <c r="AB348">
        <v>24</v>
      </c>
      <c r="AC348">
        <v>44.144500000000001</v>
      </c>
      <c r="AD348">
        <v>-1.1198109999999999</v>
      </c>
      <c r="AE348">
        <v>-16.611799999999999</v>
      </c>
      <c r="AF348">
        <v>15.260609108963299</v>
      </c>
      <c r="AG348">
        <v>-1.1198109999999999</v>
      </c>
      <c r="AH348">
        <v>44.601533097344102</v>
      </c>
      <c r="AI348">
        <v>91.360804653962205</v>
      </c>
      <c r="AJ348">
        <v>71.111394247583405</v>
      </c>
      <c r="AK348">
        <v>47.153334152377603</v>
      </c>
      <c r="AL348">
        <v>93.046061793951296</v>
      </c>
      <c r="AM348">
        <v>88.8235773202952</v>
      </c>
      <c r="AN348">
        <v>1.0000000479919999</v>
      </c>
    </row>
    <row r="349" spans="1:40" x14ac:dyDescent="0.25">
      <c r="A349" t="str">
        <f>"20190303154738714"</f>
        <v>20190303154738714</v>
      </c>
      <c r="B349" t="str">
        <f>"1551599258711138"</f>
        <v>1551599258711138</v>
      </c>
      <c r="C349" t="s">
        <v>40</v>
      </c>
      <c r="D349">
        <v>5.0288950000000003</v>
      </c>
      <c r="E349">
        <v>0.50892289999999996</v>
      </c>
      <c r="F349" t="s">
        <v>44</v>
      </c>
      <c r="G349">
        <v>-334.08839999999998</v>
      </c>
      <c r="H349">
        <v>0.51755879999999999</v>
      </c>
      <c r="I349">
        <v>348.51170000000002</v>
      </c>
      <c r="J349">
        <v>-405.12520000000001</v>
      </c>
      <c r="K349">
        <v>1.069787</v>
      </c>
      <c r="L349">
        <v>368.0061</v>
      </c>
      <c r="M349">
        <v>0.99951400000000001</v>
      </c>
      <c r="N349">
        <v>-6.003113E-3</v>
      </c>
      <c r="O349">
        <v>-3.0591770000000001E-2</v>
      </c>
      <c r="P349">
        <v>0.99693299999999996</v>
      </c>
      <c r="Q349">
        <v>-5.9190710000000001E-2</v>
      </c>
      <c r="R349">
        <v>-5.120077E-2</v>
      </c>
      <c r="S349">
        <v>2.9665530000000002</v>
      </c>
      <c r="T349">
        <v>-2.2981410000000001E-2</v>
      </c>
      <c r="U349">
        <v>-0.81167599999999995</v>
      </c>
      <c r="V349">
        <v>2.0647740000000001E-2</v>
      </c>
      <c r="W349">
        <v>-5.3210149999999998E-2</v>
      </c>
      <c r="X349">
        <v>0.99836990000000003</v>
      </c>
      <c r="Y349">
        <v>0.2342659</v>
      </c>
      <c r="Z349">
        <v>-1.5550010000000001E-3</v>
      </c>
      <c r="AA349">
        <v>0.97217129999999996</v>
      </c>
      <c r="AB349">
        <v>24</v>
      </c>
      <c r="AC349">
        <v>71.036799999999999</v>
      </c>
      <c r="AD349">
        <v>-0.55222819999999995</v>
      </c>
      <c r="AE349">
        <v>-19.494399999999899</v>
      </c>
      <c r="AF349">
        <v>17.3111222076488</v>
      </c>
      <c r="AG349">
        <v>-0.55222819999999995</v>
      </c>
      <c r="AH349">
        <v>71.595906118673199</v>
      </c>
      <c r="AI349">
        <v>90.429543587574202</v>
      </c>
      <c r="AJ349">
        <v>76.407371694324794</v>
      </c>
      <c r="AK349">
        <v>73.661073037438797</v>
      </c>
      <c r="AL349">
        <v>93.050157344764898</v>
      </c>
      <c r="AM349">
        <v>88.815208939615005</v>
      </c>
      <c r="AN349">
        <v>1.00000005322806</v>
      </c>
    </row>
    <row r="350" spans="1:40" x14ac:dyDescent="0.25">
      <c r="A350" t="str">
        <f>"20190303154738736"</f>
        <v>20190303154738736</v>
      </c>
      <c r="B350" t="str">
        <f>"1551599258730658"</f>
        <v>1551599258730658</v>
      </c>
      <c r="C350" t="s">
        <v>40</v>
      </c>
      <c r="D350">
        <v>5.0430859999999997</v>
      </c>
      <c r="E350">
        <v>0.49766090000000002</v>
      </c>
      <c r="F350" t="s">
        <v>41</v>
      </c>
      <c r="G350">
        <v>-376.11290000000002</v>
      </c>
      <c r="H350" s="1">
        <v>-2.323161E-6</v>
      </c>
      <c r="I350">
        <v>365.82060000000001</v>
      </c>
      <c r="J350">
        <v>-404.87900000000002</v>
      </c>
      <c r="K350">
        <v>1.069766</v>
      </c>
      <c r="L350">
        <v>367.9982</v>
      </c>
      <c r="M350">
        <v>0.99950490000000003</v>
      </c>
      <c r="N350">
        <v>-5.7394100000000003E-3</v>
      </c>
      <c r="O350">
        <v>-3.0939230000000002E-2</v>
      </c>
      <c r="P350">
        <v>0.99693799999999999</v>
      </c>
      <c r="Q350">
        <v>-5.8804469999999998E-2</v>
      </c>
      <c r="R350">
        <v>-5.154678E-2</v>
      </c>
      <c r="S350">
        <v>2.9910890000000001</v>
      </c>
      <c r="T350">
        <v>-0.1102923</v>
      </c>
      <c r="U350">
        <v>-0.22531129999999999</v>
      </c>
      <c r="V350">
        <v>2.064734E-2</v>
      </c>
      <c r="W350">
        <v>-5.3086809999999998E-2</v>
      </c>
      <c r="X350">
        <v>0.99837640000000005</v>
      </c>
      <c r="Y350">
        <v>4.4206769999999999E-2</v>
      </c>
      <c r="Z350" s="1">
        <v>2.0335309999999999E-5</v>
      </c>
      <c r="AA350">
        <v>0.99902239999999998</v>
      </c>
      <c r="AB350">
        <v>24</v>
      </c>
      <c r="AC350">
        <v>28.766099999999899</v>
      </c>
      <c r="AD350">
        <v>-1.069768323161</v>
      </c>
      <c r="AE350">
        <v>-2.17759999999998</v>
      </c>
      <c r="AF350">
        <v>1.2847752325792601</v>
      </c>
      <c r="AG350">
        <v>-1.069768323161</v>
      </c>
      <c r="AH350">
        <v>28.7801269529579</v>
      </c>
      <c r="AI350">
        <v>92.126610039778896</v>
      </c>
      <c r="AJ350">
        <v>87.443952966533601</v>
      </c>
      <c r="AK350">
        <v>28.828644766826301</v>
      </c>
      <c r="AL350">
        <v>93.043080707309102</v>
      </c>
      <c r="AM350">
        <v>88.815239596850404</v>
      </c>
      <c r="AN350">
        <v>0.99999997906100502</v>
      </c>
    </row>
    <row r="351" spans="1:40" x14ac:dyDescent="0.25">
      <c r="A351" t="str">
        <f>"20190303154738758"</f>
        <v>20190303154738758</v>
      </c>
      <c r="B351" t="str">
        <f>"1551599258751154"</f>
        <v>1551599258751154</v>
      </c>
      <c r="C351" t="s">
        <v>40</v>
      </c>
      <c r="D351">
        <v>5.0577610000000002</v>
      </c>
      <c r="E351">
        <v>0.49309459999999999</v>
      </c>
      <c r="F351" t="s">
        <v>41</v>
      </c>
      <c r="G351">
        <v>-379.01920000000001</v>
      </c>
      <c r="H351" s="1">
        <v>-1.0635840000000001E-6</v>
      </c>
      <c r="I351">
        <v>366.82100000000003</v>
      </c>
      <c r="J351">
        <v>-404.64339999999999</v>
      </c>
      <c r="K351">
        <v>1.069752</v>
      </c>
      <c r="L351">
        <v>367.9905</v>
      </c>
      <c r="M351">
        <v>0.9994963</v>
      </c>
      <c r="N351">
        <v>-5.5138169999999999E-3</v>
      </c>
      <c r="O351">
        <v>-3.1254990000000003E-2</v>
      </c>
      <c r="P351">
        <v>0.99695129999999998</v>
      </c>
      <c r="Q351">
        <v>-5.819042E-2</v>
      </c>
      <c r="R351">
        <v>-5.1983550000000003E-2</v>
      </c>
      <c r="S351">
        <v>2.9948730000000001</v>
      </c>
      <c r="T351">
        <v>-0.1238915</v>
      </c>
      <c r="U351">
        <v>-0.136322</v>
      </c>
      <c r="V351">
        <v>2.07695E-2</v>
      </c>
      <c r="W351">
        <v>-5.2697470000000003E-2</v>
      </c>
      <c r="X351">
        <v>0.99839449999999996</v>
      </c>
      <c r="Y351">
        <v>1.423229E-2</v>
      </c>
      <c r="Z351">
        <v>7.8573119999999998E-4</v>
      </c>
      <c r="AA351">
        <v>0.99989839999999997</v>
      </c>
      <c r="AB351">
        <v>24</v>
      </c>
      <c r="AC351">
        <v>25.624199999999899</v>
      </c>
      <c r="AD351">
        <v>-1.069753063584</v>
      </c>
      <c r="AE351">
        <v>-1.16950000000002</v>
      </c>
      <c r="AF351">
        <v>0.36739338864298698</v>
      </c>
      <c r="AG351">
        <v>-1.069753063584</v>
      </c>
      <c r="AH351">
        <v>25.603702700818701</v>
      </c>
      <c r="AI351">
        <v>92.392248115587805</v>
      </c>
      <c r="AJ351">
        <v>89.177906169501995</v>
      </c>
      <c r="AK351">
        <v>25.628674205096399</v>
      </c>
      <c r="AL351">
        <v>93.020741876082099</v>
      </c>
      <c r="AM351">
        <v>88.808253576345507</v>
      </c>
      <c r="AN351">
        <v>0.99999998655245004</v>
      </c>
    </row>
    <row r="352" spans="1:40" x14ac:dyDescent="0.25">
      <c r="A352" t="str">
        <f>"20190303154738781"</f>
        <v>20190303154738781</v>
      </c>
      <c r="B352" t="str">
        <f>"1551599258770674"</f>
        <v>1551599258770674</v>
      </c>
      <c r="C352" t="s">
        <v>40</v>
      </c>
      <c r="D352">
        <v>5.020696</v>
      </c>
      <c r="E352">
        <v>0.49051280000000003</v>
      </c>
      <c r="F352" t="s">
        <v>41</v>
      </c>
      <c r="G352">
        <v>-380.13760000000002</v>
      </c>
      <c r="H352" s="1">
        <v>-4.649036E-6</v>
      </c>
      <c r="I352">
        <v>367.15960000000001</v>
      </c>
      <c r="J352">
        <v>-404.3947</v>
      </c>
      <c r="K352">
        <v>1.0697410000000001</v>
      </c>
      <c r="L352">
        <v>367.98239999999998</v>
      </c>
      <c r="M352">
        <v>0.99948760000000003</v>
      </c>
      <c r="N352">
        <v>-5.3047819999999897E-3</v>
      </c>
      <c r="O352">
        <v>-3.1565549999999998E-2</v>
      </c>
      <c r="P352">
        <v>0.9969652</v>
      </c>
      <c r="Q352">
        <v>-5.7600100000000001E-2</v>
      </c>
      <c r="R352">
        <v>-5.2370119999999999E-2</v>
      </c>
      <c r="S352">
        <v>2.9962770000000001</v>
      </c>
      <c r="T352">
        <v>-0.13079679999999999</v>
      </c>
      <c r="U352">
        <v>-0.101593</v>
      </c>
      <c r="V352">
        <v>2.084716E-2</v>
      </c>
      <c r="W352">
        <v>-5.231512E-2</v>
      </c>
      <c r="X352">
        <v>0.99841299999999999</v>
      </c>
      <c r="Y352">
        <v>2.3428479999999998E-3</v>
      </c>
      <c r="Z352">
        <v>1.151836E-3</v>
      </c>
      <c r="AA352">
        <v>0.99999660000000001</v>
      </c>
      <c r="AB352">
        <v>24</v>
      </c>
      <c r="AC352">
        <v>24.257099999999902</v>
      </c>
      <c r="AD352">
        <v>-1.069745649036</v>
      </c>
      <c r="AE352">
        <v>-0.822799999999972</v>
      </c>
      <c r="AF352">
        <v>5.6580578834528099E-2</v>
      </c>
      <c r="AG352">
        <v>-1.069745649036</v>
      </c>
      <c r="AH352">
        <v>24.223926998595399</v>
      </c>
      <c r="AI352">
        <v>92.528572157849695</v>
      </c>
      <c r="AJ352">
        <v>89.866172711203305</v>
      </c>
      <c r="AK352">
        <v>24.2476018679954</v>
      </c>
      <c r="AL352">
        <v>92.998804541885505</v>
      </c>
      <c r="AM352">
        <v>88.803820924346098</v>
      </c>
      <c r="AN352">
        <v>0.99999999721484001</v>
      </c>
    </row>
    <row r="353" spans="1:40" x14ac:dyDescent="0.25">
      <c r="A353" t="str">
        <f>"20190303154738795"</f>
        <v>20190303154738795</v>
      </c>
      <c r="B353" t="str">
        <f>"1551599258791399"</f>
        <v>1551599258791399</v>
      </c>
      <c r="C353" t="s">
        <v>40</v>
      </c>
      <c r="D353">
        <v>5.0157639999999999</v>
      </c>
      <c r="E353">
        <v>0.48881970000000002</v>
      </c>
      <c r="F353" t="s">
        <v>41</v>
      </c>
      <c r="G353">
        <v>-380.78359999999998</v>
      </c>
      <c r="H353" s="1">
        <v>-4.3402450000000002E-6</v>
      </c>
      <c r="I353">
        <v>367.33800000000002</v>
      </c>
      <c r="J353">
        <v>-404.24110000000002</v>
      </c>
      <c r="K353">
        <v>1.0697410000000001</v>
      </c>
      <c r="L353">
        <v>367.97739999999999</v>
      </c>
      <c r="M353">
        <v>0.9994826</v>
      </c>
      <c r="N353">
        <v>-5.1928290000000004E-3</v>
      </c>
      <c r="O353">
        <v>-3.1741600000000002E-2</v>
      </c>
      <c r="P353">
        <v>0.99697690000000005</v>
      </c>
      <c r="Q353">
        <v>-5.7373790000000001E-2</v>
      </c>
      <c r="R353">
        <v>-5.2395999999999998E-2</v>
      </c>
      <c r="S353">
        <v>2.9969790000000001</v>
      </c>
      <c r="T353">
        <v>-0.1357836</v>
      </c>
      <c r="U353">
        <v>-8.1787109999999996E-2</v>
      </c>
      <c r="V353">
        <v>2.0698270000000001E-2</v>
      </c>
      <c r="W353">
        <v>-5.2199919999999997E-2</v>
      </c>
      <c r="X353">
        <v>0.99842209999999998</v>
      </c>
      <c r="Y353">
        <v>-4.4337070000000003E-3</v>
      </c>
      <c r="Z353">
        <v>1.3838959999999999E-3</v>
      </c>
      <c r="AA353">
        <v>0.99998920000000002</v>
      </c>
      <c r="AB353">
        <v>24</v>
      </c>
      <c r="AC353">
        <v>23.4575</v>
      </c>
      <c r="AD353">
        <v>-1.0697453402449999</v>
      </c>
      <c r="AE353">
        <v>-0.639399999999966</v>
      </c>
      <c r="AF353">
        <v>-0.105292020571566</v>
      </c>
      <c r="AG353">
        <v>-1.0697453402449999</v>
      </c>
      <c r="AH353">
        <v>23.417311047334099</v>
      </c>
      <c r="AI353">
        <v>92.6155305721188</v>
      </c>
      <c r="AJ353">
        <v>90.257619148862901</v>
      </c>
      <c r="AK353">
        <v>23.4419687353722</v>
      </c>
      <c r="AL353">
        <v>92.992195118925594</v>
      </c>
      <c r="AM353">
        <v>88.812372377224804</v>
      </c>
      <c r="AN353">
        <v>0.99999996989870399</v>
      </c>
    </row>
    <row r="354" spans="1:40" x14ac:dyDescent="0.25">
      <c r="A354" t="str">
        <f>"20190303154738815"</f>
        <v>20190303154738815</v>
      </c>
      <c r="B354" t="str">
        <f>"1551599258810920"</f>
        <v>1551599258810920</v>
      </c>
      <c r="C354" t="s">
        <v>40</v>
      </c>
      <c r="D354">
        <v>5.0050220000000003</v>
      </c>
      <c r="E354">
        <v>0.48751990000000001</v>
      </c>
      <c r="F354" t="s">
        <v>41</v>
      </c>
      <c r="G354">
        <v>-381.33980000000003</v>
      </c>
      <c r="H354" s="1">
        <v>-4.0809810000000001E-6</v>
      </c>
      <c r="I354">
        <v>367.45429999999999</v>
      </c>
      <c r="J354">
        <v>-404.01760000000002</v>
      </c>
      <c r="K354">
        <v>1.0697350000000001</v>
      </c>
      <c r="L354">
        <v>367.97</v>
      </c>
      <c r="M354">
        <v>0.99947580000000003</v>
      </c>
      <c r="N354">
        <v>-5.0453729999999997E-3</v>
      </c>
      <c r="O354">
        <v>-3.1982980000000001E-2</v>
      </c>
      <c r="P354">
        <v>0.99700659999999997</v>
      </c>
      <c r="Q354">
        <v>-5.7333960000000003E-2</v>
      </c>
      <c r="R354">
        <v>-5.1873309999999999E-2</v>
      </c>
      <c r="S354">
        <v>2.9974370000000001</v>
      </c>
      <c r="T354">
        <v>-0.14001359999999999</v>
      </c>
      <c r="U354">
        <v>-6.8450929999999993E-2</v>
      </c>
      <c r="V354">
        <v>1.993553E-2</v>
      </c>
      <c r="W354">
        <v>-5.2306150000000003E-2</v>
      </c>
      <c r="X354">
        <v>0.99843210000000004</v>
      </c>
      <c r="Y354">
        <v>-9.1174600000000008E-3</v>
      </c>
      <c r="Z354">
        <v>1.5671389999999999E-3</v>
      </c>
      <c r="AA354">
        <v>0.99995719999999999</v>
      </c>
      <c r="AB354">
        <v>24</v>
      </c>
      <c r="AC354">
        <v>22.677799999999898</v>
      </c>
      <c r="AD354">
        <v>-1.0697390809809999</v>
      </c>
      <c r="AE354">
        <v>-0.51570000000003802</v>
      </c>
      <c r="AF354">
        <v>-0.20941087576631001</v>
      </c>
      <c r="AG354">
        <v>-1.0697390809809999</v>
      </c>
      <c r="AH354">
        <v>22.632358149068001</v>
      </c>
      <c r="AI354">
        <v>92.706007673791007</v>
      </c>
      <c r="AJ354">
        <v>90.530126684086994</v>
      </c>
      <c r="AK354">
        <v>22.658592851365501</v>
      </c>
      <c r="AL354">
        <v>92.998289860258794</v>
      </c>
      <c r="AM354">
        <v>88.856136560432105</v>
      </c>
      <c r="AN354">
        <v>1.0000000084973</v>
      </c>
    </row>
    <row r="355" spans="1:40" x14ac:dyDescent="0.25">
      <c r="A355" t="str">
        <f>"20190303154738837"</f>
        <v>20190303154738837</v>
      </c>
      <c r="B355" t="str">
        <f>"1551599258831416"</f>
        <v>1551599258831416</v>
      </c>
      <c r="C355" t="s">
        <v>40</v>
      </c>
      <c r="D355">
        <v>5.0226169999999897</v>
      </c>
      <c r="E355">
        <v>0.48663980000000001</v>
      </c>
      <c r="F355" t="s">
        <v>41</v>
      </c>
      <c r="G355">
        <v>-382.0172</v>
      </c>
      <c r="H355" s="1">
        <v>-3.7722940000000001E-6</v>
      </c>
      <c r="I355">
        <v>367.55650000000003</v>
      </c>
      <c r="J355">
        <v>-403.77609999999999</v>
      </c>
      <c r="K355">
        <v>1.0697369999999999</v>
      </c>
      <c r="L355">
        <v>367.96199999999999</v>
      </c>
      <c r="M355">
        <v>0.99946900000000005</v>
      </c>
      <c r="N355">
        <v>-4.9085149999999996E-3</v>
      </c>
      <c r="O355">
        <v>-3.2217229999999999E-2</v>
      </c>
      <c r="P355">
        <v>0.99703070000000005</v>
      </c>
      <c r="Q355">
        <v>-5.7390370000000003E-2</v>
      </c>
      <c r="R355">
        <v>-5.1345269999999998E-2</v>
      </c>
      <c r="S355">
        <v>2.997681</v>
      </c>
      <c r="T355">
        <v>-0.1457572</v>
      </c>
      <c r="U355">
        <v>-5.6335450000000002E-2</v>
      </c>
      <c r="V355">
        <v>1.9175270000000001E-2</v>
      </c>
      <c r="W355">
        <v>-5.2498000000000003E-2</v>
      </c>
      <c r="X355">
        <v>0.99843689999999996</v>
      </c>
      <c r="Y355">
        <v>-1.3383839999999999E-2</v>
      </c>
      <c r="Z355">
        <v>1.7650840000000001E-3</v>
      </c>
      <c r="AA355">
        <v>0.99990889999999999</v>
      </c>
      <c r="AB355">
        <v>25</v>
      </c>
      <c r="AC355">
        <v>21.758899999999901</v>
      </c>
      <c r="AD355">
        <v>-1.069740772294</v>
      </c>
      <c r="AE355">
        <v>-0.40549999999996</v>
      </c>
      <c r="AF355">
        <v>-0.295017500317104</v>
      </c>
      <c r="AG355">
        <v>-1.069740772294</v>
      </c>
      <c r="AH355">
        <v>21.708217378335402</v>
      </c>
      <c r="AI355">
        <v>92.820887812187493</v>
      </c>
      <c r="AJ355">
        <v>90.778609170954894</v>
      </c>
      <c r="AK355">
        <v>21.736560960521501</v>
      </c>
      <c r="AL355">
        <v>93.009297243147202</v>
      </c>
      <c r="AM355">
        <v>88.899753210325102</v>
      </c>
      <c r="AN355">
        <v>0.99999998713259097</v>
      </c>
    </row>
    <row r="356" spans="1:40" x14ac:dyDescent="0.25">
      <c r="A356" t="str">
        <f>"20190303154738858"</f>
        <v>20190303154738858</v>
      </c>
      <c r="B356" t="str">
        <f>"1551599258850939"</f>
        <v>1551599258850939</v>
      </c>
      <c r="C356" t="s">
        <v>40</v>
      </c>
      <c r="D356">
        <v>5.068225</v>
      </c>
      <c r="E356">
        <v>0.48571809999999999</v>
      </c>
      <c r="F356" t="s">
        <v>41</v>
      </c>
      <c r="G356">
        <v>-382.51650000000001</v>
      </c>
      <c r="H356" s="1">
        <v>-3.5464E-6</v>
      </c>
      <c r="I356">
        <v>367.62240000000003</v>
      </c>
      <c r="J356">
        <v>-403.52789999999999</v>
      </c>
      <c r="K356">
        <v>1.0697490000000001</v>
      </c>
      <c r="L356">
        <v>367.9538</v>
      </c>
      <c r="M356">
        <v>0.99946270000000004</v>
      </c>
      <c r="N356">
        <v>-4.7904260000000004E-3</v>
      </c>
      <c r="O356">
        <v>-3.2423140000000003E-2</v>
      </c>
      <c r="P356">
        <v>0.99707100000000004</v>
      </c>
      <c r="Q356">
        <v>-5.7123779999999999E-2</v>
      </c>
      <c r="R356">
        <v>-5.0853710000000003E-2</v>
      </c>
      <c r="S356">
        <v>2.9977719999999999</v>
      </c>
      <c r="T356">
        <v>-0.15084149999999999</v>
      </c>
      <c r="U356">
        <v>-4.788208E-2</v>
      </c>
      <c r="V356">
        <v>1.8479829999999999E-2</v>
      </c>
      <c r="W356">
        <v>-5.2347959999999999E-2</v>
      </c>
      <c r="X356">
        <v>0.99845790000000001</v>
      </c>
      <c r="Y356">
        <v>-1.6400990000000001E-2</v>
      </c>
      <c r="Z356">
        <v>1.9264130000000001E-3</v>
      </c>
      <c r="AA356">
        <v>0.99986359999999996</v>
      </c>
      <c r="AB356">
        <v>25</v>
      </c>
      <c r="AC356">
        <v>21.011399999999899</v>
      </c>
      <c r="AD356">
        <v>-1.0697525463999999</v>
      </c>
      <c r="AE356">
        <v>-0.33139999999997299</v>
      </c>
      <c r="AF356">
        <v>-0.34913288691170402</v>
      </c>
      <c r="AG356">
        <v>-1.0697525463999999</v>
      </c>
      <c r="AH356">
        <v>20.9567885741141</v>
      </c>
      <c r="AI356">
        <v>92.921758337530505</v>
      </c>
      <c r="AJ356">
        <v>90.954439679393801</v>
      </c>
      <c r="AK356">
        <v>20.986978144158201</v>
      </c>
      <c r="AL356">
        <v>93.000688722042696</v>
      </c>
      <c r="AM356">
        <v>88.939669476975695</v>
      </c>
      <c r="AN356">
        <v>0.99999999555270003</v>
      </c>
    </row>
    <row r="357" spans="1:40" x14ac:dyDescent="0.25">
      <c r="A357" t="str">
        <f>"20190303154738882"</f>
        <v>20190303154738882</v>
      </c>
      <c r="B357" t="str">
        <f>"1551599258871431"</f>
        <v>1551599258871431</v>
      </c>
      <c r="C357" t="s">
        <v>40</v>
      </c>
      <c r="D357">
        <v>5.0654839999999997</v>
      </c>
      <c r="E357">
        <v>0.48483500000000002</v>
      </c>
      <c r="F357" t="s">
        <v>41</v>
      </c>
      <c r="G357">
        <v>-382.9991</v>
      </c>
      <c r="H357" s="1">
        <v>-3.3279450000000001E-6</v>
      </c>
      <c r="I357">
        <v>367.68689999999998</v>
      </c>
      <c r="J357">
        <v>-403.27719999999999</v>
      </c>
      <c r="K357">
        <v>1.069766</v>
      </c>
      <c r="L357">
        <v>367.94540000000001</v>
      </c>
      <c r="M357">
        <v>0.99945790000000001</v>
      </c>
      <c r="N357">
        <v>-4.6923909999999997E-3</v>
      </c>
      <c r="O357">
        <v>-3.2591670000000003E-2</v>
      </c>
      <c r="P357">
        <v>0.99713459999999998</v>
      </c>
      <c r="Q357">
        <v>-5.6794699999999997E-2</v>
      </c>
      <c r="R357">
        <v>-4.997236E-2</v>
      </c>
      <c r="S357">
        <v>2.9978639999999999</v>
      </c>
      <c r="T357">
        <v>-0.156217299999999</v>
      </c>
      <c r="U357">
        <v>-3.8970949999999997E-2</v>
      </c>
      <c r="V357">
        <v>1.7431370000000002E-2</v>
      </c>
      <c r="W357">
        <v>-5.2115210000000002E-2</v>
      </c>
      <c r="X357">
        <v>0.99848899999999996</v>
      </c>
      <c r="Y357">
        <v>-1.9532239999999999E-2</v>
      </c>
      <c r="Z357">
        <v>2.098342E-3</v>
      </c>
      <c r="AA357">
        <v>0.999807</v>
      </c>
      <c r="AB357">
        <v>25</v>
      </c>
      <c r="AC357">
        <v>20.278099999999899</v>
      </c>
      <c r="AD357">
        <v>-1.069769327945</v>
      </c>
      <c r="AE357">
        <v>-0.25850000000002599</v>
      </c>
      <c r="AF357">
        <v>-0.40142462618420599</v>
      </c>
      <c r="AG357">
        <v>-1.069769327945</v>
      </c>
      <c r="AH357">
        <v>20.2194887509708</v>
      </c>
      <c r="AI357">
        <v>93.027976146950706</v>
      </c>
      <c r="AJ357">
        <v>91.137363858180393</v>
      </c>
      <c r="AK357">
        <v>20.251747418337899</v>
      </c>
      <c r="AL357">
        <v>92.987334692306803</v>
      </c>
      <c r="AM357">
        <v>88.999846280439698</v>
      </c>
      <c r="AN357">
        <v>1.0000000654472001</v>
      </c>
    </row>
    <row r="358" spans="1:40" x14ac:dyDescent="0.25">
      <c r="A358" t="str">
        <f>"20190303154738904"</f>
        <v>20190303154738904</v>
      </c>
      <c r="B358" t="str">
        <f>"1551599258900711"</f>
        <v>1551599258900711</v>
      </c>
      <c r="C358" t="s">
        <v>40</v>
      </c>
      <c r="D358">
        <v>5.1081719999999997</v>
      </c>
      <c r="E358">
        <v>0.4838712</v>
      </c>
      <c r="F358" t="s">
        <v>41</v>
      </c>
      <c r="G358">
        <v>-383.53120000000001</v>
      </c>
      <c r="H358" s="1">
        <v>-3.088126E-6</v>
      </c>
      <c r="I358">
        <v>367.7518</v>
      </c>
      <c r="J358">
        <v>-403.02260000000001</v>
      </c>
      <c r="K358">
        <v>1.0697829999999999</v>
      </c>
      <c r="L358">
        <v>367.93700000000001</v>
      </c>
      <c r="M358">
        <v>0.99945399999999995</v>
      </c>
      <c r="N358">
        <v>-4.6125510000000003E-3</v>
      </c>
      <c r="O358">
        <v>-3.2718289999999997E-2</v>
      </c>
      <c r="P358">
        <v>0.99723240000000002</v>
      </c>
      <c r="Q358">
        <v>-5.5543629999999997E-2</v>
      </c>
      <c r="R358">
        <v>-4.9424179999999998E-2</v>
      </c>
      <c r="S358">
        <v>2.9978940000000001</v>
      </c>
      <c r="T358">
        <v>-0.1624149</v>
      </c>
      <c r="U358">
        <v>-2.938843E-2</v>
      </c>
      <c r="V358">
        <v>1.6757399999999999E-2</v>
      </c>
      <c r="W358">
        <v>-5.0942229999999998E-2</v>
      </c>
      <c r="X358">
        <v>0.99856100000000003</v>
      </c>
      <c r="Y358">
        <v>-2.2843269999999999E-2</v>
      </c>
      <c r="Z358">
        <v>2.2911110000000002E-3</v>
      </c>
      <c r="AA358">
        <v>0.99973639999999997</v>
      </c>
      <c r="AB358">
        <v>25</v>
      </c>
      <c r="AC358">
        <v>19.491399999999999</v>
      </c>
      <c r="AD358">
        <v>-1.069786088126</v>
      </c>
      <c r="AE358">
        <v>-0.18519999999995199</v>
      </c>
      <c r="AF358">
        <v>-0.45127192454757598</v>
      </c>
      <c r="AG358">
        <v>-1.069786088126</v>
      </c>
      <c r="AH358">
        <v>19.428503345081499</v>
      </c>
      <c r="AI358">
        <v>93.150830273476998</v>
      </c>
      <c r="AJ358">
        <v>91.330587740023603</v>
      </c>
      <c r="AK358">
        <v>19.463166002839198</v>
      </c>
      <c r="AL358">
        <v>92.920038690244397</v>
      </c>
      <c r="AM358">
        <v>89.038578333947001</v>
      </c>
      <c r="AN358">
        <v>0.99999999598656597</v>
      </c>
    </row>
    <row r="359" spans="1:40" x14ac:dyDescent="0.25">
      <c r="A359" t="str">
        <f>"20190303154738929"</f>
        <v>20190303154738929</v>
      </c>
      <c r="B359" t="str">
        <f>"1551599258921208"</f>
        <v>1551599258921208</v>
      </c>
      <c r="C359" t="s">
        <v>40</v>
      </c>
      <c r="D359">
        <v>5.0803469999999997</v>
      </c>
      <c r="E359">
        <v>0.48349629999999999</v>
      </c>
      <c r="F359" t="s">
        <v>41</v>
      </c>
      <c r="G359">
        <v>-383.55459999999999</v>
      </c>
      <c r="H359" s="1">
        <v>-3.0678009999999999E-6</v>
      </c>
      <c r="I359">
        <v>367.80990000000003</v>
      </c>
      <c r="J359">
        <v>-402.74540000000002</v>
      </c>
      <c r="K359">
        <v>1.0698030000000001</v>
      </c>
      <c r="L359">
        <v>367.92779999999999</v>
      </c>
      <c r="M359">
        <v>0.99945119999999998</v>
      </c>
      <c r="N359">
        <v>-4.5435969999999999E-3</v>
      </c>
      <c r="O359">
        <v>-3.2816669999999999E-2</v>
      </c>
      <c r="P359">
        <v>0.99730719999999995</v>
      </c>
      <c r="Q359">
        <v>-5.4262030000000003E-2</v>
      </c>
      <c r="R359">
        <v>-4.934127E-2</v>
      </c>
      <c r="S359">
        <v>2.9981990000000001</v>
      </c>
      <c r="T359">
        <v>-0.16475329999999999</v>
      </c>
      <c r="U359">
        <v>-1.9561769999999999E-2</v>
      </c>
      <c r="V359">
        <v>1.6577439999999999E-2</v>
      </c>
      <c r="W359">
        <v>-4.9728040000000001E-2</v>
      </c>
      <c r="X359">
        <v>0.99862519999999999</v>
      </c>
      <c r="Y359">
        <v>-2.621101E-2</v>
      </c>
      <c r="Z359">
        <v>2.4318080000000001E-3</v>
      </c>
      <c r="AA359">
        <v>0.99965349999999997</v>
      </c>
      <c r="AB359">
        <v>25</v>
      </c>
      <c r="AC359">
        <v>19.190799999999999</v>
      </c>
      <c r="AD359">
        <v>-1.069806067801</v>
      </c>
      <c r="AE359">
        <v>-0.11789999999996301</v>
      </c>
      <c r="AF359">
        <v>-0.51036212982349805</v>
      </c>
      <c r="AG359">
        <v>-1.069806067801</v>
      </c>
      <c r="AH359">
        <v>19.1249023746403</v>
      </c>
      <c r="AI359">
        <v>93.200529537161799</v>
      </c>
      <c r="AJ359">
        <v>91.528617359444894</v>
      </c>
      <c r="AK359">
        <v>19.161598194456101</v>
      </c>
      <c r="AL359">
        <v>92.850382443415796</v>
      </c>
      <c r="AM359">
        <v>89.048962398595407</v>
      </c>
      <c r="AN359">
        <v>0.99999998977711702</v>
      </c>
    </row>
    <row r="360" spans="1:40" x14ac:dyDescent="0.25">
      <c r="A360" t="str">
        <f>"20190303154738948"</f>
        <v>20190303154738948</v>
      </c>
      <c r="B360" t="str">
        <f>"1551599258940728"</f>
        <v>1551599258940728</v>
      </c>
      <c r="C360" t="s">
        <v>40</v>
      </c>
      <c r="D360">
        <v>5.2320419999999999</v>
      </c>
      <c r="E360">
        <v>0.48313699999999998</v>
      </c>
      <c r="F360" t="s">
        <v>41</v>
      </c>
      <c r="G360">
        <v>-383.09</v>
      </c>
      <c r="H360" s="1">
        <v>-3.2652009999999999E-6</v>
      </c>
      <c r="I360">
        <v>367.82049999999998</v>
      </c>
      <c r="J360">
        <v>-402.52499999999998</v>
      </c>
      <c r="K360">
        <v>1.0698190000000001</v>
      </c>
      <c r="L360">
        <v>367.9205</v>
      </c>
      <c r="M360">
        <v>0.99944960000000005</v>
      </c>
      <c r="N360">
        <v>-4.5000580000000004E-3</v>
      </c>
      <c r="O360">
        <v>-3.2867960000000002E-2</v>
      </c>
      <c r="P360">
        <v>0.99735490000000004</v>
      </c>
      <c r="Q360">
        <v>-5.3545089999999997E-2</v>
      </c>
      <c r="R360">
        <v>-4.9156789999999999E-2</v>
      </c>
      <c r="S360">
        <v>2.9984440000000001</v>
      </c>
      <c r="T360">
        <v>-0.16319979999999901</v>
      </c>
      <c r="U360">
        <v>-1.6357420000000001E-2</v>
      </c>
      <c r="V360">
        <v>1.6342659999999998E-2</v>
      </c>
      <c r="W360">
        <v>-4.9053590000000001E-2</v>
      </c>
      <c r="X360">
        <v>0.99866239999999995</v>
      </c>
      <c r="Y360">
        <v>-2.7330819999999999E-2</v>
      </c>
      <c r="Z360">
        <v>2.4442679999999999E-3</v>
      </c>
      <c r="AA360">
        <v>0.9996235</v>
      </c>
      <c r="AB360">
        <v>25</v>
      </c>
      <c r="AC360">
        <v>19.434999999999999</v>
      </c>
      <c r="AD360">
        <v>-1.0698222652009901</v>
      </c>
      <c r="AE360">
        <v>-0.100000000000022</v>
      </c>
      <c r="AF360">
        <v>-0.53722150212753605</v>
      </c>
      <c r="AG360">
        <v>-1.0698222652009901</v>
      </c>
      <c r="AH360">
        <v>19.3690975657663</v>
      </c>
      <c r="AI360">
        <v>93.160218971190801</v>
      </c>
      <c r="AJ360">
        <v>91.588749050401603</v>
      </c>
      <c r="AK360">
        <v>19.406057485580199</v>
      </c>
      <c r="AL360">
        <v>92.811692158106695</v>
      </c>
      <c r="AM360">
        <v>89.062464080253307</v>
      </c>
      <c r="AN360">
        <v>0.99999996320076101</v>
      </c>
    </row>
    <row r="361" spans="1:40" x14ac:dyDescent="0.25">
      <c r="A361" t="str">
        <f>"20190303154738970"</f>
        <v>20190303154738970</v>
      </c>
      <c r="B361" t="str">
        <f>"1551599258961223"</f>
        <v>1551599258961223</v>
      </c>
      <c r="C361" t="s">
        <v>40</v>
      </c>
      <c r="D361">
        <v>5.0746529999999996</v>
      </c>
      <c r="E361">
        <v>0.48309869999999999</v>
      </c>
      <c r="F361" t="s">
        <v>41</v>
      </c>
      <c r="G361">
        <v>-383.00599999999997</v>
      </c>
      <c r="H361" s="1">
        <v>-3.2987720000000002E-6</v>
      </c>
      <c r="I361">
        <v>367.83440000000002</v>
      </c>
      <c r="J361">
        <v>-402.26339999999999</v>
      </c>
      <c r="K361">
        <v>1.069828</v>
      </c>
      <c r="L361">
        <v>367.9119</v>
      </c>
      <c r="M361">
        <v>0.99944880000000003</v>
      </c>
      <c r="N361">
        <v>-4.4601600000000003E-3</v>
      </c>
      <c r="O361">
        <v>-3.2902099999999997E-2</v>
      </c>
      <c r="P361">
        <v>0.99739279999999997</v>
      </c>
      <c r="Q361">
        <v>-5.2668039999999999E-2</v>
      </c>
      <c r="R361">
        <v>-4.9337590000000001E-2</v>
      </c>
      <c r="S361">
        <v>2.9984739999999999</v>
      </c>
      <c r="T361">
        <v>-0.1643442</v>
      </c>
      <c r="U361">
        <v>-1.3214109999999999E-2</v>
      </c>
      <c r="V361">
        <v>1.6490479999999998E-2</v>
      </c>
      <c r="W361">
        <v>-4.8215439999999998E-2</v>
      </c>
      <c r="X361">
        <v>0.99870080000000006</v>
      </c>
      <c r="Y361">
        <v>-2.8409819999999999E-2</v>
      </c>
      <c r="Z361">
        <v>2.4964129999999998E-3</v>
      </c>
      <c r="AA361">
        <v>0.99959330000000002</v>
      </c>
      <c r="AB361">
        <v>26</v>
      </c>
      <c r="AC361">
        <v>19.257400000000001</v>
      </c>
      <c r="AD361">
        <v>-1.069831298772</v>
      </c>
      <c r="AE361">
        <v>-7.7499999999986302E-2</v>
      </c>
      <c r="AF361">
        <v>-0.55444590695594698</v>
      </c>
      <c r="AG361">
        <v>-1.069831298772</v>
      </c>
      <c r="AH361">
        <v>19.190297710648899</v>
      </c>
      <c r="AI361">
        <v>93.189525630145397</v>
      </c>
      <c r="AJ361">
        <v>91.654928760802207</v>
      </c>
      <c r="AK361">
        <v>19.228090791727301</v>
      </c>
      <c r="AL361">
        <v>92.763612766118897</v>
      </c>
      <c r="AM361">
        <v>89.054021932933495</v>
      </c>
      <c r="AN361">
        <v>0.99999997625283099</v>
      </c>
    </row>
    <row r="362" spans="1:40" x14ac:dyDescent="0.25">
      <c r="A362" t="str">
        <f>"20190303154738992"</f>
        <v>20190303154738992</v>
      </c>
      <c r="B362" t="str">
        <f>"1551599258980743"</f>
        <v>1551599258980743</v>
      </c>
      <c r="C362" t="s">
        <v>40</v>
      </c>
      <c r="D362">
        <v>5.1186249999999998</v>
      </c>
      <c r="E362">
        <v>0.4833499</v>
      </c>
      <c r="F362" t="s">
        <v>41</v>
      </c>
      <c r="G362">
        <v>-382.61919999999998</v>
      </c>
      <c r="H362" s="1">
        <v>-3.466807E-6</v>
      </c>
      <c r="I362">
        <v>367.82260000000002</v>
      </c>
      <c r="J362">
        <v>-402.01369999999997</v>
      </c>
      <c r="K362">
        <v>1.069839</v>
      </c>
      <c r="L362">
        <v>367.90359999999998</v>
      </c>
      <c r="M362">
        <v>0.99944849999999996</v>
      </c>
      <c r="N362">
        <v>-4.4323720000000004E-3</v>
      </c>
      <c r="O362">
        <v>-3.291413E-2</v>
      </c>
      <c r="P362">
        <v>0.99741290000000005</v>
      </c>
      <c r="Q362">
        <v>-5.2237829999999999E-2</v>
      </c>
      <c r="R362">
        <v>-4.9388340000000003E-2</v>
      </c>
      <c r="S362">
        <v>2.9985050000000002</v>
      </c>
      <c r="T362">
        <v>-0.16329979999999999</v>
      </c>
      <c r="U362">
        <v>-1.3610840000000001E-2</v>
      </c>
      <c r="V362">
        <v>1.6529950000000002E-2</v>
      </c>
      <c r="W362">
        <v>-4.781237E-2</v>
      </c>
      <c r="X362">
        <v>0.99871960000000004</v>
      </c>
      <c r="Y362">
        <v>-2.8290920000000001E-2</v>
      </c>
      <c r="Z362">
        <v>2.4776350000000002E-3</v>
      </c>
      <c r="AA362">
        <v>0.9995967</v>
      </c>
      <c r="AB362">
        <v>26</v>
      </c>
      <c r="AC362">
        <v>19.394499999999901</v>
      </c>
      <c r="AD362">
        <v>-1.0698424668069999</v>
      </c>
      <c r="AE362">
        <v>-8.0999999999960395E-2</v>
      </c>
      <c r="AF362">
        <v>-0.55571223327580199</v>
      </c>
      <c r="AG362">
        <v>-1.0698424668069999</v>
      </c>
      <c r="AH362">
        <v>19.327846625852999</v>
      </c>
      <c r="AI362">
        <v>93.166919101874299</v>
      </c>
      <c r="AJ362">
        <v>91.646908567986898</v>
      </c>
      <c r="AK362">
        <v>19.365408185279598</v>
      </c>
      <c r="AL362">
        <v>92.740491685329403</v>
      </c>
      <c r="AM362">
        <v>89.051775991828407</v>
      </c>
      <c r="AN362">
        <v>1.00000005069808</v>
      </c>
    </row>
    <row r="363" spans="1:40" x14ac:dyDescent="0.25">
      <c r="A363" t="str">
        <f>"20190303154739015"</f>
        <v>20190303154739015</v>
      </c>
      <c r="B363" t="str">
        <f>"1551599259011000"</f>
        <v>1551599259011000</v>
      </c>
      <c r="C363" t="s">
        <v>40</v>
      </c>
      <c r="D363">
        <v>4.9486489999999996</v>
      </c>
      <c r="E363">
        <v>0.48344700000000002</v>
      </c>
      <c r="F363" t="s">
        <v>41</v>
      </c>
      <c r="G363">
        <v>-381.96319999999997</v>
      </c>
      <c r="H363" s="1">
        <v>-3.7523469999999999E-6</v>
      </c>
      <c r="I363">
        <v>367.79950000000002</v>
      </c>
      <c r="J363">
        <v>-401.73649999999998</v>
      </c>
      <c r="K363">
        <v>1.0698399999999999</v>
      </c>
      <c r="L363">
        <v>367.89449999999999</v>
      </c>
      <c r="M363">
        <v>0.99944869999999997</v>
      </c>
      <c r="N363">
        <v>-4.4115659999999996E-3</v>
      </c>
      <c r="O363">
        <v>-3.290771E-2</v>
      </c>
      <c r="P363">
        <v>0.99745320000000004</v>
      </c>
      <c r="Q363">
        <v>-5.1514860000000003E-2</v>
      </c>
      <c r="R363">
        <v>-4.9332359999999999E-2</v>
      </c>
      <c r="S363">
        <v>2.9986269999999999</v>
      </c>
      <c r="T363">
        <v>-0.15999829999999901</v>
      </c>
      <c r="U363">
        <v>-1.556396E-2</v>
      </c>
      <c r="V363">
        <v>1.648055E-2</v>
      </c>
      <c r="W363">
        <v>-4.7109560000000002E-2</v>
      </c>
      <c r="X363">
        <v>0.99875380000000002</v>
      </c>
      <c r="Y363">
        <v>-2.7638159999999998E-2</v>
      </c>
      <c r="Z363">
        <v>2.407055E-3</v>
      </c>
      <c r="AA363">
        <v>0.99961509999999998</v>
      </c>
      <c r="AB363">
        <v>26</v>
      </c>
      <c r="AC363">
        <v>19.773299999999999</v>
      </c>
      <c r="AD363">
        <v>-1.0698437523469999</v>
      </c>
      <c r="AE363">
        <v>-9.49999999999704E-2</v>
      </c>
      <c r="AF363">
        <v>-0.55412965759048505</v>
      </c>
      <c r="AG363">
        <v>-1.0698437523469999</v>
      </c>
      <c r="AH363">
        <v>19.7080247461389</v>
      </c>
      <c r="AI363">
        <v>93.106008004726604</v>
      </c>
      <c r="AJ363">
        <v>91.610558564406702</v>
      </c>
      <c r="AK363">
        <v>19.744818680511599</v>
      </c>
      <c r="AL363">
        <v>92.700178249685607</v>
      </c>
      <c r="AM363">
        <v>89.054641625043899</v>
      </c>
      <c r="AN363">
        <v>1.0000000360930601</v>
      </c>
    </row>
    <row r="364" spans="1:40" x14ac:dyDescent="0.25">
      <c r="A364" t="str">
        <f>"20190303154739171"</f>
        <v>20190303154739171</v>
      </c>
      <c r="B364" t="str">
        <f>"1551599259161308"</f>
        <v>1551599259161308</v>
      </c>
      <c r="C364" t="s">
        <v>40</v>
      </c>
      <c r="D364">
        <v>4.9483489999999897</v>
      </c>
      <c r="E364">
        <v>0.48381160000000001</v>
      </c>
      <c r="F364" t="s">
        <v>41</v>
      </c>
      <c r="G364">
        <v>-381.45350000000002</v>
      </c>
      <c r="H364" s="1">
        <v>-3.9734820000000001E-6</v>
      </c>
      <c r="I364">
        <v>367.78539999999998</v>
      </c>
      <c r="J364">
        <v>-399.93150000000003</v>
      </c>
      <c r="K364">
        <v>1.0736889999999999</v>
      </c>
      <c r="L364">
        <v>367.83620000000002</v>
      </c>
      <c r="M364">
        <v>0.99947949999999997</v>
      </c>
      <c r="N364">
        <v>-3.221313E-3</v>
      </c>
      <c r="O364">
        <v>-3.2099620000000002E-2</v>
      </c>
      <c r="P364">
        <v>0.9974402</v>
      </c>
      <c r="Q364">
        <v>-5.1069929999999999E-2</v>
      </c>
      <c r="R364">
        <v>-5.0048750000000003E-2</v>
      </c>
      <c r="S364">
        <v>2.9986570000000001</v>
      </c>
      <c r="T364">
        <v>-0.15816659999999999</v>
      </c>
      <c r="U364">
        <v>-1.6113280000000001E-2</v>
      </c>
      <c r="V364">
        <v>1.801989E-2</v>
      </c>
      <c r="W364">
        <v>-4.7847569999999999E-2</v>
      </c>
      <c r="X364">
        <v>0.99869209999999997</v>
      </c>
      <c r="Y364">
        <v>-2.665004E-2</v>
      </c>
      <c r="Z364">
        <v>2.3336289999999998E-3</v>
      </c>
      <c r="AA364">
        <v>0.99964209999999998</v>
      </c>
      <c r="AB364">
        <v>26</v>
      </c>
      <c r="AC364">
        <v>18.478000000000002</v>
      </c>
      <c r="AD364">
        <v>-1.073692973482</v>
      </c>
      <c r="AE364">
        <v>-5.0800000000037898E-2</v>
      </c>
      <c r="AF364">
        <v>-0.54054097110964205</v>
      </c>
      <c r="AG364">
        <v>-1.073692973482</v>
      </c>
      <c r="AH364">
        <v>18.4079567436142</v>
      </c>
      <c r="AI364">
        <v>93.336711354194904</v>
      </c>
      <c r="AJ364">
        <v>91.681980220221206</v>
      </c>
      <c r="AK364">
        <v>18.447164351670001</v>
      </c>
      <c r="AL364">
        <v>92.742510923394306</v>
      </c>
      <c r="AM364">
        <v>88.966296398422699</v>
      </c>
      <c r="AN364">
        <v>1.00000000849646</v>
      </c>
    </row>
    <row r="365" spans="1:40" x14ac:dyDescent="0.25">
      <c r="A365" t="str">
        <f>"20190303154739194"</f>
        <v>20190303154739194</v>
      </c>
      <c r="B365" t="str">
        <f>"1551599259191560"</f>
        <v>1551599259191560</v>
      </c>
      <c r="C365" t="s">
        <v>40</v>
      </c>
      <c r="D365">
        <v>4.9700899999999999</v>
      </c>
      <c r="E365">
        <v>0.48514010000000002</v>
      </c>
      <c r="F365" t="s">
        <v>41</v>
      </c>
      <c r="G365">
        <v>-379.07420000000002</v>
      </c>
      <c r="H365" s="1">
        <v>-8.14366E-7</v>
      </c>
      <c r="I365">
        <v>367.68729999999999</v>
      </c>
      <c r="J365">
        <v>-399.66</v>
      </c>
      <c r="K365">
        <v>1.0750980000000001</v>
      </c>
      <c r="L365">
        <v>367.82769999999999</v>
      </c>
      <c r="M365">
        <v>0.99949180000000004</v>
      </c>
      <c r="N365">
        <v>-1.2392460000000001E-3</v>
      </c>
      <c r="O365">
        <v>-3.1856379999999997E-2</v>
      </c>
      <c r="P365">
        <v>0.99762289999999998</v>
      </c>
      <c r="Q365">
        <v>-4.8564870000000003E-2</v>
      </c>
      <c r="R365">
        <v>-4.8893180000000001E-2</v>
      </c>
      <c r="S365">
        <v>2.9987180000000002</v>
      </c>
      <c r="T365">
        <v>-0.15436710000000001</v>
      </c>
      <c r="U365">
        <v>-2.139282E-2</v>
      </c>
      <c r="V365">
        <v>1.7103119999999999E-2</v>
      </c>
      <c r="W365">
        <v>-4.732161E-2</v>
      </c>
      <c r="X365">
        <v>0.99873330000000005</v>
      </c>
      <c r="Y365">
        <v>-2.465181E-2</v>
      </c>
      <c r="Z365">
        <v>2.2484409999999999E-3</v>
      </c>
      <c r="AA365">
        <v>0.99969359999999996</v>
      </c>
      <c r="AB365">
        <v>27</v>
      </c>
      <c r="AC365">
        <v>20.585799999999999</v>
      </c>
      <c r="AD365">
        <v>-1.0750988143660001</v>
      </c>
      <c r="AE365">
        <v>-0.140399999999999</v>
      </c>
      <c r="AF365">
        <v>-0.51405873830847604</v>
      </c>
      <c r="AG365">
        <v>-1.0750988143660001</v>
      </c>
      <c r="AH365">
        <v>20.5238486971298</v>
      </c>
      <c r="AI365">
        <v>92.997640286776203</v>
      </c>
      <c r="AJ365">
        <v>91.434781541775394</v>
      </c>
      <c r="AK365">
        <v>20.5584157752916</v>
      </c>
      <c r="AL365">
        <v>92.712341406533795</v>
      </c>
      <c r="AM365">
        <v>89.018916443904601</v>
      </c>
      <c r="AN365">
        <v>1.0000000280078001</v>
      </c>
    </row>
    <row r="366" spans="1:40" x14ac:dyDescent="0.25">
      <c r="A366" t="str">
        <f>"20190303154739215"</f>
        <v>20190303154739215</v>
      </c>
      <c r="B366" t="str">
        <f>"1551599259211080"</f>
        <v>1551599259211080</v>
      </c>
      <c r="C366" t="s">
        <v>40</v>
      </c>
      <c r="D366">
        <v>5.041938</v>
      </c>
      <c r="E366">
        <v>0.4852707</v>
      </c>
      <c r="F366" t="s">
        <v>41</v>
      </c>
      <c r="G366">
        <v>-376.21969999999999</v>
      </c>
      <c r="H366" s="1">
        <v>-1.9606989999999999E-6</v>
      </c>
      <c r="I366">
        <v>367.60579999999999</v>
      </c>
      <c r="J366">
        <v>-399.38799999999998</v>
      </c>
      <c r="K366">
        <v>1.076646</v>
      </c>
      <c r="L366">
        <v>367.8193</v>
      </c>
      <c r="M366">
        <v>0.99950059999999996</v>
      </c>
      <c r="N366">
        <v>6.6285009999999904E-4</v>
      </c>
      <c r="O366">
        <v>-3.1595360000000003E-2</v>
      </c>
      <c r="P366">
        <v>0.99776710000000002</v>
      </c>
      <c r="Q366">
        <v>-4.5830849999999999E-2</v>
      </c>
      <c r="R366">
        <v>-4.8582939999999998E-2</v>
      </c>
      <c r="S366">
        <v>2.9990540000000001</v>
      </c>
      <c r="T366">
        <v>-0.13755249999999999</v>
      </c>
      <c r="U366">
        <v>-2.838135E-2</v>
      </c>
      <c r="V366">
        <v>1.7049970000000001E-2</v>
      </c>
      <c r="W366">
        <v>-4.6486979999999997E-2</v>
      </c>
      <c r="X366">
        <v>0.99877340000000003</v>
      </c>
      <c r="Y366">
        <v>-2.2078629999999998E-2</v>
      </c>
      <c r="Z366">
        <v>1.9677589999999999E-3</v>
      </c>
      <c r="AA366">
        <v>0.99975429999999998</v>
      </c>
      <c r="AB366">
        <v>27</v>
      </c>
      <c r="AC366">
        <v>23.168299999999999</v>
      </c>
      <c r="AD366">
        <v>-1.076647960699</v>
      </c>
      <c r="AE366">
        <v>-0.21350000000000999</v>
      </c>
      <c r="AF366">
        <v>-0.51750001302146897</v>
      </c>
      <c r="AG366">
        <v>-1.076647960699</v>
      </c>
      <c r="AH366">
        <v>23.113568456751398</v>
      </c>
      <c r="AI366">
        <v>92.666286869804296</v>
      </c>
      <c r="AJ366">
        <v>91.282606521997195</v>
      </c>
      <c r="AK366">
        <v>23.144416689553601</v>
      </c>
      <c r="AL366">
        <v>92.664467954143802</v>
      </c>
      <c r="AM366">
        <v>89.022003945527203</v>
      </c>
      <c r="AN366">
        <v>1.00000002266704</v>
      </c>
    </row>
    <row r="367" spans="1:40" x14ac:dyDescent="0.25">
      <c r="A367" t="str">
        <f>"20190303154739238"</f>
        <v>20190303154739238</v>
      </c>
      <c r="B367" t="str">
        <f>"1551599259231576"</f>
        <v>1551599259231576</v>
      </c>
      <c r="C367" t="s">
        <v>40</v>
      </c>
      <c r="D367">
        <v>5.0176319999999999</v>
      </c>
      <c r="E367">
        <v>0.4853732</v>
      </c>
      <c r="F367" t="s">
        <v>41</v>
      </c>
      <c r="G367">
        <v>-374.25850000000003</v>
      </c>
      <c r="H367" s="1">
        <v>-2.8062400000000002E-6</v>
      </c>
      <c r="I367">
        <v>367.5822</v>
      </c>
      <c r="J367">
        <v>-399.12279999999998</v>
      </c>
      <c r="K367">
        <v>1.0782050000000001</v>
      </c>
      <c r="L367">
        <v>367.81110000000001</v>
      </c>
      <c r="M367">
        <v>0.99950609999999995</v>
      </c>
      <c r="N367">
        <v>2.4042600000000001E-3</v>
      </c>
      <c r="O367">
        <v>-3.133437E-2</v>
      </c>
      <c r="P367">
        <v>0.99786470000000005</v>
      </c>
      <c r="Q367">
        <v>-4.4196880000000001E-2</v>
      </c>
      <c r="R367">
        <v>-4.8093839999999999E-2</v>
      </c>
      <c r="S367">
        <v>2.99939</v>
      </c>
      <c r="T367">
        <v>-0.12850529999999999</v>
      </c>
      <c r="U367">
        <v>-2.8289789999999999E-2</v>
      </c>
      <c r="V367">
        <v>1.681964E-2</v>
      </c>
      <c r="W367">
        <v>-4.6592179999999997E-2</v>
      </c>
      <c r="X367">
        <v>0.9987724</v>
      </c>
      <c r="Y367">
        <v>-2.1855289999999999E-2</v>
      </c>
      <c r="Z367">
        <v>1.858607E-3</v>
      </c>
      <c r="AA367">
        <v>0.99975939999999996</v>
      </c>
      <c r="AB367">
        <v>27</v>
      </c>
      <c r="AC367">
        <v>24.864299999999901</v>
      </c>
      <c r="AD367">
        <v>-1.07820780623999</v>
      </c>
      <c r="AE367">
        <v>-0.22890000000001001</v>
      </c>
      <c r="AF367">
        <v>-0.54928900098158695</v>
      </c>
      <c r="AG367">
        <v>-1.07820780623999</v>
      </c>
      <c r="AH367">
        <v>24.812609058684099</v>
      </c>
      <c r="AI367">
        <v>92.487558396523696</v>
      </c>
      <c r="AJ367">
        <v>91.268177876354997</v>
      </c>
      <c r="AK367">
        <v>24.842097712937399</v>
      </c>
      <c r="AL367">
        <v>92.670502017327294</v>
      </c>
      <c r="AM367">
        <v>89.035212326229001</v>
      </c>
      <c r="AN367">
        <v>1.0000000192643199</v>
      </c>
    </row>
    <row r="368" spans="1:40" x14ac:dyDescent="0.25">
      <c r="A368" t="str">
        <f>"20190303154739260"</f>
        <v>20190303154739260</v>
      </c>
      <c r="B368" t="str">
        <f>"1551599259251096"</f>
        <v>1551599259251096</v>
      </c>
      <c r="C368" t="s">
        <v>40</v>
      </c>
      <c r="D368">
        <v>5.0292300000000001</v>
      </c>
      <c r="E368">
        <v>0.48549110000000001</v>
      </c>
      <c r="F368" t="s">
        <v>41</v>
      </c>
      <c r="G368">
        <v>-372.77679999999998</v>
      </c>
      <c r="H368" s="1">
        <v>-3.4446980000000002E-6</v>
      </c>
      <c r="I368">
        <v>367.56630000000001</v>
      </c>
      <c r="J368">
        <v>-398.85120000000001</v>
      </c>
      <c r="K368">
        <v>1.0797870000000001</v>
      </c>
      <c r="L368">
        <v>367.80290000000002</v>
      </c>
      <c r="M368">
        <v>0.99950930000000004</v>
      </c>
      <c r="N368">
        <v>4.0100869999999999E-3</v>
      </c>
      <c r="O368">
        <v>-3.106778E-2</v>
      </c>
      <c r="P368">
        <v>0.99796169999999995</v>
      </c>
      <c r="Q368">
        <v>-4.2494980000000002E-2</v>
      </c>
      <c r="R368">
        <v>-4.7609800000000001E-2</v>
      </c>
      <c r="S368">
        <v>2.9996339999999999</v>
      </c>
      <c r="T368">
        <v>-0.1227593</v>
      </c>
      <c r="U368">
        <v>-2.786255E-2</v>
      </c>
      <c r="V368">
        <v>1.659996E-2</v>
      </c>
      <c r="W368">
        <v>-4.6494189999999998E-2</v>
      </c>
      <c r="X368">
        <v>0.99878060000000002</v>
      </c>
      <c r="Y368">
        <v>-2.173518E-2</v>
      </c>
      <c r="Z368">
        <v>1.7961889999999999E-3</v>
      </c>
      <c r="AA368">
        <v>0.99976220000000005</v>
      </c>
      <c r="AB368">
        <v>27</v>
      </c>
      <c r="AC368">
        <v>26.074400000000001</v>
      </c>
      <c r="AD368">
        <v>-1.079790444698</v>
      </c>
      <c r="AE368">
        <v>-0.236600000000009</v>
      </c>
      <c r="AF368">
        <v>-0.57261247921154701</v>
      </c>
      <c r="AG368">
        <v>-1.079790444698</v>
      </c>
      <c r="AH368">
        <v>26.0245368736831</v>
      </c>
      <c r="AI368">
        <v>92.375336226800698</v>
      </c>
      <c r="AJ368">
        <v>91.260463755390106</v>
      </c>
      <c r="AK368">
        <v>26.053221527202702</v>
      </c>
      <c r="AL368">
        <v>92.664881623899902</v>
      </c>
      <c r="AM368">
        <v>89.047818823110603</v>
      </c>
      <c r="AN368">
        <v>0.99999997765605797</v>
      </c>
    </row>
    <row r="369" spans="1:40" x14ac:dyDescent="0.25">
      <c r="A369" t="str">
        <f>"20190303154739283"</f>
        <v>20190303154739283</v>
      </c>
      <c r="B369" t="str">
        <f>"1551599259271592"</f>
        <v>1551599259271592</v>
      </c>
      <c r="C369" t="s">
        <v>40</v>
      </c>
      <c r="D369">
        <v>5.0216159999999999</v>
      </c>
      <c r="E369">
        <v>0.48557129999999998</v>
      </c>
      <c r="F369" t="s">
        <v>41</v>
      </c>
      <c r="G369">
        <v>-371.05799999999999</v>
      </c>
      <c r="H369" s="1">
        <v>-4.1847729999999996E-6</v>
      </c>
      <c r="I369">
        <v>367.55090000000001</v>
      </c>
      <c r="J369">
        <v>-398.57600000000002</v>
      </c>
      <c r="K369">
        <v>1.0813569999999999</v>
      </c>
      <c r="L369">
        <v>367.7946</v>
      </c>
      <c r="M369">
        <v>0.99951140000000005</v>
      </c>
      <c r="N369">
        <v>5.3289560000000001E-3</v>
      </c>
      <c r="O369">
        <v>-3.0797709999999999E-2</v>
      </c>
      <c r="P369">
        <v>0.99801050000000002</v>
      </c>
      <c r="Q369">
        <v>-4.156079E-2</v>
      </c>
      <c r="R369">
        <v>-4.7413089999999998E-2</v>
      </c>
      <c r="S369">
        <v>2.999908</v>
      </c>
      <c r="T369">
        <v>-0.1165489</v>
      </c>
      <c r="U369">
        <v>-2.7191159999999999E-2</v>
      </c>
      <c r="V369">
        <v>1.6672429999999999E-2</v>
      </c>
      <c r="W369">
        <v>-4.6877179999999997E-2</v>
      </c>
      <c r="X369">
        <v>0.99876149999999997</v>
      </c>
      <c r="Y369">
        <v>-2.169341E-2</v>
      </c>
      <c r="Z369">
        <v>1.72334299999999E-3</v>
      </c>
      <c r="AA369">
        <v>0.99976319999999996</v>
      </c>
      <c r="AB369">
        <v>27</v>
      </c>
      <c r="AC369">
        <v>27.517999999999901</v>
      </c>
      <c r="AD369">
        <v>-1.08136118477299</v>
      </c>
      <c r="AE369">
        <v>-0.24369999999998901</v>
      </c>
      <c r="AF369">
        <v>-0.60298797995652198</v>
      </c>
      <c r="AG369">
        <v>-1.08136118477299</v>
      </c>
      <c r="AH369">
        <v>27.47003532495</v>
      </c>
      <c r="AI369">
        <v>92.253748839220904</v>
      </c>
      <c r="AJ369">
        <v>91.257483604152497</v>
      </c>
      <c r="AK369">
        <v>27.497923144665101</v>
      </c>
      <c r="AL369">
        <v>92.686849263159701</v>
      </c>
      <c r="AM369">
        <v>89.043644396346096</v>
      </c>
      <c r="AN369">
        <v>0.99999998690455305</v>
      </c>
    </row>
    <row r="370" spans="1:40" x14ac:dyDescent="0.25">
      <c r="A370" t="str">
        <f>"20190303154739305"</f>
        <v>20190303154739305</v>
      </c>
      <c r="B370" t="str">
        <f>"1551599259300872"</f>
        <v>1551599259300872</v>
      </c>
      <c r="C370" t="s">
        <v>40</v>
      </c>
      <c r="D370">
        <v>5.0121390000000003</v>
      </c>
      <c r="E370">
        <v>0.48563260000000003</v>
      </c>
      <c r="F370" t="s">
        <v>41</v>
      </c>
      <c r="G370">
        <v>-370.08699999999999</v>
      </c>
      <c r="H370" s="1">
        <v>-4.6044329999999998E-6</v>
      </c>
      <c r="I370">
        <v>367.53339999999997</v>
      </c>
      <c r="J370">
        <v>-398.30070000000001</v>
      </c>
      <c r="K370">
        <v>1.083142</v>
      </c>
      <c r="L370">
        <v>367.78640000000001</v>
      </c>
      <c r="M370">
        <v>0.99951849999999998</v>
      </c>
      <c r="N370">
        <v>5.6303179999999996E-3</v>
      </c>
      <c r="O370">
        <v>-3.0516160000000001E-2</v>
      </c>
      <c r="P370">
        <v>0.99801839999999997</v>
      </c>
      <c r="Q370">
        <v>-4.1558659999999997E-2</v>
      </c>
      <c r="R370">
        <v>-4.7248329999999998E-2</v>
      </c>
      <c r="S370">
        <v>2.9999690000000001</v>
      </c>
      <c r="T370">
        <v>-0.1138701</v>
      </c>
      <c r="U370">
        <v>-2.7496340000000001E-2</v>
      </c>
      <c r="V370">
        <v>1.6788669999999999E-2</v>
      </c>
      <c r="W370">
        <v>-4.7176030000000001E-2</v>
      </c>
      <c r="X370">
        <v>0.99874549999999995</v>
      </c>
      <c r="Y370">
        <v>-2.1312439999999998E-2</v>
      </c>
      <c r="Z370">
        <v>1.6737639999999999E-3</v>
      </c>
      <c r="AA370">
        <v>0.99977150000000004</v>
      </c>
      <c r="AB370">
        <v>28</v>
      </c>
      <c r="AC370">
        <v>28.213699999999999</v>
      </c>
      <c r="AD370">
        <v>-1.083146604433</v>
      </c>
      <c r="AE370">
        <v>-0.25300000000004202</v>
      </c>
      <c r="AF370">
        <v>-0.60721032312913803</v>
      </c>
      <c r="AG370">
        <v>-1.083146604433</v>
      </c>
      <c r="AH370">
        <v>28.166770066767999</v>
      </c>
      <c r="AI370">
        <v>92.201699769034207</v>
      </c>
      <c r="AJ370">
        <v>91.234973011052801</v>
      </c>
      <c r="AK370">
        <v>28.194127880418399</v>
      </c>
      <c r="AL370">
        <v>92.703991021873605</v>
      </c>
      <c r="AM370">
        <v>89.0369625220724</v>
      </c>
      <c r="AN370">
        <v>1.00000000550858</v>
      </c>
    </row>
    <row r="371" spans="1:40" x14ac:dyDescent="0.25">
      <c r="A371" t="str">
        <f>"20190303154739329"</f>
        <v>20190303154739329</v>
      </c>
      <c r="B371" t="str">
        <f>"1551599259321368"</f>
        <v>1551599259321368</v>
      </c>
      <c r="C371" t="s">
        <v>40</v>
      </c>
      <c r="D371">
        <v>5.0295529999999999</v>
      </c>
      <c r="E371">
        <v>0.48563909999999899</v>
      </c>
      <c r="F371" t="s">
        <v>41</v>
      </c>
      <c r="G371">
        <v>-369.76839999999999</v>
      </c>
      <c r="H371" s="1">
        <v>-6.2131019999999897E-7</v>
      </c>
      <c r="I371">
        <v>367.52510000000001</v>
      </c>
      <c r="J371">
        <v>-398.01400000000001</v>
      </c>
      <c r="K371">
        <v>1.085488</v>
      </c>
      <c r="L371">
        <v>367.77789999999999</v>
      </c>
      <c r="M371">
        <v>0.99953040000000004</v>
      </c>
      <c r="N371">
        <v>5.133065E-3</v>
      </c>
      <c r="O371">
        <v>-3.021078E-2</v>
      </c>
      <c r="P371">
        <v>0.99799179999999998</v>
      </c>
      <c r="Q371">
        <v>-4.2577459999999998E-2</v>
      </c>
      <c r="R371">
        <v>-4.6899639999999999E-2</v>
      </c>
      <c r="S371">
        <v>2.999908</v>
      </c>
      <c r="T371">
        <v>-0.1138822</v>
      </c>
      <c r="U371">
        <v>-2.7465819999999998E-2</v>
      </c>
      <c r="V371">
        <v>1.6746509999999999E-2</v>
      </c>
      <c r="W371">
        <v>-4.7698009999999999E-2</v>
      </c>
      <c r="X371">
        <v>0.99872139999999998</v>
      </c>
      <c r="Y371">
        <v>-2.10178E-2</v>
      </c>
      <c r="Z371">
        <v>1.646107E-3</v>
      </c>
      <c r="AA371">
        <v>0.99977769999999999</v>
      </c>
      <c r="AB371">
        <v>27</v>
      </c>
      <c r="AC371">
        <v>28.2456</v>
      </c>
      <c r="AD371">
        <v>-1.0854886213102</v>
      </c>
      <c r="AE371">
        <v>-0.25279999999997899</v>
      </c>
      <c r="AF371">
        <v>-0.59976250358498595</v>
      </c>
      <c r="AG371">
        <v>-1.0854886213102</v>
      </c>
      <c r="AH371">
        <v>28.198701228448702</v>
      </c>
      <c r="AI371">
        <v>92.203973214099804</v>
      </c>
      <c r="AJ371">
        <v>91.218449016070196</v>
      </c>
      <c r="AK371">
        <v>28.225958824794802</v>
      </c>
      <c r="AL371">
        <v>92.733932021294393</v>
      </c>
      <c r="AM371">
        <v>89.039357288556403</v>
      </c>
      <c r="AN371">
        <v>0.99999999028654996</v>
      </c>
    </row>
    <row r="372" spans="1:40" x14ac:dyDescent="0.25">
      <c r="A372" t="str">
        <f>"20190303154739350"</f>
        <v>20190303154739350</v>
      </c>
      <c r="B372" t="str">
        <f>"1551599259340888"</f>
        <v>1551599259340888</v>
      </c>
      <c r="C372" t="s">
        <v>40</v>
      </c>
      <c r="D372">
        <v>5.0276509999999996</v>
      </c>
      <c r="E372">
        <v>0.4856278</v>
      </c>
      <c r="F372" t="s">
        <v>41</v>
      </c>
      <c r="G372">
        <v>-370.24489999999997</v>
      </c>
      <c r="H372" s="1">
        <v>-4.5369510000000001E-6</v>
      </c>
      <c r="I372">
        <v>367.53199999999998</v>
      </c>
      <c r="J372">
        <v>-397.75369999999998</v>
      </c>
      <c r="K372">
        <v>1.0878030000000001</v>
      </c>
      <c r="L372">
        <v>367.77030000000002</v>
      </c>
      <c r="M372">
        <v>0.9995406</v>
      </c>
      <c r="N372">
        <v>4.8105350000000003E-3</v>
      </c>
      <c r="O372">
        <v>-2.9927800000000001E-2</v>
      </c>
      <c r="P372">
        <v>0.99796059999999998</v>
      </c>
      <c r="Q372">
        <v>-4.3659580000000003E-2</v>
      </c>
      <c r="R372">
        <v>-4.6573829999999997E-2</v>
      </c>
      <c r="S372">
        <v>2.9997560000000001</v>
      </c>
      <c r="T372">
        <v>-0.11725969999999999</v>
      </c>
      <c r="U372">
        <v>-2.6550290000000001E-2</v>
      </c>
      <c r="V372">
        <v>1.6705330000000001E-2</v>
      </c>
      <c r="W372">
        <v>-4.845762E-2</v>
      </c>
      <c r="X372">
        <v>0.9986855</v>
      </c>
      <c r="Y372">
        <v>-2.103756E-2</v>
      </c>
      <c r="Z372">
        <v>1.67355E-3</v>
      </c>
      <c r="AA372">
        <v>0.99977729999999998</v>
      </c>
      <c r="AB372">
        <v>27</v>
      </c>
      <c r="AC372">
        <v>27.508800000000001</v>
      </c>
      <c r="AD372">
        <v>-1.0878075369509901</v>
      </c>
      <c r="AE372">
        <v>-0.23830000000003701</v>
      </c>
      <c r="AF372">
        <v>-0.584180613386583</v>
      </c>
      <c r="AG372">
        <v>-1.0878075369509901</v>
      </c>
      <c r="AH372">
        <v>27.4606716249139</v>
      </c>
      <c r="AI372">
        <v>92.267975622616106</v>
      </c>
      <c r="AJ372">
        <v>91.218689632662205</v>
      </c>
      <c r="AK372">
        <v>27.488417166469599</v>
      </c>
      <c r="AL372">
        <v>92.777504918477206</v>
      </c>
      <c r="AM372">
        <v>89.041684645835602</v>
      </c>
      <c r="AN372">
        <v>0.99999996844836103</v>
      </c>
    </row>
    <row r="373" spans="1:40" x14ac:dyDescent="0.25">
      <c r="A373" t="str">
        <f>"20190303154739372"</f>
        <v>20190303154739372</v>
      </c>
      <c r="B373" t="str">
        <f>"1551599259361384"</f>
        <v>1551599259361384</v>
      </c>
      <c r="C373" t="s">
        <v>40</v>
      </c>
      <c r="D373">
        <v>5.0541369999999999</v>
      </c>
      <c r="E373">
        <v>0.48564679999999999</v>
      </c>
      <c r="F373" t="s">
        <v>41</v>
      </c>
      <c r="G373">
        <v>-370.78769999999997</v>
      </c>
      <c r="H373" s="1">
        <v>-4.3023390000000003E-6</v>
      </c>
      <c r="I373">
        <v>367.5419</v>
      </c>
      <c r="J373">
        <v>-397.48050000000001</v>
      </c>
      <c r="K373">
        <v>1.0902989999999999</v>
      </c>
      <c r="L373">
        <v>367.76229999999998</v>
      </c>
      <c r="M373">
        <v>0.99954929999999997</v>
      </c>
      <c r="N373">
        <v>4.7927530000000003E-3</v>
      </c>
      <c r="O373">
        <v>-2.963466E-2</v>
      </c>
      <c r="P373">
        <v>0.99794830000000001</v>
      </c>
      <c r="Q373">
        <v>-4.415061E-2</v>
      </c>
      <c r="R373">
        <v>-4.6369599999999997E-2</v>
      </c>
      <c r="S373">
        <v>2.9996339999999999</v>
      </c>
      <c r="T373">
        <v>-0.1210046</v>
      </c>
      <c r="U373">
        <v>-2.5390630000000001E-2</v>
      </c>
      <c r="V373">
        <v>1.6795520000000001E-2</v>
      </c>
      <c r="W373">
        <v>-4.8930469999999997E-2</v>
      </c>
      <c r="X373">
        <v>0.99866100000000002</v>
      </c>
      <c r="Y373">
        <v>-2.112808E-2</v>
      </c>
      <c r="Z373">
        <v>1.7120849999999999E-3</v>
      </c>
      <c r="AA373">
        <v>0.99977530000000003</v>
      </c>
      <c r="AB373">
        <v>27</v>
      </c>
      <c r="AC373">
        <v>26.692799999999998</v>
      </c>
      <c r="AD373">
        <v>-1.0903033023390001</v>
      </c>
      <c r="AE373">
        <v>-0.220399999999983</v>
      </c>
      <c r="AF373">
        <v>-0.56978736360711202</v>
      </c>
      <c r="AG373">
        <v>-1.0903033023390001</v>
      </c>
      <c r="AH373">
        <v>26.643158676075998</v>
      </c>
      <c r="AI373">
        <v>92.342840992447293</v>
      </c>
      <c r="AJ373">
        <v>91.225133847982704</v>
      </c>
      <c r="AK373">
        <v>26.671545196508301</v>
      </c>
      <c r="AL373">
        <v>92.804629214144299</v>
      </c>
      <c r="AM373">
        <v>89.036488160407202</v>
      </c>
      <c r="AN373">
        <v>1.00000003665374</v>
      </c>
    </row>
    <row r="374" spans="1:40" x14ac:dyDescent="0.25">
      <c r="A374" t="str">
        <f>"20190303154739385"</f>
        <v>20190303154739385</v>
      </c>
      <c r="B374" t="str">
        <f>"1551599259380904"</f>
        <v>1551599259380904</v>
      </c>
      <c r="C374" t="s">
        <v>40</v>
      </c>
      <c r="D374">
        <v>5.0473439999999998</v>
      </c>
      <c r="E374">
        <v>0.48566890000000001</v>
      </c>
      <c r="F374" t="s">
        <v>41</v>
      </c>
      <c r="G374">
        <v>-370.7808</v>
      </c>
      <c r="H374" s="1">
        <v>-4.3054749999999996E-6</v>
      </c>
      <c r="I374">
        <v>367.54090000000002</v>
      </c>
      <c r="J374">
        <v>-397.31599999999997</v>
      </c>
      <c r="K374">
        <v>1.091861</v>
      </c>
      <c r="L374">
        <v>367.75760000000002</v>
      </c>
      <c r="M374">
        <v>0.99955479999999997</v>
      </c>
      <c r="N374">
        <v>4.7429250000000003E-3</v>
      </c>
      <c r="O374">
        <v>-2.9464810000000001E-2</v>
      </c>
      <c r="P374">
        <v>0.99794050000000001</v>
      </c>
      <c r="Q374">
        <v>-4.4365540000000002E-2</v>
      </c>
      <c r="R374">
        <v>-4.6334779999999999E-2</v>
      </c>
      <c r="S374">
        <v>2.999603</v>
      </c>
      <c r="T374">
        <v>-0.1224909</v>
      </c>
      <c r="U374">
        <v>-2.4871830000000001E-2</v>
      </c>
      <c r="V374">
        <v>1.693122E-2</v>
      </c>
      <c r="W374">
        <v>-4.9095350000000003E-2</v>
      </c>
      <c r="X374">
        <v>0.99865060000000005</v>
      </c>
      <c r="Y374">
        <v>-2.1130159999999999E-2</v>
      </c>
      <c r="Z374">
        <v>1.723345E-3</v>
      </c>
      <c r="AA374">
        <v>0.99977519999999998</v>
      </c>
      <c r="AB374">
        <v>28</v>
      </c>
      <c r="AC374">
        <v>26.5351999999999</v>
      </c>
      <c r="AD374">
        <v>-1.091865305475</v>
      </c>
      <c r="AE374">
        <v>-0.216700000000003</v>
      </c>
      <c r="AF374">
        <v>-0.56430194692965996</v>
      </c>
      <c r="AG374">
        <v>-1.091865305475</v>
      </c>
      <c r="AH374">
        <v>26.485223484939802</v>
      </c>
      <c r="AI374">
        <v>92.360172591266206</v>
      </c>
      <c r="AJ374">
        <v>91.220576024371397</v>
      </c>
      <c r="AK374">
        <v>26.513726059907501</v>
      </c>
      <c r="AL374">
        <v>92.814087555655803</v>
      </c>
      <c r="AM374">
        <v>89.028694804510494</v>
      </c>
      <c r="AN374">
        <v>1.0000000202413299</v>
      </c>
    </row>
    <row r="375" spans="1:40" x14ac:dyDescent="0.25">
      <c r="A375" t="str">
        <f>"20190303154739398"</f>
        <v>20190303154739398</v>
      </c>
      <c r="B375" t="str">
        <f>"1551599259391640"</f>
        <v>1551599259391640</v>
      </c>
      <c r="C375" t="s">
        <v>40</v>
      </c>
      <c r="D375">
        <v>5.0514760000000001</v>
      </c>
      <c r="E375">
        <v>0.48568240000000001</v>
      </c>
      <c r="F375" t="s">
        <v>41</v>
      </c>
      <c r="G375">
        <v>-370.7561</v>
      </c>
      <c r="H375" s="1">
        <v>-4.3168020000000004E-6</v>
      </c>
      <c r="I375">
        <v>367.5367</v>
      </c>
      <c r="J375">
        <v>-397.14359999999999</v>
      </c>
      <c r="K375">
        <v>1.093564</v>
      </c>
      <c r="L375">
        <v>367.7527</v>
      </c>
      <c r="M375">
        <v>0.99956060000000002</v>
      </c>
      <c r="N375">
        <v>4.5581629999999996E-3</v>
      </c>
      <c r="O375">
        <v>-2.9293320000000001E-2</v>
      </c>
      <c r="P375">
        <v>0.9979036</v>
      </c>
      <c r="Q375">
        <v>-4.5154409999999999E-2</v>
      </c>
      <c r="R375">
        <v>-4.6365950000000003E-2</v>
      </c>
      <c r="S375">
        <v>2.9995120000000002</v>
      </c>
      <c r="T375">
        <v>-0.1233081</v>
      </c>
      <c r="U375">
        <v>-2.4932860000000001E-2</v>
      </c>
      <c r="V375">
        <v>1.713572E-2</v>
      </c>
      <c r="W375">
        <v>-4.9699229999999997E-2</v>
      </c>
      <c r="X375">
        <v>0.99861719999999998</v>
      </c>
      <c r="Y375">
        <v>-2.0937910000000001E-2</v>
      </c>
      <c r="Z375">
        <v>1.7194580000000001E-3</v>
      </c>
      <c r="AA375">
        <v>0.99977930000000004</v>
      </c>
      <c r="AB375">
        <v>28</v>
      </c>
      <c r="AC375">
        <v>26.3874999999999</v>
      </c>
      <c r="AD375">
        <v>-1.0935683168020001</v>
      </c>
      <c r="AE375">
        <v>-0.21600000000000799</v>
      </c>
      <c r="AF375">
        <v>-0.55612303007032404</v>
      </c>
      <c r="AG375">
        <v>-1.0935683168020001</v>
      </c>
      <c r="AH375">
        <v>26.337272133216299</v>
      </c>
      <c r="AI375">
        <v>92.377123140098703</v>
      </c>
      <c r="AJ375">
        <v>91.209645708425498</v>
      </c>
      <c r="AK375">
        <v>26.3658314472952</v>
      </c>
      <c r="AL375">
        <v>92.848729738421397</v>
      </c>
      <c r="AM375">
        <v>89.016932525369199</v>
      </c>
      <c r="AN375">
        <v>0.99999997924917505</v>
      </c>
    </row>
    <row r="376" spans="1:40" x14ac:dyDescent="0.25">
      <c r="A376" t="str">
        <f>"20190303154739417"</f>
        <v>20190303154739417</v>
      </c>
      <c r="B376" t="str">
        <f>"1551599259411160"</f>
        <v>1551599259411160</v>
      </c>
      <c r="C376" t="s">
        <v>40</v>
      </c>
      <c r="D376">
        <v>5.0808960000000001</v>
      </c>
      <c r="E376">
        <v>0.4857341</v>
      </c>
      <c r="F376" t="s">
        <v>41</v>
      </c>
      <c r="G376">
        <v>-371.0523</v>
      </c>
      <c r="H376" s="1">
        <v>-4.1903149999999997E-6</v>
      </c>
      <c r="I376">
        <v>367.5333</v>
      </c>
      <c r="J376">
        <v>-396.91320000000002</v>
      </c>
      <c r="K376">
        <v>1.095879</v>
      </c>
      <c r="L376">
        <v>367.74619999999999</v>
      </c>
      <c r="M376">
        <v>0.99956920000000005</v>
      </c>
      <c r="N376">
        <v>4.0407819999999997E-3</v>
      </c>
      <c r="O376">
        <v>-2.907496E-2</v>
      </c>
      <c r="P376">
        <v>0.9978321</v>
      </c>
      <c r="Q376">
        <v>-4.6563229999999997E-2</v>
      </c>
      <c r="R376">
        <v>-4.6511499999999997E-2</v>
      </c>
      <c r="S376">
        <v>2.9994510000000001</v>
      </c>
      <c r="T376">
        <v>-0.12571640000000001</v>
      </c>
      <c r="U376">
        <v>-2.5207520000000001E-2</v>
      </c>
      <c r="V376">
        <v>1.7502739999999999E-2</v>
      </c>
      <c r="W376">
        <v>-5.0590620000000003E-2</v>
      </c>
      <c r="X376">
        <v>0.99856610000000001</v>
      </c>
      <c r="Y376">
        <v>-2.062694E-2</v>
      </c>
      <c r="Z376">
        <v>1.725725E-3</v>
      </c>
      <c r="AA376">
        <v>0.99978579999999995</v>
      </c>
      <c r="AB376">
        <v>28</v>
      </c>
      <c r="AC376">
        <v>25.860900000000001</v>
      </c>
      <c r="AD376">
        <v>-1.0958831903149999</v>
      </c>
      <c r="AE376">
        <v>-0.21289999999998999</v>
      </c>
      <c r="AF376">
        <v>-0.53813440058575401</v>
      </c>
      <c r="AG376">
        <v>-1.0958831903149999</v>
      </c>
      <c r="AH376">
        <v>25.809812486024601</v>
      </c>
      <c r="AI376">
        <v>92.430787522176303</v>
      </c>
      <c r="AJ376">
        <v>91.194443517980503</v>
      </c>
      <c r="AK376">
        <v>25.838671969814101</v>
      </c>
      <c r="AL376">
        <v>92.899866880361401</v>
      </c>
      <c r="AM376">
        <v>88.995829668236894</v>
      </c>
      <c r="AN376">
        <v>1.0000000064043499</v>
      </c>
    </row>
    <row r="377" spans="1:40" x14ac:dyDescent="0.25">
      <c r="A377" t="str">
        <f>"20190303154739430"</f>
        <v>20190303154739430</v>
      </c>
      <c r="B377" t="str">
        <f>"1551599259420922"</f>
        <v>1551599259420922</v>
      </c>
      <c r="C377" t="s">
        <v>40</v>
      </c>
      <c r="D377">
        <v>5.0678330000000003</v>
      </c>
      <c r="E377">
        <v>0.48574420000000001</v>
      </c>
      <c r="F377" t="s">
        <v>41</v>
      </c>
      <c r="G377">
        <v>-371.66140000000001</v>
      </c>
      <c r="H377" s="1">
        <v>-3.9298979999999998E-6</v>
      </c>
      <c r="I377">
        <v>367.52839999999998</v>
      </c>
      <c r="J377">
        <v>-396.74380000000002</v>
      </c>
      <c r="K377">
        <v>1.097558</v>
      </c>
      <c r="L377">
        <v>367.7414</v>
      </c>
      <c r="M377">
        <v>0.99957560000000001</v>
      </c>
      <c r="N377">
        <v>3.5573369999999998E-3</v>
      </c>
      <c r="O377">
        <v>-2.8912690000000001E-2</v>
      </c>
      <c r="P377">
        <v>0.99779050000000002</v>
      </c>
      <c r="Q377">
        <v>-4.7263319999999998E-2</v>
      </c>
      <c r="R377">
        <v>-4.6695630000000002E-2</v>
      </c>
      <c r="S377">
        <v>2.9992369999999999</v>
      </c>
      <c r="T377">
        <v>-0.13016130000000001</v>
      </c>
      <c r="U377">
        <v>-2.5848389999999999E-2</v>
      </c>
      <c r="V377">
        <v>1.7850810000000002E-2</v>
      </c>
      <c r="W377">
        <v>-5.0807520000000002E-2</v>
      </c>
      <c r="X377">
        <v>0.99854889999999996</v>
      </c>
      <c r="Y377">
        <v>-2.0248059999999998E-2</v>
      </c>
      <c r="Z377">
        <v>1.7599029999999999E-3</v>
      </c>
      <c r="AA377">
        <v>0.99979340000000005</v>
      </c>
      <c r="AB377">
        <v>28</v>
      </c>
      <c r="AC377">
        <v>25.0824</v>
      </c>
      <c r="AD377">
        <v>-1.0975619298979999</v>
      </c>
      <c r="AE377">
        <v>-0.21300000000002201</v>
      </c>
      <c r="AF377">
        <v>-0.51131431374826997</v>
      </c>
      <c r="AG377">
        <v>-1.0975619298979999</v>
      </c>
      <c r="AH377">
        <v>25.030148497800599</v>
      </c>
      <c r="AI377">
        <v>92.510265397972105</v>
      </c>
      <c r="AJ377">
        <v>91.170271846529403</v>
      </c>
      <c r="AK377">
        <v>25.059417757389198</v>
      </c>
      <c r="AL377">
        <v>92.912310412695703</v>
      </c>
      <c r="AM377">
        <v>88.975846708703202</v>
      </c>
      <c r="AN377">
        <v>0.99999998059870798</v>
      </c>
    </row>
    <row r="378" spans="1:40" x14ac:dyDescent="0.25">
      <c r="A378" t="str">
        <f>"20190303154739451"</f>
        <v>20190303154739451</v>
      </c>
      <c r="B378" t="str">
        <f>"1551599259441416"</f>
        <v>1551599259441416</v>
      </c>
      <c r="C378" t="s">
        <v>40</v>
      </c>
      <c r="D378">
        <v>5.097772</v>
      </c>
      <c r="E378">
        <v>0.48575819999999997</v>
      </c>
      <c r="F378" t="s">
        <v>41</v>
      </c>
      <c r="G378">
        <v>-371.88310000000001</v>
      </c>
      <c r="H378" s="1">
        <v>-3.8357130000000001E-6</v>
      </c>
      <c r="I378">
        <v>367.52330000000001</v>
      </c>
      <c r="J378">
        <v>-396.48869999999999</v>
      </c>
      <c r="K378">
        <v>1.0999969999999999</v>
      </c>
      <c r="L378">
        <v>367.73430000000002</v>
      </c>
      <c r="M378">
        <v>0.99958539999999996</v>
      </c>
      <c r="N378">
        <v>2.764411E-3</v>
      </c>
      <c r="O378">
        <v>-2.8662380000000001E-2</v>
      </c>
      <c r="P378">
        <v>0.99772879999999997</v>
      </c>
      <c r="Q378">
        <v>-4.8395970000000003E-2</v>
      </c>
      <c r="R378">
        <v>-4.6855050000000002E-2</v>
      </c>
      <c r="S378">
        <v>2.9991150000000002</v>
      </c>
      <c r="T378">
        <v>-0.1324061</v>
      </c>
      <c r="U378">
        <v>-2.630615E-2</v>
      </c>
      <c r="V378">
        <v>1.826235E-2</v>
      </c>
      <c r="W378">
        <v>-5.1147949999999998E-2</v>
      </c>
      <c r="X378">
        <v>0.99852410000000003</v>
      </c>
      <c r="Y378">
        <v>-1.984439E-2</v>
      </c>
      <c r="Z378">
        <v>1.7541760000000001E-3</v>
      </c>
      <c r="AA378">
        <v>0.99980150000000001</v>
      </c>
      <c r="AB378">
        <v>28</v>
      </c>
      <c r="AC378">
        <v>24.6055999999999</v>
      </c>
      <c r="AD378">
        <v>-1.100000835713</v>
      </c>
      <c r="AE378">
        <v>-0.21100000000001201</v>
      </c>
      <c r="AF378">
        <v>-0.493358454693406</v>
      </c>
      <c r="AG378">
        <v>-1.100000835713</v>
      </c>
      <c r="AH378">
        <v>24.552472403050501</v>
      </c>
      <c r="AI378">
        <v>92.564735305485996</v>
      </c>
      <c r="AJ378">
        <v>91.151148983665195</v>
      </c>
      <c r="AK378">
        <v>24.5820525079974</v>
      </c>
      <c r="AL378">
        <v>92.931840945736994</v>
      </c>
      <c r="AM378">
        <v>88.952214639860003</v>
      </c>
      <c r="AN378">
        <v>1.0000000022487601</v>
      </c>
    </row>
    <row r="379" spans="1:40" x14ac:dyDescent="0.25">
      <c r="A379" t="str">
        <f>"20190303154739463"</f>
        <v>20190303154739463</v>
      </c>
      <c r="B379" t="str">
        <f>"1551599259460936"</f>
        <v>1551599259460936</v>
      </c>
      <c r="C379" t="s">
        <v>40</v>
      </c>
      <c r="D379">
        <v>5.1494269999999904</v>
      </c>
      <c r="E379">
        <v>0.48573450000000001</v>
      </c>
      <c r="F379" t="s">
        <v>41</v>
      </c>
      <c r="G379">
        <v>-372.26150000000001</v>
      </c>
      <c r="H379" s="1">
        <v>-3.6751030000000001E-6</v>
      </c>
      <c r="I379">
        <v>367.5136</v>
      </c>
      <c r="J379">
        <v>-396.31729999999999</v>
      </c>
      <c r="K379">
        <v>1.1015699999999999</v>
      </c>
      <c r="L379">
        <v>367.7296</v>
      </c>
      <c r="M379">
        <v>0.99959169999999997</v>
      </c>
      <c r="N379">
        <v>2.2177350000000002E-3</v>
      </c>
      <c r="O379">
        <v>-2.8489449999999999E-2</v>
      </c>
      <c r="P379">
        <v>0.99769030000000003</v>
      </c>
      <c r="Q379">
        <v>-4.9217629999999998E-2</v>
      </c>
      <c r="R379">
        <v>-4.681958E-2</v>
      </c>
      <c r="S379">
        <v>2.9989319999999999</v>
      </c>
      <c r="T379">
        <v>-0.13616159999999999</v>
      </c>
      <c r="U379">
        <v>-2.7313230000000001E-2</v>
      </c>
      <c r="V379">
        <v>1.840081E-2</v>
      </c>
      <c r="W379">
        <v>-5.1423589999999998E-2</v>
      </c>
      <c r="X379">
        <v>0.99850740000000004</v>
      </c>
      <c r="Y379">
        <v>-1.933354E-2</v>
      </c>
      <c r="Z379">
        <v>1.773026E-3</v>
      </c>
      <c r="AA379">
        <v>0.99981149999999996</v>
      </c>
      <c r="AB379">
        <v>28</v>
      </c>
      <c r="AC379">
        <v>24.055799999999898</v>
      </c>
      <c r="AD379">
        <v>-1.1015736751029901</v>
      </c>
      <c r="AE379">
        <v>-0.21600000000000799</v>
      </c>
      <c r="AF379">
        <v>-0.46844360480275699</v>
      </c>
      <c r="AG379">
        <v>-1.1015736751029901</v>
      </c>
      <c r="AH379">
        <v>24.001862696871601</v>
      </c>
      <c r="AI379">
        <v>92.627265722691206</v>
      </c>
      <c r="AJ379">
        <v>91.118097988454906</v>
      </c>
      <c r="AK379">
        <v>24.031694007956201</v>
      </c>
      <c r="AL379">
        <v>92.947654766910702</v>
      </c>
      <c r="AM379">
        <v>88.944254764209504</v>
      </c>
      <c r="AN379">
        <v>1.00000000163595</v>
      </c>
    </row>
    <row r="380" spans="1:40" x14ac:dyDescent="0.25">
      <c r="A380" t="str">
        <f>"20190303154739484"</f>
        <v>20190303154739484</v>
      </c>
      <c r="B380" t="str">
        <f>"1551599259481432"</f>
        <v>1551599259481432</v>
      </c>
      <c r="C380" t="s">
        <v>40</v>
      </c>
      <c r="D380">
        <v>5.047898</v>
      </c>
      <c r="E380">
        <v>0.48576059999999999</v>
      </c>
      <c r="F380" t="s">
        <v>41</v>
      </c>
      <c r="G380">
        <v>-372.66800000000001</v>
      </c>
      <c r="H380" s="1">
        <v>-3.5001690000000002E-6</v>
      </c>
      <c r="I380">
        <v>367.51650000000001</v>
      </c>
      <c r="J380">
        <v>-396.06439999999998</v>
      </c>
      <c r="K380">
        <v>1.1037250000000001</v>
      </c>
      <c r="L380">
        <v>367.72269999999997</v>
      </c>
      <c r="M380">
        <v>0.9996005</v>
      </c>
      <c r="N380">
        <v>1.4176709999999999E-3</v>
      </c>
      <c r="O380">
        <v>-2.8228799999999998E-2</v>
      </c>
      <c r="P380">
        <v>0.99758999999999998</v>
      </c>
      <c r="Q380">
        <v>-5.090302E-2</v>
      </c>
      <c r="R380">
        <v>-4.7149719999999999E-2</v>
      </c>
      <c r="S380">
        <v>2.9988100000000002</v>
      </c>
      <c r="T380">
        <v>-0.1396831</v>
      </c>
      <c r="U380">
        <v>-2.700806E-2</v>
      </c>
      <c r="V380">
        <v>1.8994489999999999E-2</v>
      </c>
      <c r="W380">
        <v>-5.2309759999999997E-2</v>
      </c>
      <c r="X380">
        <v>0.99845019999999995</v>
      </c>
      <c r="Y380">
        <v>-1.9172740000000001E-2</v>
      </c>
      <c r="Z380">
        <v>1.7866529999999901E-3</v>
      </c>
      <c r="AA380">
        <v>0.9998146</v>
      </c>
      <c r="AB380">
        <v>28</v>
      </c>
      <c r="AC380">
        <v>23.3963999999999</v>
      </c>
      <c r="AD380">
        <v>-1.103728500169</v>
      </c>
      <c r="AE380">
        <v>-0.20619999999996699</v>
      </c>
      <c r="AF380">
        <v>-0.45332632524937699</v>
      </c>
      <c r="AG380">
        <v>-1.103728500169</v>
      </c>
      <c r="AH380">
        <v>23.340955896119802</v>
      </c>
      <c r="AI380">
        <v>92.706830652230494</v>
      </c>
      <c r="AJ380">
        <v>91.112654519306204</v>
      </c>
      <c r="AK380">
        <v>23.371434348449</v>
      </c>
      <c r="AL380">
        <v>92.998497151849406</v>
      </c>
      <c r="AM380">
        <v>88.910138082441804</v>
      </c>
      <c r="AN380">
        <v>0.99999995176082701</v>
      </c>
    </row>
    <row r="381" spans="1:40" x14ac:dyDescent="0.25">
      <c r="A381" t="str">
        <f>"20190303154739497"</f>
        <v>20190303154739497</v>
      </c>
      <c r="B381" t="str">
        <f>"1551599259491192"</f>
        <v>1551599259491192</v>
      </c>
      <c r="C381" t="s">
        <v>40</v>
      </c>
      <c r="D381">
        <v>5.0739039999999997</v>
      </c>
      <c r="E381">
        <v>0.48576019999999998</v>
      </c>
      <c r="F381" t="s">
        <v>41</v>
      </c>
      <c r="G381">
        <v>-373.26429999999999</v>
      </c>
      <c r="H381" s="1">
        <v>-3.2458360000000001E-6</v>
      </c>
      <c r="I381">
        <v>367.50839999999999</v>
      </c>
      <c r="J381">
        <v>-395.89319999999998</v>
      </c>
      <c r="K381">
        <v>1.105083</v>
      </c>
      <c r="L381">
        <v>367.71800000000002</v>
      </c>
      <c r="M381">
        <v>0.9996062</v>
      </c>
      <c r="N381">
        <v>8.8355349999999998E-4</v>
      </c>
      <c r="O381">
        <v>-2.8050039999999998E-2</v>
      </c>
      <c r="P381">
        <v>0.99756350000000005</v>
      </c>
      <c r="Q381">
        <v>-5.1552929999999997E-2</v>
      </c>
      <c r="R381">
        <v>-4.7006199999999998E-2</v>
      </c>
      <c r="S381">
        <v>2.998535</v>
      </c>
      <c r="T381">
        <v>-0.14515539999999999</v>
      </c>
      <c r="U381">
        <v>-2.816772E-2</v>
      </c>
      <c r="V381">
        <v>1.9030149999999999E-2</v>
      </c>
      <c r="W381">
        <v>-5.242633E-2</v>
      </c>
      <c r="X381">
        <v>0.99844350000000004</v>
      </c>
      <c r="Y381">
        <v>-1.8603669999999999E-2</v>
      </c>
      <c r="Z381">
        <v>1.8234309999999999E-3</v>
      </c>
      <c r="AA381">
        <v>0.99982530000000003</v>
      </c>
      <c r="AB381">
        <v>29</v>
      </c>
      <c r="AC381">
        <v>22.628899999999899</v>
      </c>
      <c r="AD381">
        <v>-1.105086245836</v>
      </c>
      <c r="AE381">
        <v>-0.20960000000002299</v>
      </c>
      <c r="AF381">
        <v>-0.42421261983665598</v>
      </c>
      <c r="AG381">
        <v>-1.105086245836</v>
      </c>
      <c r="AH381">
        <v>22.572048393815201</v>
      </c>
      <c r="AI381">
        <v>92.802364640780695</v>
      </c>
      <c r="AJ381">
        <v>91.076673738546702</v>
      </c>
      <c r="AK381">
        <v>22.603064850818399</v>
      </c>
      <c r="AL381">
        <v>93.005185018793796</v>
      </c>
      <c r="AM381">
        <v>88.908085159833206</v>
      </c>
      <c r="AN381">
        <v>1.0000000446892601</v>
      </c>
    </row>
    <row r="382" spans="1:40" x14ac:dyDescent="0.25">
      <c r="A382" t="str">
        <f>"20190303154739510"</f>
        <v>20190303154739510</v>
      </c>
      <c r="B382" t="str">
        <f>"1551599259500953"</f>
        <v>1551599259500953</v>
      </c>
      <c r="C382" t="s">
        <v>40</v>
      </c>
      <c r="D382">
        <v>5.0625710000000002</v>
      </c>
      <c r="E382">
        <v>0.4857418</v>
      </c>
      <c r="F382" t="s">
        <v>41</v>
      </c>
      <c r="G382">
        <v>-373.41410000000002</v>
      </c>
      <c r="H382" s="1">
        <v>-3.1813509999999999E-6</v>
      </c>
      <c r="I382">
        <v>367.5095</v>
      </c>
      <c r="J382">
        <v>-395.72039999999998</v>
      </c>
      <c r="K382">
        <v>1.106363</v>
      </c>
      <c r="L382">
        <v>367.7133</v>
      </c>
      <c r="M382">
        <v>0.99961160000000004</v>
      </c>
      <c r="N382">
        <v>3.5260350000000001E-4</v>
      </c>
      <c r="O382">
        <v>-2.7869149999999999E-2</v>
      </c>
      <c r="P382">
        <v>0.99753259999999999</v>
      </c>
      <c r="Q382">
        <v>-5.2388690000000002E-2</v>
      </c>
      <c r="R382">
        <v>-4.6736930000000003E-2</v>
      </c>
      <c r="S382">
        <v>2.9984130000000002</v>
      </c>
      <c r="T382">
        <v>-0.14740400000000001</v>
      </c>
      <c r="U382">
        <v>-2.7801510000000001E-2</v>
      </c>
      <c r="V382">
        <v>1.894295E-2</v>
      </c>
      <c r="W382">
        <v>-5.273195E-2</v>
      </c>
      <c r="X382">
        <v>0.99842900000000001</v>
      </c>
      <c r="Y382">
        <v>-1.8543529999999999E-2</v>
      </c>
      <c r="Z382">
        <v>1.8311040000000001E-3</v>
      </c>
      <c r="AA382">
        <v>0.9998264</v>
      </c>
      <c r="AB382">
        <v>29</v>
      </c>
      <c r="AC382">
        <v>22.306299999999901</v>
      </c>
      <c r="AD382">
        <v>-1.106366181351</v>
      </c>
      <c r="AE382">
        <v>-0.20380000000000101</v>
      </c>
      <c r="AF382">
        <v>-0.41691123415078801</v>
      </c>
      <c r="AG382">
        <v>-1.106366181351</v>
      </c>
      <c r="AH382">
        <v>22.2485876007405</v>
      </c>
      <c r="AI382">
        <v>92.846330805498894</v>
      </c>
      <c r="AJ382">
        <v>91.073526968525698</v>
      </c>
      <c r="AK382">
        <v>22.2799800568183</v>
      </c>
      <c r="AL382">
        <v>93.022720202081601</v>
      </c>
      <c r="AM382">
        <v>88.913071550399494</v>
      </c>
      <c r="AN382">
        <v>0.99999998097325205</v>
      </c>
    </row>
    <row r="383" spans="1:40" x14ac:dyDescent="0.25">
      <c r="A383" t="str">
        <f>"20190303154739530"</f>
        <v>20190303154739530</v>
      </c>
      <c r="B383" t="str">
        <f>"1551599259521448"</f>
        <v>1551599259521448</v>
      </c>
      <c r="C383" t="s">
        <v>40</v>
      </c>
      <c r="D383">
        <v>5.1180560000000002</v>
      </c>
      <c r="E383">
        <v>0.4856992</v>
      </c>
      <c r="F383" t="s">
        <v>41</v>
      </c>
      <c r="G383">
        <v>-373.65370000000001</v>
      </c>
      <c r="H383" s="1">
        <v>-3.077078E-6</v>
      </c>
      <c r="I383">
        <v>367.51780000000002</v>
      </c>
      <c r="J383">
        <v>-395.47</v>
      </c>
      <c r="K383">
        <v>1.108082</v>
      </c>
      <c r="L383">
        <v>367.70650000000001</v>
      </c>
      <c r="M383">
        <v>0.99961880000000003</v>
      </c>
      <c r="N383">
        <v>-4.0747150000000002E-4</v>
      </c>
      <c r="O383">
        <v>-2.7605770000000002E-2</v>
      </c>
      <c r="P383">
        <v>0.99750099999999997</v>
      </c>
      <c r="Q383">
        <v>-5.3340720000000001E-2</v>
      </c>
      <c r="R383">
        <v>-4.6332409999999997E-2</v>
      </c>
      <c r="S383">
        <v>2.998291</v>
      </c>
      <c r="T383">
        <v>-0.1503265</v>
      </c>
      <c r="U383">
        <v>-2.6550290000000001E-2</v>
      </c>
      <c r="V383">
        <v>1.8803050000000002E-2</v>
      </c>
      <c r="W383">
        <v>-5.2925029999999998E-2</v>
      </c>
      <c r="X383">
        <v>0.99842140000000001</v>
      </c>
      <c r="Y383">
        <v>-1.86955E-2</v>
      </c>
      <c r="Z383">
        <v>1.8439489999999999E-3</v>
      </c>
      <c r="AA383">
        <v>0.99982349999999998</v>
      </c>
      <c r="AB383">
        <v>29</v>
      </c>
      <c r="AC383">
        <v>21.816299999999998</v>
      </c>
      <c r="AD383">
        <v>-1.108085077078</v>
      </c>
      <c r="AE383">
        <v>-0.18869999999998299</v>
      </c>
      <c r="AF383">
        <v>-0.41256348222098199</v>
      </c>
      <c r="AG383">
        <v>-1.108085077078</v>
      </c>
      <c r="AH383">
        <v>21.757070326376699</v>
      </c>
      <c r="AI383">
        <v>92.915025211635495</v>
      </c>
      <c r="AJ383">
        <v>91.086327956718407</v>
      </c>
      <c r="AK383">
        <v>21.789175531713099</v>
      </c>
      <c r="AL383">
        <v>93.033798426680306</v>
      </c>
      <c r="AM383">
        <v>88.921088764120995</v>
      </c>
      <c r="AN383">
        <v>0.99999995273387998</v>
      </c>
    </row>
    <row r="384" spans="1:40" x14ac:dyDescent="0.25">
      <c r="A384" t="str">
        <f>"20190303154739552"</f>
        <v>20190303154739552</v>
      </c>
      <c r="B384" t="str">
        <f>"1551599259540968"</f>
        <v>1551599259540968</v>
      </c>
      <c r="C384" t="s">
        <v>40</v>
      </c>
      <c r="D384">
        <v>5.0441050000000001</v>
      </c>
      <c r="E384">
        <v>0.48573060000000001</v>
      </c>
      <c r="F384" t="s">
        <v>41</v>
      </c>
      <c r="G384">
        <v>-373.95760000000001</v>
      </c>
      <c r="H384" s="1">
        <v>-2.9450920000000002E-6</v>
      </c>
      <c r="I384">
        <v>367.52690000000001</v>
      </c>
      <c r="J384">
        <v>-395.18560000000002</v>
      </c>
      <c r="K384">
        <v>1.1098460000000001</v>
      </c>
      <c r="L384">
        <v>367.69900000000001</v>
      </c>
      <c r="M384">
        <v>0.99962649999999997</v>
      </c>
      <c r="N384">
        <v>-1.2598959999999999E-3</v>
      </c>
      <c r="O384">
        <v>-2.7303600000000001E-2</v>
      </c>
      <c r="P384">
        <v>0.99746170000000001</v>
      </c>
      <c r="Q384">
        <v>-5.4162580000000002E-2</v>
      </c>
      <c r="R384">
        <v>-4.6228949999999998E-2</v>
      </c>
      <c r="S384">
        <v>2.998138</v>
      </c>
      <c r="T384">
        <v>-0.15443109999999999</v>
      </c>
      <c r="U384">
        <v>-2.502441E-2</v>
      </c>
      <c r="V384">
        <v>1.9003309999999999E-2</v>
      </c>
      <c r="W384">
        <v>-5.2895419999999999E-2</v>
      </c>
      <c r="X384">
        <v>0.99841919999999995</v>
      </c>
      <c r="Y384">
        <v>-1.8899309999999999E-2</v>
      </c>
      <c r="Z384">
        <v>1.8691980000000001E-3</v>
      </c>
      <c r="AA384">
        <v>0.99981960000000003</v>
      </c>
      <c r="AB384">
        <v>29</v>
      </c>
      <c r="AC384">
        <v>21.228000000000002</v>
      </c>
      <c r="AD384">
        <v>-1.1098489450919999</v>
      </c>
      <c r="AE384">
        <v>-0.1721</v>
      </c>
      <c r="AF384">
        <v>-0.40645443423043698</v>
      </c>
      <c r="AG384">
        <v>-1.1098489450919999</v>
      </c>
      <c r="AH384">
        <v>21.1669301354605</v>
      </c>
      <c r="AI384">
        <v>93.000897784065302</v>
      </c>
      <c r="AJ384">
        <v>91.1000774221786</v>
      </c>
      <c r="AK384">
        <v>21.1999033310884</v>
      </c>
      <c r="AL384">
        <v>93.032099451018297</v>
      </c>
      <c r="AM384">
        <v>88.909598285707503</v>
      </c>
      <c r="AN384">
        <v>0.99999997508828498</v>
      </c>
    </row>
    <row r="385" spans="1:40" x14ac:dyDescent="0.25">
      <c r="A385" t="str">
        <f>"20190303154739575"</f>
        <v>20190303154739575</v>
      </c>
      <c r="B385" t="str">
        <f>"1551599259571224"</f>
        <v>1551599259571224</v>
      </c>
      <c r="C385" t="s">
        <v>40</v>
      </c>
      <c r="D385">
        <v>4.9890660000000002</v>
      </c>
      <c r="E385">
        <v>0.48571599999999998</v>
      </c>
      <c r="F385" t="s">
        <v>41</v>
      </c>
      <c r="G385">
        <v>-374.00330000000002</v>
      </c>
      <c r="H385" s="1">
        <v>-2.9264259999999999E-6</v>
      </c>
      <c r="I385">
        <v>367.52170000000001</v>
      </c>
      <c r="J385">
        <v>-394.9</v>
      </c>
      <c r="K385">
        <v>1.1114139999999999</v>
      </c>
      <c r="L385">
        <v>367.69150000000002</v>
      </c>
      <c r="M385">
        <v>0.99963340000000001</v>
      </c>
      <c r="N385">
        <v>-2.1047100000000001E-3</v>
      </c>
      <c r="O385">
        <v>-2.6993639999999999E-2</v>
      </c>
      <c r="P385">
        <v>0.99742019999999998</v>
      </c>
      <c r="Q385">
        <v>-5.4979260000000002E-2</v>
      </c>
      <c r="R385">
        <v>-4.6153310000000003E-2</v>
      </c>
      <c r="S385">
        <v>2.9979550000000001</v>
      </c>
      <c r="T385">
        <v>-0.157078</v>
      </c>
      <c r="U385">
        <v>-2.5085449999999999E-2</v>
      </c>
      <c r="V385">
        <v>1.923967E-2</v>
      </c>
      <c r="W385">
        <v>-5.2868110000000003E-2</v>
      </c>
      <c r="X385">
        <v>0.99841610000000003</v>
      </c>
      <c r="Y385">
        <v>-1.8567980000000001E-2</v>
      </c>
      <c r="Z385">
        <v>1.8620360000000001E-3</v>
      </c>
      <c r="AA385">
        <v>0.99982590000000005</v>
      </c>
      <c r="AB385">
        <v>29</v>
      </c>
      <c r="AC385">
        <v>20.8966999999999</v>
      </c>
      <c r="AD385">
        <v>-1.1114169264260001</v>
      </c>
      <c r="AE385">
        <v>-0.169800000000009</v>
      </c>
      <c r="AF385">
        <v>-0.393228832053171</v>
      </c>
      <c r="AG385">
        <v>-1.1114169264260001</v>
      </c>
      <c r="AH385">
        <v>20.834735934942699</v>
      </c>
      <c r="AI385">
        <v>93.052973309251996</v>
      </c>
      <c r="AJ385">
        <v>91.081255738952706</v>
      </c>
      <c r="AK385">
        <v>20.868064068751</v>
      </c>
      <c r="AL385">
        <v>93.030532570627003</v>
      </c>
      <c r="AM385">
        <v>88.896035959966994</v>
      </c>
      <c r="AN385">
        <v>0.99999995534794395</v>
      </c>
    </row>
    <row r="386" spans="1:40" x14ac:dyDescent="0.25">
      <c r="A386" t="str">
        <f>"20190303154739597"</f>
        <v>20190303154739597</v>
      </c>
      <c r="B386" t="str">
        <f>"1551599259590744"</f>
        <v>1551599259590744</v>
      </c>
      <c r="C386" t="s">
        <v>40</v>
      </c>
      <c r="D386">
        <v>5.0353820000000002</v>
      </c>
      <c r="E386">
        <v>0.48571999999999999</v>
      </c>
      <c r="F386" t="s">
        <v>41</v>
      </c>
      <c r="G386">
        <v>-374.09559999999999</v>
      </c>
      <c r="H386" s="1">
        <v>-2.8869120000000002E-6</v>
      </c>
      <c r="I386">
        <v>367.52109999999999</v>
      </c>
      <c r="J386">
        <v>-394.60140000000001</v>
      </c>
      <c r="K386">
        <v>1.112862</v>
      </c>
      <c r="L386">
        <v>367.68380000000002</v>
      </c>
      <c r="M386">
        <v>0.99964019999999998</v>
      </c>
      <c r="N386">
        <v>-2.982878E-3</v>
      </c>
      <c r="O386">
        <v>-2.6659490000000001E-2</v>
      </c>
      <c r="P386">
        <v>0.99733210000000005</v>
      </c>
      <c r="Q386">
        <v>-5.6326979999999999E-2</v>
      </c>
      <c r="R386">
        <v>-4.6436749999999999E-2</v>
      </c>
      <c r="S386">
        <v>2.9978030000000002</v>
      </c>
      <c r="T386">
        <v>-0.1601495</v>
      </c>
      <c r="U386">
        <v>-2.453613E-2</v>
      </c>
      <c r="V386">
        <v>1.9860820000000001E-2</v>
      </c>
      <c r="W386">
        <v>-5.333835E-2</v>
      </c>
      <c r="X386">
        <v>0.99837900000000002</v>
      </c>
      <c r="Y386">
        <v>-1.8415580000000001E-2</v>
      </c>
      <c r="Z386">
        <v>1.8625600000000001E-3</v>
      </c>
      <c r="AA386">
        <v>0.99982870000000001</v>
      </c>
      <c r="AB386">
        <v>29</v>
      </c>
      <c r="AC386">
        <v>20.505800000000001</v>
      </c>
      <c r="AD386">
        <v>-1.1128648869119999</v>
      </c>
      <c r="AE386">
        <v>-0.16270000000002899</v>
      </c>
      <c r="AF386">
        <v>-0.38290667914378501</v>
      </c>
      <c r="AG386">
        <v>-1.1128648869119999</v>
      </c>
      <c r="AH386">
        <v>20.442642941208501</v>
      </c>
      <c r="AI386">
        <v>93.115469770592398</v>
      </c>
      <c r="AJ386">
        <v>91.073069248624904</v>
      </c>
      <c r="AK386">
        <v>20.476492282693201</v>
      </c>
      <c r="AL386">
        <v>93.057513181110593</v>
      </c>
      <c r="AM386">
        <v>88.8603615541533</v>
      </c>
      <c r="AN386">
        <v>1.00000002969639</v>
      </c>
    </row>
    <row r="387" spans="1:40" x14ac:dyDescent="0.25">
      <c r="A387" t="str">
        <f>"20190303154739619"</f>
        <v>20190303154739619</v>
      </c>
      <c r="B387" t="str">
        <f>"1551599259611241"</f>
        <v>1551599259611241</v>
      </c>
      <c r="C387" t="s">
        <v>40</v>
      </c>
      <c r="D387">
        <v>5.0207119999999996</v>
      </c>
      <c r="E387">
        <v>0.48570279999999999</v>
      </c>
      <c r="F387" t="s">
        <v>41</v>
      </c>
      <c r="G387">
        <v>-374.31079999999997</v>
      </c>
      <c r="H387" s="1">
        <v>-2.7965989999999998E-6</v>
      </c>
      <c r="I387">
        <v>367.50990000000002</v>
      </c>
      <c r="J387">
        <v>-394.32690000000002</v>
      </c>
      <c r="K387">
        <v>1.114034</v>
      </c>
      <c r="L387">
        <v>367.67680000000001</v>
      </c>
      <c r="M387">
        <v>0.99964589999999998</v>
      </c>
      <c r="N387">
        <v>-3.799466E-3</v>
      </c>
      <c r="O387">
        <v>-2.6339769999999998E-2</v>
      </c>
      <c r="P387">
        <v>0.99724080000000004</v>
      </c>
      <c r="Q387">
        <v>-5.796362E-2</v>
      </c>
      <c r="R387">
        <v>-4.6382519999999997E-2</v>
      </c>
      <c r="S387">
        <v>2.9975589999999999</v>
      </c>
      <c r="T387">
        <v>-0.164404299999999</v>
      </c>
      <c r="U387">
        <v>-2.5665279999999999E-2</v>
      </c>
      <c r="V387">
        <v>2.0130439999999999E-2</v>
      </c>
      <c r="W387">
        <v>-5.4159260000000001E-2</v>
      </c>
      <c r="X387">
        <v>0.99832940000000003</v>
      </c>
      <c r="Y387">
        <v>-1.7717460000000001E-2</v>
      </c>
      <c r="Z387">
        <v>1.8625169999999999E-3</v>
      </c>
      <c r="AA387">
        <v>0.99984130000000004</v>
      </c>
      <c r="AB387">
        <v>29</v>
      </c>
      <c r="AC387">
        <v>20.016100000000002</v>
      </c>
      <c r="AD387">
        <v>-1.1140367965989999</v>
      </c>
      <c r="AE387">
        <v>-0.16689999999999799</v>
      </c>
      <c r="AF387">
        <v>-0.35926831460786501</v>
      </c>
      <c r="AG387">
        <v>-1.1140367965989999</v>
      </c>
      <c r="AH387">
        <v>19.951751060111999</v>
      </c>
      <c r="AI387">
        <v>93.195362773302506</v>
      </c>
      <c r="AJ387">
        <v>91.031605380616497</v>
      </c>
      <c r="AK387">
        <v>19.986058192418501</v>
      </c>
      <c r="AL387">
        <v>93.104615960107395</v>
      </c>
      <c r="AM387">
        <v>88.844837214794197</v>
      </c>
      <c r="AN387">
        <v>1.0000000254813499</v>
      </c>
    </row>
    <row r="388" spans="1:40" x14ac:dyDescent="0.25">
      <c r="A388" t="str">
        <f>"20190303154739640"</f>
        <v>20190303154739640</v>
      </c>
      <c r="B388" t="str">
        <f>"1551599259630761"</f>
        <v>1551599259630761</v>
      </c>
      <c r="C388" t="s">
        <v>40</v>
      </c>
      <c r="D388">
        <v>5.003177</v>
      </c>
      <c r="E388">
        <v>0.48570649999999999</v>
      </c>
      <c r="F388" t="s">
        <v>41</v>
      </c>
      <c r="G388">
        <v>-374.64350000000002</v>
      </c>
      <c r="H388" s="1">
        <v>-2.6536619999999999E-6</v>
      </c>
      <c r="I388">
        <v>367.5111</v>
      </c>
      <c r="J388">
        <v>-394.04489999999998</v>
      </c>
      <c r="K388">
        <v>1.115102</v>
      </c>
      <c r="L388">
        <v>367.66980000000001</v>
      </c>
      <c r="M388">
        <v>0.99965110000000001</v>
      </c>
      <c r="N388">
        <v>-4.6683330000000002E-3</v>
      </c>
      <c r="O388">
        <v>-2.5999339999999999E-2</v>
      </c>
      <c r="P388">
        <v>0.99716729999999998</v>
      </c>
      <c r="Q388">
        <v>-5.9381650000000001E-2</v>
      </c>
      <c r="R388">
        <v>-4.6166649999999997E-2</v>
      </c>
      <c r="S388">
        <v>2.9972840000000001</v>
      </c>
      <c r="T388">
        <v>-0.16963900000000001</v>
      </c>
      <c r="U388">
        <v>-2.5207520000000001E-2</v>
      </c>
      <c r="V388">
        <v>2.0258890000000002E-2</v>
      </c>
      <c r="W388">
        <v>-5.4709399999999998E-2</v>
      </c>
      <c r="X388">
        <v>0.99829679999999998</v>
      </c>
      <c r="Y388">
        <v>-1.752635E-2</v>
      </c>
      <c r="Z388">
        <v>1.885351E-3</v>
      </c>
      <c r="AA388">
        <v>0.99984459999999997</v>
      </c>
      <c r="AB388">
        <v>29</v>
      </c>
      <c r="AC388">
        <v>19.401399999999899</v>
      </c>
      <c r="AD388">
        <v>-1.115104653662</v>
      </c>
      <c r="AE388">
        <v>-0.15870000000001</v>
      </c>
      <c r="AF388">
        <v>-0.34464428731623797</v>
      </c>
      <c r="AG388">
        <v>-1.115104653662</v>
      </c>
      <c r="AH388">
        <v>19.335099672609498</v>
      </c>
      <c r="AI388">
        <v>93.300214764981902</v>
      </c>
      <c r="AJ388">
        <v>91.021177677028902</v>
      </c>
      <c r="AK388">
        <v>19.370294716992401</v>
      </c>
      <c r="AL388">
        <v>93.136183477444703</v>
      </c>
      <c r="AM388">
        <v>88.837430318859504</v>
      </c>
      <c r="AN388">
        <v>1.00000002098131</v>
      </c>
    </row>
    <row r="389" spans="1:40" x14ac:dyDescent="0.25">
      <c r="A389" t="str">
        <f>"20190303154739662"</f>
        <v>20190303154739662</v>
      </c>
      <c r="B389" t="str">
        <f>"1551599259651260"</f>
        <v>1551599259651260</v>
      </c>
      <c r="C389" t="s">
        <v>40</v>
      </c>
      <c r="D389">
        <v>4.954053</v>
      </c>
      <c r="E389">
        <v>0.48570639999999998</v>
      </c>
      <c r="F389" t="s">
        <v>41</v>
      </c>
      <c r="G389">
        <v>-374.88409999999999</v>
      </c>
      <c r="H389" s="1">
        <v>-2.550454E-6</v>
      </c>
      <c r="I389">
        <v>367.51100000000002</v>
      </c>
      <c r="J389">
        <v>-393.76560000000001</v>
      </c>
      <c r="K389">
        <v>1.1160319999999999</v>
      </c>
      <c r="L389">
        <v>367.6628</v>
      </c>
      <c r="M389">
        <v>0.99965519999999997</v>
      </c>
      <c r="N389">
        <v>-5.5748500000000001E-3</v>
      </c>
      <c r="O389">
        <v>-2.5660909999999999E-2</v>
      </c>
      <c r="P389">
        <v>0.99710869999999996</v>
      </c>
      <c r="Q389">
        <v>-6.044149E-2</v>
      </c>
      <c r="R389">
        <v>-4.6057630000000002E-2</v>
      </c>
      <c r="S389">
        <v>2.9969790000000001</v>
      </c>
      <c r="T389">
        <v>-0.1744155</v>
      </c>
      <c r="U389">
        <v>-2.4810789999999999E-2</v>
      </c>
      <c r="V389">
        <v>2.0490689999999999E-2</v>
      </c>
      <c r="W389">
        <v>-5.486386E-2</v>
      </c>
      <c r="X389">
        <v>0.99828360000000005</v>
      </c>
      <c r="Y389">
        <v>-1.7317240000000001E-2</v>
      </c>
      <c r="Z389">
        <v>1.9007679999999999E-3</v>
      </c>
      <c r="AA389">
        <v>0.99984819999999996</v>
      </c>
      <c r="AB389">
        <v>29</v>
      </c>
      <c r="AC389">
        <v>18.881499999999999</v>
      </c>
      <c r="AD389">
        <v>-1.1160345504539999</v>
      </c>
      <c r="AE389">
        <v>-0.15180000000003699</v>
      </c>
      <c r="AF389">
        <v>-0.33161548933384499</v>
      </c>
      <c r="AG389">
        <v>-1.1160345504539999</v>
      </c>
      <c r="AH389">
        <v>18.813453789694201</v>
      </c>
      <c r="AI389">
        <v>93.394343517453905</v>
      </c>
      <c r="AJ389">
        <v>91.009819929634403</v>
      </c>
      <c r="AK389">
        <v>18.849444168132202</v>
      </c>
      <c r="AL389">
        <v>93.145046670653201</v>
      </c>
      <c r="AM389">
        <v>88.824116493778405</v>
      </c>
      <c r="AN389">
        <v>1.00000002876986</v>
      </c>
    </row>
    <row r="390" spans="1:40" x14ac:dyDescent="0.25">
      <c r="A390" t="str">
        <f>"20190303154739674"</f>
        <v>20190303154739674</v>
      </c>
      <c r="B390" t="str">
        <f>"1551599259670778"</f>
        <v>1551599259670778</v>
      </c>
      <c r="C390" t="s">
        <v>40</v>
      </c>
      <c r="D390">
        <v>4.9102110000000003</v>
      </c>
      <c r="E390">
        <v>0.48567559999999899</v>
      </c>
      <c r="F390" t="s">
        <v>41</v>
      </c>
      <c r="G390">
        <v>-375.03050000000002</v>
      </c>
      <c r="H390" s="1">
        <v>-2.4877989999999999E-6</v>
      </c>
      <c r="I390">
        <v>367.51010000000002</v>
      </c>
      <c r="J390">
        <v>-393.5992</v>
      </c>
      <c r="K390">
        <v>1.1165259999999999</v>
      </c>
      <c r="L390">
        <v>367.65879999999999</v>
      </c>
      <c r="M390">
        <v>0.99965729999999997</v>
      </c>
      <c r="N390">
        <v>-6.1336940000000003E-3</v>
      </c>
      <c r="O390">
        <v>-2.5454049999999999E-2</v>
      </c>
      <c r="P390">
        <v>0.99711159999999999</v>
      </c>
      <c r="Q390">
        <v>-6.0796950000000002E-2</v>
      </c>
      <c r="R390">
        <v>-4.5524370000000002E-2</v>
      </c>
      <c r="S390">
        <v>2.9967350000000001</v>
      </c>
      <c r="T390">
        <v>-0.17851310000000001</v>
      </c>
      <c r="U390">
        <v>-2.4414060000000001E-2</v>
      </c>
      <c r="V390">
        <v>2.0164209999999998E-2</v>
      </c>
      <c r="W390">
        <v>-5.4661599999999998E-2</v>
      </c>
      <c r="X390">
        <v>0.99830129999999995</v>
      </c>
      <c r="Y390">
        <v>-1.72397E-2</v>
      </c>
      <c r="Z390">
        <v>1.9246669999999999E-3</v>
      </c>
      <c r="AA390">
        <v>0.99984960000000001</v>
      </c>
      <c r="AB390">
        <v>29</v>
      </c>
      <c r="AC390">
        <v>18.5686999999999</v>
      </c>
      <c r="AD390">
        <v>-1.116528487799</v>
      </c>
      <c r="AE390">
        <v>-0.148699999999962</v>
      </c>
      <c r="AF390">
        <v>-0.32283846266914801</v>
      </c>
      <c r="AG390">
        <v>-1.116528487799</v>
      </c>
      <c r="AH390">
        <v>18.499586241871899</v>
      </c>
      <c r="AI390">
        <v>93.453329118116201</v>
      </c>
      <c r="AJ390">
        <v>90.999773927188897</v>
      </c>
      <c r="AK390">
        <v>18.536060845214699</v>
      </c>
      <c r="AL390">
        <v>93.133440745496202</v>
      </c>
      <c r="AM390">
        <v>88.842867326542603</v>
      </c>
      <c r="AN390">
        <v>0.99999998573058602</v>
      </c>
    </row>
    <row r="391" spans="1:40" x14ac:dyDescent="0.25">
      <c r="A391" t="str">
        <f>"20190303154739688"</f>
        <v>20190303154739688</v>
      </c>
      <c r="B391" t="str">
        <f>"1551599259681513"</f>
        <v>1551599259681513</v>
      </c>
      <c r="C391" t="s">
        <v>40</v>
      </c>
      <c r="D391">
        <v>4.9303280000000003</v>
      </c>
      <c r="E391">
        <v>0.48569420000000002</v>
      </c>
      <c r="F391" t="s">
        <v>41</v>
      </c>
      <c r="G391">
        <v>-375.04719999999998</v>
      </c>
      <c r="H391" s="1">
        <v>-2.4791269999999998E-6</v>
      </c>
      <c r="I391">
        <v>367.51870000000002</v>
      </c>
      <c r="J391">
        <v>-393.43669999999997</v>
      </c>
      <c r="K391">
        <v>1.1169739999999999</v>
      </c>
      <c r="L391">
        <v>367.6549</v>
      </c>
      <c r="M391">
        <v>0.99965890000000002</v>
      </c>
      <c r="N391">
        <v>-6.6781770000000004E-3</v>
      </c>
      <c r="O391">
        <v>-2.524827E-2</v>
      </c>
      <c r="P391">
        <v>0.99710670000000001</v>
      </c>
      <c r="Q391">
        <v>-6.1174039999999999E-2</v>
      </c>
      <c r="R391">
        <v>-4.5124339999999999E-2</v>
      </c>
      <c r="S391">
        <v>2.9966740000000001</v>
      </c>
      <c r="T391">
        <v>-0.18035029999999999</v>
      </c>
      <c r="U391">
        <v>-2.261353E-2</v>
      </c>
      <c r="V391">
        <v>1.996966E-2</v>
      </c>
      <c r="W391">
        <v>-5.4495309999999998E-2</v>
      </c>
      <c r="X391">
        <v>0.99831429999999999</v>
      </c>
      <c r="Y391">
        <v>-1.7632979999999999E-2</v>
      </c>
      <c r="Z391">
        <v>1.9385419999999999E-3</v>
      </c>
      <c r="AA391">
        <v>0.99984260000000003</v>
      </c>
      <c r="AB391">
        <v>29</v>
      </c>
      <c r="AC391">
        <v>18.389500000000002</v>
      </c>
      <c r="AD391">
        <v>-1.1169764791269901</v>
      </c>
      <c r="AE391">
        <v>-0.13619999999997301</v>
      </c>
      <c r="AF391">
        <v>-0.32695067362331298</v>
      </c>
      <c r="AG391">
        <v>-1.1169764791269901</v>
      </c>
      <c r="AH391">
        <v>18.319493211387702</v>
      </c>
      <c r="AI391">
        <v>93.488565731037497</v>
      </c>
      <c r="AJ391">
        <v>91.022457604791697</v>
      </c>
      <c r="AK391">
        <v>18.356425706547199</v>
      </c>
      <c r="AL391">
        <v>93.123898813629197</v>
      </c>
      <c r="AM391">
        <v>88.854043596880899</v>
      </c>
      <c r="AN391">
        <v>0.99999998385849997</v>
      </c>
    </row>
    <row r="392" spans="1:40" x14ac:dyDescent="0.25">
      <c r="A392" t="str">
        <f>"20190303154739708"</f>
        <v>20190303154739708</v>
      </c>
      <c r="B392" t="str">
        <f>"1551599259701033"</f>
        <v>1551599259701033</v>
      </c>
      <c r="C392" t="s">
        <v>40</v>
      </c>
      <c r="D392">
        <v>4.9336409999999997</v>
      </c>
      <c r="E392">
        <v>0.48573569999999999</v>
      </c>
      <c r="F392" t="s">
        <v>41</v>
      </c>
      <c r="G392">
        <v>-374.99700000000001</v>
      </c>
      <c r="H392" s="1">
        <v>-2.4997570000000001E-6</v>
      </c>
      <c r="I392">
        <v>367.52370000000002</v>
      </c>
      <c r="J392">
        <v>-393.17770000000002</v>
      </c>
      <c r="K392">
        <v>1.1176109999999999</v>
      </c>
      <c r="L392">
        <v>367.64879999999999</v>
      </c>
      <c r="M392">
        <v>0.99966120000000003</v>
      </c>
      <c r="N392">
        <v>-7.5328440000000003E-3</v>
      </c>
      <c r="O392">
        <v>-2.4913600000000001E-2</v>
      </c>
      <c r="P392">
        <v>0.997112</v>
      </c>
      <c r="Q392">
        <v>-6.1737420000000001E-2</v>
      </c>
      <c r="R392">
        <v>-4.4230899999999997E-2</v>
      </c>
      <c r="S392">
        <v>2.9965820000000001</v>
      </c>
      <c r="T392">
        <v>-0.1815165</v>
      </c>
      <c r="U392">
        <v>-2.1301270000000001E-2</v>
      </c>
      <c r="V392">
        <v>1.9409929999999999E-2</v>
      </c>
      <c r="W392">
        <v>-5.4206020000000001E-2</v>
      </c>
      <c r="X392">
        <v>0.99834109999999998</v>
      </c>
      <c r="Y392">
        <v>-1.773599E-2</v>
      </c>
      <c r="Z392">
        <v>1.923587E-3</v>
      </c>
      <c r="AA392">
        <v>0.99984090000000003</v>
      </c>
      <c r="AB392">
        <v>29</v>
      </c>
      <c r="AC392">
        <v>18.180700000000002</v>
      </c>
      <c r="AD392">
        <v>-1.117613499757</v>
      </c>
      <c r="AE392">
        <v>-0.12509999999997401</v>
      </c>
      <c r="AF392">
        <v>-0.32666402069702599</v>
      </c>
      <c r="AG392">
        <v>-1.117613499757</v>
      </c>
      <c r="AH392">
        <v>18.1097421760632</v>
      </c>
      <c r="AI392">
        <v>93.530864942194398</v>
      </c>
      <c r="AJ392">
        <v>91.033390756776797</v>
      </c>
      <c r="AK392">
        <v>18.147135614215799</v>
      </c>
      <c r="AL392">
        <v>93.107299146946104</v>
      </c>
      <c r="AM392">
        <v>88.8861853163272</v>
      </c>
      <c r="AN392">
        <v>0.99999999496802705</v>
      </c>
    </row>
    <row r="393" spans="1:40" x14ac:dyDescent="0.25">
      <c r="A393" t="str">
        <f>"20190303154739722"</f>
        <v>20190303154739722</v>
      </c>
      <c r="B393" t="str">
        <f>"1551599259710793"</f>
        <v>1551599259710793</v>
      </c>
      <c r="C393" t="s">
        <v>40</v>
      </c>
      <c r="D393">
        <v>4.8796540000000004</v>
      </c>
      <c r="E393">
        <v>0.48575819999999997</v>
      </c>
      <c r="F393" t="s">
        <v>41</v>
      </c>
      <c r="G393">
        <v>-374.90469999999999</v>
      </c>
      <c r="H393" s="1">
        <v>-2.5379779999999999E-6</v>
      </c>
      <c r="I393">
        <v>367.53160000000003</v>
      </c>
      <c r="J393">
        <v>-392.99509999999998</v>
      </c>
      <c r="K393">
        <v>1.118009</v>
      </c>
      <c r="L393">
        <v>367.64449999999999</v>
      </c>
      <c r="M393">
        <v>0.99966279999999996</v>
      </c>
      <c r="N393">
        <v>-8.1152259999999997E-3</v>
      </c>
      <c r="O393">
        <v>-2.4674970000000001E-2</v>
      </c>
      <c r="P393">
        <v>0.99709899999999996</v>
      </c>
      <c r="Q393">
        <v>-6.2390590000000003E-2</v>
      </c>
      <c r="R393">
        <v>-4.3604789999999997E-2</v>
      </c>
      <c r="S393">
        <v>2.996521</v>
      </c>
      <c r="T393">
        <v>-0.18327280000000001</v>
      </c>
      <c r="U393">
        <v>-1.919556E-2</v>
      </c>
      <c r="V393">
        <v>1.9022239999999999E-2</v>
      </c>
      <c r="W393">
        <v>-5.4278300000000002E-2</v>
      </c>
      <c r="X393">
        <v>0.99834469999999997</v>
      </c>
      <c r="Y393">
        <v>-1.8198200000000001E-2</v>
      </c>
      <c r="Z393">
        <v>1.937411E-3</v>
      </c>
      <c r="AA393">
        <v>0.99983250000000001</v>
      </c>
      <c r="AB393">
        <v>29</v>
      </c>
      <c r="AC393">
        <v>18.090399999999899</v>
      </c>
      <c r="AD393">
        <v>-1.118011537978</v>
      </c>
      <c r="AE393">
        <v>-0.112899999999967</v>
      </c>
      <c r="AF393">
        <v>-0.33226007123894202</v>
      </c>
      <c r="AG393">
        <v>-1.118011537978</v>
      </c>
      <c r="AH393">
        <v>18.018858767567998</v>
      </c>
      <c r="AI393">
        <v>93.549863192571195</v>
      </c>
      <c r="AJ393">
        <v>91.056390019863997</v>
      </c>
      <c r="AK393">
        <v>18.056567166533998</v>
      </c>
      <c r="AL393">
        <v>93.111446389997894</v>
      </c>
      <c r="AM393">
        <v>88.908430922181296</v>
      </c>
      <c r="AN393">
        <v>1.00000005974179</v>
      </c>
    </row>
    <row r="394" spans="1:40" x14ac:dyDescent="0.25">
      <c r="A394" t="str">
        <f>"20190303154739743"</f>
        <v>20190303154739743</v>
      </c>
      <c r="B394" t="str">
        <f>"1551599259731288"</f>
        <v>1551599259731288</v>
      </c>
      <c r="C394" t="s">
        <v>40</v>
      </c>
      <c r="D394">
        <v>4.9385459999999997</v>
      </c>
      <c r="E394">
        <v>0.48577749999999997</v>
      </c>
      <c r="F394" t="s">
        <v>41</v>
      </c>
      <c r="G394">
        <v>-374.90969999999999</v>
      </c>
      <c r="H394" s="1">
        <v>-2.534466E-6</v>
      </c>
      <c r="I394">
        <v>367.53919999999999</v>
      </c>
      <c r="J394">
        <v>-392.73410000000001</v>
      </c>
      <c r="K394">
        <v>1.118501</v>
      </c>
      <c r="L394">
        <v>367.63839999999999</v>
      </c>
      <c r="M394">
        <v>0.99966440000000001</v>
      </c>
      <c r="N394">
        <v>-8.8932119999999993E-3</v>
      </c>
      <c r="O394">
        <v>-2.4333319999999999E-2</v>
      </c>
      <c r="P394">
        <v>0.99704429999999999</v>
      </c>
      <c r="Q394">
        <v>-6.3807680000000006E-2</v>
      </c>
      <c r="R394">
        <v>-4.2797769999999999E-2</v>
      </c>
      <c r="S394">
        <v>2.9963679999999999</v>
      </c>
      <c r="T394">
        <v>-0.18523029999999999</v>
      </c>
      <c r="U394">
        <v>-1.742554E-2</v>
      </c>
      <c r="V394">
        <v>1.8558169999999999E-2</v>
      </c>
      <c r="W394">
        <v>-5.491965E-2</v>
      </c>
      <c r="X394">
        <v>0.99831829999999999</v>
      </c>
      <c r="Y394">
        <v>-1.8445820000000002E-2</v>
      </c>
      <c r="Z394">
        <v>1.93812E-3</v>
      </c>
      <c r="AA394">
        <v>0.99982800000000005</v>
      </c>
      <c r="AB394">
        <v>29</v>
      </c>
      <c r="AC394">
        <v>17.824400000000001</v>
      </c>
      <c r="AD394">
        <v>-1.1185035344659999</v>
      </c>
      <c r="AE394">
        <v>-9.9199999999996097E-2</v>
      </c>
      <c r="AF394">
        <v>-0.33326108422805201</v>
      </c>
      <c r="AG394">
        <v>-1.1185035344659999</v>
      </c>
      <c r="AH394">
        <v>17.751636936567898</v>
      </c>
      <c r="AI394">
        <v>93.604719941392403</v>
      </c>
      <c r="AJ394">
        <v>91.075518324935501</v>
      </c>
      <c r="AK394">
        <v>17.789961411835499</v>
      </c>
      <c r="AL394">
        <v>93.148248116669293</v>
      </c>
      <c r="AM394">
        <v>88.935026673491606</v>
      </c>
      <c r="AN394">
        <v>1.0000000008723799</v>
      </c>
    </row>
    <row r="395" spans="1:40" x14ac:dyDescent="0.25">
      <c r="A395" t="str">
        <f>"20190303154739764"</f>
        <v>20190303154739764</v>
      </c>
      <c r="B395" t="str">
        <f>"1551599259761544"</f>
        <v>1551599259761544</v>
      </c>
      <c r="C395" t="s">
        <v>40</v>
      </c>
      <c r="D395">
        <v>4.9622739999999999</v>
      </c>
      <c r="E395">
        <v>0.48571009999999998</v>
      </c>
      <c r="F395" t="s">
        <v>41</v>
      </c>
      <c r="G395">
        <v>-375.10050000000001</v>
      </c>
      <c r="H395" s="1">
        <v>-2.4510459999999999E-6</v>
      </c>
      <c r="I395">
        <v>367.54809999999998</v>
      </c>
      <c r="J395">
        <v>-392.45530000000002</v>
      </c>
      <c r="K395">
        <v>1.118946</v>
      </c>
      <c r="L395">
        <v>367.63200000000001</v>
      </c>
      <c r="M395">
        <v>0.9996661</v>
      </c>
      <c r="N395">
        <v>-9.6512939999999995E-3</v>
      </c>
      <c r="O395">
        <v>-2.397291E-2</v>
      </c>
      <c r="P395">
        <v>0.99697239999999998</v>
      </c>
      <c r="Q395">
        <v>-6.5528249999999996E-2</v>
      </c>
      <c r="R395">
        <v>-4.1860809999999998E-2</v>
      </c>
      <c r="S395">
        <v>2.9960330000000002</v>
      </c>
      <c r="T395">
        <v>-0.19003890000000001</v>
      </c>
      <c r="U395">
        <v>-1.531982E-2</v>
      </c>
      <c r="V395">
        <v>1.7983519999999999E-2</v>
      </c>
      <c r="W395">
        <v>-5.588456E-2</v>
      </c>
      <c r="X395">
        <v>0.99827529999999998</v>
      </c>
      <c r="Y395">
        <v>-1.8783749999999998E-2</v>
      </c>
      <c r="Z395">
        <v>1.9736179999999999E-3</v>
      </c>
      <c r="AA395">
        <v>0.99982159999999998</v>
      </c>
      <c r="AB395">
        <v>29</v>
      </c>
      <c r="AC395">
        <v>17.354800000000001</v>
      </c>
      <c r="AD395">
        <v>-1.1189484510459999</v>
      </c>
      <c r="AE395">
        <v>-8.38999999999714E-2</v>
      </c>
      <c r="AF395">
        <v>-0.33081335596943501</v>
      </c>
      <c r="AG395">
        <v>-1.1189484510459999</v>
      </c>
      <c r="AH395">
        <v>17.279991936822601</v>
      </c>
      <c r="AI395">
        <v>93.704280938398995</v>
      </c>
      <c r="AJ395">
        <v>91.096753637539805</v>
      </c>
      <c r="AK395">
        <v>17.3193419173259</v>
      </c>
      <c r="AL395">
        <v>93.203618328908107</v>
      </c>
      <c r="AM395">
        <v>88.967951669243703</v>
      </c>
      <c r="AN395">
        <v>1.0000000328140299</v>
      </c>
    </row>
    <row r="396" spans="1:40" x14ac:dyDescent="0.25">
      <c r="A396" t="str">
        <f>"20190303154739785"</f>
        <v>20190303154739785</v>
      </c>
      <c r="B396" t="str">
        <f>"1551599259781065"</f>
        <v>1551599259781065</v>
      </c>
      <c r="C396" t="s">
        <v>40</v>
      </c>
      <c r="D396">
        <v>4.9491459999999998</v>
      </c>
      <c r="E396">
        <v>0.48566779999999998</v>
      </c>
      <c r="F396" t="s">
        <v>41</v>
      </c>
      <c r="G396">
        <v>-375.42320000000001</v>
      </c>
      <c r="H396" s="1">
        <v>-2.3094930000000001E-6</v>
      </c>
      <c r="I396">
        <v>367.56580000000002</v>
      </c>
      <c r="J396">
        <v>-392.18079999999998</v>
      </c>
      <c r="K396">
        <v>1.119313</v>
      </c>
      <c r="L396">
        <v>367.62580000000003</v>
      </c>
      <c r="M396">
        <v>0.99966759999999999</v>
      </c>
      <c r="N396">
        <v>-1.032567E-2</v>
      </c>
      <c r="O396">
        <v>-2.3620490000000001E-2</v>
      </c>
      <c r="P396">
        <v>0.99692879999999995</v>
      </c>
      <c r="Q396">
        <v>-6.6785800000000006E-2</v>
      </c>
      <c r="R396">
        <v>-4.0901939999999998E-2</v>
      </c>
      <c r="S396">
        <v>2.9956969999999998</v>
      </c>
      <c r="T396">
        <v>-0.19680510000000001</v>
      </c>
      <c r="U396">
        <v>-1.1627200000000001E-2</v>
      </c>
      <c r="V396">
        <v>1.737793E-2</v>
      </c>
      <c r="W396">
        <v>-5.6469859999999997E-2</v>
      </c>
      <c r="X396">
        <v>0.99825299999999995</v>
      </c>
      <c r="Y396">
        <v>-1.9656179999999999E-2</v>
      </c>
      <c r="Z396">
        <v>2.0528450000000002E-3</v>
      </c>
      <c r="AA396">
        <v>0.99980469999999999</v>
      </c>
      <c r="AB396">
        <v>29</v>
      </c>
      <c r="AC396">
        <v>16.757599999999901</v>
      </c>
      <c r="AD396">
        <v>-1.119315309493</v>
      </c>
      <c r="AE396">
        <v>-6.0000000000002197E-2</v>
      </c>
      <c r="AF396">
        <v>-0.33436882766432102</v>
      </c>
      <c r="AG396">
        <v>-1.119315309493</v>
      </c>
      <c r="AH396">
        <v>16.679924799568902</v>
      </c>
      <c r="AI396">
        <v>93.838339419965706</v>
      </c>
      <c r="AJ396">
        <v>91.148407877994202</v>
      </c>
      <c r="AK396">
        <v>16.720782296120401</v>
      </c>
      <c r="AL396">
        <v>93.237206875469198</v>
      </c>
      <c r="AM396">
        <v>89.002676191957704</v>
      </c>
      <c r="AN396">
        <v>0.99999994477425003</v>
      </c>
    </row>
    <row r="397" spans="1:40" x14ac:dyDescent="0.25">
      <c r="A397" t="str">
        <f>"20190303154739798"</f>
        <v>20190303154739798</v>
      </c>
      <c r="B397" t="str">
        <f>"1551599259791801"</f>
        <v>1551599259791801</v>
      </c>
      <c r="C397" t="s">
        <v>40</v>
      </c>
      <c r="D397">
        <v>4.9468239999999897</v>
      </c>
      <c r="E397">
        <v>0.48566559999999998</v>
      </c>
      <c r="F397" t="s">
        <v>41</v>
      </c>
      <c r="G397">
        <v>-375.55369999999999</v>
      </c>
      <c r="H397" s="1">
        <v>-2.251148E-6</v>
      </c>
      <c r="I397">
        <v>367.57889999999998</v>
      </c>
      <c r="J397">
        <v>-392.01830000000001</v>
      </c>
      <c r="K397">
        <v>1.1195029999999999</v>
      </c>
      <c r="L397">
        <v>367.62220000000002</v>
      </c>
      <c r="M397">
        <v>0.99966869999999997</v>
      </c>
      <c r="N397">
        <v>-1.0695609999999999E-2</v>
      </c>
      <c r="O397">
        <v>-2.3412220000000001E-2</v>
      </c>
      <c r="P397">
        <v>0.99686929999999996</v>
      </c>
      <c r="Q397">
        <v>-6.7827419999999999E-2</v>
      </c>
      <c r="R397">
        <v>-4.0636810000000002E-2</v>
      </c>
      <c r="S397">
        <v>2.995422</v>
      </c>
      <c r="T397">
        <v>-0.20164699999999999</v>
      </c>
      <c r="U397">
        <v>-8.4228519999999998E-3</v>
      </c>
      <c r="V397">
        <v>1.7322500000000001E-2</v>
      </c>
      <c r="W397">
        <v>-5.7142869999999998E-2</v>
      </c>
      <c r="X397">
        <v>0.99821570000000004</v>
      </c>
      <c r="Y397">
        <v>-2.0511049999999999E-2</v>
      </c>
      <c r="Z397">
        <v>2.1234119999999999E-3</v>
      </c>
      <c r="AA397">
        <v>0.99978739999999999</v>
      </c>
      <c r="AB397">
        <v>28</v>
      </c>
      <c r="AC397">
        <v>16.464600000000001</v>
      </c>
      <c r="AD397">
        <v>-1.1195052511479999</v>
      </c>
      <c r="AE397">
        <v>-4.3300000000044699E-2</v>
      </c>
      <c r="AF397">
        <v>-0.34063192552675398</v>
      </c>
      <c r="AG397">
        <v>-1.1195052511479999</v>
      </c>
      <c r="AH397">
        <v>16.385346814047299</v>
      </c>
      <c r="AI397">
        <v>93.907735676138898</v>
      </c>
      <c r="AJ397">
        <v>91.1909397523401</v>
      </c>
      <c r="AK397">
        <v>16.4270786305005</v>
      </c>
      <c r="AL397">
        <v>93.275829762719894</v>
      </c>
      <c r="AM397">
        <v>89.005819553878396</v>
      </c>
      <c r="AN397">
        <v>0.99999998016228797</v>
      </c>
    </row>
    <row r="398" spans="1:40" x14ac:dyDescent="0.25">
      <c r="A398" t="str">
        <f>"20190303154739821"</f>
        <v>20190303154739821</v>
      </c>
      <c r="B398" t="str">
        <f>"1551599259811320"</f>
        <v>1551599259811320</v>
      </c>
      <c r="C398" t="s">
        <v>40</v>
      </c>
      <c r="D398">
        <v>4.9960709999999997</v>
      </c>
      <c r="E398">
        <v>0.48561500000000002</v>
      </c>
      <c r="F398" t="s">
        <v>41</v>
      </c>
      <c r="G398">
        <v>-375.6807</v>
      </c>
      <c r="H398" s="1">
        <v>-2.1965259999999999E-6</v>
      </c>
      <c r="I398">
        <v>367.57979999999998</v>
      </c>
      <c r="J398">
        <v>-391.74189999999999</v>
      </c>
      <c r="K398">
        <v>1.119777</v>
      </c>
      <c r="L398">
        <v>367.61610000000002</v>
      </c>
      <c r="M398">
        <v>0.99967070000000002</v>
      </c>
      <c r="N398">
        <v>-1.1265560000000001E-2</v>
      </c>
      <c r="O398">
        <v>-2.3057000000000001E-2</v>
      </c>
      <c r="P398">
        <v>0.99683449999999996</v>
      </c>
      <c r="Q398">
        <v>-6.8472039999999998E-2</v>
      </c>
      <c r="R398">
        <v>-4.0405299999999998E-2</v>
      </c>
      <c r="S398">
        <v>2.9951479999999999</v>
      </c>
      <c r="T398">
        <v>-0.20523640000000001</v>
      </c>
      <c r="U398">
        <v>-7.7514649999999999E-3</v>
      </c>
      <c r="V398">
        <v>1.7446360000000001E-2</v>
      </c>
      <c r="W398">
        <v>-5.7218940000000003E-2</v>
      </c>
      <c r="X398">
        <v>0.99820920000000002</v>
      </c>
      <c r="Y398">
        <v>-2.0377679999999999E-2</v>
      </c>
      <c r="Z398">
        <v>2.1307359999999998E-3</v>
      </c>
      <c r="AA398">
        <v>0.99979010000000001</v>
      </c>
      <c r="AB398">
        <v>28</v>
      </c>
      <c r="AC398">
        <v>16.0611999999999</v>
      </c>
      <c r="AD398">
        <v>-1.119779196526</v>
      </c>
      <c r="AE398">
        <v>-3.6300000000039703E-2</v>
      </c>
      <c r="AF398">
        <v>-0.33244031135839802</v>
      </c>
      <c r="AG398">
        <v>-1.119779196526</v>
      </c>
      <c r="AH398">
        <v>15.980090825269899</v>
      </c>
      <c r="AI398">
        <v>94.0074933015959</v>
      </c>
      <c r="AJ398">
        <v>91.191775435439993</v>
      </c>
      <c r="AK398">
        <v>16.022725261124101</v>
      </c>
      <c r="AL398">
        <v>93.280195347694502</v>
      </c>
      <c r="AM398">
        <v>88.998705850330296</v>
      </c>
      <c r="AN398">
        <v>0.99999999476830603</v>
      </c>
    </row>
    <row r="399" spans="1:40" x14ac:dyDescent="0.25">
      <c r="A399" t="str">
        <f>"20190303154739841"</f>
        <v>20190303154739841</v>
      </c>
      <c r="B399" t="str">
        <f>"1551599259830844"</f>
        <v>1551599259830844</v>
      </c>
      <c r="C399" t="s">
        <v>40</v>
      </c>
      <c r="D399">
        <v>4.9378199999999897</v>
      </c>
      <c r="E399">
        <v>0.48564099999999999</v>
      </c>
      <c r="F399" t="s">
        <v>41</v>
      </c>
      <c r="G399">
        <v>-375.65800000000002</v>
      </c>
      <c r="H399" s="1">
        <v>-2.2058999999999999E-6</v>
      </c>
      <c r="I399">
        <v>367.58179999999999</v>
      </c>
      <c r="J399">
        <v>-391.48809999999997</v>
      </c>
      <c r="K399">
        <v>1.1199840000000001</v>
      </c>
      <c r="L399">
        <v>367.61070000000001</v>
      </c>
      <c r="M399">
        <v>0.99967289999999998</v>
      </c>
      <c r="N399">
        <v>-1.172898E-2</v>
      </c>
      <c r="O399">
        <v>-2.2729389999999999E-2</v>
      </c>
      <c r="P399">
        <v>0.99677749999999998</v>
      </c>
      <c r="Q399">
        <v>-6.9007840000000001E-2</v>
      </c>
      <c r="R399">
        <v>-4.0901079999999999E-2</v>
      </c>
      <c r="S399">
        <v>2.9949340000000002</v>
      </c>
      <c r="T399">
        <v>-0.20851</v>
      </c>
      <c r="U399">
        <v>-6.3781740000000003E-3</v>
      </c>
      <c r="V399">
        <v>1.8269690000000002E-2</v>
      </c>
      <c r="W399">
        <v>-5.729219E-2</v>
      </c>
      <c r="X399">
        <v>0.99819029999999997</v>
      </c>
      <c r="Y399">
        <v>-2.050575E-2</v>
      </c>
      <c r="Z399">
        <v>2.1474430000000002E-3</v>
      </c>
      <c r="AA399">
        <v>0.99978739999999999</v>
      </c>
      <c r="AB399">
        <v>28</v>
      </c>
      <c r="AC399">
        <v>15.8300999999999</v>
      </c>
      <c r="AD399">
        <v>-1.1199862059000001</v>
      </c>
      <c r="AE399">
        <v>-2.8900000000021402E-2</v>
      </c>
      <c r="AF399">
        <v>-0.32929240970138102</v>
      </c>
      <c r="AG399">
        <v>-1.1199862059000001</v>
      </c>
      <c r="AH399">
        <v>15.7478392555547</v>
      </c>
      <c r="AI399">
        <v>94.067139778487999</v>
      </c>
      <c r="AJ399">
        <v>91.197898701819796</v>
      </c>
      <c r="AK399">
        <v>15.791049484162899</v>
      </c>
      <c r="AL399">
        <v>93.284399057622807</v>
      </c>
      <c r="AM399">
        <v>88.951443160728203</v>
      </c>
      <c r="AN399">
        <v>1.0000000258108901</v>
      </c>
    </row>
    <row r="400" spans="1:40" x14ac:dyDescent="0.25">
      <c r="A400" t="str">
        <f>"20190303154739853"</f>
        <v>20190303154739853</v>
      </c>
      <c r="B400" t="str">
        <f>"1551599259851336"</f>
        <v>1551599259851336</v>
      </c>
      <c r="C400" t="s">
        <v>40</v>
      </c>
      <c r="D400">
        <v>4.9573349999999996</v>
      </c>
      <c r="E400">
        <v>0.48569259999999997</v>
      </c>
      <c r="F400" t="s">
        <v>41</v>
      </c>
      <c r="G400">
        <v>-375.59469999999999</v>
      </c>
      <c r="H400" s="1">
        <v>-2.2357730000000002E-6</v>
      </c>
      <c r="I400">
        <v>367.56650000000002</v>
      </c>
      <c r="J400">
        <v>-391.31950000000001</v>
      </c>
      <c r="K400">
        <v>1.1201049999999999</v>
      </c>
      <c r="L400">
        <v>367.6071</v>
      </c>
      <c r="M400">
        <v>0.99967459999999997</v>
      </c>
      <c r="N400">
        <v>-1.2003410000000001E-2</v>
      </c>
      <c r="O400">
        <v>-2.2510860000000001E-2</v>
      </c>
      <c r="P400">
        <v>0.99675150000000001</v>
      </c>
      <c r="Q400">
        <v>-6.9321320000000006E-2</v>
      </c>
      <c r="R400">
        <v>-4.1003199999999997E-2</v>
      </c>
      <c r="S400">
        <v>2.994812</v>
      </c>
      <c r="T400">
        <v>-0.21103920000000001</v>
      </c>
      <c r="U400">
        <v>-8.3007810000000001E-3</v>
      </c>
      <c r="V400">
        <v>1.85904E-2</v>
      </c>
      <c r="W400">
        <v>-5.7331859999999998E-2</v>
      </c>
      <c r="X400">
        <v>0.99818209999999996</v>
      </c>
      <c r="Y400">
        <v>-1.9645929999999999E-2</v>
      </c>
      <c r="Z400">
        <v>2.123696E-3</v>
      </c>
      <c r="AA400">
        <v>0.99980469999999999</v>
      </c>
      <c r="AB400">
        <v>28</v>
      </c>
      <c r="AC400">
        <v>15.7248</v>
      </c>
      <c r="AD400">
        <v>-1.120107235773</v>
      </c>
      <c r="AE400">
        <v>-4.0599999999983503E-2</v>
      </c>
      <c r="AF400">
        <v>-0.31183232110354597</v>
      </c>
      <c r="AG400">
        <v>-1.120107235773</v>
      </c>
      <c r="AH400">
        <v>15.642360215628599</v>
      </c>
      <c r="AI400">
        <v>94.094994418109707</v>
      </c>
      <c r="AJ400">
        <v>91.1420469443472</v>
      </c>
      <c r="AK400">
        <v>15.685512829729101</v>
      </c>
      <c r="AL400">
        <v>93.286675726084994</v>
      </c>
      <c r="AM400">
        <v>88.933032027698204</v>
      </c>
      <c r="AN400">
        <v>1.00000002495181</v>
      </c>
    </row>
    <row r="401" spans="1:40" x14ac:dyDescent="0.25">
      <c r="A401" t="str">
        <f>"20190303154739875"</f>
        <v>20190303154739875</v>
      </c>
      <c r="B401" t="str">
        <f>"1551599259870857"</f>
        <v>1551599259870857</v>
      </c>
      <c r="C401" t="s">
        <v>40</v>
      </c>
      <c r="D401">
        <v>5.0040180000000003</v>
      </c>
      <c r="E401">
        <v>0.48569050000000002</v>
      </c>
      <c r="F401" t="s">
        <v>41</v>
      </c>
      <c r="G401">
        <v>-375.53300000000002</v>
      </c>
      <c r="H401" s="1">
        <v>-2.263475E-6</v>
      </c>
      <c r="I401">
        <v>367.55950000000001</v>
      </c>
      <c r="J401">
        <v>-391.04590000000002</v>
      </c>
      <c r="K401">
        <v>1.1202749999999999</v>
      </c>
      <c r="L401">
        <v>367.60129999999998</v>
      </c>
      <c r="M401">
        <v>0.99967760000000006</v>
      </c>
      <c r="N401">
        <v>-1.241397E-2</v>
      </c>
      <c r="O401">
        <v>-2.215642E-2</v>
      </c>
      <c r="P401">
        <v>0.99669149999999995</v>
      </c>
      <c r="Q401">
        <v>-6.9565370000000001E-2</v>
      </c>
      <c r="R401">
        <v>-4.2034250000000002E-2</v>
      </c>
      <c r="S401">
        <v>2.994659</v>
      </c>
      <c r="T401">
        <v>-0.21248159999999999</v>
      </c>
      <c r="U401">
        <v>-9.0026859999999993E-3</v>
      </c>
      <c r="V401">
        <v>1.9975699999999999E-2</v>
      </c>
      <c r="W401">
        <v>-5.7165769999999998E-2</v>
      </c>
      <c r="X401">
        <v>0.99816479999999996</v>
      </c>
      <c r="Y401">
        <v>-1.90583E-2</v>
      </c>
      <c r="Z401">
        <v>2.0889459999999999E-3</v>
      </c>
      <c r="AA401">
        <v>0.99981620000000004</v>
      </c>
      <c r="AB401">
        <v>28</v>
      </c>
      <c r="AC401">
        <v>15.5129</v>
      </c>
      <c r="AD401">
        <v>-1.120277263475</v>
      </c>
      <c r="AE401">
        <v>-4.1799999999966503E-2</v>
      </c>
      <c r="AF401">
        <v>-0.300380511362146</v>
      </c>
      <c r="AG401">
        <v>-1.120277263475</v>
      </c>
      <c r="AH401">
        <v>15.4295509463411</v>
      </c>
      <c r="AI401">
        <v>94.151943781534499</v>
      </c>
      <c r="AJ401">
        <v>91.115285976257496</v>
      </c>
      <c r="AK401">
        <v>15.4730828216099</v>
      </c>
      <c r="AL401">
        <v>93.277144047560796</v>
      </c>
      <c r="AM401">
        <v>88.853525443171307</v>
      </c>
      <c r="AN401">
        <v>0.99999996090460996</v>
      </c>
    </row>
    <row r="402" spans="1:40" x14ac:dyDescent="0.25">
      <c r="A402" t="str">
        <f>"20190303154739887"</f>
        <v>20190303154739887</v>
      </c>
      <c r="B402" t="str">
        <f>"1551599259881592"</f>
        <v>1551599259881592</v>
      </c>
      <c r="C402" t="s">
        <v>40</v>
      </c>
      <c r="D402">
        <v>5.0164859999999996</v>
      </c>
      <c r="E402">
        <v>0.48567949999999999</v>
      </c>
      <c r="F402" t="s">
        <v>41</v>
      </c>
      <c r="G402">
        <v>-375.43169999999998</v>
      </c>
      <c r="H402" s="1">
        <v>-2.3108130000000001E-6</v>
      </c>
      <c r="I402">
        <v>367.5378</v>
      </c>
      <c r="J402">
        <v>-390.89359999999999</v>
      </c>
      <c r="K402">
        <v>1.120355</v>
      </c>
      <c r="L402">
        <v>367.59820000000002</v>
      </c>
      <c r="M402">
        <v>0.99967930000000005</v>
      </c>
      <c r="N402">
        <v>-1.261931E-2</v>
      </c>
      <c r="O402">
        <v>-2.1959139999999999E-2</v>
      </c>
      <c r="P402">
        <v>0.9966547</v>
      </c>
      <c r="Q402">
        <v>-7.0079849999999999E-2</v>
      </c>
      <c r="R402">
        <v>-4.2053989999999999E-2</v>
      </c>
      <c r="S402">
        <v>2.994415</v>
      </c>
      <c r="T402">
        <v>-0.2148398</v>
      </c>
      <c r="U402">
        <v>-1.217651E-2</v>
      </c>
      <c r="V402">
        <v>2.0193220000000001E-2</v>
      </c>
      <c r="W402">
        <v>-5.747563E-2</v>
      </c>
      <c r="X402">
        <v>0.99814270000000005</v>
      </c>
      <c r="Y402">
        <v>-1.780315E-2</v>
      </c>
      <c r="Z402">
        <v>2.0468560000000001E-3</v>
      </c>
      <c r="AA402">
        <v>0.99983940000000004</v>
      </c>
      <c r="AB402">
        <v>28</v>
      </c>
      <c r="AC402">
        <v>15.4619</v>
      </c>
      <c r="AD402">
        <v>-1.1203573108130001</v>
      </c>
      <c r="AE402">
        <v>-6.0400000000015497E-2</v>
      </c>
      <c r="AF402">
        <v>-0.27771353700260398</v>
      </c>
      <c r="AG402">
        <v>-1.1203573108130001</v>
      </c>
      <c r="AH402">
        <v>15.378755048482301</v>
      </c>
      <c r="AI402">
        <v>94.166015776425198</v>
      </c>
      <c r="AJ402">
        <v>91.034549562314695</v>
      </c>
      <c r="AK402">
        <v>15.422011287563899</v>
      </c>
      <c r="AL402">
        <v>93.294926722840401</v>
      </c>
      <c r="AM402">
        <v>88.841018950697105</v>
      </c>
      <c r="AN402">
        <v>1.00000003187057</v>
      </c>
    </row>
    <row r="403" spans="1:40" x14ac:dyDescent="0.25">
      <c r="A403" t="str">
        <f>"20190303154739900"</f>
        <v>20190303154739900</v>
      </c>
      <c r="B403" t="str">
        <f>"1551599259891352"</f>
        <v>1551599259891352</v>
      </c>
      <c r="C403" t="s">
        <v>40</v>
      </c>
      <c r="D403">
        <v>5.0234100000000002</v>
      </c>
      <c r="E403">
        <v>0.48567949999999999</v>
      </c>
      <c r="F403" t="s">
        <v>41</v>
      </c>
      <c r="G403">
        <v>-375.44</v>
      </c>
      <c r="H403" s="1">
        <v>-2.3072729999999998E-6</v>
      </c>
      <c r="I403">
        <v>367.5376</v>
      </c>
      <c r="J403">
        <v>-390.73669999999998</v>
      </c>
      <c r="K403">
        <v>1.120433</v>
      </c>
      <c r="L403">
        <v>367.5949</v>
      </c>
      <c r="M403">
        <v>0.99968120000000005</v>
      </c>
      <c r="N403">
        <v>-1.282004E-2</v>
      </c>
      <c r="O403">
        <v>-2.175649E-2</v>
      </c>
      <c r="P403">
        <v>0.99662099999999998</v>
      </c>
      <c r="Q403">
        <v>-7.053545E-2</v>
      </c>
      <c r="R403">
        <v>-4.2090040000000002E-2</v>
      </c>
      <c r="S403">
        <v>2.994354</v>
      </c>
      <c r="T403">
        <v>-0.2170849</v>
      </c>
      <c r="U403">
        <v>-1.171875E-2</v>
      </c>
      <c r="V403">
        <v>2.0432289999999999E-2</v>
      </c>
      <c r="W403">
        <v>-5.7731159999999997E-2</v>
      </c>
      <c r="X403">
        <v>0.99812299999999998</v>
      </c>
      <c r="Y403">
        <v>-1.7751920000000001E-2</v>
      </c>
      <c r="Z403">
        <v>2.0530879999999998E-3</v>
      </c>
      <c r="AA403">
        <v>0.99984030000000002</v>
      </c>
      <c r="AB403">
        <v>28</v>
      </c>
      <c r="AC403">
        <v>15.2966999999999</v>
      </c>
      <c r="AD403">
        <v>-1.120435307273</v>
      </c>
      <c r="AE403">
        <v>-5.7299999999997901E-2</v>
      </c>
      <c r="AF403">
        <v>-0.27407297531770303</v>
      </c>
      <c r="AG403">
        <v>-1.120435307273</v>
      </c>
      <c r="AH403">
        <v>15.212708812869099</v>
      </c>
      <c r="AI403">
        <v>94.211620308650296</v>
      </c>
      <c r="AJ403">
        <v>91.032132167486793</v>
      </c>
      <c r="AK403">
        <v>15.2563757393009</v>
      </c>
      <c r="AL403">
        <v>93.309592154158196</v>
      </c>
      <c r="AM403">
        <v>88.827278302568601</v>
      </c>
      <c r="AN403">
        <v>0.99999994421929295</v>
      </c>
    </row>
    <row r="404" spans="1:40" x14ac:dyDescent="0.25">
      <c r="A404" t="str">
        <f>"20190303154739919"</f>
        <v>20190303154739919</v>
      </c>
      <c r="B404" t="str">
        <f>"1551599259910873"</f>
        <v>1551599259910873</v>
      </c>
      <c r="C404" t="s">
        <v>40</v>
      </c>
      <c r="D404">
        <v>4.9670319999999997</v>
      </c>
      <c r="E404">
        <v>0.51027020000000001</v>
      </c>
      <c r="F404" t="s">
        <v>41</v>
      </c>
      <c r="G404">
        <v>-375.38580000000002</v>
      </c>
      <c r="H404" s="1">
        <v>-2.3312869999999999E-6</v>
      </c>
      <c r="I404">
        <v>367.53339999999997</v>
      </c>
      <c r="J404">
        <v>-390.4939</v>
      </c>
      <c r="K404">
        <v>1.120536</v>
      </c>
      <c r="L404">
        <v>367.59</v>
      </c>
      <c r="M404">
        <v>0.99968429999999997</v>
      </c>
      <c r="N404">
        <v>-1.309534E-2</v>
      </c>
      <c r="O404">
        <v>-2.1442389999999999E-2</v>
      </c>
      <c r="P404">
        <v>0.99659450000000005</v>
      </c>
      <c r="Q404">
        <v>-7.1295839999999999E-2</v>
      </c>
      <c r="R404">
        <v>-4.1427279999999997E-2</v>
      </c>
      <c r="S404">
        <v>2.994202</v>
      </c>
      <c r="T404">
        <v>-0.21854029999999999</v>
      </c>
      <c r="U404">
        <v>-1.1993409999999999E-2</v>
      </c>
      <c r="V404">
        <v>2.008368E-2</v>
      </c>
      <c r="W404">
        <v>-5.8217560000000002E-2</v>
      </c>
      <c r="X404">
        <v>0.99810189999999999</v>
      </c>
      <c r="Y404">
        <v>-1.7346629999999998E-2</v>
      </c>
      <c r="Z404">
        <v>2.028289E-3</v>
      </c>
      <c r="AA404">
        <v>0.9998475</v>
      </c>
      <c r="AB404">
        <v>28</v>
      </c>
      <c r="AC404">
        <v>15.108099999999901</v>
      </c>
      <c r="AD404">
        <v>-1.1205383312870001</v>
      </c>
      <c r="AE404">
        <v>-5.6600000000003002E-2</v>
      </c>
      <c r="AF404">
        <v>-0.26593173101665901</v>
      </c>
      <c r="AG404">
        <v>-1.1205383312870001</v>
      </c>
      <c r="AH404">
        <v>15.023199620754299</v>
      </c>
      <c r="AI404">
        <v>94.264967290623702</v>
      </c>
      <c r="AJ404">
        <v>91.014109848875705</v>
      </c>
      <c r="AK404">
        <v>15.0672775471376</v>
      </c>
      <c r="AL404">
        <v>93.337507519865696</v>
      </c>
      <c r="AM404">
        <v>88.847257143564207</v>
      </c>
      <c r="AN404">
        <v>1.0000000206391499</v>
      </c>
    </row>
    <row r="405" spans="1:40" x14ac:dyDescent="0.25">
      <c r="A405" t="str">
        <f>"20190303154739944"</f>
        <v>20190303154739944</v>
      </c>
      <c r="B405" t="str">
        <f>"1551599259931368"</f>
        <v>1551599259931368</v>
      </c>
      <c r="C405" t="s">
        <v>40</v>
      </c>
      <c r="D405">
        <v>5.1051830000000002</v>
      </c>
      <c r="E405">
        <v>0.51195869999999999</v>
      </c>
      <c r="F405" t="s">
        <v>42</v>
      </c>
      <c r="G405">
        <v>-389.76310000000001</v>
      </c>
      <c r="H405">
        <v>1.0230669999999999</v>
      </c>
      <c r="I405">
        <v>367.53949999999998</v>
      </c>
      <c r="J405">
        <v>-390.2</v>
      </c>
      <c r="K405">
        <v>1.1206419999999999</v>
      </c>
      <c r="L405">
        <v>367.58420000000001</v>
      </c>
      <c r="M405">
        <v>0.99968860000000004</v>
      </c>
      <c r="N405">
        <v>-1.338667E-2</v>
      </c>
      <c r="O405">
        <v>-2.106299E-2</v>
      </c>
      <c r="P405">
        <v>0.99665389999999998</v>
      </c>
      <c r="Q405">
        <v>-7.1427640000000001E-2</v>
      </c>
      <c r="R405">
        <v>-3.9737019999999998E-2</v>
      </c>
      <c r="S405">
        <v>2.9733890000000001</v>
      </c>
      <c r="T405">
        <v>-0.39687620000000001</v>
      </c>
      <c r="U405">
        <v>-0.20410159999999999</v>
      </c>
      <c r="V405">
        <v>1.8770800000000001E-2</v>
      </c>
      <c r="W405">
        <v>-5.8059220000000002E-2</v>
      </c>
      <c r="X405">
        <v>0.99813660000000004</v>
      </c>
      <c r="Y405">
        <v>4.7143129999999998E-2</v>
      </c>
      <c r="Z405">
        <v>-9.3168150000000002E-4</v>
      </c>
      <c r="AA405">
        <v>0.99888770000000005</v>
      </c>
      <c r="AB405">
        <v>28</v>
      </c>
      <c r="AC405">
        <v>0.43689999999998003</v>
      </c>
      <c r="AD405">
        <v>-9.7574999999999898E-2</v>
      </c>
      <c r="AE405">
        <v>-4.4700000000034303E-2</v>
      </c>
      <c r="AF405">
        <v>3.3817543912218098E-2</v>
      </c>
      <c r="AG405">
        <v>-9.7574999999999898E-2</v>
      </c>
      <c r="AH405">
        <v>0.41715324027670198</v>
      </c>
      <c r="AI405">
        <v>103.12362570044201</v>
      </c>
      <c r="AJ405">
        <v>85.3653132319088</v>
      </c>
      <c r="AK405">
        <v>0.42974566056518398</v>
      </c>
      <c r="AL405">
        <v>93.328420189977805</v>
      </c>
      <c r="AM405">
        <v>88.922631572242196</v>
      </c>
      <c r="AN405">
        <v>0.99999994410960202</v>
      </c>
    </row>
    <row r="406" spans="1:40" x14ac:dyDescent="0.25">
      <c r="A406" t="str">
        <f>"20190303154739964"</f>
        <v>20190303154739964</v>
      </c>
      <c r="B406" t="str">
        <f>"1551599259961625"</f>
        <v>1551599259961625</v>
      </c>
      <c r="C406" t="s">
        <v>40</v>
      </c>
      <c r="D406">
        <v>5.0198039999999997</v>
      </c>
      <c r="E406">
        <v>0.51378369999999995</v>
      </c>
      <c r="F406" t="s">
        <v>42</v>
      </c>
      <c r="G406">
        <v>-389.29360000000003</v>
      </c>
      <c r="H406">
        <v>0.95976050000000002</v>
      </c>
      <c r="I406">
        <v>367.51920000000001</v>
      </c>
      <c r="J406">
        <v>-389.93759999999997</v>
      </c>
      <c r="K406">
        <v>1.1207210000000001</v>
      </c>
      <c r="L406">
        <v>367.57900000000001</v>
      </c>
      <c r="M406">
        <v>0.99969260000000004</v>
      </c>
      <c r="N406">
        <v>-1.361308E-2</v>
      </c>
      <c r="O406">
        <v>-2.0723979999999999E-2</v>
      </c>
      <c r="P406">
        <v>0.99674300000000005</v>
      </c>
      <c r="Q406">
        <v>-7.1054069999999997E-2</v>
      </c>
      <c r="R406">
        <v>-3.8140250000000001E-2</v>
      </c>
      <c r="S406">
        <v>2.9639280000000001</v>
      </c>
      <c r="T406">
        <v>-0.52630569999999999</v>
      </c>
      <c r="U406">
        <v>-0.21105960000000001</v>
      </c>
      <c r="V406">
        <v>1.7510189999999998E-2</v>
      </c>
      <c r="W406">
        <v>-5.745985E-2</v>
      </c>
      <c r="X406">
        <v>0.99819429999999998</v>
      </c>
      <c r="Y406">
        <v>4.9780449999999997E-2</v>
      </c>
      <c r="Z406">
        <v>-1.355944E-3</v>
      </c>
      <c r="AA406">
        <v>0.99875930000000002</v>
      </c>
      <c r="AB406">
        <v>28</v>
      </c>
      <c r="AC406">
        <v>0.64399999999994795</v>
      </c>
      <c r="AD406">
        <v>-0.16096049999999901</v>
      </c>
      <c r="AE406">
        <v>-5.97999999999956E-2</v>
      </c>
      <c r="AF406">
        <v>4.3731172037266001E-2</v>
      </c>
      <c r="AG406">
        <v>-0.16096049999999901</v>
      </c>
      <c r="AH406">
        <v>0.60747681465621495</v>
      </c>
      <c r="AI406">
        <v>104.803768320812</v>
      </c>
      <c r="AJ406">
        <v>85.882481998429398</v>
      </c>
      <c r="AK406">
        <v>0.62995934655568397</v>
      </c>
      <c r="AL406">
        <v>93.294021036266201</v>
      </c>
      <c r="AM406">
        <v>88.9950282247286</v>
      </c>
      <c r="AN406">
        <v>1.00000005083417</v>
      </c>
    </row>
    <row r="407" spans="1:40" x14ac:dyDescent="0.25">
      <c r="A407" t="str">
        <f>"20190303154739986"</f>
        <v>20190303154739986</v>
      </c>
      <c r="B407" t="str">
        <f>"1551599259981144"</f>
        <v>1551599259981144</v>
      </c>
      <c r="C407" t="s">
        <v>40</v>
      </c>
      <c r="D407">
        <v>5.0428750000000004</v>
      </c>
      <c r="E407">
        <v>0.51511220000000002</v>
      </c>
      <c r="F407" t="s">
        <v>42</v>
      </c>
      <c r="G407">
        <v>-389.05309999999997</v>
      </c>
      <c r="H407">
        <v>0.94103040000000004</v>
      </c>
      <c r="I407">
        <v>367.51310000000001</v>
      </c>
      <c r="J407">
        <v>-389.65179999999998</v>
      </c>
      <c r="K407">
        <v>1.120806</v>
      </c>
      <c r="L407">
        <v>367.57350000000002</v>
      </c>
      <c r="M407">
        <v>0.99969730000000001</v>
      </c>
      <c r="N407">
        <v>-1.382678E-2</v>
      </c>
      <c r="O407">
        <v>-2.0354049999999999E-2</v>
      </c>
      <c r="P407">
        <v>0.99680449999999998</v>
      </c>
      <c r="Q407">
        <v>-7.0835309999999999E-2</v>
      </c>
      <c r="R407">
        <v>-3.6927759999999997E-2</v>
      </c>
      <c r="S407">
        <v>2.9584959999999998</v>
      </c>
      <c r="T407">
        <v>-0.60109409999999996</v>
      </c>
      <c r="U407">
        <v>-0.21997069999999999</v>
      </c>
      <c r="V407">
        <v>1.6664979999999999E-2</v>
      </c>
      <c r="W407">
        <v>-5.7027920000000003E-2</v>
      </c>
      <c r="X407">
        <v>0.9982335</v>
      </c>
      <c r="Y407">
        <v>5.3038670000000003E-2</v>
      </c>
      <c r="Z407">
        <v>-1.888921E-3</v>
      </c>
      <c r="AA407">
        <v>0.99859059999999999</v>
      </c>
      <c r="AB407">
        <v>28</v>
      </c>
      <c r="AC407">
        <v>0.598700000000007</v>
      </c>
      <c r="AD407">
        <v>-0.17977559999999901</v>
      </c>
      <c r="AE407">
        <v>-6.0400000000015497E-2</v>
      </c>
      <c r="AF407">
        <v>4.4250645221182099E-2</v>
      </c>
      <c r="AG407">
        <v>-0.17977559999999901</v>
      </c>
      <c r="AH407">
        <v>0.55065528635937</v>
      </c>
      <c r="AI407">
        <v>108.02627064392701</v>
      </c>
      <c r="AJ407">
        <v>85.405585421867897</v>
      </c>
      <c r="AK407">
        <v>0.58094632312578598</v>
      </c>
      <c r="AL407">
        <v>93.269232748102397</v>
      </c>
      <c r="AM407">
        <v>89.043566130761107</v>
      </c>
      <c r="AN407">
        <v>1.0000000128700799</v>
      </c>
    </row>
    <row r="408" spans="1:40" x14ac:dyDescent="0.25">
      <c r="A408" t="str">
        <f>"20190303154739999"</f>
        <v>20190303154739999</v>
      </c>
      <c r="B408" t="str">
        <f>"1551599259991531"</f>
        <v>1551599259991531</v>
      </c>
      <c r="C408" t="s">
        <v>40</v>
      </c>
      <c r="D408">
        <v>5.1016050000000002</v>
      </c>
      <c r="E408">
        <v>0.51595210000000002</v>
      </c>
      <c r="F408" t="s">
        <v>42</v>
      </c>
      <c r="G408">
        <v>-388.80220000000003</v>
      </c>
      <c r="H408">
        <v>0.94433929999999999</v>
      </c>
      <c r="I408">
        <v>367.50810000000001</v>
      </c>
      <c r="J408">
        <v>-389.4923</v>
      </c>
      <c r="K408">
        <v>1.120844</v>
      </c>
      <c r="L408">
        <v>367.57049999999998</v>
      </c>
      <c r="M408">
        <v>0.99970000000000003</v>
      </c>
      <c r="N408">
        <v>-1.3935370000000001E-2</v>
      </c>
      <c r="O408">
        <v>-2.014699E-2</v>
      </c>
      <c r="P408">
        <v>0.99681609999999998</v>
      </c>
      <c r="Q408">
        <v>-7.0904309999999998E-2</v>
      </c>
      <c r="R408">
        <v>-3.647363E-2</v>
      </c>
      <c r="S408">
        <v>2.957611</v>
      </c>
      <c r="T408">
        <v>-0.61442969999999997</v>
      </c>
      <c r="U408">
        <v>-0.2267151</v>
      </c>
      <c r="V408">
        <v>1.6417080000000001E-2</v>
      </c>
      <c r="W408">
        <v>-5.6988730000000001E-2</v>
      </c>
      <c r="X408">
        <v>0.99823980000000001</v>
      </c>
      <c r="Y408">
        <v>5.543961E-2</v>
      </c>
      <c r="Z408">
        <v>-2.2242719999999998E-3</v>
      </c>
      <c r="AA408">
        <v>0.9984596</v>
      </c>
      <c r="AB408">
        <v>28</v>
      </c>
      <c r="AC408">
        <v>0.69009999999997196</v>
      </c>
      <c r="AD408">
        <v>-0.17650469999999899</v>
      </c>
      <c r="AE408">
        <v>-6.2399999999968203E-2</v>
      </c>
      <c r="AF408">
        <v>4.5528383272129103E-2</v>
      </c>
      <c r="AG408">
        <v>-0.17650469999999899</v>
      </c>
      <c r="AH408">
        <v>0.64909961217179302</v>
      </c>
      <c r="AI408">
        <v>105.176623840571</v>
      </c>
      <c r="AJ408">
        <v>85.987797718738193</v>
      </c>
      <c r="AK408">
        <v>0.67420846132856804</v>
      </c>
      <c r="AL408">
        <v>93.266983818607997</v>
      </c>
      <c r="AM408">
        <v>89.057796929056096</v>
      </c>
      <c r="AN408">
        <v>0.99999996708338901</v>
      </c>
    </row>
    <row r="409" spans="1:40" x14ac:dyDescent="0.25">
      <c r="A409" t="str">
        <f>"20190303154740012"</f>
        <v>20190303154740012</v>
      </c>
      <c r="B409" t="str">
        <f>"1551599260001291"</f>
        <v>1551599260001291</v>
      </c>
      <c r="C409" t="s">
        <v>40</v>
      </c>
      <c r="D409">
        <v>5.0471120000000003</v>
      </c>
      <c r="E409">
        <v>0.51635900000000001</v>
      </c>
      <c r="F409" t="s">
        <v>42</v>
      </c>
      <c r="G409">
        <v>-388.78829999999999</v>
      </c>
      <c r="H409">
        <v>0.97222960000000003</v>
      </c>
      <c r="I409">
        <v>367.51499999999999</v>
      </c>
      <c r="J409">
        <v>-389.34399999999999</v>
      </c>
      <c r="K409">
        <v>1.1208739999999999</v>
      </c>
      <c r="L409">
        <v>367.5677</v>
      </c>
      <c r="M409">
        <v>0.99970270000000006</v>
      </c>
      <c r="N409">
        <v>-1.402492E-2</v>
      </c>
      <c r="O409">
        <v>-1.9954719999999999E-2</v>
      </c>
      <c r="P409">
        <v>0.99682300000000001</v>
      </c>
      <c r="Q409">
        <v>-7.0924180000000003E-2</v>
      </c>
      <c r="R409">
        <v>-3.624753E-2</v>
      </c>
      <c r="S409">
        <v>2.9566650000000001</v>
      </c>
      <c r="T409">
        <v>-0.62423030000000002</v>
      </c>
      <c r="U409">
        <v>-0.23193359999999999</v>
      </c>
      <c r="V409">
        <v>1.638274E-2</v>
      </c>
      <c r="W409">
        <v>-5.6919230000000001E-2</v>
      </c>
      <c r="X409">
        <v>0.99824429999999997</v>
      </c>
      <c r="Y409">
        <v>5.7332340000000002E-2</v>
      </c>
      <c r="Z409">
        <v>-2.501498E-3</v>
      </c>
      <c r="AA409">
        <v>0.99835200000000002</v>
      </c>
      <c r="AB409">
        <v>28</v>
      </c>
      <c r="AC409">
        <v>0.55570000000000097</v>
      </c>
      <c r="AD409">
        <v>-0.14864439999999901</v>
      </c>
      <c r="AE409">
        <v>-5.27000000000157E-2</v>
      </c>
      <c r="AF409">
        <v>3.88449532884532E-2</v>
      </c>
      <c r="AG409">
        <v>-0.14864439999999901</v>
      </c>
      <c r="AH409">
        <v>0.51978160588571498</v>
      </c>
      <c r="AI409">
        <v>105.917061290178</v>
      </c>
      <c r="AJ409">
        <v>85.7260468218998</v>
      </c>
      <c r="AK409">
        <v>0.54201199789716403</v>
      </c>
      <c r="AL409">
        <v>93.262995383622695</v>
      </c>
      <c r="AM409">
        <v>89.059771641373601</v>
      </c>
      <c r="AN409">
        <v>0.99999993769809303</v>
      </c>
    </row>
    <row r="410" spans="1:40" x14ac:dyDescent="0.25">
      <c r="A410" t="str">
        <f>"20190303154740030"</f>
        <v>20190303154740030</v>
      </c>
      <c r="B410" t="str">
        <f>"1551599260020811"</f>
        <v>1551599260020811</v>
      </c>
      <c r="C410" t="s">
        <v>40</v>
      </c>
      <c r="D410">
        <v>5.0330159999999999</v>
      </c>
      <c r="E410">
        <v>0.51699949999999995</v>
      </c>
      <c r="F410" t="s">
        <v>42</v>
      </c>
      <c r="G410">
        <v>-388.54969999999997</v>
      </c>
      <c r="H410">
        <v>0.95194540000000005</v>
      </c>
      <c r="I410">
        <v>367.50450000000001</v>
      </c>
      <c r="J410">
        <v>-389.1071</v>
      </c>
      <c r="K410">
        <v>1.1209229999999999</v>
      </c>
      <c r="L410">
        <v>367.5634</v>
      </c>
      <c r="M410">
        <v>0.99970689999999995</v>
      </c>
      <c r="N410">
        <v>-1.415718E-2</v>
      </c>
      <c r="O410">
        <v>-1.9647109999999999E-2</v>
      </c>
      <c r="P410">
        <v>0.99680959999999996</v>
      </c>
      <c r="Q410">
        <v>-7.1398219999999998E-2</v>
      </c>
      <c r="R410">
        <v>-3.5682169999999999E-2</v>
      </c>
      <c r="S410">
        <v>2.9563290000000002</v>
      </c>
      <c r="T410">
        <v>-0.62890800000000002</v>
      </c>
      <c r="U410">
        <v>-0.234375</v>
      </c>
      <c r="V410">
        <v>1.612452E-2</v>
      </c>
      <c r="W410">
        <v>-5.7261800000000002E-2</v>
      </c>
      <c r="X410">
        <v>0.99822900000000003</v>
      </c>
      <c r="Y410">
        <v>5.8421099999999997E-2</v>
      </c>
      <c r="Z410">
        <v>-2.7038969999999998E-3</v>
      </c>
      <c r="AA410">
        <v>0.99828839999999996</v>
      </c>
      <c r="AB410">
        <v>28</v>
      </c>
      <c r="AC410">
        <v>0.55740000000002898</v>
      </c>
      <c r="AD410">
        <v>-0.16897759999999901</v>
      </c>
      <c r="AE410">
        <v>-5.8899999999994103E-2</v>
      </c>
      <c r="AF410">
        <v>4.3942436276611201E-2</v>
      </c>
      <c r="AG410">
        <v>-0.16897759999999901</v>
      </c>
      <c r="AH410">
        <v>0.51192259511842797</v>
      </c>
      <c r="AI410">
        <v>108.204737575046</v>
      </c>
      <c r="AJ410">
        <v>85.093868283051904</v>
      </c>
      <c r="AK410">
        <v>0.54087809199529402</v>
      </c>
      <c r="AL410">
        <v>93.282654977843407</v>
      </c>
      <c r="AM410">
        <v>89.074574469004006</v>
      </c>
      <c r="AN410">
        <v>1.0000000251627299</v>
      </c>
    </row>
    <row r="411" spans="1:40" x14ac:dyDescent="0.25">
      <c r="A411" t="str">
        <f>"20190303154740044"</f>
        <v>20190303154740044</v>
      </c>
      <c r="B411" t="str">
        <f>"1551599260041307"</f>
        <v>1551599260041307</v>
      </c>
      <c r="C411" t="s">
        <v>40</v>
      </c>
      <c r="D411">
        <v>5.1446059999999996</v>
      </c>
      <c r="E411">
        <v>0.51805100000000004</v>
      </c>
      <c r="F411" t="s">
        <v>42</v>
      </c>
      <c r="G411">
        <v>-388.30349999999999</v>
      </c>
      <c r="H411">
        <v>0.94779500000000005</v>
      </c>
      <c r="I411">
        <v>367.49810000000002</v>
      </c>
      <c r="J411">
        <v>-388.93599999999998</v>
      </c>
      <c r="K411">
        <v>1.120949</v>
      </c>
      <c r="L411">
        <v>367.56020000000001</v>
      </c>
      <c r="M411">
        <v>0.99970999999999999</v>
      </c>
      <c r="N411">
        <v>-1.42437E-2</v>
      </c>
      <c r="O411">
        <v>-1.9424779999999999E-2</v>
      </c>
      <c r="P411">
        <v>0.99679720000000005</v>
      </c>
      <c r="Q411">
        <v>-7.1606119999999995E-2</v>
      </c>
      <c r="R411">
        <v>-3.5614939999999998E-2</v>
      </c>
      <c r="S411">
        <v>2.955444</v>
      </c>
      <c r="T411">
        <v>-0.6368374</v>
      </c>
      <c r="U411">
        <v>-0.23825070000000001</v>
      </c>
      <c r="V411">
        <v>1.62793E-2</v>
      </c>
      <c r="W411">
        <v>-5.7383480000000001E-2</v>
      </c>
      <c r="X411">
        <v>0.99821950000000004</v>
      </c>
      <c r="Y411">
        <v>5.9902080000000003E-2</v>
      </c>
      <c r="Z411">
        <v>-2.9458050000000001E-3</v>
      </c>
      <c r="AA411">
        <v>0.99819990000000003</v>
      </c>
      <c r="AB411">
        <v>28</v>
      </c>
      <c r="AC411">
        <v>0.63249999999999296</v>
      </c>
      <c r="AD411">
        <v>-0.173153999999999</v>
      </c>
      <c r="AE411">
        <v>-6.2099999999986701E-2</v>
      </c>
      <c r="AF411">
        <v>4.6359603985471898E-2</v>
      </c>
      <c r="AG411">
        <v>-0.173153999999999</v>
      </c>
      <c r="AH411">
        <v>0.58980593161689199</v>
      </c>
      <c r="AI411">
        <v>106.31344533697001</v>
      </c>
      <c r="AJ411">
        <v>85.505708731377396</v>
      </c>
      <c r="AK411">
        <v>0.61644347475511396</v>
      </c>
      <c r="AL411">
        <v>93.2896382118644</v>
      </c>
      <c r="AM411">
        <v>89.065683944302506</v>
      </c>
      <c r="AN411">
        <v>1.00000002478282</v>
      </c>
    </row>
    <row r="412" spans="1:40" x14ac:dyDescent="0.25">
      <c r="A412" t="str">
        <f>"20190303154740056"</f>
        <v>20190303154740056</v>
      </c>
      <c r="B412" t="str">
        <f>"1551599260051067"</f>
        <v>1551599260051067</v>
      </c>
      <c r="C412" t="s">
        <v>40</v>
      </c>
      <c r="D412">
        <v>6.0256720000000001</v>
      </c>
      <c r="E412">
        <v>0.51834820000000004</v>
      </c>
      <c r="F412" t="s">
        <v>42</v>
      </c>
      <c r="G412">
        <v>-388.06450000000001</v>
      </c>
      <c r="H412">
        <v>0.93015460000000005</v>
      </c>
      <c r="I412">
        <v>367.48750000000001</v>
      </c>
      <c r="J412">
        <v>-388.77440000000001</v>
      </c>
      <c r="K412">
        <v>1.120973</v>
      </c>
      <c r="L412">
        <v>367.5573</v>
      </c>
      <c r="M412">
        <v>0.99971290000000002</v>
      </c>
      <c r="N412">
        <v>-1.4317730000000001E-2</v>
      </c>
      <c r="O412">
        <v>-1.9214539999999999E-2</v>
      </c>
      <c r="P412">
        <v>0.99677369999999998</v>
      </c>
      <c r="Q412">
        <v>-7.2051470000000006E-2</v>
      </c>
      <c r="R412">
        <v>-3.537419E-2</v>
      </c>
      <c r="S412">
        <v>2.9544069999999998</v>
      </c>
      <c r="T412">
        <v>-0.64681949999999999</v>
      </c>
      <c r="U412">
        <v>-0.2467346</v>
      </c>
      <c r="V412">
        <v>1.624871E-2</v>
      </c>
      <c r="W412">
        <v>-5.7755359999999999E-2</v>
      </c>
      <c r="X412">
        <v>0.99819849999999999</v>
      </c>
      <c r="Y412">
        <v>6.2875680000000003E-2</v>
      </c>
      <c r="Z412">
        <v>-3.3695819999999999E-3</v>
      </c>
      <c r="AA412">
        <v>0.99801569999999995</v>
      </c>
      <c r="AB412">
        <v>28</v>
      </c>
      <c r="AC412">
        <v>0.70990000000000397</v>
      </c>
      <c r="AD412">
        <v>-0.190818399999999</v>
      </c>
      <c r="AE412">
        <v>-6.9799999999986498E-2</v>
      </c>
      <c r="AF412">
        <v>5.2395884219210903E-2</v>
      </c>
      <c r="AG412">
        <v>-0.190818399999999</v>
      </c>
      <c r="AH412">
        <v>0.66362173731186203</v>
      </c>
      <c r="AI412">
        <v>105.994888710178</v>
      </c>
      <c r="AJ412">
        <v>85.485608744868898</v>
      </c>
      <c r="AK412">
        <v>0.69249606547220699</v>
      </c>
      <c r="AL412">
        <v>93.310980931455902</v>
      </c>
      <c r="AM412">
        <v>89.067419666776701</v>
      </c>
      <c r="AN412">
        <v>0.999999973793821</v>
      </c>
    </row>
    <row r="413" spans="1:40" x14ac:dyDescent="0.25">
      <c r="A413" t="str">
        <f>"20190303154740076"</f>
        <v>20190303154740076</v>
      </c>
      <c r="B413" t="str">
        <f>"1551599260071563"</f>
        <v>1551599260071563</v>
      </c>
      <c r="C413" t="s">
        <v>40</v>
      </c>
      <c r="D413">
        <v>5.0021329999999997</v>
      </c>
      <c r="E413">
        <v>0.5184202</v>
      </c>
      <c r="F413" t="s">
        <v>42</v>
      </c>
      <c r="G413">
        <v>-388.04860000000002</v>
      </c>
      <c r="H413">
        <v>0.96183980000000002</v>
      </c>
      <c r="I413">
        <v>367.49639999999999</v>
      </c>
      <c r="J413">
        <v>-388.54520000000002</v>
      </c>
      <c r="K413">
        <v>1.121005</v>
      </c>
      <c r="L413">
        <v>367.55329999999998</v>
      </c>
      <c r="M413">
        <v>0.99971719999999997</v>
      </c>
      <c r="N413">
        <v>-1.441191E-2</v>
      </c>
      <c r="O413">
        <v>-1.891777E-2</v>
      </c>
      <c r="P413">
        <v>0.99671829999999995</v>
      </c>
      <c r="Q413">
        <v>-7.2741609999999998E-2</v>
      </c>
      <c r="R413">
        <v>-3.5516810000000003E-2</v>
      </c>
      <c r="S413">
        <v>2.954132</v>
      </c>
      <c r="T413">
        <v>-0.64768990000000004</v>
      </c>
      <c r="U413">
        <v>-0.24838260000000001</v>
      </c>
      <c r="V413">
        <v>1.668886E-2</v>
      </c>
      <c r="W413">
        <v>-5.8352019999999998E-2</v>
      </c>
      <c r="X413">
        <v>0.9981565</v>
      </c>
      <c r="Y413">
        <v>6.3701419999999995E-2</v>
      </c>
      <c r="Z413">
        <v>-3.53332E-3</v>
      </c>
      <c r="AA413">
        <v>0.99796280000000004</v>
      </c>
      <c r="AB413">
        <v>28</v>
      </c>
      <c r="AC413">
        <v>0.49659999999999999</v>
      </c>
      <c r="AD413">
        <v>-0.15916519999999901</v>
      </c>
      <c r="AE413">
        <v>-5.6899999999984602E-2</v>
      </c>
      <c r="AF413">
        <v>4.3121910995643199E-2</v>
      </c>
      <c r="AG413">
        <v>-0.15916519999999901</v>
      </c>
      <c r="AH413">
        <v>0.45177929423414898</v>
      </c>
      <c r="AI413">
        <v>109.32645505592301</v>
      </c>
      <c r="AJ413">
        <v>84.547689212325096</v>
      </c>
      <c r="AK413">
        <v>0.48093408155137202</v>
      </c>
      <c r="AL413">
        <v>93.345224908144203</v>
      </c>
      <c r="AM413">
        <v>89.042121995386907</v>
      </c>
      <c r="AN413">
        <v>0.999999937389213</v>
      </c>
    </row>
    <row r="414" spans="1:40" x14ac:dyDescent="0.25">
      <c r="A414" t="str">
        <f>"20190303154740097"</f>
        <v>20190303154740097</v>
      </c>
      <c r="B414" t="str">
        <f>"1551599260091111"</f>
        <v>1551599260091111</v>
      </c>
      <c r="C414" t="s">
        <v>40</v>
      </c>
      <c r="D414">
        <v>5.0374040000000004</v>
      </c>
      <c r="E414">
        <v>0.51833390000000001</v>
      </c>
      <c r="F414" t="s">
        <v>42</v>
      </c>
      <c r="G414">
        <v>-387.80369999999999</v>
      </c>
      <c r="H414">
        <v>0.95692999999999995</v>
      </c>
      <c r="I414">
        <v>367.49040000000002</v>
      </c>
      <c r="J414">
        <v>-388.27820000000003</v>
      </c>
      <c r="K414">
        <v>1.1210340000000001</v>
      </c>
      <c r="L414">
        <v>367.54860000000002</v>
      </c>
      <c r="M414">
        <v>0.99972220000000001</v>
      </c>
      <c r="N414">
        <v>-1.450852E-2</v>
      </c>
      <c r="O414">
        <v>-1.8573840000000001E-2</v>
      </c>
      <c r="P414">
        <v>0.99666299999999997</v>
      </c>
      <c r="Q414">
        <v>-7.3416889999999999E-2</v>
      </c>
      <c r="R414">
        <v>-3.568226E-2</v>
      </c>
      <c r="S414">
        <v>2.9532470000000002</v>
      </c>
      <c r="T414">
        <v>-0.65361630000000004</v>
      </c>
      <c r="U414">
        <v>-0.24932860000000001</v>
      </c>
      <c r="V414">
        <v>1.7198350000000001E-2</v>
      </c>
      <c r="W414">
        <v>-5.893139E-2</v>
      </c>
      <c r="X414">
        <v>0.9981139</v>
      </c>
      <c r="Y414">
        <v>6.4341090000000004E-2</v>
      </c>
      <c r="Z414">
        <v>-3.7087370000000001E-3</v>
      </c>
      <c r="AA414">
        <v>0.99792099999999995</v>
      </c>
      <c r="AB414">
        <v>28</v>
      </c>
      <c r="AC414">
        <v>0.47450000000003401</v>
      </c>
      <c r="AD414">
        <v>-0.164104</v>
      </c>
      <c r="AE414">
        <v>-5.8199999999999301E-2</v>
      </c>
      <c r="AF414">
        <v>4.4170798111351897E-2</v>
      </c>
      <c r="AG414">
        <v>-0.164104</v>
      </c>
      <c r="AH414">
        <v>0.42537447825042102</v>
      </c>
      <c r="AI414">
        <v>110.99300112163201</v>
      </c>
      <c r="AJ414">
        <v>84.071664969737</v>
      </c>
      <c r="AK414">
        <v>0.45806618404834398</v>
      </c>
      <c r="AL414">
        <v>93.378477295979494</v>
      </c>
      <c r="AM414">
        <v>89.012842757524595</v>
      </c>
      <c r="AN414">
        <v>1.0000000246716301</v>
      </c>
    </row>
    <row r="415" spans="1:40" x14ac:dyDescent="0.25">
      <c r="A415" t="str">
        <f>"20190303154740110"</f>
        <v>20190303154740110</v>
      </c>
      <c r="B415" t="str">
        <f>"1551599260100871"</f>
        <v>1551599260100871</v>
      </c>
      <c r="C415" t="s">
        <v>40</v>
      </c>
      <c r="D415">
        <v>5.165616</v>
      </c>
      <c r="E415">
        <v>0.51881179999999905</v>
      </c>
      <c r="F415" t="s">
        <v>42</v>
      </c>
      <c r="G415">
        <v>-387.55549999999999</v>
      </c>
      <c r="H415">
        <v>0.95932050000000002</v>
      </c>
      <c r="I415">
        <v>367.48759999999999</v>
      </c>
      <c r="J415">
        <v>-388.11689999999999</v>
      </c>
      <c r="K415">
        <v>1.121051</v>
      </c>
      <c r="L415">
        <v>367.54579999999999</v>
      </c>
      <c r="M415">
        <v>0.99972530000000004</v>
      </c>
      <c r="N415">
        <v>-1.45594E-2</v>
      </c>
      <c r="O415">
        <v>-1.8368720000000002E-2</v>
      </c>
      <c r="P415">
        <v>0.99664260000000005</v>
      </c>
      <c r="Q415">
        <v>-7.3630959999999995E-2</v>
      </c>
      <c r="R415">
        <v>-3.5808489999999998E-2</v>
      </c>
      <c r="S415">
        <v>2.9524539999999999</v>
      </c>
      <c r="T415">
        <v>-0.66073870000000001</v>
      </c>
      <c r="U415">
        <v>-0.2487183</v>
      </c>
      <c r="V415">
        <v>1.7529349999999999E-2</v>
      </c>
      <c r="W415">
        <v>-5.9094840000000003E-2</v>
      </c>
      <c r="X415">
        <v>0.99809840000000005</v>
      </c>
      <c r="Y415">
        <v>6.4332459999999994E-2</v>
      </c>
      <c r="Z415">
        <v>-3.7850570000000001E-3</v>
      </c>
      <c r="AA415">
        <v>0.99792130000000001</v>
      </c>
      <c r="AB415">
        <v>28</v>
      </c>
      <c r="AC415">
        <v>0.56139999999999102</v>
      </c>
      <c r="AD415">
        <v>-0.1617305</v>
      </c>
      <c r="AE415">
        <v>-5.8199999999999301E-2</v>
      </c>
      <c r="AF415">
        <v>4.4244007579713203E-2</v>
      </c>
      <c r="AG415">
        <v>-0.1617305</v>
      </c>
      <c r="AH415">
        <v>0.519701690543664</v>
      </c>
      <c r="AI415">
        <v>107.22746489502499</v>
      </c>
      <c r="AJ415">
        <v>85.133944830757798</v>
      </c>
      <c r="AK415">
        <v>0.54608070281864496</v>
      </c>
      <c r="AL415">
        <v>93.387858903581403</v>
      </c>
      <c r="AM415">
        <v>88.9938321442404</v>
      </c>
      <c r="AN415">
        <v>0.99999994715430196</v>
      </c>
    </row>
    <row r="416" spans="1:40" x14ac:dyDescent="0.25">
      <c r="A416" t="str">
        <f>"20190303154740124"</f>
        <v>20190303154740124</v>
      </c>
      <c r="B416" t="str">
        <f>"1551599260121367"</f>
        <v>1551599260121367</v>
      </c>
      <c r="C416" t="s">
        <v>40</v>
      </c>
      <c r="D416">
        <v>5.043787</v>
      </c>
      <c r="E416">
        <v>0.51896769999999903</v>
      </c>
      <c r="F416" t="s">
        <v>42</v>
      </c>
      <c r="G416">
        <v>-387.3184</v>
      </c>
      <c r="H416">
        <v>0.9407489</v>
      </c>
      <c r="I416">
        <v>367.47699999999998</v>
      </c>
      <c r="J416">
        <v>-387.9538</v>
      </c>
      <c r="K416">
        <v>1.1210659999999999</v>
      </c>
      <c r="L416">
        <v>367.54300000000001</v>
      </c>
      <c r="M416">
        <v>0.99972839999999996</v>
      </c>
      <c r="N416">
        <v>-1.4607530000000001E-2</v>
      </c>
      <c r="O416">
        <v>-1.8163479999999999E-2</v>
      </c>
      <c r="P416">
        <v>0.99664969999999997</v>
      </c>
      <c r="Q416">
        <v>-7.3610930000000005E-2</v>
      </c>
      <c r="R416">
        <v>-3.5659339999999998E-2</v>
      </c>
      <c r="S416">
        <v>2.951813</v>
      </c>
      <c r="T416">
        <v>-0.6666917</v>
      </c>
      <c r="U416">
        <v>-0.25274659999999999</v>
      </c>
      <c r="V416">
        <v>1.7584209999999999E-2</v>
      </c>
      <c r="W416">
        <v>-5.902686E-2</v>
      </c>
      <c r="X416">
        <v>0.99810149999999997</v>
      </c>
      <c r="Y416">
        <v>6.5840190000000007E-2</v>
      </c>
      <c r="Z416">
        <v>-4.0365760000000001E-3</v>
      </c>
      <c r="AA416">
        <v>0.99782199999999999</v>
      </c>
      <c r="AB416">
        <v>28</v>
      </c>
      <c r="AC416">
        <v>0.63540000000000396</v>
      </c>
      <c r="AD416">
        <v>-0.18031709999999901</v>
      </c>
      <c r="AE416">
        <v>-6.6000000000030895E-2</v>
      </c>
      <c r="AF416">
        <v>5.0428911005739097E-2</v>
      </c>
      <c r="AG416">
        <v>-0.18031709999999901</v>
      </c>
      <c r="AH416">
        <v>0.58952409814031104</v>
      </c>
      <c r="AI416">
        <v>106.94891178289799</v>
      </c>
      <c r="AJ416">
        <v>85.110722318859402</v>
      </c>
      <c r="AK416">
        <v>0.61854344544727102</v>
      </c>
      <c r="AL416">
        <v>93.383956981908</v>
      </c>
      <c r="AM416">
        <v>88.990687017497507</v>
      </c>
      <c r="AN416">
        <v>0.999999989472516</v>
      </c>
    </row>
    <row r="417" spans="1:40" x14ac:dyDescent="0.25">
      <c r="A417" t="str">
        <f>"20190303154740280"</f>
        <v>20190303154740280</v>
      </c>
      <c r="B417" t="str">
        <f>"1551599260270928"</f>
        <v>1551599260270928</v>
      </c>
      <c r="C417" t="s">
        <v>40</v>
      </c>
      <c r="D417">
        <v>4.9822649999999999</v>
      </c>
      <c r="E417">
        <v>0.51957640000000005</v>
      </c>
      <c r="F417" t="s">
        <v>42</v>
      </c>
      <c r="G417">
        <v>-385.85059999999999</v>
      </c>
      <c r="H417">
        <v>0.93769669999999905</v>
      </c>
      <c r="I417">
        <v>367.45429999999999</v>
      </c>
      <c r="J417">
        <v>-386.03989999999999</v>
      </c>
      <c r="K417">
        <v>1.1211040000000001</v>
      </c>
      <c r="L417">
        <v>367.51249999999999</v>
      </c>
      <c r="M417">
        <v>0.99975840000000005</v>
      </c>
      <c r="N417">
        <v>-1.492777E-2</v>
      </c>
      <c r="O417">
        <v>-1.6144820000000001E-2</v>
      </c>
      <c r="P417">
        <v>0.99669640000000004</v>
      </c>
      <c r="Q417">
        <v>-7.4558879999999994E-2</v>
      </c>
      <c r="R417">
        <v>-3.2212850000000001E-2</v>
      </c>
      <c r="S417">
        <v>2.950043</v>
      </c>
      <c r="T417">
        <v>-0.68660759999999998</v>
      </c>
      <c r="U417">
        <v>-0.25125120000000001</v>
      </c>
      <c r="V417">
        <v>1.6137740000000001E-2</v>
      </c>
      <c r="W417">
        <v>-5.9660240000000003E-2</v>
      </c>
      <c r="X417">
        <v>0.99808830000000004</v>
      </c>
      <c r="Y417">
        <v>6.7235180000000005E-2</v>
      </c>
      <c r="Z417">
        <v>-4.7543070000000002E-3</v>
      </c>
      <c r="AA417">
        <v>0.9977258</v>
      </c>
      <c r="AB417">
        <v>27</v>
      </c>
      <c r="AC417">
        <v>0.18930000000000199</v>
      </c>
      <c r="AD417">
        <v>-0.1834073</v>
      </c>
      <c r="AE417">
        <v>-5.8199999999999301E-2</v>
      </c>
      <c r="AF417">
        <v>2.96805477058994E-2</v>
      </c>
      <c r="AG417">
        <v>-0.1834073</v>
      </c>
      <c r="AH417">
        <v>0.102395921430405</v>
      </c>
      <c r="AI417">
        <v>149.83146854588</v>
      </c>
      <c r="AJ417">
        <v>73.835206375855094</v>
      </c>
      <c r="AK417">
        <v>0.212141691637909</v>
      </c>
      <c r="AL417">
        <v>93.4203109737891</v>
      </c>
      <c r="AM417">
        <v>89.073685332115502</v>
      </c>
      <c r="AN417">
        <v>1.00000001274302</v>
      </c>
    </row>
    <row r="418" spans="1:40" x14ac:dyDescent="0.25">
      <c r="A418" t="str">
        <f>"20190303154740299"</f>
        <v>20190303154740299</v>
      </c>
      <c r="B418" t="str">
        <f>"1551599260290957"</f>
        <v>1551599260290957</v>
      </c>
      <c r="C418" t="s">
        <v>40</v>
      </c>
      <c r="D418">
        <v>5.0132139999999996</v>
      </c>
      <c r="E418">
        <v>0.51979620000000004</v>
      </c>
      <c r="F418" t="s">
        <v>42</v>
      </c>
      <c r="G418">
        <v>-385.13589999999999</v>
      </c>
      <c r="H418">
        <v>0.90933629999999999</v>
      </c>
      <c r="I418">
        <v>367.4359</v>
      </c>
      <c r="J418">
        <v>-385.80880000000002</v>
      </c>
      <c r="K418">
        <v>1.1210979999999999</v>
      </c>
      <c r="L418">
        <v>367.50889999999998</v>
      </c>
      <c r="M418">
        <v>0.99976089999999995</v>
      </c>
      <c r="N418">
        <v>-1.49388E-2</v>
      </c>
      <c r="O418">
        <v>-1.5971869999999999E-2</v>
      </c>
      <c r="P418">
        <v>0.99672950000000005</v>
      </c>
      <c r="Q418">
        <v>-7.4216309999999994E-2</v>
      </c>
      <c r="R418">
        <v>-3.197974E-2</v>
      </c>
      <c r="S418">
        <v>2.9501650000000001</v>
      </c>
      <c r="T418">
        <v>-0.69109750000000003</v>
      </c>
      <c r="U418">
        <v>-0.24917600000000001</v>
      </c>
      <c r="V418">
        <v>1.6074020000000001E-2</v>
      </c>
      <c r="W418">
        <v>-5.9306940000000002E-2</v>
      </c>
      <c r="X418">
        <v>0.99811039999999995</v>
      </c>
      <c r="Y418">
        <v>6.6699910000000001E-2</v>
      </c>
      <c r="Z418">
        <v>-4.7518889999999996E-3</v>
      </c>
      <c r="AA418">
        <v>0.99776180000000003</v>
      </c>
      <c r="AB418">
        <v>27</v>
      </c>
      <c r="AC418">
        <v>0.67290000000002603</v>
      </c>
      <c r="AD418">
        <v>-0.211761699999999</v>
      </c>
      <c r="AE418">
        <v>-7.2999999999978998E-2</v>
      </c>
      <c r="AF418">
        <v>5.6692699710556002E-2</v>
      </c>
      <c r="AG418">
        <v>-0.211761699999999</v>
      </c>
      <c r="AH418">
        <v>0.61389011522047199</v>
      </c>
      <c r="AI418">
        <v>108.957026830014</v>
      </c>
      <c r="AJ418">
        <v>84.723705331924705</v>
      </c>
      <c r="AK418">
        <v>0.651857463984855</v>
      </c>
      <c r="AL418">
        <v>93.400032412488898</v>
      </c>
      <c r="AM418">
        <v>89.077362685519503</v>
      </c>
      <c r="AN418">
        <v>1.00000002891964</v>
      </c>
    </row>
    <row r="419" spans="1:40" x14ac:dyDescent="0.25">
      <c r="A419" t="str">
        <f>"20190303154740346"</f>
        <v>20190303154740346</v>
      </c>
      <c r="B419" t="str">
        <f>"1551599260340734"</f>
        <v>1551599260340734</v>
      </c>
      <c r="C419" t="s">
        <v>40</v>
      </c>
      <c r="D419">
        <v>4.9832479999999997</v>
      </c>
      <c r="E419">
        <v>0.52010310000000004</v>
      </c>
      <c r="F419" t="s">
        <v>42</v>
      </c>
      <c r="G419">
        <v>-385.11239999999998</v>
      </c>
      <c r="H419">
        <v>0.95686819999999895</v>
      </c>
      <c r="I419">
        <v>367.44940000000003</v>
      </c>
      <c r="J419">
        <v>-385.24079999999998</v>
      </c>
      <c r="K419">
        <v>1.1210340000000001</v>
      </c>
      <c r="L419">
        <v>367.50029999999998</v>
      </c>
      <c r="M419">
        <v>0.99976969999999998</v>
      </c>
      <c r="N419">
        <v>-1.473552E-2</v>
      </c>
      <c r="O419">
        <v>-1.5605290000000001E-2</v>
      </c>
      <c r="P419">
        <v>0.9967973</v>
      </c>
      <c r="Q419">
        <v>-7.3581839999999996E-2</v>
      </c>
      <c r="R419">
        <v>-3.1326130000000001E-2</v>
      </c>
      <c r="S419">
        <v>2.949951</v>
      </c>
      <c r="T419">
        <v>-0.69573989999999997</v>
      </c>
      <c r="U419">
        <v>-0.2507935</v>
      </c>
      <c r="V419">
        <v>1.5781130000000001E-2</v>
      </c>
      <c r="W419">
        <v>-5.8875810000000001E-2</v>
      </c>
      <c r="X419">
        <v>0.99814060000000004</v>
      </c>
      <c r="Y419">
        <v>6.7563999999999999E-2</v>
      </c>
      <c r="Z419">
        <v>-4.9548600000000002E-3</v>
      </c>
      <c r="AA419">
        <v>0.99770270000000005</v>
      </c>
      <c r="AB419">
        <v>27</v>
      </c>
      <c r="AC419">
        <v>0.12839999999999899</v>
      </c>
      <c r="AD419">
        <v>-0.1641658</v>
      </c>
      <c r="AE419">
        <v>-5.0899999999955897E-2</v>
      </c>
      <c r="AF419">
        <v>2.02636326252849E-2</v>
      </c>
      <c r="AG419">
        <v>-0.1641658</v>
      </c>
      <c r="AH419">
        <v>5.3541381872398597E-2</v>
      </c>
      <c r="AI419">
        <v>160.77538941283899</v>
      </c>
      <c r="AJ419">
        <v>69.270012223505503</v>
      </c>
      <c r="AK419">
        <v>0.173861163776211</v>
      </c>
      <c r="AL419">
        <v>93.375287235570298</v>
      </c>
      <c r="AM419">
        <v>89.0941989384078</v>
      </c>
      <c r="AN419">
        <v>1.0000000312177899</v>
      </c>
    </row>
    <row r="420" spans="1:40" x14ac:dyDescent="0.25">
      <c r="A420" t="str">
        <f>"20190303154740370"</f>
        <v>20190303154740370</v>
      </c>
      <c r="B420" t="str">
        <f>"1551599260361231"</f>
        <v>1551599260361231</v>
      </c>
      <c r="C420" t="s">
        <v>40</v>
      </c>
      <c r="D420">
        <v>4.9299569999999999</v>
      </c>
      <c r="E420">
        <v>0.5198121</v>
      </c>
      <c r="F420" t="s">
        <v>42</v>
      </c>
      <c r="G420">
        <v>-384.40390000000002</v>
      </c>
      <c r="H420">
        <v>0.92109249999999998</v>
      </c>
      <c r="I420">
        <v>367.4289</v>
      </c>
      <c r="J420">
        <v>-384.97719999999998</v>
      </c>
      <c r="K420">
        <v>1.120984</v>
      </c>
      <c r="L420">
        <v>367.49639999999999</v>
      </c>
      <c r="M420">
        <v>0.99977550000000004</v>
      </c>
      <c r="N420">
        <v>-1.4501979999999999E-2</v>
      </c>
      <c r="O420">
        <v>-1.545995E-2</v>
      </c>
      <c r="P420">
        <v>0.99676819999999999</v>
      </c>
      <c r="Q420">
        <v>-7.3938610000000002E-2</v>
      </c>
      <c r="R420">
        <v>-3.1406999999999997E-2</v>
      </c>
      <c r="S420">
        <v>2.949738</v>
      </c>
      <c r="T420">
        <v>-0.70491619999999899</v>
      </c>
      <c r="U420">
        <v>-0.25039670000000003</v>
      </c>
      <c r="V420">
        <v>1.6007270000000001E-2</v>
      </c>
      <c r="W420">
        <v>-5.946622E-2</v>
      </c>
      <c r="X420">
        <v>0.99810189999999999</v>
      </c>
      <c r="Y420">
        <v>6.7542140000000001E-2</v>
      </c>
      <c r="Z420">
        <v>-5.027208E-3</v>
      </c>
      <c r="AA420">
        <v>0.99770369999999997</v>
      </c>
      <c r="AB420">
        <v>27</v>
      </c>
      <c r="AC420">
        <v>0.57329999999995995</v>
      </c>
      <c r="AD420">
        <v>-0.1998915</v>
      </c>
      <c r="AE420">
        <v>-6.7499999999995397E-2</v>
      </c>
      <c r="AF420">
        <v>5.2350592367166597E-2</v>
      </c>
      <c r="AG420">
        <v>-0.1998915</v>
      </c>
      <c r="AH420">
        <v>0.51278808281001698</v>
      </c>
      <c r="AI420">
        <v>111.196164504276</v>
      </c>
      <c r="AJ420">
        <v>84.170862704762996</v>
      </c>
      <c r="AK420">
        <v>0.55285514754356402</v>
      </c>
      <c r="AL420">
        <v>93.409174945477702</v>
      </c>
      <c r="AM420">
        <v>89.081185606483203</v>
      </c>
      <c r="AN420">
        <v>0.99999993339877302</v>
      </c>
    </row>
    <row r="421" spans="1:40" x14ac:dyDescent="0.25">
      <c r="A421" t="str">
        <f>"20190303154740388"</f>
        <v>20190303154740388</v>
      </c>
      <c r="B421" t="str">
        <f>"1551599260380750"</f>
        <v>1551599260380750</v>
      </c>
      <c r="C421" t="s">
        <v>40</v>
      </c>
      <c r="D421">
        <v>4.9742160000000002</v>
      </c>
      <c r="E421">
        <v>0.50449319999999997</v>
      </c>
      <c r="F421" t="s">
        <v>42</v>
      </c>
      <c r="G421">
        <v>-384.15960000000001</v>
      </c>
      <c r="H421">
        <v>0.92525420000000003</v>
      </c>
      <c r="I421">
        <v>367.42759999999998</v>
      </c>
      <c r="J421">
        <v>-384.73590000000002</v>
      </c>
      <c r="K421">
        <v>1.120924</v>
      </c>
      <c r="L421">
        <v>367.49279999999999</v>
      </c>
      <c r="M421">
        <v>0.99978109999999998</v>
      </c>
      <c r="N421">
        <v>-1.424016E-2</v>
      </c>
      <c r="O421">
        <v>-1.53271E-2</v>
      </c>
      <c r="P421">
        <v>0.99672210000000006</v>
      </c>
      <c r="Q421">
        <v>-7.4408630000000003E-2</v>
      </c>
      <c r="R421">
        <v>-3.1753580000000003E-2</v>
      </c>
      <c r="S421">
        <v>2.9494929999999999</v>
      </c>
      <c r="T421">
        <v>-0.70603559999999999</v>
      </c>
      <c r="U421">
        <v>-0.24853520000000001</v>
      </c>
      <c r="V421">
        <v>1.6486500000000001E-2</v>
      </c>
      <c r="W421">
        <v>-6.019824E-2</v>
      </c>
      <c r="X421">
        <v>0.99805029999999995</v>
      </c>
      <c r="Y421">
        <v>6.7065219999999995E-2</v>
      </c>
      <c r="Z421">
        <v>-4.9911169999999998E-3</v>
      </c>
      <c r="AA421">
        <v>0.99773610000000001</v>
      </c>
      <c r="AB421">
        <v>27</v>
      </c>
      <c r="AC421">
        <v>0.57630000000000303</v>
      </c>
      <c r="AD421">
        <v>-0.1956698</v>
      </c>
      <c r="AE421">
        <v>-6.5200000000004296E-2</v>
      </c>
      <c r="AF421">
        <v>5.0599133293205902E-2</v>
      </c>
      <c r="AG421">
        <v>-0.1956698</v>
      </c>
      <c r="AH421">
        <v>0.51824406013903801</v>
      </c>
      <c r="AI421">
        <v>110.595025055159</v>
      </c>
      <c r="AJ421">
        <v>84.423559918694394</v>
      </c>
      <c r="AK421">
        <v>0.55625879659692401</v>
      </c>
      <c r="AL421">
        <v>93.451191592239297</v>
      </c>
      <c r="AM421">
        <v>89.053633904574497</v>
      </c>
      <c r="AN421">
        <v>1.00000001705571</v>
      </c>
    </row>
    <row r="422" spans="1:40" x14ac:dyDescent="0.25">
      <c r="A422" t="str">
        <f>"20190303154740411"</f>
        <v>20190303154740411</v>
      </c>
      <c r="B422" t="str">
        <f>"1551599260401250"</f>
        <v>1551599260401250</v>
      </c>
      <c r="C422" t="s">
        <v>40</v>
      </c>
      <c r="D422">
        <v>5.0026539999999997</v>
      </c>
      <c r="E422">
        <v>0.50226999999999999</v>
      </c>
      <c r="F422" t="s">
        <v>42</v>
      </c>
      <c r="G422">
        <v>-383.86590000000001</v>
      </c>
      <c r="H422">
        <v>1.027703</v>
      </c>
      <c r="I422">
        <v>367.4545</v>
      </c>
      <c r="J422">
        <v>-384.45940000000002</v>
      </c>
      <c r="K422">
        <v>1.1208530000000001</v>
      </c>
      <c r="L422">
        <v>367.48880000000003</v>
      </c>
      <c r="M422">
        <v>0.99978849999999997</v>
      </c>
      <c r="N422">
        <v>-1.388292E-2</v>
      </c>
      <c r="O422">
        <v>-1.517158E-2</v>
      </c>
      <c r="P422">
        <v>0.99673400000000001</v>
      </c>
      <c r="Q422">
        <v>-7.4025599999999997E-2</v>
      </c>
      <c r="R422">
        <v>-3.227501E-2</v>
      </c>
      <c r="S422">
        <v>2.9818730000000002</v>
      </c>
      <c r="T422">
        <v>-0.31965939999999998</v>
      </c>
      <c r="U422">
        <v>-0.1304321</v>
      </c>
      <c r="V422">
        <v>1.7161949999999999E-2</v>
      </c>
      <c r="W422">
        <v>-6.0171660000000002E-2</v>
      </c>
      <c r="X422">
        <v>0.9980405</v>
      </c>
      <c r="Y422">
        <v>2.841834E-2</v>
      </c>
      <c r="Z422">
        <v>-3.0539320000000001E-4</v>
      </c>
      <c r="AA422">
        <v>0.99959609999999999</v>
      </c>
      <c r="AB422">
        <v>27</v>
      </c>
      <c r="AC422">
        <v>0.59350000000000502</v>
      </c>
      <c r="AD422">
        <v>-9.3149999999999997E-2</v>
      </c>
      <c r="AE422">
        <v>-3.4300000000030098E-2</v>
      </c>
      <c r="AF422">
        <v>2.4684804361316998E-2</v>
      </c>
      <c r="AG422">
        <v>-9.3149999999999997E-2</v>
      </c>
      <c r="AH422">
        <v>0.57971919919378001</v>
      </c>
      <c r="AI422">
        <v>99.120205641871706</v>
      </c>
      <c r="AJ422">
        <v>87.561782916230896</v>
      </c>
      <c r="AK422">
        <v>0.58767389935255199</v>
      </c>
      <c r="AL422">
        <v>93.449665962210403</v>
      </c>
      <c r="AM422">
        <v>89.014859214336695</v>
      </c>
      <c r="AN422">
        <v>1.0000000004176</v>
      </c>
    </row>
    <row r="423" spans="1:40" x14ac:dyDescent="0.25">
      <c r="A423" t="str">
        <f>"20190303154740424"</f>
        <v>20190303154740424</v>
      </c>
      <c r="B423" t="str">
        <f>"1551599260420765"</f>
        <v>1551599260420765</v>
      </c>
      <c r="C423" t="s">
        <v>40</v>
      </c>
      <c r="D423">
        <v>4.9589800000000004</v>
      </c>
      <c r="E423">
        <v>0.50075270000000005</v>
      </c>
      <c r="F423" t="s">
        <v>41</v>
      </c>
      <c r="G423">
        <v>-370.88619999999997</v>
      </c>
      <c r="H423" s="1">
        <v>-4.3619520000000003E-6</v>
      </c>
      <c r="I423">
        <v>366.9676</v>
      </c>
      <c r="J423">
        <v>-384.30239999999998</v>
      </c>
      <c r="K423">
        <v>1.1208129999999901</v>
      </c>
      <c r="L423">
        <v>367.48649999999998</v>
      </c>
      <c r="M423">
        <v>0.99979320000000005</v>
      </c>
      <c r="N423">
        <v>-1.364347E-2</v>
      </c>
      <c r="O423">
        <v>-1.5081819999999999E-2</v>
      </c>
      <c r="P423">
        <v>0.99674059999999998</v>
      </c>
      <c r="Q423">
        <v>-7.3870899999999906E-2</v>
      </c>
      <c r="R423">
        <v>-3.2427089999999999E-2</v>
      </c>
      <c r="S423">
        <v>2.9877929999999999</v>
      </c>
      <c r="T423">
        <v>-0.2467279</v>
      </c>
      <c r="U423">
        <v>-0.1147156</v>
      </c>
      <c r="V423">
        <v>1.7403040000000002E-2</v>
      </c>
      <c r="W423">
        <v>-6.0255910000000003E-2</v>
      </c>
      <c r="X423">
        <v>0.99803129999999995</v>
      </c>
      <c r="Y423">
        <v>2.3233650000000002E-2</v>
      </c>
      <c r="Z423" s="1">
        <v>-7.8886400000000004E-5</v>
      </c>
      <c r="AA423">
        <v>0.99973009999999995</v>
      </c>
      <c r="AB423">
        <v>27</v>
      </c>
      <c r="AC423">
        <v>13.4162</v>
      </c>
      <c r="AD423">
        <v>-1.1208173619520001</v>
      </c>
      <c r="AE423">
        <v>-0.51889999999997305</v>
      </c>
      <c r="AF423">
        <v>0.31429117747867202</v>
      </c>
      <c r="AG423">
        <v>-1.1208173619520001</v>
      </c>
      <c r="AH423">
        <v>13.3296083644665</v>
      </c>
      <c r="AI423">
        <v>94.805068336048706</v>
      </c>
      <c r="AJ423">
        <v>88.649305997998397</v>
      </c>
      <c r="AK423">
        <v>13.380338921460501</v>
      </c>
      <c r="AL423">
        <v>93.454501706807704</v>
      </c>
      <c r="AM423">
        <v>89.001013596457696</v>
      </c>
      <c r="AN423">
        <v>1.00000005813542</v>
      </c>
    </row>
    <row r="424" spans="1:40" x14ac:dyDescent="0.25">
      <c r="A424" t="str">
        <f>"20190303154740436"</f>
        <v>20190303154740436</v>
      </c>
      <c r="B424" t="str">
        <f>"1551599260431501"</f>
        <v>1551599260431501</v>
      </c>
      <c r="C424" t="s">
        <v>40</v>
      </c>
      <c r="D424">
        <v>4.9494179999999997</v>
      </c>
      <c r="E424">
        <v>0.49984289999999998</v>
      </c>
      <c r="F424" t="s">
        <v>41</v>
      </c>
      <c r="G424">
        <v>-368.7704</v>
      </c>
      <c r="H424" s="1">
        <v>-1.1141489999999999E-6</v>
      </c>
      <c r="I424">
        <v>366.94920000000002</v>
      </c>
      <c r="J424">
        <v>-384.1456</v>
      </c>
      <c r="K424">
        <v>1.1207609999999999</v>
      </c>
      <c r="L424">
        <v>367.48419999999999</v>
      </c>
      <c r="M424">
        <v>0.99979839999999998</v>
      </c>
      <c r="N424">
        <v>-1.3359619999999999E-2</v>
      </c>
      <c r="O424">
        <v>-1.499177E-2</v>
      </c>
      <c r="P424">
        <v>0.99676500000000001</v>
      </c>
      <c r="Q424">
        <v>-7.3441149999999997E-2</v>
      </c>
      <c r="R424">
        <v>-3.265444E-2</v>
      </c>
      <c r="S424">
        <v>2.9904480000000002</v>
      </c>
      <c r="T424">
        <v>-0.2157936</v>
      </c>
      <c r="U424">
        <v>-0.1034241</v>
      </c>
      <c r="V424">
        <v>1.7719749999999999E-2</v>
      </c>
      <c r="W424">
        <v>-6.0109139999999998E-2</v>
      </c>
      <c r="X424">
        <v>0.99803450000000005</v>
      </c>
      <c r="Y424">
        <v>1.954177E-2</v>
      </c>
      <c r="Z424" s="1">
        <v>4.5221469999999999E-5</v>
      </c>
      <c r="AA424">
        <v>0.99980899999999995</v>
      </c>
      <c r="AB424">
        <v>27</v>
      </c>
      <c r="AC424">
        <v>15.3752</v>
      </c>
      <c r="AD424">
        <v>-1.1207621141490001</v>
      </c>
      <c r="AE424">
        <v>-0.53499999999996795</v>
      </c>
      <c r="AF424">
        <v>0.30281078159621699</v>
      </c>
      <c r="AG424">
        <v>-1.1207621141490001</v>
      </c>
      <c r="AH424">
        <v>15.300292436393301</v>
      </c>
      <c r="AI424">
        <v>94.188674772546506</v>
      </c>
      <c r="AJ424">
        <v>88.866197157210294</v>
      </c>
      <c r="AK424">
        <v>15.344274200010799</v>
      </c>
      <c r="AL424">
        <v>93.446077402359506</v>
      </c>
      <c r="AM424">
        <v>88.982840543897694</v>
      </c>
      <c r="AN424">
        <v>0.999999980720925</v>
      </c>
    </row>
    <row r="425" spans="1:40" x14ac:dyDescent="0.25">
      <c r="A425" t="str">
        <f>"20190303154740455"</f>
        <v>20190303154740455</v>
      </c>
      <c r="B425" t="str">
        <f>"1551599260451023"</f>
        <v>1551599260451023</v>
      </c>
      <c r="C425" t="s">
        <v>40</v>
      </c>
      <c r="D425">
        <v>4.2976470000000004</v>
      </c>
      <c r="E425">
        <v>0.49297299999999999</v>
      </c>
      <c r="F425" t="s">
        <v>41</v>
      </c>
      <c r="G425">
        <v>-367.63400000000001</v>
      </c>
      <c r="H425" s="1">
        <v>-1.500605E-6</v>
      </c>
      <c r="I425">
        <v>366.9502</v>
      </c>
      <c r="J425">
        <v>-383.91789999999997</v>
      </c>
      <c r="K425">
        <v>1.1206750000000001</v>
      </c>
      <c r="L425">
        <v>367.48090000000002</v>
      </c>
      <c r="M425">
        <v>0.999807</v>
      </c>
      <c r="N425">
        <v>-1.286171E-2</v>
      </c>
      <c r="O425">
        <v>-1.4860719999999999E-2</v>
      </c>
      <c r="P425">
        <v>0.99682930000000003</v>
      </c>
      <c r="Q425">
        <v>-7.2480550000000005E-2</v>
      </c>
      <c r="R425">
        <v>-3.2837760000000001E-2</v>
      </c>
      <c r="S425">
        <v>2.9916079999999998</v>
      </c>
      <c r="T425">
        <v>-0.2030613</v>
      </c>
      <c r="U425">
        <v>-9.6740720000000002E-2</v>
      </c>
      <c r="V425">
        <v>1.803277E-2</v>
      </c>
      <c r="W425">
        <v>-5.9644709999999997E-2</v>
      </c>
      <c r="X425">
        <v>0.99805679999999997</v>
      </c>
      <c r="Y425">
        <v>1.7437459999999998E-2</v>
      </c>
      <c r="Z425">
        <v>1.129679E-4</v>
      </c>
      <c r="AA425">
        <v>0.99984790000000001</v>
      </c>
      <c r="AB425">
        <v>27</v>
      </c>
      <c r="AC425">
        <v>16.2838999999999</v>
      </c>
      <c r="AD425">
        <v>-1.1206765006049999</v>
      </c>
      <c r="AE425">
        <v>-0.53070000000002404</v>
      </c>
      <c r="AF425">
        <v>0.287271751517157</v>
      </c>
      <c r="AG425">
        <v>-1.1206765006049999</v>
      </c>
      <c r="AH425">
        <v>16.2132784975541</v>
      </c>
      <c r="AI425">
        <v>93.953428565984396</v>
      </c>
      <c r="AJ425">
        <v>88.984922337299295</v>
      </c>
      <c r="AK425">
        <v>16.2545021614776</v>
      </c>
      <c r="AL425">
        <v>93.419419543992902</v>
      </c>
      <c r="AM425">
        <v>88.964899385499294</v>
      </c>
      <c r="AN425">
        <v>1.00000002412554</v>
      </c>
    </row>
    <row r="426" spans="1:40" x14ac:dyDescent="0.25">
      <c r="A426" t="str">
        <f>"20190303154740467"</f>
        <v>20190303154740467</v>
      </c>
      <c r="B426" t="str">
        <f>"1551599260460782"</f>
        <v>1551599260460782</v>
      </c>
      <c r="C426" t="s">
        <v>40</v>
      </c>
      <c r="D426">
        <v>4.2871030000000001</v>
      </c>
      <c r="E426">
        <v>0.4880719</v>
      </c>
      <c r="F426" t="s">
        <v>41</v>
      </c>
      <c r="G426">
        <v>-366.45069999999998</v>
      </c>
      <c r="H426" s="1">
        <v>-1.9277440000000001E-6</v>
      </c>
      <c r="I426">
        <v>367.2328</v>
      </c>
      <c r="J426">
        <v>-383.7706</v>
      </c>
      <c r="K426">
        <v>1.120609</v>
      </c>
      <c r="L426">
        <v>367.47890000000001</v>
      </c>
      <c r="M426">
        <v>0.9998129</v>
      </c>
      <c r="N426">
        <v>-1.2485889999999999E-2</v>
      </c>
      <c r="O426">
        <v>-1.4775679999999999E-2</v>
      </c>
      <c r="P426">
        <v>0.99687190000000003</v>
      </c>
      <c r="Q426">
        <v>-7.1869840000000004E-2</v>
      </c>
      <c r="R426">
        <v>-3.287677E-2</v>
      </c>
      <c r="S426">
        <v>2.9941710000000001</v>
      </c>
      <c r="T426">
        <v>-0.19210160000000001</v>
      </c>
      <c r="U426">
        <v>-4.2510989999999999E-2</v>
      </c>
      <c r="V426">
        <v>1.8156140000000001E-2</v>
      </c>
      <c r="W426">
        <v>-5.9408610000000001E-2</v>
      </c>
      <c r="X426">
        <v>0.99806859999999997</v>
      </c>
      <c r="Y426">
        <v>-5.593401E-4</v>
      </c>
      <c r="Z426">
        <v>7.8399179999999902E-4</v>
      </c>
      <c r="AA426">
        <v>0.99999950000000004</v>
      </c>
      <c r="AB426">
        <v>27</v>
      </c>
      <c r="AC426">
        <v>17.319900000000001</v>
      </c>
      <c r="AD426">
        <v>-1.120610927744</v>
      </c>
      <c r="AE426">
        <v>-0.246100000000012</v>
      </c>
      <c r="AF426">
        <v>-9.8190177155316697E-3</v>
      </c>
      <c r="AG426">
        <v>-1.120610927744</v>
      </c>
      <c r="AH426">
        <v>17.249450630392499</v>
      </c>
      <c r="AI426">
        <v>93.716997668489597</v>
      </c>
      <c r="AJ426">
        <v>90.032614848168393</v>
      </c>
      <c r="AK426">
        <v>17.285815350015699</v>
      </c>
      <c r="AL426">
        <v>93.405868132709699</v>
      </c>
      <c r="AM426">
        <v>88.957831688691201</v>
      </c>
      <c r="AN426">
        <v>0.99999997933389495</v>
      </c>
    </row>
    <row r="427" spans="1:40" x14ac:dyDescent="0.25">
      <c r="A427" t="str">
        <f>"20190303154740479"</f>
        <v>20190303154740479</v>
      </c>
      <c r="B427" t="str">
        <f>"1551599260471518"</f>
        <v>1551599260471518</v>
      </c>
      <c r="C427" t="s">
        <v>40</v>
      </c>
      <c r="D427">
        <v>4.3173130000000004</v>
      </c>
      <c r="E427">
        <v>0.48397770000000001</v>
      </c>
      <c r="F427" t="s">
        <v>41</v>
      </c>
      <c r="G427">
        <v>-366.1293</v>
      </c>
      <c r="H427" s="1">
        <v>-2.0260320000000002E-6</v>
      </c>
      <c r="I427">
        <v>367.45609999999999</v>
      </c>
      <c r="J427">
        <v>-383.62150000000003</v>
      </c>
      <c r="K427">
        <v>1.120541</v>
      </c>
      <c r="L427">
        <v>367.47669999999999</v>
      </c>
      <c r="M427">
        <v>0.99981929999999997</v>
      </c>
      <c r="N427">
        <v>-1.2076170000000001E-2</v>
      </c>
      <c r="O427">
        <v>-1.469004E-2</v>
      </c>
      <c r="P427">
        <v>0.99689559999999999</v>
      </c>
      <c r="Q427">
        <v>-7.1478739999999999E-2</v>
      </c>
      <c r="R427">
        <v>-3.3021689999999999E-2</v>
      </c>
      <c r="S427">
        <v>2.9955750000000001</v>
      </c>
      <c r="T427">
        <v>-0.19028339999999999</v>
      </c>
      <c r="U427">
        <v>-3.8452149999999999E-3</v>
      </c>
      <c r="V427">
        <v>1.8386159999999999E-2</v>
      </c>
      <c r="W427">
        <v>-5.9426119999999999E-2</v>
      </c>
      <c r="X427">
        <v>0.99806340000000004</v>
      </c>
      <c r="Y427">
        <v>-1.3356140000000001E-2</v>
      </c>
      <c r="Z427">
        <v>1.259418E-3</v>
      </c>
      <c r="AA427">
        <v>0.99990999999999997</v>
      </c>
      <c r="AB427">
        <v>27</v>
      </c>
      <c r="AC427">
        <v>17.4922</v>
      </c>
      <c r="AD427">
        <v>-1.120543026032</v>
      </c>
      <c r="AE427">
        <v>-2.06000000000017E-2</v>
      </c>
      <c r="AF427">
        <v>-0.23541598702215</v>
      </c>
      <c r="AG427">
        <v>-1.120543026032</v>
      </c>
      <c r="AH427">
        <v>17.419133295288599</v>
      </c>
      <c r="AI427">
        <v>93.680332812552294</v>
      </c>
      <c r="AJ427">
        <v>90.774293481425801</v>
      </c>
      <c r="AK427">
        <v>17.4567248394183</v>
      </c>
      <c r="AL427">
        <v>93.406872976072194</v>
      </c>
      <c r="AM427">
        <v>88.944625936485807</v>
      </c>
      <c r="AN427">
        <v>1.00000003251867</v>
      </c>
    </row>
    <row r="428" spans="1:40" x14ac:dyDescent="0.25">
      <c r="A428" t="str">
        <f>"20190303154740492"</f>
        <v>20190303154740492</v>
      </c>
      <c r="B428" t="str">
        <f>"1551599260481278"</f>
        <v>1551599260481278</v>
      </c>
      <c r="C428" t="s">
        <v>40</v>
      </c>
      <c r="D428">
        <v>5.0012610000000004</v>
      </c>
      <c r="E428">
        <v>0.48440939999999999</v>
      </c>
      <c r="F428" t="s">
        <v>41</v>
      </c>
      <c r="G428">
        <v>-365.78460000000001</v>
      </c>
      <c r="H428" s="1">
        <v>-2.1403430000000002E-6</v>
      </c>
      <c r="I428">
        <v>367.64519999999999</v>
      </c>
      <c r="J428">
        <v>-383.47669999999999</v>
      </c>
      <c r="K428">
        <v>1.1204689999999999</v>
      </c>
      <c r="L428">
        <v>367.47469999999998</v>
      </c>
      <c r="M428">
        <v>0.99982579999999999</v>
      </c>
      <c r="N428">
        <v>-1.1633879999999999E-2</v>
      </c>
      <c r="O428">
        <v>-1.460644E-2</v>
      </c>
      <c r="P428">
        <v>0.99693209999999999</v>
      </c>
      <c r="Q428">
        <v>-7.1059520000000001E-2</v>
      </c>
      <c r="R428">
        <v>-3.282127E-2</v>
      </c>
      <c r="S428">
        <v>2.996826</v>
      </c>
      <c r="T428">
        <v>-0.18826499999999999</v>
      </c>
      <c r="U428">
        <v>2.8320310000000001E-2</v>
      </c>
      <c r="V428">
        <v>1.8268650000000001E-2</v>
      </c>
      <c r="W428">
        <v>-5.9448000000000001E-2</v>
      </c>
      <c r="X428">
        <v>0.99806419999999996</v>
      </c>
      <c r="Y428">
        <v>-2.398028E-2</v>
      </c>
      <c r="Z428">
        <v>1.63901E-3</v>
      </c>
      <c r="AA428">
        <v>0.99971109999999996</v>
      </c>
      <c r="AB428">
        <v>27</v>
      </c>
      <c r="AC428">
        <v>17.6920999999999</v>
      </c>
      <c r="AD428">
        <v>-1.1204711403430001</v>
      </c>
      <c r="AE428">
        <v>0.17050000000000401</v>
      </c>
      <c r="AF428">
        <v>-0.42720453509391998</v>
      </c>
      <c r="AG428">
        <v>-1.1204711403430001</v>
      </c>
      <c r="AH428">
        <v>17.6170679332836</v>
      </c>
      <c r="AI428">
        <v>93.6381265156285</v>
      </c>
      <c r="AJ428">
        <v>91.389119962499706</v>
      </c>
      <c r="AK428">
        <v>17.657832309122099</v>
      </c>
      <c r="AL428">
        <v>93.408129014675097</v>
      </c>
      <c r="AM428">
        <v>88.951370394027293</v>
      </c>
      <c r="AN428">
        <v>0.99999997779923</v>
      </c>
    </row>
    <row r="429" spans="1:40" x14ac:dyDescent="0.25">
      <c r="A429" t="str">
        <f>"20190303154740504"</f>
        <v>20190303154740504</v>
      </c>
      <c r="B429" t="str">
        <f>"1551599260500797"</f>
        <v>1551599260500797</v>
      </c>
      <c r="C429" t="s">
        <v>40</v>
      </c>
      <c r="D429">
        <v>5.0153030000000003</v>
      </c>
      <c r="E429">
        <v>0.48538819999999999</v>
      </c>
      <c r="F429" t="s">
        <v>41</v>
      </c>
      <c r="G429">
        <v>-364.8288</v>
      </c>
      <c r="H429" s="1">
        <v>-2.5524349999999998E-6</v>
      </c>
      <c r="I429">
        <v>367.63369999999998</v>
      </c>
      <c r="J429">
        <v>-383.31700000000001</v>
      </c>
      <c r="K429">
        <v>1.1203890000000001</v>
      </c>
      <c r="L429">
        <v>367.47239999999999</v>
      </c>
      <c r="M429">
        <v>0.99983279999999997</v>
      </c>
      <c r="N429">
        <v>-1.1134170000000001E-2</v>
      </c>
      <c r="O429">
        <v>-1.4514279999999999E-2</v>
      </c>
      <c r="P429">
        <v>0.99698500000000001</v>
      </c>
      <c r="Q429">
        <v>-7.0368979999999998E-2</v>
      </c>
      <c r="R429">
        <v>-3.27046E-2</v>
      </c>
      <c r="S429">
        <v>2.997223</v>
      </c>
      <c r="T429">
        <v>-0.180089</v>
      </c>
      <c r="U429">
        <v>2.5573729999999999E-2</v>
      </c>
      <c r="V429">
        <v>1.824336E-2</v>
      </c>
      <c r="W429">
        <v>-5.9255679999999998E-2</v>
      </c>
      <c r="X429">
        <v>0.99807610000000002</v>
      </c>
      <c r="Y429">
        <v>-2.2979400000000001E-2</v>
      </c>
      <c r="Z429">
        <v>1.5275929999999901E-3</v>
      </c>
      <c r="AA429">
        <v>0.99973480000000003</v>
      </c>
      <c r="AB429">
        <v>28</v>
      </c>
      <c r="AC429">
        <v>18.4881999999999</v>
      </c>
      <c r="AD429">
        <v>-1.1203915524350001</v>
      </c>
      <c r="AE429">
        <v>0.16129999999998201</v>
      </c>
      <c r="AF429">
        <v>-0.42807058973287898</v>
      </c>
      <c r="AG429">
        <v>-1.1203915524350001</v>
      </c>
      <c r="AH429">
        <v>18.4162840780054</v>
      </c>
      <c r="AI429">
        <v>93.480474951494003</v>
      </c>
      <c r="AJ429">
        <v>91.331551049534099</v>
      </c>
      <c r="AK429">
        <v>18.455298450644399</v>
      </c>
      <c r="AL429">
        <v>93.397090427757504</v>
      </c>
      <c r="AM429">
        <v>88.952834211805893</v>
      </c>
      <c r="AN429">
        <v>0.99999997859377998</v>
      </c>
    </row>
    <row r="430" spans="1:40" x14ac:dyDescent="0.25">
      <c r="A430" t="str">
        <f>"20190303154740522"</f>
        <v>20190303154740522</v>
      </c>
      <c r="B430" t="str">
        <f>"1551599260511533"</f>
        <v>1551599260511533</v>
      </c>
      <c r="C430" t="s">
        <v>40</v>
      </c>
      <c r="D430">
        <v>4.9894319999999999</v>
      </c>
      <c r="E430">
        <v>0.48581609999999997</v>
      </c>
      <c r="F430" t="s">
        <v>41</v>
      </c>
      <c r="G430">
        <v>-363.57839999999999</v>
      </c>
      <c r="H430" s="1">
        <v>-3.096281E-6</v>
      </c>
      <c r="I430">
        <v>367.5917</v>
      </c>
      <c r="J430">
        <v>-383.09640000000002</v>
      </c>
      <c r="K430">
        <v>1.1202749999999999</v>
      </c>
      <c r="L430">
        <v>367.46940000000001</v>
      </c>
      <c r="M430">
        <v>0.99984229999999996</v>
      </c>
      <c r="N430">
        <v>-1.041747E-2</v>
      </c>
      <c r="O430">
        <v>-1.4386919999999999E-2</v>
      </c>
      <c r="P430">
        <v>0.99703909999999996</v>
      </c>
      <c r="Q430">
        <v>-6.9564169999999995E-2</v>
      </c>
      <c r="R430">
        <v>-3.2776899999999998E-2</v>
      </c>
      <c r="S430">
        <v>2.997681</v>
      </c>
      <c r="T430">
        <v>-0.17015239999999901</v>
      </c>
      <c r="U430">
        <v>1.8127440000000002E-2</v>
      </c>
      <c r="V430">
        <v>1.8442099999999999E-2</v>
      </c>
      <c r="W430">
        <v>-5.9165620000000002E-2</v>
      </c>
      <c r="X430">
        <v>0.99807780000000001</v>
      </c>
      <c r="Y430">
        <v>-2.037959E-2</v>
      </c>
      <c r="Z430">
        <v>1.3503359999999999E-3</v>
      </c>
      <c r="AA430">
        <v>0.9997914</v>
      </c>
      <c r="AB430">
        <v>28</v>
      </c>
      <c r="AC430">
        <v>19.518000000000001</v>
      </c>
      <c r="AD430">
        <v>-1.1202780962809999</v>
      </c>
      <c r="AE430">
        <v>0.122299999999995</v>
      </c>
      <c r="AF430">
        <v>-0.40178286919148198</v>
      </c>
      <c r="AG430">
        <v>-1.1202780962809999</v>
      </c>
      <c r="AH430">
        <v>19.450145367702799</v>
      </c>
      <c r="AI430">
        <v>93.295745190186693</v>
      </c>
      <c r="AJ430">
        <v>91.183394195874399</v>
      </c>
      <c r="AK430">
        <v>19.4865237359502</v>
      </c>
      <c r="AL430">
        <v>93.3919212677784</v>
      </c>
      <c r="AM430">
        <v>88.941430953747798</v>
      </c>
      <c r="AN430">
        <v>0.99999998824761704</v>
      </c>
    </row>
    <row r="431" spans="1:40" x14ac:dyDescent="0.25">
      <c r="A431" t="str">
        <f>"20190303154740533"</f>
        <v>20190303154740533</v>
      </c>
      <c r="B431" t="str">
        <f>"1551599260531055"</f>
        <v>1551599260531055</v>
      </c>
      <c r="C431" t="s">
        <v>40</v>
      </c>
      <c r="D431">
        <v>5.0200319999999996</v>
      </c>
      <c r="E431">
        <v>0.48669570000000001</v>
      </c>
      <c r="F431" t="s">
        <v>41</v>
      </c>
      <c r="G431">
        <v>-362.74869999999999</v>
      </c>
      <c r="H431" s="1">
        <v>-3.456835E-6</v>
      </c>
      <c r="I431">
        <v>367.56580000000002</v>
      </c>
      <c r="J431">
        <v>-382.94130000000001</v>
      </c>
      <c r="K431">
        <v>1.1202030000000001</v>
      </c>
      <c r="L431">
        <v>367.46719999999999</v>
      </c>
      <c r="M431">
        <v>0.99984870000000003</v>
      </c>
      <c r="N431">
        <v>-9.9111660000000008E-3</v>
      </c>
      <c r="O431">
        <v>-1.429658E-2</v>
      </c>
      <c r="P431">
        <v>0.99706170000000005</v>
      </c>
      <c r="Q431">
        <v>-6.9279770000000004E-2</v>
      </c>
      <c r="R431">
        <v>-3.2687590000000002E-2</v>
      </c>
      <c r="S431">
        <v>2.9978940000000001</v>
      </c>
      <c r="T431">
        <v>-0.16505349999999999</v>
      </c>
      <c r="U431">
        <v>1.422119E-2</v>
      </c>
      <c r="V431">
        <v>1.8442790000000001E-2</v>
      </c>
      <c r="W431">
        <v>-5.9386349999999997E-2</v>
      </c>
      <c r="X431">
        <v>0.99806470000000003</v>
      </c>
      <c r="Y431">
        <v>-1.89918E-2</v>
      </c>
      <c r="Z431">
        <v>1.2615079999999999E-3</v>
      </c>
      <c r="AA431">
        <v>0.99981889999999995</v>
      </c>
      <c r="AB431">
        <v>28</v>
      </c>
      <c r="AC431">
        <v>20.192599999999999</v>
      </c>
      <c r="AD431">
        <v>-1.1202064568350001</v>
      </c>
      <c r="AE431">
        <v>9.8600000000033106E-2</v>
      </c>
      <c r="AF431">
        <v>-0.38610098193092302</v>
      </c>
      <c r="AG431">
        <v>-1.1202064568350001</v>
      </c>
      <c r="AH431">
        <v>20.1271845022276</v>
      </c>
      <c r="AI431">
        <v>93.185005010608705</v>
      </c>
      <c r="AJ431">
        <v>91.098973568593294</v>
      </c>
      <c r="AK431">
        <v>20.162030960716599</v>
      </c>
      <c r="AL431">
        <v>93.404590367504298</v>
      </c>
      <c r="AM431">
        <v>88.941377465539304</v>
      </c>
      <c r="AN431">
        <v>1.00000001022769</v>
      </c>
    </row>
    <row r="432" spans="1:40" x14ac:dyDescent="0.25">
      <c r="A432" t="str">
        <f>"20190303154740547"</f>
        <v>20190303154740547</v>
      </c>
      <c r="B432" t="str">
        <f>"1551599260540814"</f>
        <v>1551599260540814</v>
      </c>
      <c r="C432" t="s">
        <v>40</v>
      </c>
      <c r="D432">
        <v>5.0284800000000001</v>
      </c>
      <c r="E432">
        <v>0.48702390000000001</v>
      </c>
      <c r="F432" t="s">
        <v>41</v>
      </c>
      <c r="G432">
        <v>-361.81310000000002</v>
      </c>
      <c r="H432" s="1">
        <v>-3.8665759999999997E-6</v>
      </c>
      <c r="I432">
        <v>367.51850000000002</v>
      </c>
      <c r="J432">
        <v>-382.77749999999997</v>
      </c>
      <c r="K432">
        <v>1.120133</v>
      </c>
      <c r="L432">
        <v>367.4649</v>
      </c>
      <c r="M432">
        <v>0.99985500000000005</v>
      </c>
      <c r="N432">
        <v>-9.3835519999999999E-3</v>
      </c>
      <c r="O432">
        <v>-1.4201500000000001E-2</v>
      </c>
      <c r="P432">
        <v>0.99708640000000004</v>
      </c>
      <c r="Q432">
        <v>-6.8805630000000007E-2</v>
      </c>
      <c r="R432">
        <v>-3.2932360000000001E-2</v>
      </c>
      <c r="S432">
        <v>2.9980159999999998</v>
      </c>
      <c r="T432">
        <v>-0.1589526</v>
      </c>
      <c r="U432">
        <v>7.2937009999999997E-3</v>
      </c>
      <c r="V432">
        <v>1.8782420000000001E-2</v>
      </c>
      <c r="W432">
        <v>-5.9438499999999998E-2</v>
      </c>
      <c r="X432">
        <v>0.99805529999999998</v>
      </c>
      <c r="Y432">
        <v>-1.6593730000000001E-2</v>
      </c>
      <c r="Z432">
        <v>1.1367230000000001E-3</v>
      </c>
      <c r="AA432">
        <v>0.99986169999999996</v>
      </c>
      <c r="AB432">
        <v>28</v>
      </c>
      <c r="AC432">
        <v>20.964399999999898</v>
      </c>
      <c r="AD432">
        <v>-1.1201368665760001</v>
      </c>
      <c r="AE432">
        <v>5.3600000000017099E-2</v>
      </c>
      <c r="AF432">
        <v>-0.35033353631525799</v>
      </c>
      <c r="AG432">
        <v>-1.1201368665760001</v>
      </c>
      <c r="AH432">
        <v>20.901853950199701</v>
      </c>
      <c r="AI432">
        <v>93.067134354969198</v>
      </c>
      <c r="AJ432">
        <v>90.9602379658632</v>
      </c>
      <c r="AK432">
        <v>20.9347782109582</v>
      </c>
      <c r="AL432">
        <v>93.407583500291693</v>
      </c>
      <c r="AM432">
        <v>88.921876994009693</v>
      </c>
      <c r="AN432">
        <v>1.0000000482206901</v>
      </c>
    </row>
    <row r="433" spans="1:40" x14ac:dyDescent="0.25">
      <c r="A433" t="str">
        <f>"20190303154740569"</f>
        <v>20190303154740569</v>
      </c>
      <c r="B433" t="str">
        <f>"1551599260561310"</f>
        <v>1551599260561310</v>
      </c>
      <c r="C433" t="s">
        <v>40</v>
      </c>
      <c r="D433">
        <v>5.0296669999999999</v>
      </c>
      <c r="E433">
        <v>0.48752030000000002</v>
      </c>
      <c r="F433" t="s">
        <v>41</v>
      </c>
      <c r="G433">
        <v>-361.26670000000001</v>
      </c>
      <c r="H433" s="1">
        <v>-4.1053429999999996E-6</v>
      </c>
      <c r="I433">
        <v>367.49400000000003</v>
      </c>
      <c r="J433">
        <v>-382.51029999999997</v>
      </c>
      <c r="K433">
        <v>1.120025</v>
      </c>
      <c r="L433">
        <v>367.46120000000002</v>
      </c>
      <c r="M433">
        <v>0.99986489999999995</v>
      </c>
      <c r="N433">
        <v>-8.5479119999999995E-3</v>
      </c>
      <c r="O433">
        <v>-1.4046970000000001E-2</v>
      </c>
      <c r="P433">
        <v>0.99710730000000003</v>
      </c>
      <c r="Q433">
        <v>-6.8449300000000005E-2</v>
      </c>
      <c r="R433">
        <v>-3.304617E-2</v>
      </c>
      <c r="S433">
        <v>2.9981689999999999</v>
      </c>
      <c r="T433">
        <v>-0.15612329999999999</v>
      </c>
      <c r="U433">
        <v>4.0588380000000004E-3</v>
      </c>
      <c r="V433">
        <v>1.9050480000000002E-2</v>
      </c>
      <c r="W433">
        <v>-5.9915889999999999E-2</v>
      </c>
      <c r="X433">
        <v>0.99802159999999995</v>
      </c>
      <c r="Y433">
        <v>-1.536358E-2</v>
      </c>
      <c r="Z433">
        <v>1.0764030000000001E-3</v>
      </c>
      <c r="AA433">
        <v>0.99988140000000003</v>
      </c>
      <c r="AB433">
        <v>28</v>
      </c>
      <c r="AC433">
        <v>21.243599999999901</v>
      </c>
      <c r="AD433">
        <v>-1.120029105343</v>
      </c>
      <c r="AE433">
        <v>3.2800000000008801E-2</v>
      </c>
      <c r="AF433">
        <v>-0.33029771196274299</v>
      </c>
      <c r="AG433">
        <v>-1.120029105343</v>
      </c>
      <c r="AH433">
        <v>21.182162599296301</v>
      </c>
      <c r="AI433">
        <v>93.026388611646894</v>
      </c>
      <c r="AJ433">
        <v>90.893352186417701</v>
      </c>
      <c r="AK433">
        <v>21.2143247396275</v>
      </c>
      <c r="AL433">
        <v>93.434985021925399</v>
      </c>
      <c r="AM433">
        <v>88.906456971971807</v>
      </c>
      <c r="AN433">
        <v>0.99999997436464005</v>
      </c>
    </row>
    <row r="434" spans="1:40" x14ac:dyDescent="0.25">
      <c r="A434" t="str">
        <f>"20190303154740591"</f>
        <v>20190303154740591</v>
      </c>
      <c r="B434" t="str">
        <f>"1551599260580830"</f>
        <v>1551599260580830</v>
      </c>
      <c r="C434" t="s">
        <v>40</v>
      </c>
      <c r="D434">
        <v>5.0201219999999998</v>
      </c>
      <c r="E434">
        <v>0.48776740000000002</v>
      </c>
      <c r="F434" t="s">
        <v>41</v>
      </c>
      <c r="G434">
        <v>-360.42079999999999</v>
      </c>
      <c r="H434" s="1">
        <v>-4.4747170000000004E-6</v>
      </c>
      <c r="I434">
        <v>367.45729999999998</v>
      </c>
      <c r="J434">
        <v>-382.23289999999997</v>
      </c>
      <c r="K434">
        <v>1.119937</v>
      </c>
      <c r="L434">
        <v>367.45760000000001</v>
      </c>
      <c r="M434">
        <v>0.99987369999999998</v>
      </c>
      <c r="N434">
        <v>-7.7270300000000002E-3</v>
      </c>
      <c r="O434">
        <v>-1.3886890000000001E-2</v>
      </c>
      <c r="P434">
        <v>0.99713419999999997</v>
      </c>
      <c r="Q434">
        <v>-6.8023849999999997E-2</v>
      </c>
      <c r="R434">
        <v>-3.3106780000000002E-2</v>
      </c>
      <c r="S434">
        <v>2.99823</v>
      </c>
      <c r="T434">
        <v>-0.15202179999999901</v>
      </c>
      <c r="U434">
        <v>-5.1879879999999995E-4</v>
      </c>
      <c r="V434">
        <v>1.927094E-2</v>
      </c>
      <c r="W434">
        <v>-6.0309380000000003E-2</v>
      </c>
      <c r="X434">
        <v>0.99799369999999998</v>
      </c>
      <c r="Y434">
        <v>-1.3681209999999999E-2</v>
      </c>
      <c r="Z434">
        <v>9.9591890000000002E-4</v>
      </c>
      <c r="AA434">
        <v>0.99990590000000001</v>
      </c>
      <c r="AB434">
        <v>28</v>
      </c>
      <c r="AC434">
        <v>21.812099999999901</v>
      </c>
      <c r="AD434">
        <v>-1.119941474717</v>
      </c>
      <c r="AE434">
        <v>-3.0000000003838003E-4</v>
      </c>
      <c r="AF434">
        <v>-0.30181563200382699</v>
      </c>
      <c r="AG434">
        <v>-1.119941474717</v>
      </c>
      <c r="AH434">
        <v>21.752654117674499</v>
      </c>
      <c r="AI434">
        <v>92.947003742657898</v>
      </c>
      <c r="AJ434">
        <v>90.794921495488595</v>
      </c>
      <c r="AK434">
        <v>21.783556246528999</v>
      </c>
      <c r="AL434">
        <v>93.457571067848207</v>
      </c>
      <c r="AM434">
        <v>88.893774251047205</v>
      </c>
      <c r="AN434">
        <v>1.0000000078420701</v>
      </c>
    </row>
    <row r="435" spans="1:40" x14ac:dyDescent="0.25">
      <c r="A435" t="str">
        <f>"20190303154740613"</f>
        <v>20190303154740613</v>
      </c>
      <c r="B435" t="str">
        <f>"1551599260601326"</f>
        <v>1551599260601326</v>
      </c>
      <c r="C435" t="s">
        <v>40</v>
      </c>
      <c r="D435">
        <v>5.0463740000000001</v>
      </c>
      <c r="E435">
        <v>0.48809979999999997</v>
      </c>
      <c r="F435" t="s">
        <v>41</v>
      </c>
      <c r="G435">
        <v>-359.75420000000003</v>
      </c>
      <c r="H435" s="1">
        <v>-6.4883539999999896E-7</v>
      </c>
      <c r="I435">
        <v>367.43990000000002</v>
      </c>
      <c r="J435">
        <v>-381.95490000000001</v>
      </c>
      <c r="K435">
        <v>1.1198619999999999</v>
      </c>
      <c r="L435">
        <v>367.4538</v>
      </c>
      <c r="M435">
        <v>0.99988160000000004</v>
      </c>
      <c r="N435">
        <v>-6.9633409999999996E-3</v>
      </c>
      <c r="O435">
        <v>-1.3727680000000001E-2</v>
      </c>
      <c r="P435">
        <v>0.99719139999999995</v>
      </c>
      <c r="Q435">
        <v>-6.7260710000000001E-2</v>
      </c>
      <c r="R435">
        <v>-3.2951389999999997E-2</v>
      </c>
      <c r="S435">
        <v>2.9983520000000001</v>
      </c>
      <c r="T435">
        <v>-0.14938319999999999</v>
      </c>
      <c r="U435">
        <v>-2.3498540000000002E-3</v>
      </c>
      <c r="V435">
        <v>1.9273820000000001E-2</v>
      </c>
      <c r="W435">
        <v>-6.0307960000000001E-2</v>
      </c>
      <c r="X435">
        <v>0.99799369999999998</v>
      </c>
      <c r="Y435">
        <v>-1.291351E-2</v>
      </c>
      <c r="Z435">
        <v>9.5443350000000004E-4</v>
      </c>
      <c r="AA435">
        <v>0.99991609999999997</v>
      </c>
      <c r="AB435">
        <v>28</v>
      </c>
      <c r="AC435">
        <v>22.200699999999902</v>
      </c>
      <c r="AD435">
        <v>-1.1198626488354</v>
      </c>
      <c r="AE435">
        <v>-1.3899999999978201E-2</v>
      </c>
      <c r="AF435">
        <v>-0.290134544750419</v>
      </c>
      <c r="AG435">
        <v>-1.1198626488354</v>
      </c>
      <c r="AH435">
        <v>22.142458118712799</v>
      </c>
      <c r="AI435">
        <v>92.895039311446197</v>
      </c>
      <c r="AJ435">
        <v>90.7507085955463</v>
      </c>
      <c r="AK435">
        <v>22.172657079052701</v>
      </c>
      <c r="AL435">
        <v>93.4574896637926</v>
      </c>
      <c r="AM435">
        <v>88.893608969110304</v>
      </c>
      <c r="AN435">
        <v>0.99999997770822102</v>
      </c>
    </row>
    <row r="436" spans="1:40" x14ac:dyDescent="0.25">
      <c r="A436" t="str">
        <f>"20190303154740634"</f>
        <v>20190303154740634</v>
      </c>
      <c r="B436" t="str">
        <f>"1551599260631583"</f>
        <v>1551599260631583</v>
      </c>
      <c r="C436" t="s">
        <v>40</v>
      </c>
      <c r="D436">
        <v>5.0804239999999998</v>
      </c>
      <c r="E436">
        <v>0.48842390000000002</v>
      </c>
      <c r="F436" t="s">
        <v>41</v>
      </c>
      <c r="G436">
        <v>-358.82139999999998</v>
      </c>
      <c r="H436" s="1">
        <v>-9.7146600000000005E-7</v>
      </c>
      <c r="I436">
        <v>367.4203</v>
      </c>
      <c r="J436">
        <v>-381.67579999999998</v>
      </c>
      <c r="K436">
        <v>1.119799</v>
      </c>
      <c r="L436">
        <v>367.45010000000002</v>
      </c>
      <c r="M436">
        <v>0.99988840000000001</v>
      </c>
      <c r="N436">
        <v>-6.2628950000000001E-3</v>
      </c>
      <c r="O436">
        <v>-1.3568469999999999E-2</v>
      </c>
      <c r="P436">
        <v>0.99722659999999996</v>
      </c>
      <c r="Q436">
        <v>-6.6989409999999999E-2</v>
      </c>
      <c r="R436">
        <v>-3.2432969999999998E-2</v>
      </c>
      <c r="S436">
        <v>2.998535</v>
      </c>
      <c r="T436">
        <v>-0.14515420000000001</v>
      </c>
      <c r="U436">
        <v>-4.333496E-3</v>
      </c>
      <c r="V436">
        <v>1.891427E-2</v>
      </c>
      <c r="W436">
        <v>-6.0735549999999999E-2</v>
      </c>
      <c r="X436">
        <v>0.99797469999999999</v>
      </c>
      <c r="Y436">
        <v>-1.209561E-2</v>
      </c>
      <c r="Z436">
        <v>9.0198380000000003E-4</v>
      </c>
      <c r="AA436">
        <v>0.99992639999999999</v>
      </c>
      <c r="AB436">
        <v>29</v>
      </c>
      <c r="AC436">
        <v>22.854399999999998</v>
      </c>
      <c r="AD436">
        <v>-1.1197999714659901</v>
      </c>
      <c r="AE436">
        <v>-2.9800000000022898E-2</v>
      </c>
      <c r="AF436">
        <v>-0.279636716382061</v>
      </c>
      <c r="AG436">
        <v>-1.1197999714659901</v>
      </c>
      <c r="AH436">
        <v>22.797968968200099</v>
      </c>
      <c r="AI436">
        <v>92.811806389466696</v>
      </c>
      <c r="AJ436">
        <v>90.702746820552406</v>
      </c>
      <c r="AK436">
        <v>22.827166660456601</v>
      </c>
      <c r="AL436">
        <v>93.4820335795403</v>
      </c>
      <c r="AM436">
        <v>88.914222861112506</v>
      </c>
      <c r="AN436">
        <v>1.0000000292417599</v>
      </c>
    </row>
    <row r="437" spans="1:40" x14ac:dyDescent="0.25">
      <c r="A437" t="str">
        <f>"20190303154740646"</f>
        <v>20190303154740646</v>
      </c>
      <c r="B437" t="str">
        <f>"1551599260641342"</f>
        <v>1551599260641342</v>
      </c>
      <c r="C437" t="s">
        <v>40</v>
      </c>
      <c r="D437">
        <v>5.0941900000000002</v>
      </c>
      <c r="E437">
        <v>0.48847489999999999</v>
      </c>
      <c r="F437" t="s">
        <v>41</v>
      </c>
      <c r="G437">
        <v>-357.93779999999998</v>
      </c>
      <c r="H437" s="1">
        <v>-1.2760430000000001E-6</v>
      </c>
      <c r="I437">
        <v>367.40559999999999</v>
      </c>
      <c r="J437">
        <v>-381.51490000000001</v>
      </c>
      <c r="K437">
        <v>1.119769</v>
      </c>
      <c r="L437">
        <v>367.44799999999998</v>
      </c>
      <c r="M437">
        <v>0.99989189999999994</v>
      </c>
      <c r="N437">
        <v>-5.8910200000000003E-3</v>
      </c>
      <c r="O437">
        <v>-1.347727E-2</v>
      </c>
      <c r="P437">
        <v>0.99725680000000005</v>
      </c>
      <c r="Q437">
        <v>-6.6656759999999995E-2</v>
      </c>
      <c r="R437">
        <v>-3.219052E-2</v>
      </c>
      <c r="S437">
        <v>2.9986269999999999</v>
      </c>
      <c r="T437">
        <v>-0.14145489999999999</v>
      </c>
      <c r="U437">
        <v>-5.6152340000000002E-3</v>
      </c>
      <c r="V437">
        <v>1.876266E-2</v>
      </c>
      <c r="W437">
        <v>-6.0773859999999999E-2</v>
      </c>
      <c r="X437">
        <v>0.99797519999999995</v>
      </c>
      <c r="Y437">
        <v>-1.157909E-2</v>
      </c>
      <c r="Z437">
        <v>8.6312469999999997E-4</v>
      </c>
      <c r="AA437">
        <v>0.99993259999999995</v>
      </c>
      <c r="AB437">
        <v>29</v>
      </c>
      <c r="AC437">
        <v>23.577100000000002</v>
      </c>
      <c r="AD437">
        <v>-1.1197702760429999</v>
      </c>
      <c r="AE437">
        <v>-4.2400000000043202E-2</v>
      </c>
      <c r="AF437">
        <v>-0.27474454989771202</v>
      </c>
      <c r="AG437">
        <v>-1.1197702760429999</v>
      </c>
      <c r="AH437">
        <v>23.5224710919282</v>
      </c>
      <c r="AI437">
        <v>92.725281115881003</v>
      </c>
      <c r="AJ437">
        <v>90.669189359368204</v>
      </c>
      <c r="AK437">
        <v>23.550711588175101</v>
      </c>
      <c r="AL437">
        <v>93.484232746319194</v>
      </c>
      <c r="AM437">
        <v>88.922924541957599</v>
      </c>
      <c r="AN437">
        <v>0.99999999964230701</v>
      </c>
    </row>
    <row r="438" spans="1:40" x14ac:dyDescent="0.25">
      <c r="A438" t="str">
        <f>"20190303154740658"</f>
        <v>20190303154740658</v>
      </c>
      <c r="B438" t="str">
        <f>"1551599260651103"</f>
        <v>1551599260651103</v>
      </c>
      <c r="C438" t="s">
        <v>40</v>
      </c>
      <c r="D438">
        <v>5.0806630000000004</v>
      </c>
      <c r="E438">
        <v>0.48850929999999998</v>
      </c>
      <c r="F438" t="s">
        <v>41</v>
      </c>
      <c r="G438">
        <v>-357.5523</v>
      </c>
      <c r="H438" s="1">
        <v>-1.424879E-6</v>
      </c>
      <c r="I438">
        <v>367.40359999999998</v>
      </c>
      <c r="J438">
        <v>-381.34739999999999</v>
      </c>
      <c r="K438">
        <v>1.1197360000000001</v>
      </c>
      <c r="L438">
        <v>367.44580000000002</v>
      </c>
      <c r="M438">
        <v>0.99989519999999998</v>
      </c>
      <c r="N438">
        <v>-5.5248160000000001E-3</v>
      </c>
      <c r="O438">
        <v>-1.338282E-2</v>
      </c>
      <c r="P438">
        <v>0.99728360000000005</v>
      </c>
      <c r="Q438">
        <v>-6.6447829999999999E-2</v>
      </c>
      <c r="R438">
        <v>-3.178301E-2</v>
      </c>
      <c r="S438">
        <v>2.9987789999999999</v>
      </c>
      <c r="T438">
        <v>-0.14013229999999999</v>
      </c>
      <c r="U438">
        <v>-5.5541990000000001E-3</v>
      </c>
      <c r="V438">
        <v>1.8449489999999999E-2</v>
      </c>
      <c r="W438">
        <v>-6.0930320000000003E-2</v>
      </c>
      <c r="X438">
        <v>0.99797150000000001</v>
      </c>
      <c r="Y438">
        <v>-1.1505619999999999E-2</v>
      </c>
      <c r="Z438">
        <v>8.5159789999999895E-4</v>
      </c>
      <c r="AA438">
        <v>0.99993339999999997</v>
      </c>
      <c r="AB438">
        <v>29</v>
      </c>
      <c r="AC438">
        <v>23.795099999999898</v>
      </c>
      <c r="AD438">
        <v>-1.119737424879</v>
      </c>
      <c r="AE438">
        <v>-4.2200000000036597E-2</v>
      </c>
      <c r="AF438">
        <v>-0.27564378871334899</v>
      </c>
      <c r="AG438">
        <v>-1.119737424879</v>
      </c>
      <c r="AH438">
        <v>23.7409617822576</v>
      </c>
      <c r="AI438">
        <v>92.700160430913499</v>
      </c>
      <c r="AJ438">
        <v>90.665201194712907</v>
      </c>
      <c r="AK438">
        <v>23.7689515491438</v>
      </c>
      <c r="AL438">
        <v>93.493213882467799</v>
      </c>
      <c r="AM438">
        <v>88.9408940932381</v>
      </c>
      <c r="AN438">
        <v>1.0000000011943999</v>
      </c>
    </row>
    <row r="439" spans="1:40" x14ac:dyDescent="0.25">
      <c r="A439" t="str">
        <f>"20190303154740671"</f>
        <v>20190303154740671</v>
      </c>
      <c r="B439" t="str">
        <f>"1551599260660861"</f>
        <v>1551599260660861</v>
      </c>
      <c r="C439" t="s">
        <v>40</v>
      </c>
      <c r="D439">
        <v>5.1112140000000004</v>
      </c>
      <c r="E439">
        <v>0.48855009999999999</v>
      </c>
      <c r="F439" t="s">
        <v>41</v>
      </c>
      <c r="G439">
        <v>-357.15120000000002</v>
      </c>
      <c r="H439" s="1">
        <v>-1.595898E-6</v>
      </c>
      <c r="I439">
        <v>367.40960000000001</v>
      </c>
      <c r="J439">
        <v>-381.19150000000002</v>
      </c>
      <c r="K439">
        <v>1.1197140000000001</v>
      </c>
      <c r="L439">
        <v>367.44380000000001</v>
      </c>
      <c r="M439">
        <v>0.99989810000000001</v>
      </c>
      <c r="N439">
        <v>-5.2167730000000001E-3</v>
      </c>
      <c r="O439">
        <v>-1.3294780000000001E-2</v>
      </c>
      <c r="P439">
        <v>0.99730929999999995</v>
      </c>
      <c r="Q439">
        <v>-6.6158700000000001E-2</v>
      </c>
      <c r="R439">
        <v>-3.1579650000000001E-2</v>
      </c>
      <c r="S439">
        <v>2.9987789999999999</v>
      </c>
      <c r="T439">
        <v>-0.138774799999999</v>
      </c>
      <c r="U439">
        <v>-4.4860840000000004E-3</v>
      </c>
      <c r="V439">
        <v>1.8333840000000001E-2</v>
      </c>
      <c r="W439">
        <v>-6.0948460000000003E-2</v>
      </c>
      <c r="X439">
        <v>0.99797250000000004</v>
      </c>
      <c r="Y439">
        <v>-1.177388E-2</v>
      </c>
      <c r="Z439">
        <v>8.4858769999999995E-4</v>
      </c>
      <c r="AA439">
        <v>0.99993030000000005</v>
      </c>
      <c r="AB439">
        <v>29</v>
      </c>
      <c r="AC439">
        <v>24.040299999999998</v>
      </c>
      <c r="AD439">
        <v>-1.1197155958979901</v>
      </c>
      <c r="AE439">
        <v>-3.4199999999998398E-2</v>
      </c>
      <c r="AF439">
        <v>-0.28480000500170899</v>
      </c>
      <c r="AG439">
        <v>-1.1197155958979901</v>
      </c>
      <c r="AH439">
        <v>23.9865940218193</v>
      </c>
      <c r="AI439">
        <v>92.672489753840296</v>
      </c>
      <c r="AJ439">
        <v>90.680257961519501</v>
      </c>
      <c r="AK439">
        <v>24.014403320218602</v>
      </c>
      <c r="AL439">
        <v>93.494255245669294</v>
      </c>
      <c r="AM439">
        <v>88.947532618900894</v>
      </c>
      <c r="AN439">
        <v>0.999999977610883</v>
      </c>
    </row>
    <row r="440" spans="1:40" x14ac:dyDescent="0.25">
      <c r="A440" t="str">
        <f>"20190303154740689"</f>
        <v>20190303154740689</v>
      </c>
      <c r="B440" t="str">
        <f>"1551599260681358"</f>
        <v>1551599260681358</v>
      </c>
      <c r="C440" t="s">
        <v>40</v>
      </c>
      <c r="D440">
        <v>5.1275329999999997</v>
      </c>
      <c r="E440">
        <v>0.4886491</v>
      </c>
      <c r="F440" t="s">
        <v>41</v>
      </c>
      <c r="G440">
        <v>-356.71480000000003</v>
      </c>
      <c r="H440" s="1">
        <v>-1.7833360000000001E-6</v>
      </c>
      <c r="I440">
        <v>367.40809999999999</v>
      </c>
      <c r="J440">
        <v>-380.95850000000002</v>
      </c>
      <c r="K440">
        <v>1.1196889999999999</v>
      </c>
      <c r="L440">
        <v>367.4409</v>
      </c>
      <c r="M440">
        <v>0.99990199999999996</v>
      </c>
      <c r="N440">
        <v>-4.7870650000000001E-3</v>
      </c>
      <c r="O440">
        <v>-1.316371E-2</v>
      </c>
      <c r="P440">
        <v>0.99735019999999996</v>
      </c>
      <c r="Q440">
        <v>-6.5691509999999995E-2</v>
      </c>
      <c r="R440">
        <v>-3.1265309999999998E-2</v>
      </c>
      <c r="S440">
        <v>2.99884</v>
      </c>
      <c r="T440">
        <v>-0.1371851</v>
      </c>
      <c r="U440">
        <v>-4.3640140000000003E-3</v>
      </c>
      <c r="V440">
        <v>1.8149909999999998E-2</v>
      </c>
      <c r="W440">
        <v>-6.0909930000000001E-2</v>
      </c>
      <c r="X440">
        <v>0.99797820000000004</v>
      </c>
      <c r="Y440">
        <v>-1.16842E-2</v>
      </c>
      <c r="Z440">
        <v>8.3396619999999996E-4</v>
      </c>
      <c r="AA440">
        <v>0.99993140000000003</v>
      </c>
      <c r="AB440">
        <v>29</v>
      </c>
      <c r="AC440">
        <v>24.243699999999901</v>
      </c>
      <c r="AD440">
        <v>-1.1196907833359999</v>
      </c>
      <c r="AE440">
        <v>-3.2800000000008801E-2</v>
      </c>
      <c r="AF440">
        <v>-0.28573402141995802</v>
      </c>
      <c r="AG440">
        <v>-1.1196907833359999</v>
      </c>
      <c r="AH440">
        <v>24.190432128038001</v>
      </c>
      <c r="AI440">
        <v>92.649945826144801</v>
      </c>
      <c r="AJ440">
        <v>90.676738310847</v>
      </c>
      <c r="AK440">
        <v>24.218017216991498</v>
      </c>
      <c r="AL440">
        <v>93.492043580312398</v>
      </c>
      <c r="AM440">
        <v>88.958094864186506</v>
      </c>
      <c r="AN440">
        <v>0.99999996324042495</v>
      </c>
    </row>
    <row r="441" spans="1:40" x14ac:dyDescent="0.25">
      <c r="A441" t="str">
        <f>"20190303154740699"</f>
        <v>20190303154740699</v>
      </c>
      <c r="B441" t="str">
        <f>"1551599260691119"</f>
        <v>1551599260691119</v>
      </c>
      <c r="C441" t="s">
        <v>40</v>
      </c>
      <c r="D441">
        <v>5.1286420000000001</v>
      </c>
      <c r="E441">
        <v>0.48865259999999999</v>
      </c>
      <c r="F441" t="s">
        <v>41</v>
      </c>
      <c r="G441">
        <v>-356.11950000000002</v>
      </c>
      <c r="H441" s="1">
        <v>-2.0390279999999998E-6</v>
      </c>
      <c r="I441">
        <v>367.40640000000002</v>
      </c>
      <c r="J441">
        <v>-380.81049999999999</v>
      </c>
      <c r="K441">
        <v>1.1196759999999999</v>
      </c>
      <c r="L441">
        <v>367.43900000000002</v>
      </c>
      <c r="M441">
        <v>0.99990429999999997</v>
      </c>
      <c r="N441">
        <v>-4.5315420000000004E-3</v>
      </c>
      <c r="O441">
        <v>-1.308113E-2</v>
      </c>
      <c r="P441">
        <v>0.99736440000000004</v>
      </c>
      <c r="Q441">
        <v>-6.5507289999999996E-2</v>
      </c>
      <c r="R441">
        <v>-3.1193269999999999E-2</v>
      </c>
      <c r="S441">
        <v>2.9989319999999999</v>
      </c>
      <c r="T441">
        <v>-0.13518540000000001</v>
      </c>
      <c r="U441">
        <v>-4.1503909999999998E-3</v>
      </c>
      <c r="V441">
        <v>1.8160550000000001E-2</v>
      </c>
      <c r="W441">
        <v>-6.0980630000000001E-2</v>
      </c>
      <c r="X441">
        <v>0.99797369999999996</v>
      </c>
      <c r="Y441">
        <v>-1.1673619999999999E-2</v>
      </c>
      <c r="Z441">
        <v>8.1954509999999903E-4</v>
      </c>
      <c r="AA441">
        <v>0.99993149999999997</v>
      </c>
      <c r="AB441">
        <v>29</v>
      </c>
      <c r="AC441">
        <v>24.690999999999899</v>
      </c>
      <c r="AD441">
        <v>-1.1196780390279999</v>
      </c>
      <c r="AE441">
        <v>-3.26000000000021E-2</v>
      </c>
      <c r="AF441">
        <v>-0.28979630653812399</v>
      </c>
      <c r="AG441">
        <v>-1.1196780390279999</v>
      </c>
      <c r="AH441">
        <v>24.6386468194485</v>
      </c>
      <c r="AI441">
        <v>92.601778069637902</v>
      </c>
      <c r="AJ441">
        <v>90.673873845031196</v>
      </c>
      <c r="AK441">
        <v>24.6657774640064</v>
      </c>
      <c r="AL441">
        <v>93.496101897222601</v>
      </c>
      <c r="AM441">
        <v>88.957479504339901</v>
      </c>
      <c r="AN441">
        <v>0.99999997435159405</v>
      </c>
    </row>
    <row r="442" spans="1:40" x14ac:dyDescent="0.25">
      <c r="A442" t="str">
        <f>"20190303154740711"</f>
        <v>20190303154740711</v>
      </c>
      <c r="B442" t="str">
        <f>"1551599260700879"</f>
        <v>1551599260700879</v>
      </c>
      <c r="C442" t="s">
        <v>40</v>
      </c>
      <c r="D442">
        <v>5.1238939999999999</v>
      </c>
      <c r="E442">
        <v>0.48869449999999998</v>
      </c>
      <c r="F442" t="s">
        <v>41</v>
      </c>
      <c r="G442">
        <v>-355.85629999999998</v>
      </c>
      <c r="H442" s="1">
        <v>-2.1519789999999999E-6</v>
      </c>
      <c r="I442">
        <v>367.40640000000002</v>
      </c>
      <c r="J442">
        <v>-380.6626</v>
      </c>
      <c r="K442">
        <v>1.119664</v>
      </c>
      <c r="L442">
        <v>367.43709999999999</v>
      </c>
      <c r="M442">
        <v>0.99990639999999997</v>
      </c>
      <c r="N442">
        <v>-4.3068789999999996E-3</v>
      </c>
      <c r="O442">
        <v>-1.299817E-2</v>
      </c>
      <c r="P442">
        <v>0.99740189999999995</v>
      </c>
      <c r="Q442">
        <v>-6.5037559999999994E-2</v>
      </c>
      <c r="R442">
        <v>-3.0985530000000001E-2</v>
      </c>
      <c r="S442">
        <v>2.9989620000000001</v>
      </c>
      <c r="T442">
        <v>-0.1345605</v>
      </c>
      <c r="U442">
        <v>-3.90625E-3</v>
      </c>
      <c r="V442">
        <v>1.8034890000000001E-2</v>
      </c>
      <c r="W442">
        <v>-6.0734950000000003E-2</v>
      </c>
      <c r="X442">
        <v>0.99799099999999996</v>
      </c>
      <c r="Y442">
        <v>-1.16723E-2</v>
      </c>
      <c r="Z442">
        <v>8.1383039999999903E-4</v>
      </c>
      <c r="AA442">
        <v>0.99993160000000003</v>
      </c>
      <c r="AB442">
        <v>29</v>
      </c>
      <c r="AC442">
        <v>24.8063</v>
      </c>
      <c r="AD442">
        <v>-1.1196661519789901</v>
      </c>
      <c r="AE442">
        <v>-3.06999999999675E-2</v>
      </c>
      <c r="AF442">
        <v>-0.29114888435748498</v>
      </c>
      <c r="AG442">
        <v>-1.1196661519789901</v>
      </c>
      <c r="AH442">
        <v>24.754171998182599</v>
      </c>
      <c r="AI442">
        <v>92.589624959069297</v>
      </c>
      <c r="AJ442">
        <v>90.673859466184794</v>
      </c>
      <c r="AK442">
        <v>24.7811914822585</v>
      </c>
      <c r="AL442">
        <v>93.481999192518998</v>
      </c>
      <c r="AM442">
        <v>88.964709481779494</v>
      </c>
      <c r="AN442">
        <v>1.0000000137449001</v>
      </c>
    </row>
    <row r="443" spans="1:40" x14ac:dyDescent="0.25">
      <c r="A443" t="str">
        <f>"20190303154740723"</f>
        <v>20190303154740723</v>
      </c>
      <c r="B443" t="str">
        <f>"1551599260721374"</f>
        <v>1551599260721374</v>
      </c>
      <c r="C443" t="s">
        <v>40</v>
      </c>
      <c r="D443">
        <v>5.1446259999999997</v>
      </c>
      <c r="E443">
        <v>0.48870010000000003</v>
      </c>
      <c r="F443" t="s">
        <v>41</v>
      </c>
      <c r="G443">
        <v>-355.3424</v>
      </c>
      <c r="H443" s="1">
        <v>-2.372634E-6</v>
      </c>
      <c r="I443">
        <v>367.4051</v>
      </c>
      <c r="J443">
        <v>-380.50380000000001</v>
      </c>
      <c r="K443">
        <v>1.1196600000000001</v>
      </c>
      <c r="L443">
        <v>367.43509999999998</v>
      </c>
      <c r="M443">
        <v>0.99990840000000003</v>
      </c>
      <c r="N443">
        <v>-4.0740009999999998E-3</v>
      </c>
      <c r="O443">
        <v>-1.2909149999999999E-2</v>
      </c>
      <c r="P443">
        <v>0.99741849999999999</v>
      </c>
      <c r="Q443">
        <v>-6.4870010000000006E-2</v>
      </c>
      <c r="R443">
        <v>-3.079728E-2</v>
      </c>
      <c r="S443">
        <v>2.9990839999999999</v>
      </c>
      <c r="T443">
        <v>-0.13261999999999999</v>
      </c>
      <c r="U443">
        <v>-3.7841799999999998E-3</v>
      </c>
      <c r="V443">
        <v>1.7935690000000001E-2</v>
      </c>
      <c r="W443">
        <v>-6.0799739999999998E-2</v>
      </c>
      <c r="X443">
        <v>0.99798880000000001</v>
      </c>
      <c r="Y443">
        <v>-1.162477E-2</v>
      </c>
      <c r="Z443">
        <v>7.9857379999999996E-4</v>
      </c>
      <c r="AA443">
        <v>0.99993209999999999</v>
      </c>
      <c r="AB443">
        <v>29</v>
      </c>
      <c r="AC443">
        <v>25.1614</v>
      </c>
      <c r="AD443">
        <v>-1.119662372634</v>
      </c>
      <c r="AE443">
        <v>-2.9999999999972701E-2</v>
      </c>
      <c r="AF443">
        <v>-0.29423483679690399</v>
      </c>
      <c r="AG443">
        <v>-1.119662372634</v>
      </c>
      <c r="AH443">
        <v>25.109968455938599</v>
      </c>
      <c r="AI443">
        <v>92.552972790390299</v>
      </c>
      <c r="AJ443">
        <v>90.671352607588005</v>
      </c>
      <c r="AK443">
        <v>25.1366412598443</v>
      </c>
      <c r="AL443">
        <v>93.485718407699906</v>
      </c>
      <c r="AM443">
        <v>88.970400546486502</v>
      </c>
      <c r="AN443">
        <v>0.99999997114264105</v>
      </c>
    </row>
    <row r="444" spans="1:40" x14ac:dyDescent="0.25">
      <c r="A444" t="str">
        <f>"20190303154740736"</f>
        <v>20190303154740736</v>
      </c>
      <c r="B444" t="str">
        <f>"1551599260731135"</f>
        <v>1551599260731135</v>
      </c>
      <c r="C444" t="s">
        <v>40</v>
      </c>
      <c r="D444">
        <v>5.1497599999999997</v>
      </c>
      <c r="E444">
        <v>0.4887243</v>
      </c>
      <c r="F444" t="s">
        <v>41</v>
      </c>
      <c r="G444">
        <v>-354.89249999999998</v>
      </c>
      <c r="H444" s="1">
        <v>-2.564954E-6</v>
      </c>
      <c r="I444">
        <v>367.40899999999999</v>
      </c>
      <c r="J444">
        <v>-380.33949999999999</v>
      </c>
      <c r="K444">
        <v>1.11965</v>
      </c>
      <c r="L444">
        <v>367.43310000000002</v>
      </c>
      <c r="M444">
        <v>0.99991059999999998</v>
      </c>
      <c r="N444">
        <v>-3.857732E-3</v>
      </c>
      <c r="O444">
        <v>-1.281756E-2</v>
      </c>
      <c r="P444">
        <v>0.99743400000000004</v>
      </c>
      <c r="Q444">
        <v>-6.4606780000000003E-2</v>
      </c>
      <c r="R444">
        <v>-3.0856560000000002E-2</v>
      </c>
      <c r="S444">
        <v>2.9991150000000002</v>
      </c>
      <c r="T444">
        <v>-0.13111349999999999</v>
      </c>
      <c r="U444">
        <v>-3.0517579999999999E-3</v>
      </c>
      <c r="V444">
        <v>1.808601E-2</v>
      </c>
      <c r="W444">
        <v>-6.0752180000000003E-2</v>
      </c>
      <c r="X444">
        <v>0.99798900000000001</v>
      </c>
      <c r="Y444">
        <v>-1.177775E-2</v>
      </c>
      <c r="Z444">
        <v>7.9069669999999896E-4</v>
      </c>
      <c r="AA444">
        <v>0.99993030000000005</v>
      </c>
      <c r="AB444">
        <v>30</v>
      </c>
      <c r="AC444">
        <v>25.446999999999999</v>
      </c>
      <c r="AD444">
        <v>-1.1196525649539999</v>
      </c>
      <c r="AE444">
        <v>-2.4100000000032599E-2</v>
      </c>
      <c r="AF444">
        <v>-0.301489127886792</v>
      </c>
      <c r="AG444">
        <v>-1.1196525649539999</v>
      </c>
      <c r="AH444">
        <v>25.396053088295801</v>
      </c>
      <c r="AI444">
        <v>92.524224503796603</v>
      </c>
      <c r="AJ444">
        <v>90.6801546332497</v>
      </c>
      <c r="AK444">
        <v>25.422510301384101</v>
      </c>
      <c r="AL444">
        <v>93.482988316210793</v>
      </c>
      <c r="AM444">
        <v>88.961773506061704</v>
      </c>
      <c r="AN444">
        <v>0.99999998762673603</v>
      </c>
    </row>
    <row r="445" spans="1:40" x14ac:dyDescent="0.25">
      <c r="A445" t="str">
        <f>"20190303154740748"</f>
        <v>20190303154740748</v>
      </c>
      <c r="B445" t="str">
        <f>"1551599260740895"</f>
        <v>1551599260740895</v>
      </c>
      <c r="C445" t="s">
        <v>40</v>
      </c>
      <c r="D445">
        <v>5.1739620000000004</v>
      </c>
      <c r="E445">
        <v>0.48875819999999998</v>
      </c>
      <c r="F445" t="s">
        <v>41</v>
      </c>
      <c r="G445">
        <v>-354.50400000000002</v>
      </c>
      <c r="H445" s="1">
        <v>-2.732344E-6</v>
      </c>
      <c r="I445">
        <v>367.4049</v>
      </c>
      <c r="J445">
        <v>-380.17360000000002</v>
      </c>
      <c r="K445">
        <v>1.119642</v>
      </c>
      <c r="L445">
        <v>367.43110000000001</v>
      </c>
      <c r="M445">
        <v>0.99991229999999998</v>
      </c>
      <c r="N445">
        <v>-3.6579910000000002E-3</v>
      </c>
      <c r="O445">
        <v>-1.2724579999999999E-2</v>
      </c>
      <c r="P445">
        <v>0.99743649999999995</v>
      </c>
      <c r="Q445">
        <v>-6.4618510000000004E-2</v>
      </c>
      <c r="R445">
        <v>-3.073942E-2</v>
      </c>
      <c r="S445">
        <v>2.9992369999999999</v>
      </c>
      <c r="T445">
        <v>-0.1299797</v>
      </c>
      <c r="U445">
        <v>-3.2653809999999999E-3</v>
      </c>
      <c r="V445">
        <v>1.8061959999999998E-2</v>
      </c>
      <c r="W445">
        <v>-6.0963219999999999E-2</v>
      </c>
      <c r="X445">
        <v>0.99797659999999999</v>
      </c>
      <c r="Y445">
        <v>-1.161418E-2</v>
      </c>
      <c r="Z445">
        <v>7.7745479999999996E-4</v>
      </c>
      <c r="AA445">
        <v>0.99993220000000005</v>
      </c>
      <c r="AB445">
        <v>30</v>
      </c>
      <c r="AC445">
        <v>25.669599999999999</v>
      </c>
      <c r="AD445">
        <v>-1.119644732344</v>
      </c>
      <c r="AE445">
        <v>-2.6200000000017099E-2</v>
      </c>
      <c r="AF445">
        <v>-0.29986870459792703</v>
      </c>
      <c r="AG445">
        <v>-1.119644732344</v>
      </c>
      <c r="AH445">
        <v>25.619115080349498</v>
      </c>
      <c r="AI445">
        <v>92.502261923064296</v>
      </c>
      <c r="AJ445">
        <v>90.670609681838897</v>
      </c>
      <c r="AK445">
        <v>25.645322830232701</v>
      </c>
      <c r="AL445">
        <v>93.495102353775295</v>
      </c>
      <c r="AM445">
        <v>88.963140913363503</v>
      </c>
      <c r="AN445">
        <v>1.00000002136968</v>
      </c>
    </row>
    <row r="446" spans="1:40" x14ac:dyDescent="0.25">
      <c r="A446" t="str">
        <f>"20190303154740763"</f>
        <v>20190303154740763</v>
      </c>
      <c r="B446" t="str">
        <f>"1551599260750654"</f>
        <v>1551599260750654</v>
      </c>
      <c r="C446" t="s">
        <v>40</v>
      </c>
      <c r="D446">
        <v>5.1118169999999896</v>
      </c>
      <c r="E446">
        <v>0.48877930000000003</v>
      </c>
      <c r="F446" t="s">
        <v>41</v>
      </c>
      <c r="G446">
        <v>-354.27339999999998</v>
      </c>
      <c r="H446" s="1">
        <v>-2.832031E-6</v>
      </c>
      <c r="I446">
        <v>367.40069999999997</v>
      </c>
      <c r="J446">
        <v>-379.9785</v>
      </c>
      <c r="K446">
        <v>1.1196330000000001</v>
      </c>
      <c r="L446">
        <v>367.42869999999999</v>
      </c>
      <c r="M446">
        <v>0.99991459999999999</v>
      </c>
      <c r="N446">
        <v>-3.441651E-3</v>
      </c>
      <c r="O446">
        <v>-1.261515E-2</v>
      </c>
      <c r="P446">
        <v>0.99744699999999997</v>
      </c>
      <c r="Q446">
        <v>-6.4441499999999999E-2</v>
      </c>
      <c r="R446">
        <v>-3.0771759999999999E-2</v>
      </c>
      <c r="S446">
        <v>2.9992369999999999</v>
      </c>
      <c r="T446">
        <v>-0.12965399999999999</v>
      </c>
      <c r="U446">
        <v>-3.5095209999999998E-3</v>
      </c>
      <c r="V446">
        <v>1.8203549999999999E-2</v>
      </c>
      <c r="W446">
        <v>-6.1002000000000001E-2</v>
      </c>
      <c r="X446">
        <v>0.99797170000000002</v>
      </c>
      <c r="Y446">
        <v>-1.142368E-2</v>
      </c>
      <c r="Z446">
        <v>7.6814449999999996E-4</v>
      </c>
      <c r="AA446">
        <v>0.9999344</v>
      </c>
      <c r="AB446">
        <v>30</v>
      </c>
      <c r="AC446">
        <v>25.705100000000002</v>
      </c>
      <c r="AD446">
        <v>-1.119635832031</v>
      </c>
      <c r="AE446">
        <v>-2.8000000000019998E-2</v>
      </c>
      <c r="AF446">
        <v>-0.29571677378307398</v>
      </c>
      <c r="AG446">
        <v>-1.119635832031</v>
      </c>
      <c r="AH446">
        <v>25.6547354249515</v>
      </c>
      <c r="AI446">
        <v>92.498777385236707</v>
      </c>
      <c r="AJ446">
        <v>90.660407228756696</v>
      </c>
      <c r="AK446">
        <v>25.680858290386698</v>
      </c>
      <c r="AL446">
        <v>93.497328279218706</v>
      </c>
      <c r="AM446">
        <v>88.955009508864507</v>
      </c>
      <c r="AN446">
        <v>1.0000000636187401</v>
      </c>
    </row>
    <row r="447" spans="1:40" x14ac:dyDescent="0.25">
      <c r="A447" t="str">
        <f>"20190303154740779"</f>
        <v>20190303154740779</v>
      </c>
      <c r="B447" t="str">
        <f>"1551599260771149"</f>
        <v>1551599260771149</v>
      </c>
      <c r="C447" t="s">
        <v>40</v>
      </c>
      <c r="D447">
        <v>5.1400059999999996</v>
      </c>
      <c r="E447">
        <v>0.48880069999999998</v>
      </c>
      <c r="F447" t="s">
        <v>41</v>
      </c>
      <c r="G447">
        <v>-353.9837</v>
      </c>
      <c r="H447" s="1">
        <v>-2.9572069999999998E-6</v>
      </c>
      <c r="I447">
        <v>367.3956</v>
      </c>
      <c r="J447">
        <v>-379.74220000000003</v>
      </c>
      <c r="K447">
        <v>1.1196189999999999</v>
      </c>
      <c r="L447">
        <v>367.42579999999998</v>
      </c>
      <c r="M447">
        <v>0.99991699999999994</v>
      </c>
      <c r="N447">
        <v>-3.2127190000000002E-3</v>
      </c>
      <c r="O447">
        <v>-1.2483080000000001E-2</v>
      </c>
      <c r="P447">
        <v>0.99744089999999996</v>
      </c>
      <c r="Q447">
        <v>-6.4470920000000001E-2</v>
      </c>
      <c r="R447">
        <v>-3.0909880000000001E-2</v>
      </c>
      <c r="S447">
        <v>2.9992070000000002</v>
      </c>
      <c r="T447">
        <v>-0.12917999999999999</v>
      </c>
      <c r="U447">
        <v>-3.8146970000000001E-3</v>
      </c>
      <c r="V447">
        <v>1.8474020000000001E-2</v>
      </c>
      <c r="W447">
        <v>-6.1259790000000001E-2</v>
      </c>
      <c r="X447">
        <v>0.99795089999999997</v>
      </c>
      <c r="Y447">
        <v>-1.119028E-2</v>
      </c>
      <c r="Z447">
        <v>7.5617759999999903E-4</v>
      </c>
      <c r="AA447">
        <v>0.99993710000000002</v>
      </c>
      <c r="AB447">
        <v>30</v>
      </c>
      <c r="AC447">
        <v>25.758500000000002</v>
      </c>
      <c r="AD447">
        <v>-1.1196219572069901</v>
      </c>
      <c r="AE447">
        <v>-3.0199999999979299E-2</v>
      </c>
      <c r="AF447">
        <v>-0.29079999506151299</v>
      </c>
      <c r="AG447">
        <v>-1.1196219572069901</v>
      </c>
      <c r="AH447">
        <v>25.7082992467477</v>
      </c>
      <c r="AI447">
        <v>92.493552963598304</v>
      </c>
      <c r="AJ447">
        <v>90.648074836587298</v>
      </c>
      <c r="AK447">
        <v>25.734311106468699</v>
      </c>
      <c r="AL447">
        <v>93.512126368707598</v>
      </c>
      <c r="AM447">
        <v>88.939464366339806</v>
      </c>
      <c r="AN447">
        <v>1.0000000250483001</v>
      </c>
    </row>
    <row r="448" spans="1:40" x14ac:dyDescent="0.25">
      <c r="A448" t="str">
        <f>"20190303154740801"</f>
        <v>20190303154740801</v>
      </c>
      <c r="B448" t="str">
        <f>"1551599260790671"</f>
        <v>1551599260790671</v>
      </c>
      <c r="C448" t="s">
        <v>40</v>
      </c>
      <c r="D448">
        <v>5.1912209999999996</v>
      </c>
      <c r="E448">
        <v>0.48883090000000001</v>
      </c>
      <c r="F448" t="s">
        <v>41</v>
      </c>
      <c r="G448">
        <v>-353.78109999999998</v>
      </c>
      <c r="H448" s="1">
        <v>-3.0451669999999998E-6</v>
      </c>
      <c r="I448">
        <v>367.38979999999998</v>
      </c>
      <c r="J448">
        <v>-379.46409999999997</v>
      </c>
      <c r="K448">
        <v>1.119602</v>
      </c>
      <c r="L448">
        <v>367.42250000000001</v>
      </c>
      <c r="M448">
        <v>0.99991949999999996</v>
      </c>
      <c r="N448">
        <v>-2.9848190000000001E-3</v>
      </c>
      <c r="O448">
        <v>-1.232815E-2</v>
      </c>
      <c r="P448">
        <v>0.99737540000000002</v>
      </c>
      <c r="Q448">
        <v>-6.5345520000000004E-2</v>
      </c>
      <c r="R448">
        <v>-3.11811E-2</v>
      </c>
      <c r="S448">
        <v>2.9991759999999998</v>
      </c>
      <c r="T448">
        <v>-0.12934480000000001</v>
      </c>
      <c r="U448">
        <v>-4.1503909999999998E-3</v>
      </c>
      <c r="V448">
        <v>1.8901029999999999E-2</v>
      </c>
      <c r="W448">
        <v>-6.2361809999999997E-2</v>
      </c>
      <c r="X448">
        <v>0.99787459999999994</v>
      </c>
      <c r="Y448">
        <v>-1.092367E-2</v>
      </c>
      <c r="Z448">
        <v>7.4638509999999897E-4</v>
      </c>
      <c r="AA448">
        <v>0.99994000000000005</v>
      </c>
      <c r="AB448">
        <v>30</v>
      </c>
      <c r="AC448">
        <v>25.683</v>
      </c>
      <c r="AD448">
        <v>-1.1196050451670001</v>
      </c>
      <c r="AE448">
        <v>-3.2700000000033903E-2</v>
      </c>
      <c r="AF448">
        <v>-0.28338924435589002</v>
      </c>
      <c r="AG448">
        <v>-1.1196050451670001</v>
      </c>
      <c r="AH448">
        <v>25.6327397338898</v>
      </c>
      <c r="AI448">
        <v>92.500863489421604</v>
      </c>
      <c r="AJ448">
        <v>90.633422190916306</v>
      </c>
      <c r="AK448">
        <v>25.658744536440501</v>
      </c>
      <c r="AL448">
        <v>93.575388588074901</v>
      </c>
      <c r="AM448">
        <v>88.914873908444093</v>
      </c>
      <c r="AN448">
        <v>0.99999998080334795</v>
      </c>
    </row>
    <row r="449" spans="1:40" x14ac:dyDescent="0.25">
      <c r="A449" t="str">
        <f>"20190303154740817"</f>
        <v>20190303154740817</v>
      </c>
      <c r="B449" t="str">
        <f>"1551599260811167"</f>
        <v>1551599260811167</v>
      </c>
      <c r="C449" t="s">
        <v>40</v>
      </c>
      <c r="D449">
        <v>5.1803530000000002</v>
      </c>
      <c r="E449">
        <v>0.48884870000000002</v>
      </c>
      <c r="F449" t="s">
        <v>41</v>
      </c>
      <c r="G449">
        <v>-353.97919999999999</v>
      </c>
      <c r="H449" s="1">
        <v>-2.962647E-6</v>
      </c>
      <c r="I449">
        <v>367.37569999999999</v>
      </c>
      <c r="J449">
        <v>-379.233</v>
      </c>
      <c r="K449">
        <v>1.1195919999999999</v>
      </c>
      <c r="L449">
        <v>367.41969999999998</v>
      </c>
      <c r="M449">
        <v>0.99992170000000002</v>
      </c>
      <c r="N449">
        <v>-2.8269800000000002E-3</v>
      </c>
      <c r="O449">
        <v>-1.219919E-2</v>
      </c>
      <c r="P449">
        <v>0.9973495</v>
      </c>
      <c r="Q449">
        <v>-6.5722349999999999E-2</v>
      </c>
      <c r="R449">
        <v>-3.122407E-2</v>
      </c>
      <c r="S449">
        <v>2.9991150000000002</v>
      </c>
      <c r="T449">
        <v>-0.13175689999999901</v>
      </c>
      <c r="U449">
        <v>-5.493164E-3</v>
      </c>
      <c r="V449">
        <v>1.907325E-2</v>
      </c>
      <c r="W449">
        <v>-6.2896110000000005E-2</v>
      </c>
      <c r="X449">
        <v>0.9978378</v>
      </c>
      <c r="Y449">
        <v>-1.034684E-2</v>
      </c>
      <c r="Z449">
        <v>7.4299299999999995E-4</v>
      </c>
      <c r="AA449">
        <v>0.99994620000000001</v>
      </c>
      <c r="AB449">
        <v>30</v>
      </c>
      <c r="AC449">
        <v>25.253799999999998</v>
      </c>
      <c r="AD449">
        <v>-1.1195949626470001</v>
      </c>
      <c r="AE449">
        <v>-4.3999999999982699E-2</v>
      </c>
      <c r="AF449">
        <v>-0.26356235137334799</v>
      </c>
      <c r="AG449">
        <v>-1.1195949626470001</v>
      </c>
      <c r="AH449">
        <v>25.202921881469301</v>
      </c>
      <c r="AI449">
        <v>92.543451857106106</v>
      </c>
      <c r="AJ449">
        <v>90.599155129275204</v>
      </c>
      <c r="AK449">
        <v>25.229154352789799</v>
      </c>
      <c r="AL449">
        <v>93.606061897943306</v>
      </c>
      <c r="AM449">
        <v>88.9049486172446</v>
      </c>
      <c r="AN449">
        <v>0.99999999231376702</v>
      </c>
    </row>
    <row r="450" spans="1:40" x14ac:dyDescent="0.25">
      <c r="A450" t="str">
        <f>"20190303154740836"</f>
        <v>20190303154740836</v>
      </c>
      <c r="B450" t="str">
        <f>"1551599260830686"</f>
        <v>1551599260830686</v>
      </c>
      <c r="C450" t="s">
        <v>40</v>
      </c>
      <c r="D450">
        <v>5.1785300000000003</v>
      </c>
      <c r="E450">
        <v>0.48886249999999998</v>
      </c>
      <c r="F450" t="s">
        <v>41</v>
      </c>
      <c r="G450">
        <v>-353.983</v>
      </c>
      <c r="H450" s="1">
        <v>-2.9615400000000002E-6</v>
      </c>
      <c r="I450">
        <v>367.37290000000002</v>
      </c>
      <c r="J450">
        <v>-378.97930000000002</v>
      </c>
      <c r="K450">
        <v>1.119578</v>
      </c>
      <c r="L450">
        <v>367.41669999999999</v>
      </c>
      <c r="M450">
        <v>0.99992380000000003</v>
      </c>
      <c r="N450">
        <v>-2.6791430000000001E-3</v>
      </c>
      <c r="O450">
        <v>-1.2057750000000001E-2</v>
      </c>
      <c r="P450">
        <v>0.99730090000000005</v>
      </c>
      <c r="Q450">
        <v>-6.631418E-2</v>
      </c>
      <c r="R450">
        <v>-3.1519499999999999E-2</v>
      </c>
      <c r="S450">
        <v>2.9990230000000002</v>
      </c>
      <c r="T450">
        <v>-0.1329775</v>
      </c>
      <c r="U450">
        <v>-5.5541990000000001E-3</v>
      </c>
      <c r="V450">
        <v>1.9510969999999999E-2</v>
      </c>
      <c r="W450">
        <v>-6.3635399999999995E-2</v>
      </c>
      <c r="X450">
        <v>0.99778250000000002</v>
      </c>
      <c r="Y450">
        <v>-1.0184830000000001E-2</v>
      </c>
      <c r="Z450">
        <v>7.4141759999999995E-4</v>
      </c>
      <c r="AA450">
        <v>0.99994780000000005</v>
      </c>
      <c r="AB450">
        <v>30</v>
      </c>
      <c r="AC450">
        <v>24.996300000000002</v>
      </c>
      <c r="AD450">
        <v>-1.1195809615400001</v>
      </c>
      <c r="AE450">
        <v>-4.3799999999975997E-2</v>
      </c>
      <c r="AF450">
        <v>-0.25708762593844697</v>
      </c>
      <c r="AG450">
        <v>-1.1195809615400001</v>
      </c>
      <c r="AH450">
        <v>24.9449682040539</v>
      </c>
      <c r="AI450">
        <v>92.569690328980499</v>
      </c>
      <c r="AJ450">
        <v>90.590480385239303</v>
      </c>
      <c r="AK450">
        <v>24.971403530400799</v>
      </c>
      <c r="AL450">
        <v>93.648504985367595</v>
      </c>
      <c r="AM450">
        <v>88.879762088576697</v>
      </c>
      <c r="AN450">
        <v>1.0000000296948699</v>
      </c>
    </row>
    <row r="451" spans="1:40" x14ac:dyDescent="0.25">
      <c r="A451" t="str">
        <f>"20190303154740849"</f>
        <v>20190303154740849</v>
      </c>
      <c r="B451" t="str">
        <f>"1551599260841423"</f>
        <v>1551599260841423</v>
      </c>
      <c r="C451" t="s">
        <v>40</v>
      </c>
      <c r="D451">
        <v>5.1664969999999997</v>
      </c>
      <c r="E451">
        <v>0.48885899999999999</v>
      </c>
      <c r="F451" t="s">
        <v>41</v>
      </c>
      <c r="G451">
        <v>-354.08359999999999</v>
      </c>
      <c r="H451" s="1">
        <v>-2.920414E-6</v>
      </c>
      <c r="I451">
        <v>367.36149999999998</v>
      </c>
      <c r="J451">
        <v>-378.80340000000001</v>
      </c>
      <c r="K451">
        <v>1.119572</v>
      </c>
      <c r="L451">
        <v>367.41469999999998</v>
      </c>
      <c r="M451">
        <v>0.99992510000000001</v>
      </c>
      <c r="N451">
        <v>-2.5926959999999998E-3</v>
      </c>
      <c r="O451">
        <v>-1.195942E-2</v>
      </c>
      <c r="P451">
        <v>0.99726499999999996</v>
      </c>
      <c r="Q451">
        <v>-6.6754480000000005E-2</v>
      </c>
      <c r="R451">
        <v>-3.1725999999999997E-2</v>
      </c>
      <c r="S451">
        <v>2.998901</v>
      </c>
      <c r="T451">
        <v>-0.1348627</v>
      </c>
      <c r="U451">
        <v>-6.6528319999999896E-3</v>
      </c>
      <c r="V451">
        <v>1.9815989999999999E-2</v>
      </c>
      <c r="W451">
        <v>-6.4161899999999994E-2</v>
      </c>
      <c r="X451">
        <v>0.99774269999999998</v>
      </c>
      <c r="Y451">
        <v>-9.7200429999999994E-3</v>
      </c>
      <c r="Z451">
        <v>7.3760169999999997E-4</v>
      </c>
      <c r="AA451">
        <v>0.99995250000000002</v>
      </c>
      <c r="AB451">
        <v>31</v>
      </c>
      <c r="AC451">
        <v>24.719799999999999</v>
      </c>
      <c r="AD451">
        <v>-1.119574920414</v>
      </c>
      <c r="AE451">
        <v>-5.3200000000003897E-2</v>
      </c>
      <c r="AF451">
        <v>-0.24194299466824101</v>
      </c>
      <c r="AG451">
        <v>-1.119574920414</v>
      </c>
      <c r="AH451">
        <v>24.668068472256699</v>
      </c>
      <c r="AI451">
        <v>92.598494854290706</v>
      </c>
      <c r="AJ451">
        <v>90.561935687021702</v>
      </c>
      <c r="AK451">
        <v>24.694646921287099</v>
      </c>
      <c r="AL451">
        <v>93.678733246808207</v>
      </c>
      <c r="AM451">
        <v>88.862208317061899</v>
      </c>
      <c r="AN451">
        <v>0.99999995913728901</v>
      </c>
    </row>
    <row r="452" spans="1:40" x14ac:dyDescent="0.25">
      <c r="A452" t="str">
        <f>"20190303154740862"</f>
        <v>20190303154740862</v>
      </c>
      <c r="B452" t="str">
        <f>"1551599260851182"</f>
        <v>1551599260851182</v>
      </c>
      <c r="C452" t="s">
        <v>40</v>
      </c>
      <c r="D452">
        <v>5.1761910000000002</v>
      </c>
      <c r="E452">
        <v>0.48884949999999999</v>
      </c>
      <c r="F452" t="s">
        <v>41</v>
      </c>
      <c r="G452">
        <v>-354.18279999999999</v>
      </c>
      <c r="H452" s="1">
        <v>-2.8788369999999998E-6</v>
      </c>
      <c r="I452">
        <v>367.35599999999999</v>
      </c>
      <c r="J452">
        <v>-378.61680000000001</v>
      </c>
      <c r="K452">
        <v>1.119559</v>
      </c>
      <c r="L452">
        <v>367.4126</v>
      </c>
      <c r="M452">
        <v>0.99992650000000005</v>
      </c>
      <c r="N452">
        <v>-2.5107939999999998E-3</v>
      </c>
      <c r="O452">
        <v>-1.1855249999999999E-2</v>
      </c>
      <c r="P452">
        <v>0.99725509999999995</v>
      </c>
      <c r="Q452">
        <v>-6.6683870000000006E-2</v>
      </c>
      <c r="R452">
        <v>-3.2175960000000003E-2</v>
      </c>
      <c r="S452">
        <v>2.998901</v>
      </c>
      <c r="T452">
        <v>-0.1363685</v>
      </c>
      <c r="U452">
        <v>-7.1411130000000001E-3</v>
      </c>
      <c r="V452">
        <v>2.0370429999999998E-2</v>
      </c>
      <c r="W452">
        <v>-6.4172839999999995E-2</v>
      </c>
      <c r="X452">
        <v>0.99773089999999998</v>
      </c>
      <c r="Y452">
        <v>-9.4529469999999997E-3</v>
      </c>
      <c r="Z452">
        <v>7.357377E-4</v>
      </c>
      <c r="AA452">
        <v>0.99995509999999999</v>
      </c>
      <c r="AB452">
        <v>31</v>
      </c>
      <c r="AC452">
        <v>24.434000000000001</v>
      </c>
      <c r="AD452">
        <v>-1.1195618788370001</v>
      </c>
      <c r="AE452">
        <v>-5.6600000000003002E-2</v>
      </c>
      <c r="AF452">
        <v>-0.23258778447360001</v>
      </c>
      <c r="AG452">
        <v>-1.1195618788370001</v>
      </c>
      <c r="AH452">
        <v>24.381765672247099</v>
      </c>
      <c r="AI452">
        <v>92.628941348157696</v>
      </c>
      <c r="AJ452">
        <v>90.546551647851402</v>
      </c>
      <c r="AK452">
        <v>24.408564340706299</v>
      </c>
      <c r="AL452">
        <v>93.679361102227901</v>
      </c>
      <c r="AM452">
        <v>88.830368454364702</v>
      </c>
      <c r="AN452">
        <v>1.0000000283134201</v>
      </c>
    </row>
    <row r="453" spans="1:40" x14ac:dyDescent="0.25">
      <c r="A453" t="str">
        <f>"20190303154740879"</f>
        <v>20190303154740879</v>
      </c>
      <c r="B453" t="str">
        <f>"1551599260870702"</f>
        <v>1551599260870702</v>
      </c>
      <c r="C453" t="s">
        <v>40</v>
      </c>
      <c r="D453">
        <v>5.2170420000000002</v>
      </c>
      <c r="E453">
        <v>0.48883500000000002</v>
      </c>
      <c r="F453" t="s">
        <v>41</v>
      </c>
      <c r="G453">
        <v>-353.99090000000001</v>
      </c>
      <c r="H453" s="1">
        <v>-2.9633129999999998E-6</v>
      </c>
      <c r="I453">
        <v>367.34390000000002</v>
      </c>
      <c r="J453">
        <v>-378.37810000000002</v>
      </c>
      <c r="K453">
        <v>1.1195469999999901</v>
      </c>
      <c r="L453">
        <v>367.40989999999999</v>
      </c>
      <c r="M453">
        <v>0.99992840000000005</v>
      </c>
      <c r="N453">
        <v>-2.4269249999999999E-3</v>
      </c>
      <c r="O453">
        <v>-1.172284E-2</v>
      </c>
      <c r="P453">
        <v>0.99723329999999999</v>
      </c>
      <c r="Q453">
        <v>-6.6923040000000003E-2</v>
      </c>
      <c r="R453">
        <v>-3.236588E-2</v>
      </c>
      <c r="S453">
        <v>2.9988709999999998</v>
      </c>
      <c r="T453">
        <v>-0.13633619999999999</v>
      </c>
      <c r="U453">
        <v>-8.3618159999999993E-3</v>
      </c>
      <c r="V453">
        <v>2.069286E-2</v>
      </c>
      <c r="W453">
        <v>-6.4495570000000002E-2</v>
      </c>
      <c r="X453">
        <v>0.99770340000000002</v>
      </c>
      <c r="Y453">
        <v>-8.9141600000000008E-3</v>
      </c>
      <c r="Z453">
        <v>7.1757310000000003E-4</v>
      </c>
      <c r="AA453">
        <v>0.99995999999999996</v>
      </c>
      <c r="AB453">
        <v>31</v>
      </c>
      <c r="AC453">
        <v>24.3872</v>
      </c>
      <c r="AD453">
        <v>-1.1195499633129999</v>
      </c>
      <c r="AE453">
        <v>-6.5999999999973996E-2</v>
      </c>
      <c r="AF453">
        <v>-0.219430162741684</v>
      </c>
      <c r="AG453">
        <v>-1.1195499633129999</v>
      </c>
      <c r="AH453">
        <v>24.335012805127</v>
      </c>
      <c r="AI453">
        <v>92.633969764024698</v>
      </c>
      <c r="AJ453">
        <v>90.516625226255996</v>
      </c>
      <c r="AK453">
        <v>24.361740289691301</v>
      </c>
      <c r="AL453">
        <v>93.697890756426006</v>
      </c>
      <c r="AM453">
        <v>88.811827659832801</v>
      </c>
      <c r="AN453">
        <v>0.99999997368808102</v>
      </c>
    </row>
    <row r="454" spans="1:40" x14ac:dyDescent="0.25">
      <c r="A454" t="str">
        <f>"20190303154740901"</f>
        <v>20190303154740901</v>
      </c>
      <c r="B454" t="str">
        <f>"1551599260891200"</f>
        <v>1551599260891200</v>
      </c>
      <c r="C454" t="s">
        <v>40</v>
      </c>
      <c r="D454">
        <v>5.2034449999999897</v>
      </c>
      <c r="E454">
        <v>0.48881869999999999</v>
      </c>
      <c r="F454" t="s">
        <v>41</v>
      </c>
      <c r="G454">
        <v>-353.94220000000001</v>
      </c>
      <c r="H454" s="1">
        <v>-2.9856880000000002E-6</v>
      </c>
      <c r="I454">
        <v>367.33539999999999</v>
      </c>
      <c r="J454">
        <v>-378.07870000000003</v>
      </c>
      <c r="K454">
        <v>1.119532</v>
      </c>
      <c r="L454">
        <v>367.40649999999999</v>
      </c>
      <c r="M454">
        <v>0.9999306</v>
      </c>
      <c r="N454">
        <v>-2.3475789999999998E-3</v>
      </c>
      <c r="O454">
        <v>-1.1556459999999999E-2</v>
      </c>
      <c r="P454">
        <v>0.99721349999999997</v>
      </c>
      <c r="Q454">
        <v>-6.7269250000000003E-2</v>
      </c>
      <c r="R454">
        <v>-3.2257010000000003E-2</v>
      </c>
      <c r="S454">
        <v>2.9988100000000002</v>
      </c>
      <c r="T454">
        <v>-0.13739219999999999</v>
      </c>
      <c r="U454">
        <v>-9.1247559999999995E-3</v>
      </c>
      <c r="V454">
        <v>2.0750689999999999E-2</v>
      </c>
      <c r="W454">
        <v>-6.4920889999999995E-2</v>
      </c>
      <c r="X454">
        <v>0.99767459999999997</v>
      </c>
      <c r="Y454">
        <v>-8.4935819999999995E-3</v>
      </c>
      <c r="Z454">
        <v>7.0650089999999997E-4</v>
      </c>
      <c r="AA454">
        <v>0.99996370000000001</v>
      </c>
      <c r="AB454">
        <v>31</v>
      </c>
      <c r="AC454">
        <v>24.136500000000002</v>
      </c>
      <c r="AD454">
        <v>-1.1195349856879999</v>
      </c>
      <c r="AE454">
        <v>-7.1100000000001204E-2</v>
      </c>
      <c r="AF454">
        <v>-0.20739179145204101</v>
      </c>
      <c r="AG454">
        <v>-1.1195349856879999</v>
      </c>
      <c r="AH454">
        <v>24.083895558123402</v>
      </c>
      <c r="AI454">
        <v>92.661368229754402</v>
      </c>
      <c r="AJ454">
        <v>90.4933745301974</v>
      </c>
      <c r="AK454">
        <v>24.110794163484901</v>
      </c>
      <c r="AL454">
        <v>93.722311027398803</v>
      </c>
      <c r="AM454">
        <v>88.808473664748504</v>
      </c>
      <c r="AN454">
        <v>0.99999996028951299</v>
      </c>
    </row>
    <row r="455" spans="1:40" x14ac:dyDescent="0.25">
      <c r="A455" t="str">
        <f>"20190303154740913"</f>
        <v>20190303154740913</v>
      </c>
      <c r="B455" t="str">
        <f>"1551599260900959"</f>
        <v>1551599260900959</v>
      </c>
      <c r="C455" t="s">
        <v>40</v>
      </c>
      <c r="D455">
        <v>5.2175520000000004</v>
      </c>
      <c r="E455">
        <v>0.48882170000000003</v>
      </c>
      <c r="F455" t="s">
        <v>41</v>
      </c>
      <c r="G455">
        <v>-353.8306</v>
      </c>
      <c r="H455" s="1">
        <v>-3.0331280000000002E-6</v>
      </c>
      <c r="I455">
        <v>367.33789999999999</v>
      </c>
      <c r="J455">
        <v>-377.90159999999997</v>
      </c>
      <c r="K455">
        <v>1.119526</v>
      </c>
      <c r="L455">
        <v>367.40449999999998</v>
      </c>
      <c r="M455">
        <v>0.99993160000000003</v>
      </c>
      <c r="N455">
        <v>-2.3156269999999998E-3</v>
      </c>
      <c r="O455">
        <v>-1.145796E-2</v>
      </c>
      <c r="P455">
        <v>0.99720779999999998</v>
      </c>
      <c r="Q455">
        <v>-6.7418199999999998E-2</v>
      </c>
      <c r="R455">
        <v>-3.2111279999999999E-2</v>
      </c>
      <c r="S455">
        <v>2.9988100000000002</v>
      </c>
      <c r="T455">
        <v>-0.13845439999999901</v>
      </c>
      <c r="U455">
        <v>-8.4838869999999903E-3</v>
      </c>
      <c r="V455">
        <v>2.070352E-2</v>
      </c>
      <c r="W455">
        <v>-6.5101729999999997E-2</v>
      </c>
      <c r="X455">
        <v>0.99766390000000005</v>
      </c>
      <c r="Y455">
        <v>-8.6084119999999993E-3</v>
      </c>
      <c r="Z455">
        <v>7.1078919999999896E-4</v>
      </c>
      <c r="AA455">
        <v>0.99996269999999998</v>
      </c>
      <c r="AB455">
        <v>31</v>
      </c>
      <c r="AC455">
        <v>24.070999999999898</v>
      </c>
      <c r="AD455">
        <v>-1.1195290331279999</v>
      </c>
      <c r="AE455">
        <v>-6.6599999999993997E-2</v>
      </c>
      <c r="AF455">
        <v>-0.208758119699748</v>
      </c>
      <c r="AG455">
        <v>-1.1195290331279999</v>
      </c>
      <c r="AH455">
        <v>24.018228828987699</v>
      </c>
      <c r="AI455">
        <v>92.668617982172407</v>
      </c>
      <c r="AJ455">
        <v>90.497982515715506</v>
      </c>
      <c r="AK455">
        <v>24.0452124401132</v>
      </c>
      <c r="AL455">
        <v>93.732693973929202</v>
      </c>
      <c r="AM455">
        <v>88.811168690831394</v>
      </c>
      <c r="AN455">
        <v>1.0000000641762901</v>
      </c>
    </row>
    <row r="456" spans="1:40" x14ac:dyDescent="0.25">
      <c r="A456" t="str">
        <f>"20190303154740925"</f>
        <v>20190303154740925</v>
      </c>
      <c r="B456" t="str">
        <f>"1551599260921455"</f>
        <v>1551599260921455</v>
      </c>
      <c r="C456" t="s">
        <v>40</v>
      </c>
      <c r="D456">
        <v>5.1925339999999904</v>
      </c>
      <c r="E456">
        <v>0.488784</v>
      </c>
      <c r="F456" t="s">
        <v>41</v>
      </c>
      <c r="G456">
        <v>-353.73579999999998</v>
      </c>
      <c r="H456" s="1">
        <v>-3.0736429999999998E-6</v>
      </c>
      <c r="I456">
        <v>367.33879999999999</v>
      </c>
      <c r="J456">
        <v>-377.73910000000001</v>
      </c>
      <c r="K456">
        <v>1.119524</v>
      </c>
      <c r="L456">
        <v>367.40280000000001</v>
      </c>
      <c r="M456">
        <v>0.99993290000000001</v>
      </c>
      <c r="N456">
        <v>-2.291136E-3</v>
      </c>
      <c r="O456">
        <v>-1.1367810000000001E-2</v>
      </c>
      <c r="P456">
        <v>0.99720949999999997</v>
      </c>
      <c r="Q456">
        <v>-6.7597299999999999E-2</v>
      </c>
      <c r="R456">
        <v>-3.1683210000000003E-2</v>
      </c>
      <c r="S456">
        <v>2.9987180000000002</v>
      </c>
      <c r="T456">
        <v>-0.13892099999999999</v>
      </c>
      <c r="U456">
        <v>-8.1481929999999998E-3</v>
      </c>
      <c r="V456">
        <v>2.0365520000000002E-2</v>
      </c>
      <c r="W456">
        <v>-6.5305340000000003E-2</v>
      </c>
      <c r="X456">
        <v>0.99765749999999997</v>
      </c>
      <c r="Y456">
        <v>-8.6300270000000002E-3</v>
      </c>
      <c r="Z456">
        <v>7.0999309999999897E-4</v>
      </c>
      <c r="AA456">
        <v>0.99996249999999998</v>
      </c>
      <c r="AB456">
        <v>31</v>
      </c>
      <c r="AC456">
        <v>24.003299999999999</v>
      </c>
      <c r="AD456">
        <v>-1.1195270736430001</v>
      </c>
      <c r="AE456">
        <v>-6.4000000000021304E-2</v>
      </c>
      <c r="AF456">
        <v>-0.20841639359673</v>
      </c>
      <c r="AG456">
        <v>-1.1195270736430001</v>
      </c>
      <c r="AH456">
        <v>23.950376685404802</v>
      </c>
      <c r="AI456">
        <v>92.676162364450903</v>
      </c>
      <c r="AJ456">
        <v>90.498575804664895</v>
      </c>
      <c r="AK456">
        <v>23.9774335914944</v>
      </c>
      <c r="AL456">
        <v>93.744385031213596</v>
      </c>
      <c r="AM456">
        <v>88.830564291078204</v>
      </c>
      <c r="AN456">
        <v>1.00000001457181</v>
      </c>
    </row>
    <row r="457" spans="1:40" x14ac:dyDescent="0.25">
      <c r="A457" t="str">
        <f>"20190303154740937"</f>
        <v>20190303154740937</v>
      </c>
      <c r="B457" t="str">
        <f>"1551599260931215"</f>
        <v>1551599260931215</v>
      </c>
      <c r="C457" t="s">
        <v>40</v>
      </c>
      <c r="D457">
        <v>5.2114279999999997</v>
      </c>
      <c r="E457">
        <v>0.48876989999999998</v>
      </c>
      <c r="F457" t="s">
        <v>41</v>
      </c>
      <c r="G457">
        <v>-353.75380000000001</v>
      </c>
      <c r="H457" s="1">
        <v>-3.063633E-6</v>
      </c>
      <c r="I457">
        <v>367.35169999999999</v>
      </c>
      <c r="J457">
        <v>-377.56130000000002</v>
      </c>
      <c r="K457">
        <v>1.1195189999999999</v>
      </c>
      <c r="L457">
        <v>367.4008</v>
      </c>
      <c r="M457">
        <v>0.99993410000000005</v>
      </c>
      <c r="N457">
        <v>-2.2717649999999998E-3</v>
      </c>
      <c r="O457">
        <v>-1.126884E-2</v>
      </c>
      <c r="P457">
        <v>0.99721289999999996</v>
      </c>
      <c r="Q457">
        <v>-6.7708459999999998E-2</v>
      </c>
      <c r="R457">
        <v>-3.1340010000000001E-2</v>
      </c>
      <c r="S457">
        <v>2.9987180000000002</v>
      </c>
      <c r="T457">
        <v>-0.13996620000000001</v>
      </c>
      <c r="U457">
        <v>-6.3781740000000003E-3</v>
      </c>
      <c r="V457">
        <v>2.012125E-2</v>
      </c>
      <c r="W457">
        <v>-6.5435869999999993E-2</v>
      </c>
      <c r="X457">
        <v>0.99765389999999998</v>
      </c>
      <c r="Y457">
        <v>-9.1205049999999992E-3</v>
      </c>
      <c r="Z457">
        <v>7.2319460000000002E-4</v>
      </c>
      <c r="AA457">
        <v>0.99995820000000002</v>
      </c>
      <c r="AB457">
        <v>31</v>
      </c>
      <c r="AC457">
        <v>23.807500000000001</v>
      </c>
      <c r="AD457">
        <v>-1.1195220636329899</v>
      </c>
      <c r="AE457">
        <v>-4.91000000000099E-2</v>
      </c>
      <c r="AF457">
        <v>-0.21870306604748899</v>
      </c>
      <c r="AG457">
        <v>-1.1195220636329899</v>
      </c>
      <c r="AH457">
        <v>23.754015797744099</v>
      </c>
      <c r="AI457">
        <v>92.698227871536602</v>
      </c>
      <c r="AJ457">
        <v>90.527506957287699</v>
      </c>
      <c r="AK457">
        <v>23.781388252192802</v>
      </c>
      <c r="AL457">
        <v>93.7518798937611</v>
      </c>
      <c r="AM457">
        <v>88.844582851241697</v>
      </c>
      <c r="AN457">
        <v>1.00000001098471</v>
      </c>
    </row>
    <row r="458" spans="1:40" x14ac:dyDescent="0.25">
      <c r="A458" t="str">
        <f>"20190303154740950"</f>
        <v>20190303154740950</v>
      </c>
      <c r="B458" t="str">
        <f>"1551599260940975"</f>
        <v>1551599260940975</v>
      </c>
      <c r="C458" t="s">
        <v>40</v>
      </c>
      <c r="D458">
        <v>5.2311769999999997</v>
      </c>
      <c r="E458">
        <v>0.48871789999999998</v>
      </c>
      <c r="F458" t="s">
        <v>41</v>
      </c>
      <c r="G458">
        <v>-353.65859999999998</v>
      </c>
      <c r="H458" s="1">
        <v>-3.1033E-6</v>
      </c>
      <c r="I458">
        <v>367.35820000000001</v>
      </c>
      <c r="J458">
        <v>-377.3956</v>
      </c>
      <c r="K458">
        <v>1.1195139999999999</v>
      </c>
      <c r="L458">
        <v>367.399</v>
      </c>
      <c r="M458">
        <v>0.99993500000000002</v>
      </c>
      <c r="N458">
        <v>-2.261646E-3</v>
      </c>
      <c r="O458">
        <v>-1.117656E-2</v>
      </c>
      <c r="P458">
        <v>0.99721340000000003</v>
      </c>
      <c r="Q458">
        <v>-6.7925769999999996E-2</v>
      </c>
      <c r="R458">
        <v>-3.085104E-2</v>
      </c>
      <c r="S458">
        <v>2.9987180000000002</v>
      </c>
      <c r="T458">
        <v>-0.14044949999999901</v>
      </c>
      <c r="U458">
        <v>-5.3405759999999997E-3</v>
      </c>
      <c r="V458">
        <v>1.9724410000000001E-2</v>
      </c>
      <c r="W458">
        <v>-6.5663399999999997E-2</v>
      </c>
      <c r="X458">
        <v>0.9976469</v>
      </c>
      <c r="Y458">
        <v>-9.373869E-3</v>
      </c>
      <c r="Z458">
        <v>7.2791570000000001E-4</v>
      </c>
      <c r="AA458">
        <v>0.99995579999999995</v>
      </c>
      <c r="AB458">
        <v>31</v>
      </c>
      <c r="AC458">
        <v>23.736999999999998</v>
      </c>
      <c r="AD458">
        <v>-1.1195171033</v>
      </c>
      <c r="AE458">
        <v>-4.0799999999990101E-2</v>
      </c>
      <c r="AF458">
        <v>-0.22400295980778101</v>
      </c>
      <c r="AG458">
        <v>-1.1195171033</v>
      </c>
      <c r="AH458">
        <v>23.683292804210001</v>
      </c>
      <c r="AI458">
        <v>92.706255042981894</v>
      </c>
      <c r="AJ458">
        <v>90.541902749943802</v>
      </c>
      <c r="AK458">
        <v>23.710796146914301</v>
      </c>
      <c r="AL458">
        <v>93.764944406848798</v>
      </c>
      <c r="AM458">
        <v>88.867356547279797</v>
      </c>
      <c r="AN458">
        <v>1.0000000357645</v>
      </c>
    </row>
    <row r="459" spans="1:40" x14ac:dyDescent="0.25">
      <c r="A459" t="str">
        <f>"20190303154740967"</f>
        <v>20190303154740967</v>
      </c>
      <c r="B459" t="str">
        <f>"1551599260961470"</f>
        <v>1551599260961470</v>
      </c>
      <c r="C459" t="s">
        <v>40</v>
      </c>
      <c r="D459">
        <v>5.2245569999999999</v>
      </c>
      <c r="E459">
        <v>0.48865950000000002</v>
      </c>
      <c r="F459" t="s">
        <v>41</v>
      </c>
      <c r="G459">
        <v>-353.69049999999999</v>
      </c>
      <c r="H459" s="1">
        <v>-3.0872930000000001E-6</v>
      </c>
      <c r="I459">
        <v>367.37150000000003</v>
      </c>
      <c r="J459">
        <v>-377.15730000000002</v>
      </c>
      <c r="K459">
        <v>1.1195040000000001</v>
      </c>
      <c r="L459">
        <v>367.3965</v>
      </c>
      <c r="M459">
        <v>0.99993650000000001</v>
      </c>
      <c r="N459">
        <v>-2.254636E-3</v>
      </c>
      <c r="O459">
        <v>-1.104399E-2</v>
      </c>
      <c r="P459">
        <v>0.99722540000000004</v>
      </c>
      <c r="Q459">
        <v>-6.7997840000000004E-2</v>
      </c>
      <c r="R459">
        <v>-3.0299090000000001E-2</v>
      </c>
      <c r="S459">
        <v>2.9986570000000001</v>
      </c>
      <c r="T459">
        <v>-0.14161599999999999</v>
      </c>
      <c r="U459">
        <v>-3.479004E-3</v>
      </c>
      <c r="V459">
        <v>1.9304709999999999E-2</v>
      </c>
      <c r="W459">
        <v>-6.5742540000000002E-2</v>
      </c>
      <c r="X459">
        <v>0.99764980000000003</v>
      </c>
      <c r="Y459">
        <v>-9.861224E-3</v>
      </c>
      <c r="Z459">
        <v>7.4023100000000005E-4</v>
      </c>
      <c r="AA459">
        <v>0.99995109999999998</v>
      </c>
      <c r="AB459">
        <v>32</v>
      </c>
      <c r="AC459">
        <v>23.466799999999999</v>
      </c>
      <c r="AD459">
        <v>-1.119507087293</v>
      </c>
      <c r="AE459">
        <v>-2.49999999999772E-2</v>
      </c>
      <c r="AF459">
        <v>-0.233637554269645</v>
      </c>
      <c r="AG459">
        <v>-1.119507087293</v>
      </c>
      <c r="AH459">
        <v>23.4123616831316</v>
      </c>
      <c r="AI459">
        <v>92.737486544593096</v>
      </c>
      <c r="AJ459">
        <v>90.571749302317798</v>
      </c>
      <c r="AK459">
        <v>23.440276495959498</v>
      </c>
      <c r="AL459">
        <v>93.769488981165495</v>
      </c>
      <c r="AM459">
        <v>88.891454306728406</v>
      </c>
      <c r="AN459">
        <v>0.99999993841693602</v>
      </c>
    </row>
    <row r="460" spans="1:40" x14ac:dyDescent="0.25">
      <c r="A460" t="str">
        <f>"20190303154740982"</f>
        <v>20190303154740982</v>
      </c>
      <c r="B460" t="str">
        <f>"1551599260971230"</f>
        <v>1551599260971230</v>
      </c>
      <c r="C460" t="s">
        <v>40</v>
      </c>
      <c r="D460">
        <v>5.2056649999999998</v>
      </c>
      <c r="E460">
        <v>0.48863689999999999</v>
      </c>
      <c r="F460" t="s">
        <v>41</v>
      </c>
      <c r="G460">
        <v>-353.55489999999998</v>
      </c>
      <c r="H460" s="1">
        <v>-3.1425800000000001E-6</v>
      </c>
      <c r="I460">
        <v>367.38760000000002</v>
      </c>
      <c r="J460">
        <v>-376.9359</v>
      </c>
      <c r="K460">
        <v>1.1195010000000001</v>
      </c>
      <c r="L460">
        <v>367.39420000000001</v>
      </c>
      <c r="M460">
        <v>0.99993790000000005</v>
      </c>
      <c r="N460">
        <v>-2.2564759999999999E-3</v>
      </c>
      <c r="O460">
        <v>-1.092097E-2</v>
      </c>
      <c r="P460">
        <v>0.99723830000000002</v>
      </c>
      <c r="Q460">
        <v>-6.8162379999999995E-2</v>
      </c>
      <c r="R460">
        <v>-2.9487289999999999E-2</v>
      </c>
      <c r="S460">
        <v>2.998596</v>
      </c>
      <c r="T460">
        <v>-0.14222860000000001</v>
      </c>
      <c r="U460">
        <v>-1.12915E-3</v>
      </c>
      <c r="V460">
        <v>1.861604E-2</v>
      </c>
      <c r="W460">
        <v>-6.5905400000000003E-2</v>
      </c>
      <c r="X460">
        <v>0.99765219999999999</v>
      </c>
      <c r="Y460">
        <v>-1.052093E-2</v>
      </c>
      <c r="Z460">
        <v>7.5432129999999996E-4</v>
      </c>
      <c r="AA460">
        <v>0.99994439999999996</v>
      </c>
      <c r="AB460">
        <v>32</v>
      </c>
      <c r="AC460">
        <v>23.381</v>
      </c>
      <c r="AD460">
        <v>-1.1195041425799901</v>
      </c>
      <c r="AE460">
        <v>-6.5999999999917201E-3</v>
      </c>
      <c r="AF460">
        <v>-0.24817525983574801</v>
      </c>
      <c r="AG460">
        <v>-1.1195041425799901</v>
      </c>
      <c r="AH460">
        <v>23.326200464069899</v>
      </c>
      <c r="AI460">
        <v>92.747556794000801</v>
      </c>
      <c r="AJ460">
        <v>90.609565990093103</v>
      </c>
      <c r="AK460">
        <v>23.354368083397599</v>
      </c>
      <c r="AL460">
        <v>93.778840237648197</v>
      </c>
      <c r="AM460">
        <v>88.930993432807298</v>
      </c>
      <c r="AN460">
        <v>0.99999999542964002</v>
      </c>
    </row>
    <row r="461" spans="1:40" x14ac:dyDescent="0.25">
      <c r="A461" t="str">
        <f>"20190303154741003"</f>
        <v>20190303154741003</v>
      </c>
      <c r="B461" t="str">
        <f>"1551599260990750"</f>
        <v>1551599260990750</v>
      </c>
      <c r="C461" t="s">
        <v>40</v>
      </c>
      <c r="D461">
        <v>5.1974140000000002</v>
      </c>
      <c r="E461">
        <v>0.48861909999999997</v>
      </c>
      <c r="F461" t="s">
        <v>41</v>
      </c>
      <c r="G461">
        <v>-353.41210000000001</v>
      </c>
      <c r="H461" s="1">
        <v>-3.2006980000000001E-6</v>
      </c>
      <c r="I461">
        <v>367.40539999999999</v>
      </c>
      <c r="J461">
        <v>-376.63929999999999</v>
      </c>
      <c r="K461">
        <v>1.119491</v>
      </c>
      <c r="L461">
        <v>367.39109999999999</v>
      </c>
      <c r="M461">
        <v>0.99993969999999999</v>
      </c>
      <c r="N461">
        <v>-2.273448E-3</v>
      </c>
      <c r="O461">
        <v>-1.0755880000000001E-2</v>
      </c>
      <c r="P461">
        <v>0.99726230000000005</v>
      </c>
      <c r="Q461">
        <v>-6.7968249999999994E-2</v>
      </c>
      <c r="R461">
        <v>-2.9133200000000001E-2</v>
      </c>
      <c r="S461">
        <v>2.998535</v>
      </c>
      <c r="T461">
        <v>-0.1427001</v>
      </c>
      <c r="U461">
        <v>1.4343260000000001E-3</v>
      </c>
      <c r="V461">
        <v>1.842624E-2</v>
      </c>
      <c r="W461">
        <v>-6.5694290000000002E-2</v>
      </c>
      <c r="X461">
        <v>0.99766960000000005</v>
      </c>
      <c r="Y461">
        <v>-1.120989E-2</v>
      </c>
      <c r="Z461">
        <v>7.6647300000000005E-4</v>
      </c>
      <c r="AA461">
        <v>0.99993690000000002</v>
      </c>
      <c r="AB461">
        <v>32</v>
      </c>
      <c r="AC461">
        <v>23.2271999999999</v>
      </c>
      <c r="AD461">
        <v>-1.119494200698</v>
      </c>
      <c r="AE461">
        <v>1.42999999999915E-2</v>
      </c>
      <c r="AF461">
        <v>-0.26351661180171498</v>
      </c>
      <c r="AG461">
        <v>-1.119494200698</v>
      </c>
      <c r="AH461">
        <v>23.1718742412498</v>
      </c>
      <c r="AI461">
        <v>92.765780587537293</v>
      </c>
      <c r="AJ461">
        <v>90.6515544965402</v>
      </c>
      <c r="AK461">
        <v>23.200397930259498</v>
      </c>
      <c r="AL461">
        <v>93.766718432663794</v>
      </c>
      <c r="AM461">
        <v>88.941908457952096</v>
      </c>
      <c r="AN461">
        <v>0.99999994841164896</v>
      </c>
    </row>
    <row r="462" spans="1:40" x14ac:dyDescent="0.25">
      <c r="A462" t="str">
        <f>"20190303154741016"</f>
        <v>20190303154741016</v>
      </c>
      <c r="B462" t="str">
        <f>"1551599261011246"</f>
        <v>1551599261011246</v>
      </c>
      <c r="C462" t="s">
        <v>40</v>
      </c>
      <c r="D462">
        <v>5.2089549999999996</v>
      </c>
      <c r="E462">
        <v>0.48859849999999999</v>
      </c>
      <c r="F462" t="s">
        <v>41</v>
      </c>
      <c r="G462">
        <v>-353.04750000000001</v>
      </c>
      <c r="H462" s="1">
        <v>-3.3557529999999999E-6</v>
      </c>
      <c r="I462">
        <v>367.41289999999998</v>
      </c>
      <c r="J462">
        <v>-376.44600000000003</v>
      </c>
      <c r="K462">
        <v>1.11948799999999</v>
      </c>
      <c r="L462">
        <v>367.38909999999998</v>
      </c>
      <c r="M462">
        <v>0.99994079999999996</v>
      </c>
      <c r="N462">
        <v>-2.291927E-3</v>
      </c>
      <c r="O462">
        <v>-1.064849E-2</v>
      </c>
      <c r="P462">
        <v>0.99728479999999997</v>
      </c>
      <c r="Q462">
        <v>-6.7753460000000001E-2</v>
      </c>
      <c r="R462">
        <v>-2.8857710000000002E-2</v>
      </c>
      <c r="S462">
        <v>2.998596</v>
      </c>
      <c r="T462">
        <v>-0.14229069999999999</v>
      </c>
      <c r="U462">
        <v>2.7770999999999998E-3</v>
      </c>
      <c r="V462">
        <v>1.825775E-2</v>
      </c>
      <c r="W462">
        <v>-6.5461050000000007E-2</v>
      </c>
      <c r="X462">
        <v>0.99768809999999997</v>
      </c>
      <c r="Y462">
        <v>-1.1550110000000001E-2</v>
      </c>
      <c r="Z462">
        <v>7.6774329999999998E-4</v>
      </c>
      <c r="AA462">
        <v>0.99993299999999996</v>
      </c>
      <c r="AB462">
        <v>32</v>
      </c>
      <c r="AC462">
        <v>23.398499999999899</v>
      </c>
      <c r="AD462">
        <v>-1.11949135575299</v>
      </c>
      <c r="AE462">
        <v>2.3799999999994201E-2</v>
      </c>
      <c r="AF462">
        <v>-0.272334566141055</v>
      </c>
      <c r="AG462">
        <v>-1.11949135575299</v>
      </c>
      <c r="AH462">
        <v>23.3434843395938</v>
      </c>
      <c r="AI462">
        <v>92.745462866564196</v>
      </c>
      <c r="AJ462">
        <v>90.668405503470794</v>
      </c>
      <c r="AK462">
        <v>23.371899540353599</v>
      </c>
      <c r="AL462">
        <v>93.753325668627895</v>
      </c>
      <c r="AM462">
        <v>88.951600940341194</v>
      </c>
      <c r="AN462">
        <v>1.0000000196918799</v>
      </c>
    </row>
    <row r="463" spans="1:40" x14ac:dyDescent="0.25">
      <c r="A463" t="str">
        <f>"20190303154741028"</f>
        <v>20190303154741028</v>
      </c>
      <c r="B463" t="str">
        <f>"1551599261021007"</f>
        <v>1551599261021007</v>
      </c>
      <c r="C463" t="s">
        <v>40</v>
      </c>
      <c r="D463">
        <v>5.2425790000000001</v>
      </c>
      <c r="E463">
        <v>0.48860989999999999</v>
      </c>
      <c r="F463" t="s">
        <v>41</v>
      </c>
      <c r="G463">
        <v>-352.81240000000003</v>
      </c>
      <c r="H463" s="1">
        <v>-3.456085E-6</v>
      </c>
      <c r="I463">
        <v>367.416</v>
      </c>
      <c r="J463">
        <v>-376.26940000000002</v>
      </c>
      <c r="K463">
        <v>1.1194900000000001</v>
      </c>
      <c r="L463">
        <v>367.38740000000001</v>
      </c>
      <c r="M463">
        <v>0.99994159999999999</v>
      </c>
      <c r="N463">
        <v>-2.312766E-3</v>
      </c>
      <c r="O463">
        <v>-1.055004E-2</v>
      </c>
      <c r="P463">
        <v>0.99726680000000001</v>
      </c>
      <c r="Q463">
        <v>-6.8103280000000002E-2</v>
      </c>
      <c r="R463">
        <v>-2.8650129999999999E-2</v>
      </c>
      <c r="S463">
        <v>2.9986269999999999</v>
      </c>
      <c r="T463">
        <v>-0.14204029999999901</v>
      </c>
      <c r="U463">
        <v>3.4179689999999999E-3</v>
      </c>
      <c r="V463">
        <v>1.814899E-2</v>
      </c>
      <c r="W463">
        <v>-6.5790119999999994E-2</v>
      </c>
      <c r="X463">
        <v>0.99766840000000001</v>
      </c>
      <c r="Y463">
        <v>-1.1665419999999999E-2</v>
      </c>
      <c r="Z463">
        <v>7.6469470000000003E-4</v>
      </c>
      <c r="AA463">
        <v>0.99993169999999998</v>
      </c>
      <c r="AB463">
        <v>32</v>
      </c>
      <c r="AC463">
        <v>23.456999999999901</v>
      </c>
      <c r="AD463">
        <v>-1.1194934560849901</v>
      </c>
      <c r="AE463">
        <v>2.8599999999983E-2</v>
      </c>
      <c r="AF463">
        <v>-0.27544399604820002</v>
      </c>
      <c r="AG463">
        <v>-1.1194934560849901</v>
      </c>
      <c r="AH463">
        <v>23.402089738828</v>
      </c>
      <c r="AI463">
        <v>92.738599746539293</v>
      </c>
      <c r="AJ463">
        <v>90.674343613321795</v>
      </c>
      <c r="AK463">
        <v>23.430470314044801</v>
      </c>
      <c r="AL463">
        <v>93.772220868239202</v>
      </c>
      <c r="AM463">
        <v>88.957824216799494</v>
      </c>
      <c r="AN463">
        <v>0.99999998104309695</v>
      </c>
    </row>
    <row r="464" spans="1:40" x14ac:dyDescent="0.25">
      <c r="A464" t="str">
        <f>"20190303154741047"</f>
        <v>20190303154741047</v>
      </c>
      <c r="B464" t="str">
        <f>"1551599261041503"</f>
        <v>1551599261041503</v>
      </c>
      <c r="C464" t="s">
        <v>40</v>
      </c>
      <c r="D464">
        <v>5.2185790000000001</v>
      </c>
      <c r="E464">
        <v>0.48863220000000002</v>
      </c>
      <c r="F464" t="s">
        <v>41</v>
      </c>
      <c r="G464">
        <v>-352.83870000000002</v>
      </c>
      <c r="H464" s="1">
        <v>-3.4444480000000001E-6</v>
      </c>
      <c r="I464">
        <v>367.4178</v>
      </c>
      <c r="J464">
        <v>-376.0027</v>
      </c>
      <c r="K464">
        <v>1.1194900000000001</v>
      </c>
      <c r="L464">
        <v>367.38459999999998</v>
      </c>
      <c r="M464">
        <v>0.99994320000000003</v>
      </c>
      <c r="N464">
        <v>-2.3650009999999998E-3</v>
      </c>
      <c r="O464">
        <v>-1.0401789999999999E-2</v>
      </c>
      <c r="P464">
        <v>0.99731400000000003</v>
      </c>
      <c r="Q464">
        <v>-6.7473989999999998E-2</v>
      </c>
      <c r="R464">
        <v>-2.8493419999999998E-2</v>
      </c>
      <c r="S464">
        <v>2.998535</v>
      </c>
      <c r="T464">
        <v>-0.14326620000000001</v>
      </c>
      <c r="U464">
        <v>3.90625E-3</v>
      </c>
      <c r="V464">
        <v>1.813971E-2</v>
      </c>
      <c r="W464">
        <v>-6.5108579999999999E-2</v>
      </c>
      <c r="X464">
        <v>0.99771330000000003</v>
      </c>
      <c r="Y464">
        <v>-1.1679760000000001E-2</v>
      </c>
      <c r="Z464">
        <v>7.6479019999999996E-4</v>
      </c>
      <c r="AA464">
        <v>0.99993149999999997</v>
      </c>
      <c r="AB464">
        <v>32</v>
      </c>
      <c r="AC464">
        <v>23.163999999999898</v>
      </c>
      <c r="AD464">
        <v>-1.11949344444799</v>
      </c>
      <c r="AE464">
        <v>3.3200000000022101E-2</v>
      </c>
      <c r="AF464">
        <v>-0.27350709029792197</v>
      </c>
      <c r="AG464">
        <v>-1.11949344444799</v>
      </c>
      <c r="AH464">
        <v>23.108427367867499</v>
      </c>
      <c r="AI464">
        <v>92.773345756601998</v>
      </c>
      <c r="AJ464">
        <v>90.678110630243097</v>
      </c>
      <c r="AK464">
        <v>23.1371451807826</v>
      </c>
      <c r="AL464">
        <v>93.733087514510899</v>
      </c>
      <c r="AM464">
        <v>88.958403854672397</v>
      </c>
      <c r="AN464">
        <v>1.0000000026326901</v>
      </c>
    </row>
    <row r="465" spans="1:40" x14ac:dyDescent="0.25">
      <c r="A465" t="str">
        <f>"20190303154741059"</f>
        <v>20190303154741059</v>
      </c>
      <c r="B465" t="str">
        <f>"1551599261051262"</f>
        <v>1551599261051262</v>
      </c>
      <c r="C465" t="s">
        <v>40</v>
      </c>
      <c r="D465">
        <v>5.2196220000000002</v>
      </c>
      <c r="E465">
        <v>0.4886624</v>
      </c>
      <c r="F465" t="s">
        <v>41</v>
      </c>
      <c r="G465">
        <v>-352.28579999999999</v>
      </c>
      <c r="H465" s="1">
        <v>-3.6814110000000001E-6</v>
      </c>
      <c r="I465">
        <v>367.41930000000002</v>
      </c>
      <c r="J465">
        <v>-375.81990000000002</v>
      </c>
      <c r="K465">
        <v>1.1194980000000001</v>
      </c>
      <c r="L465">
        <v>367.38279999999997</v>
      </c>
      <c r="M465">
        <v>0.99994400000000006</v>
      </c>
      <c r="N465">
        <v>-2.4238490000000001E-3</v>
      </c>
      <c r="O465">
        <v>-1.0300520000000001E-2</v>
      </c>
      <c r="P465">
        <v>0.99732730000000003</v>
      </c>
      <c r="Q465">
        <v>-6.7372260000000003E-2</v>
      </c>
      <c r="R465">
        <v>-2.8268140000000001E-2</v>
      </c>
      <c r="S465">
        <v>2.9986269999999999</v>
      </c>
      <c r="T465">
        <v>-0.14154149999999999</v>
      </c>
      <c r="U465">
        <v>4.3945310000000001E-3</v>
      </c>
      <c r="V465">
        <v>1.8015429999999999E-2</v>
      </c>
      <c r="W465">
        <v>-6.4948099999999995E-2</v>
      </c>
      <c r="X465">
        <v>0.997726</v>
      </c>
      <c r="Y465">
        <v>-1.174191E-2</v>
      </c>
      <c r="Z465">
        <v>7.5218170000000001E-4</v>
      </c>
      <c r="AA465">
        <v>0.99993080000000001</v>
      </c>
      <c r="AB465">
        <v>32</v>
      </c>
      <c r="AC465">
        <v>23.534099999999999</v>
      </c>
      <c r="AD465">
        <v>-1.1195016814109999</v>
      </c>
      <c r="AE465">
        <v>3.6500000000046301E-2</v>
      </c>
      <c r="AF465">
        <v>-0.27828253797104802</v>
      </c>
      <c r="AG465">
        <v>-1.1195016814109999</v>
      </c>
      <c r="AH465">
        <v>23.479345565728998</v>
      </c>
      <c r="AI465">
        <v>92.729619760294995</v>
      </c>
      <c r="AJ465">
        <v>90.679050800519505</v>
      </c>
      <c r="AK465">
        <v>23.507666693666899</v>
      </c>
      <c r="AL465">
        <v>93.723873227411005</v>
      </c>
      <c r="AM465">
        <v>88.965551716843294</v>
      </c>
      <c r="AN465">
        <v>0.99999999124384698</v>
      </c>
    </row>
    <row r="466" spans="1:40" x14ac:dyDescent="0.25">
      <c r="A466" t="str">
        <f>"20190303154741080"</f>
        <v>20190303154741080</v>
      </c>
      <c r="B466" t="str">
        <f>"1551599261070782"</f>
        <v>1551599261070782</v>
      </c>
      <c r="C466" t="s">
        <v>40</v>
      </c>
      <c r="D466">
        <v>5.2241849999999896</v>
      </c>
      <c r="E466">
        <v>0.48867539999999998</v>
      </c>
      <c r="F466" t="s">
        <v>41</v>
      </c>
      <c r="G466">
        <v>-352.05220000000003</v>
      </c>
      <c r="H466" s="1">
        <v>-3.7812529999999999E-6</v>
      </c>
      <c r="I466">
        <v>367.4212</v>
      </c>
      <c r="J466">
        <v>-375.51440000000002</v>
      </c>
      <c r="K466">
        <v>1.1195379999999999</v>
      </c>
      <c r="L466">
        <v>367.37979999999999</v>
      </c>
      <c r="M466">
        <v>0.99994530000000004</v>
      </c>
      <c r="N466">
        <v>-2.6395049999999999E-3</v>
      </c>
      <c r="O466">
        <v>-1.013207E-2</v>
      </c>
      <c r="P466">
        <v>0.99731979999999998</v>
      </c>
      <c r="Q466">
        <v>-6.7551459999999994E-2</v>
      </c>
      <c r="R466">
        <v>-2.8108620000000001E-2</v>
      </c>
      <c r="S466">
        <v>2.9986570000000001</v>
      </c>
      <c r="T466">
        <v>-0.1412418</v>
      </c>
      <c r="U466">
        <v>4.8522950000000004E-3</v>
      </c>
      <c r="V466">
        <v>1.8024269999999998E-2</v>
      </c>
      <c r="W466">
        <v>-6.4912070000000002E-2</v>
      </c>
      <c r="X466">
        <v>0.99772819999999995</v>
      </c>
      <c r="Y466">
        <v>-1.172642E-2</v>
      </c>
      <c r="Z466">
        <v>7.4173659999999999E-4</v>
      </c>
      <c r="AA466">
        <v>0.99993100000000001</v>
      </c>
      <c r="AB466">
        <v>32</v>
      </c>
      <c r="AC466">
        <v>23.462199999999999</v>
      </c>
      <c r="AD466">
        <v>-1.119541781253</v>
      </c>
      <c r="AE466">
        <v>4.1400000000009998E-2</v>
      </c>
      <c r="AF466">
        <v>-0.27848524864603003</v>
      </c>
      <c r="AG466">
        <v>-1.119541781253</v>
      </c>
      <c r="AH466">
        <v>23.4072804192805</v>
      </c>
      <c r="AI466">
        <v>92.7381072652922</v>
      </c>
      <c r="AJ466">
        <v>90.681637351130703</v>
      </c>
      <c r="AK466">
        <v>23.4356929588292</v>
      </c>
      <c r="AL466">
        <v>93.721804439650796</v>
      </c>
      <c r="AM466">
        <v>88.965046514888698</v>
      </c>
      <c r="AN466">
        <v>1.0000000061079699</v>
      </c>
    </row>
    <row r="467" spans="1:40" x14ac:dyDescent="0.25">
      <c r="A467" t="str">
        <f>"20190303154741094"</f>
        <v>20190303154741094</v>
      </c>
      <c r="B467" t="str">
        <f>"1551599261081519"</f>
        <v>1551599261081519</v>
      </c>
      <c r="C467" t="s">
        <v>40</v>
      </c>
      <c r="D467">
        <v>5.2409339999999904</v>
      </c>
      <c r="E467">
        <v>0.4886703</v>
      </c>
      <c r="F467" t="s">
        <v>41</v>
      </c>
      <c r="G467">
        <v>-351.87259999999998</v>
      </c>
      <c r="H467" s="1">
        <v>-3.8585859999999998E-6</v>
      </c>
      <c r="I467">
        <v>367.41969999999998</v>
      </c>
      <c r="J467">
        <v>-375.32209999999998</v>
      </c>
      <c r="K467">
        <v>1.119591</v>
      </c>
      <c r="L467">
        <v>367.37799999999999</v>
      </c>
      <c r="M467">
        <v>0.99994559999999999</v>
      </c>
      <c r="N467">
        <v>-2.8922919999999999E-3</v>
      </c>
      <c r="O467">
        <v>-1.002687E-2</v>
      </c>
      <c r="P467">
        <v>0.99730540000000001</v>
      </c>
      <c r="Q467">
        <v>-6.78068E-2</v>
      </c>
      <c r="R467">
        <v>-2.800184E-2</v>
      </c>
      <c r="S467">
        <v>2.998596</v>
      </c>
      <c r="T467">
        <v>-0.14199600000000001</v>
      </c>
      <c r="U467">
        <v>5.065918E-3</v>
      </c>
      <c r="V467">
        <v>1.8023020000000001E-2</v>
      </c>
      <c r="W467">
        <v>-6.4915189999999998E-2</v>
      </c>
      <c r="X467">
        <v>0.99772799999999995</v>
      </c>
      <c r="Y467">
        <v>-1.169243E-2</v>
      </c>
      <c r="Z467">
        <v>7.3916360000000003E-4</v>
      </c>
      <c r="AA467">
        <v>0.99993140000000003</v>
      </c>
      <c r="AB467">
        <v>32</v>
      </c>
      <c r="AC467">
        <v>23.4495</v>
      </c>
      <c r="AD467">
        <v>-1.1195948585860001</v>
      </c>
      <c r="AE467">
        <v>4.1699999999934699E-2</v>
      </c>
      <c r="AF467">
        <v>-0.27619435789767399</v>
      </c>
      <c r="AG467">
        <v>-1.1195948585860001</v>
      </c>
      <c r="AH467">
        <v>23.394573448130298</v>
      </c>
      <c r="AI467">
        <v>92.7397248781934</v>
      </c>
      <c r="AJ467">
        <v>90.676397708744503</v>
      </c>
      <c r="AK467">
        <v>23.4229768131779</v>
      </c>
      <c r="AL467">
        <v>93.721983653157196</v>
      </c>
      <c r="AM467">
        <v>88.965118066869294</v>
      </c>
      <c r="AN467">
        <v>0.999999986563328</v>
      </c>
    </row>
    <row r="468" spans="1:40" x14ac:dyDescent="0.25">
      <c r="A468" t="str">
        <f>"20190303154741106"</f>
        <v>20190303154741106</v>
      </c>
      <c r="B468" t="str">
        <f>"1551599261101038"</f>
        <v>1551599261101038</v>
      </c>
      <c r="C468" t="s">
        <v>40</v>
      </c>
      <c r="D468">
        <v>5.241911</v>
      </c>
      <c r="E468">
        <v>0.48864809999999997</v>
      </c>
      <c r="F468" t="s">
        <v>41</v>
      </c>
      <c r="G468">
        <v>-351.83159999999998</v>
      </c>
      <c r="H468" s="1">
        <v>-3.8756319999999998E-6</v>
      </c>
      <c r="I468">
        <v>367.42290000000003</v>
      </c>
      <c r="J468">
        <v>-375.13299999999998</v>
      </c>
      <c r="K468">
        <v>1.1196569999999999</v>
      </c>
      <c r="L468">
        <v>367.37619999999998</v>
      </c>
      <c r="M468">
        <v>0.9999458</v>
      </c>
      <c r="N468">
        <v>-3.199346E-3</v>
      </c>
      <c r="O468">
        <v>-9.9232000000000001E-3</v>
      </c>
      <c r="P468">
        <v>0.99726680000000001</v>
      </c>
      <c r="Q468">
        <v>-6.8361649999999996E-2</v>
      </c>
      <c r="R468">
        <v>-2.8033510000000001E-2</v>
      </c>
      <c r="S468">
        <v>2.998535</v>
      </c>
      <c r="T468">
        <v>-0.14291409999999999</v>
      </c>
      <c r="U468">
        <v>5.7373049999999998E-3</v>
      </c>
      <c r="V468">
        <v>1.8158560000000001E-2</v>
      </c>
      <c r="W468">
        <v>-6.5163639999999995E-2</v>
      </c>
      <c r="X468">
        <v>0.99770930000000002</v>
      </c>
      <c r="Y468">
        <v>-1.1812390000000001E-2</v>
      </c>
      <c r="Z468">
        <v>7.4119229999999999E-4</v>
      </c>
      <c r="AA468">
        <v>0.99992999999999999</v>
      </c>
      <c r="AB468">
        <v>33</v>
      </c>
      <c r="AC468">
        <v>23.301400000000001</v>
      </c>
      <c r="AD468">
        <v>-1.1196608756319999</v>
      </c>
      <c r="AE468">
        <v>4.6700000000043901E-2</v>
      </c>
      <c r="AF468">
        <v>-0.27728307883143599</v>
      </c>
      <c r="AG468">
        <v>-1.1196608756319999</v>
      </c>
      <c r="AH468">
        <v>23.2461160835295</v>
      </c>
      <c r="AI468">
        <v>92.757353085442801</v>
      </c>
      <c r="AJ468">
        <v>90.683400043107994</v>
      </c>
      <c r="AK468">
        <v>23.274716740513899</v>
      </c>
      <c r="AL468">
        <v>93.736249166996203</v>
      </c>
      <c r="AM468">
        <v>88.957317532591901</v>
      </c>
      <c r="AN468">
        <v>0.99999994029290395</v>
      </c>
    </row>
    <row r="469" spans="1:40" x14ac:dyDescent="0.25">
      <c r="A469" t="str">
        <f>"20190303154741126"</f>
        <v>20190303154741126</v>
      </c>
      <c r="B469" t="str">
        <f>"1551599261121534"</f>
        <v>1551599261121534</v>
      </c>
      <c r="C469" t="s">
        <v>40</v>
      </c>
      <c r="D469">
        <v>5.2223259999999998</v>
      </c>
      <c r="E469">
        <v>0.48864259999999898</v>
      </c>
      <c r="F469" t="s">
        <v>41</v>
      </c>
      <c r="G469">
        <v>-351.93400000000003</v>
      </c>
      <c r="H469" s="1">
        <v>-3.8318460000000003E-6</v>
      </c>
      <c r="I469">
        <v>367.42189999999999</v>
      </c>
      <c r="J469">
        <v>-374.85629999999998</v>
      </c>
      <c r="K469">
        <v>1.1197809999999999</v>
      </c>
      <c r="L469">
        <v>367.37360000000001</v>
      </c>
      <c r="M469">
        <v>0.99994499999999997</v>
      </c>
      <c r="N469">
        <v>-3.812055E-3</v>
      </c>
      <c r="O469">
        <v>-9.7735809999999999E-3</v>
      </c>
      <c r="P469">
        <v>0.99723090000000003</v>
      </c>
      <c r="Q469">
        <v>-6.8914429999999999E-2</v>
      </c>
      <c r="R469">
        <v>-2.795108E-2</v>
      </c>
      <c r="S469">
        <v>2.9984739999999999</v>
      </c>
      <c r="T469">
        <v>-0.14471579999999901</v>
      </c>
      <c r="U469">
        <v>5.9204100000000001E-3</v>
      </c>
      <c r="V469">
        <v>1.822638E-2</v>
      </c>
      <c r="W469">
        <v>-6.5105070000000001E-2</v>
      </c>
      <c r="X469">
        <v>0.99771200000000004</v>
      </c>
      <c r="Y469">
        <v>-1.1723630000000001E-2</v>
      </c>
      <c r="Z469">
        <v>7.3929119999999995E-4</v>
      </c>
      <c r="AA469">
        <v>0.99993100000000001</v>
      </c>
      <c r="AB469">
        <v>33</v>
      </c>
      <c r="AC469">
        <v>22.9222999999999</v>
      </c>
      <c r="AD469">
        <v>-1.119784831846</v>
      </c>
      <c r="AE469">
        <v>4.8299999999983301E-2</v>
      </c>
      <c r="AF469">
        <v>-0.27168391229810501</v>
      </c>
      <c r="AG469">
        <v>-1.119784831846</v>
      </c>
      <c r="AH469">
        <v>22.866164318053499</v>
      </c>
      <c r="AI469">
        <v>92.803409087503795</v>
      </c>
      <c r="AJ469">
        <v>90.680726722842905</v>
      </c>
      <c r="AK469">
        <v>22.895178550036601</v>
      </c>
      <c r="AL469">
        <v>93.732885790423296</v>
      </c>
      <c r="AM469">
        <v>88.953426937309303</v>
      </c>
      <c r="AN469">
        <v>1.0000000530058</v>
      </c>
    </row>
    <row r="470" spans="1:40" x14ac:dyDescent="0.25">
      <c r="A470" t="str">
        <f>"20190303154741138"</f>
        <v>20190303154741138</v>
      </c>
      <c r="B470" t="str">
        <f>"1551599261131294"</f>
        <v>1551599261131294</v>
      </c>
      <c r="C470" t="s">
        <v>40</v>
      </c>
      <c r="D470">
        <v>5.2081089999999897</v>
      </c>
      <c r="E470">
        <v>0.4886472</v>
      </c>
      <c r="F470" t="s">
        <v>41</v>
      </c>
      <c r="G470">
        <v>-351.9117</v>
      </c>
      <c r="H470" s="1">
        <v>-3.8417449999999998E-6</v>
      </c>
      <c r="I470">
        <v>367.4203</v>
      </c>
      <c r="J470">
        <v>-374.67009999999999</v>
      </c>
      <c r="K470">
        <v>1.119893</v>
      </c>
      <c r="L470">
        <v>367.37189999999998</v>
      </c>
      <c r="M470">
        <v>0.9999439</v>
      </c>
      <c r="N470">
        <v>-4.3504390000000002E-3</v>
      </c>
      <c r="O470">
        <v>-9.6774040000000006E-3</v>
      </c>
      <c r="P470">
        <v>0.99718669999999998</v>
      </c>
      <c r="Q470">
        <v>-6.9571930000000004E-2</v>
      </c>
      <c r="R470">
        <v>-2.790865E-2</v>
      </c>
      <c r="S470">
        <v>2.998383</v>
      </c>
      <c r="T470">
        <v>-0.146331399999999</v>
      </c>
      <c r="U470">
        <v>6.1035159999999998E-3</v>
      </c>
      <c r="V470">
        <v>1.8280680000000001E-2</v>
      </c>
      <c r="W470">
        <v>-6.5225439999999996E-2</v>
      </c>
      <c r="X470">
        <v>0.99770309999999995</v>
      </c>
      <c r="Y470">
        <v>-1.1688270000000001E-2</v>
      </c>
      <c r="Z470">
        <v>7.4041149999999904E-4</v>
      </c>
      <c r="AA470">
        <v>0.99993140000000003</v>
      </c>
      <c r="AB470">
        <v>33</v>
      </c>
      <c r="AC470">
        <v>22.758399999999899</v>
      </c>
      <c r="AD470">
        <v>-1.1198968417449999</v>
      </c>
      <c r="AE470">
        <v>4.8400000000015098E-2</v>
      </c>
      <c r="AF470">
        <v>-0.267993082355236</v>
      </c>
      <c r="AG470">
        <v>-1.1198968417449999</v>
      </c>
      <c r="AH470">
        <v>22.7018949924834</v>
      </c>
      <c r="AI470">
        <v>92.823946193982707</v>
      </c>
      <c r="AJ470">
        <v>90.676338224730003</v>
      </c>
      <c r="AK470">
        <v>22.731080605155601</v>
      </c>
      <c r="AL470">
        <v>93.739797339898004</v>
      </c>
      <c r="AM470">
        <v>88.950300323576798</v>
      </c>
      <c r="AN470">
        <v>1.00000000851703</v>
      </c>
    </row>
    <row r="471" spans="1:40" x14ac:dyDescent="0.25">
      <c r="A471" t="str">
        <f>"20190303154741150"</f>
        <v>20190303154741150</v>
      </c>
      <c r="B471" t="str">
        <f>"1551599261141055"</f>
        <v>1551599261141055</v>
      </c>
      <c r="C471" t="s">
        <v>40</v>
      </c>
      <c r="D471">
        <v>5.2119770000000001</v>
      </c>
      <c r="E471">
        <v>0.48864609999999897</v>
      </c>
      <c r="F471" t="s">
        <v>41</v>
      </c>
      <c r="G471">
        <v>-352.0043</v>
      </c>
      <c r="H471" s="1">
        <v>-3.8027859999999999E-6</v>
      </c>
      <c r="I471">
        <v>367.41590000000002</v>
      </c>
      <c r="J471">
        <v>-374.49180000000001</v>
      </c>
      <c r="K471">
        <v>1.1199870000000001</v>
      </c>
      <c r="L471">
        <v>367.37029999999999</v>
      </c>
      <c r="M471">
        <v>0.99994240000000001</v>
      </c>
      <c r="N471">
        <v>-4.8647940000000004E-3</v>
      </c>
      <c r="O471">
        <v>-9.5822760000000007E-3</v>
      </c>
      <c r="P471">
        <v>0.99715030000000004</v>
      </c>
      <c r="Q471">
        <v>-7.0111569999999998E-2</v>
      </c>
      <c r="R471">
        <v>-2.786102E-2</v>
      </c>
      <c r="S471">
        <v>2.998291</v>
      </c>
      <c r="T471">
        <v>-0.1481421</v>
      </c>
      <c r="U471">
        <v>5.8288569999999998E-3</v>
      </c>
      <c r="V471">
        <v>1.832839E-2</v>
      </c>
      <c r="W471">
        <v>-6.5252009999999999E-2</v>
      </c>
      <c r="X471">
        <v>0.99770049999999999</v>
      </c>
      <c r="Y471">
        <v>-1.150142E-2</v>
      </c>
      <c r="Z471">
        <v>7.3852259999999904E-4</v>
      </c>
      <c r="AA471">
        <v>0.99993359999999998</v>
      </c>
      <c r="AB471">
        <v>33</v>
      </c>
      <c r="AC471">
        <v>22.487500000000001</v>
      </c>
      <c r="AD471">
        <v>-1.1199908027859999</v>
      </c>
      <c r="AE471">
        <v>4.5600000000035799E-2</v>
      </c>
      <c r="AF471">
        <v>-0.26043583728066699</v>
      </c>
      <c r="AG471">
        <v>-1.1199908027859999</v>
      </c>
      <c r="AH471">
        <v>22.430391298278899</v>
      </c>
      <c r="AI471">
        <v>92.858317567839805</v>
      </c>
      <c r="AJ471">
        <v>90.665222626653502</v>
      </c>
      <c r="AK471">
        <v>22.4598455029764</v>
      </c>
      <c r="AL471">
        <v>93.741322891253901</v>
      </c>
      <c r="AM471">
        <v>88.947558628620897</v>
      </c>
      <c r="AN471">
        <v>1.00000002119464</v>
      </c>
    </row>
    <row r="472" spans="1:40" x14ac:dyDescent="0.25">
      <c r="A472" t="str">
        <f>"20190303154741163"</f>
        <v>20190303154741163</v>
      </c>
      <c r="B472" t="str">
        <f>"1551599261151791"</f>
        <v>1551599261151791</v>
      </c>
      <c r="C472" t="s">
        <v>40</v>
      </c>
      <c r="D472">
        <v>5.2335659999999997</v>
      </c>
      <c r="E472">
        <v>0.48865649999999999</v>
      </c>
      <c r="F472" t="s">
        <v>41</v>
      </c>
      <c r="G472">
        <v>-352.07209999999998</v>
      </c>
      <c r="H472" s="1">
        <v>-3.7740000000000002E-6</v>
      </c>
      <c r="I472">
        <v>367.41399999999999</v>
      </c>
      <c r="J472">
        <v>-374.3073</v>
      </c>
      <c r="K472">
        <v>1.12008</v>
      </c>
      <c r="L472">
        <v>367.36860000000001</v>
      </c>
      <c r="M472">
        <v>0.99994059999999996</v>
      </c>
      <c r="N472">
        <v>-5.3805340000000002E-3</v>
      </c>
      <c r="O472">
        <v>-9.4819199999999996E-3</v>
      </c>
      <c r="P472">
        <v>0.99710770000000004</v>
      </c>
      <c r="Q472">
        <v>-7.0746459999999997E-2</v>
      </c>
      <c r="R472">
        <v>-2.7774699999999999E-2</v>
      </c>
      <c r="S472">
        <v>2.99823</v>
      </c>
      <c r="T472">
        <v>-0.1497782</v>
      </c>
      <c r="U472">
        <v>5.859375E-3</v>
      </c>
      <c r="V472">
        <v>1.8342939999999999E-2</v>
      </c>
      <c r="W472">
        <v>-6.5372540000000007E-2</v>
      </c>
      <c r="X472">
        <v>0.99769229999999998</v>
      </c>
      <c r="Y472">
        <v>-1.1411050000000001E-2</v>
      </c>
      <c r="Z472">
        <v>7.3794949999999996E-4</v>
      </c>
      <c r="AA472">
        <v>0.99993460000000001</v>
      </c>
      <c r="AB472">
        <v>32</v>
      </c>
      <c r="AC472">
        <v>22.235199999999999</v>
      </c>
      <c r="AD472">
        <v>-1.120083774</v>
      </c>
      <c r="AE472">
        <v>4.5399999999972303E-2</v>
      </c>
      <c r="AF472">
        <v>-0.25558482906395602</v>
      </c>
      <c r="AG472">
        <v>-1.120083774</v>
      </c>
      <c r="AH472">
        <v>22.1774930921747</v>
      </c>
      <c r="AI472">
        <v>92.8910994953455</v>
      </c>
      <c r="AJ472">
        <v>90.660276781297</v>
      </c>
      <c r="AK472">
        <v>22.2072310547507</v>
      </c>
      <c r="AL472">
        <v>93.748243686391802</v>
      </c>
      <c r="AM472">
        <v>88.946714680846995</v>
      </c>
      <c r="AN472">
        <v>0.99999997895659198</v>
      </c>
    </row>
    <row r="473" spans="1:40" x14ac:dyDescent="0.25">
      <c r="A473" t="str">
        <f>"20190303154741182"</f>
        <v>20190303154741182</v>
      </c>
      <c r="B473" t="str">
        <f>"1551599261171310"</f>
        <v>1551599261171310</v>
      </c>
      <c r="C473" t="s">
        <v>40</v>
      </c>
      <c r="D473">
        <v>5.2755390000000002</v>
      </c>
      <c r="E473">
        <v>0.48866389999999998</v>
      </c>
      <c r="F473" t="s">
        <v>41</v>
      </c>
      <c r="G473">
        <v>-352.17869999999999</v>
      </c>
      <c r="H473" s="1">
        <v>-3.7281919999999999E-6</v>
      </c>
      <c r="I473">
        <v>367.41449999999998</v>
      </c>
      <c r="J473">
        <v>-374.03579999999999</v>
      </c>
      <c r="K473">
        <v>1.1201700000000001</v>
      </c>
      <c r="L473">
        <v>367.36610000000002</v>
      </c>
      <c r="M473">
        <v>0.99993829999999995</v>
      </c>
      <c r="N473">
        <v>-6.050054E-3</v>
      </c>
      <c r="O473">
        <v>-9.3263289999999995E-3</v>
      </c>
      <c r="P473">
        <v>0.99706110000000003</v>
      </c>
      <c r="Q473">
        <v>-7.1665499999999993E-2</v>
      </c>
      <c r="R473">
        <v>-2.7084480000000001E-2</v>
      </c>
      <c r="S473">
        <v>2.998138</v>
      </c>
      <c r="T473">
        <v>-0.1517559</v>
      </c>
      <c r="U473">
        <v>6.225586E-3</v>
      </c>
      <c r="V473">
        <v>1.78085999999999E-2</v>
      </c>
      <c r="W473">
        <v>-6.5624039999999995E-2</v>
      </c>
      <c r="X473">
        <v>0.9976855</v>
      </c>
      <c r="Y473">
        <v>-1.13773E-2</v>
      </c>
      <c r="Z473">
        <v>7.3756579999999998E-4</v>
      </c>
      <c r="AA473">
        <v>0.99993500000000002</v>
      </c>
      <c r="AB473">
        <v>32</v>
      </c>
      <c r="AC473">
        <v>21.857099999999999</v>
      </c>
      <c r="AD473">
        <v>-1.1201737281919999</v>
      </c>
      <c r="AE473">
        <v>4.8399999999958199E-2</v>
      </c>
      <c r="AF473">
        <v>-0.25158730882580699</v>
      </c>
      <c r="AG473">
        <v>-1.1201737281919999</v>
      </c>
      <c r="AH473">
        <v>21.798443549310399</v>
      </c>
      <c r="AI473">
        <v>92.941520048853405</v>
      </c>
      <c r="AJ473">
        <v>90.661251384271793</v>
      </c>
      <c r="AK473">
        <v>21.828656086158102</v>
      </c>
      <c r="AL473">
        <v>93.762684471716398</v>
      </c>
      <c r="AM473">
        <v>88.977383883833198</v>
      </c>
      <c r="AN473">
        <v>1.00000000888506</v>
      </c>
    </row>
    <row r="474" spans="1:40" x14ac:dyDescent="0.25">
      <c r="A474" t="str">
        <f>"20190303154741204"</f>
        <v>20190303154741204</v>
      </c>
      <c r="B474" t="str">
        <f>"1551599261201567"</f>
        <v>1551599261201567</v>
      </c>
      <c r="C474" t="s">
        <v>40</v>
      </c>
      <c r="D474">
        <v>5.2450449999999904</v>
      </c>
      <c r="E474">
        <v>0.48869760000000001</v>
      </c>
      <c r="F474" t="s">
        <v>41</v>
      </c>
      <c r="G474">
        <v>-352.32679999999999</v>
      </c>
      <c r="H474" s="1">
        <v>-3.662537E-6</v>
      </c>
      <c r="I474">
        <v>367.42649999999998</v>
      </c>
      <c r="J474">
        <v>-373.71589999999998</v>
      </c>
      <c r="K474">
        <v>1.120241</v>
      </c>
      <c r="L474">
        <v>367.36340000000001</v>
      </c>
      <c r="M474">
        <v>0.99993560000000004</v>
      </c>
      <c r="N474">
        <v>-6.7463039999999998E-3</v>
      </c>
      <c r="O474">
        <v>-9.1369229999999999E-3</v>
      </c>
      <c r="P474">
        <v>0.99703070000000005</v>
      </c>
      <c r="Q474">
        <v>-7.2536470000000006E-2</v>
      </c>
      <c r="R474">
        <v>-2.585053E-2</v>
      </c>
      <c r="S474">
        <v>2.9980159999999998</v>
      </c>
      <c r="T474">
        <v>-0.15469539999999901</v>
      </c>
      <c r="U474">
        <v>8.3312990000000003E-3</v>
      </c>
      <c r="V474">
        <v>1.6764660000000001E-2</v>
      </c>
      <c r="W474">
        <v>-6.5800810000000001E-2</v>
      </c>
      <c r="X474">
        <v>0.99769189999999996</v>
      </c>
      <c r="Y474">
        <v>-1.1888839999999999E-2</v>
      </c>
      <c r="Z474">
        <v>7.5619139999999897E-4</v>
      </c>
      <c r="AA474">
        <v>0.99992899999999996</v>
      </c>
      <c r="AB474">
        <v>32</v>
      </c>
      <c r="AC474">
        <v>21.3890999999999</v>
      </c>
      <c r="AD474">
        <v>-1.1202446625369999</v>
      </c>
      <c r="AE474">
        <v>6.3099999999963005E-2</v>
      </c>
      <c r="AF474">
        <v>-0.25782512106148497</v>
      </c>
      <c r="AG474">
        <v>-1.1202446625369999</v>
      </c>
      <c r="AH474">
        <v>21.329123282739701</v>
      </c>
      <c r="AI474">
        <v>93.006297662731797</v>
      </c>
      <c r="AJ474">
        <v>90.692554103424598</v>
      </c>
      <c r="AK474">
        <v>21.3600777598608</v>
      </c>
      <c r="AL474">
        <v>93.772834755077298</v>
      </c>
      <c r="AM474">
        <v>89.037324174702306</v>
      </c>
      <c r="AN474">
        <v>0.99999996387359003</v>
      </c>
    </row>
    <row r="475" spans="1:40" x14ac:dyDescent="0.25">
      <c r="A475" t="str">
        <f>"20190303154741217"</f>
        <v>20190303154741217</v>
      </c>
      <c r="B475" t="str">
        <f>"1551599261211327"</f>
        <v>1551599261211327</v>
      </c>
      <c r="C475" t="s">
        <v>40</v>
      </c>
      <c r="D475">
        <v>5.2899059999999896</v>
      </c>
      <c r="E475">
        <v>0.4887147</v>
      </c>
      <c r="F475" t="s">
        <v>41</v>
      </c>
      <c r="G475">
        <v>-352.41840000000002</v>
      </c>
      <c r="H475" s="1">
        <v>-3.61914E-6</v>
      </c>
      <c r="I475">
        <v>367.44959999999998</v>
      </c>
      <c r="J475">
        <v>-373.52210000000002</v>
      </c>
      <c r="K475">
        <v>1.120279</v>
      </c>
      <c r="L475">
        <v>367.36169999999998</v>
      </c>
      <c r="M475">
        <v>0.99993379999999998</v>
      </c>
      <c r="N475">
        <v>-7.1407930000000003E-3</v>
      </c>
      <c r="O475">
        <v>-9.0274239999999992E-3</v>
      </c>
      <c r="P475">
        <v>0.99702480000000004</v>
      </c>
      <c r="Q475">
        <v>-7.2778099999999998E-2</v>
      </c>
      <c r="R475">
        <v>-2.5395379999999999E-2</v>
      </c>
      <c r="S475">
        <v>2.9978030000000002</v>
      </c>
      <c r="T475">
        <v>-0.15768299999999999</v>
      </c>
      <c r="U475">
        <v>1.2146000000000001E-2</v>
      </c>
      <c r="V475">
        <v>1.641929E-2</v>
      </c>
      <c r="W475">
        <v>-6.5648910000000005E-2</v>
      </c>
      <c r="X475">
        <v>0.99770769999999998</v>
      </c>
      <c r="Y475">
        <v>-1.30492E-2</v>
      </c>
      <c r="Z475">
        <v>7.9966100000000001E-4</v>
      </c>
      <c r="AA475">
        <v>0.99991450000000004</v>
      </c>
      <c r="AB475">
        <v>32</v>
      </c>
      <c r="AC475">
        <v>21.1037</v>
      </c>
      <c r="AD475">
        <v>-1.1202826191399999</v>
      </c>
      <c r="AE475">
        <v>8.78999999999905E-2</v>
      </c>
      <c r="AF475">
        <v>-0.27763096967684298</v>
      </c>
      <c r="AG475">
        <v>-1.1202826191399999</v>
      </c>
      <c r="AH475">
        <v>21.0427494619973</v>
      </c>
      <c r="AI475">
        <v>93.047194761847194</v>
      </c>
      <c r="AJ475">
        <v>90.755897415071303</v>
      </c>
      <c r="AK475">
        <v>21.074378212000902</v>
      </c>
      <c r="AL475">
        <v>93.764112479533097</v>
      </c>
      <c r="AM475">
        <v>89.057167641344293</v>
      </c>
      <c r="AN475">
        <v>1.0000000135537901</v>
      </c>
    </row>
    <row r="476" spans="1:40" x14ac:dyDescent="0.25">
      <c r="A476" t="str">
        <f>"20190303154741231"</f>
        <v>20190303154741231</v>
      </c>
      <c r="B476" t="str">
        <f>"1551599261221087"</f>
        <v>1551599261221087</v>
      </c>
      <c r="C476" t="s">
        <v>40</v>
      </c>
      <c r="D476">
        <v>5.2331659999999998</v>
      </c>
      <c r="E476">
        <v>0.48873299999999997</v>
      </c>
      <c r="F476" t="s">
        <v>41</v>
      </c>
      <c r="G476">
        <v>-352.3331</v>
      </c>
      <c r="H476" s="1">
        <v>-3.6551559999999998E-6</v>
      </c>
      <c r="I476">
        <v>367.4529</v>
      </c>
      <c r="J476">
        <v>-373.31729999999999</v>
      </c>
      <c r="K476">
        <v>1.1203110000000001</v>
      </c>
      <c r="L476">
        <v>367.36</v>
      </c>
      <c r="M476">
        <v>0.99993189999999998</v>
      </c>
      <c r="N476">
        <v>-7.5328590000000003E-3</v>
      </c>
      <c r="O476">
        <v>-8.9115749999999997E-3</v>
      </c>
      <c r="P476">
        <v>0.99701169999999995</v>
      </c>
      <c r="Q476">
        <v>-7.3125899999999994E-2</v>
      </c>
      <c r="R476">
        <v>-2.4903669999999999E-2</v>
      </c>
      <c r="S476">
        <v>2.9977109999999998</v>
      </c>
      <c r="T476">
        <v>-0.15849089999999999</v>
      </c>
      <c r="U476">
        <v>1.2908940000000001E-2</v>
      </c>
      <c r="V476">
        <v>1.6043519999999999E-2</v>
      </c>
      <c r="W476">
        <v>-6.5605750000000004E-2</v>
      </c>
      <c r="X476">
        <v>0.99771670000000001</v>
      </c>
      <c r="Y476">
        <v>-1.3187600000000001E-2</v>
      </c>
      <c r="Z476">
        <v>8.0182089999999897E-4</v>
      </c>
      <c r="AA476">
        <v>0.99991269999999999</v>
      </c>
      <c r="AB476">
        <v>32</v>
      </c>
      <c r="AC476">
        <v>20.984199999999898</v>
      </c>
      <c r="AD476">
        <v>-1.1203146551559999</v>
      </c>
      <c r="AE476">
        <v>9.2899999999985994E-2</v>
      </c>
      <c r="AF476">
        <v>-0.279108356662362</v>
      </c>
      <c r="AG476">
        <v>-1.1203146551559999</v>
      </c>
      <c r="AH476">
        <v>20.922902768532399</v>
      </c>
      <c r="AI476">
        <v>93.064697499644097</v>
      </c>
      <c r="AJ476">
        <v>90.764271695818607</v>
      </c>
      <c r="AK476">
        <v>20.9547337530873</v>
      </c>
      <c r="AL476">
        <v>93.761634071631207</v>
      </c>
      <c r="AM476">
        <v>89.0787497417721</v>
      </c>
      <c r="AN476">
        <v>1.00000006121296</v>
      </c>
    </row>
    <row r="477" spans="1:40" x14ac:dyDescent="0.25">
      <c r="A477" t="str">
        <f>"20190303154741248"</f>
        <v>20190303154741248</v>
      </c>
      <c r="B477" t="str">
        <f>"1551599261241582"</f>
        <v>1551599261241582</v>
      </c>
      <c r="C477" t="s">
        <v>40</v>
      </c>
      <c r="D477">
        <v>5.282972</v>
      </c>
      <c r="E477">
        <v>0.4887473</v>
      </c>
      <c r="F477" t="s">
        <v>41</v>
      </c>
      <c r="G477">
        <v>-352.27069999999998</v>
      </c>
      <c r="H477" s="1">
        <v>-3.6806069999999999E-6</v>
      </c>
      <c r="I477">
        <v>367.46039999999999</v>
      </c>
      <c r="J477">
        <v>-373.07530000000003</v>
      </c>
      <c r="K477">
        <v>1.120341</v>
      </c>
      <c r="L477">
        <v>367.358</v>
      </c>
      <c r="M477">
        <v>0.99992979999999998</v>
      </c>
      <c r="N477">
        <v>-7.9677569999999903E-3</v>
      </c>
      <c r="O477">
        <v>-8.7741590000000001E-3</v>
      </c>
      <c r="P477">
        <v>0.99701110000000004</v>
      </c>
      <c r="Q477">
        <v>-7.3463810000000004E-2</v>
      </c>
      <c r="R477">
        <v>-2.3915970000000002E-2</v>
      </c>
      <c r="S477">
        <v>2.99762</v>
      </c>
      <c r="T477">
        <v>-0.15956289999999901</v>
      </c>
      <c r="U477">
        <v>1.4312739999999999E-2</v>
      </c>
      <c r="V477">
        <v>1.519299E-2</v>
      </c>
      <c r="W477">
        <v>-6.5510139999999994E-2</v>
      </c>
      <c r="X477">
        <v>0.99773619999999996</v>
      </c>
      <c r="Y477">
        <v>-1.351781E-2</v>
      </c>
      <c r="Z477">
        <v>8.1026069999999995E-4</v>
      </c>
      <c r="AA477">
        <v>0.99990829999999997</v>
      </c>
      <c r="AB477">
        <v>32</v>
      </c>
      <c r="AC477">
        <v>20.804600000000001</v>
      </c>
      <c r="AD477">
        <v>-1.1203446806070001</v>
      </c>
      <c r="AE477">
        <v>0.102399999999988</v>
      </c>
      <c r="AF477">
        <v>-0.28412080913756399</v>
      </c>
      <c r="AG477">
        <v>-1.1203446806070001</v>
      </c>
      <c r="AH477">
        <v>20.742749943253099</v>
      </c>
      <c r="AI477">
        <v>93.091331076773699</v>
      </c>
      <c r="AJ477">
        <v>90.784751555317897</v>
      </c>
      <c r="AK477">
        <v>20.774926523236498</v>
      </c>
      <c r="AL477">
        <v>93.756144574076998</v>
      </c>
      <c r="AM477">
        <v>89.127598124211104</v>
      </c>
      <c r="AN477">
        <v>0.99999996508919897</v>
      </c>
    </row>
    <row r="478" spans="1:40" x14ac:dyDescent="0.25">
      <c r="A478" t="str">
        <f>"20190303154741261"</f>
        <v>20190303154741261</v>
      </c>
      <c r="B478" t="str">
        <f>"1551599261251343"</f>
        <v>1551599261251343</v>
      </c>
      <c r="C478" t="s">
        <v>40</v>
      </c>
      <c r="D478">
        <v>5.3294220000000001</v>
      </c>
      <c r="E478">
        <v>0.48881960000000002</v>
      </c>
      <c r="F478" t="s">
        <v>41</v>
      </c>
      <c r="G478">
        <v>-352.1694</v>
      </c>
      <c r="H478" s="1">
        <v>-3.7207569999999999E-6</v>
      </c>
      <c r="I478">
        <v>367.47890000000001</v>
      </c>
      <c r="J478">
        <v>-372.89460000000003</v>
      </c>
      <c r="K478">
        <v>1.1203590000000001</v>
      </c>
      <c r="L478">
        <v>367.35649999999998</v>
      </c>
      <c r="M478">
        <v>0.99992820000000004</v>
      </c>
      <c r="N478">
        <v>-8.2749869999999993E-3</v>
      </c>
      <c r="O478">
        <v>-8.6709119999999994E-3</v>
      </c>
      <c r="P478">
        <v>0.997004</v>
      </c>
      <c r="Q478">
        <v>-7.369879E-2</v>
      </c>
      <c r="R478">
        <v>-2.347979E-2</v>
      </c>
      <c r="S478">
        <v>2.9975890000000001</v>
      </c>
      <c r="T478">
        <v>-0.1606398</v>
      </c>
      <c r="U478">
        <v>1.7333979999999999E-2</v>
      </c>
      <c r="V478">
        <v>1.4859850000000001E-2</v>
      </c>
      <c r="W478">
        <v>-6.5438800000000005E-2</v>
      </c>
      <c r="X478">
        <v>0.99774589999999996</v>
      </c>
      <c r="Y478">
        <v>-1.442061E-2</v>
      </c>
      <c r="Z478">
        <v>8.3845729999999904E-4</v>
      </c>
      <c r="AA478">
        <v>0.99989570000000005</v>
      </c>
      <c r="AB478">
        <v>32</v>
      </c>
      <c r="AC478">
        <v>20.725200000000001</v>
      </c>
      <c r="AD478">
        <v>-1.1203627207569999</v>
      </c>
      <c r="AE478">
        <v>0.122400000000027</v>
      </c>
      <c r="AF478">
        <v>-0.30122769392466398</v>
      </c>
      <c r="AG478">
        <v>-1.1203627207569999</v>
      </c>
      <c r="AH478">
        <v>20.662978839489099</v>
      </c>
      <c r="AI478">
        <v>93.103253441928601</v>
      </c>
      <c r="AJ478">
        <v>90.835206442389406</v>
      </c>
      <c r="AK478">
        <v>20.695522348344401</v>
      </c>
      <c r="AL478">
        <v>93.7520482987766</v>
      </c>
      <c r="AM478">
        <v>89.146732904372399</v>
      </c>
      <c r="AN478">
        <v>0.99999996632713495</v>
      </c>
    </row>
    <row r="479" spans="1:40" x14ac:dyDescent="0.25">
      <c r="A479" t="str">
        <f>"20190303154741273"</f>
        <v>20190303154741273</v>
      </c>
      <c r="B479" t="str">
        <f>"1551599261261102"</f>
        <v>1551599261261102</v>
      </c>
      <c r="C479" t="s">
        <v>40</v>
      </c>
      <c r="D479">
        <v>5.3278179999999997</v>
      </c>
      <c r="E479">
        <v>0.48888389999999998</v>
      </c>
      <c r="F479" t="s">
        <v>41</v>
      </c>
      <c r="G479">
        <v>-352.09179999999998</v>
      </c>
      <c r="H479" s="1">
        <v>-3.7538739999999999E-6</v>
      </c>
      <c r="I479">
        <v>367.48</v>
      </c>
      <c r="J479">
        <v>-372.70659999999998</v>
      </c>
      <c r="K479">
        <v>1.1203719999999999</v>
      </c>
      <c r="L479">
        <v>367.35500000000002</v>
      </c>
      <c r="M479">
        <v>0.9999268</v>
      </c>
      <c r="N479">
        <v>-8.5610059999999995E-3</v>
      </c>
      <c r="O479">
        <v>-8.5628639999999999E-3</v>
      </c>
      <c r="P479">
        <v>0.99699680000000002</v>
      </c>
      <c r="Q479">
        <v>-7.3805860000000001E-2</v>
      </c>
      <c r="R479">
        <v>-2.345328E-2</v>
      </c>
      <c r="S479">
        <v>2.9974980000000002</v>
      </c>
      <c r="T479">
        <v>-0.1614331</v>
      </c>
      <c r="U479">
        <v>1.7791749999999999E-2</v>
      </c>
      <c r="V479">
        <v>1.494087E-2</v>
      </c>
      <c r="W479">
        <v>-6.5260550000000001E-2</v>
      </c>
      <c r="X479">
        <v>0.99775639999999999</v>
      </c>
      <c r="Y479">
        <v>-1.4465159999999999E-2</v>
      </c>
      <c r="Z479">
        <v>8.3876269999999997E-4</v>
      </c>
      <c r="AA479">
        <v>0.99989499999999998</v>
      </c>
      <c r="AB479">
        <v>32</v>
      </c>
      <c r="AC479">
        <v>20.614799999999999</v>
      </c>
      <c r="AD479">
        <v>-1.120375753874</v>
      </c>
      <c r="AE479">
        <v>0.125</v>
      </c>
      <c r="AF479">
        <v>-0.30063563496634599</v>
      </c>
      <c r="AG479">
        <v>-1.120375753874</v>
      </c>
      <c r="AH479">
        <v>20.552270371902001</v>
      </c>
      <c r="AI479">
        <v>93.119970695446497</v>
      </c>
      <c r="AJ479">
        <v>90.838054595511394</v>
      </c>
      <c r="AK479">
        <v>20.584980958326</v>
      </c>
      <c r="AL479">
        <v>93.741813316681998</v>
      </c>
      <c r="AM479">
        <v>89.142090377377897</v>
      </c>
      <c r="AN479">
        <v>1.0000000013618</v>
      </c>
    </row>
    <row r="480" spans="1:40" x14ac:dyDescent="0.25">
      <c r="A480" t="str">
        <f>"20190303154741287"</f>
        <v>20190303154741287</v>
      </c>
      <c r="B480" t="str">
        <f>"1551599261281599"</f>
        <v>1551599261281599</v>
      </c>
      <c r="C480" t="s">
        <v>40</v>
      </c>
      <c r="D480">
        <v>5.4086049999999997</v>
      </c>
      <c r="E480">
        <v>0.48895539999999998</v>
      </c>
      <c r="F480" t="s">
        <v>41</v>
      </c>
      <c r="G480">
        <v>-351.97309999999999</v>
      </c>
      <c r="H480" s="1">
        <v>-3.805375E-6</v>
      </c>
      <c r="I480">
        <v>367.47660000000002</v>
      </c>
      <c r="J480">
        <v>-372.51389999999998</v>
      </c>
      <c r="K480">
        <v>1.1203829999999999</v>
      </c>
      <c r="L480">
        <v>367.3535</v>
      </c>
      <c r="M480">
        <v>0.99992539999999996</v>
      </c>
      <c r="N480">
        <v>-8.8391700000000004E-3</v>
      </c>
      <c r="O480">
        <v>-8.4517280000000004E-3</v>
      </c>
      <c r="P480">
        <v>0.99700029999999995</v>
      </c>
      <c r="Q480">
        <v>-7.376249E-2</v>
      </c>
      <c r="R480">
        <v>-2.3448130000000001E-2</v>
      </c>
      <c r="S480">
        <v>2.9974669999999999</v>
      </c>
      <c r="T480">
        <v>-0.16197349999999999</v>
      </c>
      <c r="U480">
        <v>1.7578130000000001E-2</v>
      </c>
      <c r="V480">
        <v>1.504611E-2</v>
      </c>
      <c r="W480">
        <v>-6.4939609999999995E-2</v>
      </c>
      <c r="X480">
        <v>0.99777570000000004</v>
      </c>
      <c r="Y480">
        <v>-1.428305E-2</v>
      </c>
      <c r="Z480">
        <v>8.3050530000000004E-4</v>
      </c>
      <c r="AA480">
        <v>0.9998977</v>
      </c>
      <c r="AB480">
        <v>32</v>
      </c>
      <c r="AC480">
        <v>20.540799999999901</v>
      </c>
      <c r="AD480">
        <v>-1.1203868053749999</v>
      </c>
      <c r="AE480">
        <v>0.123100000000022</v>
      </c>
      <c r="AF480">
        <v>-0.29582752362416698</v>
      </c>
      <c r="AG480">
        <v>-1.1203868053749999</v>
      </c>
      <c r="AH480">
        <v>20.4781036740467</v>
      </c>
      <c r="AI480">
        <v>93.131287106445498</v>
      </c>
      <c r="AJ480">
        <v>90.8276396057054</v>
      </c>
      <c r="AK480">
        <v>20.5108632339645</v>
      </c>
      <c r="AL480">
        <v>93.723385937250498</v>
      </c>
      <c r="AM480">
        <v>89.136065083940807</v>
      </c>
      <c r="AN480">
        <v>0.99999994294178496</v>
      </c>
    </row>
    <row r="481" spans="1:40" x14ac:dyDescent="0.25">
      <c r="A481" t="str">
        <f>"20190303154741304"</f>
        <v>20190303154741304</v>
      </c>
      <c r="B481" t="str">
        <f>"1551599261301119"</f>
        <v>1551599261301119</v>
      </c>
      <c r="C481" t="s">
        <v>40</v>
      </c>
      <c r="D481">
        <v>5.3461819999999998</v>
      </c>
      <c r="E481">
        <v>0.48905959999999898</v>
      </c>
      <c r="F481" t="s">
        <v>41</v>
      </c>
      <c r="G481">
        <v>-351.9196</v>
      </c>
      <c r="H481" s="1">
        <v>-3.8291899999999998E-6</v>
      </c>
      <c r="I481">
        <v>367.4717</v>
      </c>
      <c r="J481">
        <v>-372.26350000000002</v>
      </c>
      <c r="K481">
        <v>1.120393</v>
      </c>
      <c r="L481">
        <v>367.35160000000002</v>
      </c>
      <c r="M481">
        <v>0.99992349999999997</v>
      </c>
      <c r="N481">
        <v>-9.1710170000000001E-3</v>
      </c>
      <c r="O481">
        <v>-8.3073769999999995E-3</v>
      </c>
      <c r="P481">
        <v>0.99700650000000002</v>
      </c>
      <c r="Q481">
        <v>-7.3408509999999996E-2</v>
      </c>
      <c r="R481">
        <v>-2.4275709999999999E-2</v>
      </c>
      <c r="S481">
        <v>2.9973450000000001</v>
      </c>
      <c r="T481">
        <v>-0.1630634</v>
      </c>
      <c r="U481">
        <v>1.721191E-2</v>
      </c>
      <c r="V481">
        <v>1.6016909999999999E-2</v>
      </c>
      <c r="W481">
        <v>-6.4254110000000003E-2</v>
      </c>
      <c r="X481">
        <v>0.99780500000000005</v>
      </c>
      <c r="Y481">
        <v>-1.401697E-2</v>
      </c>
      <c r="Z481">
        <v>8.2078999999999995E-4</v>
      </c>
      <c r="AA481">
        <v>0.99990140000000005</v>
      </c>
      <c r="AB481">
        <v>32</v>
      </c>
      <c r="AC481">
        <v>20.343900000000001</v>
      </c>
      <c r="AD481">
        <v>-1.1203968291899999</v>
      </c>
      <c r="AE481">
        <v>0.120099999999979</v>
      </c>
      <c r="AF481">
        <v>-0.28823321269192198</v>
      </c>
      <c r="AG481">
        <v>-1.1203968291899999</v>
      </c>
      <c r="AH481">
        <v>20.280690576651899</v>
      </c>
      <c r="AI481">
        <v>93.161744446057099</v>
      </c>
      <c r="AJ481">
        <v>90.814244207776696</v>
      </c>
      <c r="AK481">
        <v>20.313659879639001</v>
      </c>
      <c r="AL481">
        <v>93.684027356503606</v>
      </c>
      <c r="AM481">
        <v>89.080358853437403</v>
      </c>
      <c r="AN481">
        <v>0.99999997504141902</v>
      </c>
    </row>
    <row r="482" spans="1:40" x14ac:dyDescent="0.25">
      <c r="A482" t="str">
        <f>"20190303154741316"</f>
        <v>20190303154741316</v>
      </c>
      <c r="B482" t="str">
        <f>"1551599261310879"</f>
        <v>1551599261310879</v>
      </c>
      <c r="C482" t="s">
        <v>40</v>
      </c>
      <c r="D482">
        <v>5.3510559999999998</v>
      </c>
      <c r="E482">
        <v>0.48911369999999998</v>
      </c>
      <c r="F482" t="s">
        <v>41</v>
      </c>
      <c r="G482">
        <v>-351.60270000000003</v>
      </c>
      <c r="H482" s="1">
        <v>-3.9695979999999996E-6</v>
      </c>
      <c r="I482">
        <v>367.44659999999999</v>
      </c>
      <c r="J482">
        <v>-372.07130000000001</v>
      </c>
      <c r="K482">
        <v>1.1203989999999999</v>
      </c>
      <c r="L482">
        <v>367.3501</v>
      </c>
      <c r="M482">
        <v>0.99992230000000004</v>
      </c>
      <c r="N482">
        <v>-9.4029790000000005E-3</v>
      </c>
      <c r="O482">
        <v>-8.1969599999999997E-3</v>
      </c>
      <c r="P482">
        <v>0.99699680000000002</v>
      </c>
      <c r="Q482">
        <v>-7.3504730000000004E-2</v>
      </c>
      <c r="R482">
        <v>-2.438881E-2</v>
      </c>
      <c r="S482">
        <v>2.9973749999999999</v>
      </c>
      <c r="T482">
        <v>-0.16254099999999999</v>
      </c>
      <c r="U482">
        <v>1.3793949999999999E-2</v>
      </c>
      <c r="V482">
        <v>1.6239900000000002E-2</v>
      </c>
      <c r="W482">
        <v>-6.4118960000000003E-2</v>
      </c>
      <c r="X482">
        <v>0.99781010000000003</v>
      </c>
      <c r="Y482">
        <v>-1.276879E-2</v>
      </c>
      <c r="Z482">
        <v>7.7318350000000005E-4</v>
      </c>
      <c r="AA482">
        <v>0.99991819999999998</v>
      </c>
      <c r="AB482">
        <v>32</v>
      </c>
      <c r="AC482">
        <v>20.468599999999899</v>
      </c>
      <c r="AD482">
        <v>-1.120402969598</v>
      </c>
      <c r="AE482">
        <v>9.6499999999991801E-2</v>
      </c>
      <c r="AF482">
        <v>-0.26349498439604702</v>
      </c>
      <c r="AG482">
        <v>-1.120402969598</v>
      </c>
      <c r="AH482">
        <v>20.405981997178099</v>
      </c>
      <c r="AI482">
        <v>93.1424430150348</v>
      </c>
      <c r="AJ482">
        <v>90.739798336323503</v>
      </c>
      <c r="AK482">
        <v>20.438415635519299</v>
      </c>
      <c r="AL482">
        <v>93.676267792341307</v>
      </c>
      <c r="AM482">
        <v>89.067562471379404</v>
      </c>
      <c r="AN482">
        <v>0.99999998552275005</v>
      </c>
    </row>
    <row r="483" spans="1:40" x14ac:dyDescent="0.25">
      <c r="A483" t="str">
        <f>"20190303154741330"</f>
        <v>20190303154741330</v>
      </c>
      <c r="B483" t="str">
        <f>"1551599261321614"</f>
        <v>1551599261321614</v>
      </c>
      <c r="C483" t="s">
        <v>40</v>
      </c>
      <c r="D483">
        <v>5.3546440000000004</v>
      </c>
      <c r="E483">
        <v>0.48916969999999999</v>
      </c>
      <c r="F483" t="s">
        <v>41</v>
      </c>
      <c r="G483">
        <v>-351.48739999999998</v>
      </c>
      <c r="H483" s="1">
        <v>-4.0201559999999997E-6</v>
      </c>
      <c r="I483">
        <v>367.44060000000002</v>
      </c>
      <c r="J483">
        <v>-371.88679999999999</v>
      </c>
      <c r="K483">
        <v>1.1204000000000001</v>
      </c>
      <c r="L483">
        <v>367.34870000000001</v>
      </c>
      <c r="M483">
        <v>0.99992119999999995</v>
      </c>
      <c r="N483">
        <v>-9.6070110000000004E-3</v>
      </c>
      <c r="O483">
        <v>-8.0904959999999904E-3</v>
      </c>
      <c r="P483">
        <v>0.99700409999999995</v>
      </c>
      <c r="Q483">
        <v>-7.3305880000000004E-2</v>
      </c>
      <c r="R483">
        <v>-2.4685820000000001E-2</v>
      </c>
      <c r="S483">
        <v>2.9973749999999999</v>
      </c>
      <c r="T483">
        <v>-0.16314909999999999</v>
      </c>
      <c r="U483">
        <v>1.318359E-2</v>
      </c>
      <c r="V483">
        <v>1.664245E-2</v>
      </c>
      <c r="W483">
        <v>-6.371636E-2</v>
      </c>
      <c r="X483">
        <v>0.99782930000000003</v>
      </c>
      <c r="Y483">
        <v>-1.245916E-2</v>
      </c>
      <c r="Z483">
        <v>7.6109099999999998E-4</v>
      </c>
      <c r="AA483">
        <v>0.99992210000000004</v>
      </c>
      <c r="AB483">
        <v>32</v>
      </c>
      <c r="AC483">
        <v>20.3994</v>
      </c>
      <c r="AD483">
        <v>-1.1204040201559999</v>
      </c>
      <c r="AE483">
        <v>9.1900000000009599E-2</v>
      </c>
      <c r="AF483">
        <v>-0.25617310942179999</v>
      </c>
      <c r="AG483">
        <v>-1.1204040201559999</v>
      </c>
      <c r="AH483">
        <v>20.336642923537401</v>
      </c>
      <c r="AI483">
        <v>93.153151422386102</v>
      </c>
      <c r="AJ483">
        <v>90.721695404638695</v>
      </c>
      <c r="AK483">
        <v>20.369093628088599</v>
      </c>
      <c r="AL483">
        <v>93.653153087494402</v>
      </c>
      <c r="AM483">
        <v>89.044472093053898</v>
      </c>
      <c r="AN483">
        <v>1.00000002880607</v>
      </c>
    </row>
    <row r="484" spans="1:40" x14ac:dyDescent="0.25">
      <c r="A484" t="str">
        <f>"20190303154741348"</f>
        <v>20190303154741348</v>
      </c>
      <c r="B484" t="str">
        <f>"1551599261341134"</f>
        <v>1551599261341134</v>
      </c>
      <c r="C484" t="s">
        <v>40</v>
      </c>
      <c r="D484">
        <v>5.3845349999999996</v>
      </c>
      <c r="E484">
        <v>0.48921870000000001</v>
      </c>
      <c r="F484" t="s">
        <v>41</v>
      </c>
      <c r="G484">
        <v>-351.25130000000001</v>
      </c>
      <c r="H484" s="1">
        <v>-4.1230269999999999E-6</v>
      </c>
      <c r="I484">
        <v>367.4316</v>
      </c>
      <c r="J484">
        <v>-371.61810000000003</v>
      </c>
      <c r="K484">
        <v>1.120406</v>
      </c>
      <c r="L484">
        <v>367.3467</v>
      </c>
      <c r="M484">
        <v>0.99991969999999997</v>
      </c>
      <c r="N484">
        <v>-9.8805769999999998E-3</v>
      </c>
      <c r="O484">
        <v>-7.9356280000000001E-3</v>
      </c>
      <c r="P484">
        <v>0.99695679999999998</v>
      </c>
      <c r="Q484">
        <v>-7.3785939999999994E-2</v>
      </c>
      <c r="R484">
        <v>-2.5153370000000001E-2</v>
      </c>
      <c r="S484">
        <v>2.9973450000000001</v>
      </c>
      <c r="T484">
        <v>-0.16273940000000001</v>
      </c>
      <c r="U484">
        <v>1.205444E-2</v>
      </c>
      <c r="V484">
        <v>1.7264740000000001E-2</v>
      </c>
      <c r="W484">
        <v>-6.3923709999999995E-2</v>
      </c>
      <c r="X484">
        <v>0.99780539999999995</v>
      </c>
      <c r="Y484">
        <v>-1.1928909999999999E-2</v>
      </c>
      <c r="Z484">
        <v>7.3476009999999905E-4</v>
      </c>
      <c r="AA484">
        <v>0.99992859999999995</v>
      </c>
      <c r="AB484">
        <v>32</v>
      </c>
      <c r="AC484">
        <v>20.366800000000001</v>
      </c>
      <c r="AD484">
        <v>-1.120410123027</v>
      </c>
      <c r="AE484">
        <v>8.4900000000004597E-2</v>
      </c>
      <c r="AF484">
        <v>-0.24578476468673999</v>
      </c>
      <c r="AG484">
        <v>-1.120410123027</v>
      </c>
      <c r="AH484">
        <v>20.304040317727299</v>
      </c>
      <c r="AI484">
        <v>93.158240554745603</v>
      </c>
      <c r="AJ484">
        <v>90.693543829862193</v>
      </c>
      <c r="AK484">
        <v>20.336415176186499</v>
      </c>
      <c r="AL484">
        <v>93.665057872829095</v>
      </c>
      <c r="AM484">
        <v>89.008726513600095</v>
      </c>
      <c r="AN484">
        <v>0.99999996410829495</v>
      </c>
    </row>
    <row r="485" spans="1:40" x14ac:dyDescent="0.25">
      <c r="A485" t="str">
        <f>"20190303154741361"</f>
        <v>20190303154741361</v>
      </c>
      <c r="B485" t="str">
        <f>"1551599261350895"</f>
        <v>1551599261350895</v>
      </c>
      <c r="C485" t="s">
        <v>40</v>
      </c>
      <c r="D485">
        <v>5.3513359999999999</v>
      </c>
      <c r="E485">
        <v>0.48925930000000001</v>
      </c>
      <c r="F485" t="s">
        <v>41</v>
      </c>
      <c r="G485">
        <v>-351.30180000000001</v>
      </c>
      <c r="H485" s="1">
        <v>-4.1043989999999998E-6</v>
      </c>
      <c r="I485">
        <v>367.41430000000003</v>
      </c>
      <c r="J485">
        <v>-371.43389999999999</v>
      </c>
      <c r="K485">
        <v>1.1204019999999999</v>
      </c>
      <c r="L485">
        <v>367.34539999999998</v>
      </c>
      <c r="M485">
        <v>0.99991890000000005</v>
      </c>
      <c r="N485">
        <v>-1.00541E-2</v>
      </c>
      <c r="O485">
        <v>-7.8297760000000001E-3</v>
      </c>
      <c r="P485">
        <v>0.99694570000000005</v>
      </c>
      <c r="Q485">
        <v>-7.4045979999999997E-2</v>
      </c>
      <c r="R485">
        <v>-2.4836029999999999E-2</v>
      </c>
      <c r="S485">
        <v>2.9971920000000001</v>
      </c>
      <c r="T485">
        <v>-0.16528950000000001</v>
      </c>
      <c r="U485">
        <v>9.9792479999999996E-3</v>
      </c>
      <c r="V485">
        <v>1.7052629999999999E-2</v>
      </c>
      <c r="W485">
        <v>-6.4010839999999999E-2</v>
      </c>
      <c r="X485">
        <v>0.99780349999999995</v>
      </c>
      <c r="Y485">
        <v>-1.113158E-2</v>
      </c>
      <c r="Z485">
        <v>7.1551190000000004E-4</v>
      </c>
      <c r="AA485">
        <v>0.99993779999999999</v>
      </c>
      <c r="AB485">
        <v>32</v>
      </c>
      <c r="AC485">
        <v>20.132099999999902</v>
      </c>
      <c r="AD485">
        <v>-1.1204061043989999</v>
      </c>
      <c r="AE485">
        <v>6.89000000000419E-2</v>
      </c>
      <c r="AF485">
        <v>-0.225836215865651</v>
      </c>
      <c r="AG485">
        <v>-1.1204061043989999</v>
      </c>
      <c r="AH485">
        <v>20.068786504423599</v>
      </c>
      <c r="AI485">
        <v>93.195206655786393</v>
      </c>
      <c r="AJ485">
        <v>90.644728363808298</v>
      </c>
      <c r="AK485">
        <v>20.101306017154901</v>
      </c>
      <c r="AL485">
        <v>93.670060159202094</v>
      </c>
      <c r="AM485">
        <v>89.020900786290696</v>
      </c>
      <c r="AN485">
        <v>1.0000000022198301</v>
      </c>
    </row>
    <row r="486" spans="1:40" x14ac:dyDescent="0.25">
      <c r="A486" t="str">
        <f>"20190303154741377"</f>
        <v>20190303154741377</v>
      </c>
      <c r="B486" t="str">
        <f>"1551599261371391"</f>
        <v>1551599261371391</v>
      </c>
      <c r="C486" t="s">
        <v>40</v>
      </c>
      <c r="D486">
        <v>5.3741899999999996</v>
      </c>
      <c r="E486">
        <v>0.50776849999999996</v>
      </c>
      <c r="F486" t="s">
        <v>41</v>
      </c>
      <c r="G486">
        <v>-351.24419999999998</v>
      </c>
      <c r="H486" s="1">
        <v>-4.1286480000000002E-6</v>
      </c>
      <c r="I486">
        <v>367.4171</v>
      </c>
      <c r="J486">
        <v>-371.20280000000002</v>
      </c>
      <c r="K486">
        <v>1.1204050000000001</v>
      </c>
      <c r="L486">
        <v>367.34370000000001</v>
      </c>
      <c r="M486">
        <v>0.99991799999999997</v>
      </c>
      <c r="N486">
        <v>-1.024776E-2</v>
      </c>
      <c r="O486">
        <v>-7.6966219999999898E-3</v>
      </c>
      <c r="P486">
        <v>0.9969325</v>
      </c>
      <c r="Q486">
        <v>-7.4297000000000002E-2</v>
      </c>
      <c r="R486">
        <v>-2.461323E-2</v>
      </c>
      <c r="S486">
        <v>2.997131</v>
      </c>
      <c r="T486">
        <v>-0.16632160000000001</v>
      </c>
      <c r="U486">
        <v>1.0650629999999999E-2</v>
      </c>
      <c r="V486">
        <v>1.696282E-2</v>
      </c>
      <c r="W486">
        <v>-6.406887E-2</v>
      </c>
      <c r="X486">
        <v>0.9978013</v>
      </c>
      <c r="Y486">
        <v>-1.122213E-2</v>
      </c>
      <c r="Z486">
        <v>7.1664880000000002E-4</v>
      </c>
      <c r="AA486">
        <v>0.99993679999999996</v>
      </c>
      <c r="AB486">
        <v>32</v>
      </c>
      <c r="AC486">
        <v>19.958600000000001</v>
      </c>
      <c r="AD486">
        <v>-1.12040912864799</v>
      </c>
      <c r="AE486">
        <v>7.3399999999992305E-2</v>
      </c>
      <c r="AF486">
        <v>-0.22630651648696001</v>
      </c>
      <c r="AG486">
        <v>-1.12040912864799</v>
      </c>
      <c r="AH486">
        <v>19.894749848909001</v>
      </c>
      <c r="AI486">
        <v>93.223103467693605</v>
      </c>
      <c r="AJ486">
        <v>90.651722145316498</v>
      </c>
      <c r="AK486">
        <v>19.927558877233999</v>
      </c>
      <c r="AL486">
        <v>93.673391895676502</v>
      </c>
      <c r="AM486">
        <v>89.026054202861602</v>
      </c>
      <c r="AN486">
        <v>0.99999999582355903</v>
      </c>
    </row>
    <row r="487" spans="1:40" x14ac:dyDescent="0.25">
      <c r="A487" t="str">
        <f>"20190303154741395"</f>
        <v>20190303154741395</v>
      </c>
      <c r="B487" t="str">
        <f>"1551599261390911"</f>
        <v>1551599261390911</v>
      </c>
      <c r="C487" t="s">
        <v>40</v>
      </c>
      <c r="D487">
        <v>5.4205920000000001</v>
      </c>
      <c r="E487">
        <v>0.51248939999999998</v>
      </c>
      <c r="F487" t="s">
        <v>42</v>
      </c>
      <c r="G487">
        <v>-370.42689999999999</v>
      </c>
      <c r="H487">
        <v>1.04223</v>
      </c>
      <c r="I487">
        <v>367.30869999999999</v>
      </c>
      <c r="J487">
        <v>-370.94229999999999</v>
      </c>
      <c r="K487">
        <v>1.120406</v>
      </c>
      <c r="L487">
        <v>367.34190000000001</v>
      </c>
      <c r="M487">
        <v>0.9999171</v>
      </c>
      <c r="N487">
        <v>-1.044522E-2</v>
      </c>
      <c r="O487">
        <v>-7.5474069999999999E-3</v>
      </c>
      <c r="P487">
        <v>0.99692939999999997</v>
      </c>
      <c r="Q487">
        <v>-7.4502869999999999E-2</v>
      </c>
      <c r="R487">
        <v>-2.4107590000000002E-2</v>
      </c>
      <c r="S487">
        <v>2.9835509999999998</v>
      </c>
      <c r="T487">
        <v>-0.30055670000000001</v>
      </c>
      <c r="U487">
        <v>-0.13522339999999999</v>
      </c>
      <c r="V487">
        <v>1.6605780000000001E-2</v>
      </c>
      <c r="W487">
        <v>-6.4077949999999995E-2</v>
      </c>
      <c r="X487">
        <v>0.99780670000000005</v>
      </c>
      <c r="Y487">
        <v>3.7556260000000001E-2</v>
      </c>
      <c r="Z487">
        <v>-1.4033819999999999E-3</v>
      </c>
      <c r="AA487">
        <v>0.99929349999999995</v>
      </c>
      <c r="AB487">
        <v>32</v>
      </c>
      <c r="AC487">
        <v>0.51539999999999897</v>
      </c>
      <c r="AD487">
        <v>-7.8175999999999995E-2</v>
      </c>
      <c r="AE487">
        <v>-3.3200000000022101E-2</v>
      </c>
      <c r="AF487">
        <v>2.8652429529271099E-2</v>
      </c>
      <c r="AG487">
        <v>-7.8175999999999995E-2</v>
      </c>
      <c r="AH487">
        <v>0.50408636667984996</v>
      </c>
      <c r="AI487">
        <v>98.801479242938001</v>
      </c>
      <c r="AJ487">
        <v>86.746790156008004</v>
      </c>
      <c r="AK487">
        <v>0.51091634713172196</v>
      </c>
      <c r="AL487">
        <v>93.673913296218203</v>
      </c>
      <c r="AM487">
        <v>89.046555524914197</v>
      </c>
      <c r="AN487">
        <v>0.99999997308525002</v>
      </c>
    </row>
    <row r="488" spans="1:40" x14ac:dyDescent="0.25">
      <c r="A488" t="str">
        <f>"20190303154741417"</f>
        <v>20190303154741417</v>
      </c>
      <c r="B488" t="str">
        <f>"1551599261411407"</f>
        <v>1551599261411407</v>
      </c>
      <c r="C488" t="s">
        <v>40</v>
      </c>
      <c r="D488">
        <v>5.3187829999999998</v>
      </c>
      <c r="E488">
        <v>0.51351040000000003</v>
      </c>
      <c r="F488" t="s">
        <v>42</v>
      </c>
      <c r="G488">
        <v>-370.15640000000002</v>
      </c>
      <c r="H488">
        <v>1.003091</v>
      </c>
      <c r="I488">
        <v>367.29669999999999</v>
      </c>
      <c r="J488">
        <v>-370.6232</v>
      </c>
      <c r="K488">
        <v>1.120412</v>
      </c>
      <c r="L488">
        <v>367.33969999999999</v>
      </c>
      <c r="M488">
        <v>0.99991609999999997</v>
      </c>
      <c r="N488">
        <v>-1.066022E-2</v>
      </c>
      <c r="O488">
        <v>-7.3644449999999998E-3</v>
      </c>
      <c r="P488">
        <v>0.99696289999999999</v>
      </c>
      <c r="Q488">
        <v>-7.4368539999999997E-2</v>
      </c>
      <c r="R488">
        <v>-2.3115159999999999E-2</v>
      </c>
      <c r="S488">
        <v>2.971924</v>
      </c>
      <c r="T488">
        <v>-0.4437432</v>
      </c>
      <c r="U488">
        <v>-0.1702881</v>
      </c>
      <c r="V488">
        <v>1.5795429999999999E-2</v>
      </c>
      <c r="W488">
        <v>-6.3729149999999998E-2</v>
      </c>
      <c r="X488">
        <v>0.99784220000000001</v>
      </c>
      <c r="Y488">
        <v>4.9336360000000003E-2</v>
      </c>
      <c r="Z488">
        <v>-2.9101930000000002E-3</v>
      </c>
      <c r="AA488">
        <v>0.99877800000000005</v>
      </c>
      <c r="AB488">
        <v>32</v>
      </c>
      <c r="AC488">
        <v>0.46679999999997701</v>
      </c>
      <c r="AD488">
        <v>-0.11732099999999999</v>
      </c>
      <c r="AE488">
        <v>-4.3000000000006297E-2</v>
      </c>
      <c r="AF488">
        <v>3.7229057053152402E-2</v>
      </c>
      <c r="AG488">
        <v>-0.11732099999999999</v>
      </c>
      <c r="AH488">
        <v>0.43957128531322998</v>
      </c>
      <c r="AI488">
        <v>104.89289073753601</v>
      </c>
      <c r="AJ488">
        <v>85.158943418675506</v>
      </c>
      <c r="AK488">
        <v>0.45647906261075299</v>
      </c>
      <c r="AL488">
        <v>93.6538875782649</v>
      </c>
      <c r="AM488">
        <v>89.093107212118099</v>
      </c>
      <c r="AN488">
        <v>0.99999997813472297</v>
      </c>
    </row>
    <row r="489" spans="1:40" x14ac:dyDescent="0.25">
      <c r="A489" t="str">
        <f>"20190303154741429"</f>
        <v>20190303154741429</v>
      </c>
      <c r="B489" t="str">
        <f>"1551599261421167"</f>
        <v>1551599261421167</v>
      </c>
      <c r="C489" t="s">
        <v>40</v>
      </c>
      <c r="D489">
        <v>5.3144200000000001</v>
      </c>
      <c r="E489">
        <v>0.51439520000000005</v>
      </c>
      <c r="F489" t="s">
        <v>42</v>
      </c>
      <c r="G489">
        <v>-369.87209999999999</v>
      </c>
      <c r="H489">
        <v>0.99149949999999998</v>
      </c>
      <c r="I489">
        <v>367.2955</v>
      </c>
      <c r="J489">
        <v>-370.43700000000001</v>
      </c>
      <c r="K489">
        <v>1.1204179999999999</v>
      </c>
      <c r="L489">
        <v>367.33850000000001</v>
      </c>
      <c r="M489">
        <v>0.99991549999999996</v>
      </c>
      <c r="N489">
        <v>-1.0778909999999999E-2</v>
      </c>
      <c r="O489">
        <v>-7.2577739999999998E-3</v>
      </c>
      <c r="P489">
        <v>0.99696149999999994</v>
      </c>
      <c r="Q489">
        <v>-7.4496129999999994E-2</v>
      </c>
      <c r="R489">
        <v>-2.2763180000000001E-2</v>
      </c>
      <c r="S489">
        <v>2.9670719999999999</v>
      </c>
      <c r="T489">
        <v>-0.50923350000000001</v>
      </c>
      <c r="U489">
        <v>-0.17468259999999999</v>
      </c>
      <c r="V489">
        <v>1.554972E-2</v>
      </c>
      <c r="W489">
        <v>-6.3738470000000005E-2</v>
      </c>
      <c r="X489">
        <v>0.99784550000000005</v>
      </c>
      <c r="Y489">
        <v>5.082975E-2</v>
      </c>
      <c r="Z489">
        <v>-3.4450489999999999E-3</v>
      </c>
      <c r="AA489">
        <v>0.99870139999999996</v>
      </c>
      <c r="AB489">
        <v>32</v>
      </c>
      <c r="AC489">
        <v>0.56489999999996598</v>
      </c>
      <c r="AD489">
        <v>-0.12891849999999999</v>
      </c>
      <c r="AE489">
        <v>-4.3000000000006297E-2</v>
      </c>
      <c r="AF489">
        <v>3.6983628764242597E-2</v>
      </c>
      <c r="AG489">
        <v>-0.12891849999999999</v>
      </c>
      <c r="AH489">
        <v>0.53737111066120902</v>
      </c>
      <c r="AI489">
        <v>103.459957969709</v>
      </c>
      <c r="AJ489">
        <v>86.0629263141564</v>
      </c>
      <c r="AK489">
        <v>0.55385510651440495</v>
      </c>
      <c r="AL489">
        <v>93.654422531155902</v>
      </c>
      <c r="AM489">
        <v>89.107215273995095</v>
      </c>
      <c r="AN489">
        <v>1.00000001411013</v>
      </c>
    </row>
    <row r="490" spans="1:40" x14ac:dyDescent="0.25">
      <c r="A490" t="str">
        <f>"20190303154741442"</f>
        <v>20190303154741442</v>
      </c>
      <c r="B490" t="str">
        <f>"1551599261430927"</f>
        <v>1551599261430927</v>
      </c>
      <c r="C490" t="s">
        <v>40</v>
      </c>
      <c r="D490">
        <v>5.3406880000000001</v>
      </c>
      <c r="E490">
        <v>0.51518790000000003</v>
      </c>
      <c r="F490" t="s">
        <v>42</v>
      </c>
      <c r="G490">
        <v>-369.59199999999998</v>
      </c>
      <c r="H490">
        <v>0.97204290000000004</v>
      </c>
      <c r="I490">
        <v>367.28680000000003</v>
      </c>
      <c r="J490">
        <v>-370.2534</v>
      </c>
      <c r="K490">
        <v>1.1203959999999999</v>
      </c>
      <c r="L490">
        <v>367.3372</v>
      </c>
      <c r="M490">
        <v>0.99991620000000003</v>
      </c>
      <c r="N490">
        <v>-1.0792070000000001E-2</v>
      </c>
      <c r="O490">
        <v>-7.1533129999999997E-3</v>
      </c>
      <c r="P490">
        <v>0.99698030000000004</v>
      </c>
      <c r="Q490">
        <v>-7.4394080000000001E-2</v>
      </c>
      <c r="R490">
        <v>-2.2262239999999999E-2</v>
      </c>
      <c r="S490">
        <v>2.9660950000000001</v>
      </c>
      <c r="T490">
        <v>-0.52090389999999998</v>
      </c>
      <c r="U490">
        <v>-0.18060300000000001</v>
      </c>
      <c r="V490">
        <v>1.515271E-2</v>
      </c>
      <c r="W490">
        <v>-6.3623330000000006E-2</v>
      </c>
      <c r="X490">
        <v>0.99785889999999999</v>
      </c>
      <c r="Y490">
        <v>5.2874009999999999E-2</v>
      </c>
      <c r="Z490">
        <v>-3.7223719999999998E-3</v>
      </c>
      <c r="AA490">
        <v>0.99859419999999999</v>
      </c>
      <c r="AB490">
        <v>32</v>
      </c>
      <c r="AC490">
        <v>0.66140000000001398</v>
      </c>
      <c r="AD490">
        <v>-0.14835309999999899</v>
      </c>
      <c r="AE490">
        <v>-5.0399999999967797E-2</v>
      </c>
      <c r="AF490">
        <v>4.34917434330752E-2</v>
      </c>
      <c r="AG490">
        <v>-0.14835309999999899</v>
      </c>
      <c r="AH490">
        <v>0.63021955957269704</v>
      </c>
      <c r="AI490">
        <v>103.21589208667299</v>
      </c>
      <c r="AJ490">
        <v>86.052250781803593</v>
      </c>
      <c r="AK490">
        <v>0.64890435912733901</v>
      </c>
      <c r="AL490">
        <v>93.647812281071793</v>
      </c>
      <c r="AM490">
        <v>89.130017672406296</v>
      </c>
      <c r="AN490">
        <v>0.99999995852491996</v>
      </c>
    </row>
    <row r="491" spans="1:40" x14ac:dyDescent="0.25">
      <c r="A491" t="str">
        <f>"20190303154741461"</f>
        <v>20190303154741461</v>
      </c>
      <c r="B491" t="str">
        <f>"1551599261451423"</f>
        <v>1551599261451423</v>
      </c>
      <c r="C491" t="s">
        <v>40</v>
      </c>
      <c r="D491">
        <v>5.3541160000000003</v>
      </c>
      <c r="E491">
        <v>0.5160207</v>
      </c>
      <c r="F491" t="s">
        <v>42</v>
      </c>
      <c r="G491">
        <v>-369.30900000000003</v>
      </c>
      <c r="H491">
        <v>0.95178929999999995</v>
      </c>
      <c r="I491">
        <v>367.27780000000001</v>
      </c>
      <c r="J491">
        <v>-369.99009999999998</v>
      </c>
      <c r="K491">
        <v>1.1201760000000001</v>
      </c>
      <c r="L491">
        <v>367.33550000000002</v>
      </c>
      <c r="M491">
        <v>0.9999247</v>
      </c>
      <c r="N491">
        <v>-1.009354E-2</v>
      </c>
      <c r="O491">
        <v>-7.0087559999999997E-3</v>
      </c>
      <c r="P491">
        <v>0.99705299999999997</v>
      </c>
      <c r="Q491">
        <v>-7.3541239999999994E-2</v>
      </c>
      <c r="R491">
        <v>-2.1851659999999998E-2</v>
      </c>
      <c r="S491">
        <v>2.9653930000000002</v>
      </c>
      <c r="T491">
        <v>-0.52946219999999999</v>
      </c>
      <c r="U491">
        <v>-0.18539430000000001</v>
      </c>
      <c r="V491">
        <v>1.4884720000000001E-2</v>
      </c>
      <c r="W491">
        <v>-6.3467229999999999E-2</v>
      </c>
      <c r="X491">
        <v>0.99787289999999995</v>
      </c>
      <c r="Y491">
        <v>5.458934E-2</v>
      </c>
      <c r="Z491">
        <v>-3.9384390000000002E-3</v>
      </c>
      <c r="AA491">
        <v>0.99850110000000003</v>
      </c>
      <c r="AB491">
        <v>32</v>
      </c>
      <c r="AC491">
        <v>0.68109999999995796</v>
      </c>
      <c r="AD491">
        <v>-0.1683867</v>
      </c>
      <c r="AE491">
        <v>-5.7700000000011097E-2</v>
      </c>
      <c r="AF491">
        <v>4.98966513835159E-2</v>
      </c>
      <c r="AG491">
        <v>-0.1683867</v>
      </c>
      <c r="AH491">
        <v>0.64249714972354999</v>
      </c>
      <c r="AI491">
        <v>104.643686553954</v>
      </c>
      <c r="AJ491">
        <v>85.559294195752003</v>
      </c>
      <c r="AK491">
        <v>0.666067822341737</v>
      </c>
      <c r="AL491">
        <v>93.638850202796604</v>
      </c>
      <c r="AM491">
        <v>89.145413817861098</v>
      </c>
      <c r="AN491">
        <v>0.99999998436388005</v>
      </c>
    </row>
    <row r="492" spans="1:40" x14ac:dyDescent="0.25">
      <c r="A492" t="str">
        <f>"20190303154741474"</f>
        <v>20190303154741474</v>
      </c>
      <c r="B492" t="str">
        <f>"1551599261470943"</f>
        <v>1551599261470943</v>
      </c>
      <c r="C492" t="s">
        <v>40</v>
      </c>
      <c r="D492">
        <v>5.3529249999999999</v>
      </c>
      <c r="E492">
        <v>0.51736579999999999</v>
      </c>
      <c r="F492" t="s">
        <v>42</v>
      </c>
      <c r="G492">
        <v>-369.01670000000001</v>
      </c>
      <c r="H492">
        <v>0.94518849999999999</v>
      </c>
      <c r="I492">
        <v>367.27269999999999</v>
      </c>
      <c r="J492">
        <v>-369.77980000000002</v>
      </c>
      <c r="K492">
        <v>1.119969</v>
      </c>
      <c r="L492">
        <v>367.33420000000001</v>
      </c>
      <c r="M492">
        <v>0.99993270000000001</v>
      </c>
      <c r="N492">
        <v>-9.3398409999999998E-3</v>
      </c>
      <c r="O492">
        <v>-6.8954350000000001E-3</v>
      </c>
      <c r="P492">
        <v>0.99711019999999995</v>
      </c>
      <c r="Q492">
        <v>-7.2814190000000001E-2</v>
      </c>
      <c r="R492">
        <v>-2.1672489999999999E-2</v>
      </c>
      <c r="S492">
        <v>2.9653320000000001</v>
      </c>
      <c r="T492">
        <v>-0.53323880000000001</v>
      </c>
      <c r="U492">
        <v>-0.19082640000000001</v>
      </c>
      <c r="V492">
        <v>1.481684E-2</v>
      </c>
      <c r="W492">
        <v>-6.3492140000000002E-2</v>
      </c>
      <c r="X492">
        <v>0.99787239999999999</v>
      </c>
      <c r="Y492">
        <v>5.6485590000000002E-2</v>
      </c>
      <c r="Z492">
        <v>-4.1345849999999996E-3</v>
      </c>
      <c r="AA492">
        <v>0.99839480000000003</v>
      </c>
      <c r="AB492">
        <v>33</v>
      </c>
      <c r="AC492">
        <v>0.76310000000000799</v>
      </c>
      <c r="AD492">
        <v>-0.17478050000000001</v>
      </c>
      <c r="AE492">
        <v>-6.1500000000023598E-2</v>
      </c>
      <c r="AF492">
        <v>5.3450516684980597E-2</v>
      </c>
      <c r="AG492">
        <v>-0.17478050000000001</v>
      </c>
      <c r="AH492">
        <v>0.72568275259537196</v>
      </c>
      <c r="AI492">
        <v>103.50651706034</v>
      </c>
      <c r="AJ492">
        <v>85.787458319883598</v>
      </c>
      <c r="AK492">
        <v>0.74834526679102897</v>
      </c>
      <c r="AL492">
        <v>93.640280054322005</v>
      </c>
      <c r="AM492">
        <v>89.149310056555294</v>
      </c>
      <c r="AN492">
        <v>1.00000005863556</v>
      </c>
    </row>
    <row r="493" spans="1:40" x14ac:dyDescent="0.25">
      <c r="A493" t="str">
        <f>"20190303154741487"</f>
        <v>20190303154741487</v>
      </c>
      <c r="B493" t="str">
        <f>"1551599261480703"</f>
        <v>1551599261480703</v>
      </c>
      <c r="C493" t="s">
        <v>40</v>
      </c>
      <c r="D493">
        <v>5.3569100000000001</v>
      </c>
      <c r="E493">
        <v>0.51801109999999995</v>
      </c>
      <c r="F493" t="s">
        <v>42</v>
      </c>
      <c r="G493">
        <v>-369.00040000000001</v>
      </c>
      <c r="H493">
        <v>0.97838159999999996</v>
      </c>
      <c r="I493">
        <v>367.28120000000001</v>
      </c>
      <c r="J493">
        <v>-369.59050000000002</v>
      </c>
      <c r="K493">
        <v>1.1197969999999999</v>
      </c>
      <c r="L493">
        <v>367.3329</v>
      </c>
      <c r="M493">
        <v>0.99993960000000004</v>
      </c>
      <c r="N493">
        <v>-8.6526580000000006E-3</v>
      </c>
      <c r="O493">
        <v>-6.7936159999999997E-3</v>
      </c>
      <c r="P493">
        <v>0.99714610000000004</v>
      </c>
      <c r="Q493">
        <v>-7.2262729999999997E-2</v>
      </c>
      <c r="R493">
        <v>-2.1857979999999999E-2</v>
      </c>
      <c r="S493">
        <v>2.9649960000000002</v>
      </c>
      <c r="T493">
        <v>-0.53875299999999904</v>
      </c>
      <c r="U493">
        <v>-0.2007446</v>
      </c>
      <c r="V493">
        <v>1.510267E-2</v>
      </c>
      <c r="W493">
        <v>-6.3626360000000007E-2</v>
      </c>
      <c r="X493">
        <v>0.99785950000000001</v>
      </c>
      <c r="Y493">
        <v>5.9847919999999999E-2</v>
      </c>
      <c r="Z493">
        <v>-4.4838669999999999E-3</v>
      </c>
      <c r="AA493">
        <v>0.99819740000000001</v>
      </c>
      <c r="AB493">
        <v>33</v>
      </c>
      <c r="AC493">
        <v>0.59010000000000595</v>
      </c>
      <c r="AD493">
        <v>-0.1414154</v>
      </c>
      <c r="AE493">
        <v>-5.1699999999982503E-2</v>
      </c>
      <c r="AF493">
        <v>4.5118317392512701E-2</v>
      </c>
      <c r="AG493">
        <v>-0.1414154</v>
      </c>
      <c r="AH493">
        <v>0.558601277234549</v>
      </c>
      <c r="AI493">
        <v>104.16225465369401</v>
      </c>
      <c r="AJ493">
        <v>85.382234840739002</v>
      </c>
      <c r="AK493">
        <v>0.57798733969660698</v>
      </c>
      <c r="AL493">
        <v>93.647986113691502</v>
      </c>
      <c r="AM493">
        <v>89.132890766189604</v>
      </c>
      <c r="AN493">
        <v>0.99999999303411402</v>
      </c>
    </row>
    <row r="494" spans="1:40" x14ac:dyDescent="0.25">
      <c r="A494" t="str">
        <f>"20190303154741507"</f>
        <v>20190303154741507</v>
      </c>
      <c r="B494" t="str">
        <f>"1551599261501199"</f>
        <v>1551599261501199</v>
      </c>
      <c r="C494" t="s">
        <v>40</v>
      </c>
      <c r="D494">
        <v>5.3574769999999896</v>
      </c>
      <c r="E494">
        <v>0.51907689999999995</v>
      </c>
      <c r="F494" t="s">
        <v>42</v>
      </c>
      <c r="G494">
        <v>-368.71190000000001</v>
      </c>
      <c r="H494">
        <v>0.95957020000000004</v>
      </c>
      <c r="I494">
        <v>367.27170000000001</v>
      </c>
      <c r="J494">
        <v>-369.31720000000001</v>
      </c>
      <c r="K494">
        <v>1.1195820000000001</v>
      </c>
      <c r="L494">
        <v>367.33120000000002</v>
      </c>
      <c r="M494">
        <v>0.99994870000000002</v>
      </c>
      <c r="N494">
        <v>-7.6572690000000004E-3</v>
      </c>
      <c r="O494">
        <v>-6.6490530000000003E-3</v>
      </c>
      <c r="P494">
        <v>0.99721539999999997</v>
      </c>
      <c r="Q494">
        <v>-7.1239579999999997E-2</v>
      </c>
      <c r="R494">
        <v>-2.206004E-2</v>
      </c>
      <c r="S494">
        <v>2.964874</v>
      </c>
      <c r="T494">
        <v>-0.54083409999999998</v>
      </c>
      <c r="U494">
        <v>-0.20651249999999999</v>
      </c>
      <c r="V494">
        <v>1.544661E-2</v>
      </c>
      <c r="W494">
        <v>-6.3596260000000002E-2</v>
      </c>
      <c r="X494">
        <v>0.99785610000000002</v>
      </c>
      <c r="Y494">
        <v>6.1890359999999998E-2</v>
      </c>
      <c r="Z494">
        <v>-4.6802859999999996E-3</v>
      </c>
      <c r="AA494">
        <v>0.99807199999999996</v>
      </c>
      <c r="AB494">
        <v>33</v>
      </c>
      <c r="AC494">
        <v>0.60529999999999895</v>
      </c>
      <c r="AD494">
        <v>-0.16001180000000001</v>
      </c>
      <c r="AE494">
        <v>-5.9500000000014097E-2</v>
      </c>
      <c r="AF494">
        <v>5.1882932371158902E-2</v>
      </c>
      <c r="AG494">
        <v>-0.16001180000000001</v>
      </c>
      <c r="AH494">
        <v>0.56647493301232998</v>
      </c>
      <c r="AI494">
        <v>105.710867041821</v>
      </c>
      <c r="AJ494">
        <v>84.766930864746001</v>
      </c>
      <c r="AK494">
        <v>0.59092255375979197</v>
      </c>
      <c r="AL494">
        <v>93.6462582075185</v>
      </c>
      <c r="AM494">
        <v>89.1131437891801</v>
      </c>
      <c r="AN494">
        <v>0.99999993917684205</v>
      </c>
    </row>
    <row r="495" spans="1:40" x14ac:dyDescent="0.25">
      <c r="A495" t="str">
        <f>"20190303154741520"</f>
        <v>20190303154741520</v>
      </c>
      <c r="B495" t="str">
        <f>"1551599261510959"</f>
        <v>1551599261510959</v>
      </c>
      <c r="C495" t="s">
        <v>40</v>
      </c>
      <c r="D495">
        <v>5.293838</v>
      </c>
      <c r="E495">
        <v>0.51889470000000004</v>
      </c>
      <c r="F495" t="s">
        <v>42</v>
      </c>
      <c r="G495">
        <v>-368.41460000000001</v>
      </c>
      <c r="H495">
        <v>0.95403890000000002</v>
      </c>
      <c r="I495">
        <v>367.26499999999999</v>
      </c>
      <c r="J495">
        <v>-369.1003</v>
      </c>
      <c r="K495">
        <v>1.1194280000000001</v>
      </c>
      <c r="L495">
        <v>367.32979999999998</v>
      </c>
      <c r="M495">
        <v>0.99995500000000004</v>
      </c>
      <c r="N495">
        <v>-6.8760979999999998E-3</v>
      </c>
      <c r="O495">
        <v>-6.5369690000000001E-3</v>
      </c>
      <c r="P495">
        <v>0.99731170000000002</v>
      </c>
      <c r="Q495">
        <v>-6.9893109999999994E-2</v>
      </c>
      <c r="R495">
        <v>-2.2000659999999998E-2</v>
      </c>
      <c r="S495">
        <v>2.9647830000000002</v>
      </c>
      <c r="T495">
        <v>-0.54390899999999998</v>
      </c>
      <c r="U495">
        <v>-0.21575929999999999</v>
      </c>
      <c r="V495">
        <v>1.549732E-2</v>
      </c>
      <c r="W495">
        <v>-6.3028929999999997E-2</v>
      </c>
      <c r="X495">
        <v>0.99789139999999998</v>
      </c>
      <c r="Y495">
        <v>6.5040239999999999E-2</v>
      </c>
      <c r="Z495">
        <v>-4.9916769999999999E-3</v>
      </c>
      <c r="AA495">
        <v>0.99787009999999998</v>
      </c>
      <c r="AB495">
        <v>33</v>
      </c>
      <c r="AC495">
        <v>0.68569999999999698</v>
      </c>
      <c r="AD495">
        <v>-0.16538909999999901</v>
      </c>
      <c r="AE495">
        <v>-6.4799999999991004E-2</v>
      </c>
      <c r="AF495">
        <v>5.7027813937050802E-2</v>
      </c>
      <c r="AG495">
        <v>-0.16538909999999901</v>
      </c>
      <c r="AH495">
        <v>0.64870386848196704</v>
      </c>
      <c r="AI495">
        <v>104.25032381087399</v>
      </c>
      <c r="AJ495">
        <v>84.976020939890702</v>
      </c>
      <c r="AK495">
        <v>0.67187977715117897</v>
      </c>
      <c r="AL495">
        <v>93.6136869177638</v>
      </c>
      <c r="AM495">
        <v>89.110264247715506</v>
      </c>
      <c r="AN495">
        <v>1.0000000295690401</v>
      </c>
    </row>
    <row r="496" spans="1:40" x14ac:dyDescent="0.25">
      <c r="A496" t="str">
        <f>"20190303154741538"</f>
        <v>20190303154741538</v>
      </c>
      <c r="B496" t="str">
        <f>"1551599261531455"</f>
        <v>1551599261531455</v>
      </c>
      <c r="C496" t="s">
        <v>40</v>
      </c>
      <c r="D496">
        <v>5.4945009999999996</v>
      </c>
      <c r="E496">
        <v>0.51923660000000005</v>
      </c>
      <c r="F496" t="s">
        <v>42</v>
      </c>
      <c r="G496">
        <v>-368.39519999999999</v>
      </c>
      <c r="H496">
        <v>0.99350660000000002</v>
      </c>
      <c r="I496">
        <v>367.27839999999998</v>
      </c>
      <c r="J496">
        <v>-368.83620000000002</v>
      </c>
      <c r="K496">
        <v>1.1192789999999999</v>
      </c>
      <c r="L496">
        <v>367.32819999999998</v>
      </c>
      <c r="M496">
        <v>0.99996169999999995</v>
      </c>
      <c r="N496">
        <v>-5.9497409999999997E-3</v>
      </c>
      <c r="O496">
        <v>-6.409245E-3</v>
      </c>
      <c r="P496">
        <v>0.99737419999999999</v>
      </c>
      <c r="Q496">
        <v>-6.9167519999999996E-2</v>
      </c>
      <c r="R496">
        <v>-2.1456200000000002E-2</v>
      </c>
      <c r="S496">
        <v>2.9662480000000002</v>
      </c>
      <c r="T496">
        <v>-0.52996849999999995</v>
      </c>
      <c r="U496">
        <v>-0.21447749999999999</v>
      </c>
      <c r="V496">
        <v>1.5079149999999999E-2</v>
      </c>
      <c r="W496">
        <v>-6.3227710000000006E-2</v>
      </c>
      <c r="X496">
        <v>0.99788520000000003</v>
      </c>
      <c r="Y496">
        <v>6.4763139999999997E-2</v>
      </c>
      <c r="Z496">
        <v>-4.8304050000000003E-3</v>
      </c>
      <c r="AA496">
        <v>0.99788900000000003</v>
      </c>
      <c r="AB496">
        <v>33</v>
      </c>
      <c r="AC496">
        <v>0.44100000000002998</v>
      </c>
      <c r="AD496">
        <v>-0.12577240000000001</v>
      </c>
      <c r="AE496">
        <v>-4.9800000000004702E-2</v>
      </c>
      <c r="AF496">
        <v>4.3480374224971099E-2</v>
      </c>
      <c r="AG496">
        <v>-0.12577240000000001</v>
      </c>
      <c r="AH496">
        <v>0.40850178280434102</v>
      </c>
      <c r="AI496">
        <v>107.022369889185</v>
      </c>
      <c r="AJ496">
        <v>83.924390140320298</v>
      </c>
      <c r="AK496">
        <v>0.42963117449601901</v>
      </c>
      <c r="AL496">
        <v>93.625099048461905</v>
      </c>
      <c r="AM496">
        <v>89.134263238605897</v>
      </c>
      <c r="AN496">
        <v>0.99999999822780306</v>
      </c>
    </row>
    <row r="497" spans="1:40" x14ac:dyDescent="0.25">
      <c r="A497" t="str">
        <f>"20190303154741550"</f>
        <v>20190303154741550</v>
      </c>
      <c r="B497" t="str">
        <f>"1551599261541215"</f>
        <v>1551599261541215</v>
      </c>
      <c r="C497" t="s">
        <v>40</v>
      </c>
      <c r="D497">
        <v>5.5136969999999996</v>
      </c>
      <c r="E497">
        <v>0.51916809999999902</v>
      </c>
      <c r="F497" t="s">
        <v>42</v>
      </c>
      <c r="G497">
        <v>-368.0967</v>
      </c>
      <c r="H497">
        <v>0.98547569999999995</v>
      </c>
      <c r="I497">
        <v>367.27440000000001</v>
      </c>
      <c r="J497">
        <v>-368.63839999999999</v>
      </c>
      <c r="K497">
        <v>1.1191850000000001</v>
      </c>
      <c r="L497">
        <v>367.327</v>
      </c>
      <c r="M497">
        <v>0.99996609999999997</v>
      </c>
      <c r="N497">
        <v>-5.2846760000000003E-3</v>
      </c>
      <c r="O497">
        <v>-6.3211760000000004E-3</v>
      </c>
      <c r="P497">
        <v>0.99742529999999996</v>
      </c>
      <c r="Q497">
        <v>-6.8484139999999999E-2</v>
      </c>
      <c r="R497">
        <v>-2.1278160000000001E-2</v>
      </c>
      <c r="S497">
        <v>2.9660639999999998</v>
      </c>
      <c r="T497">
        <v>-0.53665759999999996</v>
      </c>
      <c r="U497">
        <v>-0.21575929999999999</v>
      </c>
      <c r="V497">
        <v>1.498829E-2</v>
      </c>
      <c r="W497">
        <v>-6.3207830000000007E-2</v>
      </c>
      <c r="X497">
        <v>0.99788779999999999</v>
      </c>
      <c r="Y497">
        <v>6.5255800000000003E-2</v>
      </c>
      <c r="Z497">
        <v>-4.9225859999999996E-3</v>
      </c>
      <c r="AA497">
        <v>0.99785639999999998</v>
      </c>
      <c r="AB497">
        <v>34</v>
      </c>
      <c r="AC497">
        <v>0.54169999999999097</v>
      </c>
      <c r="AD497">
        <v>-0.1337093</v>
      </c>
      <c r="AE497">
        <v>-5.2599999999983903E-2</v>
      </c>
      <c r="AF497">
        <v>4.6375613020857701E-2</v>
      </c>
      <c r="AG497">
        <v>-0.1337093</v>
      </c>
      <c r="AH497">
        <v>0.51116889504211505</v>
      </c>
      <c r="AI497">
        <v>104.601351111987</v>
      </c>
      <c r="AJ497">
        <v>84.816053006857899</v>
      </c>
      <c r="AK497">
        <v>0.53039844800689895</v>
      </c>
      <c r="AL497">
        <v>93.623957827873298</v>
      </c>
      <c r="AM497">
        <v>89.139481223813604</v>
      </c>
      <c r="AN497">
        <v>0.99999996999963603</v>
      </c>
    </row>
    <row r="498" spans="1:40" x14ac:dyDescent="0.25">
      <c r="A498" t="str">
        <f>"20190303154741566"</f>
        <v>20190303154741566</v>
      </c>
      <c r="B498" t="str">
        <f>"1551599261561711"</f>
        <v>1551599261561711</v>
      </c>
      <c r="C498" t="s">
        <v>40</v>
      </c>
      <c r="D498">
        <v>5.4990019999999999</v>
      </c>
      <c r="E498">
        <v>0.51901220000000003</v>
      </c>
      <c r="F498" t="s">
        <v>42</v>
      </c>
      <c r="G498">
        <v>-367.80090000000001</v>
      </c>
      <c r="H498">
        <v>0.96654890000000004</v>
      </c>
      <c r="I498">
        <v>367.26600000000002</v>
      </c>
      <c r="J498">
        <v>-368.41460000000001</v>
      </c>
      <c r="K498">
        <v>1.119094</v>
      </c>
      <c r="L498">
        <v>367.32560000000001</v>
      </c>
      <c r="M498">
        <v>0.99997029999999998</v>
      </c>
      <c r="N498">
        <v>-4.5636829999999998E-3</v>
      </c>
      <c r="O498">
        <v>-6.2278359999999996E-3</v>
      </c>
      <c r="P498">
        <v>0.99747589999999997</v>
      </c>
      <c r="Q498">
        <v>-6.7801910000000007E-2</v>
      </c>
      <c r="R498">
        <v>-2.1097680000000001E-2</v>
      </c>
      <c r="S498">
        <v>2.9660639999999998</v>
      </c>
      <c r="T498">
        <v>-0.54069419999999901</v>
      </c>
      <c r="U498">
        <v>-0.21472169999999999</v>
      </c>
      <c r="V498">
        <v>1.490024E-2</v>
      </c>
      <c r="W498">
        <v>-6.3244889999999998E-2</v>
      </c>
      <c r="X498">
        <v>0.99788679999999996</v>
      </c>
      <c r="Y498">
        <v>6.499518E-2</v>
      </c>
      <c r="Z498">
        <v>-4.9215819999999999E-3</v>
      </c>
      <c r="AA498">
        <v>0.99787340000000002</v>
      </c>
      <c r="AB498">
        <v>34</v>
      </c>
      <c r="AC498">
        <v>0.61369999999999403</v>
      </c>
      <c r="AD498">
        <v>-0.15254509999999999</v>
      </c>
      <c r="AE498">
        <v>-5.9600000000045797E-2</v>
      </c>
      <c r="AF498">
        <v>5.2559712542991403E-2</v>
      </c>
      <c r="AG498">
        <v>-0.15254509999999999</v>
      </c>
      <c r="AH498">
        <v>0.57864183365412702</v>
      </c>
      <c r="AI498">
        <v>104.710730039125</v>
      </c>
      <c r="AJ498">
        <v>84.809901078470403</v>
      </c>
      <c r="AK498">
        <v>0.60071532573359798</v>
      </c>
      <c r="AL498">
        <v>93.626085359588302</v>
      </c>
      <c r="AM498">
        <v>89.144534804829902</v>
      </c>
      <c r="AN498">
        <v>0.99999999943870399</v>
      </c>
    </row>
    <row r="499" spans="1:40" x14ac:dyDescent="0.25">
      <c r="A499" t="str">
        <f>"20190303154741586"</f>
        <v>20190303154741586</v>
      </c>
      <c r="B499" t="str">
        <f>"1551599261581231"</f>
        <v>1551599261581231</v>
      </c>
      <c r="C499" t="s">
        <v>40</v>
      </c>
      <c r="D499">
        <v>5.4246759999999998</v>
      </c>
      <c r="E499">
        <v>0.51906129999999995</v>
      </c>
      <c r="F499" t="s">
        <v>42</v>
      </c>
      <c r="G499">
        <v>-367.50150000000002</v>
      </c>
      <c r="H499">
        <v>0.94991709999999996</v>
      </c>
      <c r="I499">
        <v>367.26010000000002</v>
      </c>
      <c r="J499">
        <v>-368.1078</v>
      </c>
      <c r="K499">
        <v>1.119003</v>
      </c>
      <c r="L499">
        <v>367.32380000000001</v>
      </c>
      <c r="M499">
        <v>0.99997469999999999</v>
      </c>
      <c r="N499">
        <v>-3.6650229999999999E-3</v>
      </c>
      <c r="O499">
        <v>-6.1136999999999997E-3</v>
      </c>
      <c r="P499">
        <v>0.99753009999999998</v>
      </c>
      <c r="Q499">
        <v>-6.7037840000000001E-2</v>
      </c>
      <c r="R499">
        <v>-2.096947E-2</v>
      </c>
      <c r="S499">
        <v>2.9657290000000001</v>
      </c>
      <c r="T499">
        <v>-0.54955120000000002</v>
      </c>
      <c r="U499">
        <v>-0.2128601</v>
      </c>
      <c r="V499">
        <v>1.488565E-2</v>
      </c>
      <c r="W499">
        <v>-6.3377429999999998E-2</v>
      </c>
      <c r="X499">
        <v>0.99787859999999995</v>
      </c>
      <c r="Y499">
        <v>6.4475290000000005E-2</v>
      </c>
      <c r="Z499">
        <v>-4.9354919999999997E-3</v>
      </c>
      <c r="AA499">
        <v>0.99790710000000005</v>
      </c>
      <c r="AB499">
        <v>34</v>
      </c>
      <c r="AC499">
        <v>0.60629999999997597</v>
      </c>
      <c r="AD499">
        <v>-0.16908589999999901</v>
      </c>
      <c r="AE499">
        <v>-6.3699999999982895E-2</v>
      </c>
      <c r="AF499">
        <v>5.5706761454936402E-2</v>
      </c>
      <c r="AG499">
        <v>-0.16908589999999901</v>
      </c>
      <c r="AH499">
        <v>0.56334253819783597</v>
      </c>
      <c r="AI499">
        <v>106.630399593158</v>
      </c>
      <c r="AJ499">
        <v>84.352602177175299</v>
      </c>
      <c r="AK499">
        <v>0.59080292838965198</v>
      </c>
      <c r="AL499">
        <v>93.633694639141595</v>
      </c>
      <c r="AM499">
        <v>89.145365312158901</v>
      </c>
      <c r="AN499">
        <v>0.99999999077364299</v>
      </c>
    </row>
    <row r="500" spans="1:40" x14ac:dyDescent="0.25">
      <c r="A500" t="str">
        <f>"20190303154741608"</f>
        <v>20190303154741608</v>
      </c>
      <c r="B500" t="str">
        <f>"1551599261601726"</f>
        <v>1551599261601726</v>
      </c>
      <c r="C500" t="s">
        <v>40</v>
      </c>
      <c r="D500">
        <v>5.3838299999999997</v>
      </c>
      <c r="E500">
        <v>0.5189298</v>
      </c>
      <c r="F500" t="s">
        <v>42</v>
      </c>
      <c r="G500">
        <v>-367.19260000000003</v>
      </c>
      <c r="H500">
        <v>0.94801930000000001</v>
      </c>
      <c r="I500">
        <v>367.25779999999997</v>
      </c>
      <c r="J500">
        <v>-367.76049999999998</v>
      </c>
      <c r="K500">
        <v>1.118941</v>
      </c>
      <c r="L500">
        <v>367.3218</v>
      </c>
      <c r="M500">
        <v>0.99997800000000003</v>
      </c>
      <c r="N500">
        <v>-2.8140119999999999E-3</v>
      </c>
      <c r="O500">
        <v>-6.0037210000000001E-3</v>
      </c>
      <c r="P500">
        <v>0.99756520000000004</v>
      </c>
      <c r="Q500">
        <v>-6.6639649999999995E-2</v>
      </c>
      <c r="R500">
        <v>-2.05639E-2</v>
      </c>
      <c r="S500">
        <v>2.9656980000000002</v>
      </c>
      <c r="T500">
        <v>-0.55428619999999995</v>
      </c>
      <c r="U500">
        <v>-0.21234130000000001</v>
      </c>
      <c r="V500">
        <v>1.4589329999999999E-2</v>
      </c>
      <c r="W500">
        <v>-6.382852E-2</v>
      </c>
      <c r="X500">
        <v>0.99785420000000002</v>
      </c>
      <c r="Y500">
        <v>6.4400460000000007E-2</v>
      </c>
      <c r="Z500">
        <v>-4.9563389999999997E-3</v>
      </c>
      <c r="AA500">
        <v>0.99791180000000002</v>
      </c>
      <c r="AB500">
        <v>34</v>
      </c>
      <c r="AC500">
        <v>0.567899999999951</v>
      </c>
      <c r="AD500">
        <v>-0.17092169999999901</v>
      </c>
      <c r="AE500">
        <v>-6.4000000000021304E-2</v>
      </c>
      <c r="AF500">
        <v>5.5614706253885503E-2</v>
      </c>
      <c r="AG500">
        <v>-0.17092169999999901</v>
      </c>
      <c r="AH500">
        <v>0.52161654768478605</v>
      </c>
      <c r="AI500">
        <v>108.047171695957</v>
      </c>
      <c r="AJ500">
        <v>83.914121019111505</v>
      </c>
      <c r="AK500">
        <v>0.55171645425996696</v>
      </c>
      <c r="AL500">
        <v>93.6595927179375</v>
      </c>
      <c r="AM500">
        <v>89.162355101559498</v>
      </c>
      <c r="AN500">
        <v>0.99999996648643896</v>
      </c>
    </row>
    <row r="501" spans="1:40" x14ac:dyDescent="0.25">
      <c r="A501" t="str">
        <f>"20190303154741630"</f>
        <v>20190303154741630</v>
      </c>
      <c r="B501" t="str">
        <f>"1551599261621247"</f>
        <v>1551599261621247</v>
      </c>
      <c r="C501" t="s">
        <v>40</v>
      </c>
      <c r="D501">
        <v>5.420566</v>
      </c>
      <c r="E501">
        <v>0.50495959999999995</v>
      </c>
      <c r="F501" t="s">
        <v>42</v>
      </c>
      <c r="G501">
        <v>-366.87759999999997</v>
      </c>
      <c r="H501">
        <v>0.95446129999999996</v>
      </c>
      <c r="I501">
        <v>367.25889999999998</v>
      </c>
      <c r="J501">
        <v>-367.4255</v>
      </c>
      <c r="K501">
        <v>1.1189260000000001</v>
      </c>
      <c r="L501">
        <v>367.31979999999999</v>
      </c>
      <c r="M501">
        <v>0.99998010000000004</v>
      </c>
      <c r="N501">
        <v>-2.201419E-3</v>
      </c>
      <c r="O501">
        <v>-5.9166150000000001E-3</v>
      </c>
      <c r="P501">
        <v>0.9975849</v>
      </c>
      <c r="Q501">
        <v>-6.639051E-2</v>
      </c>
      <c r="R501">
        <v>-2.0410589999999999E-2</v>
      </c>
      <c r="S501">
        <v>2.9660639999999998</v>
      </c>
      <c r="T501">
        <v>-0.5526297</v>
      </c>
      <c r="U501">
        <v>-0.21041869999999999</v>
      </c>
      <c r="V501">
        <v>1.4522129999999999E-2</v>
      </c>
      <c r="W501">
        <v>-6.4190830000000004E-2</v>
      </c>
      <c r="X501">
        <v>0.99783200000000005</v>
      </c>
      <c r="Y501">
        <v>6.385362E-2</v>
      </c>
      <c r="Z501">
        <v>-4.8828719999999999E-3</v>
      </c>
      <c r="AA501">
        <v>0.99794729999999998</v>
      </c>
      <c r="AB501">
        <v>35</v>
      </c>
      <c r="AC501">
        <v>0.54790000000002603</v>
      </c>
      <c r="AD501">
        <v>-0.16446469999999999</v>
      </c>
      <c r="AE501">
        <v>-6.0900000000003701E-2</v>
      </c>
      <c r="AF501">
        <v>5.2944898968125903E-2</v>
      </c>
      <c r="AG501">
        <v>-0.16446469999999999</v>
      </c>
      <c r="AH501">
        <v>0.50344229592964496</v>
      </c>
      <c r="AI501">
        <v>107.998392121921</v>
      </c>
      <c r="AJ501">
        <v>83.996512608949502</v>
      </c>
      <c r="AK501">
        <v>0.53226492013258497</v>
      </c>
      <c r="AL501">
        <v>93.680393985584303</v>
      </c>
      <c r="AM501">
        <v>89.166194289103203</v>
      </c>
      <c r="AN501">
        <v>1.0000000275699099</v>
      </c>
    </row>
    <row r="502" spans="1:40" x14ac:dyDescent="0.25">
      <c r="A502" t="str">
        <f>"20190303154741644"</f>
        <v>20190303154741644</v>
      </c>
      <c r="B502" t="str">
        <f>"1551599261641743"</f>
        <v>1551599261641743</v>
      </c>
      <c r="C502" t="s">
        <v>40</v>
      </c>
      <c r="D502">
        <v>5.3572519999999999</v>
      </c>
      <c r="E502">
        <v>0.50432010000000005</v>
      </c>
      <c r="F502" t="s">
        <v>42</v>
      </c>
      <c r="G502">
        <v>-366.52429999999998</v>
      </c>
      <c r="H502">
        <v>1.03599</v>
      </c>
      <c r="I502">
        <v>367.28919999999999</v>
      </c>
      <c r="J502">
        <v>-367.19490000000002</v>
      </c>
      <c r="K502">
        <v>1.1189389999999999</v>
      </c>
      <c r="L502">
        <v>367.31849999999997</v>
      </c>
      <c r="M502">
        <v>0.99998109999999996</v>
      </c>
      <c r="N502">
        <v>-1.906231E-3</v>
      </c>
      <c r="O502">
        <v>-5.866886E-3</v>
      </c>
      <c r="P502">
        <v>0.9976062</v>
      </c>
      <c r="Q502">
        <v>-6.6078629999999999E-2</v>
      </c>
      <c r="R502">
        <v>-2.0395199999999999E-2</v>
      </c>
      <c r="S502">
        <v>2.9869080000000001</v>
      </c>
      <c r="T502">
        <v>-0.27507720000000002</v>
      </c>
      <c r="U502">
        <v>-0.1004028</v>
      </c>
      <c r="V502">
        <v>1.4555230000000001E-2</v>
      </c>
      <c r="W502">
        <v>-6.4173629999999995E-2</v>
      </c>
      <c r="X502">
        <v>0.99783259999999996</v>
      </c>
      <c r="Y502">
        <v>2.7635710000000001E-2</v>
      </c>
      <c r="Z502">
        <v>-7.6806559999999995E-4</v>
      </c>
      <c r="AA502">
        <v>0.9996178</v>
      </c>
      <c r="AB502">
        <v>35</v>
      </c>
      <c r="AC502">
        <v>0.67060000000003495</v>
      </c>
      <c r="AD502">
        <v>-8.2948999999999898E-2</v>
      </c>
      <c r="AE502">
        <v>-2.9299999999977899E-2</v>
      </c>
      <c r="AF502">
        <v>2.4983630792093502E-2</v>
      </c>
      <c r="AG502">
        <v>-8.2948999999999898E-2</v>
      </c>
      <c r="AH502">
        <v>0.66067126067605797</v>
      </c>
      <c r="AI502">
        <v>97.151130929294894</v>
      </c>
      <c r="AJ502">
        <v>87.834361902799401</v>
      </c>
      <c r="AK502">
        <v>0.66632667145466096</v>
      </c>
      <c r="AL502">
        <v>93.679406550567805</v>
      </c>
      <c r="AM502">
        <v>89.164294584118807</v>
      </c>
      <c r="AN502">
        <v>1.0000000035652401</v>
      </c>
    </row>
    <row r="503" spans="1:40" x14ac:dyDescent="0.25">
      <c r="A503" t="str">
        <f>"20190303154741661"</f>
        <v>20190303154741661</v>
      </c>
      <c r="B503" t="str">
        <f>"1551599261651503"</f>
        <v>1551599261651503</v>
      </c>
      <c r="C503" t="s">
        <v>40</v>
      </c>
      <c r="D503">
        <v>5.3737599999999999</v>
      </c>
      <c r="E503">
        <v>0.50435959999999902</v>
      </c>
      <c r="F503" t="s">
        <v>42</v>
      </c>
      <c r="G503">
        <v>-366.20310000000001</v>
      </c>
      <c r="H503">
        <v>1.047631</v>
      </c>
      <c r="I503">
        <v>367.2867</v>
      </c>
      <c r="J503">
        <v>-366.9194</v>
      </c>
      <c r="K503">
        <v>1.1189849999999999</v>
      </c>
      <c r="L503">
        <v>367.31700000000001</v>
      </c>
      <c r="M503">
        <v>0.99998169999999997</v>
      </c>
      <c r="N503">
        <v>-1.7123469999999999E-3</v>
      </c>
      <c r="O503">
        <v>-5.819065E-3</v>
      </c>
      <c r="P503">
        <v>0.99762010000000001</v>
      </c>
      <c r="Q503">
        <v>-6.5891679999999994E-2</v>
      </c>
      <c r="R503">
        <v>-2.0309299999999999E-2</v>
      </c>
      <c r="S503">
        <v>2.9909970000000001</v>
      </c>
      <c r="T503">
        <v>-0.21512700000000001</v>
      </c>
      <c r="U503">
        <v>-9.5764160000000001E-2</v>
      </c>
      <c r="V503">
        <v>1.4515739999999999E-2</v>
      </c>
      <c r="W503">
        <v>-6.4180479999999998E-2</v>
      </c>
      <c r="X503">
        <v>0.99783270000000002</v>
      </c>
      <c r="Y503">
        <v>2.612971E-2</v>
      </c>
      <c r="Z503">
        <v>-5.5271499999999996E-4</v>
      </c>
      <c r="AA503">
        <v>0.99965839999999995</v>
      </c>
      <c r="AB503">
        <v>35</v>
      </c>
      <c r="AC503">
        <v>0.71629999999998895</v>
      </c>
      <c r="AD503">
        <v>-7.1354000000000098E-2</v>
      </c>
      <c r="AE503">
        <v>-3.02999999999542E-2</v>
      </c>
      <c r="AF503">
        <v>2.58749839531166E-2</v>
      </c>
      <c r="AG503">
        <v>-7.1354000000000098E-2</v>
      </c>
      <c r="AH503">
        <v>0.70943696062944295</v>
      </c>
      <c r="AI503">
        <v>95.739609488050405</v>
      </c>
      <c r="AJ503">
        <v>87.911201973347005</v>
      </c>
      <c r="AK503">
        <v>0.71348560547338002</v>
      </c>
      <c r="AL503">
        <v>93.679799964940003</v>
      </c>
      <c r="AM503">
        <v>89.166561711533404</v>
      </c>
      <c r="AN503">
        <v>0.99999996895503296</v>
      </c>
    </row>
    <row r="504" spans="1:40" x14ac:dyDescent="0.25">
      <c r="A504" t="str">
        <f>"20190303154741673"</f>
        <v>20190303154741673</v>
      </c>
      <c r="B504" t="str">
        <f>"1551599261671024"</f>
        <v>1551599261671024</v>
      </c>
      <c r="C504" t="s">
        <v>40</v>
      </c>
      <c r="D504">
        <v>5.3653139999999997</v>
      </c>
      <c r="E504">
        <v>0.50440010000000002</v>
      </c>
      <c r="F504" t="s">
        <v>42</v>
      </c>
      <c r="G504">
        <v>-365.88639999999998</v>
      </c>
      <c r="H504">
        <v>1.0481750000000001</v>
      </c>
      <c r="I504">
        <v>367.2835</v>
      </c>
      <c r="J504">
        <v>-366.7208</v>
      </c>
      <c r="K504">
        <v>1.1190340000000001</v>
      </c>
      <c r="L504">
        <v>367.3159</v>
      </c>
      <c r="M504">
        <v>0.99998189999999998</v>
      </c>
      <c r="N504">
        <v>-1.6933829999999999E-3</v>
      </c>
      <c r="O504">
        <v>-5.7936749999999999E-3</v>
      </c>
      <c r="P504">
        <v>0.99761949999999999</v>
      </c>
      <c r="Q504">
        <v>-6.5894540000000001E-2</v>
      </c>
      <c r="R504">
        <v>-2.0334620000000001E-2</v>
      </c>
      <c r="S504">
        <v>2.9916079999999998</v>
      </c>
      <c r="T504">
        <v>-0.20526800000000001</v>
      </c>
      <c r="U504">
        <v>-9.5855709999999997E-2</v>
      </c>
      <c r="V504">
        <v>1.456497E-2</v>
      </c>
      <c r="W504">
        <v>-6.4202529999999994E-2</v>
      </c>
      <c r="X504">
        <v>0.99783060000000001</v>
      </c>
      <c r="Y504">
        <v>2.6183769999999999E-2</v>
      </c>
      <c r="Z504">
        <v>-5.3205839999999999E-4</v>
      </c>
      <c r="AA504">
        <v>0.99965700000000002</v>
      </c>
      <c r="AB504">
        <v>35</v>
      </c>
      <c r="AC504">
        <v>0.83440000000001602</v>
      </c>
      <c r="AD504">
        <v>-7.0859000000000005E-2</v>
      </c>
      <c r="AE504">
        <v>-3.2399999999995502E-2</v>
      </c>
      <c r="AF504">
        <v>2.7368132095297499E-2</v>
      </c>
      <c r="AG504">
        <v>-7.0859000000000005E-2</v>
      </c>
      <c r="AH504">
        <v>0.82860699047000497</v>
      </c>
      <c r="AI504">
        <v>94.885152493051706</v>
      </c>
      <c r="AJ504">
        <v>88.108260445731702</v>
      </c>
      <c r="AK504">
        <v>0.83208146067025501</v>
      </c>
      <c r="AL504">
        <v>93.681065815926601</v>
      </c>
      <c r="AM504">
        <v>89.163733754184804</v>
      </c>
      <c r="AN504">
        <v>1.00000000475293</v>
      </c>
    </row>
    <row r="505" spans="1:40" x14ac:dyDescent="0.25">
      <c r="A505" t="str">
        <f>"20190303154741686"</f>
        <v>20190303154741686</v>
      </c>
      <c r="B505" t="str">
        <f>"1551599261681759"</f>
        <v>1551599261681759</v>
      </c>
      <c r="C505" t="s">
        <v>40</v>
      </c>
      <c r="D505">
        <v>5.358231</v>
      </c>
      <c r="E505">
        <v>0.50450779999999995</v>
      </c>
      <c r="F505" t="s">
        <v>41</v>
      </c>
      <c r="G505">
        <v>-349.4785</v>
      </c>
      <c r="H505" s="1">
        <v>-9.4401779999999997E-7</v>
      </c>
      <c r="I505">
        <v>366.76179999999999</v>
      </c>
      <c r="J505">
        <v>-366.53620000000001</v>
      </c>
      <c r="K505">
        <v>1.1190789999999999</v>
      </c>
      <c r="L505">
        <v>367.31479999999999</v>
      </c>
      <c r="M505">
        <v>0.99998200000000004</v>
      </c>
      <c r="N505">
        <v>-1.71306E-3</v>
      </c>
      <c r="O505">
        <v>-5.7726059999999996E-3</v>
      </c>
      <c r="P505">
        <v>0.99761569999999999</v>
      </c>
      <c r="Q505">
        <v>-6.6022079999999997E-2</v>
      </c>
      <c r="R505">
        <v>-2.0102310000000002E-2</v>
      </c>
      <c r="S505">
        <v>2.99234</v>
      </c>
      <c r="T505">
        <v>-0.19420470000000001</v>
      </c>
      <c r="U505">
        <v>-9.6160889999999999E-2</v>
      </c>
      <c r="V505">
        <v>1.435239E-2</v>
      </c>
      <c r="W505">
        <v>-6.4310779999999998E-2</v>
      </c>
      <c r="X505">
        <v>0.99782669999999996</v>
      </c>
      <c r="Y505">
        <v>2.6303690000000001E-2</v>
      </c>
      <c r="Z505">
        <v>-5.1073749999999999E-4</v>
      </c>
      <c r="AA505">
        <v>0.99965389999999998</v>
      </c>
      <c r="AB505">
        <v>35</v>
      </c>
      <c r="AC505">
        <v>17.057700000000001</v>
      </c>
      <c r="AD505">
        <v>-1.1190799440178001</v>
      </c>
      <c r="AE505">
        <v>-0.55299999999999705</v>
      </c>
      <c r="AF505">
        <v>0.45257738459244501</v>
      </c>
      <c r="AG505">
        <v>-1.1190799440178001</v>
      </c>
      <c r="AH505">
        <v>16.9875687966382</v>
      </c>
      <c r="AI505">
        <v>93.767661094561404</v>
      </c>
      <c r="AJ505">
        <v>88.473905129038201</v>
      </c>
      <c r="AK505">
        <v>17.0304039831903</v>
      </c>
      <c r="AL505">
        <v>93.687280962763793</v>
      </c>
      <c r="AM505">
        <v>89.175934388787198</v>
      </c>
      <c r="AN505">
        <v>0.99999999537790496</v>
      </c>
    </row>
    <row r="506" spans="1:40" x14ac:dyDescent="0.25">
      <c r="A506" t="str">
        <f>"20190303154741699"</f>
        <v>20190303154741699</v>
      </c>
      <c r="B506" t="str">
        <f>"1551599261691519"</f>
        <v>1551599261691519</v>
      </c>
      <c r="C506" t="s">
        <v>40</v>
      </c>
      <c r="D506">
        <v>5.3237449999999997</v>
      </c>
      <c r="E506">
        <v>0.50449009999999905</v>
      </c>
      <c r="F506" t="s">
        <v>41</v>
      </c>
      <c r="G506">
        <v>-348.8218</v>
      </c>
      <c r="H506" s="1">
        <v>-1.2008870000000001E-6</v>
      </c>
      <c r="I506">
        <v>366.7441</v>
      </c>
      <c r="J506">
        <v>-366.3202</v>
      </c>
      <c r="K506">
        <v>1.119138</v>
      </c>
      <c r="L506">
        <v>367.31360000000001</v>
      </c>
      <c r="M506">
        <v>0.99998200000000004</v>
      </c>
      <c r="N506">
        <v>-1.7941400000000001E-3</v>
      </c>
      <c r="O506">
        <v>-5.7519499999999996E-3</v>
      </c>
      <c r="P506">
        <v>0.99761429999999995</v>
      </c>
      <c r="Q506">
        <v>-6.6057920000000006E-2</v>
      </c>
      <c r="R506">
        <v>-2.0063589999999999E-2</v>
      </c>
      <c r="S506">
        <v>2.9927060000000001</v>
      </c>
      <c r="T506">
        <v>-0.1890597</v>
      </c>
      <c r="U506">
        <v>-9.6405030000000003E-2</v>
      </c>
      <c r="V506">
        <v>1.433248E-2</v>
      </c>
      <c r="W506">
        <v>-6.4266089999999998E-2</v>
      </c>
      <c r="X506">
        <v>0.99782990000000005</v>
      </c>
      <c r="Y506">
        <v>2.6403860000000001E-2</v>
      </c>
      <c r="Z506">
        <v>-5.040849E-4</v>
      </c>
      <c r="AA506">
        <v>0.99965130000000002</v>
      </c>
      <c r="AB506">
        <v>35</v>
      </c>
      <c r="AC506">
        <v>17.4984</v>
      </c>
      <c r="AD506">
        <v>-1.119139200887</v>
      </c>
      <c r="AE506">
        <v>-0.569500000000005</v>
      </c>
      <c r="AF506">
        <v>0.466932565068716</v>
      </c>
      <c r="AG506">
        <v>-1.119139200887</v>
      </c>
      <c r="AH506">
        <v>17.430164421137199</v>
      </c>
      <c r="AI506">
        <v>93.6724354440897</v>
      </c>
      <c r="AJ506">
        <v>88.465483876992195</v>
      </c>
      <c r="AK506">
        <v>17.472296080342801</v>
      </c>
      <c r="AL506">
        <v>93.684714979443498</v>
      </c>
      <c r="AM506">
        <v>89.177080034936907</v>
      </c>
      <c r="AN506">
        <v>1.0000000298204199</v>
      </c>
    </row>
    <row r="507" spans="1:40" x14ac:dyDescent="0.25">
      <c r="A507" t="str">
        <f>"20190303154741717"</f>
        <v>20190303154741717</v>
      </c>
      <c r="B507" t="str">
        <f>"1551599261711039"</f>
        <v>1551599261711039</v>
      </c>
      <c r="C507" t="s">
        <v>40</v>
      </c>
      <c r="D507">
        <v>5.3160809999999996</v>
      </c>
      <c r="E507">
        <v>0.50408799999999998</v>
      </c>
      <c r="F507" t="s">
        <v>41</v>
      </c>
      <c r="G507">
        <v>-348.10950000000003</v>
      </c>
      <c r="H507" s="1">
        <v>-1.4784680000000001E-6</v>
      </c>
      <c r="I507">
        <v>366.72890000000001</v>
      </c>
      <c r="J507">
        <v>-366.03230000000002</v>
      </c>
      <c r="K507">
        <v>1.1192139999999999</v>
      </c>
      <c r="L507">
        <v>367.31200000000001</v>
      </c>
      <c r="M507">
        <v>0.99998180000000003</v>
      </c>
      <c r="N507">
        <v>-1.9855879999999999E-3</v>
      </c>
      <c r="O507">
        <v>-5.7297370000000004E-3</v>
      </c>
      <c r="P507">
        <v>0.99759520000000002</v>
      </c>
      <c r="Q507">
        <v>-6.6358619999999993E-2</v>
      </c>
      <c r="R507">
        <v>-2.001124E-2</v>
      </c>
      <c r="S507">
        <v>2.9931030000000001</v>
      </c>
      <c r="T507">
        <v>-0.18394199999999999</v>
      </c>
      <c r="U507">
        <v>-9.6099850000000001E-2</v>
      </c>
      <c r="V507">
        <v>1.430059E-2</v>
      </c>
      <c r="W507">
        <v>-6.4376269999999999E-2</v>
      </c>
      <c r="X507">
        <v>0.99782320000000002</v>
      </c>
      <c r="Y507">
        <v>2.6322140000000001E-2</v>
      </c>
      <c r="Z507">
        <v>-4.9368510000000003E-4</v>
      </c>
      <c r="AA507">
        <v>0.99965340000000003</v>
      </c>
      <c r="AB507">
        <v>35</v>
      </c>
      <c r="AC507">
        <v>17.922799999999899</v>
      </c>
      <c r="AD507">
        <v>-1.119215478468</v>
      </c>
      <c r="AE507">
        <v>-0.583099999999944</v>
      </c>
      <c r="AF507">
        <v>0.47853321841516999</v>
      </c>
      <c r="AG507">
        <v>-1.119215478468</v>
      </c>
      <c r="AH507">
        <v>17.856288750794999</v>
      </c>
      <c r="AI507">
        <v>93.585270124144898</v>
      </c>
      <c r="AJ507">
        <v>88.464889698922093</v>
      </c>
      <c r="AK507">
        <v>17.897728494983301</v>
      </c>
      <c r="AL507">
        <v>93.691041131310001</v>
      </c>
      <c r="AM507">
        <v>89.178905281677601</v>
      </c>
      <c r="AN507">
        <v>0.99999997473585001</v>
      </c>
    </row>
    <row r="508" spans="1:40" x14ac:dyDescent="0.25">
      <c r="A508" t="str">
        <f>"20190303154741730"</f>
        <v>20190303154741730</v>
      </c>
      <c r="B508" t="str">
        <f>"1551599261721775"</f>
        <v>1551599261721775</v>
      </c>
      <c r="C508" t="s">
        <v>40</v>
      </c>
      <c r="D508">
        <v>5.3037669999999997</v>
      </c>
      <c r="E508">
        <v>0.50399039999999995</v>
      </c>
      <c r="F508" t="s">
        <v>41</v>
      </c>
      <c r="G508">
        <v>-347.13549999999998</v>
      </c>
      <c r="H508" s="1">
        <v>-1.8532060000000001E-6</v>
      </c>
      <c r="I508">
        <v>366.72629999999998</v>
      </c>
      <c r="J508">
        <v>-365.82459999999998</v>
      </c>
      <c r="K508">
        <v>1.11927</v>
      </c>
      <c r="L508">
        <v>367.31079999999997</v>
      </c>
      <c r="M508">
        <v>0.99998140000000002</v>
      </c>
      <c r="N508">
        <v>-2.1662740000000002E-3</v>
      </c>
      <c r="O508">
        <v>-5.7167040000000004E-3</v>
      </c>
      <c r="P508">
        <v>0.99756219999999995</v>
      </c>
      <c r="Q508">
        <v>-6.6827429999999993E-2</v>
      </c>
      <c r="R508">
        <v>-2.0106039999999999E-2</v>
      </c>
      <c r="S508">
        <v>2.9935909999999999</v>
      </c>
      <c r="T508">
        <v>-0.17730370000000001</v>
      </c>
      <c r="U508">
        <v>-9.2773439999999999E-2</v>
      </c>
      <c r="V508">
        <v>1.4407120000000001E-2</v>
      </c>
      <c r="W508">
        <v>-6.4665099999999906E-2</v>
      </c>
      <c r="X508">
        <v>0.997803</v>
      </c>
      <c r="Y508">
        <v>2.5224839999999998E-2</v>
      </c>
      <c r="Z508">
        <v>-4.4769539999999999E-4</v>
      </c>
      <c r="AA508">
        <v>0.99968170000000001</v>
      </c>
      <c r="AB508">
        <v>36</v>
      </c>
      <c r="AC508">
        <v>18.6891</v>
      </c>
      <c r="AD508">
        <v>-1.119271853206</v>
      </c>
      <c r="AE508">
        <v>-0.58449999999999103</v>
      </c>
      <c r="AF508">
        <v>0.475944754456674</v>
      </c>
      <c r="AG508">
        <v>-1.119271853206</v>
      </c>
      <c r="AH508">
        <v>18.625397696925301</v>
      </c>
      <c r="AI508">
        <v>93.437868687042794</v>
      </c>
      <c r="AJ508">
        <v>88.536208839974407</v>
      </c>
      <c r="AK508">
        <v>18.665067164607301</v>
      </c>
      <c r="AL508">
        <v>93.707624392559893</v>
      </c>
      <c r="AM508">
        <v>89.1727727681685</v>
      </c>
      <c r="AN508">
        <v>0.99999998353685204</v>
      </c>
    </row>
    <row r="509" spans="1:40" x14ac:dyDescent="0.25">
      <c r="A509" t="str">
        <f>"20190303154741750"</f>
        <v>20190303154741750</v>
      </c>
      <c r="B509" t="str">
        <f>"1551599261741295"</f>
        <v>1551599261741295</v>
      </c>
      <c r="C509" t="s">
        <v>40</v>
      </c>
      <c r="D509">
        <v>5.271274</v>
      </c>
      <c r="E509">
        <v>0.50385360000000001</v>
      </c>
      <c r="F509" t="s">
        <v>41</v>
      </c>
      <c r="G509">
        <v>-346.77249999999998</v>
      </c>
      <c r="H509" s="1">
        <v>-2.0191190000000002E-6</v>
      </c>
      <c r="I509">
        <v>366.72449999999998</v>
      </c>
      <c r="J509">
        <v>-365.50850000000003</v>
      </c>
      <c r="K509">
        <v>1.119353</v>
      </c>
      <c r="L509">
        <v>367.30900000000003</v>
      </c>
      <c r="M509">
        <v>0.99998069999999895</v>
      </c>
      <c r="N509">
        <v>-2.4896390000000001E-3</v>
      </c>
      <c r="O509">
        <v>-5.7001689999999997E-3</v>
      </c>
      <c r="P509">
        <v>0.99752830000000003</v>
      </c>
      <c r="Q509">
        <v>-6.7190319999999998E-2</v>
      </c>
      <c r="R509">
        <v>-2.0571869999999999E-2</v>
      </c>
      <c r="S509">
        <v>2.9936829999999999</v>
      </c>
      <c r="T509">
        <v>-0.17587259999999999</v>
      </c>
      <c r="U509">
        <v>-9.2132569999999997E-2</v>
      </c>
      <c r="V509">
        <v>1.488801E-2</v>
      </c>
      <c r="W509">
        <v>-6.4705750000000006E-2</v>
      </c>
      <c r="X509">
        <v>0.99779329999999999</v>
      </c>
      <c r="Y509">
        <v>2.5027170000000001E-2</v>
      </c>
      <c r="Z509">
        <v>-4.4520980000000001E-4</v>
      </c>
      <c r="AA509">
        <v>0.99968670000000004</v>
      </c>
      <c r="AB509">
        <v>36</v>
      </c>
      <c r="AC509">
        <v>18.736000000000001</v>
      </c>
      <c r="AD509">
        <v>-1.119355019119</v>
      </c>
      <c r="AE509">
        <v>-0.58450000000004798</v>
      </c>
      <c r="AF509">
        <v>0.47599450059465798</v>
      </c>
      <c r="AG509">
        <v>-1.119355019119</v>
      </c>
      <c r="AH509">
        <v>18.672444782887801</v>
      </c>
      <c r="AI509">
        <v>93.429486913123299</v>
      </c>
      <c r="AJ509">
        <v>88.539742863879894</v>
      </c>
      <c r="AK509">
        <v>18.7120207512021</v>
      </c>
      <c r="AL509">
        <v>93.709958373774896</v>
      </c>
      <c r="AM509">
        <v>89.1451567745071</v>
      </c>
      <c r="AN509">
        <v>0.99999997822485598</v>
      </c>
    </row>
    <row r="510" spans="1:40" x14ac:dyDescent="0.25">
      <c r="A510" t="str">
        <f>"20190303154741762"</f>
        <v>20190303154741762</v>
      </c>
      <c r="B510" t="str">
        <f>"1551599261751056"</f>
        <v>1551599261751056</v>
      </c>
      <c r="C510" t="s">
        <v>40</v>
      </c>
      <c r="D510">
        <v>5.2814399999999999</v>
      </c>
      <c r="E510">
        <v>0.50352889999999995</v>
      </c>
      <c r="F510" t="s">
        <v>41</v>
      </c>
      <c r="G510">
        <v>-346.09410000000003</v>
      </c>
      <c r="H510" s="1">
        <v>-2.342776E-6</v>
      </c>
      <c r="I510">
        <v>366.70780000000002</v>
      </c>
      <c r="J510">
        <v>-365.30919999999998</v>
      </c>
      <c r="K510">
        <v>1.119405</v>
      </c>
      <c r="L510">
        <v>367.30790000000002</v>
      </c>
      <c r="M510">
        <v>0.99998030000000004</v>
      </c>
      <c r="N510">
        <v>-2.7173919999999999E-3</v>
      </c>
      <c r="O510">
        <v>-5.6917729999999998E-3</v>
      </c>
      <c r="P510">
        <v>0.99748890000000001</v>
      </c>
      <c r="Q510">
        <v>-6.7683750000000001E-2</v>
      </c>
      <c r="R510">
        <v>-2.0864649999999998E-2</v>
      </c>
      <c r="S510">
        <v>2.9938660000000001</v>
      </c>
      <c r="T510">
        <v>-0.17261360000000001</v>
      </c>
      <c r="U510">
        <v>-9.27124E-2</v>
      </c>
      <c r="V510">
        <v>1.5188739999999999E-2</v>
      </c>
      <c r="W510">
        <v>-6.4972199999999994E-2</v>
      </c>
      <c r="X510">
        <v>0.99777150000000003</v>
      </c>
      <c r="Y510">
        <v>2.522779E-2</v>
      </c>
      <c r="Z510">
        <v>-4.4844850000000001E-4</v>
      </c>
      <c r="AA510">
        <v>0.99968170000000001</v>
      </c>
      <c r="AB510">
        <v>36</v>
      </c>
      <c r="AC510">
        <v>19.2150999999999</v>
      </c>
      <c r="AD510">
        <v>-1.1194073427760001</v>
      </c>
      <c r="AE510">
        <v>-0.60009999999999697</v>
      </c>
      <c r="AF510">
        <v>0.48906372366654699</v>
      </c>
      <c r="AG510">
        <v>-1.1194073427760001</v>
      </c>
      <c r="AH510">
        <v>19.1532646685393</v>
      </c>
      <c r="AI510">
        <v>93.343743896225305</v>
      </c>
      <c r="AJ510">
        <v>88.537314644901301</v>
      </c>
      <c r="AK510">
        <v>19.1921807929163</v>
      </c>
      <c r="AL510">
        <v>93.725256850951993</v>
      </c>
      <c r="AM510">
        <v>89.127872978382996</v>
      </c>
      <c r="AN510">
        <v>1.0000000254039301</v>
      </c>
    </row>
    <row r="511" spans="1:40" x14ac:dyDescent="0.25">
      <c r="A511" t="str">
        <f>"20190303154741775"</f>
        <v>20190303154741775</v>
      </c>
      <c r="B511" t="str">
        <f>"1551599261771551"</f>
        <v>1551599261771551</v>
      </c>
      <c r="C511" t="s">
        <v>40</v>
      </c>
      <c r="D511">
        <v>5.2426399999999997</v>
      </c>
      <c r="E511">
        <v>0.50363069999999999</v>
      </c>
      <c r="F511" t="s">
        <v>41</v>
      </c>
      <c r="G511">
        <v>-346.36849999999998</v>
      </c>
      <c r="H511" s="1">
        <v>-2.2087009999999999E-6</v>
      </c>
      <c r="I511">
        <v>366.73230000000001</v>
      </c>
      <c r="J511">
        <v>-365.10019999999997</v>
      </c>
      <c r="K511">
        <v>1.1194569999999999</v>
      </c>
      <c r="L511">
        <v>367.30669999999998</v>
      </c>
      <c r="M511">
        <v>0.99997939999999996</v>
      </c>
      <c r="N511">
        <v>-2.9792159999999998E-3</v>
      </c>
      <c r="O511">
        <v>-5.6849989999999996E-3</v>
      </c>
      <c r="P511">
        <v>0.99746179999999995</v>
      </c>
      <c r="Q511">
        <v>-6.8069760000000007E-2</v>
      </c>
      <c r="R511">
        <v>-2.089568E-2</v>
      </c>
      <c r="S511">
        <v>2.9936829999999999</v>
      </c>
      <c r="T511">
        <v>-0.17692840000000001</v>
      </c>
      <c r="U511">
        <v>-9.0972899999999995E-2</v>
      </c>
      <c r="V511">
        <v>1.5226119999999999E-2</v>
      </c>
      <c r="W511">
        <v>-6.5097160000000001E-2</v>
      </c>
      <c r="X511">
        <v>0.9977627</v>
      </c>
      <c r="Y511">
        <v>2.4655159999999999E-2</v>
      </c>
      <c r="Z511">
        <v>-4.4584449999999999E-4</v>
      </c>
      <c r="AA511">
        <v>0.99969589999999997</v>
      </c>
      <c r="AB511">
        <v>36</v>
      </c>
      <c r="AC511">
        <v>18.731699999999901</v>
      </c>
      <c r="AD511">
        <v>-1.119459208701</v>
      </c>
      <c r="AE511">
        <v>-0.57439999999996805</v>
      </c>
      <c r="AF511">
        <v>0.46623690429848802</v>
      </c>
      <c r="AG511">
        <v>-1.119459208701</v>
      </c>
      <c r="AH511">
        <v>18.668050703074499</v>
      </c>
      <c r="AI511">
        <v>93.430655339323494</v>
      </c>
      <c r="AJ511">
        <v>88.569328145271498</v>
      </c>
      <c r="AK511">
        <v>18.707396473679498</v>
      </c>
      <c r="AL511">
        <v>93.732432038865696</v>
      </c>
      <c r="AM511">
        <v>89.125719267529604</v>
      </c>
      <c r="AN511">
        <v>0.99999994024080296</v>
      </c>
    </row>
    <row r="512" spans="1:40" x14ac:dyDescent="0.25">
      <c r="A512" t="str">
        <f>"20190303154741790"</f>
        <v>20190303154741790</v>
      </c>
      <c r="B512" t="str">
        <f>"1551599261781311"</f>
        <v>1551599261781311</v>
      </c>
      <c r="C512" t="s">
        <v>40</v>
      </c>
      <c r="D512">
        <v>5.2370020000000004</v>
      </c>
      <c r="E512">
        <v>0.50358249999999904</v>
      </c>
      <c r="F512" t="s">
        <v>41</v>
      </c>
      <c r="G512">
        <v>-345.93130000000002</v>
      </c>
      <c r="H512" s="1">
        <v>-2.4179319999999998E-6</v>
      </c>
      <c r="I512">
        <v>366.71769999999998</v>
      </c>
      <c r="J512">
        <v>-364.88159999999999</v>
      </c>
      <c r="K512">
        <v>1.119513</v>
      </c>
      <c r="L512">
        <v>367.30549999999999</v>
      </c>
      <c r="M512">
        <v>0.99997849999999999</v>
      </c>
      <c r="N512">
        <v>-3.2708979999999999E-3</v>
      </c>
      <c r="O512">
        <v>-5.6790219999999997E-3</v>
      </c>
      <c r="P512">
        <v>0.99745790000000001</v>
      </c>
      <c r="Q512">
        <v>-6.8032200000000001E-2</v>
      </c>
      <c r="R512">
        <v>-2.1201069999999999E-2</v>
      </c>
      <c r="S512">
        <v>2.9937740000000002</v>
      </c>
      <c r="T512">
        <v>-0.17483589999999999</v>
      </c>
      <c r="U512">
        <v>-9.1979980000000003E-2</v>
      </c>
      <c r="V512">
        <v>1.5537169999999999E-2</v>
      </c>
      <c r="W512">
        <v>-6.4768660000000006E-2</v>
      </c>
      <c r="X512">
        <v>0.99777939999999998</v>
      </c>
      <c r="Y512">
        <v>2.4996069999999999E-2</v>
      </c>
      <c r="Z512">
        <v>-4.5728819999999999E-4</v>
      </c>
      <c r="AA512">
        <v>0.9996874</v>
      </c>
      <c r="AB512">
        <v>36</v>
      </c>
      <c r="AC512">
        <v>18.950299999999899</v>
      </c>
      <c r="AD512">
        <v>-1.1195154179319999</v>
      </c>
      <c r="AE512">
        <v>-0.58780000000001498</v>
      </c>
      <c r="AF512">
        <v>0.47850239420039897</v>
      </c>
      <c r="AG512">
        <v>-1.1195154179319999</v>
      </c>
      <c r="AH512">
        <v>18.887478228594802</v>
      </c>
      <c r="AI512">
        <v>93.391032146742802</v>
      </c>
      <c r="AJ512">
        <v>88.548757854768198</v>
      </c>
      <c r="AK512">
        <v>18.926677287571799</v>
      </c>
      <c r="AL512">
        <v>93.713570135169107</v>
      </c>
      <c r="AM512">
        <v>89.107876626653905</v>
      </c>
      <c r="AN512">
        <v>1.0000000570170799</v>
      </c>
    </row>
    <row r="513" spans="1:40" x14ac:dyDescent="0.25">
      <c r="A513" t="str">
        <f>"20190303154741807"</f>
        <v>20190303154741807</v>
      </c>
      <c r="B513" t="str">
        <f>"1551599261801807"</f>
        <v>1551599261801807</v>
      </c>
      <c r="C513" t="s">
        <v>40</v>
      </c>
      <c r="D513">
        <v>5.2173449999999999</v>
      </c>
      <c r="E513">
        <v>0.50357790000000002</v>
      </c>
      <c r="F513" t="s">
        <v>41</v>
      </c>
      <c r="G513">
        <v>-345.53809999999999</v>
      </c>
      <c r="H513" s="1">
        <v>-2.6054430000000002E-6</v>
      </c>
      <c r="I513">
        <v>366.70839999999998</v>
      </c>
      <c r="J513">
        <v>-364.58479999999997</v>
      </c>
      <c r="K513">
        <v>1.119586</v>
      </c>
      <c r="L513">
        <v>367.30369999999999</v>
      </c>
      <c r="M513">
        <v>0.99997709999999995</v>
      </c>
      <c r="N513">
        <v>-3.696852E-3</v>
      </c>
      <c r="O513">
        <v>-5.672496E-3</v>
      </c>
      <c r="P513">
        <v>0.99742759999999997</v>
      </c>
      <c r="Q513">
        <v>-6.8523879999999995E-2</v>
      </c>
      <c r="R513">
        <v>-2.1039760000000001E-2</v>
      </c>
      <c r="S513">
        <v>2.9938959999999999</v>
      </c>
      <c r="T513">
        <v>-0.17327390000000001</v>
      </c>
      <c r="U513">
        <v>-9.2407230000000007E-2</v>
      </c>
      <c r="V513">
        <v>1.538204E-2</v>
      </c>
      <c r="W513">
        <v>-6.483556E-2</v>
      </c>
      <c r="X513">
        <v>0.99777740000000004</v>
      </c>
      <c r="Y513">
        <v>2.5143769999999999E-2</v>
      </c>
      <c r="Z513">
        <v>-4.6636570000000002E-4</v>
      </c>
      <c r="AA513">
        <v>0.99968369999999995</v>
      </c>
      <c r="AB513">
        <v>36</v>
      </c>
      <c r="AC513">
        <v>19.046699999999898</v>
      </c>
      <c r="AD513">
        <v>-1.119588605443</v>
      </c>
      <c r="AE513">
        <v>-0.59530000000000804</v>
      </c>
      <c r="AF513">
        <v>0.48557123192340401</v>
      </c>
      <c r="AG513">
        <v>-1.119588605443</v>
      </c>
      <c r="AH513">
        <v>18.984239444543199</v>
      </c>
      <c r="AI513">
        <v>93.373987562531099</v>
      </c>
      <c r="AJ513">
        <v>88.534831078892495</v>
      </c>
      <c r="AK513">
        <v>19.023422545758098</v>
      </c>
      <c r="AL513">
        <v>93.717411514142796</v>
      </c>
      <c r="AM513">
        <v>89.116780794096798</v>
      </c>
      <c r="AN513">
        <v>0.99999999847291698</v>
      </c>
    </row>
    <row r="514" spans="1:40" x14ac:dyDescent="0.25">
      <c r="A514" t="str">
        <f>"20190303154741829"</f>
        <v>20190303154741829</v>
      </c>
      <c r="B514" t="str">
        <f>"1551599261821327"</f>
        <v>1551599261821327</v>
      </c>
      <c r="C514" t="s">
        <v>40</v>
      </c>
      <c r="D514">
        <v>5.1966469999999996</v>
      </c>
      <c r="E514">
        <v>0.50346639999999998</v>
      </c>
      <c r="F514" t="s">
        <v>41</v>
      </c>
      <c r="G514">
        <v>-345.10390000000001</v>
      </c>
      <c r="H514" s="1">
        <v>-2.8112560000000001E-6</v>
      </c>
      <c r="I514">
        <v>366.7054</v>
      </c>
      <c r="J514">
        <v>-364.2353</v>
      </c>
      <c r="K514">
        <v>1.1196649999999999</v>
      </c>
      <c r="L514">
        <v>367.30180000000001</v>
      </c>
      <c r="M514">
        <v>0.99997499999999995</v>
      </c>
      <c r="N514">
        <v>-4.2398560000000002E-3</v>
      </c>
      <c r="O514">
        <v>-5.6659450000000004E-3</v>
      </c>
      <c r="P514">
        <v>0.99738570000000004</v>
      </c>
      <c r="Q514">
        <v>-6.9207740000000004E-2</v>
      </c>
      <c r="R514">
        <v>-2.0787079999999999E-2</v>
      </c>
      <c r="S514">
        <v>2.9939879999999999</v>
      </c>
      <c r="T514">
        <v>-0.1720672</v>
      </c>
      <c r="U514">
        <v>-9.1949459999999997E-2</v>
      </c>
      <c r="V514">
        <v>1.513577E-2</v>
      </c>
      <c r="W514">
        <v>-6.4977839999999995E-2</v>
      </c>
      <c r="X514">
        <v>0.99777190000000004</v>
      </c>
      <c r="Y514">
        <v>2.4996839999999999E-2</v>
      </c>
      <c r="Z514">
        <v>-4.6931140000000001E-4</v>
      </c>
      <c r="AA514">
        <v>0.9996874</v>
      </c>
      <c r="AB514">
        <v>36</v>
      </c>
      <c r="AC514">
        <v>19.1313999999999</v>
      </c>
      <c r="AD514">
        <v>-1.1196678112559999</v>
      </c>
      <c r="AE514">
        <v>-0.59640000000001603</v>
      </c>
      <c r="AF514">
        <v>0.48632784764103099</v>
      </c>
      <c r="AG514">
        <v>-1.1196678112559999</v>
      </c>
      <c r="AH514">
        <v>19.069219784569199</v>
      </c>
      <c r="AI514">
        <v>93.359229626797401</v>
      </c>
      <c r="AJ514">
        <v>88.539085783033002</v>
      </c>
      <c r="AK514">
        <v>19.108252509718401</v>
      </c>
      <c r="AL514">
        <v>93.725580823626899</v>
      </c>
      <c r="AM514">
        <v>89.130914360447093</v>
      </c>
      <c r="AN514">
        <v>0.99999998782708399</v>
      </c>
    </row>
    <row r="515" spans="1:40" x14ac:dyDescent="0.25">
      <c r="A515" t="str">
        <f>"20190303154741842"</f>
        <v>20190303154741842</v>
      </c>
      <c r="B515" t="str">
        <f>"1551599261831087"</f>
        <v>1551599261831087</v>
      </c>
      <c r="C515" t="s">
        <v>40</v>
      </c>
      <c r="D515">
        <v>5.2016410000000004</v>
      </c>
      <c r="E515">
        <v>0.50348879999999996</v>
      </c>
      <c r="F515" t="s">
        <v>41</v>
      </c>
      <c r="G515">
        <v>-344.86340000000001</v>
      </c>
      <c r="H515" s="1">
        <v>-2.9227049999999999E-6</v>
      </c>
      <c r="I515">
        <v>366.71809999999999</v>
      </c>
      <c r="J515">
        <v>-364.02980000000002</v>
      </c>
      <c r="K515">
        <v>1.11971</v>
      </c>
      <c r="L515">
        <v>367.30059999999997</v>
      </c>
      <c r="M515">
        <v>0.99997369999999997</v>
      </c>
      <c r="N515">
        <v>-4.5699169999999997E-3</v>
      </c>
      <c r="O515">
        <v>-5.6623819999999997E-3</v>
      </c>
      <c r="P515">
        <v>0.99739889999999998</v>
      </c>
      <c r="Q515">
        <v>-6.9186259999999999E-2</v>
      </c>
      <c r="R515">
        <v>-2.02232E-2</v>
      </c>
      <c r="S515">
        <v>2.9939879999999999</v>
      </c>
      <c r="T515">
        <v>-0.1730479</v>
      </c>
      <c r="U515">
        <v>-9.0209960000000006E-2</v>
      </c>
      <c r="V515">
        <v>1.4575309999999999E-2</v>
      </c>
      <c r="W515">
        <v>-6.4627009999999999E-2</v>
      </c>
      <c r="X515">
        <v>0.997803</v>
      </c>
      <c r="Y515">
        <v>2.442041E-2</v>
      </c>
      <c r="Z515">
        <v>-4.5977570000000002E-4</v>
      </c>
      <c r="AA515">
        <v>0.99970170000000003</v>
      </c>
      <c r="AB515">
        <v>36</v>
      </c>
      <c r="AC515">
        <v>19.166399999999999</v>
      </c>
      <c r="AD515">
        <v>-1.119712922705</v>
      </c>
      <c r="AE515">
        <v>-0.58249999999998103</v>
      </c>
      <c r="AF515">
        <v>0.47235143580722999</v>
      </c>
      <c r="AG515">
        <v>-1.119712922705</v>
      </c>
      <c r="AH515">
        <v>19.1042490683298</v>
      </c>
      <c r="AI515">
        <v>93.353284401731599</v>
      </c>
      <c r="AJ515">
        <v>88.583653785602294</v>
      </c>
      <c r="AK515">
        <v>19.1428630401244</v>
      </c>
      <c r="AL515">
        <v>93.705437514801204</v>
      </c>
      <c r="AM515">
        <v>89.1631170094617</v>
      </c>
      <c r="AN515">
        <v>0.99999995844606704</v>
      </c>
    </row>
    <row r="516" spans="1:40" x14ac:dyDescent="0.25">
      <c r="A516" t="str">
        <f>"20190303154741855"</f>
        <v>20190303154741855</v>
      </c>
      <c r="B516" t="str">
        <f>"1551599261851584"</f>
        <v>1551599261851584</v>
      </c>
      <c r="C516" t="s">
        <v>40</v>
      </c>
      <c r="D516">
        <v>5.1725009999999996</v>
      </c>
      <c r="E516">
        <v>0.50350919999999999</v>
      </c>
      <c r="F516" t="s">
        <v>41</v>
      </c>
      <c r="G516">
        <v>-344.50909999999999</v>
      </c>
      <c r="H516" s="1">
        <v>-3.0895499999999999E-6</v>
      </c>
      <c r="I516">
        <v>366.72160000000002</v>
      </c>
      <c r="J516">
        <v>-363.81950000000001</v>
      </c>
      <c r="K516">
        <v>1.1197490000000001</v>
      </c>
      <c r="L516">
        <v>367.29939999999999</v>
      </c>
      <c r="M516">
        <v>0.99997190000000002</v>
      </c>
      <c r="N516">
        <v>-4.9163449999999999E-3</v>
      </c>
      <c r="O516">
        <v>-5.6589140000000001E-3</v>
      </c>
      <c r="P516">
        <v>0.99739100000000003</v>
      </c>
      <c r="Q516">
        <v>-6.9360790000000005E-2</v>
      </c>
      <c r="R516">
        <v>-2.0011959999999999E-2</v>
      </c>
      <c r="S516">
        <v>2.9940799999999999</v>
      </c>
      <c r="T516">
        <v>-0.17174159999999999</v>
      </c>
      <c r="U516">
        <v>-8.880615E-2</v>
      </c>
      <c r="V516">
        <v>1.436726E-2</v>
      </c>
      <c r="W516">
        <v>-6.4455979999999996E-2</v>
      </c>
      <c r="X516">
        <v>0.99781710000000001</v>
      </c>
      <c r="Y516">
        <v>2.395562E-2</v>
      </c>
      <c r="Z516">
        <v>-4.4883329999999998E-4</v>
      </c>
      <c r="AA516">
        <v>0.99971290000000002</v>
      </c>
      <c r="AB516">
        <v>36</v>
      </c>
      <c r="AC516">
        <v>19.310400000000001</v>
      </c>
      <c r="AD516">
        <v>-1.1197520895499999</v>
      </c>
      <c r="AE516">
        <v>-0.57779999999996701</v>
      </c>
      <c r="AF516">
        <v>0.466944840622734</v>
      </c>
      <c r="AG516">
        <v>-1.1197520895499999</v>
      </c>
      <c r="AH516">
        <v>19.2486948772654</v>
      </c>
      <c r="AI516">
        <v>93.328331575799794</v>
      </c>
      <c r="AJ516">
        <v>88.610361760363105</v>
      </c>
      <c r="AK516">
        <v>19.286890280817701</v>
      </c>
      <c r="AL516">
        <v>93.695617669804406</v>
      </c>
      <c r="AM516">
        <v>89.175072786231596</v>
      </c>
      <c r="AN516">
        <v>0.99999997828503795</v>
      </c>
    </row>
    <row r="517" spans="1:40" x14ac:dyDescent="0.25">
      <c r="A517" t="str">
        <f>"20190303154741868"</f>
        <v>20190303154741868</v>
      </c>
      <c r="B517" t="str">
        <f>"1551599261861343"</f>
        <v>1551599261861343</v>
      </c>
      <c r="C517" t="s">
        <v>40</v>
      </c>
      <c r="D517">
        <v>5.1805810000000001</v>
      </c>
      <c r="E517">
        <v>0.50349670000000002</v>
      </c>
      <c r="F517" t="s">
        <v>41</v>
      </c>
      <c r="G517">
        <v>-344.25990000000002</v>
      </c>
      <c r="H517" s="1">
        <v>-3.2071289999999999E-6</v>
      </c>
      <c r="I517">
        <v>366.72289999999998</v>
      </c>
      <c r="J517">
        <v>-363.61669999999998</v>
      </c>
      <c r="K517">
        <v>1.1197889999999999</v>
      </c>
      <c r="L517">
        <v>367.29820000000001</v>
      </c>
      <c r="M517">
        <v>0.99997020000000003</v>
      </c>
      <c r="N517">
        <v>-5.2545319999999897E-3</v>
      </c>
      <c r="O517">
        <v>-5.6558449999999996E-3</v>
      </c>
      <c r="P517">
        <v>0.99738320000000003</v>
      </c>
      <c r="Q517">
        <v>-6.958889E-2</v>
      </c>
      <c r="R517">
        <v>-1.9602540000000002E-2</v>
      </c>
      <c r="S517">
        <v>2.994202</v>
      </c>
      <c r="T517">
        <v>-0.1714127</v>
      </c>
      <c r="U517">
        <v>-8.8256840000000003E-2</v>
      </c>
      <c r="V517">
        <v>1.3960770000000001E-2</v>
      </c>
      <c r="W517">
        <v>-6.4346719999999996E-2</v>
      </c>
      <c r="X517">
        <v>0.99782990000000005</v>
      </c>
      <c r="Y517">
        <v>2.3774340000000001E-2</v>
      </c>
      <c r="Z517">
        <v>-4.4859380000000001E-4</v>
      </c>
      <c r="AA517">
        <v>0.99971719999999997</v>
      </c>
      <c r="AB517">
        <v>36</v>
      </c>
      <c r="AC517">
        <v>19.3567999999999</v>
      </c>
      <c r="AD517">
        <v>-1.1197922071290001</v>
      </c>
      <c r="AE517">
        <v>-0.57530000000002701</v>
      </c>
      <c r="AF517">
        <v>0.46425789784633098</v>
      </c>
      <c r="AG517">
        <v>-1.1197922071290001</v>
      </c>
      <c r="AH517">
        <v>19.295227238175599</v>
      </c>
      <c r="AI517">
        <v>93.320457463965894</v>
      </c>
      <c r="AJ517">
        <v>88.621685740777707</v>
      </c>
      <c r="AK517">
        <v>19.3332683257563</v>
      </c>
      <c r="AL517">
        <v>93.689344591046094</v>
      </c>
      <c r="AM517">
        <v>89.198419477732003</v>
      </c>
      <c r="AN517">
        <v>0.99999995640387895</v>
      </c>
    </row>
    <row r="518" spans="1:40" x14ac:dyDescent="0.25">
      <c r="A518" t="str">
        <f>"20190303154741884"</f>
        <v>20190303154741884</v>
      </c>
      <c r="B518" t="str">
        <f>"1551599261880863"</f>
        <v>1551599261880863</v>
      </c>
      <c r="C518" t="s">
        <v>40</v>
      </c>
      <c r="D518">
        <v>5.1839810000000002</v>
      </c>
      <c r="E518">
        <v>0.50346519999999995</v>
      </c>
      <c r="F518" t="s">
        <v>41</v>
      </c>
      <c r="G518">
        <v>-344.0598</v>
      </c>
      <c r="H518" s="1">
        <v>-3.3003719999999998E-6</v>
      </c>
      <c r="I518">
        <v>366.73059999999998</v>
      </c>
      <c r="J518">
        <v>-363.34010000000001</v>
      </c>
      <c r="K518">
        <v>1.1198429999999999</v>
      </c>
      <c r="L518">
        <v>367.29669999999999</v>
      </c>
      <c r="M518">
        <v>0.99996770000000001</v>
      </c>
      <c r="N518">
        <v>-5.7214400000000004E-3</v>
      </c>
      <c r="O518">
        <v>-5.652486E-3</v>
      </c>
      <c r="P518">
        <v>0.99740580000000001</v>
      </c>
      <c r="Q518">
        <v>-6.9373690000000002E-2</v>
      </c>
      <c r="R518">
        <v>-1.9213149999999998E-2</v>
      </c>
      <c r="S518">
        <v>2.994202</v>
      </c>
      <c r="T518">
        <v>-0.17144229999999899</v>
      </c>
      <c r="U518">
        <v>-8.6914060000000001E-2</v>
      </c>
      <c r="V518">
        <v>1.3574269999999999E-2</v>
      </c>
      <c r="W518">
        <v>-6.3665550000000001E-2</v>
      </c>
      <c r="X518">
        <v>0.99787899999999996</v>
      </c>
      <c r="Y518">
        <v>2.333006E-2</v>
      </c>
      <c r="Z518">
        <v>-4.4304700000000002E-4</v>
      </c>
      <c r="AA518">
        <v>0.9997277</v>
      </c>
      <c r="AB518">
        <v>36</v>
      </c>
      <c r="AC518">
        <v>19.2803</v>
      </c>
      <c r="AD518">
        <v>-1.1198463003719901</v>
      </c>
      <c r="AE518">
        <v>-0.56610000000000504</v>
      </c>
      <c r="AF518">
        <v>0.455571972629012</v>
      </c>
      <c r="AG518">
        <v>-1.1198463003719901</v>
      </c>
      <c r="AH518">
        <v>19.218413156178102</v>
      </c>
      <c r="AI518">
        <v>93.333888053326902</v>
      </c>
      <c r="AJ518">
        <v>88.642059386630606</v>
      </c>
      <c r="AK518">
        <v>19.2564016836028</v>
      </c>
      <c r="AL518">
        <v>93.650235958824695</v>
      </c>
      <c r="AM518">
        <v>89.220646577894399</v>
      </c>
      <c r="AN518">
        <v>1.0000000308519099</v>
      </c>
    </row>
    <row r="519" spans="1:40" x14ac:dyDescent="0.25">
      <c r="A519" t="str">
        <f>"20190303154741897"</f>
        <v>20190303154741897</v>
      </c>
      <c r="B519" t="str">
        <f>"1551599261891599"</f>
        <v>1551599261891599</v>
      </c>
      <c r="C519" t="s">
        <v>40</v>
      </c>
      <c r="D519">
        <v>5.1618719999999998</v>
      </c>
      <c r="E519">
        <v>0.50344259999999996</v>
      </c>
      <c r="F519" t="s">
        <v>41</v>
      </c>
      <c r="G519">
        <v>-343.67419999999998</v>
      </c>
      <c r="H519" s="1">
        <v>-3.4815360000000002E-6</v>
      </c>
      <c r="I519">
        <v>366.73669999999998</v>
      </c>
      <c r="J519">
        <v>-363.13679999999999</v>
      </c>
      <c r="K519">
        <v>1.1198779999999999</v>
      </c>
      <c r="L519">
        <v>367.2955</v>
      </c>
      <c r="M519">
        <v>0.99996569999999996</v>
      </c>
      <c r="N519">
        <v>-6.0679799999999997E-3</v>
      </c>
      <c r="O519">
        <v>-5.6502970000000003E-3</v>
      </c>
      <c r="P519">
        <v>0.99740169999999995</v>
      </c>
      <c r="Q519">
        <v>-6.9404530000000006E-2</v>
      </c>
      <c r="R519">
        <v>-1.9311120000000001E-2</v>
      </c>
      <c r="S519">
        <v>2.9942929999999999</v>
      </c>
      <c r="T519">
        <v>-0.17050609999999999</v>
      </c>
      <c r="U519">
        <v>-8.5266110000000006E-2</v>
      </c>
      <c r="V519">
        <v>1.367433E-2</v>
      </c>
      <c r="W519">
        <v>-6.3350649999999994E-2</v>
      </c>
      <c r="X519">
        <v>0.99789760000000005</v>
      </c>
      <c r="Y519">
        <v>2.2782589999999998E-2</v>
      </c>
      <c r="Z519">
        <v>-4.3004460000000002E-4</v>
      </c>
      <c r="AA519">
        <v>0.99974039999999997</v>
      </c>
      <c r="AB519">
        <v>36</v>
      </c>
      <c r="AC519">
        <v>19.462599999999998</v>
      </c>
      <c r="AD519">
        <v>-1.1198814815360001</v>
      </c>
      <c r="AE519">
        <v>-0.55880000000001895</v>
      </c>
      <c r="AF519">
        <v>0.44733972788915899</v>
      </c>
      <c r="AG519">
        <v>-1.1198814815360001</v>
      </c>
      <c r="AH519">
        <v>19.401264551711702</v>
      </c>
      <c r="AI519">
        <v>93.3026903884885</v>
      </c>
      <c r="AJ519">
        <v>88.679151159052196</v>
      </c>
      <c r="AK519">
        <v>19.438706581723402</v>
      </c>
      <c r="AL519">
        <v>93.632157294606799</v>
      </c>
      <c r="AM519">
        <v>89.214917079149501</v>
      </c>
      <c r="AN519">
        <v>0.99999995612106396</v>
      </c>
    </row>
    <row r="520" spans="1:40" x14ac:dyDescent="0.25">
      <c r="A520" t="str">
        <f>"20190303154741909"</f>
        <v>20190303154741909</v>
      </c>
      <c r="B520" t="str">
        <f>"1551599261901360"</f>
        <v>1551599261901360</v>
      </c>
      <c r="C520" t="s">
        <v>40</v>
      </c>
      <c r="D520">
        <v>5.1788800000000004</v>
      </c>
      <c r="E520">
        <v>0.50340320000000005</v>
      </c>
      <c r="F520" t="s">
        <v>41</v>
      </c>
      <c r="G520">
        <v>-343.41579999999999</v>
      </c>
      <c r="H520" s="1">
        <v>-3.604624E-6</v>
      </c>
      <c r="I520">
        <v>366.73140000000001</v>
      </c>
      <c r="J520">
        <v>-362.94909999999999</v>
      </c>
      <c r="K520">
        <v>1.11991</v>
      </c>
      <c r="L520">
        <v>367.2944</v>
      </c>
      <c r="M520">
        <v>0.99996359999999995</v>
      </c>
      <c r="N520">
        <v>-6.38647E-3</v>
      </c>
      <c r="O520">
        <v>-5.6484359999999997E-3</v>
      </c>
      <c r="P520">
        <v>0.9973862</v>
      </c>
      <c r="Q520">
        <v>-6.9596149999999996E-2</v>
      </c>
      <c r="R520">
        <v>-1.9415559999999998E-2</v>
      </c>
      <c r="S520">
        <v>2.9943240000000002</v>
      </c>
      <c r="T520">
        <v>-0.17003670000000001</v>
      </c>
      <c r="U520">
        <v>-8.5662840000000004E-2</v>
      </c>
      <c r="V520">
        <v>1.3780509999999999E-2</v>
      </c>
      <c r="W520">
        <v>-6.3224610000000001E-2</v>
      </c>
      <c r="X520">
        <v>0.99790420000000002</v>
      </c>
      <c r="Y520">
        <v>2.291613E-2</v>
      </c>
      <c r="Z520">
        <v>-4.3888199999999998E-4</v>
      </c>
      <c r="AA520">
        <v>0.99973730000000005</v>
      </c>
      <c r="AB520">
        <v>36</v>
      </c>
      <c r="AC520">
        <v>19.533300000000001</v>
      </c>
      <c r="AD520">
        <v>-1.1199136046239999</v>
      </c>
      <c r="AE520">
        <v>-0.56299999999998795</v>
      </c>
      <c r="AF520">
        <v>0.45117432661927998</v>
      </c>
      <c r="AG520">
        <v>-1.1199136046239999</v>
      </c>
      <c r="AH520">
        <v>19.472213811882298</v>
      </c>
      <c r="AI520">
        <v>93.290768766753203</v>
      </c>
      <c r="AJ520">
        <v>88.672685063031594</v>
      </c>
      <c r="AK520">
        <v>19.509609824147699</v>
      </c>
      <c r="AL520">
        <v>93.624920985284106</v>
      </c>
      <c r="AM520">
        <v>89.208826981580003</v>
      </c>
      <c r="AN520">
        <v>1.00000002307157</v>
      </c>
    </row>
    <row r="521" spans="1:40" x14ac:dyDescent="0.25">
      <c r="A521" t="str">
        <f>"20190303154741921"</f>
        <v>20190303154741921</v>
      </c>
      <c r="B521" t="str">
        <f>"1551599261911120"</f>
        <v>1551599261911120</v>
      </c>
      <c r="C521" t="s">
        <v>40</v>
      </c>
      <c r="D521">
        <v>5.1697480000000002</v>
      </c>
      <c r="E521">
        <v>0.50341080000000005</v>
      </c>
      <c r="F521" t="s">
        <v>41</v>
      </c>
      <c r="G521">
        <v>-343.25069999999999</v>
      </c>
      <c r="H521" s="1">
        <v>-3.6826600000000001E-6</v>
      </c>
      <c r="I521">
        <v>366.73149999999998</v>
      </c>
      <c r="J521">
        <v>-362.75229999999999</v>
      </c>
      <c r="K521">
        <v>1.119945</v>
      </c>
      <c r="L521">
        <v>367.29329999999999</v>
      </c>
      <c r="M521">
        <v>0.99996149999999995</v>
      </c>
      <c r="N521">
        <v>-6.7199390000000003E-3</v>
      </c>
      <c r="O521">
        <v>-5.6469140000000003E-3</v>
      </c>
      <c r="P521">
        <v>0.99736279999999999</v>
      </c>
      <c r="Q521">
        <v>-6.993684E-2</v>
      </c>
      <c r="R521">
        <v>-1.9405780000000001E-2</v>
      </c>
      <c r="S521">
        <v>2.9943240000000002</v>
      </c>
      <c r="T521">
        <v>-0.1702359</v>
      </c>
      <c r="U521">
        <v>-8.5571289999999994E-2</v>
      </c>
      <c r="V521">
        <v>1.377186E-2</v>
      </c>
      <c r="W521">
        <v>-6.3232700000000003E-2</v>
      </c>
      <c r="X521">
        <v>0.99790380000000001</v>
      </c>
      <c r="Y521">
        <v>2.2886759999999999E-2</v>
      </c>
      <c r="Z521">
        <v>-4.441189E-4</v>
      </c>
      <c r="AA521">
        <v>0.99973800000000002</v>
      </c>
      <c r="AB521">
        <v>36</v>
      </c>
      <c r="AC521">
        <v>19.5016</v>
      </c>
      <c r="AD521">
        <v>-1.11994868266</v>
      </c>
      <c r="AE521">
        <v>-0.56180000000000496</v>
      </c>
      <c r="AF521">
        <v>0.45018121627514102</v>
      </c>
      <c r="AG521">
        <v>-1.11994868266</v>
      </c>
      <c r="AH521">
        <v>19.440399534549801</v>
      </c>
      <c r="AI521">
        <v>93.296246273104202</v>
      </c>
      <c r="AJ521">
        <v>88.673439062214896</v>
      </c>
      <c r="AK521">
        <v>19.477835666269598</v>
      </c>
      <c r="AL521">
        <v>93.625385462173995</v>
      </c>
      <c r="AM521">
        <v>89.209323219421805</v>
      </c>
      <c r="AN521">
        <v>1.00000001626579</v>
      </c>
    </row>
    <row r="522" spans="1:40" x14ac:dyDescent="0.25">
      <c r="A522" t="str">
        <f>"20190303154741932"</f>
        <v>20190303154741932</v>
      </c>
      <c r="B522" t="str">
        <f>"1551599261920880"</f>
        <v>1551599261920880</v>
      </c>
      <c r="C522" t="s">
        <v>40</v>
      </c>
      <c r="D522">
        <v>5.175478</v>
      </c>
      <c r="E522">
        <v>0.50337719999999997</v>
      </c>
      <c r="F522" t="s">
        <v>41</v>
      </c>
      <c r="G522">
        <v>-343.14359999999999</v>
      </c>
      <c r="H522" s="1">
        <v>-3.7331380000000001E-6</v>
      </c>
      <c r="I522">
        <v>366.73239999999998</v>
      </c>
      <c r="J522">
        <v>-362.5598</v>
      </c>
      <c r="K522">
        <v>1.1199749999999999</v>
      </c>
      <c r="L522">
        <v>367.29219999999998</v>
      </c>
      <c r="M522">
        <v>0.9999593</v>
      </c>
      <c r="N522">
        <v>-7.0460770000000004E-3</v>
      </c>
      <c r="O522">
        <v>-5.6445799999999997E-3</v>
      </c>
      <c r="P522">
        <v>0.99733590000000005</v>
      </c>
      <c r="Q522">
        <v>-7.026905E-2</v>
      </c>
      <c r="R522">
        <v>-1.9593070000000001E-2</v>
      </c>
      <c r="S522">
        <v>2.9942630000000001</v>
      </c>
      <c r="T522">
        <v>-0.1710168</v>
      </c>
      <c r="U522">
        <v>-8.5662840000000004E-2</v>
      </c>
      <c r="V522">
        <v>1.3961670000000001E-2</v>
      </c>
      <c r="W522">
        <v>-6.323964E-2</v>
      </c>
      <c r="X522">
        <v>0.99790069999999997</v>
      </c>
      <c r="Y522">
        <v>2.2919559999999999E-2</v>
      </c>
      <c r="Z522">
        <v>-4.5237860000000001E-4</v>
      </c>
      <c r="AA522">
        <v>0.99973719999999999</v>
      </c>
      <c r="AB522">
        <v>36</v>
      </c>
      <c r="AC522">
        <v>19.4162</v>
      </c>
      <c r="AD522">
        <v>-1.119978733138</v>
      </c>
      <c r="AE522">
        <v>-0.55979999999999497</v>
      </c>
      <c r="AF522">
        <v>0.44870035502372801</v>
      </c>
      <c r="AG522">
        <v>-1.119978733138</v>
      </c>
      <c r="AH522">
        <v>19.354705291367701</v>
      </c>
      <c r="AI522">
        <v>93.310894875546296</v>
      </c>
      <c r="AJ522">
        <v>88.671949172720403</v>
      </c>
      <c r="AK522">
        <v>19.392274268042399</v>
      </c>
      <c r="AL522">
        <v>93.625783974305307</v>
      </c>
      <c r="AM522">
        <v>89.1984246770336</v>
      </c>
      <c r="AN522">
        <v>0.99999999367850401</v>
      </c>
    </row>
    <row r="523" spans="1:40" x14ac:dyDescent="0.25">
      <c r="A523" t="str">
        <f>"20190303154741951"</f>
        <v>20190303154741951</v>
      </c>
      <c r="B523" t="str">
        <f>"1551599261941375"</f>
        <v>1551599261941375</v>
      </c>
      <c r="C523" t="s">
        <v>40</v>
      </c>
      <c r="D523">
        <v>5.1520780000000004</v>
      </c>
      <c r="E523">
        <v>0.50335859999999899</v>
      </c>
      <c r="F523" t="s">
        <v>41</v>
      </c>
      <c r="G523">
        <v>-343.04570000000001</v>
      </c>
      <c r="H523" s="1">
        <v>-3.7794659999999999E-6</v>
      </c>
      <c r="I523">
        <v>366.73200000000003</v>
      </c>
      <c r="J523">
        <v>-362.27</v>
      </c>
      <c r="K523">
        <v>1.120017</v>
      </c>
      <c r="L523">
        <v>367.29059999999998</v>
      </c>
      <c r="M523">
        <v>0.99995579999999995</v>
      </c>
      <c r="N523">
        <v>-7.5298369999999898E-3</v>
      </c>
      <c r="O523">
        <v>-5.6390609999999999E-3</v>
      </c>
      <c r="P523">
        <v>0.99728510000000004</v>
      </c>
      <c r="Q523">
        <v>-7.0863350000000006E-2</v>
      </c>
      <c r="R523">
        <v>-2.002541E-2</v>
      </c>
      <c r="S523">
        <v>2.9942630000000001</v>
      </c>
      <c r="T523">
        <v>-0.171850799999999</v>
      </c>
      <c r="U523">
        <v>-8.5968020000000006E-2</v>
      </c>
      <c r="V523">
        <v>1.4399840000000001E-2</v>
      </c>
      <c r="W523">
        <v>-6.3351500000000005E-2</v>
      </c>
      <c r="X523">
        <v>0.99788739999999998</v>
      </c>
      <c r="Y523">
        <v>2.302589E-2</v>
      </c>
      <c r="Z523">
        <v>-4.6599739999999998E-4</v>
      </c>
      <c r="AA523">
        <v>0.99973480000000003</v>
      </c>
      <c r="AB523">
        <v>36</v>
      </c>
      <c r="AC523">
        <v>19.2242999999999</v>
      </c>
      <c r="AD523">
        <v>-1.120020779466</v>
      </c>
      <c r="AE523">
        <v>-0.55860000000001198</v>
      </c>
      <c r="AF523">
        <v>0.44865944649102901</v>
      </c>
      <c r="AG523">
        <v>-1.120020779466</v>
      </c>
      <c r="AH523">
        <v>19.162157022136999</v>
      </c>
      <c r="AI523">
        <v>93.344196139087103</v>
      </c>
      <c r="AJ523">
        <v>88.658731541652401</v>
      </c>
      <c r="AK523">
        <v>19.200104259779302</v>
      </c>
      <c r="AL523">
        <v>93.632205878036999</v>
      </c>
      <c r="AM523">
        <v>89.173260633502096</v>
      </c>
      <c r="AN523">
        <v>1.0000000155115101</v>
      </c>
    </row>
    <row r="524" spans="1:40" x14ac:dyDescent="0.25">
      <c r="A524" t="str">
        <f>"20190303154741962"</f>
        <v>20190303154741962</v>
      </c>
      <c r="B524" t="str">
        <f>"1551599261951136"</f>
        <v>1551599261951136</v>
      </c>
      <c r="C524" t="s">
        <v>40</v>
      </c>
      <c r="D524">
        <v>5.1557550000000001</v>
      </c>
      <c r="E524">
        <v>0.50336709999999996</v>
      </c>
      <c r="F524" t="s">
        <v>41</v>
      </c>
      <c r="G524">
        <v>-342.9434</v>
      </c>
      <c r="H524" s="1">
        <v>-3.8287299999999998E-6</v>
      </c>
      <c r="I524">
        <v>366.72680000000003</v>
      </c>
      <c r="J524">
        <v>-362.08280000000002</v>
      </c>
      <c r="K524">
        <v>1.120047</v>
      </c>
      <c r="L524">
        <v>367.28960000000001</v>
      </c>
      <c r="M524">
        <v>0.99995339999999999</v>
      </c>
      <c r="N524">
        <v>-7.8360959999999903E-3</v>
      </c>
      <c r="O524">
        <v>-5.6353330000000002E-3</v>
      </c>
      <c r="P524">
        <v>0.99726079999999995</v>
      </c>
      <c r="Q524">
        <v>-7.1115189999999995E-2</v>
      </c>
      <c r="R524">
        <v>-2.0339490000000002E-2</v>
      </c>
      <c r="S524">
        <v>2.99411</v>
      </c>
      <c r="T524">
        <v>-0.17351620000000001</v>
      </c>
      <c r="U524">
        <v>-8.7341310000000005E-2</v>
      </c>
      <c r="V524">
        <v>1.4718139999999999E-2</v>
      </c>
      <c r="W524">
        <v>-6.3297829999999999E-2</v>
      </c>
      <c r="X524">
        <v>0.9978861</v>
      </c>
      <c r="Y524">
        <v>2.3487419999999998E-2</v>
      </c>
      <c r="Z524">
        <v>-4.8988479999999995E-4</v>
      </c>
      <c r="AA524">
        <v>0.99972399999999995</v>
      </c>
      <c r="AB524">
        <v>36</v>
      </c>
      <c r="AC524">
        <v>19.139399999999998</v>
      </c>
      <c r="AD524">
        <v>-1.1200508287299999</v>
      </c>
      <c r="AE524">
        <v>-0.56279999999998098</v>
      </c>
      <c r="AF524">
        <v>0.45337952278564297</v>
      </c>
      <c r="AG524">
        <v>-1.1200508287299999</v>
      </c>
      <c r="AH524">
        <v>19.076991763495801</v>
      </c>
      <c r="AI524">
        <v>93.359153601513</v>
      </c>
      <c r="AJ524">
        <v>88.6385775863437</v>
      </c>
      <c r="AK524">
        <v>19.115221201835599</v>
      </c>
      <c r="AL524">
        <v>93.6291248539072</v>
      </c>
      <c r="AM524">
        <v>89.154987566200703</v>
      </c>
      <c r="AN524">
        <v>0.999999953750488</v>
      </c>
    </row>
    <row r="525" spans="1:40" x14ac:dyDescent="0.25">
      <c r="A525" t="str">
        <f>"20190303154741974"</f>
        <v>20190303154741974</v>
      </c>
      <c r="B525" t="str">
        <f>"1551599261971631"</f>
        <v>1551599261971631</v>
      </c>
      <c r="C525" t="s">
        <v>40</v>
      </c>
      <c r="D525">
        <v>5.2346870000000001</v>
      </c>
      <c r="E525">
        <v>0.50325889999999995</v>
      </c>
      <c r="F525" t="s">
        <v>41</v>
      </c>
      <c r="G525">
        <v>-342.86290000000002</v>
      </c>
      <c r="H525" s="1">
        <v>-3.8676360000000002E-6</v>
      </c>
      <c r="I525">
        <v>366.72219999999999</v>
      </c>
      <c r="J525">
        <v>-361.89370000000002</v>
      </c>
      <c r="K525">
        <v>1.120077</v>
      </c>
      <c r="L525">
        <v>367.2885</v>
      </c>
      <c r="M525">
        <v>0.99995120000000004</v>
      </c>
      <c r="N525">
        <v>-8.132093E-3</v>
      </c>
      <c r="O525">
        <v>-5.632303E-3</v>
      </c>
      <c r="P525">
        <v>0.99724729999999995</v>
      </c>
      <c r="Q525">
        <v>-7.1206430000000001E-2</v>
      </c>
      <c r="R525">
        <v>-2.068623E-2</v>
      </c>
      <c r="S525">
        <v>2.9939879999999999</v>
      </c>
      <c r="T525">
        <v>-0.17447599999999999</v>
      </c>
      <c r="U525">
        <v>-8.8378910000000005E-2</v>
      </c>
      <c r="V525">
        <v>1.506832E-2</v>
      </c>
      <c r="W525">
        <v>-6.3093679999999999E-2</v>
      </c>
      <c r="X525">
        <v>0.9978939</v>
      </c>
      <c r="Y525">
        <v>2.3836449999999999E-2</v>
      </c>
      <c r="Z525">
        <v>-5.0873029999999998E-4</v>
      </c>
      <c r="AA525">
        <v>0.99971569999999998</v>
      </c>
      <c r="AB525">
        <v>36</v>
      </c>
      <c r="AC525">
        <v>19.030799999999999</v>
      </c>
      <c r="AD525">
        <v>-1.1200808676359999</v>
      </c>
      <c r="AE525">
        <v>-0.56630000000001202</v>
      </c>
      <c r="AF525">
        <v>0.45751679363391201</v>
      </c>
      <c r="AG525">
        <v>-1.1200808676359999</v>
      </c>
      <c r="AH525">
        <v>18.968039615024999</v>
      </c>
      <c r="AI525">
        <v>93.378465759998093</v>
      </c>
      <c r="AJ525">
        <v>88.618270524290594</v>
      </c>
      <c r="AK525">
        <v>19.006589110191801</v>
      </c>
      <c r="AL525">
        <v>93.617404139770002</v>
      </c>
      <c r="AM525">
        <v>89.134892466322995</v>
      </c>
      <c r="AN525">
        <v>1.0000000511903799</v>
      </c>
    </row>
    <row r="526" spans="1:40" x14ac:dyDescent="0.25">
      <c r="A526" t="str">
        <f>"20190303154741988"</f>
        <v>20190303154741988</v>
      </c>
      <c r="B526" t="str">
        <f>"1551599261981391"</f>
        <v>1551599261981391</v>
      </c>
      <c r="C526" t="s">
        <v>40</v>
      </c>
      <c r="D526">
        <v>5.2478210000000001</v>
      </c>
      <c r="E526">
        <v>0.48950739999999998</v>
      </c>
      <c r="F526" t="s">
        <v>41</v>
      </c>
      <c r="G526">
        <v>-342.70940000000002</v>
      </c>
      <c r="H526" s="1">
        <v>-3.9403079999999996E-6</v>
      </c>
      <c r="I526">
        <v>366.72160000000002</v>
      </c>
      <c r="J526">
        <v>-361.67259999999999</v>
      </c>
      <c r="K526">
        <v>1.1201099999999999</v>
      </c>
      <c r="L526">
        <v>367.28719999999998</v>
      </c>
      <c r="M526">
        <v>0.99994839999999996</v>
      </c>
      <c r="N526">
        <v>-8.464114E-3</v>
      </c>
      <c r="O526">
        <v>-5.6237589999999999E-3</v>
      </c>
      <c r="P526">
        <v>0.99722900000000003</v>
      </c>
      <c r="Q526">
        <v>-7.1287519999999993E-2</v>
      </c>
      <c r="R526">
        <v>-2.126896E-2</v>
      </c>
      <c r="S526">
        <v>2.9939580000000001</v>
      </c>
      <c r="T526">
        <v>-0.1748025</v>
      </c>
      <c r="U526">
        <v>-8.8470460000000001E-2</v>
      </c>
      <c r="V526">
        <v>1.5659960000000001E-2</v>
      </c>
      <c r="W526">
        <v>-6.2843490000000002E-2</v>
      </c>
      <c r="X526">
        <v>0.99790049999999997</v>
      </c>
      <c r="Y526">
        <v>2.3875279999999999E-2</v>
      </c>
      <c r="Z526">
        <v>-5.1697189999999995E-4</v>
      </c>
      <c r="AA526">
        <v>0.99971480000000001</v>
      </c>
      <c r="AB526">
        <v>36</v>
      </c>
      <c r="AC526">
        <v>18.963199999999901</v>
      </c>
      <c r="AD526">
        <v>-1.120113940308</v>
      </c>
      <c r="AE526">
        <v>-0.56559999999996002</v>
      </c>
      <c r="AF526">
        <v>0.45734850075702199</v>
      </c>
      <c r="AG526">
        <v>-1.120113940308</v>
      </c>
      <c r="AH526">
        <v>18.9001968127534</v>
      </c>
      <c r="AI526">
        <v>93.390658154406395</v>
      </c>
      <c r="AJ526">
        <v>88.613822579230003</v>
      </c>
      <c r="AK526">
        <v>18.938882291498299</v>
      </c>
      <c r="AL526">
        <v>93.6030410867168</v>
      </c>
      <c r="AM526">
        <v>89.100936444264505</v>
      </c>
      <c r="AN526">
        <v>0.99999997324141499</v>
      </c>
    </row>
    <row r="527" spans="1:40" x14ac:dyDescent="0.25">
      <c r="A527" t="str">
        <f>"20190303154742008"</f>
        <v>20190303154742008</v>
      </c>
      <c r="B527" t="str">
        <f>"1551599262001888"</f>
        <v>1551599262001888</v>
      </c>
      <c r="C527" t="s">
        <v>40</v>
      </c>
      <c r="D527">
        <v>5.2460599999999999</v>
      </c>
      <c r="E527">
        <v>0.49077100000000001</v>
      </c>
      <c r="F527" t="s">
        <v>41</v>
      </c>
      <c r="G527">
        <v>-346.03570000000002</v>
      </c>
      <c r="H527" s="1">
        <v>-2.2491990000000002E-6</v>
      </c>
      <c r="I527">
        <v>367.39080000000001</v>
      </c>
      <c r="J527">
        <v>-361.34989999999999</v>
      </c>
      <c r="K527">
        <v>1.1201449999999999</v>
      </c>
      <c r="L527">
        <v>367.28539999999998</v>
      </c>
      <c r="M527">
        <v>0.99994470000000002</v>
      </c>
      <c r="N527">
        <v>-8.9161209999999904E-3</v>
      </c>
      <c r="O527">
        <v>-5.6051850000000004E-3</v>
      </c>
      <c r="P527">
        <v>0.9972261</v>
      </c>
      <c r="Q527">
        <v>-7.1063409999999994E-2</v>
      </c>
      <c r="R527">
        <v>-2.213938E-2</v>
      </c>
      <c r="S527">
        <v>2.9934690000000002</v>
      </c>
      <c r="T527">
        <v>-0.2144306</v>
      </c>
      <c r="U527">
        <v>1.9836429999999999E-2</v>
      </c>
      <c r="V527">
        <v>1.6549359999999999E-2</v>
      </c>
      <c r="W527">
        <v>-6.21682E-2</v>
      </c>
      <c r="X527">
        <v>0.9979285</v>
      </c>
      <c r="Y527">
        <v>-1.218547E-2</v>
      </c>
      <c r="Z527">
        <v>8.4135630000000002E-4</v>
      </c>
      <c r="AA527">
        <v>0.99992539999999996</v>
      </c>
      <c r="AB527">
        <v>36</v>
      </c>
      <c r="AC527">
        <v>15.3141999999999</v>
      </c>
      <c r="AD527">
        <v>-1.1201472491990001</v>
      </c>
      <c r="AE527">
        <v>0.105400000000031</v>
      </c>
      <c r="AF527">
        <v>-0.19022300357053501</v>
      </c>
      <c r="AG527">
        <v>-1.1201472491990001</v>
      </c>
      <c r="AH527">
        <v>15.231880429582199</v>
      </c>
      <c r="AI527">
        <v>94.205614035955705</v>
      </c>
      <c r="AJ527">
        <v>90.7154998862637</v>
      </c>
      <c r="AK527">
        <v>15.2741970679988</v>
      </c>
      <c r="AL527">
        <v>93.564273814625494</v>
      </c>
      <c r="AM527">
        <v>89.049910318528802</v>
      </c>
      <c r="AN527">
        <v>1.00000002875994</v>
      </c>
    </row>
    <row r="528" spans="1:40" x14ac:dyDescent="0.25">
      <c r="A528" t="str">
        <f>"20190303154742029"</f>
        <v>20190303154742029</v>
      </c>
      <c r="B528" t="str">
        <f>"1551599262021407"</f>
        <v>1551599262021407</v>
      </c>
      <c r="C528" t="s">
        <v>40</v>
      </c>
      <c r="D528">
        <v>5.2219870000000004</v>
      </c>
      <c r="E528">
        <v>0.491952</v>
      </c>
      <c r="F528" t="s">
        <v>41</v>
      </c>
      <c r="G528">
        <v>-344.23399999999998</v>
      </c>
      <c r="H528" s="1">
        <v>-3.1125019999999999E-6</v>
      </c>
      <c r="I528">
        <v>367.3252</v>
      </c>
      <c r="J528">
        <v>-361.00790000000001</v>
      </c>
      <c r="K528">
        <v>1.120177</v>
      </c>
      <c r="L528">
        <v>367.2835</v>
      </c>
      <c r="M528">
        <v>0.99994059999999996</v>
      </c>
      <c r="N528">
        <v>-9.3502759999999994E-3</v>
      </c>
      <c r="O528">
        <v>-5.5834980000000001E-3</v>
      </c>
      <c r="P528">
        <v>0.99721630000000006</v>
      </c>
      <c r="Q528">
        <v>-7.0992169999999993E-2</v>
      </c>
      <c r="R528">
        <v>-2.278939E-2</v>
      </c>
      <c r="S528">
        <v>2.9945369999999998</v>
      </c>
      <c r="T528">
        <v>-0.1959784</v>
      </c>
      <c r="U528">
        <v>6.9580079999999999E-3</v>
      </c>
      <c r="V528">
        <v>1.7221770000000001E-2</v>
      </c>
      <c r="W528">
        <v>-6.1663540000000003E-2</v>
      </c>
      <c r="X528">
        <v>0.99794839999999996</v>
      </c>
      <c r="Y528">
        <v>-7.8792069999999992E-3</v>
      </c>
      <c r="Z528">
        <v>6.072963E-4</v>
      </c>
      <c r="AA528">
        <v>0.99996879999999999</v>
      </c>
      <c r="AB528">
        <v>36</v>
      </c>
      <c r="AC528">
        <v>16.773899999999902</v>
      </c>
      <c r="AD528">
        <v>-1.1201801125019999</v>
      </c>
      <c r="AE528">
        <v>4.1699999999991598E-2</v>
      </c>
      <c r="AF528">
        <v>-0.134759504487831</v>
      </c>
      <c r="AG528">
        <v>-1.1201801125019999</v>
      </c>
      <c r="AH528">
        <v>16.698933554209901</v>
      </c>
      <c r="AI528">
        <v>93.837580524173703</v>
      </c>
      <c r="AJ528">
        <v>90.462363852581603</v>
      </c>
      <c r="AK528">
        <v>16.737005271446002</v>
      </c>
      <c r="AL528">
        <v>93.535303461960694</v>
      </c>
      <c r="AM528">
        <v>89.011334853525796</v>
      </c>
      <c r="AN528">
        <v>0.99999999529491201</v>
      </c>
    </row>
    <row r="529" spans="1:40" x14ac:dyDescent="0.25">
      <c r="A529" t="str">
        <f>"20190303154742040"</f>
        <v>20190303154742040</v>
      </c>
      <c r="B529" t="str">
        <f>"1551599262031168"</f>
        <v>1551599262031168</v>
      </c>
      <c r="C529" t="s">
        <v>40</v>
      </c>
      <c r="D529">
        <v>5.2199559999999998</v>
      </c>
      <c r="E529">
        <v>0.49231409999999998</v>
      </c>
      <c r="F529" t="s">
        <v>41</v>
      </c>
      <c r="G529">
        <v>-342.9171</v>
      </c>
      <c r="H529" s="1">
        <v>-3.747266E-6</v>
      </c>
      <c r="I529">
        <v>367.25630000000001</v>
      </c>
      <c r="J529">
        <v>-360.82380000000001</v>
      </c>
      <c r="K529">
        <v>1.1201890000000001</v>
      </c>
      <c r="L529">
        <v>367.28250000000003</v>
      </c>
      <c r="M529">
        <v>0.99993869999999896</v>
      </c>
      <c r="N529">
        <v>-9.5700960000000002E-3</v>
      </c>
      <c r="O529">
        <v>-5.5707969999999997E-3</v>
      </c>
      <c r="P529">
        <v>0.99720039999999999</v>
      </c>
      <c r="Q529">
        <v>-7.1193489999999998E-2</v>
      </c>
      <c r="R529">
        <v>-2.2870830000000002E-2</v>
      </c>
      <c r="S529">
        <v>2.9950559999999999</v>
      </c>
      <c r="T529">
        <v>-0.1854538</v>
      </c>
      <c r="U529">
        <v>-4.5166019999999998E-3</v>
      </c>
      <c r="V529">
        <v>1.7316060000000001E-2</v>
      </c>
      <c r="W529">
        <v>-6.1645520000000002E-2</v>
      </c>
      <c r="X529">
        <v>0.9979479</v>
      </c>
      <c r="Y529">
        <v>-4.0464759999999898E-3</v>
      </c>
      <c r="Z529">
        <v>4.3588360000000002E-4</v>
      </c>
      <c r="AA529">
        <v>0.99999170000000004</v>
      </c>
      <c r="AB529">
        <v>36</v>
      </c>
      <c r="AC529">
        <v>17.906700000000001</v>
      </c>
      <c r="AD529">
        <v>-1.1201927472659901</v>
      </c>
      <c r="AE529">
        <v>-2.6200000000017099E-2</v>
      </c>
      <c r="AF529">
        <v>-7.3272819084508597E-2</v>
      </c>
      <c r="AG529">
        <v>-1.1201927472659901</v>
      </c>
      <c r="AH529">
        <v>17.836765802604301</v>
      </c>
      <c r="AI529">
        <v>93.593565982969196</v>
      </c>
      <c r="AJ529">
        <v>90.235367763288906</v>
      </c>
      <c r="AK529">
        <v>17.872056820467002</v>
      </c>
      <c r="AL529">
        <v>93.534268959292604</v>
      </c>
      <c r="AM529">
        <v>89.005922450686299</v>
      </c>
      <c r="AN529">
        <v>1.0000000135922</v>
      </c>
    </row>
    <row r="530" spans="1:40" x14ac:dyDescent="0.25">
      <c r="A530" t="str">
        <f>"20190303154742054"</f>
        <v>20190303154742054</v>
      </c>
      <c r="B530" t="str">
        <f>"1551599262040927"</f>
        <v>1551599262040927</v>
      </c>
      <c r="C530" t="s">
        <v>40</v>
      </c>
      <c r="D530">
        <v>5.2354799999999999</v>
      </c>
      <c r="E530">
        <v>0.49194959999999999</v>
      </c>
      <c r="F530" t="s">
        <v>41</v>
      </c>
      <c r="G530">
        <v>-342.46409999999997</v>
      </c>
      <c r="H530" s="1">
        <v>-3.9650619999999997E-6</v>
      </c>
      <c r="I530">
        <v>367.23559999999998</v>
      </c>
      <c r="J530">
        <v>-360.60649999999998</v>
      </c>
      <c r="K530">
        <v>1.120196</v>
      </c>
      <c r="L530">
        <v>367.28129999999999</v>
      </c>
      <c r="M530">
        <v>0.99993659999999995</v>
      </c>
      <c r="N530">
        <v>-9.800965E-3</v>
      </c>
      <c r="O530">
        <v>-5.5534089999999996E-3</v>
      </c>
      <c r="P530">
        <v>0.99716959999999999</v>
      </c>
      <c r="Q530">
        <v>-7.1630369999999999E-2</v>
      </c>
      <c r="R530">
        <v>-2.2850220000000001E-2</v>
      </c>
      <c r="S530">
        <v>2.9951780000000001</v>
      </c>
      <c r="T530">
        <v>-0.18274699999999999</v>
      </c>
      <c r="U530">
        <v>-7.6599119999999996E-3</v>
      </c>
      <c r="V530">
        <v>1.7313240000000001E-2</v>
      </c>
      <c r="W530">
        <v>-6.1852200000000003E-2</v>
      </c>
      <c r="X530">
        <v>0.99793520000000002</v>
      </c>
      <c r="Y530">
        <v>-2.9825759999999998E-3</v>
      </c>
      <c r="Z530">
        <v>3.896657E-4</v>
      </c>
      <c r="AA530">
        <v>0.99999550000000004</v>
      </c>
      <c r="AB530">
        <v>36</v>
      </c>
      <c r="AC530">
        <v>18.142399999999999</v>
      </c>
      <c r="AD530">
        <v>-1.120199965062</v>
      </c>
      <c r="AE530">
        <v>-4.5700000000010697E-2</v>
      </c>
      <c r="AF530">
        <v>-5.4848601424469401E-2</v>
      </c>
      <c r="AG530">
        <v>-1.120199965062</v>
      </c>
      <c r="AH530">
        <v>18.0734706492828</v>
      </c>
      <c r="AI530">
        <v>93.546659001494803</v>
      </c>
      <c r="AJ530">
        <v>90.173878265406202</v>
      </c>
      <c r="AK530">
        <v>18.108235630267501</v>
      </c>
      <c r="AL530">
        <v>93.546133351233706</v>
      </c>
      <c r="AM530">
        <v>89.006071661999101</v>
      </c>
      <c r="AN530">
        <v>1.00000005316158</v>
      </c>
    </row>
    <row r="531" spans="1:40" x14ac:dyDescent="0.25">
      <c r="A531" t="str">
        <f>"20190303154742066"</f>
        <v>20190303154742066</v>
      </c>
      <c r="B531" t="str">
        <f>"1551599262061424"</f>
        <v>1551599262061424</v>
      </c>
      <c r="C531" t="s">
        <v>40</v>
      </c>
      <c r="D531">
        <v>5.3602759999999998</v>
      </c>
      <c r="E531">
        <v>0.4910968</v>
      </c>
      <c r="F531" t="s">
        <v>41</v>
      </c>
      <c r="G531">
        <v>-342.76639999999998</v>
      </c>
      <c r="H531" s="1">
        <v>-3.818939E-6</v>
      </c>
      <c r="I531">
        <v>367.25380000000001</v>
      </c>
      <c r="J531">
        <v>-360.41809999999998</v>
      </c>
      <c r="K531">
        <v>1.1202019999999999</v>
      </c>
      <c r="L531">
        <v>367.28030000000001</v>
      </c>
      <c r="M531">
        <v>0.99993480000000001</v>
      </c>
      <c r="N531">
        <v>-9.9896550000000001E-3</v>
      </c>
      <c r="O531">
        <v>-5.5385879999999997E-3</v>
      </c>
      <c r="P531">
        <v>0.99714029999999998</v>
      </c>
      <c r="Q531">
        <v>-7.2085250000000003E-2</v>
      </c>
      <c r="R531">
        <v>-2.27002E-2</v>
      </c>
      <c r="S531">
        <v>2.9949340000000002</v>
      </c>
      <c r="T531">
        <v>-0.18805459999999999</v>
      </c>
      <c r="U531">
        <v>-4.6081539999999997E-3</v>
      </c>
      <c r="V531">
        <v>1.7178309999999999E-2</v>
      </c>
      <c r="W531">
        <v>-6.2119029999999999E-2</v>
      </c>
      <c r="X531">
        <v>0.9979209</v>
      </c>
      <c r="Y531">
        <v>-3.983426E-3</v>
      </c>
      <c r="Z531">
        <v>4.3700249999999998E-4</v>
      </c>
      <c r="AA531">
        <v>0.99999199999999999</v>
      </c>
      <c r="AB531">
        <v>36</v>
      </c>
      <c r="AC531">
        <v>17.651700000000002</v>
      </c>
      <c r="AD531">
        <v>-1.1202058189390001</v>
      </c>
      <c r="AE531">
        <v>-2.6499999999998601E-2</v>
      </c>
      <c r="AF531">
        <v>-7.0984892772196703E-2</v>
      </c>
      <c r="AG531">
        <v>-1.1202058189390001</v>
      </c>
      <c r="AH531">
        <v>17.580771726438599</v>
      </c>
      <c r="AI531">
        <v>93.645795343954703</v>
      </c>
      <c r="AJ531">
        <v>90.231338687911901</v>
      </c>
      <c r="AK531">
        <v>17.6165670443742</v>
      </c>
      <c r="AL531">
        <v>93.561451244406101</v>
      </c>
      <c r="AM531">
        <v>89.013802135413897</v>
      </c>
      <c r="AN531">
        <v>0.99999999543970297</v>
      </c>
    </row>
    <row r="532" spans="1:40" x14ac:dyDescent="0.25">
      <c r="A532" t="str">
        <f>"20190303154742078"</f>
        <v>20190303154742078</v>
      </c>
      <c r="B532" t="str">
        <f>"1551599262071184"</f>
        <v>1551599262071184</v>
      </c>
      <c r="C532" t="s">
        <v>40</v>
      </c>
      <c r="D532">
        <v>5.2667999999999999</v>
      </c>
      <c r="E532">
        <v>0.490954</v>
      </c>
      <c r="F532" t="s">
        <v>41</v>
      </c>
      <c r="G532">
        <v>-343.30149999999998</v>
      </c>
      <c r="H532" s="1">
        <v>-3.5586589999999998E-6</v>
      </c>
      <c r="I532">
        <v>367.2953</v>
      </c>
      <c r="J532">
        <v>-360.21469999999999</v>
      </c>
      <c r="K532">
        <v>1.1202049999999999</v>
      </c>
      <c r="L532">
        <v>367.2792</v>
      </c>
      <c r="M532">
        <v>0.99993299999999996</v>
      </c>
      <c r="N532">
        <v>-1.017818E-2</v>
      </c>
      <c r="O532">
        <v>-5.5229579999999997E-3</v>
      </c>
      <c r="P532">
        <v>0.99711470000000002</v>
      </c>
      <c r="Q532">
        <v>-7.2550089999999998E-2</v>
      </c>
      <c r="R532">
        <v>-2.2336439999999999E-2</v>
      </c>
      <c r="S532">
        <v>2.994507</v>
      </c>
      <c r="T532">
        <v>-0.1959766</v>
      </c>
      <c r="U532">
        <v>2.6245119999999999E-3</v>
      </c>
      <c r="V532">
        <v>1.6830479999999998E-2</v>
      </c>
      <c r="W532">
        <v>-6.239596E-2</v>
      </c>
      <c r="X532">
        <v>0.9979095</v>
      </c>
      <c r="Y532">
        <v>-6.3754800000000002E-3</v>
      </c>
      <c r="Z532">
        <v>5.4578629999999905E-4</v>
      </c>
      <c r="AA532">
        <v>0.99997959999999997</v>
      </c>
      <c r="AB532">
        <v>36</v>
      </c>
      <c r="AC532">
        <v>16.9132</v>
      </c>
      <c r="AD532">
        <v>-1.1202085586589901</v>
      </c>
      <c r="AE532">
        <v>1.60999999999944E-2</v>
      </c>
      <c r="AF532">
        <v>-0.10903715972207</v>
      </c>
      <c r="AG532">
        <v>-1.1202085586589901</v>
      </c>
      <c r="AH532">
        <v>16.8389841833941</v>
      </c>
      <c r="AI532">
        <v>93.805897740198304</v>
      </c>
      <c r="AJ532">
        <v>90.3710011055569</v>
      </c>
      <c r="AK532">
        <v>16.876556065906598</v>
      </c>
      <c r="AL532">
        <v>93.577349183244195</v>
      </c>
      <c r="AM532">
        <v>89.033756014345599</v>
      </c>
      <c r="AN532">
        <v>0.99999994553579896</v>
      </c>
    </row>
    <row r="533" spans="1:40" x14ac:dyDescent="0.25">
      <c r="A533" t="str">
        <f>"20190303154742097"</f>
        <v>20190303154742097</v>
      </c>
      <c r="B533" t="str">
        <f>"1551599262091679"</f>
        <v>1551599262091679</v>
      </c>
      <c r="C533" t="s">
        <v>40</v>
      </c>
      <c r="D533">
        <v>5.2984099999999996</v>
      </c>
      <c r="E533">
        <v>0.49074200000000001</v>
      </c>
      <c r="F533" t="s">
        <v>41</v>
      </c>
      <c r="G533">
        <v>-343.33260000000001</v>
      </c>
      <c r="H533" s="1">
        <v>-3.5418889999999998E-6</v>
      </c>
      <c r="I533">
        <v>367.30669999999998</v>
      </c>
      <c r="J533">
        <v>-359.91919999999999</v>
      </c>
      <c r="K533">
        <v>1.1202049999999999</v>
      </c>
      <c r="L533">
        <v>367.27760000000001</v>
      </c>
      <c r="M533">
        <v>0.99993069999999895</v>
      </c>
      <c r="N533">
        <v>-1.042119E-2</v>
      </c>
      <c r="O533">
        <v>-5.4997730000000003E-3</v>
      </c>
      <c r="P533">
        <v>0.99706300000000003</v>
      </c>
      <c r="Q533">
        <v>-7.3523409999999997E-2</v>
      </c>
      <c r="R533">
        <v>-2.145066E-2</v>
      </c>
      <c r="S533">
        <v>2.9942929999999999</v>
      </c>
      <c r="T533">
        <v>-0.1986858</v>
      </c>
      <c r="U533">
        <v>4.8828129999999997E-3</v>
      </c>
      <c r="V533">
        <v>1.5968010000000001E-2</v>
      </c>
      <c r="W533">
        <v>-6.3127370000000002E-2</v>
      </c>
      <c r="X533">
        <v>0.99787769999999998</v>
      </c>
      <c r="Y533">
        <v>-7.1040679999999998E-3</v>
      </c>
      <c r="Z533">
        <v>5.7977150000000004E-4</v>
      </c>
      <c r="AA533">
        <v>0.99997460000000005</v>
      </c>
      <c r="AB533">
        <v>36</v>
      </c>
      <c r="AC533">
        <v>16.586599999999901</v>
      </c>
      <c r="AD533">
        <v>-1.120208541889</v>
      </c>
      <c r="AE533">
        <v>2.9099999999971201E-2</v>
      </c>
      <c r="AF533">
        <v>-0.119780690056979</v>
      </c>
      <c r="AG533">
        <v>-1.120208541889</v>
      </c>
      <c r="AH533">
        <v>16.5108792002946</v>
      </c>
      <c r="AI533">
        <v>93.881279040745298</v>
      </c>
      <c r="AJ533">
        <v>90.415653674730706</v>
      </c>
      <c r="AK533">
        <v>16.549270272666199</v>
      </c>
      <c r="AL533">
        <v>93.619338572878107</v>
      </c>
      <c r="AM533">
        <v>89.083232843512306</v>
      </c>
      <c r="AN533">
        <v>0.99999997317188305</v>
      </c>
    </row>
    <row r="534" spans="1:40" x14ac:dyDescent="0.25">
      <c r="A534" t="str">
        <f>"20190303154742109"</f>
        <v>20190303154742109</v>
      </c>
      <c r="B534" t="str">
        <f>"1551599262101112"</f>
        <v>1551599262101112</v>
      </c>
      <c r="C534" t="s">
        <v>40</v>
      </c>
      <c r="D534">
        <v>5.3060679999999998</v>
      </c>
      <c r="E534">
        <v>0.49070330000000001</v>
      </c>
      <c r="F534" t="s">
        <v>41</v>
      </c>
      <c r="G534">
        <v>-343.44369999999998</v>
      </c>
      <c r="H534" s="1">
        <v>-3.485626E-6</v>
      </c>
      <c r="I534">
        <v>367.3279</v>
      </c>
      <c r="J534">
        <v>-359.71469999999999</v>
      </c>
      <c r="K534">
        <v>1.120206</v>
      </c>
      <c r="L534">
        <v>367.2765</v>
      </c>
      <c r="M534">
        <v>0.99992919999999996</v>
      </c>
      <c r="N534">
        <v>-1.0572460000000001E-2</v>
      </c>
      <c r="O534">
        <v>-5.4825610000000004E-3</v>
      </c>
      <c r="P534">
        <v>0.99703759999999997</v>
      </c>
      <c r="Q534">
        <v>-7.3978420000000003E-2</v>
      </c>
      <c r="R534">
        <v>-2.106367E-2</v>
      </c>
      <c r="S534">
        <v>2.9939879999999999</v>
      </c>
      <c r="T534">
        <v>-0.2035679</v>
      </c>
      <c r="U534">
        <v>9.1552730000000002E-3</v>
      </c>
      <c r="V534">
        <v>1.55982E-2</v>
      </c>
      <c r="W534">
        <v>-6.3431719999999997E-2</v>
      </c>
      <c r="X534">
        <v>0.99786430000000004</v>
      </c>
      <c r="Y534">
        <v>-8.5089320000000003E-3</v>
      </c>
      <c r="Z534">
        <v>6.4840850000000001E-4</v>
      </c>
      <c r="AA534">
        <v>0.99996359999999995</v>
      </c>
      <c r="AB534">
        <v>36</v>
      </c>
      <c r="AC534">
        <v>16.271000000000001</v>
      </c>
      <c r="AD534">
        <v>-1.1202094856260001</v>
      </c>
      <c r="AE534">
        <v>5.1400000000000903E-2</v>
      </c>
      <c r="AF534">
        <v>-0.13994762039501901</v>
      </c>
      <c r="AG534">
        <v>-1.1202094856260001</v>
      </c>
      <c r="AH534">
        <v>16.193717629256401</v>
      </c>
      <c r="AI534">
        <v>93.957016357686697</v>
      </c>
      <c r="AJ534">
        <v>90.495143152035894</v>
      </c>
      <c r="AK534">
        <v>16.233020214495902</v>
      </c>
      <c r="AL534">
        <v>93.636811377163795</v>
      </c>
      <c r="AM534">
        <v>89.104449125025099</v>
      </c>
      <c r="AN534">
        <v>1.00000002407994</v>
      </c>
    </row>
    <row r="535" spans="1:40" x14ac:dyDescent="0.25">
      <c r="A535" t="str">
        <f>"20190303154742130"</f>
        <v>20190303154742130</v>
      </c>
      <c r="B535" t="str">
        <f>"1551599262121607"</f>
        <v>1551599262121607</v>
      </c>
      <c r="C535" t="s">
        <v>40</v>
      </c>
      <c r="D535">
        <v>5.25319</v>
      </c>
      <c r="E535">
        <v>0.49049009999999998</v>
      </c>
      <c r="F535" t="s">
        <v>41</v>
      </c>
      <c r="G535">
        <v>-343.38130000000001</v>
      </c>
      <c r="H535" s="1">
        <v>-3.5138480000000002E-6</v>
      </c>
      <c r="I535">
        <v>367.33510000000001</v>
      </c>
      <c r="J535">
        <v>-359.38639999999998</v>
      </c>
      <c r="K535">
        <v>1.1202080000000001</v>
      </c>
      <c r="L535">
        <v>367.2747</v>
      </c>
      <c r="M535">
        <v>0.99992689999999995</v>
      </c>
      <c r="N535">
        <v>-1.0792889999999999E-2</v>
      </c>
      <c r="O535">
        <v>-5.4520000000000002E-3</v>
      </c>
      <c r="P535">
        <v>0.99699879999999996</v>
      </c>
      <c r="Q535">
        <v>-7.4679419999999996E-2</v>
      </c>
      <c r="R535">
        <v>-2.040544E-2</v>
      </c>
      <c r="S535">
        <v>2.9939269999999998</v>
      </c>
      <c r="T535">
        <v>-0.20533560000000001</v>
      </c>
      <c r="U535">
        <v>1.074219E-2</v>
      </c>
      <c r="V535">
        <v>1.4971E-2</v>
      </c>
      <c r="W535">
        <v>-6.3913129999999999E-2</v>
      </c>
      <c r="X535">
        <v>0.99784309999999998</v>
      </c>
      <c r="Y535">
        <v>-9.0066109999999994E-3</v>
      </c>
      <c r="Z535">
        <v>6.7185649999999895E-4</v>
      </c>
      <c r="AA535">
        <v>0.99995919999999905</v>
      </c>
      <c r="AB535">
        <v>36</v>
      </c>
      <c r="AC535">
        <v>16.005099999999899</v>
      </c>
      <c r="AD535">
        <v>-1.120211513848</v>
      </c>
      <c r="AE535">
        <v>6.0400000000015497E-2</v>
      </c>
      <c r="AF535">
        <v>-0.14694416030358401</v>
      </c>
      <c r="AG535">
        <v>-1.120211513848</v>
      </c>
      <c r="AH535">
        <v>15.926514238389901</v>
      </c>
      <c r="AI535">
        <v>94.0231743941019</v>
      </c>
      <c r="AJ535">
        <v>90.528617950874704</v>
      </c>
      <c r="AK535">
        <v>15.9665375773096</v>
      </c>
      <c r="AL535">
        <v>93.664450545867098</v>
      </c>
      <c r="AM535">
        <v>89.140435242958304</v>
      </c>
      <c r="AN535">
        <v>0.999999935622501</v>
      </c>
    </row>
    <row r="536" spans="1:40" x14ac:dyDescent="0.25">
      <c r="A536" t="str">
        <f>"20190303154742142"</f>
        <v>20190303154742142</v>
      </c>
      <c r="B536" t="str">
        <f>"1551599262131367"</f>
        <v>1551599262131367</v>
      </c>
      <c r="C536" t="s">
        <v>40</v>
      </c>
      <c r="D536">
        <v>5.2624510000000004</v>
      </c>
      <c r="E536">
        <v>0.49043750000000003</v>
      </c>
      <c r="F536" t="s">
        <v>41</v>
      </c>
      <c r="G536">
        <v>-343.37090000000001</v>
      </c>
      <c r="H536" s="1">
        <v>-3.5157940000000001E-6</v>
      </c>
      <c r="I536">
        <v>367.35180000000003</v>
      </c>
      <c r="J536">
        <v>-359.18970000000002</v>
      </c>
      <c r="K536">
        <v>1.1202099999999999</v>
      </c>
      <c r="L536">
        <v>367.27359999999999</v>
      </c>
      <c r="M536">
        <v>0.99992559999999997</v>
      </c>
      <c r="N536">
        <v>-1.091436E-2</v>
      </c>
      <c r="O536">
        <v>-5.4312859999999996E-3</v>
      </c>
      <c r="P536">
        <v>0.99697820000000004</v>
      </c>
      <c r="Q536">
        <v>-7.4972269999999994E-2</v>
      </c>
      <c r="R536">
        <v>-2.0341040000000001E-2</v>
      </c>
      <c r="S536">
        <v>2.9936219999999998</v>
      </c>
      <c r="T536">
        <v>-0.2093904</v>
      </c>
      <c r="U536">
        <v>1.44043E-2</v>
      </c>
      <c r="V536">
        <v>1.49275E-2</v>
      </c>
      <c r="W536">
        <v>-6.4084870000000002E-2</v>
      </c>
      <c r="X536">
        <v>0.99783279999999996</v>
      </c>
      <c r="Y536">
        <v>-1.0204799999999899E-2</v>
      </c>
      <c r="Z536">
        <v>7.3243119999999895E-4</v>
      </c>
      <c r="AA536">
        <v>0.99994769999999999</v>
      </c>
      <c r="AB536">
        <v>36</v>
      </c>
      <c r="AC536">
        <v>15.8188</v>
      </c>
      <c r="AD536">
        <v>-1.1202135157940001</v>
      </c>
      <c r="AE536">
        <v>7.8200000000038003E-2</v>
      </c>
      <c r="AF536">
        <v>-0.16330149254526599</v>
      </c>
      <c r="AG536">
        <v>-1.1202135157940001</v>
      </c>
      <c r="AH536">
        <v>15.7392146465872</v>
      </c>
      <c r="AI536">
        <v>94.070852461871596</v>
      </c>
      <c r="AJ536">
        <v>90.594448376285698</v>
      </c>
      <c r="AK536">
        <v>15.7798739979057</v>
      </c>
      <c r="AL536">
        <v>93.674310505043294</v>
      </c>
      <c r="AM536">
        <v>89.142923590634396</v>
      </c>
      <c r="AN536">
        <v>0.99999999878750301</v>
      </c>
    </row>
    <row r="537" spans="1:40" x14ac:dyDescent="0.25">
      <c r="A537" t="str">
        <f>"20190303154742153"</f>
        <v>20190303154742153</v>
      </c>
      <c r="B537" t="str">
        <f>"1551599262150888"</f>
        <v>1551599262150888</v>
      </c>
      <c r="C537" t="s">
        <v>40</v>
      </c>
      <c r="D537">
        <v>5.2809410000000003</v>
      </c>
      <c r="E537">
        <v>0.4903729</v>
      </c>
      <c r="F537" t="s">
        <v>41</v>
      </c>
      <c r="G537">
        <v>-343.3098</v>
      </c>
      <c r="H537" s="1">
        <v>-3.5441760000000001E-6</v>
      </c>
      <c r="I537">
        <v>367.3546</v>
      </c>
      <c r="J537">
        <v>-358.99430000000001</v>
      </c>
      <c r="K537">
        <v>1.12022</v>
      </c>
      <c r="L537">
        <v>367.27260000000001</v>
      </c>
      <c r="M537">
        <v>0.9999247</v>
      </c>
      <c r="N537">
        <v>-1.102415E-2</v>
      </c>
      <c r="O537">
        <v>-5.4066740000000002E-3</v>
      </c>
      <c r="P537">
        <v>0.99695339999999999</v>
      </c>
      <c r="Q537">
        <v>-7.5302850000000005E-2</v>
      </c>
      <c r="R537">
        <v>-2.0342220000000001E-2</v>
      </c>
      <c r="S537">
        <v>2.9935299999999998</v>
      </c>
      <c r="T537">
        <v>-0.2111731</v>
      </c>
      <c r="U537">
        <v>1.525879E-2</v>
      </c>
      <c r="V537">
        <v>1.4954149999999999E-2</v>
      </c>
      <c r="W537">
        <v>-6.4306009999999997E-2</v>
      </c>
      <c r="X537">
        <v>0.99781819999999999</v>
      </c>
      <c r="Y537">
        <v>-1.04644E-2</v>
      </c>
      <c r="Z537">
        <v>7.4778589999999895E-4</v>
      </c>
      <c r="AA537">
        <v>0.99994499999999997</v>
      </c>
      <c r="AB537">
        <v>36</v>
      </c>
      <c r="AC537">
        <v>15.6845</v>
      </c>
      <c r="AD537">
        <v>-1.120223544176</v>
      </c>
      <c r="AE537">
        <v>8.1999999999993606E-2</v>
      </c>
      <c r="AF537">
        <v>-0.165958370678251</v>
      </c>
      <c r="AG537">
        <v>-1.120223544176</v>
      </c>
      <c r="AH537">
        <v>15.604230019179999</v>
      </c>
      <c r="AI537">
        <v>94.105972961184605</v>
      </c>
      <c r="AJ537">
        <v>90.6093447550261</v>
      </c>
      <c r="AK537">
        <v>15.645268852314601</v>
      </c>
      <c r="AL537">
        <v>93.6870069860543</v>
      </c>
      <c r="AM537">
        <v>89.141381123576906</v>
      </c>
      <c r="AN537">
        <v>1.0000000248877901</v>
      </c>
    </row>
    <row r="538" spans="1:40" x14ac:dyDescent="0.25">
      <c r="A538" t="str">
        <f>"20190303154742166"</f>
        <v>20190303154742166</v>
      </c>
      <c r="B538" t="str">
        <f>"1551599262161623"</f>
        <v>1551599262161623</v>
      </c>
      <c r="C538" t="s">
        <v>40</v>
      </c>
      <c r="D538">
        <v>5.2891899999999996</v>
      </c>
      <c r="E538">
        <v>0.49033860000000001</v>
      </c>
      <c r="F538" t="s">
        <v>41</v>
      </c>
      <c r="G538">
        <v>-343.32569999999998</v>
      </c>
      <c r="H538" s="1">
        <v>-3.5366289999999999E-6</v>
      </c>
      <c r="I538">
        <v>367.35469999999998</v>
      </c>
      <c r="J538">
        <v>-358.79939999999999</v>
      </c>
      <c r="K538">
        <v>1.1202289999999999</v>
      </c>
      <c r="L538">
        <v>367.2715</v>
      </c>
      <c r="M538">
        <v>0.99992380000000003</v>
      </c>
      <c r="N538">
        <v>-1.1129500000000001E-2</v>
      </c>
      <c r="O538">
        <v>-5.3773709999999997E-3</v>
      </c>
      <c r="P538">
        <v>0.99694649999999996</v>
      </c>
      <c r="Q538">
        <v>-7.5406029999999999E-2</v>
      </c>
      <c r="R538">
        <v>-2.030583E-2</v>
      </c>
      <c r="S538">
        <v>2.9932560000000001</v>
      </c>
      <c r="T538">
        <v>-0.21400340000000001</v>
      </c>
      <c r="U538">
        <v>1.5686039999999998E-2</v>
      </c>
      <c r="V538">
        <v>1.4947729999999999E-2</v>
      </c>
      <c r="W538">
        <v>-6.4303899999999997E-2</v>
      </c>
      <c r="X538">
        <v>0.99781839999999999</v>
      </c>
      <c r="Y538">
        <v>-1.057695E-2</v>
      </c>
      <c r="Z538">
        <v>7.6074210000000005E-4</v>
      </c>
      <c r="AA538">
        <v>0.99994380000000005</v>
      </c>
      <c r="AB538">
        <v>36</v>
      </c>
      <c r="AC538">
        <v>15.473699999999999</v>
      </c>
      <c r="AD538">
        <v>-1.120232536629</v>
      </c>
      <c r="AE538">
        <v>8.3199999999976598E-2</v>
      </c>
      <c r="AF538">
        <v>-0.16554414077427301</v>
      </c>
      <c r="AG538">
        <v>-1.120232536629</v>
      </c>
      <c r="AH538">
        <v>15.392357239620299</v>
      </c>
      <c r="AI538">
        <v>94.162321574745107</v>
      </c>
      <c r="AJ538">
        <v>90.616189889619903</v>
      </c>
      <c r="AK538">
        <v>15.4339556559801</v>
      </c>
      <c r="AL538">
        <v>93.686885959758996</v>
      </c>
      <c r="AM538">
        <v>89.1417498560415</v>
      </c>
      <c r="AN538">
        <v>0.99999999278296103</v>
      </c>
    </row>
    <row r="539" spans="1:40" x14ac:dyDescent="0.25">
      <c r="A539" t="str">
        <f>"20190303154742178"</f>
        <v>20190303154742178</v>
      </c>
      <c r="B539" t="str">
        <f>"1551599262171384"</f>
        <v>1551599262171384</v>
      </c>
      <c r="C539" t="s">
        <v>40</v>
      </c>
      <c r="D539">
        <v>5.3084699999999998</v>
      </c>
      <c r="E539">
        <v>0.49033870000000002</v>
      </c>
      <c r="F539" t="s">
        <v>41</v>
      </c>
      <c r="G539">
        <v>-343.18540000000002</v>
      </c>
      <c r="H539" s="1">
        <v>-3.6029190000000002E-6</v>
      </c>
      <c r="I539">
        <v>367.35509999999999</v>
      </c>
      <c r="J539">
        <v>-358.60890000000001</v>
      </c>
      <c r="K539">
        <v>1.120242</v>
      </c>
      <c r="L539">
        <v>367.2706</v>
      </c>
      <c r="M539">
        <v>0.99992270000000005</v>
      </c>
      <c r="N539">
        <v>-1.122802E-2</v>
      </c>
      <c r="O539">
        <v>-5.3437210000000001E-3</v>
      </c>
      <c r="P539">
        <v>0.99691300000000005</v>
      </c>
      <c r="Q539">
        <v>-7.5782909999999995E-2</v>
      </c>
      <c r="R539">
        <v>-2.0528290000000001E-2</v>
      </c>
      <c r="S539">
        <v>2.9933169999999998</v>
      </c>
      <c r="T539">
        <v>-0.21475649999999999</v>
      </c>
      <c r="U539">
        <v>1.6021730000000001E-2</v>
      </c>
      <c r="V539">
        <v>1.5205339999999999E-2</v>
      </c>
      <c r="W539">
        <v>-6.4582559999999997E-2</v>
      </c>
      <c r="X539">
        <v>0.99779649999999998</v>
      </c>
      <c r="Y539">
        <v>-1.065487E-2</v>
      </c>
      <c r="Z539">
        <v>7.6458929999999997E-4</v>
      </c>
      <c r="AA539">
        <v>0.99994300000000003</v>
      </c>
      <c r="AB539">
        <v>36</v>
      </c>
      <c r="AC539">
        <v>15.423499999999899</v>
      </c>
      <c r="AD539">
        <v>-1.120245602919</v>
      </c>
      <c r="AE539">
        <v>8.4499999999991304E-2</v>
      </c>
      <c r="AF539">
        <v>-0.166046920521493</v>
      </c>
      <c r="AG539">
        <v>-1.120245602919</v>
      </c>
      <c r="AH539">
        <v>15.3418950085848</v>
      </c>
      <c r="AI539">
        <v>94.176009316193202</v>
      </c>
      <c r="AJ539">
        <v>90.6200939510707</v>
      </c>
      <c r="AK539">
        <v>15.3836362491159</v>
      </c>
      <c r="AL539">
        <v>93.702885296832505</v>
      </c>
      <c r="AM539">
        <v>89.126941837060102</v>
      </c>
      <c r="AN539">
        <v>0.99999998241645904</v>
      </c>
    </row>
    <row r="540" spans="1:40" x14ac:dyDescent="0.25">
      <c r="A540" t="str">
        <f>"20190303154742192"</f>
        <v>20190303154742192</v>
      </c>
      <c r="B540" t="str">
        <f>"1551599262181143"</f>
        <v>1551599262181143</v>
      </c>
      <c r="C540" t="s">
        <v>40</v>
      </c>
      <c r="D540">
        <v>5.2342389999999996</v>
      </c>
      <c r="E540">
        <v>0.4905447</v>
      </c>
      <c r="F540" t="s">
        <v>41</v>
      </c>
      <c r="G540">
        <v>-343.11709999999999</v>
      </c>
      <c r="H540" s="1">
        <v>-3.6362699999999998E-6</v>
      </c>
      <c r="I540">
        <v>367.34890000000001</v>
      </c>
      <c r="J540">
        <v>-358.37479999999999</v>
      </c>
      <c r="K540">
        <v>1.1202559999999999</v>
      </c>
      <c r="L540">
        <v>367.26929999999999</v>
      </c>
      <c r="M540">
        <v>0.99992190000000003</v>
      </c>
      <c r="N540">
        <v>-1.1345030000000001E-2</v>
      </c>
      <c r="O540">
        <v>-5.2925979999999999E-3</v>
      </c>
      <c r="P540">
        <v>0.99688299999999996</v>
      </c>
      <c r="Q540">
        <v>-7.6077240000000004E-2</v>
      </c>
      <c r="R540">
        <v>-2.0907990000000001E-2</v>
      </c>
      <c r="S540">
        <v>2.9931950000000001</v>
      </c>
      <c r="T540">
        <v>-0.216445</v>
      </c>
      <c r="U540">
        <v>1.5136719999999999E-2</v>
      </c>
      <c r="V540">
        <v>1.563786E-2</v>
      </c>
      <c r="W540">
        <v>-6.4759919999999999E-2</v>
      </c>
      <c r="X540">
        <v>0.99777839999999995</v>
      </c>
      <c r="Y540">
        <v>-1.03088E-2</v>
      </c>
      <c r="Z540">
        <v>7.5304449999999998E-4</v>
      </c>
      <c r="AA540">
        <v>0.99994660000000002</v>
      </c>
      <c r="AB540">
        <v>36</v>
      </c>
      <c r="AC540">
        <v>15.2577</v>
      </c>
      <c r="AD540">
        <v>-1.1202596362699999</v>
      </c>
      <c r="AE540">
        <v>7.9600000000027593E-2</v>
      </c>
      <c r="AF540">
        <v>-0.15949712791272999</v>
      </c>
      <c r="AG540">
        <v>-1.1202596362699999</v>
      </c>
      <c r="AH540">
        <v>15.1752592631124</v>
      </c>
      <c r="AI540">
        <v>94.221766865910894</v>
      </c>
      <c r="AJ540">
        <v>90.602175925672796</v>
      </c>
      <c r="AK540">
        <v>15.2173885633885</v>
      </c>
      <c r="AL540">
        <v>93.713068295411702</v>
      </c>
      <c r="AM540">
        <v>89.102095186222499</v>
      </c>
      <c r="AN540">
        <v>1.0000000627051699</v>
      </c>
    </row>
    <row r="541" spans="1:40" x14ac:dyDescent="0.25">
      <c r="A541" t="str">
        <f>"20190303154742210"</f>
        <v>20190303154742210</v>
      </c>
      <c r="B541" t="str">
        <f>"1551599262201639"</f>
        <v>1551599262201639</v>
      </c>
      <c r="C541" t="s">
        <v>40</v>
      </c>
      <c r="D541">
        <v>5.2664410000000004</v>
      </c>
      <c r="E541">
        <v>0.49070989999999998</v>
      </c>
      <c r="F541" t="s">
        <v>41</v>
      </c>
      <c r="G541">
        <v>-342.7894</v>
      </c>
      <c r="H541" s="1">
        <v>-3.793823E-6</v>
      </c>
      <c r="I541">
        <v>367.33409999999998</v>
      </c>
      <c r="J541">
        <v>-358.0976</v>
      </c>
      <c r="K541">
        <v>1.1202840000000001</v>
      </c>
      <c r="L541">
        <v>367.2679</v>
      </c>
      <c r="M541">
        <v>0.99992040000000004</v>
      </c>
      <c r="N541">
        <v>-1.1489310000000001E-2</v>
      </c>
      <c r="O541">
        <v>-5.2218880000000001E-3</v>
      </c>
      <c r="P541">
        <v>0.99678770000000005</v>
      </c>
      <c r="Q541">
        <v>-7.7032310000000007E-2</v>
      </c>
      <c r="R541">
        <v>-2.1916689999999999E-2</v>
      </c>
      <c r="S541">
        <v>2.9932249999999998</v>
      </c>
      <c r="T541">
        <v>-0.21514920000000001</v>
      </c>
      <c r="U541">
        <v>1.2451169999999999E-2</v>
      </c>
      <c r="V541">
        <v>1.6720559999999999E-2</v>
      </c>
      <c r="W541">
        <v>-6.5571210000000005E-2</v>
      </c>
      <c r="X541">
        <v>0.99770780000000003</v>
      </c>
      <c r="Y541">
        <v>-9.3443980000000003E-3</v>
      </c>
      <c r="Z541">
        <v>7.0408449999999996E-4</v>
      </c>
      <c r="AA541">
        <v>0.99995610000000001</v>
      </c>
      <c r="AB541">
        <v>36</v>
      </c>
      <c r="AC541">
        <v>15.308199999999999</v>
      </c>
      <c r="AD541">
        <v>-1.120287793823</v>
      </c>
      <c r="AE541">
        <v>6.6199999999980705E-2</v>
      </c>
      <c r="AF541">
        <v>-0.145363576947206</v>
      </c>
      <c r="AG541">
        <v>-1.120287793823</v>
      </c>
      <c r="AH541">
        <v>15.226101631916199</v>
      </c>
      <c r="AI541">
        <v>94.207866314895</v>
      </c>
      <c r="AJ541">
        <v>90.546986131333398</v>
      </c>
      <c r="AK541">
        <v>15.267951605108401</v>
      </c>
      <c r="AL541">
        <v>93.759651007516695</v>
      </c>
      <c r="AM541">
        <v>89.039871349535602</v>
      </c>
      <c r="AN541">
        <v>1.0000000074441999</v>
      </c>
    </row>
    <row r="542" spans="1:40" x14ac:dyDescent="0.25">
      <c r="A542" t="str">
        <f>"20190303154742230"</f>
        <v>20190303154742230</v>
      </c>
      <c r="B542" t="str">
        <f>"1551599262221160"</f>
        <v>1551599262221160</v>
      </c>
      <c r="C542" t="s">
        <v>40</v>
      </c>
      <c r="D542">
        <v>5.2300170000000001</v>
      </c>
      <c r="E542">
        <v>0.49099700000000002</v>
      </c>
      <c r="F542" t="s">
        <v>41</v>
      </c>
      <c r="G542">
        <v>-342.61610000000002</v>
      </c>
      <c r="H542" s="1">
        <v>-3.8799860000000002E-6</v>
      </c>
      <c r="I542">
        <v>367.31</v>
      </c>
      <c r="J542">
        <v>-357.77069999999998</v>
      </c>
      <c r="K542">
        <v>1.1203259999999999</v>
      </c>
      <c r="L542">
        <v>367.2663</v>
      </c>
      <c r="M542">
        <v>0.99991870000000005</v>
      </c>
      <c r="N542">
        <v>-1.1679109999999999E-2</v>
      </c>
      <c r="O542">
        <v>-5.1159530000000003E-3</v>
      </c>
      <c r="P542">
        <v>0.99664799999999998</v>
      </c>
      <c r="Q542">
        <v>-7.8561899999999907E-2</v>
      </c>
      <c r="R542">
        <v>-2.2827529999999999E-2</v>
      </c>
      <c r="S542">
        <v>2.9931030000000001</v>
      </c>
      <c r="T542">
        <v>-0.21659100000000001</v>
      </c>
      <c r="U542">
        <v>8.1481929999999998E-3</v>
      </c>
      <c r="V542">
        <v>1.7741489999999999E-2</v>
      </c>
      <c r="W542">
        <v>-6.6911760000000001E-2</v>
      </c>
      <c r="X542">
        <v>0.99760119999999997</v>
      </c>
      <c r="Y542">
        <v>-7.8054409999999998E-3</v>
      </c>
      <c r="Z542">
        <v>6.3773239999999896E-4</v>
      </c>
      <c r="AA542">
        <v>0.99996940000000001</v>
      </c>
      <c r="AB542">
        <v>36</v>
      </c>
      <c r="AC542">
        <v>15.154599999999901</v>
      </c>
      <c r="AD542">
        <v>-1.120329879986</v>
      </c>
      <c r="AE542">
        <v>4.3700000000001099E-2</v>
      </c>
      <c r="AF542">
        <v>-0.120575976738311</v>
      </c>
      <c r="AG542">
        <v>-1.120329879986</v>
      </c>
      <c r="AH542">
        <v>15.071808906239101</v>
      </c>
      <c r="AI542">
        <v>94.251002457023603</v>
      </c>
      <c r="AJ542">
        <v>90.458362180777996</v>
      </c>
      <c r="AK542">
        <v>15.113871155741201</v>
      </c>
      <c r="AL542">
        <v>93.836627780240207</v>
      </c>
      <c r="AM542">
        <v>88.981150630701094</v>
      </c>
      <c r="AN542">
        <v>1.00000004916757</v>
      </c>
    </row>
    <row r="543" spans="1:40" x14ac:dyDescent="0.25">
      <c r="A543" t="str">
        <f>"20190303154742243"</f>
        <v>20190303154742243</v>
      </c>
      <c r="B543" t="str">
        <f>"1551599262241657"</f>
        <v>1551599262241657</v>
      </c>
      <c r="C543" t="s">
        <v>40</v>
      </c>
      <c r="D543">
        <v>5.2397629999999999</v>
      </c>
      <c r="E543">
        <v>0.49082999999999999</v>
      </c>
      <c r="F543" t="s">
        <v>41</v>
      </c>
      <c r="G543">
        <v>-342.37580000000003</v>
      </c>
      <c r="H543" s="1">
        <v>-3.998564E-6</v>
      </c>
      <c r="I543">
        <v>367.28219999999999</v>
      </c>
      <c r="J543">
        <v>-357.56189999999998</v>
      </c>
      <c r="K543">
        <v>1.120358</v>
      </c>
      <c r="L543">
        <v>367.26530000000002</v>
      </c>
      <c r="M543">
        <v>0.99991770000000002</v>
      </c>
      <c r="N543">
        <v>-1.1813890000000001E-2</v>
      </c>
      <c r="O543">
        <v>-5.0325889999999996E-3</v>
      </c>
      <c r="P543">
        <v>0.99657790000000002</v>
      </c>
      <c r="Q543">
        <v>-7.9375210000000002E-2</v>
      </c>
      <c r="R543">
        <v>-2.3081290000000001E-2</v>
      </c>
      <c r="S543">
        <v>2.99295</v>
      </c>
      <c r="T543">
        <v>-0.21780540000000001</v>
      </c>
      <c r="U543">
        <v>3.0822750000000002E-3</v>
      </c>
      <c r="V543">
        <v>1.8081469999999999E-2</v>
      </c>
      <c r="W543">
        <v>-6.7590629999999999E-2</v>
      </c>
      <c r="X543">
        <v>0.99754929999999997</v>
      </c>
      <c r="Y543">
        <v>-6.0348750000000003E-3</v>
      </c>
      <c r="Z543">
        <v>5.6136109999999995E-4</v>
      </c>
      <c r="AA543">
        <v>0.99998160000000003</v>
      </c>
      <c r="AB543">
        <v>36</v>
      </c>
      <c r="AC543">
        <v>15.1860999999999</v>
      </c>
      <c r="AD543">
        <v>-1.1203619985640001</v>
      </c>
      <c r="AE543">
        <v>1.68999999999641E-2</v>
      </c>
      <c r="AF543">
        <v>-9.2825277117705093E-2</v>
      </c>
      <c r="AG543">
        <v>-1.1203619985640001</v>
      </c>
      <c r="AH543">
        <v>15.1036163943727</v>
      </c>
      <c r="AI543">
        <v>94.242259366946698</v>
      </c>
      <c r="AJ543">
        <v>90.352129550308206</v>
      </c>
      <c r="AK543">
        <v>15.1453971796141</v>
      </c>
      <c r="AL543">
        <v>93.875612538835497</v>
      </c>
      <c r="AM543">
        <v>88.961576652816504</v>
      </c>
      <c r="AN543">
        <v>1.0000000193758201</v>
      </c>
    </row>
    <row r="544" spans="1:40" x14ac:dyDescent="0.25">
      <c r="A544" t="str">
        <f>"20190303154742255"</f>
        <v>20190303154742255</v>
      </c>
      <c r="B544" t="str">
        <f>"1551599262251416"</f>
        <v>1551599262251416</v>
      </c>
      <c r="C544" t="s">
        <v>40</v>
      </c>
      <c r="D544">
        <v>5.2570610000000002</v>
      </c>
      <c r="E544">
        <v>0.49079499999999998</v>
      </c>
      <c r="F544" t="s">
        <v>41</v>
      </c>
      <c r="G544">
        <v>-342.44499999999999</v>
      </c>
      <c r="H544" s="1">
        <v>-3.9653859999999901E-6</v>
      </c>
      <c r="I544">
        <v>367.28460000000001</v>
      </c>
      <c r="J544">
        <v>-357.37009999999998</v>
      </c>
      <c r="K544">
        <v>1.1203970000000001</v>
      </c>
      <c r="L544">
        <v>367.26440000000002</v>
      </c>
      <c r="M544">
        <v>0.99991640000000004</v>
      </c>
      <c r="N544">
        <v>-1.1953729999999999E-2</v>
      </c>
      <c r="O544">
        <v>-4.9368609999999999E-3</v>
      </c>
      <c r="P544">
        <v>0.99649319999999997</v>
      </c>
      <c r="Q544">
        <v>-8.0352690000000004E-2</v>
      </c>
      <c r="R544">
        <v>-2.3348850000000001E-2</v>
      </c>
      <c r="S544">
        <v>2.992737</v>
      </c>
      <c r="T544">
        <v>-0.2218019</v>
      </c>
      <c r="U544">
        <v>3.8146970000000001E-3</v>
      </c>
      <c r="V544">
        <v>1.8447709999999999E-2</v>
      </c>
      <c r="W544">
        <v>-6.8428779999999995E-2</v>
      </c>
      <c r="X544">
        <v>0.99748550000000002</v>
      </c>
      <c r="Y544">
        <v>-6.1826210000000001E-3</v>
      </c>
      <c r="Z544">
        <v>5.7224360000000004E-4</v>
      </c>
      <c r="AA544">
        <v>0.99998069999999895</v>
      </c>
      <c r="AB544">
        <v>36</v>
      </c>
      <c r="AC544">
        <v>14.925099999999899</v>
      </c>
      <c r="AD544">
        <v>-1.1204009653860001</v>
      </c>
      <c r="AE544">
        <v>2.0199999999988401E-2</v>
      </c>
      <c r="AF544">
        <v>-9.3362043605285397E-2</v>
      </c>
      <c r="AG544">
        <v>-1.1204009653860001</v>
      </c>
      <c r="AH544">
        <v>14.841184867811499</v>
      </c>
      <c r="AI544">
        <v>94.317138342530299</v>
      </c>
      <c r="AJ544">
        <v>90.360428129688003</v>
      </c>
      <c r="AK544">
        <v>14.8837086465363</v>
      </c>
      <c r="AL544">
        <v>93.923746247015998</v>
      </c>
      <c r="AM544">
        <v>88.940480396468899</v>
      </c>
      <c r="AN544">
        <v>1.0000000693233799</v>
      </c>
    </row>
    <row r="545" spans="1:40" x14ac:dyDescent="0.25">
      <c r="A545" t="str">
        <f>"20190303154742267"</f>
        <v>20190303154742267</v>
      </c>
      <c r="B545" t="str">
        <f>"1551599262261175"</f>
        <v>1551599262261175</v>
      </c>
      <c r="C545" t="s">
        <v>40</v>
      </c>
      <c r="D545">
        <v>5.2273649999999998</v>
      </c>
      <c r="E545">
        <v>0.49076360000000002</v>
      </c>
      <c r="F545" t="s">
        <v>41</v>
      </c>
      <c r="G545">
        <v>-342.44420000000002</v>
      </c>
      <c r="H545" s="1">
        <v>-3.966238E-6</v>
      </c>
      <c r="I545">
        <v>367.28210000000001</v>
      </c>
      <c r="J545">
        <v>-357.18119999999999</v>
      </c>
      <c r="K545">
        <v>1.1204339999999999</v>
      </c>
      <c r="L545">
        <v>367.2636</v>
      </c>
      <c r="M545">
        <v>0.99991529999999995</v>
      </c>
      <c r="N545">
        <v>-1.209702E-2</v>
      </c>
      <c r="O545">
        <v>-4.8282619999999998E-3</v>
      </c>
      <c r="P545">
        <v>0.99650510000000003</v>
      </c>
      <c r="Q545">
        <v>-8.0210950000000003E-2</v>
      </c>
      <c r="R545">
        <v>-2.3317439999999998E-2</v>
      </c>
      <c r="S545">
        <v>2.9925229999999998</v>
      </c>
      <c r="T545">
        <v>-0.22463179999999999</v>
      </c>
      <c r="U545">
        <v>3.540039E-3</v>
      </c>
      <c r="V545">
        <v>1.8527450000000001E-2</v>
      </c>
      <c r="W545">
        <v>-6.8143200000000001E-2</v>
      </c>
      <c r="X545">
        <v>0.99750349999999999</v>
      </c>
      <c r="Y545">
        <v>-5.9824500000000003E-3</v>
      </c>
      <c r="Z545">
        <v>5.6404350000000003E-4</v>
      </c>
      <c r="AA545">
        <v>0.99998189999999998</v>
      </c>
      <c r="AB545">
        <v>36</v>
      </c>
      <c r="AC545">
        <v>14.736999999999901</v>
      </c>
      <c r="AD545">
        <v>-1.120437966238</v>
      </c>
      <c r="AE545">
        <v>1.8500000000017201E-2</v>
      </c>
      <c r="AF545">
        <v>-8.9143793647296701E-2</v>
      </c>
      <c r="AG545">
        <v>-1.120437966238</v>
      </c>
      <c r="AH545">
        <v>14.6520444083268</v>
      </c>
      <c r="AI545">
        <v>94.372802108864903</v>
      </c>
      <c r="AJ545">
        <v>90.348586175748395</v>
      </c>
      <c r="AK545">
        <v>14.695092146554</v>
      </c>
      <c r="AL545">
        <v>93.907345718222999</v>
      </c>
      <c r="AM545">
        <v>88.935920884044194</v>
      </c>
      <c r="AN545">
        <v>0.99999999731099598</v>
      </c>
    </row>
    <row r="546" spans="1:40" x14ac:dyDescent="0.25">
      <c r="A546" t="str">
        <f>"20190303154742278"</f>
        <v>20190303154742278</v>
      </c>
      <c r="B546" t="str">
        <f>"1551599262270936"</f>
        <v>1551599262270936</v>
      </c>
      <c r="C546" t="s">
        <v>40</v>
      </c>
      <c r="D546">
        <v>5.2044990000000002</v>
      </c>
      <c r="E546">
        <v>0.4907263</v>
      </c>
      <c r="F546" t="s">
        <v>41</v>
      </c>
      <c r="G546">
        <v>-342.24</v>
      </c>
      <c r="H546" s="1">
        <v>-4.0632590000000001E-6</v>
      </c>
      <c r="I546">
        <v>367.27929999999998</v>
      </c>
      <c r="J546">
        <v>-356.98349999999999</v>
      </c>
      <c r="K546">
        <v>1.1204780000000001</v>
      </c>
      <c r="L546">
        <v>367.2627</v>
      </c>
      <c r="M546">
        <v>0.99991390000000002</v>
      </c>
      <c r="N546">
        <v>-1.2251990000000001E-2</v>
      </c>
      <c r="O546">
        <v>-4.7013419999999998E-3</v>
      </c>
      <c r="P546">
        <v>0.99645950000000005</v>
      </c>
      <c r="Q546">
        <v>-8.0770540000000002E-2</v>
      </c>
      <c r="R546">
        <v>-2.333882E-2</v>
      </c>
      <c r="S546">
        <v>2.9925540000000002</v>
      </c>
      <c r="T546">
        <v>-0.22441150000000001</v>
      </c>
      <c r="U546">
        <v>3.1433110000000002E-3</v>
      </c>
      <c r="V546">
        <v>1.8678770000000001E-2</v>
      </c>
      <c r="W546">
        <v>-6.8547789999999997E-2</v>
      </c>
      <c r="X546">
        <v>0.9974729</v>
      </c>
      <c r="Y546">
        <v>-5.7241130000000003E-3</v>
      </c>
      <c r="Z546">
        <v>5.4397180000000003E-4</v>
      </c>
      <c r="AA546">
        <v>0.99998350000000003</v>
      </c>
      <c r="AB546">
        <v>36</v>
      </c>
      <c r="AC546">
        <v>14.7434999999999</v>
      </c>
      <c r="AD546">
        <v>-1.120482063259</v>
      </c>
      <c r="AE546">
        <v>1.6599999999982601E-2</v>
      </c>
      <c r="AF546">
        <v>-8.54258565273667E-2</v>
      </c>
      <c r="AG546">
        <v>-1.120482063259</v>
      </c>
      <c r="AH546">
        <v>14.658594673430301</v>
      </c>
      <c r="AI546">
        <v>94.3710336790718</v>
      </c>
      <c r="AJ546">
        <v>90.333898694991902</v>
      </c>
      <c r="AK546">
        <v>14.7016045189281</v>
      </c>
      <c r="AL546">
        <v>93.930581570752594</v>
      </c>
      <c r="AM546">
        <v>88.927199307724706</v>
      </c>
      <c r="AN546">
        <v>0.99999994109850099</v>
      </c>
    </row>
    <row r="547" spans="1:40" x14ac:dyDescent="0.25">
      <c r="A547" t="str">
        <f>"20190303154742292"</f>
        <v>20190303154742292</v>
      </c>
      <c r="B547" t="str">
        <f>"1551599262281672"</f>
        <v>1551599262281672</v>
      </c>
      <c r="C547" t="s">
        <v>40</v>
      </c>
      <c r="D547">
        <v>5.221317</v>
      </c>
      <c r="E547">
        <v>0.49074980000000001</v>
      </c>
      <c r="F547" t="s">
        <v>41</v>
      </c>
      <c r="G547">
        <v>-342.14670000000001</v>
      </c>
      <c r="H547" s="1">
        <v>-4.1069770000000002E-6</v>
      </c>
      <c r="I547">
        <v>367.28129999999999</v>
      </c>
      <c r="J547">
        <v>-356.786</v>
      </c>
      <c r="K547">
        <v>1.1205339999999999</v>
      </c>
      <c r="L547">
        <v>367.26190000000003</v>
      </c>
      <c r="M547">
        <v>0.99991269999999999</v>
      </c>
      <c r="N547">
        <v>-1.240482E-2</v>
      </c>
      <c r="O547">
        <v>-4.5458549999999997E-3</v>
      </c>
      <c r="P547">
        <v>0.99641069999999998</v>
      </c>
      <c r="Q547">
        <v>-8.1430820000000001E-2</v>
      </c>
      <c r="R547">
        <v>-2.3127129999999999E-2</v>
      </c>
      <c r="S547">
        <v>2.9924620000000002</v>
      </c>
      <c r="T547">
        <v>-0.22599279999999999</v>
      </c>
      <c r="U547">
        <v>3.7536620000000001E-3</v>
      </c>
      <c r="V547">
        <v>1.862639E-2</v>
      </c>
      <c r="W547">
        <v>-6.9055149999999996E-2</v>
      </c>
      <c r="X547">
        <v>0.99743899999999996</v>
      </c>
      <c r="Y547">
        <v>-5.7723729999999999E-3</v>
      </c>
      <c r="Z547">
        <v>5.4001150000000003E-4</v>
      </c>
      <c r="AA547">
        <v>0.99998319999999996</v>
      </c>
      <c r="AB547">
        <v>36</v>
      </c>
      <c r="AC547">
        <v>14.639299999999899</v>
      </c>
      <c r="AD547">
        <v>-1.120538106977</v>
      </c>
      <c r="AE547">
        <v>1.9399999999961798E-2</v>
      </c>
      <c r="AF547">
        <v>-8.5452404766692594E-2</v>
      </c>
      <c r="AG547">
        <v>-1.120538106977</v>
      </c>
      <c r="AH547">
        <v>14.5537921340779</v>
      </c>
      <c r="AI547">
        <v>94.402604605434504</v>
      </c>
      <c r="AJ547">
        <v>90.336407572374299</v>
      </c>
      <c r="AK547">
        <v>14.5971152370808</v>
      </c>
      <c r="AL547">
        <v>93.959719745845206</v>
      </c>
      <c r="AM547">
        <v>88.930170661689601</v>
      </c>
      <c r="AN547">
        <v>1.00000005743347</v>
      </c>
    </row>
    <row r="548" spans="1:40" x14ac:dyDescent="0.25">
      <c r="A548" t="str">
        <f>"20190303154742309"</f>
        <v>20190303154742309</v>
      </c>
      <c r="B548" t="str">
        <f>"1551599262301195"</f>
        <v>1551599262301195</v>
      </c>
      <c r="C548" t="s">
        <v>40</v>
      </c>
      <c r="D548">
        <v>5.1530800000000001</v>
      </c>
      <c r="E548">
        <v>0.49085139999999999</v>
      </c>
      <c r="F548" t="s">
        <v>41</v>
      </c>
      <c r="G548">
        <v>-342.07780000000002</v>
      </c>
      <c r="H548" s="1">
        <v>-4.1394340000000002E-6</v>
      </c>
      <c r="I548">
        <v>367.28199999999998</v>
      </c>
      <c r="J548">
        <v>-356.51249999999999</v>
      </c>
      <c r="K548">
        <v>1.120603</v>
      </c>
      <c r="L548">
        <v>367.26089999999999</v>
      </c>
      <c r="M548">
        <v>0.9999112</v>
      </c>
      <c r="N548">
        <v>-1.260989E-2</v>
      </c>
      <c r="O548">
        <v>-4.3032169999999998E-3</v>
      </c>
      <c r="P548">
        <v>0.99637989999999999</v>
      </c>
      <c r="Q548">
        <v>-8.2075819999999994E-2</v>
      </c>
      <c r="R548">
        <v>-2.2150889999999999E-2</v>
      </c>
      <c r="S548">
        <v>2.9923099999999998</v>
      </c>
      <c r="T548">
        <v>-0.22796830000000001</v>
      </c>
      <c r="U548">
        <v>4.0893550000000002E-3</v>
      </c>
      <c r="V548">
        <v>1.7898979999999998E-2</v>
      </c>
      <c r="W548">
        <v>-6.9494639999999996E-2</v>
      </c>
      <c r="X548">
        <v>0.99742169999999997</v>
      </c>
      <c r="Y548">
        <v>-5.6424149999999996E-3</v>
      </c>
      <c r="Z548">
        <v>5.234231E-4</v>
      </c>
      <c r="AA548">
        <v>0.99998399999999998</v>
      </c>
      <c r="AB548">
        <v>36</v>
      </c>
      <c r="AC548">
        <v>14.4346999999999</v>
      </c>
      <c r="AD548">
        <v>-1.120607139434</v>
      </c>
      <c r="AE548">
        <v>2.1099999999989901E-2</v>
      </c>
      <c r="AF548">
        <v>-8.2721840084403905E-2</v>
      </c>
      <c r="AG548">
        <v>-1.120607139434</v>
      </c>
      <c r="AH548">
        <v>14.3480022798653</v>
      </c>
      <c r="AI548">
        <v>94.465773208876698</v>
      </c>
      <c r="AJ548">
        <v>90.330328899069897</v>
      </c>
      <c r="AK548">
        <v>14.3919342927488</v>
      </c>
      <c r="AL548">
        <v>93.984961683555696</v>
      </c>
      <c r="AM548">
        <v>88.971923362265301</v>
      </c>
      <c r="AN548">
        <v>0.99999996305232897</v>
      </c>
    </row>
    <row r="549" spans="1:40" x14ac:dyDescent="0.25">
      <c r="A549" t="str">
        <f>"20190303154742319"</f>
        <v>20190303154742319</v>
      </c>
      <c r="B549" t="str">
        <f>"1551599262310952"</f>
        <v>1551599262310952</v>
      </c>
      <c r="C549" t="s">
        <v>40</v>
      </c>
      <c r="D549">
        <v>5.1628639999999999</v>
      </c>
      <c r="E549">
        <v>0.49092140000000001</v>
      </c>
      <c r="F549" t="s">
        <v>41</v>
      </c>
      <c r="G549">
        <v>-341.81299999999999</v>
      </c>
      <c r="H549" s="1">
        <v>-4.2630910000000003E-6</v>
      </c>
      <c r="I549">
        <v>367.29059999999998</v>
      </c>
      <c r="J549">
        <v>-356.32409999999999</v>
      </c>
      <c r="K549">
        <v>1.120655</v>
      </c>
      <c r="L549">
        <v>367.2602</v>
      </c>
      <c r="M549">
        <v>0.99991039999999998</v>
      </c>
      <c r="N549">
        <v>-1.2746230000000001E-2</v>
      </c>
      <c r="O549">
        <v>-4.1184749999999999E-3</v>
      </c>
      <c r="P549">
        <v>0.99635459999999998</v>
      </c>
      <c r="Q549">
        <v>-8.2492599999999999E-2</v>
      </c>
      <c r="R549">
        <v>-2.1746749999999999E-2</v>
      </c>
      <c r="S549">
        <v>2.9922789999999999</v>
      </c>
      <c r="T549">
        <v>-0.22811519999999999</v>
      </c>
      <c r="U549">
        <v>6.0424800000000002E-3</v>
      </c>
      <c r="V549">
        <v>1.7684249999999999E-2</v>
      </c>
      <c r="W549">
        <v>-6.9774619999999996E-2</v>
      </c>
      <c r="X549">
        <v>0.99740600000000001</v>
      </c>
      <c r="Y549">
        <v>-6.1091499999999998E-3</v>
      </c>
      <c r="Z549">
        <v>5.3260949999999895E-4</v>
      </c>
      <c r="AA549">
        <v>0.99998120000000001</v>
      </c>
      <c r="AB549">
        <v>36</v>
      </c>
      <c r="AC549">
        <v>14.5110999999999</v>
      </c>
      <c r="AD549">
        <v>-1.1206592630909999</v>
      </c>
      <c r="AE549">
        <v>3.03999999999859E-2</v>
      </c>
      <c r="AF549">
        <v>-8.9633609613627194E-2</v>
      </c>
      <c r="AG549">
        <v>-1.1206592630909999</v>
      </c>
      <c r="AH549">
        <v>14.424820690985101</v>
      </c>
      <c r="AI549">
        <v>94.442280379265398</v>
      </c>
      <c r="AJ549">
        <v>90.356022549339698</v>
      </c>
      <c r="AK549">
        <v>14.468564660497499</v>
      </c>
      <c r="AL549">
        <v>94.001042325283393</v>
      </c>
      <c r="AM549">
        <v>88.9842383792802</v>
      </c>
      <c r="AN549">
        <v>0.999999979565103</v>
      </c>
    </row>
    <row r="550" spans="1:40" x14ac:dyDescent="0.25">
      <c r="A550" t="str">
        <f>"20190303154742331"</f>
        <v>20190303154742331</v>
      </c>
      <c r="B550" t="str">
        <f>"1551599262321687"</f>
        <v>1551599262321687</v>
      </c>
      <c r="C550" t="s">
        <v>40</v>
      </c>
      <c r="D550">
        <v>5.1529410000000002</v>
      </c>
      <c r="E550">
        <v>0.49103059999999998</v>
      </c>
      <c r="F550" t="s">
        <v>41</v>
      </c>
      <c r="G550">
        <v>-341.62419999999997</v>
      </c>
      <c r="H550" s="1">
        <v>-4.3518380000000002E-6</v>
      </c>
      <c r="I550">
        <v>367.29340000000002</v>
      </c>
      <c r="J550">
        <v>-356.14370000000002</v>
      </c>
      <c r="K550">
        <v>1.1207</v>
      </c>
      <c r="L550">
        <v>367.25970000000001</v>
      </c>
      <c r="M550">
        <v>0.99990970000000001</v>
      </c>
      <c r="N550">
        <v>-1.286675E-2</v>
      </c>
      <c r="O550">
        <v>-3.9118089999999996E-3</v>
      </c>
      <c r="P550">
        <v>0.99631539999999996</v>
      </c>
      <c r="Q550">
        <v>-8.3096470000000006E-2</v>
      </c>
      <c r="R550">
        <v>-2.1236709999999999E-2</v>
      </c>
      <c r="S550">
        <v>2.9922490000000002</v>
      </c>
      <c r="T550">
        <v>-0.22811629999999999</v>
      </c>
      <c r="U550">
        <v>6.7443850000000003E-3</v>
      </c>
      <c r="V550">
        <v>1.7385790000000002E-2</v>
      </c>
      <c r="W550">
        <v>-7.025766E-2</v>
      </c>
      <c r="X550">
        <v>0.99737730000000002</v>
      </c>
      <c r="Y550">
        <v>-6.1373859999999999E-3</v>
      </c>
      <c r="Z550">
        <v>5.2067070000000001E-4</v>
      </c>
      <c r="AA550">
        <v>0.99998100000000001</v>
      </c>
      <c r="AB550">
        <v>36</v>
      </c>
      <c r="AC550">
        <v>14.519500000000001</v>
      </c>
      <c r="AD550">
        <v>-1.120704351838</v>
      </c>
      <c r="AE550">
        <v>3.3700000000010201E-2</v>
      </c>
      <c r="AF550">
        <v>-8.9965959974995097E-2</v>
      </c>
      <c r="AG550">
        <v>-1.120704351838</v>
      </c>
      <c r="AH550">
        <v>14.4332683994473</v>
      </c>
      <c r="AI550">
        <v>94.439868115636799</v>
      </c>
      <c r="AJ550">
        <v>90.3571334577031</v>
      </c>
      <c r="AK550">
        <v>14.4769923951305</v>
      </c>
      <c r="AL550">
        <v>94.028786721287403</v>
      </c>
      <c r="AM550">
        <v>89.001349324066197</v>
      </c>
      <c r="AN550">
        <v>0.999999941518943</v>
      </c>
    </row>
    <row r="551" spans="1:40" x14ac:dyDescent="0.25">
      <c r="A551" t="str">
        <f>"20190303154742344"</f>
        <v>20190303154742344</v>
      </c>
      <c r="B551" t="str">
        <f>"1551599262341208"</f>
        <v>1551599262341208</v>
      </c>
      <c r="C551" t="s">
        <v>40</v>
      </c>
      <c r="D551">
        <v>5.1644870000000003</v>
      </c>
      <c r="E551">
        <v>0.49126940000000002</v>
      </c>
      <c r="F551" t="s">
        <v>41</v>
      </c>
      <c r="G551">
        <v>-341.4477</v>
      </c>
      <c r="H551" s="1">
        <v>-4.4346400000000001E-6</v>
      </c>
      <c r="I551">
        <v>367.29700000000003</v>
      </c>
      <c r="J551">
        <v>-355.95030000000003</v>
      </c>
      <c r="K551">
        <v>1.120749</v>
      </c>
      <c r="L551">
        <v>367.25909999999999</v>
      </c>
      <c r="M551">
        <v>0.99990889999999999</v>
      </c>
      <c r="N551">
        <v>-1.299286E-2</v>
      </c>
      <c r="O551">
        <v>-3.6811819999999999E-3</v>
      </c>
      <c r="P551">
        <v>0.9962839</v>
      </c>
      <c r="Q551">
        <v>-8.3618680000000001E-2</v>
      </c>
      <c r="R551">
        <v>-2.06526E-2</v>
      </c>
      <c r="S551">
        <v>2.9922490000000002</v>
      </c>
      <c r="T551">
        <v>-0.228186</v>
      </c>
      <c r="U551">
        <v>7.59887699999999E-3</v>
      </c>
      <c r="V551">
        <v>1.703766E-2</v>
      </c>
      <c r="W551">
        <v>-7.0653380000000002E-2</v>
      </c>
      <c r="X551">
        <v>0.9973554</v>
      </c>
      <c r="Y551">
        <v>-6.1925670000000004E-3</v>
      </c>
      <c r="Z551">
        <v>5.0861889999999897E-4</v>
      </c>
      <c r="AA551">
        <v>0.99998069999999895</v>
      </c>
      <c r="AB551">
        <v>36</v>
      </c>
      <c r="AC551">
        <v>14.502599999999999</v>
      </c>
      <c r="AD551">
        <v>-1.1207534346400001</v>
      </c>
      <c r="AE551">
        <v>3.7899999999979103E-2</v>
      </c>
      <c r="AF551">
        <v>-9.0748995332220403E-2</v>
      </c>
      <c r="AG551">
        <v>-1.1207534346400001</v>
      </c>
      <c r="AH551">
        <v>14.4162671232428</v>
      </c>
      <c r="AI551">
        <v>94.445275321056599</v>
      </c>
      <c r="AJ551">
        <v>90.360666579372193</v>
      </c>
      <c r="AK551">
        <v>14.4600512243249</v>
      </c>
      <c r="AL551">
        <v>94.051516105023097</v>
      </c>
      <c r="AM551">
        <v>89.021320715312299</v>
      </c>
      <c r="AN551">
        <v>0.99999998793642897</v>
      </c>
    </row>
    <row r="552" spans="1:40" x14ac:dyDescent="0.25">
      <c r="A552" t="str">
        <f>"20190303154742355"</f>
        <v>20190303154742355</v>
      </c>
      <c r="B552" t="str">
        <f>"1551599262350968"</f>
        <v>1551599262350968</v>
      </c>
      <c r="C552" t="s">
        <v>40</v>
      </c>
      <c r="D552">
        <v>5.1890890000000001</v>
      </c>
      <c r="E552">
        <v>0.49144330000000003</v>
      </c>
      <c r="F552" t="s">
        <v>41</v>
      </c>
      <c r="G552">
        <v>-341.15249999999997</v>
      </c>
      <c r="H552" s="1">
        <v>-4.5744599999999997E-6</v>
      </c>
      <c r="I552">
        <v>367.2953</v>
      </c>
      <c r="J552">
        <v>-355.76049999999998</v>
      </c>
      <c r="K552">
        <v>1.1207959999999999</v>
      </c>
      <c r="L552">
        <v>367.2586</v>
      </c>
      <c r="M552">
        <v>0.99990820000000002</v>
      </c>
      <c r="N552">
        <v>-1.3108720000000001E-2</v>
      </c>
      <c r="O552">
        <v>-3.4323750000000001E-3</v>
      </c>
      <c r="P552">
        <v>0.99624489999999999</v>
      </c>
      <c r="Q552">
        <v>-8.4138749999999998E-2</v>
      </c>
      <c r="R552">
        <v>-2.0418039999999998E-2</v>
      </c>
      <c r="S552">
        <v>2.9923099999999998</v>
      </c>
      <c r="T552">
        <v>-0.2266312</v>
      </c>
      <c r="U552">
        <v>7.3242189999999999E-3</v>
      </c>
      <c r="V552">
        <v>1.705721E-2</v>
      </c>
      <c r="W552">
        <v>-7.1057019999999999E-2</v>
      </c>
      <c r="X552">
        <v>0.99732639999999995</v>
      </c>
      <c r="Y552">
        <v>-5.8539219999999897E-3</v>
      </c>
      <c r="Z552">
        <v>4.744452E-4</v>
      </c>
      <c r="AA552">
        <v>0.99998279999999995</v>
      </c>
      <c r="AB552">
        <v>36</v>
      </c>
      <c r="AC552">
        <v>14.608000000000001</v>
      </c>
      <c r="AD552">
        <v>-1.12080057445999</v>
      </c>
      <c r="AE552">
        <v>3.6699999999996097E-2</v>
      </c>
      <c r="AF552">
        <v>-8.6335990938284701E-2</v>
      </c>
      <c r="AG552">
        <v>-1.12080057445999</v>
      </c>
      <c r="AH552">
        <v>14.522299432787801</v>
      </c>
      <c r="AI552">
        <v>94.413141799056405</v>
      </c>
      <c r="AJ552">
        <v>90.340623029208203</v>
      </c>
      <c r="AK552">
        <v>14.5657416099075</v>
      </c>
      <c r="AL552">
        <v>94.074701204786095</v>
      </c>
      <c r="AM552">
        <v>89.020169455816003</v>
      </c>
      <c r="AN552">
        <v>0.99999999832061204</v>
      </c>
    </row>
    <row r="553" spans="1:40" x14ac:dyDescent="0.25">
      <c r="A553" t="str">
        <f>"20190303154742367"</f>
        <v>20190303154742367</v>
      </c>
      <c r="B553" t="str">
        <f>"1551599262360727"</f>
        <v>1551599262360727</v>
      </c>
      <c r="C553" t="s">
        <v>40</v>
      </c>
      <c r="D553">
        <v>5.1172610000000001</v>
      </c>
      <c r="E553">
        <v>0.49152590000000002</v>
      </c>
      <c r="F553" t="s">
        <v>41</v>
      </c>
      <c r="G553">
        <v>-340.94260000000003</v>
      </c>
      <c r="H553" s="1">
        <v>-4.6745629999999997E-6</v>
      </c>
      <c r="I553">
        <v>367.29050000000001</v>
      </c>
      <c r="J553">
        <v>-355.5788</v>
      </c>
      <c r="K553">
        <v>1.120838</v>
      </c>
      <c r="L553">
        <v>367.25819999999999</v>
      </c>
      <c r="M553">
        <v>0.99990780000000001</v>
      </c>
      <c r="N553">
        <v>-1.321394E-2</v>
      </c>
      <c r="O553">
        <v>-3.1784199999999999E-3</v>
      </c>
      <c r="P553">
        <v>0.99623019999999995</v>
      </c>
      <c r="Q553">
        <v>-8.4428619999999996E-2</v>
      </c>
      <c r="R553">
        <v>-1.9945359999999999E-2</v>
      </c>
      <c r="S553">
        <v>2.9922789999999999</v>
      </c>
      <c r="T553">
        <v>-0.22633030000000001</v>
      </c>
      <c r="U553">
        <v>6.4392090000000004E-3</v>
      </c>
      <c r="V553">
        <v>1.6842949999999999E-2</v>
      </c>
      <c r="W553">
        <v>-7.1241100000000002E-2</v>
      </c>
      <c r="X553">
        <v>0.99731689999999995</v>
      </c>
      <c r="Y553">
        <v>-5.3066169999999996E-3</v>
      </c>
      <c r="Z553">
        <v>4.336403E-4</v>
      </c>
      <c r="AA553">
        <v>0.99998580000000004</v>
      </c>
      <c r="AB553">
        <v>36</v>
      </c>
      <c r="AC553">
        <v>14.636199999999899</v>
      </c>
      <c r="AD553">
        <v>-1.120842674563</v>
      </c>
      <c r="AE553">
        <v>3.2300000000020597E-2</v>
      </c>
      <c r="AF553">
        <v>-7.8364315078874397E-2</v>
      </c>
      <c r="AG553">
        <v>-1.120842674563</v>
      </c>
      <c r="AH553">
        <v>14.550690948480799</v>
      </c>
      <c r="AI553">
        <v>94.4047434328115</v>
      </c>
      <c r="AJ553">
        <v>90.308569615365101</v>
      </c>
      <c r="AK553">
        <v>14.594006863956199</v>
      </c>
      <c r="AL553">
        <v>94.085275046652995</v>
      </c>
      <c r="AM553">
        <v>89.032465790213195</v>
      </c>
      <c r="AN553">
        <v>0.99999998915976096</v>
      </c>
    </row>
    <row r="554" spans="1:40" x14ac:dyDescent="0.25">
      <c r="A554" t="str">
        <f>"20190303154742379"</f>
        <v>20190303154742379</v>
      </c>
      <c r="B554" t="str">
        <f>"1551599262371463"</f>
        <v>1551599262371463</v>
      </c>
      <c r="C554" t="s">
        <v>40</v>
      </c>
      <c r="D554">
        <v>5.141108</v>
      </c>
      <c r="E554">
        <v>0.49164419999999998</v>
      </c>
      <c r="F554" t="s">
        <v>41</v>
      </c>
      <c r="G554">
        <v>-340.71839999999997</v>
      </c>
      <c r="H554" s="1">
        <v>-4.780039E-6</v>
      </c>
      <c r="I554">
        <v>367.29340000000002</v>
      </c>
      <c r="J554">
        <v>-355.36950000000002</v>
      </c>
      <c r="K554">
        <v>1.120886</v>
      </c>
      <c r="L554">
        <v>367.25779999999997</v>
      </c>
      <c r="M554">
        <v>0.99990710000000005</v>
      </c>
      <c r="N554">
        <v>-1.333004E-2</v>
      </c>
      <c r="O554">
        <v>-2.8717930000000001E-3</v>
      </c>
      <c r="P554">
        <v>0.99620830000000005</v>
      </c>
      <c r="Q554">
        <v>-8.4811449999999997E-2</v>
      </c>
      <c r="R554">
        <v>-1.9401680000000001E-2</v>
      </c>
      <c r="S554">
        <v>2.9923709999999999</v>
      </c>
      <c r="T554">
        <v>-0.2256988</v>
      </c>
      <c r="U554">
        <v>7.0800780000000001E-3</v>
      </c>
      <c r="V554">
        <v>1.661089E-2</v>
      </c>
      <c r="W554">
        <v>-7.1507329999999994E-2</v>
      </c>
      <c r="X554">
        <v>0.99730180000000002</v>
      </c>
      <c r="Y554">
        <v>-5.2151000000000003E-3</v>
      </c>
      <c r="Z554">
        <v>4.0927169999999997E-4</v>
      </c>
      <c r="AA554">
        <v>0.99998629999999999</v>
      </c>
      <c r="AB554">
        <v>36</v>
      </c>
      <c r="AC554">
        <v>14.6511</v>
      </c>
      <c r="AD554">
        <v>-1.120890780039</v>
      </c>
      <c r="AE554">
        <v>3.5600000000044901E-2</v>
      </c>
      <c r="AF554">
        <v>-7.7226503203284294E-2</v>
      </c>
      <c r="AG554">
        <v>-1.120890780039</v>
      </c>
      <c r="AH554">
        <v>14.565683394673499</v>
      </c>
      <c r="AI554">
        <v>94.400417520133203</v>
      </c>
      <c r="AJ554">
        <v>90.303776425726497</v>
      </c>
      <c r="AK554">
        <v>14.608952489054101</v>
      </c>
      <c r="AL554">
        <v>94.100567654717494</v>
      </c>
      <c r="AM554">
        <v>89.045779425401193</v>
      </c>
      <c r="AN554">
        <v>1.0000000500967701</v>
      </c>
    </row>
    <row r="555" spans="1:40" x14ac:dyDescent="0.25">
      <c r="A555" t="str">
        <f>"20190303154742393"</f>
        <v>20190303154742393</v>
      </c>
      <c r="B555" t="str">
        <f>"1551599262390984"</f>
        <v>1551599262390984</v>
      </c>
      <c r="C555" t="s">
        <v>40</v>
      </c>
      <c r="D555">
        <v>5.1231689999999999</v>
      </c>
      <c r="E555">
        <v>0.49184270000000002</v>
      </c>
      <c r="F555" t="s">
        <v>41</v>
      </c>
      <c r="G555">
        <v>-340.49880000000002</v>
      </c>
      <c r="H555" s="1">
        <v>-4.8831940000000004E-6</v>
      </c>
      <c r="I555">
        <v>367.29680000000002</v>
      </c>
      <c r="J555">
        <v>-355.15660000000003</v>
      </c>
      <c r="K555">
        <v>1.1209249999999999</v>
      </c>
      <c r="L555">
        <v>367.25749999999999</v>
      </c>
      <c r="M555">
        <v>0.99990650000000003</v>
      </c>
      <c r="N555">
        <v>-1.343696E-2</v>
      </c>
      <c r="O555">
        <v>-2.5335850000000001E-3</v>
      </c>
      <c r="P555">
        <v>0.99620679999999995</v>
      </c>
      <c r="Q555">
        <v>-8.4913879999999997E-2</v>
      </c>
      <c r="R555">
        <v>-1.900876E-2</v>
      </c>
      <c r="S555">
        <v>2.99234</v>
      </c>
      <c r="T555">
        <v>-0.22555049999999999</v>
      </c>
      <c r="U555">
        <v>7.8430180000000002E-3</v>
      </c>
      <c r="V555">
        <v>1.6560470000000001E-2</v>
      </c>
      <c r="W555">
        <v>-7.1502109999999994E-2</v>
      </c>
      <c r="X555">
        <v>0.99730289999999999</v>
      </c>
      <c r="Y555">
        <v>-5.132803E-3</v>
      </c>
      <c r="Z555">
        <v>3.8440959999999999E-4</v>
      </c>
      <c r="AA555">
        <v>0.99998679999999995</v>
      </c>
      <c r="AB555">
        <v>36</v>
      </c>
      <c r="AC555">
        <v>14.6578</v>
      </c>
      <c r="AD555">
        <v>-1.120929883194</v>
      </c>
      <c r="AE555">
        <v>3.9300000000025599E-2</v>
      </c>
      <c r="AF555">
        <v>-7.5995578272056899E-2</v>
      </c>
      <c r="AG555">
        <v>-1.120929883194</v>
      </c>
      <c r="AH555">
        <v>14.5724320535085</v>
      </c>
      <c r="AI555">
        <v>94.398542477115498</v>
      </c>
      <c r="AJ555">
        <v>90.298796138359506</v>
      </c>
      <c r="AK555">
        <v>14.615677715558601</v>
      </c>
      <c r="AL555">
        <v>94.100268265176396</v>
      </c>
      <c r="AM555">
        <v>89.048676342564804</v>
      </c>
      <c r="AN555">
        <v>0.99999993762473904</v>
      </c>
    </row>
    <row r="556" spans="1:40" x14ac:dyDescent="0.25">
      <c r="A556" t="str">
        <f>"20190303154742410"</f>
        <v>20190303154742410</v>
      </c>
      <c r="B556" t="str">
        <f>"1551599262400744"</f>
        <v>1551599262400744</v>
      </c>
      <c r="C556" t="s">
        <v>40</v>
      </c>
      <c r="D556">
        <v>5.0973269999999999</v>
      </c>
      <c r="E556">
        <v>0.49195430000000001</v>
      </c>
      <c r="F556" t="s">
        <v>41</v>
      </c>
      <c r="G556">
        <v>-340.12740000000002</v>
      </c>
      <c r="H556" s="1">
        <v>-5.0589729999999996E-6</v>
      </c>
      <c r="I556">
        <v>367.29570000000001</v>
      </c>
      <c r="J556">
        <v>-354.8999</v>
      </c>
      <c r="K556">
        <v>1.120968</v>
      </c>
      <c r="L556">
        <v>367.25729999999999</v>
      </c>
      <c r="M556">
        <v>0.99990590000000001</v>
      </c>
      <c r="N556">
        <v>-1.355783E-2</v>
      </c>
      <c r="O556">
        <v>-2.1112819999999999E-3</v>
      </c>
      <c r="P556">
        <v>0.99619329999999995</v>
      </c>
      <c r="Q556">
        <v>-8.5240239999999995E-2</v>
      </c>
      <c r="R556">
        <v>-1.8238730000000002E-2</v>
      </c>
      <c r="S556">
        <v>2.9925229999999998</v>
      </c>
      <c r="T556">
        <v>-0.22319359999999999</v>
      </c>
      <c r="U556">
        <v>7.59887699999999E-3</v>
      </c>
      <c r="V556">
        <v>1.6216950000000001E-2</v>
      </c>
      <c r="W556">
        <v>-7.1707309999999996E-2</v>
      </c>
      <c r="X556">
        <v>0.99729389999999996</v>
      </c>
      <c r="Y556">
        <v>-4.6316070000000003E-3</v>
      </c>
      <c r="Z556">
        <v>3.3258730000000001E-4</v>
      </c>
      <c r="AA556">
        <v>0.99998920000000002</v>
      </c>
      <c r="AB556">
        <v>36</v>
      </c>
      <c r="AC556">
        <v>14.7724999999999</v>
      </c>
      <c r="AD556">
        <v>-1.120973058973</v>
      </c>
      <c r="AE556">
        <v>3.8400000000024102E-2</v>
      </c>
      <c r="AF556">
        <v>-6.9193271392477607E-2</v>
      </c>
      <c r="AG556">
        <v>-1.120973058973</v>
      </c>
      <c r="AH556">
        <v>14.6878120563987</v>
      </c>
      <c r="AI556">
        <v>94.364302092513199</v>
      </c>
      <c r="AJ556">
        <v>90.269914475955204</v>
      </c>
      <c r="AK556">
        <v>14.7306887589087</v>
      </c>
      <c r="AL556">
        <v>94.112055255523998</v>
      </c>
      <c r="AM556">
        <v>89.068398083468793</v>
      </c>
      <c r="AN556">
        <v>1.00000002537597</v>
      </c>
    </row>
    <row r="557" spans="1:40" x14ac:dyDescent="0.25">
      <c r="A557" t="str">
        <f>"20190303154742426"</f>
        <v>20190303154742426</v>
      </c>
      <c r="B557" t="str">
        <f>"1551599262421240"</f>
        <v>1551599262421240</v>
      </c>
      <c r="C557" t="s">
        <v>40</v>
      </c>
      <c r="D557">
        <v>5.1029549999999997</v>
      </c>
      <c r="E557">
        <v>0.49220340000000001</v>
      </c>
      <c r="F557" t="s">
        <v>41</v>
      </c>
      <c r="G557">
        <v>-339.86619999999999</v>
      </c>
      <c r="H557" s="1">
        <v>-6.4732680000000005E-7</v>
      </c>
      <c r="I557">
        <v>367.3023</v>
      </c>
      <c r="J557">
        <v>-354.65870000000001</v>
      </c>
      <c r="K557">
        <v>1.121</v>
      </c>
      <c r="L557">
        <v>367.25720000000001</v>
      </c>
      <c r="M557">
        <v>0.99990520000000005</v>
      </c>
      <c r="N557">
        <v>-1.366266E-2</v>
      </c>
      <c r="O557">
        <v>-1.6994759999999999E-3</v>
      </c>
      <c r="P557">
        <v>0.99621660000000001</v>
      </c>
      <c r="Q557">
        <v>-8.5188029999999998E-2</v>
      </c>
      <c r="R557">
        <v>-1.7201020000000001E-2</v>
      </c>
      <c r="S557">
        <v>2.9924930000000001</v>
      </c>
      <c r="T557">
        <v>-0.22313</v>
      </c>
      <c r="U557">
        <v>8.9721680000000009E-3</v>
      </c>
      <c r="V557">
        <v>1.559313E-2</v>
      </c>
      <c r="W557">
        <v>-7.1550100000000005E-2</v>
      </c>
      <c r="X557">
        <v>0.99731510000000001</v>
      </c>
      <c r="Y557">
        <v>-4.6793109999999898E-3</v>
      </c>
      <c r="Z557">
        <v>3.0957860000000001E-4</v>
      </c>
      <c r="AA557">
        <v>0.99998900000000002</v>
      </c>
      <c r="AB557">
        <v>36</v>
      </c>
      <c r="AC557">
        <v>14.7925</v>
      </c>
      <c r="AD557">
        <v>-1.1210006473267999</v>
      </c>
      <c r="AE557">
        <v>4.50999999999908E-2</v>
      </c>
      <c r="AF557">
        <v>-6.9840698781680796E-2</v>
      </c>
      <c r="AG557">
        <v>-1.1210006473267999</v>
      </c>
      <c r="AH557">
        <v>14.707937075646599</v>
      </c>
      <c r="AI557">
        <v>94.358459477742599</v>
      </c>
      <c r="AJ557">
        <v>90.272067196236804</v>
      </c>
      <c r="AK557">
        <v>14.75076042771</v>
      </c>
      <c r="AL557">
        <v>94.103024753245094</v>
      </c>
      <c r="AM557">
        <v>89.104247245209905</v>
      </c>
      <c r="AN557">
        <v>0.99999998560060799</v>
      </c>
    </row>
    <row r="558" spans="1:40" x14ac:dyDescent="0.25">
      <c r="A558" t="str">
        <f>"20190303154742442"</f>
        <v>20190303154742442</v>
      </c>
      <c r="B558" t="str">
        <f>"1551599262431000"</f>
        <v>1551599262431000</v>
      </c>
      <c r="C558" t="s">
        <v>40</v>
      </c>
      <c r="D558">
        <v>5.1033739999999996</v>
      </c>
      <c r="E558">
        <v>0.49228090000000002</v>
      </c>
      <c r="F558" t="s">
        <v>41</v>
      </c>
      <c r="G558">
        <v>-339.45650000000001</v>
      </c>
      <c r="H558" s="1">
        <v>-7.8516980000000005E-7</v>
      </c>
      <c r="I558">
        <v>367.30829999999997</v>
      </c>
      <c r="J558">
        <v>-354.38679999999999</v>
      </c>
      <c r="K558">
        <v>1.12103</v>
      </c>
      <c r="L558">
        <v>367.25720000000001</v>
      </c>
      <c r="M558">
        <v>0.99990449999999997</v>
      </c>
      <c r="N558">
        <v>-1.377024E-2</v>
      </c>
      <c r="O558">
        <v>-1.2214560000000001E-3</v>
      </c>
      <c r="P558">
        <v>0.99623289999999998</v>
      </c>
      <c r="Q558">
        <v>-8.5293679999999997E-2</v>
      </c>
      <c r="R558">
        <v>-1.566182E-2</v>
      </c>
      <c r="S558">
        <v>2.9927060000000001</v>
      </c>
      <c r="T558">
        <v>-0.22067890000000001</v>
      </c>
      <c r="U558">
        <v>1.00708E-2</v>
      </c>
      <c r="V558">
        <v>1.4534170000000001E-2</v>
      </c>
      <c r="W558">
        <v>-7.1548860000000006E-2</v>
      </c>
      <c r="X558">
        <v>0.99733119999999997</v>
      </c>
      <c r="Y558">
        <v>-4.5697350000000001E-3</v>
      </c>
      <c r="Z558">
        <v>2.7291480000000003E-4</v>
      </c>
      <c r="AA558">
        <v>0.99998949999999998</v>
      </c>
      <c r="AB558">
        <v>36</v>
      </c>
      <c r="AC558">
        <v>14.9302999999999</v>
      </c>
      <c r="AD558">
        <v>-1.1210307851698</v>
      </c>
      <c r="AE558">
        <v>5.1099999999962599E-2</v>
      </c>
      <c r="AF558">
        <v>-6.8949685005252406E-2</v>
      </c>
      <c r="AG558">
        <v>-1.1210307851698</v>
      </c>
      <c r="AH558">
        <v>14.8465279096414</v>
      </c>
      <c r="AI558">
        <v>94.318046049364597</v>
      </c>
      <c r="AJ558">
        <v>90.2660889853843</v>
      </c>
      <c r="AK558">
        <v>14.8889507706931</v>
      </c>
      <c r="AL558">
        <v>94.102953456604794</v>
      </c>
      <c r="AM558">
        <v>89.165084120549196</v>
      </c>
      <c r="AN558">
        <v>1.0000000019791599</v>
      </c>
    </row>
    <row r="559" spans="1:40" x14ac:dyDescent="0.25">
      <c r="A559" t="str">
        <f>"20190303154742453"</f>
        <v>20190303154742453</v>
      </c>
      <c r="B559" t="str">
        <f>"1551599262440760"</f>
        <v>1551599262440760</v>
      </c>
      <c r="C559" t="s">
        <v>40</v>
      </c>
      <c r="D559">
        <v>5.1320129999999997</v>
      </c>
      <c r="E559">
        <v>0.49227300000000002</v>
      </c>
      <c r="F559" t="s">
        <v>41</v>
      </c>
      <c r="G559">
        <v>-339.13749999999999</v>
      </c>
      <c r="H559" s="1">
        <v>-8.88456E-7</v>
      </c>
      <c r="I559">
        <v>367.32799999999997</v>
      </c>
      <c r="J559">
        <v>-354.20089999999999</v>
      </c>
      <c r="K559">
        <v>1.121048</v>
      </c>
      <c r="L559">
        <v>367.25729999999999</v>
      </c>
      <c r="M559">
        <v>0.99990389999999996</v>
      </c>
      <c r="N559">
        <v>-1.3836060000000001E-2</v>
      </c>
      <c r="O559">
        <v>-8.8769119999999998E-4</v>
      </c>
      <c r="P559">
        <v>0.99621700000000002</v>
      </c>
      <c r="Q559">
        <v>-8.561212E-2</v>
      </c>
      <c r="R559">
        <v>-1.4918570000000001E-2</v>
      </c>
      <c r="S559">
        <v>2.9927670000000002</v>
      </c>
      <c r="T559">
        <v>-0.2200077</v>
      </c>
      <c r="U559">
        <v>1.3916019999999999E-2</v>
      </c>
      <c r="V559">
        <v>1.412567E-2</v>
      </c>
      <c r="W559">
        <v>-7.1802069999999996E-2</v>
      </c>
      <c r="X559">
        <v>0.99731890000000001</v>
      </c>
      <c r="Y559">
        <v>-5.5183169999999896E-3</v>
      </c>
      <c r="Z559">
        <v>2.9369850000000001E-4</v>
      </c>
      <c r="AA559">
        <v>0.99998469999999995</v>
      </c>
      <c r="AB559">
        <v>36</v>
      </c>
      <c r="AC559">
        <v>15.0634</v>
      </c>
      <c r="AD559">
        <v>-1.1210488884559999</v>
      </c>
      <c r="AE559">
        <v>7.0700000000044796E-2</v>
      </c>
      <c r="AF559">
        <v>-8.3609825162792195E-2</v>
      </c>
      <c r="AG559">
        <v>-1.1210488884559999</v>
      </c>
      <c r="AH559">
        <v>14.980362301628301</v>
      </c>
      <c r="AI559">
        <v>94.279661065394905</v>
      </c>
      <c r="AJ559">
        <v>90.319781342367094</v>
      </c>
      <c r="AK559">
        <v>15.022483013843599</v>
      </c>
      <c r="AL559">
        <v>94.117498615506804</v>
      </c>
      <c r="AM559">
        <v>89.188537227183303</v>
      </c>
      <c r="AN559">
        <v>1.0000000300532199</v>
      </c>
    </row>
    <row r="560" spans="1:40" x14ac:dyDescent="0.25">
      <c r="A560" t="str">
        <f>"20190303154742466"</f>
        <v>20190303154742466</v>
      </c>
      <c r="B560" t="str">
        <f>"1551599262461256"</f>
        <v>1551599262461256</v>
      </c>
      <c r="C560" t="s">
        <v>40</v>
      </c>
      <c r="D560">
        <v>5.0901170000000002</v>
      </c>
      <c r="E560">
        <v>0.49240139999999999</v>
      </c>
      <c r="F560" t="s">
        <v>41</v>
      </c>
      <c r="G560">
        <v>-339.02780000000001</v>
      </c>
      <c r="H560" s="1">
        <v>-9.2244019999999998E-7</v>
      </c>
      <c r="I560">
        <v>367.34059999999999</v>
      </c>
      <c r="J560">
        <v>-354.00970000000001</v>
      </c>
      <c r="K560">
        <v>1.1210629999999999</v>
      </c>
      <c r="L560">
        <v>367.25740000000002</v>
      </c>
      <c r="M560">
        <v>0.99990319999999999</v>
      </c>
      <c r="N560">
        <v>-1.390039E-2</v>
      </c>
      <c r="O560">
        <v>-5.4308489999999997E-4</v>
      </c>
      <c r="P560">
        <v>0.99621300000000002</v>
      </c>
      <c r="Q560">
        <v>-8.5813920000000002E-2</v>
      </c>
      <c r="R560">
        <v>-1.399559E-2</v>
      </c>
      <c r="S560">
        <v>2.992645</v>
      </c>
      <c r="T560">
        <v>-0.2211081</v>
      </c>
      <c r="U560">
        <v>1.644897E-2</v>
      </c>
      <c r="V560">
        <v>1.354782E-2</v>
      </c>
      <c r="W560">
        <v>-7.1940210000000004E-2</v>
      </c>
      <c r="X560">
        <v>0.99731700000000001</v>
      </c>
      <c r="Y560">
        <v>-6.0190360000000002E-3</v>
      </c>
      <c r="Z560">
        <v>2.9648309999999998E-4</v>
      </c>
      <c r="AA560">
        <v>0.99998180000000003</v>
      </c>
      <c r="AB560">
        <v>36</v>
      </c>
      <c r="AC560">
        <v>14.9818999999999</v>
      </c>
      <c r="AD560">
        <v>-1.1210639224401999</v>
      </c>
      <c r="AE560">
        <v>8.3199999999976598E-2</v>
      </c>
      <c r="AF560">
        <v>-9.0828664547263793E-2</v>
      </c>
      <c r="AG560">
        <v>-1.1210639224401999</v>
      </c>
      <c r="AH560">
        <v>14.898435663620401</v>
      </c>
      <c r="AI560">
        <v>94.303151400596803</v>
      </c>
      <c r="AJ560">
        <v>90.349300744163898</v>
      </c>
      <c r="AK560">
        <v>14.9408306123701</v>
      </c>
      <c r="AL560">
        <v>94.125433819425595</v>
      </c>
      <c r="AM560">
        <v>89.221726726599599</v>
      </c>
      <c r="AN560">
        <v>1.0000000678652901</v>
      </c>
    </row>
    <row r="561" spans="1:40" x14ac:dyDescent="0.25">
      <c r="A561" t="str">
        <f>"20190303154742476"</f>
        <v>20190303154742476</v>
      </c>
      <c r="B561" t="str">
        <f>"1551599262471016"</f>
        <v>1551599262471016</v>
      </c>
      <c r="C561" t="s">
        <v>40</v>
      </c>
      <c r="D561">
        <v>5.0902399999999997</v>
      </c>
      <c r="E561">
        <v>0.51042989999999999</v>
      </c>
      <c r="F561" t="s">
        <v>41</v>
      </c>
      <c r="G561">
        <v>-338.7817</v>
      </c>
      <c r="H561" s="1">
        <v>-1.0038649999999999E-6</v>
      </c>
      <c r="I561">
        <v>367.3494</v>
      </c>
      <c r="J561">
        <v>-353.82839999999999</v>
      </c>
      <c r="K561">
        <v>1.1210770000000001</v>
      </c>
      <c r="L561">
        <v>367.25760000000002</v>
      </c>
      <c r="M561">
        <v>0.99990250000000003</v>
      </c>
      <c r="N561">
        <v>-1.395712E-2</v>
      </c>
      <c r="O561">
        <v>-2.143185E-4</v>
      </c>
      <c r="P561">
        <v>0.99619690000000005</v>
      </c>
      <c r="Q561">
        <v>-8.6098030000000006E-2</v>
      </c>
      <c r="R561">
        <v>-1.3386790000000001E-2</v>
      </c>
      <c r="S561">
        <v>2.9927060000000001</v>
      </c>
      <c r="T561">
        <v>-0.2203176</v>
      </c>
      <c r="U561">
        <v>1.8096919999999999E-2</v>
      </c>
      <c r="V561">
        <v>1.3268179999999999E-2</v>
      </c>
      <c r="W561">
        <v>-7.2168120000000002E-2</v>
      </c>
      <c r="X561">
        <v>0.99730419999999997</v>
      </c>
      <c r="Y561">
        <v>-6.2407560000000001E-3</v>
      </c>
      <c r="Z561">
        <v>2.8579629999999999E-4</v>
      </c>
      <c r="AA561">
        <v>0.99998050000000005</v>
      </c>
      <c r="AB561">
        <v>36</v>
      </c>
      <c r="AC561">
        <v>15.0466999999999</v>
      </c>
      <c r="AD561">
        <v>-1.1210780038649999</v>
      </c>
      <c r="AE561">
        <v>9.1799999999977899E-2</v>
      </c>
      <c r="AF561">
        <v>-9.45005239206968E-2</v>
      </c>
      <c r="AG561">
        <v>-1.1210780038649999</v>
      </c>
      <c r="AH561">
        <v>14.9636166081967</v>
      </c>
      <c r="AI561">
        <v>94.284524806026994</v>
      </c>
      <c r="AJ561">
        <v>90.361838273645105</v>
      </c>
      <c r="AK561">
        <v>15.0058511333703</v>
      </c>
      <c r="AL561">
        <v>94.138526516315196</v>
      </c>
      <c r="AM561">
        <v>89.237779336781301</v>
      </c>
      <c r="AN561">
        <v>0.99999997474124303</v>
      </c>
    </row>
    <row r="562" spans="1:40" x14ac:dyDescent="0.25">
      <c r="A562" t="str">
        <f>"20190303154742489"</f>
        <v>20190303154742489</v>
      </c>
      <c r="B562" t="str">
        <f>"1551599262480775"</f>
        <v>1551599262480775</v>
      </c>
      <c r="C562" t="s">
        <v>40</v>
      </c>
      <c r="D562">
        <v>5.0994409999999997</v>
      </c>
      <c r="E562">
        <v>0.51258249999999905</v>
      </c>
      <c r="F562" t="s">
        <v>41</v>
      </c>
      <c r="G562">
        <v>-327.25299999999999</v>
      </c>
      <c r="H562" s="1">
        <v>-1.8439719999999999E-6</v>
      </c>
      <c r="I562">
        <v>366.14710000000002</v>
      </c>
      <c r="J562">
        <v>-353.64179999999999</v>
      </c>
      <c r="K562">
        <v>1.1210850000000001</v>
      </c>
      <c r="L562">
        <v>367.25790000000001</v>
      </c>
      <c r="M562">
        <v>0.99990179999999995</v>
      </c>
      <c r="N562">
        <v>-1.401062E-2</v>
      </c>
      <c r="O562">
        <v>1.239282E-4</v>
      </c>
      <c r="P562">
        <v>0.99620690000000001</v>
      </c>
      <c r="Q562">
        <v>-8.6057190000000006E-2</v>
      </c>
      <c r="R562">
        <v>-1.2902739999999999E-2</v>
      </c>
      <c r="S562">
        <v>2.9988709999999998</v>
      </c>
      <c r="T562">
        <v>-0.1265067</v>
      </c>
      <c r="U562">
        <v>-0.12530519999999901</v>
      </c>
      <c r="V562">
        <v>1.312225E-2</v>
      </c>
      <c r="W562">
        <v>-7.2073810000000002E-2</v>
      </c>
      <c r="X562">
        <v>0.99731300000000001</v>
      </c>
      <c r="Y562">
        <v>4.1821980000000002E-2</v>
      </c>
      <c r="Z562">
        <v>-1.178129E-3</v>
      </c>
      <c r="AA562">
        <v>0.99912440000000002</v>
      </c>
      <c r="AB562">
        <v>36</v>
      </c>
      <c r="AC562">
        <v>26.3888</v>
      </c>
      <c r="AD562">
        <v>-1.1210868439720001</v>
      </c>
      <c r="AE562">
        <v>-1.11079999999998</v>
      </c>
      <c r="AF562">
        <v>1.1120670736017499</v>
      </c>
      <c r="AG562">
        <v>-1.1210868439720001</v>
      </c>
      <c r="AH562">
        <v>26.3412044966107</v>
      </c>
      <c r="AI562">
        <v>92.434882573505305</v>
      </c>
      <c r="AJ562">
        <v>87.582535175714099</v>
      </c>
      <c r="AK562">
        <v>26.3884933867051</v>
      </c>
      <c r="AL562">
        <v>94.133108640091706</v>
      </c>
      <c r="AM562">
        <v>89.246168294356593</v>
      </c>
      <c r="AN562">
        <v>1.0000000237509801</v>
      </c>
    </row>
    <row r="563" spans="1:40" x14ac:dyDescent="0.25">
      <c r="A563" t="str">
        <f>"20190303154742502"</f>
        <v>20190303154742502</v>
      </c>
      <c r="B563" t="str">
        <f>"1551599262491512"</f>
        <v>1551599262491512</v>
      </c>
      <c r="C563" t="s">
        <v>40</v>
      </c>
      <c r="D563">
        <v>5.1003980000000002</v>
      </c>
      <c r="E563">
        <v>0.51326149999999904</v>
      </c>
      <c r="F563" t="s">
        <v>41</v>
      </c>
      <c r="G563">
        <v>-322.68369999999999</v>
      </c>
      <c r="H563" s="1">
        <v>-3.7977009999999999E-6</v>
      </c>
      <c r="I563">
        <v>365.8014</v>
      </c>
      <c r="J563">
        <v>-353.44310000000002</v>
      </c>
      <c r="K563">
        <v>1.121097</v>
      </c>
      <c r="L563">
        <v>367.25819999999999</v>
      </c>
      <c r="M563">
        <v>0.99990100000000004</v>
      </c>
      <c r="N563">
        <v>-1.4065060000000001E-2</v>
      </c>
      <c r="O563">
        <v>4.845157E-4</v>
      </c>
      <c r="P563">
        <v>0.99621090000000001</v>
      </c>
      <c r="Q563">
        <v>-8.6083270000000003E-2</v>
      </c>
      <c r="R563">
        <v>-1.2398920000000001E-2</v>
      </c>
      <c r="S563">
        <v>3.0001829999999998</v>
      </c>
      <c r="T563">
        <v>-0.10864559999999999</v>
      </c>
      <c r="U563">
        <v>-0.14114380000000001</v>
      </c>
      <c r="V563">
        <v>1.297917E-2</v>
      </c>
      <c r="W563">
        <v>-7.2045559999999995E-2</v>
      </c>
      <c r="X563">
        <v>0.99731689999999995</v>
      </c>
      <c r="Y563">
        <v>4.7433889999999999E-2</v>
      </c>
      <c r="Z563">
        <v>-1.2027590000000001E-3</v>
      </c>
      <c r="AA563">
        <v>0.99887369999999998</v>
      </c>
      <c r="AB563">
        <v>35</v>
      </c>
      <c r="AC563">
        <v>30.759399999999999</v>
      </c>
      <c r="AD563">
        <v>-1.1211007977009999</v>
      </c>
      <c r="AE563">
        <v>-1.4567999999999801</v>
      </c>
      <c r="AF563">
        <v>1.4697566386982801</v>
      </c>
      <c r="AG563">
        <v>-1.1211007977009999</v>
      </c>
      <c r="AH563">
        <v>30.717975599295499</v>
      </c>
      <c r="AI563">
        <v>92.087785499544296</v>
      </c>
      <c r="AJ563">
        <v>87.260669785319806</v>
      </c>
      <c r="AK563">
        <v>30.773545075186199</v>
      </c>
      <c r="AL563">
        <v>94.131485871216398</v>
      </c>
      <c r="AM563">
        <v>89.254389769565805</v>
      </c>
      <c r="AN563">
        <v>1.0000000102976001</v>
      </c>
    </row>
    <row r="564" spans="1:40" x14ac:dyDescent="0.25">
      <c r="A564" t="str">
        <f>"20190303154742513"</f>
        <v>20190303154742513</v>
      </c>
      <c r="B564" t="str">
        <f>"1551599262511032"</f>
        <v>1551599262511032</v>
      </c>
      <c r="C564" t="s">
        <v>40</v>
      </c>
      <c r="D564">
        <v>5.0989380000000004</v>
      </c>
      <c r="E564">
        <v>0.51483069999999997</v>
      </c>
      <c r="F564" t="s">
        <v>41</v>
      </c>
      <c r="G564">
        <v>-320.88839999999999</v>
      </c>
      <c r="H564" s="1">
        <v>-4.5887879999999997E-6</v>
      </c>
      <c r="I564">
        <v>365.68349999999998</v>
      </c>
      <c r="J564">
        <v>-353.24700000000001</v>
      </c>
      <c r="K564">
        <v>1.1211089999999999</v>
      </c>
      <c r="L564">
        <v>367.2586</v>
      </c>
      <c r="M564">
        <v>0.99990009999999996</v>
      </c>
      <c r="N564">
        <v>-1.411257E-2</v>
      </c>
      <c r="O564">
        <v>8.3951839999999995E-4</v>
      </c>
      <c r="P564">
        <v>0.99621499999999996</v>
      </c>
      <c r="Q564">
        <v>-8.6089020000000002E-2</v>
      </c>
      <c r="R564">
        <v>-1.2019459999999999E-2</v>
      </c>
      <c r="S564">
        <v>3.0006710000000001</v>
      </c>
      <c r="T564">
        <v>-0.10333539999999999</v>
      </c>
      <c r="U564">
        <v>-0.14514160000000001</v>
      </c>
      <c r="V564">
        <v>1.2954429999999999E-2</v>
      </c>
      <c r="W564">
        <v>-7.2003830000000005E-2</v>
      </c>
      <c r="X564">
        <v>0.99732019999999999</v>
      </c>
      <c r="Y564">
        <v>4.9110689999999999E-2</v>
      </c>
      <c r="Z564">
        <v>-1.2088279999999999E-3</v>
      </c>
      <c r="AA564">
        <v>0.99879260000000003</v>
      </c>
      <c r="AB564">
        <v>35</v>
      </c>
      <c r="AC564">
        <v>32.358599999999903</v>
      </c>
      <c r="AD564">
        <v>-1.1211135887879999</v>
      </c>
      <c r="AE564">
        <v>-1.5751000000000199</v>
      </c>
      <c r="AF564">
        <v>1.6003512961267601</v>
      </c>
      <c r="AG564">
        <v>-1.1211135887879999</v>
      </c>
      <c r="AH564">
        <v>32.318563190690298</v>
      </c>
      <c r="AI564">
        <v>91.984333735453006</v>
      </c>
      <c r="AJ564">
        <v>87.165141920761201</v>
      </c>
      <c r="AK564">
        <v>32.377577838075197</v>
      </c>
      <c r="AL564">
        <v>94.129088838279998</v>
      </c>
      <c r="AM564">
        <v>89.255813302593495</v>
      </c>
      <c r="AN564">
        <v>0.99999997505966598</v>
      </c>
    </row>
    <row r="565" spans="1:40" x14ac:dyDescent="0.25">
      <c r="A565" t="str">
        <f>"20190303154742526"</f>
        <v>20190303154742526</v>
      </c>
      <c r="B565" t="str">
        <f>"1551599262520792"</f>
        <v>1551599262520792</v>
      </c>
      <c r="C565" t="s">
        <v>40</v>
      </c>
      <c r="D565">
        <v>5.0726610000000001</v>
      </c>
      <c r="E565">
        <v>0.51538930000000005</v>
      </c>
      <c r="F565" t="s">
        <v>43</v>
      </c>
      <c r="G565">
        <v>-317.48750000000001</v>
      </c>
      <c r="H565">
        <v>-0.05</v>
      </c>
      <c r="I565">
        <v>365.39530000000002</v>
      </c>
      <c r="J565">
        <v>-353.04880000000003</v>
      </c>
      <c r="K565">
        <v>1.1211199999999999</v>
      </c>
      <c r="L565">
        <v>367.25920000000002</v>
      </c>
      <c r="M565">
        <v>0.99989910000000004</v>
      </c>
      <c r="N565">
        <v>-1.4157869999999999E-2</v>
      </c>
      <c r="O565">
        <v>1.198221E-3</v>
      </c>
      <c r="P565">
        <v>0.99624279999999998</v>
      </c>
      <c r="Q565">
        <v>-8.5834289999999994E-2</v>
      </c>
      <c r="R565">
        <v>-1.152836E-2</v>
      </c>
      <c r="S565">
        <v>3.001007</v>
      </c>
      <c r="T565">
        <v>-9.8281740000000006E-2</v>
      </c>
      <c r="U565">
        <v>-0.15637210000000001</v>
      </c>
      <c r="V565">
        <v>1.282089E-2</v>
      </c>
      <c r="W565">
        <v>-7.1703660000000002E-2</v>
      </c>
      <c r="X565">
        <v>0.9973436</v>
      </c>
      <c r="Y565">
        <v>5.3191639999999998E-2</v>
      </c>
      <c r="Z565">
        <v>-1.2693909999999999E-3</v>
      </c>
      <c r="AA565">
        <v>0.99858349999999996</v>
      </c>
      <c r="AB565">
        <v>35</v>
      </c>
      <c r="AC565">
        <v>35.561300000000003</v>
      </c>
      <c r="AD565">
        <v>-1.1711199999999999</v>
      </c>
      <c r="AE565">
        <v>-1.8638999999999999</v>
      </c>
      <c r="AF565">
        <v>1.90445342080733</v>
      </c>
      <c r="AG565">
        <v>-1.1711199999999999</v>
      </c>
      <c r="AH565">
        <v>35.520622710706597</v>
      </c>
      <c r="AI565">
        <v>91.885659620978402</v>
      </c>
      <c r="AJ565">
        <v>86.931000687064</v>
      </c>
      <c r="AK565">
        <v>35.590913203271299</v>
      </c>
      <c r="AL565">
        <v>94.111845594890497</v>
      </c>
      <c r="AM565">
        <v>89.263501137573797</v>
      </c>
      <c r="AN565">
        <v>1.00000002326937</v>
      </c>
    </row>
    <row r="566" spans="1:40" x14ac:dyDescent="0.25">
      <c r="A566" t="str">
        <f>"20190303154742543"</f>
        <v>20190303154742543</v>
      </c>
      <c r="B566" t="str">
        <f>"1551599262531528"</f>
        <v>1551599262531528</v>
      </c>
      <c r="C566" t="s">
        <v>40</v>
      </c>
      <c r="D566">
        <v>5.0631870000000001</v>
      </c>
      <c r="E566">
        <v>0.51580950000000003</v>
      </c>
      <c r="F566" t="s">
        <v>43</v>
      </c>
      <c r="G566">
        <v>-316.54250000000002</v>
      </c>
      <c r="H566">
        <v>-0.05</v>
      </c>
      <c r="I566">
        <v>365.3218</v>
      </c>
      <c r="J566">
        <v>-352.78339999999997</v>
      </c>
      <c r="K566">
        <v>1.1211329999999999</v>
      </c>
      <c r="L566">
        <v>367.25990000000002</v>
      </c>
      <c r="M566">
        <v>0.99989760000000005</v>
      </c>
      <c r="N566">
        <v>-1.4213160000000001E-2</v>
      </c>
      <c r="O566">
        <v>1.6773179999999999E-3</v>
      </c>
      <c r="P566">
        <v>0.99631409999999998</v>
      </c>
      <c r="Q566">
        <v>-8.5073659999999995E-2</v>
      </c>
      <c r="R566">
        <v>-1.0992450000000001E-2</v>
      </c>
      <c r="S566">
        <v>3.0011899999999998</v>
      </c>
      <c r="T566">
        <v>-9.6277950000000001E-2</v>
      </c>
      <c r="U566">
        <v>-0.1592712</v>
      </c>
      <c r="V566">
        <v>1.276217E-2</v>
      </c>
      <c r="W566">
        <v>-7.0886930000000001E-2</v>
      </c>
      <c r="X566">
        <v>0.99740269999999998</v>
      </c>
      <c r="Y566">
        <v>5.4629089999999998E-2</v>
      </c>
      <c r="Z566">
        <v>-1.294007E-3</v>
      </c>
      <c r="AA566">
        <v>0.99850589999999995</v>
      </c>
      <c r="AB566">
        <v>35</v>
      </c>
      <c r="AC566">
        <v>36.240899999999897</v>
      </c>
      <c r="AD566">
        <v>-1.171133</v>
      </c>
      <c r="AE566">
        <v>-1.9381000000000199</v>
      </c>
      <c r="AF566">
        <v>1.9968116547283401</v>
      </c>
      <c r="AG566">
        <v>-1.171133</v>
      </c>
      <c r="AH566">
        <v>36.199903055999101</v>
      </c>
      <c r="AI566">
        <v>91.850166203363401</v>
      </c>
      <c r="AJ566">
        <v>86.842724851110106</v>
      </c>
      <c r="AK566">
        <v>36.273844441303503</v>
      </c>
      <c r="AL566">
        <v>94.064931170955902</v>
      </c>
      <c r="AM566">
        <v>89.266917387785895</v>
      </c>
      <c r="AN566">
        <v>0.99999998789761102</v>
      </c>
    </row>
    <row r="567" spans="1:40" x14ac:dyDescent="0.25">
      <c r="A567" t="str">
        <f>"20190303154742553"</f>
        <v>20190303154742553</v>
      </c>
      <c r="B567" t="str">
        <f>"1551599262551048"</f>
        <v>1551599262551048</v>
      </c>
      <c r="C567" t="s">
        <v>40</v>
      </c>
      <c r="D567">
        <v>5.0708859999999998</v>
      </c>
      <c r="E567">
        <v>0.51627000000000001</v>
      </c>
      <c r="F567" t="s">
        <v>43</v>
      </c>
      <c r="G567">
        <v>-315.30709999999999</v>
      </c>
      <c r="H567">
        <v>-0.05</v>
      </c>
      <c r="I567">
        <v>365.24829999999997</v>
      </c>
      <c r="J567">
        <v>-352.60379999999998</v>
      </c>
      <c r="K567">
        <v>1.1211469999999999</v>
      </c>
      <c r="L567">
        <v>367.26049999999998</v>
      </c>
      <c r="M567">
        <v>0.99989649999999997</v>
      </c>
      <c r="N567">
        <v>-1.424654E-2</v>
      </c>
      <c r="O567">
        <v>2.0008999999999999E-3</v>
      </c>
      <c r="P567">
        <v>0.99632449999999995</v>
      </c>
      <c r="Q567">
        <v>-8.4984089999999998E-2</v>
      </c>
      <c r="R567">
        <v>-1.0746779999999999E-2</v>
      </c>
      <c r="S567">
        <v>3.001312</v>
      </c>
      <c r="T567">
        <v>-9.3790890000000002E-2</v>
      </c>
      <c r="U567">
        <v>-0.1611023</v>
      </c>
      <c r="V567">
        <v>1.2839100000000001E-2</v>
      </c>
      <c r="W567">
        <v>-7.0763779999999998E-2</v>
      </c>
      <c r="X567">
        <v>0.99741049999999998</v>
      </c>
      <c r="Y567">
        <v>5.5558539999999997E-2</v>
      </c>
      <c r="Z567">
        <v>-1.2974550000000001E-3</v>
      </c>
      <c r="AA567">
        <v>0.99845459999999997</v>
      </c>
      <c r="AB567">
        <v>35</v>
      </c>
      <c r="AC567">
        <v>37.296699999999902</v>
      </c>
      <c r="AD567">
        <v>-1.1711469999999999</v>
      </c>
      <c r="AE567">
        <v>-2.0122</v>
      </c>
      <c r="AF567">
        <v>2.0847808613930798</v>
      </c>
      <c r="AG567">
        <v>-1.1711469999999999</v>
      </c>
      <c r="AH567">
        <v>37.255970501706102</v>
      </c>
      <c r="AI567">
        <v>91.797697933881693</v>
      </c>
      <c r="AJ567">
        <v>86.797165705531697</v>
      </c>
      <c r="AK567">
        <v>37.332629622886699</v>
      </c>
      <c r="AL567">
        <v>94.0578572592906</v>
      </c>
      <c r="AM567">
        <v>89.262504639955296</v>
      </c>
      <c r="AN567">
        <v>1.00000003027947</v>
      </c>
    </row>
    <row r="568" spans="1:40" x14ac:dyDescent="0.25">
      <c r="A568" t="str">
        <f>"20190303154742567"</f>
        <v>20190303154742567</v>
      </c>
      <c r="B568" t="str">
        <f>"1551599262560808"</f>
        <v>1551599262560808</v>
      </c>
      <c r="C568" t="s">
        <v>40</v>
      </c>
      <c r="D568">
        <v>5.0513839999999997</v>
      </c>
      <c r="E568">
        <v>0.51649829999999997</v>
      </c>
      <c r="F568" t="s">
        <v>43</v>
      </c>
      <c r="G568">
        <v>-315.81209999999999</v>
      </c>
      <c r="H568">
        <v>-0.05</v>
      </c>
      <c r="I568">
        <v>365.24810000000002</v>
      </c>
      <c r="J568">
        <v>-352.4085</v>
      </c>
      <c r="K568">
        <v>1.1211549999999999</v>
      </c>
      <c r="L568">
        <v>367.26130000000001</v>
      </c>
      <c r="M568">
        <v>0.99989539999999999</v>
      </c>
      <c r="N568">
        <v>-1.428045E-2</v>
      </c>
      <c r="O568">
        <v>2.352486E-3</v>
      </c>
      <c r="P568">
        <v>0.99633720000000003</v>
      </c>
      <c r="Q568">
        <v>-8.4861439999999996E-2</v>
      </c>
      <c r="R568">
        <v>-1.0550230000000001E-2</v>
      </c>
      <c r="S568">
        <v>3.00116</v>
      </c>
      <c r="T568">
        <v>-9.5532300000000001E-2</v>
      </c>
      <c r="U568">
        <v>-0.1641541</v>
      </c>
      <c r="V568">
        <v>1.2993019999999999E-2</v>
      </c>
      <c r="W568">
        <v>-7.06069E-2</v>
      </c>
      <c r="X568">
        <v>0.99741959999999996</v>
      </c>
      <c r="Y568">
        <v>5.6922260000000002E-2</v>
      </c>
      <c r="Z568">
        <v>-1.3532189999999999E-3</v>
      </c>
      <c r="AA568">
        <v>0.99837770000000003</v>
      </c>
      <c r="AB568">
        <v>35</v>
      </c>
      <c r="AC568">
        <v>36.596400000000003</v>
      </c>
      <c r="AD568">
        <v>-1.1711549999999999</v>
      </c>
      <c r="AE568">
        <v>-2.0131999999999799</v>
      </c>
      <c r="AF568">
        <v>2.0971544509709301</v>
      </c>
      <c r="AG568">
        <v>-1.1711549999999999</v>
      </c>
      <c r="AH568">
        <v>36.554239124717199</v>
      </c>
      <c r="AI568">
        <v>91.832051434753197</v>
      </c>
      <c r="AJ568">
        <v>86.716481295597305</v>
      </c>
      <c r="AK568">
        <v>36.6330732919347</v>
      </c>
      <c r="AL568">
        <v>94.048846257628</v>
      </c>
      <c r="AM568">
        <v>89.253671068503706</v>
      </c>
      <c r="AN568">
        <v>1.0000000056802401</v>
      </c>
    </row>
    <row r="569" spans="1:40" x14ac:dyDescent="0.25">
      <c r="A569" t="str">
        <f>"20190303154742580"</f>
        <v>20190303154742580</v>
      </c>
      <c r="B569" t="str">
        <f>"1551599262571544"</f>
        <v>1551599262571544</v>
      </c>
      <c r="C569" t="s">
        <v>40</v>
      </c>
      <c r="D569">
        <v>5.0565340000000001</v>
      </c>
      <c r="E569">
        <v>0.51675459999999995</v>
      </c>
      <c r="F569" t="s">
        <v>43</v>
      </c>
      <c r="G569">
        <v>-315.66370000000001</v>
      </c>
      <c r="H569">
        <v>-0.05</v>
      </c>
      <c r="I569">
        <v>365.23719999999997</v>
      </c>
      <c r="J569">
        <v>-352.19839999999999</v>
      </c>
      <c r="K569">
        <v>1.121165</v>
      </c>
      <c r="L569">
        <v>367.26209999999998</v>
      </c>
      <c r="M569">
        <v>0.9998939</v>
      </c>
      <c r="N569">
        <v>-1.4314530000000001E-2</v>
      </c>
      <c r="O569">
        <v>2.7302289999999998E-3</v>
      </c>
      <c r="P569">
        <v>0.99632469999999995</v>
      </c>
      <c r="Q569">
        <v>-8.5037790000000002E-2</v>
      </c>
      <c r="R569">
        <v>-1.0300490000000001E-2</v>
      </c>
      <c r="S569">
        <v>3.00116</v>
      </c>
      <c r="T569">
        <v>-9.5654959999999997E-2</v>
      </c>
      <c r="U569">
        <v>-0.16531370000000001</v>
      </c>
      <c r="V569">
        <v>1.312027E-2</v>
      </c>
      <c r="W569">
        <v>-7.0749270000000003E-2</v>
      </c>
      <c r="X569">
        <v>0.99740790000000001</v>
      </c>
      <c r="Y569">
        <v>5.7683310000000002E-2</v>
      </c>
      <c r="Z569">
        <v>-1.379557E-3</v>
      </c>
      <c r="AA569">
        <v>0.99833400000000005</v>
      </c>
      <c r="AB569">
        <v>35</v>
      </c>
      <c r="AC569">
        <v>36.534700000000001</v>
      </c>
      <c r="AD569">
        <v>-1.171165</v>
      </c>
      <c r="AE569">
        <v>-2.0249000000000001</v>
      </c>
      <c r="AF569">
        <v>2.1224763790926899</v>
      </c>
      <c r="AG569">
        <v>-1.171165</v>
      </c>
      <c r="AH569">
        <v>36.491650729562203</v>
      </c>
      <c r="AI569">
        <v>91.835123519104897</v>
      </c>
      <c r="AJ569">
        <v>86.671236280605797</v>
      </c>
      <c r="AK569">
        <v>36.572080969031397</v>
      </c>
      <c r="AL569">
        <v>94.0570236884938</v>
      </c>
      <c r="AM569">
        <v>89.246353731416207</v>
      </c>
      <c r="AN569">
        <v>1.0000000598364001</v>
      </c>
    </row>
    <row r="570" spans="1:40" x14ac:dyDescent="0.25">
      <c r="A570" t="str">
        <f>"20190303154742593"</f>
        <v>20190303154742593</v>
      </c>
      <c r="B570" t="str">
        <f>"1551599262581304"</f>
        <v>1551599262581304</v>
      </c>
      <c r="C570" t="s">
        <v>40</v>
      </c>
      <c r="D570">
        <v>5.094481</v>
      </c>
      <c r="E570">
        <v>0.51693029999999995</v>
      </c>
      <c r="F570" t="s">
        <v>43</v>
      </c>
      <c r="G570">
        <v>-315.5111</v>
      </c>
      <c r="H570">
        <v>-0.05</v>
      </c>
      <c r="I570">
        <v>365.22289999999998</v>
      </c>
      <c r="J570">
        <v>-352.00569999999999</v>
      </c>
      <c r="K570">
        <v>1.1211709999999999</v>
      </c>
      <c r="L570">
        <v>367.2629</v>
      </c>
      <c r="M570">
        <v>0.99989249999999996</v>
      </c>
      <c r="N570">
        <v>-1.434176E-2</v>
      </c>
      <c r="O570">
        <v>3.075997E-3</v>
      </c>
      <c r="P570">
        <v>0.9963381</v>
      </c>
      <c r="Q570">
        <v>-8.4905729999999999E-2</v>
      </c>
      <c r="R570">
        <v>-1.009884E-2</v>
      </c>
      <c r="S570">
        <v>3.00116</v>
      </c>
      <c r="T570">
        <v>-9.5805760000000004E-2</v>
      </c>
      <c r="U570">
        <v>-0.16680909999999999</v>
      </c>
      <c r="V570">
        <v>1.326307E-2</v>
      </c>
      <c r="W570">
        <v>-7.0589659999999999E-2</v>
      </c>
      <c r="X570">
        <v>0.99741729999999995</v>
      </c>
      <c r="Y570">
        <v>5.8523600000000002E-2</v>
      </c>
      <c r="Z570">
        <v>-1.4073499999999999E-3</v>
      </c>
      <c r="AA570">
        <v>0.99828510000000004</v>
      </c>
      <c r="AB570">
        <v>35</v>
      </c>
      <c r="AC570">
        <v>36.494599999999899</v>
      </c>
      <c r="AD570">
        <v>-1.171171</v>
      </c>
      <c r="AE570">
        <v>-2.04000000000002</v>
      </c>
      <c r="AF570">
        <v>2.1500517832385202</v>
      </c>
      <c r="AG570">
        <v>-1.171171</v>
      </c>
      <c r="AH570">
        <v>36.450728968536701</v>
      </c>
      <c r="AI570">
        <v>91.837103660961901</v>
      </c>
      <c r="AJ570">
        <v>86.624311072530901</v>
      </c>
      <c r="AK570">
        <v>36.5328620083285</v>
      </c>
      <c r="AL570">
        <v>94.047855869484593</v>
      </c>
      <c r="AM570">
        <v>89.238159244609804</v>
      </c>
      <c r="AN570">
        <v>1.0000000397320099</v>
      </c>
    </row>
    <row r="571" spans="1:40" x14ac:dyDescent="0.25">
      <c r="A571" t="str">
        <f>"20190303154742612"</f>
        <v>20190303154742612</v>
      </c>
      <c r="B571" t="str">
        <f>"1551599262600824"</f>
        <v>1551599262600824</v>
      </c>
      <c r="C571" t="s">
        <v>40</v>
      </c>
      <c r="D571">
        <v>5.078462</v>
      </c>
      <c r="E571">
        <v>0.51728580000000002</v>
      </c>
      <c r="F571" t="s">
        <v>43</v>
      </c>
      <c r="G571">
        <v>-314.9187</v>
      </c>
      <c r="H571">
        <v>-0.05</v>
      </c>
      <c r="I571">
        <v>365.19709999999998</v>
      </c>
      <c r="J571">
        <v>-351.7038</v>
      </c>
      <c r="K571">
        <v>1.1211789999999999</v>
      </c>
      <c r="L571">
        <v>367.26440000000002</v>
      </c>
      <c r="M571">
        <v>0.9998901</v>
      </c>
      <c r="N571">
        <v>-1.438117E-2</v>
      </c>
      <c r="O571">
        <v>3.6163369999999999E-3</v>
      </c>
      <c r="P571">
        <v>0.9963341</v>
      </c>
      <c r="Q571">
        <v>-8.4985630000000006E-2</v>
      </c>
      <c r="R571">
        <v>-9.7895380000000004E-3</v>
      </c>
      <c r="S571">
        <v>3.0012819999999998</v>
      </c>
      <c r="T571">
        <v>-9.4777459999999994E-2</v>
      </c>
      <c r="U571">
        <v>-0.1671753</v>
      </c>
      <c r="V571">
        <v>1.3492519999999999E-2</v>
      </c>
      <c r="W571">
        <v>-7.0630070000000003E-2</v>
      </c>
      <c r="X571">
        <v>0.9974113</v>
      </c>
      <c r="Y571">
        <v>5.9182449999999998E-2</v>
      </c>
      <c r="Z571">
        <v>-1.421692E-3</v>
      </c>
      <c r="AA571">
        <v>0.99824619999999997</v>
      </c>
      <c r="AB571">
        <v>35</v>
      </c>
      <c r="AC571">
        <v>36.7851</v>
      </c>
      <c r="AD571">
        <v>-1.171179</v>
      </c>
      <c r="AE571">
        <v>-2.0673000000000399</v>
      </c>
      <c r="AF571">
        <v>2.19810637815345</v>
      </c>
      <c r="AG571">
        <v>-1.171179</v>
      </c>
      <c r="AH571">
        <v>36.740256826985103</v>
      </c>
      <c r="AI571">
        <v>91.822557890162301</v>
      </c>
      <c r="AJ571">
        <v>86.576173268171402</v>
      </c>
      <c r="AK571">
        <v>36.8245815130674</v>
      </c>
      <c r="AL571">
        <v>94.050177235259895</v>
      </c>
      <c r="AM571">
        <v>89.224976395686596</v>
      </c>
      <c r="AN571">
        <v>0.99999997812592201</v>
      </c>
    </row>
    <row r="572" spans="1:40" x14ac:dyDescent="0.25">
      <c r="A572" t="str">
        <f>"20190303154742634"</f>
        <v>20190303154742634</v>
      </c>
      <c r="B572" t="str">
        <f>"1551599262631080"</f>
        <v>1551599262631080</v>
      </c>
      <c r="C572" t="s">
        <v>40</v>
      </c>
      <c r="D572">
        <v>5.0806610000000001</v>
      </c>
      <c r="E572">
        <v>0.5177235</v>
      </c>
      <c r="F572" t="s">
        <v>43</v>
      </c>
      <c r="G572">
        <v>-314.14420000000001</v>
      </c>
      <c r="H572">
        <v>-0.05</v>
      </c>
      <c r="I572">
        <v>365.14679999999998</v>
      </c>
      <c r="J572">
        <v>-351.36110000000002</v>
      </c>
      <c r="K572">
        <v>1.1211850000000001</v>
      </c>
      <c r="L572">
        <v>367.2663</v>
      </c>
      <c r="M572">
        <v>0.99988699999999997</v>
      </c>
      <c r="N572">
        <v>-1.4420000000000001E-2</v>
      </c>
      <c r="O572">
        <v>4.2264479999999998E-3</v>
      </c>
      <c r="P572">
        <v>0.99635240000000003</v>
      </c>
      <c r="Q572">
        <v>-8.475974E-2</v>
      </c>
      <c r="R572">
        <v>-9.8898179999999999E-3</v>
      </c>
      <c r="S572">
        <v>3.001404</v>
      </c>
      <c r="T572">
        <v>-9.3589539999999999E-2</v>
      </c>
      <c r="U572">
        <v>-0.16922000000000001</v>
      </c>
      <c r="V572">
        <v>1.4200239999999999E-2</v>
      </c>
      <c r="W572">
        <v>-7.0364360000000001E-2</v>
      </c>
      <c r="X572">
        <v>0.99742030000000004</v>
      </c>
      <c r="Y572">
        <v>6.0467090000000001E-2</v>
      </c>
      <c r="Z572">
        <v>-1.4490200000000001E-3</v>
      </c>
      <c r="AA572">
        <v>0.99816910000000003</v>
      </c>
      <c r="AB572">
        <v>35</v>
      </c>
      <c r="AC572">
        <v>37.216900000000003</v>
      </c>
      <c r="AD572">
        <v>-1.1711849999999999</v>
      </c>
      <c r="AE572">
        <v>-2.1195000000000102</v>
      </c>
      <c r="AF572">
        <v>2.2745475070669898</v>
      </c>
      <c r="AG572">
        <v>-1.1711849999999999</v>
      </c>
      <c r="AH572">
        <v>37.170916958276599</v>
      </c>
      <c r="AI572">
        <v>91.801317092053296</v>
      </c>
      <c r="AJ572">
        <v>86.498346344116698</v>
      </c>
      <c r="AK572">
        <v>37.258855433107698</v>
      </c>
      <c r="AL572">
        <v>94.0349150220094</v>
      </c>
      <c r="AM572">
        <v>89.184336978141303</v>
      </c>
      <c r="AN572">
        <v>1.00000002241317</v>
      </c>
    </row>
    <row r="573" spans="1:40" x14ac:dyDescent="0.25">
      <c r="A573" t="str">
        <f>"20190303154742647"</f>
        <v>20190303154742647</v>
      </c>
      <c r="B573" t="str">
        <f>"1551599262640841"</f>
        <v>1551599262640841</v>
      </c>
      <c r="C573" t="s">
        <v>40</v>
      </c>
      <c r="D573">
        <v>5.0829599999999999</v>
      </c>
      <c r="E573">
        <v>0.5178644</v>
      </c>
      <c r="F573" t="s">
        <v>43</v>
      </c>
      <c r="G573">
        <v>-313.68830000000003</v>
      </c>
      <c r="H573">
        <v>-0.05</v>
      </c>
      <c r="I573">
        <v>365.1001</v>
      </c>
      <c r="J573">
        <v>-351.14060000000001</v>
      </c>
      <c r="K573">
        <v>1.1211899999999999</v>
      </c>
      <c r="L573">
        <v>367.26760000000002</v>
      </c>
      <c r="M573">
        <v>0.99988509999999997</v>
      </c>
      <c r="N573">
        <v>-1.444208E-2</v>
      </c>
      <c r="O573">
        <v>4.6168509999999999E-3</v>
      </c>
      <c r="P573">
        <v>0.99637189999999998</v>
      </c>
      <c r="Q573">
        <v>-8.4580890000000006E-2</v>
      </c>
      <c r="R573">
        <v>-9.4339420000000007E-3</v>
      </c>
      <c r="S573">
        <v>3.0013429999999999</v>
      </c>
      <c r="T573">
        <v>-9.3306780000000006E-2</v>
      </c>
      <c r="U573">
        <v>-0.17257690000000001</v>
      </c>
      <c r="V573">
        <v>1.41329E-2</v>
      </c>
      <c r="W573">
        <v>-7.0163429999999999E-2</v>
      </c>
      <c r="X573">
        <v>0.99743539999999997</v>
      </c>
      <c r="Y573">
        <v>6.1969799999999998E-2</v>
      </c>
      <c r="Z573">
        <v>-1.4870459999999999E-3</v>
      </c>
      <c r="AA573">
        <v>0.99807690000000004</v>
      </c>
      <c r="AB573">
        <v>35</v>
      </c>
      <c r="AC573">
        <v>37.452299999999902</v>
      </c>
      <c r="AD573">
        <v>-1.17119</v>
      </c>
      <c r="AE573">
        <v>-2.1675000000000102</v>
      </c>
      <c r="AF573">
        <v>2.33812776993337</v>
      </c>
      <c r="AG573">
        <v>-1.17119</v>
      </c>
      <c r="AH573">
        <v>37.405435748643797</v>
      </c>
      <c r="AI573">
        <v>91.789893426287904</v>
      </c>
      <c r="AJ573">
        <v>86.423226143317706</v>
      </c>
      <c r="AK573">
        <v>37.496735204955598</v>
      </c>
      <c r="AL573">
        <v>94.023374101154602</v>
      </c>
      <c r="AM573">
        <v>89.188216762717005</v>
      </c>
      <c r="AN573">
        <v>1.0000000114724601</v>
      </c>
    </row>
    <row r="574" spans="1:40" x14ac:dyDescent="0.25">
      <c r="A574" t="str">
        <f>"20190303154742659"</f>
        <v>20190303154742659</v>
      </c>
      <c r="B574" t="str">
        <f>"1551599262651575"</f>
        <v>1551599262651575</v>
      </c>
      <c r="C574" t="s">
        <v>40</v>
      </c>
      <c r="D574">
        <v>5.1028799999999999</v>
      </c>
      <c r="E574">
        <v>0.51794399999999996</v>
      </c>
      <c r="F574" t="s">
        <v>43</v>
      </c>
      <c r="G574">
        <v>-313.15800000000002</v>
      </c>
      <c r="H574">
        <v>-0.05</v>
      </c>
      <c r="I574">
        <v>365.08170000000001</v>
      </c>
      <c r="J574">
        <v>-350.94699999999898</v>
      </c>
      <c r="K574">
        <v>1.1211949999999999</v>
      </c>
      <c r="L574">
        <v>367.2688</v>
      </c>
      <c r="M574">
        <v>0.99988319999999997</v>
      </c>
      <c r="N574">
        <v>-1.4460199999999999E-2</v>
      </c>
      <c r="O574">
        <v>4.9589400000000002E-3</v>
      </c>
      <c r="P574">
        <v>0.99639960000000005</v>
      </c>
      <c r="Q574">
        <v>-8.4292820000000004E-2</v>
      </c>
      <c r="R574">
        <v>-9.096537E-3</v>
      </c>
      <c r="S574">
        <v>3.001404</v>
      </c>
      <c r="T574">
        <v>-9.2548130000000006E-2</v>
      </c>
      <c r="U574">
        <v>-0.17272950000000001</v>
      </c>
      <c r="V574">
        <v>1.4135770000000001E-2</v>
      </c>
      <c r="W574">
        <v>-6.9856989999999994E-2</v>
      </c>
      <c r="X574">
        <v>0.99745680000000003</v>
      </c>
      <c r="Y574">
        <v>6.236096E-2</v>
      </c>
      <c r="Z574">
        <v>-1.4929660000000001E-3</v>
      </c>
      <c r="AA574">
        <v>0.99805250000000001</v>
      </c>
      <c r="AB574">
        <v>35</v>
      </c>
      <c r="AC574">
        <v>37.788999999999902</v>
      </c>
      <c r="AD574">
        <v>-1.171195</v>
      </c>
      <c r="AE574">
        <v>-2.1870999999999801</v>
      </c>
      <c r="AF574">
        <v>2.3722150076868398</v>
      </c>
      <c r="AG574">
        <v>-1.171195</v>
      </c>
      <c r="AH574">
        <v>37.741556175046</v>
      </c>
      <c r="AI574">
        <v>91.773932361316895</v>
      </c>
      <c r="AJ574">
        <v>86.403451344591204</v>
      </c>
      <c r="AK574">
        <v>37.834166626012397</v>
      </c>
      <c r="AL574">
        <v>94.005773467730904</v>
      </c>
      <c r="AM574">
        <v>89.188069351783497</v>
      </c>
      <c r="AN574">
        <v>0.99999994345579402</v>
      </c>
    </row>
    <row r="575" spans="1:40" x14ac:dyDescent="0.25">
      <c r="A575" t="str">
        <f>"20190303154742677"</f>
        <v>20190303154742677</v>
      </c>
      <c r="B575" t="str">
        <f>"1551599262671096"</f>
        <v>1551599262671096</v>
      </c>
      <c r="C575" t="s">
        <v>40</v>
      </c>
      <c r="D575">
        <v>5.1074719999999996</v>
      </c>
      <c r="E575">
        <v>0.51816130000000005</v>
      </c>
      <c r="F575" t="s">
        <v>43</v>
      </c>
      <c r="G575">
        <v>-312.70499999999998</v>
      </c>
      <c r="H575">
        <v>-0.05</v>
      </c>
      <c r="I575">
        <v>365.07580000000002</v>
      </c>
      <c r="J575">
        <v>-350.67849999999999</v>
      </c>
      <c r="K575">
        <v>1.1211960000000001</v>
      </c>
      <c r="L575">
        <v>367.2706</v>
      </c>
      <c r="M575">
        <v>0.99988060000000001</v>
      </c>
      <c r="N575">
        <v>-1.4481849999999999E-2</v>
      </c>
      <c r="O575">
        <v>5.4296589999999999E-3</v>
      </c>
      <c r="P575">
        <v>0.99647549999999996</v>
      </c>
      <c r="Q575">
        <v>-8.3442260000000004E-2</v>
      </c>
      <c r="R575">
        <v>-8.61654699999999E-3</v>
      </c>
      <c r="S575">
        <v>3.001465</v>
      </c>
      <c r="T575">
        <v>-9.192264E-2</v>
      </c>
      <c r="U575">
        <v>-0.1721191</v>
      </c>
      <c r="V575">
        <v>1.4123699999999999E-2</v>
      </c>
      <c r="W575">
        <v>-6.8984019999999993E-2</v>
      </c>
      <c r="X575">
        <v>0.99751780000000001</v>
      </c>
      <c r="Y575">
        <v>6.262761E-2</v>
      </c>
      <c r="Z575">
        <v>-1.4995970000000001E-3</v>
      </c>
      <c r="AA575">
        <v>0.99803580000000003</v>
      </c>
      <c r="AB575">
        <v>35</v>
      </c>
      <c r="AC575">
        <v>37.973500000000001</v>
      </c>
      <c r="AD575">
        <v>-1.1711959999999999</v>
      </c>
      <c r="AE575">
        <v>-2.1947999999999799</v>
      </c>
      <c r="AF575">
        <v>2.3986981958276101</v>
      </c>
      <c r="AG575">
        <v>-1.1711959999999999</v>
      </c>
      <c r="AH575">
        <v>37.925065493327899</v>
      </c>
      <c r="AI575">
        <v>91.765312052647204</v>
      </c>
      <c r="AJ575">
        <v>86.380956592426301</v>
      </c>
      <c r="AK575">
        <v>38.018890643708801</v>
      </c>
      <c r="AL575">
        <v>93.955634713099997</v>
      </c>
      <c r="AM575">
        <v>89.188812137996294</v>
      </c>
      <c r="AN575">
        <v>1.0000000176169399</v>
      </c>
    </row>
    <row r="576" spans="1:40" x14ac:dyDescent="0.25">
      <c r="A576" t="str">
        <f>"20190303154742688"</f>
        <v>20190303154742688</v>
      </c>
      <c r="B576" t="str">
        <f>"1551599262680856"</f>
        <v>1551599262680856</v>
      </c>
      <c r="C576" t="s">
        <v>40</v>
      </c>
      <c r="D576">
        <v>5.0934460000000001</v>
      </c>
      <c r="E576">
        <v>0.51821509999999904</v>
      </c>
      <c r="F576" t="s">
        <v>43</v>
      </c>
      <c r="G576">
        <v>-311.7199</v>
      </c>
      <c r="H576">
        <v>-0.05</v>
      </c>
      <c r="I576">
        <v>365.03100000000001</v>
      </c>
      <c r="J576">
        <v>-350.49549999999999</v>
      </c>
      <c r="K576">
        <v>1.121197</v>
      </c>
      <c r="L576">
        <v>367.27190000000002</v>
      </c>
      <c r="M576">
        <v>0.9998785</v>
      </c>
      <c r="N576">
        <v>-1.4495009999999999E-2</v>
      </c>
      <c r="O576">
        <v>5.7474350000000004E-3</v>
      </c>
      <c r="P576">
        <v>0.99647549999999996</v>
      </c>
      <c r="Q576">
        <v>-8.3485190000000001E-2</v>
      </c>
      <c r="R576">
        <v>-8.1611129999999994E-3</v>
      </c>
      <c r="S576">
        <v>3.0015559999999999</v>
      </c>
      <c r="T576">
        <v>-9.0234640000000005E-2</v>
      </c>
      <c r="U576">
        <v>-0.17254639999999999</v>
      </c>
      <c r="V576">
        <v>1.398425E-2</v>
      </c>
      <c r="W576">
        <v>-6.9014140000000002E-2</v>
      </c>
      <c r="X576">
        <v>0.9975176</v>
      </c>
      <c r="Y576">
        <v>6.3085669999999996E-2</v>
      </c>
      <c r="Z576">
        <v>-1.49440799999999E-3</v>
      </c>
      <c r="AA576">
        <v>0.99800699999999998</v>
      </c>
      <c r="AB576">
        <v>35</v>
      </c>
      <c r="AC576">
        <v>38.775599999999997</v>
      </c>
      <c r="AD576">
        <v>-1.171197</v>
      </c>
      <c r="AE576">
        <v>-2.2409000000000101</v>
      </c>
      <c r="AF576">
        <v>2.4615084336803599</v>
      </c>
      <c r="AG576">
        <v>-1.171197</v>
      </c>
      <c r="AH576">
        <v>38.726865310843202</v>
      </c>
      <c r="AI576">
        <v>91.728752891717306</v>
      </c>
      <c r="AJ576">
        <v>86.363129882992993</v>
      </c>
      <c r="AK576">
        <v>38.822684386658203</v>
      </c>
      <c r="AL576">
        <v>93.957364906077601</v>
      </c>
      <c r="AM576">
        <v>89.196820165680805</v>
      </c>
      <c r="AN576">
        <v>0.99999993653887898</v>
      </c>
    </row>
    <row r="577" spans="1:40" x14ac:dyDescent="0.25">
      <c r="A577" t="str">
        <f>"20190303154742699"</f>
        <v>20190303154742699</v>
      </c>
      <c r="B577" t="str">
        <f>"1551599262691592"</f>
        <v>1551599262691592</v>
      </c>
      <c r="C577" t="s">
        <v>40</v>
      </c>
      <c r="D577">
        <v>5.0996800000000002</v>
      </c>
      <c r="E577">
        <v>0.51828379999999996</v>
      </c>
      <c r="F577" t="s">
        <v>43</v>
      </c>
      <c r="G577">
        <v>-311.70089999999999</v>
      </c>
      <c r="H577">
        <v>-0.05</v>
      </c>
      <c r="I577">
        <v>365.05439999999999</v>
      </c>
      <c r="J577">
        <v>-350.31970000000001</v>
      </c>
      <c r="K577">
        <v>1.1211960000000001</v>
      </c>
      <c r="L577">
        <v>367.27319999999997</v>
      </c>
      <c r="M577">
        <v>0.99987649999999995</v>
      </c>
      <c r="N577">
        <v>-1.4507040000000001E-2</v>
      </c>
      <c r="O577">
        <v>6.05085E-3</v>
      </c>
      <c r="P577">
        <v>0.99646780000000001</v>
      </c>
      <c r="Q577">
        <v>-8.3611610000000003E-2</v>
      </c>
      <c r="R577">
        <v>-7.8254459999999998E-3</v>
      </c>
      <c r="S577">
        <v>3.001617</v>
      </c>
      <c r="T577">
        <v>-9.0618009999999999E-2</v>
      </c>
      <c r="U577">
        <v>-0.17156979999999999</v>
      </c>
      <c r="V577">
        <v>1.395043E-2</v>
      </c>
      <c r="W577">
        <v>-6.9128839999999997E-2</v>
      </c>
      <c r="X577">
        <v>0.99751020000000001</v>
      </c>
      <c r="Y577">
        <v>6.3063380000000002E-2</v>
      </c>
      <c r="Z577">
        <v>-1.503714E-3</v>
      </c>
      <c r="AA577">
        <v>0.99800840000000002</v>
      </c>
      <c r="AB577">
        <v>35</v>
      </c>
      <c r="AC577">
        <v>38.6188</v>
      </c>
      <c r="AD577">
        <v>-1.1711959999999999</v>
      </c>
      <c r="AE577">
        <v>-2.2187999999999799</v>
      </c>
      <c r="AF577">
        <v>2.4502143943514101</v>
      </c>
      <c r="AG577">
        <v>-1.1711959999999999</v>
      </c>
      <c r="AH577">
        <v>38.569309092789098</v>
      </c>
      <c r="AI577">
        <v>91.735812723632606</v>
      </c>
      <c r="AJ577">
        <v>86.365023191655993</v>
      </c>
      <c r="AK577">
        <v>38.664801235022601</v>
      </c>
      <c r="AL577">
        <v>93.963952193344298</v>
      </c>
      <c r="AM577">
        <v>89.198756407202893</v>
      </c>
      <c r="AN577">
        <v>1.00000000506048</v>
      </c>
    </row>
    <row r="578" spans="1:40" x14ac:dyDescent="0.25">
      <c r="A578" t="str">
        <f>"20190303154742711"</f>
        <v>20190303154742711</v>
      </c>
      <c r="B578" t="str">
        <f>"1551599262701353"</f>
        <v>1551599262701353</v>
      </c>
      <c r="C578" t="s">
        <v>40</v>
      </c>
      <c r="D578">
        <v>5.1061569999999996</v>
      </c>
      <c r="E578">
        <v>0.51834650000000004</v>
      </c>
      <c r="F578" t="s">
        <v>43</v>
      </c>
      <c r="G578">
        <v>-311.8347</v>
      </c>
      <c r="H578">
        <v>-0.05</v>
      </c>
      <c r="I578">
        <v>365.0804</v>
      </c>
      <c r="J578">
        <v>-350.1499</v>
      </c>
      <c r="K578">
        <v>1.1211930000000001</v>
      </c>
      <c r="L578">
        <v>367.27449999999999</v>
      </c>
      <c r="M578">
        <v>0.9998745</v>
      </c>
      <c r="N578">
        <v>-1.451699E-2</v>
      </c>
      <c r="O578">
        <v>6.3385830000000001E-3</v>
      </c>
      <c r="P578">
        <v>0.99645819999999996</v>
      </c>
      <c r="Q578">
        <v>-8.3754519999999999E-2</v>
      </c>
      <c r="R578">
        <v>-7.5086739999999999E-3</v>
      </c>
      <c r="S578">
        <v>3.0015869999999998</v>
      </c>
      <c r="T578">
        <v>-9.1346029999999995E-2</v>
      </c>
      <c r="U578">
        <v>-0.17102049999999999</v>
      </c>
      <c r="V578">
        <v>1.3919829999999999E-2</v>
      </c>
      <c r="W578">
        <v>-6.9262190000000001E-2</v>
      </c>
      <c r="X578">
        <v>0.99750139999999998</v>
      </c>
      <c r="Y578">
        <v>6.3168370000000001E-2</v>
      </c>
      <c r="Z578">
        <v>-1.5200210000000001E-3</v>
      </c>
      <c r="AA578">
        <v>0.99800180000000005</v>
      </c>
      <c r="AB578">
        <v>35</v>
      </c>
      <c r="AC578">
        <v>38.315199999999997</v>
      </c>
      <c r="AD578">
        <v>-1.1711929999999999</v>
      </c>
      <c r="AE578">
        <v>-2.1940999999999899</v>
      </c>
      <c r="AF578">
        <v>2.4346781583636399</v>
      </c>
      <c r="AG578">
        <v>-1.1711929999999999</v>
      </c>
      <c r="AH578">
        <v>38.264884812029301</v>
      </c>
      <c r="AI578">
        <v>91.749598311863494</v>
      </c>
      <c r="AJ578">
        <v>86.359351562296098</v>
      </c>
      <c r="AK578">
        <v>38.360145469692</v>
      </c>
      <c r="AL578">
        <v>93.971610852106195</v>
      </c>
      <c r="AM578">
        <v>89.200506639059896</v>
      </c>
      <c r="AN578">
        <v>1.0000000278163901</v>
      </c>
    </row>
    <row r="579" spans="1:40" x14ac:dyDescent="0.25">
      <c r="A579" t="str">
        <f>"20190303154742722"</f>
        <v>20190303154742722</v>
      </c>
      <c r="B579" t="str">
        <f>"1551599262711113"</f>
        <v>1551599262711113</v>
      </c>
      <c r="C579" t="s">
        <v>40</v>
      </c>
      <c r="D579">
        <v>5.1049480000000003</v>
      </c>
      <c r="E579">
        <v>0.51838059999999997</v>
      </c>
      <c r="F579" t="s">
        <v>43</v>
      </c>
      <c r="G579">
        <v>-312.12880000000001</v>
      </c>
      <c r="H579">
        <v>-0.05</v>
      </c>
      <c r="I579">
        <v>365.1105</v>
      </c>
      <c r="J579">
        <v>-349.97289999999998</v>
      </c>
      <c r="K579">
        <v>1.121192</v>
      </c>
      <c r="L579">
        <v>367.27589999999998</v>
      </c>
      <c r="M579">
        <v>0.99987239999999999</v>
      </c>
      <c r="N579">
        <v>-1.452706E-2</v>
      </c>
      <c r="O579">
        <v>6.6371540000000001E-3</v>
      </c>
      <c r="P579">
        <v>0.99645629999999996</v>
      </c>
      <c r="Q579">
        <v>-8.3800230000000003E-2</v>
      </c>
      <c r="R579">
        <v>-7.2297910000000002E-3</v>
      </c>
      <c r="S579">
        <v>3.001617</v>
      </c>
      <c r="T579">
        <v>-9.2461109999999999E-2</v>
      </c>
      <c r="U579">
        <v>-0.1708374</v>
      </c>
      <c r="V579">
        <v>1.393758E-2</v>
      </c>
      <c r="W579">
        <v>-6.9298029999999997E-2</v>
      </c>
      <c r="X579">
        <v>0.99749860000000001</v>
      </c>
      <c r="Y579">
        <v>6.3403989999999993E-2</v>
      </c>
      <c r="Z579">
        <v>-1.544529E-3</v>
      </c>
      <c r="AA579">
        <v>0.9979867</v>
      </c>
      <c r="AB579">
        <v>35</v>
      </c>
      <c r="AC579">
        <v>37.844099999999898</v>
      </c>
      <c r="AD579">
        <v>-1.171192</v>
      </c>
      <c r="AE579">
        <v>-2.1653999999999698</v>
      </c>
      <c r="AF579">
        <v>2.4142511899818002</v>
      </c>
      <c r="AG579">
        <v>-1.171192</v>
      </c>
      <c r="AH579">
        <v>37.7928140680716</v>
      </c>
      <c r="AI579">
        <v>91.771408645778806</v>
      </c>
      <c r="AJ579">
        <v>86.344842125151601</v>
      </c>
      <c r="AK579">
        <v>37.887954480190999</v>
      </c>
      <c r="AL579">
        <v>93.973669528491598</v>
      </c>
      <c r="AM579">
        <v>89.199485043522799</v>
      </c>
      <c r="AN579">
        <v>0.99999996505004796</v>
      </c>
    </row>
    <row r="580" spans="1:40" x14ac:dyDescent="0.25">
      <c r="A580" t="str">
        <f>"20190303154742734"</f>
        <v>20190303154742734</v>
      </c>
      <c r="B580" t="str">
        <f>"1551599262731608"</f>
        <v>1551599262731608</v>
      </c>
      <c r="C580" t="s">
        <v>40</v>
      </c>
      <c r="D580">
        <v>5.1288850000000004</v>
      </c>
      <c r="E580">
        <v>0.5185246</v>
      </c>
      <c r="F580" t="s">
        <v>43</v>
      </c>
      <c r="G580">
        <v>-312.13589999999999</v>
      </c>
      <c r="H580">
        <v>-0.05</v>
      </c>
      <c r="I580">
        <v>365.12970000000001</v>
      </c>
      <c r="J580">
        <v>-349.77690000000001</v>
      </c>
      <c r="K580">
        <v>1.121192</v>
      </c>
      <c r="L580">
        <v>367.27749999999997</v>
      </c>
      <c r="M580">
        <v>0.99987009999999998</v>
      </c>
      <c r="N580">
        <v>-1.453671E-2</v>
      </c>
      <c r="O580">
        <v>6.9601860000000002E-3</v>
      </c>
      <c r="P580">
        <v>0.9964383</v>
      </c>
      <c r="Q580">
        <v>-8.4033499999999997E-2</v>
      </c>
      <c r="R580">
        <v>-6.998397E-3</v>
      </c>
      <c r="S580">
        <v>3.0016479999999999</v>
      </c>
      <c r="T580">
        <v>-9.2911839999999996E-2</v>
      </c>
      <c r="U580">
        <v>-0.17025760000000001</v>
      </c>
      <c r="V580">
        <v>1.4027019999999999E-2</v>
      </c>
      <c r="W580">
        <v>-6.9522120000000007E-2</v>
      </c>
      <c r="X580">
        <v>0.99748179999999997</v>
      </c>
      <c r="Y580">
        <v>6.3533149999999997E-2</v>
      </c>
      <c r="Z580">
        <v>-1.558748E-3</v>
      </c>
      <c r="AA580">
        <v>0.99797849999999999</v>
      </c>
      <c r="AB580">
        <v>35</v>
      </c>
      <c r="AC580">
        <v>37.640999999999998</v>
      </c>
      <c r="AD580">
        <v>-1.171192</v>
      </c>
      <c r="AE580">
        <v>-2.1477999999999602</v>
      </c>
      <c r="AF580">
        <v>2.40744086094558</v>
      </c>
      <c r="AG580">
        <v>-1.171192</v>
      </c>
      <c r="AH580">
        <v>37.588864558987098</v>
      </c>
      <c r="AI580">
        <v>91.780995017658299</v>
      </c>
      <c r="AJ580">
        <v>86.3354024744947</v>
      </c>
      <c r="AK580">
        <v>37.684084187275801</v>
      </c>
      <c r="AL580">
        <v>93.986539793946505</v>
      </c>
      <c r="AM580">
        <v>89.194335100256097</v>
      </c>
      <c r="AN580">
        <v>1.0000000118953001</v>
      </c>
    </row>
    <row r="581" spans="1:40" x14ac:dyDescent="0.25">
      <c r="A581" t="str">
        <f>"20190303154742746"</f>
        <v>20190303154742746</v>
      </c>
      <c r="B581" t="str">
        <f>"1551599262741368"</f>
        <v>1551599262741368</v>
      </c>
      <c r="C581" t="s">
        <v>40</v>
      </c>
      <c r="D581">
        <v>5.1277759999999999</v>
      </c>
      <c r="E581">
        <v>0.51851020000000003</v>
      </c>
      <c r="F581" t="s">
        <v>43</v>
      </c>
      <c r="G581">
        <v>-312.38780000000003</v>
      </c>
      <c r="H581">
        <v>-0.05</v>
      </c>
      <c r="I581">
        <v>365.15640000000002</v>
      </c>
      <c r="J581">
        <v>-349.60320000000002</v>
      </c>
      <c r="K581">
        <v>1.121189</v>
      </c>
      <c r="L581">
        <v>367.279</v>
      </c>
      <c r="M581">
        <v>0.99986810000000004</v>
      </c>
      <c r="N581">
        <v>-1.4544649999999999E-2</v>
      </c>
      <c r="O581">
        <v>7.2427639999999996E-3</v>
      </c>
      <c r="P581">
        <v>0.9964539</v>
      </c>
      <c r="Q581">
        <v>-8.3858710000000003E-2</v>
      </c>
      <c r="R581">
        <v>-6.9065819999999997E-3</v>
      </c>
      <c r="S581">
        <v>3.0015869999999998</v>
      </c>
      <c r="T581">
        <v>-9.4022990000000001E-2</v>
      </c>
      <c r="U581">
        <v>-0.1702881</v>
      </c>
      <c r="V581">
        <v>1.42152999999999E-2</v>
      </c>
      <c r="W581">
        <v>-6.9339250000000005E-2</v>
      </c>
      <c r="X581">
        <v>0.99749180000000004</v>
      </c>
      <c r="Y581">
        <v>6.382525E-2</v>
      </c>
      <c r="Z581">
        <v>-1.5847210000000001E-3</v>
      </c>
      <c r="AA581">
        <v>0.99795990000000001</v>
      </c>
      <c r="AB581">
        <v>35</v>
      </c>
      <c r="AC581">
        <v>37.215399999999903</v>
      </c>
      <c r="AD581">
        <v>-1.171189</v>
      </c>
      <c r="AE581">
        <v>-2.1225999999999701</v>
      </c>
      <c r="AF581">
        <v>2.3897560297535998</v>
      </c>
      <c r="AG581">
        <v>-1.171189</v>
      </c>
      <c r="AH581">
        <v>37.162362460732098</v>
      </c>
      <c r="AI581">
        <v>91.801387180780694</v>
      </c>
      <c r="AJ581">
        <v>86.320614295869404</v>
      </c>
      <c r="AK581">
        <v>37.257533482750802</v>
      </c>
      <c r="AL581">
        <v>93.976037020374903</v>
      </c>
      <c r="AM581">
        <v>89.183530568113895</v>
      </c>
      <c r="AN581">
        <v>0.999999948705945</v>
      </c>
    </row>
    <row r="582" spans="1:40" x14ac:dyDescent="0.25">
      <c r="A582" t="str">
        <f>"20190303154742756"</f>
        <v>20190303154742756</v>
      </c>
      <c r="B582" t="str">
        <f>"1551599262751129"</f>
        <v>1551599262751129</v>
      </c>
      <c r="C582" t="s">
        <v>40</v>
      </c>
      <c r="D582">
        <v>5.185149</v>
      </c>
      <c r="E582">
        <v>0.51851020000000003</v>
      </c>
      <c r="F582" t="s">
        <v>43</v>
      </c>
      <c r="G582">
        <v>-312.1508</v>
      </c>
      <c r="H582">
        <v>-0.05</v>
      </c>
      <c r="I582">
        <v>365.16109999999998</v>
      </c>
      <c r="J582">
        <v>-349.41910000000001</v>
      </c>
      <c r="K582">
        <v>1.121175</v>
      </c>
      <c r="L582">
        <v>367.28059999999999</v>
      </c>
      <c r="M582">
        <v>0.99986580000000003</v>
      </c>
      <c r="N582">
        <v>-1.455233E-2</v>
      </c>
      <c r="O582">
        <v>7.5373059999999997E-3</v>
      </c>
      <c r="P582">
        <v>0.99646999999999997</v>
      </c>
      <c r="Q582">
        <v>-8.3677280000000007E-2</v>
      </c>
      <c r="R582">
        <v>-6.7750559999999998E-3</v>
      </c>
      <c r="S582">
        <v>3.001617</v>
      </c>
      <c r="T582">
        <v>-9.3864799999999998E-2</v>
      </c>
      <c r="U582">
        <v>-0.1697388</v>
      </c>
      <c r="V582">
        <v>1.4375840000000001E-2</v>
      </c>
      <c r="W582">
        <v>-6.9150089999999997E-2</v>
      </c>
      <c r="X582">
        <v>0.99750269999999996</v>
      </c>
      <c r="Y582">
        <v>6.3936640000000003E-2</v>
      </c>
      <c r="Z582">
        <v>-1.590312E-3</v>
      </c>
      <c r="AA582">
        <v>0.99795270000000003</v>
      </c>
      <c r="AB582">
        <v>35</v>
      </c>
      <c r="AC582">
        <v>37.268300000000004</v>
      </c>
      <c r="AD582">
        <v>-1.1711750000000001</v>
      </c>
      <c r="AE582">
        <v>-2.1195000000000102</v>
      </c>
      <c r="AF582">
        <v>2.3980115318213602</v>
      </c>
      <c r="AG582">
        <v>-1.1711750000000001</v>
      </c>
      <c r="AH582">
        <v>37.214630851750201</v>
      </c>
      <c r="AI582">
        <v>91.798822129756601</v>
      </c>
      <c r="AJ582">
        <v>86.3131100469176</v>
      </c>
      <c r="AK582">
        <v>37.310197796573199</v>
      </c>
      <c r="AL582">
        <v>93.965172597352606</v>
      </c>
      <c r="AM582">
        <v>89.174320089498494</v>
      </c>
      <c r="AN582">
        <v>1.0000000181149999</v>
      </c>
    </row>
    <row r="583" spans="1:40" x14ac:dyDescent="0.25">
      <c r="A583" t="str">
        <f>"20190303154742768"</f>
        <v>20190303154742768</v>
      </c>
      <c r="B583" t="str">
        <f>"1551599262760888"</f>
        <v>1551599262760888</v>
      </c>
      <c r="C583" t="s">
        <v>40</v>
      </c>
      <c r="D583">
        <v>5.1750109999999996</v>
      </c>
      <c r="E583">
        <v>0.51768789999999998</v>
      </c>
      <c r="F583" t="s">
        <v>43</v>
      </c>
      <c r="G583">
        <v>-311.72410000000002</v>
      </c>
      <c r="H583">
        <v>-0.05</v>
      </c>
      <c r="I583">
        <v>365.15089999999998</v>
      </c>
      <c r="J583">
        <v>-349.24040000000002</v>
      </c>
      <c r="K583">
        <v>1.1211690000000001</v>
      </c>
      <c r="L583">
        <v>367.28219999999999</v>
      </c>
      <c r="M583">
        <v>0.99986359999999996</v>
      </c>
      <c r="N583">
        <v>-1.455889E-2</v>
      </c>
      <c r="O583">
        <v>7.8150289999999994E-3</v>
      </c>
      <c r="P583">
        <v>0.99651299999999998</v>
      </c>
      <c r="Q583">
        <v>-8.3162020000000003E-2</v>
      </c>
      <c r="R583">
        <v>-6.8096999999999897E-3</v>
      </c>
      <c r="S583">
        <v>3.0016479999999999</v>
      </c>
      <c r="T583">
        <v>-9.3260529999999994E-2</v>
      </c>
      <c r="U583">
        <v>-0.16958619999999999</v>
      </c>
      <c r="V583">
        <v>1.4685129999999999E-2</v>
      </c>
      <c r="W583">
        <v>-6.8627709999999995E-2</v>
      </c>
      <c r="X583">
        <v>0.99753429999999998</v>
      </c>
      <c r="Y583">
        <v>6.4162990000000003E-2</v>
      </c>
      <c r="Z583">
        <v>-1.592261E-3</v>
      </c>
      <c r="AA583">
        <v>0.9979382</v>
      </c>
      <c r="AB583">
        <v>35</v>
      </c>
      <c r="AC583">
        <v>37.516300000000001</v>
      </c>
      <c r="AD583">
        <v>-1.1711689999999999</v>
      </c>
      <c r="AE583">
        <v>-2.1313000000000102</v>
      </c>
      <c r="AF583">
        <v>2.4221040727314098</v>
      </c>
      <c r="AG583">
        <v>-1.1711689999999999</v>
      </c>
      <c r="AH583">
        <v>37.462105328666802</v>
      </c>
      <c r="AI583">
        <v>91.7869127414113</v>
      </c>
      <c r="AJ583">
        <v>86.300703058652601</v>
      </c>
      <c r="AK583">
        <v>37.558588373657301</v>
      </c>
      <c r="AL583">
        <v>93.935171038549797</v>
      </c>
      <c r="AM583">
        <v>89.1565851961889</v>
      </c>
      <c r="AN583">
        <v>1.0000000476497199</v>
      </c>
    </row>
    <row r="584" spans="1:40" x14ac:dyDescent="0.25">
      <c r="A584" t="str">
        <f>"20190303154742780"</f>
        <v>20190303154742780</v>
      </c>
      <c r="B584" t="str">
        <f>"1551599262771624"</f>
        <v>1551599262771624</v>
      </c>
      <c r="C584" t="s">
        <v>40</v>
      </c>
      <c r="D584">
        <v>5.1738350000000004</v>
      </c>
      <c r="E584">
        <v>0.51701179999999902</v>
      </c>
      <c r="F584" t="s">
        <v>43</v>
      </c>
      <c r="G584">
        <v>-311.75479999999999</v>
      </c>
      <c r="H584">
        <v>-0.05</v>
      </c>
      <c r="I584">
        <v>365.24810000000002</v>
      </c>
      <c r="J584">
        <v>-349.06389999999999</v>
      </c>
      <c r="K584">
        <v>1.121164</v>
      </c>
      <c r="L584">
        <v>367.28390000000002</v>
      </c>
      <c r="M584">
        <v>0.99986120000000001</v>
      </c>
      <c r="N584">
        <v>-1.4565089999999999E-2</v>
      </c>
      <c r="O584">
        <v>8.0866700000000007E-3</v>
      </c>
      <c r="P584">
        <v>0.99653429999999998</v>
      </c>
      <c r="Q584">
        <v>-8.2913940000000005E-2</v>
      </c>
      <c r="R584">
        <v>-6.6814989999999996E-3</v>
      </c>
      <c r="S584">
        <v>3.0015869999999998</v>
      </c>
      <c r="T584">
        <v>-9.3778849999999997E-2</v>
      </c>
      <c r="U584">
        <v>-0.1628723</v>
      </c>
      <c r="V584">
        <v>1.4825909999999999E-2</v>
      </c>
      <c r="W584">
        <v>-6.8373370000000003E-2</v>
      </c>
      <c r="X584">
        <v>0.99754969999999998</v>
      </c>
      <c r="Y584">
        <v>6.2210700000000001E-2</v>
      </c>
      <c r="Z584">
        <v>-1.55918299999999E-3</v>
      </c>
      <c r="AA584">
        <v>0.9980618</v>
      </c>
      <c r="AB584">
        <v>35</v>
      </c>
      <c r="AC584">
        <v>37.309100000000001</v>
      </c>
      <c r="AD584">
        <v>-1.1711639999999901</v>
      </c>
      <c r="AE584">
        <v>-2.0357999999999898</v>
      </c>
      <c r="AF584">
        <v>2.3351775960203098</v>
      </c>
      <c r="AG584">
        <v>-1.1711639999999901</v>
      </c>
      <c r="AH584">
        <v>37.254813879887301</v>
      </c>
      <c r="AI584">
        <v>91.797065960750999</v>
      </c>
      <c r="AJ584">
        <v>86.413322372106506</v>
      </c>
      <c r="AK584">
        <v>37.346296158319298</v>
      </c>
      <c r="AL584">
        <v>93.920564053393093</v>
      </c>
      <c r="AM584">
        <v>89.148514070842495</v>
      </c>
      <c r="AN584">
        <v>1.0000000646512801</v>
      </c>
    </row>
    <row r="585" spans="1:40" x14ac:dyDescent="0.25">
      <c r="A585" t="str">
        <f>"20190303154742792"</f>
        <v>20190303154742792</v>
      </c>
      <c r="B585" t="str">
        <f>"1551599262781384"</f>
        <v>1551599262781384</v>
      </c>
      <c r="C585" t="s">
        <v>40</v>
      </c>
      <c r="D585">
        <v>5.2037129999999996</v>
      </c>
      <c r="E585">
        <v>0.51643309999999998</v>
      </c>
      <c r="F585" t="s">
        <v>43</v>
      </c>
      <c r="G585">
        <v>-311.99200000000002</v>
      </c>
      <c r="H585">
        <v>-0.05</v>
      </c>
      <c r="I585">
        <v>365.34120000000001</v>
      </c>
      <c r="J585">
        <v>-348.89</v>
      </c>
      <c r="K585">
        <v>1.1211580000000001</v>
      </c>
      <c r="L585">
        <v>367.28550000000001</v>
      </c>
      <c r="M585">
        <v>0.99985900000000005</v>
      </c>
      <c r="N585">
        <v>-1.457018E-2</v>
      </c>
      <c r="O585">
        <v>8.3392650000000002E-3</v>
      </c>
      <c r="P585">
        <v>0.99657220000000002</v>
      </c>
      <c r="Q585">
        <v>-8.2458080000000003E-2</v>
      </c>
      <c r="R585">
        <v>-6.6717629999999998E-3</v>
      </c>
      <c r="S585">
        <v>3.0015260000000001</v>
      </c>
      <c r="T585">
        <v>-9.4823359999999995E-2</v>
      </c>
      <c r="U585">
        <v>-0.1572876</v>
      </c>
      <c r="V585">
        <v>1.5065800000000001E-2</v>
      </c>
      <c r="W585">
        <v>-6.7912120000000006E-2</v>
      </c>
      <c r="X585">
        <v>0.99757750000000001</v>
      </c>
      <c r="Y585">
        <v>6.0612350000000002E-2</v>
      </c>
      <c r="Z585">
        <v>-1.540395E-3</v>
      </c>
      <c r="AA585">
        <v>0.99816020000000005</v>
      </c>
      <c r="AB585">
        <v>35</v>
      </c>
      <c r="AC585">
        <v>36.897999999999897</v>
      </c>
      <c r="AD585">
        <v>-1.1711579999999999</v>
      </c>
      <c r="AE585">
        <v>-1.9442999999999899</v>
      </c>
      <c r="AF585">
        <v>2.2497070655899298</v>
      </c>
      <c r="AG585">
        <v>-1.1711579999999999</v>
      </c>
      <c r="AH585">
        <v>36.843485597642101</v>
      </c>
      <c r="AI585">
        <v>91.817287425445897</v>
      </c>
      <c r="AJ585">
        <v>86.505789909767401</v>
      </c>
      <c r="AK585">
        <v>36.930681335788996</v>
      </c>
      <c r="AL585">
        <v>93.894075246011099</v>
      </c>
      <c r="AM585">
        <v>89.134762826300602</v>
      </c>
      <c r="AN585">
        <v>0.99999995143939102</v>
      </c>
    </row>
    <row r="586" spans="1:40" x14ac:dyDescent="0.25">
      <c r="A586" t="str">
        <f>"20190303154742805"</f>
        <v>20190303154742805</v>
      </c>
      <c r="B586" t="str">
        <f>"1551599262800904"</f>
        <v>1551599262800904</v>
      </c>
      <c r="C586" t="s">
        <v>40</v>
      </c>
      <c r="D586">
        <v>5.2010009999999998</v>
      </c>
      <c r="E586">
        <v>0.51536300000000002</v>
      </c>
      <c r="F586" t="s">
        <v>43</v>
      </c>
      <c r="G586">
        <v>-311.76069999999999</v>
      </c>
      <c r="H586">
        <v>-0.05</v>
      </c>
      <c r="I586">
        <v>365.4006</v>
      </c>
      <c r="J586">
        <v>-348.68540000000002</v>
      </c>
      <c r="K586">
        <v>1.1211469999999999</v>
      </c>
      <c r="L586">
        <v>367.28750000000002</v>
      </c>
      <c r="M586">
        <v>0.99985650000000004</v>
      </c>
      <c r="N586">
        <v>-1.4575869999999999E-2</v>
      </c>
      <c r="O586">
        <v>8.6291709999999997E-3</v>
      </c>
      <c r="P586">
        <v>0.99659129999999996</v>
      </c>
      <c r="Q586">
        <v>-8.2246299999999994E-2</v>
      </c>
      <c r="R586">
        <v>-6.4386749999999996E-3</v>
      </c>
      <c r="S586">
        <v>3.0014340000000002</v>
      </c>
      <c r="T586">
        <v>-9.4673279999999999E-2</v>
      </c>
      <c r="U586">
        <v>-0.15237429999999999</v>
      </c>
      <c r="V586">
        <v>1.511885E-2</v>
      </c>
      <c r="W586">
        <v>-6.7694959999999998E-2</v>
      </c>
      <c r="X586">
        <v>0.99759149999999996</v>
      </c>
      <c r="Y586">
        <v>5.9274680000000003E-2</v>
      </c>
      <c r="Z586">
        <v>-1.512731E-3</v>
      </c>
      <c r="AA586">
        <v>0.99824060000000003</v>
      </c>
      <c r="AB586">
        <v>35</v>
      </c>
      <c r="AC586">
        <v>36.924700000000001</v>
      </c>
      <c r="AD586">
        <v>-1.1711469999999999</v>
      </c>
      <c r="AE586">
        <v>-1.88690000000002</v>
      </c>
      <c r="AF586">
        <v>2.20328246210916</v>
      </c>
      <c r="AG586">
        <v>-1.1711469999999999</v>
      </c>
      <c r="AH586">
        <v>36.870046929195198</v>
      </c>
      <c r="AI586">
        <v>91.816104421900803</v>
      </c>
      <c r="AJ586">
        <v>86.580182275704104</v>
      </c>
      <c r="AK586">
        <v>36.954382682768603</v>
      </c>
      <c r="AL586">
        <v>93.881604028503901</v>
      </c>
      <c r="AM586">
        <v>89.131728784717296</v>
      </c>
      <c r="AN586">
        <v>0.99999999405348605</v>
      </c>
    </row>
    <row r="587" spans="1:40" x14ac:dyDescent="0.25">
      <c r="A587" t="str">
        <f>"20190303154742825"</f>
        <v>20190303154742825</v>
      </c>
      <c r="B587" t="str">
        <f>"1551599262821401"</f>
        <v>1551599262821401</v>
      </c>
      <c r="C587" t="s">
        <v>40</v>
      </c>
      <c r="D587">
        <v>5.2215059999999998</v>
      </c>
      <c r="E587">
        <v>0.51436059999999995</v>
      </c>
      <c r="F587" t="s">
        <v>43</v>
      </c>
      <c r="G587">
        <v>-312.3458</v>
      </c>
      <c r="H587">
        <v>-0.05</v>
      </c>
      <c r="I587">
        <v>365.55419999999998</v>
      </c>
      <c r="J587">
        <v>-348.37959999999998</v>
      </c>
      <c r="K587">
        <v>1.1211249999999999</v>
      </c>
      <c r="L587">
        <v>367.29059999999998</v>
      </c>
      <c r="M587">
        <v>0.99985279999999999</v>
      </c>
      <c r="N587">
        <v>-1.458311E-2</v>
      </c>
      <c r="O587">
        <v>9.0332999999999993E-3</v>
      </c>
      <c r="P587">
        <v>0.99660349999999998</v>
      </c>
      <c r="Q587">
        <v>-8.2124020000000006E-2</v>
      </c>
      <c r="R587">
        <v>-6.0887679999999996E-3</v>
      </c>
      <c r="S587">
        <v>3.0013730000000001</v>
      </c>
      <c r="T587">
        <v>-9.6727729999999998E-2</v>
      </c>
      <c r="U587">
        <v>-0.14315799999999901</v>
      </c>
      <c r="V587">
        <v>1.5167079999999999E-2</v>
      </c>
      <c r="W587">
        <v>-6.7566319999999999E-2</v>
      </c>
      <c r="X587">
        <v>0.99759949999999997</v>
      </c>
      <c r="Y587">
        <v>5.6621339999999999E-2</v>
      </c>
      <c r="Z587">
        <v>-1.48416E-3</v>
      </c>
      <c r="AA587">
        <v>0.99839460000000002</v>
      </c>
      <c r="AB587">
        <v>35</v>
      </c>
      <c r="AC587">
        <v>36.0337999999999</v>
      </c>
      <c r="AD587">
        <v>-1.171125</v>
      </c>
      <c r="AE587">
        <v>-1.7363999999999999</v>
      </c>
      <c r="AF587">
        <v>2.0596972856581899</v>
      </c>
      <c r="AG587">
        <v>-1.171125</v>
      </c>
      <c r="AH587">
        <v>35.9787261732627</v>
      </c>
      <c r="AI587">
        <v>91.861301800765702</v>
      </c>
      <c r="AJ587">
        <v>86.723527843209695</v>
      </c>
      <c r="AK587">
        <v>36.056658521343699</v>
      </c>
      <c r="AL587">
        <v>93.874216542205303</v>
      </c>
      <c r="AM587">
        <v>89.128966359751601</v>
      </c>
      <c r="AN587">
        <v>1.00000000515715</v>
      </c>
    </row>
    <row r="588" spans="1:40" x14ac:dyDescent="0.25">
      <c r="A588" t="str">
        <f>"20190303154742846"</f>
        <v>20190303154742846</v>
      </c>
      <c r="B588" t="str">
        <f>"1551599262840920"</f>
        <v>1551599262840920</v>
      </c>
      <c r="C588" t="s">
        <v>40</v>
      </c>
      <c r="D588">
        <v>5.2189690000000004</v>
      </c>
      <c r="E588">
        <v>0.51344840000000003</v>
      </c>
      <c r="F588" t="s">
        <v>43</v>
      </c>
      <c r="G588">
        <v>-312.9393</v>
      </c>
      <c r="H588">
        <v>-0.05</v>
      </c>
      <c r="I588">
        <v>365.70600000000002</v>
      </c>
      <c r="J588">
        <v>-348.03480000000002</v>
      </c>
      <c r="K588">
        <v>1.1210929999999999</v>
      </c>
      <c r="L588">
        <v>367.29419999999999</v>
      </c>
      <c r="M588">
        <v>0.99984890000000004</v>
      </c>
      <c r="N588">
        <v>-1.4589609999999999E-2</v>
      </c>
      <c r="O588">
        <v>9.4493430000000007E-3</v>
      </c>
      <c r="P588">
        <v>0.99658100000000005</v>
      </c>
      <c r="Q588">
        <v>-8.2450190000000007E-2</v>
      </c>
      <c r="R588">
        <v>-5.3256619999999897E-3</v>
      </c>
      <c r="S588">
        <v>3.0012509999999999</v>
      </c>
      <c r="T588">
        <v>-9.917629E-2</v>
      </c>
      <c r="U588">
        <v>-0.13418579999999999</v>
      </c>
      <c r="V588">
        <v>1.481293E-2</v>
      </c>
      <c r="W588">
        <v>-6.7887970000000006E-2</v>
      </c>
      <c r="X588">
        <v>0.997583</v>
      </c>
      <c r="Y588">
        <v>5.4060160000000003E-2</v>
      </c>
      <c r="Z588">
        <v>-1.4615019999999999E-3</v>
      </c>
      <c r="AA588">
        <v>0.9985366</v>
      </c>
      <c r="AB588">
        <v>35</v>
      </c>
      <c r="AC588">
        <v>35.095500000000001</v>
      </c>
      <c r="AD588">
        <v>-1.1710929999999999</v>
      </c>
      <c r="AE588">
        <v>-1.58820000000002</v>
      </c>
      <c r="AF588">
        <v>1.9176628977321799</v>
      </c>
      <c r="AG588">
        <v>-1.1710929999999999</v>
      </c>
      <c r="AH588">
        <v>35.039987385751601</v>
      </c>
      <c r="AI588">
        <v>91.911346917063796</v>
      </c>
      <c r="AJ588">
        <v>86.867450601558801</v>
      </c>
      <c r="AK588">
        <v>35.111958159544798</v>
      </c>
      <c r="AL588">
        <v>93.892688082353104</v>
      </c>
      <c r="AM588">
        <v>89.149287826451001</v>
      </c>
      <c r="AN588">
        <v>1.00000002062745</v>
      </c>
    </row>
    <row r="589" spans="1:40" x14ac:dyDescent="0.25">
      <c r="A589" t="str">
        <f>"20190303154742858"</f>
        <v>20190303154742858</v>
      </c>
      <c r="B589" t="str">
        <f>"1551599262851656"</f>
        <v>1551599262851656</v>
      </c>
      <c r="C589" t="s">
        <v>40</v>
      </c>
      <c r="D589">
        <v>5.2053580000000004</v>
      </c>
      <c r="E589">
        <v>0.51304209999999995</v>
      </c>
      <c r="F589" t="s">
        <v>43</v>
      </c>
      <c r="G589">
        <v>-313.81</v>
      </c>
      <c r="H589">
        <v>-0.05</v>
      </c>
      <c r="I589">
        <v>365.87630000000001</v>
      </c>
      <c r="J589">
        <v>-347.84789999999998</v>
      </c>
      <c r="K589">
        <v>1.121078</v>
      </c>
      <c r="L589">
        <v>367.29610000000002</v>
      </c>
      <c r="M589">
        <v>0.99984689999999998</v>
      </c>
      <c r="N589">
        <v>-1.4592590000000001E-2</v>
      </c>
      <c r="O589">
        <v>9.6601610000000004E-3</v>
      </c>
      <c r="P589">
        <v>0.99657110000000004</v>
      </c>
      <c r="Q589">
        <v>-8.2583770000000001E-2</v>
      </c>
      <c r="R589">
        <v>-5.074879E-3</v>
      </c>
      <c r="S589">
        <v>3.0011290000000002</v>
      </c>
      <c r="T589">
        <v>-0.1026917</v>
      </c>
      <c r="U589">
        <v>-0.1243286</v>
      </c>
      <c r="V589">
        <v>1.476916E-2</v>
      </c>
      <c r="W589">
        <v>-6.8019469999999999E-2</v>
      </c>
      <c r="X589">
        <v>0.99757470000000004</v>
      </c>
      <c r="Y589">
        <v>5.0998370000000001E-2</v>
      </c>
      <c r="Z589">
        <v>-1.433765E-3</v>
      </c>
      <c r="AA589">
        <v>0.99869770000000002</v>
      </c>
      <c r="AB589">
        <v>35</v>
      </c>
      <c r="AC589">
        <v>34.037899999999901</v>
      </c>
      <c r="AD589">
        <v>-1.1710780000000001</v>
      </c>
      <c r="AE589">
        <v>-1.4198</v>
      </c>
      <c r="AF589">
        <v>1.7465165499920401</v>
      </c>
      <c r="AG589">
        <v>-1.1710780000000001</v>
      </c>
      <c r="AH589">
        <v>33.982438921183899</v>
      </c>
      <c r="AI589">
        <v>91.971104782075599</v>
      </c>
      <c r="AJ589">
        <v>87.057890407115494</v>
      </c>
      <c r="AK589">
        <v>34.047436008802102</v>
      </c>
      <c r="AL589">
        <v>93.900239899889598</v>
      </c>
      <c r="AM589">
        <v>89.151794130183205</v>
      </c>
      <c r="AN589">
        <v>1.0000000292331299</v>
      </c>
    </row>
    <row r="590" spans="1:40" x14ac:dyDescent="0.25">
      <c r="A590" t="str">
        <f>"20190303154742871"</f>
        <v>20190303154742871</v>
      </c>
      <c r="B590" t="str">
        <f>"1551599262861416"</f>
        <v>1551599262861416</v>
      </c>
      <c r="C590" t="s">
        <v>40</v>
      </c>
      <c r="D590">
        <v>5.1995319999999996</v>
      </c>
      <c r="E590">
        <v>0.5126037</v>
      </c>
      <c r="F590" t="s">
        <v>43</v>
      </c>
      <c r="G590">
        <v>-314.08150000000001</v>
      </c>
      <c r="H590">
        <v>-0.05</v>
      </c>
      <c r="I590">
        <v>365.94349999999997</v>
      </c>
      <c r="J590">
        <v>-347.67079999999999</v>
      </c>
      <c r="K590">
        <v>1.1210599999999999</v>
      </c>
      <c r="L590">
        <v>367.298</v>
      </c>
      <c r="M590">
        <v>0.99984510000000004</v>
      </c>
      <c r="N590">
        <v>-1.4594909999999999E-2</v>
      </c>
      <c r="O590">
        <v>9.8416570000000002E-3</v>
      </c>
      <c r="P590">
        <v>0.99655930000000004</v>
      </c>
      <c r="Q590">
        <v>-8.2740519999999998E-2</v>
      </c>
      <c r="R590">
        <v>-4.8680329999999999E-3</v>
      </c>
      <c r="S590">
        <v>3.001099</v>
      </c>
      <c r="T590">
        <v>-0.1040833</v>
      </c>
      <c r="U590">
        <v>-0.1202087</v>
      </c>
      <c r="V590">
        <v>1.47399E-2</v>
      </c>
      <c r="W590">
        <v>-6.8174789999999999E-2</v>
      </c>
      <c r="X590">
        <v>0.99756449999999997</v>
      </c>
      <c r="Y590">
        <v>4.98112E-2</v>
      </c>
      <c r="Z590">
        <v>-1.4245200000000001E-3</v>
      </c>
      <c r="AA590">
        <v>0.99875769999999997</v>
      </c>
      <c r="AB590">
        <v>35</v>
      </c>
      <c r="AC590">
        <v>33.589299999999902</v>
      </c>
      <c r="AD590">
        <v>-1.17106</v>
      </c>
      <c r="AE590">
        <v>-1.35450000000003</v>
      </c>
      <c r="AF590">
        <v>1.6830015809316801</v>
      </c>
      <c r="AG590">
        <v>-1.17106</v>
      </c>
      <c r="AH590">
        <v>33.533646863199102</v>
      </c>
      <c r="AI590">
        <v>91.997554799667299</v>
      </c>
      <c r="AJ590">
        <v>87.126824715088205</v>
      </c>
      <c r="AK590">
        <v>33.596269849356297</v>
      </c>
      <c r="AL590">
        <v>93.909159903651599</v>
      </c>
      <c r="AM590">
        <v>89.153465658597199</v>
      </c>
      <c r="AN590">
        <v>0.99999999915190196</v>
      </c>
    </row>
    <row r="591" spans="1:40" x14ac:dyDescent="0.25">
      <c r="A591" t="str">
        <f>"20190303154742882"</f>
        <v>20190303154742882</v>
      </c>
      <c r="B591" t="str">
        <f>"1551599262871176"</f>
        <v>1551599262871176</v>
      </c>
      <c r="C591" t="s">
        <v>40</v>
      </c>
      <c r="D591">
        <v>5.2288969999999999</v>
      </c>
      <c r="E591">
        <v>0.51224609999999904</v>
      </c>
      <c r="F591" t="s">
        <v>43</v>
      </c>
      <c r="G591">
        <v>-314.52080000000001</v>
      </c>
      <c r="H591">
        <v>-0.05</v>
      </c>
      <c r="I591">
        <v>366.01560000000001</v>
      </c>
      <c r="J591">
        <v>-347.47669999999999</v>
      </c>
      <c r="K591">
        <v>1.12104</v>
      </c>
      <c r="L591">
        <v>367.30009999999999</v>
      </c>
      <c r="M591">
        <v>0.99984309999999998</v>
      </c>
      <c r="N591">
        <v>-1.4597250000000001E-2</v>
      </c>
      <c r="O591">
        <v>1.003097E-2</v>
      </c>
      <c r="P591">
        <v>0.99656889999999998</v>
      </c>
      <c r="Q591">
        <v>-8.2658250000000003E-2</v>
      </c>
      <c r="R591">
        <v>-4.2512000000000001E-3</v>
      </c>
      <c r="S591">
        <v>3.0009769999999998</v>
      </c>
      <c r="T591">
        <v>-0.1060126</v>
      </c>
      <c r="U591">
        <v>-0.11608889999999999</v>
      </c>
      <c r="V591">
        <v>1.43079E-2</v>
      </c>
      <c r="W591">
        <v>-6.8091199999999893E-2</v>
      </c>
      <c r="X591">
        <v>0.99757649999999998</v>
      </c>
      <c r="Y591">
        <v>4.8632399999999999E-2</v>
      </c>
      <c r="Z591">
        <v>-1.4214430000000001E-3</v>
      </c>
      <c r="AA591">
        <v>0.99881569999999997</v>
      </c>
      <c r="AB591">
        <v>35</v>
      </c>
      <c r="AC591">
        <v>32.9558999999999</v>
      </c>
      <c r="AD591">
        <v>-1.1710399999999901</v>
      </c>
      <c r="AE591">
        <v>-1.28449999999998</v>
      </c>
      <c r="AF591">
        <v>1.6130166847117999</v>
      </c>
      <c r="AG591">
        <v>-1.1710399999999901</v>
      </c>
      <c r="AH591">
        <v>32.899877974919498</v>
      </c>
      <c r="AI591">
        <v>92.036084819692903</v>
      </c>
      <c r="AJ591">
        <v>87.193147516575294</v>
      </c>
      <c r="AK591">
        <v>32.960205221923999</v>
      </c>
      <c r="AL591">
        <v>93.904359389219707</v>
      </c>
      <c r="AM591">
        <v>89.178282489966804</v>
      </c>
      <c r="AN591">
        <v>1.0000000004360401</v>
      </c>
    </row>
    <row r="592" spans="1:40" x14ac:dyDescent="0.25">
      <c r="A592" t="str">
        <f>"20190303154742899"</f>
        <v>20190303154742899</v>
      </c>
      <c r="B592" t="str">
        <f>"1551599262891672"</f>
        <v>1551599262891672</v>
      </c>
      <c r="C592" t="s">
        <v>40</v>
      </c>
      <c r="D592">
        <v>5.2563259999999996</v>
      </c>
      <c r="E592">
        <v>0.51157330000000001</v>
      </c>
      <c r="F592" t="s">
        <v>43</v>
      </c>
      <c r="G592">
        <v>-314.57420000000002</v>
      </c>
      <c r="H592">
        <v>-0.05</v>
      </c>
      <c r="I592">
        <v>366.08120000000002</v>
      </c>
      <c r="J592">
        <v>-347.21300000000002</v>
      </c>
      <c r="K592">
        <v>1.121011</v>
      </c>
      <c r="L592">
        <v>367.303</v>
      </c>
      <c r="M592">
        <v>0.99984090000000003</v>
      </c>
      <c r="N592">
        <v>-1.459979E-2</v>
      </c>
      <c r="O592">
        <v>1.0253089999999999E-2</v>
      </c>
      <c r="P592">
        <v>0.99658440000000004</v>
      </c>
      <c r="Q592">
        <v>-8.2513980000000001E-2</v>
      </c>
      <c r="R592">
        <v>-3.331526E-3</v>
      </c>
      <c r="S592">
        <v>3.0009769999999998</v>
      </c>
      <c r="T592">
        <v>-0.10680829999999999</v>
      </c>
      <c r="U592">
        <v>-0.1111755</v>
      </c>
      <c r="V592">
        <v>1.36039E-2</v>
      </c>
      <c r="W592">
        <v>-6.794588E-2</v>
      </c>
      <c r="X592">
        <v>0.99759629999999999</v>
      </c>
      <c r="Y592">
        <v>4.7221869999999999E-2</v>
      </c>
      <c r="Z592">
        <v>-1.3998680000000001E-3</v>
      </c>
      <c r="AA592">
        <v>0.99888339999999998</v>
      </c>
      <c r="AB592">
        <v>35</v>
      </c>
      <c r="AC592">
        <v>32.638800000000003</v>
      </c>
      <c r="AD592">
        <v>-1.171011</v>
      </c>
      <c r="AE592">
        <v>-1.22180000000003</v>
      </c>
      <c r="AF592">
        <v>1.55442188435303</v>
      </c>
      <c r="AG592">
        <v>-1.171011</v>
      </c>
      <c r="AH592">
        <v>32.582672982407303</v>
      </c>
      <c r="AI592">
        <v>92.055970043582207</v>
      </c>
      <c r="AJ592">
        <v>87.268660593990603</v>
      </c>
      <c r="AK592">
        <v>32.640742528857601</v>
      </c>
      <c r="AL592">
        <v>93.896013671702207</v>
      </c>
      <c r="AM592">
        <v>89.218724302300302</v>
      </c>
      <c r="AN592">
        <v>1.00000004323893</v>
      </c>
    </row>
    <row r="593" spans="1:40" x14ac:dyDescent="0.25">
      <c r="A593" t="str">
        <f>"20190303154742911"</f>
        <v>20190303154742911</v>
      </c>
      <c r="B593" t="str">
        <f>"1551599262901433"</f>
        <v>1551599262901433</v>
      </c>
      <c r="C593" t="s">
        <v>40</v>
      </c>
      <c r="D593">
        <v>5.2635630000000004</v>
      </c>
      <c r="E593">
        <v>0.51125390000000004</v>
      </c>
      <c r="F593" t="s">
        <v>43</v>
      </c>
      <c r="G593">
        <v>-314.64640000000003</v>
      </c>
      <c r="H593">
        <v>-0.05</v>
      </c>
      <c r="I593">
        <v>366.18369999999999</v>
      </c>
      <c r="J593">
        <v>-347.03980000000001</v>
      </c>
      <c r="K593">
        <v>1.120987</v>
      </c>
      <c r="L593">
        <v>367.30489999999998</v>
      </c>
      <c r="M593">
        <v>0.99983960000000005</v>
      </c>
      <c r="N593">
        <v>-1.4601050000000001E-2</v>
      </c>
      <c r="O593">
        <v>1.037275E-2</v>
      </c>
      <c r="P593">
        <v>0.9966121</v>
      </c>
      <c r="Q593">
        <v>-8.2197729999999997E-2</v>
      </c>
      <c r="R593">
        <v>-2.8614579999999999E-3</v>
      </c>
      <c r="S593">
        <v>3.0010379999999999</v>
      </c>
      <c r="T593">
        <v>-0.1079098</v>
      </c>
      <c r="U593">
        <v>-0.1031494</v>
      </c>
      <c r="V593">
        <v>1.3248940000000001E-2</v>
      </c>
      <c r="W593">
        <v>-6.7629049999999996E-2</v>
      </c>
      <c r="X593">
        <v>0.99762249999999997</v>
      </c>
      <c r="Y593">
        <v>4.4673919999999999E-2</v>
      </c>
      <c r="Z593">
        <v>-1.350466E-3</v>
      </c>
      <c r="AA593">
        <v>0.99900069999999996</v>
      </c>
      <c r="AB593">
        <v>35</v>
      </c>
      <c r="AC593">
        <v>32.3933999999999</v>
      </c>
      <c r="AD593">
        <v>-1.170987</v>
      </c>
      <c r="AE593">
        <v>-1.12119999999998</v>
      </c>
      <c r="AF593">
        <v>1.4552847175733401</v>
      </c>
      <c r="AG593">
        <v>-1.170987</v>
      </c>
      <c r="AH593">
        <v>32.337819004884601</v>
      </c>
      <c r="AI593">
        <v>92.071740332489199</v>
      </c>
      <c r="AJ593">
        <v>87.423281651872202</v>
      </c>
      <c r="AK593">
        <v>32.391721197800699</v>
      </c>
      <c r="AL593">
        <v>93.877819208497002</v>
      </c>
      <c r="AM593">
        <v>89.239127303922501</v>
      </c>
      <c r="AN593">
        <v>0.999999937660636</v>
      </c>
    </row>
    <row r="594" spans="1:40" x14ac:dyDescent="0.25">
      <c r="A594" t="str">
        <f>"20190303154742922"</f>
        <v>20190303154742922</v>
      </c>
      <c r="B594" t="str">
        <f>"1551599262911193"</f>
        <v>1551599262911193</v>
      </c>
      <c r="C594" t="s">
        <v>40</v>
      </c>
      <c r="D594">
        <v>5.2699860000000003</v>
      </c>
      <c r="E594">
        <v>0.51093480000000002</v>
      </c>
      <c r="F594" t="s">
        <v>43</v>
      </c>
      <c r="G594">
        <v>-314.45620000000002</v>
      </c>
      <c r="H594">
        <v>-0.05</v>
      </c>
      <c r="I594">
        <v>366.22770000000003</v>
      </c>
      <c r="J594">
        <v>-346.86419999999998</v>
      </c>
      <c r="K594">
        <v>1.1209629999999999</v>
      </c>
      <c r="L594">
        <v>367.30680000000001</v>
      </c>
      <c r="M594">
        <v>0.99983840000000002</v>
      </c>
      <c r="N594">
        <v>-1.4602250000000001E-2</v>
      </c>
      <c r="O594">
        <v>1.04875E-2</v>
      </c>
      <c r="P594">
        <v>0.99662859999999998</v>
      </c>
      <c r="Q594">
        <v>-8.2011280000000006E-2</v>
      </c>
      <c r="R594">
        <v>-2.4233459999999998E-3</v>
      </c>
      <c r="S594">
        <v>3.001007</v>
      </c>
      <c r="T594">
        <v>-0.10785</v>
      </c>
      <c r="U594">
        <v>-9.9212649999999999E-2</v>
      </c>
      <c r="V594">
        <v>1.2920900000000001E-2</v>
      </c>
      <c r="W594">
        <v>-6.7442210000000002E-2</v>
      </c>
      <c r="X594">
        <v>0.99763950000000001</v>
      </c>
      <c r="Y594">
        <v>4.3480970000000001E-2</v>
      </c>
      <c r="Z594">
        <v>-1.322162E-3</v>
      </c>
      <c r="AA594">
        <v>0.99905339999999998</v>
      </c>
      <c r="AB594">
        <v>35</v>
      </c>
      <c r="AC594">
        <v>32.407999999999902</v>
      </c>
      <c r="AD594">
        <v>-1.170963</v>
      </c>
      <c r="AE594">
        <v>-1.07909999999998</v>
      </c>
      <c r="AF594">
        <v>1.4171077697966801</v>
      </c>
      <c r="AG594">
        <v>-1.170963</v>
      </c>
      <c r="AH594">
        <v>32.3527088914148</v>
      </c>
      <c r="AI594">
        <v>92.070855360099699</v>
      </c>
      <c r="AJ594">
        <v>87.4919433228646</v>
      </c>
      <c r="AK594">
        <v>32.404893479090703</v>
      </c>
      <c r="AL594">
        <v>93.867089377377596</v>
      </c>
      <c r="AM594">
        <v>89.257976806098696</v>
      </c>
      <c r="AN594">
        <v>0.99999998665337098</v>
      </c>
    </row>
    <row r="595" spans="1:40" x14ac:dyDescent="0.25">
      <c r="A595" t="str">
        <f>"20190303154742934"</f>
        <v>20190303154742934</v>
      </c>
      <c r="B595" t="str">
        <f>"1551599262930712"</f>
        <v>1551599262930712</v>
      </c>
      <c r="C595" t="s">
        <v>40</v>
      </c>
      <c r="D595">
        <v>5.2622669999999996</v>
      </c>
      <c r="E595">
        <v>0.51037940000000004</v>
      </c>
      <c r="F595" t="s">
        <v>43</v>
      </c>
      <c r="G595">
        <v>-314.38440000000003</v>
      </c>
      <c r="H595">
        <v>-0.05</v>
      </c>
      <c r="I595">
        <v>366.27530000000002</v>
      </c>
      <c r="J595">
        <v>-346.67099999999999</v>
      </c>
      <c r="K595">
        <v>1.1209340000000001</v>
      </c>
      <c r="L595">
        <v>367.30900000000003</v>
      </c>
      <c r="M595">
        <v>0.99983739999999999</v>
      </c>
      <c r="N595">
        <v>-1.460321E-2</v>
      </c>
      <c r="O595">
        <v>1.0585890000000001E-2</v>
      </c>
      <c r="P595">
        <v>0.99662910000000005</v>
      </c>
      <c r="Q595">
        <v>-8.2009949999999998E-2</v>
      </c>
      <c r="R595">
        <v>-2.2351060000000002E-3</v>
      </c>
      <c r="S595">
        <v>3.001007</v>
      </c>
      <c r="T595">
        <v>-0.1081926</v>
      </c>
      <c r="U595">
        <v>-9.5306399999999999E-2</v>
      </c>
      <c r="V595">
        <v>1.2825380000000001E-2</v>
      </c>
      <c r="W595">
        <v>-6.744095E-2</v>
      </c>
      <c r="X595">
        <v>0.99764079999999999</v>
      </c>
      <c r="Y595">
        <v>4.2281029999999997E-2</v>
      </c>
      <c r="Z595">
        <v>-1.2975860000000001E-3</v>
      </c>
      <c r="AA595">
        <v>0.99910489999999996</v>
      </c>
      <c r="AB595">
        <v>35</v>
      </c>
      <c r="AC595">
        <v>32.2865999999999</v>
      </c>
      <c r="AD595">
        <v>-1.1709339999999999</v>
      </c>
      <c r="AE595">
        <v>-1.0337000000000101</v>
      </c>
      <c r="AF595">
        <v>1.3736559877958401</v>
      </c>
      <c r="AG595">
        <v>-1.1709339999999999</v>
      </c>
      <c r="AH595">
        <v>32.231496501592403</v>
      </c>
      <c r="AI595">
        <v>92.078690933182898</v>
      </c>
      <c r="AJ595">
        <v>87.559620255213105</v>
      </c>
      <c r="AK595">
        <v>32.281997830638197</v>
      </c>
      <c r="AL595">
        <v>93.867017088450993</v>
      </c>
      <c r="AM595">
        <v>89.263462694685998</v>
      </c>
      <c r="AN595">
        <v>0.99999996896684196</v>
      </c>
    </row>
    <row r="596" spans="1:40" x14ac:dyDescent="0.25">
      <c r="A596" t="str">
        <f>"20190303154742946"</f>
        <v>20190303154742946</v>
      </c>
      <c r="B596" t="str">
        <f>"1551599262941448"</f>
        <v>1551599262941448</v>
      </c>
      <c r="C596" t="s">
        <v>40</v>
      </c>
      <c r="D596">
        <v>5.2660269999999896</v>
      </c>
      <c r="E596">
        <v>0.51010109999999997</v>
      </c>
      <c r="F596" t="s">
        <v>43</v>
      </c>
      <c r="G596">
        <v>-314.5754</v>
      </c>
      <c r="H596">
        <v>-0.05</v>
      </c>
      <c r="I596">
        <v>366.34679999999997</v>
      </c>
      <c r="J596">
        <v>-346.49450000000002</v>
      </c>
      <c r="K596">
        <v>1.120906</v>
      </c>
      <c r="L596">
        <v>367.31099999999998</v>
      </c>
      <c r="M596">
        <v>0.99983650000000002</v>
      </c>
      <c r="N596">
        <v>-1.4603919999999999E-2</v>
      </c>
      <c r="O596">
        <v>1.066216E-2</v>
      </c>
      <c r="P596">
        <v>0.99664350000000002</v>
      </c>
      <c r="Q596">
        <v>-8.1838380000000002E-2</v>
      </c>
      <c r="R596">
        <v>-2.1181030000000001E-3</v>
      </c>
      <c r="S596">
        <v>3.0009160000000001</v>
      </c>
      <c r="T596">
        <v>-0.1094815</v>
      </c>
      <c r="U596">
        <v>-8.9965820000000002E-2</v>
      </c>
      <c r="V596">
        <v>1.27797E-2</v>
      </c>
      <c r="W596">
        <v>-6.7269380000000004E-2</v>
      </c>
      <c r="X596">
        <v>0.99765300000000001</v>
      </c>
      <c r="Y596">
        <v>4.0582470000000002E-2</v>
      </c>
      <c r="Z596">
        <v>-1.269549E-3</v>
      </c>
      <c r="AA596">
        <v>0.99917540000000005</v>
      </c>
      <c r="AB596">
        <v>35</v>
      </c>
      <c r="AC596">
        <v>31.9191</v>
      </c>
      <c r="AD596">
        <v>-1.170906</v>
      </c>
      <c r="AE596">
        <v>-0.96420000000000505</v>
      </c>
      <c r="AF596">
        <v>1.3027565331198001</v>
      </c>
      <c r="AG596">
        <v>-1.170906</v>
      </c>
      <c r="AH596">
        <v>31.864163727928801</v>
      </c>
      <c r="AI596">
        <v>92.102734440044699</v>
      </c>
      <c r="AJ596">
        <v>87.658783589950701</v>
      </c>
      <c r="AK596">
        <v>31.912272334098599</v>
      </c>
      <c r="AL596">
        <v>93.857164359344793</v>
      </c>
      <c r="AM596">
        <v>89.266094697034703</v>
      </c>
      <c r="AN596">
        <v>0.99999999931333705</v>
      </c>
    </row>
    <row r="597" spans="1:40" x14ac:dyDescent="0.25">
      <c r="A597" t="str">
        <f>"20190303154742957"</f>
        <v>20190303154742957</v>
      </c>
      <c r="B597" t="str">
        <f>"1551599262951208"</f>
        <v>1551599262951208</v>
      </c>
      <c r="C597" t="s">
        <v>40</v>
      </c>
      <c r="D597">
        <v>5.2437329999999998</v>
      </c>
      <c r="E597">
        <v>0.50985249999999904</v>
      </c>
      <c r="F597" t="s">
        <v>43</v>
      </c>
      <c r="G597">
        <v>-314.50839999999999</v>
      </c>
      <c r="H597">
        <v>-0.05</v>
      </c>
      <c r="I597">
        <v>366.37580000000003</v>
      </c>
      <c r="J597">
        <v>-346.31760000000003</v>
      </c>
      <c r="K597">
        <v>1.1208750000000001</v>
      </c>
      <c r="L597">
        <v>367.31290000000001</v>
      </c>
      <c r="M597">
        <v>0.9998359</v>
      </c>
      <c r="N597">
        <v>-1.4604489999999999E-2</v>
      </c>
      <c r="O597">
        <v>1.0724900000000001E-2</v>
      </c>
      <c r="P597">
        <v>0.99664410000000003</v>
      </c>
      <c r="Q597">
        <v>-8.1830600000000003E-2</v>
      </c>
      <c r="R597">
        <v>-2.1569039999999999E-3</v>
      </c>
      <c r="S597">
        <v>3.0009160000000001</v>
      </c>
      <c r="T597">
        <v>-0.1098537</v>
      </c>
      <c r="U597">
        <v>-8.7738040000000003E-2</v>
      </c>
      <c r="V597">
        <v>1.287641E-2</v>
      </c>
      <c r="W597">
        <v>-6.7261899999999902E-2</v>
      </c>
      <c r="X597">
        <v>0.99765219999999999</v>
      </c>
      <c r="Y597">
        <v>3.9904420000000003E-2</v>
      </c>
      <c r="Z597">
        <v>-1.2574179999999999E-3</v>
      </c>
      <c r="AA597">
        <v>0.9992027</v>
      </c>
      <c r="AB597">
        <v>35</v>
      </c>
      <c r="AC597">
        <v>31.809200000000001</v>
      </c>
      <c r="AD597">
        <v>-1.1708750000000001</v>
      </c>
      <c r="AE597">
        <v>-0.93709999999998606</v>
      </c>
      <c r="AF597">
        <v>1.2765048757945501</v>
      </c>
      <c r="AG597">
        <v>-1.1708750000000001</v>
      </c>
      <c r="AH597">
        <v>31.754331319617599</v>
      </c>
      <c r="AI597">
        <v>92.110003511145194</v>
      </c>
      <c r="AJ597">
        <v>87.697983863807295</v>
      </c>
      <c r="AK597">
        <v>31.801540379667099</v>
      </c>
      <c r="AL597">
        <v>93.856735048371405</v>
      </c>
      <c r="AM597">
        <v>89.260540911944702</v>
      </c>
      <c r="AN597">
        <v>0.99999993864546699</v>
      </c>
    </row>
    <row r="598" spans="1:40" x14ac:dyDescent="0.25">
      <c r="A598" t="str">
        <f>"20190303154742968"</f>
        <v>20190303154742968</v>
      </c>
      <c r="B598" t="str">
        <f>"1551599262960969"</f>
        <v>1551599262960969</v>
      </c>
      <c r="C598" t="s">
        <v>40</v>
      </c>
      <c r="D598">
        <v>5.2510019999999997</v>
      </c>
      <c r="E598">
        <v>0.50965550000000004</v>
      </c>
      <c r="F598" t="s">
        <v>43</v>
      </c>
      <c r="G598">
        <v>-314.4359</v>
      </c>
      <c r="H598">
        <v>-0.05</v>
      </c>
      <c r="I598">
        <v>366.40309999999999</v>
      </c>
      <c r="J598">
        <v>-346.1465</v>
      </c>
      <c r="K598">
        <v>1.120849</v>
      </c>
      <c r="L598">
        <v>367.31479999999999</v>
      </c>
      <c r="M598">
        <v>0.99983540000000004</v>
      </c>
      <c r="N598">
        <v>-1.4604809999999999E-2</v>
      </c>
      <c r="O598">
        <v>1.076885E-2</v>
      </c>
      <c r="P598">
        <v>0.99663559999999995</v>
      </c>
      <c r="Q598">
        <v>-8.1927600000000003E-2</v>
      </c>
      <c r="R598">
        <v>-2.377063E-3</v>
      </c>
      <c r="S598">
        <v>3.0008539999999999</v>
      </c>
      <c r="T598">
        <v>-0.1102085</v>
      </c>
      <c r="U598">
        <v>-8.5632319999999998E-2</v>
      </c>
      <c r="V598">
        <v>1.313606E-2</v>
      </c>
      <c r="W598">
        <v>-6.7359429999999998E-2</v>
      </c>
      <c r="X598">
        <v>0.99764229999999998</v>
      </c>
      <c r="Y598">
        <v>3.9248749999999999E-2</v>
      </c>
      <c r="Z598">
        <v>-1.24522E-3</v>
      </c>
      <c r="AA598">
        <v>0.99922869999999997</v>
      </c>
      <c r="AB598">
        <v>35</v>
      </c>
      <c r="AC598">
        <v>31.710599999999999</v>
      </c>
      <c r="AD598">
        <v>-1.170849</v>
      </c>
      <c r="AE598">
        <v>-0.91169999999999596</v>
      </c>
      <c r="AF598">
        <v>1.2514655076450001</v>
      </c>
      <c r="AG598">
        <v>-1.170849</v>
      </c>
      <c r="AH598">
        <v>31.655820959089201</v>
      </c>
      <c r="AI598">
        <v>92.116572799294502</v>
      </c>
      <c r="AJ598">
        <v>87.736076038141704</v>
      </c>
      <c r="AK598">
        <v>31.702177431393299</v>
      </c>
      <c r="AL598">
        <v>93.862335556159394</v>
      </c>
      <c r="AM598">
        <v>89.245624101761507</v>
      </c>
      <c r="AN598">
        <v>1.0000000038157599</v>
      </c>
    </row>
    <row r="599" spans="1:40" x14ac:dyDescent="0.25">
      <c r="A599" t="str">
        <f>"20190303154742979"</f>
        <v>20190303154742979</v>
      </c>
      <c r="B599" t="str">
        <f>"1551599262970729"</f>
        <v>1551599262970729</v>
      </c>
      <c r="C599" t="s">
        <v>40</v>
      </c>
      <c r="D599">
        <v>5.263598</v>
      </c>
      <c r="E599">
        <v>0.50946029999999998</v>
      </c>
      <c r="F599" t="s">
        <v>43</v>
      </c>
      <c r="G599">
        <v>-314.51100000000002</v>
      </c>
      <c r="H599">
        <v>-0.05</v>
      </c>
      <c r="I599">
        <v>366.4178</v>
      </c>
      <c r="J599">
        <v>-345.96949999999998</v>
      </c>
      <c r="K599">
        <v>1.120822</v>
      </c>
      <c r="L599">
        <v>367.3168</v>
      </c>
      <c r="M599">
        <v>0.99983489999999997</v>
      </c>
      <c r="N599">
        <v>-1.460507E-2</v>
      </c>
      <c r="O599">
        <v>1.080863E-2</v>
      </c>
      <c r="P599">
        <v>0.99660870000000001</v>
      </c>
      <c r="Q599">
        <v>-8.2254380000000002E-2</v>
      </c>
      <c r="R599">
        <v>-2.3048220000000002E-3</v>
      </c>
      <c r="S599">
        <v>3.0007929999999998</v>
      </c>
      <c r="T599">
        <v>-0.1110611</v>
      </c>
      <c r="U599">
        <v>-8.5083010000000001E-2</v>
      </c>
      <c r="V599">
        <v>1.3099110000000001E-2</v>
      </c>
      <c r="W599">
        <v>-6.7687150000000001E-2</v>
      </c>
      <c r="X599">
        <v>0.99762059999999997</v>
      </c>
      <c r="Y599">
        <v>3.9105870000000001E-2</v>
      </c>
      <c r="Z599">
        <v>-1.2510780000000001E-3</v>
      </c>
      <c r="AA599">
        <v>0.99923430000000002</v>
      </c>
      <c r="AB599">
        <v>35</v>
      </c>
      <c r="AC599">
        <v>31.458500000000001</v>
      </c>
      <c r="AD599">
        <v>-1.170822</v>
      </c>
      <c r="AE599">
        <v>-0.89900000000000002</v>
      </c>
      <c r="AF599">
        <v>1.2372945625134799</v>
      </c>
      <c r="AG599">
        <v>-1.170822</v>
      </c>
      <c r="AH599">
        <v>31.4034800377046</v>
      </c>
      <c r="AI599">
        <v>92.133526812548993</v>
      </c>
      <c r="AJ599">
        <v>87.743717974371094</v>
      </c>
      <c r="AK599">
        <v>31.449646746324799</v>
      </c>
      <c r="AL599">
        <v>93.881155499528305</v>
      </c>
      <c r="AM599">
        <v>89.247729456265105</v>
      </c>
      <c r="AN599">
        <v>0.99999999925113703</v>
      </c>
    </row>
    <row r="600" spans="1:40" x14ac:dyDescent="0.25">
      <c r="A600" t="str">
        <f>"20190303154742991"</f>
        <v>20190303154742991</v>
      </c>
      <c r="B600" t="str">
        <f>"1551599262981464"</f>
        <v>1551599262981464</v>
      </c>
      <c r="C600" t="s">
        <v>40</v>
      </c>
      <c r="D600">
        <v>5.2397359999999997</v>
      </c>
      <c r="E600">
        <v>0.50948479999999996</v>
      </c>
      <c r="F600" t="s">
        <v>43</v>
      </c>
      <c r="G600">
        <v>-314.89870000000002</v>
      </c>
      <c r="H600">
        <v>-0.05</v>
      </c>
      <c r="I600">
        <v>366.45569999999998</v>
      </c>
      <c r="J600">
        <v>-345.80079999999998</v>
      </c>
      <c r="K600">
        <v>1.120803</v>
      </c>
      <c r="L600">
        <v>367.3186</v>
      </c>
      <c r="M600">
        <v>0.99983469999999997</v>
      </c>
      <c r="N600">
        <v>-1.4605079999999999E-2</v>
      </c>
      <c r="O600">
        <v>1.0830269999999999E-2</v>
      </c>
      <c r="P600">
        <v>0.99656520000000004</v>
      </c>
      <c r="Q600">
        <v>-8.2775849999999998E-2</v>
      </c>
      <c r="R600">
        <v>-2.4674699999999998E-3</v>
      </c>
      <c r="S600">
        <v>3.000702</v>
      </c>
      <c r="T600">
        <v>-0.1130736</v>
      </c>
      <c r="U600">
        <v>-8.3160399999999995E-2</v>
      </c>
      <c r="V600">
        <v>1.327948E-2</v>
      </c>
      <c r="W600">
        <v>-6.8209850000000002E-2</v>
      </c>
      <c r="X600">
        <v>0.99758259999999999</v>
      </c>
      <c r="Y600">
        <v>3.8487880000000002E-2</v>
      </c>
      <c r="Z600">
        <v>-1.2558070000000001E-3</v>
      </c>
      <c r="AA600">
        <v>0.99925830000000004</v>
      </c>
      <c r="AB600">
        <v>35</v>
      </c>
      <c r="AC600">
        <v>30.902099999999901</v>
      </c>
      <c r="AD600">
        <v>-1.170803</v>
      </c>
      <c r="AE600">
        <v>-0.86290000000002398</v>
      </c>
      <c r="AF600">
        <v>1.1958479062491001</v>
      </c>
      <c r="AG600">
        <v>-1.170803</v>
      </c>
      <c r="AH600">
        <v>30.8466960389874</v>
      </c>
      <c r="AI600">
        <v>92.172018835770402</v>
      </c>
      <c r="AJ600">
        <v>87.779900197656701</v>
      </c>
      <c r="AK600">
        <v>30.892061899481099</v>
      </c>
      <c r="AL600">
        <v>93.911173432089896</v>
      </c>
      <c r="AM600">
        <v>89.237343131807407</v>
      </c>
      <c r="AN600">
        <v>0.99999998602442597</v>
      </c>
    </row>
    <row r="601" spans="1:40" x14ac:dyDescent="0.25">
      <c r="A601" t="str">
        <f>"20190303154743147"</f>
        <v>20190303154743147</v>
      </c>
      <c r="B601" t="str">
        <f>"1551599263141529"</f>
        <v>1551599263141529</v>
      </c>
      <c r="C601" t="s">
        <v>40</v>
      </c>
      <c r="D601">
        <v>5.3539399999999997</v>
      </c>
      <c r="E601">
        <v>0.50948479999999996</v>
      </c>
      <c r="F601" t="s">
        <v>43</v>
      </c>
      <c r="G601">
        <v>-315.07369999999997</v>
      </c>
      <c r="H601">
        <v>-0.05</v>
      </c>
      <c r="I601">
        <v>366.46010000000001</v>
      </c>
      <c r="J601">
        <v>-343.40210000000002</v>
      </c>
      <c r="K601">
        <v>1.1207069999999999</v>
      </c>
      <c r="L601">
        <v>367.34480000000002</v>
      </c>
      <c r="M601">
        <v>0.99983480000000002</v>
      </c>
      <c r="N601">
        <v>-1.4595179999999999E-2</v>
      </c>
      <c r="O601">
        <v>1.083605E-2</v>
      </c>
      <c r="P601">
        <v>0.9964828</v>
      </c>
      <c r="Q601">
        <v>-8.3593849999999997E-2</v>
      </c>
      <c r="R601">
        <v>-5.8398540000000002E-3</v>
      </c>
      <c r="S601">
        <v>3.0006409999999999</v>
      </c>
      <c r="T601">
        <v>-0.114334199999999</v>
      </c>
      <c r="U601">
        <v>-8.3831790000000003E-2</v>
      </c>
      <c r="V601">
        <v>1.6638179999999999E-2</v>
      </c>
      <c r="W601">
        <v>-6.9043030000000005E-2</v>
      </c>
      <c r="X601">
        <v>0.99747490000000005</v>
      </c>
      <c r="Y601">
        <v>3.8716569999999999E-2</v>
      </c>
      <c r="Z601">
        <v>-1.274528E-3</v>
      </c>
      <c r="AA601">
        <v>0.99924939999999995</v>
      </c>
      <c r="AB601">
        <v>34</v>
      </c>
      <c r="AC601">
        <v>28.328399999999998</v>
      </c>
      <c r="AD601">
        <v>-1.1707069999999999</v>
      </c>
      <c r="AE601">
        <v>-0.88470000000000903</v>
      </c>
      <c r="AF601">
        <v>1.1896189721997401</v>
      </c>
      <c r="AG601">
        <v>-1.1707069999999999</v>
      </c>
      <c r="AH601">
        <v>28.268916444966099</v>
      </c>
      <c r="AI601">
        <v>92.369353273017197</v>
      </c>
      <c r="AJ601">
        <v>87.590287766538196</v>
      </c>
      <c r="AK601">
        <v>28.3181458635861</v>
      </c>
      <c r="AL601">
        <v>93.959023996145106</v>
      </c>
      <c r="AM601">
        <v>89.044377863754306</v>
      </c>
      <c r="AN601">
        <v>0.99999997257765105</v>
      </c>
    </row>
    <row r="602" spans="1:40" x14ac:dyDescent="0.25">
      <c r="A602" t="str">
        <f>"20190303154743180"</f>
        <v>20190303154743180</v>
      </c>
      <c r="B602" t="str">
        <f>"1551599263171785"</f>
        <v>1551599263171785</v>
      </c>
      <c r="C602" t="s">
        <v>40</v>
      </c>
      <c r="D602">
        <v>5.5418240000000001</v>
      </c>
      <c r="E602">
        <v>0.51309939999999998</v>
      </c>
      <c r="F602" t="s">
        <v>43</v>
      </c>
      <c r="G602">
        <v>-313.37759999999997</v>
      </c>
      <c r="H602">
        <v>-0.05</v>
      </c>
      <c r="I602">
        <v>366.40170000000001</v>
      </c>
      <c r="J602">
        <v>-342.90269999999998</v>
      </c>
      <c r="K602">
        <v>1.1206940000000001</v>
      </c>
      <c r="L602">
        <v>367.35019999999997</v>
      </c>
      <c r="M602">
        <v>0.99983500000000003</v>
      </c>
      <c r="N602">
        <v>-1.459147E-2</v>
      </c>
      <c r="O602">
        <v>1.0835869999999999E-2</v>
      </c>
      <c r="P602">
        <v>0.99637390000000003</v>
      </c>
      <c r="Q602">
        <v>-8.4886429999999999E-2</v>
      </c>
      <c r="R602">
        <v>-5.8099049999999998E-3</v>
      </c>
      <c r="S602">
        <v>3.0002140000000002</v>
      </c>
      <c r="T602">
        <v>-0.1169835</v>
      </c>
      <c r="U602">
        <v>-9.4238279999999994E-2</v>
      </c>
      <c r="V602">
        <v>1.660565E-2</v>
      </c>
      <c r="W602">
        <v>-7.0340949999999999E-2</v>
      </c>
      <c r="X602">
        <v>0.99738479999999996</v>
      </c>
      <c r="Y602">
        <v>4.2177640000000002E-2</v>
      </c>
      <c r="Z602">
        <v>-1.3939619999999999E-3</v>
      </c>
      <c r="AA602">
        <v>0.99910909999999997</v>
      </c>
      <c r="AB602">
        <v>34</v>
      </c>
      <c r="AC602">
        <v>29.525099999999998</v>
      </c>
      <c r="AD602">
        <v>-1.1706939999999999</v>
      </c>
      <c r="AE602">
        <v>-0.94849999999996704</v>
      </c>
      <c r="AF602">
        <v>1.26641945962641</v>
      </c>
      <c r="AG602">
        <v>-1.1706939999999999</v>
      </c>
      <c r="AH602">
        <v>29.466807752592</v>
      </c>
      <c r="AI602">
        <v>92.273025417136694</v>
      </c>
      <c r="AJ602">
        <v>87.539066164232395</v>
      </c>
      <c r="AK602">
        <v>29.517233979788401</v>
      </c>
      <c r="AL602">
        <v>94.0335704136711</v>
      </c>
      <c r="AM602">
        <v>89.0461597523568</v>
      </c>
      <c r="AN602">
        <v>1.00000001806493</v>
      </c>
    </row>
    <row r="603" spans="1:40" x14ac:dyDescent="0.25">
      <c r="A603" t="str">
        <f>"20190303154743192"</f>
        <v>20190303154743192</v>
      </c>
      <c r="B603" t="str">
        <f>"1551599263181544"</f>
        <v>1551599263181544</v>
      </c>
      <c r="C603" t="s">
        <v>40</v>
      </c>
      <c r="D603">
        <v>5.2198019999999996</v>
      </c>
      <c r="E603">
        <v>0.51351199999999997</v>
      </c>
      <c r="F603" t="s">
        <v>45</v>
      </c>
      <c r="G603">
        <v>-158.19499999999999</v>
      </c>
      <c r="H603">
        <v>2.3368139999999999</v>
      </c>
      <c r="I603">
        <v>359.75369999999998</v>
      </c>
      <c r="J603">
        <v>-342.72579999999999</v>
      </c>
      <c r="K603">
        <v>1.120692</v>
      </c>
      <c r="L603">
        <v>367.35210000000001</v>
      </c>
      <c r="M603">
        <v>0.99983500000000003</v>
      </c>
      <c r="N603">
        <v>-1.459005E-2</v>
      </c>
      <c r="O603">
        <v>1.083598E-2</v>
      </c>
      <c r="P603">
        <v>0.99635059999999998</v>
      </c>
      <c r="Q603">
        <v>-8.5164489999999995E-2</v>
      </c>
      <c r="R603">
        <v>-5.7450340000000004E-3</v>
      </c>
      <c r="S603">
        <v>3.0118710000000002</v>
      </c>
      <c r="T603">
        <v>1.9831660000000001E-2</v>
      </c>
      <c r="U603">
        <v>-0.1238708</v>
      </c>
      <c r="V603">
        <v>1.6540369999999999E-2</v>
      </c>
      <c r="W603">
        <v>-7.0620779999999994E-2</v>
      </c>
      <c r="X603">
        <v>0.99736610000000003</v>
      </c>
      <c r="Y603">
        <v>5.19173E-2</v>
      </c>
      <c r="Z603" s="1">
        <v>2.1285780000000001E-5</v>
      </c>
      <c r="AA603">
        <v>0.99865139999999997</v>
      </c>
      <c r="AB603">
        <v>34</v>
      </c>
      <c r="AC603">
        <v>184.5308</v>
      </c>
      <c r="AD603">
        <v>1.2161219999999999</v>
      </c>
      <c r="AE603">
        <v>-7.5984000000000202</v>
      </c>
      <c r="AF603">
        <v>9.5973222649385797</v>
      </c>
      <c r="AG603">
        <v>1.2161219999999999</v>
      </c>
      <c r="AH603">
        <v>184.42962214208501</v>
      </c>
      <c r="AI603">
        <v>89.622709737144802</v>
      </c>
      <c r="AJ603">
        <v>87.021137351072298</v>
      </c>
      <c r="AK603">
        <v>184.68316943037399</v>
      </c>
      <c r="AL603">
        <v>94.049643504131794</v>
      </c>
      <c r="AM603">
        <v>89.049890982544397</v>
      </c>
      <c r="AN603">
        <v>1.00000000791837</v>
      </c>
    </row>
    <row r="604" spans="1:40" x14ac:dyDescent="0.25">
      <c r="A604" t="str">
        <f>"20190303154743203"</f>
        <v>20190303154743203</v>
      </c>
      <c r="B604" t="str">
        <f>"1551599263201064"</f>
        <v>1551599263201064</v>
      </c>
      <c r="C604" t="s">
        <v>40</v>
      </c>
      <c r="D604">
        <v>5.3659780000000001</v>
      </c>
      <c r="E604">
        <v>0.51595150000000001</v>
      </c>
      <c r="F604" t="s">
        <v>45</v>
      </c>
      <c r="G604">
        <v>-158.19499999999999</v>
      </c>
      <c r="H604">
        <v>2.8319920000000001</v>
      </c>
      <c r="I604">
        <v>359.54599999999999</v>
      </c>
      <c r="J604">
        <v>-342.55520000000001</v>
      </c>
      <c r="K604">
        <v>1.1206910000000001</v>
      </c>
      <c r="L604">
        <v>367.35399999999998</v>
      </c>
      <c r="M604">
        <v>0.99983480000000002</v>
      </c>
      <c r="N604">
        <v>-1.458867E-2</v>
      </c>
      <c r="O604">
        <v>1.0836149999999999E-2</v>
      </c>
      <c r="P604">
        <v>0.99632390000000004</v>
      </c>
      <c r="Q604">
        <v>-8.5489209999999996E-2</v>
      </c>
      <c r="R604">
        <v>-5.5132369999999998E-3</v>
      </c>
      <c r="S604">
        <v>3.0126040000000001</v>
      </c>
      <c r="T604">
        <v>2.7939680000000001E-2</v>
      </c>
      <c r="U604">
        <v>-0.12744140000000001</v>
      </c>
      <c r="V604">
        <v>1.6308550000000002E-2</v>
      </c>
      <c r="W604">
        <v>-7.094723E-2</v>
      </c>
      <c r="X604">
        <v>0.99734679999999998</v>
      </c>
      <c r="Y604">
        <v>5.308831E-2</v>
      </c>
      <c r="Z604">
        <v>1.170911E-4</v>
      </c>
      <c r="AA604">
        <v>0.99858979999999997</v>
      </c>
      <c r="AB604">
        <v>34</v>
      </c>
      <c r="AC604">
        <v>184.36019999999999</v>
      </c>
      <c r="AD604">
        <v>1.71130099999999</v>
      </c>
      <c r="AE604">
        <v>-7.8080000000000496</v>
      </c>
      <c r="AF604">
        <v>9.8046657172733696</v>
      </c>
      <c r="AG604">
        <v>1.71130099999999</v>
      </c>
      <c r="AH604">
        <v>184.24890879334799</v>
      </c>
      <c r="AI604">
        <v>89.468604808094696</v>
      </c>
      <c r="AJ604">
        <v>86.9539216993374</v>
      </c>
      <c r="AK604">
        <v>184.51753415997999</v>
      </c>
      <c r="AL604">
        <v>94.068394538062407</v>
      </c>
      <c r="AM604">
        <v>89.0631866311777</v>
      </c>
      <c r="AN604">
        <v>1.0000000588589999</v>
      </c>
    </row>
    <row r="605" spans="1:40" x14ac:dyDescent="0.25">
      <c r="A605" t="str">
        <f>"20190303154743215"</f>
        <v>20190303154743215</v>
      </c>
      <c r="B605" t="str">
        <f>"1551599263211800"</f>
        <v>1551599263211800</v>
      </c>
      <c r="C605" t="s">
        <v>40</v>
      </c>
      <c r="D605">
        <v>5.2681829999999996</v>
      </c>
      <c r="E605">
        <v>0.51341800000000004</v>
      </c>
      <c r="F605" t="s">
        <v>45</v>
      </c>
      <c r="G605">
        <v>-158.19499999999999</v>
      </c>
      <c r="H605">
        <v>1.4005559999999999</v>
      </c>
      <c r="I605">
        <v>358.42309999999998</v>
      </c>
      <c r="J605">
        <v>-342.37569999999999</v>
      </c>
      <c r="K605">
        <v>1.12069</v>
      </c>
      <c r="L605">
        <v>367.35590000000002</v>
      </c>
      <c r="M605">
        <v>0.99983500000000003</v>
      </c>
      <c r="N605">
        <v>-1.458715E-2</v>
      </c>
      <c r="O605">
        <v>1.0836149999999999E-2</v>
      </c>
      <c r="P605">
        <v>0.9963069</v>
      </c>
      <c r="Q605">
        <v>-8.5687440000000004E-2</v>
      </c>
      <c r="R605">
        <v>-5.5207590000000001E-3</v>
      </c>
      <c r="S605">
        <v>3.0106510000000002</v>
      </c>
      <c r="T605">
        <v>4.5716759999999898E-3</v>
      </c>
      <c r="U605">
        <v>-0.14584349999999999</v>
      </c>
      <c r="V605">
        <v>1.6315710000000001E-2</v>
      </c>
      <c r="W605">
        <v>-7.114724E-2</v>
      </c>
      <c r="X605">
        <v>0.99733240000000001</v>
      </c>
      <c r="Y605">
        <v>5.9206729999999999E-2</v>
      </c>
      <c r="Z605">
        <v>-2.1275490000000001E-4</v>
      </c>
      <c r="AA605">
        <v>0.99824570000000001</v>
      </c>
      <c r="AB605">
        <v>34</v>
      </c>
      <c r="AC605">
        <v>184.1807</v>
      </c>
      <c r="AD605">
        <v>0.279865999999999</v>
      </c>
      <c r="AE605">
        <v>-8.9328000000000394</v>
      </c>
      <c r="AF605">
        <v>10.928272076774199</v>
      </c>
      <c r="AG605">
        <v>0.279865999999999</v>
      </c>
      <c r="AH605">
        <v>184.07265247268899</v>
      </c>
      <c r="AI605">
        <v>89.913040079932799</v>
      </c>
      <c r="AJ605">
        <v>86.602375472201899</v>
      </c>
      <c r="AK605">
        <v>184.39698165613501</v>
      </c>
      <c r="AL605">
        <v>94.079883440878703</v>
      </c>
      <c r="AM605">
        <v>89.062761882341803</v>
      </c>
      <c r="AN605">
        <v>1.00000002412109</v>
      </c>
    </row>
    <row r="606" spans="1:40" x14ac:dyDescent="0.25">
      <c r="A606" t="str">
        <f>"20190303154743230"</f>
        <v>20190303154743230</v>
      </c>
      <c r="B606" t="str">
        <f>"1551599263221560"</f>
        <v>1551599263221560</v>
      </c>
      <c r="C606" t="s">
        <v>40</v>
      </c>
      <c r="D606">
        <v>5.3081719999999999</v>
      </c>
      <c r="E606">
        <v>0.5122968</v>
      </c>
      <c r="F606" t="s">
        <v>45</v>
      </c>
      <c r="G606">
        <v>-158.19499999999999</v>
      </c>
      <c r="H606">
        <v>0.89590069999999999</v>
      </c>
      <c r="I606">
        <v>359.66460000000001</v>
      </c>
      <c r="J606">
        <v>-342.16160000000002</v>
      </c>
      <c r="K606">
        <v>1.12069</v>
      </c>
      <c r="L606">
        <v>367.35820000000001</v>
      </c>
      <c r="M606">
        <v>0.99983500000000003</v>
      </c>
      <c r="N606">
        <v>-1.4585290000000001E-2</v>
      </c>
      <c r="O606">
        <v>1.0836149999999999E-2</v>
      </c>
      <c r="P606">
        <v>0.99626400000000004</v>
      </c>
      <c r="Q606">
        <v>-8.618924E-2</v>
      </c>
      <c r="R606">
        <v>-5.4629049999999997E-3</v>
      </c>
      <c r="S606">
        <v>3.010132</v>
      </c>
      <c r="T606">
        <v>-3.6723609999999999E-3</v>
      </c>
      <c r="U606">
        <v>-0.12570190000000001</v>
      </c>
      <c r="V606">
        <v>1.6257150000000001E-2</v>
      </c>
      <c r="W606">
        <v>-7.1651469999999995E-2</v>
      </c>
      <c r="X606">
        <v>0.99729719999999999</v>
      </c>
      <c r="Y606">
        <v>5.2547179999999999E-2</v>
      </c>
      <c r="Z606">
        <v>-2.706699E-4</v>
      </c>
      <c r="AA606">
        <v>0.99861840000000002</v>
      </c>
      <c r="AB606">
        <v>34</v>
      </c>
      <c r="AC606">
        <v>183.9666</v>
      </c>
      <c r="AD606">
        <v>-0.2247893</v>
      </c>
      <c r="AE606">
        <v>-7.6936</v>
      </c>
      <c r="AF606">
        <v>9.6868353186562803</v>
      </c>
      <c r="AG606">
        <v>-0.2247893</v>
      </c>
      <c r="AH606">
        <v>183.87214459454199</v>
      </c>
      <c r="AI606">
        <v>90.069948799546793</v>
      </c>
      <c r="AJ606">
        <v>86.984305779478305</v>
      </c>
      <c r="AK606">
        <v>184.12726812321</v>
      </c>
      <c r="AL606">
        <v>94.1088478502257</v>
      </c>
      <c r="AM606">
        <v>89.066092245034696</v>
      </c>
      <c r="AN606">
        <v>0.99999996660356105</v>
      </c>
    </row>
    <row r="607" spans="1:40" x14ac:dyDescent="0.25">
      <c r="A607" t="str">
        <f>"20190303154743246"</f>
        <v>20190303154743246</v>
      </c>
      <c r="B607" t="str">
        <f>"1551599263241080"</f>
        <v>1551599263241080</v>
      </c>
      <c r="C607" t="s">
        <v>40</v>
      </c>
      <c r="D607">
        <v>5.3237839999999998</v>
      </c>
      <c r="E607">
        <v>0.5102544</v>
      </c>
      <c r="F607" t="s">
        <v>46</v>
      </c>
      <c r="G607">
        <v>-180</v>
      </c>
      <c r="H607">
        <v>1.9756139999999998E-2</v>
      </c>
      <c r="I607">
        <v>361.06700000000001</v>
      </c>
      <c r="J607">
        <v>-341.8956</v>
      </c>
      <c r="K607">
        <v>1.1206879999999999</v>
      </c>
      <c r="L607">
        <v>367.36110000000002</v>
      </c>
      <c r="M607">
        <v>0.99983500000000003</v>
      </c>
      <c r="N607">
        <v>-1.4582940000000001E-2</v>
      </c>
      <c r="O607">
        <v>1.083634E-2</v>
      </c>
      <c r="P607">
        <v>0.99625830000000004</v>
      </c>
      <c r="Q607">
        <v>-8.6251649999999999E-2</v>
      </c>
      <c r="R607">
        <v>-5.479739E-3</v>
      </c>
      <c r="S607">
        <v>3.0088200000000001</v>
      </c>
      <c r="T607">
        <v>-2.0427230000000001E-2</v>
      </c>
      <c r="U607">
        <v>-0.11672970000000001</v>
      </c>
      <c r="V607">
        <v>1.627412E-2</v>
      </c>
      <c r="W607">
        <v>-7.1716349999999998E-2</v>
      </c>
      <c r="X607">
        <v>0.99729230000000002</v>
      </c>
      <c r="Y607">
        <v>4.9589830000000001E-2</v>
      </c>
      <c r="Z607">
        <v>-4.4559409999999998E-4</v>
      </c>
      <c r="AA607">
        <v>0.99876960000000004</v>
      </c>
      <c r="AB607">
        <v>34</v>
      </c>
      <c r="AC607">
        <v>161.8956</v>
      </c>
      <c r="AD607">
        <v>-1.10093186</v>
      </c>
      <c r="AE607">
        <v>-6.2941000000000704</v>
      </c>
      <c r="AF607">
        <v>8.0479009996584896</v>
      </c>
      <c r="AG607">
        <v>-1.10093186</v>
      </c>
      <c r="AH607">
        <v>161.81040865665301</v>
      </c>
      <c r="AI607">
        <v>90.389343951699502</v>
      </c>
      <c r="AJ607">
        <v>87.152648539892695</v>
      </c>
      <c r="AK607">
        <v>162.01416330399601</v>
      </c>
      <c r="AL607">
        <v>94.112574623104706</v>
      </c>
      <c r="AM607">
        <v>89.065112967303307</v>
      </c>
      <c r="AN607">
        <v>1.0000000067391901</v>
      </c>
    </row>
    <row r="608" spans="1:40" x14ac:dyDescent="0.25">
      <c r="A608" t="str">
        <f>"20190303154743268"</f>
        <v>20190303154743268</v>
      </c>
      <c r="B608" t="str">
        <f>"1551599263261576"</f>
        <v>1551599263261576</v>
      </c>
      <c r="C608" t="s">
        <v>40</v>
      </c>
      <c r="D608">
        <v>5.32761</v>
      </c>
      <c r="E608">
        <v>0.5093067</v>
      </c>
      <c r="F608" t="s">
        <v>41</v>
      </c>
      <c r="G608">
        <v>-270.74880000000002</v>
      </c>
      <c r="H608" s="1">
        <v>-4.7719949999999999E-6</v>
      </c>
      <c r="I608">
        <v>364.98809999999997</v>
      </c>
      <c r="J608">
        <v>-341.5693</v>
      </c>
      <c r="K608">
        <v>1.1206910000000001</v>
      </c>
      <c r="L608">
        <v>367.3646</v>
      </c>
      <c r="M608">
        <v>0.99983500000000003</v>
      </c>
      <c r="N608">
        <v>-1.4579969999999999E-2</v>
      </c>
      <c r="O608">
        <v>1.0836699999999999E-2</v>
      </c>
      <c r="P608">
        <v>0.996228</v>
      </c>
      <c r="Q608">
        <v>-8.660437E-2</v>
      </c>
      <c r="R608">
        <v>-5.4552309999999996E-3</v>
      </c>
      <c r="S608">
        <v>3.006653</v>
      </c>
      <c r="T608">
        <v>-4.7360300000000001E-2</v>
      </c>
      <c r="U608">
        <v>-0.1002808</v>
      </c>
      <c r="V608">
        <v>1.6249469999999998E-2</v>
      </c>
      <c r="W608">
        <v>-7.2072419999999998E-2</v>
      </c>
      <c r="X608">
        <v>0.99726700000000001</v>
      </c>
      <c r="Y608">
        <v>4.4153749999999999E-2</v>
      </c>
      <c r="Z608">
        <v>-6.8234559999999999E-4</v>
      </c>
      <c r="AA608">
        <v>0.99902449999999998</v>
      </c>
      <c r="AB608">
        <v>34</v>
      </c>
      <c r="AC608">
        <v>70.820499999999896</v>
      </c>
      <c r="AD608">
        <v>-1.1206957719949999</v>
      </c>
      <c r="AE608">
        <v>-2.37650000000002</v>
      </c>
      <c r="AF608">
        <v>3.1431163150786801</v>
      </c>
      <c r="AG608">
        <v>-1.1206957719949999</v>
      </c>
      <c r="AH608">
        <v>70.772881928422194</v>
      </c>
      <c r="AI608">
        <v>90.906315461489299</v>
      </c>
      <c r="AJ608">
        <v>87.457090411874205</v>
      </c>
      <c r="AK608">
        <v>70.851506375220197</v>
      </c>
      <c r="AL608">
        <v>94.133028996682995</v>
      </c>
      <c r="AM608">
        <v>89.066505089055198</v>
      </c>
      <c r="AN608">
        <v>0.99999997414446795</v>
      </c>
    </row>
    <row r="609" spans="1:40" x14ac:dyDescent="0.25">
      <c r="A609" t="str">
        <f>"20190303154743280"</f>
        <v>20190303154743280</v>
      </c>
      <c r="B609" t="str">
        <f>"1551599263271336"</f>
        <v>1551599263271336</v>
      </c>
      <c r="C609" t="s">
        <v>40</v>
      </c>
      <c r="D609">
        <v>5.2808120000000001</v>
      </c>
      <c r="E609">
        <v>0.50889870000000004</v>
      </c>
      <c r="F609" t="s">
        <v>43</v>
      </c>
      <c r="G609">
        <v>-281.88630000000001</v>
      </c>
      <c r="H609">
        <v>-0.05</v>
      </c>
      <c r="I609">
        <v>365.52429999999998</v>
      </c>
      <c r="J609">
        <v>-341.39510000000001</v>
      </c>
      <c r="K609">
        <v>1.1206940000000001</v>
      </c>
      <c r="L609">
        <v>367.36649999999997</v>
      </c>
      <c r="M609">
        <v>0.99983500000000003</v>
      </c>
      <c r="N609">
        <v>-1.457836E-2</v>
      </c>
      <c r="O609">
        <v>1.0837009999999999E-2</v>
      </c>
      <c r="P609">
        <v>0.99623479999999998</v>
      </c>
      <c r="Q609">
        <v>-8.6535580000000001E-2</v>
      </c>
      <c r="R609">
        <v>-5.277894E-3</v>
      </c>
      <c r="S609">
        <v>3.0057070000000001</v>
      </c>
      <c r="T609">
        <v>-5.8957339999999997E-2</v>
      </c>
      <c r="U609">
        <v>-9.2681879999999994E-2</v>
      </c>
      <c r="V609">
        <v>1.607244E-2</v>
      </c>
      <c r="W609">
        <v>-7.2005150000000004E-2</v>
      </c>
      <c r="X609">
        <v>0.99727480000000002</v>
      </c>
      <c r="Y609">
        <v>4.1637760000000003E-2</v>
      </c>
      <c r="Z609">
        <v>-7.6642880000000004E-4</v>
      </c>
      <c r="AA609">
        <v>0.99913249999999998</v>
      </c>
      <c r="AB609">
        <v>34</v>
      </c>
      <c r="AC609">
        <v>59.508800000000001</v>
      </c>
      <c r="AD609">
        <v>-1.1706939999999999</v>
      </c>
      <c r="AE609">
        <v>-1.8421999999999901</v>
      </c>
      <c r="AF609">
        <v>2.4860965734315901</v>
      </c>
      <c r="AG609">
        <v>-1.1706939999999999</v>
      </c>
      <c r="AH609">
        <v>59.4623481045764</v>
      </c>
      <c r="AI609">
        <v>91.126908650776599</v>
      </c>
      <c r="AJ609">
        <v>87.605881134748401</v>
      </c>
      <c r="AK609">
        <v>59.525809887173097</v>
      </c>
      <c r="AL609">
        <v>94.129164372786903</v>
      </c>
      <c r="AM609">
        <v>89.076680507968902</v>
      </c>
      <c r="AN609">
        <v>1.0000000458345499</v>
      </c>
    </row>
    <row r="610" spans="1:40" x14ac:dyDescent="0.25">
      <c r="A610" t="str">
        <f>"20190303154743291"</f>
        <v>20190303154743291</v>
      </c>
      <c r="B610" t="str">
        <f>"1551599263281096"</f>
        <v>1551599263281096</v>
      </c>
      <c r="C610" t="s">
        <v>40</v>
      </c>
      <c r="D610">
        <v>5.2784269999999998</v>
      </c>
      <c r="E610">
        <v>0.50835229999999998</v>
      </c>
      <c r="F610" t="s">
        <v>43</v>
      </c>
      <c r="G610">
        <v>-285.26560000000001</v>
      </c>
      <c r="H610">
        <v>-0.05</v>
      </c>
      <c r="I610">
        <v>365.71140000000003</v>
      </c>
      <c r="J610">
        <v>-341.22710000000001</v>
      </c>
      <c r="K610">
        <v>1.1206989999999999</v>
      </c>
      <c r="L610">
        <v>367.36829999999998</v>
      </c>
      <c r="M610">
        <v>0.99983509999999998</v>
      </c>
      <c r="N610">
        <v>-1.4576779999999999E-2</v>
      </c>
      <c r="O610">
        <v>1.083684E-2</v>
      </c>
      <c r="P610">
        <v>0.99626579999999998</v>
      </c>
      <c r="Q610">
        <v>-8.6174860000000006E-2</v>
      </c>
      <c r="R610">
        <v>-5.3364129999999999E-3</v>
      </c>
      <c r="S610">
        <v>3.0054630000000002</v>
      </c>
      <c r="T610">
        <v>-6.2685009999999999E-2</v>
      </c>
      <c r="U610">
        <v>-8.8623049999999995E-2</v>
      </c>
      <c r="V610">
        <v>1.613113E-2</v>
      </c>
      <c r="W610">
        <v>-7.1645619999999993E-2</v>
      </c>
      <c r="X610">
        <v>0.99729970000000001</v>
      </c>
      <c r="Y610">
        <v>4.0290970000000002E-2</v>
      </c>
      <c r="Z610">
        <v>-7.8185310000000003E-4</v>
      </c>
      <c r="AA610">
        <v>0.99918770000000001</v>
      </c>
      <c r="AB610">
        <v>34</v>
      </c>
      <c r="AC610">
        <v>55.961500000000001</v>
      </c>
      <c r="AD610">
        <v>-1.1706989999999999</v>
      </c>
      <c r="AE610">
        <v>-1.6568999999999501</v>
      </c>
      <c r="AF610">
        <v>2.2623236983709401</v>
      </c>
      <c r="AG610">
        <v>-1.1706989999999999</v>
      </c>
      <c r="AH610">
        <v>55.915806493385801</v>
      </c>
      <c r="AI610">
        <v>91.198435794701695</v>
      </c>
      <c r="AJ610">
        <v>87.683107004999499</v>
      </c>
      <c r="AK610">
        <v>55.973797981471499</v>
      </c>
      <c r="AL610">
        <v>94.108511669134401</v>
      </c>
      <c r="AM610">
        <v>89.073332641436707</v>
      </c>
      <c r="AN610">
        <v>0.99999999992017496</v>
      </c>
    </row>
    <row r="611" spans="1:40" x14ac:dyDescent="0.25">
      <c r="A611" t="str">
        <f>"20190303154743302"</f>
        <v>20190303154743302</v>
      </c>
      <c r="B611" t="str">
        <f>"1551599263291833"</f>
        <v>1551599263291833</v>
      </c>
      <c r="C611" t="s">
        <v>40</v>
      </c>
      <c r="D611">
        <v>5.2707540000000002</v>
      </c>
      <c r="E611">
        <v>0.50793199999999905</v>
      </c>
      <c r="F611" t="s">
        <v>43</v>
      </c>
      <c r="G611">
        <v>-287.57159999999999</v>
      </c>
      <c r="H611">
        <v>-0.05</v>
      </c>
      <c r="I611">
        <v>365.85899999999998</v>
      </c>
      <c r="J611">
        <v>-341.06279999999998</v>
      </c>
      <c r="K611">
        <v>1.1207</v>
      </c>
      <c r="L611">
        <v>367.37009999999998</v>
      </c>
      <c r="M611">
        <v>0.99983529999999998</v>
      </c>
      <c r="N611">
        <v>-1.457523E-2</v>
      </c>
      <c r="O611">
        <v>1.083655E-2</v>
      </c>
      <c r="P611">
        <v>0.99632940000000003</v>
      </c>
      <c r="Q611">
        <v>-8.5446330000000001E-2</v>
      </c>
      <c r="R611">
        <v>-5.1923059999999998E-3</v>
      </c>
      <c r="S611">
        <v>3.0051269999999999</v>
      </c>
      <c r="T611">
        <v>-6.5568210000000002E-2</v>
      </c>
      <c r="U611">
        <v>-8.4533689999999995E-2</v>
      </c>
      <c r="V611">
        <v>1.5987669999999999E-2</v>
      </c>
      <c r="W611">
        <v>-7.0917740000000007E-2</v>
      </c>
      <c r="X611">
        <v>0.99735399999999996</v>
      </c>
      <c r="Y611">
        <v>3.8934730000000001E-2</v>
      </c>
      <c r="Z611">
        <v>-7.8694710000000001E-4</v>
      </c>
      <c r="AA611">
        <v>0.9992415</v>
      </c>
      <c r="AB611">
        <v>34</v>
      </c>
      <c r="AC611">
        <v>53.4911999999999</v>
      </c>
      <c r="AD611">
        <v>-1.1707000000000001</v>
      </c>
      <c r="AE611">
        <v>-1.5110999999999399</v>
      </c>
      <c r="AF611">
        <v>2.0897325909328002</v>
      </c>
      <c r="AG611">
        <v>-1.1707000000000001</v>
      </c>
      <c r="AH611">
        <v>53.446101896828097</v>
      </c>
      <c r="AI611">
        <v>91.253866090957999</v>
      </c>
      <c r="AJ611">
        <v>87.760886318149304</v>
      </c>
      <c r="AK611">
        <v>53.499750735473</v>
      </c>
      <c r="AL611">
        <v>94.066700995571296</v>
      </c>
      <c r="AM611">
        <v>89.081622407341399</v>
      </c>
      <c r="AN611">
        <v>0.99999996637736699</v>
      </c>
    </row>
    <row r="612" spans="1:40" x14ac:dyDescent="0.25">
      <c r="A612" t="str">
        <f>"20190303154743313"</f>
        <v>20190303154743313</v>
      </c>
      <c r="B612" t="str">
        <f>"1551599263311352"</f>
        <v>1551599263311352</v>
      </c>
      <c r="C612" t="s">
        <v>40</v>
      </c>
      <c r="D612">
        <v>5.2805859999999996</v>
      </c>
      <c r="E612">
        <v>0.50741400000000003</v>
      </c>
      <c r="F612" t="s">
        <v>43</v>
      </c>
      <c r="G612">
        <v>-288.88409999999999</v>
      </c>
      <c r="H612">
        <v>-0.05</v>
      </c>
      <c r="I612">
        <v>365.96480000000003</v>
      </c>
      <c r="J612">
        <v>-340.88010000000003</v>
      </c>
      <c r="K612">
        <v>1.1207039999999999</v>
      </c>
      <c r="L612">
        <v>367.37209999999999</v>
      </c>
      <c r="M612">
        <v>0.99983520000000004</v>
      </c>
      <c r="N612">
        <v>-1.4573559999999999E-2</v>
      </c>
      <c r="O612">
        <v>1.0837029999999999E-2</v>
      </c>
      <c r="P612">
        <v>0.9963668</v>
      </c>
      <c r="Q612">
        <v>-8.4998379999999998E-2</v>
      </c>
      <c r="R612">
        <v>-5.3507759999999998E-3</v>
      </c>
      <c r="S612">
        <v>3.004883</v>
      </c>
      <c r="T612">
        <v>-6.7418580000000006E-2</v>
      </c>
      <c r="U612">
        <v>-8.0932619999999997E-2</v>
      </c>
      <c r="V612">
        <v>1.614699E-2</v>
      </c>
      <c r="W612">
        <v>-7.0471000000000006E-2</v>
      </c>
      <c r="X612">
        <v>0.99738309999999997</v>
      </c>
      <c r="Y612">
        <v>3.7740610000000001E-2</v>
      </c>
      <c r="Z612">
        <v>-7.8355030000000004E-4</v>
      </c>
      <c r="AA612">
        <v>0.99928720000000004</v>
      </c>
      <c r="AB612">
        <v>34</v>
      </c>
      <c r="AC612">
        <v>51.996000000000002</v>
      </c>
      <c r="AD612">
        <v>-1.170704</v>
      </c>
      <c r="AE612">
        <v>-1.40729999999996</v>
      </c>
      <c r="AF612">
        <v>1.9697615152719199</v>
      </c>
      <c r="AG612">
        <v>-1.170704</v>
      </c>
      <c r="AH612">
        <v>51.951376637833</v>
      </c>
      <c r="AI612">
        <v>91.289992959556102</v>
      </c>
      <c r="AJ612">
        <v>87.828642974669506</v>
      </c>
      <c r="AK612">
        <v>52.001884993225403</v>
      </c>
      <c r="AL612">
        <v>94.041040470785205</v>
      </c>
      <c r="AM612">
        <v>89.072499257947996</v>
      </c>
      <c r="AN612">
        <v>0.99999996764633403</v>
      </c>
    </row>
    <row r="613" spans="1:40" x14ac:dyDescent="0.25">
      <c r="A613" t="str">
        <f>"20190303154743325"</f>
        <v>20190303154743325</v>
      </c>
      <c r="B613" t="str">
        <f>"1551599263321112"</f>
        <v>1551599263321112</v>
      </c>
      <c r="C613" t="s">
        <v>40</v>
      </c>
      <c r="D613">
        <v>5.2932360000000003</v>
      </c>
      <c r="E613">
        <v>0.50726629999999995</v>
      </c>
      <c r="F613" t="s">
        <v>43</v>
      </c>
      <c r="G613">
        <v>-290.4341</v>
      </c>
      <c r="H613">
        <v>-0.05</v>
      </c>
      <c r="I613">
        <v>366.07530000000003</v>
      </c>
      <c r="J613">
        <v>-340.71699999999998</v>
      </c>
      <c r="K613">
        <v>1.1207039999999999</v>
      </c>
      <c r="L613">
        <v>367.37380000000002</v>
      </c>
      <c r="M613">
        <v>0.99983520000000004</v>
      </c>
      <c r="N613">
        <v>-1.457206E-2</v>
      </c>
      <c r="O613">
        <v>1.083722E-2</v>
      </c>
      <c r="P613">
        <v>0.99639160000000004</v>
      </c>
      <c r="Q613">
        <v>-8.4698449999999995E-2</v>
      </c>
      <c r="R613">
        <v>-5.5355040000000001E-3</v>
      </c>
      <c r="S613">
        <v>3.004578</v>
      </c>
      <c r="T613">
        <v>-6.9727419999999998E-2</v>
      </c>
      <c r="U613">
        <v>-7.7239989999999994E-2</v>
      </c>
      <c r="V613">
        <v>1.6331849999999998E-2</v>
      </c>
      <c r="W613">
        <v>-7.0172289999999998E-2</v>
      </c>
      <c r="X613">
        <v>0.99740119999999999</v>
      </c>
      <c r="Y613">
        <v>3.6515819999999997E-2</v>
      </c>
      <c r="Z613">
        <v>-7.8329500000000004E-4</v>
      </c>
      <c r="AA613">
        <v>0.99933280000000002</v>
      </c>
      <c r="AB613">
        <v>34</v>
      </c>
      <c r="AC613">
        <v>50.282899999999898</v>
      </c>
      <c r="AD613">
        <v>-1.170704</v>
      </c>
      <c r="AE613">
        <v>-1.29849999999999</v>
      </c>
      <c r="AF613">
        <v>1.8424103402588301</v>
      </c>
      <c r="AG613">
        <v>-1.170704</v>
      </c>
      <c r="AH613">
        <v>50.238658309943702</v>
      </c>
      <c r="AI613">
        <v>91.334017005991399</v>
      </c>
      <c r="AJ613">
        <v>87.899723957454398</v>
      </c>
      <c r="AK613">
        <v>50.286059822785802</v>
      </c>
      <c r="AL613">
        <v>94.023882975071899</v>
      </c>
      <c r="AM613">
        <v>89.061899605692204</v>
      </c>
      <c r="AN613">
        <v>1.0000000166848499</v>
      </c>
    </row>
    <row r="614" spans="1:40" x14ac:dyDescent="0.25">
      <c r="A614" t="str">
        <f>"20190303154743336"</f>
        <v>20190303154743336</v>
      </c>
      <c r="B614" t="str">
        <f>"1551599263330872"</f>
        <v>1551599263330872</v>
      </c>
      <c r="C614" t="s">
        <v>40</v>
      </c>
      <c r="D614">
        <v>5.2550879999999998</v>
      </c>
      <c r="E614">
        <v>0.50702630000000004</v>
      </c>
      <c r="F614" t="s">
        <v>43</v>
      </c>
      <c r="G614">
        <v>-290.137</v>
      </c>
      <c r="H614">
        <v>-0.05</v>
      </c>
      <c r="I614">
        <v>366.08580000000001</v>
      </c>
      <c r="J614">
        <v>-340.5308</v>
      </c>
      <c r="K614">
        <v>1.120708</v>
      </c>
      <c r="L614">
        <v>367.3759</v>
      </c>
      <c r="M614">
        <v>0.99983520000000004</v>
      </c>
      <c r="N614">
        <v>-1.45703E-2</v>
      </c>
      <c r="O614">
        <v>1.0837050000000001E-2</v>
      </c>
      <c r="P614">
        <v>0.99642900000000001</v>
      </c>
      <c r="Q614">
        <v>-8.4250420000000006E-2</v>
      </c>
      <c r="R614">
        <v>-5.5909740000000003E-3</v>
      </c>
      <c r="S614">
        <v>3.0045169999999999</v>
      </c>
      <c r="T614">
        <v>-6.9541220000000001E-2</v>
      </c>
      <c r="U614">
        <v>-7.6507569999999997E-2</v>
      </c>
      <c r="V614">
        <v>1.638767E-2</v>
      </c>
      <c r="W614">
        <v>-6.9725519999999999E-2</v>
      </c>
      <c r="X614">
        <v>0.99743159999999997</v>
      </c>
      <c r="Y614">
        <v>3.6272909999999998E-2</v>
      </c>
      <c r="Z614">
        <v>-7.7691179999999998E-4</v>
      </c>
      <c r="AA614">
        <v>0.99934160000000005</v>
      </c>
      <c r="AB614">
        <v>34</v>
      </c>
      <c r="AC614">
        <v>50.393799999999999</v>
      </c>
      <c r="AD614">
        <v>-1.1707080000000001</v>
      </c>
      <c r="AE614">
        <v>-1.29009999999999</v>
      </c>
      <c r="AF614">
        <v>1.83521249611144</v>
      </c>
      <c r="AG614">
        <v>-1.1707080000000001</v>
      </c>
      <c r="AH614">
        <v>50.349702412978402</v>
      </c>
      <c r="AI614">
        <v>91.331091369709398</v>
      </c>
      <c r="AJ614">
        <v>87.912531815875596</v>
      </c>
      <c r="AK614">
        <v>50.396736949951702</v>
      </c>
      <c r="AL614">
        <v>93.998222151184507</v>
      </c>
      <c r="AM614">
        <v>89.058722568702606</v>
      </c>
      <c r="AN614">
        <v>1.0000000002729199</v>
      </c>
    </row>
    <row r="615" spans="1:40" x14ac:dyDescent="0.25">
      <c r="A615" t="str">
        <f>"20190303154743348"</f>
        <v>20190303154743348</v>
      </c>
      <c r="B615" t="str">
        <f>"1551599263341609"</f>
        <v>1551599263341609</v>
      </c>
      <c r="C615" t="s">
        <v>40</v>
      </c>
      <c r="D615">
        <v>5.3282410000000002</v>
      </c>
      <c r="E615">
        <v>0.50693060000000001</v>
      </c>
      <c r="F615" t="s">
        <v>43</v>
      </c>
      <c r="G615">
        <v>-290.2491</v>
      </c>
      <c r="H615">
        <v>-0.05</v>
      </c>
      <c r="I615">
        <v>366.12</v>
      </c>
      <c r="J615">
        <v>-340.36649999999997</v>
      </c>
      <c r="K615">
        <v>1.1207100000000001</v>
      </c>
      <c r="L615">
        <v>367.3777</v>
      </c>
      <c r="M615">
        <v>0.99983509999999998</v>
      </c>
      <c r="N615">
        <v>-1.4568650000000001E-2</v>
      </c>
      <c r="O615">
        <v>1.083724E-2</v>
      </c>
      <c r="P615">
        <v>0.99646120000000005</v>
      </c>
      <c r="Q615">
        <v>-8.3851369999999995E-2</v>
      </c>
      <c r="R615">
        <v>-5.8408969999999899E-3</v>
      </c>
      <c r="S615">
        <v>3.0044249999999999</v>
      </c>
      <c r="T615">
        <v>-6.9952009999999995E-2</v>
      </c>
      <c r="U615">
        <v>-7.5042719999999993E-2</v>
      </c>
      <c r="V615">
        <v>1.6638150000000001E-2</v>
      </c>
      <c r="W615">
        <v>-6.9327749999999994E-2</v>
      </c>
      <c r="X615">
        <v>0.99745519999999999</v>
      </c>
      <c r="Y615">
        <v>3.5786989999999998E-2</v>
      </c>
      <c r="Z615">
        <v>-7.7168669999999997E-4</v>
      </c>
      <c r="AA615">
        <v>0.99935909999999994</v>
      </c>
      <c r="AB615">
        <v>34</v>
      </c>
      <c r="AC615">
        <v>50.117399999999897</v>
      </c>
      <c r="AD615">
        <v>-1.1707099999999999</v>
      </c>
      <c r="AE615">
        <v>-1.25769999999999</v>
      </c>
      <c r="AF615">
        <v>1.79983660902831</v>
      </c>
      <c r="AG615">
        <v>-1.1707099999999999</v>
      </c>
      <c r="AH615">
        <v>50.073518919296198</v>
      </c>
      <c r="AI615">
        <v>91.338457152571095</v>
      </c>
      <c r="AJ615">
        <v>87.941453531550394</v>
      </c>
      <c r="AK615">
        <v>50.119529833034299</v>
      </c>
      <c r="AL615">
        <v>93.975376243637001</v>
      </c>
      <c r="AM615">
        <v>89.044360716247795</v>
      </c>
      <c r="AN615">
        <v>1.00000002048126</v>
      </c>
    </row>
    <row r="616" spans="1:40" x14ac:dyDescent="0.25">
      <c r="A616" t="str">
        <f>"20190303154743361"</f>
        <v>20190303154743361</v>
      </c>
      <c r="B616" t="str">
        <f>"1551599263351368"</f>
        <v>1551599263351368</v>
      </c>
      <c r="C616" t="s">
        <v>40</v>
      </c>
      <c r="D616">
        <v>5.2815880000000002</v>
      </c>
      <c r="E616">
        <v>0.50679079999999999</v>
      </c>
      <c r="F616" t="s">
        <v>43</v>
      </c>
      <c r="G616">
        <v>-289.88830000000002</v>
      </c>
      <c r="H616">
        <v>-0.05</v>
      </c>
      <c r="I616">
        <v>366.12139999999999</v>
      </c>
      <c r="J616">
        <v>-340.17649999999998</v>
      </c>
      <c r="K616">
        <v>1.120714</v>
      </c>
      <c r="L616">
        <v>367.37970000000001</v>
      </c>
      <c r="M616">
        <v>0.99983529999999998</v>
      </c>
      <c r="N616">
        <v>-1.456669E-2</v>
      </c>
      <c r="O616">
        <v>1.083726E-2</v>
      </c>
      <c r="P616">
        <v>0.99646659999999998</v>
      </c>
      <c r="Q616">
        <v>-8.376198E-2</v>
      </c>
      <c r="R616">
        <v>-6.2186189999999999E-3</v>
      </c>
      <c r="S616">
        <v>3.0043639999999998</v>
      </c>
      <c r="T616">
        <v>-6.967843E-2</v>
      </c>
      <c r="U616">
        <v>-7.4768070000000006E-2</v>
      </c>
      <c r="V616">
        <v>1.7015889999999999E-2</v>
      </c>
      <c r="W616">
        <v>-6.9240309999999999E-2</v>
      </c>
      <c r="X616">
        <v>0.99745490000000003</v>
      </c>
      <c r="Y616">
        <v>3.5696350000000002E-2</v>
      </c>
      <c r="Z616">
        <v>-7.6736030000000002E-4</v>
      </c>
      <c r="AA616">
        <v>0.99936239999999998</v>
      </c>
      <c r="AB616">
        <v>34</v>
      </c>
      <c r="AC616">
        <v>50.288199999999897</v>
      </c>
      <c r="AD616">
        <v>-1.170714</v>
      </c>
      <c r="AE616">
        <v>-1.25830000000001</v>
      </c>
      <c r="AF616">
        <v>1.80229398191932</v>
      </c>
      <c r="AG616">
        <v>-1.170714</v>
      </c>
      <c r="AH616">
        <v>50.244394686247396</v>
      </c>
      <c r="AI616">
        <v>91.333914914177498</v>
      </c>
      <c r="AJ616">
        <v>87.945649784799798</v>
      </c>
      <c r="AK616">
        <v>50.290337364691297</v>
      </c>
      <c r="AL616">
        <v>93.970354237503301</v>
      </c>
      <c r="AM616">
        <v>89.022668470900101</v>
      </c>
      <c r="AN616">
        <v>1.0000000192876899</v>
      </c>
    </row>
    <row r="617" spans="1:40" x14ac:dyDescent="0.25">
      <c r="A617" t="str">
        <f>"20190303154743372"</f>
        <v>20190303154743372</v>
      </c>
      <c r="B617" t="str">
        <f>"1551599263361129"</f>
        <v>1551599263361129</v>
      </c>
      <c r="C617" t="s">
        <v>40</v>
      </c>
      <c r="D617">
        <v>5.2922549999999999</v>
      </c>
      <c r="E617">
        <v>0.50662280000000004</v>
      </c>
      <c r="F617" t="s">
        <v>43</v>
      </c>
      <c r="G617">
        <v>-290.14089999999999</v>
      </c>
      <c r="H617">
        <v>-0.05</v>
      </c>
      <c r="I617">
        <v>366.13139999999999</v>
      </c>
      <c r="J617">
        <v>-339.99059999999997</v>
      </c>
      <c r="K617">
        <v>1.120714</v>
      </c>
      <c r="L617">
        <v>367.38170000000002</v>
      </c>
      <c r="M617">
        <v>0.99983529999999998</v>
      </c>
      <c r="N617">
        <v>-1.456471E-2</v>
      </c>
      <c r="O617">
        <v>1.083727E-2</v>
      </c>
      <c r="P617">
        <v>0.9964885</v>
      </c>
      <c r="Q617">
        <v>-8.3483470000000004E-2</v>
      </c>
      <c r="R617">
        <v>-6.4333400000000001E-3</v>
      </c>
      <c r="S617">
        <v>3.0042719999999998</v>
      </c>
      <c r="T617">
        <v>-7.0292830000000001E-2</v>
      </c>
      <c r="U617">
        <v>-7.4951169999999998E-2</v>
      </c>
      <c r="V617">
        <v>1.7230909999999999E-2</v>
      </c>
      <c r="W617">
        <v>-6.8963540000000004E-2</v>
      </c>
      <c r="X617">
        <v>0.99747039999999998</v>
      </c>
      <c r="Y617">
        <v>3.575772E-2</v>
      </c>
      <c r="Z617">
        <v>-7.7439580000000004E-4</v>
      </c>
      <c r="AA617">
        <v>0.99936020000000003</v>
      </c>
      <c r="AB617">
        <v>34</v>
      </c>
      <c r="AC617">
        <v>49.849699999999899</v>
      </c>
      <c r="AD617">
        <v>-1.170714</v>
      </c>
      <c r="AE617">
        <v>-1.2503000000000299</v>
      </c>
      <c r="AF617">
        <v>1.7895320961621399</v>
      </c>
      <c r="AG617">
        <v>-1.170714</v>
      </c>
      <c r="AH617">
        <v>49.805768111727197</v>
      </c>
      <c r="AI617">
        <v>91.3456551808857</v>
      </c>
      <c r="AJ617">
        <v>87.9422353695618</v>
      </c>
      <c r="AK617">
        <v>49.851655274344999</v>
      </c>
      <c r="AL617">
        <v>93.954458419598495</v>
      </c>
      <c r="AM617">
        <v>89.010336312264798</v>
      </c>
      <c r="AN617">
        <v>1.00000003649245</v>
      </c>
    </row>
    <row r="618" spans="1:40" x14ac:dyDescent="0.25">
      <c r="A618" t="str">
        <f>"20190303154743383"</f>
        <v>20190303154743383</v>
      </c>
      <c r="B618" t="str">
        <f>"1551599263381624"</f>
        <v>1551599263381624</v>
      </c>
      <c r="C618" t="s">
        <v>40</v>
      </c>
      <c r="D618">
        <v>5.3012110000000003</v>
      </c>
      <c r="E618">
        <v>0.50640940000000001</v>
      </c>
      <c r="F618" t="s">
        <v>43</v>
      </c>
      <c r="G618">
        <v>-290.59210000000002</v>
      </c>
      <c r="H618">
        <v>-0.05</v>
      </c>
      <c r="I618">
        <v>366.1583</v>
      </c>
      <c r="J618">
        <v>-339.82459999999998</v>
      </c>
      <c r="K618">
        <v>1.1207129999999901</v>
      </c>
      <c r="L618">
        <v>367.38350000000003</v>
      </c>
      <c r="M618">
        <v>0.99983529999999998</v>
      </c>
      <c r="N618">
        <v>-1.456295E-2</v>
      </c>
      <c r="O618">
        <v>1.083746E-2</v>
      </c>
      <c r="P618">
        <v>0.99651210000000001</v>
      </c>
      <c r="Q618">
        <v>-8.3188860000000003E-2</v>
      </c>
      <c r="R618">
        <v>-6.5986350000000003E-3</v>
      </c>
      <c r="S618">
        <v>3.0041500000000001</v>
      </c>
      <c r="T618">
        <v>-7.1196560000000006E-2</v>
      </c>
      <c r="U618">
        <v>-7.440186E-2</v>
      </c>
      <c r="V618">
        <v>1.7396519999999999E-2</v>
      </c>
      <c r="W618">
        <v>-6.8670389999999998E-2</v>
      </c>
      <c r="X618">
        <v>0.99748769999999998</v>
      </c>
      <c r="Y618">
        <v>3.557602E-2</v>
      </c>
      <c r="Z618">
        <v>-7.7957220000000004E-4</v>
      </c>
      <c r="AA618">
        <v>0.99936659999999999</v>
      </c>
      <c r="AB618">
        <v>34</v>
      </c>
      <c r="AC618">
        <v>49.232499999999902</v>
      </c>
      <c r="AD618">
        <v>-1.1707129999999999</v>
      </c>
      <c r="AE618">
        <v>-1.2252000000000201</v>
      </c>
      <c r="AF618">
        <v>1.75774651778646</v>
      </c>
      <c r="AG618">
        <v>-1.1707129999999999</v>
      </c>
      <c r="AH618">
        <v>49.188532021235098</v>
      </c>
      <c r="AI618">
        <v>91.362542996721203</v>
      </c>
      <c r="AJ618">
        <v>87.953412783491203</v>
      </c>
      <c r="AK618">
        <v>49.233849373710697</v>
      </c>
      <c r="AL618">
        <v>93.937622446040294</v>
      </c>
      <c r="AM618">
        <v>89.0008436855707</v>
      </c>
      <c r="AN618">
        <v>0.99999998651107602</v>
      </c>
    </row>
    <row r="619" spans="1:40" x14ac:dyDescent="0.25">
      <c r="A619" t="str">
        <f>"20190303154743394"</f>
        <v>20190303154743394</v>
      </c>
      <c r="B619" t="str">
        <f>"1551599263391385"</f>
        <v>1551599263391385</v>
      </c>
      <c r="C619" t="s">
        <v>40</v>
      </c>
      <c r="D619">
        <v>5.2996919999999896</v>
      </c>
      <c r="E619">
        <v>0.50638260000000002</v>
      </c>
      <c r="F619" t="s">
        <v>43</v>
      </c>
      <c r="G619">
        <v>-291.47199999999998</v>
      </c>
      <c r="H619">
        <v>-0.05</v>
      </c>
      <c r="I619">
        <v>366.20359999999999</v>
      </c>
      <c r="J619">
        <v>-339.661</v>
      </c>
      <c r="K619">
        <v>1.120716</v>
      </c>
      <c r="L619">
        <v>367.38529999999997</v>
      </c>
      <c r="M619">
        <v>0.99983529999999998</v>
      </c>
      <c r="N619">
        <v>-1.456122E-2</v>
      </c>
      <c r="O619">
        <v>1.083747E-2</v>
      </c>
      <c r="P619">
        <v>0.99649089999999996</v>
      </c>
      <c r="Q619">
        <v>-8.3408739999999995E-2</v>
      </c>
      <c r="R619">
        <v>-6.983309E-3</v>
      </c>
      <c r="S619">
        <v>3.0039669999999998</v>
      </c>
      <c r="T619">
        <v>-7.2732089999999999E-2</v>
      </c>
      <c r="U619">
        <v>-7.3303220000000002E-2</v>
      </c>
      <c r="V619">
        <v>1.7780939999999999E-2</v>
      </c>
      <c r="W619">
        <v>-6.8892369999999994E-2</v>
      </c>
      <c r="X619">
        <v>0.99746559999999995</v>
      </c>
      <c r="Y619">
        <v>3.5211810000000003E-2</v>
      </c>
      <c r="Z619">
        <v>-7.871687E-4</v>
      </c>
      <c r="AA619">
        <v>0.99937960000000003</v>
      </c>
      <c r="AB619">
        <v>34</v>
      </c>
      <c r="AC619">
        <v>48.189</v>
      </c>
      <c r="AD619">
        <v>-1.1707160000000001</v>
      </c>
      <c r="AE619">
        <v>-1.18169999999997</v>
      </c>
      <c r="AF619">
        <v>1.70292829299693</v>
      </c>
      <c r="AG619">
        <v>-1.1707160000000001</v>
      </c>
      <c r="AH619">
        <v>48.144962796080698</v>
      </c>
      <c r="AI619">
        <v>91.392086939591906</v>
      </c>
      <c r="AJ619">
        <v>87.9742440588645</v>
      </c>
      <c r="AK619">
        <v>48.189293244036499</v>
      </c>
      <c r="AL619">
        <v>93.950371213520498</v>
      </c>
      <c r="AM619">
        <v>88.978746809551694</v>
      </c>
      <c r="AN619">
        <v>0.99999997182742895</v>
      </c>
    </row>
    <row r="620" spans="1:40" x14ac:dyDescent="0.25">
      <c r="A620" t="str">
        <f>"20190303154743407"</f>
        <v>20190303154743407</v>
      </c>
      <c r="B620" t="str">
        <f>"1551599263401145"</f>
        <v>1551599263401145</v>
      </c>
      <c r="C620" t="s">
        <v>40</v>
      </c>
      <c r="D620">
        <v>5.2904010000000001</v>
      </c>
      <c r="E620">
        <v>0.50625559999999903</v>
      </c>
      <c r="F620" t="s">
        <v>43</v>
      </c>
      <c r="G620">
        <v>-293.1472</v>
      </c>
      <c r="H620">
        <v>-0.05</v>
      </c>
      <c r="I620">
        <v>366.24259999999998</v>
      </c>
      <c r="J620">
        <v>-339.4941</v>
      </c>
      <c r="K620">
        <v>1.1207149999999999</v>
      </c>
      <c r="L620">
        <v>367.38709999999998</v>
      </c>
      <c r="M620">
        <v>0.99983529999999998</v>
      </c>
      <c r="N620">
        <v>-1.455946E-2</v>
      </c>
      <c r="O620">
        <v>1.0837299999999999E-2</v>
      </c>
      <c r="P620">
        <v>0.99649719999999997</v>
      </c>
      <c r="Q620">
        <v>-8.3329379999999995E-2</v>
      </c>
      <c r="R620">
        <v>-7.0587979999999998E-3</v>
      </c>
      <c r="S620">
        <v>3.0037229999999999</v>
      </c>
      <c r="T620">
        <v>-7.5601219999999997E-2</v>
      </c>
      <c r="U620">
        <v>-7.3791499999999996E-2</v>
      </c>
      <c r="V620">
        <v>1.7856319999999998E-2</v>
      </c>
      <c r="W620">
        <v>-6.8814689999999998E-2</v>
      </c>
      <c r="X620">
        <v>0.99746970000000001</v>
      </c>
      <c r="Y620">
        <v>3.5374719999999998E-2</v>
      </c>
      <c r="Z620">
        <v>-8.1760410000000002E-4</v>
      </c>
      <c r="AA620">
        <v>0.99937379999999998</v>
      </c>
      <c r="AB620">
        <v>34</v>
      </c>
      <c r="AC620">
        <v>46.346899999999998</v>
      </c>
      <c r="AD620">
        <v>-1.170715</v>
      </c>
      <c r="AE620">
        <v>-1.1444999999999901</v>
      </c>
      <c r="AF620">
        <v>1.6457118434048099</v>
      </c>
      <c r="AG620">
        <v>-1.170715</v>
      </c>
      <c r="AH620">
        <v>46.302247514144199</v>
      </c>
      <c r="AI620">
        <v>91.4474554024778</v>
      </c>
      <c r="AJ620">
        <v>87.964404066226706</v>
      </c>
      <c r="AK620">
        <v>46.346273484972002</v>
      </c>
      <c r="AL620">
        <v>93.945909556591999</v>
      </c>
      <c r="AM620">
        <v>88.974422475894002</v>
      </c>
      <c r="AN620">
        <v>1.0000000560709099</v>
      </c>
    </row>
    <row r="621" spans="1:40" x14ac:dyDescent="0.25">
      <c r="A621" t="str">
        <f>"20190303154743418"</f>
        <v>20190303154743418</v>
      </c>
      <c r="B621" t="str">
        <f>"1551599263410905"</f>
        <v>1551599263410905</v>
      </c>
      <c r="C621" t="s">
        <v>40</v>
      </c>
      <c r="D621">
        <v>5.287865</v>
      </c>
      <c r="E621">
        <v>0.50609899999999997</v>
      </c>
      <c r="F621" t="s">
        <v>43</v>
      </c>
      <c r="G621">
        <v>-294.0258</v>
      </c>
      <c r="H621">
        <v>-0.05</v>
      </c>
      <c r="I621">
        <v>366.28199999999998</v>
      </c>
      <c r="J621">
        <v>-339.30309999999997</v>
      </c>
      <c r="K621">
        <v>1.120714</v>
      </c>
      <c r="L621">
        <v>367.38920000000002</v>
      </c>
      <c r="M621">
        <v>0.99983540000000004</v>
      </c>
      <c r="N621">
        <v>-1.455744E-2</v>
      </c>
      <c r="O621">
        <v>1.0837319999999999E-2</v>
      </c>
      <c r="P621">
        <v>0.99649290000000001</v>
      </c>
      <c r="Q621">
        <v>-8.3369979999999996E-2</v>
      </c>
      <c r="R621">
        <v>-7.1921789999999999E-3</v>
      </c>
      <c r="S621">
        <v>3.003571</v>
      </c>
      <c r="T621">
        <v>-7.7335719999999997E-2</v>
      </c>
      <c r="U621">
        <v>-7.2998049999999995E-2</v>
      </c>
      <c r="V621">
        <v>1.7989680000000001E-2</v>
      </c>
      <c r="W621">
        <v>-6.8857399999999999E-2</v>
      </c>
      <c r="X621">
        <v>0.99746429999999997</v>
      </c>
      <c r="Y621">
        <v>3.5111530000000002E-2</v>
      </c>
      <c r="Z621">
        <v>-8.2878929999999904E-4</v>
      </c>
      <c r="AA621">
        <v>0.99938300000000002</v>
      </c>
      <c r="AB621">
        <v>34</v>
      </c>
      <c r="AC621">
        <v>45.277299999999897</v>
      </c>
      <c r="AD621">
        <v>-1.170714</v>
      </c>
      <c r="AE621">
        <v>-1.1072000000000299</v>
      </c>
      <c r="AF621">
        <v>1.59680458552105</v>
      </c>
      <c r="AG621">
        <v>-1.170714</v>
      </c>
      <c r="AH621">
        <v>45.232417628802096</v>
      </c>
      <c r="AI621">
        <v>91.481686641548606</v>
      </c>
      <c r="AJ621">
        <v>87.978171625250098</v>
      </c>
      <c r="AK621">
        <v>45.275732580495003</v>
      </c>
      <c r="AL621">
        <v>93.948362699505196</v>
      </c>
      <c r="AM621">
        <v>88.966759007794195</v>
      </c>
      <c r="AN621">
        <v>0.99999999994787603</v>
      </c>
    </row>
    <row r="622" spans="1:40" x14ac:dyDescent="0.25">
      <c r="A622" t="str">
        <f>"20190303154743438"</f>
        <v>20190303154743438</v>
      </c>
      <c r="B622" t="str">
        <f>"1551599263431400"</f>
        <v>1551599263431400</v>
      </c>
      <c r="C622" t="s">
        <v>40</v>
      </c>
      <c r="D622">
        <v>5.2649540000000004</v>
      </c>
      <c r="E622">
        <v>0.50582320000000003</v>
      </c>
      <c r="F622" t="s">
        <v>43</v>
      </c>
      <c r="G622">
        <v>-294.73180000000002</v>
      </c>
      <c r="H622">
        <v>-0.05</v>
      </c>
      <c r="I622">
        <v>366.31529999999998</v>
      </c>
      <c r="J622">
        <v>-339.0224</v>
      </c>
      <c r="K622">
        <v>1.1207100000000001</v>
      </c>
      <c r="L622">
        <v>367.3922</v>
      </c>
      <c r="M622">
        <v>0.99983549999999999</v>
      </c>
      <c r="N622">
        <v>-1.455445E-2</v>
      </c>
      <c r="O622">
        <v>1.0837690000000001E-2</v>
      </c>
      <c r="P622">
        <v>0.99643769999999998</v>
      </c>
      <c r="Q622">
        <v>-8.3992300000000006E-2</v>
      </c>
      <c r="R622">
        <v>-7.593079E-3</v>
      </c>
      <c r="S622">
        <v>3.0034179999999999</v>
      </c>
      <c r="T622">
        <v>-7.8887940000000004E-2</v>
      </c>
      <c r="U622">
        <v>-7.2357179999999993E-2</v>
      </c>
      <c r="V622">
        <v>1.8390190000000001E-2</v>
      </c>
      <c r="W622">
        <v>-6.9483530000000002E-2</v>
      </c>
      <c r="X622">
        <v>0.99741360000000001</v>
      </c>
      <c r="Y622">
        <v>3.4899470000000002E-2</v>
      </c>
      <c r="Z622">
        <v>-8.3915070000000001E-4</v>
      </c>
      <c r="AA622">
        <v>0.99939049999999996</v>
      </c>
      <c r="AB622">
        <v>34</v>
      </c>
      <c r="AC622">
        <v>44.290599999999898</v>
      </c>
      <c r="AD622">
        <v>-1.1707099999999999</v>
      </c>
      <c r="AE622">
        <v>-1.07690000000002</v>
      </c>
      <c r="AF622">
        <v>1.55580894322806</v>
      </c>
      <c r="AG622">
        <v>-1.1707099999999999</v>
      </c>
      <c r="AH622">
        <v>44.245431007733998</v>
      </c>
      <c r="AI622">
        <v>91.514725757910398</v>
      </c>
      <c r="AJ622">
        <v>87.986129372628795</v>
      </c>
      <c r="AK622">
        <v>44.288252036314098</v>
      </c>
      <c r="AL622">
        <v>93.984323338744105</v>
      </c>
      <c r="AM622">
        <v>88.943707109685903</v>
      </c>
      <c r="AN622">
        <v>1.0000000247472201</v>
      </c>
    </row>
    <row r="623" spans="1:40" x14ac:dyDescent="0.25">
      <c r="A623" t="str">
        <f>"20190303154743459"</f>
        <v>20190303154743459</v>
      </c>
      <c r="B623" t="str">
        <f>"1551599263450920"</f>
        <v>1551599263450920</v>
      </c>
      <c r="C623" t="s">
        <v>40</v>
      </c>
      <c r="D623">
        <v>5.2748150000000003</v>
      </c>
      <c r="E623">
        <v>0.50552870000000005</v>
      </c>
      <c r="F623" t="s">
        <v>43</v>
      </c>
      <c r="G623">
        <v>-296.59699999999998</v>
      </c>
      <c r="H623">
        <v>-0.05</v>
      </c>
      <c r="I623">
        <v>366.37990000000002</v>
      </c>
      <c r="J623">
        <v>-338.69450000000001</v>
      </c>
      <c r="K623">
        <v>1.1207119999999999</v>
      </c>
      <c r="L623">
        <v>367.39580000000001</v>
      </c>
      <c r="M623">
        <v>0.99983540000000004</v>
      </c>
      <c r="N623">
        <v>-1.455093E-2</v>
      </c>
      <c r="O623">
        <v>1.083784E-2</v>
      </c>
      <c r="P623">
        <v>0.99637900000000001</v>
      </c>
      <c r="Q623">
        <v>-8.4635000000000002E-2</v>
      </c>
      <c r="R623">
        <v>-8.138022E-3</v>
      </c>
      <c r="S623">
        <v>3.003174</v>
      </c>
      <c r="T623">
        <v>-8.2871199999999895E-2</v>
      </c>
      <c r="U623">
        <v>-7.1655269999999993E-2</v>
      </c>
      <c r="V623">
        <v>1.8934510000000002E-2</v>
      </c>
      <c r="W623">
        <v>-7.0130650000000003E-2</v>
      </c>
      <c r="X623">
        <v>0.99735810000000003</v>
      </c>
      <c r="Y623">
        <v>3.4666490000000001E-2</v>
      </c>
      <c r="Z623">
        <v>-8.7178280000000004E-4</v>
      </c>
      <c r="AA623">
        <v>0.99939849999999997</v>
      </c>
      <c r="AB623">
        <v>34</v>
      </c>
      <c r="AC623">
        <v>42.097499999999997</v>
      </c>
      <c r="AD623">
        <v>-1.170712</v>
      </c>
      <c r="AE623">
        <v>-1.01589999999998</v>
      </c>
      <c r="AF623">
        <v>1.47099763249372</v>
      </c>
      <c r="AG623">
        <v>-1.170712</v>
      </c>
      <c r="AH623">
        <v>42.051513249767297</v>
      </c>
      <c r="AI623">
        <v>91.593725401140006</v>
      </c>
      <c r="AJ623">
        <v>87.996561901286697</v>
      </c>
      <c r="AK623">
        <v>42.093516926209702</v>
      </c>
      <c r="AL623">
        <v>94.021491346984405</v>
      </c>
      <c r="AM623">
        <v>88.912389438419893</v>
      </c>
      <c r="AN623">
        <v>1.0000000016869799</v>
      </c>
    </row>
    <row r="624" spans="1:40" x14ac:dyDescent="0.25">
      <c r="A624" t="str">
        <f>"20190303154743471"</f>
        <v>20190303154743471</v>
      </c>
      <c r="B624" t="str">
        <f>"1551599263461657"</f>
        <v>1551599263461657</v>
      </c>
      <c r="C624" t="s">
        <v>40</v>
      </c>
      <c r="D624">
        <v>5.2680509999999998</v>
      </c>
      <c r="E624">
        <v>0.5054187</v>
      </c>
      <c r="F624" t="s">
        <v>43</v>
      </c>
      <c r="G624">
        <v>-298.23649999999998</v>
      </c>
      <c r="H624">
        <v>-0.05</v>
      </c>
      <c r="I624">
        <v>366.43770000000001</v>
      </c>
      <c r="J624">
        <v>-338.51900000000001</v>
      </c>
      <c r="K624">
        <v>1.1207129999999901</v>
      </c>
      <c r="L624">
        <v>367.39760000000001</v>
      </c>
      <c r="M624">
        <v>0.99983560000000005</v>
      </c>
      <c r="N624">
        <v>-1.454913E-2</v>
      </c>
      <c r="O624">
        <v>1.083773E-2</v>
      </c>
      <c r="P624">
        <v>0.99634279999999997</v>
      </c>
      <c r="Q624">
        <v>-8.5041640000000002E-2</v>
      </c>
      <c r="R624">
        <v>-8.3316999999999992E-3</v>
      </c>
      <c r="S624">
        <v>3.0029300000000001</v>
      </c>
      <c r="T624">
        <v>-8.6894269999999996E-2</v>
      </c>
      <c r="U624">
        <v>-7.1105959999999996E-2</v>
      </c>
      <c r="V624">
        <v>1.9127760000000001E-2</v>
      </c>
      <c r="W624">
        <v>-7.0539589999999999E-2</v>
      </c>
      <c r="X624">
        <v>0.99732560000000003</v>
      </c>
      <c r="Y624">
        <v>3.448387E-2</v>
      </c>
      <c r="Z624">
        <v>-9.0558450000000003E-4</v>
      </c>
      <c r="AA624">
        <v>0.99940479999999998</v>
      </c>
      <c r="AB624">
        <v>34</v>
      </c>
      <c r="AC624">
        <v>40.282499999999999</v>
      </c>
      <c r="AD624">
        <v>-1.1707129999999999</v>
      </c>
      <c r="AE624">
        <v>-0.95990000000000397</v>
      </c>
      <c r="AF624">
        <v>1.3952827735231199</v>
      </c>
      <c r="AG624">
        <v>-1.1707129999999999</v>
      </c>
      <c r="AH624">
        <v>40.2357643073302</v>
      </c>
      <c r="AI624">
        <v>91.665625959623299</v>
      </c>
      <c r="AJ624">
        <v>88.013911419731301</v>
      </c>
      <c r="AK624">
        <v>40.2769675167023</v>
      </c>
      <c r="AL624">
        <v>94.044979945480506</v>
      </c>
      <c r="AM624">
        <v>88.901255945116205</v>
      </c>
      <c r="AN624">
        <v>1.00000002868767</v>
      </c>
    </row>
    <row r="625" spans="1:40" x14ac:dyDescent="0.25">
      <c r="A625" t="str">
        <f>"20190303154743484"</f>
        <v>20190303154743484</v>
      </c>
      <c r="B625" t="str">
        <f>"1551599263481177"</f>
        <v>1551599263481177</v>
      </c>
      <c r="C625" t="s">
        <v>40</v>
      </c>
      <c r="D625">
        <v>5.4096250000000001</v>
      </c>
      <c r="E625">
        <v>0.50560059999999996</v>
      </c>
      <c r="F625" t="s">
        <v>43</v>
      </c>
      <c r="G625">
        <v>-299.04570000000001</v>
      </c>
      <c r="H625">
        <v>-0.05</v>
      </c>
      <c r="I625">
        <v>366.47050000000002</v>
      </c>
      <c r="J625">
        <v>-338.32830000000001</v>
      </c>
      <c r="K625">
        <v>1.1207129999999901</v>
      </c>
      <c r="L625">
        <v>367.3997</v>
      </c>
      <c r="M625">
        <v>0.99983560000000005</v>
      </c>
      <c r="N625">
        <v>-1.454717E-2</v>
      </c>
      <c r="O625">
        <v>1.083775E-2</v>
      </c>
      <c r="P625">
        <v>0.99633740000000004</v>
      </c>
      <c r="Q625">
        <v>-8.5058239999999993E-2</v>
      </c>
      <c r="R625">
        <v>-8.792724E-3</v>
      </c>
      <c r="S625">
        <v>3.002777</v>
      </c>
      <c r="T625">
        <v>-8.9057449999999996E-2</v>
      </c>
      <c r="U625">
        <v>-7.0526119999999998E-2</v>
      </c>
      <c r="V625">
        <v>1.9588669999999999E-2</v>
      </c>
      <c r="W625">
        <v>-7.0558300000000004E-2</v>
      </c>
      <c r="X625">
        <v>0.99731530000000002</v>
      </c>
      <c r="Y625">
        <v>3.429132E-2</v>
      </c>
      <c r="Z625">
        <v>-9.2157579999999995E-4</v>
      </c>
      <c r="AA625">
        <v>0.99941150000000001</v>
      </c>
      <c r="AB625">
        <v>34</v>
      </c>
      <c r="AC625">
        <v>39.282600000000002</v>
      </c>
      <c r="AD625">
        <v>-1.1707129999999999</v>
      </c>
      <c r="AE625">
        <v>-0.92919999999998004</v>
      </c>
      <c r="AF625">
        <v>1.3537237276097001</v>
      </c>
      <c r="AG625">
        <v>-1.1707129999999999</v>
      </c>
      <c r="AH625">
        <v>39.2353923796651</v>
      </c>
      <c r="AI625">
        <v>91.708079358165094</v>
      </c>
      <c r="AJ625">
        <v>88.023929523122803</v>
      </c>
      <c r="AK625">
        <v>39.276190650893597</v>
      </c>
      <c r="AL625">
        <v>94.0460547489742</v>
      </c>
      <c r="AM625">
        <v>88.874775286762102</v>
      </c>
      <c r="AN625">
        <v>0.99999999865267397</v>
      </c>
    </row>
    <row r="626" spans="1:40" x14ac:dyDescent="0.25">
      <c r="A626" t="str">
        <f>"20190303154743495"</f>
        <v>20190303154743495</v>
      </c>
      <c r="B626" t="str">
        <f>"1551599263490937"</f>
        <v>1551599263490937</v>
      </c>
      <c r="C626" t="s">
        <v>40</v>
      </c>
      <c r="D626">
        <v>5.367038</v>
      </c>
      <c r="E626">
        <v>0.52568300000000001</v>
      </c>
      <c r="F626" t="s">
        <v>43</v>
      </c>
      <c r="G626">
        <v>-298.80200000000002</v>
      </c>
      <c r="H626">
        <v>-0.05</v>
      </c>
      <c r="I626">
        <v>366.43079999999998</v>
      </c>
      <c r="J626">
        <v>-338.1481</v>
      </c>
      <c r="K626">
        <v>1.1207129999999901</v>
      </c>
      <c r="L626">
        <v>367.40159999999997</v>
      </c>
      <c r="M626">
        <v>0.99983540000000004</v>
      </c>
      <c r="N626">
        <v>-1.4545290000000001E-2</v>
      </c>
      <c r="O626">
        <v>1.083806E-2</v>
      </c>
      <c r="P626">
        <v>0.99632920000000003</v>
      </c>
      <c r="Q626">
        <v>-8.512641E-2</v>
      </c>
      <c r="R626">
        <v>-9.0206179999999993E-3</v>
      </c>
      <c r="S626">
        <v>3.0028079999999999</v>
      </c>
      <c r="T626">
        <v>-8.8938710000000004E-2</v>
      </c>
      <c r="U626">
        <v>-7.3608399999999893E-2</v>
      </c>
      <c r="V626">
        <v>1.981693E-2</v>
      </c>
      <c r="W626">
        <v>-7.062852E-2</v>
      </c>
      <c r="X626">
        <v>0.99730580000000002</v>
      </c>
      <c r="Y626">
        <v>3.5316019999999997E-2</v>
      </c>
      <c r="Z626">
        <v>-9.4307590000000001E-4</v>
      </c>
      <c r="AA626">
        <v>0.99937580000000004</v>
      </c>
      <c r="AB626">
        <v>33</v>
      </c>
      <c r="AC626">
        <v>39.3460999999999</v>
      </c>
      <c r="AD626">
        <v>-1.1707129999999999</v>
      </c>
      <c r="AE626">
        <v>-0.970799999999997</v>
      </c>
      <c r="AF626">
        <v>1.39598837275753</v>
      </c>
      <c r="AG626">
        <v>-1.1707129999999999</v>
      </c>
      <c r="AH626">
        <v>39.298495519647297</v>
      </c>
      <c r="AI626">
        <v>91.705277453306294</v>
      </c>
      <c r="AJ626">
        <v>87.965555083390598</v>
      </c>
      <c r="AK626">
        <v>39.3407054152946</v>
      </c>
      <c r="AL626">
        <v>94.050088202400602</v>
      </c>
      <c r="AM626">
        <v>88.861656021867802</v>
      </c>
      <c r="AN626">
        <v>0.99999997863282697</v>
      </c>
    </row>
    <row r="627" spans="1:40" x14ac:dyDescent="0.25">
      <c r="A627" t="str">
        <f>"20190303154743507"</f>
        <v>20190303154743507</v>
      </c>
      <c r="B627" t="str">
        <f>"1551599263501673"</f>
        <v>1551599263501673</v>
      </c>
      <c r="C627" t="s">
        <v>40</v>
      </c>
      <c r="D627">
        <v>5.317374</v>
      </c>
      <c r="E627">
        <v>0.52819359999999904</v>
      </c>
      <c r="F627" t="s">
        <v>43</v>
      </c>
      <c r="G627">
        <v>-311.62419999999997</v>
      </c>
      <c r="H627">
        <v>-0.05</v>
      </c>
      <c r="I627">
        <v>365.33350000000002</v>
      </c>
      <c r="J627">
        <v>-337.97750000000002</v>
      </c>
      <c r="K627">
        <v>1.120714</v>
      </c>
      <c r="L627">
        <v>367.40350000000001</v>
      </c>
      <c r="M627">
        <v>0.99983540000000004</v>
      </c>
      <c r="N627">
        <v>-1.454343E-2</v>
      </c>
      <c r="O627">
        <v>1.083807E-2</v>
      </c>
      <c r="P627">
        <v>0.99633570000000005</v>
      </c>
      <c r="Q627">
        <v>-8.5012660000000004E-2</v>
      </c>
      <c r="R627">
        <v>-9.3912809999999996E-3</v>
      </c>
      <c r="S627">
        <v>2.99762</v>
      </c>
      <c r="T627">
        <v>-0.1323088</v>
      </c>
      <c r="U627">
        <v>-0.2337341</v>
      </c>
      <c r="V627">
        <v>2.0187549999999999E-2</v>
      </c>
      <c r="W627">
        <v>-7.0516620000000002E-2</v>
      </c>
      <c r="X627">
        <v>0.99730629999999998</v>
      </c>
      <c r="Y627">
        <v>8.8420460000000006E-2</v>
      </c>
      <c r="Z627">
        <v>-2.9119699999999998E-3</v>
      </c>
      <c r="AA627">
        <v>0.99607900000000005</v>
      </c>
      <c r="AB627">
        <v>33</v>
      </c>
      <c r="AC627">
        <v>26.353300000000001</v>
      </c>
      <c r="AD627">
        <v>-1.170714</v>
      </c>
      <c r="AE627">
        <v>-2.0699999999999901</v>
      </c>
      <c r="AF627">
        <v>2.3509165189780101</v>
      </c>
      <c r="AG627">
        <v>-1.170714</v>
      </c>
      <c r="AH627">
        <v>26.2777741340403</v>
      </c>
      <c r="AI627">
        <v>92.540791162840605</v>
      </c>
      <c r="AJ627">
        <v>84.887696927819903</v>
      </c>
      <c r="AK627">
        <v>26.408687835419499</v>
      </c>
      <c r="AL627">
        <v>94.043660718703904</v>
      </c>
      <c r="AM627">
        <v>88.840372837225402</v>
      </c>
      <c r="AN627">
        <v>0.99999999344545798</v>
      </c>
    </row>
    <row r="628" spans="1:40" x14ac:dyDescent="0.25">
      <c r="A628" t="str">
        <f>"20190303154743519"</f>
        <v>20190303154743519</v>
      </c>
      <c r="B628" t="str">
        <f>"1551599263511433"</f>
        <v>1551599263511433</v>
      </c>
      <c r="C628" t="s">
        <v>40</v>
      </c>
      <c r="D628">
        <v>5.3536349999999997</v>
      </c>
      <c r="E628">
        <v>0.52931289999999998</v>
      </c>
      <c r="F628" t="s">
        <v>43</v>
      </c>
      <c r="G628">
        <v>-311.9418</v>
      </c>
      <c r="H628">
        <v>-0.05</v>
      </c>
      <c r="I628">
        <v>365.19040000000001</v>
      </c>
      <c r="J628">
        <v>-337.79849999999999</v>
      </c>
      <c r="K628">
        <v>1.120716</v>
      </c>
      <c r="L628">
        <v>367.40539999999999</v>
      </c>
      <c r="M628">
        <v>0.99983540000000004</v>
      </c>
      <c r="N628">
        <v>-1.4541409999999999E-2</v>
      </c>
      <c r="O628">
        <v>1.083808E-2</v>
      </c>
      <c r="P628">
        <v>0.99634460000000002</v>
      </c>
      <c r="Q628">
        <v>-8.4876690000000005E-2</v>
      </c>
      <c r="R628">
        <v>-9.6428759999999999E-3</v>
      </c>
      <c r="S628">
        <v>2.997131</v>
      </c>
      <c r="T628">
        <v>-0.134768</v>
      </c>
      <c r="U628">
        <v>-0.25476070000000001</v>
      </c>
      <c r="V628">
        <v>2.0439280000000001E-2</v>
      </c>
      <c r="W628">
        <v>-7.0382600000000003E-2</v>
      </c>
      <c r="X628">
        <v>0.99731060000000005</v>
      </c>
      <c r="Y628">
        <v>9.5359600000000003E-2</v>
      </c>
      <c r="Z628">
        <v>-3.1631099999999998E-3</v>
      </c>
      <c r="AA628">
        <v>0.99543789999999999</v>
      </c>
      <c r="AB628">
        <v>33</v>
      </c>
      <c r="AC628">
        <v>25.856699999999901</v>
      </c>
      <c r="AD628">
        <v>-1.1707160000000001</v>
      </c>
      <c r="AE628">
        <v>-2.2149999999999701</v>
      </c>
      <c r="AF628">
        <v>2.4900690392975799</v>
      </c>
      <c r="AG628">
        <v>-1.1707160000000001</v>
      </c>
      <c r="AH628">
        <v>25.778710386915801</v>
      </c>
      <c r="AI628">
        <v>92.588217530512594</v>
      </c>
      <c r="AJ628">
        <v>84.482687927420002</v>
      </c>
      <c r="AK628">
        <v>25.9251408672278</v>
      </c>
      <c r="AL628">
        <v>94.035962972223601</v>
      </c>
      <c r="AM628">
        <v>88.825921872455098</v>
      </c>
      <c r="AN628">
        <v>0.99999995371101802</v>
      </c>
    </row>
    <row r="629" spans="1:40" x14ac:dyDescent="0.25">
      <c r="A629" t="str">
        <f>"20190303154743530"</f>
        <v>20190303154743530</v>
      </c>
      <c r="B629" t="str">
        <f>"1551599263521192"</f>
        <v>1551599263521192</v>
      </c>
      <c r="C629" t="s">
        <v>40</v>
      </c>
      <c r="D629">
        <v>5.3321529999999999</v>
      </c>
      <c r="E629">
        <v>0.52970090000000003</v>
      </c>
      <c r="F629" t="s">
        <v>43</v>
      </c>
      <c r="G629">
        <v>-312.2903</v>
      </c>
      <c r="H629">
        <v>-0.05</v>
      </c>
      <c r="I629">
        <v>365.15530000000001</v>
      </c>
      <c r="J629">
        <v>-337.62189999999998</v>
      </c>
      <c r="K629">
        <v>1.1207149999999999</v>
      </c>
      <c r="L629">
        <v>367.40730000000002</v>
      </c>
      <c r="M629">
        <v>0.99983560000000005</v>
      </c>
      <c r="N629">
        <v>-1.45395E-2</v>
      </c>
      <c r="O629">
        <v>1.0837919999999999E-2</v>
      </c>
      <c r="P629">
        <v>0.99637339999999996</v>
      </c>
      <c r="Q629">
        <v>-8.4510639999999998E-2</v>
      </c>
      <c r="R629">
        <v>-9.9033920000000004E-3</v>
      </c>
      <c r="S629">
        <v>2.9967350000000001</v>
      </c>
      <c r="T629">
        <v>-0.1375372</v>
      </c>
      <c r="U629">
        <v>-0.2643433</v>
      </c>
      <c r="V629">
        <v>2.069996E-2</v>
      </c>
      <c r="W629">
        <v>-7.0018129999999998E-2</v>
      </c>
      <c r="X629">
        <v>0.99733090000000002</v>
      </c>
      <c r="Y629">
        <v>9.8520159999999996E-2</v>
      </c>
      <c r="Z629">
        <v>-3.3124349999999999E-3</v>
      </c>
      <c r="AA629">
        <v>0.9951295</v>
      </c>
      <c r="AB629">
        <v>33</v>
      </c>
      <c r="AC629">
        <v>25.331599999999899</v>
      </c>
      <c r="AD629">
        <v>-1.170715</v>
      </c>
      <c r="AE629">
        <v>-2.2519999999999998</v>
      </c>
      <c r="AF629">
        <v>2.5210960355426999</v>
      </c>
      <c r="AG629">
        <v>-1.170715</v>
      </c>
      <c r="AH629">
        <v>25.2521895851891</v>
      </c>
      <c r="AI629">
        <v>92.641273099871398</v>
      </c>
      <c r="AJ629">
        <v>84.298669068922393</v>
      </c>
      <c r="AK629">
        <v>25.404715658278601</v>
      </c>
      <c r="AL629">
        <v>94.015028644181598</v>
      </c>
      <c r="AM629">
        <v>88.810976295282501</v>
      </c>
      <c r="AN629">
        <v>0.99999997548375397</v>
      </c>
    </row>
    <row r="630" spans="1:40" x14ac:dyDescent="0.25">
      <c r="A630" t="str">
        <f>"20190303154743542"</f>
        <v>20190303154743542</v>
      </c>
      <c r="B630" t="str">
        <f>"1551599263530954"</f>
        <v>1551599263530954</v>
      </c>
      <c r="C630" t="s">
        <v>40</v>
      </c>
      <c r="D630">
        <v>5.2906120000000003</v>
      </c>
      <c r="E630">
        <v>0.53002050000000001</v>
      </c>
      <c r="F630" t="s">
        <v>43</v>
      </c>
      <c r="G630">
        <v>-311.33679999999998</v>
      </c>
      <c r="H630">
        <v>-0.05</v>
      </c>
      <c r="I630">
        <v>365.05250000000001</v>
      </c>
      <c r="J630">
        <v>-337.4597</v>
      </c>
      <c r="K630">
        <v>1.120719</v>
      </c>
      <c r="L630">
        <v>367.40910000000002</v>
      </c>
      <c r="M630">
        <v>0.99983569999999999</v>
      </c>
      <c r="N630">
        <v>-1.453775E-2</v>
      </c>
      <c r="O630">
        <v>1.0837930000000001E-2</v>
      </c>
      <c r="P630">
        <v>0.99639279999999997</v>
      </c>
      <c r="Q630">
        <v>-8.4233920000000004E-2</v>
      </c>
      <c r="R630">
        <v>-1.0319760000000001E-2</v>
      </c>
      <c r="S630">
        <v>2.996918</v>
      </c>
      <c r="T630">
        <v>-0.13347999999999999</v>
      </c>
      <c r="U630">
        <v>-0.2684937</v>
      </c>
      <c r="V630">
        <v>2.1116380000000001E-2</v>
      </c>
      <c r="W630">
        <v>-6.9742960000000007E-2</v>
      </c>
      <c r="X630">
        <v>0.99734149999999999</v>
      </c>
      <c r="Y630">
        <v>9.9887729999999994E-2</v>
      </c>
      <c r="Z630">
        <v>-3.2713270000000001E-3</v>
      </c>
      <c r="AA630">
        <v>0.99499329999999997</v>
      </c>
      <c r="AB630">
        <v>33</v>
      </c>
      <c r="AC630">
        <v>26.122900000000001</v>
      </c>
      <c r="AD630">
        <v>-1.1707190000000001</v>
      </c>
      <c r="AE630">
        <v>-2.35660000000001</v>
      </c>
      <c r="AF630">
        <v>2.6343613239394701</v>
      </c>
      <c r="AG630">
        <v>-1.1707190000000001</v>
      </c>
      <c r="AH630">
        <v>26.043936191208999</v>
      </c>
      <c r="AI630">
        <v>92.560760289531899</v>
      </c>
      <c r="AJ630">
        <v>84.224139140434104</v>
      </c>
      <c r="AK630">
        <v>26.202997059378401</v>
      </c>
      <c r="AL630">
        <v>93.999223729815299</v>
      </c>
      <c r="AM630">
        <v>88.7870767312845</v>
      </c>
      <c r="AN630">
        <v>1.0000000247980501</v>
      </c>
    </row>
    <row r="631" spans="1:40" x14ac:dyDescent="0.25">
      <c r="A631" t="str">
        <f>"20190303154743553"</f>
        <v>20190303154743553</v>
      </c>
      <c r="B631" t="str">
        <f>"1551599263541688"</f>
        <v>1551599263541688</v>
      </c>
      <c r="C631" t="s">
        <v>40</v>
      </c>
      <c r="D631">
        <v>5.2802069999999999</v>
      </c>
      <c r="E631">
        <v>0.53047999999999995</v>
      </c>
      <c r="F631" t="s">
        <v>43</v>
      </c>
      <c r="G631">
        <v>-311.09840000000003</v>
      </c>
      <c r="H631">
        <v>-0.05</v>
      </c>
      <c r="I631">
        <v>365.01560000000001</v>
      </c>
      <c r="J631">
        <v>-337.2869</v>
      </c>
      <c r="K631">
        <v>1.120722</v>
      </c>
      <c r="L631">
        <v>367.411</v>
      </c>
      <c r="M631">
        <v>0.99983569999999999</v>
      </c>
      <c r="N631">
        <v>-1.4535899999999999E-2</v>
      </c>
      <c r="O631">
        <v>1.083812E-2</v>
      </c>
      <c r="P631">
        <v>0.99641559999999996</v>
      </c>
      <c r="Q631">
        <v>-8.3947229999999998E-2</v>
      </c>
      <c r="R631">
        <v>-1.044862E-2</v>
      </c>
      <c r="S631">
        <v>2.9967649999999999</v>
      </c>
      <c r="T631">
        <v>-0.13308819999999999</v>
      </c>
      <c r="U631">
        <v>-0.27209470000000002</v>
      </c>
      <c r="V631">
        <v>2.1245670000000001E-2</v>
      </c>
      <c r="W631">
        <v>-6.9457850000000002E-2</v>
      </c>
      <c r="X631">
        <v>0.99735859999999998</v>
      </c>
      <c r="Y631">
        <v>0.1010775</v>
      </c>
      <c r="Z631">
        <v>-3.298404E-3</v>
      </c>
      <c r="AA631">
        <v>0.99487309999999995</v>
      </c>
      <c r="AB631">
        <v>33</v>
      </c>
      <c r="AC631">
        <v>26.188499999999902</v>
      </c>
      <c r="AD631">
        <v>-1.170722</v>
      </c>
      <c r="AE631">
        <v>-2.3953999999999902</v>
      </c>
      <c r="AF631">
        <v>2.6738242643282901</v>
      </c>
      <c r="AG631">
        <v>-1.170722</v>
      </c>
      <c r="AH631">
        <v>26.109252853920299</v>
      </c>
      <c r="AI631">
        <v>92.554045790485304</v>
      </c>
      <c r="AJ631">
        <v>84.152776880726407</v>
      </c>
      <c r="AK631">
        <v>26.271905351301399</v>
      </c>
      <c r="AL631">
        <v>93.9828486213665</v>
      </c>
      <c r="AM631">
        <v>88.779673479315804</v>
      </c>
      <c r="AN631">
        <v>0.99999997420716502</v>
      </c>
    </row>
    <row r="632" spans="1:40" x14ac:dyDescent="0.25">
      <c r="A632" t="str">
        <f>"20190303154743570"</f>
        <v>20190303154743570</v>
      </c>
      <c r="B632" t="str">
        <f>"1551599263561209"</f>
        <v>1551599263561209</v>
      </c>
      <c r="C632" t="s">
        <v>40</v>
      </c>
      <c r="D632">
        <v>5.2585410000000001</v>
      </c>
      <c r="E632">
        <v>0.53106869999999995</v>
      </c>
      <c r="F632" t="s">
        <v>43</v>
      </c>
      <c r="G632">
        <v>-310.5453</v>
      </c>
      <c r="H632">
        <v>-0.05</v>
      </c>
      <c r="I632">
        <v>364.94819999999999</v>
      </c>
      <c r="J632">
        <v>-337.0333</v>
      </c>
      <c r="K632">
        <v>1.1207240000000001</v>
      </c>
      <c r="L632">
        <v>367.41370000000001</v>
      </c>
      <c r="M632">
        <v>0.99983569999999999</v>
      </c>
      <c r="N632">
        <v>-1.453321E-2</v>
      </c>
      <c r="O632">
        <v>1.083814E-2</v>
      </c>
      <c r="P632">
        <v>0.99647240000000004</v>
      </c>
      <c r="Q632">
        <v>-8.3244799999999994E-2</v>
      </c>
      <c r="R632">
        <v>-1.064058E-2</v>
      </c>
      <c r="S632">
        <v>2.9968569999999999</v>
      </c>
      <c r="T632">
        <v>-0.1311997</v>
      </c>
      <c r="U632">
        <v>-0.276001</v>
      </c>
      <c r="V632">
        <v>2.1438430000000001E-2</v>
      </c>
      <c r="W632">
        <v>-6.8757390000000002E-2</v>
      </c>
      <c r="X632">
        <v>0.99740300000000004</v>
      </c>
      <c r="Y632">
        <v>0.1023626</v>
      </c>
      <c r="Z632">
        <v>-3.2969729999999999E-3</v>
      </c>
      <c r="AA632">
        <v>0.99474169999999995</v>
      </c>
      <c r="AB632">
        <v>33</v>
      </c>
      <c r="AC632">
        <v>26.488</v>
      </c>
      <c r="AD632">
        <v>-1.1707239999999901</v>
      </c>
      <c r="AE632">
        <v>-2.46550000000002</v>
      </c>
      <c r="AF632">
        <v>2.7471456991797099</v>
      </c>
      <c r="AG632">
        <v>-1.1707239999999901</v>
      </c>
      <c r="AH632">
        <v>26.408573952452301</v>
      </c>
      <c r="AI632">
        <v>92.524723519239004</v>
      </c>
      <c r="AJ632">
        <v>84.061180157493098</v>
      </c>
      <c r="AK632">
        <v>26.5768730737617</v>
      </c>
      <c r="AL632">
        <v>93.942619074907597</v>
      </c>
      <c r="AM632">
        <v>88.768659762807502</v>
      </c>
      <c r="AN632">
        <v>0.99999996468473695</v>
      </c>
    </row>
    <row r="633" spans="1:40" x14ac:dyDescent="0.25">
      <c r="A633" t="str">
        <f>"20190303154743586"</f>
        <v>20190303154743586</v>
      </c>
      <c r="B633" t="str">
        <f>"1551599263581706"</f>
        <v>1551599263581706</v>
      </c>
      <c r="C633" t="s">
        <v>40</v>
      </c>
      <c r="D633">
        <v>5.1963339999999896</v>
      </c>
      <c r="E633">
        <v>0.5314624</v>
      </c>
      <c r="F633" t="s">
        <v>43</v>
      </c>
      <c r="G633">
        <v>-309.3426</v>
      </c>
      <c r="H633">
        <v>-0.05</v>
      </c>
      <c r="I633">
        <v>364.81319999999999</v>
      </c>
      <c r="J633">
        <v>-336.80880000000002</v>
      </c>
      <c r="K633">
        <v>1.1207260000000001</v>
      </c>
      <c r="L633">
        <v>367.41609999999997</v>
      </c>
      <c r="M633">
        <v>0.99983580000000005</v>
      </c>
      <c r="N633">
        <v>-1.453084E-2</v>
      </c>
      <c r="O633">
        <v>1.0837980000000001E-2</v>
      </c>
      <c r="P633">
        <v>0.99649209999999999</v>
      </c>
      <c r="Q633">
        <v>-8.3038120000000007E-2</v>
      </c>
      <c r="R633">
        <v>-1.041688E-2</v>
      </c>
      <c r="S633">
        <v>2.9970400000000001</v>
      </c>
      <c r="T633">
        <v>-0.12671089999999999</v>
      </c>
      <c r="U633">
        <v>-0.28146359999999998</v>
      </c>
      <c r="V633">
        <v>2.121466E-2</v>
      </c>
      <c r="W633">
        <v>-6.8552760000000004E-2</v>
      </c>
      <c r="X633">
        <v>0.99742189999999997</v>
      </c>
      <c r="Y633">
        <v>0.104160199999999</v>
      </c>
      <c r="Z633">
        <v>-3.2549649999999999E-3</v>
      </c>
      <c r="AA633">
        <v>0.99455519999999997</v>
      </c>
      <c r="AB633">
        <v>33</v>
      </c>
      <c r="AC633">
        <v>27.466200000000001</v>
      </c>
      <c r="AD633">
        <v>-1.1707259999999999</v>
      </c>
      <c r="AE633">
        <v>-2.6028999999999698</v>
      </c>
      <c r="AF633">
        <v>2.89524328217649</v>
      </c>
      <c r="AG633">
        <v>-1.1707259999999999</v>
      </c>
      <c r="AH633">
        <v>27.387058707454301</v>
      </c>
      <c r="AI633">
        <v>92.434208412901199</v>
      </c>
      <c r="AJ633">
        <v>83.965348167715206</v>
      </c>
      <c r="AK633">
        <v>27.564542761954399</v>
      </c>
      <c r="AL633">
        <v>93.930866791385697</v>
      </c>
      <c r="AM633">
        <v>88.781531430139594</v>
      </c>
      <c r="AN633">
        <v>0.99999999465107103</v>
      </c>
    </row>
    <row r="634" spans="1:40" x14ac:dyDescent="0.25">
      <c r="A634" t="str">
        <f>"20190303154743599"</f>
        <v>20190303154743599</v>
      </c>
      <c r="B634" t="str">
        <f>"1551599263591466"</f>
        <v>1551599263591466</v>
      </c>
      <c r="C634" t="s">
        <v>40</v>
      </c>
      <c r="D634">
        <v>5.1868499999999997</v>
      </c>
      <c r="E634">
        <v>0.53166780000000002</v>
      </c>
      <c r="F634" t="s">
        <v>43</v>
      </c>
      <c r="G634">
        <v>-308.8383</v>
      </c>
      <c r="H634">
        <v>-0.05</v>
      </c>
      <c r="I634">
        <v>364.76600000000002</v>
      </c>
      <c r="J634">
        <v>-336.61219999999997</v>
      </c>
      <c r="K634">
        <v>1.1207320000000001</v>
      </c>
      <c r="L634">
        <v>367.41829999999999</v>
      </c>
      <c r="M634">
        <v>0.99983569999999999</v>
      </c>
      <c r="N634">
        <v>-1.452877E-2</v>
      </c>
      <c r="O634">
        <v>1.0838179999999999E-2</v>
      </c>
      <c r="P634">
        <v>0.99650989999999995</v>
      </c>
      <c r="Q634">
        <v>-8.2843899999999998E-2</v>
      </c>
      <c r="R634">
        <v>-1.025148E-2</v>
      </c>
      <c r="S634">
        <v>2.997131</v>
      </c>
      <c r="T634">
        <v>-0.125447</v>
      </c>
      <c r="U634">
        <v>-0.283966099999999</v>
      </c>
      <c r="V634">
        <v>2.1049930000000001E-2</v>
      </c>
      <c r="W634">
        <v>-6.836035E-2</v>
      </c>
      <c r="X634">
        <v>0.99743859999999995</v>
      </c>
      <c r="Y634">
        <v>0.10498200000000001</v>
      </c>
      <c r="Z634">
        <v>-3.2514269999999999E-3</v>
      </c>
      <c r="AA634">
        <v>0.99446880000000004</v>
      </c>
      <c r="AB634">
        <v>33</v>
      </c>
      <c r="AC634">
        <v>27.773899999999902</v>
      </c>
      <c r="AD634">
        <v>-1.1707319999999899</v>
      </c>
      <c r="AE634">
        <v>-2.6523000000000199</v>
      </c>
      <c r="AF634">
        <v>2.9480037819410301</v>
      </c>
      <c r="AG634">
        <v>-1.1707319999999899</v>
      </c>
      <c r="AH634">
        <v>27.694755574815598</v>
      </c>
      <c r="AI634">
        <v>92.407023707501807</v>
      </c>
      <c r="AJ634">
        <v>83.923957153725198</v>
      </c>
      <c r="AK634">
        <v>27.875810769607099</v>
      </c>
      <c r="AL634">
        <v>93.919816571050404</v>
      </c>
      <c r="AM634">
        <v>88.791010150273806</v>
      </c>
      <c r="AN634">
        <v>0.99999999888754298</v>
      </c>
    </row>
    <row r="635" spans="1:40" x14ac:dyDescent="0.25">
      <c r="A635" t="str">
        <f>"20190303154743616"</f>
        <v>20190303154743616</v>
      </c>
      <c r="B635" t="str">
        <f>"1551599263610985"</f>
        <v>1551599263610985</v>
      </c>
      <c r="C635" t="s">
        <v>40</v>
      </c>
      <c r="D635">
        <v>5.0869869999999997</v>
      </c>
      <c r="E635">
        <v>0.53191860000000002</v>
      </c>
      <c r="F635" t="s">
        <v>43</v>
      </c>
      <c r="G635">
        <v>-308.26029999999997</v>
      </c>
      <c r="H635">
        <v>-0.05</v>
      </c>
      <c r="I635">
        <v>364.72059999999999</v>
      </c>
      <c r="J635">
        <v>-336.35700000000003</v>
      </c>
      <c r="K635">
        <v>1.120736</v>
      </c>
      <c r="L635">
        <v>367.42110000000002</v>
      </c>
      <c r="M635">
        <v>0.99983569999999999</v>
      </c>
      <c r="N635">
        <v>-1.452609E-2</v>
      </c>
      <c r="O635">
        <v>1.083837E-2</v>
      </c>
      <c r="P635">
        <v>0.99652770000000002</v>
      </c>
      <c r="Q635">
        <v>-8.2698350000000004E-2</v>
      </c>
      <c r="R635">
        <v>-9.6840009999999994E-3</v>
      </c>
      <c r="S635">
        <v>2.9972840000000001</v>
      </c>
      <c r="T635">
        <v>-0.12376669999999999</v>
      </c>
      <c r="U635">
        <v>-0.28518680000000002</v>
      </c>
      <c r="V635">
        <v>2.0482609999999998E-2</v>
      </c>
      <c r="W635">
        <v>-6.8217100000000003E-2</v>
      </c>
      <c r="X635">
        <v>0.99746020000000002</v>
      </c>
      <c r="Y635">
        <v>0.1053814</v>
      </c>
      <c r="Z635">
        <v>-3.226895E-3</v>
      </c>
      <c r="AA635">
        <v>0.9944267</v>
      </c>
      <c r="AB635">
        <v>33</v>
      </c>
      <c r="AC635">
        <v>28.096699999999998</v>
      </c>
      <c r="AD635">
        <v>-1.170736</v>
      </c>
      <c r="AE635">
        <v>-2.7005000000000301</v>
      </c>
      <c r="AF635">
        <v>2.9997353677904601</v>
      </c>
      <c r="AG635">
        <v>-1.170736</v>
      </c>
      <c r="AH635">
        <v>28.017577534671201</v>
      </c>
      <c r="AI635">
        <v>92.379174360673304</v>
      </c>
      <c r="AJ635">
        <v>83.888839140377897</v>
      </c>
      <c r="AK635">
        <v>28.202015636648799</v>
      </c>
      <c r="AL635">
        <v>93.911589818684206</v>
      </c>
      <c r="AM635">
        <v>88.823610011812605</v>
      </c>
      <c r="AN635">
        <v>0.99999998031443005</v>
      </c>
    </row>
    <row r="636" spans="1:40" x14ac:dyDescent="0.25">
      <c r="A636" t="str">
        <f>"20190303154743638"</f>
        <v>20190303154743638</v>
      </c>
      <c r="B636" t="str">
        <f>"1551599263631481"</f>
        <v>1551599263631481</v>
      </c>
      <c r="C636" t="s">
        <v>40</v>
      </c>
      <c r="D636">
        <v>5.11897</v>
      </c>
      <c r="E636">
        <v>0.53180360000000004</v>
      </c>
      <c r="F636" t="s">
        <v>43</v>
      </c>
      <c r="G636">
        <v>-307.18860000000001</v>
      </c>
      <c r="H636">
        <v>-0.05</v>
      </c>
      <c r="I636">
        <v>364.6429</v>
      </c>
      <c r="J636">
        <v>-336.02440000000001</v>
      </c>
      <c r="K636">
        <v>1.1207469999999999</v>
      </c>
      <c r="L636">
        <v>367.42469999999997</v>
      </c>
      <c r="M636">
        <v>0.99983599999999995</v>
      </c>
      <c r="N636">
        <v>-1.452111E-2</v>
      </c>
      <c r="O636">
        <v>1.0838230000000001E-2</v>
      </c>
      <c r="P636">
        <v>0.99654889999999996</v>
      </c>
      <c r="Q636">
        <v>-8.2480639999999994E-2</v>
      </c>
      <c r="R636">
        <v>-9.3633299999999996E-3</v>
      </c>
      <c r="S636">
        <v>2.997681</v>
      </c>
      <c r="T636">
        <v>-0.12031849999999999</v>
      </c>
      <c r="U636">
        <v>-0.28552250000000001</v>
      </c>
      <c r="V636">
        <v>2.016225E-2</v>
      </c>
      <c r="W636">
        <v>-6.8004029999999993E-2</v>
      </c>
      <c r="X636">
        <v>0.99748130000000002</v>
      </c>
      <c r="Y636">
        <v>0.1054852</v>
      </c>
      <c r="Z636">
        <v>-3.1563160000000002E-3</v>
      </c>
      <c r="AA636">
        <v>0.99441590000000002</v>
      </c>
      <c r="AB636">
        <v>33</v>
      </c>
      <c r="AC636">
        <v>28.835799999999999</v>
      </c>
      <c r="AD636">
        <v>-1.170747</v>
      </c>
      <c r="AE636">
        <v>-2.7817999999999699</v>
      </c>
      <c r="AF636">
        <v>3.0891533070178401</v>
      </c>
      <c r="AG636">
        <v>-1.170747</v>
      </c>
      <c r="AH636">
        <v>28.756987127994599</v>
      </c>
      <c r="AI636">
        <v>92.318002051276196</v>
      </c>
      <c r="AJ636">
        <v>83.868644853516301</v>
      </c>
      <c r="AK636">
        <v>28.946119349092701</v>
      </c>
      <c r="AL636">
        <v>93.899353297960005</v>
      </c>
      <c r="AM636">
        <v>88.842028878111194</v>
      </c>
      <c r="AN636">
        <v>1.00000000413549</v>
      </c>
    </row>
    <row r="637" spans="1:40" x14ac:dyDescent="0.25">
      <c r="A637" t="str">
        <f>"20190303154743652"</f>
        <v>20190303154743652</v>
      </c>
      <c r="B637" t="str">
        <f>"1551599263641241"</f>
        <v>1551599263641241</v>
      </c>
      <c r="C637" t="s">
        <v>40</v>
      </c>
      <c r="D637">
        <v>5.0812410000000003</v>
      </c>
      <c r="E637">
        <v>0.53180469999999902</v>
      </c>
      <c r="F637" t="s">
        <v>43</v>
      </c>
      <c r="G637">
        <v>-306.38459999999998</v>
      </c>
      <c r="H637">
        <v>-0.05</v>
      </c>
      <c r="I637">
        <v>364.61959999999999</v>
      </c>
      <c r="J637">
        <v>-335.81549999999999</v>
      </c>
      <c r="K637">
        <v>1.1207480000000001</v>
      </c>
      <c r="L637">
        <v>367.42689999999999</v>
      </c>
      <c r="M637">
        <v>0.99983599999999995</v>
      </c>
      <c r="N637">
        <v>-1.4514340000000001E-2</v>
      </c>
      <c r="O637">
        <v>1.083828E-2</v>
      </c>
      <c r="P637">
        <v>0.99657119999999999</v>
      </c>
      <c r="Q637">
        <v>-8.2226389999999996E-2</v>
      </c>
      <c r="R637">
        <v>-9.2209549999999994E-3</v>
      </c>
      <c r="S637">
        <v>2.9979550000000001</v>
      </c>
      <c r="T637">
        <v>-0.1184168</v>
      </c>
      <c r="U637">
        <v>-0.28372190000000003</v>
      </c>
      <c r="V637">
        <v>2.0020030000000001E-2</v>
      </c>
      <c r="W637">
        <v>-6.7756220000000006E-2</v>
      </c>
      <c r="X637">
        <v>0.99750099999999997</v>
      </c>
      <c r="Y637">
        <v>0.1048887</v>
      </c>
      <c r="Z637">
        <v>-3.0995459999999999E-3</v>
      </c>
      <c r="AA637">
        <v>0.99447909999999995</v>
      </c>
      <c r="AB637">
        <v>33</v>
      </c>
      <c r="AC637">
        <v>29.430900000000001</v>
      </c>
      <c r="AD637">
        <v>-1.1707479999999999</v>
      </c>
      <c r="AE637">
        <v>-2.8072999999999899</v>
      </c>
      <c r="AF637">
        <v>3.1212544103919799</v>
      </c>
      <c r="AG637">
        <v>-1.1707479999999999</v>
      </c>
      <c r="AH637">
        <v>29.3527121732978</v>
      </c>
      <c r="AI637">
        <v>92.271269472467097</v>
      </c>
      <c r="AJ637">
        <v>83.930196657220094</v>
      </c>
      <c r="AK637">
        <v>29.5414047042851</v>
      </c>
      <c r="AL637">
        <v>93.885122115736294</v>
      </c>
      <c r="AM637">
        <v>88.850217448539894</v>
      </c>
      <c r="AN637">
        <v>0.99999997597544399</v>
      </c>
    </row>
    <row r="638" spans="1:40" x14ac:dyDescent="0.25">
      <c r="A638" t="str">
        <f>"20190303154743667"</f>
        <v>20190303154743667</v>
      </c>
      <c r="B638" t="str">
        <f>"1551599263661737"</f>
        <v>1551599263661737</v>
      </c>
      <c r="C638" t="s">
        <v>40</v>
      </c>
      <c r="D638">
        <v>5.0648049999999998</v>
      </c>
      <c r="E638">
        <v>0.53189869999999995</v>
      </c>
      <c r="F638" t="s">
        <v>43</v>
      </c>
      <c r="G638">
        <v>-305.8476</v>
      </c>
      <c r="H638">
        <v>-0.05</v>
      </c>
      <c r="I638">
        <v>364.5958</v>
      </c>
      <c r="J638">
        <v>-335.59269999999998</v>
      </c>
      <c r="K638">
        <v>1.120746</v>
      </c>
      <c r="L638">
        <v>367.42939999999999</v>
      </c>
      <c r="M638">
        <v>0.99983630000000001</v>
      </c>
      <c r="N638">
        <v>-1.449899E-2</v>
      </c>
      <c r="O638">
        <v>1.0838220000000001E-2</v>
      </c>
      <c r="P638">
        <v>0.99657580000000001</v>
      </c>
      <c r="Q638">
        <v>-8.2185590000000003E-2</v>
      </c>
      <c r="R638">
        <v>-9.0877939999999997E-3</v>
      </c>
      <c r="S638">
        <v>2.9980470000000001</v>
      </c>
      <c r="T638">
        <v>-0.11712409999999999</v>
      </c>
      <c r="U638">
        <v>-0.28323359999999997</v>
      </c>
      <c r="V638">
        <v>1.9886919999999999E-2</v>
      </c>
      <c r="W638">
        <v>-6.7730609999999997E-2</v>
      </c>
      <c r="X638">
        <v>0.99750539999999999</v>
      </c>
      <c r="Y638">
        <v>0.1047276</v>
      </c>
      <c r="Z638">
        <v>-3.0673279999999998E-3</v>
      </c>
      <c r="AA638">
        <v>0.99449620000000005</v>
      </c>
      <c r="AB638">
        <v>33</v>
      </c>
      <c r="AC638">
        <v>29.745099999999901</v>
      </c>
      <c r="AD638">
        <v>-1.1707459999999901</v>
      </c>
      <c r="AE638">
        <v>-2.8335999999999899</v>
      </c>
      <c r="AF638">
        <v>3.1510138068708402</v>
      </c>
      <c r="AG638">
        <v>-1.1707459999999901</v>
      </c>
      <c r="AH638">
        <v>29.6670925842994</v>
      </c>
      <c r="AI638">
        <v>92.247251126915202</v>
      </c>
      <c r="AJ638">
        <v>83.937206493956296</v>
      </c>
      <c r="AK638">
        <v>29.8569240983227</v>
      </c>
      <c r="AL638">
        <v>93.883651399603806</v>
      </c>
      <c r="AM638">
        <v>88.857865174977405</v>
      </c>
      <c r="AN638">
        <v>0.99999997407360797</v>
      </c>
    </row>
    <row r="639" spans="1:40" x14ac:dyDescent="0.25">
      <c r="A639" t="str">
        <f>"20190303154743682"</f>
        <v>20190303154743682</v>
      </c>
      <c r="B639" t="str">
        <f>"1551599263671497"</f>
        <v>1551599263671497</v>
      </c>
      <c r="C639" t="s">
        <v>40</v>
      </c>
      <c r="D639">
        <v>5.0465580000000001</v>
      </c>
      <c r="E639">
        <v>0.53190890000000002</v>
      </c>
      <c r="F639" t="s">
        <v>43</v>
      </c>
      <c r="G639">
        <v>-305.06569999999999</v>
      </c>
      <c r="H639">
        <v>-0.05</v>
      </c>
      <c r="I639">
        <v>364.5421</v>
      </c>
      <c r="J639">
        <v>-335.37970000000001</v>
      </c>
      <c r="K639">
        <v>1.120741</v>
      </c>
      <c r="L639">
        <v>367.43169999999998</v>
      </c>
      <c r="M639">
        <v>0.99983659999999996</v>
      </c>
      <c r="N639">
        <v>-1.447447E-2</v>
      </c>
      <c r="O639">
        <v>1.083828E-2</v>
      </c>
      <c r="P639">
        <v>0.99659600000000004</v>
      </c>
      <c r="Q639">
        <v>-8.1947510000000001E-2</v>
      </c>
      <c r="R639">
        <v>-9.0181050000000002E-3</v>
      </c>
      <c r="S639">
        <v>2.9981990000000001</v>
      </c>
      <c r="T639">
        <v>-0.1149845</v>
      </c>
      <c r="U639">
        <v>-0.28356930000000002</v>
      </c>
      <c r="V639">
        <v>1.9817419999999999E-2</v>
      </c>
      <c r="W639">
        <v>-6.751675E-2</v>
      </c>
      <c r="X639">
        <v>0.99752130000000006</v>
      </c>
      <c r="Y639">
        <v>0.1048369</v>
      </c>
      <c r="Z639">
        <v>-3.0240879999999999E-3</v>
      </c>
      <c r="AA639">
        <v>0.99448479999999995</v>
      </c>
      <c r="AB639">
        <v>33</v>
      </c>
      <c r="AC639">
        <v>30.314</v>
      </c>
      <c r="AD639">
        <v>-1.170741</v>
      </c>
      <c r="AE639">
        <v>-2.88959999999997</v>
      </c>
      <c r="AF639">
        <v>3.21326668781921</v>
      </c>
      <c r="AG639">
        <v>-1.170741</v>
      </c>
      <c r="AH639">
        <v>30.236205090344001</v>
      </c>
      <c r="AI639">
        <v>92.204971792230396</v>
      </c>
      <c r="AJ639">
        <v>83.933822313765603</v>
      </c>
      <c r="AK639">
        <v>30.428996295663001</v>
      </c>
      <c r="AL639">
        <v>93.871369937868195</v>
      </c>
      <c r="AM639">
        <v>88.861873746283493</v>
      </c>
      <c r="AN639">
        <v>0.99999999280985397</v>
      </c>
    </row>
    <row r="640" spans="1:40" x14ac:dyDescent="0.25">
      <c r="A640" t="str">
        <f>"20190303154743693"</f>
        <v>20190303154743693</v>
      </c>
      <c r="B640" t="str">
        <f>"1551599263681257"</f>
        <v>1551599263681257</v>
      </c>
      <c r="C640" t="s">
        <v>40</v>
      </c>
      <c r="D640">
        <v>5.0235659999999998</v>
      </c>
      <c r="E640">
        <v>0.53192390000000001</v>
      </c>
      <c r="F640" t="s">
        <v>43</v>
      </c>
      <c r="G640">
        <v>-304.495</v>
      </c>
      <c r="H640">
        <v>-0.05</v>
      </c>
      <c r="I640">
        <v>364.51010000000002</v>
      </c>
      <c r="J640">
        <v>-335.20089999999999</v>
      </c>
      <c r="K640">
        <v>1.1207279999999999</v>
      </c>
      <c r="L640">
        <v>367.43360000000001</v>
      </c>
      <c r="M640">
        <v>0.99983710000000003</v>
      </c>
      <c r="N640">
        <v>-1.4441249999999999E-2</v>
      </c>
      <c r="O640">
        <v>1.083834E-2</v>
      </c>
      <c r="P640">
        <v>0.99658630000000004</v>
      </c>
      <c r="Q640">
        <v>-8.2087389999999996E-2</v>
      </c>
      <c r="R640">
        <v>-8.8307549999999992E-3</v>
      </c>
      <c r="S640">
        <v>2.998291</v>
      </c>
      <c r="T640">
        <v>-0.1136556</v>
      </c>
      <c r="U640">
        <v>-0.2836304</v>
      </c>
      <c r="V640">
        <v>1.962997E-2</v>
      </c>
      <c r="W640">
        <v>-6.7689840000000001E-2</v>
      </c>
      <c r="X640">
        <v>0.99751330000000005</v>
      </c>
      <c r="Y640">
        <v>0.1048564</v>
      </c>
      <c r="Z640">
        <v>-2.9951840000000001E-3</v>
      </c>
      <c r="AA640">
        <v>0.99448289999999995</v>
      </c>
      <c r="AB640">
        <v>33</v>
      </c>
      <c r="AC640">
        <v>30.7058999999999</v>
      </c>
      <c r="AD640">
        <v>-1.170728</v>
      </c>
      <c r="AE640">
        <v>-2.92349999999999</v>
      </c>
      <c r="AF640">
        <v>3.25147975470589</v>
      </c>
      <c r="AG640">
        <v>-1.170728</v>
      </c>
      <c r="AH640">
        <v>30.6282831801486</v>
      </c>
      <c r="AI640">
        <v>92.176774495067207</v>
      </c>
      <c r="AJ640">
        <v>83.940211413477797</v>
      </c>
      <c r="AK640">
        <v>30.822628947067798</v>
      </c>
      <c r="AL640">
        <v>93.8813099107943</v>
      </c>
      <c r="AM640">
        <v>88.872627280949104</v>
      </c>
      <c r="AN640">
        <v>1.0000000169191501</v>
      </c>
    </row>
    <row r="641" spans="1:40" x14ac:dyDescent="0.25">
      <c r="A641" t="str">
        <f>"20190303154743704"</f>
        <v>20190303154743704</v>
      </c>
      <c r="B641" t="str">
        <f>"1551599263701753"</f>
        <v>1551599263701753</v>
      </c>
      <c r="C641" t="s">
        <v>40</v>
      </c>
      <c r="D641">
        <v>5.0289890000000002</v>
      </c>
      <c r="E641">
        <v>0.53194459999999999</v>
      </c>
      <c r="F641" t="s">
        <v>43</v>
      </c>
      <c r="G641">
        <v>-304.3741</v>
      </c>
      <c r="H641">
        <v>-0.05</v>
      </c>
      <c r="I641">
        <v>364.52379999999999</v>
      </c>
      <c r="J641">
        <v>-335.04860000000002</v>
      </c>
      <c r="K641">
        <v>1.1207199999999999</v>
      </c>
      <c r="L641">
        <v>367.43529999999998</v>
      </c>
      <c r="M641">
        <v>0.99983739999999999</v>
      </c>
      <c r="N641">
        <v>-1.440949E-2</v>
      </c>
      <c r="O641">
        <v>1.083857E-2</v>
      </c>
      <c r="P641">
        <v>0.99656210000000001</v>
      </c>
      <c r="Q641">
        <v>-8.2367200000000002E-2</v>
      </c>
      <c r="R641">
        <v>-8.9276029999999992E-3</v>
      </c>
      <c r="S641">
        <v>2.9983520000000001</v>
      </c>
      <c r="T641">
        <v>-0.1138701</v>
      </c>
      <c r="U641">
        <v>-0.28301999999999999</v>
      </c>
      <c r="V641">
        <v>1.9726839999999999E-2</v>
      </c>
      <c r="W641">
        <v>-6.8001679999999995E-2</v>
      </c>
      <c r="X641">
        <v>0.99749019999999999</v>
      </c>
      <c r="Y641">
        <v>0.104654</v>
      </c>
      <c r="Z641">
        <v>-2.9930460000000001E-3</v>
      </c>
      <c r="AA641">
        <v>0.99450419999999995</v>
      </c>
      <c r="AB641">
        <v>33</v>
      </c>
      <c r="AC641">
        <v>30.674499999999998</v>
      </c>
      <c r="AD641">
        <v>-1.17072</v>
      </c>
      <c r="AE641">
        <v>-2.9114999999999802</v>
      </c>
      <c r="AF641">
        <v>3.2391550503948801</v>
      </c>
      <c r="AG641">
        <v>-1.17072</v>
      </c>
      <c r="AH641">
        <v>30.5969673476603</v>
      </c>
      <c r="AI641">
        <v>92.179052520659397</v>
      </c>
      <c r="AJ641">
        <v>83.956877914770899</v>
      </c>
      <c r="AK641">
        <v>30.790211458070299</v>
      </c>
      <c r="AL641">
        <v>93.8992182086197</v>
      </c>
      <c r="AM641">
        <v>88.867039137343298</v>
      </c>
      <c r="AN641">
        <v>1.0000000378976199</v>
      </c>
    </row>
    <row r="642" spans="1:40" x14ac:dyDescent="0.25">
      <c r="A642" t="str">
        <f>"20190303154743715"</f>
        <v>20190303154743715</v>
      </c>
      <c r="B642" t="str">
        <f>"1551599263711341"</f>
        <v>1551599263711341</v>
      </c>
      <c r="C642" t="s">
        <v>40</v>
      </c>
      <c r="D642">
        <v>5.047167</v>
      </c>
      <c r="E642">
        <v>0.53204700000000005</v>
      </c>
      <c r="F642" t="s">
        <v>43</v>
      </c>
      <c r="G642">
        <v>-304.108</v>
      </c>
      <c r="H642">
        <v>-0.05</v>
      </c>
      <c r="I642">
        <v>364.5104</v>
      </c>
      <c r="J642">
        <v>-334.87869999999998</v>
      </c>
      <c r="K642">
        <v>1.120709</v>
      </c>
      <c r="L642">
        <v>367.43709999999999</v>
      </c>
      <c r="M642">
        <v>0.99983809999999995</v>
      </c>
      <c r="N642">
        <v>-1.436718E-2</v>
      </c>
      <c r="O642">
        <v>1.0838520000000001E-2</v>
      </c>
      <c r="P642">
        <v>0.99657010000000001</v>
      </c>
      <c r="Q642">
        <v>-8.2247609999999999E-2</v>
      </c>
      <c r="R642">
        <v>-9.1360160000000003E-3</v>
      </c>
      <c r="S642">
        <v>2.9984739999999999</v>
      </c>
      <c r="T642">
        <v>-0.1134551</v>
      </c>
      <c r="U642">
        <v>-0.28344730000000001</v>
      </c>
      <c r="V642">
        <v>1.9935410000000001E-2</v>
      </c>
      <c r="W642">
        <v>-6.7924250000000005E-2</v>
      </c>
      <c r="X642">
        <v>0.99749129999999997</v>
      </c>
      <c r="Y642">
        <v>0.1047912</v>
      </c>
      <c r="Z642">
        <v>-2.9860350000000002E-3</v>
      </c>
      <c r="AA642">
        <v>0.99448979999999998</v>
      </c>
      <c r="AB642">
        <v>33</v>
      </c>
      <c r="AC642">
        <v>30.770699999999898</v>
      </c>
      <c r="AD642">
        <v>-1.170709</v>
      </c>
      <c r="AE642">
        <v>-2.9266999999999799</v>
      </c>
      <c r="AF642">
        <v>3.2554013128039299</v>
      </c>
      <c r="AG642">
        <v>-1.170709</v>
      </c>
      <c r="AH642">
        <v>30.693137370488898</v>
      </c>
      <c r="AI642">
        <v>92.172166175364694</v>
      </c>
      <c r="AJ642">
        <v>83.945681544036503</v>
      </c>
      <c r="AK642">
        <v>30.887487416651201</v>
      </c>
      <c r="AL642">
        <v>93.894771628080093</v>
      </c>
      <c r="AM642">
        <v>88.855064884269794</v>
      </c>
      <c r="AN642">
        <v>1.00000000894281</v>
      </c>
    </row>
    <row r="643" spans="1:40" x14ac:dyDescent="0.25">
      <c r="A643" t="str">
        <f>"20190303154743725"</f>
        <v>20190303154743725</v>
      </c>
      <c r="B643" t="str">
        <f>"1551599263721101"</f>
        <v>1551599263721101</v>
      </c>
      <c r="C643" t="s">
        <v>40</v>
      </c>
      <c r="D643">
        <v>5.0075989999999999</v>
      </c>
      <c r="E643">
        <v>0.53205590000000003</v>
      </c>
      <c r="F643" t="s">
        <v>43</v>
      </c>
      <c r="G643">
        <v>-303.5369</v>
      </c>
      <c r="H643">
        <v>-0.05</v>
      </c>
      <c r="I643">
        <v>364.45749999999998</v>
      </c>
      <c r="J643">
        <v>-334.72550000000001</v>
      </c>
      <c r="K643">
        <v>1.1207039999999999</v>
      </c>
      <c r="L643">
        <v>367.43880000000001</v>
      </c>
      <c r="M643">
        <v>0.99983869999999997</v>
      </c>
      <c r="N643">
        <v>-1.432229E-2</v>
      </c>
      <c r="O643">
        <v>1.083867E-2</v>
      </c>
      <c r="P643">
        <v>0.99654169999999997</v>
      </c>
      <c r="Q643">
        <v>-8.2572699999999999E-2</v>
      </c>
      <c r="R643">
        <v>-9.3134410000000004E-3</v>
      </c>
      <c r="S643">
        <v>2.9984739999999999</v>
      </c>
      <c r="T643">
        <v>-0.112002</v>
      </c>
      <c r="U643">
        <v>-0.2850647</v>
      </c>
      <c r="V643">
        <v>2.0112430000000001E-2</v>
      </c>
      <c r="W643">
        <v>-6.8294530000000006E-2</v>
      </c>
      <c r="X643">
        <v>0.99746250000000003</v>
      </c>
      <c r="Y643">
        <v>0.1053249</v>
      </c>
      <c r="Z643">
        <v>-2.967351E-3</v>
      </c>
      <c r="AA643">
        <v>0.99443340000000002</v>
      </c>
      <c r="AB643">
        <v>33</v>
      </c>
      <c r="AC643">
        <v>31.188600000000001</v>
      </c>
      <c r="AD643">
        <v>-1.170704</v>
      </c>
      <c r="AE643">
        <v>-2.9813000000000298</v>
      </c>
      <c r="AF643">
        <v>3.3145745991331301</v>
      </c>
      <c r="AG643">
        <v>-1.170704</v>
      </c>
      <c r="AH643">
        <v>31.111013310945001</v>
      </c>
      <c r="AI643">
        <v>92.142900950890706</v>
      </c>
      <c r="AJ643">
        <v>83.918634576411094</v>
      </c>
      <c r="AK643">
        <v>31.308977975376902</v>
      </c>
      <c r="AL643">
        <v>93.916036344740505</v>
      </c>
      <c r="AM643">
        <v>88.844867630301906</v>
      </c>
      <c r="AN643">
        <v>1.0000000457873299</v>
      </c>
    </row>
    <row r="644" spans="1:40" x14ac:dyDescent="0.25">
      <c r="A644" t="str">
        <f>"20190303154743736"</f>
        <v>20190303154743736</v>
      </c>
      <c r="B644" t="str">
        <f>"1551599263730861"</f>
        <v>1551599263730861</v>
      </c>
      <c r="C644" t="s">
        <v>40</v>
      </c>
      <c r="D644">
        <v>4.9773800000000001</v>
      </c>
      <c r="E644">
        <v>0.53208040000000001</v>
      </c>
      <c r="F644" t="s">
        <v>43</v>
      </c>
      <c r="G644">
        <v>-303.5213</v>
      </c>
      <c r="H644">
        <v>-0.05</v>
      </c>
      <c r="I644">
        <v>364.4658</v>
      </c>
      <c r="J644">
        <v>-334.55599999999998</v>
      </c>
      <c r="K644">
        <v>1.12069</v>
      </c>
      <c r="L644">
        <v>367.44060000000002</v>
      </c>
      <c r="M644">
        <v>0.99983960000000005</v>
      </c>
      <c r="N644">
        <v>-1.4266259999999999E-2</v>
      </c>
      <c r="O644">
        <v>1.08386E-2</v>
      </c>
      <c r="P644">
        <v>0.99654279999999995</v>
      </c>
      <c r="Q644">
        <v>-8.2536699999999893E-2</v>
      </c>
      <c r="R644">
        <v>-9.5113890000000003E-3</v>
      </c>
      <c r="S644">
        <v>2.998383</v>
      </c>
      <c r="T644">
        <v>-0.11249199999999999</v>
      </c>
      <c r="U644">
        <v>-0.28567500000000001</v>
      </c>
      <c r="V644">
        <v>2.031049E-2</v>
      </c>
      <c r="W644">
        <v>-6.8314429999999995E-2</v>
      </c>
      <c r="X644">
        <v>0.99745709999999999</v>
      </c>
      <c r="Y644">
        <v>0.10552739999999999</v>
      </c>
      <c r="Z644">
        <v>-2.980636E-3</v>
      </c>
      <c r="AA644">
        <v>0.99441190000000002</v>
      </c>
      <c r="AB644">
        <v>33</v>
      </c>
      <c r="AC644">
        <v>31.034699999999901</v>
      </c>
      <c r="AD644">
        <v>-1.17069</v>
      </c>
      <c r="AE644">
        <v>-2.9748000000000099</v>
      </c>
      <c r="AF644">
        <v>3.3063701679961399</v>
      </c>
      <c r="AG644">
        <v>-1.17069</v>
      </c>
      <c r="AH644">
        <v>30.956981630258799</v>
      </c>
      <c r="AI644">
        <v>92.153467419297797</v>
      </c>
      <c r="AJ644">
        <v>83.903617376070102</v>
      </c>
      <c r="AK644">
        <v>31.155052726967</v>
      </c>
      <c r="AL644">
        <v>93.917179293744994</v>
      </c>
      <c r="AM644">
        <v>88.833489115246493</v>
      </c>
      <c r="AN644">
        <v>1.00000002184533</v>
      </c>
    </row>
    <row r="645" spans="1:40" x14ac:dyDescent="0.25">
      <c r="A645" t="str">
        <f>"20190303154743749"</f>
        <v>20190303154743749</v>
      </c>
      <c r="B645" t="str">
        <f>"1551599263741596"</f>
        <v>1551599263741596</v>
      </c>
      <c r="C645" t="s">
        <v>40</v>
      </c>
      <c r="D645">
        <v>4.9904809999999999</v>
      </c>
      <c r="E645">
        <v>0.53209150000000005</v>
      </c>
      <c r="F645" t="s">
        <v>43</v>
      </c>
      <c r="G645">
        <v>-303.30579999999998</v>
      </c>
      <c r="H645">
        <v>-0.05</v>
      </c>
      <c r="I645">
        <v>364.45490000000001</v>
      </c>
      <c r="J645">
        <v>-334.3877</v>
      </c>
      <c r="K645">
        <v>1.1206739999999999</v>
      </c>
      <c r="L645">
        <v>367.44240000000002</v>
      </c>
      <c r="M645">
        <v>0.99984039999999996</v>
      </c>
      <c r="N645">
        <v>-1.41999E-2</v>
      </c>
      <c r="O645">
        <v>1.083872E-2</v>
      </c>
      <c r="P645">
        <v>0.99652350000000001</v>
      </c>
      <c r="Q645">
        <v>-8.2728309999999999E-2</v>
      </c>
      <c r="R645">
        <v>-9.842567E-3</v>
      </c>
      <c r="S645">
        <v>2.998383</v>
      </c>
      <c r="T645">
        <v>-0.1123247</v>
      </c>
      <c r="U645">
        <v>-0.28646850000000001</v>
      </c>
      <c r="V645">
        <v>2.064156E-2</v>
      </c>
      <c r="W645">
        <v>-6.8572579999999994E-2</v>
      </c>
      <c r="X645">
        <v>0.9974326</v>
      </c>
      <c r="Y645">
        <v>0.10578849999999999</v>
      </c>
      <c r="Z645">
        <v>-2.9810240000000001E-3</v>
      </c>
      <c r="AA645">
        <v>0.99438419999999905</v>
      </c>
      <c r="AB645">
        <v>33</v>
      </c>
      <c r="AC645">
        <v>31.081900000000001</v>
      </c>
      <c r="AD645">
        <v>-1.170674</v>
      </c>
      <c r="AE645">
        <v>-2.98750000000001</v>
      </c>
      <c r="AF645">
        <v>3.3195804518001202</v>
      </c>
      <c r="AG645">
        <v>-1.170674</v>
      </c>
      <c r="AH645">
        <v>31.004110412826499</v>
      </c>
      <c r="AI645">
        <v>92.150107790968093</v>
      </c>
      <c r="AJ645">
        <v>83.888677668264293</v>
      </c>
      <c r="AK645">
        <v>31.203284354070501</v>
      </c>
      <c r="AL645">
        <v>93.932004924712999</v>
      </c>
      <c r="AM645">
        <v>88.814450741635596</v>
      </c>
      <c r="AN645">
        <v>1.0000000321349201</v>
      </c>
    </row>
    <row r="646" spans="1:40" x14ac:dyDescent="0.25">
      <c r="A646" t="str">
        <f>"20190303154743759"</f>
        <v>20190303154743759</v>
      </c>
      <c r="B646" t="str">
        <f>"1551599263751357"</f>
        <v>1551599263751357</v>
      </c>
      <c r="C646" t="s">
        <v>40</v>
      </c>
      <c r="D646">
        <v>4.9815139999999998</v>
      </c>
      <c r="E646">
        <v>0.53217630000000005</v>
      </c>
      <c r="F646" t="s">
        <v>43</v>
      </c>
      <c r="G646">
        <v>-303.1431</v>
      </c>
      <c r="H646">
        <v>-0.05</v>
      </c>
      <c r="I646">
        <v>364.44510000000002</v>
      </c>
      <c r="J646">
        <v>-334.23200000000003</v>
      </c>
      <c r="K646">
        <v>1.1206609999999999</v>
      </c>
      <c r="L646">
        <v>367.44409999999999</v>
      </c>
      <c r="M646">
        <v>0.99984130000000004</v>
      </c>
      <c r="N646">
        <v>-1.413505E-2</v>
      </c>
      <c r="O646">
        <v>1.083889E-2</v>
      </c>
      <c r="P646">
        <v>0.99654469999999995</v>
      </c>
      <c r="Q646">
        <v>-8.2461359999999997E-2</v>
      </c>
      <c r="R646">
        <v>-9.9391559999999993E-3</v>
      </c>
      <c r="S646">
        <v>2.998291</v>
      </c>
      <c r="T646">
        <v>-0.1123401</v>
      </c>
      <c r="U646">
        <v>-0.2876282</v>
      </c>
      <c r="V646">
        <v>2.0738489999999998E-2</v>
      </c>
      <c r="W646">
        <v>-6.8370070000000005E-2</v>
      </c>
      <c r="X646">
        <v>0.99744449999999996</v>
      </c>
      <c r="Y646">
        <v>0.1061723</v>
      </c>
      <c r="Z646">
        <v>-2.9885519999999998E-3</v>
      </c>
      <c r="AA646">
        <v>0.99434330000000004</v>
      </c>
      <c r="AB646">
        <v>33</v>
      </c>
      <c r="AC646">
        <v>31.088899999999899</v>
      </c>
      <c r="AD646">
        <v>-1.170661</v>
      </c>
      <c r="AE646">
        <v>-2.9989999999999601</v>
      </c>
      <c r="AF646">
        <v>3.3311468967270601</v>
      </c>
      <c r="AG646">
        <v>-1.170661</v>
      </c>
      <c r="AH646">
        <v>31.0109986168322</v>
      </c>
      <c r="AI646">
        <v>92.149527296251193</v>
      </c>
      <c r="AJ646">
        <v>83.868897677621206</v>
      </c>
      <c r="AK646">
        <v>31.211360464383201</v>
      </c>
      <c r="AL646">
        <v>93.920374626669897</v>
      </c>
      <c r="AM646">
        <v>88.808899367778807</v>
      </c>
      <c r="AN646">
        <v>1.00000004100976</v>
      </c>
    </row>
    <row r="647" spans="1:40" x14ac:dyDescent="0.25">
      <c r="A647" t="str">
        <f>"20190303154743770"</f>
        <v>20190303154743770</v>
      </c>
      <c r="B647" t="str">
        <f>"1551599263761117"</f>
        <v>1551599263761117</v>
      </c>
      <c r="C647" t="s">
        <v>40</v>
      </c>
      <c r="D647">
        <v>4.9964269999999997</v>
      </c>
      <c r="E647">
        <v>0.53222819999999904</v>
      </c>
      <c r="F647" t="s">
        <v>43</v>
      </c>
      <c r="G647">
        <v>-302.49619999999999</v>
      </c>
      <c r="H647">
        <v>-0.05</v>
      </c>
      <c r="I647">
        <v>364.39139999999998</v>
      </c>
      <c r="J647">
        <v>-334.07089999999999</v>
      </c>
      <c r="K647">
        <v>1.1206469999999999</v>
      </c>
      <c r="L647">
        <v>367.44589999999999</v>
      </c>
      <c r="M647">
        <v>0.99984249999999997</v>
      </c>
      <c r="N647">
        <v>-1.4059E-2</v>
      </c>
      <c r="O647">
        <v>1.083872E-2</v>
      </c>
      <c r="P647">
        <v>0.99653170000000002</v>
      </c>
      <c r="Q647">
        <v>-8.2619940000000003E-2</v>
      </c>
      <c r="R647">
        <v>-9.9522450000000002E-3</v>
      </c>
      <c r="S647">
        <v>2.998383</v>
      </c>
      <c r="T647">
        <v>-0.1106033</v>
      </c>
      <c r="U647">
        <v>-0.2884216</v>
      </c>
      <c r="V647">
        <v>2.0751260000000001E-2</v>
      </c>
      <c r="W647">
        <v>-6.8604689999999996E-2</v>
      </c>
      <c r="X647">
        <v>0.99742810000000004</v>
      </c>
      <c r="Y647">
        <v>0.10643270000000001</v>
      </c>
      <c r="Z647">
        <v>-2.9549400000000001E-3</v>
      </c>
      <c r="AA647">
        <v>0.99431550000000002</v>
      </c>
      <c r="AB647">
        <v>33</v>
      </c>
      <c r="AC647">
        <v>31.5747</v>
      </c>
      <c r="AD647">
        <v>-1.170647</v>
      </c>
      <c r="AE647">
        <v>-3.0545000000000102</v>
      </c>
      <c r="AF647">
        <v>3.3919643397813801</v>
      </c>
      <c r="AG647">
        <v>-1.170647</v>
      </c>
      <c r="AH647">
        <v>31.496840924003202</v>
      </c>
      <c r="AI647">
        <v>92.116314104424404</v>
      </c>
      <c r="AJ647">
        <v>83.853379994637294</v>
      </c>
      <c r="AK647">
        <v>31.700580825482099</v>
      </c>
      <c r="AL647">
        <v>93.933849096662797</v>
      </c>
      <c r="AM647">
        <v>88.808146552447894</v>
      </c>
      <c r="AN647">
        <v>1.00000001647559</v>
      </c>
    </row>
    <row r="648" spans="1:40" x14ac:dyDescent="0.25">
      <c r="A648" t="str">
        <f>"20190303154743782"</f>
        <v>20190303154743782</v>
      </c>
      <c r="B648" t="str">
        <f>"1551599263771855"</f>
        <v>1551599263771855</v>
      </c>
      <c r="C648" t="s">
        <v>40</v>
      </c>
      <c r="D648">
        <v>4.9346079999999999</v>
      </c>
      <c r="E648">
        <v>0.5323331</v>
      </c>
      <c r="F648" t="s">
        <v>43</v>
      </c>
      <c r="G648">
        <v>-302.44560000000001</v>
      </c>
      <c r="H648">
        <v>-0.05</v>
      </c>
      <c r="I648">
        <v>364.39949999999999</v>
      </c>
      <c r="J648">
        <v>-333.89670000000001</v>
      </c>
      <c r="K648">
        <v>1.12063</v>
      </c>
      <c r="L648">
        <v>367.44779999999997</v>
      </c>
      <c r="M648">
        <v>0.9998437</v>
      </c>
      <c r="N648">
        <v>-1.3975080000000001E-2</v>
      </c>
      <c r="O648">
        <v>1.0838840000000001E-2</v>
      </c>
      <c r="P648">
        <v>0.99649169999999998</v>
      </c>
      <c r="Q648">
        <v>-8.3082530000000002E-2</v>
      </c>
      <c r="R648">
        <v>-1.008189E-2</v>
      </c>
      <c r="S648">
        <v>2.9983219999999999</v>
      </c>
      <c r="T648">
        <v>-0.1109864</v>
      </c>
      <c r="U648">
        <v>-0.28881839999999998</v>
      </c>
      <c r="V648">
        <v>2.0880619999999999E-2</v>
      </c>
      <c r="W648">
        <v>-6.9151489999999996E-2</v>
      </c>
      <c r="X648">
        <v>0.99738760000000004</v>
      </c>
      <c r="Y648">
        <v>0.10656450000000001</v>
      </c>
      <c r="Z648">
        <v>-2.962924E-3</v>
      </c>
      <c r="AA648">
        <v>0.9943014</v>
      </c>
      <c r="AB648">
        <v>33</v>
      </c>
      <c r="AC648">
        <v>31.4511</v>
      </c>
      <c r="AD648">
        <v>-1.1706299999999901</v>
      </c>
      <c r="AE648">
        <v>-3.0482999999999798</v>
      </c>
      <c r="AF648">
        <v>3.3844025659874699</v>
      </c>
      <c r="AG648">
        <v>-1.1706299999999901</v>
      </c>
      <c r="AH648">
        <v>31.373149767230402</v>
      </c>
      <c r="AI648">
        <v>92.124577871287499</v>
      </c>
      <c r="AJ648">
        <v>83.842983660794204</v>
      </c>
      <c r="AK648">
        <v>31.576875742268001</v>
      </c>
      <c r="AL648">
        <v>93.965253168214005</v>
      </c>
      <c r="AM648">
        <v>88.800670210073505</v>
      </c>
      <c r="AN648">
        <v>0.99999997674728203</v>
      </c>
    </row>
    <row r="649" spans="1:40" x14ac:dyDescent="0.25">
      <c r="A649" t="str">
        <f>"20190303154743793"</f>
        <v>20190303154743793</v>
      </c>
      <c r="B649" t="str">
        <f>"1551599263791373"</f>
        <v>1551599263791373</v>
      </c>
      <c r="C649" t="s">
        <v>40</v>
      </c>
      <c r="D649">
        <v>4.8991220000000002</v>
      </c>
      <c r="E649">
        <v>0.53235619999999995</v>
      </c>
      <c r="F649" t="s">
        <v>43</v>
      </c>
      <c r="G649">
        <v>-302.5471</v>
      </c>
      <c r="H649">
        <v>-0.05</v>
      </c>
      <c r="I649">
        <v>364.41640000000001</v>
      </c>
      <c r="J649">
        <v>-333.72050000000002</v>
      </c>
      <c r="K649">
        <v>1.1206149999999999</v>
      </c>
      <c r="L649">
        <v>367.44959999999998</v>
      </c>
      <c r="M649">
        <v>0.99984499999999998</v>
      </c>
      <c r="N649">
        <v>-1.3886320000000001E-2</v>
      </c>
      <c r="O649">
        <v>1.0838810000000001E-2</v>
      </c>
      <c r="P649">
        <v>0.99649650000000001</v>
      </c>
      <c r="Q649">
        <v>-8.3011489999999993E-2</v>
      </c>
      <c r="R649">
        <v>-1.019896E-2</v>
      </c>
      <c r="S649">
        <v>2.9982600000000001</v>
      </c>
      <c r="T649">
        <v>-0.11195860000000001</v>
      </c>
      <c r="U649">
        <v>-0.28991699999999998</v>
      </c>
      <c r="V649">
        <v>2.099763E-2</v>
      </c>
      <c r="W649">
        <v>-6.9168980000000005E-2</v>
      </c>
      <c r="X649">
        <v>0.99738400000000005</v>
      </c>
      <c r="Y649">
        <v>0.10692550000000001</v>
      </c>
      <c r="Z649">
        <v>-2.9891280000000002E-3</v>
      </c>
      <c r="AA649">
        <v>0.99426250000000005</v>
      </c>
      <c r="AB649">
        <v>33</v>
      </c>
      <c r="AC649">
        <v>31.173400000000001</v>
      </c>
      <c r="AD649">
        <v>-1.170615</v>
      </c>
      <c r="AE649">
        <v>-3.0331999999999599</v>
      </c>
      <c r="AF649">
        <v>3.3662345588215099</v>
      </c>
      <c r="AG649">
        <v>-1.170615</v>
      </c>
      <c r="AH649">
        <v>31.095251852519802</v>
      </c>
      <c r="AI649">
        <v>92.143433242687493</v>
      </c>
      <c r="AJ649">
        <v>83.821473068955498</v>
      </c>
      <c r="AK649">
        <v>31.2988268526932</v>
      </c>
      <c r="AL649">
        <v>93.966257402102698</v>
      </c>
      <c r="AM649">
        <v>88.7939470804519</v>
      </c>
      <c r="AN649">
        <v>1.0000000458579199</v>
      </c>
    </row>
    <row r="650" spans="1:40" x14ac:dyDescent="0.25">
      <c r="A650" t="str">
        <f>"20190303154743805"</f>
        <v>20190303154743805</v>
      </c>
      <c r="B650" t="str">
        <f>"1551599263801133"</f>
        <v>1551599263801133</v>
      </c>
      <c r="C650" t="s">
        <v>40</v>
      </c>
      <c r="D650">
        <v>4.9512130000000001</v>
      </c>
      <c r="E650">
        <v>0.53242639999999997</v>
      </c>
      <c r="F650" t="s">
        <v>43</v>
      </c>
      <c r="G650">
        <v>-302.32560000000001</v>
      </c>
      <c r="H650">
        <v>-0.05</v>
      </c>
      <c r="I650">
        <v>364.40690000000001</v>
      </c>
      <c r="J650">
        <v>-333.55770000000001</v>
      </c>
      <c r="K650">
        <v>1.120603</v>
      </c>
      <c r="L650">
        <v>367.45139999999998</v>
      </c>
      <c r="M650">
        <v>0.99984609999999996</v>
      </c>
      <c r="N650">
        <v>-1.3803859999999999E-2</v>
      </c>
      <c r="O650">
        <v>1.0838850000000001E-2</v>
      </c>
      <c r="P650">
        <v>0.99648669999999995</v>
      </c>
      <c r="Q650">
        <v>-8.3157019999999998E-2</v>
      </c>
      <c r="R650">
        <v>-9.9707289999999994E-3</v>
      </c>
      <c r="S650">
        <v>2.99823</v>
      </c>
      <c r="T650">
        <v>-0.1117942</v>
      </c>
      <c r="U650">
        <v>-0.29058840000000002</v>
      </c>
      <c r="V650">
        <v>2.076919E-2</v>
      </c>
      <c r="W650">
        <v>-6.9396810000000003E-2</v>
      </c>
      <c r="X650">
        <v>0.99737290000000001</v>
      </c>
      <c r="Y650">
        <v>0.1071473</v>
      </c>
      <c r="Z650">
        <v>-2.9877509999999999E-3</v>
      </c>
      <c r="AA650">
        <v>0.99423870000000003</v>
      </c>
      <c r="AB650">
        <v>33</v>
      </c>
      <c r="AC650">
        <v>31.232099999999999</v>
      </c>
      <c r="AD650">
        <v>-1.1706030000000001</v>
      </c>
      <c r="AE650">
        <v>-3.04449999999997</v>
      </c>
      <c r="AF650">
        <v>3.37817237469041</v>
      </c>
      <c r="AG650">
        <v>-1.1706030000000001</v>
      </c>
      <c r="AH650">
        <v>31.153909697110599</v>
      </c>
      <c r="AI650">
        <v>92.139338289391802</v>
      </c>
      <c r="AJ650">
        <v>83.811315710819102</v>
      </c>
      <c r="AK650">
        <v>31.358387225628299</v>
      </c>
      <c r="AL650">
        <v>93.979342768202798</v>
      </c>
      <c r="AM650">
        <v>88.807051034656396</v>
      </c>
      <c r="AN650">
        <v>0.99999998907292098</v>
      </c>
    </row>
    <row r="651" spans="1:40" x14ac:dyDescent="0.25">
      <c r="A651" t="str">
        <f>"20190303154743819"</f>
        <v>20190303154743819</v>
      </c>
      <c r="B651" t="str">
        <f>"1551599263811401"</f>
        <v>1551599263811401</v>
      </c>
      <c r="C651" t="s">
        <v>40</v>
      </c>
      <c r="D651">
        <v>4.9323779999999999</v>
      </c>
      <c r="E651">
        <v>0.53245069999999906</v>
      </c>
      <c r="F651" t="s">
        <v>43</v>
      </c>
      <c r="G651">
        <v>-302.2645</v>
      </c>
      <c r="H651">
        <v>-0.05</v>
      </c>
      <c r="I651">
        <v>364.41989999999998</v>
      </c>
      <c r="J651">
        <v>-333.3537</v>
      </c>
      <c r="K651">
        <v>1.1205889999999901</v>
      </c>
      <c r="L651">
        <v>367.45359999999999</v>
      </c>
      <c r="M651">
        <v>0.99984740000000005</v>
      </c>
      <c r="N651">
        <v>-1.369978E-2</v>
      </c>
      <c r="O651">
        <v>1.083928E-2</v>
      </c>
      <c r="P651">
        <v>0.99648080000000006</v>
      </c>
      <c r="Q651">
        <v>-8.3216579999999998E-2</v>
      </c>
      <c r="R651">
        <v>-1.005385E-2</v>
      </c>
      <c r="S651">
        <v>2.9983520000000001</v>
      </c>
      <c r="T651">
        <v>-0.11216089999999999</v>
      </c>
      <c r="U651">
        <v>-0.29046630000000001</v>
      </c>
      <c r="V651">
        <v>2.0852829999999999E-2</v>
      </c>
      <c r="W651">
        <v>-6.9560280000000002E-2</v>
      </c>
      <c r="X651">
        <v>0.99735980000000002</v>
      </c>
      <c r="Y651">
        <v>0.1071034</v>
      </c>
      <c r="Z651">
        <v>-2.9899309999999999E-3</v>
      </c>
      <c r="AA651">
        <v>0.9942434</v>
      </c>
      <c r="AB651">
        <v>33</v>
      </c>
      <c r="AC651">
        <v>31.089200000000002</v>
      </c>
      <c r="AD651">
        <v>-1.1705890000000001</v>
      </c>
      <c r="AE651">
        <v>-3.0337000000000098</v>
      </c>
      <c r="AF651">
        <v>3.3658111563300199</v>
      </c>
      <c r="AG651">
        <v>-1.1705890000000001</v>
      </c>
      <c r="AH651">
        <v>31.010936983904099</v>
      </c>
      <c r="AI651">
        <v>92.149143253154307</v>
      </c>
      <c r="AJ651">
        <v>83.805578045830401</v>
      </c>
      <c r="AK651">
        <v>31.215015232523399</v>
      </c>
      <c r="AL651">
        <v>93.988731466999297</v>
      </c>
      <c r="AM651">
        <v>88.802232556395197</v>
      </c>
      <c r="AN651">
        <v>1.0000000218643601</v>
      </c>
    </row>
    <row r="652" spans="1:40" x14ac:dyDescent="0.25">
      <c r="A652" t="str">
        <f>"20190303154743832"</f>
        <v>20190303154743832</v>
      </c>
      <c r="B652" t="str">
        <f>"1551599263821160"</f>
        <v>1551599263821160</v>
      </c>
      <c r="C652" t="s">
        <v>40</v>
      </c>
      <c r="D652">
        <v>4.9274440000000004</v>
      </c>
      <c r="E652">
        <v>0.53247349999999904</v>
      </c>
      <c r="F652" t="s">
        <v>43</v>
      </c>
      <c r="G652">
        <v>-302.26690000000002</v>
      </c>
      <c r="H652">
        <v>-0.05</v>
      </c>
      <c r="I652">
        <v>364.4357</v>
      </c>
      <c r="J652">
        <v>-333.14960000000002</v>
      </c>
      <c r="K652">
        <v>1.120581</v>
      </c>
      <c r="L652">
        <v>367.45580000000001</v>
      </c>
      <c r="M652">
        <v>0.99984879999999998</v>
      </c>
      <c r="N652">
        <v>-1.359837E-2</v>
      </c>
      <c r="O652">
        <v>1.0839440000000001E-2</v>
      </c>
      <c r="P652">
        <v>0.99649399999999999</v>
      </c>
      <c r="Q652">
        <v>-8.3071430000000002E-2</v>
      </c>
      <c r="R652">
        <v>-9.9519919999999998E-3</v>
      </c>
      <c r="S652">
        <v>2.99823</v>
      </c>
      <c r="T652">
        <v>-0.1128999</v>
      </c>
      <c r="U652">
        <v>-0.29107670000000002</v>
      </c>
      <c r="V652">
        <v>2.075134E-2</v>
      </c>
      <c r="W652">
        <v>-6.9516110000000006E-2</v>
      </c>
      <c r="X652">
        <v>0.99736499999999995</v>
      </c>
      <c r="Y652">
        <v>0.1073067</v>
      </c>
      <c r="Z652">
        <v>-3.0066910000000001E-3</v>
      </c>
      <c r="AA652">
        <v>0.99422140000000003</v>
      </c>
      <c r="AB652">
        <v>33</v>
      </c>
      <c r="AC652">
        <v>30.8827</v>
      </c>
      <c r="AD652">
        <v>-1.1705809999999901</v>
      </c>
      <c r="AE652">
        <v>-3.02010000000001</v>
      </c>
      <c r="AF652">
        <v>3.3499373308162901</v>
      </c>
      <c r="AG652">
        <v>-1.1705809999999901</v>
      </c>
      <c r="AH652">
        <v>30.8043081798644</v>
      </c>
      <c r="AI652">
        <v>92.163481455767894</v>
      </c>
      <c r="AJ652">
        <v>83.793531899168798</v>
      </c>
      <c r="AK652">
        <v>31.008027064584699</v>
      </c>
      <c r="AL652">
        <v>93.986194557095601</v>
      </c>
      <c r="AM652">
        <v>88.808066575773097</v>
      </c>
      <c r="AN652">
        <v>1.00000002544316</v>
      </c>
    </row>
    <row r="653" spans="1:40" x14ac:dyDescent="0.25">
      <c r="A653" t="str">
        <f>"20190303154743846"</f>
        <v>20190303154743846</v>
      </c>
      <c r="B653" t="str">
        <f>"1551599263841656"</f>
        <v>1551599263841656</v>
      </c>
      <c r="C653" t="s">
        <v>40</v>
      </c>
      <c r="D653">
        <v>4.9138390000000003</v>
      </c>
      <c r="E653">
        <v>0.53252650000000001</v>
      </c>
      <c r="F653" t="s">
        <v>43</v>
      </c>
      <c r="G653">
        <v>-301.89940000000001</v>
      </c>
      <c r="H653">
        <v>-0.05</v>
      </c>
      <c r="I653">
        <v>364.42270000000002</v>
      </c>
      <c r="J653">
        <v>-332.95479999999998</v>
      </c>
      <c r="K653">
        <v>1.120574</v>
      </c>
      <c r="L653">
        <v>367.4579</v>
      </c>
      <c r="M653">
        <v>0.99985020000000002</v>
      </c>
      <c r="N653">
        <v>-1.350439E-2</v>
      </c>
      <c r="O653">
        <v>1.083979E-2</v>
      </c>
      <c r="P653">
        <v>0.99650660000000002</v>
      </c>
      <c r="Q653">
        <v>-8.2940509999999995E-2</v>
      </c>
      <c r="R653">
        <v>-9.7782430000000007E-3</v>
      </c>
      <c r="S653">
        <v>2.9982600000000001</v>
      </c>
      <c r="T653">
        <v>-0.1123097</v>
      </c>
      <c r="U653">
        <v>-0.29101559999999999</v>
      </c>
      <c r="V653">
        <v>2.0578019999999999E-2</v>
      </c>
      <c r="W653">
        <v>-6.9478739999999997E-2</v>
      </c>
      <c r="X653">
        <v>0.99737120000000001</v>
      </c>
      <c r="Y653">
        <v>0.1072871</v>
      </c>
      <c r="Z653">
        <v>-2.9894819999999999E-3</v>
      </c>
      <c r="AA653">
        <v>0.99422359999999999</v>
      </c>
      <c r="AB653">
        <v>33</v>
      </c>
      <c r="AC653">
        <v>31.055399999999899</v>
      </c>
      <c r="AD653">
        <v>-1.170574</v>
      </c>
      <c r="AE653">
        <v>-3.0351999999999699</v>
      </c>
      <c r="AF653">
        <v>3.3669479141502499</v>
      </c>
      <c r="AG653">
        <v>-1.170574</v>
      </c>
      <c r="AH653">
        <v>30.977076318890099</v>
      </c>
      <c r="AI653">
        <v>92.151426863970102</v>
      </c>
      <c r="AJ653">
        <v>83.796781695613703</v>
      </c>
      <c r="AK653">
        <v>31.181498344569999</v>
      </c>
      <c r="AL653">
        <v>93.984048204521002</v>
      </c>
      <c r="AM653">
        <v>88.818026389298694</v>
      </c>
      <c r="AN653">
        <v>1.00000003040427</v>
      </c>
    </row>
    <row r="654" spans="1:40" x14ac:dyDescent="0.25">
      <c r="A654" t="str">
        <f>"20190303154743862"</f>
        <v>20190303154743862</v>
      </c>
      <c r="B654" t="str">
        <f>"1551599263851417"</f>
        <v>1551599263851417</v>
      </c>
      <c r="C654" t="s">
        <v>40</v>
      </c>
      <c r="D654">
        <v>4.9381449999999996</v>
      </c>
      <c r="E654">
        <v>0.53256800000000004</v>
      </c>
      <c r="F654" t="s">
        <v>43</v>
      </c>
      <c r="G654">
        <v>-301.49919999999997</v>
      </c>
      <c r="H654">
        <v>-0.05</v>
      </c>
      <c r="I654">
        <v>364.4049</v>
      </c>
      <c r="J654">
        <v>-332.73270000000002</v>
      </c>
      <c r="K654">
        <v>1.120563</v>
      </c>
      <c r="L654">
        <v>367.46039999999999</v>
      </c>
      <c r="M654">
        <v>0.9998515</v>
      </c>
      <c r="N654">
        <v>-1.340158E-2</v>
      </c>
      <c r="O654">
        <v>1.084013E-2</v>
      </c>
      <c r="P654">
        <v>0.99655419999999995</v>
      </c>
      <c r="Q654">
        <v>-8.2396239999999996E-2</v>
      </c>
      <c r="R654">
        <v>-9.5295220000000003E-3</v>
      </c>
      <c r="S654">
        <v>2.9983520000000001</v>
      </c>
      <c r="T654">
        <v>-0.1115792</v>
      </c>
      <c r="U654">
        <v>-0.29101559999999999</v>
      </c>
      <c r="V654">
        <v>2.0330029999999999E-2</v>
      </c>
      <c r="W654">
        <v>-6.9036360000000005E-2</v>
      </c>
      <c r="X654">
        <v>0.99740700000000004</v>
      </c>
      <c r="Y654">
        <v>0.1072859</v>
      </c>
      <c r="Z654">
        <v>-2.9693039999999999E-3</v>
      </c>
      <c r="AA654">
        <v>0.99422379999999999</v>
      </c>
      <c r="AB654">
        <v>33</v>
      </c>
      <c r="AC654">
        <v>31.233499999999999</v>
      </c>
      <c r="AD654">
        <v>-1.170563</v>
      </c>
      <c r="AE654">
        <v>-3.0554999999999901</v>
      </c>
      <c r="AF654">
        <v>3.3892107148339301</v>
      </c>
      <c r="AG654">
        <v>-1.170563</v>
      </c>
      <c r="AH654">
        <v>31.155194208969199</v>
      </c>
      <c r="AI654">
        <v>92.139096881884996</v>
      </c>
      <c r="AJ654">
        <v>83.791505551183604</v>
      </c>
      <c r="AK654">
        <v>31.3608528775144</v>
      </c>
      <c r="AL654">
        <v>93.958640705885301</v>
      </c>
      <c r="AM654">
        <v>88.832308532913899</v>
      </c>
      <c r="AN654">
        <v>1.0000000263854201</v>
      </c>
    </row>
    <row r="655" spans="1:40" x14ac:dyDescent="0.25">
      <c r="A655" t="str">
        <f>"20190303154743874"</f>
        <v>20190303154743874</v>
      </c>
      <c r="B655" t="str">
        <f>"1551599263870936"</f>
        <v>1551599263870936</v>
      </c>
      <c r="C655" t="s">
        <v>40</v>
      </c>
      <c r="D655">
        <v>4.983746</v>
      </c>
      <c r="E655">
        <v>0.53240659999999995</v>
      </c>
      <c r="F655" t="s">
        <v>43</v>
      </c>
      <c r="G655">
        <v>-300.57249999999999</v>
      </c>
      <c r="H655">
        <v>-0.05</v>
      </c>
      <c r="I655">
        <v>364.34870000000001</v>
      </c>
      <c r="J655">
        <v>-332.52420000000001</v>
      </c>
      <c r="K655">
        <v>1.1205560000000001</v>
      </c>
      <c r="L655">
        <v>367.46269999999998</v>
      </c>
      <c r="M655">
        <v>0.99985259999999998</v>
      </c>
      <c r="N655">
        <v>-1.3312060000000001E-2</v>
      </c>
      <c r="O655">
        <v>1.0840260000000001E-2</v>
      </c>
      <c r="P655">
        <v>0.99658619999999998</v>
      </c>
      <c r="Q655">
        <v>-8.2023310000000002E-2</v>
      </c>
      <c r="R655">
        <v>-9.3924239999999999E-3</v>
      </c>
      <c r="S655">
        <v>2.998596</v>
      </c>
      <c r="T655">
        <v>-0.1091424</v>
      </c>
      <c r="U655">
        <v>-0.29013060000000002</v>
      </c>
      <c r="V655">
        <v>2.019336E-2</v>
      </c>
      <c r="W655">
        <v>-6.875233E-2</v>
      </c>
      <c r="X655">
        <v>0.99742940000000002</v>
      </c>
      <c r="Y655">
        <v>0.106992</v>
      </c>
      <c r="Z655">
        <v>-2.9057459999999998E-3</v>
      </c>
      <c r="AA655">
        <v>0.99425569999999996</v>
      </c>
      <c r="AB655">
        <v>33</v>
      </c>
      <c r="AC655">
        <v>31.951699999999999</v>
      </c>
      <c r="AD655">
        <v>-1.1705559999999999</v>
      </c>
      <c r="AE655">
        <v>-3.1139999999999701</v>
      </c>
      <c r="AF655">
        <v>3.4556181655920599</v>
      </c>
      <c r="AG655">
        <v>-1.1705559999999999</v>
      </c>
      <c r="AH655">
        <v>31.873686399488999</v>
      </c>
      <c r="AI655">
        <v>92.090991145030003</v>
      </c>
      <c r="AJ655">
        <v>83.812387335000196</v>
      </c>
      <c r="AK655">
        <v>32.081823248507497</v>
      </c>
      <c r="AL655">
        <v>93.9423282074235</v>
      </c>
      <c r="AM655">
        <v>88.840182306447005</v>
      </c>
      <c r="AN655">
        <v>1.0000000313264299</v>
      </c>
    </row>
    <row r="656" spans="1:40" x14ac:dyDescent="0.25">
      <c r="A656" t="str">
        <f>"20190303154743886"</f>
        <v>20190303154743886</v>
      </c>
      <c r="B656" t="str">
        <f>"1551599263881673"</f>
        <v>1551599263881673</v>
      </c>
      <c r="C656" t="s">
        <v>40</v>
      </c>
      <c r="D656">
        <v>4.8910280000000004</v>
      </c>
      <c r="E656">
        <v>0.51373009999999997</v>
      </c>
      <c r="F656" t="s">
        <v>43</v>
      </c>
      <c r="G656">
        <v>-300.07100000000003</v>
      </c>
      <c r="H656">
        <v>-0.05</v>
      </c>
      <c r="I656">
        <v>364.33859999999999</v>
      </c>
      <c r="J656">
        <v>-332.36160000000001</v>
      </c>
      <c r="K656">
        <v>1.1205510000000001</v>
      </c>
      <c r="L656">
        <v>367.46440000000001</v>
      </c>
      <c r="M656">
        <v>0.99985360000000001</v>
      </c>
      <c r="N656">
        <v>-1.324523E-2</v>
      </c>
      <c r="O656">
        <v>1.084018E-2</v>
      </c>
      <c r="P656">
        <v>0.99661460000000002</v>
      </c>
      <c r="Q656">
        <v>-8.1702949999999996E-2</v>
      </c>
      <c r="R656">
        <v>-9.1934010000000004E-3</v>
      </c>
      <c r="S656">
        <v>2.9986570000000001</v>
      </c>
      <c r="T656">
        <v>-0.1081587</v>
      </c>
      <c r="U656">
        <v>-0.28866579999999997</v>
      </c>
      <c r="V656">
        <v>1.999447E-2</v>
      </c>
      <c r="W656">
        <v>-6.8498249999999997E-2</v>
      </c>
      <c r="X656">
        <v>0.99745079999999997</v>
      </c>
      <c r="Y656">
        <v>0.1065108</v>
      </c>
      <c r="Z656">
        <v>-2.8699749999999999E-3</v>
      </c>
      <c r="AA656">
        <v>0.99430739999999995</v>
      </c>
      <c r="AB656">
        <v>33</v>
      </c>
      <c r="AC656">
        <v>32.290599999999998</v>
      </c>
      <c r="AD656">
        <v>-1.1705509999999999</v>
      </c>
      <c r="AE656">
        <v>-3.1258000000000199</v>
      </c>
      <c r="AF656">
        <v>3.4711637927030701</v>
      </c>
      <c r="AG656">
        <v>-1.1705509999999999</v>
      </c>
      <c r="AH656">
        <v>32.212877221913097</v>
      </c>
      <c r="AI656">
        <v>92.0691296617169</v>
      </c>
      <c r="AJ656">
        <v>83.849708889523598</v>
      </c>
      <c r="AK656">
        <v>32.420497013979002</v>
      </c>
      <c r="AL656">
        <v>93.927736439873598</v>
      </c>
      <c r="AM656">
        <v>88.851627229910306</v>
      </c>
      <c r="AN656">
        <v>0.99999994375213996</v>
      </c>
    </row>
    <row r="657" spans="1:40" x14ac:dyDescent="0.25">
      <c r="A657" t="str">
        <f>"20190303154743897"</f>
        <v>20190303154743897</v>
      </c>
      <c r="B657" t="str">
        <f>"1551599263891433"</f>
        <v>1551599263891433</v>
      </c>
      <c r="C657" t="s">
        <v>40</v>
      </c>
      <c r="D657">
        <v>4.8647640000000001</v>
      </c>
      <c r="E657">
        <v>0.51001359999999996</v>
      </c>
      <c r="F657" t="s">
        <v>43</v>
      </c>
      <c r="G657">
        <v>-298.29689999999999</v>
      </c>
      <c r="H657">
        <v>-0.05</v>
      </c>
      <c r="I657">
        <v>365.88420000000002</v>
      </c>
      <c r="J657">
        <v>-332.1995</v>
      </c>
      <c r="K657">
        <v>1.1205529999999999</v>
      </c>
      <c r="L657">
        <v>367.46620000000001</v>
      </c>
      <c r="M657">
        <v>0.99985440000000003</v>
      </c>
      <c r="N657">
        <v>-1.3181460000000001E-2</v>
      </c>
      <c r="O657">
        <v>1.0840249999999999E-2</v>
      </c>
      <c r="P657">
        <v>0.99662790000000001</v>
      </c>
      <c r="Q657">
        <v>-8.1582269999999998E-2</v>
      </c>
      <c r="R657">
        <v>-8.8194940000000006E-3</v>
      </c>
      <c r="S657">
        <v>3.0004879999999998</v>
      </c>
      <c r="T657">
        <v>-0.1031046</v>
      </c>
      <c r="U657">
        <v>-0.1391907</v>
      </c>
      <c r="V657">
        <v>1.9621039999999999E-2</v>
      </c>
      <c r="W657">
        <v>-6.844095E-2</v>
      </c>
      <c r="X657">
        <v>0.99746219999999997</v>
      </c>
      <c r="Y657">
        <v>5.7117319999999999E-2</v>
      </c>
      <c r="Z657">
        <v>-1.5867710000000001E-3</v>
      </c>
      <c r="AA657">
        <v>0.99836619999999998</v>
      </c>
      <c r="AB657">
        <v>33</v>
      </c>
      <c r="AC657">
        <v>33.9026</v>
      </c>
      <c r="AD657">
        <v>-1.170553</v>
      </c>
      <c r="AE657">
        <v>-1.5819999999999901</v>
      </c>
      <c r="AF657">
        <v>1.9471354508723799</v>
      </c>
      <c r="AG657">
        <v>-1.170553</v>
      </c>
      <c r="AH657">
        <v>33.843199723415502</v>
      </c>
      <c r="AI657">
        <v>91.977662463367693</v>
      </c>
      <c r="AJ657">
        <v>86.707173334236302</v>
      </c>
      <c r="AK657">
        <v>33.919370547061199</v>
      </c>
      <c r="AL657">
        <v>93.9244454687379</v>
      </c>
      <c r="AM657">
        <v>88.873082295123098</v>
      </c>
      <c r="AN657">
        <v>0.99999999463821199</v>
      </c>
    </row>
    <row r="658" spans="1:40" x14ac:dyDescent="0.25">
      <c r="A658" t="str">
        <f>"20190303154743909"</f>
        <v>20190303154743909</v>
      </c>
      <c r="B658" t="str">
        <f>"1551599263901193"</f>
        <v>1551599263901193</v>
      </c>
      <c r="C658" t="s">
        <v>40</v>
      </c>
      <c r="D658">
        <v>4.8924880000000002</v>
      </c>
      <c r="E658">
        <v>0.50816329999999998</v>
      </c>
      <c r="F658" t="s">
        <v>43</v>
      </c>
      <c r="G658">
        <v>-294.10610000000003</v>
      </c>
      <c r="H658">
        <v>-0.05</v>
      </c>
      <c r="I658">
        <v>366.09089999999998</v>
      </c>
      <c r="J658">
        <v>-332.01679999999999</v>
      </c>
      <c r="K658">
        <v>1.120547</v>
      </c>
      <c r="L658">
        <v>367.46820000000002</v>
      </c>
      <c r="M658">
        <v>0.99985520000000006</v>
      </c>
      <c r="N658">
        <v>-1.3118390000000001E-2</v>
      </c>
      <c r="O658">
        <v>1.0840839999999999E-2</v>
      </c>
      <c r="P658">
        <v>0.99666900000000003</v>
      </c>
      <c r="Q658">
        <v>-8.1091699999999906E-2</v>
      </c>
      <c r="R658">
        <v>-8.6697040000000003E-3</v>
      </c>
      <c r="S658">
        <v>3.0016479999999999</v>
      </c>
      <c r="T658">
        <v>-9.2236040000000005E-2</v>
      </c>
      <c r="U658">
        <v>-0.1083679</v>
      </c>
      <c r="V658">
        <v>1.947225E-2</v>
      </c>
      <c r="W658">
        <v>-6.801277E-2</v>
      </c>
      <c r="X658">
        <v>0.9974944</v>
      </c>
      <c r="Y658">
        <v>4.6878669999999997E-2</v>
      </c>
      <c r="Z658">
        <v>-1.2183509999999999E-3</v>
      </c>
      <c r="AA658">
        <v>0.99889989999999995</v>
      </c>
      <c r="AB658">
        <v>33</v>
      </c>
      <c r="AC658">
        <v>37.910699999999899</v>
      </c>
      <c r="AD658">
        <v>-1.170547</v>
      </c>
      <c r="AE658">
        <v>-1.3773000000000399</v>
      </c>
      <c r="AF658">
        <v>1.7865372873577401</v>
      </c>
      <c r="AG658">
        <v>-1.170547</v>
      </c>
      <c r="AH658">
        <v>37.857495458817603</v>
      </c>
      <c r="AI658">
        <v>91.769043550601197</v>
      </c>
      <c r="AJ658">
        <v>87.298152965770598</v>
      </c>
      <c r="AK658">
        <v>37.917698482011303</v>
      </c>
      <c r="AL658">
        <v>93.899855273662894</v>
      </c>
      <c r="AM658">
        <v>88.881661836131599</v>
      </c>
      <c r="AN658">
        <v>0.99999999171724696</v>
      </c>
    </row>
    <row r="659" spans="1:40" x14ac:dyDescent="0.25">
      <c r="A659" t="str">
        <f>"20190303154743919"</f>
        <v>20190303154743919</v>
      </c>
      <c r="B659" t="str">
        <f>"1551599263911444"</f>
        <v>1551599263911444</v>
      </c>
      <c r="C659" t="s">
        <v>40</v>
      </c>
      <c r="D659">
        <v>4.9060090000000001</v>
      </c>
      <c r="E659">
        <v>0.50726990000000005</v>
      </c>
      <c r="F659" t="s">
        <v>43</v>
      </c>
      <c r="G659">
        <v>-291.07350000000002</v>
      </c>
      <c r="H659">
        <v>-0.05</v>
      </c>
      <c r="I659">
        <v>366.19589999999999</v>
      </c>
      <c r="J659">
        <v>-331.8603</v>
      </c>
      <c r="K659">
        <v>1.120547</v>
      </c>
      <c r="L659">
        <v>367.4699</v>
      </c>
      <c r="M659">
        <v>0.99985599999999997</v>
      </c>
      <c r="N659">
        <v>-1.3067280000000001E-2</v>
      </c>
      <c r="O659">
        <v>1.0841E-2</v>
      </c>
      <c r="P659">
        <v>0.99671390000000004</v>
      </c>
      <c r="Q659">
        <v>-8.0597559999999999E-2</v>
      </c>
      <c r="R659">
        <v>-8.1202800000000006E-3</v>
      </c>
      <c r="S659">
        <v>3.0022280000000001</v>
      </c>
      <c r="T659">
        <v>-8.5832000000000006E-2</v>
      </c>
      <c r="U659">
        <v>-9.3292239999999999E-2</v>
      </c>
      <c r="V659">
        <v>1.8923479999999999E-2</v>
      </c>
      <c r="W659">
        <v>-6.7568989999999995E-2</v>
      </c>
      <c r="X659">
        <v>0.99753510000000001</v>
      </c>
      <c r="Y659">
        <v>4.1868000000000002E-2</v>
      </c>
      <c r="Z659">
        <v>-1.040128E-3</v>
      </c>
      <c r="AA659">
        <v>0.99912259999999997</v>
      </c>
      <c r="AB659">
        <v>33</v>
      </c>
      <c r="AC659">
        <v>40.7867999999999</v>
      </c>
      <c r="AD659">
        <v>-1.170547</v>
      </c>
      <c r="AE659">
        <v>-1.274</v>
      </c>
      <c r="AF659">
        <v>1.71472156815259</v>
      </c>
      <c r="AG659">
        <v>-1.170547</v>
      </c>
      <c r="AH659">
        <v>40.737070074222103</v>
      </c>
      <c r="AI659">
        <v>91.644439999601602</v>
      </c>
      <c r="AJ659">
        <v>87.589705224417798</v>
      </c>
      <c r="AK659">
        <v>40.789941512186203</v>
      </c>
      <c r="AL659">
        <v>93.874370004421806</v>
      </c>
      <c r="AM659">
        <v>88.913215680835094</v>
      </c>
      <c r="AN659">
        <v>0.99999997111846906</v>
      </c>
    </row>
    <row r="660" spans="1:40" x14ac:dyDescent="0.25">
      <c r="A660" t="str">
        <f>"20190303154743931"</f>
        <v>20190303154743931</v>
      </c>
      <c r="B660" t="str">
        <f>"1551599263921203"</f>
        <v>1551599263921203</v>
      </c>
      <c r="C660" t="s">
        <v>40</v>
      </c>
      <c r="D660">
        <v>4.8739350000000004</v>
      </c>
      <c r="E660">
        <v>0.50660459999999996</v>
      </c>
      <c r="F660" t="s">
        <v>43</v>
      </c>
      <c r="G660">
        <v>-289.24709999999999</v>
      </c>
      <c r="H660">
        <v>-0.05</v>
      </c>
      <c r="I660">
        <v>366.27229999999997</v>
      </c>
      <c r="J660">
        <v>-331.69869999999997</v>
      </c>
      <c r="K660">
        <v>1.1205480000000001</v>
      </c>
      <c r="L660">
        <v>367.47160000000002</v>
      </c>
      <c r="M660">
        <v>0.99985650000000004</v>
      </c>
      <c r="N660">
        <v>-1.302559E-2</v>
      </c>
      <c r="O660">
        <v>1.084098E-2</v>
      </c>
      <c r="P660">
        <v>0.99674700000000005</v>
      </c>
      <c r="Q660">
        <v>-8.0226480000000003E-2</v>
      </c>
      <c r="R660">
        <v>-7.7141419999999898E-3</v>
      </c>
      <c r="S660">
        <v>3.0025330000000001</v>
      </c>
      <c r="T660">
        <v>-8.2476850000000004E-2</v>
      </c>
      <c r="U660">
        <v>-8.4381100000000001E-2</v>
      </c>
      <c r="V660">
        <v>1.8517680000000002E-2</v>
      </c>
      <c r="W660">
        <v>-6.7238989999999998E-2</v>
      </c>
      <c r="X660">
        <v>0.99756500000000004</v>
      </c>
      <c r="Y660">
        <v>3.8905429999999998E-2</v>
      </c>
      <c r="Z660">
        <v>-9.4416960000000001E-4</v>
      </c>
      <c r="AA660">
        <v>0.99924239999999998</v>
      </c>
      <c r="AB660">
        <v>33</v>
      </c>
      <c r="AC660">
        <v>42.4515999999999</v>
      </c>
      <c r="AD660">
        <v>-1.1705479999999999</v>
      </c>
      <c r="AE660">
        <v>-1.19930000000005</v>
      </c>
      <c r="AF660">
        <v>1.6582256959514901</v>
      </c>
      <c r="AG660">
        <v>-1.1705479999999999</v>
      </c>
      <c r="AH660">
        <v>42.403887852248403</v>
      </c>
      <c r="AI660">
        <v>91.580026083574893</v>
      </c>
      <c r="AJ660">
        <v>87.760560355793103</v>
      </c>
      <c r="AK660">
        <v>42.452439271084103</v>
      </c>
      <c r="AL660">
        <v>93.855419349856604</v>
      </c>
      <c r="AM660">
        <v>88.936547422326996</v>
      </c>
      <c r="AN660">
        <v>0.99999995773689998</v>
      </c>
    </row>
    <row r="661" spans="1:40" x14ac:dyDescent="0.25">
      <c r="A661" t="str">
        <f>"20190303154743943"</f>
        <v>20190303154743943</v>
      </c>
      <c r="B661" t="str">
        <f>"1551599263941699"</f>
        <v>1551599263941699</v>
      </c>
      <c r="C661" t="s">
        <v>40</v>
      </c>
      <c r="D661">
        <v>4.8873689999999996</v>
      </c>
      <c r="E661">
        <v>0.50592619999999999</v>
      </c>
      <c r="F661" t="s">
        <v>43</v>
      </c>
      <c r="G661">
        <v>-287.05020000000002</v>
      </c>
      <c r="H661">
        <v>-0.05</v>
      </c>
      <c r="I661">
        <v>366.3141</v>
      </c>
      <c r="J661">
        <v>-331.51220000000001</v>
      </c>
      <c r="K661">
        <v>1.120552</v>
      </c>
      <c r="L661">
        <v>367.47359999999998</v>
      </c>
      <c r="M661">
        <v>0.99985710000000005</v>
      </c>
      <c r="N661">
        <v>-1.2981700000000001E-2</v>
      </c>
      <c r="O661">
        <v>1.084092E-2</v>
      </c>
      <c r="P661">
        <v>0.99677819999999995</v>
      </c>
      <c r="Q661">
        <v>-7.9887780000000005E-2</v>
      </c>
      <c r="R661">
        <v>-7.1688709999999899E-3</v>
      </c>
      <c r="S661">
        <v>3.002869</v>
      </c>
      <c r="T661">
        <v>-7.8726050000000006E-2</v>
      </c>
      <c r="U661">
        <v>-7.7850340000000004E-2</v>
      </c>
      <c r="V661">
        <v>1.79727999999999E-2</v>
      </c>
      <c r="W661">
        <v>-6.6943610000000001E-2</v>
      </c>
      <c r="X661">
        <v>0.99759489999999995</v>
      </c>
      <c r="Y661">
        <v>3.6733469999999997E-2</v>
      </c>
      <c r="Z661">
        <v>-8.6332330000000004E-4</v>
      </c>
      <c r="AA661">
        <v>0.99932469999999995</v>
      </c>
      <c r="AB661">
        <v>33</v>
      </c>
      <c r="AC661">
        <v>44.461999999999897</v>
      </c>
      <c r="AD661">
        <v>-1.170552</v>
      </c>
      <c r="AE661">
        <v>-1.15949999999998</v>
      </c>
      <c r="AF661">
        <v>1.6403452209255101</v>
      </c>
      <c r="AG661">
        <v>-1.170552</v>
      </c>
      <c r="AH661">
        <v>44.4160512918805</v>
      </c>
      <c r="AI661">
        <v>91.508610229047207</v>
      </c>
      <c r="AJ661">
        <v>87.884950128179796</v>
      </c>
      <c r="AK661">
        <v>44.461742394911603</v>
      </c>
      <c r="AL661">
        <v>93.838456838799402</v>
      </c>
      <c r="AM661">
        <v>88.967863414674596</v>
      </c>
      <c r="AN661">
        <v>1.0000000264828399</v>
      </c>
    </row>
    <row r="662" spans="1:40" x14ac:dyDescent="0.25">
      <c r="A662" t="str">
        <f>"20190303154743954"</f>
        <v>20190303154743954</v>
      </c>
      <c r="B662" t="str">
        <f>"1551599263951460"</f>
        <v>1551599263951460</v>
      </c>
      <c r="C662" t="s">
        <v>40</v>
      </c>
      <c r="D662">
        <v>4.9008349999999998</v>
      </c>
      <c r="E662">
        <v>0.50562200000000002</v>
      </c>
      <c r="F662" t="s">
        <v>43</v>
      </c>
      <c r="G662">
        <v>-284.2217</v>
      </c>
      <c r="H662">
        <v>-0.05</v>
      </c>
      <c r="I662">
        <v>366.35680000000002</v>
      </c>
      <c r="J662">
        <v>-331.35239999999999</v>
      </c>
      <c r="K662">
        <v>1.120555</v>
      </c>
      <c r="L662">
        <v>367.47539999999998</v>
      </c>
      <c r="M662">
        <v>0.99985729999999995</v>
      </c>
      <c r="N662">
        <v>-1.2953799999999901E-2</v>
      </c>
      <c r="O662">
        <v>1.084128E-2</v>
      </c>
      <c r="P662">
        <v>0.99683960000000005</v>
      </c>
      <c r="Q662">
        <v>-7.9166429999999996E-2</v>
      </c>
      <c r="R662">
        <v>-6.5870959999999998E-3</v>
      </c>
      <c r="S662">
        <v>3.0032350000000001</v>
      </c>
      <c r="T662">
        <v>-7.4337239999999999E-2</v>
      </c>
      <c r="U662">
        <v>-7.0922849999999996E-2</v>
      </c>
      <c r="V662">
        <v>1.7392109999999999E-2</v>
      </c>
      <c r="W662">
        <v>-6.6249260000000004E-2</v>
      </c>
      <c r="X662">
        <v>0.99765150000000002</v>
      </c>
      <c r="Y662">
        <v>3.4429880000000003E-2</v>
      </c>
      <c r="Z662">
        <v>-7.7694199999999998E-4</v>
      </c>
      <c r="AA662">
        <v>0.99940680000000004</v>
      </c>
      <c r="AB662">
        <v>33</v>
      </c>
      <c r="AC662">
        <v>47.130699999999898</v>
      </c>
      <c r="AD662">
        <v>-1.170555</v>
      </c>
      <c r="AE662">
        <v>-1.1185999999999501</v>
      </c>
      <c r="AF662">
        <v>1.62853026766114</v>
      </c>
      <c r="AG662">
        <v>-1.170555</v>
      </c>
      <c r="AH662">
        <v>47.086772789101197</v>
      </c>
      <c r="AI662">
        <v>91.423202202362404</v>
      </c>
      <c r="AJ662">
        <v>88.019173364814094</v>
      </c>
      <c r="AK662">
        <v>47.129465109771303</v>
      </c>
      <c r="AL662">
        <v>93.798585165353799</v>
      </c>
      <c r="AM662">
        <v>89.001260891614393</v>
      </c>
      <c r="AN662">
        <v>0.99999998269652401</v>
      </c>
    </row>
    <row r="663" spans="1:40" x14ac:dyDescent="0.25">
      <c r="A663" t="str">
        <f>"20190303154743965"</f>
        <v>20190303154743965</v>
      </c>
      <c r="B663" t="str">
        <f>"1551599263961220"</f>
        <v>1551599263961220</v>
      </c>
      <c r="C663" t="s">
        <v>40</v>
      </c>
      <c r="D663">
        <v>4.9580380000000002</v>
      </c>
      <c r="E663">
        <v>0.50569520000000001</v>
      </c>
      <c r="F663" t="s">
        <v>43</v>
      </c>
      <c r="G663">
        <v>-282.57100000000003</v>
      </c>
      <c r="H663">
        <v>-0.05</v>
      </c>
      <c r="I663">
        <v>366.3938</v>
      </c>
      <c r="J663">
        <v>-331.19850000000002</v>
      </c>
      <c r="K663">
        <v>1.120557</v>
      </c>
      <c r="L663">
        <v>367.47710000000001</v>
      </c>
      <c r="M663">
        <v>0.99985769999999996</v>
      </c>
      <c r="N663">
        <v>-1.293243E-2</v>
      </c>
      <c r="O663">
        <v>1.084124E-2</v>
      </c>
      <c r="P663">
        <v>0.99686030000000003</v>
      </c>
      <c r="Q663">
        <v>-7.8933390000000006E-2</v>
      </c>
      <c r="R663">
        <v>-6.2904750000000002E-3</v>
      </c>
      <c r="S663">
        <v>3.0033569999999998</v>
      </c>
      <c r="T663">
        <v>-7.206833E-2</v>
      </c>
      <c r="U663">
        <v>-6.658936E-2</v>
      </c>
      <c r="V663">
        <v>1.7095590000000001E-2</v>
      </c>
      <c r="W663">
        <v>-6.6037239999999997E-2</v>
      </c>
      <c r="X663">
        <v>0.99767070000000002</v>
      </c>
      <c r="Y663">
        <v>3.2989099999999903E-2</v>
      </c>
      <c r="Z663">
        <v>-7.2899289999999904E-4</v>
      </c>
      <c r="AA663">
        <v>0.99945550000000005</v>
      </c>
      <c r="AB663">
        <v>33</v>
      </c>
      <c r="AC663">
        <v>48.627499999999998</v>
      </c>
      <c r="AD663">
        <v>-1.1705570000000001</v>
      </c>
      <c r="AE663">
        <v>-1.0832999999999999</v>
      </c>
      <c r="AF663">
        <v>1.60953057063449</v>
      </c>
      <c r="AG663">
        <v>-1.1705570000000001</v>
      </c>
      <c r="AH663">
        <v>48.584757671574003</v>
      </c>
      <c r="AI663">
        <v>91.379408994212994</v>
      </c>
      <c r="AJ663">
        <v>88.102581984740098</v>
      </c>
      <c r="AK663">
        <v>48.625502263253097</v>
      </c>
      <c r="AL663">
        <v>93.7864105842187</v>
      </c>
      <c r="AM663">
        <v>89.018304032637303</v>
      </c>
      <c r="AN663">
        <v>1.0000000009513701</v>
      </c>
    </row>
    <row r="664" spans="1:40" x14ac:dyDescent="0.25">
      <c r="A664" t="str">
        <f>"20190303154743974"</f>
        <v>20190303154743974</v>
      </c>
      <c r="B664" t="str">
        <f>"1551599263970980"</f>
        <v>1551599263970980</v>
      </c>
      <c r="C664" t="s">
        <v>40</v>
      </c>
      <c r="D664">
        <v>4.876798</v>
      </c>
      <c r="E664">
        <v>0.50551270000000004</v>
      </c>
      <c r="F664" t="s">
        <v>43</v>
      </c>
      <c r="G664">
        <v>-281.14670000000001</v>
      </c>
      <c r="H664">
        <v>-0.05</v>
      </c>
      <c r="I664">
        <v>366.36989999999997</v>
      </c>
      <c r="J664">
        <v>-331.04140000000001</v>
      </c>
      <c r="K664">
        <v>1.120563</v>
      </c>
      <c r="L664">
        <v>367.4787</v>
      </c>
      <c r="M664">
        <v>0.99985780000000002</v>
      </c>
      <c r="N664">
        <v>-1.29184E-2</v>
      </c>
      <c r="O664">
        <v>1.084104E-2</v>
      </c>
      <c r="P664">
        <v>0.99685630000000003</v>
      </c>
      <c r="Q664">
        <v>-7.8996609999999995E-2</v>
      </c>
      <c r="R664">
        <v>-6.0689730000000001E-3</v>
      </c>
      <c r="S664">
        <v>3.0034480000000001</v>
      </c>
      <c r="T664">
        <v>-7.0241209999999998E-2</v>
      </c>
      <c r="U664">
        <v>-6.6436770000000006E-2</v>
      </c>
      <c r="V664">
        <v>1.6874150000000001E-2</v>
      </c>
      <c r="W664">
        <v>-6.6114430000000002E-2</v>
      </c>
      <c r="X664">
        <v>0.99766929999999998</v>
      </c>
      <c r="Y664">
        <v>3.2938170000000003E-2</v>
      </c>
      <c r="Z664">
        <v>-7.1134379999999997E-4</v>
      </c>
      <c r="AA664">
        <v>0.99945709999999999</v>
      </c>
      <c r="AB664">
        <v>33</v>
      </c>
      <c r="AC664">
        <v>49.8947</v>
      </c>
      <c r="AD664">
        <v>-1.170563</v>
      </c>
      <c r="AE664">
        <v>-1.10880000000003</v>
      </c>
      <c r="AF664">
        <v>1.6487833523616</v>
      </c>
      <c r="AG664">
        <v>-1.170563</v>
      </c>
      <c r="AH664">
        <v>49.8523205403147</v>
      </c>
      <c r="AI664">
        <v>91.344358018442605</v>
      </c>
      <c r="AJ664">
        <v>88.105726987899402</v>
      </c>
      <c r="AK664">
        <v>49.893311851732904</v>
      </c>
      <c r="AL664">
        <v>93.790843150064006</v>
      </c>
      <c r="AM664">
        <v>89.031016187873504</v>
      </c>
      <c r="AN664">
        <v>0.99999994347746701</v>
      </c>
    </row>
    <row r="665" spans="1:40" x14ac:dyDescent="0.25">
      <c r="A665" t="str">
        <f>"20190303154743986"</f>
        <v>20190303154743986</v>
      </c>
      <c r="B665" t="str">
        <f>"1551599263981715"</f>
        <v>1551599263981715</v>
      </c>
      <c r="C665" t="s">
        <v>40</v>
      </c>
      <c r="D665">
        <v>4.9110559999999897</v>
      </c>
      <c r="E665">
        <v>0.50544860000000003</v>
      </c>
      <c r="F665" t="s">
        <v>43</v>
      </c>
      <c r="G665">
        <v>-281.4196</v>
      </c>
      <c r="H665">
        <v>-0.05</v>
      </c>
      <c r="I665">
        <v>366.41640000000001</v>
      </c>
      <c r="J665">
        <v>-330.88580000000002</v>
      </c>
      <c r="K665">
        <v>1.120565</v>
      </c>
      <c r="L665">
        <v>367.48050000000001</v>
      </c>
      <c r="M665">
        <v>0.99985789999999997</v>
      </c>
      <c r="N665">
        <v>-1.2918600000000001E-2</v>
      </c>
      <c r="O665">
        <v>1.0840860000000001E-2</v>
      </c>
      <c r="P665">
        <v>0.99685820000000003</v>
      </c>
      <c r="Q665">
        <v>-7.8980369999999994E-2</v>
      </c>
      <c r="R665">
        <v>-6.011611E-3</v>
      </c>
      <c r="S665">
        <v>3.0034480000000001</v>
      </c>
      <c r="T665">
        <v>-7.0850490000000002E-2</v>
      </c>
      <c r="U665">
        <v>-6.4300540000000003E-2</v>
      </c>
      <c r="V665">
        <v>1.681641E-2</v>
      </c>
      <c r="W665">
        <v>-6.6097989999999995E-2</v>
      </c>
      <c r="X665">
        <v>0.99767139999999999</v>
      </c>
      <c r="Y665">
        <v>3.2227529999999997E-2</v>
      </c>
      <c r="Z665">
        <v>-7.0391129999999998E-4</v>
      </c>
      <c r="AA665">
        <v>0.99948029999999999</v>
      </c>
      <c r="AB665">
        <v>33</v>
      </c>
      <c r="AC665">
        <v>49.466200000000001</v>
      </c>
      <c r="AD665">
        <v>-1.1705649999999901</v>
      </c>
      <c r="AE665">
        <v>-1.0640999999999901</v>
      </c>
      <c r="AF665">
        <v>1.5994430536724</v>
      </c>
      <c r="AG665">
        <v>-1.1705649999999901</v>
      </c>
      <c r="AH665">
        <v>49.424092176267102</v>
      </c>
      <c r="AI665">
        <v>91.356035543799393</v>
      </c>
      <c r="AJ665">
        <v>88.146463366030304</v>
      </c>
      <c r="AK665">
        <v>49.4638183721123</v>
      </c>
      <c r="AL665">
        <v>93.7898990070628</v>
      </c>
      <c r="AM665">
        <v>89.034333261916998</v>
      </c>
      <c r="AN665">
        <v>0.99999997915264305</v>
      </c>
    </row>
    <row r="666" spans="1:40" x14ac:dyDescent="0.25">
      <c r="A666" t="str">
        <f>"20190303154743996"</f>
        <v>20190303154743996</v>
      </c>
      <c r="B666" t="str">
        <f>"1551599263991475"</f>
        <v>1551599263991475</v>
      </c>
      <c r="C666" t="s">
        <v>40</v>
      </c>
      <c r="D666">
        <v>4.9583500000000003</v>
      </c>
      <c r="E666">
        <v>0.50562829999999903</v>
      </c>
      <c r="F666" t="s">
        <v>43</v>
      </c>
      <c r="G666">
        <v>-281.54509999999999</v>
      </c>
      <c r="H666">
        <v>-0.05</v>
      </c>
      <c r="I666">
        <v>366.43869999999998</v>
      </c>
      <c r="J666">
        <v>-330.71940000000001</v>
      </c>
      <c r="K666">
        <v>1.120574</v>
      </c>
      <c r="L666">
        <v>367.48219999999998</v>
      </c>
      <c r="M666">
        <v>0.99985769999999996</v>
      </c>
      <c r="N666">
        <v>-1.293238E-2</v>
      </c>
      <c r="O666">
        <v>1.084106E-2</v>
      </c>
      <c r="P666">
        <v>0.99685170000000001</v>
      </c>
      <c r="Q666">
        <v>-7.9046119999999997E-2</v>
      </c>
      <c r="R666">
        <v>-6.2039620000000004E-3</v>
      </c>
      <c r="S666">
        <v>3.003387</v>
      </c>
      <c r="T666">
        <v>-7.1252699999999905E-2</v>
      </c>
      <c r="U666">
        <v>-6.3415529999999998E-2</v>
      </c>
      <c r="V666">
        <v>1.7008949999999998E-2</v>
      </c>
      <c r="W666">
        <v>-6.6150100000000003E-2</v>
      </c>
      <c r="X666">
        <v>0.99766469999999896</v>
      </c>
      <c r="Y666">
        <v>3.193377E-2</v>
      </c>
      <c r="Z666">
        <v>-7.0222419999999995E-4</v>
      </c>
      <c r="AA666">
        <v>0.99948970000000004</v>
      </c>
      <c r="AB666">
        <v>33</v>
      </c>
      <c r="AC666">
        <v>49.174300000000002</v>
      </c>
      <c r="AD666">
        <v>-1.170574</v>
      </c>
      <c r="AE666">
        <v>-1.0434999999999901</v>
      </c>
      <c r="AF666">
        <v>1.5756922599140999</v>
      </c>
      <c r="AG666">
        <v>-1.170574</v>
      </c>
      <c r="AH666">
        <v>49.132267464851303</v>
      </c>
      <c r="AI666">
        <v>91.364110044860396</v>
      </c>
      <c r="AJ666">
        <v>88.163130086832894</v>
      </c>
      <c r="AK666">
        <v>49.171462819659098</v>
      </c>
      <c r="AL666">
        <v>93.792891171672593</v>
      </c>
      <c r="AM666">
        <v>89.023272402778503</v>
      </c>
      <c r="AN666">
        <v>0.99999999686810104</v>
      </c>
    </row>
    <row r="667" spans="1:40" x14ac:dyDescent="0.25">
      <c r="A667" t="str">
        <f>"20190303154744008"</f>
        <v>20190303154744008</v>
      </c>
      <c r="B667" t="str">
        <f>"1551599264001235"</f>
        <v>1551599264001235</v>
      </c>
      <c r="C667" t="s">
        <v>40</v>
      </c>
      <c r="D667">
        <v>4.9257460000000002</v>
      </c>
      <c r="E667">
        <v>0.50571529999999998</v>
      </c>
      <c r="F667" t="s">
        <v>43</v>
      </c>
      <c r="G667">
        <v>-281.36399999999998</v>
      </c>
      <c r="H667">
        <v>-0.05</v>
      </c>
      <c r="I667">
        <v>366.40499999999997</v>
      </c>
      <c r="J667">
        <v>-330.57130000000001</v>
      </c>
      <c r="K667">
        <v>1.120584</v>
      </c>
      <c r="L667">
        <v>367.48390000000001</v>
      </c>
      <c r="M667">
        <v>0.9998572</v>
      </c>
      <c r="N667">
        <v>-1.2964760000000001E-2</v>
      </c>
      <c r="O667">
        <v>1.084103E-2</v>
      </c>
      <c r="P667">
        <v>0.99684260000000002</v>
      </c>
      <c r="Q667">
        <v>-7.9151929999999995E-2</v>
      </c>
      <c r="R667">
        <v>-6.3207250000000001E-3</v>
      </c>
      <c r="S667">
        <v>3.0034179999999999</v>
      </c>
      <c r="T667">
        <v>-7.1232799999999999E-2</v>
      </c>
      <c r="U667">
        <v>-6.5551760000000001E-2</v>
      </c>
      <c r="V667">
        <v>1.7125540000000002E-2</v>
      </c>
      <c r="W667">
        <v>-6.6223749999999998E-2</v>
      </c>
      <c r="X667">
        <v>0.99765780000000004</v>
      </c>
      <c r="Y667">
        <v>3.2643779999999997E-2</v>
      </c>
      <c r="Z667">
        <v>-7.1522630000000001E-4</v>
      </c>
      <c r="AA667">
        <v>0.99946679999999999</v>
      </c>
      <c r="AB667">
        <v>33</v>
      </c>
      <c r="AC667">
        <v>49.207299999999897</v>
      </c>
      <c r="AD667">
        <v>-1.1705840000000001</v>
      </c>
      <c r="AE667">
        <v>-1.0789000000000299</v>
      </c>
      <c r="AF667">
        <v>1.6114277502205301</v>
      </c>
      <c r="AG667">
        <v>-1.1705840000000001</v>
      </c>
      <c r="AH667">
        <v>49.164900984034396</v>
      </c>
      <c r="AI667">
        <v>91.363185450143106</v>
      </c>
      <c r="AJ667">
        <v>88.122746777717694</v>
      </c>
      <c r="AK667">
        <v>49.205227924125502</v>
      </c>
      <c r="AL667">
        <v>93.797120352749005</v>
      </c>
      <c r="AM667">
        <v>89.016571810041199</v>
      </c>
      <c r="AN667">
        <v>0.99999997754259695</v>
      </c>
    </row>
    <row r="668" spans="1:40" x14ac:dyDescent="0.25">
      <c r="A668" t="str">
        <f>"20190303154744017"</f>
        <v>20190303154744017</v>
      </c>
      <c r="B668" t="str">
        <f>"1551599264010995"</f>
        <v>1551599264010995</v>
      </c>
      <c r="C668" t="s">
        <v>40</v>
      </c>
      <c r="D668">
        <v>4.8929859999999996</v>
      </c>
      <c r="E668">
        <v>0.50578619999999996</v>
      </c>
      <c r="F668" t="s">
        <v>43</v>
      </c>
      <c r="G668">
        <v>-281.75409999999999</v>
      </c>
      <c r="H668">
        <v>-0.05</v>
      </c>
      <c r="I668">
        <v>366.4</v>
      </c>
      <c r="J668">
        <v>-330.40600000000001</v>
      </c>
      <c r="K668">
        <v>1.1205959999999999</v>
      </c>
      <c r="L668">
        <v>367.48570000000001</v>
      </c>
      <c r="M668">
        <v>0.99985670000000004</v>
      </c>
      <c r="N668">
        <v>-1.3011150000000001E-2</v>
      </c>
      <c r="O668">
        <v>1.0840900000000001E-2</v>
      </c>
      <c r="P668">
        <v>0.99682219999999999</v>
      </c>
      <c r="Q668">
        <v>-7.9384239999999995E-2</v>
      </c>
      <c r="R668">
        <v>-6.6141269999999896E-3</v>
      </c>
      <c r="S668">
        <v>3.0033259999999999</v>
      </c>
      <c r="T668">
        <v>-7.20166E-2</v>
      </c>
      <c r="U668">
        <v>-6.6680909999999996E-2</v>
      </c>
      <c r="V668">
        <v>1.7418739999999999E-2</v>
      </c>
      <c r="W668">
        <v>-6.6410060000000007E-2</v>
      </c>
      <c r="X668">
        <v>0.99764039999999998</v>
      </c>
      <c r="Y668">
        <v>3.3019439999999997E-2</v>
      </c>
      <c r="Z668">
        <v>-7.2953190000000004E-4</v>
      </c>
      <c r="AA668">
        <v>0.99945439999999997</v>
      </c>
      <c r="AB668">
        <v>33</v>
      </c>
      <c r="AC668">
        <v>48.651899999999998</v>
      </c>
      <c r="AD668">
        <v>-1.170596</v>
      </c>
      <c r="AE668">
        <v>-1.0857000000000301</v>
      </c>
      <c r="AF668">
        <v>1.61217831047113</v>
      </c>
      <c r="AG668">
        <v>-1.170596</v>
      </c>
      <c r="AH668">
        <v>48.6091430292445</v>
      </c>
      <c r="AI668">
        <v>91.378761454710997</v>
      </c>
      <c r="AJ668">
        <v>88.100415674601393</v>
      </c>
      <c r="AK668">
        <v>48.6499558061209</v>
      </c>
      <c r="AL668">
        <v>93.807818449775496</v>
      </c>
      <c r="AM668">
        <v>88.999720851652299</v>
      </c>
      <c r="AN668">
        <v>1.00000003814227</v>
      </c>
    </row>
    <row r="669" spans="1:40" x14ac:dyDescent="0.25">
      <c r="A669" t="str">
        <f>"20190303154744029"</f>
        <v>20190303154744029</v>
      </c>
      <c r="B669" t="str">
        <f>"1551599264021731"</f>
        <v>1551599264021731</v>
      </c>
      <c r="C669" t="s">
        <v>40</v>
      </c>
      <c r="D669">
        <v>4.9057240000000002</v>
      </c>
      <c r="E669">
        <v>0.50583449999999996</v>
      </c>
      <c r="F669" t="s">
        <v>43</v>
      </c>
      <c r="G669">
        <v>-282.13619999999997</v>
      </c>
      <c r="H669">
        <v>-0.05</v>
      </c>
      <c r="I669">
        <v>366.39580000000001</v>
      </c>
      <c r="J669">
        <v>-330.25940000000003</v>
      </c>
      <c r="K669">
        <v>1.1206119999999999</v>
      </c>
      <c r="L669">
        <v>367.48719999999997</v>
      </c>
      <c r="M669">
        <v>0.99985590000000002</v>
      </c>
      <c r="N669">
        <v>-1.306415E-2</v>
      </c>
      <c r="O669">
        <v>1.084121E-2</v>
      </c>
      <c r="P669">
        <v>0.99680170000000001</v>
      </c>
      <c r="Q669">
        <v>-7.9637360000000004E-2</v>
      </c>
      <c r="R669">
        <v>-6.6539349999999997E-3</v>
      </c>
      <c r="S669">
        <v>3.0033259999999999</v>
      </c>
      <c r="T669">
        <v>-7.2834010000000005E-2</v>
      </c>
      <c r="U669">
        <v>-6.7810060000000005E-2</v>
      </c>
      <c r="V669">
        <v>1.7458599999999901E-2</v>
      </c>
      <c r="W669">
        <v>-6.6610580000000003E-2</v>
      </c>
      <c r="X669">
        <v>0.99762629999999997</v>
      </c>
      <c r="Y669">
        <v>3.339483E-2</v>
      </c>
      <c r="Z669">
        <v>-7.4428009999999998E-4</v>
      </c>
      <c r="AA669">
        <v>0.99944200000000005</v>
      </c>
      <c r="AB669">
        <v>33</v>
      </c>
      <c r="AC669">
        <v>48.123199999999997</v>
      </c>
      <c r="AD669">
        <v>-1.170612</v>
      </c>
      <c r="AE669">
        <v>-1.09139999999996</v>
      </c>
      <c r="AF669">
        <v>1.61214064037364</v>
      </c>
      <c r="AG669">
        <v>-1.170612</v>
      </c>
      <c r="AH669">
        <v>48.080102945433502</v>
      </c>
      <c r="AI669">
        <v>91.393928578541605</v>
      </c>
      <c r="AJ669">
        <v>88.079574373769205</v>
      </c>
      <c r="AK669">
        <v>48.121363542010798</v>
      </c>
      <c r="AL669">
        <v>93.8193330284697</v>
      </c>
      <c r="AM669">
        <v>88.997418172560302</v>
      </c>
      <c r="AN669">
        <v>1.0000000032667899</v>
      </c>
    </row>
    <row r="670" spans="1:40" x14ac:dyDescent="0.25">
      <c r="A670" t="str">
        <f>"20190303154744042"</f>
        <v>20190303154744042</v>
      </c>
      <c r="B670" t="str">
        <f>"1551599264031492"</f>
        <v>1551599264031492</v>
      </c>
      <c r="C670" t="s">
        <v>40</v>
      </c>
      <c r="D670">
        <v>5.0489850000000001</v>
      </c>
      <c r="E670">
        <v>0.50590459999999904</v>
      </c>
      <c r="F670" t="s">
        <v>43</v>
      </c>
      <c r="G670">
        <v>-283.13220000000001</v>
      </c>
      <c r="H670">
        <v>-0.05</v>
      </c>
      <c r="I670">
        <v>366.4126</v>
      </c>
      <c r="J670">
        <v>-330.06580000000002</v>
      </c>
      <c r="K670">
        <v>1.1206309999999999</v>
      </c>
      <c r="L670">
        <v>367.48930000000001</v>
      </c>
      <c r="M670">
        <v>0.99985500000000005</v>
      </c>
      <c r="N670">
        <v>-1.3138179999999999E-2</v>
      </c>
      <c r="O670">
        <v>1.0841430000000001E-2</v>
      </c>
      <c r="P670">
        <v>0.99680999999999997</v>
      </c>
      <c r="Q670">
        <v>-7.9506779999999999E-2</v>
      </c>
      <c r="R670">
        <v>-6.9879069999999998E-3</v>
      </c>
      <c r="S670">
        <v>3.0032040000000002</v>
      </c>
      <c r="T670">
        <v>-7.4597839999999999E-2</v>
      </c>
      <c r="U670">
        <v>-6.8481449999999999E-2</v>
      </c>
      <c r="V670">
        <v>1.779263E-2</v>
      </c>
      <c r="W670">
        <v>-6.6406090000000001E-2</v>
      </c>
      <c r="X670">
        <v>0.99763409999999997</v>
      </c>
      <c r="Y670">
        <v>3.3618490000000001E-2</v>
      </c>
      <c r="Z670">
        <v>-7.6515729999999905E-4</v>
      </c>
      <c r="AA670">
        <v>0.9994345</v>
      </c>
      <c r="AB670">
        <v>33</v>
      </c>
      <c r="AC670">
        <v>46.933599999999998</v>
      </c>
      <c r="AD670">
        <v>-1.170631</v>
      </c>
      <c r="AE670">
        <v>-1.07670000000001</v>
      </c>
      <c r="AF670">
        <v>1.5845226872943501</v>
      </c>
      <c r="AG670">
        <v>-1.170631</v>
      </c>
      <c r="AH670">
        <v>46.890011515992803</v>
      </c>
      <c r="AI670">
        <v>91.429303275749703</v>
      </c>
      <c r="AJ670">
        <v>88.064578654513795</v>
      </c>
      <c r="AK670">
        <v>46.931378299115003</v>
      </c>
      <c r="AL670">
        <v>93.807590353293094</v>
      </c>
      <c r="AM670">
        <v>88.978248099557305</v>
      </c>
      <c r="AN670">
        <v>1.0000000719771001</v>
      </c>
    </row>
    <row r="671" spans="1:40" x14ac:dyDescent="0.25">
      <c r="A671" t="str">
        <f>"20190303154744055"</f>
        <v>20190303154744055</v>
      </c>
      <c r="B671" t="str">
        <f>"1551599264051011"</f>
        <v>1551599264051011</v>
      </c>
      <c r="C671" t="s">
        <v>40</v>
      </c>
      <c r="D671">
        <v>4.8890269999999996</v>
      </c>
      <c r="E671">
        <v>0.50604579999999999</v>
      </c>
      <c r="F671" t="s">
        <v>43</v>
      </c>
      <c r="G671">
        <v>-283.09910000000002</v>
      </c>
      <c r="H671">
        <v>-0.05</v>
      </c>
      <c r="I671">
        <v>366.39690000000002</v>
      </c>
      <c r="J671">
        <v>-329.8537</v>
      </c>
      <c r="K671">
        <v>1.1206560000000001</v>
      </c>
      <c r="L671">
        <v>367.49160000000001</v>
      </c>
      <c r="M671">
        <v>0.99985400000000002</v>
      </c>
      <c r="N671">
        <v>-1.3222799999999899E-2</v>
      </c>
      <c r="O671">
        <v>1.0841160000000001E-2</v>
      </c>
      <c r="P671">
        <v>0.99680599999999997</v>
      </c>
      <c r="Q671">
        <v>-7.9546790000000006E-2</v>
      </c>
      <c r="R671">
        <v>-7.1095139999999999E-3</v>
      </c>
      <c r="S671">
        <v>3.0031430000000001</v>
      </c>
      <c r="T671">
        <v>-7.4852470000000004E-2</v>
      </c>
      <c r="U671">
        <v>-6.9854739999999999E-2</v>
      </c>
      <c r="V671">
        <v>1.7914039999999999E-2</v>
      </c>
      <c r="W671">
        <v>-6.6361719999999999E-2</v>
      </c>
      <c r="X671">
        <v>0.99763480000000004</v>
      </c>
      <c r="Y671">
        <v>3.4075130000000002E-2</v>
      </c>
      <c r="Z671">
        <v>-7.7672549999999998E-4</v>
      </c>
      <c r="AA671">
        <v>0.99941899999999995</v>
      </c>
      <c r="AB671">
        <v>33</v>
      </c>
      <c r="AC671">
        <v>46.754599999999897</v>
      </c>
      <c r="AD671">
        <v>-1.1706559999999999</v>
      </c>
      <c r="AE671">
        <v>-1.09469999999998</v>
      </c>
      <c r="AF671">
        <v>1.6005511105325301</v>
      </c>
      <c r="AG671">
        <v>-1.1706559999999999</v>
      </c>
      <c r="AH671">
        <v>46.710715348154302</v>
      </c>
      <c r="AI671">
        <v>91.434794856317595</v>
      </c>
      <c r="AJ671">
        <v>88.037517562808105</v>
      </c>
      <c r="AK671">
        <v>46.752787378551702</v>
      </c>
      <c r="AL671">
        <v>93.805042822700102</v>
      </c>
      <c r="AM671">
        <v>88.971278276091894</v>
      </c>
      <c r="AN671">
        <v>0.99999999244075999</v>
      </c>
    </row>
    <row r="672" spans="1:40" x14ac:dyDescent="0.25">
      <c r="A672" t="str">
        <f>"20190303154744074"</f>
        <v>20190303154744074</v>
      </c>
      <c r="B672" t="str">
        <f>"1551599264071508"</f>
        <v>1551599264071508</v>
      </c>
      <c r="C672" t="s">
        <v>40</v>
      </c>
      <c r="D672">
        <v>4.8901000000000003</v>
      </c>
      <c r="E672">
        <v>0.50605519999999904</v>
      </c>
      <c r="F672" t="s">
        <v>43</v>
      </c>
      <c r="G672">
        <v>-282.98829999999998</v>
      </c>
      <c r="H672">
        <v>-0.05</v>
      </c>
      <c r="I672">
        <v>366.37529999999998</v>
      </c>
      <c r="J672">
        <v>-329.59570000000002</v>
      </c>
      <c r="K672">
        <v>1.1206780000000001</v>
      </c>
      <c r="L672">
        <v>367.49439999999998</v>
      </c>
      <c r="M672">
        <v>0.99985250000000003</v>
      </c>
      <c r="N672">
        <v>-1.332347E-2</v>
      </c>
      <c r="O672">
        <v>1.0841140000000001E-2</v>
      </c>
      <c r="P672">
        <v>0.99681629999999999</v>
      </c>
      <c r="Q672">
        <v>-7.9354199999999903E-2</v>
      </c>
      <c r="R672">
        <v>-7.7725919999999896E-3</v>
      </c>
      <c r="S672">
        <v>3.0031129999999999</v>
      </c>
      <c r="T672">
        <v>-7.5014949999999997E-2</v>
      </c>
      <c r="U672">
        <v>-7.1533200000000005E-2</v>
      </c>
      <c r="V672">
        <v>1.857723E-2</v>
      </c>
      <c r="W672">
        <v>-6.6068699999999994E-2</v>
      </c>
      <c r="X672">
        <v>0.99764209999999998</v>
      </c>
      <c r="Y672">
        <v>3.4633270000000001E-2</v>
      </c>
      <c r="Z672">
        <v>-7.8955149999999897E-4</v>
      </c>
      <c r="AA672">
        <v>0.99939979999999995</v>
      </c>
      <c r="AB672">
        <v>33</v>
      </c>
      <c r="AC672">
        <v>46.607399999999998</v>
      </c>
      <c r="AD672">
        <v>-1.1706780000000001</v>
      </c>
      <c r="AE672">
        <v>-1.1191</v>
      </c>
      <c r="AF672">
        <v>1.6233328254458199</v>
      </c>
      <c r="AG672">
        <v>-1.1706780000000001</v>
      </c>
      <c r="AH672">
        <v>46.563167057496997</v>
      </c>
      <c r="AI672">
        <v>91.439336834940704</v>
      </c>
      <c r="AJ672">
        <v>88.003304531661698</v>
      </c>
      <c r="AK672">
        <v>46.606160782306702</v>
      </c>
      <c r="AL672">
        <v>93.788217160055694</v>
      </c>
      <c r="AM672">
        <v>88.933210743359297</v>
      </c>
      <c r="AN672">
        <v>0.99999997314328604</v>
      </c>
    </row>
    <row r="673" spans="1:40" x14ac:dyDescent="0.25">
      <c r="A673" t="str">
        <f>"20190303154744086"</f>
        <v>20190303154744086</v>
      </c>
      <c r="B673" t="str">
        <f>"1551599264081267"</f>
        <v>1551599264081267</v>
      </c>
      <c r="C673" t="s">
        <v>40</v>
      </c>
      <c r="D673">
        <v>4.9190339999999999</v>
      </c>
      <c r="E673">
        <v>0.50602990000000003</v>
      </c>
      <c r="F673" t="s">
        <v>43</v>
      </c>
      <c r="G673">
        <v>-282.10019999999997</v>
      </c>
      <c r="H673">
        <v>-0.05</v>
      </c>
      <c r="I673">
        <v>366.33120000000002</v>
      </c>
      <c r="J673">
        <v>-329.41489999999999</v>
      </c>
      <c r="K673">
        <v>1.12069</v>
      </c>
      <c r="L673">
        <v>367.49639999999999</v>
      </c>
      <c r="M673">
        <v>0.99985159999999995</v>
      </c>
      <c r="N673">
        <v>-1.339226E-2</v>
      </c>
      <c r="O673">
        <v>1.0841389999999999E-2</v>
      </c>
      <c r="P673">
        <v>0.99681310000000001</v>
      </c>
      <c r="Q673">
        <v>-7.9363719999999999E-2</v>
      </c>
      <c r="R673">
        <v>-8.0954789999999992E-3</v>
      </c>
      <c r="S673">
        <v>3.0031129999999999</v>
      </c>
      <c r="T673">
        <v>-7.4021340000000005E-2</v>
      </c>
      <c r="U673">
        <v>-7.3547360000000006E-2</v>
      </c>
      <c r="V673">
        <v>1.890033E-2</v>
      </c>
      <c r="W673">
        <v>-6.6009670000000006E-2</v>
      </c>
      <c r="X673">
        <v>0.99763999999999997</v>
      </c>
      <c r="Y673">
        <v>3.5303479999999998E-2</v>
      </c>
      <c r="Z673">
        <v>-7.9343320000000003E-4</v>
      </c>
      <c r="AA673">
        <v>0.9993763</v>
      </c>
      <c r="AB673">
        <v>33</v>
      </c>
      <c r="AC673">
        <v>47.314700000000002</v>
      </c>
      <c r="AD673">
        <v>-1.17069</v>
      </c>
      <c r="AE673">
        <v>-1.16519999999997</v>
      </c>
      <c r="AF673">
        <v>1.67710850326216</v>
      </c>
      <c r="AG673">
        <v>-1.17069</v>
      </c>
      <c r="AH673">
        <v>47.270364051360303</v>
      </c>
      <c r="AI673">
        <v>91.417796085250799</v>
      </c>
      <c r="AJ673">
        <v>87.968051386267902</v>
      </c>
      <c r="AK673">
        <v>47.3145910428902</v>
      </c>
      <c r="AL673">
        <v>93.784827358953095</v>
      </c>
      <c r="AM673">
        <v>88.914658984188193</v>
      </c>
      <c r="AN673">
        <v>1.0000000343038</v>
      </c>
    </row>
    <row r="674" spans="1:40" x14ac:dyDescent="0.25">
      <c r="A674" t="str">
        <f>"20190303154744096"</f>
        <v>20190303154744096</v>
      </c>
      <c r="B674" t="str">
        <f>"1551599264091028"</f>
        <v>1551599264091028</v>
      </c>
      <c r="C674" t="s">
        <v>40</v>
      </c>
      <c r="D674">
        <v>4.9229149999999997</v>
      </c>
      <c r="E674">
        <v>0.50597380000000003</v>
      </c>
      <c r="F674" t="s">
        <v>43</v>
      </c>
      <c r="G674">
        <v>-282.04500000000002</v>
      </c>
      <c r="H674">
        <v>-0.05</v>
      </c>
      <c r="I674">
        <v>366.32040000000001</v>
      </c>
      <c r="J674">
        <v>-329.24950000000001</v>
      </c>
      <c r="K674">
        <v>1.1207020000000001</v>
      </c>
      <c r="L674">
        <v>367.49810000000002</v>
      </c>
      <c r="M674">
        <v>0.99985080000000004</v>
      </c>
      <c r="N674">
        <v>-1.345379E-2</v>
      </c>
      <c r="O674">
        <v>1.084127E-2</v>
      </c>
      <c r="P674">
        <v>0.99680760000000002</v>
      </c>
      <c r="Q674">
        <v>-7.9394010000000001E-2</v>
      </c>
      <c r="R674">
        <v>-8.4562999999999895E-3</v>
      </c>
      <c r="S674">
        <v>3.003082</v>
      </c>
      <c r="T674">
        <v>-7.4217560000000002E-2</v>
      </c>
      <c r="U674">
        <v>-7.455444E-2</v>
      </c>
      <c r="V674">
        <v>1.9260989999999999E-2</v>
      </c>
      <c r="W674">
        <v>-6.5978720000000005E-2</v>
      </c>
      <c r="X674">
        <v>0.9976351</v>
      </c>
      <c r="Y674">
        <v>3.5638299999999998E-2</v>
      </c>
      <c r="Z674">
        <v>-8.0210759999999905E-4</v>
      </c>
      <c r="AA674">
        <v>0.99936440000000004</v>
      </c>
      <c r="AB674">
        <v>33</v>
      </c>
      <c r="AC674">
        <v>47.204500000000003</v>
      </c>
      <c r="AD674">
        <v>-1.1707019999999999</v>
      </c>
      <c r="AE674">
        <v>-1.17770000000001</v>
      </c>
      <c r="AF674">
        <v>1.6883959472982899</v>
      </c>
      <c r="AG674">
        <v>-1.1707019999999999</v>
      </c>
      <c r="AH674">
        <v>47.159967722895303</v>
      </c>
      <c r="AI674">
        <v>91.421111890731396</v>
      </c>
      <c r="AJ674">
        <v>87.949602868230201</v>
      </c>
      <c r="AK674">
        <v>47.204700821763304</v>
      </c>
      <c r="AL674">
        <v>93.783050367228199</v>
      </c>
      <c r="AM674">
        <v>88.893947948375299</v>
      </c>
      <c r="AN674">
        <v>0.99999998499031395</v>
      </c>
    </row>
    <row r="675" spans="1:40" x14ac:dyDescent="0.25">
      <c r="A675" t="str">
        <f>"20190303154744106"</f>
        <v>20190303154744106</v>
      </c>
      <c r="B675" t="str">
        <f>"1551599264101764"</f>
        <v>1551599264101764</v>
      </c>
      <c r="C675" t="s">
        <v>40</v>
      </c>
      <c r="D675">
        <v>5.0055610000000001</v>
      </c>
      <c r="E675">
        <v>0.50601229999999997</v>
      </c>
      <c r="F675" t="s">
        <v>43</v>
      </c>
      <c r="G675">
        <v>-281.9579</v>
      </c>
      <c r="H675">
        <v>-0.05</v>
      </c>
      <c r="I675">
        <v>366.31979999999999</v>
      </c>
      <c r="J675">
        <v>-329.11180000000002</v>
      </c>
      <c r="K675">
        <v>1.120708</v>
      </c>
      <c r="L675">
        <v>367.49970000000002</v>
      </c>
      <c r="M675">
        <v>0.99985000000000002</v>
      </c>
      <c r="N675">
        <v>-1.350321E-2</v>
      </c>
      <c r="O675">
        <v>1.0841470000000001E-2</v>
      </c>
      <c r="P675">
        <v>0.99679989999999996</v>
      </c>
      <c r="Q675">
        <v>-7.9477220000000001E-2</v>
      </c>
      <c r="R675">
        <v>-8.5702030000000002E-3</v>
      </c>
      <c r="S675">
        <v>3.003082</v>
      </c>
      <c r="T675">
        <v>-7.434106E-2</v>
      </c>
      <c r="U675">
        <v>-7.4829099999999996E-2</v>
      </c>
      <c r="V675">
        <v>1.9374880000000001E-2</v>
      </c>
      <c r="W675">
        <v>-6.6012760000000004E-2</v>
      </c>
      <c r="X675">
        <v>0.99763069999999998</v>
      </c>
      <c r="Y675">
        <v>3.5729740000000003E-2</v>
      </c>
      <c r="Z675">
        <v>-8.0538219999999995E-4</v>
      </c>
      <c r="AA675">
        <v>0.99936119999999995</v>
      </c>
      <c r="AB675">
        <v>33</v>
      </c>
      <c r="AC675">
        <v>47.1539</v>
      </c>
      <c r="AD675">
        <v>-1.1707080000000001</v>
      </c>
      <c r="AE675">
        <v>-1.1799000000000299</v>
      </c>
      <c r="AF675">
        <v>1.69005378033001</v>
      </c>
      <c r="AG675">
        <v>-1.1707080000000001</v>
      </c>
      <c r="AH675">
        <v>47.109315254658597</v>
      </c>
      <c r="AI675">
        <v>91.422642796407104</v>
      </c>
      <c r="AJ675">
        <v>87.945386425132497</v>
      </c>
      <c r="AK675">
        <v>47.154155943718102</v>
      </c>
      <c r="AL675">
        <v>93.785004760654701</v>
      </c>
      <c r="AM675">
        <v>88.887404609335604</v>
      </c>
      <c r="AN675">
        <v>1.00000004202016</v>
      </c>
    </row>
    <row r="676" spans="1:40" x14ac:dyDescent="0.25">
      <c r="A676" t="str">
        <f>"20190303154744118"</f>
        <v>20190303154744118</v>
      </c>
      <c r="B676" t="str">
        <f>"1551599264111524"</f>
        <v>1551599264111524</v>
      </c>
      <c r="C676" t="s">
        <v>40</v>
      </c>
      <c r="D676">
        <v>4.9653640000000001</v>
      </c>
      <c r="E676">
        <v>0.50594289999999997</v>
      </c>
      <c r="F676" t="s">
        <v>43</v>
      </c>
      <c r="G676">
        <v>-281.99360000000001</v>
      </c>
      <c r="H676">
        <v>-0.05</v>
      </c>
      <c r="I676">
        <v>366.31270000000001</v>
      </c>
      <c r="J676">
        <v>-328.94479999999999</v>
      </c>
      <c r="K676">
        <v>1.120716</v>
      </c>
      <c r="L676">
        <v>367.50139999999999</v>
      </c>
      <c r="M676">
        <v>0.99984930000000005</v>
      </c>
      <c r="N676">
        <v>-1.3562070000000001E-2</v>
      </c>
      <c r="O676">
        <v>1.0841369999999999E-2</v>
      </c>
      <c r="P676">
        <v>0.99681739999999996</v>
      </c>
      <c r="Q676">
        <v>-7.9237849999999999E-2</v>
      </c>
      <c r="R676">
        <v>-8.7554009999999995E-3</v>
      </c>
      <c r="S676">
        <v>3.0030209999999999</v>
      </c>
      <c r="T676">
        <v>-7.4613570000000004E-2</v>
      </c>
      <c r="U676">
        <v>-7.5653079999999998E-2</v>
      </c>
      <c r="V676">
        <v>1.9560339999999999E-2</v>
      </c>
      <c r="W676">
        <v>-6.5714469999999997E-2</v>
      </c>
      <c r="X676">
        <v>0.9976467</v>
      </c>
      <c r="Y676">
        <v>3.600391E-2</v>
      </c>
      <c r="Z676">
        <v>-8.1367729999999995E-4</v>
      </c>
      <c r="AA676">
        <v>0.99935130000000005</v>
      </c>
      <c r="AB676">
        <v>33</v>
      </c>
      <c r="AC676">
        <v>46.951199999999901</v>
      </c>
      <c r="AD676">
        <v>-1.1707160000000001</v>
      </c>
      <c r="AE676">
        <v>-1.1886999999999801</v>
      </c>
      <c r="AF676">
        <v>1.6966380605653399</v>
      </c>
      <c r="AG676">
        <v>-1.1707160000000001</v>
      </c>
      <c r="AH676">
        <v>46.906406909873603</v>
      </c>
      <c r="AI676">
        <v>91.428788910883199</v>
      </c>
      <c r="AJ676">
        <v>87.928474043206194</v>
      </c>
      <c r="AK676">
        <v>46.951679052573397</v>
      </c>
      <c r="AL676">
        <v>93.767877090586197</v>
      </c>
      <c r="AM676">
        <v>88.876775361976101</v>
      </c>
      <c r="AN676">
        <v>0.99999996824459203</v>
      </c>
    </row>
    <row r="677" spans="1:40" x14ac:dyDescent="0.25">
      <c r="A677" t="str">
        <f>"20190303154744130"</f>
        <v>20190303154744130</v>
      </c>
      <c r="B677" t="str">
        <f>"1551599264121284"</f>
        <v>1551599264121284</v>
      </c>
      <c r="C677" t="s">
        <v>40</v>
      </c>
      <c r="D677">
        <v>5.0357859999999999</v>
      </c>
      <c r="E677">
        <v>0.50599539999999998</v>
      </c>
      <c r="F677" t="s">
        <v>43</v>
      </c>
      <c r="G677">
        <v>-281.3528</v>
      </c>
      <c r="H677">
        <v>-0.05</v>
      </c>
      <c r="I677">
        <v>366.29860000000002</v>
      </c>
      <c r="J677">
        <v>-328.77710000000002</v>
      </c>
      <c r="K677">
        <v>1.1207240000000001</v>
      </c>
      <c r="L677">
        <v>367.50330000000002</v>
      </c>
      <c r="M677">
        <v>0.99984859999999998</v>
      </c>
      <c r="N677">
        <v>-1.361798E-2</v>
      </c>
      <c r="O677">
        <v>1.084152E-2</v>
      </c>
      <c r="P677">
        <v>0.9968361</v>
      </c>
      <c r="Q677">
        <v>-7.8974550000000004E-2</v>
      </c>
      <c r="R677">
        <v>-9.0168360000000003E-3</v>
      </c>
      <c r="S677">
        <v>3.003082</v>
      </c>
      <c r="T677">
        <v>-7.3872800000000002E-2</v>
      </c>
      <c r="U677">
        <v>-7.5897220000000001E-2</v>
      </c>
      <c r="V677">
        <v>1.9821890000000002E-2</v>
      </c>
      <c r="W677">
        <v>-6.5395200000000001E-2</v>
      </c>
      <c r="X677">
        <v>0.99766250000000001</v>
      </c>
      <c r="Y677">
        <v>3.6085010000000001E-2</v>
      </c>
      <c r="Z677">
        <v>-8.0850319999999998E-4</v>
      </c>
      <c r="AA677">
        <v>0.99934840000000003</v>
      </c>
      <c r="AB677">
        <v>33</v>
      </c>
      <c r="AC677">
        <v>47.424300000000002</v>
      </c>
      <c r="AD677">
        <v>-1.1707239999999901</v>
      </c>
      <c r="AE677">
        <v>-1.2047000000000001</v>
      </c>
      <c r="AF677">
        <v>1.7177821565518101</v>
      </c>
      <c r="AG677">
        <v>-1.1707239999999901</v>
      </c>
      <c r="AH677">
        <v>47.379595500331597</v>
      </c>
      <c r="AI677">
        <v>91.414530478460904</v>
      </c>
      <c r="AJ677">
        <v>87.923608755067505</v>
      </c>
      <c r="AK677">
        <v>47.4251772795484</v>
      </c>
      <c r="AL677">
        <v>93.749544895232404</v>
      </c>
      <c r="AM677">
        <v>88.861778172949897</v>
      </c>
      <c r="AN677">
        <v>0.99999995170622902</v>
      </c>
    </row>
    <row r="678" spans="1:40" x14ac:dyDescent="0.25">
      <c r="A678" t="str">
        <f>"20190303154744140"</f>
        <v>20190303154744140</v>
      </c>
      <c r="B678" t="str">
        <f>"1551599264131043"</f>
        <v>1551599264131043</v>
      </c>
      <c r="C678" t="s">
        <v>40</v>
      </c>
      <c r="D678">
        <v>4.9735139999999998</v>
      </c>
      <c r="E678">
        <v>0.50596030000000003</v>
      </c>
      <c r="F678" t="s">
        <v>43</v>
      </c>
      <c r="G678">
        <v>-280.47879999999998</v>
      </c>
      <c r="H678">
        <v>-0.05</v>
      </c>
      <c r="I678">
        <v>366.26929999999999</v>
      </c>
      <c r="J678">
        <v>-328.61430000000001</v>
      </c>
      <c r="K678">
        <v>1.1207309999999999</v>
      </c>
      <c r="L678">
        <v>367.50510000000003</v>
      </c>
      <c r="M678">
        <v>0.99984790000000001</v>
      </c>
      <c r="N678">
        <v>-1.36714E-2</v>
      </c>
      <c r="O678">
        <v>1.0841450000000001E-2</v>
      </c>
      <c r="P678">
        <v>0.99687230000000004</v>
      </c>
      <c r="Q678">
        <v>-7.8499689999999997E-2</v>
      </c>
      <c r="R678">
        <v>-9.1464360000000008E-3</v>
      </c>
      <c r="S678">
        <v>3.0030209999999999</v>
      </c>
      <c r="T678">
        <v>-7.2791579999999995E-2</v>
      </c>
      <c r="U678">
        <v>-7.6721189999999995E-2</v>
      </c>
      <c r="V678">
        <v>1.9952129999999998E-2</v>
      </c>
      <c r="W678">
        <v>-6.4866610000000005E-2</v>
      </c>
      <c r="X678">
        <v>0.99769439999999998</v>
      </c>
      <c r="Y678">
        <v>3.6359780000000001E-2</v>
      </c>
      <c r="Z678">
        <v>-8.037141E-4</v>
      </c>
      <c r="AA678">
        <v>0.99933839999999996</v>
      </c>
      <c r="AB678">
        <v>33</v>
      </c>
      <c r="AC678">
        <v>48.1355</v>
      </c>
      <c r="AD678">
        <v>-1.170731</v>
      </c>
      <c r="AE678">
        <v>-1.23580000000004</v>
      </c>
      <c r="AF678">
        <v>1.7565962707924201</v>
      </c>
      <c r="AG678">
        <v>-1.170731</v>
      </c>
      <c r="AH678">
        <v>48.090842559422398</v>
      </c>
      <c r="AI678">
        <v>91.3936129849872</v>
      </c>
      <c r="AJ678">
        <v>87.908108429360695</v>
      </c>
      <c r="AK678">
        <v>48.137151760444603</v>
      </c>
      <c r="AL678">
        <v>93.719194518028203</v>
      </c>
      <c r="AM678">
        <v>88.854338080211903</v>
      </c>
      <c r="AN678">
        <v>0.99999994018789196</v>
      </c>
    </row>
    <row r="679" spans="1:40" x14ac:dyDescent="0.25">
      <c r="A679" t="str">
        <f>"20190303154744152"</f>
        <v>20190303154744152</v>
      </c>
      <c r="B679" t="str">
        <f>"1551599264141779"</f>
        <v>1551599264141779</v>
      </c>
      <c r="C679" t="s">
        <v>40</v>
      </c>
      <c r="D679">
        <v>4.9625180000000002</v>
      </c>
      <c r="E679">
        <v>0.50591269999999999</v>
      </c>
      <c r="F679" t="s">
        <v>43</v>
      </c>
      <c r="G679">
        <v>-279.27600000000001</v>
      </c>
      <c r="H679">
        <v>-0.05</v>
      </c>
      <c r="I679">
        <v>366.23750000000001</v>
      </c>
      <c r="J679">
        <v>-328.44729999999998</v>
      </c>
      <c r="K679">
        <v>1.1207419999999999</v>
      </c>
      <c r="L679">
        <v>367.50689999999997</v>
      </c>
      <c r="M679">
        <v>0.99984709999999999</v>
      </c>
      <c r="N679">
        <v>-1.3721580000000001E-2</v>
      </c>
      <c r="O679">
        <v>1.084163E-2</v>
      </c>
      <c r="P679">
        <v>0.99693600000000004</v>
      </c>
      <c r="Q679">
        <v>-7.7679890000000001E-2</v>
      </c>
      <c r="R679">
        <v>-9.1929490000000006E-3</v>
      </c>
      <c r="S679">
        <v>3.003082</v>
      </c>
      <c r="T679">
        <v>-7.1259020000000006E-2</v>
      </c>
      <c r="U679">
        <v>-7.7148439999999999E-2</v>
      </c>
      <c r="V679">
        <v>1.9999599999999999E-2</v>
      </c>
      <c r="W679">
        <v>-6.3995990000000003E-2</v>
      </c>
      <c r="X679">
        <v>0.99774969999999996</v>
      </c>
      <c r="Y679">
        <v>3.6502090000000001E-2</v>
      </c>
      <c r="Z679">
        <v>-7.919305E-4</v>
      </c>
      <c r="AA679">
        <v>0.99933329999999998</v>
      </c>
      <c r="AB679">
        <v>33</v>
      </c>
      <c r="AC679">
        <v>49.171299999999903</v>
      </c>
      <c r="AD679">
        <v>-1.1707419999999999</v>
      </c>
      <c r="AE679">
        <v>-1.2693999999999599</v>
      </c>
      <c r="AF679">
        <v>1.80145205724769</v>
      </c>
      <c r="AG679">
        <v>-1.1707419999999999</v>
      </c>
      <c r="AH679">
        <v>49.126814923884901</v>
      </c>
      <c r="AI679">
        <v>91.364241790465599</v>
      </c>
      <c r="AJ679">
        <v>87.899937651482503</v>
      </c>
      <c r="AK679">
        <v>49.173771575004899</v>
      </c>
      <c r="AL679">
        <v>93.669207697123397</v>
      </c>
      <c r="AM679">
        <v>88.851676688621595</v>
      </c>
      <c r="AN679">
        <v>0.99999996729316398</v>
      </c>
    </row>
    <row r="680" spans="1:40" x14ac:dyDescent="0.25">
      <c r="A680" t="str">
        <f>"20190303154744164"</f>
        <v>20190303154744164</v>
      </c>
      <c r="B680" t="str">
        <f>"1551599264161299"</f>
        <v>1551599264161299</v>
      </c>
      <c r="C680" t="s">
        <v>40</v>
      </c>
      <c r="D680">
        <v>4.9856160000000003</v>
      </c>
      <c r="E680">
        <v>0.50585690000000005</v>
      </c>
      <c r="F680" t="s">
        <v>41</v>
      </c>
      <c r="G680">
        <v>-279.54860000000002</v>
      </c>
      <c r="H680" s="1">
        <v>-1.0333360000000001E-6</v>
      </c>
      <c r="I680">
        <v>366.25760000000002</v>
      </c>
      <c r="J680">
        <v>-328.2817</v>
      </c>
      <c r="K680">
        <v>1.120749</v>
      </c>
      <c r="L680">
        <v>367.50869999999998</v>
      </c>
      <c r="M680">
        <v>0.99984649999999997</v>
      </c>
      <c r="N680">
        <v>-1.37701E-2</v>
      </c>
      <c r="O680">
        <v>1.0841770000000001E-2</v>
      </c>
      <c r="P680">
        <v>0.99697100000000005</v>
      </c>
      <c r="Q680">
        <v>-7.7209849999999997E-2</v>
      </c>
      <c r="R680">
        <v>-9.3759459999999996E-3</v>
      </c>
      <c r="S680">
        <v>3.003174</v>
      </c>
      <c r="T680">
        <v>-6.8831680000000006E-2</v>
      </c>
      <c r="U680">
        <v>-7.6721189999999995E-2</v>
      </c>
      <c r="V680">
        <v>2.0182889999999998E-2</v>
      </c>
      <c r="W680">
        <v>-6.3477080000000005E-2</v>
      </c>
      <c r="X680">
        <v>0.99777919999999998</v>
      </c>
      <c r="Y680">
        <v>3.6360389999999999E-2</v>
      </c>
      <c r="Z680">
        <v>-7.661667E-4</v>
      </c>
      <c r="AA680">
        <v>0.99933839999999996</v>
      </c>
      <c r="AB680">
        <v>33</v>
      </c>
      <c r="AC680">
        <v>48.733099999999901</v>
      </c>
      <c r="AD680">
        <v>-1.1207500333360001</v>
      </c>
      <c r="AE680">
        <v>-1.2510999999999499</v>
      </c>
      <c r="AF680">
        <v>1.77848955192853</v>
      </c>
      <c r="AG680">
        <v>-1.1207500333360001</v>
      </c>
      <c r="AH680">
        <v>48.6909343794931</v>
      </c>
      <c r="AI680">
        <v>91.317701956394998</v>
      </c>
      <c r="AJ680">
        <v>87.908139040964599</v>
      </c>
      <c r="AK680">
        <v>48.736292395622797</v>
      </c>
      <c r="AL680">
        <v>93.639415611832305</v>
      </c>
      <c r="AM680">
        <v>88.841189778641393</v>
      </c>
      <c r="AN680">
        <v>1.00000001034335</v>
      </c>
    </row>
    <row r="681" spans="1:40" x14ac:dyDescent="0.25">
      <c r="A681" t="str">
        <f>"20190303154744175"</f>
        <v>20190303154744175</v>
      </c>
      <c r="B681" t="str">
        <f>"1551599264171060"</f>
        <v>1551599264171060</v>
      </c>
      <c r="C681" t="s">
        <v>40</v>
      </c>
      <c r="D681">
        <v>5.0013820000000004</v>
      </c>
      <c r="E681">
        <v>0.50579640000000003</v>
      </c>
      <c r="F681" t="s">
        <v>41</v>
      </c>
      <c r="G681">
        <v>-278.28359999999998</v>
      </c>
      <c r="H681" s="1">
        <v>-1.4727220000000001E-6</v>
      </c>
      <c r="I681">
        <v>366.2242</v>
      </c>
      <c r="J681">
        <v>-328.09050000000002</v>
      </c>
      <c r="K681">
        <v>1.1207560000000001</v>
      </c>
      <c r="L681">
        <v>367.51080000000002</v>
      </c>
      <c r="M681">
        <v>0.99984589999999995</v>
      </c>
      <c r="N681">
        <v>-1.382221E-2</v>
      </c>
      <c r="O681">
        <v>1.0841760000000001E-2</v>
      </c>
      <c r="P681">
        <v>0.99700480000000002</v>
      </c>
      <c r="Q681">
        <v>-7.6772350000000003E-2</v>
      </c>
      <c r="R681">
        <v>-9.3735250000000006E-3</v>
      </c>
      <c r="S681">
        <v>3.0032040000000002</v>
      </c>
      <c r="T681">
        <v>-6.731927E-2</v>
      </c>
      <c r="U681">
        <v>-7.7148439999999999E-2</v>
      </c>
      <c r="V681">
        <v>2.018085E-2</v>
      </c>
      <c r="W681">
        <v>-6.2987180000000004E-2</v>
      </c>
      <c r="X681">
        <v>0.99781030000000004</v>
      </c>
      <c r="Y681">
        <v>3.6502729999999997E-2</v>
      </c>
      <c r="Z681">
        <v>-7.5451139999999995E-4</v>
      </c>
      <c r="AA681">
        <v>0.99933329999999998</v>
      </c>
      <c r="AB681">
        <v>33</v>
      </c>
      <c r="AC681">
        <v>49.806899999999999</v>
      </c>
      <c r="AD681">
        <v>-1.12075747272199</v>
      </c>
      <c r="AE681">
        <v>-1.2866000000000199</v>
      </c>
      <c r="AF681">
        <v>1.8256465154635999</v>
      </c>
      <c r="AG681">
        <v>-1.12075747272199</v>
      </c>
      <c r="AH681">
        <v>49.764840528561002</v>
      </c>
      <c r="AI681">
        <v>91.2892772037019</v>
      </c>
      <c r="AJ681">
        <v>87.899019634061005</v>
      </c>
      <c r="AK681">
        <v>49.810926866955498</v>
      </c>
      <c r="AL681">
        <v>93.611290079665494</v>
      </c>
      <c r="AM681">
        <v>88.841342978868198</v>
      </c>
      <c r="AN681">
        <v>1.0000000231685799</v>
      </c>
    </row>
    <row r="682" spans="1:40" x14ac:dyDescent="0.25">
      <c r="A682" t="str">
        <f>"20190303154744187"</f>
        <v>20190303154744187</v>
      </c>
      <c r="B682" t="str">
        <f>"1551599264181796"</f>
        <v>1551599264181796</v>
      </c>
      <c r="C682" t="s">
        <v>40</v>
      </c>
      <c r="D682">
        <v>4.9911589999999997</v>
      </c>
      <c r="E682">
        <v>0.50573100000000004</v>
      </c>
      <c r="F682" t="s">
        <v>41</v>
      </c>
      <c r="G682">
        <v>-277.19189999999998</v>
      </c>
      <c r="H682" s="1">
        <v>-1.847058E-6</v>
      </c>
      <c r="I682">
        <v>366.21350000000001</v>
      </c>
      <c r="J682">
        <v>-327.92950000000002</v>
      </c>
      <c r="K682">
        <v>1.1207560000000001</v>
      </c>
      <c r="L682">
        <v>367.51249999999999</v>
      </c>
      <c r="M682">
        <v>0.99984510000000004</v>
      </c>
      <c r="N682">
        <v>-1.3863159999999999E-2</v>
      </c>
      <c r="O682">
        <v>1.084195E-2</v>
      </c>
      <c r="P682">
        <v>0.99703739999999996</v>
      </c>
      <c r="Q682">
        <v>-7.6362769999999996E-2</v>
      </c>
      <c r="R682">
        <v>-9.2441339999999993E-3</v>
      </c>
      <c r="S682">
        <v>3.0032040000000002</v>
      </c>
      <c r="T682">
        <v>-6.6128729999999997E-2</v>
      </c>
      <c r="U682">
        <v>-7.6538090000000003E-2</v>
      </c>
      <c r="V682">
        <v>2.0051940000000001E-2</v>
      </c>
      <c r="W682">
        <v>-6.2536309999999998E-2</v>
      </c>
      <c r="X682">
        <v>0.99784119999999998</v>
      </c>
      <c r="Y682">
        <v>3.6300480000000003E-2</v>
      </c>
      <c r="Z682">
        <v>-7.3965990000000002E-4</v>
      </c>
      <c r="AA682">
        <v>0.99934069999999997</v>
      </c>
      <c r="AB682">
        <v>33</v>
      </c>
      <c r="AC682">
        <v>50.7376</v>
      </c>
      <c r="AD682">
        <v>-1.120757847058</v>
      </c>
      <c r="AE682">
        <v>-1.29899999999997</v>
      </c>
      <c r="AF682">
        <v>1.8481698377953799</v>
      </c>
      <c r="AG682">
        <v>-1.120757847058</v>
      </c>
      <c r="AH682">
        <v>50.695812085408498</v>
      </c>
      <c r="AI682">
        <v>91.265619873758993</v>
      </c>
      <c r="AJ682">
        <v>87.912145941298107</v>
      </c>
      <c r="AK682">
        <v>50.741868244085403</v>
      </c>
      <c r="AL682">
        <v>93.585406310091102</v>
      </c>
      <c r="AM682">
        <v>88.848777820258405</v>
      </c>
      <c r="AN682">
        <v>0.99999996539180902</v>
      </c>
    </row>
    <row r="683" spans="1:40" x14ac:dyDescent="0.25">
      <c r="A683" t="str">
        <f>"20190303154744199"</f>
        <v>20190303154744199</v>
      </c>
      <c r="B683" t="str">
        <f>"1551599264191556"</f>
        <v>1551599264191556</v>
      </c>
      <c r="C683" t="s">
        <v>40</v>
      </c>
      <c r="D683">
        <v>5.0702389999999999</v>
      </c>
      <c r="E683">
        <v>0.50575289999999995</v>
      </c>
      <c r="F683" t="s">
        <v>41</v>
      </c>
      <c r="G683">
        <v>-276.22770000000003</v>
      </c>
      <c r="H683" s="1">
        <v>-2.205019E-6</v>
      </c>
      <c r="I683">
        <v>366.209</v>
      </c>
      <c r="J683">
        <v>-327.7611</v>
      </c>
      <c r="K683">
        <v>1.1207590000000001</v>
      </c>
      <c r="L683">
        <v>367.51429999999999</v>
      </c>
      <c r="M683">
        <v>0.99984450000000002</v>
      </c>
      <c r="N683">
        <v>-1.3904390000000001E-2</v>
      </c>
      <c r="O683">
        <v>1.0842020000000001E-2</v>
      </c>
      <c r="P683">
        <v>0.99703589999999997</v>
      </c>
      <c r="Q683">
        <v>-7.6399179999999997E-2</v>
      </c>
      <c r="R683">
        <v>-9.1049080000000001E-3</v>
      </c>
      <c r="S683">
        <v>3.0032040000000002</v>
      </c>
      <c r="T683">
        <v>-6.5101389999999995E-2</v>
      </c>
      <c r="U683">
        <v>-7.5714110000000001E-2</v>
      </c>
      <c r="V683">
        <v>1.9912800000000001E-2</v>
      </c>
      <c r="W683">
        <v>-6.2531550000000005E-2</v>
      </c>
      <c r="X683">
        <v>0.99784430000000002</v>
      </c>
      <c r="Y683">
        <v>3.6027040000000003E-2</v>
      </c>
      <c r="Z683">
        <v>-7.251836E-4</v>
      </c>
      <c r="AA683">
        <v>0.99935050000000003</v>
      </c>
      <c r="AB683">
        <v>33</v>
      </c>
      <c r="AC683">
        <v>51.533399999999901</v>
      </c>
      <c r="AD683">
        <v>-1.1207612050189999</v>
      </c>
      <c r="AE683">
        <v>-1.3052999999999799</v>
      </c>
      <c r="AF683">
        <v>1.86312279519841</v>
      </c>
      <c r="AG683">
        <v>-1.1207612050189999</v>
      </c>
      <c r="AH683">
        <v>51.491877668622301</v>
      </c>
      <c r="AI683">
        <v>91.246075656418697</v>
      </c>
      <c r="AJ683">
        <v>87.927779505666507</v>
      </c>
      <c r="AK683">
        <v>51.5377608949887</v>
      </c>
      <c r="AL683">
        <v>93.585132992412994</v>
      </c>
      <c r="AM683">
        <v>88.856767550575398</v>
      </c>
      <c r="AN683">
        <v>0.99999998069586604</v>
      </c>
    </row>
    <row r="684" spans="1:40" x14ac:dyDescent="0.25">
      <c r="A684" t="str">
        <f>"20190303154744210"</f>
        <v>20190303154744210</v>
      </c>
      <c r="B684" t="str">
        <f>"1551599264201316"</f>
        <v>1551599264201316</v>
      </c>
      <c r="C684" t="s">
        <v>40</v>
      </c>
      <c r="D684">
        <v>5.0810050000000002</v>
      </c>
      <c r="E684">
        <v>0.50576259999999995</v>
      </c>
      <c r="F684" t="s">
        <v>41</v>
      </c>
      <c r="G684">
        <v>-276.51170000000002</v>
      </c>
      <c r="H684" s="1">
        <v>-2.0791050000000001E-6</v>
      </c>
      <c r="I684">
        <v>366.2321</v>
      </c>
      <c r="J684">
        <v>-327.60739999999998</v>
      </c>
      <c r="K684">
        <v>1.1207609999999999</v>
      </c>
      <c r="L684">
        <v>367.51600000000002</v>
      </c>
      <c r="M684">
        <v>0.99984410000000001</v>
      </c>
      <c r="N684">
        <v>-1.3938330000000001E-2</v>
      </c>
      <c r="O684">
        <v>1.0841959999999999E-2</v>
      </c>
      <c r="P684">
        <v>0.99703419999999998</v>
      </c>
      <c r="Q684">
        <v>-7.6422829999999997E-2</v>
      </c>
      <c r="R684">
        <v>-9.0916639999999993E-3</v>
      </c>
      <c r="S684">
        <v>3.0032040000000002</v>
      </c>
      <c r="T684">
        <v>-6.5676209999999999E-2</v>
      </c>
      <c r="U684">
        <v>-7.5134279999999998E-2</v>
      </c>
      <c r="V684">
        <v>1.989958E-2</v>
      </c>
      <c r="W684">
        <v>-6.2521370000000007E-2</v>
      </c>
      <c r="X684">
        <v>0.99784519999999999</v>
      </c>
      <c r="Y684">
        <v>3.5833999999999998E-2</v>
      </c>
      <c r="Z684">
        <v>-7.2749239999999997E-4</v>
      </c>
      <c r="AA684">
        <v>0.99935750000000001</v>
      </c>
      <c r="AB684">
        <v>33</v>
      </c>
      <c r="AC684">
        <v>51.095699999999901</v>
      </c>
      <c r="AD684">
        <v>-1.1207630791050001</v>
      </c>
      <c r="AE684">
        <v>-1.2838999999999501</v>
      </c>
      <c r="AF684">
        <v>1.83697260758744</v>
      </c>
      <c r="AG684">
        <v>-1.1207630791050001</v>
      </c>
      <c r="AH684">
        <v>51.054226860436003</v>
      </c>
      <c r="AI684">
        <v>91.256765194276994</v>
      </c>
      <c r="AJ684">
        <v>87.939340200982699</v>
      </c>
      <c r="AK684">
        <v>51.0995563440366</v>
      </c>
      <c r="AL684">
        <v>93.584548583656797</v>
      </c>
      <c r="AM684">
        <v>88.857527365343202</v>
      </c>
      <c r="AN684">
        <v>0.99999997907694604</v>
      </c>
    </row>
    <row r="685" spans="1:40" x14ac:dyDescent="0.25">
      <c r="A685" t="str">
        <f>"20190303154744220"</f>
        <v>20190303154744220</v>
      </c>
      <c r="B685" t="str">
        <f>"1551599264211075"</f>
        <v>1551599264211075</v>
      </c>
      <c r="C685" t="s">
        <v>40</v>
      </c>
      <c r="D685">
        <v>5.0270130000000002</v>
      </c>
      <c r="E685">
        <v>0.50570890000000002</v>
      </c>
      <c r="F685" t="s">
        <v>41</v>
      </c>
      <c r="G685">
        <v>-276.53530000000001</v>
      </c>
      <c r="H685" s="1">
        <v>-2.0680660000000001E-6</v>
      </c>
      <c r="I685">
        <v>366.23719999999997</v>
      </c>
      <c r="J685">
        <v>-327.4486</v>
      </c>
      <c r="K685">
        <v>1.1207609999999999</v>
      </c>
      <c r="L685">
        <v>367.51769999999999</v>
      </c>
      <c r="M685">
        <v>0.9998435</v>
      </c>
      <c r="N685">
        <v>-1.397283E-2</v>
      </c>
      <c r="O685">
        <v>1.0842009999999999E-2</v>
      </c>
      <c r="P685">
        <v>0.99701709999999999</v>
      </c>
      <c r="Q685">
        <v>-7.6630900000000002E-2</v>
      </c>
      <c r="R685">
        <v>-9.1918729999999997E-3</v>
      </c>
      <c r="S685">
        <v>3.003174</v>
      </c>
      <c r="T685">
        <v>-6.5903660000000003E-2</v>
      </c>
      <c r="U685">
        <v>-7.5195310000000001E-2</v>
      </c>
      <c r="V685">
        <v>1.9999699999999999E-2</v>
      </c>
      <c r="W685">
        <v>-6.2695239999999999E-2</v>
      </c>
      <c r="X685">
        <v>0.99783230000000001</v>
      </c>
      <c r="Y685">
        <v>3.5854509999999999E-2</v>
      </c>
      <c r="Z685">
        <v>-7.3028939999999999E-4</v>
      </c>
      <c r="AA685">
        <v>0.99935669999999999</v>
      </c>
      <c r="AB685">
        <v>33</v>
      </c>
      <c r="AC685">
        <v>50.9132999999999</v>
      </c>
      <c r="AD685">
        <v>-1.1207630680659999</v>
      </c>
      <c r="AE685">
        <v>-1.28050000000001</v>
      </c>
      <c r="AF685">
        <v>1.83159418365427</v>
      </c>
      <c r="AG685">
        <v>-1.1207630680659999</v>
      </c>
      <c r="AH685">
        <v>50.871786521613203</v>
      </c>
      <c r="AI685">
        <v>91.261269780598298</v>
      </c>
      <c r="AJ685">
        <v>87.938006244495398</v>
      </c>
      <c r="AK685">
        <v>50.917084667220699</v>
      </c>
      <c r="AL685">
        <v>93.594530143816897</v>
      </c>
      <c r="AM685">
        <v>88.851765981014097</v>
      </c>
      <c r="AN685">
        <v>0.99999999002101803</v>
      </c>
    </row>
    <row r="686" spans="1:40" x14ac:dyDescent="0.25">
      <c r="A686" t="str">
        <f>"20190303154744232"</f>
        <v>20190303154744232</v>
      </c>
      <c r="B686" t="str">
        <f>"1551599264221812"</f>
        <v>1551599264221812</v>
      </c>
      <c r="C686" t="s">
        <v>40</v>
      </c>
      <c r="D686">
        <v>5.0328089999999897</v>
      </c>
      <c r="E686">
        <v>0.50563499999999995</v>
      </c>
      <c r="F686" t="s">
        <v>41</v>
      </c>
      <c r="G686">
        <v>-277.14589999999998</v>
      </c>
      <c r="H686" s="1">
        <v>-1.853297E-6</v>
      </c>
      <c r="I686">
        <v>366.24889999999999</v>
      </c>
      <c r="J686">
        <v>-327.27010000000001</v>
      </c>
      <c r="K686">
        <v>1.1207609999999999</v>
      </c>
      <c r="L686">
        <v>367.51960000000003</v>
      </c>
      <c r="M686">
        <v>0.99984309999999998</v>
      </c>
      <c r="N686">
        <v>-1.400742E-2</v>
      </c>
      <c r="O686">
        <v>1.084195E-2</v>
      </c>
      <c r="P686">
        <v>0.99697910000000001</v>
      </c>
      <c r="Q686">
        <v>-7.7132129999999993E-2</v>
      </c>
      <c r="R686">
        <v>-9.1256600000000007E-3</v>
      </c>
      <c r="S686">
        <v>3.0031430000000001</v>
      </c>
      <c r="T686">
        <v>-6.6911100000000001E-2</v>
      </c>
      <c r="U686">
        <v>-7.5744629999999993E-2</v>
      </c>
      <c r="V686">
        <v>1.9933059999999999E-2</v>
      </c>
      <c r="W686">
        <v>-6.3162419999999997E-2</v>
      </c>
      <c r="X686">
        <v>0.99780420000000003</v>
      </c>
      <c r="Y686">
        <v>3.603692E-2</v>
      </c>
      <c r="Z686">
        <v>-7.4349750000000004E-4</v>
      </c>
      <c r="AA686">
        <v>0.99935019999999997</v>
      </c>
      <c r="AB686">
        <v>33</v>
      </c>
      <c r="AC686">
        <v>50.124200000000002</v>
      </c>
      <c r="AD686">
        <v>-1.120762853297</v>
      </c>
      <c r="AE686">
        <v>-1.2707000000000299</v>
      </c>
      <c r="AF686">
        <v>1.81321674851937</v>
      </c>
      <c r="AG686">
        <v>-1.120762853297</v>
      </c>
      <c r="AH686">
        <v>50.082452135895601</v>
      </c>
      <c r="AI686">
        <v>91.281132193836896</v>
      </c>
      <c r="AJ686">
        <v>87.926533021769103</v>
      </c>
      <c r="AK686">
        <v>50.127795446186497</v>
      </c>
      <c r="AL686">
        <v>93.621350636379205</v>
      </c>
      <c r="AM686">
        <v>88.855558714866405</v>
      </c>
      <c r="AN686">
        <v>1.0000000198594201</v>
      </c>
    </row>
    <row r="687" spans="1:40" x14ac:dyDescent="0.25">
      <c r="A687" t="str">
        <f>"20190303154744246"</f>
        <v>20190303154744246</v>
      </c>
      <c r="B687" t="str">
        <f>"1551599264241332"</f>
        <v>1551599264241332</v>
      </c>
      <c r="C687" t="s">
        <v>40</v>
      </c>
      <c r="D687">
        <v>5.0581620000000003</v>
      </c>
      <c r="E687">
        <v>0.50551769999999996</v>
      </c>
      <c r="F687" t="s">
        <v>41</v>
      </c>
      <c r="G687">
        <v>-278.58280000000002</v>
      </c>
      <c r="H687" s="1">
        <v>-1.3473269999999999E-6</v>
      </c>
      <c r="I687">
        <v>366.31279999999998</v>
      </c>
      <c r="J687">
        <v>-327.0822</v>
      </c>
      <c r="K687">
        <v>1.1207549999999999</v>
      </c>
      <c r="L687">
        <v>367.52170000000001</v>
      </c>
      <c r="M687">
        <v>0.99984260000000003</v>
      </c>
      <c r="N687">
        <v>-1.404211E-2</v>
      </c>
      <c r="O687">
        <v>1.0842060000000001E-2</v>
      </c>
      <c r="P687">
        <v>0.99697389999999997</v>
      </c>
      <c r="Q687">
        <v>-7.7168349999999997E-2</v>
      </c>
      <c r="R687">
        <v>-9.3804860000000004E-3</v>
      </c>
      <c r="S687">
        <v>3.0030519999999998</v>
      </c>
      <c r="T687">
        <v>-6.9128869999999995E-2</v>
      </c>
      <c r="U687">
        <v>-7.4432369999999998E-2</v>
      </c>
      <c r="V687">
        <v>2.018781E-2</v>
      </c>
      <c r="W687">
        <v>-6.3164109999999996E-2</v>
      </c>
      <c r="X687">
        <v>0.99779899999999999</v>
      </c>
      <c r="Y687">
        <v>3.5600699999999902E-2</v>
      </c>
      <c r="Z687">
        <v>-7.5699100000000004E-4</v>
      </c>
      <c r="AA687">
        <v>0.99936579999999997</v>
      </c>
      <c r="AB687">
        <v>33</v>
      </c>
      <c r="AC687">
        <v>48.499399999999902</v>
      </c>
      <c r="AD687">
        <v>-1.1207563473269999</v>
      </c>
      <c r="AE687">
        <v>-1.2089000000000201</v>
      </c>
      <c r="AF687">
        <v>1.7337889104576301</v>
      </c>
      <c r="AG687">
        <v>-1.1207563473269999</v>
      </c>
      <c r="AH687">
        <v>48.457579754122797</v>
      </c>
      <c r="AI687">
        <v>91.324088425995299</v>
      </c>
      <c r="AJ687">
        <v>87.9508586714567</v>
      </c>
      <c r="AK687">
        <v>48.501537649885599</v>
      </c>
      <c r="AL687">
        <v>93.621447556365595</v>
      </c>
      <c r="AM687">
        <v>88.840930365942796</v>
      </c>
      <c r="AN687">
        <v>1.00000004843284</v>
      </c>
    </row>
    <row r="688" spans="1:40" x14ac:dyDescent="0.25">
      <c r="A688" t="str">
        <f>"20190303154744264"</f>
        <v>20190303154744264</v>
      </c>
      <c r="B688" t="str">
        <f>"1551599264261828"</f>
        <v>1551599264261828</v>
      </c>
      <c r="C688" t="s">
        <v>40</v>
      </c>
      <c r="D688">
        <v>5.1174140000000001</v>
      </c>
      <c r="E688">
        <v>0.50551689999999905</v>
      </c>
      <c r="F688" t="s">
        <v>41</v>
      </c>
      <c r="G688">
        <v>-279.32299999999998</v>
      </c>
      <c r="H688" s="1">
        <v>-1.0877279999999999E-6</v>
      </c>
      <c r="I688">
        <v>366.3417</v>
      </c>
      <c r="J688">
        <v>-326.81979999999999</v>
      </c>
      <c r="K688">
        <v>1.1207499999999999</v>
      </c>
      <c r="L688">
        <v>367.52449999999999</v>
      </c>
      <c r="M688">
        <v>0.99984209999999996</v>
      </c>
      <c r="N688">
        <v>-1.4086110000000001E-2</v>
      </c>
      <c r="O688">
        <v>1.08421E-2</v>
      </c>
      <c r="P688">
        <v>0.99688390000000004</v>
      </c>
      <c r="Q688">
        <v>-7.8274070000000001E-2</v>
      </c>
      <c r="R688">
        <v>-9.7882730000000001E-3</v>
      </c>
      <c r="S688">
        <v>3.0029599999999999</v>
      </c>
      <c r="T688">
        <v>-7.0469740000000003E-2</v>
      </c>
      <c r="U688">
        <v>-7.4188229999999994E-2</v>
      </c>
      <c r="V688">
        <v>2.0594609999999999E-2</v>
      </c>
      <c r="W688">
        <v>-6.4227179999999995E-2</v>
      </c>
      <c r="X688">
        <v>0.99772269999999996</v>
      </c>
      <c r="Y688">
        <v>3.5519790000000002E-2</v>
      </c>
      <c r="Z688">
        <v>-7.6858370000000001E-4</v>
      </c>
      <c r="AA688">
        <v>0.9993687</v>
      </c>
      <c r="AB688">
        <v>33</v>
      </c>
      <c r="AC688">
        <v>47.4968</v>
      </c>
      <c r="AD688">
        <v>-1.12075108772799</v>
      </c>
      <c r="AE688">
        <v>-1.1827999999999801</v>
      </c>
      <c r="AF688">
        <v>1.6968023933176599</v>
      </c>
      <c r="AG688">
        <v>-1.12075108772799</v>
      </c>
      <c r="AH688">
        <v>47.454776545428203</v>
      </c>
      <c r="AI688">
        <v>91.352053256469503</v>
      </c>
      <c r="AJ688">
        <v>87.952193168145101</v>
      </c>
      <c r="AK688">
        <v>47.498326689885999</v>
      </c>
      <c r="AL688">
        <v>93.682481363264003</v>
      </c>
      <c r="AM688">
        <v>88.817490382094306</v>
      </c>
      <c r="AN688">
        <v>0.99999992735354404</v>
      </c>
    </row>
    <row r="689" spans="1:40" x14ac:dyDescent="0.25">
      <c r="A689" t="str">
        <f>"20190303154744277"</f>
        <v>20190303154744277</v>
      </c>
      <c r="B689" t="str">
        <f>"1551599264271588"</f>
        <v>1551599264271588</v>
      </c>
      <c r="C689" t="s">
        <v>40</v>
      </c>
      <c r="D689">
        <v>5.0858040000000004</v>
      </c>
      <c r="E689">
        <v>0.50550099999999998</v>
      </c>
      <c r="F689" t="s">
        <v>43</v>
      </c>
      <c r="G689">
        <v>-279.49529999999999</v>
      </c>
      <c r="H689">
        <v>-0.05</v>
      </c>
      <c r="I689">
        <v>366.33460000000002</v>
      </c>
      <c r="J689">
        <v>-326.62259999999998</v>
      </c>
      <c r="K689">
        <v>1.120749</v>
      </c>
      <c r="L689">
        <v>367.52659999999997</v>
      </c>
      <c r="M689">
        <v>0.99984170000000006</v>
      </c>
      <c r="N689">
        <v>-1.411577E-2</v>
      </c>
      <c r="O689">
        <v>1.0842009999999999E-2</v>
      </c>
      <c r="P689">
        <v>0.99684790000000001</v>
      </c>
      <c r="Q689">
        <v>-7.8713599999999995E-2</v>
      </c>
      <c r="R689">
        <v>-9.9261190000000006E-3</v>
      </c>
      <c r="S689">
        <v>3.0028079999999999</v>
      </c>
      <c r="T689">
        <v>-7.4285749999999998E-2</v>
      </c>
      <c r="U689">
        <v>-7.5500490000000003E-2</v>
      </c>
      <c r="V689">
        <v>2.0732159999999999E-2</v>
      </c>
      <c r="W689">
        <v>-6.4637620000000007E-2</v>
      </c>
      <c r="X689">
        <v>0.99769339999999995</v>
      </c>
      <c r="Y689">
        <v>3.595566E-2</v>
      </c>
      <c r="Z689">
        <v>-8.1362139999999997E-4</v>
      </c>
      <c r="AA689">
        <v>0.99935309999999999</v>
      </c>
      <c r="AB689">
        <v>32</v>
      </c>
      <c r="AC689">
        <v>47.127299999999899</v>
      </c>
      <c r="AD689">
        <v>-1.170749</v>
      </c>
      <c r="AE689">
        <v>-1.19199999999995</v>
      </c>
      <c r="AF689">
        <v>1.7018858093602101</v>
      </c>
      <c r="AG689">
        <v>-1.170749</v>
      </c>
      <c r="AH689">
        <v>47.082566640756603</v>
      </c>
      <c r="AI689">
        <v>91.423486625510805</v>
      </c>
      <c r="AJ689">
        <v>87.929840166459897</v>
      </c>
      <c r="AK689">
        <v>47.127859595046203</v>
      </c>
      <c r="AL689">
        <v>93.706046607894393</v>
      </c>
      <c r="AM689">
        <v>88.809559796388797</v>
      </c>
      <c r="AN689">
        <v>0.999999982390544</v>
      </c>
    </row>
    <row r="690" spans="1:40" x14ac:dyDescent="0.25">
      <c r="A690" t="str">
        <f>"20190303154744290"</f>
        <v>20190303154744290</v>
      </c>
      <c r="B690" t="str">
        <f>"1551599264281348"</f>
        <v>1551599264281348</v>
      </c>
      <c r="C690" t="s">
        <v>40</v>
      </c>
      <c r="D690">
        <v>5.0636359999999998</v>
      </c>
      <c r="E690">
        <v>0.5054708</v>
      </c>
      <c r="F690" t="s">
        <v>43</v>
      </c>
      <c r="G690">
        <v>-280.28730000000002</v>
      </c>
      <c r="H690">
        <v>-0.05</v>
      </c>
      <c r="I690">
        <v>366.35640000000001</v>
      </c>
      <c r="J690">
        <v>-326.45190000000002</v>
      </c>
      <c r="K690">
        <v>1.120746</v>
      </c>
      <c r="L690">
        <v>367.52850000000001</v>
      </c>
      <c r="M690">
        <v>0.99984130000000004</v>
      </c>
      <c r="N690">
        <v>-1.413913E-2</v>
      </c>
      <c r="O690">
        <v>1.0842020000000001E-2</v>
      </c>
      <c r="P690">
        <v>0.99682990000000005</v>
      </c>
      <c r="Q690">
        <v>-7.8922599999999996E-2</v>
      </c>
      <c r="R690">
        <v>-1.0071800000000001E-2</v>
      </c>
      <c r="S690">
        <v>3.0027469999999998</v>
      </c>
      <c r="T690">
        <v>-7.587004E-2</v>
      </c>
      <c r="U690">
        <v>-7.5836180000000003E-2</v>
      </c>
      <c r="V690">
        <v>2.0877489999999999E-2</v>
      </c>
      <c r="W690">
        <v>-6.4823569999999997E-2</v>
      </c>
      <c r="X690">
        <v>0.99767830000000002</v>
      </c>
      <c r="Y690">
        <v>3.6067109999999999E-2</v>
      </c>
      <c r="Z690">
        <v>-8.3119770000000001E-4</v>
      </c>
      <c r="AA690">
        <v>0.99934900000000004</v>
      </c>
      <c r="AB690">
        <v>32</v>
      </c>
      <c r="AC690">
        <v>46.1646</v>
      </c>
      <c r="AD690">
        <v>-1.1707459999999901</v>
      </c>
      <c r="AE690">
        <v>-1.1720999999999999</v>
      </c>
      <c r="AF690">
        <v>1.67152429066404</v>
      </c>
      <c r="AG690">
        <v>-1.1707459999999901</v>
      </c>
      <c r="AH690">
        <v>46.119534541433303</v>
      </c>
      <c r="AI690">
        <v>91.453189358512603</v>
      </c>
      <c r="AJ690">
        <v>87.924320207084904</v>
      </c>
      <c r="AK690">
        <v>46.164662957388202</v>
      </c>
      <c r="AL690">
        <v>93.716723167402407</v>
      </c>
      <c r="AM690">
        <v>88.801199238983102</v>
      </c>
      <c r="AN690">
        <v>0.99999997755356695</v>
      </c>
    </row>
    <row r="691" spans="1:40" x14ac:dyDescent="0.25">
      <c r="A691" t="str">
        <f>"20190303154744300"</f>
        <v>20190303154744300</v>
      </c>
      <c r="B691" t="str">
        <f>"1551599264291108"</f>
        <v>1551599264291108</v>
      </c>
      <c r="C691" t="s">
        <v>40</v>
      </c>
      <c r="D691">
        <v>5.0738539999999999</v>
      </c>
      <c r="E691">
        <v>0.50540099999999999</v>
      </c>
      <c r="F691" t="s">
        <v>43</v>
      </c>
      <c r="G691">
        <v>-280.76069999999999</v>
      </c>
      <c r="H691">
        <v>-0.05</v>
      </c>
      <c r="I691">
        <v>366.37349999999998</v>
      </c>
      <c r="J691">
        <v>-326.28379999999999</v>
      </c>
      <c r="K691">
        <v>1.1207450000000001</v>
      </c>
      <c r="L691">
        <v>367.53030000000001</v>
      </c>
      <c r="M691">
        <v>0.99984099999999998</v>
      </c>
      <c r="N691">
        <v>-1.416127E-2</v>
      </c>
      <c r="O691">
        <v>1.0842040000000001E-2</v>
      </c>
      <c r="P691">
        <v>0.99681940000000002</v>
      </c>
      <c r="Q691">
        <v>-7.9050090000000003E-2</v>
      </c>
      <c r="R691">
        <v>-1.009462E-2</v>
      </c>
      <c r="S691">
        <v>3.0026860000000002</v>
      </c>
      <c r="T691">
        <v>-7.6937909999999998E-2</v>
      </c>
      <c r="U691">
        <v>-7.5897220000000001E-2</v>
      </c>
      <c r="V691">
        <v>2.0900450000000001E-2</v>
      </c>
      <c r="W691">
        <v>-6.4929139999999996E-2</v>
      </c>
      <c r="X691">
        <v>0.99767090000000003</v>
      </c>
      <c r="Y691">
        <v>3.608745E-2</v>
      </c>
      <c r="Z691">
        <v>-8.4204169999999999E-4</v>
      </c>
      <c r="AA691">
        <v>0.99934829999999997</v>
      </c>
      <c r="AB691">
        <v>32</v>
      </c>
      <c r="AC691">
        <v>45.523099999999999</v>
      </c>
      <c r="AD691">
        <v>-1.1707449999999999</v>
      </c>
      <c r="AE691">
        <v>-1.15680000000003</v>
      </c>
      <c r="AF691">
        <v>1.6492546282951399</v>
      </c>
      <c r="AG691">
        <v>-1.1707449999999999</v>
      </c>
      <c r="AH691">
        <v>45.477821042504701</v>
      </c>
      <c r="AI691">
        <v>91.473683149084906</v>
      </c>
      <c r="AJ691">
        <v>87.923076902569505</v>
      </c>
      <c r="AK691">
        <v>45.522773327841698</v>
      </c>
      <c r="AL691">
        <v>93.722784854655501</v>
      </c>
      <c r="AM691">
        <v>88.799872345333299</v>
      </c>
      <c r="AN691">
        <v>0.99999992336907295</v>
      </c>
    </row>
    <row r="692" spans="1:40" x14ac:dyDescent="0.25">
      <c r="A692" t="str">
        <f>"20190303154744312"</f>
        <v>20190303154744312</v>
      </c>
      <c r="B692" t="str">
        <f>"1551599264300867"</f>
        <v>1551599264300867</v>
      </c>
      <c r="C692" t="s">
        <v>40</v>
      </c>
      <c r="D692">
        <v>5.1630200000000004</v>
      </c>
      <c r="E692">
        <v>0.50544009999999995</v>
      </c>
      <c r="F692" t="s">
        <v>43</v>
      </c>
      <c r="G692">
        <v>-281.2629</v>
      </c>
      <c r="H692">
        <v>-0.05</v>
      </c>
      <c r="I692">
        <v>366.39870000000002</v>
      </c>
      <c r="J692">
        <v>-326.11070000000001</v>
      </c>
      <c r="K692">
        <v>1.120746</v>
      </c>
      <c r="L692">
        <v>367.53219999999999</v>
      </c>
      <c r="M692">
        <v>0.99984070000000003</v>
      </c>
      <c r="N692">
        <v>-1.4181340000000001E-2</v>
      </c>
      <c r="O692">
        <v>1.0842070000000001E-2</v>
      </c>
      <c r="P692">
        <v>0.99681010000000003</v>
      </c>
      <c r="Q692">
        <v>-7.9171450000000004E-2</v>
      </c>
      <c r="R692">
        <v>-1.0090689999999999E-2</v>
      </c>
      <c r="S692">
        <v>3.0026250000000001</v>
      </c>
      <c r="T692">
        <v>-7.8081609999999996E-2</v>
      </c>
      <c r="U692">
        <v>-7.5469969999999997E-2</v>
      </c>
      <c r="V692">
        <v>2.0896100000000001E-2</v>
      </c>
      <c r="W692">
        <v>-6.5030550000000006E-2</v>
      </c>
      <c r="X692">
        <v>0.99766449999999995</v>
      </c>
      <c r="Y692">
        <v>3.594547E-2</v>
      </c>
      <c r="Z692">
        <v>-8.5034729999999999E-4</v>
      </c>
      <c r="AA692">
        <v>0.99935339999999995</v>
      </c>
      <c r="AB692">
        <v>32</v>
      </c>
      <c r="AC692">
        <v>44.847799999999999</v>
      </c>
      <c r="AD692">
        <v>-1.1707459999999901</v>
      </c>
      <c r="AE692">
        <v>-1.13349999999996</v>
      </c>
      <c r="AF692">
        <v>1.6186229010344499</v>
      </c>
      <c r="AG692">
        <v>-1.1707459999999901</v>
      </c>
      <c r="AH692">
        <v>44.802361013799803</v>
      </c>
      <c r="AI692">
        <v>91.495899701931293</v>
      </c>
      <c r="AJ692">
        <v>87.930913885612</v>
      </c>
      <c r="AK692">
        <v>44.846874347083798</v>
      </c>
      <c r="AL692">
        <v>93.728607101611999</v>
      </c>
      <c r="AM692">
        <v>88.800114359313994</v>
      </c>
      <c r="AN692">
        <v>1.00000003699438</v>
      </c>
    </row>
    <row r="693" spans="1:40" x14ac:dyDescent="0.25">
      <c r="A693" t="str">
        <f>"20190303154744324"</f>
        <v>20190303154744324</v>
      </c>
      <c r="B693" t="str">
        <f>"1551599264321364"</f>
        <v>1551599264321364</v>
      </c>
      <c r="C693" t="s">
        <v>40</v>
      </c>
      <c r="D693">
        <v>5.1092700000000004</v>
      </c>
      <c r="E693">
        <v>0.50537779999999999</v>
      </c>
      <c r="F693" t="s">
        <v>43</v>
      </c>
      <c r="G693">
        <v>-281.31200000000001</v>
      </c>
      <c r="H693">
        <v>-0.05</v>
      </c>
      <c r="I693">
        <v>366.39879999999999</v>
      </c>
      <c r="J693">
        <v>-325.952</v>
      </c>
      <c r="K693">
        <v>1.1207450000000001</v>
      </c>
      <c r="L693">
        <v>367.53390000000002</v>
      </c>
      <c r="M693">
        <v>0.99984039999999996</v>
      </c>
      <c r="N693">
        <v>-1.4199E-2</v>
      </c>
      <c r="O693">
        <v>1.084224E-2</v>
      </c>
      <c r="P693">
        <v>0.99679680000000004</v>
      </c>
      <c r="Q693">
        <v>-7.9336329999999997E-2</v>
      </c>
      <c r="R693">
        <v>-1.010697E-2</v>
      </c>
      <c r="S693">
        <v>3.0025629999999999</v>
      </c>
      <c r="T693">
        <v>-7.8467250000000002E-2</v>
      </c>
      <c r="U693">
        <v>-7.5958250000000005E-2</v>
      </c>
      <c r="V693">
        <v>2.091237E-2</v>
      </c>
      <c r="W693">
        <v>-6.5178009999999995E-2</v>
      </c>
      <c r="X693">
        <v>0.9976545</v>
      </c>
      <c r="Y693">
        <v>3.6108300000000003E-2</v>
      </c>
      <c r="Z693">
        <v>-8.5747269999999999E-4</v>
      </c>
      <c r="AA693">
        <v>0.99934750000000006</v>
      </c>
      <c r="AB693">
        <v>32</v>
      </c>
      <c r="AC693">
        <v>44.639999999999901</v>
      </c>
      <c r="AD693">
        <v>-1.1707449999999999</v>
      </c>
      <c r="AE693">
        <v>-1.13510000000002</v>
      </c>
      <c r="AF693">
        <v>1.6179675045439099</v>
      </c>
      <c r="AG693">
        <v>-1.1707449999999999</v>
      </c>
      <c r="AH693">
        <v>44.594414104421901</v>
      </c>
      <c r="AI693">
        <v>91.502862361304807</v>
      </c>
      <c r="AJ693">
        <v>87.922114994181698</v>
      </c>
      <c r="AK693">
        <v>44.6391110128489</v>
      </c>
      <c r="AL693">
        <v>93.737074035049901</v>
      </c>
      <c r="AM693">
        <v>88.799168351870804</v>
      </c>
      <c r="AN693">
        <v>1.00000000078841</v>
      </c>
    </row>
    <row r="694" spans="1:40" x14ac:dyDescent="0.25">
      <c r="A694" t="str">
        <f>"20190303154744336"</f>
        <v>20190303154744336</v>
      </c>
      <c r="B694" t="str">
        <f>"1551599264331124"</f>
        <v>1551599264331124</v>
      </c>
      <c r="C694" t="s">
        <v>40</v>
      </c>
      <c r="D694">
        <v>5.06365</v>
      </c>
      <c r="E694">
        <v>0.49090640000000002</v>
      </c>
      <c r="F694" t="s">
        <v>43</v>
      </c>
      <c r="G694">
        <v>-281.56420000000003</v>
      </c>
      <c r="H694">
        <v>-0.05</v>
      </c>
      <c r="I694">
        <v>366.41770000000002</v>
      </c>
      <c r="J694">
        <v>-325.77019999999999</v>
      </c>
      <c r="K694">
        <v>1.1207450000000001</v>
      </c>
      <c r="L694">
        <v>367.53590000000003</v>
      </c>
      <c r="M694">
        <v>0.99984019999999996</v>
      </c>
      <c r="N694">
        <v>-1.421733E-2</v>
      </c>
      <c r="O694">
        <v>1.084211E-2</v>
      </c>
      <c r="P694">
        <v>0.99678670000000003</v>
      </c>
      <c r="Q694">
        <v>-7.9496140000000007E-2</v>
      </c>
      <c r="R694">
        <v>-9.8630420000000007E-3</v>
      </c>
      <c r="S694">
        <v>3.0025629999999999</v>
      </c>
      <c r="T694">
        <v>-7.919371E-2</v>
      </c>
      <c r="U694">
        <v>-7.5500490000000003E-2</v>
      </c>
      <c r="V694">
        <v>2.0668220000000001E-2</v>
      </c>
      <c r="W694">
        <v>-6.5319569999999993E-2</v>
      </c>
      <c r="X694">
        <v>0.99765029999999999</v>
      </c>
      <c r="Y694">
        <v>3.595566E-2</v>
      </c>
      <c r="Z694">
        <v>-8.614944E-4</v>
      </c>
      <c r="AA694">
        <v>0.99935300000000005</v>
      </c>
      <c r="AB694">
        <v>32</v>
      </c>
      <c r="AC694">
        <v>44.205999999999896</v>
      </c>
      <c r="AD694">
        <v>-1.1707449999999999</v>
      </c>
      <c r="AE694">
        <v>-1.1182000000000001</v>
      </c>
      <c r="AF694">
        <v>1.5963500425442101</v>
      </c>
      <c r="AG694">
        <v>-1.1707449999999999</v>
      </c>
      <c r="AH694">
        <v>44.160322299787303</v>
      </c>
      <c r="AI694">
        <v>91.517635771497197</v>
      </c>
      <c r="AJ694">
        <v>87.929718210160502</v>
      </c>
      <c r="AK694">
        <v>44.204672184447297</v>
      </c>
      <c r="AL694">
        <v>93.745202256918205</v>
      </c>
      <c r="AM694">
        <v>88.813178922660398</v>
      </c>
      <c r="AN694">
        <v>0.99999997131652096</v>
      </c>
    </row>
    <row r="695" spans="1:40" x14ac:dyDescent="0.25">
      <c r="A695" t="str">
        <f>"20190303154744352"</f>
        <v>20190303154744352</v>
      </c>
      <c r="B695" t="str">
        <f>"1551599264340884"</f>
        <v>1551599264340884</v>
      </c>
      <c r="C695" t="s">
        <v>40</v>
      </c>
      <c r="D695">
        <v>5.0700979999999998</v>
      </c>
      <c r="E695">
        <v>0.48835339999999999</v>
      </c>
      <c r="F695" t="s">
        <v>43</v>
      </c>
      <c r="G695">
        <v>-303.40800000000002</v>
      </c>
      <c r="H695">
        <v>-0.05</v>
      </c>
      <c r="I695">
        <v>367.84870000000001</v>
      </c>
      <c r="J695">
        <v>-325.55099999999999</v>
      </c>
      <c r="K695">
        <v>1.120752</v>
      </c>
      <c r="L695">
        <v>367.53829999999999</v>
      </c>
      <c r="M695">
        <v>0.9998399</v>
      </c>
      <c r="N695">
        <v>-1.423726E-2</v>
      </c>
      <c r="O695">
        <v>1.0842330000000001E-2</v>
      </c>
      <c r="P695">
        <v>0.9967857</v>
      </c>
      <c r="Q695">
        <v>-7.9560640000000002E-2</v>
      </c>
      <c r="R695">
        <v>-9.3998580000000005E-3</v>
      </c>
      <c r="S695">
        <v>2.9975589999999999</v>
      </c>
      <c r="T695">
        <v>-0.1569335</v>
      </c>
      <c r="U695">
        <v>4.193115E-2</v>
      </c>
      <c r="V695">
        <v>2.0205520000000001E-2</v>
      </c>
      <c r="W695">
        <v>-6.5364140000000001E-2</v>
      </c>
      <c r="X695">
        <v>0.99765689999999996</v>
      </c>
      <c r="Y695">
        <v>-3.146266E-3</v>
      </c>
      <c r="Z695">
        <v>-3.081901E-4</v>
      </c>
      <c r="AA695">
        <v>0.99999499999999997</v>
      </c>
      <c r="AB695">
        <v>32</v>
      </c>
      <c r="AC695">
        <v>22.142999999999901</v>
      </c>
      <c r="AD695">
        <v>-1.170752</v>
      </c>
      <c r="AE695">
        <v>0.310400000000015</v>
      </c>
      <c r="AF695">
        <v>-7.0079843161630601E-2</v>
      </c>
      <c r="AG695">
        <v>-1.170752</v>
      </c>
      <c r="AH695">
        <v>22.083342489762799</v>
      </c>
      <c r="AI695">
        <v>93.034688840806993</v>
      </c>
      <c r="AJ695">
        <v>90.181823279933496</v>
      </c>
      <c r="AK695">
        <v>22.1144655587714</v>
      </c>
      <c r="AL695">
        <v>93.747761246327897</v>
      </c>
      <c r="AM695">
        <v>88.839748645625804</v>
      </c>
      <c r="AN695">
        <v>1.0000000119770001</v>
      </c>
    </row>
    <row r="696" spans="1:40" x14ac:dyDescent="0.25">
      <c r="A696" t="str">
        <f>"20190303154744363"</f>
        <v>20190303154744363</v>
      </c>
      <c r="B696" t="str">
        <f>"1551599264351621"</f>
        <v>1551599264351621</v>
      </c>
      <c r="C696" t="s">
        <v>40</v>
      </c>
      <c r="D696">
        <v>5.1174229999999996</v>
      </c>
      <c r="E696">
        <v>0.4870563</v>
      </c>
      <c r="F696" t="s">
        <v>43</v>
      </c>
      <c r="G696">
        <v>-304.85750000000002</v>
      </c>
      <c r="H696">
        <v>-0.05</v>
      </c>
      <c r="I696">
        <v>367.97660000000002</v>
      </c>
      <c r="J696">
        <v>-325.38830000000002</v>
      </c>
      <c r="K696">
        <v>1.1207530000000001</v>
      </c>
      <c r="L696">
        <v>367.54</v>
      </c>
      <c r="M696">
        <v>0.9998397</v>
      </c>
      <c r="N696">
        <v>-1.4249690000000001E-2</v>
      </c>
      <c r="O696">
        <v>1.084224E-2</v>
      </c>
      <c r="P696">
        <v>0.99680809999999997</v>
      </c>
      <c r="Q696">
        <v>-7.9297560000000003E-2</v>
      </c>
      <c r="R696">
        <v>-9.2658359999999995E-3</v>
      </c>
      <c r="S696">
        <v>2.9967959999999998</v>
      </c>
      <c r="T696">
        <v>-0.16954649999999999</v>
      </c>
      <c r="U696">
        <v>6.3476560000000001E-2</v>
      </c>
      <c r="V696">
        <v>2.0071470000000001E-2</v>
      </c>
      <c r="W696">
        <v>-6.5088320000000005E-2</v>
      </c>
      <c r="X696">
        <v>0.99767760000000005</v>
      </c>
      <c r="Y696">
        <v>-1.032361E-2</v>
      </c>
      <c r="Z696" s="1">
        <v>-9.3013149999999996E-5</v>
      </c>
      <c r="AA696">
        <v>0.99994669999999997</v>
      </c>
      <c r="AB696">
        <v>32</v>
      </c>
      <c r="AC696">
        <v>20.530799999999999</v>
      </c>
      <c r="AD696">
        <v>-1.1707529999999999</v>
      </c>
      <c r="AE696">
        <v>0.43659999999999799</v>
      </c>
      <c r="AF696">
        <v>-0.21325871816603401</v>
      </c>
      <c r="AG696">
        <v>-1.1707529999999999</v>
      </c>
      <c r="AH696">
        <v>20.4678008399042</v>
      </c>
      <c r="AI696">
        <v>93.273559471649406</v>
      </c>
      <c r="AJ696">
        <v>90.596956285616997</v>
      </c>
      <c r="AK696">
        <v>20.502366036383801</v>
      </c>
      <c r="AL696">
        <v>93.731924343680404</v>
      </c>
      <c r="AM696">
        <v>88.8474679546798</v>
      </c>
      <c r="AN696">
        <v>0.99999997342507096</v>
      </c>
    </row>
    <row r="697" spans="1:40" x14ac:dyDescent="0.25">
      <c r="A697" t="str">
        <f>"20190303154744374"</f>
        <v>20190303154744374</v>
      </c>
      <c r="B697" t="str">
        <f>"1551599264371140"</f>
        <v>1551599264371140</v>
      </c>
      <c r="C697" t="s">
        <v>40</v>
      </c>
      <c r="D697">
        <v>5.0498690000000002</v>
      </c>
      <c r="E697">
        <v>0.48564560000000001</v>
      </c>
      <c r="F697" t="s">
        <v>43</v>
      </c>
      <c r="G697">
        <v>-305.6533</v>
      </c>
      <c r="H697">
        <v>-0.05</v>
      </c>
      <c r="I697">
        <v>368.03030000000001</v>
      </c>
      <c r="J697">
        <v>-325.22309999999999</v>
      </c>
      <c r="K697">
        <v>1.1207530000000001</v>
      </c>
      <c r="L697">
        <v>367.54180000000002</v>
      </c>
      <c r="M697">
        <v>0.99983960000000005</v>
      </c>
      <c r="N697">
        <v>-1.425595E-2</v>
      </c>
      <c r="O697">
        <v>1.084237E-2</v>
      </c>
      <c r="P697">
        <v>0.99683029999999995</v>
      </c>
      <c r="Q697">
        <v>-7.9041239999999999E-2</v>
      </c>
      <c r="R697">
        <v>-9.0590989999999993E-3</v>
      </c>
      <c r="S697">
        <v>2.9961549999999999</v>
      </c>
      <c r="T697">
        <v>-0.1777425</v>
      </c>
      <c r="U697">
        <v>7.4432369999999998E-2</v>
      </c>
      <c r="V697">
        <v>1.98651E-2</v>
      </c>
      <c r="W697">
        <v>-6.4825430000000003E-2</v>
      </c>
      <c r="X697">
        <v>0.99769890000000006</v>
      </c>
      <c r="Y697">
        <v>-1.3973910000000001E-2</v>
      </c>
      <c r="Z697" s="1">
        <v>2.5741609999999998E-5</v>
      </c>
      <c r="AA697">
        <v>0.99990239999999997</v>
      </c>
      <c r="AB697">
        <v>32</v>
      </c>
      <c r="AC697">
        <v>19.569799999999901</v>
      </c>
      <c r="AD697">
        <v>-1.1707529999999999</v>
      </c>
      <c r="AE697">
        <v>0.488499999999987</v>
      </c>
      <c r="AF697">
        <v>-0.27528209246588697</v>
      </c>
      <c r="AG697">
        <v>-1.1707529999999999</v>
      </c>
      <c r="AH697">
        <v>19.504185103849998</v>
      </c>
      <c r="AI697">
        <v>93.434758167587901</v>
      </c>
      <c r="AJ697">
        <v>90.808619011480104</v>
      </c>
      <c r="AK697">
        <v>19.541230242302699</v>
      </c>
      <c r="AL697">
        <v>93.716829778817399</v>
      </c>
      <c r="AM697">
        <v>88.859339209370901</v>
      </c>
      <c r="AN697">
        <v>1.00000002681695</v>
      </c>
    </row>
    <row r="698" spans="1:40" x14ac:dyDescent="0.25">
      <c r="A698" t="str">
        <f>"20190303154744385"</f>
        <v>20190303154744385</v>
      </c>
      <c r="B698" t="str">
        <f>"1551599264380900"</f>
        <v>1551599264380900</v>
      </c>
      <c r="C698" t="s">
        <v>40</v>
      </c>
      <c r="D698">
        <v>5.0889470000000001</v>
      </c>
      <c r="E698">
        <v>0.48511019999999999</v>
      </c>
      <c r="F698" t="s">
        <v>43</v>
      </c>
      <c r="G698">
        <v>-305.98509999999999</v>
      </c>
      <c r="H698">
        <v>-0.05</v>
      </c>
      <c r="I698">
        <v>368.09679999999997</v>
      </c>
      <c r="J698">
        <v>-325.06389999999999</v>
      </c>
      <c r="K698">
        <v>1.1207560000000001</v>
      </c>
      <c r="L698">
        <v>367.54349999999999</v>
      </c>
      <c r="M698">
        <v>0.99983960000000005</v>
      </c>
      <c r="N698">
        <v>-1.425005E-2</v>
      </c>
      <c r="O698">
        <v>1.084241E-2</v>
      </c>
      <c r="P698">
        <v>0.99684110000000004</v>
      </c>
      <c r="Q698">
        <v>-7.8922909999999999E-2</v>
      </c>
      <c r="R698">
        <v>-8.8857580000000005E-3</v>
      </c>
      <c r="S698">
        <v>2.9958800000000001</v>
      </c>
      <c r="T698">
        <v>-0.1823179</v>
      </c>
      <c r="U698">
        <v>8.6425779999999994E-2</v>
      </c>
      <c r="V698">
        <v>1.9692069999999999E-2</v>
      </c>
      <c r="W698">
        <v>-6.4712820000000004E-2</v>
      </c>
      <c r="X698">
        <v>0.99770959999999997</v>
      </c>
      <c r="Y698">
        <v>-1.7966260000000001E-2</v>
      </c>
      <c r="Z698">
        <v>1.6958349999999999E-4</v>
      </c>
      <c r="AA698">
        <v>0.99983860000000002</v>
      </c>
      <c r="AB698">
        <v>32</v>
      </c>
      <c r="AC698">
        <v>19.078800000000001</v>
      </c>
      <c r="AD698">
        <v>-1.1707559999999999</v>
      </c>
      <c r="AE698">
        <v>0.55329999999997803</v>
      </c>
      <c r="AF698">
        <v>-0.34508791568113301</v>
      </c>
      <c r="AG698">
        <v>-1.1707559999999999</v>
      </c>
      <c r="AH698">
        <v>19.012146623489102</v>
      </c>
      <c r="AI698">
        <v>93.523209515193898</v>
      </c>
      <c r="AJ698">
        <v>91.039856814050694</v>
      </c>
      <c r="AK698">
        <v>19.0512853769538</v>
      </c>
      <c r="AL698">
        <v>93.710364275663196</v>
      </c>
      <c r="AM698">
        <v>88.869284183355205</v>
      </c>
      <c r="AN698">
        <v>0.99999998631269804</v>
      </c>
    </row>
    <row r="699" spans="1:40" x14ac:dyDescent="0.25">
      <c r="A699" t="str">
        <f>"20190303154744396"</f>
        <v>20190303154744396</v>
      </c>
      <c r="B699" t="str">
        <f>"1551599264391636"</f>
        <v>1551599264391636</v>
      </c>
      <c r="C699" t="s">
        <v>40</v>
      </c>
      <c r="D699">
        <v>5.0275410000000003</v>
      </c>
      <c r="E699">
        <v>0.48488880000000001</v>
      </c>
      <c r="F699" t="s">
        <v>43</v>
      </c>
      <c r="G699">
        <v>-305.90429999999998</v>
      </c>
      <c r="H699">
        <v>-0.05</v>
      </c>
      <c r="I699">
        <v>368.12729999999999</v>
      </c>
      <c r="J699">
        <v>-324.89999999999998</v>
      </c>
      <c r="K699">
        <v>1.120749</v>
      </c>
      <c r="L699">
        <v>367.5453</v>
      </c>
      <c r="M699">
        <v>0.99984010000000001</v>
      </c>
      <c r="N699">
        <v>-1.422907E-2</v>
      </c>
      <c r="O699">
        <v>1.084221E-2</v>
      </c>
      <c r="P699">
        <v>0.99687139999999996</v>
      </c>
      <c r="Q699">
        <v>-7.8531069999999994E-2</v>
      </c>
      <c r="R699">
        <v>-8.9897680000000004E-3</v>
      </c>
      <c r="S699">
        <v>2.995819</v>
      </c>
      <c r="T699">
        <v>-0.18306030000000001</v>
      </c>
      <c r="U699">
        <v>9.1278079999999998E-2</v>
      </c>
      <c r="V699">
        <v>1.9796040000000001E-2</v>
      </c>
      <c r="W699">
        <v>-6.4341529999999994E-2</v>
      </c>
      <c r="X699">
        <v>0.99773160000000005</v>
      </c>
      <c r="Y699">
        <v>-1.9581169999999998E-2</v>
      </c>
      <c r="Z699">
        <v>2.295075E-4</v>
      </c>
      <c r="AA699">
        <v>0.99980829999999998</v>
      </c>
      <c r="AB699">
        <v>32</v>
      </c>
      <c r="AC699">
        <v>18.995699999999999</v>
      </c>
      <c r="AD699">
        <v>-1.170749</v>
      </c>
      <c r="AE699">
        <v>0.58199999999999297</v>
      </c>
      <c r="AF699">
        <v>-0.37456810959920001</v>
      </c>
      <c r="AG699">
        <v>-1.170749</v>
      </c>
      <c r="AH699">
        <v>18.929058640015398</v>
      </c>
      <c r="AI699">
        <v>93.538504551052895</v>
      </c>
      <c r="AJ699">
        <v>91.133620627430503</v>
      </c>
      <c r="AK699">
        <v>18.968927631441701</v>
      </c>
      <c r="AL699">
        <v>93.689046334133593</v>
      </c>
      <c r="AM699">
        <v>88.863340860499306</v>
      </c>
      <c r="AN699">
        <v>1.0000000306604899</v>
      </c>
    </row>
    <row r="700" spans="1:40" x14ac:dyDescent="0.25">
      <c r="A700" t="str">
        <f>"20190303154744408"</f>
        <v>20190303154744408</v>
      </c>
      <c r="B700" t="str">
        <f>"1551599264401396"</f>
        <v>1551599264401396</v>
      </c>
      <c r="C700" t="s">
        <v>40</v>
      </c>
      <c r="D700">
        <v>5.0505199999999997</v>
      </c>
      <c r="E700">
        <v>0.48460360000000002</v>
      </c>
      <c r="F700" t="s">
        <v>43</v>
      </c>
      <c r="G700">
        <v>-305.71260000000001</v>
      </c>
      <c r="H700">
        <v>-0.05</v>
      </c>
      <c r="I700">
        <v>368.13900000000001</v>
      </c>
      <c r="J700">
        <v>-324.73989999999998</v>
      </c>
      <c r="K700">
        <v>1.120735</v>
      </c>
      <c r="L700">
        <v>367.54700000000003</v>
      </c>
      <c r="M700">
        <v>0.99984070000000003</v>
      </c>
      <c r="N700">
        <v>-1.418139E-2</v>
      </c>
      <c r="O700">
        <v>1.0842249999999999E-2</v>
      </c>
      <c r="P700">
        <v>0.99688770000000004</v>
      </c>
      <c r="Q700">
        <v>-7.8334000000000001E-2</v>
      </c>
      <c r="R700">
        <v>-8.8846129999999995E-3</v>
      </c>
      <c r="S700">
        <v>2.9958800000000001</v>
      </c>
      <c r="T700">
        <v>-0.1827984</v>
      </c>
      <c r="U700">
        <v>9.27124E-2</v>
      </c>
      <c r="V700">
        <v>1.9691179999999999E-2</v>
      </c>
      <c r="W700">
        <v>-6.4191819999999997E-2</v>
      </c>
      <c r="X700">
        <v>0.9977433</v>
      </c>
      <c r="Y700">
        <v>-2.0057769999999999E-2</v>
      </c>
      <c r="Z700">
        <v>2.4652229999999999E-4</v>
      </c>
      <c r="AA700">
        <v>0.99979879999999999</v>
      </c>
      <c r="AB700">
        <v>32</v>
      </c>
      <c r="AC700">
        <v>19.027299999999901</v>
      </c>
      <c r="AD700">
        <v>-1.1707350000000001</v>
      </c>
      <c r="AE700">
        <v>0.59200000000004105</v>
      </c>
      <c r="AF700">
        <v>-0.38419262697044099</v>
      </c>
      <c r="AG700">
        <v>-1.1707350000000001</v>
      </c>
      <c r="AH700">
        <v>18.960887062427801</v>
      </c>
      <c r="AI700">
        <v>93.532504149830203</v>
      </c>
      <c r="AJ700">
        <v>91.160789797779202</v>
      </c>
      <c r="AK700">
        <v>19.000880574567802</v>
      </c>
      <c r="AL700">
        <v>93.680450881135101</v>
      </c>
      <c r="AM700">
        <v>88.869373453430498</v>
      </c>
      <c r="AN700">
        <v>1.0000000125097901</v>
      </c>
    </row>
    <row r="701" spans="1:40" x14ac:dyDescent="0.25">
      <c r="A701" t="str">
        <f>"20190303154744418"</f>
        <v>20190303154744418</v>
      </c>
      <c r="B701" t="str">
        <f>"1551599264411156"</f>
        <v>1551599264411156</v>
      </c>
      <c r="C701" t="s">
        <v>40</v>
      </c>
      <c r="D701">
        <v>5.0588439999999997</v>
      </c>
      <c r="E701">
        <v>0.48454219999999998</v>
      </c>
      <c r="F701" t="s">
        <v>43</v>
      </c>
      <c r="G701">
        <v>-305.55829999999997</v>
      </c>
      <c r="H701">
        <v>-0.05</v>
      </c>
      <c r="I701">
        <v>368.15859999999998</v>
      </c>
      <c r="J701">
        <v>-324.57929999999999</v>
      </c>
      <c r="K701">
        <v>1.1207119999999999</v>
      </c>
      <c r="L701">
        <v>367.54880000000003</v>
      </c>
      <c r="M701">
        <v>0.9998416</v>
      </c>
      <c r="N701">
        <v>-1.4120270000000001E-2</v>
      </c>
      <c r="O701">
        <v>1.0842330000000001E-2</v>
      </c>
      <c r="P701">
        <v>0.99688449999999995</v>
      </c>
      <c r="Q701">
        <v>-7.834294E-2</v>
      </c>
      <c r="R701">
        <v>-9.1718630000000006E-3</v>
      </c>
      <c r="S701">
        <v>2.9958499999999999</v>
      </c>
      <c r="T701">
        <v>-0.1828496</v>
      </c>
      <c r="U701">
        <v>9.5520019999999997E-2</v>
      </c>
      <c r="V701">
        <v>1.997852E-2</v>
      </c>
      <c r="W701">
        <v>-6.4261849999999995E-2</v>
      </c>
      <c r="X701">
        <v>0.99773310000000004</v>
      </c>
      <c r="Y701">
        <v>-2.0991969999999999E-2</v>
      </c>
      <c r="Z701">
        <v>2.803099E-4</v>
      </c>
      <c r="AA701">
        <v>0.99977959999999999</v>
      </c>
      <c r="AB701">
        <v>32</v>
      </c>
      <c r="AC701">
        <v>19.021000000000001</v>
      </c>
      <c r="AD701">
        <v>-1.170712</v>
      </c>
      <c r="AE701">
        <v>0.60979999999995005</v>
      </c>
      <c r="AF701">
        <v>-0.40199038594505598</v>
      </c>
      <c r="AG701">
        <v>-1.170712</v>
      </c>
      <c r="AH701">
        <v>18.954763238349098</v>
      </c>
      <c r="AI701">
        <v>93.533504209171895</v>
      </c>
      <c r="AJ701">
        <v>91.214940014900407</v>
      </c>
      <c r="AK701">
        <v>18.995136542789201</v>
      </c>
      <c r="AL701">
        <v>93.684471531405293</v>
      </c>
      <c r="AM701">
        <v>88.852867641772093</v>
      </c>
      <c r="AN701">
        <v>1.00000003273121</v>
      </c>
    </row>
    <row r="702" spans="1:40" x14ac:dyDescent="0.25">
      <c r="A702" t="str">
        <f>"20190303154744429"</f>
        <v>20190303154744429</v>
      </c>
      <c r="B702" t="str">
        <f>"1551599264420916"</f>
        <v>1551599264420916</v>
      </c>
      <c r="C702" t="s">
        <v>40</v>
      </c>
      <c r="D702">
        <v>5.0412140000000001</v>
      </c>
      <c r="E702">
        <v>0.48437920000000001</v>
      </c>
      <c r="F702" t="s">
        <v>43</v>
      </c>
      <c r="G702">
        <v>-305.43150000000003</v>
      </c>
      <c r="H702">
        <v>-0.05</v>
      </c>
      <c r="I702">
        <v>368.15519999999998</v>
      </c>
      <c r="J702">
        <v>-324.4289</v>
      </c>
      <c r="K702">
        <v>1.12069</v>
      </c>
      <c r="L702">
        <v>367.55040000000002</v>
      </c>
      <c r="M702">
        <v>0.99984289999999998</v>
      </c>
      <c r="N702">
        <v>-1.403808E-2</v>
      </c>
      <c r="O702">
        <v>1.0842259999999999E-2</v>
      </c>
      <c r="P702">
        <v>0.99689190000000005</v>
      </c>
      <c r="Q702">
        <v>-7.8231599999999998E-2</v>
      </c>
      <c r="R702">
        <v>-9.3110320000000003E-3</v>
      </c>
      <c r="S702">
        <v>2.995819</v>
      </c>
      <c r="T702">
        <v>-0.18316669999999999</v>
      </c>
      <c r="U702">
        <v>9.4879149999999995E-2</v>
      </c>
      <c r="V702">
        <v>2.0117739999999999E-2</v>
      </c>
      <c r="W702">
        <v>-6.4232449999999996E-2</v>
      </c>
      <c r="X702">
        <v>0.99773219999999996</v>
      </c>
      <c r="Y702">
        <v>-2.0779209999999999E-2</v>
      </c>
      <c r="Z702">
        <v>2.7052940000000001E-4</v>
      </c>
      <c r="AA702">
        <v>0.99978409999999995</v>
      </c>
      <c r="AB702">
        <v>32</v>
      </c>
      <c r="AC702">
        <v>18.997399999999899</v>
      </c>
      <c r="AD702">
        <v>-1.17069</v>
      </c>
      <c r="AE702">
        <v>0.60479999999995404</v>
      </c>
      <c r="AF702">
        <v>-0.39726237247243401</v>
      </c>
      <c r="AG702">
        <v>-1.17069</v>
      </c>
      <c r="AH702">
        <v>18.931023781964701</v>
      </c>
      <c r="AI702">
        <v>93.537874256903294</v>
      </c>
      <c r="AJ702">
        <v>91.202159871405698</v>
      </c>
      <c r="AK702">
        <v>18.971346654942401</v>
      </c>
      <c r="AL702">
        <v>93.682783532433703</v>
      </c>
      <c r="AM702">
        <v>88.844874984824401</v>
      </c>
      <c r="AN702">
        <v>1.00000003700627</v>
      </c>
    </row>
    <row r="703" spans="1:40" x14ac:dyDescent="0.25">
      <c r="A703" t="str">
        <f>"20190303154744441"</f>
        <v>20190303154744441</v>
      </c>
      <c r="B703" t="str">
        <f>"1551599264431652"</f>
        <v>1551599264431652</v>
      </c>
      <c r="C703" t="s">
        <v>40</v>
      </c>
      <c r="D703">
        <v>5.0385720000000003</v>
      </c>
      <c r="E703">
        <v>0.48426989999999998</v>
      </c>
      <c r="F703" t="s">
        <v>43</v>
      </c>
      <c r="G703">
        <v>-305.16149999999999</v>
      </c>
      <c r="H703">
        <v>-0.05</v>
      </c>
      <c r="I703">
        <v>368.16739999999999</v>
      </c>
      <c r="J703">
        <v>-324.26100000000002</v>
      </c>
      <c r="K703">
        <v>1.120665</v>
      </c>
      <c r="L703">
        <v>367.55220000000003</v>
      </c>
      <c r="M703">
        <v>0.99984410000000001</v>
      </c>
      <c r="N703">
        <v>-1.394129E-2</v>
      </c>
      <c r="O703">
        <v>1.084223E-2</v>
      </c>
      <c r="P703">
        <v>0.99686710000000001</v>
      </c>
      <c r="Q703">
        <v>-7.8499410000000006E-2</v>
      </c>
      <c r="R703">
        <v>-9.704809E-3</v>
      </c>
      <c r="S703">
        <v>2.9959720000000001</v>
      </c>
      <c r="T703">
        <v>-0.18203569999999999</v>
      </c>
      <c r="U703">
        <v>9.5947270000000001E-2</v>
      </c>
      <c r="V703">
        <v>2.0511109999999999E-2</v>
      </c>
      <c r="W703">
        <v>-6.459724E-2</v>
      </c>
      <c r="X703">
        <v>0.99770060000000005</v>
      </c>
      <c r="Y703">
        <v>-2.1133369999999999E-2</v>
      </c>
      <c r="Z703">
        <v>2.8186530000000001E-4</v>
      </c>
      <c r="AA703">
        <v>0.99977660000000002</v>
      </c>
      <c r="AB703">
        <v>32</v>
      </c>
      <c r="AC703">
        <v>19.0994999999999</v>
      </c>
      <c r="AD703">
        <v>-1.1706650000000001</v>
      </c>
      <c r="AE703">
        <v>0.615199999999958</v>
      </c>
      <c r="AF703">
        <v>-0.40653684174128701</v>
      </c>
      <c r="AG703">
        <v>-1.1706650000000001</v>
      </c>
      <c r="AH703">
        <v>19.033616021459402</v>
      </c>
      <c r="AI703">
        <v>93.5187502163337</v>
      </c>
      <c r="AJ703">
        <v>91.223587998741394</v>
      </c>
      <c r="AK703">
        <v>19.073915895753299</v>
      </c>
      <c r="AL703">
        <v>93.703728100542904</v>
      </c>
      <c r="AM703">
        <v>88.822257385480796</v>
      </c>
      <c r="AN703">
        <v>0.99999999814470397</v>
      </c>
    </row>
    <row r="704" spans="1:40" x14ac:dyDescent="0.25">
      <c r="A704" t="str">
        <f>"20190303154744456"</f>
        <v>20190303154744456</v>
      </c>
      <c r="B704" t="str">
        <f>"1551599264451172"</f>
        <v>1551599264451172</v>
      </c>
      <c r="C704" t="s">
        <v>40</v>
      </c>
      <c r="D704">
        <v>5.0256759999999998</v>
      </c>
      <c r="E704">
        <v>0.48397050000000003</v>
      </c>
      <c r="F704" t="s">
        <v>43</v>
      </c>
      <c r="G704">
        <v>-305.15379999999999</v>
      </c>
      <c r="H704">
        <v>-0.05</v>
      </c>
      <c r="I704">
        <v>368.16</v>
      </c>
      <c r="J704">
        <v>-324.04579999999999</v>
      </c>
      <c r="K704">
        <v>1.120635</v>
      </c>
      <c r="L704">
        <v>367.55450000000002</v>
      </c>
      <c r="M704">
        <v>0.99984600000000001</v>
      </c>
      <c r="N704">
        <v>-1.3801890000000001E-2</v>
      </c>
      <c r="O704">
        <v>1.084238E-2</v>
      </c>
      <c r="P704">
        <v>0.99687429999999999</v>
      </c>
      <c r="Q704">
        <v>-7.8374559999999996E-2</v>
      </c>
      <c r="R704">
        <v>-9.9727459999999993E-3</v>
      </c>
      <c r="S704">
        <v>2.995911</v>
      </c>
      <c r="T704">
        <v>-0.18355450000000001</v>
      </c>
      <c r="U704">
        <v>9.5306399999999999E-2</v>
      </c>
      <c r="V704">
        <v>2.077917E-2</v>
      </c>
      <c r="W704">
        <v>-6.4611429999999997E-2</v>
      </c>
      <c r="X704">
        <v>0.99769410000000003</v>
      </c>
      <c r="Y704">
        <v>-2.092043E-2</v>
      </c>
      <c r="Z704">
        <v>2.7074599999999999E-4</v>
      </c>
      <c r="AA704">
        <v>0.99978109999999998</v>
      </c>
      <c r="AB704">
        <v>32</v>
      </c>
      <c r="AC704">
        <v>18.891999999999999</v>
      </c>
      <c r="AD704">
        <v>-1.1706350000000001</v>
      </c>
      <c r="AE704">
        <v>0.60550000000000603</v>
      </c>
      <c r="AF704">
        <v>-0.39907991494234002</v>
      </c>
      <c r="AG704">
        <v>-1.1706350000000001</v>
      </c>
      <c r="AH704">
        <v>18.8252475588626</v>
      </c>
      <c r="AI704">
        <v>93.557519364856105</v>
      </c>
      <c r="AJ704">
        <v>91.214441954014404</v>
      </c>
      <c r="AK704">
        <v>18.865831461512599</v>
      </c>
      <c r="AL704">
        <v>93.704542956386803</v>
      </c>
      <c r="AM704">
        <v>88.806862099451294</v>
      </c>
      <c r="AN704">
        <v>0.99999996398367097</v>
      </c>
    </row>
    <row r="705" spans="1:40" x14ac:dyDescent="0.25">
      <c r="A705" t="str">
        <f>"20190303154744476"</f>
        <v>20190303154744476</v>
      </c>
      <c r="B705" t="str">
        <f>"1551599264471667"</f>
        <v>1551599264471667</v>
      </c>
      <c r="C705" t="s">
        <v>40</v>
      </c>
      <c r="D705">
        <v>4.9844189999999999</v>
      </c>
      <c r="E705">
        <v>0.48377439999999999</v>
      </c>
      <c r="F705" t="s">
        <v>43</v>
      </c>
      <c r="G705">
        <v>-305.09699999999998</v>
      </c>
      <c r="H705">
        <v>-0.05</v>
      </c>
      <c r="I705">
        <v>368.1687</v>
      </c>
      <c r="J705">
        <v>-323.7636</v>
      </c>
      <c r="K705">
        <v>1.120598</v>
      </c>
      <c r="L705">
        <v>367.55759999999998</v>
      </c>
      <c r="M705">
        <v>0.99984859999999998</v>
      </c>
      <c r="N705">
        <v>-1.361889E-2</v>
      </c>
      <c r="O705">
        <v>1.08427E-2</v>
      </c>
      <c r="P705">
        <v>0.99683569999999999</v>
      </c>
      <c r="Q705">
        <v>-7.8723390000000004E-2</v>
      </c>
      <c r="R705">
        <v>-1.1024829999999999E-2</v>
      </c>
      <c r="S705">
        <v>2.995819</v>
      </c>
      <c r="T705">
        <v>-0.1850784</v>
      </c>
      <c r="U705">
        <v>9.7106929999999994E-2</v>
      </c>
      <c r="V705">
        <v>2.1831039999999999E-2</v>
      </c>
      <c r="W705">
        <v>-6.5143549999999995E-2</v>
      </c>
      <c r="X705">
        <v>0.99763710000000005</v>
      </c>
      <c r="Y705">
        <v>-2.1519730000000001E-2</v>
      </c>
      <c r="Z705">
        <v>2.8921360000000001E-4</v>
      </c>
      <c r="AA705">
        <v>0.9997684</v>
      </c>
      <c r="AB705">
        <v>32</v>
      </c>
      <c r="AC705">
        <v>18.666599999999999</v>
      </c>
      <c r="AD705">
        <v>-1.170598</v>
      </c>
      <c r="AE705">
        <v>0.61110000000002096</v>
      </c>
      <c r="AF705">
        <v>-0.407049910582577</v>
      </c>
      <c r="AG705">
        <v>-1.170598</v>
      </c>
      <c r="AH705">
        <v>18.5990638210993</v>
      </c>
      <c r="AI705">
        <v>93.6005027473133</v>
      </c>
      <c r="AJ705">
        <v>91.253746942784005</v>
      </c>
      <c r="AK705">
        <v>18.6403101993672</v>
      </c>
      <c r="AL705">
        <v>93.735095308766503</v>
      </c>
      <c r="AM705">
        <v>88.746411037584906</v>
      </c>
      <c r="AN705">
        <v>1.0000000298552401</v>
      </c>
    </row>
    <row r="706" spans="1:40" x14ac:dyDescent="0.25">
      <c r="A706" t="str">
        <f>"20190303154744490"</f>
        <v>20190303154744490</v>
      </c>
      <c r="B706" t="str">
        <f>"1551599264481429"</f>
        <v>1551599264481429</v>
      </c>
      <c r="C706" t="s">
        <v>40</v>
      </c>
      <c r="D706">
        <v>5.0231149999999998</v>
      </c>
      <c r="E706">
        <v>0.48379559999999999</v>
      </c>
      <c r="F706" t="s">
        <v>43</v>
      </c>
      <c r="G706">
        <v>-305.01979999999998</v>
      </c>
      <c r="H706">
        <v>-0.05</v>
      </c>
      <c r="I706">
        <v>368.15600000000001</v>
      </c>
      <c r="J706">
        <v>-323.56200000000001</v>
      </c>
      <c r="K706">
        <v>1.120581</v>
      </c>
      <c r="L706">
        <v>367.5598</v>
      </c>
      <c r="M706">
        <v>0.99985020000000002</v>
      </c>
      <c r="N706">
        <v>-1.349326E-2</v>
      </c>
      <c r="O706">
        <v>1.0843200000000001E-2</v>
      </c>
      <c r="P706">
        <v>0.99684360000000005</v>
      </c>
      <c r="Q706">
        <v>-7.8592819999999994E-2</v>
      </c>
      <c r="R706">
        <v>-1.123675E-2</v>
      </c>
      <c r="S706">
        <v>2.995819</v>
      </c>
      <c r="T706">
        <v>-0.1870965</v>
      </c>
      <c r="U706">
        <v>9.5642089999999999E-2</v>
      </c>
      <c r="V706">
        <v>2.2043449999999999E-2</v>
      </c>
      <c r="W706">
        <v>-6.5138269999999998E-2</v>
      </c>
      <c r="X706">
        <v>0.99763270000000004</v>
      </c>
      <c r="Y706">
        <v>-2.103155E-2</v>
      </c>
      <c r="Z706">
        <v>2.678949E-4</v>
      </c>
      <c r="AA706">
        <v>0.99977870000000002</v>
      </c>
      <c r="AB706">
        <v>32</v>
      </c>
      <c r="AC706">
        <v>18.542200000000001</v>
      </c>
      <c r="AD706">
        <v>-1.1705809999999901</v>
      </c>
      <c r="AE706">
        <v>0.59620000000001006</v>
      </c>
      <c r="AF706">
        <v>-0.39352310364641302</v>
      </c>
      <c r="AG706">
        <v>-1.1705809999999901</v>
      </c>
      <c r="AH706">
        <v>18.4740232527204</v>
      </c>
      <c r="AI706">
        <v>93.624800899075495</v>
      </c>
      <c r="AJ706">
        <v>91.220297459133207</v>
      </c>
      <c r="AK706">
        <v>18.515254668859399</v>
      </c>
      <c r="AL706">
        <v>93.734792419354704</v>
      </c>
      <c r="AM706">
        <v>88.734212330877597</v>
      </c>
      <c r="AN706">
        <v>0.99999995600789104</v>
      </c>
    </row>
    <row r="707" spans="1:40" x14ac:dyDescent="0.25">
      <c r="A707" t="str">
        <f>"20190303154744502"</f>
        <v>20190303154744502</v>
      </c>
      <c r="B707" t="str">
        <f>"1551599264491188"</f>
        <v>1551599264491188</v>
      </c>
      <c r="C707" t="s">
        <v>40</v>
      </c>
      <c r="D707">
        <v>4.9956699999999996</v>
      </c>
      <c r="E707">
        <v>0.48374729999999999</v>
      </c>
      <c r="F707" t="s">
        <v>43</v>
      </c>
      <c r="G707">
        <v>-304.79930000000002</v>
      </c>
      <c r="H707">
        <v>-0.05</v>
      </c>
      <c r="I707">
        <v>368.15370000000001</v>
      </c>
      <c r="J707">
        <v>-323.38339999999999</v>
      </c>
      <c r="K707">
        <v>1.1205639999999999</v>
      </c>
      <c r="L707">
        <v>367.56180000000001</v>
      </c>
      <c r="M707">
        <v>0.99985159999999995</v>
      </c>
      <c r="N707">
        <v>-1.338634E-2</v>
      </c>
      <c r="O707">
        <v>1.08434E-2</v>
      </c>
      <c r="P707">
        <v>0.99682300000000001</v>
      </c>
      <c r="Q707">
        <v>-7.8775819999999996E-2</v>
      </c>
      <c r="R707">
        <v>-1.176774E-2</v>
      </c>
      <c r="S707">
        <v>2.995819</v>
      </c>
      <c r="T707">
        <v>-0.18690490000000001</v>
      </c>
      <c r="U707">
        <v>9.4818120000000006E-2</v>
      </c>
      <c r="V707">
        <v>2.2574420000000001E-2</v>
      </c>
      <c r="W707">
        <v>-6.5428280000000005E-2</v>
      </c>
      <c r="X707">
        <v>0.99760190000000004</v>
      </c>
      <c r="Y707">
        <v>-2.075751E-2</v>
      </c>
      <c r="Z707">
        <v>2.552454E-4</v>
      </c>
      <c r="AA707">
        <v>0.99978449999999996</v>
      </c>
      <c r="AB707">
        <v>32</v>
      </c>
      <c r="AC707">
        <v>18.5840999999999</v>
      </c>
      <c r="AD707">
        <v>-1.1705639999999999</v>
      </c>
      <c r="AE707">
        <v>0.59190000000000897</v>
      </c>
      <c r="AF707">
        <v>-0.38879137490273002</v>
      </c>
      <c r="AG707">
        <v>-1.1705639999999999</v>
      </c>
      <c r="AH707">
        <v>18.516039695709502</v>
      </c>
      <c r="AI707">
        <v>93.616568174965593</v>
      </c>
      <c r="AJ707">
        <v>91.202893939687897</v>
      </c>
      <c r="AK707">
        <v>18.557076947202201</v>
      </c>
      <c r="AL707">
        <v>93.751444097689799</v>
      </c>
      <c r="AM707">
        <v>88.7036930357758</v>
      </c>
      <c r="AN707">
        <v>1.0000000075728499</v>
      </c>
    </row>
    <row r="708" spans="1:40" x14ac:dyDescent="0.25">
      <c r="A708" t="str">
        <f>"20190303154744514"</f>
        <v>20190303154744514</v>
      </c>
      <c r="B708" t="str">
        <f>"1551599264511684"</f>
        <v>1551599264511684</v>
      </c>
      <c r="C708" t="s">
        <v>40</v>
      </c>
      <c r="D708">
        <v>4.9472069999999997</v>
      </c>
      <c r="E708">
        <v>0.48368879999999997</v>
      </c>
      <c r="F708" t="s">
        <v>43</v>
      </c>
      <c r="G708">
        <v>-304.75319999999999</v>
      </c>
      <c r="H708">
        <v>-0.05</v>
      </c>
      <c r="I708">
        <v>368.14530000000002</v>
      </c>
      <c r="J708">
        <v>-323.20659999999998</v>
      </c>
      <c r="K708">
        <v>1.1205499999999999</v>
      </c>
      <c r="L708">
        <v>367.56369999999998</v>
      </c>
      <c r="M708">
        <v>0.99985279999999999</v>
      </c>
      <c r="N708">
        <v>-1.3294449999999999E-2</v>
      </c>
      <c r="O708">
        <v>1.084354E-2</v>
      </c>
      <c r="P708">
        <v>0.99679220000000002</v>
      </c>
      <c r="Q708">
        <v>-7.9165520000000003E-2</v>
      </c>
      <c r="R708">
        <v>-1.176089E-2</v>
      </c>
      <c r="S708">
        <v>2.995819</v>
      </c>
      <c r="T708">
        <v>-0.1882318</v>
      </c>
      <c r="U708">
        <v>9.3841549999999996E-2</v>
      </c>
      <c r="V708">
        <v>2.2567429999999999E-2</v>
      </c>
      <c r="W708">
        <v>-6.5910049999999998E-2</v>
      </c>
      <c r="X708">
        <v>0.99757030000000002</v>
      </c>
      <c r="Y708">
        <v>-2.0432280000000001E-2</v>
      </c>
      <c r="Z708">
        <v>2.4071229999999999E-4</v>
      </c>
      <c r="AA708">
        <v>0.99979119999999999</v>
      </c>
      <c r="AB708">
        <v>32</v>
      </c>
      <c r="AC708">
        <v>18.453399999999899</v>
      </c>
      <c r="AD708">
        <v>-1.17055</v>
      </c>
      <c r="AE708">
        <v>0.58160000000003698</v>
      </c>
      <c r="AF708">
        <v>-0.379920752558501</v>
      </c>
      <c r="AG708">
        <v>-1.17055</v>
      </c>
      <c r="AH708">
        <v>18.384720583537</v>
      </c>
      <c r="AI708">
        <v>93.642313151948102</v>
      </c>
      <c r="AJ708">
        <v>91.183850347891806</v>
      </c>
      <c r="AK708">
        <v>18.425864376344801</v>
      </c>
      <c r="AL708">
        <v>93.779107364353393</v>
      </c>
      <c r="AM708">
        <v>88.704053254253196</v>
      </c>
      <c r="AN708">
        <v>0.99999996351494802</v>
      </c>
    </row>
    <row r="709" spans="1:40" x14ac:dyDescent="0.25">
      <c r="A709" t="str">
        <f>"20190303154744530"</f>
        <v>20190303154744530</v>
      </c>
      <c r="B709" t="str">
        <f>"1551599264521444"</f>
        <v>1551599264521444</v>
      </c>
      <c r="C709" t="s">
        <v>40</v>
      </c>
      <c r="D709">
        <v>4.9268559999999999</v>
      </c>
      <c r="E709">
        <v>0.48354849999999999</v>
      </c>
      <c r="F709" t="s">
        <v>43</v>
      </c>
      <c r="G709">
        <v>-304.78750000000002</v>
      </c>
      <c r="H709">
        <v>-0.05</v>
      </c>
      <c r="I709">
        <v>368.14120000000003</v>
      </c>
      <c r="J709">
        <v>-322.9778</v>
      </c>
      <c r="K709">
        <v>1.1205339999999999</v>
      </c>
      <c r="L709">
        <v>367.56619999999998</v>
      </c>
      <c r="M709">
        <v>0.99985409999999997</v>
      </c>
      <c r="N709">
        <v>-1.3194600000000001E-2</v>
      </c>
      <c r="O709">
        <v>1.084356E-2</v>
      </c>
      <c r="P709">
        <v>0.99670959999999997</v>
      </c>
      <c r="Q709">
        <v>-8.0265740000000002E-2</v>
      </c>
      <c r="R709">
        <v>-1.129351E-2</v>
      </c>
      <c r="S709">
        <v>2.9956049999999999</v>
      </c>
      <c r="T709">
        <v>-0.19037380000000001</v>
      </c>
      <c r="U709">
        <v>9.393311E-2</v>
      </c>
      <c r="V709">
        <v>2.209908E-2</v>
      </c>
      <c r="W709">
        <v>-6.7110779999999995E-2</v>
      </c>
      <c r="X709">
        <v>0.99750079999999997</v>
      </c>
      <c r="Y709">
        <v>-2.046444E-2</v>
      </c>
      <c r="Z709">
        <v>2.3939149999999999E-4</v>
      </c>
      <c r="AA709">
        <v>0.99979050000000003</v>
      </c>
      <c r="AB709">
        <v>32</v>
      </c>
      <c r="AC709">
        <v>18.190299999999901</v>
      </c>
      <c r="AD709">
        <v>-1.170534</v>
      </c>
      <c r="AE709">
        <v>0.57500000000004503</v>
      </c>
      <c r="AF709">
        <v>-0.37614539374876799</v>
      </c>
      <c r="AG709">
        <v>-1.170534</v>
      </c>
      <c r="AH709">
        <v>18.120506738459699</v>
      </c>
      <c r="AI709">
        <v>93.695217907017295</v>
      </c>
      <c r="AJ709">
        <v>91.189174738685296</v>
      </c>
      <c r="AK709">
        <v>18.162169464603</v>
      </c>
      <c r="AL709">
        <v>93.848056525438395</v>
      </c>
      <c r="AM709">
        <v>88.730851223241203</v>
      </c>
      <c r="AN709">
        <v>1.00000003606484</v>
      </c>
    </row>
    <row r="710" spans="1:40" x14ac:dyDescent="0.25">
      <c r="A710" t="str">
        <f>"20190303154744543"</f>
        <v>20190303154744543</v>
      </c>
      <c r="B710" t="str">
        <f>"1551599264531205"</f>
        <v>1551599264531205</v>
      </c>
      <c r="C710" t="s">
        <v>40</v>
      </c>
      <c r="D710">
        <v>5.0206109999999997</v>
      </c>
      <c r="E710">
        <v>0.48354849999999999</v>
      </c>
      <c r="F710" t="s">
        <v>43</v>
      </c>
      <c r="G710">
        <v>-304.90359999999998</v>
      </c>
      <c r="H710">
        <v>-0.05</v>
      </c>
      <c r="I710">
        <v>368.14949999999999</v>
      </c>
      <c r="J710">
        <v>-322.79379999999998</v>
      </c>
      <c r="K710">
        <v>1.1205309999999999</v>
      </c>
      <c r="L710">
        <v>367.56819999999999</v>
      </c>
      <c r="M710">
        <v>0.99985500000000005</v>
      </c>
      <c r="N710">
        <v>-1.3134E-2</v>
      </c>
      <c r="O710">
        <v>1.0843780000000001E-2</v>
      </c>
      <c r="P710">
        <v>0.99663769999999996</v>
      </c>
      <c r="Q710">
        <v>-8.1237539999999997E-2</v>
      </c>
      <c r="R710">
        <v>-1.0660060000000001E-2</v>
      </c>
      <c r="S710">
        <v>2.995422</v>
      </c>
      <c r="T710">
        <v>-0.1939912</v>
      </c>
      <c r="U710">
        <v>9.6679689999999999E-2</v>
      </c>
      <c r="V710">
        <v>2.1465120000000001E-2</v>
      </c>
      <c r="W710">
        <v>-6.8143780000000001E-2</v>
      </c>
      <c r="X710">
        <v>0.99744460000000001</v>
      </c>
      <c r="Y710">
        <v>-2.1378620000000001E-2</v>
      </c>
      <c r="Z710">
        <v>2.729435E-4</v>
      </c>
      <c r="AA710">
        <v>0.99977139999999998</v>
      </c>
      <c r="AB710">
        <v>32</v>
      </c>
      <c r="AC710">
        <v>17.890199999999901</v>
      </c>
      <c r="AD710">
        <v>-1.170531</v>
      </c>
      <c r="AE710">
        <v>0.58129999999999804</v>
      </c>
      <c r="AF710">
        <v>-0.38560271233079202</v>
      </c>
      <c r="AG710">
        <v>-1.170531</v>
      </c>
      <c r="AH710">
        <v>17.819249948616601</v>
      </c>
      <c r="AI710">
        <v>93.757433117358005</v>
      </c>
      <c r="AJ710">
        <v>91.2396683596684</v>
      </c>
      <c r="AK710">
        <v>17.861816845018598</v>
      </c>
      <c r="AL710">
        <v>93.907378906712793</v>
      </c>
      <c r="AM710">
        <v>88.767178668648299</v>
      </c>
      <c r="AN710">
        <v>1.0000000280992301</v>
      </c>
    </row>
    <row r="711" spans="1:40" x14ac:dyDescent="0.25">
      <c r="A711" t="str">
        <f>"20190303154744554"</f>
        <v>20190303154744554</v>
      </c>
      <c r="B711" t="str">
        <f>"1551599264551700"</f>
        <v>1551599264551700</v>
      </c>
      <c r="C711" t="s">
        <v>40</v>
      </c>
      <c r="D711">
        <v>5.0105469999999999</v>
      </c>
      <c r="E711">
        <v>0.47754029999999997</v>
      </c>
      <c r="F711" t="s">
        <v>43</v>
      </c>
      <c r="G711">
        <v>-304.99369999999999</v>
      </c>
      <c r="H711">
        <v>-0.05</v>
      </c>
      <c r="I711">
        <v>368.15289999999999</v>
      </c>
      <c r="J711">
        <v>-322.62020000000001</v>
      </c>
      <c r="K711">
        <v>1.12053799999999</v>
      </c>
      <c r="L711">
        <v>367.57010000000002</v>
      </c>
      <c r="M711">
        <v>0.99985520000000006</v>
      </c>
      <c r="N711">
        <v>-1.311672E-2</v>
      </c>
      <c r="O711">
        <v>1.0843719999999999E-2</v>
      </c>
      <c r="P711">
        <v>0.99658239999999998</v>
      </c>
      <c r="Q711">
        <v>-8.198656E-2</v>
      </c>
      <c r="R711">
        <v>-1.009142E-2</v>
      </c>
      <c r="S711">
        <v>2.995117</v>
      </c>
      <c r="T711">
        <v>-0.1969593</v>
      </c>
      <c r="U711">
        <v>9.8388669999999998E-2</v>
      </c>
      <c r="V711">
        <v>2.0895830000000001E-2</v>
      </c>
      <c r="W711">
        <v>-6.8910600000000002E-2</v>
      </c>
      <c r="X711">
        <v>0.99740399999999996</v>
      </c>
      <c r="Y711">
        <v>-2.1949400000000001E-2</v>
      </c>
      <c r="Z711">
        <v>2.949146E-4</v>
      </c>
      <c r="AA711">
        <v>0.99975899999999995</v>
      </c>
      <c r="AB711">
        <v>32</v>
      </c>
      <c r="AC711">
        <v>17.6265</v>
      </c>
      <c r="AD711">
        <v>-1.1705380000000001</v>
      </c>
      <c r="AE711">
        <v>0.58279999999996301</v>
      </c>
      <c r="AF711">
        <v>-0.38989489876340599</v>
      </c>
      <c r="AG711">
        <v>-1.1705380000000001</v>
      </c>
      <c r="AH711">
        <v>17.554453089987302</v>
      </c>
      <c r="AI711">
        <v>93.813920533235802</v>
      </c>
      <c r="AJ711">
        <v>91.272364323456998</v>
      </c>
      <c r="AK711">
        <v>17.597755553765701</v>
      </c>
      <c r="AL711">
        <v>93.9514180018449</v>
      </c>
      <c r="AM711">
        <v>88.799816570534503</v>
      </c>
      <c r="AN711">
        <v>1.00000002285987</v>
      </c>
    </row>
    <row r="712" spans="1:40" x14ac:dyDescent="0.25">
      <c r="A712" t="str">
        <f>"20190303154744569"</f>
        <v>20190303154744569</v>
      </c>
      <c r="B712" t="str">
        <f>"1551599264561461"</f>
        <v>1551599264561461</v>
      </c>
      <c r="C712" t="s">
        <v>40</v>
      </c>
      <c r="D712">
        <v>4.9218289999999998</v>
      </c>
      <c r="E712">
        <v>0.47864790000000002</v>
      </c>
      <c r="F712" t="s">
        <v>43</v>
      </c>
      <c r="G712">
        <v>-308.70010000000002</v>
      </c>
      <c r="H712">
        <v>-0.05</v>
      </c>
      <c r="I712">
        <v>368.2627</v>
      </c>
      <c r="J712">
        <v>-322.42399999999998</v>
      </c>
      <c r="K712">
        <v>1.1205529999999999</v>
      </c>
      <c r="L712">
        <v>367.57220000000001</v>
      </c>
      <c r="M712">
        <v>0.99985500000000005</v>
      </c>
      <c r="N712">
        <v>-1.3127720000000001E-2</v>
      </c>
      <c r="O712">
        <v>1.0842330000000001E-2</v>
      </c>
      <c r="P712">
        <v>0.99656619999999996</v>
      </c>
      <c r="Q712">
        <v>-8.2273470000000001E-2</v>
      </c>
      <c r="R712">
        <v>-9.3330059999999996E-3</v>
      </c>
      <c r="S712">
        <v>2.9911189999999999</v>
      </c>
      <c r="T712">
        <v>-0.25152279999999999</v>
      </c>
      <c r="U712">
        <v>0.1488342</v>
      </c>
      <c r="V712">
        <v>2.0135710000000001E-2</v>
      </c>
      <c r="W712">
        <v>-6.9186600000000001E-2</v>
      </c>
      <c r="X712">
        <v>0.99740050000000002</v>
      </c>
      <c r="Y712">
        <v>-3.8733860000000002E-2</v>
      </c>
      <c r="Z712">
        <v>1.1121869999999999E-3</v>
      </c>
      <c r="AA712">
        <v>0.9992489</v>
      </c>
      <c r="AB712">
        <v>32</v>
      </c>
      <c r="AC712">
        <v>13.7239</v>
      </c>
      <c r="AD712">
        <v>-1.170553</v>
      </c>
      <c r="AE712">
        <v>0.69049999999998501</v>
      </c>
      <c r="AF712">
        <v>-0.53774535711473603</v>
      </c>
      <c r="AG712">
        <v>-1.170553</v>
      </c>
      <c r="AH712">
        <v>13.6316618687949</v>
      </c>
      <c r="AI712">
        <v>94.904162461847307</v>
      </c>
      <c r="AJ712">
        <v>92.259047540954697</v>
      </c>
      <c r="AK712">
        <v>13.6923909416897</v>
      </c>
      <c r="AL712">
        <v>93.967269580448303</v>
      </c>
      <c r="AM712">
        <v>88.843459066971405</v>
      </c>
      <c r="AN712">
        <v>0.999999994918507</v>
      </c>
    </row>
    <row r="713" spans="1:40" x14ac:dyDescent="0.25">
      <c r="A713" t="str">
        <f>"20190303154744584"</f>
        <v>20190303154744584</v>
      </c>
      <c r="B713" t="str">
        <f>"1551599264580980"</f>
        <v>1551599264580980</v>
      </c>
      <c r="C713" t="s">
        <v>40</v>
      </c>
      <c r="D713">
        <v>4.9234999999999998</v>
      </c>
      <c r="E713">
        <v>0.47878680000000001</v>
      </c>
      <c r="F713" t="s">
        <v>43</v>
      </c>
      <c r="G713">
        <v>-307.98020000000002</v>
      </c>
      <c r="H713">
        <v>-0.05</v>
      </c>
      <c r="I713">
        <v>368.25979999999998</v>
      </c>
      <c r="J713">
        <v>-322.20060000000001</v>
      </c>
      <c r="K713">
        <v>1.120579</v>
      </c>
      <c r="L713">
        <v>367.57459999999998</v>
      </c>
      <c r="M713">
        <v>0.99985469999999999</v>
      </c>
      <c r="N713">
        <v>-1.317023E-2</v>
      </c>
      <c r="O713">
        <v>1.083712E-2</v>
      </c>
      <c r="P713">
        <v>0.99654290000000001</v>
      </c>
      <c r="Q713">
        <v>-8.2618849999999994E-2</v>
      </c>
      <c r="R713">
        <v>-8.7543599999999992E-3</v>
      </c>
      <c r="S713">
        <v>2.9916689999999999</v>
      </c>
      <c r="T713">
        <v>-0.24245120000000001</v>
      </c>
      <c r="U713">
        <v>0.14242550000000001</v>
      </c>
      <c r="V713">
        <v>1.9551329999999999E-2</v>
      </c>
      <c r="W713">
        <v>-6.9489850000000006E-2</v>
      </c>
      <c r="X713">
        <v>0.99739100000000003</v>
      </c>
      <c r="Y713">
        <v>-3.6610490000000002E-2</v>
      </c>
      <c r="Z713">
        <v>9.8812940000000005E-4</v>
      </c>
      <c r="AA713">
        <v>0.99932909999999997</v>
      </c>
      <c r="AB713">
        <v>32</v>
      </c>
      <c r="AC713">
        <v>14.2203999999999</v>
      </c>
      <c r="AD713">
        <v>-1.170579</v>
      </c>
      <c r="AE713">
        <v>0.68520000000000802</v>
      </c>
      <c r="AF713">
        <v>-0.52747232214105799</v>
      </c>
      <c r="AG713">
        <v>-1.170579</v>
      </c>
      <c r="AH713">
        <v>14.131457096564301</v>
      </c>
      <c r="AI713">
        <v>94.732003760946895</v>
      </c>
      <c r="AJ713">
        <v>92.137636191917807</v>
      </c>
      <c r="AK713">
        <v>14.1896639113794</v>
      </c>
      <c r="AL713">
        <v>93.984686622495204</v>
      </c>
      <c r="AM713">
        <v>88.877004862402501</v>
      </c>
      <c r="AN713">
        <v>0.99999995031939404</v>
      </c>
    </row>
    <row r="714" spans="1:40" x14ac:dyDescent="0.25">
      <c r="A714" t="str">
        <f>"20190303154744598"</f>
        <v>20190303154744598</v>
      </c>
      <c r="B714" t="str">
        <f>"1551599264591716"</f>
        <v>1551599264591716</v>
      </c>
      <c r="C714" t="s">
        <v>40</v>
      </c>
      <c r="D714">
        <v>4.9454070000000003</v>
      </c>
      <c r="E714">
        <v>0.47942669999999998</v>
      </c>
      <c r="F714" t="s">
        <v>43</v>
      </c>
      <c r="G714">
        <v>-307.48070000000001</v>
      </c>
      <c r="H714">
        <v>-0.05</v>
      </c>
      <c r="I714">
        <v>368.27699999999999</v>
      </c>
      <c r="J714">
        <v>-321.99430000000001</v>
      </c>
      <c r="K714">
        <v>1.1205959999999999</v>
      </c>
      <c r="L714">
        <v>367.57679999999999</v>
      </c>
      <c r="M714">
        <v>0.99985400000000002</v>
      </c>
      <c r="N714">
        <v>-1.322861E-2</v>
      </c>
      <c r="O714">
        <v>1.082545E-2</v>
      </c>
      <c r="P714">
        <v>0.99652739999999995</v>
      </c>
      <c r="Q714">
        <v>-8.2870470000000002E-2</v>
      </c>
      <c r="R714">
        <v>-8.1145990000000001E-3</v>
      </c>
      <c r="S714">
        <v>2.991943</v>
      </c>
      <c r="T714">
        <v>-0.23792859999999999</v>
      </c>
      <c r="U714">
        <v>0.1427612</v>
      </c>
      <c r="V714">
        <v>1.8898990000000001E-2</v>
      </c>
      <c r="W714">
        <v>-6.9683529999999994E-2</v>
      </c>
      <c r="X714">
        <v>0.99739009999999995</v>
      </c>
      <c r="Y714">
        <v>-3.6732769999999998E-2</v>
      </c>
      <c r="Z714">
        <v>9.8497329999999998E-4</v>
      </c>
      <c r="AA714">
        <v>0.99932460000000001</v>
      </c>
      <c r="AB714">
        <v>32</v>
      </c>
      <c r="AC714">
        <v>14.513599999999901</v>
      </c>
      <c r="AD714">
        <v>-1.170596</v>
      </c>
      <c r="AE714">
        <v>0.70019999999999505</v>
      </c>
      <c r="AF714">
        <v>-0.53952737072935597</v>
      </c>
      <c r="AG714">
        <v>-1.170596</v>
      </c>
      <c r="AH714">
        <v>14.426698736326999</v>
      </c>
      <c r="AI714">
        <v>94.635644650212498</v>
      </c>
      <c r="AJ714">
        <v>92.141740287469901</v>
      </c>
      <c r="AK714">
        <v>14.484164498089701</v>
      </c>
      <c r="AL714">
        <v>93.995810480951604</v>
      </c>
      <c r="AM714">
        <v>88.914464062430895</v>
      </c>
      <c r="AN714">
        <v>0.99999998887714503</v>
      </c>
    </row>
    <row r="715" spans="1:40" x14ac:dyDescent="0.25">
      <c r="A715" t="str">
        <f>"20190303154744614"</f>
        <v>20190303154744614</v>
      </c>
      <c r="B715" t="str">
        <f>"1551599264601476"</f>
        <v>1551599264601476</v>
      </c>
      <c r="C715" t="s">
        <v>40</v>
      </c>
      <c r="D715">
        <v>4.9725780000000004</v>
      </c>
      <c r="E715">
        <v>0.47940379999999999</v>
      </c>
      <c r="F715" t="s">
        <v>43</v>
      </c>
      <c r="G715">
        <v>-306.89</v>
      </c>
      <c r="H715">
        <v>-0.05</v>
      </c>
      <c r="I715">
        <v>368.2817</v>
      </c>
      <c r="J715">
        <v>-321.78089999999997</v>
      </c>
      <c r="K715">
        <v>1.120611</v>
      </c>
      <c r="L715">
        <v>367.57920000000001</v>
      </c>
      <c r="M715">
        <v>0.9998534</v>
      </c>
      <c r="N715">
        <v>-1.3294439999999999E-2</v>
      </c>
      <c r="O715">
        <v>1.080185E-2</v>
      </c>
      <c r="P715">
        <v>0.99651690000000004</v>
      </c>
      <c r="Q715">
        <v>-8.2995459999999993E-2</v>
      </c>
      <c r="R715">
        <v>-8.1186409999999994E-3</v>
      </c>
      <c r="S715">
        <v>2.9922789999999999</v>
      </c>
      <c r="T715">
        <v>-0.23190340000000001</v>
      </c>
      <c r="U715">
        <v>0.13964840000000001</v>
      </c>
      <c r="V715">
        <v>1.8877919999999999E-2</v>
      </c>
      <c r="W715">
        <v>-6.9743369999999999E-2</v>
      </c>
      <c r="X715">
        <v>0.99738629999999995</v>
      </c>
      <c r="Y715">
        <v>-3.5721950000000002E-2</v>
      </c>
      <c r="Z715">
        <v>9.2741009999999997E-4</v>
      </c>
      <c r="AA715">
        <v>0.99936130000000001</v>
      </c>
      <c r="AB715">
        <v>32</v>
      </c>
      <c r="AC715">
        <v>14.890899999999901</v>
      </c>
      <c r="AD715">
        <v>-1.1706110000000001</v>
      </c>
      <c r="AE715">
        <v>0.70249999999998602</v>
      </c>
      <c r="AF715">
        <v>-0.53827642125584996</v>
      </c>
      <c r="AG715">
        <v>-1.1706110000000001</v>
      </c>
      <c r="AH715">
        <v>14.806321275438799</v>
      </c>
      <c r="AI715">
        <v>94.517519177449202</v>
      </c>
      <c r="AJ715">
        <v>92.082042551600296</v>
      </c>
      <c r="AK715">
        <v>14.8622751061374</v>
      </c>
      <c r="AL715">
        <v>93.999247488018696</v>
      </c>
      <c r="AM715">
        <v>88.915669879288998</v>
      </c>
      <c r="AN715">
        <v>0.99999997247508599</v>
      </c>
    </row>
    <row r="716" spans="1:40" x14ac:dyDescent="0.25">
      <c r="A716" t="str">
        <f>"20190303154744627"</f>
        <v>20190303154744627</v>
      </c>
      <c r="B716" t="str">
        <f>"1551599264620996"</f>
        <v>1551599264620996</v>
      </c>
      <c r="C716" t="s">
        <v>40</v>
      </c>
      <c r="D716">
        <v>4.9271229999999999</v>
      </c>
      <c r="E716">
        <v>0.47962589999999999</v>
      </c>
      <c r="F716" t="s">
        <v>43</v>
      </c>
      <c r="G716">
        <v>-306.62529999999998</v>
      </c>
      <c r="H716">
        <v>-0.05</v>
      </c>
      <c r="I716">
        <v>368.2869</v>
      </c>
      <c r="J716">
        <v>-321.57799999999997</v>
      </c>
      <c r="K716">
        <v>1.1206229999999999</v>
      </c>
      <c r="L716">
        <v>367.5813</v>
      </c>
      <c r="M716">
        <v>0.99985290000000004</v>
      </c>
      <c r="N716">
        <v>-1.335834E-2</v>
      </c>
      <c r="O716">
        <v>1.0767179999999999E-2</v>
      </c>
      <c r="P716">
        <v>0.99649580000000004</v>
      </c>
      <c r="Q716">
        <v>-8.3252209999999993E-2</v>
      </c>
      <c r="R716">
        <v>-8.0843919999999993E-3</v>
      </c>
      <c r="S716">
        <v>2.9924010000000001</v>
      </c>
      <c r="T716">
        <v>-0.23113159999999999</v>
      </c>
      <c r="U716">
        <v>0.13974</v>
      </c>
      <c r="V716">
        <v>1.880687E-2</v>
      </c>
      <c r="W716">
        <v>-6.993721E-2</v>
      </c>
      <c r="X716">
        <v>0.99737410000000004</v>
      </c>
      <c r="Y716">
        <v>-3.5785369999999997E-2</v>
      </c>
      <c r="Z716">
        <v>9.3248630000000005E-4</v>
      </c>
      <c r="AA716">
        <v>0.99935909999999994</v>
      </c>
      <c r="AB716">
        <v>32</v>
      </c>
      <c r="AC716">
        <v>14.952699999999901</v>
      </c>
      <c r="AD716">
        <v>-1.170623</v>
      </c>
      <c r="AE716">
        <v>0.705600000000004</v>
      </c>
      <c r="AF716">
        <v>-0.54123642004497496</v>
      </c>
      <c r="AG716">
        <v>-1.170623</v>
      </c>
      <c r="AH716">
        <v>14.8685033888699</v>
      </c>
      <c r="AI716">
        <v>94.498742280711596</v>
      </c>
      <c r="AJ716">
        <v>92.084734124136403</v>
      </c>
      <c r="AK716">
        <v>14.924332082051301</v>
      </c>
      <c r="AL716">
        <v>94.010380763208403</v>
      </c>
      <c r="AM716">
        <v>88.919736745531694</v>
      </c>
      <c r="AN716">
        <v>1.0000000035262899</v>
      </c>
    </row>
    <row r="717" spans="1:40" x14ac:dyDescent="0.25">
      <c r="A717" t="str">
        <f>"20190303154744644"</f>
        <v>20190303154744644</v>
      </c>
      <c r="B717" t="str">
        <f>"1551599264631732"</f>
        <v>1551599264631732</v>
      </c>
      <c r="C717" t="s">
        <v>40</v>
      </c>
      <c r="D717">
        <v>4.9150910000000003</v>
      </c>
      <c r="E717">
        <v>0.47966890000000001</v>
      </c>
      <c r="F717" t="s">
        <v>43</v>
      </c>
      <c r="G717">
        <v>-306.64830000000001</v>
      </c>
      <c r="H717">
        <v>-0.05</v>
      </c>
      <c r="I717">
        <v>368.2697</v>
      </c>
      <c r="J717">
        <v>-321.35120000000001</v>
      </c>
      <c r="K717">
        <v>1.1206229999999999</v>
      </c>
      <c r="L717">
        <v>367.58370000000002</v>
      </c>
      <c r="M717">
        <v>0.99985250000000003</v>
      </c>
      <c r="N717">
        <v>-1.343041E-2</v>
      </c>
      <c r="O717">
        <v>1.071138E-2</v>
      </c>
      <c r="P717">
        <v>0.99648709999999996</v>
      </c>
      <c r="Q717">
        <v>-8.3339750000000004E-2</v>
      </c>
      <c r="R717">
        <v>-8.2488209999999999E-3</v>
      </c>
      <c r="S717">
        <v>2.9920650000000002</v>
      </c>
      <c r="T717">
        <v>-0.23460510000000001</v>
      </c>
      <c r="U717">
        <v>0.13797000000000001</v>
      </c>
      <c r="V717">
        <v>1.8912410000000001E-2</v>
      </c>
      <c r="W717">
        <v>-6.9953840000000003E-2</v>
      </c>
      <c r="X717">
        <v>0.99737100000000001</v>
      </c>
      <c r="Y717">
        <v>-3.5255370000000001E-2</v>
      </c>
      <c r="Z717">
        <v>9.2217239999999999E-4</v>
      </c>
      <c r="AA717">
        <v>0.99937790000000004</v>
      </c>
      <c r="AB717">
        <v>32</v>
      </c>
      <c r="AC717">
        <v>14.7029</v>
      </c>
      <c r="AD717">
        <v>-1.170623</v>
      </c>
      <c r="AE717">
        <v>0.68599999999997796</v>
      </c>
      <c r="AF717">
        <v>-0.52513642885780798</v>
      </c>
      <c r="AG717">
        <v>-1.170623</v>
      </c>
      <c r="AH717">
        <v>14.616947905383</v>
      </c>
      <c r="AI717">
        <v>94.575917101013204</v>
      </c>
      <c r="AJ717">
        <v>92.057554434903693</v>
      </c>
      <c r="AK717">
        <v>14.673148692278801</v>
      </c>
      <c r="AL717">
        <v>94.011335683155906</v>
      </c>
      <c r="AM717">
        <v>88.913672619771404</v>
      </c>
      <c r="AN717">
        <v>1.0000000653118699</v>
      </c>
    </row>
    <row r="718" spans="1:40" x14ac:dyDescent="0.25">
      <c r="A718" t="str">
        <f>"20190303154744659"</f>
        <v>20190303154744659</v>
      </c>
      <c r="B718" t="str">
        <f>"1551599264651252"</f>
        <v>1551599264651252</v>
      </c>
      <c r="C718" t="s">
        <v>40</v>
      </c>
      <c r="D718">
        <v>4.9252079999999996</v>
      </c>
      <c r="E718">
        <v>0.479684</v>
      </c>
      <c r="F718" t="s">
        <v>43</v>
      </c>
      <c r="G718">
        <v>-306.48340000000002</v>
      </c>
      <c r="H718">
        <v>-0.05</v>
      </c>
      <c r="I718">
        <v>368.26609999999999</v>
      </c>
      <c r="J718">
        <v>-321.12650000000002</v>
      </c>
      <c r="K718">
        <v>1.1206119999999999</v>
      </c>
      <c r="L718">
        <v>367.58600000000001</v>
      </c>
      <c r="M718">
        <v>0.99985230000000003</v>
      </c>
      <c r="N718">
        <v>-1.350177E-2</v>
      </c>
      <c r="O718">
        <v>1.0634390000000001E-2</v>
      </c>
      <c r="P718">
        <v>0.9964594</v>
      </c>
      <c r="Q718">
        <v>-8.3650569999999994E-2</v>
      </c>
      <c r="R718">
        <v>-8.4574330000000003E-3</v>
      </c>
      <c r="S718">
        <v>2.9920040000000001</v>
      </c>
      <c r="T718">
        <v>-0.23557710000000001</v>
      </c>
      <c r="U718">
        <v>0.13732910000000001</v>
      </c>
      <c r="V718">
        <v>1.904001E-2</v>
      </c>
      <c r="W718">
        <v>-7.0194930000000003E-2</v>
      </c>
      <c r="X718">
        <v>0.9973516</v>
      </c>
      <c r="Y718">
        <v>-3.5119060000000001E-2</v>
      </c>
      <c r="Z718">
        <v>9.2518030000000005E-4</v>
      </c>
      <c r="AA718">
        <v>0.99938269999999996</v>
      </c>
      <c r="AB718">
        <v>32</v>
      </c>
      <c r="AC718">
        <v>14.6431</v>
      </c>
      <c r="AD718">
        <v>-1.170612</v>
      </c>
      <c r="AE718">
        <v>0.68009999999998105</v>
      </c>
      <c r="AF718">
        <v>-0.52100440090090105</v>
      </c>
      <c r="AG718">
        <v>-1.170612</v>
      </c>
      <c r="AH718">
        <v>14.556675385121199</v>
      </c>
      <c r="AI718">
        <v>94.594762059650193</v>
      </c>
      <c r="AJ718">
        <v>92.049823567453799</v>
      </c>
      <c r="AK718">
        <v>14.612959190666899</v>
      </c>
      <c r="AL718">
        <v>94.025183295972596</v>
      </c>
      <c r="AM718">
        <v>88.906323791665599</v>
      </c>
      <c r="AN718">
        <v>1.00000003210053</v>
      </c>
    </row>
    <row r="719" spans="1:40" x14ac:dyDescent="0.25">
      <c r="A719" t="str">
        <f>"20190303154744673"</f>
        <v>20190303154744673</v>
      </c>
      <c r="B719" t="str">
        <f>"1551599264661013"</f>
        <v>1551599264661013</v>
      </c>
      <c r="C719" t="s">
        <v>40</v>
      </c>
      <c r="D719">
        <v>4.9289430000000003</v>
      </c>
      <c r="E719">
        <v>0.47959619999999997</v>
      </c>
      <c r="F719" t="s">
        <v>43</v>
      </c>
      <c r="G719">
        <v>-306.27890000000002</v>
      </c>
      <c r="H719">
        <v>-0.05</v>
      </c>
      <c r="I719">
        <v>368.2636</v>
      </c>
      <c r="J719">
        <v>-320.92430000000002</v>
      </c>
      <c r="K719">
        <v>1.120468</v>
      </c>
      <c r="L719">
        <v>367.5881</v>
      </c>
      <c r="M719">
        <v>0.99985930000000001</v>
      </c>
      <c r="N719">
        <v>-1.305577E-2</v>
      </c>
      <c r="O719">
        <v>1.053718E-2</v>
      </c>
      <c r="P719">
        <v>0.99652560000000001</v>
      </c>
      <c r="Q719">
        <v>-8.2828659999999998E-2</v>
      </c>
      <c r="R719">
        <v>-8.7379290000000002E-3</v>
      </c>
      <c r="S719">
        <v>2.9919739999999999</v>
      </c>
      <c r="T719">
        <v>-0.2358923</v>
      </c>
      <c r="U719">
        <v>0.13653560000000001</v>
      </c>
      <c r="V719">
        <v>1.9221120000000001E-2</v>
      </c>
      <c r="W719">
        <v>-6.9817989999999996E-2</v>
      </c>
      <c r="X719">
        <v>0.99737450000000005</v>
      </c>
      <c r="Y719">
        <v>-3.4953339999999999E-2</v>
      </c>
      <c r="Z719">
        <v>9.121019E-4</v>
      </c>
      <c r="AA719">
        <v>0.99938850000000001</v>
      </c>
      <c r="AB719">
        <v>32</v>
      </c>
      <c r="AC719">
        <v>14.645399999999899</v>
      </c>
      <c r="AD719">
        <v>-1.1704680000000001</v>
      </c>
      <c r="AE719">
        <v>0.67549999999999899</v>
      </c>
      <c r="AF719">
        <v>-0.51782763597821202</v>
      </c>
      <c r="AG719">
        <v>-1.1704680000000001</v>
      </c>
      <c r="AH719">
        <v>14.558910685645801</v>
      </c>
      <c r="AI719">
        <v>94.593533374164195</v>
      </c>
      <c r="AJ719">
        <v>92.037023028425494</v>
      </c>
      <c r="AK719">
        <v>14.615061448800599</v>
      </c>
      <c r="AL719">
        <v>94.0035334438776</v>
      </c>
      <c r="AM719">
        <v>88.895948568336294</v>
      </c>
      <c r="AN719">
        <v>0.99999994821597105</v>
      </c>
    </row>
    <row r="720" spans="1:40" x14ac:dyDescent="0.25">
      <c r="A720" t="str">
        <f>"20190303154744688"</f>
        <v>20190303154744688</v>
      </c>
      <c r="B720" t="str">
        <f>"1551599264681508"</f>
        <v>1551599264681508</v>
      </c>
      <c r="C720" t="s">
        <v>40</v>
      </c>
      <c r="D720">
        <v>4.9212699999999998</v>
      </c>
      <c r="E720">
        <v>0.47959459999999998</v>
      </c>
      <c r="F720" t="s">
        <v>43</v>
      </c>
      <c r="G720">
        <v>-305.99599999999998</v>
      </c>
      <c r="H720">
        <v>-0.05</v>
      </c>
      <c r="I720">
        <v>368.26859999999999</v>
      </c>
      <c r="J720">
        <v>-320.70859999999999</v>
      </c>
      <c r="K720">
        <v>1.1202939999999999</v>
      </c>
      <c r="L720">
        <v>367.59030000000001</v>
      </c>
      <c r="M720">
        <v>0.99986609999999998</v>
      </c>
      <c r="N720">
        <v>-1.2614429999999999E-2</v>
      </c>
      <c r="O720">
        <v>1.041602E-2</v>
      </c>
      <c r="P720">
        <v>0.99663230000000003</v>
      </c>
      <c r="Q720">
        <v>-8.1500719999999999E-2</v>
      </c>
      <c r="R720">
        <v>-9.0283459999999996E-3</v>
      </c>
      <c r="S720">
        <v>2.9921570000000002</v>
      </c>
      <c r="T720">
        <v>-0.2346029</v>
      </c>
      <c r="U720">
        <v>0.1364136</v>
      </c>
      <c r="V720">
        <v>1.9388579999999999E-2</v>
      </c>
      <c r="W720">
        <v>-6.8930130000000006E-2</v>
      </c>
      <c r="X720">
        <v>0.99743309999999996</v>
      </c>
      <c r="Y720">
        <v>-3.5032399999999998E-2</v>
      </c>
      <c r="Z720">
        <v>9.0825919999999998E-4</v>
      </c>
      <c r="AA720">
        <v>0.99938579999999999</v>
      </c>
      <c r="AB720">
        <v>32</v>
      </c>
      <c r="AC720">
        <v>14.7126</v>
      </c>
      <c r="AD720">
        <v>-1.1702939999999999</v>
      </c>
      <c r="AE720">
        <v>0.67829999999997803</v>
      </c>
      <c r="AF720">
        <v>-0.52171029454020501</v>
      </c>
      <c r="AG720">
        <v>-1.1702939999999999</v>
      </c>
      <c r="AH720">
        <v>14.626518965694499</v>
      </c>
      <c r="AI720">
        <v>94.57169768064</v>
      </c>
      <c r="AJ720">
        <v>92.042805332027996</v>
      </c>
      <c r="AK720">
        <v>14.6825347515913</v>
      </c>
      <c r="AL720">
        <v>93.952539609752606</v>
      </c>
      <c r="AM720">
        <v>88.886397574905402</v>
      </c>
      <c r="AN720">
        <v>1.0000000344159199</v>
      </c>
    </row>
    <row r="721" spans="1:40" x14ac:dyDescent="0.25">
      <c r="A721" t="str">
        <f>"20190303154744702"</f>
        <v>20190303154744702</v>
      </c>
      <c r="B721" t="str">
        <f>"1551599264691268"</f>
        <v>1551599264691268</v>
      </c>
      <c r="C721" t="s">
        <v>40</v>
      </c>
      <c r="D721">
        <v>4.9313060000000002</v>
      </c>
      <c r="E721">
        <v>0.47963440000000002</v>
      </c>
      <c r="F721" t="s">
        <v>43</v>
      </c>
      <c r="G721">
        <v>-305.61590000000001</v>
      </c>
      <c r="H721">
        <v>-0.05</v>
      </c>
      <c r="I721">
        <v>368.27440000000001</v>
      </c>
      <c r="J721">
        <v>-320.51499999999999</v>
      </c>
      <c r="K721">
        <v>1.1201270000000001</v>
      </c>
      <c r="L721">
        <v>367.59230000000002</v>
      </c>
      <c r="M721">
        <v>0.99987110000000001</v>
      </c>
      <c r="N721">
        <v>-1.2333240000000001E-2</v>
      </c>
      <c r="O721">
        <v>1.0293399999999999E-2</v>
      </c>
      <c r="P721">
        <v>0.99669859999999999</v>
      </c>
      <c r="Q721">
        <v>-8.0658610000000006E-2</v>
      </c>
      <c r="R721">
        <v>-9.3124009999999997E-3</v>
      </c>
      <c r="S721">
        <v>2.9924010000000001</v>
      </c>
      <c r="T721">
        <v>-0.2320324</v>
      </c>
      <c r="U721">
        <v>0.13565060000000001</v>
      </c>
      <c r="V721">
        <v>1.9547249999999999E-2</v>
      </c>
      <c r="W721">
        <v>-6.836884E-2</v>
      </c>
      <c r="X721">
        <v>0.99746860000000004</v>
      </c>
      <c r="Y721">
        <v>-3.4899739999999999E-2</v>
      </c>
      <c r="Z721">
        <v>8.9630449999999996E-4</v>
      </c>
      <c r="AA721">
        <v>0.99939040000000001</v>
      </c>
      <c r="AB721">
        <v>32</v>
      </c>
      <c r="AC721">
        <v>14.899099999999899</v>
      </c>
      <c r="AD721">
        <v>-1.1701269999999999</v>
      </c>
      <c r="AE721">
        <v>0.68209999999999105</v>
      </c>
      <c r="AF721">
        <v>-0.52545557525725395</v>
      </c>
      <c r="AG721">
        <v>-1.1701269999999999</v>
      </c>
      <c r="AH721">
        <v>14.814149320343001</v>
      </c>
      <c r="AI721">
        <v>94.513425417331803</v>
      </c>
      <c r="AJ721">
        <v>92.031420768148394</v>
      </c>
      <c r="AK721">
        <v>14.8695770230063</v>
      </c>
      <c r="AL721">
        <v>93.920304146138704</v>
      </c>
      <c r="AM721">
        <v>88.877326475664304</v>
      </c>
      <c r="AN721">
        <v>1.0000000006257299</v>
      </c>
    </row>
    <row r="722" spans="1:40" x14ac:dyDescent="0.25">
      <c r="A722" t="str">
        <f>"20190303154744712"</f>
        <v>20190303154744712</v>
      </c>
      <c r="B722" t="str">
        <f>"1551599264701028"</f>
        <v>1551599264701028</v>
      </c>
      <c r="C722" t="s">
        <v>40</v>
      </c>
      <c r="D722">
        <v>4.9165010000000002</v>
      </c>
      <c r="E722">
        <v>0.47965600000000003</v>
      </c>
      <c r="F722" t="s">
        <v>43</v>
      </c>
      <c r="G722">
        <v>-305.28149999999999</v>
      </c>
      <c r="H722">
        <v>-0.05</v>
      </c>
      <c r="I722">
        <v>368.2756</v>
      </c>
      <c r="J722">
        <v>-320.34120000000001</v>
      </c>
      <c r="K722">
        <v>1.1199749999999999</v>
      </c>
      <c r="L722">
        <v>367.59390000000002</v>
      </c>
      <c r="M722">
        <v>0.99987099999999995</v>
      </c>
      <c r="N722">
        <v>-1.2436350000000001E-2</v>
      </c>
      <c r="O722">
        <v>1.016544E-2</v>
      </c>
      <c r="P722">
        <v>0.99672899999999998</v>
      </c>
      <c r="Q722">
        <v>-8.0292269999999999E-2</v>
      </c>
      <c r="R722">
        <v>-9.1929160000000006E-3</v>
      </c>
      <c r="S722">
        <v>2.9925839999999999</v>
      </c>
      <c r="T722">
        <v>-0.2298685</v>
      </c>
      <c r="U722">
        <v>0.134246799999999</v>
      </c>
      <c r="V722">
        <v>1.9297450000000001E-2</v>
      </c>
      <c r="W722">
        <v>-6.7900189999999999E-2</v>
      </c>
      <c r="X722">
        <v>0.99750550000000004</v>
      </c>
      <c r="Y722">
        <v>-3.4559310000000003E-2</v>
      </c>
      <c r="Z722">
        <v>8.8703419999999896E-4</v>
      </c>
      <c r="AA722">
        <v>0.99940229999999997</v>
      </c>
      <c r="AB722">
        <v>32</v>
      </c>
      <c r="AC722">
        <v>15.059699999999999</v>
      </c>
      <c r="AD722">
        <v>-1.169975</v>
      </c>
      <c r="AE722">
        <v>0.68169999999997799</v>
      </c>
      <c r="AF722">
        <v>-0.52539983671336399</v>
      </c>
      <c r="AG722">
        <v>-1.169975</v>
      </c>
      <c r="AH722">
        <v>14.9756498520621</v>
      </c>
      <c r="AI722">
        <v>94.464432432383703</v>
      </c>
      <c r="AJ722">
        <v>92.009318572248503</v>
      </c>
      <c r="AK722">
        <v>15.0304682222681</v>
      </c>
      <c r="AL722">
        <v>93.8933898392103</v>
      </c>
      <c r="AM722">
        <v>88.891710835101094</v>
      </c>
      <c r="AN722">
        <v>1.0000000249543901</v>
      </c>
    </row>
    <row r="723" spans="1:40" x14ac:dyDescent="0.25">
      <c r="A723" t="str">
        <f>"20190303154744724"</f>
        <v>20190303154744724</v>
      </c>
      <c r="B723" t="str">
        <f>"1551599264721524"</f>
        <v>1551599264721524</v>
      </c>
      <c r="C723" t="s">
        <v>40</v>
      </c>
      <c r="D723">
        <v>4.9175389999999997</v>
      </c>
      <c r="E723">
        <v>0.47967729999999997</v>
      </c>
      <c r="F723" t="s">
        <v>43</v>
      </c>
      <c r="G723">
        <v>-305.09339999999997</v>
      </c>
      <c r="H723">
        <v>-0.05</v>
      </c>
      <c r="I723">
        <v>368.27859999999998</v>
      </c>
      <c r="J723">
        <v>-320.18180000000001</v>
      </c>
      <c r="K723">
        <v>1.119812</v>
      </c>
      <c r="L723">
        <v>367.59539999999998</v>
      </c>
      <c r="M723">
        <v>0.99987020000000004</v>
      </c>
      <c r="N723">
        <v>-1.2605140000000001E-2</v>
      </c>
      <c r="O723">
        <v>1.004206E-2</v>
      </c>
      <c r="P723">
        <v>0.99674209999999996</v>
      </c>
      <c r="Q723">
        <v>-8.0097940000000006E-2</v>
      </c>
      <c r="R723">
        <v>-9.468509E-3</v>
      </c>
      <c r="S723">
        <v>2.9925540000000002</v>
      </c>
      <c r="T723">
        <v>-0.22961970000000001</v>
      </c>
      <c r="U723">
        <v>0.13436890000000001</v>
      </c>
      <c r="V723">
        <v>1.9446789999999999E-2</v>
      </c>
      <c r="W723">
        <v>-6.753837E-2</v>
      </c>
      <c r="X723">
        <v>0.9975271</v>
      </c>
      <c r="Y723">
        <v>-3.4722780000000002E-2</v>
      </c>
      <c r="Z723">
        <v>9.0627410000000002E-4</v>
      </c>
      <c r="AA723">
        <v>0.99939659999999997</v>
      </c>
      <c r="AB723">
        <v>32</v>
      </c>
      <c r="AC723">
        <v>15.0884</v>
      </c>
      <c r="AD723">
        <v>-1.1698120000000001</v>
      </c>
      <c r="AE723">
        <v>0.68319999999999903</v>
      </c>
      <c r="AF723">
        <v>-0.52846480473921997</v>
      </c>
      <c r="AG723">
        <v>-1.1698120000000001</v>
      </c>
      <c r="AH723">
        <v>15.0044930906991</v>
      </c>
      <c r="AI723">
        <v>94.455245411318003</v>
      </c>
      <c r="AJ723">
        <v>92.017148595766599</v>
      </c>
      <c r="AK723">
        <v>15.0593010486552</v>
      </c>
      <c r="AL723">
        <v>93.872611625542405</v>
      </c>
      <c r="AM723">
        <v>88.883160297674095</v>
      </c>
      <c r="AN723">
        <v>0.99999996214898401</v>
      </c>
    </row>
    <row r="724" spans="1:40" x14ac:dyDescent="0.25">
      <c r="A724" t="str">
        <f>"20190303154744735"</f>
        <v>20190303154744735</v>
      </c>
      <c r="B724" t="str">
        <f>"1551599264731284"</f>
        <v>1551599264731284</v>
      </c>
      <c r="C724" t="s">
        <v>40</v>
      </c>
      <c r="D724">
        <v>4.8900249999999996</v>
      </c>
      <c r="E724">
        <v>0.47967729999999997</v>
      </c>
      <c r="F724" t="s">
        <v>43</v>
      </c>
      <c r="G724">
        <v>-304.95100000000002</v>
      </c>
      <c r="H724">
        <v>-0.05</v>
      </c>
      <c r="I724">
        <v>368.27460000000002</v>
      </c>
      <c r="J724">
        <v>-320.02620000000002</v>
      </c>
      <c r="K724">
        <v>1.1195949999999999</v>
      </c>
      <c r="L724">
        <v>367.59679999999997</v>
      </c>
      <c r="M724">
        <v>0.99986770000000003</v>
      </c>
      <c r="N724">
        <v>-1.2904479999999999E-2</v>
      </c>
      <c r="O724">
        <v>9.9112160000000005E-3</v>
      </c>
      <c r="P724">
        <v>0.99673999999999996</v>
      </c>
      <c r="Q724">
        <v>-8.0093250000000005E-2</v>
      </c>
      <c r="R724">
        <v>-9.7285110000000004E-3</v>
      </c>
      <c r="S724">
        <v>2.992645</v>
      </c>
      <c r="T724">
        <v>-0.229852</v>
      </c>
      <c r="U724">
        <v>0.1334534</v>
      </c>
      <c r="V724">
        <v>1.9572929999999999E-2</v>
      </c>
      <c r="W724">
        <v>-6.7236160000000003E-2</v>
      </c>
      <c r="X724">
        <v>0.99754509999999996</v>
      </c>
      <c r="Y724">
        <v>-3.4546609999999998E-2</v>
      </c>
      <c r="Z724">
        <v>9.1548940000000004E-4</v>
      </c>
      <c r="AA724">
        <v>0.99940260000000003</v>
      </c>
      <c r="AB724">
        <v>32</v>
      </c>
      <c r="AC724">
        <v>15.075200000000001</v>
      </c>
      <c r="AD724">
        <v>-1.1695949999999999</v>
      </c>
      <c r="AE724">
        <v>0.67780000000004703</v>
      </c>
      <c r="AF724">
        <v>-0.52518584506754795</v>
      </c>
      <c r="AG724">
        <v>-1.1695949999999999</v>
      </c>
      <c r="AH724">
        <v>14.9911240154319</v>
      </c>
      <c r="AI724">
        <v>94.458407913787894</v>
      </c>
      <c r="AJ724">
        <v>92.006429338642306</v>
      </c>
      <c r="AK724">
        <v>15.045848991730001</v>
      </c>
      <c r="AL724">
        <v>93.855256619070104</v>
      </c>
      <c r="AM724">
        <v>88.875938139859898</v>
      </c>
      <c r="AN724">
        <v>1.0000000136671701</v>
      </c>
    </row>
    <row r="725" spans="1:40" x14ac:dyDescent="0.25">
      <c r="A725" t="str">
        <f>"20190303154744746"</f>
        <v>20190303154744746</v>
      </c>
      <c r="B725" t="str">
        <f>"1551599264741045"</f>
        <v>1551599264741045</v>
      </c>
      <c r="C725" t="s">
        <v>40</v>
      </c>
      <c r="D725">
        <v>4.9057339999999998</v>
      </c>
      <c r="E725">
        <v>0.49818319999999999</v>
      </c>
      <c r="F725" t="s">
        <v>43</v>
      </c>
      <c r="G725">
        <v>-304.79239999999999</v>
      </c>
      <c r="H725">
        <v>-0.05</v>
      </c>
      <c r="I725">
        <v>368.2715</v>
      </c>
      <c r="J725">
        <v>-319.85759999999999</v>
      </c>
      <c r="K725">
        <v>1.119292</v>
      </c>
      <c r="L725">
        <v>367.59840000000003</v>
      </c>
      <c r="M725">
        <v>0.99986410000000003</v>
      </c>
      <c r="N725">
        <v>-1.32993E-2</v>
      </c>
      <c r="O725">
        <v>9.7566719999999992E-3</v>
      </c>
      <c r="P725">
        <v>0.99668000000000001</v>
      </c>
      <c r="Q725">
        <v>-8.0783629999999995E-2</v>
      </c>
      <c r="R725">
        <v>-1.017412E-2</v>
      </c>
      <c r="S725">
        <v>2.9926149999999998</v>
      </c>
      <c r="T725">
        <v>-0.22976079999999999</v>
      </c>
      <c r="U725">
        <v>0.13253779999999901</v>
      </c>
      <c r="V725">
        <v>1.986013E-2</v>
      </c>
      <c r="W725">
        <v>-6.7534659999999996E-2</v>
      </c>
      <c r="X725">
        <v>0.9975193</v>
      </c>
      <c r="Y725">
        <v>-3.4395839999999997E-2</v>
      </c>
      <c r="Z725">
        <v>9.2902670000000003E-4</v>
      </c>
      <c r="AA725">
        <v>0.99940779999999996</v>
      </c>
      <c r="AB725">
        <v>32</v>
      </c>
      <c r="AC725">
        <v>15.065200000000001</v>
      </c>
      <c r="AD725">
        <v>-1.169292</v>
      </c>
      <c r="AE725">
        <v>0.67309999999997605</v>
      </c>
      <c r="AF725">
        <v>-0.52292485712479997</v>
      </c>
      <c r="AG725">
        <v>-1.169292</v>
      </c>
      <c r="AH725">
        <v>14.9809826351156</v>
      </c>
      <c r="AI725">
        <v>94.460282462966305</v>
      </c>
      <c r="AJ725">
        <v>91.999149747969497</v>
      </c>
      <c r="AK725">
        <v>15.0356421512717</v>
      </c>
      <c r="AL725">
        <v>93.8723982137045</v>
      </c>
      <c r="AM725">
        <v>88.859419246546494</v>
      </c>
      <c r="AN725">
        <v>1.0000000544687</v>
      </c>
    </row>
    <row r="726" spans="1:40" x14ac:dyDescent="0.25">
      <c r="A726" t="str">
        <f>"20190303154744757"</f>
        <v>20190303154744757</v>
      </c>
      <c r="B726" t="str">
        <f>"1551599264751781"</f>
        <v>1551599264751781</v>
      </c>
      <c r="C726" t="s">
        <v>40</v>
      </c>
      <c r="D726">
        <v>4.831785</v>
      </c>
      <c r="E726">
        <v>0.50170409999999999</v>
      </c>
      <c r="F726" t="s">
        <v>43</v>
      </c>
      <c r="G726">
        <v>-294.05</v>
      </c>
      <c r="H726">
        <v>-0.05</v>
      </c>
      <c r="I726">
        <v>367.44659999999999</v>
      </c>
      <c r="J726">
        <v>-319.702</v>
      </c>
      <c r="K726">
        <v>1.1189579999999999</v>
      </c>
      <c r="L726">
        <v>367.59980000000002</v>
      </c>
      <c r="M726">
        <v>0.99985990000000002</v>
      </c>
      <c r="N726">
        <v>-1.3718030000000001E-2</v>
      </c>
      <c r="O726">
        <v>9.6040399999999995E-3</v>
      </c>
      <c r="P726">
        <v>0.9966545</v>
      </c>
      <c r="Q726">
        <v>-8.1012070000000005E-2</v>
      </c>
      <c r="R726">
        <v>-1.0830009999999999E-2</v>
      </c>
      <c r="S726">
        <v>2.99884</v>
      </c>
      <c r="T726">
        <v>-0.13587189999999999</v>
      </c>
      <c r="U726">
        <v>-1.7639160000000001E-2</v>
      </c>
      <c r="V726">
        <v>2.036044E-2</v>
      </c>
      <c r="W726">
        <v>-6.7347009999999999E-2</v>
      </c>
      <c r="X726">
        <v>0.99752180000000001</v>
      </c>
      <c r="Y726">
        <v>1.5460939999999999E-2</v>
      </c>
      <c r="Z726">
        <v>-7.593996E-4</v>
      </c>
      <c r="AA726">
        <v>0.9998802</v>
      </c>
      <c r="AB726">
        <v>32</v>
      </c>
      <c r="AC726">
        <v>25.651999999999902</v>
      </c>
      <c r="AD726">
        <v>-1.1689579999999999</v>
      </c>
      <c r="AE726">
        <v>-0.15320000000002601</v>
      </c>
      <c r="AF726">
        <v>0.39875090015503201</v>
      </c>
      <c r="AG726">
        <v>-1.1689579999999999</v>
      </c>
      <c r="AH726">
        <v>25.596193767350201</v>
      </c>
      <c r="AI726">
        <v>92.614519411247301</v>
      </c>
      <c r="AJ726">
        <v>89.107488562389506</v>
      </c>
      <c r="AK726">
        <v>25.625975112410401</v>
      </c>
      <c r="AL726">
        <v>93.861622514180794</v>
      </c>
      <c r="AM726">
        <v>88.830696912714401</v>
      </c>
      <c r="AN726">
        <v>0.99999995437408495</v>
      </c>
    </row>
    <row r="727" spans="1:40" x14ac:dyDescent="0.25">
      <c r="A727" t="str">
        <f>"20190303154744768"</f>
        <v>20190303154744768</v>
      </c>
      <c r="B727" t="str">
        <f>"1551599264761541"</f>
        <v>1551599264761541</v>
      </c>
      <c r="C727" t="s">
        <v>40</v>
      </c>
      <c r="D727">
        <v>4.8832339999999999</v>
      </c>
      <c r="E727">
        <v>0.50390440000000003</v>
      </c>
      <c r="F727" t="s">
        <v>43</v>
      </c>
      <c r="G727">
        <v>-291.22930000000002</v>
      </c>
      <c r="H727">
        <v>-0.05</v>
      </c>
      <c r="I727">
        <v>367.14550000000003</v>
      </c>
      <c r="J727">
        <v>-319.54719999999998</v>
      </c>
      <c r="K727">
        <v>1.1185480000000001</v>
      </c>
      <c r="L727">
        <v>367.60109999999997</v>
      </c>
      <c r="M727">
        <v>0.99985349999999995</v>
      </c>
      <c r="N727">
        <v>-1.42661E-2</v>
      </c>
      <c r="O727">
        <v>9.4577289999999998E-3</v>
      </c>
      <c r="P727">
        <v>0.99659960000000003</v>
      </c>
      <c r="Q727">
        <v>-8.1612660000000004E-2</v>
      </c>
      <c r="R727">
        <v>-1.133662E-2</v>
      </c>
      <c r="S727">
        <v>2.9995120000000002</v>
      </c>
      <c r="T727">
        <v>-0.1231459</v>
      </c>
      <c r="U727">
        <v>-4.7851560000000001E-2</v>
      </c>
      <c r="V727">
        <v>2.0717630000000001E-2</v>
      </c>
      <c r="W727">
        <v>-6.7402829999999997E-2</v>
      </c>
      <c r="X727">
        <v>0.99751069999999997</v>
      </c>
      <c r="Y727">
        <v>2.5375669999999999E-2</v>
      </c>
      <c r="Z727">
        <v>-9.5500010000000005E-4</v>
      </c>
      <c r="AA727">
        <v>0.9996775</v>
      </c>
      <c r="AB727">
        <v>32</v>
      </c>
      <c r="AC727">
        <v>28.317899999999899</v>
      </c>
      <c r="AD727">
        <v>-1.1685479999999999</v>
      </c>
      <c r="AE727">
        <v>-0.45559999999994699</v>
      </c>
      <c r="AF727">
        <v>0.72220043663633204</v>
      </c>
      <c r="AG727">
        <v>-1.1685479999999999</v>
      </c>
      <c r="AH727">
        <v>28.2642071798053</v>
      </c>
      <c r="AI727">
        <v>92.366701851190996</v>
      </c>
      <c r="AJ727">
        <v>88.5363100798738</v>
      </c>
      <c r="AK727">
        <v>28.2975703091615</v>
      </c>
      <c r="AL727">
        <v>93.864827952685999</v>
      </c>
      <c r="AM727">
        <v>88.8101760480682</v>
      </c>
      <c r="AN727">
        <v>0.99999997914965699</v>
      </c>
    </row>
    <row r="728" spans="1:40" x14ac:dyDescent="0.25">
      <c r="A728" t="str">
        <f>"20190303154744779"</f>
        <v>20190303154744779</v>
      </c>
      <c r="B728" t="str">
        <f>"1551599264771301"</f>
        <v>1551599264771301</v>
      </c>
      <c r="C728" t="s">
        <v>40</v>
      </c>
      <c r="D728">
        <v>4.8460010000000002</v>
      </c>
      <c r="E728">
        <v>0.50514289999999995</v>
      </c>
      <c r="F728" t="s">
        <v>43</v>
      </c>
      <c r="G728">
        <v>-290.19499999999999</v>
      </c>
      <c r="H728">
        <v>-0.05</v>
      </c>
      <c r="I728">
        <v>366.94720000000001</v>
      </c>
      <c r="J728">
        <v>-319.38170000000002</v>
      </c>
      <c r="K728">
        <v>1.118077</v>
      </c>
      <c r="L728">
        <v>367.6026</v>
      </c>
      <c r="M728">
        <v>0.9998456</v>
      </c>
      <c r="N728">
        <v>-1.490345E-2</v>
      </c>
      <c r="O728">
        <v>9.3032440000000004E-3</v>
      </c>
      <c r="P728">
        <v>0.99654600000000004</v>
      </c>
      <c r="Q728">
        <v>-8.2196430000000001E-2</v>
      </c>
      <c r="R728">
        <v>-1.183262E-2</v>
      </c>
      <c r="S728">
        <v>2.999695</v>
      </c>
      <c r="T728">
        <v>-0.1194214</v>
      </c>
      <c r="U728">
        <v>-6.6833500000000004E-2</v>
      </c>
      <c r="V728">
        <v>2.1055810000000001E-2</v>
      </c>
      <c r="W728">
        <v>-6.7352789999999996E-2</v>
      </c>
      <c r="X728">
        <v>0.99750700000000003</v>
      </c>
      <c r="Y728">
        <v>3.1538360000000001E-2</v>
      </c>
      <c r="Z728">
        <v>-1.0942300000000001E-3</v>
      </c>
      <c r="AA728">
        <v>0.99950190000000005</v>
      </c>
      <c r="AB728">
        <v>32</v>
      </c>
      <c r="AC728">
        <v>29.186699999999998</v>
      </c>
      <c r="AD728">
        <v>-1.168077</v>
      </c>
      <c r="AE728">
        <v>-0.65539999999998599</v>
      </c>
      <c r="AF728">
        <v>0.92545127760564605</v>
      </c>
      <c r="AG728">
        <v>-1.168077</v>
      </c>
      <c r="AH728">
        <v>29.132701161017199</v>
      </c>
      <c r="AI728">
        <v>92.294890683938306</v>
      </c>
      <c r="AJ728">
        <v>88.180511078470502</v>
      </c>
      <c r="AK728">
        <v>29.170792599487001</v>
      </c>
      <c r="AL728">
        <v>93.861954337368701</v>
      </c>
      <c r="AM728">
        <v>88.790755436454901</v>
      </c>
      <c r="AN728">
        <v>0.99999998025226999</v>
      </c>
    </row>
    <row r="729" spans="1:40" x14ac:dyDescent="0.25">
      <c r="A729" t="str">
        <f>"20190303154744790"</f>
        <v>20190303154744790</v>
      </c>
      <c r="B729" t="str">
        <f>"1551599264781060"</f>
        <v>1551599264781060</v>
      </c>
      <c r="C729" t="s">
        <v>40</v>
      </c>
      <c r="D729">
        <v>4.8223699999999896</v>
      </c>
      <c r="E729">
        <v>0.50587199999999999</v>
      </c>
      <c r="F729" t="s">
        <v>43</v>
      </c>
      <c r="G729">
        <v>-289.37439999999998</v>
      </c>
      <c r="H729">
        <v>-0.05</v>
      </c>
      <c r="I729">
        <v>366.8184</v>
      </c>
      <c r="J729">
        <v>-319.23250000000002</v>
      </c>
      <c r="K729">
        <v>1.117575</v>
      </c>
      <c r="L729">
        <v>367.60379999999998</v>
      </c>
      <c r="M729">
        <v>0.99983540000000004</v>
      </c>
      <c r="N729">
        <v>-1.5668390000000001E-2</v>
      </c>
      <c r="O729">
        <v>9.1607310000000001E-3</v>
      </c>
      <c r="P729">
        <v>0.99647750000000002</v>
      </c>
      <c r="Q729">
        <v>-8.2950689999999994E-2</v>
      </c>
      <c r="R729">
        <v>-1.233252E-2</v>
      </c>
      <c r="S729">
        <v>2.9998469999999999</v>
      </c>
      <c r="T729">
        <v>-0.116773</v>
      </c>
      <c r="U729">
        <v>-7.8399659999999996E-2</v>
      </c>
      <c r="V729">
        <v>2.1410820000000001E-2</v>
      </c>
      <c r="W729">
        <v>-6.7345870000000002E-2</v>
      </c>
      <c r="X729">
        <v>0.99749989999999999</v>
      </c>
      <c r="Y729">
        <v>3.524335E-2</v>
      </c>
      <c r="Z729">
        <v>-1.174806E-3</v>
      </c>
      <c r="AA729">
        <v>0.99937810000000005</v>
      </c>
      <c r="AB729">
        <v>32</v>
      </c>
      <c r="AC729">
        <v>29.8581</v>
      </c>
      <c r="AD729">
        <v>-1.167575</v>
      </c>
      <c r="AE729">
        <v>-0.785399999999981</v>
      </c>
      <c r="AF729">
        <v>1.05730696087119</v>
      </c>
      <c r="AG729">
        <v>-1.167575</v>
      </c>
      <c r="AH729">
        <v>29.804108184153499</v>
      </c>
      <c r="AI729">
        <v>92.242004302854298</v>
      </c>
      <c r="AJ729">
        <v>87.968272275991694</v>
      </c>
      <c r="AK729">
        <v>29.845703108535702</v>
      </c>
      <c r="AL729">
        <v>93.861556988083393</v>
      </c>
      <c r="AM729">
        <v>88.770364512022695</v>
      </c>
      <c r="AN729">
        <v>0.99999996995956897</v>
      </c>
    </row>
    <row r="730" spans="1:40" x14ac:dyDescent="0.25">
      <c r="A730" t="str">
        <f>"20190303154744801"</f>
        <v>20190303154744801</v>
      </c>
      <c r="B730" t="str">
        <f>"1551599264790821"</f>
        <v>1551599264790821</v>
      </c>
      <c r="C730" t="s">
        <v>40</v>
      </c>
      <c r="D730">
        <v>4.8301730000000003</v>
      </c>
      <c r="E730">
        <v>0.50619970000000003</v>
      </c>
      <c r="F730" t="s">
        <v>43</v>
      </c>
      <c r="G730">
        <v>-289.26429999999999</v>
      </c>
      <c r="H730">
        <v>-0.05</v>
      </c>
      <c r="I730">
        <v>366.75020000000001</v>
      </c>
      <c r="J730">
        <v>-319.07299999999998</v>
      </c>
      <c r="K730">
        <v>1.117022</v>
      </c>
      <c r="L730">
        <v>367.60509999999999</v>
      </c>
      <c r="M730">
        <v>0.99982329999999997</v>
      </c>
      <c r="N730">
        <v>-1.650517E-2</v>
      </c>
      <c r="O730">
        <v>9.0068390000000009E-3</v>
      </c>
      <c r="P730">
        <v>0.99642399999999998</v>
      </c>
      <c r="Q730">
        <v>-8.3533650000000001E-2</v>
      </c>
      <c r="R730">
        <v>-1.2709E-2</v>
      </c>
      <c r="S730">
        <v>2.9998779999999998</v>
      </c>
      <c r="T730">
        <v>-0.1168767</v>
      </c>
      <c r="U730">
        <v>-8.5449220000000006E-2</v>
      </c>
      <c r="V730">
        <v>2.163168E-2</v>
      </c>
      <c r="W730">
        <v>-6.7095699999999994E-2</v>
      </c>
      <c r="X730">
        <v>0.99751199999999995</v>
      </c>
      <c r="Y730">
        <v>3.7433260000000003E-2</v>
      </c>
      <c r="Z730">
        <v>-1.2400670000000001E-3</v>
      </c>
      <c r="AA730">
        <v>0.99929829999999997</v>
      </c>
      <c r="AB730">
        <v>32</v>
      </c>
      <c r="AC730">
        <v>29.808699999999899</v>
      </c>
      <c r="AD730">
        <v>-1.167022</v>
      </c>
      <c r="AE730">
        <v>-0.854899999999986</v>
      </c>
      <c r="AF730">
        <v>1.1216662058073299</v>
      </c>
      <c r="AG730">
        <v>-1.167022</v>
      </c>
      <c r="AH730">
        <v>29.754221189235601</v>
      </c>
      <c r="AI730">
        <v>92.244514821948002</v>
      </c>
      <c r="AJ730">
        <v>87.841102222048306</v>
      </c>
      <c r="AK730">
        <v>29.798217295732499</v>
      </c>
      <c r="AL730">
        <v>93.847190783360503</v>
      </c>
      <c r="AM730">
        <v>88.757699417049196</v>
      </c>
      <c r="AN730">
        <v>0.99999997634105497</v>
      </c>
    </row>
    <row r="731" spans="1:40" x14ac:dyDescent="0.25">
      <c r="A731" t="str">
        <f>"20190303154744815"</f>
        <v>20190303154744815</v>
      </c>
      <c r="B731" t="str">
        <f>"1551599264811316"</f>
        <v>1551599264811316</v>
      </c>
      <c r="C731" t="s">
        <v>40</v>
      </c>
      <c r="D731">
        <v>4.8939859999999999</v>
      </c>
      <c r="E731">
        <v>0.5070325</v>
      </c>
      <c r="F731" t="s">
        <v>43</v>
      </c>
      <c r="G731">
        <v>-288.85210000000001</v>
      </c>
      <c r="H731">
        <v>-0.05</v>
      </c>
      <c r="I731">
        <v>366.70609999999999</v>
      </c>
      <c r="J731">
        <v>-318.87450000000001</v>
      </c>
      <c r="K731">
        <v>1.1162209999999999</v>
      </c>
      <c r="L731">
        <v>367.60669999999999</v>
      </c>
      <c r="M731">
        <v>0.99980599999999997</v>
      </c>
      <c r="N731">
        <v>-1.762878E-2</v>
      </c>
      <c r="O731">
        <v>8.7962800000000001E-3</v>
      </c>
      <c r="P731">
        <v>0.99632180000000004</v>
      </c>
      <c r="Q731">
        <v>-8.4662260000000003E-2</v>
      </c>
      <c r="R731">
        <v>-1.325026E-2</v>
      </c>
      <c r="S731">
        <v>2.9999389999999999</v>
      </c>
      <c r="T731">
        <v>-0.1158469</v>
      </c>
      <c r="U731">
        <v>-8.9233399999999893E-2</v>
      </c>
      <c r="V731">
        <v>2.1960449999999999E-2</v>
      </c>
      <c r="W731">
        <v>-6.710576E-2</v>
      </c>
      <c r="X731">
        <v>0.99750419999999995</v>
      </c>
      <c r="Y731">
        <v>3.8480830000000001E-2</v>
      </c>
      <c r="Z731">
        <v>-1.2665020000000001E-3</v>
      </c>
      <c r="AA731">
        <v>0.99925850000000005</v>
      </c>
      <c r="AB731">
        <v>32</v>
      </c>
      <c r="AC731">
        <v>30.022400000000001</v>
      </c>
      <c r="AD731">
        <v>-1.166221</v>
      </c>
      <c r="AE731">
        <v>-0.90059999999999696</v>
      </c>
      <c r="AF731">
        <v>1.16293838156318</v>
      </c>
      <c r="AG731">
        <v>-1.166221</v>
      </c>
      <c r="AH731">
        <v>29.9681356194492</v>
      </c>
      <c r="AI731">
        <v>92.226887360408</v>
      </c>
      <c r="AJ731">
        <v>87.7777047753017</v>
      </c>
      <c r="AK731">
        <v>30.013357852893598</v>
      </c>
      <c r="AL731">
        <v>93.847768248316697</v>
      </c>
      <c r="AM731">
        <v>88.738814453261298</v>
      </c>
      <c r="AN731">
        <v>1.0000000367035</v>
      </c>
    </row>
    <row r="732" spans="1:40" x14ac:dyDescent="0.25">
      <c r="A732" t="str">
        <f>"20190303154744827"</f>
        <v>20190303154744827</v>
      </c>
      <c r="B732" t="str">
        <f>"1551599264821076"</f>
        <v>1551599264821076</v>
      </c>
      <c r="C732" t="s">
        <v>40</v>
      </c>
      <c r="D732">
        <v>4.8223659999999997</v>
      </c>
      <c r="E732">
        <v>0.50725750000000003</v>
      </c>
      <c r="F732" t="s">
        <v>43</v>
      </c>
      <c r="G732">
        <v>-287.76350000000002</v>
      </c>
      <c r="H732">
        <v>-0.05</v>
      </c>
      <c r="I732">
        <v>366.59339999999997</v>
      </c>
      <c r="J732">
        <v>-318.69150000000002</v>
      </c>
      <c r="K732">
        <v>1.1153869999999999</v>
      </c>
      <c r="L732">
        <v>367.60809999999998</v>
      </c>
      <c r="M732">
        <v>0.9997897</v>
      </c>
      <c r="N732">
        <v>-1.8557500000000001E-2</v>
      </c>
      <c r="O732">
        <v>8.7416779999999993E-3</v>
      </c>
      <c r="P732">
        <v>0.99626340000000002</v>
      </c>
      <c r="Q732">
        <v>-8.5284949999999998E-2</v>
      </c>
      <c r="R732">
        <v>-1.3628940000000001E-2</v>
      </c>
      <c r="S732">
        <v>3.0002439999999999</v>
      </c>
      <c r="T732">
        <v>-0.1124667</v>
      </c>
      <c r="U732">
        <v>-9.7717289999999998E-2</v>
      </c>
      <c r="V732">
        <v>2.2281450000000001E-2</v>
      </c>
      <c r="W732">
        <v>-6.6804199999999994E-2</v>
      </c>
      <c r="X732">
        <v>0.99751730000000005</v>
      </c>
      <c r="Y732">
        <v>4.1244969999999999E-2</v>
      </c>
      <c r="Z732">
        <v>-1.320947E-3</v>
      </c>
      <c r="AA732">
        <v>0.99914820000000004</v>
      </c>
      <c r="AB732">
        <v>32</v>
      </c>
      <c r="AC732">
        <v>30.928000000000001</v>
      </c>
      <c r="AD732">
        <v>-1.165387</v>
      </c>
      <c r="AE732">
        <v>-1.0146999999999999</v>
      </c>
      <c r="AF732">
        <v>1.28325032655514</v>
      </c>
      <c r="AG732">
        <v>-1.165387</v>
      </c>
      <c r="AH732">
        <v>30.874157199396599</v>
      </c>
      <c r="AI732">
        <v>92.159817735905705</v>
      </c>
      <c r="AJ732">
        <v>87.619933989811898</v>
      </c>
      <c r="AK732">
        <v>30.922781909676701</v>
      </c>
      <c r="AL732">
        <v>93.830451361473393</v>
      </c>
      <c r="AM732">
        <v>88.720402352926797</v>
      </c>
      <c r="AN732">
        <v>1.0000000139755101</v>
      </c>
    </row>
    <row r="733" spans="1:40" x14ac:dyDescent="0.25">
      <c r="A733" t="str">
        <f>"20190303154744842"</f>
        <v>20190303154744842</v>
      </c>
      <c r="B733" t="str">
        <f>"1551599264831812"</f>
        <v>1551599264831812</v>
      </c>
      <c r="C733" t="s">
        <v>40</v>
      </c>
      <c r="D733">
        <v>4.8928209999999996</v>
      </c>
      <c r="E733">
        <v>0.50736239999999999</v>
      </c>
      <c r="F733" t="s">
        <v>43</v>
      </c>
      <c r="G733">
        <v>-287.72390000000001</v>
      </c>
      <c r="H733">
        <v>-0.05</v>
      </c>
      <c r="I733">
        <v>366.56729999999999</v>
      </c>
      <c r="J733">
        <v>-318.47649999999999</v>
      </c>
      <c r="K733">
        <v>1.1143160000000001</v>
      </c>
      <c r="L733">
        <v>367.6096</v>
      </c>
      <c r="M733">
        <v>0.99977150000000004</v>
      </c>
      <c r="N733">
        <v>-1.9502269999999999E-2</v>
      </c>
      <c r="O733">
        <v>8.7571030000000005E-3</v>
      </c>
      <c r="P733">
        <v>0.99622230000000001</v>
      </c>
      <c r="Q733">
        <v>-8.5720580000000005E-2</v>
      </c>
      <c r="R733">
        <v>-1.391381E-2</v>
      </c>
      <c r="S733">
        <v>3.0001829999999998</v>
      </c>
      <c r="T733">
        <v>-0.1129045</v>
      </c>
      <c r="U733">
        <v>-0.10083010000000001</v>
      </c>
      <c r="V733">
        <v>2.257905E-2</v>
      </c>
      <c r="W733">
        <v>-6.6299189999999994E-2</v>
      </c>
      <c r="X733">
        <v>0.99754430000000005</v>
      </c>
      <c r="Y733">
        <v>4.2294680000000001E-2</v>
      </c>
      <c r="Z733">
        <v>-1.3667550000000001E-3</v>
      </c>
      <c r="AA733">
        <v>0.99910429999999995</v>
      </c>
      <c r="AB733">
        <v>32</v>
      </c>
      <c r="AC733">
        <v>30.752599999999902</v>
      </c>
      <c r="AD733">
        <v>-1.1643159999999999</v>
      </c>
      <c r="AE733">
        <v>-1.04230000000001</v>
      </c>
      <c r="AF733">
        <v>1.30973964917723</v>
      </c>
      <c r="AG733">
        <v>-1.1643159999999999</v>
      </c>
      <c r="AH733">
        <v>30.6983375193314</v>
      </c>
      <c r="AI733">
        <v>92.170081238648905</v>
      </c>
      <c r="AJ733">
        <v>87.556966375035003</v>
      </c>
      <c r="AK733">
        <v>30.748316639245001</v>
      </c>
      <c r="AL733">
        <v>93.801452130681795</v>
      </c>
      <c r="AM733">
        <v>88.703352413862802</v>
      </c>
      <c r="AN733">
        <v>1.00000001327802</v>
      </c>
    </row>
    <row r="734" spans="1:40" x14ac:dyDescent="0.25">
      <c r="A734" t="str">
        <f>"20190303154744854"</f>
        <v>20190303154744854</v>
      </c>
      <c r="B734" t="str">
        <f>"1551599264851332"</f>
        <v>1551599264851332</v>
      </c>
      <c r="C734" t="s">
        <v>40</v>
      </c>
      <c r="D734">
        <v>4.916963</v>
      </c>
      <c r="E734">
        <v>0.5081021</v>
      </c>
      <c r="F734" t="s">
        <v>43</v>
      </c>
      <c r="G734">
        <v>-287.63339999999999</v>
      </c>
      <c r="H734">
        <v>-0.05</v>
      </c>
      <c r="I734">
        <v>366.55579999999998</v>
      </c>
      <c r="J734">
        <v>-318.31439999999998</v>
      </c>
      <c r="K734">
        <v>1.113456</v>
      </c>
      <c r="L734">
        <v>367.61070000000001</v>
      </c>
      <c r="M734">
        <v>0.99976279999999995</v>
      </c>
      <c r="N734">
        <v>-1.9999340000000001E-2</v>
      </c>
      <c r="O734">
        <v>8.6315009999999998E-3</v>
      </c>
      <c r="P734">
        <v>0.99617820000000001</v>
      </c>
      <c r="Q734">
        <v>-8.6229410000000006E-2</v>
      </c>
      <c r="R734">
        <v>-1.390863E-2</v>
      </c>
      <c r="S734">
        <v>3.0002140000000002</v>
      </c>
      <c r="T734">
        <v>-0.11325689999999999</v>
      </c>
      <c r="U734">
        <v>-0.1025085</v>
      </c>
      <c r="V734">
        <v>2.2454450000000001E-2</v>
      </c>
      <c r="W734">
        <v>-6.6310670000000002E-2</v>
      </c>
      <c r="X734">
        <v>0.9975463</v>
      </c>
      <c r="Y734">
        <v>4.2726189999999997E-2</v>
      </c>
      <c r="Z734">
        <v>-1.386651E-3</v>
      </c>
      <c r="AA734">
        <v>0.99908580000000002</v>
      </c>
      <c r="AB734">
        <v>32</v>
      </c>
      <c r="AC734">
        <v>30.680999999999901</v>
      </c>
      <c r="AD734">
        <v>-1.163456</v>
      </c>
      <c r="AE734">
        <v>-1.0549000000000299</v>
      </c>
      <c r="AF734">
        <v>1.31784389798554</v>
      </c>
      <c r="AG734">
        <v>-1.163456</v>
      </c>
      <c r="AH734">
        <v>30.626759937736299</v>
      </c>
      <c r="AI734">
        <v>92.173509129053002</v>
      </c>
      <c r="AJ734">
        <v>87.536130341542304</v>
      </c>
      <c r="AK734">
        <v>30.677170121885801</v>
      </c>
      <c r="AL734">
        <v>93.802111524646605</v>
      </c>
      <c r="AM734">
        <v>88.710507982504495</v>
      </c>
      <c r="AN734">
        <v>0.99999996396216995</v>
      </c>
    </row>
    <row r="735" spans="1:40" x14ac:dyDescent="0.25">
      <c r="A735" t="str">
        <f>"20190303154744866"</f>
        <v>20190303154744866</v>
      </c>
      <c r="B735" t="str">
        <f>"1551599264861092"</f>
        <v>1551599264861092</v>
      </c>
      <c r="C735" t="s">
        <v>40</v>
      </c>
      <c r="D735">
        <v>4.8569170000000002</v>
      </c>
      <c r="E735">
        <v>0.50831809999999999</v>
      </c>
      <c r="F735" t="s">
        <v>43</v>
      </c>
      <c r="G735">
        <v>-287.13569999999999</v>
      </c>
      <c r="H735">
        <v>-0.05</v>
      </c>
      <c r="I735">
        <v>366.48360000000002</v>
      </c>
      <c r="J735">
        <v>-318.14359999999999</v>
      </c>
      <c r="K735">
        <v>1.11253</v>
      </c>
      <c r="L735">
        <v>367.61189999999999</v>
      </c>
      <c r="M735">
        <v>0.99975539999999996</v>
      </c>
      <c r="N735">
        <v>-2.045893E-2</v>
      </c>
      <c r="O735">
        <v>8.4094990000000008E-3</v>
      </c>
      <c r="P735">
        <v>0.99613229999999997</v>
      </c>
      <c r="Q735">
        <v>-8.6719569999999996E-2</v>
      </c>
      <c r="R735">
        <v>-1.415868E-2</v>
      </c>
      <c r="S735">
        <v>3.0002749999999998</v>
      </c>
      <c r="T735">
        <v>-0.1119573</v>
      </c>
      <c r="U735">
        <v>-0.1084595</v>
      </c>
      <c r="V735">
        <v>2.2492910000000001E-2</v>
      </c>
      <c r="W735">
        <v>-6.6339690000000007E-2</v>
      </c>
      <c r="X735">
        <v>0.99754350000000003</v>
      </c>
      <c r="Y735">
        <v>4.4481649999999998E-2</v>
      </c>
      <c r="Z735">
        <v>-1.426461E-3</v>
      </c>
      <c r="AA735">
        <v>0.99900919999999904</v>
      </c>
      <c r="AB735">
        <v>32</v>
      </c>
      <c r="AC735">
        <v>31.007899999999999</v>
      </c>
      <c r="AD735">
        <v>-1.1625299999999901</v>
      </c>
      <c r="AE735">
        <v>-1.1282999999999599</v>
      </c>
      <c r="AF735">
        <v>1.3871283831771</v>
      </c>
      <c r="AG735">
        <v>-1.1625299999999901</v>
      </c>
      <c r="AH735">
        <v>30.953861260044</v>
      </c>
      <c r="AI735">
        <v>92.148684620237105</v>
      </c>
      <c r="AJ735">
        <v>87.434133851328099</v>
      </c>
      <c r="AK735">
        <v>31.006727141998802</v>
      </c>
      <c r="AL735">
        <v>93.803777932880394</v>
      </c>
      <c r="AM735">
        <v>88.708296462750496</v>
      </c>
      <c r="AN735">
        <v>0.99999995993090596</v>
      </c>
    </row>
    <row r="736" spans="1:40" x14ac:dyDescent="0.25">
      <c r="A736" t="str">
        <f>"20190303154744879"</f>
        <v>20190303154744879</v>
      </c>
      <c r="B736" t="str">
        <f>"1551599264870852"</f>
        <v>1551599264870852</v>
      </c>
      <c r="C736" t="s">
        <v>40</v>
      </c>
      <c r="D736">
        <v>4.8574830000000002</v>
      </c>
      <c r="E736">
        <v>0.50845059999999997</v>
      </c>
      <c r="F736" t="s">
        <v>43</v>
      </c>
      <c r="G736">
        <v>-287.2679</v>
      </c>
      <c r="H736">
        <v>-0.05</v>
      </c>
      <c r="I736">
        <v>366.47</v>
      </c>
      <c r="J736">
        <v>-317.95100000000002</v>
      </c>
      <c r="K736">
        <v>1.111459</v>
      </c>
      <c r="L736">
        <v>367.61320000000001</v>
      </c>
      <c r="M736">
        <v>0.99974940000000001</v>
      </c>
      <c r="N736">
        <v>-2.0894699999999999E-2</v>
      </c>
      <c r="O736">
        <v>8.0453720000000003E-3</v>
      </c>
      <c r="P736">
        <v>0.99606859999999997</v>
      </c>
      <c r="Q736">
        <v>-8.7462860000000003E-2</v>
      </c>
      <c r="R736">
        <v>-1.406727E-2</v>
      </c>
      <c r="S736">
        <v>3.0002439999999999</v>
      </c>
      <c r="T736">
        <v>-0.1129651</v>
      </c>
      <c r="U736">
        <v>-0.1109619</v>
      </c>
      <c r="V736">
        <v>2.2054589999999999E-2</v>
      </c>
      <c r="W736">
        <v>-6.6643460000000002E-2</v>
      </c>
      <c r="X736">
        <v>0.99753309999999995</v>
      </c>
      <c r="Y736">
        <v>4.4948830000000002E-2</v>
      </c>
      <c r="Z736">
        <v>-1.450371E-3</v>
      </c>
      <c r="AA736">
        <v>0.99898819999999999</v>
      </c>
      <c r="AB736">
        <v>32</v>
      </c>
      <c r="AC736">
        <v>30.6830999999999</v>
      </c>
      <c r="AD736">
        <v>-1.161459</v>
      </c>
      <c r="AE736">
        <v>-1.14319999999997</v>
      </c>
      <c r="AF736">
        <v>1.3880876179134001</v>
      </c>
      <c r="AG736">
        <v>-1.161459</v>
      </c>
      <c r="AH736">
        <v>30.629080141808</v>
      </c>
      <c r="AI736">
        <v>92.169398958452703</v>
      </c>
      <c r="AJ736">
        <v>87.405172455124799</v>
      </c>
      <c r="AK736">
        <v>30.682508446621199</v>
      </c>
      <c r="AL736">
        <v>93.821221042584</v>
      </c>
      <c r="AM736">
        <v>88.733446446793295</v>
      </c>
      <c r="AN736">
        <v>1.00000002064822</v>
      </c>
    </row>
    <row r="737" spans="1:40" x14ac:dyDescent="0.25">
      <c r="A737" t="str">
        <f>"20190303154744893"</f>
        <v>20190303154744893</v>
      </c>
      <c r="B737" t="str">
        <f>"1551599264881588"</f>
        <v>1551599264881588</v>
      </c>
      <c r="C737" t="s">
        <v>40</v>
      </c>
      <c r="D737">
        <v>4.8389709999999999</v>
      </c>
      <c r="E737">
        <v>0.50850059999999997</v>
      </c>
      <c r="F737" t="s">
        <v>43</v>
      </c>
      <c r="G737">
        <v>-287.70929999999998</v>
      </c>
      <c r="H737">
        <v>-0.05</v>
      </c>
      <c r="I737">
        <v>366.48570000000001</v>
      </c>
      <c r="J737">
        <v>-317.767</v>
      </c>
      <c r="K737">
        <v>1.1103459999999901</v>
      </c>
      <c r="L737">
        <v>367.61439999999999</v>
      </c>
      <c r="M737">
        <v>0.99974479999999999</v>
      </c>
      <c r="N737">
        <v>-2.1255880000000001E-2</v>
      </c>
      <c r="O737">
        <v>7.648836E-3</v>
      </c>
      <c r="P737">
        <v>0.99603989999999998</v>
      </c>
      <c r="Q737">
        <v>-8.7770509999999996E-2</v>
      </c>
      <c r="R737">
        <v>-1.41742E-2</v>
      </c>
      <c r="S737">
        <v>3.0001530000000001</v>
      </c>
      <c r="T737">
        <v>-0.1152234</v>
      </c>
      <c r="U737">
        <v>-0.1118469</v>
      </c>
      <c r="V737">
        <v>2.1779280000000002E-2</v>
      </c>
      <c r="W737">
        <v>-6.6586770000000003E-2</v>
      </c>
      <c r="X737">
        <v>0.99754290000000001</v>
      </c>
      <c r="Y737">
        <v>4.4846249999999997E-2</v>
      </c>
      <c r="Z737">
        <v>-1.468724E-3</v>
      </c>
      <c r="AA737">
        <v>0.99899280000000001</v>
      </c>
      <c r="AB737">
        <v>32</v>
      </c>
      <c r="AC737">
        <v>30.057700000000001</v>
      </c>
      <c r="AD737">
        <v>-1.1603460000000001</v>
      </c>
      <c r="AE737">
        <v>-1.1286999999999801</v>
      </c>
      <c r="AF737">
        <v>1.3566064857178799</v>
      </c>
      <c r="AG737">
        <v>-1.1603460000000001</v>
      </c>
      <c r="AH737">
        <v>30.003534879307601</v>
      </c>
      <c r="AI737">
        <v>92.212474641423498</v>
      </c>
      <c r="AJ737">
        <v>87.411140963265495</v>
      </c>
      <c r="AK737">
        <v>30.056594771374801</v>
      </c>
      <c r="AL737">
        <v>93.817965845875804</v>
      </c>
      <c r="AM737">
        <v>88.749264210940296</v>
      </c>
      <c r="AN737">
        <v>0.99999998615838004</v>
      </c>
    </row>
    <row r="738" spans="1:40" x14ac:dyDescent="0.25">
      <c r="A738" t="str">
        <f>"20190303154744909"</f>
        <v>20190303154744909</v>
      </c>
      <c r="B738" t="str">
        <f>"1551599264901108"</f>
        <v>1551599264901108</v>
      </c>
      <c r="C738" t="s">
        <v>40</v>
      </c>
      <c r="D738">
        <v>4.8189029999999997</v>
      </c>
      <c r="E738">
        <v>0.50879600000000003</v>
      </c>
      <c r="F738" t="s">
        <v>43</v>
      </c>
      <c r="G738">
        <v>-288.10730000000001</v>
      </c>
      <c r="H738">
        <v>-0.05</v>
      </c>
      <c r="I738">
        <v>366.50049999999999</v>
      </c>
      <c r="J738">
        <v>-317.51319999999998</v>
      </c>
      <c r="K738">
        <v>1.1086990000000001</v>
      </c>
      <c r="L738">
        <v>367.61599999999999</v>
      </c>
      <c r="M738">
        <v>0.9997395</v>
      </c>
      <c r="N738">
        <v>-2.1681860000000001E-2</v>
      </c>
      <c r="O738">
        <v>7.1373460000000001E-3</v>
      </c>
      <c r="P738">
        <v>0.9960253</v>
      </c>
      <c r="Q738">
        <v>-8.7933020000000001E-2</v>
      </c>
      <c r="R738">
        <v>-1.419805E-2</v>
      </c>
      <c r="S738">
        <v>2.9999690000000001</v>
      </c>
      <c r="T738">
        <v>-0.1173646</v>
      </c>
      <c r="U738">
        <v>-0.11267089999999901</v>
      </c>
      <c r="V738">
        <v>2.1305669999999999E-2</v>
      </c>
      <c r="W738">
        <v>-6.6320240000000003E-2</v>
      </c>
      <c r="X738">
        <v>0.99757090000000004</v>
      </c>
      <c r="Y738">
        <v>4.4609839999999998E-2</v>
      </c>
      <c r="Z738">
        <v>-1.4804429999999999E-3</v>
      </c>
      <c r="AA738">
        <v>0.99900339999999999</v>
      </c>
      <c r="AB738">
        <v>32</v>
      </c>
      <c r="AC738">
        <v>29.4058999999999</v>
      </c>
      <c r="AD738">
        <v>-1.1586989999999999</v>
      </c>
      <c r="AE738">
        <v>-1.1154999999999899</v>
      </c>
      <c r="AF738">
        <v>1.3233492547252701</v>
      </c>
      <c r="AG738">
        <v>-1.1586989999999999</v>
      </c>
      <c r="AH738">
        <v>29.3516797962656</v>
      </c>
      <c r="AI738">
        <v>92.258366152362001</v>
      </c>
      <c r="AJ738">
        <v>87.418511840590199</v>
      </c>
      <c r="AK738">
        <v>29.404335453893399</v>
      </c>
      <c r="AL738">
        <v>93.802660905650299</v>
      </c>
      <c r="AM738">
        <v>88.776488556037805</v>
      </c>
      <c r="AN738">
        <v>1.0000000031673</v>
      </c>
    </row>
    <row r="739" spans="1:40" x14ac:dyDescent="0.25">
      <c r="A739" t="str">
        <f>"20190303154744921"</f>
        <v>20190303154744921</v>
      </c>
      <c r="B739" t="str">
        <f>"1551599264910869"</f>
        <v>1551599264910869</v>
      </c>
      <c r="C739" t="s">
        <v>40</v>
      </c>
      <c r="D739">
        <v>4.8458249999999996</v>
      </c>
      <c r="E739">
        <v>0.50885179999999997</v>
      </c>
      <c r="F739" t="s">
        <v>43</v>
      </c>
      <c r="G739">
        <v>-288.10559999999998</v>
      </c>
      <c r="H739">
        <v>-0.05</v>
      </c>
      <c r="I739">
        <v>366.48759999999999</v>
      </c>
      <c r="J739">
        <v>-317.34969999999998</v>
      </c>
      <c r="K739">
        <v>1.107577</v>
      </c>
      <c r="L739">
        <v>367.61700000000002</v>
      </c>
      <c r="M739">
        <v>0.99973650000000003</v>
      </c>
      <c r="N739">
        <v>-2.1912689999999999E-2</v>
      </c>
      <c r="O739">
        <v>6.8365689999999998E-3</v>
      </c>
      <c r="P739">
        <v>0.99601729999999999</v>
      </c>
      <c r="Q739">
        <v>-8.7977159999999999E-2</v>
      </c>
      <c r="R739">
        <v>-1.447901E-2</v>
      </c>
      <c r="S739">
        <v>2.999908</v>
      </c>
      <c r="T739">
        <v>-0.11820029999999999</v>
      </c>
      <c r="U739">
        <v>-0.1151123</v>
      </c>
      <c r="V739">
        <v>2.1291540000000001E-2</v>
      </c>
      <c r="W739">
        <v>-6.6132659999999996E-2</v>
      </c>
      <c r="X739">
        <v>0.99758360000000001</v>
      </c>
      <c r="Y739">
        <v>4.5120519999999997E-2</v>
      </c>
      <c r="Z739">
        <v>-1.5025609999999999E-3</v>
      </c>
      <c r="AA739">
        <v>0.99898039999999999</v>
      </c>
      <c r="AB739">
        <v>32</v>
      </c>
      <c r="AC739">
        <v>29.2441</v>
      </c>
      <c r="AD739">
        <v>-1.1575770000000001</v>
      </c>
      <c r="AE739">
        <v>-1.12939999999997</v>
      </c>
      <c r="AF739">
        <v>1.3272743978389101</v>
      </c>
      <c r="AG739">
        <v>-1.1575770000000001</v>
      </c>
      <c r="AH739">
        <v>29.190025333164201</v>
      </c>
      <c r="AI739">
        <v>92.268623958970394</v>
      </c>
      <c r="AJ739">
        <v>87.396546414297006</v>
      </c>
      <c r="AK739">
        <v>29.243105525727898</v>
      </c>
      <c r="AL739">
        <v>93.791889923349302</v>
      </c>
      <c r="AM739">
        <v>88.7773153081705</v>
      </c>
      <c r="AN739">
        <v>0.99999994869160203</v>
      </c>
    </row>
    <row r="740" spans="1:40" x14ac:dyDescent="0.25">
      <c r="A740" t="str">
        <f>"20190303154744931"</f>
        <v>20190303154744931</v>
      </c>
      <c r="B740" t="str">
        <f>"1551599264921605"</f>
        <v>1551599264921605</v>
      </c>
      <c r="C740" t="s">
        <v>40</v>
      </c>
      <c r="D740">
        <v>4.8641329999999998</v>
      </c>
      <c r="E740">
        <v>0.50887009999999999</v>
      </c>
      <c r="F740" t="s">
        <v>43</v>
      </c>
      <c r="G740">
        <v>-288.10149999999999</v>
      </c>
      <c r="H740">
        <v>-0.05</v>
      </c>
      <c r="I740">
        <v>366.48009999999999</v>
      </c>
      <c r="J740">
        <v>-317.19279999999998</v>
      </c>
      <c r="K740">
        <v>1.106401</v>
      </c>
      <c r="L740">
        <v>367.61790000000002</v>
      </c>
      <c r="M740">
        <v>0.9997355</v>
      </c>
      <c r="N740">
        <v>-2.2025469999999998E-2</v>
      </c>
      <c r="O740">
        <v>6.6148279999999997E-3</v>
      </c>
      <c r="P740">
        <v>0.99600440000000001</v>
      </c>
      <c r="Q740">
        <v>-8.8106589999999999E-2</v>
      </c>
      <c r="R740">
        <v>-1.4574230000000001E-2</v>
      </c>
      <c r="S740">
        <v>2.9997859999999998</v>
      </c>
      <c r="T740">
        <v>-0.1187246</v>
      </c>
      <c r="U740">
        <v>-0.11660769999999999</v>
      </c>
      <c r="V740">
        <v>2.1166440000000002E-2</v>
      </c>
      <c r="W740">
        <v>-6.6149579999999999E-2</v>
      </c>
      <c r="X740">
        <v>0.99758519999999995</v>
      </c>
      <c r="Y740">
        <v>4.5396939999999997E-2</v>
      </c>
      <c r="Z740">
        <v>-1.5141379999999999E-3</v>
      </c>
      <c r="AA740">
        <v>0.99896790000000002</v>
      </c>
      <c r="AB740">
        <v>32</v>
      </c>
      <c r="AC740">
        <v>29.091299999999901</v>
      </c>
      <c r="AD740">
        <v>-1.156401</v>
      </c>
      <c r="AE740">
        <v>-1.1378000000000199</v>
      </c>
      <c r="AF740">
        <v>1.3281602895783799</v>
      </c>
      <c r="AG740">
        <v>-1.156401</v>
      </c>
      <c r="AH740">
        <v>29.037322610339299</v>
      </c>
      <c r="AI740">
        <v>92.278199411984502</v>
      </c>
      <c r="AJ740">
        <v>87.381129872319093</v>
      </c>
      <c r="AK740">
        <v>29.0906750936539</v>
      </c>
      <c r="AL740">
        <v>93.792861269469896</v>
      </c>
      <c r="AM740">
        <v>88.784499068768298</v>
      </c>
      <c r="AN740">
        <v>1.00000000818774</v>
      </c>
    </row>
    <row r="741" spans="1:40" x14ac:dyDescent="0.25">
      <c r="A741" t="str">
        <f>"20190303154744944"</f>
        <v>20190303154744944</v>
      </c>
      <c r="B741" t="str">
        <f>"1551599264931365"</f>
        <v>1551599264931365</v>
      </c>
      <c r="C741" t="s">
        <v>40</v>
      </c>
      <c r="D741">
        <v>4.8350669999999996</v>
      </c>
      <c r="E741">
        <v>0.50892099999999996</v>
      </c>
      <c r="F741" t="s">
        <v>43</v>
      </c>
      <c r="G741">
        <v>-288.12630000000001</v>
      </c>
      <c r="H741">
        <v>-0.05</v>
      </c>
      <c r="I741">
        <v>366.48379999999997</v>
      </c>
      <c r="J741">
        <v>-317.0256</v>
      </c>
      <c r="K741">
        <v>1.1051219999999999</v>
      </c>
      <c r="L741">
        <v>367.61880000000002</v>
      </c>
      <c r="M741">
        <v>0.99973509999999999</v>
      </c>
      <c r="N741">
        <v>-2.211161E-2</v>
      </c>
      <c r="O741">
        <v>6.3904610000000001E-3</v>
      </c>
      <c r="P741">
        <v>0.99602869999999999</v>
      </c>
      <c r="Q741">
        <v>-8.7807490000000002E-2</v>
      </c>
      <c r="R741">
        <v>-1.472248E-2</v>
      </c>
      <c r="S741">
        <v>2.9997560000000001</v>
      </c>
      <c r="T741">
        <v>-0.1193444</v>
      </c>
      <c r="U741">
        <v>-0.1170349</v>
      </c>
      <c r="V741">
        <v>2.10913E-2</v>
      </c>
      <c r="W741">
        <v>-6.5763940000000007E-2</v>
      </c>
      <c r="X741">
        <v>0.99761230000000001</v>
      </c>
      <c r="Y741">
        <v>4.5314800000000002E-2</v>
      </c>
      <c r="Z741">
        <v>-1.5150840000000001E-3</v>
      </c>
      <c r="AA741">
        <v>0.99897159999999996</v>
      </c>
      <c r="AB741">
        <v>32</v>
      </c>
      <c r="AC741">
        <v>28.899299999999901</v>
      </c>
      <c r="AD741">
        <v>-1.155122</v>
      </c>
      <c r="AE741">
        <v>-1.13500000000004</v>
      </c>
      <c r="AF741">
        <v>1.3176000043980201</v>
      </c>
      <c r="AG741">
        <v>-1.155122</v>
      </c>
      <c r="AH741">
        <v>28.845440781907602</v>
      </c>
      <c r="AI741">
        <v>92.290810706870104</v>
      </c>
      <c r="AJ741">
        <v>87.384665365693905</v>
      </c>
      <c r="AK741">
        <v>28.898612951299398</v>
      </c>
      <c r="AL741">
        <v>93.770717462336904</v>
      </c>
      <c r="AM741">
        <v>88.788845651854402</v>
      </c>
      <c r="AN741">
        <v>1.00000001992565</v>
      </c>
    </row>
    <row r="742" spans="1:40" x14ac:dyDescent="0.25">
      <c r="A742" t="str">
        <f>"20190303154744954"</f>
        <v>20190303154744954</v>
      </c>
      <c r="B742" t="str">
        <f>"1551599264950884"</f>
        <v>1551599264950884</v>
      </c>
      <c r="C742" t="s">
        <v>40</v>
      </c>
      <c r="D742">
        <v>4.8330070000000003</v>
      </c>
      <c r="E742">
        <v>0.50890159999999995</v>
      </c>
      <c r="F742" t="s">
        <v>43</v>
      </c>
      <c r="G742">
        <v>-287.7636</v>
      </c>
      <c r="H742">
        <v>-0.05</v>
      </c>
      <c r="I742">
        <v>366.46789999999999</v>
      </c>
      <c r="J742">
        <v>-316.8621</v>
      </c>
      <c r="K742">
        <v>1.1038079999999999</v>
      </c>
      <c r="L742">
        <v>367.61959999999999</v>
      </c>
      <c r="M742">
        <v>0.99973670000000003</v>
      </c>
      <c r="N742">
        <v>-2.2098E-2</v>
      </c>
      <c r="O742">
        <v>6.2038010000000001E-3</v>
      </c>
      <c r="P742">
        <v>0.99604309999999996</v>
      </c>
      <c r="Q742">
        <v>-8.7573810000000002E-2</v>
      </c>
      <c r="R742">
        <v>-1.5131759999999999E-2</v>
      </c>
      <c r="S742">
        <v>2.9998170000000002</v>
      </c>
      <c r="T742">
        <v>-0.1184183</v>
      </c>
      <c r="U742">
        <v>-0.117981</v>
      </c>
      <c r="V742">
        <v>2.1313809999999999E-2</v>
      </c>
      <c r="W742">
        <v>-6.5543820000000003E-2</v>
      </c>
      <c r="X742">
        <v>0.99762200000000001</v>
      </c>
      <c r="Y742">
        <v>4.5442669999999998E-2</v>
      </c>
      <c r="Z742">
        <v>-1.5065740000000001E-3</v>
      </c>
      <c r="AA742">
        <v>0.99896580000000001</v>
      </c>
      <c r="AB742">
        <v>32</v>
      </c>
      <c r="AC742">
        <v>29.098500000000001</v>
      </c>
      <c r="AD742">
        <v>-1.1538079999999999</v>
      </c>
      <c r="AE742">
        <v>-1.1516999999999999</v>
      </c>
      <c r="AF742">
        <v>1.3301551108345799</v>
      </c>
      <c r="AG742">
        <v>-1.1538079999999999</v>
      </c>
      <c r="AH742">
        <v>29.045197763908199</v>
      </c>
      <c r="AI742">
        <v>92.272474862563101</v>
      </c>
      <c r="AJ742">
        <v>87.377912105020101</v>
      </c>
      <c r="AK742">
        <v>29.0985239945995</v>
      </c>
      <c r="AL742">
        <v>93.758078460681602</v>
      </c>
      <c r="AM742">
        <v>88.776083921305201</v>
      </c>
      <c r="AN742">
        <v>0.99999996286045301</v>
      </c>
    </row>
    <row r="743" spans="1:40" x14ac:dyDescent="0.25">
      <c r="A743" t="str">
        <f>"20190303154744965"</f>
        <v>20190303154744965</v>
      </c>
      <c r="B743" t="str">
        <f>"1551599264961621"</f>
        <v>1551599264961621</v>
      </c>
      <c r="C743" t="s">
        <v>40</v>
      </c>
      <c r="D743">
        <v>4.8185729999999998</v>
      </c>
      <c r="E743">
        <v>0.50889669999999998</v>
      </c>
      <c r="F743" t="s">
        <v>43</v>
      </c>
      <c r="G743">
        <v>-287.67070000000001</v>
      </c>
      <c r="H743">
        <v>-0.05</v>
      </c>
      <c r="I743">
        <v>366.4599</v>
      </c>
      <c r="J743">
        <v>-316.70499999999998</v>
      </c>
      <c r="K743">
        <v>1.1025199999999999</v>
      </c>
      <c r="L743">
        <v>367.62040000000002</v>
      </c>
      <c r="M743">
        <v>0.99973909999999999</v>
      </c>
      <c r="N743">
        <v>-2.204008E-2</v>
      </c>
      <c r="O743">
        <v>6.0004239999999999E-3</v>
      </c>
      <c r="P743">
        <v>0.9960582</v>
      </c>
      <c r="Q743">
        <v>-8.7336150000000001E-2</v>
      </c>
      <c r="R743">
        <v>-1.5522609999999999E-2</v>
      </c>
      <c r="S743">
        <v>2.9997250000000002</v>
      </c>
      <c r="T743">
        <v>-0.118566</v>
      </c>
      <c r="U743">
        <v>-0.1191711</v>
      </c>
      <c r="V743">
        <v>2.1501849999999999E-2</v>
      </c>
      <c r="W743">
        <v>-6.5363669999999999E-2</v>
      </c>
      <c r="X743">
        <v>0.99762980000000001</v>
      </c>
      <c r="Y743">
        <v>4.5636089999999997E-2</v>
      </c>
      <c r="Z743">
        <v>-1.50947E-3</v>
      </c>
      <c r="AA743">
        <v>0.99895699999999998</v>
      </c>
      <c r="AB743">
        <v>32</v>
      </c>
      <c r="AC743">
        <v>29.034299999999899</v>
      </c>
      <c r="AD743">
        <v>-1.15252</v>
      </c>
      <c r="AE743">
        <v>-1.1605000000000101</v>
      </c>
      <c r="AF743">
        <v>1.3326430352913201</v>
      </c>
      <c r="AG743">
        <v>-1.15252</v>
      </c>
      <c r="AH743">
        <v>28.981218926544599</v>
      </c>
      <c r="AI743">
        <v>92.274927144984005</v>
      </c>
      <c r="AJ743">
        <v>87.367223438360497</v>
      </c>
      <c r="AK743">
        <v>29.034725593299701</v>
      </c>
      <c r="AL743">
        <v>93.747734385698095</v>
      </c>
      <c r="AM743">
        <v>88.765298962922699</v>
      </c>
      <c r="AN743">
        <v>0.99999997837866506</v>
      </c>
    </row>
    <row r="744" spans="1:40" x14ac:dyDescent="0.25">
      <c r="A744" t="str">
        <f>"20190303154744977"</f>
        <v>20190303154744977</v>
      </c>
      <c r="B744" t="str">
        <f>"1551599264971380"</f>
        <v>1551599264971380</v>
      </c>
      <c r="C744" t="s">
        <v>40</v>
      </c>
      <c r="D744">
        <v>4.8375059999999896</v>
      </c>
      <c r="E744">
        <v>0.50887829999999901</v>
      </c>
      <c r="F744" t="s">
        <v>43</v>
      </c>
      <c r="G744">
        <v>-287.49509999999998</v>
      </c>
      <c r="H744">
        <v>-0.05</v>
      </c>
      <c r="I744">
        <v>366.44959999999998</v>
      </c>
      <c r="J744">
        <v>-316.53039999999999</v>
      </c>
      <c r="K744">
        <v>1.101059</v>
      </c>
      <c r="L744">
        <v>367.62119999999999</v>
      </c>
      <c r="M744">
        <v>0.99974320000000005</v>
      </c>
      <c r="N744">
        <v>-2.1920430000000001E-2</v>
      </c>
      <c r="O744">
        <v>5.7438869999999996E-3</v>
      </c>
      <c r="P744">
        <v>0.99607559999999995</v>
      </c>
      <c r="Q744">
        <v>-8.7037760000000006E-2</v>
      </c>
      <c r="R744">
        <v>-1.6057490000000001E-2</v>
      </c>
      <c r="S744">
        <v>2.9996640000000001</v>
      </c>
      <c r="T744">
        <v>-0.11835660000000001</v>
      </c>
      <c r="U744">
        <v>-0.12023929999999999</v>
      </c>
      <c r="V744">
        <v>2.1782240000000001E-2</v>
      </c>
      <c r="W744">
        <v>-6.5184030000000004E-2</v>
      </c>
      <c r="X744">
        <v>0.99763550000000001</v>
      </c>
      <c r="Y744">
        <v>4.5735869999999998E-2</v>
      </c>
      <c r="Z744">
        <v>-1.5040310000000001E-3</v>
      </c>
      <c r="AA744">
        <v>0.99895239999999996</v>
      </c>
      <c r="AB744">
        <v>32</v>
      </c>
      <c r="AC744">
        <v>29.035299999999999</v>
      </c>
      <c r="AD744">
        <v>-1.1510590000000001</v>
      </c>
      <c r="AE744">
        <v>-1.17160000000001</v>
      </c>
      <c r="AF744">
        <v>1.3362995147077601</v>
      </c>
      <c r="AG744">
        <v>-1.1510590000000001</v>
      </c>
      <c r="AH744">
        <v>28.982614551780902</v>
      </c>
      <c r="AI744">
        <v>92.271924123522297</v>
      </c>
      <c r="AJ744">
        <v>87.360136830345397</v>
      </c>
      <c r="AK744">
        <v>29.0362287405164</v>
      </c>
      <c r="AL744">
        <v>93.737419666310501</v>
      </c>
      <c r="AM744">
        <v>88.749210350228196</v>
      </c>
      <c r="AN744">
        <v>1.0000000073033499</v>
      </c>
    </row>
    <row r="745" spans="1:40" x14ac:dyDescent="0.25">
      <c r="A745" t="str">
        <f>"20190303154744987"</f>
        <v>20190303154744987</v>
      </c>
      <c r="B745" t="str">
        <f>"1551599264981140"</f>
        <v>1551599264981140</v>
      </c>
      <c r="C745" t="s">
        <v>40</v>
      </c>
      <c r="D745">
        <v>4.8569050000000002</v>
      </c>
      <c r="E745">
        <v>0.50889329999999999</v>
      </c>
      <c r="F745" t="s">
        <v>43</v>
      </c>
      <c r="G745">
        <v>-287.22820000000002</v>
      </c>
      <c r="H745">
        <v>-0.05</v>
      </c>
      <c r="I745">
        <v>366.43380000000002</v>
      </c>
      <c r="J745">
        <v>-316.38240000000002</v>
      </c>
      <c r="K745">
        <v>1.09979</v>
      </c>
      <c r="L745">
        <v>367.62189999999998</v>
      </c>
      <c r="M745">
        <v>0.99974700000000005</v>
      </c>
      <c r="N745">
        <v>-2.180663E-2</v>
      </c>
      <c r="O745">
        <v>5.5301509999999996E-3</v>
      </c>
      <c r="P745">
        <v>0.99606779999999995</v>
      </c>
      <c r="Q745">
        <v>-8.7075819999999998E-2</v>
      </c>
      <c r="R745">
        <v>-1.6337029999999999E-2</v>
      </c>
      <c r="S745">
        <v>2.9995729999999998</v>
      </c>
      <c r="T745">
        <v>-0.1178303</v>
      </c>
      <c r="U745">
        <v>-0.12155150000000001</v>
      </c>
      <c r="V745">
        <v>2.184871E-2</v>
      </c>
      <c r="W745">
        <v>-6.5335779999999996E-2</v>
      </c>
      <c r="X745">
        <v>0.99762410000000001</v>
      </c>
      <c r="Y745">
        <v>4.5960090000000002E-2</v>
      </c>
      <c r="Z745">
        <v>-1.5002100000000001E-3</v>
      </c>
      <c r="AA745">
        <v>0.99894210000000006</v>
      </c>
      <c r="AB745">
        <v>32</v>
      </c>
      <c r="AC745">
        <v>29.154199999999999</v>
      </c>
      <c r="AD745">
        <v>-1.1497899999999901</v>
      </c>
      <c r="AE745">
        <v>-1.18809999999996</v>
      </c>
      <c r="AF745">
        <v>1.3472552741923001</v>
      </c>
      <c r="AG745">
        <v>-1.1497899999999901</v>
      </c>
      <c r="AH745">
        <v>29.101992614369799</v>
      </c>
      <c r="AI745">
        <v>92.260102905935796</v>
      </c>
      <c r="AJ745">
        <v>87.349426617252703</v>
      </c>
      <c r="AK745">
        <v>29.155841403478099</v>
      </c>
      <c r="AL745">
        <v>93.746132948698502</v>
      </c>
      <c r="AM745">
        <v>88.745380365905007</v>
      </c>
      <c r="AN745">
        <v>0.99999998758884101</v>
      </c>
    </row>
    <row r="746" spans="1:40" x14ac:dyDescent="0.25">
      <c r="A746" t="str">
        <f>"20190303154744998"</f>
        <v>20190303154744998</v>
      </c>
      <c r="B746" t="str">
        <f>"1551599264990901"</f>
        <v>1551599264990901</v>
      </c>
      <c r="C746" t="s">
        <v>40</v>
      </c>
      <c r="D746">
        <v>4.8563939999999999</v>
      </c>
      <c r="E746">
        <v>0.5089456</v>
      </c>
      <c r="F746" t="s">
        <v>43</v>
      </c>
      <c r="G746">
        <v>-287.21460000000002</v>
      </c>
      <c r="H746">
        <v>-0.05</v>
      </c>
      <c r="I746">
        <v>366.42970000000003</v>
      </c>
      <c r="J746">
        <v>-316.22109999999998</v>
      </c>
      <c r="K746">
        <v>1.0984</v>
      </c>
      <c r="L746">
        <v>367.62259999999998</v>
      </c>
      <c r="M746">
        <v>0.99975099999999995</v>
      </c>
      <c r="N746">
        <v>-2.1677720000000001E-2</v>
      </c>
      <c r="O746">
        <v>5.2986400000000003E-3</v>
      </c>
      <c r="P746">
        <v>0.99605840000000001</v>
      </c>
      <c r="Q746">
        <v>-8.7057040000000002E-2</v>
      </c>
      <c r="R746">
        <v>-1.6990290000000002E-2</v>
      </c>
      <c r="S746">
        <v>2.9994809999999998</v>
      </c>
      <c r="T746">
        <v>-0.11823889999999999</v>
      </c>
      <c r="U746">
        <v>-0.12258910000000001</v>
      </c>
      <c r="V746">
        <v>2.2270970000000001E-2</v>
      </c>
      <c r="W746">
        <v>-6.5445939999999994E-2</v>
      </c>
      <c r="X746">
        <v>0.99760749999999998</v>
      </c>
      <c r="Y746">
        <v>4.6074650000000002E-2</v>
      </c>
      <c r="Z746">
        <v>-1.5012630000000001E-3</v>
      </c>
      <c r="AA746">
        <v>0.99893690000000002</v>
      </c>
      <c r="AB746">
        <v>32</v>
      </c>
      <c r="AC746">
        <v>29.0064999999999</v>
      </c>
      <c r="AD746">
        <v>-1.1484000000000001</v>
      </c>
      <c r="AE746">
        <v>-1.1928999999999499</v>
      </c>
      <c r="AF746">
        <v>1.34451046357757</v>
      </c>
      <c r="AG746">
        <v>-1.1484000000000001</v>
      </c>
      <c r="AH746">
        <v>28.954462132534101</v>
      </c>
      <c r="AI746">
        <v>92.268848577164903</v>
      </c>
      <c r="AJ746">
        <v>87.341360453458094</v>
      </c>
      <c r="AK746">
        <v>29.0084023746745</v>
      </c>
      <c r="AL746">
        <v>93.752458347334695</v>
      </c>
      <c r="AM746">
        <v>88.721119610826094</v>
      </c>
      <c r="AN746">
        <v>0.999999945611735</v>
      </c>
    </row>
    <row r="747" spans="1:40" x14ac:dyDescent="0.25">
      <c r="A747" t="str">
        <f>"20190303154745011"</f>
        <v>20190303154745011</v>
      </c>
      <c r="B747" t="str">
        <f>"1551599265001637"</f>
        <v>1551599265001637</v>
      </c>
      <c r="C747" t="s">
        <v>40</v>
      </c>
      <c r="D747">
        <v>4.8432769999999996</v>
      </c>
      <c r="E747">
        <v>0.5089456</v>
      </c>
      <c r="F747" t="s">
        <v>43</v>
      </c>
      <c r="G747">
        <v>-287.11470000000003</v>
      </c>
      <c r="H747">
        <v>-0.05</v>
      </c>
      <c r="I747">
        <v>366.41129999999998</v>
      </c>
      <c r="J747">
        <v>-316.05369999999999</v>
      </c>
      <c r="K747">
        <v>1.0969329999999999</v>
      </c>
      <c r="L747">
        <v>367.62329999999997</v>
      </c>
      <c r="M747">
        <v>0.99975570000000002</v>
      </c>
      <c r="N747">
        <v>-2.1510040000000001E-2</v>
      </c>
      <c r="O747">
        <v>5.0910510000000001E-3</v>
      </c>
      <c r="P747">
        <v>0.99607000000000001</v>
      </c>
      <c r="Q747">
        <v>-8.6908280000000004E-2</v>
      </c>
      <c r="R747">
        <v>-1.7077439999999999E-2</v>
      </c>
      <c r="S747">
        <v>2.9994200000000002</v>
      </c>
      <c r="T747">
        <v>-0.1183428</v>
      </c>
      <c r="U747">
        <v>-0.124816899999999</v>
      </c>
      <c r="V747">
        <v>2.2148500000000002E-2</v>
      </c>
      <c r="W747">
        <v>-6.5465140000000005E-2</v>
      </c>
      <c r="X747">
        <v>0.99760899999999997</v>
      </c>
      <c r="Y747">
        <v>4.6608169999999997E-2</v>
      </c>
      <c r="Z747">
        <v>-1.5118169999999999E-3</v>
      </c>
      <c r="AA747">
        <v>0.99891209999999997</v>
      </c>
      <c r="AB747">
        <v>32</v>
      </c>
      <c r="AC747">
        <v>28.938999999999901</v>
      </c>
      <c r="AD747">
        <v>-1.146933</v>
      </c>
      <c r="AE747">
        <v>-1.21199999999998</v>
      </c>
      <c r="AF747">
        <v>1.35722017101668</v>
      </c>
      <c r="AG747">
        <v>-1.146933</v>
      </c>
      <c r="AH747">
        <v>28.8871577489302</v>
      </c>
      <c r="AI747">
        <v>92.271169277863393</v>
      </c>
      <c r="AJ747">
        <v>87.310021127940701</v>
      </c>
      <c r="AK747">
        <v>28.9417584937523</v>
      </c>
      <c r="AL747">
        <v>93.753560666022594</v>
      </c>
      <c r="AM747">
        <v>88.728151880587404</v>
      </c>
      <c r="AN747">
        <v>0.99999997874423396</v>
      </c>
    </row>
    <row r="748" spans="1:40" x14ac:dyDescent="0.25">
      <c r="A748" t="str">
        <f>"20190303154745022"</f>
        <v>20190303154745022</v>
      </c>
      <c r="B748" t="str">
        <f>"1551599265011398"</f>
        <v>1551599265011398</v>
      </c>
      <c r="C748" t="s">
        <v>40</v>
      </c>
      <c r="D748">
        <v>4.8376679999999999</v>
      </c>
      <c r="E748">
        <v>0.50890609999999903</v>
      </c>
      <c r="F748" t="s">
        <v>43</v>
      </c>
      <c r="G748">
        <v>-287.04820000000001</v>
      </c>
      <c r="H748">
        <v>-0.05</v>
      </c>
      <c r="I748">
        <v>366.40940000000001</v>
      </c>
      <c r="J748">
        <v>-315.90219999999999</v>
      </c>
      <c r="K748">
        <v>1.0956090000000001</v>
      </c>
      <c r="L748">
        <v>367.62389999999999</v>
      </c>
      <c r="M748">
        <v>0.99976010000000004</v>
      </c>
      <c r="N748">
        <v>-2.1349130000000001E-2</v>
      </c>
      <c r="O748">
        <v>4.909526E-3</v>
      </c>
      <c r="P748">
        <v>0.99607210000000002</v>
      </c>
      <c r="Q748">
        <v>-8.6833679999999996E-2</v>
      </c>
      <c r="R748">
        <v>-1.733693E-2</v>
      </c>
      <c r="S748">
        <v>2.9993590000000001</v>
      </c>
      <c r="T748">
        <v>-0.1186002</v>
      </c>
      <c r="U748">
        <v>-0.12551880000000001</v>
      </c>
      <c r="V748">
        <v>2.2224190000000001E-2</v>
      </c>
      <c r="W748">
        <v>-6.5551999999999999E-2</v>
      </c>
      <c r="X748">
        <v>0.99760159999999998</v>
      </c>
      <c r="Y748">
        <v>4.666087E-2</v>
      </c>
      <c r="Z748">
        <v>-1.5096409999999999E-3</v>
      </c>
      <c r="AA748">
        <v>0.99890970000000001</v>
      </c>
      <c r="AB748">
        <v>32</v>
      </c>
      <c r="AC748">
        <v>28.8539999999999</v>
      </c>
      <c r="AD748">
        <v>-1.1456090000000001</v>
      </c>
      <c r="AE748">
        <v>-1.2144999999999799</v>
      </c>
      <c r="AF748">
        <v>1.3540463874056701</v>
      </c>
      <c r="AG748">
        <v>-1.1456090000000001</v>
      </c>
      <c r="AH748">
        <v>28.802364960789799</v>
      </c>
      <c r="AI748">
        <v>92.275218716928507</v>
      </c>
      <c r="AJ748">
        <v>87.308413209815697</v>
      </c>
      <c r="AK748">
        <v>28.856924453840499</v>
      </c>
      <c r="AL748">
        <v>93.758548139124997</v>
      </c>
      <c r="AM748">
        <v>88.723797454693994</v>
      </c>
      <c r="AN748">
        <v>0.99999996582385697</v>
      </c>
    </row>
    <row r="749" spans="1:40" x14ac:dyDescent="0.25">
      <c r="A749" t="str">
        <f>"20190303154745032"</f>
        <v>20190303154745032</v>
      </c>
      <c r="B749" t="str">
        <f>"1551599265021157"</f>
        <v>1551599265021157</v>
      </c>
      <c r="C749" t="s">
        <v>40</v>
      </c>
      <c r="D749">
        <v>4.8237709999999998</v>
      </c>
      <c r="E749">
        <v>0.50889740000000006</v>
      </c>
      <c r="F749" t="s">
        <v>43</v>
      </c>
      <c r="G749">
        <v>-286.9776</v>
      </c>
      <c r="H749">
        <v>-0.05</v>
      </c>
      <c r="I749">
        <v>366.40980000000002</v>
      </c>
      <c r="J749">
        <v>-315.7355</v>
      </c>
      <c r="K749">
        <v>1.094152</v>
      </c>
      <c r="L749">
        <v>367.62450000000001</v>
      </c>
      <c r="M749">
        <v>0.99976609999999999</v>
      </c>
      <c r="N749">
        <v>-2.1109650000000001E-2</v>
      </c>
      <c r="O749">
        <v>4.7428679999999999E-3</v>
      </c>
      <c r="P749">
        <v>0.99607400000000001</v>
      </c>
      <c r="Q749">
        <v>-8.6776450000000005E-2</v>
      </c>
      <c r="R749">
        <v>-1.7516779999999999E-2</v>
      </c>
      <c r="S749">
        <v>2.9992679999999998</v>
      </c>
      <c r="T749">
        <v>-0.11879099999999999</v>
      </c>
      <c r="U749">
        <v>-0.125885</v>
      </c>
      <c r="V749">
        <v>2.2233369999999999E-2</v>
      </c>
      <c r="W749">
        <v>-6.5735160000000001E-2</v>
      </c>
      <c r="X749">
        <v>0.99758930000000001</v>
      </c>
      <c r="Y749">
        <v>4.6617489999999998E-2</v>
      </c>
      <c r="Z749">
        <v>-1.502651E-3</v>
      </c>
      <c r="AA749">
        <v>0.99891169999999996</v>
      </c>
      <c r="AB749">
        <v>32</v>
      </c>
      <c r="AC749">
        <v>28.757899999999999</v>
      </c>
      <c r="AD749">
        <v>-1.1441520000000001</v>
      </c>
      <c r="AE749">
        <v>-1.2146999999999899</v>
      </c>
      <c r="AF749">
        <v>1.34898013437979</v>
      </c>
      <c r="AG749">
        <v>-1.1441520000000001</v>
      </c>
      <c r="AH749">
        <v>28.7064554729618</v>
      </c>
      <c r="AI749">
        <v>92.279914120745403</v>
      </c>
      <c r="AJ749">
        <v>87.3095232647632</v>
      </c>
      <c r="AK749">
        <v>28.760900838172599</v>
      </c>
      <c r="AL749">
        <v>93.769065280816093</v>
      </c>
      <c r="AM749">
        <v>88.7232547400382</v>
      </c>
      <c r="AN749">
        <v>0.99999992273813298</v>
      </c>
    </row>
    <row r="750" spans="1:40" x14ac:dyDescent="0.25">
      <c r="A750" t="str">
        <f>"20190303154745044"</f>
        <v>20190303154745044</v>
      </c>
      <c r="B750" t="str">
        <f>"1551599265041653"</f>
        <v>1551599265041653</v>
      </c>
      <c r="C750" t="s">
        <v>40</v>
      </c>
      <c r="D750">
        <v>4.8716949999999999</v>
      </c>
      <c r="E750">
        <v>0.50888299999999997</v>
      </c>
      <c r="F750" t="s">
        <v>43</v>
      </c>
      <c r="G750">
        <v>-286.83620000000002</v>
      </c>
      <c r="H750">
        <v>-0.05</v>
      </c>
      <c r="I750">
        <v>366.40660000000003</v>
      </c>
      <c r="J750">
        <v>-315.57389999999998</v>
      </c>
      <c r="K750">
        <v>1.0927519999999999</v>
      </c>
      <c r="L750">
        <v>367.62509999999997</v>
      </c>
      <c r="M750">
        <v>0.99977199999999999</v>
      </c>
      <c r="N750">
        <v>-2.0856139999999999E-2</v>
      </c>
      <c r="O750">
        <v>4.5854399999999997E-3</v>
      </c>
      <c r="P750">
        <v>0.99610759999999998</v>
      </c>
      <c r="Q750">
        <v>-8.6385760000000006E-2</v>
      </c>
      <c r="R750">
        <v>-1.752712E-2</v>
      </c>
      <c r="S750">
        <v>2.9992679999999998</v>
      </c>
      <c r="T750">
        <v>-0.11874369999999999</v>
      </c>
      <c r="U750">
        <v>-0.12640380000000001</v>
      </c>
      <c r="V750">
        <v>2.2082830000000001E-2</v>
      </c>
      <c r="W750">
        <v>-6.5598210000000004E-2</v>
      </c>
      <c r="X750">
        <v>0.99760170000000004</v>
      </c>
      <c r="Y750">
        <v>4.663291E-2</v>
      </c>
      <c r="Z750">
        <v>-1.49501E-3</v>
      </c>
      <c r="AA750">
        <v>0.99891099999999999</v>
      </c>
      <c r="AB750">
        <v>32</v>
      </c>
      <c r="AC750">
        <v>28.737699999999901</v>
      </c>
      <c r="AD750">
        <v>-1.142752</v>
      </c>
      <c r="AE750">
        <v>-1.21849999999994</v>
      </c>
      <c r="AF750">
        <v>1.3481628943720501</v>
      </c>
      <c r="AG750">
        <v>-1.142752</v>
      </c>
      <c r="AH750">
        <v>28.686530057644799</v>
      </c>
      <c r="AI750">
        <v>92.278706888262604</v>
      </c>
      <c r="AJ750">
        <v>87.309285910728505</v>
      </c>
      <c r="AK750">
        <v>28.740919123636701</v>
      </c>
      <c r="AL750">
        <v>93.761201494315301</v>
      </c>
      <c r="AM750">
        <v>88.731912383544199</v>
      </c>
      <c r="AN750">
        <v>0.99999996418945003</v>
      </c>
    </row>
    <row r="751" spans="1:40" x14ac:dyDescent="0.25">
      <c r="A751" t="str">
        <f>"20190303154745055"</f>
        <v>20190303154745055</v>
      </c>
      <c r="B751" t="str">
        <f>"1551599265051413"</f>
        <v>1551599265051413</v>
      </c>
      <c r="C751" t="s">
        <v>40</v>
      </c>
      <c r="D751">
        <v>4.9303350000000004</v>
      </c>
      <c r="E751">
        <v>0.50888049999999996</v>
      </c>
      <c r="F751" t="s">
        <v>43</v>
      </c>
      <c r="G751">
        <v>-286.63650000000001</v>
      </c>
      <c r="H751">
        <v>-0.05</v>
      </c>
      <c r="I751">
        <v>366.40609999999998</v>
      </c>
      <c r="J751">
        <v>-315.4178</v>
      </c>
      <c r="K751">
        <v>1.0914250000000001</v>
      </c>
      <c r="L751">
        <v>367.62560000000002</v>
      </c>
      <c r="M751">
        <v>0.99977859999999996</v>
      </c>
      <c r="N751">
        <v>-2.0571510000000001E-2</v>
      </c>
      <c r="O751">
        <v>4.4411850000000003E-3</v>
      </c>
      <c r="P751">
        <v>0.99616640000000001</v>
      </c>
      <c r="Q751">
        <v>-8.5731210000000002E-2</v>
      </c>
      <c r="R751">
        <v>-1.741181E-2</v>
      </c>
      <c r="S751">
        <v>2.9991759999999998</v>
      </c>
      <c r="T751">
        <v>-0.1184386</v>
      </c>
      <c r="U751">
        <v>-0.12634280000000001</v>
      </c>
      <c r="V751">
        <v>2.181992E-2</v>
      </c>
      <c r="W751">
        <v>-6.5227759999999996E-2</v>
      </c>
      <c r="X751">
        <v>0.99763179999999996</v>
      </c>
      <c r="Y751">
        <v>4.6470440000000002E-2</v>
      </c>
      <c r="Z751">
        <v>-1.479263E-3</v>
      </c>
      <c r="AA751">
        <v>0.99891859999999999</v>
      </c>
      <c r="AB751">
        <v>32</v>
      </c>
      <c r="AC751">
        <v>28.781299999999899</v>
      </c>
      <c r="AD751">
        <v>-1.1414249999999999</v>
      </c>
      <c r="AE751">
        <v>-1.21950000000003</v>
      </c>
      <c r="AF751">
        <v>1.34522610867215</v>
      </c>
      <c r="AG751">
        <v>-1.1414249999999999</v>
      </c>
      <c r="AH751">
        <v>28.730492479890199</v>
      </c>
      <c r="AI751">
        <v>92.272602968399795</v>
      </c>
      <c r="AJ751">
        <v>87.319240957725498</v>
      </c>
      <c r="AK751">
        <v>28.784608429699102</v>
      </c>
      <c r="AL751">
        <v>93.739930622959804</v>
      </c>
      <c r="AM751">
        <v>88.747042715898203</v>
      </c>
      <c r="AN751">
        <v>0.999999988977331</v>
      </c>
    </row>
    <row r="752" spans="1:40" x14ac:dyDescent="0.25">
      <c r="A752" t="str">
        <f>"20190303154745068"</f>
        <v>20190303154745068</v>
      </c>
      <c r="B752" t="str">
        <f>"1551599265061172"</f>
        <v>1551599265061172</v>
      </c>
      <c r="C752" t="s">
        <v>40</v>
      </c>
      <c r="D752">
        <v>4.9480500000000003</v>
      </c>
      <c r="E752">
        <v>0.50889309999999999</v>
      </c>
      <c r="F752" t="s">
        <v>43</v>
      </c>
      <c r="G752">
        <v>-285.98590000000002</v>
      </c>
      <c r="H752">
        <v>-0.05</v>
      </c>
      <c r="I752">
        <v>366.38909999999998</v>
      </c>
      <c r="J752">
        <v>-315.24439999999998</v>
      </c>
      <c r="K752">
        <v>1.0899970000000001</v>
      </c>
      <c r="L752">
        <v>367.62619999999998</v>
      </c>
      <c r="M752">
        <v>0.99978619999999996</v>
      </c>
      <c r="N752">
        <v>-2.0228099999999999E-2</v>
      </c>
      <c r="O752">
        <v>4.2769409999999898E-3</v>
      </c>
      <c r="P752">
        <v>0.99618890000000004</v>
      </c>
      <c r="Q752">
        <v>-8.5492760000000001E-2</v>
      </c>
      <c r="R752">
        <v>-1.7279699999999999E-2</v>
      </c>
      <c r="S752">
        <v>2.9993590000000001</v>
      </c>
      <c r="T752">
        <v>-0.1163206</v>
      </c>
      <c r="U752">
        <v>-0.12600710000000001</v>
      </c>
      <c r="V752">
        <v>2.1520669999999999E-2</v>
      </c>
      <c r="W752">
        <v>-6.5332630000000003E-2</v>
      </c>
      <c r="X752">
        <v>0.99763139999999995</v>
      </c>
      <c r="Y752">
        <v>4.6194449999999998E-2</v>
      </c>
      <c r="Z752">
        <v>-1.442023E-3</v>
      </c>
      <c r="AA752">
        <v>0.99893140000000002</v>
      </c>
      <c r="AB752">
        <v>32</v>
      </c>
      <c r="AC752">
        <v>29.258499999999898</v>
      </c>
      <c r="AD752">
        <v>-1.1399969999999999</v>
      </c>
      <c r="AE752">
        <v>-1.2370999999999901</v>
      </c>
      <c r="AF752">
        <v>1.3601899403773601</v>
      </c>
      <c r="AG752">
        <v>-1.1399969999999999</v>
      </c>
      <c r="AH752">
        <v>29.2086773402266</v>
      </c>
      <c r="AI752">
        <v>92.232668068160194</v>
      </c>
      <c r="AJ752">
        <v>87.333775834416201</v>
      </c>
      <c r="AK752">
        <v>29.262545032846599</v>
      </c>
      <c r="AL752">
        <v>93.745952217724394</v>
      </c>
      <c r="AM752">
        <v>88.764220578108706</v>
      </c>
      <c r="AN752">
        <v>0.99999995102296102</v>
      </c>
    </row>
    <row r="753" spans="1:40" x14ac:dyDescent="0.25">
      <c r="A753" t="str">
        <f>"20190303154745081"</f>
        <v>20190303154745081</v>
      </c>
      <c r="B753" t="str">
        <f>"1551599265070945"</f>
        <v>1551599265070945</v>
      </c>
      <c r="C753" t="s">
        <v>40</v>
      </c>
      <c r="D753">
        <v>4.8645050000000003</v>
      </c>
      <c r="E753">
        <v>0.50882799999999995</v>
      </c>
      <c r="F753" t="s">
        <v>43</v>
      </c>
      <c r="G753">
        <v>-285.65089999999998</v>
      </c>
      <c r="H753">
        <v>-0.05</v>
      </c>
      <c r="I753">
        <v>366.38589999999999</v>
      </c>
      <c r="J753">
        <v>-315.04950000000002</v>
      </c>
      <c r="K753">
        <v>1.0884309999999999</v>
      </c>
      <c r="L753">
        <v>367.6268</v>
      </c>
      <c r="M753">
        <v>0.99979530000000005</v>
      </c>
      <c r="N753">
        <v>-1.9817629999999999E-2</v>
      </c>
      <c r="O753">
        <v>4.0885210000000003E-3</v>
      </c>
      <c r="P753">
        <v>0.99623510000000004</v>
      </c>
      <c r="Q753">
        <v>-8.4961439999999999E-2</v>
      </c>
      <c r="R753">
        <v>-1.7244659999999998E-2</v>
      </c>
      <c r="S753">
        <v>2.99939</v>
      </c>
      <c r="T753">
        <v>-0.1155419</v>
      </c>
      <c r="U753">
        <v>-0.12570190000000001</v>
      </c>
      <c r="V753">
        <v>2.129474E-2</v>
      </c>
      <c r="W753">
        <v>-6.5211030000000003E-2</v>
      </c>
      <c r="X753">
        <v>0.99764419999999998</v>
      </c>
      <c r="Y753">
        <v>4.5905559999999998E-2</v>
      </c>
      <c r="Z753">
        <v>-1.4152289999999901E-3</v>
      </c>
      <c r="AA753">
        <v>0.99894479999999997</v>
      </c>
      <c r="AB753">
        <v>32</v>
      </c>
      <c r="AC753">
        <v>29.398599999999998</v>
      </c>
      <c r="AD753">
        <v>-1.138431</v>
      </c>
      <c r="AE753">
        <v>-1.2409000000000101</v>
      </c>
      <c r="AF753">
        <v>1.35907564851776</v>
      </c>
      <c r="AG753">
        <v>-1.138431</v>
      </c>
      <c r="AH753">
        <v>29.349347288438199</v>
      </c>
      <c r="AI753">
        <v>92.218955329520696</v>
      </c>
      <c r="AJ753">
        <v>87.348707266354197</v>
      </c>
      <c r="AK753">
        <v>29.4028450667195</v>
      </c>
      <c r="AL753">
        <v>93.738970176223901</v>
      </c>
      <c r="AM753">
        <v>88.777205859522695</v>
      </c>
      <c r="AN753">
        <v>0.99999994708948203</v>
      </c>
    </row>
    <row r="754" spans="1:40" x14ac:dyDescent="0.25">
      <c r="A754" t="str">
        <f>"20190303154745095"</f>
        <v>20190303154745095</v>
      </c>
      <c r="B754" t="str">
        <f>"1551599265091428"</f>
        <v>1551599265091428</v>
      </c>
      <c r="C754" t="s">
        <v>40</v>
      </c>
      <c r="D754">
        <v>4.8752909999999998</v>
      </c>
      <c r="E754">
        <v>0.50875969999999904</v>
      </c>
      <c r="F754" t="s">
        <v>43</v>
      </c>
      <c r="G754">
        <v>-285.09539999999998</v>
      </c>
      <c r="H754">
        <v>-0.05</v>
      </c>
      <c r="I754">
        <v>366.3784</v>
      </c>
      <c r="J754">
        <v>-314.83850000000001</v>
      </c>
      <c r="K754">
        <v>1.086849</v>
      </c>
      <c r="L754">
        <v>367.62740000000002</v>
      </c>
      <c r="M754">
        <v>0.99980550000000001</v>
      </c>
      <c r="N754">
        <v>-1.93429E-2</v>
      </c>
      <c r="O754">
        <v>3.8709019999999998E-3</v>
      </c>
      <c r="P754">
        <v>0.99627270000000001</v>
      </c>
      <c r="Q754">
        <v>-8.4525760000000005E-2</v>
      </c>
      <c r="R754">
        <v>-1.7218339999999999E-2</v>
      </c>
      <c r="S754">
        <v>2.99939</v>
      </c>
      <c r="T754">
        <v>-0.1139944</v>
      </c>
      <c r="U754">
        <v>-0.125</v>
      </c>
      <c r="V754">
        <v>2.1049600000000002E-2</v>
      </c>
      <c r="W754">
        <v>-6.5248860000000006E-2</v>
      </c>
      <c r="X754">
        <v>0.99764699999999995</v>
      </c>
      <c r="Y754">
        <v>4.5456799999999999E-2</v>
      </c>
      <c r="Z754">
        <v>-1.375399E-3</v>
      </c>
      <c r="AA754">
        <v>0.9989654</v>
      </c>
      <c r="AB754">
        <v>32</v>
      </c>
      <c r="AC754">
        <v>29.743099999999998</v>
      </c>
      <c r="AD754">
        <v>-1.136849</v>
      </c>
      <c r="AE754">
        <v>-1.2490000000000201</v>
      </c>
      <c r="AF754">
        <v>1.36215826713622</v>
      </c>
      <c r="AG754">
        <v>-1.136849</v>
      </c>
      <c r="AH754">
        <v>29.694735487957701</v>
      </c>
      <c r="AI754">
        <v>92.190170382209402</v>
      </c>
      <c r="AJ754">
        <v>87.373566563317397</v>
      </c>
      <c r="AK754">
        <v>29.747692624694501</v>
      </c>
      <c r="AL754">
        <v>93.741142036077605</v>
      </c>
      <c r="AM754">
        <v>88.791281566837895</v>
      </c>
      <c r="AN754">
        <v>1.00000001800022</v>
      </c>
    </row>
    <row r="755" spans="1:40" x14ac:dyDescent="0.25">
      <c r="A755" t="str">
        <f>"20190303154745111"</f>
        <v>20190303154745111</v>
      </c>
      <c r="B755" t="str">
        <f>"1551599265101189"</f>
        <v>1551599265101189</v>
      </c>
      <c r="C755" t="s">
        <v>40</v>
      </c>
      <c r="D755">
        <v>4.902952</v>
      </c>
      <c r="E755">
        <v>0.50871219999999995</v>
      </c>
      <c r="F755" t="s">
        <v>43</v>
      </c>
      <c r="G755">
        <v>-284.6705</v>
      </c>
      <c r="H755">
        <v>-0.05</v>
      </c>
      <c r="I755">
        <v>366.37450000000001</v>
      </c>
      <c r="J755">
        <v>-314.61810000000003</v>
      </c>
      <c r="K755">
        <v>1.085291</v>
      </c>
      <c r="L755">
        <v>367.62810000000002</v>
      </c>
      <c r="M755">
        <v>0.99981589999999998</v>
      </c>
      <c r="N755">
        <v>-1.883756E-2</v>
      </c>
      <c r="O755">
        <v>3.6404559999999998E-3</v>
      </c>
      <c r="P755">
        <v>0.99632350000000003</v>
      </c>
      <c r="Q755">
        <v>-8.3984020000000006E-2</v>
      </c>
      <c r="R755">
        <v>-1.6919779999999999E-2</v>
      </c>
      <c r="S755">
        <v>2.9994809999999998</v>
      </c>
      <c r="T755">
        <v>-0.1130323</v>
      </c>
      <c r="U755">
        <v>-0.1245728</v>
      </c>
      <c r="V755">
        <v>2.0520239999999999E-2</v>
      </c>
      <c r="W755">
        <v>-6.521064E-2</v>
      </c>
      <c r="X755">
        <v>0.99766049999999995</v>
      </c>
      <c r="Y755">
        <v>4.5084770000000003E-2</v>
      </c>
      <c r="Z755">
        <v>-1.34245E-3</v>
      </c>
      <c r="AA755">
        <v>0.99898229999999999</v>
      </c>
      <c r="AB755">
        <v>32</v>
      </c>
      <c r="AC755">
        <v>29.947600000000001</v>
      </c>
      <c r="AD755">
        <v>-1.1352910000000001</v>
      </c>
      <c r="AE755">
        <v>-1.2536</v>
      </c>
      <c r="AF755">
        <v>1.3606819315134899</v>
      </c>
      <c r="AG755">
        <v>-1.1352910000000001</v>
      </c>
      <c r="AH755">
        <v>29.8999426186104</v>
      </c>
      <c r="AI755">
        <v>92.172211395414706</v>
      </c>
      <c r="AJ755">
        <v>87.394390305818504</v>
      </c>
      <c r="AK755">
        <v>29.952410747210699</v>
      </c>
      <c r="AL755">
        <v>93.738947620516797</v>
      </c>
      <c r="AM755">
        <v>88.821685945067003</v>
      </c>
      <c r="AN755">
        <v>0.99999999053955801</v>
      </c>
    </row>
    <row r="756" spans="1:40" x14ac:dyDescent="0.25">
      <c r="A756" t="str">
        <f>"20190303154745122"</f>
        <v>20190303154745122</v>
      </c>
      <c r="B756" t="str">
        <f>"1551599265110949"</f>
        <v>1551599265110949</v>
      </c>
      <c r="C756" t="s">
        <v>40</v>
      </c>
      <c r="D756">
        <v>4.88415</v>
      </c>
      <c r="E756">
        <v>0.50867450000000003</v>
      </c>
      <c r="F756" t="s">
        <v>43</v>
      </c>
      <c r="G756">
        <v>-284.21449999999999</v>
      </c>
      <c r="H756">
        <v>-0.05</v>
      </c>
      <c r="I756">
        <v>366.3784</v>
      </c>
      <c r="J756">
        <v>-314.45690000000002</v>
      </c>
      <c r="K756">
        <v>1.084198</v>
      </c>
      <c r="L756">
        <v>367.62849999999997</v>
      </c>
      <c r="M756">
        <v>0.99982360000000003</v>
      </c>
      <c r="N756">
        <v>-1.8465559999999999E-2</v>
      </c>
      <c r="O756">
        <v>3.472087E-3</v>
      </c>
      <c r="P756">
        <v>0.99634619999999996</v>
      </c>
      <c r="Q756">
        <v>-8.3718260000000003E-2</v>
      </c>
      <c r="R756">
        <v>-1.6906299999999999E-2</v>
      </c>
      <c r="S756">
        <v>2.9995419999999999</v>
      </c>
      <c r="T756">
        <v>-0.1120048</v>
      </c>
      <c r="U756">
        <v>-0.123291</v>
      </c>
      <c r="V756">
        <v>2.033832E-2</v>
      </c>
      <c r="W756">
        <v>-6.531576E-2</v>
      </c>
      <c r="X756">
        <v>0.99765740000000003</v>
      </c>
      <c r="Y756">
        <v>4.449119E-2</v>
      </c>
      <c r="Z756">
        <v>-1.306696E-3</v>
      </c>
      <c r="AA756">
        <v>0.99900889999999998</v>
      </c>
      <c r="AB756">
        <v>32</v>
      </c>
      <c r="AC756">
        <v>30.2424</v>
      </c>
      <c r="AD756">
        <v>-1.134198</v>
      </c>
      <c r="AE756">
        <v>-1.25009999999997</v>
      </c>
      <c r="AF756">
        <v>1.35321452503896</v>
      </c>
      <c r="AG756">
        <v>-1.134198</v>
      </c>
      <c r="AH756">
        <v>30.195478414525098</v>
      </c>
      <c r="AI756">
        <v>92.148969245638298</v>
      </c>
      <c r="AJ756">
        <v>87.433998678099698</v>
      </c>
      <c r="AK756">
        <v>30.247057895538099</v>
      </c>
      <c r="AL756">
        <v>93.744983228603303</v>
      </c>
      <c r="AM756">
        <v>88.832125628685006</v>
      </c>
      <c r="AN756">
        <v>1.0000000417697701</v>
      </c>
    </row>
    <row r="757" spans="1:40" x14ac:dyDescent="0.25">
      <c r="A757" t="str">
        <f>"20190303154745134"</f>
        <v>20190303154745134</v>
      </c>
      <c r="B757" t="str">
        <f>"1551599265131445"</f>
        <v>1551599265131445</v>
      </c>
      <c r="C757" t="s">
        <v>40</v>
      </c>
      <c r="D757">
        <v>5.0653860000000002</v>
      </c>
      <c r="E757">
        <v>0.50864929999999997</v>
      </c>
      <c r="F757" t="s">
        <v>43</v>
      </c>
      <c r="G757">
        <v>-283.97579999999999</v>
      </c>
      <c r="H757">
        <v>-0.05</v>
      </c>
      <c r="I757">
        <v>366.37650000000002</v>
      </c>
      <c r="J757">
        <v>-314.29070000000002</v>
      </c>
      <c r="K757">
        <v>1.0831660000000001</v>
      </c>
      <c r="L757">
        <v>367.62900000000002</v>
      </c>
      <c r="M757">
        <v>0.99983100000000003</v>
      </c>
      <c r="N757">
        <v>-1.8085170000000001E-2</v>
      </c>
      <c r="O757">
        <v>3.307014E-3</v>
      </c>
      <c r="P757">
        <v>0.99638269999999995</v>
      </c>
      <c r="Q757">
        <v>-8.3272289999999999E-2</v>
      </c>
      <c r="R757">
        <v>-1.6955620000000001E-2</v>
      </c>
      <c r="S757">
        <v>2.9994809999999998</v>
      </c>
      <c r="T757">
        <v>-0.1116103</v>
      </c>
      <c r="U757">
        <v>-0.1231995</v>
      </c>
      <c r="V757">
        <v>2.022289E-2</v>
      </c>
      <c r="W757">
        <v>-6.524874E-2</v>
      </c>
      <c r="X757">
        <v>0.99766410000000005</v>
      </c>
      <c r="Y757">
        <v>4.4297419999999997E-2</v>
      </c>
      <c r="Z757">
        <v>-1.2876739999999999E-3</v>
      </c>
      <c r="AA757">
        <v>0.9990175</v>
      </c>
      <c r="AB757">
        <v>32</v>
      </c>
      <c r="AC757">
        <v>30.314900000000002</v>
      </c>
      <c r="AD757">
        <v>-1.1331659999999999</v>
      </c>
      <c r="AE757">
        <v>-1.25249999999999</v>
      </c>
      <c r="AF757">
        <v>1.35087704521256</v>
      </c>
      <c r="AG757">
        <v>-1.1331659999999999</v>
      </c>
      <c r="AH757">
        <v>30.268370990882001</v>
      </c>
      <c r="AI757">
        <v>92.141867783398993</v>
      </c>
      <c r="AJ757">
        <v>87.4445857818272</v>
      </c>
      <c r="AK757">
        <v>30.319683646379001</v>
      </c>
      <c r="AL757">
        <v>93.741135176285397</v>
      </c>
      <c r="AM757">
        <v>88.838759868179594</v>
      </c>
      <c r="AN757">
        <v>1.00000000989017</v>
      </c>
    </row>
    <row r="758" spans="1:40" x14ac:dyDescent="0.25">
      <c r="A758" t="str">
        <f>"20190303154745145"</f>
        <v>20190303154745145</v>
      </c>
      <c r="B758" t="str">
        <f>"1551599265141205"</f>
        <v>1551599265141205</v>
      </c>
      <c r="C758" t="s">
        <v>40</v>
      </c>
      <c r="D758">
        <v>4.9092609999999999</v>
      </c>
      <c r="E758">
        <v>0.51870539999999998</v>
      </c>
      <c r="F758" t="s">
        <v>43</v>
      </c>
      <c r="G758">
        <v>-283.6268</v>
      </c>
      <c r="H758">
        <v>-0.05</v>
      </c>
      <c r="I758">
        <v>366.37040000000002</v>
      </c>
      <c r="J758">
        <v>-314.13170000000002</v>
      </c>
      <c r="K758">
        <v>1.082217</v>
      </c>
      <c r="L758">
        <v>367.62939999999998</v>
      </c>
      <c r="M758">
        <v>0.999838</v>
      </c>
      <c r="N758">
        <v>-1.7726530000000001E-2</v>
      </c>
      <c r="O758">
        <v>3.1558160000000001E-3</v>
      </c>
      <c r="P758">
        <v>0.99641939999999996</v>
      </c>
      <c r="Q758">
        <v>-8.2822629999999994E-2</v>
      </c>
      <c r="R758">
        <v>-1.6999690000000001E-2</v>
      </c>
      <c r="S758">
        <v>2.9995419999999999</v>
      </c>
      <c r="T758">
        <v>-0.11084620000000001</v>
      </c>
      <c r="U758">
        <v>-0.12310790000000001</v>
      </c>
      <c r="V758">
        <v>2.0116430000000001E-2</v>
      </c>
      <c r="W758">
        <v>-6.51563E-2</v>
      </c>
      <c r="X758">
        <v>0.99767229999999996</v>
      </c>
      <c r="Y758">
        <v>4.411607E-2</v>
      </c>
      <c r="Z758">
        <v>-1.266547E-3</v>
      </c>
      <c r="AA758">
        <v>0.99902559999999996</v>
      </c>
      <c r="AB758">
        <v>32</v>
      </c>
      <c r="AC758">
        <v>30.504899999999999</v>
      </c>
      <c r="AD758">
        <v>-1.132217</v>
      </c>
      <c r="AE758">
        <v>-1.2589999999999499</v>
      </c>
      <c r="AF758">
        <v>1.3534154168152299</v>
      </c>
      <c r="AG758">
        <v>-1.132217</v>
      </c>
      <c r="AH758">
        <v>30.458885735071402</v>
      </c>
      <c r="AI758">
        <v>92.126720728224896</v>
      </c>
      <c r="AJ758">
        <v>87.455782935610998</v>
      </c>
      <c r="AK758">
        <v>30.5099552416535</v>
      </c>
      <c r="AL758">
        <v>93.735827436376198</v>
      </c>
      <c r="AM758">
        <v>88.844880852208803</v>
      </c>
      <c r="AN758">
        <v>1.00000001618646</v>
      </c>
    </row>
    <row r="759" spans="1:40" x14ac:dyDescent="0.25">
      <c r="A759" t="str">
        <f>"20190303154745155"</f>
        <v>20190303154745155</v>
      </c>
      <c r="B759" t="str">
        <f>"1551599265151940"</f>
        <v>1551599265151940</v>
      </c>
      <c r="C759" t="s">
        <v>40</v>
      </c>
      <c r="D759">
        <v>5.0251760000000001</v>
      </c>
      <c r="E759">
        <v>0.51870539999999998</v>
      </c>
      <c r="F759" t="s">
        <v>41</v>
      </c>
      <c r="G759">
        <v>-271.1139</v>
      </c>
      <c r="H759" s="1">
        <v>-4.6655599999999996E-6</v>
      </c>
      <c r="I759">
        <v>364.7054</v>
      </c>
      <c r="J759">
        <v>-313.97199999999998</v>
      </c>
      <c r="K759">
        <v>1.081329</v>
      </c>
      <c r="L759">
        <v>367.62979999999999</v>
      </c>
      <c r="M759">
        <v>0.99984450000000002</v>
      </c>
      <c r="N759">
        <v>-1.7374569999999999E-2</v>
      </c>
      <c r="O759">
        <v>3.0145950000000001E-3</v>
      </c>
      <c r="P759">
        <v>0.99646900000000005</v>
      </c>
      <c r="Q759">
        <v>-8.2231570000000004E-2</v>
      </c>
      <c r="R759">
        <v>-1.6963800000000001E-2</v>
      </c>
      <c r="S759">
        <v>3.001007</v>
      </c>
      <c r="T759">
        <v>-7.5497629999999996E-2</v>
      </c>
      <c r="U759">
        <v>-0.20397950000000001</v>
      </c>
      <c r="V759">
        <v>1.9940010000000001E-2</v>
      </c>
      <c r="W759">
        <v>-6.4915470000000003E-2</v>
      </c>
      <c r="X759">
        <v>0.99769149999999995</v>
      </c>
      <c r="Y759">
        <v>7.0783840000000001E-2</v>
      </c>
      <c r="Z759">
        <v>-1.5284669999999999E-3</v>
      </c>
      <c r="AA759">
        <v>0.99749049999999995</v>
      </c>
      <c r="AB759">
        <v>32</v>
      </c>
      <c r="AC759">
        <v>42.858099999999901</v>
      </c>
      <c r="AD759">
        <v>-1.0813336655600001</v>
      </c>
      <c r="AE759">
        <v>-2.9243999999999901</v>
      </c>
      <c r="AF759">
        <v>3.0516723945797701</v>
      </c>
      <c r="AG759">
        <v>-1.0813336655600001</v>
      </c>
      <c r="AH759">
        <v>42.8219546772144</v>
      </c>
      <c r="AI759">
        <v>91.442859491028699</v>
      </c>
      <c r="AJ759">
        <v>85.923753243169102</v>
      </c>
      <c r="AK759">
        <v>42.944170608797698</v>
      </c>
      <c r="AL759">
        <v>93.721999770344894</v>
      </c>
      <c r="AM759">
        <v>88.855030504544104</v>
      </c>
      <c r="AN759">
        <v>0.999999975708185</v>
      </c>
    </row>
    <row r="760" spans="1:40" x14ac:dyDescent="0.25">
      <c r="A760" t="str">
        <f>"20190303154745166"</f>
        <v>20190303154745166</v>
      </c>
      <c r="B760" t="str">
        <f>"1551599265161700"</f>
        <v>1551599265161700</v>
      </c>
      <c r="C760" t="s">
        <v>40</v>
      </c>
      <c r="D760">
        <v>5.0241699999999998</v>
      </c>
      <c r="E760">
        <v>0.51529939999999996</v>
      </c>
      <c r="F760" t="s">
        <v>41</v>
      </c>
      <c r="G760">
        <v>-269.99220000000003</v>
      </c>
      <c r="H760" s="1">
        <v>-5.1580000000000004E-6</v>
      </c>
      <c r="I760">
        <v>364.64179999999999</v>
      </c>
      <c r="J760">
        <v>-313.81979999999999</v>
      </c>
      <c r="K760">
        <v>1.0805340000000001</v>
      </c>
      <c r="L760">
        <v>367.63010000000003</v>
      </c>
      <c r="M760">
        <v>0.99985060000000003</v>
      </c>
      <c r="N760">
        <v>-1.7050030000000001E-2</v>
      </c>
      <c r="O760">
        <v>2.893142E-3</v>
      </c>
      <c r="P760">
        <v>0.99651040000000002</v>
      </c>
      <c r="Q760">
        <v>-8.1731109999999996E-2</v>
      </c>
      <c r="R760">
        <v>-1.6953739999999998E-2</v>
      </c>
      <c r="S760">
        <v>3.001099</v>
      </c>
      <c r="T760">
        <v>-7.3788049999999994E-2</v>
      </c>
      <c r="U760">
        <v>-0.20388790000000001</v>
      </c>
      <c r="V760">
        <v>1.9809759999999999E-2</v>
      </c>
      <c r="W760">
        <v>-6.4737989999999995E-2</v>
      </c>
      <c r="X760">
        <v>0.99770559999999997</v>
      </c>
      <c r="Y760">
        <v>7.0632009999999995E-2</v>
      </c>
      <c r="Z760">
        <v>-1.4919860000000001E-3</v>
      </c>
      <c r="AA760">
        <v>0.99750130000000004</v>
      </c>
      <c r="AB760">
        <v>32</v>
      </c>
      <c r="AC760">
        <v>43.827599999999897</v>
      </c>
      <c r="AD760">
        <v>-1.0805391579999899</v>
      </c>
      <c r="AE760">
        <v>-2.9883000000000299</v>
      </c>
      <c r="AF760">
        <v>3.1132218076557101</v>
      </c>
      <c r="AG760">
        <v>-1.0805391579999899</v>
      </c>
      <c r="AH760">
        <v>43.792274391519697</v>
      </c>
      <c r="AI760">
        <v>91.409883732190707</v>
      </c>
      <c r="AJ760">
        <v>85.933646147966101</v>
      </c>
      <c r="AK760">
        <v>43.916090573704103</v>
      </c>
      <c r="AL760">
        <v>93.711809579100105</v>
      </c>
      <c r="AM760">
        <v>88.862523651586102</v>
      </c>
      <c r="AN760">
        <v>0.99999994910592704</v>
      </c>
    </row>
    <row r="761" spans="1:40" x14ac:dyDescent="0.25">
      <c r="A761" t="str">
        <f>"20190303154745178"</f>
        <v>20190303154745178</v>
      </c>
      <c r="B761" t="str">
        <f>"1551599265171461"</f>
        <v>1551599265171461</v>
      </c>
      <c r="C761" t="s">
        <v>40</v>
      </c>
      <c r="D761">
        <v>5.0499640000000001</v>
      </c>
      <c r="E761">
        <v>0.5157119</v>
      </c>
      <c r="F761" t="s">
        <v>43</v>
      </c>
      <c r="G761">
        <v>-293.24400000000003</v>
      </c>
      <c r="H761">
        <v>-0.05</v>
      </c>
      <c r="I761">
        <v>366.4307</v>
      </c>
      <c r="J761">
        <v>-313.65039999999999</v>
      </c>
      <c r="K761">
        <v>1.0796920000000001</v>
      </c>
      <c r="L761">
        <v>367.63049999999998</v>
      </c>
      <c r="M761">
        <v>0.99985670000000004</v>
      </c>
      <c r="N761">
        <v>-1.6697420000000001E-2</v>
      </c>
      <c r="O761">
        <v>2.7686999999999998E-3</v>
      </c>
      <c r="P761">
        <v>0.99652909999999995</v>
      </c>
      <c r="Q761">
        <v>-8.1495020000000001E-2</v>
      </c>
      <c r="R761">
        <v>-1.6987390000000002E-2</v>
      </c>
      <c r="S761">
        <v>2.994049</v>
      </c>
      <c r="T761">
        <v>-0.1645073</v>
      </c>
      <c r="U761">
        <v>-0.17452999999999999</v>
      </c>
      <c r="V761">
        <v>1.971999E-2</v>
      </c>
      <c r="W761">
        <v>-6.4853140000000004E-2</v>
      </c>
      <c r="X761">
        <v>0.99770000000000003</v>
      </c>
      <c r="Y761">
        <v>6.0836300000000003E-2</v>
      </c>
      <c r="Z761">
        <v>-2.2832299999999998E-3</v>
      </c>
      <c r="AA761">
        <v>0.99814519999999995</v>
      </c>
      <c r="AB761">
        <v>32</v>
      </c>
      <c r="AC761">
        <v>20.406399999999898</v>
      </c>
      <c r="AD761">
        <v>-1.1296919999999999</v>
      </c>
      <c r="AE761">
        <v>-1.19979999999998</v>
      </c>
      <c r="AF761">
        <v>1.2524772427531701</v>
      </c>
      <c r="AG761">
        <v>-1.1296919999999999</v>
      </c>
      <c r="AH761">
        <v>20.340875580939802</v>
      </c>
      <c r="AI761">
        <v>93.172831877707694</v>
      </c>
      <c r="AJ761">
        <v>86.476495180195002</v>
      </c>
      <c r="AK761">
        <v>20.410686481785699</v>
      </c>
      <c r="AL761">
        <v>93.718420710584397</v>
      </c>
      <c r="AM761">
        <v>88.867670545601896</v>
      </c>
      <c r="AN761">
        <v>1.00000004888672</v>
      </c>
    </row>
    <row r="762" spans="1:40" x14ac:dyDescent="0.25">
      <c r="A762" t="str">
        <f>"20190303154745189"</f>
        <v>20190303154745189</v>
      </c>
      <c r="B762" t="str">
        <f>"1551599265181221"</f>
        <v>1551599265181221</v>
      </c>
      <c r="C762" t="s">
        <v>40</v>
      </c>
      <c r="D762">
        <v>5.0497920000000001</v>
      </c>
      <c r="E762">
        <v>0.51566449999999997</v>
      </c>
      <c r="F762" t="s">
        <v>43</v>
      </c>
      <c r="G762">
        <v>-292.6721</v>
      </c>
      <c r="H762">
        <v>-0.05</v>
      </c>
      <c r="I762">
        <v>366.38159999999999</v>
      </c>
      <c r="J762">
        <v>-313.49889999999999</v>
      </c>
      <c r="K762">
        <v>1.0790150000000001</v>
      </c>
      <c r="L762">
        <v>367.63080000000002</v>
      </c>
      <c r="M762">
        <v>0.99986200000000003</v>
      </c>
      <c r="N762">
        <v>-1.639728E-2</v>
      </c>
      <c r="O762">
        <v>2.6778409999999998E-3</v>
      </c>
      <c r="P762">
        <v>0.9965176</v>
      </c>
      <c r="Q762">
        <v>-8.1640210000000005E-2</v>
      </c>
      <c r="R762">
        <v>-1.695994E-2</v>
      </c>
      <c r="S762">
        <v>2.9942319999999998</v>
      </c>
      <c r="T762">
        <v>-0.16124059999999901</v>
      </c>
      <c r="U762">
        <v>-0.1782532</v>
      </c>
      <c r="V762">
        <v>1.9603240000000001E-2</v>
      </c>
      <c r="W762">
        <v>-6.5297540000000001E-2</v>
      </c>
      <c r="X762">
        <v>0.99767329999999999</v>
      </c>
      <c r="Y762">
        <v>6.1981500000000002E-2</v>
      </c>
      <c r="Z762">
        <v>-2.2754339999999998E-3</v>
      </c>
      <c r="AA762">
        <v>0.99807469999999998</v>
      </c>
      <c r="AB762">
        <v>32</v>
      </c>
      <c r="AC762">
        <v>20.826799999999899</v>
      </c>
      <c r="AD762">
        <v>-1.1290149999999901</v>
      </c>
      <c r="AE762">
        <v>-1.2492000000000301</v>
      </c>
      <c r="AF762">
        <v>1.3011638612001799</v>
      </c>
      <c r="AG762">
        <v>-1.1290149999999901</v>
      </c>
      <c r="AH762">
        <v>20.762583546889701</v>
      </c>
      <c r="AI762">
        <v>93.106447139840199</v>
      </c>
      <c r="AJ762">
        <v>86.414038248395798</v>
      </c>
      <c r="AK762">
        <v>20.8339285254964</v>
      </c>
      <c r="AL762">
        <v>93.743937092969801</v>
      </c>
      <c r="AM762">
        <v>88.8743425292285</v>
      </c>
      <c r="AN762">
        <v>1.0000000346407101</v>
      </c>
    </row>
    <row r="763" spans="1:40" x14ac:dyDescent="0.25">
      <c r="A763" t="str">
        <f>"20190303154745199"</f>
        <v>20190303154745199</v>
      </c>
      <c r="B763" t="str">
        <f>"1551599265190981"</f>
        <v>1551599265190981</v>
      </c>
      <c r="C763" t="s">
        <v>40</v>
      </c>
      <c r="D763">
        <v>4.9536369999999996</v>
      </c>
      <c r="E763">
        <v>0.51725120000000002</v>
      </c>
      <c r="F763" t="s">
        <v>43</v>
      </c>
      <c r="G763">
        <v>-293.04590000000002</v>
      </c>
      <c r="H763">
        <v>-0.05</v>
      </c>
      <c r="I763">
        <v>366.41770000000002</v>
      </c>
      <c r="J763">
        <v>-313.34010000000001</v>
      </c>
      <c r="K763">
        <v>1.0783199999999999</v>
      </c>
      <c r="L763">
        <v>367.63119999999998</v>
      </c>
      <c r="M763">
        <v>0.99986739999999996</v>
      </c>
      <c r="N763">
        <v>-1.6086570000000001E-2</v>
      </c>
      <c r="O763">
        <v>2.5876979999999998E-3</v>
      </c>
      <c r="P763">
        <v>0.99649069999999995</v>
      </c>
      <c r="Q763">
        <v>-8.1990350000000004E-2</v>
      </c>
      <c r="R763">
        <v>-1.685232E-2</v>
      </c>
      <c r="S763">
        <v>2.9939269999999998</v>
      </c>
      <c r="T763">
        <v>-0.16526660000000001</v>
      </c>
      <c r="U763">
        <v>-0.17758180000000001</v>
      </c>
      <c r="V763">
        <v>1.9406820000000002E-2</v>
      </c>
      <c r="W763">
        <v>-6.5957550000000004E-2</v>
      </c>
      <c r="X763">
        <v>0.99763369999999996</v>
      </c>
      <c r="Y763">
        <v>6.1670309999999999E-2</v>
      </c>
      <c r="Z763">
        <v>-2.2973619999999998E-3</v>
      </c>
      <c r="AA763">
        <v>0.99809389999999998</v>
      </c>
      <c r="AB763">
        <v>32</v>
      </c>
      <c r="AC763">
        <v>20.294199999999901</v>
      </c>
      <c r="AD763">
        <v>-1.12832</v>
      </c>
      <c r="AE763">
        <v>-1.2134999999999501</v>
      </c>
      <c r="AF763">
        <v>1.2621304451042801</v>
      </c>
      <c r="AG763">
        <v>-1.12832</v>
      </c>
      <c r="AH763">
        <v>20.228684250255998</v>
      </c>
      <c r="AI763">
        <v>93.186365168857094</v>
      </c>
      <c r="AJ763">
        <v>86.429766397083299</v>
      </c>
      <c r="AK763">
        <v>20.299402596613799</v>
      </c>
      <c r="AL763">
        <v>93.781834668312698</v>
      </c>
      <c r="AM763">
        <v>88.885574279081297</v>
      </c>
      <c r="AN763">
        <v>1.0000000112201</v>
      </c>
    </row>
    <row r="764" spans="1:40" x14ac:dyDescent="0.25">
      <c r="A764" t="str">
        <f>"20190303154745211"</f>
        <v>20190303154745211</v>
      </c>
      <c r="B764" t="str">
        <f>"1551599265201716"</f>
        <v>1551599265201716</v>
      </c>
      <c r="C764" t="s">
        <v>40</v>
      </c>
      <c r="D764">
        <v>5.060416</v>
      </c>
      <c r="E764">
        <v>0.51719329999999997</v>
      </c>
      <c r="F764" t="s">
        <v>43</v>
      </c>
      <c r="G764">
        <v>-290.47820000000002</v>
      </c>
      <c r="H764">
        <v>-0.05</v>
      </c>
      <c r="I764">
        <v>366.17790000000002</v>
      </c>
      <c r="J764">
        <v>-313.1653</v>
      </c>
      <c r="K764">
        <v>1.0776479999999999</v>
      </c>
      <c r="L764">
        <v>367.63159999999999</v>
      </c>
      <c r="M764">
        <v>0.99987269999999995</v>
      </c>
      <c r="N764">
        <v>-1.575938E-2</v>
      </c>
      <c r="O764">
        <v>2.5177720000000002E-3</v>
      </c>
      <c r="P764">
        <v>0.99644949999999999</v>
      </c>
      <c r="Q764">
        <v>-8.2483020000000004E-2</v>
      </c>
      <c r="R764">
        <v>-1.6891239999999998E-2</v>
      </c>
      <c r="S764">
        <v>2.9951780000000001</v>
      </c>
      <c r="T764">
        <v>-0.14782329999999999</v>
      </c>
      <c r="U764">
        <v>-0.19039919999999999</v>
      </c>
      <c r="V764">
        <v>1.9378059999999999E-2</v>
      </c>
      <c r="W764">
        <v>-6.6776530000000001E-2</v>
      </c>
      <c r="X764">
        <v>0.99757980000000002</v>
      </c>
      <c r="Y764">
        <v>6.5846470000000004E-2</v>
      </c>
      <c r="Z764">
        <v>-2.2265229999999998E-3</v>
      </c>
      <c r="AA764">
        <v>0.99782729999999997</v>
      </c>
      <c r="AB764">
        <v>32</v>
      </c>
      <c r="AC764">
        <v>22.687099999999901</v>
      </c>
      <c r="AD764">
        <v>-1.127648</v>
      </c>
      <c r="AE764">
        <v>-1.45369999999996</v>
      </c>
      <c r="AF764">
        <v>1.5071152873264799</v>
      </c>
      <c r="AG764">
        <v>-1.127648</v>
      </c>
      <c r="AH764">
        <v>22.627693847055902</v>
      </c>
      <c r="AI764">
        <v>92.846670211526003</v>
      </c>
      <c r="AJ764">
        <v>86.189448486746201</v>
      </c>
      <c r="AK764">
        <v>22.705847602265099</v>
      </c>
      <c r="AL764">
        <v>93.828862355696302</v>
      </c>
      <c r="AM764">
        <v>88.887165281379197</v>
      </c>
      <c r="AN764">
        <v>1.00000003576812</v>
      </c>
    </row>
    <row r="765" spans="1:40" x14ac:dyDescent="0.25">
      <c r="A765" t="str">
        <f>"20190303154745224"</f>
        <v>20190303154745224</v>
      </c>
      <c r="B765" t="str">
        <f>"1551599265221743"</f>
        <v>1551599265221743</v>
      </c>
      <c r="C765" t="s">
        <v>40</v>
      </c>
      <c r="D765">
        <v>5.0658310000000002</v>
      </c>
      <c r="E765">
        <v>0.51666369999999995</v>
      </c>
      <c r="F765" t="s">
        <v>43</v>
      </c>
      <c r="G765">
        <v>-290.8956</v>
      </c>
      <c r="H765">
        <v>-0.05</v>
      </c>
      <c r="I765">
        <v>366.21850000000001</v>
      </c>
      <c r="J765">
        <v>-312.99430000000001</v>
      </c>
      <c r="K765">
        <v>1.0770139999999999</v>
      </c>
      <c r="L765">
        <v>367.63200000000001</v>
      </c>
      <c r="M765">
        <v>0.99987780000000004</v>
      </c>
      <c r="N765">
        <v>-1.5441440000000001E-2</v>
      </c>
      <c r="O765">
        <v>2.4577869999999999E-3</v>
      </c>
      <c r="P765">
        <v>0.9964324</v>
      </c>
      <c r="Q765">
        <v>-8.2703949999999998E-2</v>
      </c>
      <c r="R765">
        <v>-1.6820180000000001E-2</v>
      </c>
      <c r="S765">
        <v>2.994904</v>
      </c>
      <c r="T765">
        <v>-0.15164949999999999</v>
      </c>
      <c r="U765">
        <v>-0.19003300000000001</v>
      </c>
      <c r="V765">
        <v>1.9249519999999999E-2</v>
      </c>
      <c r="W765">
        <v>-6.7314089999999993E-2</v>
      </c>
      <c r="X765">
        <v>0.99754609999999999</v>
      </c>
      <c r="Y765">
        <v>6.5666740000000001E-2</v>
      </c>
      <c r="Z765">
        <v>-2.2541240000000001E-3</v>
      </c>
      <c r="AA765">
        <v>0.99783909999999998</v>
      </c>
      <c r="AB765">
        <v>32</v>
      </c>
      <c r="AC765">
        <v>22.098700000000001</v>
      </c>
      <c r="AD765">
        <v>-1.127014</v>
      </c>
      <c r="AE765">
        <v>-1.41349999999994</v>
      </c>
      <c r="AF765">
        <v>1.46402382352647</v>
      </c>
      <c r="AG765">
        <v>-1.127014</v>
      </c>
      <c r="AH765">
        <v>22.038073269373498</v>
      </c>
      <c r="AI765">
        <v>92.921094576997305</v>
      </c>
      <c r="AJ765">
        <v>86.199335776898494</v>
      </c>
      <c r="AK765">
        <v>22.115383780037</v>
      </c>
      <c r="AL765">
        <v>93.859731962751894</v>
      </c>
      <c r="AM765">
        <v>88.894507845954294</v>
      </c>
      <c r="AN765">
        <v>0.99999997617898395</v>
      </c>
    </row>
    <row r="766" spans="1:40" x14ac:dyDescent="0.25">
      <c r="A766" t="str">
        <f>"20190303154745235"</f>
        <v>20190303154745235</v>
      </c>
      <c r="B766" t="str">
        <f>"1551599265231504"</f>
        <v>1551599265231504</v>
      </c>
      <c r="C766" t="s">
        <v>40</v>
      </c>
      <c r="D766">
        <v>5.0475830000000004</v>
      </c>
      <c r="E766">
        <v>0.51655499999999999</v>
      </c>
      <c r="F766" t="s">
        <v>43</v>
      </c>
      <c r="G766">
        <v>-291.59199999999998</v>
      </c>
      <c r="H766">
        <v>-0.05</v>
      </c>
      <c r="I766">
        <v>366.30520000000001</v>
      </c>
      <c r="J766">
        <v>-312.82400000000001</v>
      </c>
      <c r="K766">
        <v>1.076443</v>
      </c>
      <c r="L766">
        <v>367.63229999999999</v>
      </c>
      <c r="M766">
        <v>0.99988250000000001</v>
      </c>
      <c r="N766">
        <v>-1.512931E-2</v>
      </c>
      <c r="O766">
        <v>2.4147019999999999E-3</v>
      </c>
      <c r="P766">
        <v>0.99639359999999999</v>
      </c>
      <c r="Q766">
        <v>-8.3200460000000004E-2</v>
      </c>
      <c r="R766">
        <v>-1.6655260000000002E-2</v>
      </c>
      <c r="S766">
        <v>2.9944760000000001</v>
      </c>
      <c r="T766">
        <v>-0.157685299999999</v>
      </c>
      <c r="U766">
        <v>-0.18563840000000001</v>
      </c>
      <c r="V766">
        <v>1.904407E-2</v>
      </c>
      <c r="W766">
        <v>-6.8121689999999999E-2</v>
      </c>
      <c r="X766">
        <v>0.99749520000000003</v>
      </c>
      <c r="Y766">
        <v>6.4169190000000001E-2</v>
      </c>
      <c r="Z766">
        <v>-2.2635580000000001E-3</v>
      </c>
      <c r="AA766">
        <v>0.9979365</v>
      </c>
      <c r="AB766">
        <v>32</v>
      </c>
      <c r="AC766">
        <v>21.231999999999999</v>
      </c>
      <c r="AD766">
        <v>-1.1264430000000001</v>
      </c>
      <c r="AE766">
        <v>-1.32709999999997</v>
      </c>
      <c r="AF766">
        <v>1.37451712098388</v>
      </c>
      <c r="AG766">
        <v>-1.1264430000000001</v>
      </c>
      <c r="AH766">
        <v>21.169378984310001</v>
      </c>
      <c r="AI766">
        <v>93.0395026891713</v>
      </c>
      <c r="AJ766">
        <v>86.285028596637602</v>
      </c>
      <c r="AK766">
        <v>21.243840936362599</v>
      </c>
      <c r="AL766">
        <v>93.9061105707233</v>
      </c>
      <c r="AM766">
        <v>88.906248079664294</v>
      </c>
      <c r="AN766">
        <v>0.99999995763682903</v>
      </c>
    </row>
    <row r="767" spans="1:40" x14ac:dyDescent="0.25">
      <c r="A767" t="str">
        <f>"20190303154745247"</f>
        <v>20190303154745247</v>
      </c>
      <c r="B767" t="str">
        <f>"1551599265241264"</f>
        <v>1551599265241264</v>
      </c>
      <c r="C767" t="s">
        <v>40</v>
      </c>
      <c r="D767">
        <v>5.0849570000000002</v>
      </c>
      <c r="E767">
        <v>0.51656650000000004</v>
      </c>
      <c r="F767" t="s">
        <v>43</v>
      </c>
      <c r="G767">
        <v>-291.9402</v>
      </c>
      <c r="H767">
        <v>-0.05</v>
      </c>
      <c r="I767">
        <v>366.34840000000003</v>
      </c>
      <c r="J767">
        <v>-312.6696</v>
      </c>
      <c r="K767">
        <v>1.075958</v>
      </c>
      <c r="L767">
        <v>367.6327</v>
      </c>
      <c r="M767">
        <v>0.99988699999999997</v>
      </c>
      <c r="N767">
        <v>-1.4848119999999999E-2</v>
      </c>
      <c r="O767">
        <v>2.3846290000000001E-3</v>
      </c>
      <c r="P767">
        <v>0.99638099999999996</v>
      </c>
      <c r="Q767">
        <v>-8.3332020000000007E-2</v>
      </c>
      <c r="R767">
        <v>-1.6765789999999999E-2</v>
      </c>
      <c r="S767">
        <v>2.9942929999999999</v>
      </c>
      <c r="T767">
        <v>-0.1615074</v>
      </c>
      <c r="U767">
        <v>-0.184082</v>
      </c>
      <c r="V767">
        <v>1.9126890000000001E-2</v>
      </c>
      <c r="W767">
        <v>-6.8533289999999997E-2</v>
      </c>
      <c r="X767">
        <v>0.9974655</v>
      </c>
      <c r="Y767">
        <v>6.3622559999999995E-2</v>
      </c>
      <c r="Z767">
        <v>-2.2792899999999998E-3</v>
      </c>
      <c r="AA767">
        <v>0.99797139999999995</v>
      </c>
      <c r="AB767">
        <v>32</v>
      </c>
      <c r="AC767">
        <v>20.729399999999998</v>
      </c>
      <c r="AD767">
        <v>-1.125958</v>
      </c>
      <c r="AE767">
        <v>-1.28429999999997</v>
      </c>
      <c r="AF767">
        <v>1.32982529789893</v>
      </c>
      <c r="AG767">
        <v>-1.125958</v>
      </c>
      <c r="AH767">
        <v>20.665541059188602</v>
      </c>
      <c r="AI767">
        <v>93.112241462625803</v>
      </c>
      <c r="AJ767">
        <v>86.318099417790407</v>
      </c>
      <c r="AK767">
        <v>20.7388718114006</v>
      </c>
      <c r="AL767">
        <v>93.929748447178</v>
      </c>
      <c r="AM767">
        <v>88.901459967835805</v>
      </c>
      <c r="AN767">
        <v>1.0000000367247699</v>
      </c>
    </row>
    <row r="768" spans="1:40" x14ac:dyDescent="0.25">
      <c r="A768" t="str">
        <f>"20190303154745256"</f>
        <v>20190303154745256</v>
      </c>
      <c r="B768" t="str">
        <f>"1551599265251024"</f>
        <v>1551599265251024</v>
      </c>
      <c r="C768" t="s">
        <v>40</v>
      </c>
      <c r="D768">
        <v>5.1171519999999999</v>
      </c>
      <c r="E768">
        <v>0.51653119999999997</v>
      </c>
      <c r="F768" t="s">
        <v>43</v>
      </c>
      <c r="G768">
        <v>-292.14319999999998</v>
      </c>
      <c r="H768">
        <v>-0.05</v>
      </c>
      <c r="I768">
        <v>366.36919999999998</v>
      </c>
      <c r="J768">
        <v>-312.51369999999997</v>
      </c>
      <c r="K768">
        <v>1.075491</v>
      </c>
      <c r="L768">
        <v>367.63299999999998</v>
      </c>
      <c r="M768">
        <v>0.99989119999999998</v>
      </c>
      <c r="N768">
        <v>-1.4565939999999999E-2</v>
      </c>
      <c r="O768">
        <v>2.3614180000000001E-3</v>
      </c>
      <c r="P768">
        <v>0.99634610000000001</v>
      </c>
      <c r="Q768">
        <v>-8.3786929999999996E-2</v>
      </c>
      <c r="R768">
        <v>-1.6561869999999999E-2</v>
      </c>
      <c r="S768">
        <v>2.994049</v>
      </c>
      <c r="T768">
        <v>-0.164236299999999</v>
      </c>
      <c r="U768">
        <v>-0.18429570000000001</v>
      </c>
      <c r="V768">
        <v>1.890199E-2</v>
      </c>
      <c r="W768">
        <v>-6.926947E-2</v>
      </c>
      <c r="X768">
        <v>0.9974189</v>
      </c>
      <c r="Y768">
        <v>6.3672039999999999E-2</v>
      </c>
      <c r="Z768">
        <v>-2.3029779999999998E-3</v>
      </c>
      <c r="AA768">
        <v>0.99796819999999997</v>
      </c>
      <c r="AB768">
        <v>32</v>
      </c>
      <c r="AC768">
        <v>20.3705</v>
      </c>
      <c r="AD768">
        <v>-1.125491</v>
      </c>
      <c r="AE768">
        <v>-1.26380000000006</v>
      </c>
      <c r="AF768">
        <v>1.3079274716248701</v>
      </c>
      <c r="AG768">
        <v>-1.125491</v>
      </c>
      <c r="AH768">
        <v>20.305709444021101</v>
      </c>
      <c r="AI768">
        <v>93.165957758421499</v>
      </c>
      <c r="AJ768">
        <v>86.314566394262798</v>
      </c>
      <c r="AK768">
        <v>20.378892027956802</v>
      </c>
      <c r="AL768">
        <v>93.972029066771597</v>
      </c>
      <c r="AM768">
        <v>88.914323128982502</v>
      </c>
      <c r="AN768">
        <v>1.0000000033886201</v>
      </c>
    </row>
    <row r="769" spans="1:40" x14ac:dyDescent="0.25">
      <c r="A769" t="str">
        <f>"20190303154745268"</f>
        <v>20190303154745268</v>
      </c>
      <c r="B769" t="str">
        <f>"1551599265261760"</f>
        <v>1551599265261760</v>
      </c>
      <c r="C769" t="s">
        <v>40</v>
      </c>
      <c r="D769">
        <v>5.1162900000000002</v>
      </c>
      <c r="E769">
        <v>0.51659350000000004</v>
      </c>
      <c r="F769" t="s">
        <v>43</v>
      </c>
      <c r="G769">
        <v>-292.30160000000001</v>
      </c>
      <c r="H769">
        <v>-0.05</v>
      </c>
      <c r="I769">
        <v>366.39519999999999</v>
      </c>
      <c r="J769">
        <v>-312.36750000000001</v>
      </c>
      <c r="K769">
        <v>1.0750930000000001</v>
      </c>
      <c r="L769">
        <v>367.63339999999999</v>
      </c>
      <c r="M769">
        <v>0.99989499999999998</v>
      </c>
      <c r="N769">
        <v>-1.4301039999999999E-2</v>
      </c>
      <c r="O769">
        <v>2.3478710000000001E-3</v>
      </c>
      <c r="P769">
        <v>0.99633850000000002</v>
      </c>
      <c r="Q769">
        <v>-8.3861969999999994E-2</v>
      </c>
      <c r="R769">
        <v>-1.6635690000000002E-2</v>
      </c>
      <c r="S769">
        <v>2.9939269999999998</v>
      </c>
      <c r="T769">
        <v>-0.16671359999999999</v>
      </c>
      <c r="U769">
        <v>-0.1833496</v>
      </c>
      <c r="V769">
        <v>1.8964100000000001E-2</v>
      </c>
      <c r="W769">
        <v>-6.9608370000000003E-2</v>
      </c>
      <c r="X769">
        <v>0.99739409999999895</v>
      </c>
      <c r="Y769">
        <v>6.3344549999999999E-2</v>
      </c>
      <c r="Z769">
        <v>-2.3114490000000001E-3</v>
      </c>
      <c r="AA769">
        <v>0.99798909999999996</v>
      </c>
      <c r="AB769">
        <v>32</v>
      </c>
      <c r="AC769">
        <v>20.065899999999999</v>
      </c>
      <c r="AD769">
        <v>-1.1250929999999999</v>
      </c>
      <c r="AE769">
        <v>-1.2382</v>
      </c>
      <c r="AF769">
        <v>1.28130063260143</v>
      </c>
      <c r="AG769">
        <v>-1.1250929999999999</v>
      </c>
      <c r="AH769">
        <v>20.000298152278301</v>
      </c>
      <c r="AI769">
        <v>93.213139487253201</v>
      </c>
      <c r="AJ769">
        <v>86.334408097761298</v>
      </c>
      <c r="AK769">
        <v>20.072854598929901</v>
      </c>
      <c r="AL769">
        <v>93.991493697390197</v>
      </c>
      <c r="AM769">
        <v>88.910729486948199</v>
      </c>
      <c r="AN769">
        <v>0.99999997648883798</v>
      </c>
    </row>
    <row r="770" spans="1:40" x14ac:dyDescent="0.25">
      <c r="A770" t="str">
        <f>"20190303154745284"</f>
        <v>20190303154745284</v>
      </c>
      <c r="B770" t="str">
        <f>"1551599265271520"</f>
        <v>1551599265271520</v>
      </c>
      <c r="C770" t="s">
        <v>40</v>
      </c>
      <c r="D770">
        <v>5.0998799999999997</v>
      </c>
      <c r="E770">
        <v>0.51651599999999998</v>
      </c>
      <c r="F770" t="s">
        <v>43</v>
      </c>
      <c r="G770">
        <v>-292.17759999999998</v>
      </c>
      <c r="H770">
        <v>-0.05</v>
      </c>
      <c r="I770">
        <v>366.39030000000002</v>
      </c>
      <c r="J770">
        <v>-312.1447</v>
      </c>
      <c r="K770">
        <v>1.074524</v>
      </c>
      <c r="L770">
        <v>367.63389999999998</v>
      </c>
      <c r="M770">
        <v>0.99990080000000003</v>
      </c>
      <c r="N770">
        <v>-1.3897390000000001E-2</v>
      </c>
      <c r="O770">
        <v>2.3348409999999998E-3</v>
      </c>
      <c r="P770">
        <v>0.99631150000000002</v>
      </c>
      <c r="Q770">
        <v>-8.4202100000000002E-2</v>
      </c>
      <c r="R770">
        <v>-1.654255E-2</v>
      </c>
      <c r="S770">
        <v>2.9938660000000001</v>
      </c>
      <c r="T770">
        <v>-0.16683480000000001</v>
      </c>
      <c r="U770">
        <v>-0.1843262</v>
      </c>
      <c r="V770">
        <v>1.885995E-2</v>
      </c>
      <c r="W770">
        <v>-7.035081E-2</v>
      </c>
      <c r="X770">
        <v>0.99734400000000001</v>
      </c>
      <c r="Y770">
        <v>6.3656989999999997E-2</v>
      </c>
      <c r="Z770">
        <v>-2.3113019999999999E-3</v>
      </c>
      <c r="AA770">
        <v>0.9979692</v>
      </c>
      <c r="AB770">
        <v>32</v>
      </c>
      <c r="AC770">
        <v>19.967099999999999</v>
      </c>
      <c r="AD770">
        <v>-1.1245240000000001</v>
      </c>
      <c r="AE770">
        <v>-1.2435999999999501</v>
      </c>
      <c r="AF770">
        <v>1.2861574249846299</v>
      </c>
      <c r="AG770">
        <v>-1.1245240000000001</v>
      </c>
      <c r="AH770">
        <v>19.901262522468699</v>
      </c>
      <c r="AI770">
        <v>93.227349662733104</v>
      </c>
      <c r="AJ770">
        <v>86.302292160420393</v>
      </c>
      <c r="AK770">
        <v>19.974458819618501</v>
      </c>
      <c r="AL770">
        <v>94.034136849258203</v>
      </c>
      <c r="AM770">
        <v>88.916655878648299</v>
      </c>
      <c r="AN770">
        <v>0.99999999425882902</v>
      </c>
    </row>
    <row r="771" spans="1:40" x14ac:dyDescent="0.25">
      <c r="A771" t="str">
        <f>"20190303154745298"</f>
        <v>20190303154745298</v>
      </c>
      <c r="B771" t="str">
        <f>"1551599265291041"</f>
        <v>1551599265291041</v>
      </c>
      <c r="C771" t="s">
        <v>40</v>
      </c>
      <c r="D771">
        <v>5.1189830000000001</v>
      </c>
      <c r="E771">
        <v>0.51653260000000001</v>
      </c>
      <c r="F771" t="s">
        <v>43</v>
      </c>
      <c r="G771">
        <v>-292.1782</v>
      </c>
      <c r="H771">
        <v>-0.05</v>
      </c>
      <c r="I771">
        <v>366.41129999999998</v>
      </c>
      <c r="J771">
        <v>-311.92739999999998</v>
      </c>
      <c r="K771">
        <v>1.0740229999999999</v>
      </c>
      <c r="L771">
        <v>367.6343</v>
      </c>
      <c r="M771">
        <v>0.99990619999999997</v>
      </c>
      <c r="N771">
        <v>-1.3501880000000001E-2</v>
      </c>
      <c r="O771">
        <v>2.3335090000000001E-3</v>
      </c>
      <c r="P771">
        <v>0.99629849999999998</v>
      </c>
      <c r="Q771">
        <v>-8.4319619999999998E-2</v>
      </c>
      <c r="R771">
        <v>-1.6732650000000002E-2</v>
      </c>
      <c r="S771">
        <v>2.993805</v>
      </c>
      <c r="T771">
        <v>-0.1686127</v>
      </c>
      <c r="U771">
        <v>-0.18331910000000001</v>
      </c>
      <c r="V771">
        <v>1.905018E-2</v>
      </c>
      <c r="W771">
        <v>-7.0862560000000005E-2</v>
      </c>
      <c r="X771">
        <v>0.99730410000000003</v>
      </c>
      <c r="Y771">
        <v>6.3321340000000004E-2</v>
      </c>
      <c r="Z771">
        <v>-2.308128E-3</v>
      </c>
      <c r="AA771">
        <v>0.9979905</v>
      </c>
      <c r="AB771">
        <v>32</v>
      </c>
      <c r="AC771">
        <v>19.749199999999899</v>
      </c>
      <c r="AD771">
        <v>-1.124023</v>
      </c>
      <c r="AE771">
        <v>-1.2230000000000101</v>
      </c>
      <c r="AF771">
        <v>1.26500372900749</v>
      </c>
      <c r="AG771">
        <v>-1.124023</v>
      </c>
      <c r="AH771">
        <v>19.682777201119301</v>
      </c>
      <c r="AI771">
        <v>93.261721322397094</v>
      </c>
      <c r="AJ771">
        <v>86.322682176059104</v>
      </c>
      <c r="AK771">
        <v>19.7553886443126</v>
      </c>
      <c r="AL771">
        <v>94.063531548245095</v>
      </c>
      <c r="AM771">
        <v>88.905687654044002</v>
      </c>
      <c r="AN771">
        <v>0.99999993982229596</v>
      </c>
    </row>
    <row r="772" spans="1:40" x14ac:dyDescent="0.25">
      <c r="A772" t="str">
        <f>"20190303154745313"</f>
        <v>20190303154745313</v>
      </c>
      <c r="B772" t="str">
        <f>"1551599265301776"</f>
        <v>1551599265301776</v>
      </c>
      <c r="C772" t="s">
        <v>40</v>
      </c>
      <c r="D772">
        <v>5.1348989999999999</v>
      </c>
      <c r="E772">
        <v>0.51658769999999998</v>
      </c>
      <c r="F772" t="s">
        <v>43</v>
      </c>
      <c r="G772">
        <v>-291.94499999999999</v>
      </c>
      <c r="H772">
        <v>-0.05</v>
      </c>
      <c r="I772">
        <v>366.40750000000003</v>
      </c>
      <c r="J772">
        <v>-311.71300000000002</v>
      </c>
      <c r="K772">
        <v>1.07358</v>
      </c>
      <c r="L772">
        <v>367.63490000000002</v>
      </c>
      <c r="M772">
        <v>0.9999112</v>
      </c>
      <c r="N772">
        <v>-1.3119169999999999E-2</v>
      </c>
      <c r="O772">
        <v>2.339771E-3</v>
      </c>
      <c r="P772">
        <v>0.99625459999999999</v>
      </c>
      <c r="Q772">
        <v>-8.4771830000000006E-2</v>
      </c>
      <c r="R772">
        <v>-1.7047880000000001E-2</v>
      </c>
      <c r="S772">
        <v>2.9938349999999998</v>
      </c>
      <c r="T772">
        <v>-0.16840550000000001</v>
      </c>
      <c r="U772">
        <v>-0.18380740000000001</v>
      </c>
      <c r="V772">
        <v>1.93727E-2</v>
      </c>
      <c r="W772">
        <v>-7.1696739999999995E-2</v>
      </c>
      <c r="X772">
        <v>0.99723830000000002</v>
      </c>
      <c r="Y772">
        <v>6.3489719999999999E-2</v>
      </c>
      <c r="Z772">
        <v>-2.300608E-3</v>
      </c>
      <c r="AA772">
        <v>0.99797979999999997</v>
      </c>
      <c r="AB772">
        <v>32</v>
      </c>
      <c r="AC772">
        <v>19.767999999999901</v>
      </c>
      <c r="AD772">
        <v>-1.12358</v>
      </c>
      <c r="AE772">
        <v>-1.2273999999999801</v>
      </c>
      <c r="AF772">
        <v>1.2695675063821199</v>
      </c>
      <c r="AG772">
        <v>-1.12358</v>
      </c>
      <c r="AH772">
        <v>19.701670112377698</v>
      </c>
      <c r="AI772">
        <v>93.257283310477007</v>
      </c>
      <c r="AJ772">
        <v>86.312981330840202</v>
      </c>
      <c r="AK772">
        <v>19.774479484593702</v>
      </c>
      <c r="AL772">
        <v>94.111448281706302</v>
      </c>
      <c r="AM772">
        <v>88.8870921314154</v>
      </c>
      <c r="AN772">
        <v>0.99999997550940301</v>
      </c>
    </row>
    <row r="773" spans="1:40" x14ac:dyDescent="0.25">
      <c r="A773" t="str">
        <f>"20190303154745325"</f>
        <v>20190303154745325</v>
      </c>
      <c r="B773" t="str">
        <f>"1551599265321296"</f>
        <v>1551599265321296</v>
      </c>
      <c r="C773" t="s">
        <v>40</v>
      </c>
      <c r="D773">
        <v>5.1143769999999904</v>
      </c>
      <c r="E773">
        <v>0.51656559999999996</v>
      </c>
      <c r="F773" t="s">
        <v>43</v>
      </c>
      <c r="G773">
        <v>-291.87299999999999</v>
      </c>
      <c r="H773">
        <v>-0.05</v>
      </c>
      <c r="I773">
        <v>366.40480000000002</v>
      </c>
      <c r="J773">
        <v>-311.53320000000002</v>
      </c>
      <c r="K773">
        <v>1.0732389999999901</v>
      </c>
      <c r="L773">
        <v>367.63529999999997</v>
      </c>
      <c r="M773">
        <v>0.99991540000000001</v>
      </c>
      <c r="N773">
        <v>-1.280354E-2</v>
      </c>
      <c r="O773">
        <v>2.3474540000000001E-3</v>
      </c>
      <c r="P773">
        <v>0.99624199999999996</v>
      </c>
      <c r="Q773">
        <v>-8.4823090000000004E-2</v>
      </c>
      <c r="R773">
        <v>-1.7526E-2</v>
      </c>
      <c r="S773">
        <v>2.993652</v>
      </c>
      <c r="T773">
        <v>-0.1695362</v>
      </c>
      <c r="U773">
        <v>-0.18560789999999999</v>
      </c>
      <c r="V773">
        <v>1.9859419999999999E-2</v>
      </c>
      <c r="W773">
        <v>-7.2062760000000003E-2</v>
      </c>
      <c r="X773">
        <v>0.99720240000000004</v>
      </c>
      <c r="Y773">
        <v>6.4096849999999997E-2</v>
      </c>
      <c r="Z773">
        <v>-2.3256209999999999E-3</v>
      </c>
      <c r="AA773">
        <v>0.99794099999999997</v>
      </c>
      <c r="AB773">
        <v>32</v>
      </c>
      <c r="AC773">
        <v>19.6602</v>
      </c>
      <c r="AD773">
        <v>-1.1232390000000001</v>
      </c>
      <c r="AE773">
        <v>-1.23049999999994</v>
      </c>
      <c r="AF773">
        <v>1.2725143472435501</v>
      </c>
      <c r="AG773">
        <v>-1.1232390000000001</v>
      </c>
      <c r="AH773">
        <v>19.5935505519946</v>
      </c>
      <c r="AI773">
        <v>93.274120024754197</v>
      </c>
      <c r="AJ773">
        <v>86.2841114147827</v>
      </c>
      <c r="AK773">
        <v>19.6669311751638</v>
      </c>
      <c r="AL773">
        <v>94.132473835955693</v>
      </c>
      <c r="AM773">
        <v>88.859097656228997</v>
      </c>
      <c r="AN773">
        <v>1.00000003225365</v>
      </c>
    </row>
    <row r="774" spans="1:40" x14ac:dyDescent="0.25">
      <c r="A774" t="str">
        <f>"20190303154745336"</f>
        <v>20190303154745336</v>
      </c>
      <c r="B774" t="str">
        <f>"1551599265331056"</f>
        <v>1551599265331056</v>
      </c>
      <c r="C774" t="s">
        <v>40</v>
      </c>
      <c r="D774">
        <v>5.1447099999999999</v>
      </c>
      <c r="E774">
        <v>0.51647920000000003</v>
      </c>
      <c r="F774" t="s">
        <v>43</v>
      </c>
      <c r="G774">
        <v>-291.66759999999999</v>
      </c>
      <c r="H774">
        <v>-0.05</v>
      </c>
      <c r="I774">
        <v>366.39690000000002</v>
      </c>
      <c r="J774">
        <v>-311.36130000000003</v>
      </c>
      <c r="K774">
        <v>1.0729390000000001</v>
      </c>
      <c r="L774">
        <v>367.63569999999999</v>
      </c>
      <c r="M774">
        <v>0.99991909999999895</v>
      </c>
      <c r="N774">
        <v>-1.250829E-2</v>
      </c>
      <c r="O774">
        <v>2.3574400000000001E-3</v>
      </c>
      <c r="P774">
        <v>0.99622980000000005</v>
      </c>
      <c r="Q774">
        <v>-8.4928530000000002E-2</v>
      </c>
      <c r="R774">
        <v>-1.7705160000000001E-2</v>
      </c>
      <c r="S774">
        <v>2.9936219999999998</v>
      </c>
      <c r="T774">
        <v>-0.16926559999999999</v>
      </c>
      <c r="U774">
        <v>-0.186615</v>
      </c>
      <c r="V774">
        <v>2.004912E-2</v>
      </c>
      <c r="W774">
        <v>-7.246263E-2</v>
      </c>
      <c r="X774">
        <v>0.99716959999999999</v>
      </c>
      <c r="Y774">
        <v>6.4442050000000001E-2</v>
      </c>
      <c r="Z774">
        <v>-2.3260780000000001E-3</v>
      </c>
      <c r="AA774">
        <v>0.99791870000000005</v>
      </c>
      <c r="AB774">
        <v>32</v>
      </c>
      <c r="AC774">
        <v>19.6937</v>
      </c>
      <c r="AD774">
        <v>-1.1229389999999999</v>
      </c>
      <c r="AE774">
        <v>-1.2387999999999599</v>
      </c>
      <c r="AF774">
        <v>1.2810781407915399</v>
      </c>
      <c r="AG774">
        <v>-1.1229389999999999</v>
      </c>
      <c r="AH774">
        <v>19.627162259924599</v>
      </c>
      <c r="AI774">
        <v>93.267585423680501</v>
      </c>
      <c r="AJ774">
        <v>86.265562976383904</v>
      </c>
      <c r="AK774">
        <v>19.700955600628699</v>
      </c>
      <c r="AL774">
        <v>94.155444864219106</v>
      </c>
      <c r="AM774">
        <v>88.848164640982205</v>
      </c>
      <c r="AN774">
        <v>1.00000000556172</v>
      </c>
    </row>
    <row r="775" spans="1:40" x14ac:dyDescent="0.25">
      <c r="A775" t="str">
        <f>"20190303154745348"</f>
        <v>20190303154745348</v>
      </c>
      <c r="B775" t="str">
        <f>"1551599265341792"</f>
        <v>1551599265341792</v>
      </c>
      <c r="C775" t="s">
        <v>40</v>
      </c>
      <c r="D775">
        <v>5.1590069999999999</v>
      </c>
      <c r="E775">
        <v>0.51641700000000001</v>
      </c>
      <c r="F775" t="s">
        <v>43</v>
      </c>
      <c r="G775">
        <v>-291.57089999999999</v>
      </c>
      <c r="H775">
        <v>-0.05</v>
      </c>
      <c r="I775">
        <v>366.40499999999997</v>
      </c>
      <c r="J775">
        <v>-311.1979</v>
      </c>
      <c r="K775">
        <v>1.0726800000000001</v>
      </c>
      <c r="L775">
        <v>367.6361</v>
      </c>
      <c r="M775">
        <v>0.99992230000000004</v>
      </c>
      <c r="N775">
        <v>-1.223865E-2</v>
      </c>
      <c r="O775">
        <v>2.367629E-3</v>
      </c>
      <c r="P775">
        <v>0.9962183</v>
      </c>
      <c r="Q775">
        <v>-8.5040610000000003E-2</v>
      </c>
      <c r="R775">
        <v>-1.782398E-2</v>
      </c>
      <c r="S775">
        <v>2.9935610000000001</v>
      </c>
      <c r="T775">
        <v>-0.16985890000000001</v>
      </c>
      <c r="U775">
        <v>-0.18615719999999999</v>
      </c>
      <c r="V775">
        <v>2.017824E-2</v>
      </c>
      <c r="W775">
        <v>-7.284359E-2</v>
      </c>
      <c r="X775">
        <v>0.9971392</v>
      </c>
      <c r="Y775">
        <v>6.4301360000000002E-2</v>
      </c>
      <c r="Z775">
        <v>-2.3204900000000001E-3</v>
      </c>
      <c r="AA775">
        <v>0.99792780000000003</v>
      </c>
      <c r="AB775">
        <v>32</v>
      </c>
      <c r="AC775">
        <v>19.626999999999999</v>
      </c>
      <c r="AD775">
        <v>-1.1226799999999999</v>
      </c>
      <c r="AE775">
        <v>-1.2311000000000201</v>
      </c>
      <c r="AF775">
        <v>1.27341927267382</v>
      </c>
      <c r="AG775">
        <v>-1.1226799999999999</v>
      </c>
      <c r="AH775">
        <v>19.560280900565001</v>
      </c>
      <c r="AI775">
        <v>93.278014934264206</v>
      </c>
      <c r="AJ775">
        <v>86.275169374896294</v>
      </c>
      <c r="AK775">
        <v>19.633812567492399</v>
      </c>
      <c r="AL775">
        <v>94.177330262206794</v>
      </c>
      <c r="AM775">
        <v>88.840713295694499</v>
      </c>
      <c r="AN775">
        <v>0.99999996707511196</v>
      </c>
    </row>
    <row r="776" spans="1:40" x14ac:dyDescent="0.25">
      <c r="A776" t="str">
        <f>"20190303154745359"</f>
        <v>20190303154745359</v>
      </c>
      <c r="B776" t="str">
        <f>"1551599265351553"</f>
        <v>1551599265351553</v>
      </c>
      <c r="C776" t="s">
        <v>40</v>
      </c>
      <c r="D776">
        <v>5.168558</v>
      </c>
      <c r="E776">
        <v>0.51633890000000005</v>
      </c>
      <c r="F776" t="s">
        <v>43</v>
      </c>
      <c r="G776">
        <v>-291.41640000000001</v>
      </c>
      <c r="H776">
        <v>-0.05</v>
      </c>
      <c r="I776">
        <v>366.40539999999999</v>
      </c>
      <c r="J776">
        <v>-311.04320000000001</v>
      </c>
      <c r="K776">
        <v>1.072444</v>
      </c>
      <c r="L776">
        <v>367.63650000000001</v>
      </c>
      <c r="M776">
        <v>0.99992539999999996</v>
      </c>
      <c r="N776">
        <v>-1.198806E-2</v>
      </c>
      <c r="O776">
        <v>2.3774220000000001E-3</v>
      </c>
      <c r="P776">
        <v>0.99620649999999999</v>
      </c>
      <c r="Q776">
        <v>-8.5225899999999993E-2</v>
      </c>
      <c r="R776">
        <v>-1.7587140000000001E-2</v>
      </c>
      <c r="S776">
        <v>2.9935610000000001</v>
      </c>
      <c r="T776">
        <v>-0.1698962</v>
      </c>
      <c r="U776">
        <v>-0.18624879999999999</v>
      </c>
      <c r="V776">
        <v>1.9951880000000002E-2</v>
      </c>
      <c r="W776">
        <v>-7.3278759999999998E-2</v>
      </c>
      <c r="X776">
        <v>0.99711190000000005</v>
      </c>
      <c r="Y776">
        <v>6.4341830000000003E-2</v>
      </c>
      <c r="Z776">
        <v>-2.3152630000000001E-3</v>
      </c>
      <c r="AA776">
        <v>0.99792519999999996</v>
      </c>
      <c r="AB776">
        <v>33</v>
      </c>
      <c r="AC776">
        <v>19.626799999999999</v>
      </c>
      <c r="AD776">
        <v>-1.122444</v>
      </c>
      <c r="AE776">
        <v>-1.2311000000000201</v>
      </c>
      <c r="AF776">
        <v>1.27361187739508</v>
      </c>
      <c r="AG776">
        <v>-1.122444</v>
      </c>
      <c r="AH776">
        <v>19.5600945098283</v>
      </c>
      <c r="AI776">
        <v>93.277356303552196</v>
      </c>
      <c r="AJ776">
        <v>86.274572180700204</v>
      </c>
      <c r="AK776">
        <v>19.633625874524402</v>
      </c>
      <c r="AL776">
        <v>94.202330352936599</v>
      </c>
      <c r="AM776">
        <v>88.853683337415305</v>
      </c>
      <c r="AN776">
        <v>0.99999999765214098</v>
      </c>
    </row>
    <row r="777" spans="1:40" x14ac:dyDescent="0.25">
      <c r="A777" t="str">
        <f>"20190303154745369"</f>
        <v>20190303154745369</v>
      </c>
      <c r="B777" t="str">
        <f>"1551599265361312"</f>
        <v>1551599265361312</v>
      </c>
      <c r="C777" t="s">
        <v>40</v>
      </c>
      <c r="D777">
        <v>5.0744400000000001</v>
      </c>
      <c r="E777">
        <v>0.5165883</v>
      </c>
      <c r="F777" t="s">
        <v>43</v>
      </c>
      <c r="G777">
        <v>-291.29579999999999</v>
      </c>
      <c r="H777">
        <v>-0.05</v>
      </c>
      <c r="I777">
        <v>366.41789999999997</v>
      </c>
      <c r="J777">
        <v>-310.89850000000001</v>
      </c>
      <c r="K777">
        <v>1.072254</v>
      </c>
      <c r="L777">
        <v>367.63679999999999</v>
      </c>
      <c r="M777">
        <v>0.99992800000000004</v>
      </c>
      <c r="N777">
        <v>-1.176895E-2</v>
      </c>
      <c r="O777">
        <v>2.3861540000000001E-3</v>
      </c>
      <c r="P777">
        <v>0.99620280000000005</v>
      </c>
      <c r="Q777">
        <v>-8.530509E-2</v>
      </c>
      <c r="R777">
        <v>-1.7415779999999999E-2</v>
      </c>
      <c r="S777">
        <v>2.9935909999999999</v>
      </c>
      <c r="T777">
        <v>-0.170156</v>
      </c>
      <c r="U777">
        <v>-0.1847229</v>
      </c>
      <c r="V777">
        <v>1.9789520000000001E-2</v>
      </c>
      <c r="W777">
        <v>-7.3576390000000005E-2</v>
      </c>
      <c r="X777">
        <v>0.99709320000000001</v>
      </c>
      <c r="Y777">
        <v>6.3844159999999997E-2</v>
      </c>
      <c r="Z777">
        <v>-2.2950510000000002E-3</v>
      </c>
      <c r="AA777">
        <v>0.99795719999999999</v>
      </c>
      <c r="AB777">
        <v>33</v>
      </c>
      <c r="AC777">
        <v>19.602699999999999</v>
      </c>
      <c r="AD777">
        <v>-1.1222540000000001</v>
      </c>
      <c r="AE777">
        <v>-1.2189000000000101</v>
      </c>
      <c r="AF777">
        <v>1.2615559264062799</v>
      </c>
      <c r="AG777">
        <v>-1.1222540000000001</v>
      </c>
      <c r="AH777">
        <v>19.535951875681299</v>
      </c>
      <c r="AI777">
        <v>93.280956837578003</v>
      </c>
      <c r="AJ777">
        <v>86.305191180095704</v>
      </c>
      <c r="AK777">
        <v>19.608783569739899</v>
      </c>
      <c r="AL777">
        <v>94.219429529167897</v>
      </c>
      <c r="AM777">
        <v>88.862987802934995</v>
      </c>
      <c r="AN777">
        <v>0.99999997987675104</v>
      </c>
    </row>
    <row r="778" spans="1:40" x14ac:dyDescent="0.25">
      <c r="A778" t="str">
        <f>"20190303154745379"</f>
        <v>20190303154745379</v>
      </c>
      <c r="B778" t="str">
        <f>"1551599265371072"</f>
        <v>1551599265371072</v>
      </c>
      <c r="C778" t="s">
        <v>40</v>
      </c>
      <c r="D778">
        <v>5.0783040000000002</v>
      </c>
      <c r="E778">
        <v>0.51684189999999997</v>
      </c>
      <c r="F778" t="s">
        <v>43</v>
      </c>
      <c r="G778">
        <v>-290.69060000000002</v>
      </c>
      <c r="H778">
        <v>-0.05</v>
      </c>
      <c r="I778">
        <v>366.37830000000002</v>
      </c>
      <c r="J778">
        <v>-310.73610000000002</v>
      </c>
      <c r="K778">
        <v>1.0720449999999999</v>
      </c>
      <c r="L778">
        <v>367.63720000000001</v>
      </c>
      <c r="M778">
        <v>0.99993080000000001</v>
      </c>
      <c r="N778">
        <v>-1.1526430000000001E-2</v>
      </c>
      <c r="O778">
        <v>2.3960729999999999E-3</v>
      </c>
      <c r="P778">
        <v>0.99621890000000002</v>
      </c>
      <c r="Q778">
        <v>-8.5173449999999998E-2</v>
      </c>
      <c r="R778">
        <v>-1.7124279999999999E-2</v>
      </c>
      <c r="S778">
        <v>2.9939580000000001</v>
      </c>
      <c r="T778">
        <v>-0.1662701</v>
      </c>
      <c r="U778">
        <v>-0.1864624</v>
      </c>
      <c r="V778">
        <v>1.9508520000000001E-2</v>
      </c>
      <c r="W778">
        <v>-7.3686269999999998E-2</v>
      </c>
      <c r="X778">
        <v>0.99709060000000005</v>
      </c>
      <c r="Y778">
        <v>6.4428730000000003E-2</v>
      </c>
      <c r="Z778">
        <v>-2.2632239999999999E-3</v>
      </c>
      <c r="AA778">
        <v>0.99791969999999997</v>
      </c>
      <c r="AB778">
        <v>33</v>
      </c>
      <c r="AC778">
        <v>20.045500000000001</v>
      </c>
      <c r="AD778">
        <v>-1.122045</v>
      </c>
      <c r="AE778">
        <v>-1.2588999999999799</v>
      </c>
      <c r="AF778">
        <v>1.3028639695126401</v>
      </c>
      <c r="AG778">
        <v>-1.122045</v>
      </c>
      <c r="AH778">
        <v>19.9800704088203</v>
      </c>
      <c r="AI778">
        <v>93.207454589901204</v>
      </c>
      <c r="AJ778">
        <v>86.269128700717701</v>
      </c>
      <c r="AK778">
        <v>20.053918645653699</v>
      </c>
      <c r="AL778">
        <v>94.225742423679193</v>
      </c>
      <c r="AM778">
        <v>88.879125663009106</v>
      </c>
      <c r="AN778">
        <v>0.99999995667372998</v>
      </c>
    </row>
    <row r="779" spans="1:40" x14ac:dyDescent="0.25">
      <c r="A779" t="str">
        <f>"20190303154745391"</f>
        <v>20190303154745391</v>
      </c>
      <c r="B779" t="str">
        <f>"1551599265381808"</f>
        <v>1551599265381808</v>
      </c>
      <c r="C779" t="s">
        <v>40</v>
      </c>
      <c r="D779">
        <v>5.2003349999999999</v>
      </c>
      <c r="E779">
        <v>0.51675190000000004</v>
      </c>
      <c r="F779" t="s">
        <v>43</v>
      </c>
      <c r="G779">
        <v>-289.98360000000002</v>
      </c>
      <c r="H779">
        <v>-0.05</v>
      </c>
      <c r="I779">
        <v>366.33690000000001</v>
      </c>
      <c r="J779">
        <v>-310.57760000000002</v>
      </c>
      <c r="K779">
        <v>1.0718719999999999</v>
      </c>
      <c r="L779">
        <v>367.63760000000002</v>
      </c>
      <c r="M779">
        <v>0.99993319999999997</v>
      </c>
      <c r="N779">
        <v>-1.1309639999999999E-2</v>
      </c>
      <c r="O779">
        <v>2.4047389999999999E-3</v>
      </c>
      <c r="P779">
        <v>0.99625379999999997</v>
      </c>
      <c r="Q779">
        <v>-8.4851570000000001E-2</v>
      </c>
      <c r="R779">
        <v>-1.6685749999999999E-2</v>
      </c>
      <c r="S779">
        <v>2.994354</v>
      </c>
      <c r="T779">
        <v>-0.1618986</v>
      </c>
      <c r="U779">
        <v>-0.18762210000000001</v>
      </c>
      <c r="V779">
        <v>1.9079039999999999E-2</v>
      </c>
      <c r="W779">
        <v>-7.3580049999999994E-2</v>
      </c>
      <c r="X779">
        <v>0.99710679999999996</v>
      </c>
      <c r="Y779">
        <v>6.4819660000000001E-2</v>
      </c>
      <c r="Z779">
        <v>-2.219225E-3</v>
      </c>
      <c r="AA779">
        <v>0.99789450000000002</v>
      </c>
      <c r="AB779">
        <v>33</v>
      </c>
      <c r="AC779">
        <v>20.593999999999902</v>
      </c>
      <c r="AD779">
        <v>-1.121872</v>
      </c>
      <c r="AE779">
        <v>-1.3007</v>
      </c>
      <c r="AF779">
        <v>1.34624336198926</v>
      </c>
      <c r="AG779">
        <v>-1.121872</v>
      </c>
      <c r="AH779">
        <v>20.530129284057999</v>
      </c>
      <c r="AI779">
        <v>93.121135755647401</v>
      </c>
      <c r="AJ779">
        <v>86.248255989878402</v>
      </c>
      <c r="AK779">
        <v>20.604785279012699</v>
      </c>
      <c r="AL779">
        <v>94.219639707880106</v>
      </c>
      <c r="AM779">
        <v>88.903813424290803</v>
      </c>
      <c r="AN779">
        <v>1.00000000206578</v>
      </c>
    </row>
    <row r="780" spans="1:40" x14ac:dyDescent="0.25">
      <c r="A780" t="str">
        <f>"20190303154745402"</f>
        <v>20190303154745402</v>
      </c>
      <c r="B780" t="str">
        <f>"1551599265391568"</f>
        <v>1551599265391568</v>
      </c>
      <c r="C780" t="s">
        <v>40</v>
      </c>
      <c r="D780">
        <v>5.1083970000000001</v>
      </c>
      <c r="E780">
        <v>0.51696609999999998</v>
      </c>
      <c r="F780" t="s">
        <v>43</v>
      </c>
      <c r="G780">
        <v>-289.75970000000001</v>
      </c>
      <c r="H780">
        <v>-0.05</v>
      </c>
      <c r="I780">
        <v>366.34780000000001</v>
      </c>
      <c r="J780">
        <v>-310.4083</v>
      </c>
      <c r="K780">
        <v>1.0716920000000001</v>
      </c>
      <c r="L780">
        <v>367.63799999999998</v>
      </c>
      <c r="M780">
        <v>0.99993569999999998</v>
      </c>
      <c r="N780">
        <v>-1.1082649999999999E-2</v>
      </c>
      <c r="O780">
        <v>2.4136169999999998E-3</v>
      </c>
      <c r="P780">
        <v>0.99627790000000005</v>
      </c>
      <c r="Q780">
        <v>-8.4645700000000004E-2</v>
      </c>
      <c r="R780">
        <v>-1.6301570000000001E-2</v>
      </c>
      <c r="S780">
        <v>2.9944459999999999</v>
      </c>
      <c r="T780">
        <v>-0.16136979999999901</v>
      </c>
      <c r="U780">
        <v>-0.1855164</v>
      </c>
      <c r="V780">
        <v>1.870397E-2</v>
      </c>
      <c r="W780">
        <v>-7.3600139999999994E-2</v>
      </c>
      <c r="X780">
        <v>0.99711240000000001</v>
      </c>
      <c r="Y780">
        <v>6.4129850000000002E-2</v>
      </c>
      <c r="Z780">
        <v>-2.184236E-3</v>
      </c>
      <c r="AA780">
        <v>0.99793920000000003</v>
      </c>
      <c r="AB780">
        <v>33</v>
      </c>
      <c r="AC780">
        <v>20.648599999999899</v>
      </c>
      <c r="AD780">
        <v>-1.1216919999999999</v>
      </c>
      <c r="AE780">
        <v>-1.29020000000002</v>
      </c>
      <c r="AF780">
        <v>1.3361096162616699</v>
      </c>
      <c r="AG780">
        <v>-1.1216919999999999</v>
      </c>
      <c r="AH780">
        <v>20.584916207310901</v>
      </c>
      <c r="AI780">
        <v>93.112481285539403</v>
      </c>
      <c r="AJ780">
        <v>86.286299786227602</v>
      </c>
      <c r="AK780">
        <v>20.658706569181401</v>
      </c>
      <c r="AL780">
        <v>94.220794008559096</v>
      </c>
      <c r="AM780">
        <v>88.925364007435107</v>
      </c>
      <c r="AN780">
        <v>0.99999997866777002</v>
      </c>
    </row>
    <row r="781" spans="1:40" x14ac:dyDescent="0.25">
      <c r="A781" t="str">
        <f>"20190303154745414"</f>
        <v>20190303154745414</v>
      </c>
      <c r="B781" t="str">
        <f>"1551599265411088"</f>
        <v>1551599265411088</v>
      </c>
      <c r="C781" t="s">
        <v>40</v>
      </c>
      <c r="D781">
        <v>5.0848879999999896</v>
      </c>
      <c r="E781">
        <v>0.517067099999999</v>
      </c>
      <c r="F781" t="s">
        <v>43</v>
      </c>
      <c r="G781">
        <v>-289.05520000000001</v>
      </c>
      <c r="H781">
        <v>-0.05</v>
      </c>
      <c r="I781">
        <v>366.31020000000001</v>
      </c>
      <c r="J781">
        <v>-310.2296</v>
      </c>
      <c r="K781">
        <v>1.071528</v>
      </c>
      <c r="L781">
        <v>367.63839999999999</v>
      </c>
      <c r="M781">
        <v>0.99993810000000005</v>
      </c>
      <c r="N781">
        <v>-1.0862460000000001E-2</v>
      </c>
      <c r="O781">
        <v>2.4222470000000002E-3</v>
      </c>
      <c r="P781">
        <v>0.9962879</v>
      </c>
      <c r="Q781">
        <v>-8.4614960000000003E-2</v>
      </c>
      <c r="R781">
        <v>-1.5837489999999999E-2</v>
      </c>
      <c r="S781">
        <v>2.9947810000000001</v>
      </c>
      <c r="T781">
        <v>-0.15731800000000001</v>
      </c>
      <c r="U781">
        <v>-0.1862183</v>
      </c>
      <c r="V781">
        <v>1.8249080000000001E-2</v>
      </c>
      <c r="W781">
        <v>-7.3788759999999995E-2</v>
      </c>
      <c r="X781">
        <v>0.99710690000000002</v>
      </c>
      <c r="Y781">
        <v>6.436973E-2</v>
      </c>
      <c r="Z781">
        <v>-2.138909E-3</v>
      </c>
      <c r="AA781">
        <v>0.99792389999999997</v>
      </c>
      <c r="AB781">
        <v>33</v>
      </c>
      <c r="AC781">
        <v>21.174399999999899</v>
      </c>
      <c r="AD781">
        <v>-1.1215280000000001</v>
      </c>
      <c r="AE781">
        <v>-1.3281999999999801</v>
      </c>
      <c r="AF781">
        <v>1.37564461771901</v>
      </c>
      <c r="AG781">
        <v>-1.1215280000000001</v>
      </c>
      <c r="AH781">
        <v>21.1121241925268</v>
      </c>
      <c r="AI781">
        <v>93.034411865640195</v>
      </c>
      <c r="AJ781">
        <v>86.271935182815497</v>
      </c>
      <c r="AK781">
        <v>21.186599800102901</v>
      </c>
      <c r="AL781">
        <v>94.231630556734899</v>
      </c>
      <c r="AM781">
        <v>88.951488008192996</v>
      </c>
      <c r="AN781">
        <v>0.99999999002539697</v>
      </c>
    </row>
    <row r="782" spans="1:40" x14ac:dyDescent="0.25">
      <c r="A782" t="str">
        <f>"20190303154745425"</f>
        <v>20190303154745425</v>
      </c>
      <c r="B782" t="str">
        <f>"1551599265421824"</f>
        <v>1551599265421824</v>
      </c>
      <c r="C782" t="s">
        <v>40</v>
      </c>
      <c r="D782">
        <v>5.1064809999999996</v>
      </c>
      <c r="E782">
        <v>0.51723169999999996</v>
      </c>
      <c r="F782" t="s">
        <v>43</v>
      </c>
      <c r="G782">
        <v>-288.49639999999999</v>
      </c>
      <c r="H782">
        <v>-0.05</v>
      </c>
      <c r="I782">
        <v>366.29160000000002</v>
      </c>
      <c r="J782">
        <v>-310.07670000000002</v>
      </c>
      <c r="K782">
        <v>1.071394</v>
      </c>
      <c r="L782">
        <v>367.63889999999998</v>
      </c>
      <c r="M782">
        <v>0.99994000000000005</v>
      </c>
      <c r="N782">
        <v>-1.068296E-2</v>
      </c>
      <c r="O782">
        <v>2.4294949999999998E-3</v>
      </c>
      <c r="P782">
        <v>0.99632359999999998</v>
      </c>
      <c r="Q782">
        <v>-8.4264519999999996E-2</v>
      </c>
      <c r="R782">
        <v>-1.546121E-2</v>
      </c>
      <c r="S782">
        <v>2.9950869999999998</v>
      </c>
      <c r="T782">
        <v>-0.15455940000000001</v>
      </c>
      <c r="U782">
        <v>-0.18560789999999999</v>
      </c>
      <c r="V782">
        <v>1.7880179999999999E-2</v>
      </c>
      <c r="W782">
        <v>-7.3616849999999998E-2</v>
      </c>
      <c r="X782">
        <v>0.99712630000000002</v>
      </c>
      <c r="Y782">
        <v>6.4172160000000006E-2</v>
      </c>
      <c r="Z782">
        <v>-2.0957390000000001E-3</v>
      </c>
      <c r="AA782">
        <v>0.99793670000000001</v>
      </c>
      <c r="AB782">
        <v>33</v>
      </c>
      <c r="AC782">
        <v>21.580300000000001</v>
      </c>
      <c r="AD782">
        <v>-1.121394</v>
      </c>
      <c r="AE782">
        <v>-1.34729999999996</v>
      </c>
      <c r="AF782">
        <v>1.39597342506495</v>
      </c>
      <c r="AG782">
        <v>-1.121394</v>
      </c>
      <c r="AH782">
        <v>21.519081894507099</v>
      </c>
      <c r="AI782">
        <v>92.976831124148006</v>
      </c>
      <c r="AJ782">
        <v>86.288342116643705</v>
      </c>
      <c r="AK782">
        <v>21.593451597399302</v>
      </c>
      <c r="AL782">
        <v>94.221753936013499</v>
      </c>
      <c r="AM782">
        <v>88.972698775988206</v>
      </c>
      <c r="AN782">
        <v>0.99999999979622201</v>
      </c>
    </row>
    <row r="783" spans="1:40" x14ac:dyDescent="0.25">
      <c r="A783" t="str">
        <f>"20190303154745436"</f>
        <v>20190303154745436</v>
      </c>
      <c r="B783" t="str">
        <f>"1551599265431584"</f>
        <v>1551599265431584</v>
      </c>
      <c r="C783" t="s">
        <v>40</v>
      </c>
      <c r="D783">
        <v>5.1147720000000003</v>
      </c>
      <c r="E783">
        <v>0.51739829999999998</v>
      </c>
      <c r="F783" t="s">
        <v>43</v>
      </c>
      <c r="G783">
        <v>-287.73610000000002</v>
      </c>
      <c r="H783">
        <v>-0.05</v>
      </c>
      <c r="I783">
        <v>366.25389999999999</v>
      </c>
      <c r="J783">
        <v>-309.91309999999999</v>
      </c>
      <c r="K783">
        <v>1.071267</v>
      </c>
      <c r="L783">
        <v>367.63920000000002</v>
      </c>
      <c r="M783">
        <v>0.99994190000000005</v>
      </c>
      <c r="N783">
        <v>-1.050385E-2</v>
      </c>
      <c r="O783">
        <v>2.4373770000000001E-3</v>
      </c>
      <c r="P783">
        <v>0.99634840000000002</v>
      </c>
      <c r="Q783">
        <v>-8.4072949999999994E-2</v>
      </c>
      <c r="R783">
        <v>-1.4882309999999999E-2</v>
      </c>
      <c r="S783">
        <v>2.9954830000000001</v>
      </c>
      <c r="T783">
        <v>-0.15035899999999999</v>
      </c>
      <c r="U783">
        <v>-0.18569949999999999</v>
      </c>
      <c r="V783">
        <v>1.730953E-2</v>
      </c>
      <c r="W783">
        <v>-7.3603569999999993E-2</v>
      </c>
      <c r="X783">
        <v>0.99713739999999995</v>
      </c>
      <c r="Y783">
        <v>6.420766E-2</v>
      </c>
      <c r="Z783">
        <v>-2.0432950000000001E-3</v>
      </c>
      <c r="AA783">
        <v>0.99793449999999995</v>
      </c>
      <c r="AB783">
        <v>33</v>
      </c>
      <c r="AC783">
        <v>22.1769999999999</v>
      </c>
      <c r="AD783">
        <v>-1.121267</v>
      </c>
      <c r="AE783">
        <v>-1.38530000000002</v>
      </c>
      <c r="AF783">
        <v>1.43569676201364</v>
      </c>
      <c r="AG783">
        <v>-1.121267</v>
      </c>
      <c r="AH783">
        <v>22.1172388016201</v>
      </c>
      <c r="AI783">
        <v>92.896126989956898</v>
      </c>
      <c r="AJ783">
        <v>86.285968681465803</v>
      </c>
      <c r="AK783">
        <v>22.1921318733833</v>
      </c>
      <c r="AL783">
        <v>94.220990766302094</v>
      </c>
      <c r="AM783">
        <v>89.005489702610006</v>
      </c>
      <c r="AN783">
        <v>1.00000004991216</v>
      </c>
    </row>
    <row r="784" spans="1:40" x14ac:dyDescent="0.25">
      <c r="A784" t="str">
        <f>"20190303154745448"</f>
        <v>20190303154745448</v>
      </c>
      <c r="B784" t="str">
        <f>"1551599265441344"</f>
        <v>1551599265441344</v>
      </c>
      <c r="C784" t="s">
        <v>40</v>
      </c>
      <c r="D784">
        <v>5.1011930000000003</v>
      </c>
      <c r="E784">
        <v>0.51754469999999997</v>
      </c>
      <c r="F784" t="s">
        <v>43</v>
      </c>
      <c r="G784">
        <v>-287.0453</v>
      </c>
      <c r="H784">
        <v>-0.05</v>
      </c>
      <c r="I784">
        <v>366.22280000000001</v>
      </c>
      <c r="J784">
        <v>-309.74209999999999</v>
      </c>
      <c r="K784">
        <v>1.0711489999999999</v>
      </c>
      <c r="L784">
        <v>367.63959999999997</v>
      </c>
      <c r="M784">
        <v>0.99994360000000004</v>
      </c>
      <c r="N784">
        <v>-1.033452E-2</v>
      </c>
      <c r="O784">
        <v>2.4450119999999999E-3</v>
      </c>
      <c r="P784">
        <v>0.99634900000000004</v>
      </c>
      <c r="Q784">
        <v>-8.409084E-2</v>
      </c>
      <c r="R784">
        <v>-1.475096E-2</v>
      </c>
      <c r="S784">
        <v>2.9957579999999999</v>
      </c>
      <c r="T784">
        <v>-0.14688989999999999</v>
      </c>
      <c r="U784">
        <v>-0.18554689999999999</v>
      </c>
      <c r="V784">
        <v>1.7185780000000001E-2</v>
      </c>
      <c r="W784">
        <v>-7.3790250000000002E-2</v>
      </c>
      <c r="X784">
        <v>0.9971257</v>
      </c>
      <c r="Y784">
        <v>6.4163499999999998E-2</v>
      </c>
      <c r="Z784">
        <v>-1.9971910000000002E-3</v>
      </c>
      <c r="AA784">
        <v>0.99793739999999997</v>
      </c>
      <c r="AB784">
        <v>33</v>
      </c>
      <c r="AC784">
        <v>22.6968</v>
      </c>
      <c r="AD784">
        <v>-1.121149</v>
      </c>
      <c r="AE784">
        <v>-1.4167999999999601</v>
      </c>
      <c r="AF784">
        <v>1.4687228411689699</v>
      </c>
      <c r="AG784">
        <v>-1.121149</v>
      </c>
      <c r="AH784">
        <v>22.638244000494002</v>
      </c>
      <c r="AI784">
        <v>92.829293116039395</v>
      </c>
      <c r="AJ784">
        <v>86.287969664186306</v>
      </c>
      <c r="AK784">
        <v>22.7135248979606</v>
      </c>
      <c r="AL784">
        <v>94.231716089640003</v>
      </c>
      <c r="AM784">
        <v>89.0125866999891</v>
      </c>
      <c r="AN784">
        <v>1.00000000681488</v>
      </c>
    </row>
    <row r="785" spans="1:40" x14ac:dyDescent="0.25">
      <c r="A785" t="str">
        <f>"20190303154745457"</f>
        <v>20190303154745457</v>
      </c>
      <c r="B785" t="str">
        <f>"1551599265451104"</f>
        <v>1551599265451104</v>
      </c>
      <c r="C785" t="s">
        <v>40</v>
      </c>
      <c r="D785">
        <v>5.1201100000000004</v>
      </c>
      <c r="E785">
        <v>0.51757439999999999</v>
      </c>
      <c r="F785" t="s">
        <v>43</v>
      </c>
      <c r="G785">
        <v>-286.47879999999998</v>
      </c>
      <c r="H785">
        <v>-0.05</v>
      </c>
      <c r="I785">
        <v>366.19369999999998</v>
      </c>
      <c r="J785">
        <v>-309.58499999999998</v>
      </c>
      <c r="K785">
        <v>1.0710550000000001</v>
      </c>
      <c r="L785">
        <v>367.64</v>
      </c>
      <c r="M785">
        <v>0.99994519999999998</v>
      </c>
      <c r="N785">
        <v>-1.018897E-2</v>
      </c>
      <c r="O785">
        <v>2.4519709999999998E-3</v>
      </c>
      <c r="P785">
        <v>0.99635099999999999</v>
      </c>
      <c r="Q785">
        <v>-8.412965E-2</v>
      </c>
      <c r="R785">
        <v>-1.4391070000000001E-2</v>
      </c>
      <c r="S785">
        <v>2.9960939999999998</v>
      </c>
      <c r="T785">
        <v>-0.1443933</v>
      </c>
      <c r="U785">
        <v>-0.1862183</v>
      </c>
      <c r="V785">
        <v>1.68331E-2</v>
      </c>
      <c r="W785">
        <v>-7.3974129999999999E-2</v>
      </c>
      <c r="X785">
        <v>0.99711810000000001</v>
      </c>
      <c r="Y785">
        <v>6.4389150000000006E-2</v>
      </c>
      <c r="Z785">
        <v>-1.9708149999999999E-3</v>
      </c>
      <c r="AA785">
        <v>0.99792289999999995</v>
      </c>
      <c r="AB785">
        <v>33</v>
      </c>
      <c r="AC785">
        <v>23.106200000000001</v>
      </c>
      <c r="AD785">
        <v>-1.1210549999999999</v>
      </c>
      <c r="AE785">
        <v>-1.4462999999999999</v>
      </c>
      <c r="AF785">
        <v>1.49943849400035</v>
      </c>
      <c r="AG785">
        <v>-1.1210549999999999</v>
      </c>
      <c r="AH785">
        <v>23.048540747400398</v>
      </c>
      <c r="AI785">
        <v>92.778742814757294</v>
      </c>
      <c r="AJ785">
        <v>86.277829224689896</v>
      </c>
      <c r="AK785">
        <v>23.124452657195899</v>
      </c>
      <c r="AL785">
        <v>94.242280474455896</v>
      </c>
      <c r="AM785">
        <v>89.032838758384301</v>
      </c>
      <c r="AN785">
        <v>1.0000000152562301</v>
      </c>
    </row>
    <row r="786" spans="1:40" x14ac:dyDescent="0.25">
      <c r="A786" t="str">
        <f>"20190303154745469"</f>
        <v>20190303154745469</v>
      </c>
      <c r="B786" t="str">
        <f>"1551599265461839"</f>
        <v>1551599265461839</v>
      </c>
      <c r="C786" t="s">
        <v>40</v>
      </c>
      <c r="D786">
        <v>5.1777049999999996</v>
      </c>
      <c r="E786">
        <v>0.51757439999999999</v>
      </c>
      <c r="F786" t="s">
        <v>43</v>
      </c>
      <c r="G786">
        <v>-285.9436</v>
      </c>
      <c r="H786">
        <v>-0.05</v>
      </c>
      <c r="I786">
        <v>366.17630000000003</v>
      </c>
      <c r="J786">
        <v>-309.43459999999999</v>
      </c>
      <c r="K786">
        <v>1.0709709999999999</v>
      </c>
      <c r="L786">
        <v>367.6404</v>
      </c>
      <c r="M786">
        <v>0.99994640000000001</v>
      </c>
      <c r="N786">
        <v>-1.00699E-2</v>
      </c>
      <c r="O786">
        <v>2.4584849999999998E-3</v>
      </c>
      <c r="P786">
        <v>0.99635269999999998</v>
      </c>
      <c r="Q786">
        <v>-8.4126590000000001E-2</v>
      </c>
      <c r="R786">
        <v>-1.4295520000000001E-2</v>
      </c>
      <c r="S786">
        <v>2.9963380000000002</v>
      </c>
      <c r="T786">
        <v>-0.1420835</v>
      </c>
      <c r="U786">
        <v>-0.1855164</v>
      </c>
      <c r="V786">
        <v>1.6744200000000001E-2</v>
      </c>
      <c r="W786">
        <v>-7.4089769999999999E-2</v>
      </c>
      <c r="X786">
        <v>0.99711099999999997</v>
      </c>
      <c r="Y786">
        <v>6.4160910000000002E-2</v>
      </c>
      <c r="Z786">
        <v>-1.9341849999999999E-3</v>
      </c>
      <c r="AA786">
        <v>0.99793770000000004</v>
      </c>
      <c r="AB786">
        <v>33</v>
      </c>
      <c r="AC786">
        <v>23.4909999999999</v>
      </c>
      <c r="AD786">
        <v>-1.1209709999999999</v>
      </c>
      <c r="AE786">
        <v>-1.46409999999997</v>
      </c>
      <c r="AF786">
        <v>1.51840655378417</v>
      </c>
      <c r="AG786">
        <v>-1.1209709999999999</v>
      </c>
      <c r="AH786">
        <v>23.4341734331868</v>
      </c>
      <c r="AI786">
        <v>92.732927336109697</v>
      </c>
      <c r="AJ786">
        <v>86.292728485573605</v>
      </c>
      <c r="AK786">
        <v>23.510053571655199</v>
      </c>
      <c r="AL786">
        <v>94.248924436763303</v>
      </c>
      <c r="AM786">
        <v>89.037938777999301</v>
      </c>
      <c r="AN786">
        <v>1.0000000042866399</v>
      </c>
    </row>
    <row r="787" spans="1:40" x14ac:dyDescent="0.25">
      <c r="A787" t="str">
        <f>"20190303154745483"</f>
        <v>20190303154745483</v>
      </c>
      <c r="B787" t="str">
        <f>"1551599265471600"</f>
        <v>1551599265471600</v>
      </c>
      <c r="C787" t="s">
        <v>40</v>
      </c>
      <c r="D787">
        <v>5.1720319999999997</v>
      </c>
      <c r="E787">
        <v>0.49868689999999999</v>
      </c>
      <c r="F787" t="s">
        <v>43</v>
      </c>
      <c r="G787">
        <v>-285.78089999999997</v>
      </c>
      <c r="H787">
        <v>-0.05</v>
      </c>
      <c r="I787">
        <v>366.17829999999998</v>
      </c>
      <c r="J787">
        <v>-309.23250000000002</v>
      </c>
      <c r="K787">
        <v>1.0708690000000001</v>
      </c>
      <c r="L787">
        <v>367.64089999999999</v>
      </c>
      <c r="M787">
        <v>0.99994780000000005</v>
      </c>
      <c r="N787">
        <v>-9.9218099999999997E-3</v>
      </c>
      <c r="O787">
        <v>2.467342E-3</v>
      </c>
      <c r="P787">
        <v>0.99637759999999997</v>
      </c>
      <c r="Q787">
        <v>-8.3827609999999997E-2</v>
      </c>
      <c r="R787">
        <v>-1.430596E-2</v>
      </c>
      <c r="S787">
        <v>2.9963380000000002</v>
      </c>
      <c r="T787">
        <v>-0.1419994</v>
      </c>
      <c r="U787">
        <v>-0.18521119999999999</v>
      </c>
      <c r="V787">
        <v>1.6763569999999998E-2</v>
      </c>
      <c r="W787">
        <v>-7.3938199999999996E-2</v>
      </c>
      <c r="X787">
        <v>0.99712190000000001</v>
      </c>
      <c r="Y787">
        <v>6.4068920000000001E-2</v>
      </c>
      <c r="Z787">
        <v>-1.9265230000000001E-3</v>
      </c>
      <c r="AA787">
        <v>0.99794360000000004</v>
      </c>
      <c r="AB787">
        <v>33</v>
      </c>
      <c r="AC787">
        <v>23.451599999999999</v>
      </c>
      <c r="AD787">
        <v>-1.1208689999999999</v>
      </c>
      <c r="AE787">
        <v>-1.4625999999999999</v>
      </c>
      <c r="AF787">
        <v>1.5170095388829501</v>
      </c>
      <c r="AG787">
        <v>-1.1208689999999999</v>
      </c>
      <c r="AH787">
        <v>23.394684851369199</v>
      </c>
      <c r="AI787">
        <v>92.737275837789397</v>
      </c>
      <c r="AJ787">
        <v>86.289895448523197</v>
      </c>
      <c r="AK787">
        <v>23.470597447681399</v>
      </c>
      <c r="AL787">
        <v>94.240216337736001</v>
      </c>
      <c r="AM787">
        <v>89.036836584253393</v>
      </c>
      <c r="AN787">
        <v>0.99999997907899696</v>
      </c>
    </row>
    <row r="788" spans="1:40" x14ac:dyDescent="0.25">
      <c r="A788" t="str">
        <f>"20190303154745496"</f>
        <v>20190303154745496</v>
      </c>
      <c r="B788" t="str">
        <f>"1551599265491121"</f>
        <v>1551599265491121</v>
      </c>
      <c r="C788" t="s">
        <v>40</v>
      </c>
      <c r="D788">
        <v>5.1542329999999996</v>
      </c>
      <c r="E788">
        <v>0.49609439999999999</v>
      </c>
      <c r="F788" t="s">
        <v>43</v>
      </c>
      <c r="G788">
        <v>-281.34710000000001</v>
      </c>
      <c r="H788">
        <v>-0.05</v>
      </c>
      <c r="I788">
        <v>367.3159</v>
      </c>
      <c r="J788">
        <v>-309.02359999999999</v>
      </c>
      <c r="K788">
        <v>1.0707770000000001</v>
      </c>
      <c r="L788">
        <v>367.64139999999998</v>
      </c>
      <c r="M788">
        <v>0.99994899999999998</v>
      </c>
      <c r="N788">
        <v>-9.8025460000000005E-3</v>
      </c>
      <c r="O788">
        <v>2.4761660000000001E-3</v>
      </c>
      <c r="P788">
        <v>0.99639540000000004</v>
      </c>
      <c r="Q788">
        <v>-8.3621730000000005E-2</v>
      </c>
      <c r="R788">
        <v>-1.4276509999999999E-2</v>
      </c>
      <c r="S788">
        <v>3.000305</v>
      </c>
      <c r="T788">
        <v>-0.1205992</v>
      </c>
      <c r="U788">
        <v>-3.497314E-2</v>
      </c>
      <c r="V788">
        <v>1.6743009999999999E-2</v>
      </c>
      <c r="W788">
        <v>-7.3851059999999996E-2</v>
      </c>
      <c r="X788">
        <v>0.99712869999999998</v>
      </c>
      <c r="Y788">
        <v>1.4116490000000001E-2</v>
      </c>
      <c r="Z788">
        <v>-4.2803680000000002E-4</v>
      </c>
      <c r="AA788">
        <v>0.99990029999999996</v>
      </c>
      <c r="AB788">
        <v>33</v>
      </c>
      <c r="AC788">
        <v>27.676499999999901</v>
      </c>
      <c r="AD788">
        <v>-1.1207769999999999</v>
      </c>
      <c r="AE788">
        <v>-0.32549999999997598</v>
      </c>
      <c r="AF788">
        <v>0.39338886819653202</v>
      </c>
      <c r="AG788">
        <v>-1.1207769999999999</v>
      </c>
      <c r="AH788">
        <v>27.630304576937501</v>
      </c>
      <c r="AI788">
        <v>92.322598713493605</v>
      </c>
      <c r="AJ788">
        <v>89.184301461809298</v>
      </c>
      <c r="AK788">
        <v>27.655824466099101</v>
      </c>
      <c r="AL788">
        <v>94.235209909529999</v>
      </c>
      <c r="AM788">
        <v>89.038024211345402</v>
      </c>
      <c r="AN788">
        <v>0.99999997590533596</v>
      </c>
    </row>
    <row r="789" spans="1:40" x14ac:dyDescent="0.25">
      <c r="A789" t="str">
        <f>"20190303154745510"</f>
        <v>20190303154745510</v>
      </c>
      <c r="B789" t="str">
        <f>"1551599265501856"</f>
        <v>1551599265501856</v>
      </c>
      <c r="C789" t="s">
        <v>40</v>
      </c>
      <c r="D789">
        <v>5.149178</v>
      </c>
      <c r="E789">
        <v>0.49574040000000003</v>
      </c>
      <c r="F789" t="s">
        <v>41</v>
      </c>
      <c r="G789">
        <v>-279.68970000000002</v>
      </c>
      <c r="H789" s="1">
        <v>-6.5410590000000003E-7</v>
      </c>
      <c r="I789">
        <v>367.50240000000002</v>
      </c>
      <c r="J789">
        <v>-308.82600000000002</v>
      </c>
      <c r="K789">
        <v>1.070711</v>
      </c>
      <c r="L789">
        <v>367.642</v>
      </c>
      <c r="M789">
        <v>0.99994989999999995</v>
      </c>
      <c r="N789">
        <v>-9.7121470000000008E-3</v>
      </c>
      <c r="O789">
        <v>2.4845399999999999E-3</v>
      </c>
      <c r="P789">
        <v>0.99638939999999998</v>
      </c>
      <c r="Q789">
        <v>-8.3721089999999998E-2</v>
      </c>
      <c r="R789">
        <v>-1.41152E-2</v>
      </c>
      <c r="S789">
        <v>3.0014340000000002</v>
      </c>
      <c r="T789">
        <v>-0.1095612</v>
      </c>
      <c r="U789">
        <v>-1.422119E-2</v>
      </c>
      <c r="V789">
        <v>1.6590199999999999E-2</v>
      </c>
      <c r="W789">
        <v>-7.4040560000000005E-2</v>
      </c>
      <c r="X789">
        <v>0.99711719999999904</v>
      </c>
      <c r="Y789">
        <v>7.215717E-3</v>
      </c>
      <c r="Z789">
        <v>-2.332464E-4</v>
      </c>
      <c r="AA789">
        <v>0.99997400000000003</v>
      </c>
      <c r="AB789">
        <v>33</v>
      </c>
      <c r="AC789">
        <v>29.136299999999899</v>
      </c>
      <c r="AD789">
        <v>-1.0707116541059001</v>
      </c>
      <c r="AE789">
        <v>-0.139599999999973</v>
      </c>
      <c r="AF789">
        <v>0.21170738317113599</v>
      </c>
      <c r="AG789">
        <v>-1.0707116541059001</v>
      </c>
      <c r="AH789">
        <v>29.096570846492199</v>
      </c>
      <c r="AI789">
        <v>92.107395034527698</v>
      </c>
      <c r="AJ789">
        <v>89.583121819988193</v>
      </c>
      <c r="AK789">
        <v>29.117034163651802</v>
      </c>
      <c r="AL789">
        <v>94.246097271053102</v>
      </c>
      <c r="AM789">
        <v>89.046791347223902</v>
      </c>
      <c r="AN789">
        <v>0.99999997489849601</v>
      </c>
    </row>
    <row r="790" spans="1:40" x14ac:dyDescent="0.25">
      <c r="A790" t="str">
        <f>"20190303154745524"</f>
        <v>20190303154745524</v>
      </c>
      <c r="B790" t="str">
        <f>"1551599265521376"</f>
        <v>1551599265521376</v>
      </c>
      <c r="C790" t="s">
        <v>40</v>
      </c>
      <c r="D790">
        <v>5.166391</v>
      </c>
      <c r="E790">
        <v>0.49529010000000001</v>
      </c>
      <c r="F790" t="s">
        <v>41</v>
      </c>
      <c r="G790">
        <v>-278.94349999999997</v>
      </c>
      <c r="H790" s="1">
        <v>-8.997675E-7</v>
      </c>
      <c r="I790">
        <v>367.53339999999997</v>
      </c>
      <c r="J790">
        <v>-308.61079999999998</v>
      </c>
      <c r="K790">
        <v>1.070649</v>
      </c>
      <c r="L790">
        <v>367.64249999999998</v>
      </c>
      <c r="M790">
        <v>0.99995049999999996</v>
      </c>
      <c r="N790">
        <v>-9.6386000000000006E-3</v>
      </c>
      <c r="O790">
        <v>2.4938400000000002E-3</v>
      </c>
      <c r="P790">
        <v>0.99642379999999997</v>
      </c>
      <c r="Q790">
        <v>-8.33145E-2</v>
      </c>
      <c r="R790">
        <v>-1.409058E-2</v>
      </c>
      <c r="S790">
        <v>3.0016479999999999</v>
      </c>
      <c r="T790">
        <v>-0.1075512</v>
      </c>
      <c r="U790">
        <v>-1.089478E-2</v>
      </c>
      <c r="V790">
        <v>1.6574829999999999E-2</v>
      </c>
      <c r="W790">
        <v>-7.3707010000000003E-2</v>
      </c>
      <c r="X790">
        <v>0.99714219999999998</v>
      </c>
      <c r="Y790">
        <v>6.1176650000000004E-3</v>
      </c>
      <c r="Z790">
        <v>-2.0435550000000001E-4</v>
      </c>
      <c r="AA790">
        <v>0.99998129999999996</v>
      </c>
      <c r="AB790">
        <v>33</v>
      </c>
      <c r="AC790">
        <v>29.667300000000001</v>
      </c>
      <c r="AD790">
        <v>-1.0706498997675</v>
      </c>
      <c r="AE790">
        <v>-0.10910000000001201</v>
      </c>
      <c r="AF790">
        <v>0.182850454294057</v>
      </c>
      <c r="AG790">
        <v>-1.0706498997675</v>
      </c>
      <c r="AH790">
        <v>29.628348693491201</v>
      </c>
      <c r="AI790">
        <v>92.069500207318896</v>
      </c>
      <c r="AJ790">
        <v>89.646405325606096</v>
      </c>
      <c r="AK790">
        <v>29.648250737600101</v>
      </c>
      <c r="AL790">
        <v>94.2269337624504</v>
      </c>
      <c r="AM790">
        <v>89.0476981571762</v>
      </c>
      <c r="AN790">
        <v>1.0000000076667499</v>
      </c>
    </row>
    <row r="791" spans="1:40" x14ac:dyDescent="0.25">
      <c r="A791" t="str">
        <f>"20190303154745535"</f>
        <v>20190303154745535</v>
      </c>
      <c r="B791" t="str">
        <f>"1551599265531136"</f>
        <v>1551599265531136</v>
      </c>
      <c r="C791" t="s">
        <v>40</v>
      </c>
      <c r="D791">
        <v>5.1756830000000003</v>
      </c>
      <c r="E791">
        <v>0.4951315</v>
      </c>
      <c r="F791" t="s">
        <v>41</v>
      </c>
      <c r="G791">
        <v>-277.87950000000001</v>
      </c>
      <c r="H791" s="1">
        <v>-1.254836E-6</v>
      </c>
      <c r="I791">
        <v>367.57089999999999</v>
      </c>
      <c r="J791">
        <v>-308.44380000000001</v>
      </c>
      <c r="K791">
        <v>1.070611</v>
      </c>
      <c r="L791">
        <v>367.6429</v>
      </c>
      <c r="M791">
        <v>0.99995060000000002</v>
      </c>
      <c r="N791">
        <v>-9.6125580000000002E-3</v>
      </c>
      <c r="O791">
        <v>2.5011780000000002E-3</v>
      </c>
      <c r="P791">
        <v>0.99640580000000001</v>
      </c>
      <c r="Q791">
        <v>-8.3530629999999995E-2</v>
      </c>
      <c r="R791">
        <v>-1.407865E-2</v>
      </c>
      <c r="S791">
        <v>3.0019230000000001</v>
      </c>
      <c r="T791">
        <v>-0.1045837</v>
      </c>
      <c r="U791">
        <v>-6.9885249999999998E-3</v>
      </c>
      <c r="V791">
        <v>1.6570089999999999E-2</v>
      </c>
      <c r="W791">
        <v>-7.3949280000000006E-2</v>
      </c>
      <c r="X791">
        <v>0.99712429999999996</v>
      </c>
      <c r="Y791">
        <v>4.8247589999999996E-3</v>
      </c>
      <c r="Z791">
        <v>-1.702916E-4</v>
      </c>
      <c r="AA791">
        <v>0.99998830000000005</v>
      </c>
      <c r="AB791">
        <v>33</v>
      </c>
      <c r="AC791">
        <v>30.564299999999999</v>
      </c>
      <c r="AD791">
        <v>-1.070612254836</v>
      </c>
      <c r="AE791">
        <v>-7.2000000000002701E-2</v>
      </c>
      <c r="AF791">
        <v>0.14826814679705899</v>
      </c>
      <c r="AG791">
        <v>-1.070612254836</v>
      </c>
      <c r="AH791">
        <v>30.526569182344101</v>
      </c>
      <c r="AI791">
        <v>92.008601392472201</v>
      </c>
      <c r="AJ791">
        <v>89.721715460523001</v>
      </c>
      <c r="AK791">
        <v>30.545697243441701</v>
      </c>
      <c r="AL791">
        <v>94.240852969962603</v>
      </c>
      <c r="AM791">
        <v>89.047953354980606</v>
      </c>
      <c r="AN791">
        <v>0.999999966772807</v>
      </c>
    </row>
    <row r="792" spans="1:40" x14ac:dyDescent="0.25">
      <c r="A792" t="str">
        <f>"20190303154745546"</f>
        <v>20190303154745546</v>
      </c>
      <c r="B792" t="str">
        <f>"1551599265541872"</f>
        <v>1551599265541872</v>
      </c>
      <c r="C792" t="s">
        <v>40</v>
      </c>
      <c r="D792">
        <v>5.1783519999999896</v>
      </c>
      <c r="E792">
        <v>0.4951779</v>
      </c>
      <c r="F792" t="s">
        <v>41</v>
      </c>
      <c r="G792">
        <v>-277.80360000000002</v>
      </c>
      <c r="H792" s="1">
        <v>-1.2851580000000001E-6</v>
      </c>
      <c r="I792">
        <v>367.58339999999998</v>
      </c>
      <c r="J792">
        <v>-308.27710000000002</v>
      </c>
      <c r="K792">
        <v>1.070578</v>
      </c>
      <c r="L792">
        <v>367.64339999999999</v>
      </c>
      <c r="M792">
        <v>0.99995069999999997</v>
      </c>
      <c r="N792">
        <v>-9.6098380000000008E-3</v>
      </c>
      <c r="O792">
        <v>2.5084619999999999E-3</v>
      </c>
      <c r="P792">
        <v>0.99640709999999999</v>
      </c>
      <c r="Q792">
        <v>-8.3519350000000006E-2</v>
      </c>
      <c r="R792">
        <v>-1.405674E-2</v>
      </c>
      <c r="S792">
        <v>3.0019230000000001</v>
      </c>
      <c r="T792">
        <v>-0.1048912</v>
      </c>
      <c r="U792">
        <v>-5.8288569999999998E-3</v>
      </c>
      <c r="V792">
        <v>1.65555999999999E-2</v>
      </c>
      <c r="W792">
        <v>-7.3940710000000007E-2</v>
      </c>
      <c r="X792">
        <v>0.99712520000000004</v>
      </c>
      <c r="Y792">
        <v>4.4460080000000004E-3</v>
      </c>
      <c r="Z792">
        <v>-1.625435E-4</v>
      </c>
      <c r="AA792">
        <v>0.99999009999999999</v>
      </c>
      <c r="AB792">
        <v>33</v>
      </c>
      <c r="AC792">
        <v>30.473500000000001</v>
      </c>
      <c r="AD792">
        <v>-1.070579285158</v>
      </c>
      <c r="AE792">
        <v>-6.0000000000002197E-2</v>
      </c>
      <c r="AF792">
        <v>0.13627676117731299</v>
      </c>
      <c r="AG792">
        <v>-1.070579285158</v>
      </c>
      <c r="AH792">
        <v>30.435689373895599</v>
      </c>
      <c r="AI792">
        <v>92.014535641390694</v>
      </c>
      <c r="AJ792">
        <v>89.743458050635496</v>
      </c>
      <c r="AK792">
        <v>30.454817336929001</v>
      </c>
      <c r="AL792">
        <v>94.240360496442705</v>
      </c>
      <c r="AM792">
        <v>89.048786593901994</v>
      </c>
      <c r="AN792">
        <v>0.99999999048085197</v>
      </c>
    </row>
    <row r="793" spans="1:40" x14ac:dyDescent="0.25">
      <c r="A793" t="str">
        <f>"20190303154745558"</f>
        <v>20190303154745558</v>
      </c>
      <c r="B793" t="str">
        <f>"1551599265551632"</f>
        <v>1551599265551632</v>
      </c>
      <c r="C793" t="s">
        <v>40</v>
      </c>
      <c r="D793">
        <v>5.1826629999999998</v>
      </c>
      <c r="E793">
        <v>0.4951507</v>
      </c>
      <c r="F793" t="s">
        <v>41</v>
      </c>
      <c r="G793">
        <v>-277.74540000000002</v>
      </c>
      <c r="H793" s="1">
        <v>-1.310241E-6</v>
      </c>
      <c r="I793">
        <v>367.58280000000002</v>
      </c>
      <c r="J793">
        <v>-308.10489999999999</v>
      </c>
      <c r="K793">
        <v>1.070543</v>
      </c>
      <c r="L793">
        <v>367.6438</v>
      </c>
      <c r="M793">
        <v>0.99995049999999996</v>
      </c>
      <c r="N793">
        <v>-9.6263259999999993E-3</v>
      </c>
      <c r="O793">
        <v>2.5161300000000001E-3</v>
      </c>
      <c r="P793">
        <v>0.99635580000000001</v>
      </c>
      <c r="Q793">
        <v>-8.4088800000000005E-2</v>
      </c>
      <c r="R793">
        <v>-1.429277E-2</v>
      </c>
      <c r="S793">
        <v>3.0019230000000001</v>
      </c>
      <c r="T793">
        <v>-0.1052608</v>
      </c>
      <c r="U793">
        <v>-5.9509280000000003E-3</v>
      </c>
      <c r="V793">
        <v>1.6799270000000002E-2</v>
      </c>
      <c r="W793">
        <v>-7.4494190000000002E-2</v>
      </c>
      <c r="X793">
        <v>0.99707990000000002</v>
      </c>
      <c r="Y793">
        <v>4.494268E-3</v>
      </c>
      <c r="Z793">
        <v>-1.6439429999999999E-4</v>
      </c>
      <c r="AA793">
        <v>0.99998989999999999</v>
      </c>
      <c r="AB793">
        <v>33</v>
      </c>
      <c r="AC793">
        <v>30.359499999999901</v>
      </c>
      <c r="AD793">
        <v>-1.0705443102409999</v>
      </c>
      <c r="AE793">
        <v>-6.0999999999978599E-2</v>
      </c>
      <c r="AF793">
        <v>0.13722117146917101</v>
      </c>
      <c r="AG793">
        <v>-1.0705443102409999</v>
      </c>
      <c r="AH793">
        <v>30.321547938857702</v>
      </c>
      <c r="AI793">
        <v>92.022046366743396</v>
      </c>
      <c r="AJ793">
        <v>89.740707818486698</v>
      </c>
      <c r="AK793">
        <v>30.340750883564802</v>
      </c>
      <c r="AL793">
        <v>94.272160382270798</v>
      </c>
      <c r="AM793">
        <v>89.0347451517396</v>
      </c>
      <c r="AN793">
        <v>0.99999996340014796</v>
      </c>
    </row>
    <row r="794" spans="1:40" x14ac:dyDescent="0.25">
      <c r="A794" t="str">
        <f>"20190303154745570"</f>
        <v>20190303154745570</v>
      </c>
      <c r="B794" t="str">
        <f>"1551599265561393"</f>
        <v>1551599265561393</v>
      </c>
      <c r="C794" t="s">
        <v>40</v>
      </c>
      <c r="D794">
        <v>5.1832589999999996</v>
      </c>
      <c r="E794">
        <v>0.4950483</v>
      </c>
      <c r="F794" t="s">
        <v>41</v>
      </c>
      <c r="G794">
        <v>-277.9939</v>
      </c>
      <c r="H794" s="1">
        <v>-1.211677E-6</v>
      </c>
      <c r="I794">
        <v>367.57580000000002</v>
      </c>
      <c r="J794">
        <v>-307.93029999999999</v>
      </c>
      <c r="K794">
        <v>1.0705260000000001</v>
      </c>
      <c r="L794">
        <v>367.64420000000001</v>
      </c>
      <c r="M794">
        <v>0.99995000000000001</v>
      </c>
      <c r="N794">
        <v>-9.6808129999999999E-3</v>
      </c>
      <c r="O794">
        <v>2.5235549999999998E-3</v>
      </c>
      <c r="P794">
        <v>0.99635059999999998</v>
      </c>
      <c r="Q794">
        <v>-8.4126279999999998E-2</v>
      </c>
      <c r="R794">
        <v>-1.4427830000000001E-2</v>
      </c>
      <c r="S794">
        <v>3.0018919999999998</v>
      </c>
      <c r="T794">
        <v>-0.1067265</v>
      </c>
      <c r="U794">
        <v>-6.7749019999999898E-3</v>
      </c>
      <c r="V794">
        <v>1.6941709999999999E-2</v>
      </c>
      <c r="W794">
        <v>-7.4477379999999996E-2</v>
      </c>
      <c r="X794">
        <v>0.99707880000000004</v>
      </c>
      <c r="Y794">
        <v>4.7758480000000001E-3</v>
      </c>
      <c r="Z794">
        <v>-1.7326479999999999E-4</v>
      </c>
      <c r="AA794">
        <v>0.99998860000000001</v>
      </c>
      <c r="AB794">
        <v>33</v>
      </c>
      <c r="AC794">
        <v>29.9363999999999</v>
      </c>
      <c r="AD794">
        <v>-1.0705272116769999</v>
      </c>
      <c r="AE794">
        <v>-6.8399999999996894E-2</v>
      </c>
      <c r="AF794">
        <v>0.14376562715902499</v>
      </c>
      <c r="AG794">
        <v>-1.0705272116769999</v>
      </c>
      <c r="AH794">
        <v>29.897899374283998</v>
      </c>
      <c r="AI794">
        <v>92.050638724739102</v>
      </c>
      <c r="AJ794">
        <v>89.724492343560101</v>
      </c>
      <c r="AK794">
        <v>29.9174043670454</v>
      </c>
      <c r="AL794">
        <v>94.271194325523894</v>
      </c>
      <c r="AM794">
        <v>89.026561308449004</v>
      </c>
      <c r="AN794">
        <v>1.0000000175394099</v>
      </c>
    </row>
    <row r="795" spans="1:40" x14ac:dyDescent="0.25">
      <c r="A795" t="str">
        <f>"20190303154745583"</f>
        <v>20190303154745583</v>
      </c>
      <c r="B795" t="str">
        <f>"1551599265571152"</f>
        <v>1551599265571152</v>
      </c>
      <c r="C795" t="s">
        <v>40</v>
      </c>
      <c r="D795">
        <v>5.1734619999999998</v>
      </c>
      <c r="E795">
        <v>0.4949018</v>
      </c>
      <c r="F795" t="s">
        <v>41</v>
      </c>
      <c r="G795">
        <v>-277.86130000000003</v>
      </c>
      <c r="H795" s="1">
        <v>-1.2605849999999899E-6</v>
      </c>
      <c r="I795">
        <v>367.58240000000001</v>
      </c>
      <c r="J795">
        <v>-307.73509999999999</v>
      </c>
      <c r="K795">
        <v>1.070514</v>
      </c>
      <c r="L795">
        <v>367.6447</v>
      </c>
      <c r="M795">
        <v>0.99994919999999998</v>
      </c>
      <c r="N795">
        <v>-9.7621010000000005E-3</v>
      </c>
      <c r="O795">
        <v>2.5318039999999999E-3</v>
      </c>
      <c r="P795">
        <v>0.99628539999999999</v>
      </c>
      <c r="Q795">
        <v>-8.4895570000000004E-2</v>
      </c>
      <c r="R795">
        <v>-1.443879E-2</v>
      </c>
      <c r="S795">
        <v>3.001862</v>
      </c>
      <c r="T795">
        <v>-0.1068732</v>
      </c>
      <c r="U795">
        <v>-6.1645509999999999E-3</v>
      </c>
      <c r="V795">
        <v>1.696056E-2</v>
      </c>
      <c r="W795">
        <v>-7.5166189999999994E-2</v>
      </c>
      <c r="X795">
        <v>0.99702679999999999</v>
      </c>
      <c r="Y795">
        <v>4.5809409999999998E-3</v>
      </c>
      <c r="Z795">
        <v>-1.6928829999999999E-4</v>
      </c>
      <c r="AA795">
        <v>0.99998949999999998</v>
      </c>
      <c r="AB795">
        <v>33</v>
      </c>
      <c r="AC795">
        <v>29.8737999999999</v>
      </c>
      <c r="AD795">
        <v>-1.0705152605849999</v>
      </c>
      <c r="AE795">
        <v>-6.2299999999993298E-2</v>
      </c>
      <c r="AF795">
        <v>0.13776110594391</v>
      </c>
      <c r="AG795">
        <v>-1.0705152605849999</v>
      </c>
      <c r="AH795">
        <v>29.835234723443801</v>
      </c>
      <c r="AI795">
        <v>92.054921038358401</v>
      </c>
      <c r="AJ795">
        <v>89.735444553034</v>
      </c>
      <c r="AK795">
        <v>29.854751917382298</v>
      </c>
      <c r="AL795">
        <v>94.310771121959803</v>
      </c>
      <c r="AM795">
        <v>89.025427615336895</v>
      </c>
      <c r="AN795">
        <v>1.0000000283164301</v>
      </c>
    </row>
    <row r="796" spans="1:40" x14ac:dyDescent="0.25">
      <c r="A796" t="str">
        <f>"20190303154745596"</f>
        <v>20190303154745596</v>
      </c>
      <c r="B796" t="str">
        <f>"1551599265591648"</f>
        <v>1551599265591648</v>
      </c>
      <c r="C796" t="s">
        <v>40</v>
      </c>
      <c r="D796">
        <v>5.2171070000000004</v>
      </c>
      <c r="E796">
        <v>0.49467680000000003</v>
      </c>
      <c r="F796" t="s">
        <v>41</v>
      </c>
      <c r="G796">
        <v>-278.32350000000002</v>
      </c>
      <c r="H796" s="1">
        <v>-1.0942419999999999E-6</v>
      </c>
      <c r="I796">
        <v>367.59570000000002</v>
      </c>
      <c r="J796">
        <v>-307.54919999999998</v>
      </c>
      <c r="K796">
        <v>1.070516</v>
      </c>
      <c r="L796">
        <v>367.64530000000002</v>
      </c>
      <c r="M796">
        <v>0.99994819999999995</v>
      </c>
      <c r="N796">
        <v>-9.8785929999999997E-3</v>
      </c>
      <c r="O796">
        <v>2.539281E-3</v>
      </c>
      <c r="P796">
        <v>0.99626199999999998</v>
      </c>
      <c r="Q796">
        <v>-8.5138630000000007E-2</v>
      </c>
      <c r="R796">
        <v>-1.462542E-2</v>
      </c>
      <c r="S796">
        <v>3.0018009999999999</v>
      </c>
      <c r="T796">
        <v>-0.1092582</v>
      </c>
      <c r="U796">
        <v>-5.0048829999999999E-3</v>
      </c>
      <c r="V796">
        <v>1.7154820000000001E-2</v>
      </c>
      <c r="W796">
        <v>-7.529334E-2</v>
      </c>
      <c r="X796">
        <v>0.99701390000000001</v>
      </c>
      <c r="Y796">
        <v>4.2022559999999997E-3</v>
      </c>
      <c r="Z796">
        <v>-1.6452979999999901E-4</v>
      </c>
      <c r="AA796">
        <v>0.99999119999999997</v>
      </c>
      <c r="AB796">
        <v>33</v>
      </c>
      <c r="AC796">
        <v>29.2256999999999</v>
      </c>
      <c r="AD796">
        <v>-1.0705170942419999</v>
      </c>
      <c r="AE796">
        <v>-4.9599999999998E-2</v>
      </c>
      <c r="AF796">
        <v>0.12364980868163999</v>
      </c>
      <c r="AG796">
        <v>-1.0705170942419999</v>
      </c>
      <c r="AH796">
        <v>29.1863204641846</v>
      </c>
      <c r="AI796">
        <v>92.100575788703296</v>
      </c>
      <c r="AJ796">
        <v>89.757264030656003</v>
      </c>
      <c r="AK796">
        <v>29.2062082161025</v>
      </c>
      <c r="AL796">
        <v>94.318076907446596</v>
      </c>
      <c r="AM796">
        <v>89.014254661120006</v>
      </c>
      <c r="AN796">
        <v>1.0000000458453899</v>
      </c>
    </row>
    <row r="797" spans="1:40" x14ac:dyDescent="0.25">
      <c r="A797" t="str">
        <f>"20190303154745609"</f>
        <v>20190303154745609</v>
      </c>
      <c r="B797" t="str">
        <f>"1551599265601408"</f>
        <v>1551599265601408</v>
      </c>
      <c r="C797" t="s">
        <v>40</v>
      </c>
      <c r="D797">
        <v>5.2737119999999997</v>
      </c>
      <c r="E797">
        <v>0.494703</v>
      </c>
      <c r="F797" t="s">
        <v>41</v>
      </c>
      <c r="G797">
        <v>-278.59129999999999</v>
      </c>
      <c r="H797" s="1">
        <v>-9.9976969999999993E-7</v>
      </c>
      <c r="I797">
        <v>367.60809999999998</v>
      </c>
      <c r="J797">
        <v>-307.36430000000001</v>
      </c>
      <c r="K797">
        <v>1.0705209999999901</v>
      </c>
      <c r="L797">
        <v>367.64580000000001</v>
      </c>
      <c r="M797">
        <v>0.99994669999999997</v>
      </c>
      <c r="N797">
        <v>-1.0018249999999999E-2</v>
      </c>
      <c r="O797">
        <v>2.5466949999999999E-3</v>
      </c>
      <c r="P797">
        <v>0.9962261</v>
      </c>
      <c r="Q797">
        <v>-8.5565379999999996E-2</v>
      </c>
      <c r="R797">
        <v>-1.4584369999999999E-2</v>
      </c>
      <c r="S797">
        <v>3.001709</v>
      </c>
      <c r="T797">
        <v>-0.11096689999999999</v>
      </c>
      <c r="U797">
        <v>-3.8452149999999999E-3</v>
      </c>
      <c r="V797">
        <v>1.7120900000000001E-2</v>
      </c>
      <c r="W797">
        <v>-7.5581159999999994E-2</v>
      </c>
      <c r="X797">
        <v>0.99699260000000001</v>
      </c>
      <c r="Y797">
        <v>3.8235790000000001E-3</v>
      </c>
      <c r="Z797">
        <v>-1.5841830000000001E-4</v>
      </c>
      <c r="AA797">
        <v>0.99999269999999996</v>
      </c>
      <c r="AB797">
        <v>33</v>
      </c>
      <c r="AC797">
        <v>28.773</v>
      </c>
      <c r="AD797">
        <v>-1.07052199976969</v>
      </c>
      <c r="AE797">
        <v>-3.77000000000293E-2</v>
      </c>
      <c r="AF797">
        <v>0.110826187993996</v>
      </c>
      <c r="AG797">
        <v>-1.07052199976969</v>
      </c>
      <c r="AH797">
        <v>28.733036448632699</v>
      </c>
      <c r="AI797">
        <v>92.133696511150802</v>
      </c>
      <c r="AJ797">
        <v>89.779005558506398</v>
      </c>
      <c r="AK797">
        <v>28.753185620977501</v>
      </c>
      <c r="AL797">
        <v>94.334615358772993</v>
      </c>
      <c r="AM797">
        <v>89.016182365015695</v>
      </c>
      <c r="AN797">
        <v>0.99999994070925602</v>
      </c>
    </row>
    <row r="798" spans="1:40" x14ac:dyDescent="0.25">
      <c r="A798" t="str">
        <f>"20190303154745623"</f>
        <v>20190303154745623</v>
      </c>
      <c r="B798" t="str">
        <f>"1551599265611169"</f>
        <v>1551599265611169</v>
      </c>
      <c r="C798" t="s">
        <v>40</v>
      </c>
      <c r="D798">
        <v>5.212612</v>
      </c>
      <c r="E798">
        <v>0.49460910000000002</v>
      </c>
      <c r="F798" t="s">
        <v>41</v>
      </c>
      <c r="G798">
        <v>-278.786</v>
      </c>
      <c r="H798" s="1">
        <v>-9.3271499999999997E-7</v>
      </c>
      <c r="I798">
        <v>367.61110000000002</v>
      </c>
      <c r="J798">
        <v>-307.15210000000002</v>
      </c>
      <c r="K798">
        <v>1.0705309999999999</v>
      </c>
      <c r="L798">
        <v>367.6463</v>
      </c>
      <c r="M798">
        <v>0.99994459999999996</v>
      </c>
      <c r="N798">
        <v>-1.02015E-2</v>
      </c>
      <c r="O798">
        <v>2.5548290000000002E-3</v>
      </c>
      <c r="P798">
        <v>0.99620600000000004</v>
      </c>
      <c r="Q798">
        <v>-8.5796209999999998E-2</v>
      </c>
      <c r="R798">
        <v>-1.45775E-2</v>
      </c>
      <c r="S798">
        <v>3.0016780000000001</v>
      </c>
      <c r="T798">
        <v>-0.1124402</v>
      </c>
      <c r="U798">
        <v>-3.6315919999999999E-3</v>
      </c>
      <c r="V798">
        <v>1.7122209999999999E-2</v>
      </c>
      <c r="W798">
        <v>-7.5629470000000004E-2</v>
      </c>
      <c r="X798">
        <v>0.99698900000000001</v>
      </c>
      <c r="Y798">
        <v>3.760504E-3</v>
      </c>
      <c r="Z798">
        <v>-1.5920919999999999E-4</v>
      </c>
      <c r="AA798">
        <v>0.99999289999999996</v>
      </c>
      <c r="AB798">
        <v>33</v>
      </c>
      <c r="AC798">
        <v>28.366099999999999</v>
      </c>
      <c r="AD798">
        <v>-1.07053193271499</v>
      </c>
      <c r="AE798">
        <v>-3.51999999999748E-2</v>
      </c>
      <c r="AF798">
        <v>0.107521057062113</v>
      </c>
      <c r="AG798">
        <v>-1.07053193271499</v>
      </c>
      <c r="AH798">
        <v>28.325573565871601</v>
      </c>
      <c r="AI798">
        <v>92.164381284043202</v>
      </c>
      <c r="AJ798">
        <v>89.782511970118904</v>
      </c>
      <c r="AK798">
        <v>28.346000021736401</v>
      </c>
      <c r="AL798">
        <v>94.337390890513007</v>
      </c>
      <c r="AM798">
        <v>89.016103551318594</v>
      </c>
      <c r="AN798">
        <v>1.00000002646438</v>
      </c>
    </row>
    <row r="799" spans="1:40" x14ac:dyDescent="0.25">
      <c r="A799" t="str">
        <f>"20190303154745636"</f>
        <v>20190303154745636</v>
      </c>
      <c r="B799" t="str">
        <f>"1551599265631664"</f>
        <v>1551599265631664</v>
      </c>
      <c r="C799" t="s">
        <v>40</v>
      </c>
      <c r="D799">
        <v>5.2682979999999997</v>
      </c>
      <c r="E799">
        <v>0.49440499999999998</v>
      </c>
      <c r="F799" t="s">
        <v>41</v>
      </c>
      <c r="G799">
        <v>-278.803</v>
      </c>
      <c r="H799" s="1">
        <v>-9.2502519999999997E-7</v>
      </c>
      <c r="I799">
        <v>367.61829999999998</v>
      </c>
      <c r="J799">
        <v>-306.95</v>
      </c>
      <c r="K799">
        <v>1.0705499999999999</v>
      </c>
      <c r="L799">
        <v>367.64679999999998</v>
      </c>
      <c r="M799">
        <v>0.99994249999999996</v>
      </c>
      <c r="N799">
        <v>-1.0412619999999999E-2</v>
      </c>
      <c r="O799">
        <v>2.5626770000000002E-3</v>
      </c>
      <c r="P799">
        <v>0.99617619999999896</v>
      </c>
      <c r="Q799">
        <v>-8.611481E-2</v>
      </c>
      <c r="R799">
        <v>-1.4738869999999999E-2</v>
      </c>
      <c r="S799">
        <v>3.0016479999999999</v>
      </c>
      <c r="T799">
        <v>-0.1133492</v>
      </c>
      <c r="U799">
        <v>-2.960205E-3</v>
      </c>
      <c r="V799">
        <v>1.7291330000000001E-2</v>
      </c>
      <c r="W799">
        <v>-7.5737860000000004E-2</v>
      </c>
      <c r="X799">
        <v>0.99697780000000003</v>
      </c>
      <c r="Y799">
        <v>3.5448229999999999E-3</v>
      </c>
      <c r="Z799">
        <v>-1.5543100000000001E-4</v>
      </c>
      <c r="AA799">
        <v>0.99999369999999999</v>
      </c>
      <c r="AB799">
        <v>33</v>
      </c>
      <c r="AC799">
        <v>28.146999999999899</v>
      </c>
      <c r="AD799">
        <v>-1.0705509250252001</v>
      </c>
      <c r="AE799">
        <v>-2.8500000000008099E-2</v>
      </c>
      <c r="AF799">
        <v>0.100490117322838</v>
      </c>
      <c r="AG799">
        <v>-1.0705509250252001</v>
      </c>
      <c r="AH799">
        <v>28.106175987075101</v>
      </c>
      <c r="AI799">
        <v>92.181300678353296</v>
      </c>
      <c r="AJ799">
        <v>89.795146978577407</v>
      </c>
      <c r="AK799">
        <v>28.126736500404601</v>
      </c>
      <c r="AL799">
        <v>94.343619273003895</v>
      </c>
      <c r="AM799">
        <v>89.006376158977602</v>
      </c>
      <c r="AN799">
        <v>0.99999997361169302</v>
      </c>
    </row>
    <row r="800" spans="1:40" x14ac:dyDescent="0.25">
      <c r="A800" t="str">
        <f>"20190303154745647"</f>
        <v>20190303154745647</v>
      </c>
      <c r="B800" t="str">
        <f>"1551599265641425"</f>
        <v>1551599265641425</v>
      </c>
      <c r="C800" t="s">
        <v>40</v>
      </c>
      <c r="D800">
        <v>5.2268480000000004</v>
      </c>
      <c r="E800">
        <v>0.49436570000000002</v>
      </c>
      <c r="F800" t="s">
        <v>41</v>
      </c>
      <c r="G800">
        <v>-279.02769999999998</v>
      </c>
      <c r="H800" s="1">
        <v>-8.4552140000000001E-7</v>
      </c>
      <c r="I800">
        <v>367.62970000000001</v>
      </c>
      <c r="J800">
        <v>-306.79079999999999</v>
      </c>
      <c r="K800">
        <v>1.070565</v>
      </c>
      <c r="L800">
        <v>367.6472</v>
      </c>
      <c r="M800">
        <v>0.99994079999999996</v>
      </c>
      <c r="N800">
        <v>-1.0591150000000001E-2</v>
      </c>
      <c r="O800">
        <v>2.5689469999999998E-3</v>
      </c>
      <c r="P800">
        <v>0.99620529999999996</v>
      </c>
      <c r="Q800">
        <v>-8.5797219999999993E-2</v>
      </c>
      <c r="R800">
        <v>-1.463481E-2</v>
      </c>
      <c r="S800">
        <v>3.0015260000000001</v>
      </c>
      <c r="T800">
        <v>-0.115079</v>
      </c>
      <c r="U800">
        <v>-1.8310550000000001E-3</v>
      </c>
      <c r="V800">
        <v>1.7193610000000002E-2</v>
      </c>
      <c r="W800">
        <v>-7.524198E-2</v>
      </c>
      <c r="X800">
        <v>0.99701709999999999</v>
      </c>
      <c r="Y800">
        <v>3.1751629999999999E-3</v>
      </c>
      <c r="Z800">
        <v>-1.4892449999999999E-4</v>
      </c>
      <c r="AA800">
        <v>0.99999490000000002</v>
      </c>
      <c r="AB800">
        <v>33</v>
      </c>
      <c r="AC800">
        <v>27.763100000000001</v>
      </c>
      <c r="AD800">
        <v>-1.0705658455214</v>
      </c>
      <c r="AE800">
        <v>-1.7499999999984001E-2</v>
      </c>
      <c r="AF800">
        <v>8.8693980039881604E-2</v>
      </c>
      <c r="AG800">
        <v>-1.0705658455214</v>
      </c>
      <c r="AH800">
        <v>27.7217431130302</v>
      </c>
      <c r="AI800">
        <v>92.211553766649402</v>
      </c>
      <c r="AJ800">
        <v>89.8166863691023</v>
      </c>
      <c r="AK800">
        <v>27.7425488929285</v>
      </c>
      <c r="AL800">
        <v>94.315125864590897</v>
      </c>
      <c r="AM800">
        <v>89.0120293329324</v>
      </c>
      <c r="AN800">
        <v>1.00000003673578</v>
      </c>
    </row>
    <row r="801" spans="1:40" x14ac:dyDescent="0.25">
      <c r="A801" t="str">
        <f>"20190303154745658"</f>
        <v>20190303154745658</v>
      </c>
      <c r="B801" t="str">
        <f>"1551599265651184"</f>
        <v>1551599265651184</v>
      </c>
      <c r="C801" t="s">
        <v>40</v>
      </c>
      <c r="D801">
        <v>5.3425409999999998</v>
      </c>
      <c r="E801">
        <v>0.49431839999999999</v>
      </c>
      <c r="F801" t="s">
        <v>41</v>
      </c>
      <c r="G801">
        <v>-278.71960000000001</v>
      </c>
      <c r="H801" s="1">
        <v>-9.48312E-7</v>
      </c>
      <c r="I801">
        <v>367.63749999999999</v>
      </c>
      <c r="J801">
        <v>-306.60939999999999</v>
      </c>
      <c r="K801">
        <v>1.0705849999999999</v>
      </c>
      <c r="L801">
        <v>367.64769999999999</v>
      </c>
      <c r="M801">
        <v>0.99993829999999995</v>
      </c>
      <c r="N801">
        <v>-1.080338E-2</v>
      </c>
      <c r="O801">
        <v>2.5764479999999998E-3</v>
      </c>
      <c r="P801">
        <v>0.99618930000000006</v>
      </c>
      <c r="Q801">
        <v>-8.5991230000000002E-2</v>
      </c>
      <c r="R801">
        <v>-1.4589690000000001E-2</v>
      </c>
      <c r="S801">
        <v>3.0015869999999998</v>
      </c>
      <c r="T801">
        <v>-0.114472699999999</v>
      </c>
      <c r="U801">
        <v>-1.037598E-3</v>
      </c>
      <c r="V801">
        <v>1.7155819999999999E-2</v>
      </c>
      <c r="W801">
        <v>-7.5224540000000006E-2</v>
      </c>
      <c r="X801">
        <v>0.99701910000000005</v>
      </c>
      <c r="Y801">
        <v>2.918595E-3</v>
      </c>
      <c r="Z801">
        <v>-1.4180209999999999E-4</v>
      </c>
      <c r="AA801">
        <v>0.99999570000000004</v>
      </c>
      <c r="AB801">
        <v>33</v>
      </c>
      <c r="AC801">
        <v>27.889799999999902</v>
      </c>
      <c r="AD801">
        <v>-1.0705859483119999</v>
      </c>
      <c r="AE801">
        <v>-1.0199999999997499E-2</v>
      </c>
      <c r="AF801">
        <v>8.1940041631526697E-2</v>
      </c>
      <c r="AG801">
        <v>-1.0705859483119999</v>
      </c>
      <c r="AH801">
        <v>27.848645963985899</v>
      </c>
      <c r="AI801">
        <v>92.201528961644996</v>
      </c>
      <c r="AJ801">
        <v>89.831417117494695</v>
      </c>
      <c r="AK801">
        <v>27.869337101383898</v>
      </c>
      <c r="AL801">
        <v>94.314123643947894</v>
      </c>
      <c r="AM801">
        <v>89.014202351232697</v>
      </c>
      <c r="AN801">
        <v>1.00000006967144</v>
      </c>
    </row>
    <row r="802" spans="1:40" x14ac:dyDescent="0.25">
      <c r="A802" t="str">
        <f>"20190303154745669"</f>
        <v>20190303154745669</v>
      </c>
      <c r="B802" t="str">
        <f>"1551599265661921"</f>
        <v>1551599265661921</v>
      </c>
      <c r="C802" t="s">
        <v>40</v>
      </c>
      <c r="D802">
        <v>5.187144</v>
      </c>
      <c r="E802">
        <v>0.49429630000000002</v>
      </c>
      <c r="F802" t="s">
        <v>41</v>
      </c>
      <c r="G802">
        <v>-278.64600000000002</v>
      </c>
      <c r="H802" s="1">
        <v>-9.7223799999999997E-7</v>
      </c>
      <c r="I802">
        <v>367.64170000000001</v>
      </c>
      <c r="J802">
        <v>-306.45269999999999</v>
      </c>
      <c r="K802">
        <v>1.0705990000000001</v>
      </c>
      <c r="L802">
        <v>367.6481</v>
      </c>
      <c r="M802">
        <v>0.9999363</v>
      </c>
      <c r="N802">
        <v>-1.098909E-2</v>
      </c>
      <c r="O802">
        <v>2.5831180000000001E-3</v>
      </c>
      <c r="P802">
        <v>0.99620410000000004</v>
      </c>
      <c r="Q802">
        <v>-8.5853810000000003E-2</v>
      </c>
      <c r="R802">
        <v>-1.4384289999999999E-2</v>
      </c>
      <c r="S802">
        <v>3.0015559999999999</v>
      </c>
      <c r="T802">
        <v>-0.1149149</v>
      </c>
      <c r="U802">
        <v>-6.408691E-4</v>
      </c>
      <c r="V802">
        <v>1.6957E-2</v>
      </c>
      <c r="W802">
        <v>-7.4901819999999994E-2</v>
      </c>
      <c r="X802">
        <v>0.99704669999999895</v>
      </c>
      <c r="Y802">
        <v>2.7931900000000001E-3</v>
      </c>
      <c r="Z802">
        <v>-1.392833E-4</v>
      </c>
      <c r="AA802">
        <v>0.99999610000000005</v>
      </c>
      <c r="AB802">
        <v>33</v>
      </c>
      <c r="AC802">
        <v>27.806699999999999</v>
      </c>
      <c r="AD802">
        <v>-1.070599972238</v>
      </c>
      <c r="AE802">
        <v>-6.39999999998508E-3</v>
      </c>
      <c r="AF802">
        <v>7.8116504716420704E-2</v>
      </c>
      <c r="AG802">
        <v>-1.070599972238</v>
      </c>
      <c r="AH802">
        <v>27.7654321450174</v>
      </c>
      <c r="AI802">
        <v>92.208150201829099</v>
      </c>
      <c r="AJ802">
        <v>89.838801924708605</v>
      </c>
      <c r="AK802">
        <v>27.786174776108201</v>
      </c>
      <c r="AL802">
        <v>94.295581257192794</v>
      </c>
      <c r="AM802">
        <v>89.025651581006201</v>
      </c>
      <c r="AN802">
        <v>0.99999997223460002</v>
      </c>
    </row>
    <row r="803" spans="1:40" x14ac:dyDescent="0.25">
      <c r="A803" t="str">
        <f>"20190303154745683"</f>
        <v>20190303154745683</v>
      </c>
      <c r="B803" t="str">
        <f>"1551599265671680"</f>
        <v>1551599265671680</v>
      </c>
      <c r="C803" t="s">
        <v>40</v>
      </c>
      <c r="D803">
        <v>5.191789</v>
      </c>
      <c r="E803">
        <v>0.49428109999999997</v>
      </c>
      <c r="F803" t="s">
        <v>41</v>
      </c>
      <c r="G803">
        <v>-278.25029999999998</v>
      </c>
      <c r="H803" s="1">
        <v>-1.1055770000000001E-6</v>
      </c>
      <c r="I803">
        <v>367.64659999999998</v>
      </c>
      <c r="J803">
        <v>-306.26710000000003</v>
      </c>
      <c r="K803">
        <v>1.0706169999999999</v>
      </c>
      <c r="L803">
        <v>367.64859999999999</v>
      </c>
      <c r="M803">
        <v>0.99993390000000004</v>
      </c>
      <c r="N803">
        <v>-1.1207740000000001E-2</v>
      </c>
      <c r="O803">
        <v>2.5910159999999998E-3</v>
      </c>
      <c r="P803">
        <v>0.99618430000000002</v>
      </c>
      <c r="Q803">
        <v>-8.6092730000000006E-2</v>
      </c>
      <c r="R803">
        <v>-1.431527E-2</v>
      </c>
      <c r="S803">
        <v>3.0016479999999999</v>
      </c>
      <c r="T803">
        <v>-0.1139462</v>
      </c>
      <c r="U803">
        <v>-1.5258789999999999E-4</v>
      </c>
      <c r="V803">
        <v>1.6896029999999999E-2</v>
      </c>
      <c r="W803">
        <v>-7.4922939999999993E-2</v>
      </c>
      <c r="X803">
        <v>0.99704619999999999</v>
      </c>
      <c r="Y803">
        <v>2.6386249999999999E-3</v>
      </c>
      <c r="Z803">
        <v>-1.3414819999999999E-4</v>
      </c>
      <c r="AA803">
        <v>0.99999649999999995</v>
      </c>
      <c r="AB803">
        <v>33</v>
      </c>
      <c r="AC803">
        <v>28.0168</v>
      </c>
      <c r="AD803">
        <v>-1.0706181055770001</v>
      </c>
      <c r="AE803">
        <v>-2.0000000000095402E-3</v>
      </c>
      <c r="AF803">
        <v>7.4487753319599601E-2</v>
      </c>
      <c r="AG803">
        <v>-1.0706181055770001</v>
      </c>
      <c r="AH803">
        <v>27.975848569314699</v>
      </c>
      <c r="AI803">
        <v>92.191596153167595</v>
      </c>
      <c r="AJ803">
        <v>89.8474461357346</v>
      </c>
      <c r="AK803">
        <v>27.9964261063196</v>
      </c>
      <c r="AL803">
        <v>94.296794531667302</v>
      </c>
      <c r="AM803">
        <v>89.0291537558154</v>
      </c>
      <c r="AN803">
        <v>1.0000000238512201</v>
      </c>
    </row>
    <row r="804" spans="1:40" x14ac:dyDescent="0.25">
      <c r="A804" t="str">
        <f>"20190303154745696"</f>
        <v>20190303154745696</v>
      </c>
      <c r="B804" t="str">
        <f>"1551599265691200"</f>
        <v>1551599265691200</v>
      </c>
      <c r="C804" t="s">
        <v>40</v>
      </c>
      <c r="D804">
        <v>5.1826230000000004</v>
      </c>
      <c r="E804">
        <v>0.49418780000000001</v>
      </c>
      <c r="F804" t="s">
        <v>41</v>
      </c>
      <c r="G804">
        <v>-278.21269999999998</v>
      </c>
      <c r="H804" s="1">
        <v>-1.117114E-6</v>
      </c>
      <c r="I804">
        <v>367.65140000000002</v>
      </c>
      <c r="J804">
        <v>-306.0634</v>
      </c>
      <c r="K804">
        <v>1.070627</v>
      </c>
      <c r="L804">
        <v>367.64909999999998</v>
      </c>
      <c r="M804">
        <v>0.99993129999999997</v>
      </c>
      <c r="N804">
        <v>-1.143916E-2</v>
      </c>
      <c r="O804">
        <v>2.5992979999999999E-3</v>
      </c>
      <c r="P804">
        <v>0.99616130000000003</v>
      </c>
      <c r="Q804">
        <v>-8.635698E-2</v>
      </c>
      <c r="R804">
        <v>-1.4329140000000001E-2</v>
      </c>
      <c r="S804">
        <v>3.0015869999999998</v>
      </c>
      <c r="T804">
        <v>-0.1145467</v>
      </c>
      <c r="U804">
        <v>3.0517579999999998E-4</v>
      </c>
      <c r="V804">
        <v>1.6917970000000001E-2</v>
      </c>
      <c r="W804">
        <v>-7.4956690000000006E-2</v>
      </c>
      <c r="X804">
        <v>0.99704329999999997</v>
      </c>
      <c r="Y804">
        <v>2.4945079999999999E-3</v>
      </c>
      <c r="Z804">
        <v>-1.3128629999999901E-4</v>
      </c>
      <c r="AA804">
        <v>0.99999689999999997</v>
      </c>
      <c r="AB804">
        <v>33</v>
      </c>
      <c r="AC804">
        <v>27.8507</v>
      </c>
      <c r="AD804">
        <v>-1.070628117114</v>
      </c>
      <c r="AE804">
        <v>2.3000000000479299E-3</v>
      </c>
      <c r="AF804">
        <v>6.9993571692808801E-2</v>
      </c>
      <c r="AG804">
        <v>-1.070628117114</v>
      </c>
      <c r="AH804">
        <v>27.809515982699399</v>
      </c>
      <c r="AI804">
        <v>92.204712925069003</v>
      </c>
      <c r="AJ804">
        <v>89.855792967219799</v>
      </c>
      <c r="AK804">
        <v>27.8302052248496</v>
      </c>
      <c r="AL804">
        <v>94.298733679462998</v>
      </c>
      <c r="AM804">
        <v>89.027890497782096</v>
      </c>
      <c r="AN804">
        <v>1.00000003257978</v>
      </c>
    </row>
    <row r="805" spans="1:40" x14ac:dyDescent="0.25">
      <c r="A805" t="str">
        <f>"20190303154745710"</f>
        <v>20190303154745710</v>
      </c>
      <c r="B805" t="str">
        <f>"1551599265701936"</f>
        <v>1551599265701936</v>
      </c>
      <c r="C805" t="s">
        <v>40</v>
      </c>
      <c r="D805">
        <v>5.2402550000000003</v>
      </c>
      <c r="E805">
        <v>0.49417250000000001</v>
      </c>
      <c r="F805" t="s">
        <v>41</v>
      </c>
      <c r="G805">
        <v>-278.30470000000003</v>
      </c>
      <c r="H805" s="1">
        <v>-1.0843299999999999E-6</v>
      </c>
      <c r="I805">
        <v>367.65699999999998</v>
      </c>
      <c r="J805">
        <v>-305.85329999999999</v>
      </c>
      <c r="K805">
        <v>1.0706389999999999</v>
      </c>
      <c r="L805">
        <v>367.6497</v>
      </c>
      <c r="M805">
        <v>0.99992859999999995</v>
      </c>
      <c r="N805">
        <v>-1.166708E-2</v>
      </c>
      <c r="O805">
        <v>2.6084039999999999E-3</v>
      </c>
      <c r="P805">
        <v>0.99615659999999895</v>
      </c>
      <c r="Q805">
        <v>-8.6386160000000004E-2</v>
      </c>
      <c r="R805">
        <v>-1.4473659999999999E-2</v>
      </c>
      <c r="S805">
        <v>3.0015559999999999</v>
      </c>
      <c r="T805">
        <v>-0.11576699999999999</v>
      </c>
      <c r="U805">
        <v>8.5449219999999995E-4</v>
      </c>
      <c r="V805">
        <v>1.7071449999999998E-2</v>
      </c>
      <c r="W805">
        <v>-7.4758660000000005E-2</v>
      </c>
      <c r="X805">
        <v>0.99705549999999998</v>
      </c>
      <c r="Y805">
        <v>2.3207079999999999E-3</v>
      </c>
      <c r="Z805">
        <v>-1.284224E-4</v>
      </c>
      <c r="AA805">
        <v>0.99999729999999998</v>
      </c>
      <c r="AB805">
        <v>33</v>
      </c>
      <c r="AC805">
        <v>27.548599999999901</v>
      </c>
      <c r="AD805">
        <v>-1.0706400843299999</v>
      </c>
      <c r="AE805">
        <v>7.2999999999865299E-3</v>
      </c>
      <c r="AF805">
        <v>6.4465422127215302E-2</v>
      </c>
      <c r="AG805">
        <v>-1.0706400843299999</v>
      </c>
      <c r="AH805">
        <v>27.506979161108699</v>
      </c>
      <c r="AI805">
        <v>92.228963067558595</v>
      </c>
      <c r="AJ805">
        <v>89.865721719986695</v>
      </c>
      <c r="AK805">
        <v>27.5278827473253</v>
      </c>
      <c r="AL805">
        <v>94.287355694077206</v>
      </c>
      <c r="AM805">
        <v>89.019085225992498</v>
      </c>
      <c r="AN805">
        <v>0.99999998086517305</v>
      </c>
    </row>
    <row r="806" spans="1:40" x14ac:dyDescent="0.25">
      <c r="A806" t="str">
        <f>"20190303154745725"</f>
        <v>20190303154745725</v>
      </c>
      <c r="B806" t="str">
        <f>"1551599265721388"</f>
        <v>1551599265721388</v>
      </c>
      <c r="C806" t="s">
        <v>40</v>
      </c>
      <c r="D806">
        <v>5.1928029999999996</v>
      </c>
      <c r="E806">
        <v>0.49410779999999899</v>
      </c>
      <c r="F806" t="s">
        <v>41</v>
      </c>
      <c r="G806">
        <v>-278.19119999999998</v>
      </c>
      <c r="H806" s="1">
        <v>-1.1231000000000001E-6</v>
      </c>
      <c r="I806">
        <v>367.65629999999999</v>
      </c>
      <c r="J806">
        <v>-305.63990000000001</v>
      </c>
      <c r="K806">
        <v>1.0706549999999999</v>
      </c>
      <c r="L806">
        <v>367.65019999999998</v>
      </c>
      <c r="M806">
        <v>0.99992599999999998</v>
      </c>
      <c r="N806">
        <v>-1.188882E-2</v>
      </c>
      <c r="O806">
        <v>2.6175209999999998E-3</v>
      </c>
      <c r="P806">
        <v>0.9961603</v>
      </c>
      <c r="Q806">
        <v>-8.6311869999999999E-2</v>
      </c>
      <c r="R806">
        <v>-1.467153E-2</v>
      </c>
      <c r="S806">
        <v>3.0015260000000001</v>
      </c>
      <c r="T806">
        <v>-0.11617139999999999</v>
      </c>
      <c r="U806">
        <v>7.3242190000000001E-4</v>
      </c>
      <c r="V806">
        <v>1.7278430000000001E-2</v>
      </c>
      <c r="W806">
        <v>-7.4463260000000003E-2</v>
      </c>
      <c r="X806">
        <v>0.99707409999999996</v>
      </c>
      <c r="Y806">
        <v>2.3704289999999999E-3</v>
      </c>
      <c r="Z806">
        <v>-1.301122E-4</v>
      </c>
      <c r="AA806">
        <v>0.99999720000000003</v>
      </c>
      <c r="AB806">
        <v>33</v>
      </c>
      <c r="AC806">
        <v>27.448699999999999</v>
      </c>
      <c r="AD806">
        <v>-1.07065612309999</v>
      </c>
      <c r="AE806">
        <v>6.1000000000035401E-3</v>
      </c>
      <c r="AF806">
        <v>6.5652753409906103E-2</v>
      </c>
      <c r="AG806">
        <v>-1.07065612309999</v>
      </c>
      <c r="AH806">
        <v>27.4069237798473</v>
      </c>
      <c r="AI806">
        <v>92.237125369676093</v>
      </c>
      <c r="AJ806">
        <v>89.862749335938005</v>
      </c>
      <c r="AK806">
        <v>27.427907063651901</v>
      </c>
      <c r="AL806">
        <v>94.270382955787497</v>
      </c>
      <c r="AM806">
        <v>89.007213168279407</v>
      </c>
      <c r="AN806">
        <v>1.0000000410619501</v>
      </c>
    </row>
    <row r="807" spans="1:40" x14ac:dyDescent="0.25">
      <c r="A807" t="str">
        <f>"20190303154745736"</f>
        <v>20190303154745736</v>
      </c>
      <c r="B807" t="str">
        <f>"1551599265731147"</f>
        <v>1551599265731147</v>
      </c>
      <c r="C807" t="s">
        <v>40</v>
      </c>
      <c r="D807">
        <v>5.2099359999999999</v>
      </c>
      <c r="E807">
        <v>0.49406539999999999</v>
      </c>
      <c r="F807" t="s">
        <v>41</v>
      </c>
      <c r="G807">
        <v>-278.2022</v>
      </c>
      <c r="H807" s="1">
        <v>-1.1199799999999999E-6</v>
      </c>
      <c r="I807">
        <v>367.65410000000003</v>
      </c>
      <c r="J807">
        <v>-305.47629999999998</v>
      </c>
      <c r="K807">
        <v>1.070662</v>
      </c>
      <c r="L807">
        <v>367.65069999999997</v>
      </c>
      <c r="M807">
        <v>0.99992409999999998</v>
      </c>
      <c r="N807">
        <v>-1.204991E-2</v>
      </c>
      <c r="O807">
        <v>2.6243E-3</v>
      </c>
      <c r="P807">
        <v>0.99615779999999998</v>
      </c>
      <c r="Q807">
        <v>-8.6327429999999997E-2</v>
      </c>
      <c r="R807">
        <v>-1.475418E-2</v>
      </c>
      <c r="S807">
        <v>3.001404</v>
      </c>
      <c r="T807">
        <v>-0.1171184</v>
      </c>
      <c r="U807">
        <v>4.2724609999999998E-4</v>
      </c>
      <c r="V807">
        <v>1.7367730000000001E-2</v>
      </c>
      <c r="W807">
        <v>-7.4318220000000004E-2</v>
      </c>
      <c r="X807">
        <v>0.99708330000000001</v>
      </c>
      <c r="Y807">
        <v>2.478718E-3</v>
      </c>
      <c r="Z807">
        <v>-1.3403379999999901E-4</v>
      </c>
      <c r="AA807">
        <v>0.99999689999999997</v>
      </c>
      <c r="AB807">
        <v>33</v>
      </c>
      <c r="AC807">
        <v>27.274099999999901</v>
      </c>
      <c r="AD807">
        <v>-1.0706631199799901</v>
      </c>
      <c r="AE807">
        <v>3.4000000000560201E-3</v>
      </c>
      <c r="AF807">
        <v>6.8075713601007407E-2</v>
      </c>
      <c r="AG807">
        <v>-1.0706631199799901</v>
      </c>
      <c r="AH807">
        <v>27.232050191424701</v>
      </c>
      <c r="AI807">
        <v>92.251490701810297</v>
      </c>
      <c r="AJ807">
        <v>89.856770132090404</v>
      </c>
      <c r="AK807">
        <v>27.253174337084801</v>
      </c>
      <c r="AL807">
        <v>94.2620499831975</v>
      </c>
      <c r="AM807">
        <v>89.002092395163899</v>
      </c>
      <c r="AN807">
        <v>0.99999997150410502</v>
      </c>
    </row>
    <row r="808" spans="1:40" x14ac:dyDescent="0.25">
      <c r="A808" t="str">
        <f>"20190303154745747"</f>
        <v>20190303154745747</v>
      </c>
      <c r="B808" t="str">
        <f>"1551599265741884"</f>
        <v>1551599265741884</v>
      </c>
      <c r="C808" t="s">
        <v>40</v>
      </c>
      <c r="D808">
        <v>5.2579630000000002</v>
      </c>
      <c r="E808">
        <v>0.49411850000000002</v>
      </c>
      <c r="F808" t="s">
        <v>41</v>
      </c>
      <c r="G808">
        <v>-278.20819999999998</v>
      </c>
      <c r="H808" s="1">
        <v>-1.1173680000000001E-6</v>
      </c>
      <c r="I808">
        <v>367.65609999999998</v>
      </c>
      <c r="J808">
        <v>-305.3073</v>
      </c>
      <c r="K808">
        <v>1.070667</v>
      </c>
      <c r="L808">
        <v>367.65109999999999</v>
      </c>
      <c r="M808">
        <v>0.99992199999999998</v>
      </c>
      <c r="N808">
        <v>-1.220769E-2</v>
      </c>
      <c r="O808">
        <v>2.6316220000000001E-3</v>
      </c>
      <c r="P808">
        <v>0.99616700000000002</v>
      </c>
      <c r="Q808">
        <v>-8.6179729999999996E-2</v>
      </c>
      <c r="R808">
        <v>-1.4976369999999999E-2</v>
      </c>
      <c r="S808">
        <v>3.0013730000000001</v>
      </c>
      <c r="T808">
        <v>-0.117846699999999</v>
      </c>
      <c r="U808">
        <v>6.1035159999999996E-4</v>
      </c>
      <c r="V808">
        <v>1.75973E-2</v>
      </c>
      <c r="W808">
        <v>-7.4013120000000002E-2</v>
      </c>
      <c r="X808">
        <v>0.99710200000000004</v>
      </c>
      <c r="Y808">
        <v>2.4250489999999999E-3</v>
      </c>
      <c r="Z808">
        <v>-1.3357080000000001E-4</v>
      </c>
      <c r="AA808">
        <v>0.99999709999999997</v>
      </c>
      <c r="AB808">
        <v>33</v>
      </c>
      <c r="AC808">
        <v>27.0991</v>
      </c>
      <c r="AD808">
        <v>-1.0706681173679999</v>
      </c>
      <c r="AE808">
        <v>4.9999999999954499E-3</v>
      </c>
      <c r="AF808">
        <v>6.6216557676009799E-2</v>
      </c>
      <c r="AG808">
        <v>-1.0706681173679999</v>
      </c>
      <c r="AH808">
        <v>27.056783951895799</v>
      </c>
      <c r="AI808">
        <v>92.266070930289104</v>
      </c>
      <c r="AJ808">
        <v>89.859779280453907</v>
      </c>
      <c r="AK808">
        <v>27.078040414136701</v>
      </c>
      <c r="AL808">
        <v>94.244520631225797</v>
      </c>
      <c r="AM808">
        <v>88.988923539214099</v>
      </c>
      <c r="AN808">
        <v>1.00000000265171</v>
      </c>
    </row>
    <row r="809" spans="1:40" x14ac:dyDescent="0.25">
      <c r="A809" t="str">
        <f>"20190303154745758"</f>
        <v>20190303154745758</v>
      </c>
      <c r="B809" t="str">
        <f>"1551599265751644"</f>
        <v>1551599265751644</v>
      </c>
      <c r="C809" t="s">
        <v>40</v>
      </c>
      <c r="D809">
        <v>5.3124820000000001</v>
      </c>
      <c r="E809">
        <v>0.49422719999999998</v>
      </c>
      <c r="F809" t="s">
        <v>41</v>
      </c>
      <c r="G809">
        <v>-277.9384</v>
      </c>
      <c r="H809" s="1">
        <v>-1.2159549999999999E-6</v>
      </c>
      <c r="I809">
        <v>367.64769999999999</v>
      </c>
      <c r="J809">
        <v>-305.14330000000001</v>
      </c>
      <c r="K809">
        <v>1.070675</v>
      </c>
      <c r="L809">
        <v>367.65159999999997</v>
      </c>
      <c r="M809">
        <v>0.99992029999999998</v>
      </c>
      <c r="N809">
        <v>-1.2355639999999999E-2</v>
      </c>
      <c r="O809">
        <v>2.6385760000000001E-3</v>
      </c>
      <c r="P809">
        <v>0.99615989999999999</v>
      </c>
      <c r="Q809">
        <v>-8.6216169999999995E-2</v>
      </c>
      <c r="R809">
        <v>-1.524326E-2</v>
      </c>
      <c r="S809">
        <v>3.0013730000000001</v>
      </c>
      <c r="T809">
        <v>-0.1174129</v>
      </c>
      <c r="U809">
        <v>-3.6621089999999999E-4</v>
      </c>
      <c r="V809">
        <v>1.7871229999999998E-2</v>
      </c>
      <c r="W809">
        <v>-7.3902109999999993E-2</v>
      </c>
      <c r="X809">
        <v>0.99710540000000003</v>
      </c>
      <c r="Y809">
        <v>2.7570709999999998E-3</v>
      </c>
      <c r="Z809">
        <v>-1.4153599999999999E-4</v>
      </c>
      <c r="AA809">
        <v>0.9999962</v>
      </c>
      <c r="AB809">
        <v>33</v>
      </c>
      <c r="AC809">
        <v>27.204899999999999</v>
      </c>
      <c r="AD809">
        <v>-1.0706762159550001</v>
      </c>
      <c r="AE809">
        <v>-3.8999999999873498E-3</v>
      </c>
      <c r="AF809">
        <v>7.5570603261316302E-2</v>
      </c>
      <c r="AG809">
        <v>-1.0706762159550001</v>
      </c>
      <c r="AH809">
        <v>27.1627227818264</v>
      </c>
      <c r="AI809">
        <v>92.257257144301704</v>
      </c>
      <c r="AJ809">
        <v>89.840595308304998</v>
      </c>
      <c r="AK809">
        <v>27.183921118886499</v>
      </c>
      <c r="AL809">
        <v>94.2381425986067</v>
      </c>
      <c r="AM809">
        <v>88.973191368318993</v>
      </c>
      <c r="AN809">
        <v>1.00000004071666</v>
      </c>
    </row>
    <row r="810" spans="1:40" x14ac:dyDescent="0.25">
      <c r="A810" t="str">
        <f>"20190303154745770"</f>
        <v>20190303154745770</v>
      </c>
      <c r="B810" t="str">
        <f>"1551599265761404"</f>
        <v>1551599265761404</v>
      </c>
      <c r="C810" t="s">
        <v>40</v>
      </c>
      <c r="D810">
        <v>5.2051610000000004</v>
      </c>
      <c r="E810">
        <v>0.49419999999999997</v>
      </c>
      <c r="F810" t="s">
        <v>41</v>
      </c>
      <c r="G810">
        <v>-277.84140000000002</v>
      </c>
      <c r="H810" s="1">
        <v>-1.2600170000000001E-6</v>
      </c>
      <c r="I810">
        <v>367.63380000000001</v>
      </c>
      <c r="J810">
        <v>-304.98309999999998</v>
      </c>
      <c r="K810">
        <v>1.0706739999999999</v>
      </c>
      <c r="L810">
        <v>367.65199999999999</v>
      </c>
      <c r="M810">
        <v>0.99991870000000005</v>
      </c>
      <c r="N810">
        <v>-1.2488910000000001E-2</v>
      </c>
      <c r="O810">
        <v>2.6450169999999999E-3</v>
      </c>
      <c r="P810">
        <v>0.99616280000000001</v>
      </c>
      <c r="Q810">
        <v>-8.6196460000000003E-2</v>
      </c>
      <c r="R810">
        <v>-1.5182930000000001E-2</v>
      </c>
      <c r="S810">
        <v>3.001312</v>
      </c>
      <c r="T810">
        <v>-0.1176996</v>
      </c>
      <c r="U810">
        <v>-1.953125E-3</v>
      </c>
      <c r="V810">
        <v>1.7817099999999999E-2</v>
      </c>
      <c r="W810">
        <v>-7.3749469999999998E-2</v>
      </c>
      <c r="X810">
        <v>0.99711760000000005</v>
      </c>
      <c r="Y810">
        <v>3.2916970000000001E-3</v>
      </c>
      <c r="Z810">
        <v>-1.557462E-4</v>
      </c>
      <c r="AA810">
        <v>0.99999459999999996</v>
      </c>
      <c r="AB810">
        <v>33</v>
      </c>
      <c r="AC810">
        <v>27.141699999999901</v>
      </c>
      <c r="AD810">
        <v>-1.070675260017</v>
      </c>
      <c r="AE810">
        <v>-1.81999999999789E-2</v>
      </c>
      <c r="AF810">
        <v>8.9855954014423201E-2</v>
      </c>
      <c r="AG810">
        <v>-1.070675260017</v>
      </c>
      <c r="AH810">
        <v>27.099387178711499</v>
      </c>
      <c r="AI810">
        <v>92.262521543746999</v>
      </c>
      <c r="AJ810">
        <v>89.810019760688903</v>
      </c>
      <c r="AK810">
        <v>27.120678550998601</v>
      </c>
      <c r="AL810">
        <v>94.229373336615197</v>
      </c>
      <c r="AM810">
        <v>88.976313319021202</v>
      </c>
      <c r="AN810">
        <v>0.99999997080372505</v>
      </c>
    </row>
    <row r="811" spans="1:40" x14ac:dyDescent="0.25">
      <c r="A811" t="str">
        <f>"20190303154745781"</f>
        <v>20190303154745781</v>
      </c>
      <c r="B811" t="str">
        <f>"1551599265771164"</f>
        <v>1551599265771164</v>
      </c>
      <c r="C811" t="s">
        <v>40</v>
      </c>
      <c r="D811">
        <v>5.2124920000000001</v>
      </c>
      <c r="E811">
        <v>0.49415490000000001</v>
      </c>
      <c r="F811" t="s">
        <v>41</v>
      </c>
      <c r="G811">
        <v>-277.87119999999999</v>
      </c>
      <c r="H811" s="1">
        <v>-1.2464329999999999E-6</v>
      </c>
      <c r="I811">
        <v>367.63839999999999</v>
      </c>
      <c r="J811">
        <v>-304.81200000000001</v>
      </c>
      <c r="K811">
        <v>1.0706739999999999</v>
      </c>
      <c r="L811">
        <v>367.6524</v>
      </c>
      <c r="M811">
        <v>0.9999169</v>
      </c>
      <c r="N811">
        <v>-1.2627930000000001E-2</v>
      </c>
      <c r="O811">
        <v>2.6520699999999999E-3</v>
      </c>
      <c r="P811">
        <v>0.99614349999999996</v>
      </c>
      <c r="Q811">
        <v>-8.6446519999999999E-2</v>
      </c>
      <c r="R811">
        <v>-1.502439E-2</v>
      </c>
      <c r="S811">
        <v>3.0012819999999998</v>
      </c>
      <c r="T811">
        <v>-0.1185229</v>
      </c>
      <c r="U811">
        <v>-1.495361E-3</v>
      </c>
      <c r="V811">
        <v>1.7665469999999999E-2</v>
      </c>
      <c r="W811">
        <v>-7.3861120000000002E-2</v>
      </c>
      <c r="X811">
        <v>0.997112</v>
      </c>
      <c r="Y811">
        <v>3.1463260000000001E-3</v>
      </c>
      <c r="Z811">
        <v>-1.531867E-4</v>
      </c>
      <c r="AA811">
        <v>0.99999510000000003</v>
      </c>
      <c r="AB811">
        <v>33</v>
      </c>
      <c r="AC811">
        <v>26.940799999999999</v>
      </c>
      <c r="AD811">
        <v>-1.0706752464329901</v>
      </c>
      <c r="AE811">
        <v>-1.4000000000009999E-2</v>
      </c>
      <c r="AF811">
        <v>8.53197700237667E-2</v>
      </c>
      <c r="AG811">
        <v>-1.0706752464329901</v>
      </c>
      <c r="AH811">
        <v>26.898184891127102</v>
      </c>
      <c r="AI811">
        <v>92.279428777948496</v>
      </c>
      <c r="AJ811">
        <v>89.818261107337193</v>
      </c>
      <c r="AK811">
        <v>26.919620639669901</v>
      </c>
      <c r="AL811">
        <v>94.235788047785704</v>
      </c>
      <c r="AM811">
        <v>88.985017735488697</v>
      </c>
      <c r="AN811">
        <v>0.99999993721098501</v>
      </c>
    </row>
    <row r="812" spans="1:40" x14ac:dyDescent="0.25">
      <c r="A812" t="str">
        <f>"20190303154745791"</f>
        <v>20190303154745791</v>
      </c>
      <c r="B812" t="str">
        <f>"1551599265781900"</f>
        <v>1551599265781900</v>
      </c>
      <c r="C812" t="s">
        <v>40</v>
      </c>
      <c r="D812">
        <v>5.2042599999999997</v>
      </c>
      <c r="E812">
        <v>0.49413760000000001</v>
      </c>
      <c r="F812" t="s">
        <v>41</v>
      </c>
      <c r="G812">
        <v>-278.05200000000002</v>
      </c>
      <c r="H812" s="1">
        <v>-1.1727509999999999E-6</v>
      </c>
      <c r="I812">
        <v>367.64769999999999</v>
      </c>
      <c r="J812">
        <v>-304.6533</v>
      </c>
      <c r="K812">
        <v>1.070675</v>
      </c>
      <c r="L812">
        <v>367.65289999999999</v>
      </c>
      <c r="M812">
        <v>0.99991540000000001</v>
      </c>
      <c r="N812">
        <v>-1.274493E-2</v>
      </c>
      <c r="O812">
        <v>2.6583610000000001E-3</v>
      </c>
      <c r="P812">
        <v>0.99612900000000004</v>
      </c>
      <c r="Q812">
        <v>-8.6650710000000006E-2</v>
      </c>
      <c r="R812">
        <v>-1.4797070000000001E-2</v>
      </c>
      <c r="S812">
        <v>3.0011899999999998</v>
      </c>
      <c r="T812">
        <v>-0.1200783</v>
      </c>
      <c r="U812">
        <v>-5.1879879999999995E-4</v>
      </c>
      <c r="V812">
        <v>1.7444600000000001E-2</v>
      </c>
      <c r="W812">
        <v>-7.394879E-2</v>
      </c>
      <c r="X812">
        <v>0.99710949999999998</v>
      </c>
      <c r="Y812">
        <v>2.8274699999999999E-3</v>
      </c>
      <c r="Z812">
        <v>-1.4701570000000001E-4</v>
      </c>
      <c r="AA812">
        <v>0.999996</v>
      </c>
      <c r="AB812">
        <v>33</v>
      </c>
      <c r="AC812">
        <v>26.601299999999899</v>
      </c>
      <c r="AD812">
        <v>-1.0706761727509999</v>
      </c>
      <c r="AE812">
        <v>-5.2000000000020901E-3</v>
      </c>
      <c r="AF812">
        <v>7.5798780469362004E-2</v>
      </c>
      <c r="AG812">
        <v>-1.0706761727509999</v>
      </c>
      <c r="AH812">
        <v>26.558168376659602</v>
      </c>
      <c r="AI812">
        <v>92.308584470746098</v>
      </c>
      <c r="AJ812">
        <v>89.836474475216804</v>
      </c>
      <c r="AK812">
        <v>26.579849518855902</v>
      </c>
      <c r="AL812">
        <v>94.240824480068099</v>
      </c>
      <c r="AM812">
        <v>88.997702862280406</v>
      </c>
      <c r="AN812">
        <v>1.00000004630093</v>
      </c>
    </row>
    <row r="813" spans="1:40" x14ac:dyDescent="0.25">
      <c r="A813" t="str">
        <f>"20190303154745803"</f>
        <v>20190303154745803</v>
      </c>
      <c r="B813" t="str">
        <f>"1551599265801420"</f>
        <v>1551599265801420</v>
      </c>
      <c r="C813" t="s">
        <v>40</v>
      </c>
      <c r="D813">
        <v>5.205927</v>
      </c>
      <c r="E813">
        <v>0.49410280000000001</v>
      </c>
      <c r="F813" t="s">
        <v>41</v>
      </c>
      <c r="G813">
        <v>-278.17930000000001</v>
      </c>
      <c r="H813" s="1">
        <v>-1.1279560000000001E-6</v>
      </c>
      <c r="I813">
        <v>367.6533</v>
      </c>
      <c r="J813">
        <v>-304.48790000000002</v>
      </c>
      <c r="K813">
        <v>1.0706719999999901</v>
      </c>
      <c r="L813">
        <v>367.6533</v>
      </c>
      <c r="M813">
        <v>0.99991379999999996</v>
      </c>
      <c r="N813">
        <v>-1.286255E-2</v>
      </c>
      <c r="O813">
        <v>2.6648800000000001E-3</v>
      </c>
      <c r="P813">
        <v>0.99611539999999998</v>
      </c>
      <c r="Q813">
        <v>-8.6839990000000006E-2</v>
      </c>
      <c r="R813">
        <v>-1.460199E-2</v>
      </c>
      <c r="S813">
        <v>3.001099</v>
      </c>
      <c r="T813">
        <v>-0.1213719</v>
      </c>
      <c r="U813" s="1">
        <v>6.1035159999999999E-5</v>
      </c>
      <c r="V813">
        <v>1.725604E-2</v>
      </c>
      <c r="W813">
        <v>-7.4020929999999999E-2</v>
      </c>
      <c r="X813">
        <v>0.99710739999999998</v>
      </c>
      <c r="Y813">
        <v>2.6409039999999999E-3</v>
      </c>
      <c r="Z813">
        <v>-1.43836E-4</v>
      </c>
      <c r="AA813">
        <v>0.99999649999999995</v>
      </c>
      <c r="AB813">
        <v>33</v>
      </c>
      <c r="AC813">
        <v>26.308599999999998</v>
      </c>
      <c r="AD813">
        <v>-1.07067312795599</v>
      </c>
      <c r="AE813">
        <v>0</v>
      </c>
      <c r="AF813">
        <v>6.9999122872160202E-2</v>
      </c>
      <c r="AG813">
        <v>-1.07067312795599</v>
      </c>
      <c r="AH813">
        <v>26.265005909372501</v>
      </c>
      <c r="AI813">
        <v>92.334318465946794</v>
      </c>
      <c r="AJ813">
        <v>89.847300821921195</v>
      </c>
      <c r="AK813">
        <v>26.286912641911801</v>
      </c>
      <c r="AL813">
        <v>94.244969276538995</v>
      </c>
      <c r="AM813">
        <v>89.008532505683903</v>
      </c>
      <c r="AN813">
        <v>1.00000001806465</v>
      </c>
    </row>
    <row r="814" spans="1:40" x14ac:dyDescent="0.25">
      <c r="A814" t="str">
        <f>"20190303154745816"</f>
        <v>20190303154745816</v>
      </c>
      <c r="B814" t="str">
        <f>"1551599265811180"</f>
        <v>1551599265811180</v>
      </c>
      <c r="C814" t="s">
        <v>40</v>
      </c>
      <c r="D814">
        <v>5.2093119999999997</v>
      </c>
      <c r="E814">
        <v>0.49410419999999999</v>
      </c>
      <c r="F814" t="s">
        <v>41</v>
      </c>
      <c r="G814">
        <v>-278.45170000000002</v>
      </c>
      <c r="H814" s="1">
        <v>-1.0328169999999999E-6</v>
      </c>
      <c r="I814">
        <v>367.66250000000002</v>
      </c>
      <c r="J814">
        <v>-304.2955</v>
      </c>
      <c r="K814">
        <v>1.070668</v>
      </c>
      <c r="L814">
        <v>367.65379999999999</v>
      </c>
      <c r="M814">
        <v>0.99991229999999998</v>
      </c>
      <c r="N814">
        <v>-1.2985389999999999E-2</v>
      </c>
      <c r="O814">
        <v>2.6724880000000002E-3</v>
      </c>
      <c r="P814">
        <v>0.99609429999999999</v>
      </c>
      <c r="Q814">
        <v>-8.7112590000000004E-2</v>
      </c>
      <c r="R814">
        <v>-1.4422910000000001E-2</v>
      </c>
      <c r="S814">
        <v>3.0009769999999998</v>
      </c>
      <c r="T814">
        <v>-0.1234069</v>
      </c>
      <c r="U814">
        <v>1.0681149999999999E-3</v>
      </c>
      <c r="V814">
        <v>1.7084390000000001E-2</v>
      </c>
      <c r="W814">
        <v>-7.4171260000000003E-2</v>
      </c>
      <c r="X814">
        <v>0.99709919999999996</v>
      </c>
      <c r="Y814">
        <v>2.3131620000000001E-3</v>
      </c>
      <c r="Z814">
        <v>-1.377262E-4</v>
      </c>
      <c r="AA814">
        <v>0.99999729999999998</v>
      </c>
      <c r="AB814">
        <v>33</v>
      </c>
      <c r="AC814">
        <v>25.843799999999899</v>
      </c>
      <c r="AD814">
        <v>-1.0706690328170001</v>
      </c>
      <c r="AE814">
        <v>8.7000000000330095E-3</v>
      </c>
      <c r="AF814">
        <v>6.0269645605634498E-2</v>
      </c>
      <c r="AG814">
        <v>-1.0706690328170001</v>
      </c>
      <c r="AH814">
        <v>25.799450890989998</v>
      </c>
      <c r="AI814">
        <v>92.376386607689994</v>
      </c>
      <c r="AJ814">
        <v>89.866152575925895</v>
      </c>
      <c r="AK814">
        <v>25.821727883405099</v>
      </c>
      <c r="AL814">
        <v>94.253606227747497</v>
      </c>
      <c r="AM814">
        <v>89.018384862022103</v>
      </c>
      <c r="AN814">
        <v>1.0000000334161401</v>
      </c>
    </row>
    <row r="815" spans="1:40" x14ac:dyDescent="0.25">
      <c r="A815" t="str">
        <f>"20190303154745830"</f>
        <v>20190303154745830</v>
      </c>
      <c r="B815" t="str">
        <f>"1551599265821446"</f>
        <v>1551599265821446</v>
      </c>
      <c r="C815" t="s">
        <v>40</v>
      </c>
      <c r="D815">
        <v>5.2465590000000004</v>
      </c>
      <c r="E815">
        <v>0.49412620000000002</v>
      </c>
      <c r="F815" t="s">
        <v>41</v>
      </c>
      <c r="G815">
        <v>-278.54289999999997</v>
      </c>
      <c r="H815" s="1">
        <v>-1.0003430000000001E-6</v>
      </c>
      <c r="I815">
        <v>367.66789999999997</v>
      </c>
      <c r="J815">
        <v>-304.10430000000002</v>
      </c>
      <c r="K815">
        <v>1.0706629999999999</v>
      </c>
      <c r="L815">
        <v>367.65440000000001</v>
      </c>
      <c r="M815">
        <v>0.99991070000000004</v>
      </c>
      <c r="N815">
        <v>-1.3089419999999999E-2</v>
      </c>
      <c r="O815">
        <v>2.6803909999999999E-3</v>
      </c>
      <c r="P815">
        <v>0.99605200000000005</v>
      </c>
      <c r="Q815">
        <v>-8.7637569999999998E-2</v>
      </c>
      <c r="R815">
        <v>-1.413152E-2</v>
      </c>
      <c r="S815">
        <v>3.0009160000000001</v>
      </c>
      <c r="T815">
        <v>-0.1247631</v>
      </c>
      <c r="U815">
        <v>1.6479489999999999E-3</v>
      </c>
      <c r="V815">
        <v>1.6800969999999998E-2</v>
      </c>
      <c r="W815">
        <v>-7.4593030000000005E-2</v>
      </c>
      <c r="X815">
        <v>0.99707250000000003</v>
      </c>
      <c r="Y815">
        <v>2.127969E-3</v>
      </c>
      <c r="Z815">
        <v>-1.3446469999999999E-4</v>
      </c>
      <c r="AA815">
        <v>0.99999769999999999</v>
      </c>
      <c r="AB815">
        <v>33</v>
      </c>
      <c r="AC815">
        <v>25.561399999999999</v>
      </c>
      <c r="AD815">
        <v>-1.0706640003429999</v>
      </c>
      <c r="AE815">
        <v>1.3499999999964899E-2</v>
      </c>
      <c r="AF815">
        <v>5.4924107006329097E-2</v>
      </c>
      <c r="AG815">
        <v>-1.0706640003429999</v>
      </c>
      <c r="AH815">
        <v>25.516577201923901</v>
      </c>
      <c r="AI815">
        <v>92.402689945525594</v>
      </c>
      <c r="AJ815">
        <v>89.876671755776798</v>
      </c>
      <c r="AK815">
        <v>25.5390886713074</v>
      </c>
      <c r="AL815">
        <v>94.277839219947694</v>
      </c>
      <c r="AM815">
        <v>89.034640328154097</v>
      </c>
      <c r="AN815">
        <v>0.99999998148688496</v>
      </c>
    </row>
    <row r="816" spans="1:40" x14ac:dyDescent="0.25">
      <c r="A816" t="str">
        <f>"20190303154745840"</f>
        <v>20190303154745840</v>
      </c>
      <c r="B816" t="str">
        <f>"1551599265831207"</f>
        <v>1551599265831207</v>
      </c>
      <c r="C816" t="s">
        <v>40</v>
      </c>
      <c r="D816">
        <v>5.2159969999999998</v>
      </c>
      <c r="E816">
        <v>0.49410680000000001</v>
      </c>
      <c r="F816" t="s">
        <v>41</v>
      </c>
      <c r="G816">
        <v>-278.79770000000002</v>
      </c>
      <c r="H816" s="1">
        <v>-9.1176090000000004E-7</v>
      </c>
      <c r="I816">
        <v>367.67489999999998</v>
      </c>
      <c r="J816">
        <v>-303.94009999999997</v>
      </c>
      <c r="K816">
        <v>1.0706580000000001</v>
      </c>
      <c r="L816">
        <v>367.65480000000002</v>
      </c>
      <c r="M816">
        <v>0.99990959999999995</v>
      </c>
      <c r="N816">
        <v>-1.3170980000000001E-2</v>
      </c>
      <c r="O816">
        <v>2.6870650000000002E-3</v>
      </c>
      <c r="P816">
        <v>0.99605460000000001</v>
      </c>
      <c r="Q816">
        <v>-8.763427E-2</v>
      </c>
      <c r="R816">
        <v>-1.397456E-2</v>
      </c>
      <c r="S816">
        <v>3.0007630000000001</v>
      </c>
      <c r="T816">
        <v>-0.12695499999999901</v>
      </c>
      <c r="U816">
        <v>2.4414060000000001E-3</v>
      </c>
      <c r="V816">
        <v>1.6650580000000002E-2</v>
      </c>
      <c r="W816">
        <v>-7.4508340000000006E-2</v>
      </c>
      <c r="X816">
        <v>0.99708140000000001</v>
      </c>
      <c r="Y816">
        <v>1.8703719999999999E-3</v>
      </c>
      <c r="Z816">
        <v>-1.3012319999999999E-4</v>
      </c>
      <c r="AA816">
        <v>0.99999830000000001</v>
      </c>
      <c r="AB816">
        <v>33</v>
      </c>
      <c r="AC816">
        <v>25.142399999999899</v>
      </c>
      <c r="AD816">
        <v>-1.07065891176089</v>
      </c>
      <c r="AE816">
        <v>2.0099999999956701E-2</v>
      </c>
      <c r="AF816">
        <v>4.7379282991062401E-2</v>
      </c>
      <c r="AG816">
        <v>-1.07065891176089</v>
      </c>
      <c r="AH816">
        <v>25.096853129518099</v>
      </c>
      <c r="AI816">
        <v>92.442814373822102</v>
      </c>
      <c r="AJ816">
        <v>89.891833860095801</v>
      </c>
      <c r="AK816">
        <v>25.1197251638308</v>
      </c>
      <c r="AL816">
        <v>94.272973107326393</v>
      </c>
      <c r="AM816">
        <v>89.043288446904199</v>
      </c>
      <c r="AN816">
        <v>1.00000002638492</v>
      </c>
    </row>
    <row r="817" spans="1:40" x14ac:dyDescent="0.25">
      <c r="A817" t="str">
        <f>"20190303154745852"</f>
        <v>20190303154745852</v>
      </c>
      <c r="B817" t="str">
        <f>"1551599265841943"</f>
        <v>1551599265841943</v>
      </c>
      <c r="C817" t="s">
        <v>40</v>
      </c>
      <c r="D817">
        <v>5.228192</v>
      </c>
      <c r="E817">
        <v>0.49411919999999998</v>
      </c>
      <c r="F817" t="s">
        <v>41</v>
      </c>
      <c r="G817">
        <v>-278.8338</v>
      </c>
      <c r="H817" s="1">
        <v>-8.98398E-7</v>
      </c>
      <c r="I817">
        <v>367.67899999999997</v>
      </c>
      <c r="J817">
        <v>-303.77199999999999</v>
      </c>
      <c r="K817">
        <v>1.070646</v>
      </c>
      <c r="L817">
        <v>367.65519999999998</v>
      </c>
      <c r="M817">
        <v>0.9999091</v>
      </c>
      <c r="N817">
        <v>-1.3219659999999999E-2</v>
      </c>
      <c r="O817">
        <v>2.6938349999999999E-3</v>
      </c>
      <c r="P817">
        <v>0.99605069999999996</v>
      </c>
      <c r="Q817">
        <v>-8.7712360000000003E-2</v>
      </c>
      <c r="R817">
        <v>-1.377946E-2</v>
      </c>
      <c r="S817">
        <v>3.0006710000000001</v>
      </c>
      <c r="T817">
        <v>-0.1279633</v>
      </c>
      <c r="U817">
        <v>2.89917E-3</v>
      </c>
      <c r="V817">
        <v>1.6462230000000001E-2</v>
      </c>
      <c r="W817">
        <v>-7.4537930000000002E-2</v>
      </c>
      <c r="X817">
        <v>0.99708229999999998</v>
      </c>
      <c r="Y817">
        <v>1.7246799999999999E-3</v>
      </c>
      <c r="Z817">
        <v>-1.2738879999999901E-4</v>
      </c>
      <c r="AA817">
        <v>0.99999850000000001</v>
      </c>
      <c r="AB817">
        <v>33</v>
      </c>
      <c r="AC817">
        <v>24.938199999999899</v>
      </c>
      <c r="AD817">
        <v>-1.070646898398</v>
      </c>
      <c r="AE817">
        <v>2.38000000000511E-2</v>
      </c>
      <c r="AF817">
        <v>4.33055269022301E-2</v>
      </c>
      <c r="AG817">
        <v>-1.070646898398</v>
      </c>
      <c r="AH817">
        <v>24.892293256163398</v>
      </c>
      <c r="AI817">
        <v>92.462837374307696</v>
      </c>
      <c r="AJ817">
        <v>89.900321702290498</v>
      </c>
      <c r="AK817">
        <v>24.915345145121901</v>
      </c>
      <c r="AL817">
        <v>94.274673284949799</v>
      </c>
      <c r="AM817">
        <v>89.054109565934198</v>
      </c>
      <c r="AN817">
        <v>1.0000000104992699</v>
      </c>
    </row>
    <row r="818" spans="1:40" x14ac:dyDescent="0.25">
      <c r="A818" t="str">
        <f>"20190303154745866"</f>
        <v>20190303154745866</v>
      </c>
      <c r="B818" t="str">
        <f>"1551599265861462"</f>
        <v>1551599265861462</v>
      </c>
      <c r="C818" t="s">
        <v>40</v>
      </c>
      <c r="D818">
        <v>5.210445</v>
      </c>
      <c r="E818">
        <v>0.49411949999999999</v>
      </c>
      <c r="F818" t="s">
        <v>41</v>
      </c>
      <c r="G818">
        <v>-278.88529999999997</v>
      </c>
      <c r="H818" s="1">
        <v>-8.7980350000000002E-7</v>
      </c>
      <c r="I818">
        <v>367.68299999999999</v>
      </c>
      <c r="J818">
        <v>-303.58210000000003</v>
      </c>
      <c r="K818">
        <v>1.0706340000000001</v>
      </c>
      <c r="L818">
        <v>367.6558</v>
      </c>
      <c r="M818">
        <v>0.99990840000000003</v>
      </c>
      <c r="N818">
        <v>-1.3260940000000001E-2</v>
      </c>
      <c r="O818">
        <v>2.7017859999999999E-3</v>
      </c>
      <c r="P818">
        <v>0.99606110000000003</v>
      </c>
      <c r="Q818">
        <v>-8.7589410000000006E-2</v>
      </c>
      <c r="R818">
        <v>-1.379555E-2</v>
      </c>
      <c r="S818">
        <v>3.0005489999999999</v>
      </c>
      <c r="T818">
        <v>-0.1290857</v>
      </c>
      <c r="U818">
        <v>3.3569339999999998E-3</v>
      </c>
      <c r="V818">
        <v>1.6486190000000001E-2</v>
      </c>
      <c r="W818">
        <v>-7.4373679999999998E-2</v>
      </c>
      <c r="X818">
        <v>0.99709420000000004</v>
      </c>
      <c r="Y818">
        <v>1.5801459999999999E-3</v>
      </c>
      <c r="Z818">
        <v>-1.2481799999999901E-4</v>
      </c>
      <c r="AA818">
        <v>0.99999870000000002</v>
      </c>
      <c r="AB818">
        <v>33</v>
      </c>
      <c r="AC818">
        <v>24.6968</v>
      </c>
      <c r="AD818">
        <v>-1.0706348798034999</v>
      </c>
      <c r="AE818">
        <v>2.7200000000050201E-2</v>
      </c>
      <c r="AF818">
        <v>3.9457283901242403E-2</v>
      </c>
      <c r="AG818">
        <v>-1.0706348798034999</v>
      </c>
      <c r="AH818">
        <v>24.6504572274056</v>
      </c>
      <c r="AI818">
        <v>92.486941816318094</v>
      </c>
      <c r="AJ818">
        <v>89.908288358022801</v>
      </c>
      <c r="AK818">
        <v>24.673728081570001</v>
      </c>
      <c r="AL818">
        <v>94.265236127823698</v>
      </c>
      <c r="AM818">
        <v>89.052744420921599</v>
      </c>
      <c r="AN818">
        <v>1.0000000412055401</v>
      </c>
    </row>
    <row r="819" spans="1:40" x14ac:dyDescent="0.25">
      <c r="A819" t="str">
        <f>"20190303154745879"</f>
        <v>20190303154745879</v>
      </c>
      <c r="B819" t="str">
        <f>"1551599265871223"</f>
        <v>1551599265871223</v>
      </c>
      <c r="C819" t="s">
        <v>40</v>
      </c>
      <c r="D819">
        <v>5.2072729999999998</v>
      </c>
      <c r="E819">
        <v>0.49413410000000002</v>
      </c>
      <c r="F819" t="s">
        <v>41</v>
      </c>
      <c r="G819">
        <v>-278.83429999999998</v>
      </c>
      <c r="H819" s="1">
        <v>-8.9650649999999998E-7</v>
      </c>
      <c r="I819">
        <v>367.68540000000002</v>
      </c>
      <c r="J819">
        <v>-303.38339999999999</v>
      </c>
      <c r="K819">
        <v>1.070616</v>
      </c>
      <c r="L819">
        <v>367.65629999999999</v>
      </c>
      <c r="M819">
        <v>0.99990829999999997</v>
      </c>
      <c r="N819">
        <v>-1.327975E-2</v>
      </c>
      <c r="O819">
        <v>2.7101249999999999E-3</v>
      </c>
      <c r="P819">
        <v>0.99607290000000004</v>
      </c>
      <c r="Q819">
        <v>-8.7462250000000005E-2</v>
      </c>
      <c r="R819">
        <v>-1.3767649999999999E-2</v>
      </c>
      <c r="S819">
        <v>3.0004879999999998</v>
      </c>
      <c r="T819">
        <v>-0.12980630000000001</v>
      </c>
      <c r="U819">
        <v>3.6010740000000001E-3</v>
      </c>
      <c r="V819">
        <v>1.646653E-2</v>
      </c>
      <c r="W819">
        <v>-7.4227630000000003E-2</v>
      </c>
      <c r="X819">
        <v>0.99710540000000003</v>
      </c>
      <c r="Y819">
        <v>1.5071450000000001E-3</v>
      </c>
      <c r="Z819">
        <v>-1.238093E-4</v>
      </c>
      <c r="AA819">
        <v>0.99999890000000002</v>
      </c>
      <c r="AB819">
        <v>33</v>
      </c>
      <c r="AC819">
        <v>24.549099999999999</v>
      </c>
      <c r="AD819">
        <v>-1.0706168965064999</v>
      </c>
      <c r="AE819">
        <v>2.91000000000281E-2</v>
      </c>
      <c r="AF819">
        <v>3.7366025717273897E-2</v>
      </c>
      <c r="AG819">
        <v>-1.0706168965064999</v>
      </c>
      <c r="AH819">
        <v>24.502486483994598</v>
      </c>
      <c r="AI819">
        <v>92.501899777789703</v>
      </c>
      <c r="AJ819">
        <v>89.912624626380406</v>
      </c>
      <c r="AK819">
        <v>24.525893677036599</v>
      </c>
      <c r="AL819">
        <v>94.256844919410199</v>
      </c>
      <c r="AM819">
        <v>89.053884455732998</v>
      </c>
      <c r="AN819">
        <v>1.0000000331873999</v>
      </c>
    </row>
    <row r="820" spans="1:40" x14ac:dyDescent="0.25">
      <c r="A820" t="str">
        <f>"20190303154745894"</f>
        <v>20190303154745894</v>
      </c>
      <c r="B820" t="str">
        <f>"1551599265891718"</f>
        <v>1551599265891718</v>
      </c>
      <c r="C820" t="s">
        <v>40</v>
      </c>
      <c r="D820">
        <v>5.2627480000000002</v>
      </c>
      <c r="E820">
        <v>0.49418600000000001</v>
      </c>
      <c r="F820" t="s">
        <v>41</v>
      </c>
      <c r="G820">
        <v>-278.6388</v>
      </c>
      <c r="H820" s="1">
        <v>-9.6323799999999993E-7</v>
      </c>
      <c r="I820">
        <v>367.68470000000002</v>
      </c>
      <c r="J820">
        <v>-303.16570000000002</v>
      </c>
      <c r="K820">
        <v>1.070597</v>
      </c>
      <c r="L820">
        <v>367.65690000000001</v>
      </c>
      <c r="M820">
        <v>0.99990849999999998</v>
      </c>
      <c r="N820">
        <v>-1.3259780000000001E-2</v>
      </c>
      <c r="O820">
        <v>2.7178409999999999E-3</v>
      </c>
      <c r="P820">
        <v>0.99608490000000005</v>
      </c>
      <c r="Q820">
        <v>-8.7289499999999895E-2</v>
      </c>
      <c r="R820">
        <v>-1.3995570000000001E-2</v>
      </c>
      <c r="S820">
        <v>3.0004270000000002</v>
      </c>
      <c r="T820">
        <v>-0.12981819999999999</v>
      </c>
      <c r="U820">
        <v>3.4484860000000002E-3</v>
      </c>
      <c r="V820">
        <v>1.6702359999999999E-2</v>
      </c>
      <c r="W820">
        <v>-7.4074619999999994E-2</v>
      </c>
      <c r="X820">
        <v>0.99711280000000002</v>
      </c>
      <c r="Y820">
        <v>1.5656139999999999E-3</v>
      </c>
      <c r="Z820">
        <v>-1.2574879999999999E-4</v>
      </c>
      <c r="AA820">
        <v>0.99999870000000002</v>
      </c>
      <c r="AB820">
        <v>33</v>
      </c>
      <c r="AC820">
        <v>24.526900000000001</v>
      </c>
      <c r="AD820">
        <v>-1.070597963238</v>
      </c>
      <c r="AE820">
        <v>2.78000000000133E-2</v>
      </c>
      <c r="AF820">
        <v>3.8792259318202398E-2</v>
      </c>
      <c r="AG820">
        <v>-1.070597963238</v>
      </c>
      <c r="AH820">
        <v>24.4802423703904</v>
      </c>
      <c r="AI820">
        <v>92.5041257903803</v>
      </c>
      <c r="AJ820">
        <v>89.909207153969703</v>
      </c>
      <c r="AK820">
        <v>24.503672201352401</v>
      </c>
      <c r="AL820">
        <v>94.248054129860705</v>
      </c>
      <c r="AM820">
        <v>89.040344035122502</v>
      </c>
      <c r="AN820">
        <v>0.99999997704077603</v>
      </c>
    </row>
    <row r="821" spans="1:40" x14ac:dyDescent="0.25">
      <c r="A821" t="str">
        <f>"20190303154745908"</f>
        <v>20190303154745908</v>
      </c>
      <c r="B821" t="str">
        <f>"1551599265901478"</f>
        <v>1551599265901478</v>
      </c>
      <c r="C821" t="s">
        <v>40</v>
      </c>
      <c r="D821">
        <v>5.2075909999999999</v>
      </c>
      <c r="E821">
        <v>0.4941817</v>
      </c>
      <c r="F821" t="s">
        <v>41</v>
      </c>
      <c r="G821">
        <v>-278.47120000000001</v>
      </c>
      <c r="H821" s="1">
        <v>-1.0228650000000001E-6</v>
      </c>
      <c r="I821">
        <v>367.67489999999998</v>
      </c>
      <c r="J821">
        <v>-302.96409999999997</v>
      </c>
      <c r="K821">
        <v>1.0705709999999999</v>
      </c>
      <c r="L821">
        <v>367.65750000000003</v>
      </c>
      <c r="M821">
        <v>0.99990889999999999</v>
      </c>
      <c r="N821">
        <v>-1.321631E-2</v>
      </c>
      <c r="O821">
        <v>2.7253450000000001E-3</v>
      </c>
      <c r="P821">
        <v>0.99611459999999996</v>
      </c>
      <c r="Q821">
        <v>-8.6919479999999993E-2</v>
      </c>
      <c r="R821">
        <v>-1.416741E-2</v>
      </c>
      <c r="S821">
        <v>3.0003660000000001</v>
      </c>
      <c r="T821">
        <v>-0.13007650000000001</v>
      </c>
      <c r="U821">
        <v>2.1972659999999998E-3</v>
      </c>
      <c r="V821">
        <v>1.6881920000000002E-2</v>
      </c>
      <c r="W821">
        <v>-7.3747590000000002E-2</v>
      </c>
      <c r="X821">
        <v>0.99713399999999996</v>
      </c>
      <c r="Y821">
        <v>1.9895770000000002E-3</v>
      </c>
      <c r="Z821">
        <v>-1.3835240000000001E-4</v>
      </c>
      <c r="AA821">
        <v>0.99999800000000005</v>
      </c>
      <c r="AB821">
        <v>33</v>
      </c>
      <c r="AC821">
        <v>24.492899999999899</v>
      </c>
      <c r="AD821">
        <v>-1.070572022865</v>
      </c>
      <c r="AE821">
        <v>1.7399999999952301E-2</v>
      </c>
      <c r="AF821">
        <v>4.9263382260679202E-2</v>
      </c>
      <c r="AG821">
        <v>-1.070572022865</v>
      </c>
      <c r="AH821">
        <v>24.446151634915999</v>
      </c>
      <c r="AI821">
        <v>92.507550776281604</v>
      </c>
      <c r="AJ821">
        <v>89.884538879188398</v>
      </c>
      <c r="AK821">
        <v>24.469631813623099</v>
      </c>
      <c r="AL821">
        <v>94.229265371751495</v>
      </c>
      <c r="AM821">
        <v>89.030049759338496</v>
      </c>
      <c r="AN821">
        <v>0.99999996010484604</v>
      </c>
    </row>
    <row r="822" spans="1:40" x14ac:dyDescent="0.25">
      <c r="A822" t="str">
        <f>"20190303154745926"</f>
        <v>20190303154745926</v>
      </c>
      <c r="B822" t="str">
        <f>"1551599265921504"</f>
        <v>1551599265921504</v>
      </c>
      <c r="C822" t="s">
        <v>40</v>
      </c>
      <c r="D822">
        <v>5.213991</v>
      </c>
      <c r="E822">
        <v>0.49421110000000001</v>
      </c>
      <c r="F822" t="s">
        <v>41</v>
      </c>
      <c r="G822">
        <v>-278.14060000000001</v>
      </c>
      <c r="H822" s="1">
        <v>-1.136337E-6</v>
      </c>
      <c r="I822">
        <v>367.67129999999997</v>
      </c>
      <c r="J822">
        <v>-302.69130000000001</v>
      </c>
      <c r="K822">
        <v>1.0705340000000001</v>
      </c>
      <c r="L822">
        <v>367.65820000000002</v>
      </c>
      <c r="M822">
        <v>0.99991019999999997</v>
      </c>
      <c r="N822">
        <v>-1.3121789999999999E-2</v>
      </c>
      <c r="O822">
        <v>2.7365689999999999E-3</v>
      </c>
      <c r="P822">
        <v>0.9961468</v>
      </c>
      <c r="Q822">
        <v>-8.6492169999999993E-2</v>
      </c>
      <c r="R822">
        <v>-1.452087E-2</v>
      </c>
      <c r="S822">
        <v>3.0004270000000002</v>
      </c>
      <c r="T822">
        <v>-0.12940009999999999</v>
      </c>
      <c r="U822">
        <v>1.6784669999999999E-3</v>
      </c>
      <c r="V822">
        <v>1.724641E-2</v>
      </c>
      <c r="W822">
        <v>-7.3414190000000004E-2</v>
      </c>
      <c r="X822">
        <v>0.99715240000000005</v>
      </c>
      <c r="Y822">
        <v>2.1735299999999999E-3</v>
      </c>
      <c r="Z822">
        <v>-1.43184E-4</v>
      </c>
      <c r="AA822">
        <v>0.99999760000000004</v>
      </c>
      <c r="AB822">
        <v>33</v>
      </c>
      <c r="AC822">
        <v>24.550699999999999</v>
      </c>
      <c r="AD822">
        <v>-1.0705351363369999</v>
      </c>
      <c r="AE822">
        <v>1.3099999999951701E-2</v>
      </c>
      <c r="AF822">
        <v>5.3987863065797899E-2</v>
      </c>
      <c r="AG822">
        <v>-1.0705351363369999</v>
      </c>
      <c r="AH822">
        <v>24.5040518527077</v>
      </c>
      <c r="AI822">
        <v>92.501546187191806</v>
      </c>
      <c r="AJ822">
        <v>89.873764889492804</v>
      </c>
      <c r="AK822">
        <v>24.527484937671002</v>
      </c>
      <c r="AL822">
        <v>94.2101108866148</v>
      </c>
      <c r="AM822">
        <v>89.0091304086653</v>
      </c>
      <c r="AN822">
        <v>0.99999999538850204</v>
      </c>
    </row>
    <row r="823" spans="1:40" x14ac:dyDescent="0.25">
      <c r="A823" t="str">
        <f>"20190303154745938"</f>
        <v>20190303154745938</v>
      </c>
      <c r="B823" t="str">
        <f>"1551599265931264"</f>
        <v>1551599265931264</v>
      </c>
      <c r="C823" t="s">
        <v>40</v>
      </c>
      <c r="D823">
        <v>5.2233609999999997</v>
      </c>
      <c r="E823">
        <v>0.49423440000000002</v>
      </c>
      <c r="F823" t="s">
        <v>41</v>
      </c>
      <c r="G823">
        <v>-277.74329999999998</v>
      </c>
      <c r="H823" s="1">
        <v>-1.297498E-6</v>
      </c>
      <c r="I823">
        <v>367.65969999999999</v>
      </c>
      <c r="J823">
        <v>-302.51839999999999</v>
      </c>
      <c r="K823">
        <v>1.070511</v>
      </c>
      <c r="L823">
        <v>367.65870000000001</v>
      </c>
      <c r="M823">
        <v>0.9999112</v>
      </c>
      <c r="N823">
        <v>-1.3048499999999999E-2</v>
      </c>
      <c r="O823">
        <v>2.7441330000000002E-3</v>
      </c>
      <c r="P823">
        <v>0.99613309999999999</v>
      </c>
      <c r="Q823">
        <v>-8.6623179999999994E-2</v>
      </c>
      <c r="R823">
        <v>-1.4682399999999899E-2</v>
      </c>
      <c r="S823">
        <v>3.0004270000000002</v>
      </c>
      <c r="T823">
        <v>-0.12875020000000001</v>
      </c>
      <c r="U823">
        <v>1.8310550000000001E-4</v>
      </c>
      <c r="V823">
        <v>1.741531E-2</v>
      </c>
      <c r="W823">
        <v>-7.3618489999999995E-2</v>
      </c>
      <c r="X823">
        <v>0.99713439999999998</v>
      </c>
      <c r="Y823">
        <v>2.6789019999999999E-3</v>
      </c>
      <c r="Z823">
        <v>-1.5684059999999901E-4</v>
      </c>
      <c r="AA823">
        <v>0.99999640000000001</v>
      </c>
      <c r="AB823">
        <v>33</v>
      </c>
      <c r="AC823">
        <v>24.775099999999998</v>
      </c>
      <c r="AD823">
        <v>-1.0705122974979999</v>
      </c>
      <c r="AE823">
        <v>9.9999999997635292E-4</v>
      </c>
      <c r="AF823">
        <v>6.6867111672240395E-2</v>
      </c>
      <c r="AG823">
        <v>-1.0705122974979999</v>
      </c>
      <c r="AH823">
        <v>24.728839834230801</v>
      </c>
      <c r="AI823">
        <v>92.4787794810089</v>
      </c>
      <c r="AJ823">
        <v>89.845071828065798</v>
      </c>
      <c r="AK823">
        <v>24.7520905649756</v>
      </c>
      <c r="AL823">
        <v>94.221848183903006</v>
      </c>
      <c r="AM823">
        <v>88.999410388237607</v>
      </c>
      <c r="AN823">
        <v>0.99999999337781798</v>
      </c>
    </row>
    <row r="824" spans="1:40" x14ac:dyDescent="0.25">
      <c r="A824" t="str">
        <f>"20190303154745949"</f>
        <v>20190303154745949</v>
      </c>
      <c r="B824" t="str">
        <f>"1551599265942000"</f>
        <v>1551599265942000</v>
      </c>
      <c r="C824" t="s">
        <v>40</v>
      </c>
      <c r="D824">
        <v>5.1936970000000002</v>
      </c>
      <c r="E824">
        <v>0.49420910000000001</v>
      </c>
      <c r="F824" t="s">
        <v>41</v>
      </c>
      <c r="G824">
        <v>-277.66079999999999</v>
      </c>
      <c r="H824" s="1">
        <v>-1.3334729999999999E-6</v>
      </c>
      <c r="I824">
        <v>367.65640000000002</v>
      </c>
      <c r="J824">
        <v>-302.3569</v>
      </c>
      <c r="K824">
        <v>1.0704830000000001</v>
      </c>
      <c r="L824">
        <v>367.6592</v>
      </c>
      <c r="M824">
        <v>0.99991209999999997</v>
      </c>
      <c r="N824">
        <v>-1.297387E-2</v>
      </c>
      <c r="O824">
        <v>2.7515270000000001E-3</v>
      </c>
      <c r="P824">
        <v>0.9961333</v>
      </c>
      <c r="Q824">
        <v>-8.6609770000000003E-2</v>
      </c>
      <c r="R824">
        <v>-1.4746270000000001E-2</v>
      </c>
      <c r="S824">
        <v>3.0004270000000002</v>
      </c>
      <c r="T824">
        <v>-0.12921550000000001</v>
      </c>
      <c r="U824">
        <v>-2.7465820000000001E-4</v>
      </c>
      <c r="V824">
        <v>1.7486370000000001E-2</v>
      </c>
      <c r="W824">
        <v>-7.3679540000000002E-2</v>
      </c>
      <c r="X824">
        <v>0.99712869999999998</v>
      </c>
      <c r="Y824">
        <v>2.8386280000000002E-3</v>
      </c>
      <c r="Z824">
        <v>-1.6227479999999999E-4</v>
      </c>
      <c r="AA824">
        <v>0.99999590000000005</v>
      </c>
      <c r="AB824">
        <v>33</v>
      </c>
      <c r="AC824">
        <v>24.696100000000001</v>
      </c>
      <c r="AD824">
        <v>-1.0704843334729901</v>
      </c>
      <c r="AE824">
        <v>-2.7999999999792601E-3</v>
      </c>
      <c r="AF824">
        <v>7.0624994187405699E-2</v>
      </c>
      <c r="AG824">
        <v>-1.0704843334729901</v>
      </c>
      <c r="AH824">
        <v>24.649684478800001</v>
      </c>
      <c r="AI824">
        <v>92.486663399021893</v>
      </c>
      <c r="AJ824">
        <v>89.835839561114895</v>
      </c>
      <c r="AK824">
        <v>24.673019059337001</v>
      </c>
      <c r="AL824">
        <v>94.225355393676594</v>
      </c>
      <c r="AM824">
        <v>88.995322757784095</v>
      </c>
      <c r="AN824">
        <v>1.00000004605703</v>
      </c>
    </row>
    <row r="825" spans="1:40" x14ac:dyDescent="0.25">
      <c r="A825" t="str">
        <f>"20190303154745960"</f>
        <v>20190303154745960</v>
      </c>
      <c r="B825" t="str">
        <f>"1551599265951761"</f>
        <v>1551599265951761</v>
      </c>
      <c r="C825" t="s">
        <v>40</v>
      </c>
      <c r="D825">
        <v>5.2169089999999896</v>
      </c>
      <c r="E825">
        <v>0.49422690000000002</v>
      </c>
      <c r="F825" t="s">
        <v>41</v>
      </c>
      <c r="G825">
        <v>-277.63139999999999</v>
      </c>
      <c r="H825" s="1">
        <v>-1.346174E-6</v>
      </c>
      <c r="I825">
        <v>367.65589999999997</v>
      </c>
      <c r="J825">
        <v>-302.18819999999999</v>
      </c>
      <c r="K825">
        <v>1.070462</v>
      </c>
      <c r="L825">
        <v>367.65960000000001</v>
      </c>
      <c r="M825">
        <v>0.99991319999999995</v>
      </c>
      <c r="N825">
        <v>-1.2894030000000001E-2</v>
      </c>
      <c r="O825">
        <v>2.7590710000000001E-3</v>
      </c>
      <c r="P825">
        <v>0.99613669999999999</v>
      </c>
      <c r="Q825">
        <v>-8.6572010000000005E-2</v>
      </c>
      <c r="R825">
        <v>-1.4741880000000001E-2</v>
      </c>
      <c r="S825">
        <v>3.0003359999999999</v>
      </c>
      <c r="T825">
        <v>-0.1298984</v>
      </c>
      <c r="U825">
        <v>-3.9672850000000001E-4</v>
      </c>
      <c r="V825">
        <v>1.7489569999999999E-2</v>
      </c>
      <c r="W825">
        <v>-7.372136E-2</v>
      </c>
      <c r="X825">
        <v>0.9971255</v>
      </c>
      <c r="Y825">
        <v>2.8867430000000002E-3</v>
      </c>
      <c r="Z825">
        <v>-1.649155E-4</v>
      </c>
      <c r="AA825">
        <v>0.99999579999999999</v>
      </c>
      <c r="AB825">
        <v>33</v>
      </c>
      <c r="AC825">
        <v>24.556799999999999</v>
      </c>
      <c r="AD825">
        <v>-1.0704633461740001</v>
      </c>
      <c r="AE825">
        <v>-3.70000000003756E-3</v>
      </c>
      <c r="AF825">
        <v>7.1324034089801702E-2</v>
      </c>
      <c r="AG825">
        <v>-1.0704633461740001</v>
      </c>
      <c r="AH825">
        <v>24.510122093368501</v>
      </c>
      <c r="AI825">
        <v>92.500755422154199</v>
      </c>
      <c r="AJ825">
        <v>89.833270736854303</v>
      </c>
      <c r="AK825">
        <v>24.533590522489199</v>
      </c>
      <c r="AL825">
        <v>94.227758260413196</v>
      </c>
      <c r="AM825">
        <v>88.995135715708102</v>
      </c>
      <c r="AN825">
        <v>0.99999999336464196</v>
      </c>
    </row>
    <row r="826" spans="1:40" x14ac:dyDescent="0.25">
      <c r="A826" t="str">
        <f>"20190303154745971"</f>
        <v>20190303154745971</v>
      </c>
      <c r="B826" t="str">
        <f>"1551599265961520"</f>
        <v>1551599265961520</v>
      </c>
      <c r="C826" t="s">
        <v>40</v>
      </c>
      <c r="D826">
        <v>5.2107400000000004</v>
      </c>
      <c r="E826">
        <v>0.49424050000000003</v>
      </c>
      <c r="F826" t="s">
        <v>41</v>
      </c>
      <c r="G826">
        <v>-277.47309999999999</v>
      </c>
      <c r="H826" s="1">
        <v>-1.4139229999999999E-6</v>
      </c>
      <c r="I826">
        <v>367.65679999999998</v>
      </c>
      <c r="J826">
        <v>-302.02699999999999</v>
      </c>
      <c r="K826">
        <v>1.0704450000000001</v>
      </c>
      <c r="L826">
        <v>367.6601</v>
      </c>
      <c r="M826">
        <v>0.99991419999999998</v>
      </c>
      <c r="N826">
        <v>-1.281649E-2</v>
      </c>
      <c r="O826">
        <v>2.7664819999999998E-3</v>
      </c>
      <c r="P826">
        <v>0.99614040000000004</v>
      </c>
      <c r="Q826">
        <v>-8.6490449999999996E-2</v>
      </c>
      <c r="R826">
        <v>-1.4977870000000001E-2</v>
      </c>
      <c r="S826">
        <v>3.000397</v>
      </c>
      <c r="T826">
        <v>-0.12995329999999999</v>
      </c>
      <c r="U826">
        <v>-3.3569339999999902E-4</v>
      </c>
      <c r="V826">
        <v>1.773278E-2</v>
      </c>
      <c r="W826">
        <v>-7.3717130000000006E-2</v>
      </c>
      <c r="X826">
        <v>0.99712149999999999</v>
      </c>
      <c r="Y826">
        <v>2.8738140000000001E-3</v>
      </c>
      <c r="Z826">
        <v>-1.6495360000000001E-4</v>
      </c>
      <c r="AA826">
        <v>0.99999579999999999</v>
      </c>
      <c r="AB826">
        <v>33</v>
      </c>
      <c r="AC826">
        <v>24.553899999999999</v>
      </c>
      <c r="AD826">
        <v>-1.0704464139229899</v>
      </c>
      <c r="AE826">
        <v>-3.30000000002428E-3</v>
      </c>
      <c r="AF826">
        <v>7.10983495073748E-2</v>
      </c>
      <c r="AG826">
        <v>-1.0704464139229899</v>
      </c>
      <c r="AH826">
        <v>24.5072186706027</v>
      </c>
      <c r="AI826">
        <v>92.501011869551704</v>
      </c>
      <c r="AJ826">
        <v>89.833778610973397</v>
      </c>
      <c r="AK826">
        <v>24.530688483390001</v>
      </c>
      <c r="AL826">
        <v>94.227515310483696</v>
      </c>
      <c r="AM826">
        <v>88.981160909723201</v>
      </c>
      <c r="AN826">
        <v>0.99999997625210701</v>
      </c>
    </row>
    <row r="827" spans="1:40" x14ac:dyDescent="0.25">
      <c r="A827" t="str">
        <f>"20190303154745982"</f>
        <v>20190303154745982</v>
      </c>
      <c r="B827" t="str">
        <f>"1551599265971281"</f>
        <v>1551599265971281</v>
      </c>
      <c r="C827" t="s">
        <v>40</v>
      </c>
      <c r="D827">
        <v>5.2115939999999998</v>
      </c>
      <c r="E827">
        <v>0.49424479999999998</v>
      </c>
      <c r="F827" t="s">
        <v>41</v>
      </c>
      <c r="G827">
        <v>-277.33260000000001</v>
      </c>
      <c r="H827" s="1">
        <v>-1.47508199999999E-6</v>
      </c>
      <c r="I827">
        <v>367.65179999999998</v>
      </c>
      <c r="J827">
        <v>-301.87939999999998</v>
      </c>
      <c r="K827">
        <v>1.07043</v>
      </c>
      <c r="L827">
        <v>367.66050000000001</v>
      </c>
      <c r="M827">
        <v>0.99991509999999995</v>
      </c>
      <c r="N827">
        <v>-1.2745670000000001E-2</v>
      </c>
      <c r="O827">
        <v>2.773312E-3</v>
      </c>
      <c r="P827">
        <v>0.99614239999999998</v>
      </c>
      <c r="Q827">
        <v>-8.6443530000000005E-2</v>
      </c>
      <c r="R827">
        <v>-1.5107260000000001E-2</v>
      </c>
      <c r="S827">
        <v>3.000305</v>
      </c>
      <c r="T827">
        <v>-0.130056</v>
      </c>
      <c r="U827">
        <v>-1.00708E-3</v>
      </c>
      <c r="V827">
        <v>1.7869119999999999E-2</v>
      </c>
      <c r="W827">
        <v>-7.3740819999999999E-2</v>
      </c>
      <c r="X827">
        <v>0.99711729999999998</v>
      </c>
      <c r="Y827">
        <v>3.1041240000000002E-3</v>
      </c>
      <c r="Z827">
        <v>-1.718639E-4</v>
      </c>
      <c r="AA827">
        <v>0.99999519999999997</v>
      </c>
      <c r="AB827">
        <v>33</v>
      </c>
      <c r="AC827">
        <v>24.546799999999902</v>
      </c>
      <c r="AD827">
        <v>-1.0704314750820001</v>
      </c>
      <c r="AE827">
        <v>-8.7000000000330095E-3</v>
      </c>
      <c r="AF827">
        <v>7.6635686459310404E-2</v>
      </c>
      <c r="AG827">
        <v>-1.0704314750820001</v>
      </c>
      <c r="AH827">
        <v>24.500091144866801</v>
      </c>
      <c r="AI827">
        <v>92.501701957642297</v>
      </c>
      <c r="AJ827">
        <v>89.820780786169493</v>
      </c>
      <c r="AK827">
        <v>24.523583805758602</v>
      </c>
      <c r="AL827">
        <v>94.228876412358801</v>
      </c>
      <c r="AM827">
        <v>88.973324824717395</v>
      </c>
      <c r="AN827">
        <v>0.99999996197156704</v>
      </c>
    </row>
    <row r="828" spans="1:40" x14ac:dyDescent="0.25">
      <c r="A828" t="str">
        <f>"20190303154745992"</f>
        <v>20190303154745992</v>
      </c>
      <c r="B828" t="str">
        <f>"1551599265981040"</f>
        <v>1551599265981040</v>
      </c>
      <c r="C828" t="s">
        <v>40</v>
      </c>
      <c r="D828">
        <v>5.1855710000000004</v>
      </c>
      <c r="E828">
        <v>0.49425459999999899</v>
      </c>
      <c r="F828" t="s">
        <v>41</v>
      </c>
      <c r="G828">
        <v>-277.25080000000003</v>
      </c>
      <c r="H828" s="1">
        <v>-1.5105789999999901E-6</v>
      </c>
      <c r="I828">
        <v>367.6497</v>
      </c>
      <c r="J828">
        <v>-301.70859999999999</v>
      </c>
      <c r="K828">
        <v>1.0704149999999999</v>
      </c>
      <c r="L828">
        <v>367.661</v>
      </c>
      <c r="M828">
        <v>0.99991600000000003</v>
      </c>
      <c r="N828">
        <v>-1.266545E-2</v>
      </c>
      <c r="O828">
        <v>2.7804420000000002E-3</v>
      </c>
      <c r="P828">
        <v>0.99612860000000003</v>
      </c>
      <c r="Q828">
        <v>-8.6640159999999994E-2</v>
      </c>
      <c r="R828">
        <v>-1.488446E-2</v>
      </c>
      <c r="S828">
        <v>3.0002749999999998</v>
      </c>
      <c r="T828">
        <v>-0.13039990000000001</v>
      </c>
      <c r="U828">
        <v>-1.3122559999999999E-3</v>
      </c>
      <c r="V828">
        <v>1.76534E-2</v>
      </c>
      <c r="W828">
        <v>-7.4017579999999999E-2</v>
      </c>
      <c r="X828">
        <v>0.99710069999999995</v>
      </c>
      <c r="Y828">
        <v>3.2128059999999999E-3</v>
      </c>
      <c r="Z828">
        <v>-1.7572779999999901E-4</v>
      </c>
      <c r="AA828">
        <v>0.99999479999999996</v>
      </c>
      <c r="AB828">
        <v>33</v>
      </c>
      <c r="AC828">
        <v>24.457799999999899</v>
      </c>
      <c r="AD828">
        <v>-1.070416510579</v>
      </c>
      <c r="AE828">
        <v>-1.1300000000005601E-2</v>
      </c>
      <c r="AF828">
        <v>7.9157278729994202E-2</v>
      </c>
      <c r="AG828">
        <v>-1.070416510579</v>
      </c>
      <c r="AH828">
        <v>24.4109161439175</v>
      </c>
      <c r="AI828">
        <v>92.510793225135799</v>
      </c>
      <c r="AJ828">
        <v>89.814207624749699</v>
      </c>
      <c r="AK828">
        <v>24.434501925888899</v>
      </c>
      <c r="AL828">
        <v>94.244776776889296</v>
      </c>
      <c r="AM828">
        <v>88.9856995886893</v>
      </c>
      <c r="AN828">
        <v>1.0000000253105501</v>
      </c>
    </row>
    <row r="829" spans="1:40" x14ac:dyDescent="0.25">
      <c r="A829" t="str">
        <f>"20190303154746004"</f>
        <v>20190303154746004</v>
      </c>
      <c r="B829" t="str">
        <f>"1551599266001537"</f>
        <v>1551599266001537</v>
      </c>
      <c r="C829" t="s">
        <v>40</v>
      </c>
      <c r="D829">
        <v>5.1864939999999997</v>
      </c>
      <c r="E829">
        <v>0.49420229999999998</v>
      </c>
      <c r="F829" t="s">
        <v>41</v>
      </c>
      <c r="G829">
        <v>-277.30349999999999</v>
      </c>
      <c r="H829" s="1">
        <v>-1.487294E-6</v>
      </c>
      <c r="I829">
        <v>367.65350000000001</v>
      </c>
      <c r="J829">
        <v>-301.54539999999997</v>
      </c>
      <c r="K829">
        <v>1.0704049999999901</v>
      </c>
      <c r="L829">
        <v>367.66140000000001</v>
      </c>
      <c r="M829">
        <v>0.9999169</v>
      </c>
      <c r="N829">
        <v>-1.25901E-2</v>
      </c>
      <c r="O829">
        <v>2.787121E-3</v>
      </c>
      <c r="P829">
        <v>0.99609130000000001</v>
      </c>
      <c r="Q829">
        <v>-8.7049349999999998E-2</v>
      </c>
      <c r="R829">
        <v>-1.498495E-2</v>
      </c>
      <c r="S829">
        <v>3.0002140000000002</v>
      </c>
      <c r="T829">
        <v>-0.13158979999999901</v>
      </c>
      <c r="U829">
        <v>-9.1552729999999996E-4</v>
      </c>
      <c r="V829">
        <v>1.7760499999999999E-2</v>
      </c>
      <c r="W829">
        <v>-7.4502319999999997E-2</v>
      </c>
      <c r="X829">
        <v>0.99706269999999997</v>
      </c>
      <c r="Y829">
        <v>3.087312E-3</v>
      </c>
      <c r="Z829">
        <v>-1.7422520000000001E-4</v>
      </c>
      <c r="AA829">
        <v>0.99999519999999997</v>
      </c>
      <c r="AB829">
        <v>33</v>
      </c>
      <c r="AC829">
        <v>24.241899999999902</v>
      </c>
      <c r="AD829">
        <v>-1.07040648729399</v>
      </c>
      <c r="AE829">
        <v>-7.9000000000064505E-3</v>
      </c>
      <c r="AF829">
        <v>7.5323573394660101E-2</v>
      </c>
      <c r="AG829">
        <v>-1.07040648729399</v>
      </c>
      <c r="AH829">
        <v>24.194611973966499</v>
      </c>
      <c r="AI829">
        <v>92.533188406021594</v>
      </c>
      <c r="AJ829">
        <v>89.821625206675506</v>
      </c>
      <c r="AK829">
        <v>24.218395740832101</v>
      </c>
      <c r="AL829">
        <v>94.272627212547107</v>
      </c>
      <c r="AM829">
        <v>88.979508424758905</v>
      </c>
      <c r="AN829">
        <v>1.0000000293884601</v>
      </c>
    </row>
    <row r="830" spans="1:40" x14ac:dyDescent="0.25">
      <c r="A830" t="str">
        <f>"20190303154746015"</f>
        <v>20190303154746015</v>
      </c>
      <c r="B830" t="str">
        <f>"1551599266011296"</f>
        <v>1551599266011296</v>
      </c>
      <c r="C830" t="s">
        <v>40</v>
      </c>
      <c r="D830">
        <v>5.1794900000000004</v>
      </c>
      <c r="E830">
        <v>0.49419780000000002</v>
      </c>
      <c r="F830" t="s">
        <v>41</v>
      </c>
      <c r="G830">
        <v>-277.48379999999997</v>
      </c>
      <c r="H830" s="1">
        <v>-1.4096790000000001E-6</v>
      </c>
      <c r="I830">
        <v>367.65499999999997</v>
      </c>
      <c r="J830">
        <v>-301.37209999999999</v>
      </c>
      <c r="K830">
        <v>1.0703940000000001</v>
      </c>
      <c r="L830">
        <v>367.6619</v>
      </c>
      <c r="M830">
        <v>0.99991790000000003</v>
      </c>
      <c r="N830">
        <v>-1.2512509999999999E-2</v>
      </c>
      <c r="O830">
        <v>2.7943479999999999E-3</v>
      </c>
      <c r="P830">
        <v>0.99611729999999998</v>
      </c>
      <c r="Q830">
        <v>-8.6748629999999993E-2</v>
      </c>
      <c r="R830">
        <v>-1.5002690000000001E-2</v>
      </c>
      <c r="S830">
        <v>3.000092</v>
      </c>
      <c r="T830">
        <v>-0.13346150000000001</v>
      </c>
      <c r="U830">
        <v>-7.9345700000000002E-4</v>
      </c>
      <c r="V830">
        <v>1.778565E-2</v>
      </c>
      <c r="W830">
        <v>-7.427868E-2</v>
      </c>
      <c r="X830">
        <v>0.99707889999999999</v>
      </c>
      <c r="Y830">
        <v>3.0537450000000001E-3</v>
      </c>
      <c r="Z830">
        <v>-1.7630240000000001E-4</v>
      </c>
      <c r="AA830">
        <v>0.99999539999999998</v>
      </c>
      <c r="AB830">
        <v>33</v>
      </c>
      <c r="AC830">
        <v>23.888300000000001</v>
      </c>
      <c r="AD830">
        <v>-1.0703954096789901</v>
      </c>
      <c r="AE830">
        <v>-6.9000000000300999E-3</v>
      </c>
      <c r="AF830">
        <v>7.3509824340701205E-2</v>
      </c>
      <c r="AG830">
        <v>-1.0703954096789901</v>
      </c>
      <c r="AH830">
        <v>23.840321116956599</v>
      </c>
      <c r="AI830">
        <v>92.570757634201897</v>
      </c>
      <c r="AJ830">
        <v>89.823333363717197</v>
      </c>
      <c r="AK830">
        <v>23.864451826659401</v>
      </c>
      <c r="AL830">
        <v>94.259778140516502</v>
      </c>
      <c r="AM830">
        <v>88.978080250239501</v>
      </c>
      <c r="AN830">
        <v>0.999999992236837</v>
      </c>
    </row>
    <row r="831" spans="1:40" x14ac:dyDescent="0.25">
      <c r="A831" t="str">
        <f>"20190303154746027"</f>
        <v>20190303154746027</v>
      </c>
      <c r="B831" t="str">
        <f>"1551599266021419"</f>
        <v>1551599266021419</v>
      </c>
      <c r="C831" t="s">
        <v>40</v>
      </c>
      <c r="D831">
        <v>5.1502359999999996</v>
      </c>
      <c r="E831">
        <v>0.49418709999999999</v>
      </c>
      <c r="F831" t="s">
        <v>41</v>
      </c>
      <c r="G831">
        <v>-277.17349999999999</v>
      </c>
      <c r="H831" s="1">
        <v>-1.5426010000000001E-6</v>
      </c>
      <c r="I831">
        <v>367.65600000000001</v>
      </c>
      <c r="J831">
        <v>-301.2158</v>
      </c>
      <c r="K831">
        <v>1.070387</v>
      </c>
      <c r="L831">
        <v>367.66239999999999</v>
      </c>
      <c r="M831">
        <v>0.99991870000000005</v>
      </c>
      <c r="N831">
        <v>-1.2445370000000001E-2</v>
      </c>
      <c r="O831">
        <v>2.8006720000000001E-3</v>
      </c>
      <c r="P831">
        <v>0.99609919999999996</v>
      </c>
      <c r="Q831">
        <v>-8.6938849999999998E-2</v>
      </c>
      <c r="R831">
        <v>-1.511115E-2</v>
      </c>
      <c r="S831">
        <v>3.0001220000000002</v>
      </c>
      <c r="T831">
        <v>-0.13270650000000001</v>
      </c>
      <c r="U831">
        <v>-7.3242190000000001E-4</v>
      </c>
      <c r="V831">
        <v>1.7900220000000001E-2</v>
      </c>
      <c r="W831">
        <v>-7.4536030000000003E-2</v>
      </c>
      <c r="X831">
        <v>0.99705770000000005</v>
      </c>
      <c r="Y831">
        <v>3.0397940000000002E-3</v>
      </c>
      <c r="Z831">
        <v>-1.75105E-4</v>
      </c>
      <c r="AA831">
        <v>0.99999539999999998</v>
      </c>
      <c r="AB831">
        <v>33</v>
      </c>
      <c r="AC831">
        <v>24.042300000000001</v>
      </c>
      <c r="AD831">
        <v>-1.070388542601</v>
      </c>
      <c r="AE831">
        <v>-6.39999999998508E-3</v>
      </c>
      <c r="AF831">
        <v>7.3593909663951906E-2</v>
      </c>
      <c r="AG831">
        <v>-1.070388542601</v>
      </c>
      <c r="AH831">
        <v>23.994627438411602</v>
      </c>
      <c r="AI831">
        <v>92.554231155876593</v>
      </c>
      <c r="AJ831">
        <v>89.824268694712799</v>
      </c>
      <c r="AK831">
        <v>24.018603073531199</v>
      </c>
      <c r="AL831">
        <v>94.274563961327203</v>
      </c>
      <c r="AM831">
        <v>88.971476885185297</v>
      </c>
      <c r="AN831">
        <v>1.0000000473867401</v>
      </c>
    </row>
    <row r="832" spans="1:40" x14ac:dyDescent="0.25">
      <c r="A832" t="str">
        <f>"20190303154746038"</f>
        <v>20190303154746038</v>
      </c>
      <c r="B832" t="str">
        <f>"1551599266031180"</f>
        <v>1551599266031180</v>
      </c>
      <c r="C832" t="s">
        <v>40</v>
      </c>
      <c r="D832">
        <v>5.153823</v>
      </c>
      <c r="E832">
        <v>0.49415910000000002</v>
      </c>
      <c r="F832" t="s">
        <v>41</v>
      </c>
      <c r="G832">
        <v>-277.16410000000002</v>
      </c>
      <c r="H832" s="1">
        <v>-1.547216E-6</v>
      </c>
      <c r="I832">
        <v>367.65269999999998</v>
      </c>
      <c r="J832">
        <v>-301.05279999999999</v>
      </c>
      <c r="K832">
        <v>1.070381</v>
      </c>
      <c r="L832">
        <v>367.6628</v>
      </c>
      <c r="M832">
        <v>0.99991940000000001</v>
      </c>
      <c r="N832">
        <v>-1.237722E-2</v>
      </c>
      <c r="O832">
        <v>2.8072980000000002E-3</v>
      </c>
      <c r="P832">
        <v>0.99608490000000005</v>
      </c>
      <c r="Q832">
        <v>-8.7086930000000007E-2</v>
      </c>
      <c r="R832">
        <v>-1.518573E-2</v>
      </c>
      <c r="S832">
        <v>3.000092</v>
      </c>
      <c r="T832">
        <v>-0.13351440000000001</v>
      </c>
      <c r="U832">
        <v>-1.190186E-3</v>
      </c>
      <c r="V832">
        <v>1.798158E-2</v>
      </c>
      <c r="W832">
        <v>-7.4752269999999996E-2</v>
      </c>
      <c r="X832">
        <v>0.99704000000000004</v>
      </c>
      <c r="Y832">
        <v>3.1987320000000001E-3</v>
      </c>
      <c r="Z832">
        <v>-1.8108809999999999E-4</v>
      </c>
      <c r="AA832">
        <v>0.99999490000000002</v>
      </c>
      <c r="AB832">
        <v>33</v>
      </c>
      <c r="AC832">
        <v>23.888699999999901</v>
      </c>
      <c r="AD832">
        <v>-1.070382547216</v>
      </c>
      <c r="AE832">
        <v>-1.01000000000226E-2</v>
      </c>
      <c r="AF832">
        <v>7.7013184024603096E-2</v>
      </c>
      <c r="AG832">
        <v>-1.070382547216</v>
      </c>
      <c r="AH832">
        <v>23.840713146502502</v>
      </c>
      <c r="AI832">
        <v>92.570683377933307</v>
      </c>
      <c r="AJ832">
        <v>89.814916817452897</v>
      </c>
      <c r="AK832">
        <v>23.864853931288099</v>
      </c>
      <c r="AL832">
        <v>94.286988463057597</v>
      </c>
      <c r="AM832">
        <v>88.966784719693905</v>
      </c>
      <c r="AN832">
        <v>1.00000000034472</v>
      </c>
    </row>
    <row r="833" spans="1:40" x14ac:dyDescent="0.25">
      <c r="A833" t="str">
        <f>"20190303154746048"</f>
        <v>20190303154746048</v>
      </c>
      <c r="B833" t="str">
        <f>"1551599266041916"</f>
        <v>1551599266041916</v>
      </c>
      <c r="C833" t="s">
        <v>40</v>
      </c>
      <c r="D833">
        <v>5.1642250000000001</v>
      </c>
      <c r="E833">
        <v>0.49418190000000001</v>
      </c>
      <c r="F833" t="s">
        <v>41</v>
      </c>
      <c r="G833">
        <v>-277.09140000000002</v>
      </c>
      <c r="H833" s="1">
        <v>-1.5785410000000001E-6</v>
      </c>
      <c r="I833">
        <v>367.65199999999999</v>
      </c>
      <c r="J833">
        <v>-300.8954</v>
      </c>
      <c r="K833">
        <v>1.0703769999999999</v>
      </c>
      <c r="L833">
        <v>367.66329999999999</v>
      </c>
      <c r="M833">
        <v>0.99992029999999998</v>
      </c>
      <c r="N833">
        <v>-1.231722E-2</v>
      </c>
      <c r="O833">
        <v>2.813393E-3</v>
      </c>
      <c r="P833">
        <v>0.99607049999999997</v>
      </c>
      <c r="Q833">
        <v>-8.7221729999999997E-2</v>
      </c>
      <c r="R833">
        <v>-1.5374769999999999E-2</v>
      </c>
      <c r="S833">
        <v>3.0000610000000001</v>
      </c>
      <c r="T833">
        <v>-0.13401559999999901</v>
      </c>
      <c r="U833">
        <v>-1.34277299999999E-3</v>
      </c>
      <c r="V833">
        <v>1.8176439999999999E-2</v>
      </c>
      <c r="W833">
        <v>-7.4947040000000006E-2</v>
      </c>
      <c r="X833">
        <v>0.99702190000000002</v>
      </c>
      <c r="Y833">
        <v>3.255572E-3</v>
      </c>
      <c r="Z833">
        <v>-1.83714E-4</v>
      </c>
      <c r="AA833">
        <v>0.99999470000000001</v>
      </c>
      <c r="AB833">
        <v>33</v>
      </c>
      <c r="AC833">
        <v>23.803999999999899</v>
      </c>
      <c r="AD833">
        <v>-1.070378578541</v>
      </c>
      <c r="AE833">
        <v>-1.1300000000005601E-2</v>
      </c>
      <c r="AF833">
        <v>7.8117084629104896E-2</v>
      </c>
      <c r="AG833">
        <v>-1.070378578541</v>
      </c>
      <c r="AH833">
        <v>23.755840374460401</v>
      </c>
      <c r="AI833">
        <v>92.579845262684998</v>
      </c>
      <c r="AJ833">
        <v>89.811593147020702</v>
      </c>
      <c r="AK833">
        <v>23.780070741634699</v>
      </c>
      <c r="AL833">
        <v>94.298179117197506</v>
      </c>
      <c r="AM833">
        <v>88.955571643128195</v>
      </c>
      <c r="AN833">
        <v>1.00000005542772</v>
      </c>
    </row>
    <row r="834" spans="1:40" x14ac:dyDescent="0.25">
      <c r="A834" t="str">
        <f>"20190303154746059"</f>
        <v>20190303154746059</v>
      </c>
      <c r="B834" t="str">
        <f>"1551599266051676"</f>
        <v>1551599266051676</v>
      </c>
      <c r="C834" t="s">
        <v>40</v>
      </c>
      <c r="D834">
        <v>5.1678319999999998</v>
      </c>
      <c r="E834">
        <v>0.49418190000000001</v>
      </c>
      <c r="F834" t="s">
        <v>41</v>
      </c>
      <c r="G834">
        <v>-277.00400000000002</v>
      </c>
      <c r="H834" s="1">
        <v>-1.617131E-6</v>
      </c>
      <c r="I834">
        <v>367.64569999999998</v>
      </c>
      <c r="J834">
        <v>-300.73410000000001</v>
      </c>
      <c r="K834">
        <v>1.07037</v>
      </c>
      <c r="L834">
        <v>367.66370000000001</v>
      </c>
      <c r="M834">
        <v>0.99992099999999995</v>
      </c>
      <c r="N834">
        <v>-1.2257519999999999E-2</v>
      </c>
      <c r="O834">
        <v>2.8200209999999998E-3</v>
      </c>
      <c r="P834">
        <v>0.99606709999999998</v>
      </c>
      <c r="Q834">
        <v>-8.7248619999999999E-2</v>
      </c>
      <c r="R834">
        <v>-1.5446970000000001E-2</v>
      </c>
      <c r="S834">
        <v>3.0000309999999999</v>
      </c>
      <c r="T834">
        <v>-0.13440679999999999</v>
      </c>
      <c r="U834">
        <v>-2.1972659999999998E-3</v>
      </c>
      <c r="V834">
        <v>1.825514E-2</v>
      </c>
      <c r="W834">
        <v>-7.5033520000000006E-2</v>
      </c>
      <c r="X834">
        <v>0.99701390000000001</v>
      </c>
      <c r="Y834">
        <v>3.546619E-3</v>
      </c>
      <c r="Z834">
        <v>-1.928822E-4</v>
      </c>
      <c r="AA834">
        <v>0.99999369999999999</v>
      </c>
      <c r="AB834">
        <v>33</v>
      </c>
      <c r="AC834">
        <v>23.7301</v>
      </c>
      <c r="AD834">
        <v>-1.070371617131</v>
      </c>
      <c r="AE834">
        <v>-1.80000000000291E-2</v>
      </c>
      <c r="AF834">
        <v>8.4751897112928506E-2</v>
      </c>
      <c r="AG834">
        <v>-1.070371617131</v>
      </c>
      <c r="AH834">
        <v>23.681772956284</v>
      </c>
      <c r="AI834">
        <v>92.587883682139307</v>
      </c>
      <c r="AJ834">
        <v>89.794951784717497</v>
      </c>
      <c r="AK834">
        <v>23.706101506485801</v>
      </c>
      <c r="AL834">
        <v>94.303148294597193</v>
      </c>
      <c r="AM834">
        <v>88.951042090696802</v>
      </c>
      <c r="AN834">
        <v>0.99999999802660999</v>
      </c>
    </row>
    <row r="835" spans="1:40" x14ac:dyDescent="0.25">
      <c r="A835" t="str">
        <f>"20190303154746072"</f>
        <v>20190303154746072</v>
      </c>
      <c r="B835" t="str">
        <f>"1551599266061436"</f>
        <v>1551599266061436</v>
      </c>
      <c r="C835" t="s">
        <v>40</v>
      </c>
      <c r="D835">
        <v>5.2273569999999996</v>
      </c>
      <c r="E835">
        <v>0.51330750000000003</v>
      </c>
      <c r="F835" t="s">
        <v>41</v>
      </c>
      <c r="G835">
        <v>-276.85989999999998</v>
      </c>
      <c r="H835" s="1">
        <v>-1.6792679999999999E-6</v>
      </c>
      <c r="I835">
        <v>367.64400000000001</v>
      </c>
      <c r="J835">
        <v>-300.56150000000002</v>
      </c>
      <c r="K835">
        <v>1.07037</v>
      </c>
      <c r="L835">
        <v>367.66419999999999</v>
      </c>
      <c r="M835">
        <v>0.99992150000000002</v>
      </c>
      <c r="N835">
        <v>-1.2205830000000001E-2</v>
      </c>
      <c r="O835">
        <v>2.8274300000000001E-3</v>
      </c>
      <c r="P835">
        <v>0.99606110000000003</v>
      </c>
      <c r="Q835">
        <v>-8.7246019999999994E-2</v>
      </c>
      <c r="R835">
        <v>-1.5830500000000001E-2</v>
      </c>
      <c r="S835">
        <v>3.0000309999999999</v>
      </c>
      <c r="T835">
        <v>-0.13450219999999999</v>
      </c>
      <c r="U835">
        <v>-2.4719239999999999E-3</v>
      </c>
      <c r="V835">
        <v>1.8646260000000001E-2</v>
      </c>
      <c r="W835">
        <v>-7.5082529999999995E-2</v>
      </c>
      <c r="X835">
        <v>0.99700299999999997</v>
      </c>
      <c r="Y835">
        <v>3.645438E-3</v>
      </c>
      <c r="Z835">
        <v>-1.961411E-4</v>
      </c>
      <c r="AA835">
        <v>0.99999329999999997</v>
      </c>
      <c r="AB835">
        <v>33</v>
      </c>
      <c r="AC835">
        <v>23.701599999999999</v>
      </c>
      <c r="AD835">
        <v>-1.070371679268</v>
      </c>
      <c r="AE835">
        <v>-2.0199999999988401E-2</v>
      </c>
      <c r="AF835">
        <v>8.7042009226837996E-2</v>
      </c>
      <c r="AG835">
        <v>-1.070371679268</v>
      </c>
      <c r="AH835">
        <v>23.6532085347127</v>
      </c>
      <c r="AI835">
        <v>92.591003842784204</v>
      </c>
      <c r="AJ835">
        <v>89.789156838903395</v>
      </c>
      <c r="AK835">
        <v>23.6775747455215</v>
      </c>
      <c r="AL835">
        <v>94.305964185008193</v>
      </c>
      <c r="AM835">
        <v>88.928561432223901</v>
      </c>
      <c r="AN835">
        <v>1.0000000256660899</v>
      </c>
    </row>
    <row r="836" spans="1:40" x14ac:dyDescent="0.25">
      <c r="A836" t="str">
        <f>"20190303154746082"</f>
        <v>20190303154746082</v>
      </c>
      <c r="B836" t="str">
        <f>"1551599266071195"</f>
        <v>1551599266071195</v>
      </c>
      <c r="C836" t="s">
        <v>40</v>
      </c>
      <c r="D836">
        <v>5.1785420000000002</v>
      </c>
      <c r="E836">
        <v>0.51800449999999998</v>
      </c>
      <c r="F836" t="s">
        <v>41</v>
      </c>
      <c r="G836">
        <v>-279.50470000000001</v>
      </c>
      <c r="H836" s="1">
        <v>-9.651397000000001E-7</v>
      </c>
      <c r="I836">
        <v>366.57010000000002</v>
      </c>
      <c r="J836">
        <v>-300.3981</v>
      </c>
      <c r="K836">
        <v>1.070371</v>
      </c>
      <c r="L836">
        <v>367.66469999999998</v>
      </c>
      <c r="M836">
        <v>0.99992199999999998</v>
      </c>
      <c r="N836">
        <v>-1.2161480000000001E-2</v>
      </c>
      <c r="O836">
        <v>2.8343750000000001E-3</v>
      </c>
      <c r="P836">
        <v>0.99606349999999999</v>
      </c>
      <c r="Q836">
        <v>-8.7195830000000002E-2</v>
      </c>
      <c r="R836">
        <v>-1.5947610000000001E-2</v>
      </c>
      <c r="S836">
        <v>2.9960629999999999</v>
      </c>
      <c r="T836">
        <v>-0.15229709999999999</v>
      </c>
      <c r="U836">
        <v>-0.15567020000000001</v>
      </c>
      <c r="V836">
        <v>1.877036E-2</v>
      </c>
      <c r="W836">
        <v>-7.5076550000000006E-2</v>
      </c>
      <c r="X836">
        <v>0.99700109999999997</v>
      </c>
      <c r="Y836">
        <v>5.4629459999999998E-2</v>
      </c>
      <c r="Z836">
        <v>-1.8287939999999999E-3</v>
      </c>
      <c r="AA836">
        <v>0.99850499999999998</v>
      </c>
      <c r="AB836">
        <v>33</v>
      </c>
      <c r="AC836">
        <v>20.8933999999999</v>
      </c>
      <c r="AD836">
        <v>-1.0703719651396999</v>
      </c>
      <c r="AE836">
        <v>-1.0945999999999501</v>
      </c>
      <c r="AF836">
        <v>1.1508076549228601</v>
      </c>
      <c r="AG836">
        <v>-1.0703719651396999</v>
      </c>
      <c r="AH836">
        <v>20.8356791808067</v>
      </c>
      <c r="AI836">
        <v>92.936349971061802</v>
      </c>
      <c r="AJ836">
        <v>86.8386202225132</v>
      </c>
      <c r="AK836">
        <v>20.894869737040398</v>
      </c>
      <c r="AL836">
        <v>94.305620679548397</v>
      </c>
      <c r="AM836">
        <v>88.921430107367499</v>
      </c>
      <c r="AN836">
        <v>1.0000000040878201</v>
      </c>
    </row>
    <row r="837" spans="1:40" x14ac:dyDescent="0.25">
      <c r="A837" t="str">
        <f>"20190303154746096"</f>
        <v>20190303154746096</v>
      </c>
      <c r="B837" t="str">
        <f>"1551599266091692"</f>
        <v>1551599266091692</v>
      </c>
      <c r="C837" t="s">
        <v>40</v>
      </c>
      <c r="D837">
        <v>5.1723210000000002</v>
      </c>
      <c r="E837">
        <v>0.52130410000000005</v>
      </c>
      <c r="F837" t="s">
        <v>43</v>
      </c>
      <c r="G837">
        <v>-280.07190000000003</v>
      </c>
      <c r="H837">
        <v>-0.05</v>
      </c>
      <c r="I837">
        <v>366.35329999999999</v>
      </c>
      <c r="J837">
        <v>-300.19569999999999</v>
      </c>
      <c r="K837">
        <v>1.0703769999999999</v>
      </c>
      <c r="L837">
        <v>367.6653</v>
      </c>
      <c r="M837">
        <v>0.99992259999999999</v>
      </c>
      <c r="N837">
        <v>-1.2125810000000001E-2</v>
      </c>
      <c r="O837">
        <v>2.843057E-3</v>
      </c>
      <c r="P837">
        <v>0.99607380000000001</v>
      </c>
      <c r="Q837">
        <v>-8.7060219999999994E-2</v>
      </c>
      <c r="R837">
        <v>-1.605939E-2</v>
      </c>
      <c r="S837">
        <v>2.9942929999999999</v>
      </c>
      <c r="T837">
        <v>-0.165044</v>
      </c>
      <c r="U837">
        <v>-0.1931763</v>
      </c>
      <c r="V837">
        <v>1.8890759999999999E-2</v>
      </c>
      <c r="W837">
        <v>-7.4976390000000004E-2</v>
      </c>
      <c r="X837">
        <v>0.99700639999999996</v>
      </c>
      <c r="Y837">
        <v>6.7091609999999996E-2</v>
      </c>
      <c r="Z837">
        <v>-2.3753060000000002E-3</v>
      </c>
      <c r="AA837">
        <v>0.99774399999999996</v>
      </c>
      <c r="AB837">
        <v>33</v>
      </c>
      <c r="AC837">
        <v>20.1237999999999</v>
      </c>
      <c r="AD837">
        <v>-1.120377</v>
      </c>
      <c r="AE837">
        <v>-1.31200000000001</v>
      </c>
      <c r="AF837">
        <v>1.3649989352460701</v>
      </c>
      <c r="AG837">
        <v>-1.120377</v>
      </c>
      <c r="AH837">
        <v>20.058079030457201</v>
      </c>
      <c r="AI837">
        <v>93.189665863045207</v>
      </c>
      <c r="AJ837">
        <v>86.106891340707705</v>
      </c>
      <c r="AK837">
        <v>20.135664903534199</v>
      </c>
      <c r="AL837">
        <v>94.299865556204097</v>
      </c>
      <c r="AM837">
        <v>88.914519181987998</v>
      </c>
      <c r="AN837">
        <v>1.00000004075588</v>
      </c>
    </row>
    <row r="838" spans="1:40" x14ac:dyDescent="0.25">
      <c r="A838" t="str">
        <f>"20190303154746112"</f>
        <v>20190303154746112</v>
      </c>
      <c r="B838" t="str">
        <f>"1551599266101451"</f>
        <v>1551599266101451</v>
      </c>
      <c r="C838" t="s">
        <v>40</v>
      </c>
      <c r="D838">
        <v>5.1643059999999998</v>
      </c>
      <c r="E838">
        <v>0.52174609999999899</v>
      </c>
      <c r="F838" t="s">
        <v>43</v>
      </c>
      <c r="G838">
        <v>-281.23020000000002</v>
      </c>
      <c r="H838">
        <v>-0.05</v>
      </c>
      <c r="I838">
        <v>366.27460000000002</v>
      </c>
      <c r="J838">
        <v>-299.97480000000002</v>
      </c>
      <c r="K838">
        <v>1.0703879999999999</v>
      </c>
      <c r="L838">
        <v>367.66590000000002</v>
      </c>
      <c r="M838">
        <v>0.99992270000000005</v>
      </c>
      <c r="N838">
        <v>-1.210753E-2</v>
      </c>
      <c r="O838">
        <v>2.855649E-3</v>
      </c>
      <c r="P838">
        <v>0.99609210000000004</v>
      </c>
      <c r="Q838">
        <v>-8.6827989999999994E-2</v>
      </c>
      <c r="R838">
        <v>-1.6184049999999998E-2</v>
      </c>
      <c r="S838">
        <v>2.9928279999999998</v>
      </c>
      <c r="T838">
        <v>-0.17680009999999999</v>
      </c>
      <c r="U838">
        <v>-0.21945190000000001</v>
      </c>
      <c r="V838">
        <v>1.9028070000000001E-2</v>
      </c>
      <c r="W838">
        <v>-7.4762110000000007E-2</v>
      </c>
      <c r="X838">
        <v>0.99701980000000001</v>
      </c>
      <c r="Y838">
        <v>7.5815789999999994E-2</v>
      </c>
      <c r="Z838">
        <v>-2.828358E-3</v>
      </c>
      <c r="AA838">
        <v>0.99711780000000005</v>
      </c>
      <c r="AB838">
        <v>33</v>
      </c>
      <c r="AC838">
        <v>18.744599999999899</v>
      </c>
      <c r="AD838">
        <v>-1.1203879999999999</v>
      </c>
      <c r="AE838">
        <v>-1.3913</v>
      </c>
      <c r="AF838">
        <v>1.43971091275395</v>
      </c>
      <c r="AG838">
        <v>-1.1203879999999999</v>
      </c>
      <c r="AH838">
        <v>18.674200269547001</v>
      </c>
      <c r="AI838">
        <v>93.423300231646607</v>
      </c>
      <c r="AJ838">
        <v>85.591430748818496</v>
      </c>
      <c r="AK838">
        <v>18.7630965592036</v>
      </c>
      <c r="AL838">
        <v>94.287554004297803</v>
      </c>
      <c r="AM838">
        <v>88.906645820157607</v>
      </c>
      <c r="AN838">
        <v>0.99999996106580702</v>
      </c>
    </row>
    <row r="839" spans="1:40" x14ac:dyDescent="0.25">
      <c r="A839" t="str">
        <f>"20190303154746128"</f>
        <v>20190303154746128</v>
      </c>
      <c r="B839" t="str">
        <f>"1551599266121479"</f>
        <v>1551599266121479</v>
      </c>
      <c r="C839" t="s">
        <v>40</v>
      </c>
      <c r="D839">
        <v>5.1533790000000002</v>
      </c>
      <c r="E839">
        <v>0.5225052</v>
      </c>
      <c r="F839" t="s">
        <v>43</v>
      </c>
      <c r="G839">
        <v>-281.55509999999998</v>
      </c>
      <c r="H839">
        <v>-0.05</v>
      </c>
      <c r="I839">
        <v>366.29039999999998</v>
      </c>
      <c r="J839">
        <v>-299.73439999999999</v>
      </c>
      <c r="K839">
        <v>1.0704100000000001</v>
      </c>
      <c r="L839">
        <v>367.66660000000002</v>
      </c>
      <c r="M839">
        <v>0.99992259999999999</v>
      </c>
      <c r="N839">
        <v>-1.212004E-2</v>
      </c>
      <c r="O839">
        <v>2.8687090000000001E-3</v>
      </c>
      <c r="P839">
        <v>0.99610670000000001</v>
      </c>
      <c r="Q839">
        <v>-8.6659879999999995E-2</v>
      </c>
      <c r="R839">
        <v>-1.618781E-2</v>
      </c>
      <c r="S839">
        <v>2.9922490000000002</v>
      </c>
      <c r="T839">
        <v>-0.18200430000000001</v>
      </c>
      <c r="U839">
        <v>-0.2234497</v>
      </c>
      <c r="V839">
        <v>1.9045220000000002E-2</v>
      </c>
      <c r="W839">
        <v>-7.4581289999999995E-2</v>
      </c>
      <c r="X839">
        <v>0.99703310000000001</v>
      </c>
      <c r="Y839">
        <v>7.7155849999999998E-2</v>
      </c>
      <c r="Z839">
        <v>-2.9492419999999999E-3</v>
      </c>
      <c r="AA839">
        <v>0.99701470000000003</v>
      </c>
      <c r="AB839">
        <v>33</v>
      </c>
      <c r="AC839">
        <v>18.179300000000001</v>
      </c>
      <c r="AD839">
        <v>-1.1204099999999999</v>
      </c>
      <c r="AE839">
        <v>-1.3762000000000301</v>
      </c>
      <c r="AF839">
        <v>1.42297506293082</v>
      </c>
      <c r="AG839">
        <v>-1.1204099999999999</v>
      </c>
      <c r="AH839">
        <v>18.106891824416401</v>
      </c>
      <c r="AI839">
        <v>93.529951633873395</v>
      </c>
      <c r="AJ839">
        <v>85.506504284195302</v>
      </c>
      <c r="AK839">
        <v>18.197244520502</v>
      </c>
      <c r="AL839">
        <v>94.277164412731594</v>
      </c>
      <c r="AM839">
        <v>88.905675214016597</v>
      </c>
      <c r="AN839">
        <v>1.0000000458592599</v>
      </c>
    </row>
    <row r="840" spans="1:40" x14ac:dyDescent="0.25">
      <c r="A840" t="str">
        <f>"20190303154746139"</f>
        <v>20190303154746139</v>
      </c>
      <c r="B840" t="str">
        <f>"1551599266131239"</f>
        <v>1551599266131239</v>
      </c>
      <c r="C840" t="s">
        <v>40</v>
      </c>
      <c r="D840">
        <v>5.1337479999999998</v>
      </c>
      <c r="E840">
        <v>0.52279770000000003</v>
      </c>
      <c r="F840" t="s">
        <v>43</v>
      </c>
      <c r="G840">
        <v>-282.02069999999998</v>
      </c>
      <c r="H840">
        <v>-0.05</v>
      </c>
      <c r="I840">
        <v>366.30860000000001</v>
      </c>
      <c r="J840">
        <v>-299.56389999999999</v>
      </c>
      <c r="K840">
        <v>1.070427</v>
      </c>
      <c r="L840">
        <v>367.6671</v>
      </c>
      <c r="M840">
        <v>0.99992219999999998</v>
      </c>
      <c r="N840">
        <v>-1.214968E-2</v>
      </c>
      <c r="O840">
        <v>2.8767630000000001E-3</v>
      </c>
      <c r="P840">
        <v>0.99610469999999895</v>
      </c>
      <c r="Q840">
        <v>-8.6692199999999997E-2</v>
      </c>
      <c r="R840">
        <v>-1.6135110000000001E-2</v>
      </c>
      <c r="S840">
        <v>2.9915470000000002</v>
      </c>
      <c r="T840">
        <v>-0.18921740000000001</v>
      </c>
      <c r="U840">
        <v>-0.2293396</v>
      </c>
      <c r="V840">
        <v>1.9000690000000001E-2</v>
      </c>
      <c r="W840">
        <v>-7.4584049999999999E-2</v>
      </c>
      <c r="X840">
        <v>0.99703370000000002</v>
      </c>
      <c r="Y840">
        <v>7.9115199999999997E-2</v>
      </c>
      <c r="Z840">
        <v>-3.1244430000000002E-3</v>
      </c>
      <c r="AA840">
        <v>0.99686059999999999</v>
      </c>
      <c r="AB840">
        <v>33</v>
      </c>
      <c r="AC840">
        <v>17.543199999999999</v>
      </c>
      <c r="AD840">
        <v>-1.1204270000000001</v>
      </c>
      <c r="AE840">
        <v>-1.35849999999999</v>
      </c>
      <c r="AF840">
        <v>1.4032759362785501</v>
      </c>
      <c r="AG840">
        <v>-1.1204270000000001</v>
      </c>
      <c r="AH840">
        <v>17.468390874900098</v>
      </c>
      <c r="AI840">
        <v>93.658186086133995</v>
      </c>
      <c r="AJ840">
        <v>85.407161190872401</v>
      </c>
      <c r="AK840">
        <v>17.5604447487516</v>
      </c>
      <c r="AL840">
        <v>94.277323175111903</v>
      </c>
      <c r="AM840">
        <v>88.908233912942407</v>
      </c>
      <c r="AN840">
        <v>1.00000000283528</v>
      </c>
    </row>
    <row r="841" spans="1:40" x14ac:dyDescent="0.25">
      <c r="A841" t="str">
        <f>"20190303154746150"</f>
        <v>20190303154746150</v>
      </c>
      <c r="B841" t="str">
        <f>"1551599266141000"</f>
        <v>1551599266141000</v>
      </c>
      <c r="C841" t="s">
        <v>40</v>
      </c>
      <c r="D841">
        <v>5.1169180000000001</v>
      </c>
      <c r="E841">
        <v>0.52313719999999997</v>
      </c>
      <c r="F841" t="s">
        <v>43</v>
      </c>
      <c r="G841">
        <v>-281.85930000000002</v>
      </c>
      <c r="H841">
        <v>-0.05</v>
      </c>
      <c r="I841">
        <v>366.29610000000002</v>
      </c>
      <c r="J841">
        <v>-299.40690000000001</v>
      </c>
      <c r="K841">
        <v>1.0704480000000001</v>
      </c>
      <c r="L841">
        <v>367.66750000000002</v>
      </c>
      <c r="M841">
        <v>0.99992139999999996</v>
      </c>
      <c r="N841">
        <v>-1.221295E-2</v>
      </c>
      <c r="O841">
        <v>2.8832860000000001E-3</v>
      </c>
      <c r="P841">
        <v>0.99610430000000005</v>
      </c>
      <c r="Q841">
        <v>-8.6741390000000002E-2</v>
      </c>
      <c r="R841">
        <v>-1.5893190000000001E-2</v>
      </c>
      <c r="S841">
        <v>2.9915159999999998</v>
      </c>
      <c r="T841">
        <v>-0.18931600000000001</v>
      </c>
      <c r="U841">
        <v>-0.2316589</v>
      </c>
      <c r="V841">
        <v>1.8765239999999999E-2</v>
      </c>
      <c r="W841">
        <v>-7.4570170000000005E-2</v>
      </c>
      <c r="X841">
        <v>0.99703920000000001</v>
      </c>
      <c r="Y841">
        <v>7.9888589999999995E-2</v>
      </c>
      <c r="Z841">
        <v>-3.1576059999999999E-3</v>
      </c>
      <c r="AA841">
        <v>0.99679879999999998</v>
      </c>
      <c r="AB841">
        <v>33</v>
      </c>
      <c r="AC841">
        <v>17.5475999999999</v>
      </c>
      <c r="AD841">
        <v>-1.1204479999999899</v>
      </c>
      <c r="AE841">
        <v>-1.37139999999999</v>
      </c>
      <c r="AF841">
        <v>1.4162537060559901</v>
      </c>
      <c r="AG841">
        <v>-1.1204479999999899</v>
      </c>
      <c r="AH841">
        <v>17.472767426883902</v>
      </c>
      <c r="AI841">
        <v>93.657129336197897</v>
      </c>
      <c r="AJ841">
        <v>85.366025901185495</v>
      </c>
      <c r="AK841">
        <v>17.565841278874</v>
      </c>
      <c r="AL841">
        <v>94.276525677857506</v>
      </c>
      <c r="AM841">
        <v>88.9217654344952</v>
      </c>
      <c r="AN841">
        <v>1.00000000541136</v>
      </c>
    </row>
    <row r="842" spans="1:40" x14ac:dyDescent="0.25">
      <c r="A842" t="str">
        <f>"20190303154746161"</f>
        <v>20190303154746161</v>
      </c>
      <c r="B842" t="str">
        <f>"1551599266151736"</f>
        <v>1551599266151736</v>
      </c>
      <c r="C842" t="s">
        <v>40</v>
      </c>
      <c r="D842">
        <v>5.0952840000000004</v>
      </c>
      <c r="E842">
        <v>0.5233968</v>
      </c>
      <c r="F842" t="s">
        <v>43</v>
      </c>
      <c r="G842">
        <v>-281.67529999999999</v>
      </c>
      <c r="H842">
        <v>-0.05</v>
      </c>
      <c r="I842">
        <v>366.28160000000003</v>
      </c>
      <c r="J842">
        <v>-299.24630000000002</v>
      </c>
      <c r="K842">
        <v>1.070471</v>
      </c>
      <c r="L842">
        <v>367.66800000000001</v>
      </c>
      <c r="M842">
        <v>0.99992040000000004</v>
      </c>
      <c r="N842">
        <v>-1.228281E-2</v>
      </c>
      <c r="O842">
        <v>2.8899450000000001E-3</v>
      </c>
      <c r="P842">
        <v>0.99607009999999996</v>
      </c>
      <c r="Q842">
        <v>-8.7165300000000001E-2</v>
      </c>
      <c r="R842">
        <v>-1.5709239999999999E-2</v>
      </c>
      <c r="S842">
        <v>2.9915769999999999</v>
      </c>
      <c r="T842">
        <v>-0.1890358</v>
      </c>
      <c r="U842">
        <v>-0.2338257</v>
      </c>
      <c r="V842">
        <v>1.8587780000000002E-2</v>
      </c>
      <c r="W842">
        <v>-7.4924829999999998E-2</v>
      </c>
      <c r="X842">
        <v>0.99701600000000001</v>
      </c>
      <c r="Y842">
        <v>8.0609929999999996E-2</v>
      </c>
      <c r="Z842">
        <v>-3.1836059999999998E-3</v>
      </c>
      <c r="AA842">
        <v>0.99674059999999998</v>
      </c>
      <c r="AB842">
        <v>33</v>
      </c>
      <c r="AC842">
        <v>17.571000000000002</v>
      </c>
      <c r="AD842">
        <v>-1.120471</v>
      </c>
      <c r="AE842">
        <v>-1.3863999999999801</v>
      </c>
      <c r="AF842">
        <v>1.4313926852996299</v>
      </c>
      <c r="AG842">
        <v>-1.120471</v>
      </c>
      <c r="AH842">
        <v>17.4962135772961</v>
      </c>
      <c r="AI842">
        <v>93.6520936199055</v>
      </c>
      <c r="AJ842">
        <v>85.322958505216604</v>
      </c>
      <c r="AK842">
        <v>17.590390269227498</v>
      </c>
      <c r="AL842">
        <v>94.296902927309802</v>
      </c>
      <c r="AM842">
        <v>88.931934913460907</v>
      </c>
      <c r="AN842">
        <v>1.0000000699859199</v>
      </c>
    </row>
    <row r="843" spans="1:40" x14ac:dyDescent="0.25">
      <c r="A843" t="str">
        <f>"20190303154746172"</f>
        <v>20190303154746172</v>
      </c>
      <c r="B843" t="str">
        <f>"1551599266161496"</f>
        <v>1551599266161496</v>
      </c>
      <c r="C843" t="s">
        <v>40</v>
      </c>
      <c r="D843">
        <v>5.1392189999999998</v>
      </c>
      <c r="E843">
        <v>0.52358819999999995</v>
      </c>
      <c r="F843" t="s">
        <v>43</v>
      </c>
      <c r="G843">
        <v>-281.56279999999998</v>
      </c>
      <c r="H843">
        <v>-0.05</v>
      </c>
      <c r="I843">
        <v>366.27879999999999</v>
      </c>
      <c r="J843">
        <v>-299.08789999999999</v>
      </c>
      <c r="K843">
        <v>1.070495</v>
      </c>
      <c r="L843">
        <v>367.66849999999999</v>
      </c>
      <c r="M843">
        <v>0.99991940000000001</v>
      </c>
      <c r="N843">
        <v>-1.237306E-2</v>
      </c>
      <c r="O843">
        <v>2.8967680000000001E-3</v>
      </c>
      <c r="P843">
        <v>0.99605149999999998</v>
      </c>
      <c r="Q843">
        <v>-8.7418109999999993E-2</v>
      </c>
      <c r="R843">
        <v>-1.547932E-2</v>
      </c>
      <c r="S843">
        <v>2.9915470000000002</v>
      </c>
      <c r="T843">
        <v>-0.18955250000000001</v>
      </c>
      <c r="U843">
        <v>-0.2350159</v>
      </c>
      <c r="V843">
        <v>1.8364700000000001E-2</v>
      </c>
      <c r="W843">
        <v>-7.5087879999999996E-2</v>
      </c>
      <c r="X843">
        <v>0.9970078</v>
      </c>
      <c r="Y843">
        <v>8.1009479999999995E-2</v>
      </c>
      <c r="Z843">
        <v>-3.2098719999999999E-3</v>
      </c>
      <c r="AA843">
        <v>0.99670820000000004</v>
      </c>
      <c r="AB843">
        <v>33</v>
      </c>
      <c r="AC843">
        <v>17.525099999999998</v>
      </c>
      <c r="AD843">
        <v>-1.120495</v>
      </c>
      <c r="AE843">
        <v>-1.3896999999999999</v>
      </c>
      <c r="AF843">
        <v>1.4346362133133801</v>
      </c>
      <c r="AG843">
        <v>-1.120495</v>
      </c>
      <c r="AH843">
        <v>17.450112189009499</v>
      </c>
      <c r="AI843">
        <v>93.661674481182104</v>
      </c>
      <c r="AJ843">
        <v>85.300078803514296</v>
      </c>
      <c r="AK843">
        <v>17.544802806489201</v>
      </c>
      <c r="AL843">
        <v>94.3062716847123</v>
      </c>
      <c r="AM843">
        <v>88.944741632084202</v>
      </c>
      <c r="AN843">
        <v>1.0000000025949101</v>
      </c>
    </row>
    <row r="844" spans="1:40" x14ac:dyDescent="0.25">
      <c r="A844" t="str">
        <f>"20190303154746183"</f>
        <v>20190303154746183</v>
      </c>
      <c r="B844" t="str">
        <f>"1551599266181991"</f>
        <v>1551599266181991</v>
      </c>
      <c r="C844" t="s">
        <v>40</v>
      </c>
      <c r="D844">
        <v>5.0824860000000003</v>
      </c>
      <c r="E844">
        <v>0.52404919999999999</v>
      </c>
      <c r="F844" t="s">
        <v>43</v>
      </c>
      <c r="G844">
        <v>-281.3691</v>
      </c>
      <c r="H844">
        <v>-0.05</v>
      </c>
      <c r="I844">
        <v>366.27170000000001</v>
      </c>
      <c r="J844">
        <v>-298.91750000000002</v>
      </c>
      <c r="K844">
        <v>1.0705209999999901</v>
      </c>
      <c r="L844">
        <v>367.66899999999998</v>
      </c>
      <c r="M844">
        <v>0.99991810000000003</v>
      </c>
      <c r="N844">
        <v>-1.2471799999999899E-2</v>
      </c>
      <c r="O844">
        <v>2.904069E-3</v>
      </c>
      <c r="P844">
        <v>0.99603629999999999</v>
      </c>
      <c r="Q844">
        <v>-8.7636430000000001E-2</v>
      </c>
      <c r="R844">
        <v>-1.522427E-2</v>
      </c>
      <c r="S844">
        <v>2.9915769999999999</v>
      </c>
      <c r="T844">
        <v>-0.1891803</v>
      </c>
      <c r="U844">
        <v>-0.23583979999999999</v>
      </c>
      <c r="V844">
        <v>1.811654E-2</v>
      </c>
      <c r="W844">
        <v>-7.5207930000000006E-2</v>
      </c>
      <c r="X844">
        <v>0.99700330000000004</v>
      </c>
      <c r="Y844">
        <v>8.1288620000000006E-2</v>
      </c>
      <c r="Z844">
        <v>-3.2190859999999999E-3</v>
      </c>
      <c r="AA844">
        <v>0.99668540000000005</v>
      </c>
      <c r="AB844">
        <v>33</v>
      </c>
      <c r="AC844">
        <v>17.548400000000001</v>
      </c>
      <c r="AD844">
        <v>-1.1205210000000001</v>
      </c>
      <c r="AE844">
        <v>-1.39730000000002</v>
      </c>
      <c r="AF844">
        <v>1.4424158252625701</v>
      </c>
      <c r="AG844">
        <v>-1.1205210000000001</v>
      </c>
      <c r="AH844">
        <v>17.473473344827202</v>
      </c>
      <c r="AI844">
        <v>93.656776860708206</v>
      </c>
      <c r="AJ844">
        <v>85.280996535233299</v>
      </c>
      <c r="AK844">
        <v>17.568676713309799</v>
      </c>
      <c r="AL844">
        <v>94.313169511185293</v>
      </c>
      <c r="AM844">
        <v>88.958993355527397</v>
      </c>
      <c r="AN844">
        <v>1.00000001098367</v>
      </c>
    </row>
    <row r="845" spans="1:40" x14ac:dyDescent="0.25">
      <c r="A845" t="str">
        <f>"20190303154746194"</f>
        <v>20190303154746194</v>
      </c>
      <c r="B845" t="str">
        <f>"1551599266191751"</f>
        <v>1551599266191751</v>
      </c>
      <c r="C845" t="s">
        <v>40</v>
      </c>
      <c r="D845">
        <v>5.0956640000000002</v>
      </c>
      <c r="E845">
        <v>0.52431300000000003</v>
      </c>
      <c r="F845" t="s">
        <v>43</v>
      </c>
      <c r="G845">
        <v>-281.18259999999998</v>
      </c>
      <c r="H845">
        <v>-0.05</v>
      </c>
      <c r="I845">
        <v>366.25389999999999</v>
      </c>
      <c r="J845">
        <v>-298.75229999999999</v>
      </c>
      <c r="K845">
        <v>1.070543</v>
      </c>
      <c r="L845">
        <v>367.66950000000003</v>
      </c>
      <c r="M845">
        <v>0.9999169</v>
      </c>
      <c r="N845">
        <v>-1.2571789999999999E-2</v>
      </c>
      <c r="O845">
        <v>2.9116540000000001E-3</v>
      </c>
      <c r="P845">
        <v>0.99602539999999995</v>
      </c>
      <c r="Q845">
        <v>-8.7780239999999995E-2</v>
      </c>
      <c r="R845">
        <v>-1.5113369999999999E-2</v>
      </c>
      <c r="S845">
        <v>2.9916689999999999</v>
      </c>
      <c r="T845">
        <v>-0.1890191</v>
      </c>
      <c r="U845">
        <v>-0.23870849999999999</v>
      </c>
      <c r="V845">
        <v>1.8013029999999999E-2</v>
      </c>
      <c r="W845">
        <v>-7.5252189999999997E-2</v>
      </c>
      <c r="X845">
        <v>0.99700180000000005</v>
      </c>
      <c r="Y845">
        <v>8.2241289999999995E-2</v>
      </c>
      <c r="Z845">
        <v>-3.2567759999999999E-3</v>
      </c>
      <c r="AA845">
        <v>0.99660709999999997</v>
      </c>
      <c r="AB845">
        <v>33</v>
      </c>
      <c r="AC845">
        <v>17.569700000000001</v>
      </c>
      <c r="AD845">
        <v>-1.1205430000000001</v>
      </c>
      <c r="AE845">
        <v>-1.4156000000000399</v>
      </c>
      <c r="AF845">
        <v>1.4608512215971601</v>
      </c>
      <c r="AG845">
        <v>-1.1205430000000001</v>
      </c>
      <c r="AH845">
        <v>17.494802176180901</v>
      </c>
      <c r="AI845">
        <v>93.652116020653196</v>
      </c>
      <c r="AJ845">
        <v>85.226760388684596</v>
      </c>
      <c r="AK845">
        <v>17.591412850882499</v>
      </c>
      <c r="AL845">
        <v>94.315712783430698</v>
      </c>
      <c r="AM845">
        <v>88.964938358382796</v>
      </c>
      <c r="AN845">
        <v>0.99999997527640805</v>
      </c>
    </row>
    <row r="846" spans="1:40" x14ac:dyDescent="0.25">
      <c r="A846" t="str">
        <f>"20190303154746206"</f>
        <v>20190303154746206</v>
      </c>
      <c r="B846" t="str">
        <f>"1551599266201512"</f>
        <v>1551599266201512</v>
      </c>
      <c r="C846" t="s">
        <v>40</v>
      </c>
      <c r="D846">
        <v>5.0730309999999896</v>
      </c>
      <c r="E846">
        <v>0.52446199999999998</v>
      </c>
      <c r="F846" t="s">
        <v>43</v>
      </c>
      <c r="G846">
        <v>-280.97820000000002</v>
      </c>
      <c r="H846">
        <v>-0.05</v>
      </c>
      <c r="I846">
        <v>366.24040000000002</v>
      </c>
      <c r="J846">
        <v>-298.59129999999999</v>
      </c>
      <c r="K846">
        <v>1.0705639999999901</v>
      </c>
      <c r="L846">
        <v>367.66989999999998</v>
      </c>
      <c r="M846">
        <v>0.99991560000000002</v>
      </c>
      <c r="N846">
        <v>-1.2667990000000001E-2</v>
      </c>
      <c r="O846">
        <v>2.9191410000000001E-3</v>
      </c>
      <c r="P846">
        <v>0.99599479999999996</v>
      </c>
      <c r="Q846">
        <v>-8.8143769999999996E-2</v>
      </c>
      <c r="R846">
        <v>-1.500191E-2</v>
      </c>
      <c r="S846">
        <v>2.9916990000000001</v>
      </c>
      <c r="T846">
        <v>-0.1886081</v>
      </c>
      <c r="U846">
        <v>-0.24053959999999999</v>
      </c>
      <c r="V846">
        <v>1.790887E-2</v>
      </c>
      <c r="W846">
        <v>-7.5520219999999999E-2</v>
      </c>
      <c r="X846">
        <v>0.99698339999999996</v>
      </c>
      <c r="Y846">
        <v>8.2853140000000006E-2</v>
      </c>
      <c r="Z846">
        <v>-3.2778569999999999E-3</v>
      </c>
      <c r="AA846">
        <v>0.99655640000000001</v>
      </c>
      <c r="AB846">
        <v>33</v>
      </c>
      <c r="AC846">
        <v>17.6130999999999</v>
      </c>
      <c r="AD846">
        <v>-1.1205639999999999</v>
      </c>
      <c r="AE846">
        <v>-1.42949999999996</v>
      </c>
      <c r="AF846">
        <v>1.47498202631696</v>
      </c>
      <c r="AG846">
        <v>-1.1205639999999999</v>
      </c>
      <c r="AH846">
        <v>17.538327438963599</v>
      </c>
      <c r="AI846">
        <v>93.642964062711599</v>
      </c>
      <c r="AJ846">
        <v>85.192709078619998</v>
      </c>
      <c r="AK846">
        <v>17.635877211308799</v>
      </c>
      <c r="AL846">
        <v>94.331113638163302</v>
      </c>
      <c r="AM846">
        <v>88.970903303365901</v>
      </c>
      <c r="AN846">
        <v>0.99999996556454196</v>
      </c>
    </row>
    <row r="847" spans="1:40" x14ac:dyDescent="0.25">
      <c r="A847" t="str">
        <f>"20190303154746217"</f>
        <v>20190303154746217</v>
      </c>
      <c r="B847" t="str">
        <f>"1551599266211271"</f>
        <v>1551599266211271</v>
      </c>
      <c r="C847" t="s">
        <v>40</v>
      </c>
      <c r="D847">
        <v>5.0491429999999999</v>
      </c>
      <c r="E847">
        <v>0.52469250000000001</v>
      </c>
      <c r="F847" t="s">
        <v>43</v>
      </c>
      <c r="G847">
        <v>-280.85430000000002</v>
      </c>
      <c r="H847">
        <v>-0.05</v>
      </c>
      <c r="I847">
        <v>366.23829999999998</v>
      </c>
      <c r="J847">
        <v>-298.4171</v>
      </c>
      <c r="K847">
        <v>1.070581</v>
      </c>
      <c r="L847">
        <v>367.67039999999997</v>
      </c>
      <c r="M847">
        <v>0.99991419999999998</v>
      </c>
      <c r="N847">
        <v>-1.277089E-2</v>
      </c>
      <c r="O847">
        <v>2.9270590000000001E-3</v>
      </c>
      <c r="P847">
        <v>0.99599320000000002</v>
      </c>
      <c r="Q847">
        <v>-8.8162249999999998E-2</v>
      </c>
      <c r="R847">
        <v>-1.5001179999999999E-2</v>
      </c>
      <c r="S847">
        <v>2.9916990000000001</v>
      </c>
      <c r="T847">
        <v>-0.18900539999999999</v>
      </c>
      <c r="U847">
        <v>-0.24145510000000001</v>
      </c>
      <c r="V847">
        <v>1.7915940000000002E-2</v>
      </c>
      <c r="W847">
        <v>-7.5436130000000004E-2</v>
      </c>
      <c r="X847">
        <v>0.99698969999999998</v>
      </c>
      <c r="Y847">
        <v>8.3162280000000005E-2</v>
      </c>
      <c r="Z847">
        <v>-3.299789E-3</v>
      </c>
      <c r="AA847">
        <v>0.99653049999999999</v>
      </c>
      <c r="AB847">
        <v>33</v>
      </c>
      <c r="AC847">
        <v>17.5627999999999</v>
      </c>
      <c r="AD847">
        <v>-1.120581</v>
      </c>
      <c r="AE847">
        <v>-1.4320999999999899</v>
      </c>
      <c r="AF847">
        <v>1.4775301405171599</v>
      </c>
      <c r="AG847">
        <v>-1.120581</v>
      </c>
      <c r="AH847">
        <v>17.487810273506302</v>
      </c>
      <c r="AI847">
        <v>93.6533958095998</v>
      </c>
      <c r="AJ847">
        <v>85.170598200745701</v>
      </c>
      <c r="AK847">
        <v>17.5858552608581</v>
      </c>
      <c r="AL847">
        <v>94.326281589917301</v>
      </c>
      <c r="AM847">
        <v>88.970503631704005</v>
      </c>
      <c r="AN847">
        <v>1.00000002626077</v>
      </c>
    </row>
    <row r="848" spans="1:40" x14ac:dyDescent="0.25">
      <c r="A848" t="str">
        <f>"20190303154746228"</f>
        <v>20190303154746228</v>
      </c>
      <c r="B848" t="str">
        <f>"1551599266222007"</f>
        <v>1551599266222007</v>
      </c>
      <c r="C848" t="s">
        <v>40</v>
      </c>
      <c r="D848">
        <v>5.0539360000000002</v>
      </c>
      <c r="E848">
        <v>0.52492299999999903</v>
      </c>
      <c r="F848" t="s">
        <v>43</v>
      </c>
      <c r="G848">
        <v>-280.59550000000002</v>
      </c>
      <c r="H848">
        <v>-0.05</v>
      </c>
      <c r="I848">
        <v>366.22</v>
      </c>
      <c r="J848">
        <v>-298.26049999999998</v>
      </c>
      <c r="K848">
        <v>1.0705960000000001</v>
      </c>
      <c r="L848">
        <v>367.67090000000002</v>
      </c>
      <c r="M848">
        <v>0.99991300000000005</v>
      </c>
      <c r="N848">
        <v>-1.2860430000000001E-2</v>
      </c>
      <c r="O848">
        <v>2.9336919999999999E-3</v>
      </c>
      <c r="P848">
        <v>0.99601340000000005</v>
      </c>
      <c r="Q848">
        <v>-8.7965979999999999E-2</v>
      </c>
      <c r="R848">
        <v>-1.4801679999999999E-2</v>
      </c>
      <c r="S848">
        <v>2.9917910000000001</v>
      </c>
      <c r="T848">
        <v>-0.18811600000000001</v>
      </c>
      <c r="U848">
        <v>-0.24349979999999999</v>
      </c>
      <c r="V848">
        <v>1.7723269999999999E-2</v>
      </c>
      <c r="W848">
        <v>-7.5150350000000005E-2</v>
      </c>
      <c r="X848">
        <v>0.99701470000000003</v>
      </c>
      <c r="Y848">
        <v>8.3842940000000005E-2</v>
      </c>
      <c r="Z848">
        <v>-3.3160020000000002E-3</v>
      </c>
      <c r="AA848">
        <v>0.99647350000000001</v>
      </c>
      <c r="AB848">
        <v>33</v>
      </c>
      <c r="AC848">
        <v>17.6649999999999</v>
      </c>
      <c r="AD848">
        <v>-1.1205959999999999</v>
      </c>
      <c r="AE848">
        <v>-1.4508999999999801</v>
      </c>
      <c r="AF848">
        <v>1.49673901347668</v>
      </c>
      <c r="AG848">
        <v>-1.1205959999999999</v>
      </c>
      <c r="AH848">
        <v>17.590355755254102</v>
      </c>
      <c r="AI848">
        <v>93.632020682913407</v>
      </c>
      <c r="AJ848">
        <v>85.136496257420205</v>
      </c>
      <c r="AK848">
        <v>17.689448229554301</v>
      </c>
      <c r="AL848">
        <v>94.309861101819095</v>
      </c>
      <c r="AM848">
        <v>88.981598136544903</v>
      </c>
      <c r="AN848">
        <v>1.00000000071035</v>
      </c>
    </row>
    <row r="849" spans="1:40" x14ac:dyDescent="0.25">
      <c r="A849" t="str">
        <f>"20190303154746241"</f>
        <v>20190303154746241</v>
      </c>
      <c r="B849" t="str">
        <f>"1551599266231767"</f>
        <v>1551599266231767</v>
      </c>
      <c r="C849" t="s">
        <v>40</v>
      </c>
      <c r="D849">
        <v>5.0643219999999998</v>
      </c>
      <c r="E849">
        <v>0.52509589999999995</v>
      </c>
      <c r="F849" t="s">
        <v>43</v>
      </c>
      <c r="G849">
        <v>-280.28870000000001</v>
      </c>
      <c r="H849">
        <v>-0.05</v>
      </c>
      <c r="I849">
        <v>366.20069999999998</v>
      </c>
      <c r="J849">
        <v>-298.08539999999999</v>
      </c>
      <c r="K849">
        <v>1.0706150000000001</v>
      </c>
      <c r="L849">
        <v>367.67140000000001</v>
      </c>
      <c r="M849">
        <v>0.99991180000000002</v>
      </c>
      <c r="N849">
        <v>-1.2959389999999999E-2</v>
      </c>
      <c r="O849">
        <v>2.941155E-3</v>
      </c>
      <c r="P849">
        <v>0.99600630000000001</v>
      </c>
      <c r="Q849">
        <v>-8.8074620000000006E-2</v>
      </c>
      <c r="R849">
        <v>-1.4650760000000001E-2</v>
      </c>
      <c r="S849">
        <v>2.9919129999999998</v>
      </c>
      <c r="T849">
        <v>-0.18655469999999999</v>
      </c>
      <c r="U849">
        <v>-0.244751</v>
      </c>
      <c r="V849">
        <v>1.7579640000000001E-2</v>
      </c>
      <c r="W849">
        <v>-7.5160399999999905E-2</v>
      </c>
      <c r="X849">
        <v>0.99701649999999997</v>
      </c>
      <c r="Y849">
        <v>8.426293E-2</v>
      </c>
      <c r="Z849">
        <v>-3.3125670000000002E-3</v>
      </c>
      <c r="AA849">
        <v>0.99643800000000005</v>
      </c>
      <c r="AB849">
        <v>33</v>
      </c>
      <c r="AC849">
        <v>17.796699999999898</v>
      </c>
      <c r="AD849">
        <v>-1.1206149999999999</v>
      </c>
      <c r="AE849">
        <v>-1.4707000000000201</v>
      </c>
      <c r="AF849">
        <v>1.5170666402809401</v>
      </c>
      <c r="AG849">
        <v>-1.1206149999999999</v>
      </c>
      <c r="AH849">
        <v>17.7225054819699</v>
      </c>
      <c r="AI849">
        <v>93.604914655118094</v>
      </c>
      <c r="AJ849">
        <v>85.107343203615002</v>
      </c>
      <c r="AK849">
        <v>17.8225831384716</v>
      </c>
      <c r="AL849">
        <v>94.310438494227199</v>
      </c>
      <c r="AM849">
        <v>88.989851407088096</v>
      </c>
      <c r="AN849">
        <v>1.0000000153714601</v>
      </c>
    </row>
    <row r="850" spans="1:40" x14ac:dyDescent="0.25">
      <c r="A850" t="str">
        <f>"20190303154746252"</f>
        <v>20190303154746252</v>
      </c>
      <c r="B850" t="str">
        <f>"1551599266241528"</f>
        <v>1551599266241528</v>
      </c>
      <c r="C850" t="s">
        <v>40</v>
      </c>
      <c r="D850">
        <v>5.0644</v>
      </c>
      <c r="E850">
        <v>0.5252483</v>
      </c>
      <c r="F850" t="s">
        <v>43</v>
      </c>
      <c r="G850">
        <v>-280.07170000000002</v>
      </c>
      <c r="H850">
        <v>-0.05</v>
      </c>
      <c r="I850">
        <v>366.19290000000001</v>
      </c>
      <c r="J850">
        <v>-297.91539999999998</v>
      </c>
      <c r="K850">
        <v>1.0706340000000001</v>
      </c>
      <c r="L850">
        <v>367.67189999999999</v>
      </c>
      <c r="M850">
        <v>0.99991070000000004</v>
      </c>
      <c r="N850">
        <v>-1.3050239999999999E-2</v>
      </c>
      <c r="O850">
        <v>2.9477750000000001E-3</v>
      </c>
      <c r="P850">
        <v>0.99602279999999999</v>
      </c>
      <c r="Q850">
        <v>-8.7879769999999996E-2</v>
      </c>
      <c r="R850">
        <v>-1.4702089999999999E-2</v>
      </c>
      <c r="S850">
        <v>2.9920040000000001</v>
      </c>
      <c r="T850">
        <v>-0.1861303</v>
      </c>
      <c r="U850">
        <v>-0.24557499999999999</v>
      </c>
      <c r="V850">
        <v>1.7637610000000001E-2</v>
      </c>
      <c r="W850">
        <v>-7.4874759999999999E-2</v>
      </c>
      <c r="X850">
        <v>0.9970369</v>
      </c>
      <c r="Y850">
        <v>8.4539600000000006E-2</v>
      </c>
      <c r="Z850">
        <v>-3.3203820000000002E-3</v>
      </c>
      <c r="AA850">
        <v>0.99641460000000004</v>
      </c>
      <c r="AB850">
        <v>33</v>
      </c>
      <c r="AC850">
        <v>17.843699999999899</v>
      </c>
      <c r="AD850">
        <v>-1.1206339999999999</v>
      </c>
      <c r="AE850">
        <v>-1.4789999999999801</v>
      </c>
      <c r="AF850">
        <v>1.5256209746735501</v>
      </c>
      <c r="AG850">
        <v>-1.1206339999999999</v>
      </c>
      <c r="AH850">
        <v>17.769653673954501</v>
      </c>
      <c r="AI850">
        <v>93.595358064557104</v>
      </c>
      <c r="AJ850">
        <v>85.092880556033506</v>
      </c>
      <c r="AK850">
        <v>17.870196742414599</v>
      </c>
      <c r="AL850">
        <v>94.294026573950305</v>
      </c>
      <c r="AM850">
        <v>88.986541802486897</v>
      </c>
      <c r="AN850">
        <v>0.99999994746658805</v>
      </c>
    </row>
    <row r="851" spans="1:40" x14ac:dyDescent="0.25">
      <c r="A851" t="str">
        <f>"20190303154746263"</f>
        <v>20190303154746263</v>
      </c>
      <c r="B851" t="str">
        <f>"1551599266262023"</f>
        <v>1551599266262023</v>
      </c>
      <c r="C851" t="s">
        <v>40</v>
      </c>
      <c r="D851">
        <v>5.0565709999999999</v>
      </c>
      <c r="E851">
        <v>0.52540480000000001</v>
      </c>
      <c r="F851" t="s">
        <v>43</v>
      </c>
      <c r="G851">
        <v>-279.70460000000003</v>
      </c>
      <c r="H851">
        <v>-0.05</v>
      </c>
      <c r="I851">
        <v>366.1687</v>
      </c>
      <c r="J851">
        <v>-297.75080000000003</v>
      </c>
      <c r="K851">
        <v>1.070648</v>
      </c>
      <c r="L851">
        <v>367.67239999999998</v>
      </c>
      <c r="M851">
        <v>0.9999093</v>
      </c>
      <c r="N851">
        <v>-1.3136449999999999E-2</v>
      </c>
      <c r="O851">
        <v>2.9543030000000001E-3</v>
      </c>
      <c r="P851">
        <v>0.9960793</v>
      </c>
      <c r="Q851">
        <v>-8.7238540000000003E-2</v>
      </c>
      <c r="R851">
        <v>-1.468854E-2</v>
      </c>
      <c r="S851">
        <v>2.9920960000000001</v>
      </c>
      <c r="T851">
        <v>-0.18412419999999999</v>
      </c>
      <c r="U851">
        <v>-0.2469788</v>
      </c>
      <c r="V851">
        <v>1.7630690000000001E-2</v>
      </c>
      <c r="W851">
        <v>-7.4146859999999995E-2</v>
      </c>
      <c r="X851">
        <v>0.99709150000000002</v>
      </c>
      <c r="Y851">
        <v>8.5010630000000004E-2</v>
      </c>
      <c r="Z851">
        <v>-3.3113359999999998E-3</v>
      </c>
      <c r="AA851">
        <v>0.99637450000000005</v>
      </c>
      <c r="AB851">
        <v>33</v>
      </c>
      <c r="AC851">
        <v>18.046199999999999</v>
      </c>
      <c r="AD851">
        <v>-1.1206479999999901</v>
      </c>
      <c r="AE851">
        <v>-1.5036999999999801</v>
      </c>
      <c r="AF851">
        <v>1.55107188062322</v>
      </c>
      <c r="AG851">
        <v>-1.1206479999999901</v>
      </c>
      <c r="AH851">
        <v>17.972848284673098</v>
      </c>
      <c r="AI851">
        <v>93.554724404458497</v>
      </c>
      <c r="AJ851">
        <v>85.067547312826093</v>
      </c>
      <c r="AK851">
        <v>18.074428106655098</v>
      </c>
      <c r="AL851">
        <v>94.252204370586099</v>
      </c>
      <c r="AM851">
        <v>88.986994806145304</v>
      </c>
      <c r="AN851">
        <v>1.0000000287249899</v>
      </c>
    </row>
    <row r="852" spans="1:40" x14ac:dyDescent="0.25">
      <c r="A852" t="str">
        <f>"20190303154746274"</f>
        <v>20190303154746274</v>
      </c>
      <c r="B852" t="str">
        <f>"1551599266271783"</f>
        <v>1551599266271783</v>
      </c>
      <c r="C852" t="s">
        <v>40</v>
      </c>
      <c r="D852">
        <v>5.0053859999999997</v>
      </c>
      <c r="E852">
        <v>0.52553739999999904</v>
      </c>
      <c r="F852" t="s">
        <v>43</v>
      </c>
      <c r="G852">
        <v>-279.37349999999998</v>
      </c>
      <c r="H852">
        <v>-0.05</v>
      </c>
      <c r="I852">
        <v>366.14819999999997</v>
      </c>
      <c r="J852">
        <v>-297.59050000000002</v>
      </c>
      <c r="K852">
        <v>1.070659</v>
      </c>
      <c r="L852">
        <v>367.67290000000003</v>
      </c>
      <c r="M852">
        <v>0.99990829999999997</v>
      </c>
      <c r="N852">
        <v>-1.3216200000000001E-2</v>
      </c>
      <c r="O852">
        <v>2.9605130000000001E-3</v>
      </c>
      <c r="P852">
        <v>0.99613200000000002</v>
      </c>
      <c r="Q852">
        <v>-8.6639289999999994E-2</v>
      </c>
      <c r="R852">
        <v>-1.4651340000000001E-2</v>
      </c>
      <c r="S852">
        <v>2.9921570000000002</v>
      </c>
      <c r="T852">
        <v>-0.1824616</v>
      </c>
      <c r="U852">
        <v>-0.2481689</v>
      </c>
      <c r="V852">
        <v>1.7600049999999999E-2</v>
      </c>
      <c r="W852">
        <v>-7.3467450000000004E-2</v>
      </c>
      <c r="X852">
        <v>0.99714230000000004</v>
      </c>
      <c r="Y852">
        <v>8.5410929999999996E-2</v>
      </c>
      <c r="Z852">
        <v>-3.3043740000000001E-3</v>
      </c>
      <c r="AA852">
        <v>0.99634029999999996</v>
      </c>
      <c r="AB852">
        <v>33</v>
      </c>
      <c r="AC852">
        <v>18.216999999999999</v>
      </c>
      <c r="AD852">
        <v>-1.1206590000000001</v>
      </c>
      <c r="AE852">
        <v>-1.5247000000000499</v>
      </c>
      <c r="AF852">
        <v>1.57271934738012</v>
      </c>
      <c r="AG852">
        <v>-1.1206590000000001</v>
      </c>
      <c r="AH852">
        <v>18.144219135868401</v>
      </c>
      <c r="AI852">
        <v>93.521155670879693</v>
      </c>
      <c r="AJ852">
        <v>85.046051871939596</v>
      </c>
      <c r="AK852">
        <v>18.246698627157699</v>
      </c>
      <c r="AL852">
        <v>94.213170715012794</v>
      </c>
      <c r="AM852">
        <v>88.988806428139796</v>
      </c>
      <c r="AN852">
        <v>0.99999999720939703</v>
      </c>
    </row>
    <row r="853" spans="1:40" x14ac:dyDescent="0.25">
      <c r="A853" t="str">
        <f>"20190303154746285"</f>
        <v>20190303154746285</v>
      </c>
      <c r="B853" t="str">
        <f>"1551599266281798"</f>
        <v>1551599266281798</v>
      </c>
      <c r="C853" t="s">
        <v>40</v>
      </c>
      <c r="D853">
        <v>5.0701429999999998</v>
      </c>
      <c r="E853">
        <v>0.52572849999999904</v>
      </c>
      <c r="F853" t="s">
        <v>41</v>
      </c>
      <c r="G853">
        <v>-279.8716</v>
      </c>
      <c r="H853" s="1">
        <v>-9.3959400000000002E-7</v>
      </c>
      <c r="I853">
        <v>366.1968</v>
      </c>
      <c r="J853">
        <v>-297.43209999999999</v>
      </c>
      <c r="K853">
        <v>1.070665</v>
      </c>
      <c r="L853">
        <v>367.67340000000002</v>
      </c>
      <c r="M853">
        <v>0.99990730000000005</v>
      </c>
      <c r="N853">
        <v>-1.3291809999999999E-2</v>
      </c>
      <c r="O853">
        <v>2.9667460000000001E-3</v>
      </c>
      <c r="P853">
        <v>0.99614420000000004</v>
      </c>
      <c r="Q853">
        <v>-8.6448609999999995E-2</v>
      </c>
      <c r="R853">
        <v>-1.494608E-2</v>
      </c>
      <c r="S853">
        <v>2.9922490000000002</v>
      </c>
      <c r="T853">
        <v>-0.18080579999999999</v>
      </c>
      <c r="U853">
        <v>-0.24926760000000001</v>
      </c>
      <c r="V853">
        <v>1.7900880000000001E-2</v>
      </c>
      <c r="W853">
        <v>-7.3201230000000006E-2</v>
      </c>
      <c r="X853">
        <v>0.9971565</v>
      </c>
      <c r="Y853">
        <v>8.5780200000000001E-2</v>
      </c>
      <c r="Z853">
        <v>-3.2959859999999999E-3</v>
      </c>
      <c r="AA853">
        <v>0.99630859999999999</v>
      </c>
      <c r="AB853">
        <v>33</v>
      </c>
      <c r="AC853">
        <v>17.560499999999902</v>
      </c>
      <c r="AD853">
        <v>-1.0706659395939999</v>
      </c>
      <c r="AE853">
        <v>-1.4766000000000099</v>
      </c>
      <c r="AF853">
        <v>1.5230735876549499</v>
      </c>
      <c r="AG853">
        <v>-1.0706659395939999</v>
      </c>
      <c r="AH853">
        <v>17.4914760814166</v>
      </c>
      <c r="AI853">
        <v>93.489574611527004</v>
      </c>
      <c r="AJ853">
        <v>85.0235112267804</v>
      </c>
      <c r="AK853">
        <v>17.590276126723701</v>
      </c>
      <c r="AL853">
        <v>94.197876350374699</v>
      </c>
      <c r="AM853">
        <v>88.971540860324495</v>
      </c>
      <c r="AN853">
        <v>0.99999997353526804</v>
      </c>
    </row>
    <row r="854" spans="1:40" x14ac:dyDescent="0.25">
      <c r="A854" t="str">
        <f>"20190303154746298"</f>
        <v>20190303154746298</v>
      </c>
      <c r="B854" t="str">
        <f>"1551599266291558"</f>
        <v>1551599266291558</v>
      </c>
      <c r="C854" t="s">
        <v>40</v>
      </c>
      <c r="D854">
        <v>5.0649059999999997</v>
      </c>
      <c r="E854">
        <v>0.52552919999999903</v>
      </c>
      <c r="F854" t="s">
        <v>41</v>
      </c>
      <c r="G854">
        <v>-279.5607</v>
      </c>
      <c r="H854" s="1">
        <v>-1.05193E-6</v>
      </c>
      <c r="I854">
        <v>366.17219999999998</v>
      </c>
      <c r="J854">
        <v>-297.24630000000002</v>
      </c>
      <c r="K854">
        <v>1.0706739999999999</v>
      </c>
      <c r="L854">
        <v>367.67399999999998</v>
      </c>
      <c r="M854">
        <v>0.99990610000000002</v>
      </c>
      <c r="N854">
        <v>-1.337642E-2</v>
      </c>
      <c r="O854">
        <v>2.974403E-3</v>
      </c>
      <c r="P854">
        <v>0.99617489999999997</v>
      </c>
      <c r="Q854">
        <v>-8.6069510000000002E-2</v>
      </c>
      <c r="R854">
        <v>-1.5093540000000001E-2</v>
      </c>
      <c r="S854">
        <v>2.9922789999999999</v>
      </c>
      <c r="T854">
        <v>-0.17926539999999999</v>
      </c>
      <c r="U854">
        <v>-0.25134279999999998</v>
      </c>
      <c r="V854">
        <v>1.8055939999999999E-2</v>
      </c>
      <c r="W854">
        <v>-7.2737410000000002E-2</v>
      </c>
      <c r="X854">
        <v>0.99718770000000001</v>
      </c>
      <c r="Y854">
        <v>8.6474399999999896E-2</v>
      </c>
      <c r="Z854">
        <v>-3.3015240000000001E-3</v>
      </c>
      <c r="AA854">
        <v>0.99624860000000004</v>
      </c>
      <c r="AB854">
        <v>33</v>
      </c>
      <c r="AC854">
        <v>17.685600000000001</v>
      </c>
      <c r="AD854">
        <v>-1.0706750519299999</v>
      </c>
      <c r="AE854">
        <v>-1.50180000000005</v>
      </c>
      <c r="AF854">
        <v>1.5487665490484701</v>
      </c>
      <c r="AG854">
        <v>-1.0706750519299999</v>
      </c>
      <c r="AH854">
        <v>17.616950249259499</v>
      </c>
      <c r="AI854">
        <v>93.464559243346599</v>
      </c>
      <c r="AJ854">
        <v>84.975848349717097</v>
      </c>
      <c r="AK854">
        <v>17.717278543138701</v>
      </c>
      <c r="AL854">
        <v>94.171230158499398</v>
      </c>
      <c r="AM854">
        <v>88.962666587575697</v>
      </c>
      <c r="AN854">
        <v>1.0000000284070401</v>
      </c>
    </row>
    <row r="855" spans="1:40" x14ac:dyDescent="0.25">
      <c r="A855" t="str">
        <f>"20190303154746311"</f>
        <v>20190303154746311</v>
      </c>
      <c r="B855" t="str">
        <f>"1551599266301318"</f>
        <v>1551599266301318</v>
      </c>
      <c r="C855" t="s">
        <v>40</v>
      </c>
      <c r="D855">
        <v>4.9536350000000002</v>
      </c>
      <c r="E855">
        <v>0.52552919999999903</v>
      </c>
      <c r="F855" t="s">
        <v>41</v>
      </c>
      <c r="G855">
        <v>-279.34309999999999</v>
      </c>
      <c r="H855" s="1">
        <v>-1.124791E-6</v>
      </c>
      <c r="I855">
        <v>366.17669999999998</v>
      </c>
      <c r="J855">
        <v>-297.06720000000001</v>
      </c>
      <c r="K855">
        <v>1.0706789999999999</v>
      </c>
      <c r="L855">
        <v>367.67450000000002</v>
      </c>
      <c r="M855">
        <v>0.99990520000000005</v>
      </c>
      <c r="N855">
        <v>-1.3451680000000001E-2</v>
      </c>
      <c r="O855">
        <v>2.98182E-3</v>
      </c>
      <c r="P855">
        <v>0.99620319999999996</v>
      </c>
      <c r="Q855">
        <v>-8.5677519999999993E-2</v>
      </c>
      <c r="R855">
        <v>-1.545245E-2</v>
      </c>
      <c r="S855">
        <v>2.9922490000000002</v>
      </c>
      <c r="T855">
        <v>-0.17894660000000001</v>
      </c>
      <c r="U855">
        <v>-0.25024410000000002</v>
      </c>
      <c r="V855">
        <v>1.842237E-2</v>
      </c>
      <c r="W855">
        <v>-7.2270039999999994E-2</v>
      </c>
      <c r="X855">
        <v>0.99721499999999996</v>
      </c>
      <c r="Y855">
        <v>8.6120580000000002E-2</v>
      </c>
      <c r="Z855">
        <v>-3.2871269999999999E-3</v>
      </c>
      <c r="AA855">
        <v>0.99627929999999998</v>
      </c>
      <c r="AB855">
        <v>33</v>
      </c>
      <c r="AC855">
        <v>17.7241</v>
      </c>
      <c r="AD855">
        <v>-1.0706801247910001</v>
      </c>
      <c r="AE855">
        <v>-1.49780000000004</v>
      </c>
      <c r="AF855">
        <v>1.54505005835635</v>
      </c>
      <c r="AG855">
        <v>-1.0706801247910001</v>
      </c>
      <c r="AH855">
        <v>17.655583673505401</v>
      </c>
      <c r="AI855">
        <v>93.457133876705498</v>
      </c>
      <c r="AJ855">
        <v>84.998754815149397</v>
      </c>
      <c r="AK855">
        <v>17.755370186639301</v>
      </c>
      <c r="AL855">
        <v>94.144381081014799</v>
      </c>
      <c r="AM855">
        <v>88.941648493968302</v>
      </c>
      <c r="AN855">
        <v>1.0000000493115</v>
      </c>
    </row>
    <row r="856" spans="1:40" x14ac:dyDescent="0.25">
      <c r="A856" t="str">
        <f>"20190303154746326"</f>
        <v>20190303154746326</v>
      </c>
      <c r="B856" t="str">
        <f>"1551599266321813"</f>
        <v>1551599266321813</v>
      </c>
      <c r="C856" t="s">
        <v>40</v>
      </c>
      <c r="D856">
        <v>4.9500299999999999</v>
      </c>
      <c r="E856">
        <v>0.50246570000000002</v>
      </c>
      <c r="F856" t="s">
        <v>41</v>
      </c>
      <c r="G856">
        <v>-279.03949999999998</v>
      </c>
      <c r="H856" s="1">
        <v>-1.232728E-6</v>
      </c>
      <c r="I856">
        <v>366.15940000000001</v>
      </c>
      <c r="J856">
        <v>-296.84809999999999</v>
      </c>
      <c r="K856">
        <v>1.0706869999999999</v>
      </c>
      <c r="L856">
        <v>367.67509999999999</v>
      </c>
      <c r="M856">
        <v>0.99990400000000002</v>
      </c>
      <c r="N856">
        <v>-1.353887E-2</v>
      </c>
      <c r="O856">
        <v>2.9911809999999999E-3</v>
      </c>
      <c r="P856">
        <v>0.99621300000000002</v>
      </c>
      <c r="Q856">
        <v>-8.5538959999999997E-2</v>
      </c>
      <c r="R856">
        <v>-1.560302E-2</v>
      </c>
      <c r="S856">
        <v>2.9922490000000002</v>
      </c>
      <c r="T856">
        <v>-0.17771149999999999</v>
      </c>
      <c r="U856">
        <v>-0.25146479999999999</v>
      </c>
      <c r="V856">
        <v>1.8582250000000002E-2</v>
      </c>
      <c r="W856">
        <v>-7.2044399999999995E-2</v>
      </c>
      <c r="X856">
        <v>0.99722829999999996</v>
      </c>
      <c r="Y856">
        <v>8.6534810000000004E-2</v>
      </c>
      <c r="Z856">
        <v>-3.2871760000000002E-3</v>
      </c>
      <c r="AA856">
        <v>0.9962434</v>
      </c>
      <c r="AB856">
        <v>32</v>
      </c>
      <c r="AC856">
        <v>17.808599999999998</v>
      </c>
      <c r="AD856">
        <v>-1.0706882327280001</v>
      </c>
      <c r="AE856">
        <v>-1.5156999999999801</v>
      </c>
      <c r="AF856">
        <v>1.56335649053125</v>
      </c>
      <c r="AG856">
        <v>-1.0706882327280001</v>
      </c>
      <c r="AH856">
        <v>17.7403222456587</v>
      </c>
      <c r="AI856">
        <v>93.440502633067098</v>
      </c>
      <c r="AJ856">
        <v>84.963849708267702</v>
      </c>
      <c r="AK856">
        <v>17.841230063759699</v>
      </c>
      <c r="AL856">
        <v>94.131419323284703</v>
      </c>
      <c r="AM856">
        <v>88.932479857240295</v>
      </c>
      <c r="AN856">
        <v>0.99999998895365605</v>
      </c>
    </row>
    <row r="857" spans="1:40" x14ac:dyDescent="0.25">
      <c r="A857" t="str">
        <f>"20190303154746338"</f>
        <v>20190303154746338</v>
      </c>
      <c r="B857" t="str">
        <f>"1551599266331573"</f>
        <v>1551599266331573</v>
      </c>
      <c r="C857" t="s">
        <v>40</v>
      </c>
      <c r="D857">
        <v>4.9661660000000003</v>
      </c>
      <c r="E857">
        <v>0.50003059999999999</v>
      </c>
      <c r="F857" t="s">
        <v>41</v>
      </c>
      <c r="G857">
        <v>-275.31139999999999</v>
      </c>
      <c r="H857" s="1">
        <v>-2.425403E-6</v>
      </c>
      <c r="I857">
        <v>367.18259999999998</v>
      </c>
      <c r="J857">
        <v>-296.66120000000001</v>
      </c>
      <c r="K857">
        <v>1.070695</v>
      </c>
      <c r="L857">
        <v>367.67570000000001</v>
      </c>
      <c r="M857">
        <v>0.99990299999999999</v>
      </c>
      <c r="N857">
        <v>-1.3608250000000001E-2</v>
      </c>
      <c r="O857">
        <v>2.9989330000000001E-3</v>
      </c>
      <c r="P857">
        <v>0.99620909999999996</v>
      </c>
      <c r="Q857">
        <v>-8.554929E-2</v>
      </c>
      <c r="R857">
        <v>-1.57807999999999E-2</v>
      </c>
      <c r="S857">
        <v>2.997528</v>
      </c>
      <c r="T857">
        <v>-0.1490204</v>
      </c>
      <c r="U857">
        <v>-6.8542480000000003E-2</v>
      </c>
      <c r="V857">
        <v>1.8767780000000001E-2</v>
      </c>
      <c r="W857">
        <v>-7.198562E-2</v>
      </c>
      <c r="X857">
        <v>0.99722909999999998</v>
      </c>
      <c r="Y857">
        <v>2.581613E-2</v>
      </c>
      <c r="Z857">
        <v>-9.2525470000000005E-4</v>
      </c>
      <c r="AA857">
        <v>0.99966630000000001</v>
      </c>
      <c r="AB857">
        <v>32</v>
      </c>
      <c r="AC857">
        <v>21.349799999999998</v>
      </c>
      <c r="AD857">
        <v>-1.0706974254029999</v>
      </c>
      <c r="AE857">
        <v>-0.49310000000002602</v>
      </c>
      <c r="AF857">
        <v>0.55573337546662605</v>
      </c>
      <c r="AG857">
        <v>-1.0706974254029999</v>
      </c>
      <c r="AH857">
        <v>21.294696483128799</v>
      </c>
      <c r="AI857">
        <v>92.877429997151097</v>
      </c>
      <c r="AJ857">
        <v>88.505076075412902</v>
      </c>
      <c r="AK857">
        <v>21.328838010307798</v>
      </c>
      <c r="AL857">
        <v>94.128042588058904</v>
      </c>
      <c r="AM857">
        <v>88.921824827727207</v>
      </c>
      <c r="AN857">
        <v>1.0000000184698601</v>
      </c>
    </row>
    <row r="858" spans="1:40" x14ac:dyDescent="0.25">
      <c r="A858" t="str">
        <f>"20190303154746350"</f>
        <v>20190303154746350</v>
      </c>
      <c r="B858" t="str">
        <f>"1551599266341334"</f>
        <v>1551599266341334</v>
      </c>
      <c r="C858" t="s">
        <v>40</v>
      </c>
      <c r="D858">
        <v>5.0013360000000002</v>
      </c>
      <c r="E858">
        <v>0.49764459999999999</v>
      </c>
      <c r="F858" t="s">
        <v>41</v>
      </c>
      <c r="G858">
        <v>-274.73289999999997</v>
      </c>
      <c r="H858" s="1">
        <v>-2.6507799999999898E-6</v>
      </c>
      <c r="I858">
        <v>367.31119999999999</v>
      </c>
      <c r="J858">
        <v>-296.49930000000001</v>
      </c>
      <c r="K858">
        <v>1.070703</v>
      </c>
      <c r="L858">
        <v>367.67619999999999</v>
      </c>
      <c r="M858">
        <v>0.99990230000000002</v>
      </c>
      <c r="N858">
        <v>-1.366297E-2</v>
      </c>
      <c r="O858">
        <v>3.0056509999999998E-3</v>
      </c>
      <c r="P858">
        <v>0.99622129999999998</v>
      </c>
      <c r="Q858">
        <v>-8.5359820000000003E-2</v>
      </c>
      <c r="R858">
        <v>-1.6047809999999999E-2</v>
      </c>
      <c r="S858">
        <v>2.9980159999999998</v>
      </c>
      <c r="T858">
        <v>-0.14638419999999999</v>
      </c>
      <c r="U858">
        <v>-4.9835209999999998E-2</v>
      </c>
      <c r="V858">
        <v>1.9041389999999998E-2</v>
      </c>
      <c r="W858">
        <v>-7.174142E-2</v>
      </c>
      <c r="X858">
        <v>0.9972415</v>
      </c>
      <c r="Y858">
        <v>1.9594139999999999E-2</v>
      </c>
      <c r="Z858">
        <v>-7.176315E-4</v>
      </c>
      <c r="AA858">
        <v>0.99980780000000002</v>
      </c>
      <c r="AB858">
        <v>32</v>
      </c>
      <c r="AC858">
        <v>21.766400000000001</v>
      </c>
      <c r="AD858">
        <v>-1.0707056507799999</v>
      </c>
      <c r="AE858">
        <v>-0.36500000000000898</v>
      </c>
      <c r="AF858">
        <v>0.42938793874300302</v>
      </c>
      <c r="AG858">
        <v>-1.0707056507799999</v>
      </c>
      <c r="AH858">
        <v>21.7126804355796</v>
      </c>
      <c r="AI858">
        <v>92.822557904984293</v>
      </c>
      <c r="AJ858">
        <v>88.867071695543004</v>
      </c>
      <c r="AK858">
        <v>21.743304171403</v>
      </c>
      <c r="AL858">
        <v>94.114014734238197</v>
      </c>
      <c r="AM858">
        <v>88.906123816173405</v>
      </c>
      <c r="AN858">
        <v>1.0000000075994899</v>
      </c>
    </row>
    <row r="859" spans="1:40" x14ac:dyDescent="0.25">
      <c r="A859" t="str">
        <f>"20190303154746361"</f>
        <v>20190303154746361</v>
      </c>
      <c r="B859" t="str">
        <f>"1551599266351094"</f>
        <v>1551599266351094</v>
      </c>
      <c r="C859" t="s">
        <v>40</v>
      </c>
      <c r="D859">
        <v>5.0917620000000001</v>
      </c>
      <c r="E859">
        <v>0.49646689999999999</v>
      </c>
      <c r="F859" t="s">
        <v>41</v>
      </c>
      <c r="G859">
        <v>-275.6626</v>
      </c>
      <c r="H859" s="1">
        <v>-2.2259609999999999E-6</v>
      </c>
      <c r="I859">
        <v>367.45769999999999</v>
      </c>
      <c r="J859">
        <v>-296.334</v>
      </c>
      <c r="K859">
        <v>1.0707059999999999</v>
      </c>
      <c r="L859">
        <v>367.67669999999998</v>
      </c>
      <c r="M859">
        <v>0.99990140000000005</v>
      </c>
      <c r="N859">
        <v>-1.3717419999999999E-2</v>
      </c>
      <c r="O859">
        <v>3.012846E-3</v>
      </c>
      <c r="P859">
        <v>0.99621389999999999</v>
      </c>
      <c r="Q859">
        <v>-8.5419300000000004E-2</v>
      </c>
      <c r="R859">
        <v>-1.6179320000000001E-2</v>
      </c>
      <c r="S859">
        <v>2.9977420000000001</v>
      </c>
      <c r="T859">
        <v>-0.1540397</v>
      </c>
      <c r="U859">
        <v>-3.143311E-2</v>
      </c>
      <c r="V859">
        <v>1.9180030000000001E-2</v>
      </c>
      <c r="W859">
        <v>-7.1746699999999997E-2</v>
      </c>
      <c r="X859">
        <v>0.99723850000000003</v>
      </c>
      <c r="Y859">
        <v>1.3473270000000001E-2</v>
      </c>
      <c r="Z859">
        <v>-5.5182029999999995E-4</v>
      </c>
      <c r="AA859">
        <v>0.9999091</v>
      </c>
      <c r="AB859">
        <v>32</v>
      </c>
      <c r="AC859">
        <v>20.671399999999998</v>
      </c>
      <c r="AD859">
        <v>-1.0707082259609999</v>
      </c>
      <c r="AE859">
        <v>-0.21899999999999401</v>
      </c>
      <c r="AF859">
        <v>0.28053205775489698</v>
      </c>
      <c r="AG859">
        <v>-1.0707082259609999</v>
      </c>
      <c r="AH859">
        <v>20.615343841576401</v>
      </c>
      <c r="AI859">
        <v>92.972850072257302</v>
      </c>
      <c r="AJ859">
        <v>89.220371436285006</v>
      </c>
      <c r="AK859">
        <v>20.645036111544901</v>
      </c>
      <c r="AL859">
        <v>94.114317886708704</v>
      </c>
      <c r="AM859">
        <v>88.898157966923307</v>
      </c>
      <c r="AN859">
        <v>1.0000000441969601</v>
      </c>
    </row>
    <row r="860" spans="1:40" x14ac:dyDescent="0.25">
      <c r="A860" t="str">
        <f>"20190303154746372"</f>
        <v>20190303154746372</v>
      </c>
      <c r="B860" t="str">
        <f>"1551599266361830"</f>
        <v>1551599266361830</v>
      </c>
      <c r="C860" t="s">
        <v>40</v>
      </c>
      <c r="D860">
        <v>5.0228210000000004</v>
      </c>
      <c r="E860">
        <v>0.49558029999999997</v>
      </c>
      <c r="F860" t="s">
        <v>41</v>
      </c>
      <c r="G860">
        <v>-276.43270000000001</v>
      </c>
      <c r="H860" s="1">
        <v>-1.883114E-6</v>
      </c>
      <c r="I860">
        <v>367.52800000000002</v>
      </c>
      <c r="J860">
        <v>-296.16460000000001</v>
      </c>
      <c r="K860">
        <v>1.070711</v>
      </c>
      <c r="L860">
        <v>367.67720000000003</v>
      </c>
      <c r="M860">
        <v>0.99990080000000003</v>
      </c>
      <c r="N860">
        <v>-1.376746E-2</v>
      </c>
      <c r="O860">
        <v>3.0195370000000001E-3</v>
      </c>
      <c r="P860">
        <v>0.99619420000000003</v>
      </c>
      <c r="Q860">
        <v>-8.5642739999999995E-2</v>
      </c>
      <c r="R860">
        <v>-1.6202009999999999E-2</v>
      </c>
      <c r="S860">
        <v>2.997223</v>
      </c>
      <c r="T860">
        <v>-0.16125300000000001</v>
      </c>
      <c r="U860">
        <v>-2.23999E-2</v>
      </c>
      <c r="V860">
        <v>1.9209529999999999E-2</v>
      </c>
      <c r="W860">
        <v>-7.1920490000000004E-2</v>
      </c>
      <c r="X860">
        <v>0.99722529999999998</v>
      </c>
      <c r="Y860">
        <v>1.0471609999999999E-2</v>
      </c>
      <c r="Z860">
        <v>-4.7442030000000002E-4</v>
      </c>
      <c r="AA860">
        <v>0.99994499999999997</v>
      </c>
      <c r="AB860">
        <v>32</v>
      </c>
      <c r="AC860">
        <v>19.7319</v>
      </c>
      <c r="AD860">
        <v>-1.070712883114</v>
      </c>
      <c r="AE860">
        <v>-0.14920000000000699</v>
      </c>
      <c r="AF860">
        <v>0.20817323480125</v>
      </c>
      <c r="AG860">
        <v>-1.070712883114</v>
      </c>
      <c r="AH860">
        <v>19.673434796426001</v>
      </c>
      <c r="AI860">
        <v>93.115035222480202</v>
      </c>
      <c r="AJ860">
        <v>89.393750874949205</v>
      </c>
      <c r="AK860">
        <v>19.703649379314999</v>
      </c>
      <c r="AL860">
        <v>94.124301578061093</v>
      </c>
      <c r="AM860">
        <v>88.896449085048502</v>
      </c>
      <c r="AN860">
        <v>0.99999993094237305</v>
      </c>
    </row>
    <row r="861" spans="1:40" x14ac:dyDescent="0.25">
      <c r="A861" t="str">
        <f>"20190303154746384"</f>
        <v>20190303154746384</v>
      </c>
      <c r="B861" t="str">
        <f>"1551599266381350"</f>
        <v>1551599266381350</v>
      </c>
      <c r="C861" t="s">
        <v>40</v>
      </c>
      <c r="D861">
        <v>4.9449860000000001</v>
      </c>
      <c r="E861">
        <v>0.49489909999999998</v>
      </c>
      <c r="F861" t="s">
        <v>41</v>
      </c>
      <c r="G861">
        <v>-276.83440000000002</v>
      </c>
      <c r="H861" s="1">
        <v>-1.7015200000000001E-6</v>
      </c>
      <c r="I861">
        <v>367.5804</v>
      </c>
      <c r="J861">
        <v>-296.0034</v>
      </c>
      <c r="K861">
        <v>1.0707120000000001</v>
      </c>
      <c r="L861">
        <v>367.67770000000002</v>
      </c>
      <c r="M861">
        <v>0.99990009999999996</v>
      </c>
      <c r="N861">
        <v>-1.3813280000000001E-2</v>
      </c>
      <c r="O861">
        <v>3.025958E-3</v>
      </c>
      <c r="P861">
        <v>0.99621340000000003</v>
      </c>
      <c r="Q861">
        <v>-8.5401270000000001E-2</v>
      </c>
      <c r="R861">
        <v>-1.6288250000000001E-2</v>
      </c>
      <c r="S861">
        <v>2.9969480000000002</v>
      </c>
      <c r="T861">
        <v>-0.1660016</v>
      </c>
      <c r="U861">
        <v>-1.5014649999999999E-2</v>
      </c>
      <c r="V861">
        <v>1.9302429999999999E-2</v>
      </c>
      <c r="W861">
        <v>-7.1633080000000002E-2</v>
      </c>
      <c r="X861">
        <v>0.99724420000000003</v>
      </c>
      <c r="Y861">
        <v>8.0181290000000006E-3</v>
      </c>
      <c r="Z861">
        <v>-4.0302870000000001E-4</v>
      </c>
      <c r="AA861">
        <v>0.99996779999999996</v>
      </c>
      <c r="AB861">
        <v>32</v>
      </c>
      <c r="AC861">
        <v>19.168999999999901</v>
      </c>
      <c r="AD861">
        <v>-1.0707137015199999</v>
      </c>
      <c r="AE861">
        <v>-9.7300000000018302E-2</v>
      </c>
      <c r="AF861">
        <v>0.15482663385679801</v>
      </c>
      <c r="AG861">
        <v>-1.0707137015199999</v>
      </c>
      <c r="AH861">
        <v>19.109000157006601</v>
      </c>
      <c r="AI861">
        <v>93.206933253409701</v>
      </c>
      <c r="AJ861">
        <v>89.535783217621699</v>
      </c>
      <c r="AK861">
        <v>19.139599946646001</v>
      </c>
      <c r="AL861">
        <v>94.107791583212503</v>
      </c>
      <c r="AM861">
        <v>88.891134496979305</v>
      </c>
      <c r="AN861">
        <v>0.99999993819391297</v>
      </c>
    </row>
    <row r="862" spans="1:40" x14ac:dyDescent="0.25">
      <c r="A862" t="str">
        <f>"20190303154746395"</f>
        <v>20190303154746395</v>
      </c>
      <c r="B862" t="str">
        <f>"1551599266391110"</f>
        <v>1551599266391110</v>
      </c>
      <c r="C862" t="s">
        <v>40</v>
      </c>
      <c r="D862">
        <v>4.9890889999999999</v>
      </c>
      <c r="E862">
        <v>0.49438100000000001</v>
      </c>
      <c r="F862" t="s">
        <v>41</v>
      </c>
      <c r="G862">
        <v>-276.52760000000001</v>
      </c>
      <c r="H862" s="1">
        <v>-1.827437E-6</v>
      </c>
      <c r="I862">
        <v>367.61239999999998</v>
      </c>
      <c r="J862">
        <v>-295.846</v>
      </c>
      <c r="K862">
        <v>1.0707139999999999</v>
      </c>
      <c r="L862">
        <v>367.6782</v>
      </c>
      <c r="M862">
        <v>0.99989939999999999</v>
      </c>
      <c r="N862">
        <v>-1.385456E-2</v>
      </c>
      <c r="O862">
        <v>3.0324060000000001E-3</v>
      </c>
      <c r="P862">
        <v>0.9962027</v>
      </c>
      <c r="Q862">
        <v>-8.5530629999999996E-2</v>
      </c>
      <c r="R862">
        <v>-1.626766E-2</v>
      </c>
      <c r="S862">
        <v>2.9970699999999999</v>
      </c>
      <c r="T862">
        <v>-0.1647682</v>
      </c>
      <c r="U862">
        <v>-1.004028E-2</v>
      </c>
      <c r="V862">
        <v>1.9288119999999999E-2</v>
      </c>
      <c r="W862">
        <v>-7.1721399999999894E-2</v>
      </c>
      <c r="X862">
        <v>0.99723819999999996</v>
      </c>
      <c r="Y862">
        <v>6.3680730000000001E-3</v>
      </c>
      <c r="Z862">
        <v>-3.436655E-4</v>
      </c>
      <c r="AA862">
        <v>0.99997970000000003</v>
      </c>
      <c r="AB862">
        <v>32</v>
      </c>
      <c r="AC862">
        <v>19.3184</v>
      </c>
      <c r="AD862">
        <v>-1.0707158274369999</v>
      </c>
      <c r="AE862">
        <v>-6.58000000000242E-2</v>
      </c>
      <c r="AF862">
        <v>0.124005626282119</v>
      </c>
      <c r="AG862">
        <v>-1.0707158274369999</v>
      </c>
      <c r="AH862">
        <v>19.258950853126102</v>
      </c>
      <c r="AI862">
        <v>93.182060205902104</v>
      </c>
      <c r="AJ862">
        <v>89.631085779799605</v>
      </c>
      <c r="AK862">
        <v>19.2890901221805</v>
      </c>
      <c r="AL862">
        <v>94.112864703810999</v>
      </c>
      <c r="AM862">
        <v>88.891949692625403</v>
      </c>
      <c r="AN862">
        <v>1.00000000916516</v>
      </c>
    </row>
    <row r="863" spans="1:40" x14ac:dyDescent="0.25">
      <c r="A863" t="str">
        <f>"20190303154746414"</f>
        <v>20190303154746414</v>
      </c>
      <c r="B863" t="str">
        <f>"1551599266411605"</f>
        <v>1551599266411605</v>
      </c>
      <c r="C863" t="s">
        <v>40</v>
      </c>
      <c r="D863">
        <v>4.9975189999999996</v>
      </c>
      <c r="E863">
        <v>0.49357190000000001</v>
      </c>
      <c r="F863" t="s">
        <v>41</v>
      </c>
      <c r="G863">
        <v>-276.92189999999999</v>
      </c>
      <c r="H863" s="1">
        <v>-1.6530089999999999E-6</v>
      </c>
      <c r="I863">
        <v>367.64210000000003</v>
      </c>
      <c r="J863">
        <v>-295.68830000000003</v>
      </c>
      <c r="K863">
        <v>1.070716</v>
      </c>
      <c r="L863">
        <v>367.67869999999999</v>
      </c>
      <c r="M863">
        <v>0.99989879999999998</v>
      </c>
      <c r="N863">
        <v>-1.389339E-2</v>
      </c>
      <c r="O863">
        <v>3.0388709999999998E-3</v>
      </c>
      <c r="P863">
        <v>0.99619590000000002</v>
      </c>
      <c r="Q863">
        <v>-8.5565020000000006E-2</v>
      </c>
      <c r="R863">
        <v>-1.649815E-2</v>
      </c>
      <c r="S863">
        <v>2.9967959999999998</v>
      </c>
      <c r="T863">
        <v>-0.16955609999999999</v>
      </c>
      <c r="U863">
        <v>-5.7067869999999996E-3</v>
      </c>
      <c r="V863">
        <v>1.9525219999999999E-2</v>
      </c>
      <c r="W863">
        <v>-7.1717169999999997E-2</v>
      </c>
      <c r="X863">
        <v>0.99723390000000001</v>
      </c>
      <c r="Y863">
        <v>4.9308520000000003E-3</v>
      </c>
      <c r="Z863">
        <v>-3.0327130000000002E-4</v>
      </c>
      <c r="AA863">
        <v>0.99998779999999998</v>
      </c>
      <c r="AB863">
        <v>32</v>
      </c>
      <c r="AC863">
        <v>18.766400000000001</v>
      </c>
      <c r="AD863">
        <v>-1.0707176530089999</v>
      </c>
      <c r="AE863">
        <v>-3.6599999999964397E-2</v>
      </c>
      <c r="AF863">
        <v>9.3330193686372603E-2</v>
      </c>
      <c r="AG863">
        <v>-1.0707176530089999</v>
      </c>
      <c r="AH863">
        <v>18.705311354652</v>
      </c>
      <c r="AI863">
        <v>93.2760732164963</v>
      </c>
      <c r="AJ863">
        <v>89.714124949663599</v>
      </c>
      <c r="AK863">
        <v>18.736163419761098</v>
      </c>
      <c r="AL863">
        <v>94.112621676427295</v>
      </c>
      <c r="AM863">
        <v>88.8783275625416</v>
      </c>
      <c r="AN863">
        <v>1.0000000189990299</v>
      </c>
    </row>
    <row r="864" spans="1:40" x14ac:dyDescent="0.25">
      <c r="A864" t="str">
        <f>"20190303154746427"</f>
        <v>20190303154746427</v>
      </c>
      <c r="B864" t="str">
        <f>"1551599266421366"</f>
        <v>1551599266421366</v>
      </c>
      <c r="C864" t="s">
        <v>40</v>
      </c>
      <c r="D864">
        <v>5.0695499999999996</v>
      </c>
      <c r="E864">
        <v>0.49331819999999998</v>
      </c>
      <c r="F864" t="s">
        <v>41</v>
      </c>
      <c r="G864">
        <v>-277.39249999999998</v>
      </c>
      <c r="H864" s="1">
        <v>-1.444318E-6</v>
      </c>
      <c r="I864">
        <v>367.68049999999999</v>
      </c>
      <c r="J864">
        <v>-295.38830000000002</v>
      </c>
      <c r="K864">
        <v>1.070711</v>
      </c>
      <c r="L864">
        <v>367.67959999999999</v>
      </c>
      <c r="M864">
        <v>0.99989799999999995</v>
      </c>
      <c r="N864">
        <v>-1.3960180000000001E-2</v>
      </c>
      <c r="O864">
        <v>3.0508610000000002E-3</v>
      </c>
      <c r="P864">
        <v>0.99619760000000002</v>
      </c>
      <c r="Q864">
        <v>-8.5564349999999997E-2</v>
      </c>
      <c r="R864">
        <v>-1.640308E-2</v>
      </c>
      <c r="S864">
        <v>2.996429</v>
      </c>
      <c r="T864">
        <v>-0.17535780000000001</v>
      </c>
      <c r="U864">
        <v>3.0517579999999998E-4</v>
      </c>
      <c r="V864">
        <v>1.9442029999999999E-2</v>
      </c>
      <c r="W864">
        <v>-7.1649859999999996E-2</v>
      </c>
      <c r="X864">
        <v>0.99724040000000003</v>
      </c>
      <c r="Y864">
        <v>2.9400540000000001E-3</v>
      </c>
      <c r="Z864">
        <v>-2.423259E-4</v>
      </c>
      <c r="AA864">
        <v>0.99999559999999998</v>
      </c>
      <c r="AB864">
        <v>32</v>
      </c>
      <c r="AC864">
        <v>17.995799999999999</v>
      </c>
      <c r="AD864">
        <v>-1.0707124443179901</v>
      </c>
      <c r="AE864">
        <v>9.0000000000145497E-4</v>
      </c>
      <c r="AF864">
        <v>5.3817519558860001E-2</v>
      </c>
      <c r="AG864">
        <v>-1.0707124443179901</v>
      </c>
      <c r="AH864">
        <v>17.9322388360502</v>
      </c>
      <c r="AI864">
        <v>93.416989982519198</v>
      </c>
      <c r="AJ864">
        <v>89.828046709330494</v>
      </c>
      <c r="AK864">
        <v>17.964256487174101</v>
      </c>
      <c r="AL864">
        <v>94.108755001748804</v>
      </c>
      <c r="AM864">
        <v>88.883112673709206</v>
      </c>
      <c r="AN864">
        <v>1.0000000551803401</v>
      </c>
    </row>
    <row r="865" spans="1:40" x14ac:dyDescent="0.25">
      <c r="A865" t="str">
        <f>"20190303154746438"</f>
        <v>20190303154746438</v>
      </c>
      <c r="B865" t="str">
        <f>"1551599266431126"</f>
        <v>1551599266431126</v>
      </c>
      <c r="C865" t="s">
        <v>40</v>
      </c>
      <c r="D865">
        <v>4.9985249999999999</v>
      </c>
      <c r="E865">
        <v>0.49311329999999998</v>
      </c>
      <c r="F865" t="s">
        <v>41</v>
      </c>
      <c r="G865">
        <v>-277.2921</v>
      </c>
      <c r="H865" s="1">
        <v>-1.485102E-6</v>
      </c>
      <c r="I865">
        <v>367.6934</v>
      </c>
      <c r="J865">
        <v>-295.21010000000001</v>
      </c>
      <c r="K865">
        <v>1.0707120000000001</v>
      </c>
      <c r="L865">
        <v>367.68009999999998</v>
      </c>
      <c r="M865">
        <v>0.99989749999999999</v>
      </c>
      <c r="N865">
        <v>-1.399647E-2</v>
      </c>
      <c r="O865">
        <v>3.0579969999999998E-3</v>
      </c>
      <c r="P865">
        <v>0.99617080000000002</v>
      </c>
      <c r="Q865">
        <v>-8.5854260000000002E-2</v>
      </c>
      <c r="R865">
        <v>-1.652439E-2</v>
      </c>
      <c r="S865">
        <v>2.9962770000000001</v>
      </c>
      <c r="T865">
        <v>-0.177282</v>
      </c>
      <c r="U865">
        <v>2.2888180000000002E-3</v>
      </c>
      <c r="V865">
        <v>1.9570150000000001E-2</v>
      </c>
      <c r="W865">
        <v>-7.1903930000000005E-2</v>
      </c>
      <c r="X865">
        <v>0.99721959999999998</v>
      </c>
      <c r="Y865">
        <v>2.2863480000000001E-3</v>
      </c>
      <c r="Z865">
        <v>-2.2159870000000001E-4</v>
      </c>
      <c r="AA865">
        <v>0.99999740000000004</v>
      </c>
      <c r="AB865">
        <v>32</v>
      </c>
      <c r="AC865">
        <v>17.917999999999999</v>
      </c>
      <c r="AD865">
        <v>-1.0707134851019999</v>
      </c>
      <c r="AE865">
        <v>1.33000000000151E-2</v>
      </c>
      <c r="AF865">
        <v>4.1350956472002903E-2</v>
      </c>
      <c r="AG865">
        <v>-1.0707134851019999</v>
      </c>
      <c r="AH865">
        <v>17.8542028407843</v>
      </c>
      <c r="AI865">
        <v>93.431898687105502</v>
      </c>
      <c r="AJ865">
        <v>89.867301213635201</v>
      </c>
      <c r="AK865">
        <v>17.886327078208399</v>
      </c>
      <c r="AL865">
        <v>94.123349812357603</v>
      </c>
      <c r="AM865">
        <v>88.875730996642403</v>
      </c>
      <c r="AN865">
        <v>1.0000000482723099</v>
      </c>
    </row>
    <row r="866" spans="1:40" x14ac:dyDescent="0.25">
      <c r="A866" t="str">
        <f>"20190303154746450"</f>
        <v>20190303154746450</v>
      </c>
      <c r="B866" t="str">
        <f>"1551599266441861"</f>
        <v>1551599266441861</v>
      </c>
      <c r="C866" t="s">
        <v>40</v>
      </c>
      <c r="D866">
        <v>5.0159960000000003</v>
      </c>
      <c r="E866">
        <v>0.4928766</v>
      </c>
      <c r="F866" t="s">
        <v>41</v>
      </c>
      <c r="G866">
        <v>-277.40219999999999</v>
      </c>
      <c r="H866" s="1">
        <v>-1.436387E-6</v>
      </c>
      <c r="I866">
        <v>367.70170000000002</v>
      </c>
      <c r="J866">
        <v>-295.0514</v>
      </c>
      <c r="K866">
        <v>1.070716</v>
      </c>
      <c r="L866">
        <v>367.6807</v>
      </c>
      <c r="M866">
        <v>0.99989700000000004</v>
      </c>
      <c r="N866">
        <v>-1.402524E-2</v>
      </c>
      <c r="O866">
        <v>3.064528E-3</v>
      </c>
      <c r="P866">
        <v>0.99615030000000004</v>
      </c>
      <c r="Q866">
        <v>-8.6091310000000004E-2</v>
      </c>
      <c r="R866">
        <v>-1.6535270000000001E-2</v>
      </c>
      <c r="S866">
        <v>2.9960629999999999</v>
      </c>
      <c r="T866">
        <v>-0.18013950000000001</v>
      </c>
      <c r="U866">
        <v>3.6315919999999999E-3</v>
      </c>
      <c r="V866">
        <v>1.958741E-2</v>
      </c>
      <c r="W866">
        <v>-7.2112570000000001E-2</v>
      </c>
      <c r="X866">
        <v>0.99720410000000004</v>
      </c>
      <c r="Y866">
        <v>1.845349E-3</v>
      </c>
      <c r="Z866">
        <v>-2.095182E-4</v>
      </c>
      <c r="AA866">
        <v>0.99999830000000001</v>
      </c>
      <c r="AB866">
        <v>32</v>
      </c>
      <c r="AC866">
        <v>17.6492</v>
      </c>
      <c r="AD866">
        <v>-1.070717436387</v>
      </c>
      <c r="AE866">
        <v>2.1000000000015E-2</v>
      </c>
      <c r="AF866">
        <v>3.2970537734859001E-2</v>
      </c>
      <c r="AG866">
        <v>-1.070717436387</v>
      </c>
      <c r="AH866">
        <v>17.584463006872902</v>
      </c>
      <c r="AI866">
        <v>93.484430187161493</v>
      </c>
      <c r="AJ866">
        <v>89.8925716158612</v>
      </c>
      <c r="AK866">
        <v>17.6170616768241</v>
      </c>
      <c r="AL866">
        <v>94.135335510408893</v>
      </c>
      <c r="AM866">
        <v>88.874722210390999</v>
      </c>
      <c r="AN866">
        <v>0.99999995321965995</v>
      </c>
    </row>
    <row r="867" spans="1:40" x14ac:dyDescent="0.25">
      <c r="A867" t="str">
        <f>"20190303154746462"</f>
        <v>20190303154746462</v>
      </c>
      <c r="B867" t="str">
        <f>"1551599266451622"</f>
        <v>1551599266451622</v>
      </c>
      <c r="C867" t="s">
        <v>40</v>
      </c>
      <c r="D867">
        <v>5.0874509999999997</v>
      </c>
      <c r="E867">
        <v>0.49264809999999998</v>
      </c>
      <c r="F867" t="s">
        <v>41</v>
      </c>
      <c r="G867">
        <v>-277.46620000000001</v>
      </c>
      <c r="H867" s="1">
        <v>-1.4068950000000001E-6</v>
      </c>
      <c r="I867">
        <v>367.71300000000002</v>
      </c>
      <c r="J867">
        <v>-294.88339999999999</v>
      </c>
      <c r="K867">
        <v>1.0707169999999999</v>
      </c>
      <c r="L867">
        <v>367.68119999999999</v>
      </c>
      <c r="M867">
        <v>0.99989660000000002</v>
      </c>
      <c r="N867">
        <v>-1.4054769999999999E-2</v>
      </c>
      <c r="O867">
        <v>3.0714119999999999E-3</v>
      </c>
      <c r="P867">
        <v>0.99615580000000004</v>
      </c>
      <c r="Q867">
        <v>-8.5999599999999995E-2</v>
      </c>
      <c r="R867">
        <v>-1.6677069999999999E-2</v>
      </c>
      <c r="S867">
        <v>2.9959410000000002</v>
      </c>
      <c r="T867">
        <v>-0.18241450000000001</v>
      </c>
      <c r="U867">
        <v>5.5236819999999898E-3</v>
      </c>
      <c r="V867">
        <v>1.9735989999999998E-2</v>
      </c>
      <c r="W867">
        <v>-7.1991349999999996E-2</v>
      </c>
      <c r="X867">
        <v>0.99721000000000004</v>
      </c>
      <c r="Y867">
        <v>1.22185E-3</v>
      </c>
      <c r="Z867">
        <v>-1.8945649999999999E-4</v>
      </c>
      <c r="AA867">
        <v>0.99999919999999998</v>
      </c>
      <c r="AB867">
        <v>32</v>
      </c>
      <c r="AC867">
        <v>17.417199999999902</v>
      </c>
      <c r="AD867">
        <v>-1.070718406895</v>
      </c>
      <c r="AE867">
        <v>3.18000000000324E-2</v>
      </c>
      <c r="AF867">
        <v>2.1619125109870199E-2</v>
      </c>
      <c r="AG867">
        <v>-1.070718406895</v>
      </c>
      <c r="AH867">
        <v>17.3516413150356</v>
      </c>
      <c r="AI867">
        <v>93.531072879537206</v>
      </c>
      <c r="AJ867">
        <v>89.928612863641703</v>
      </c>
      <c r="AK867">
        <v>17.384658800766999</v>
      </c>
      <c r="AL867">
        <v>94.128371724270295</v>
      </c>
      <c r="AM867">
        <v>88.866195359137294</v>
      </c>
      <c r="AN867">
        <v>1.00000002393805</v>
      </c>
    </row>
    <row r="868" spans="1:40" x14ac:dyDescent="0.25">
      <c r="A868" t="str">
        <f>"20190303154746473"</f>
        <v>20190303154746473</v>
      </c>
      <c r="B868" t="str">
        <f>"1551599266461382"</f>
        <v>1551599266461382</v>
      </c>
      <c r="C868" t="s">
        <v>40</v>
      </c>
      <c r="D868">
        <v>5.0019460000000002</v>
      </c>
      <c r="E868">
        <v>0.49248039999999998</v>
      </c>
      <c r="F868" t="s">
        <v>41</v>
      </c>
      <c r="G868">
        <v>-277.44589999999999</v>
      </c>
      <c r="H868" s="1">
        <v>-1.41404E-6</v>
      </c>
      <c r="I868">
        <v>367.72190000000001</v>
      </c>
      <c r="J868">
        <v>-294.71460000000002</v>
      </c>
      <c r="K868">
        <v>1.070719</v>
      </c>
      <c r="L868">
        <v>367.68169999999998</v>
      </c>
      <c r="M868">
        <v>0.99989620000000001</v>
      </c>
      <c r="N868">
        <v>-1.4081160000000001E-2</v>
      </c>
      <c r="O868">
        <v>3.0783210000000002E-3</v>
      </c>
      <c r="P868">
        <v>0.99615670000000001</v>
      </c>
      <c r="Q868">
        <v>-8.5961620000000002E-2</v>
      </c>
      <c r="R868">
        <v>-1.6812290000000001E-2</v>
      </c>
      <c r="S868">
        <v>2.995819</v>
      </c>
      <c r="T868">
        <v>-0.1839527</v>
      </c>
      <c r="U868">
        <v>7.019043E-3</v>
      </c>
      <c r="V868">
        <v>1.9878239999999998E-2</v>
      </c>
      <c r="W868">
        <v>-7.1927050000000006E-2</v>
      </c>
      <c r="X868">
        <v>0.99721179999999998</v>
      </c>
      <c r="Y868">
        <v>7.3055339999999905E-4</v>
      </c>
      <c r="Z868">
        <v>-1.7308069999999901E-4</v>
      </c>
      <c r="AA868">
        <v>0.99999970000000005</v>
      </c>
      <c r="AB868">
        <v>32</v>
      </c>
      <c r="AC868">
        <v>17.268699999999999</v>
      </c>
      <c r="AD868">
        <v>-1.07072041404</v>
      </c>
      <c r="AE868">
        <v>4.0200000000027103E-2</v>
      </c>
      <c r="AF868">
        <v>1.29144104686551E-2</v>
      </c>
      <c r="AG868">
        <v>-1.07072041404</v>
      </c>
      <c r="AH868">
        <v>17.2026079212797</v>
      </c>
      <c r="AI868">
        <v>93.561594051662794</v>
      </c>
      <c r="AJ868">
        <v>89.956986691835695</v>
      </c>
      <c r="AK868">
        <v>17.235902305371699</v>
      </c>
      <c r="AL868">
        <v>94.124678089757893</v>
      </c>
      <c r="AM868">
        <v>88.858027515436802</v>
      </c>
      <c r="AN868">
        <v>1.00000000950322</v>
      </c>
    </row>
    <row r="869" spans="1:40" x14ac:dyDescent="0.25">
      <c r="A869" t="str">
        <f>"20190303154746485"</f>
        <v>20190303154746485</v>
      </c>
      <c r="B869" t="str">
        <f>"1551599266481878"</f>
        <v>1551599266481878</v>
      </c>
      <c r="C869" t="s">
        <v>40</v>
      </c>
      <c r="D869">
        <v>5.09396</v>
      </c>
      <c r="E869">
        <v>0.49219790000000002</v>
      </c>
      <c r="F869" t="s">
        <v>41</v>
      </c>
      <c r="G869">
        <v>-277.42009999999999</v>
      </c>
      <c r="H869" s="1">
        <v>-1.4238809999999999E-6</v>
      </c>
      <c r="I869">
        <v>367.72879999999998</v>
      </c>
      <c r="J869">
        <v>-294.55349999999999</v>
      </c>
      <c r="K869">
        <v>1.0707230000000001</v>
      </c>
      <c r="L869">
        <v>367.68220000000002</v>
      </c>
      <c r="M869">
        <v>0.9998958</v>
      </c>
      <c r="N869">
        <v>-1.4105009999999999E-2</v>
      </c>
      <c r="O869">
        <v>3.084828E-3</v>
      </c>
      <c r="P869">
        <v>0.99619009999999997</v>
      </c>
      <c r="Q869">
        <v>-8.5555690000000004E-2</v>
      </c>
      <c r="R869">
        <v>-1.6894650000000001E-2</v>
      </c>
      <c r="S869">
        <v>2.9957280000000002</v>
      </c>
      <c r="T869">
        <v>-0.18546840000000001</v>
      </c>
      <c r="U869">
        <v>8.178711E-3</v>
      </c>
      <c r="V869">
        <v>1.996736E-2</v>
      </c>
      <c r="W869">
        <v>-7.1496899999999905E-2</v>
      </c>
      <c r="X869">
        <v>0.99724100000000004</v>
      </c>
      <c r="Y869">
        <v>3.5067550000000001E-4</v>
      </c>
      <c r="Z869">
        <v>-1.6064080000000001E-4</v>
      </c>
      <c r="AA869">
        <v>0.99999990000000005</v>
      </c>
      <c r="AB869">
        <v>32</v>
      </c>
      <c r="AC869">
        <v>17.133399999999899</v>
      </c>
      <c r="AD869">
        <v>-1.0707244238810001</v>
      </c>
      <c r="AE869">
        <v>4.6599999999955302E-2</v>
      </c>
      <c r="AF869">
        <v>6.2347211300414701E-3</v>
      </c>
      <c r="AG869">
        <v>-1.0707244238810001</v>
      </c>
      <c r="AH869">
        <v>17.066809575745001</v>
      </c>
      <c r="AI869">
        <v>93.589873546644498</v>
      </c>
      <c r="AJ869">
        <v>89.979069128900903</v>
      </c>
      <c r="AK869">
        <v>17.1003648720834</v>
      </c>
      <c r="AL869">
        <v>94.099968497389895</v>
      </c>
      <c r="AM869">
        <v>88.852942660380904</v>
      </c>
      <c r="AN869">
        <v>1.0000000571279799</v>
      </c>
    </row>
    <row r="870" spans="1:40" x14ac:dyDescent="0.25">
      <c r="A870" t="str">
        <f>"20190303154746495"</f>
        <v>20190303154746495</v>
      </c>
      <c r="B870" t="str">
        <f>"1551599266491638"</f>
        <v>1551599266491638</v>
      </c>
      <c r="C870" t="s">
        <v>40</v>
      </c>
      <c r="D870">
        <v>5.0358400000000003</v>
      </c>
      <c r="E870">
        <v>0.4920136</v>
      </c>
      <c r="F870" t="s">
        <v>41</v>
      </c>
      <c r="G870">
        <v>-277.38600000000002</v>
      </c>
      <c r="H870" s="1">
        <v>-1.436317E-6</v>
      </c>
      <c r="I870">
        <v>367.74119999999999</v>
      </c>
      <c r="J870">
        <v>-294.39789999999999</v>
      </c>
      <c r="K870">
        <v>1.070727</v>
      </c>
      <c r="L870">
        <v>367.68259999999998</v>
      </c>
      <c r="M870">
        <v>0.9998956</v>
      </c>
      <c r="N870">
        <v>-1.412617E-2</v>
      </c>
      <c r="O870">
        <v>3.0911150000000002E-3</v>
      </c>
      <c r="P870">
        <v>0.99619919999999995</v>
      </c>
      <c r="Q870">
        <v>-8.5466760000000003E-2</v>
      </c>
      <c r="R870">
        <v>-1.681728E-2</v>
      </c>
      <c r="S870">
        <v>2.9956049999999999</v>
      </c>
      <c r="T870">
        <v>-0.18683279999999999</v>
      </c>
      <c r="U870">
        <v>1.031494E-2</v>
      </c>
      <c r="V870">
        <v>1.9896179999999999E-2</v>
      </c>
      <c r="W870">
        <v>-7.1386759999999994E-2</v>
      </c>
      <c r="X870">
        <v>0.99725030000000003</v>
      </c>
      <c r="Y870">
        <v>-3.5466410000000001E-4</v>
      </c>
      <c r="Z870">
        <v>-1.3540899999999999E-4</v>
      </c>
      <c r="AA870">
        <v>0.99999990000000005</v>
      </c>
      <c r="AB870">
        <v>32</v>
      </c>
      <c r="AC870">
        <v>17.011900000000001</v>
      </c>
      <c r="AD870">
        <v>-1.070728436317</v>
      </c>
      <c r="AE870">
        <v>5.86000000000126E-2</v>
      </c>
      <c r="AF870">
        <v>-5.9850324317008898E-3</v>
      </c>
      <c r="AG870">
        <v>-1.070728436317</v>
      </c>
      <c r="AH870">
        <v>16.944874567208601</v>
      </c>
      <c r="AI870">
        <v>93.615651457813101</v>
      </c>
      <c r="AJ870">
        <v>90.020237215859296</v>
      </c>
      <c r="AK870">
        <v>16.9786710111064</v>
      </c>
      <c r="AL870">
        <v>94.093641827499596</v>
      </c>
      <c r="AM870">
        <v>88.857041280212599</v>
      </c>
      <c r="AN870">
        <v>1.00000004416598</v>
      </c>
    </row>
    <row r="871" spans="1:40" x14ac:dyDescent="0.25">
      <c r="A871" t="str">
        <f>"20190303154746510"</f>
        <v>20190303154746510</v>
      </c>
      <c r="B871" t="str">
        <f>"1551599266501398"</f>
        <v>1551599266501398</v>
      </c>
      <c r="C871" t="s">
        <v>40</v>
      </c>
      <c r="D871">
        <v>5.0489480000000002</v>
      </c>
      <c r="E871">
        <v>0.49179289999999998</v>
      </c>
      <c r="F871" t="s">
        <v>41</v>
      </c>
      <c r="G871">
        <v>-277.3039</v>
      </c>
      <c r="H871" s="1">
        <v>-1.4698599999999899E-6</v>
      </c>
      <c r="I871">
        <v>367.7509</v>
      </c>
      <c r="J871">
        <v>-294.20530000000002</v>
      </c>
      <c r="K871">
        <v>1.07073</v>
      </c>
      <c r="L871">
        <v>367.68329999999997</v>
      </c>
      <c r="M871">
        <v>0.99989499999999998</v>
      </c>
      <c r="N871">
        <v>-1.415019E-2</v>
      </c>
      <c r="O871">
        <v>3.0993459999999998E-3</v>
      </c>
      <c r="P871">
        <v>0.99624440000000003</v>
      </c>
      <c r="Q871">
        <v>-8.4939810000000004E-2</v>
      </c>
      <c r="R871">
        <v>-1.6803120000000001E-2</v>
      </c>
      <c r="S871">
        <v>2.9955440000000002</v>
      </c>
      <c r="T871">
        <v>-0.1876323</v>
      </c>
      <c r="U871">
        <v>1.196289E-2</v>
      </c>
      <c r="V871">
        <v>1.9890399999999999E-2</v>
      </c>
      <c r="W871">
        <v>-7.0835259999999997E-2</v>
      </c>
      <c r="X871">
        <v>0.99728969999999995</v>
      </c>
      <c r="Y871">
        <v>-8.9536599999999998E-4</v>
      </c>
      <c r="Z871">
        <v>-1.157608E-4</v>
      </c>
      <c r="AA871">
        <v>0.99999959999999999</v>
      </c>
      <c r="AB871">
        <v>32</v>
      </c>
      <c r="AC871">
        <v>16.901399999999999</v>
      </c>
      <c r="AD871">
        <v>-1.0707314698599999</v>
      </c>
      <c r="AE871">
        <v>6.7600000000027194E-2</v>
      </c>
      <c r="AF871">
        <v>-1.51503357683221E-2</v>
      </c>
      <c r="AG871">
        <v>-1.0707314698599999</v>
      </c>
      <c r="AH871">
        <v>16.833967461458499</v>
      </c>
      <c r="AI871">
        <v>93.639417653758798</v>
      </c>
      <c r="AJ871">
        <v>90.0515653879783</v>
      </c>
      <c r="AK871">
        <v>16.867992053195401</v>
      </c>
      <c r="AL871">
        <v>94.061963172074201</v>
      </c>
      <c r="AM871">
        <v>88.857418360729</v>
      </c>
      <c r="AN871">
        <v>1.00000000389875</v>
      </c>
    </row>
    <row r="872" spans="1:40" x14ac:dyDescent="0.25">
      <c r="A872" t="str">
        <f>"20190303154746530"</f>
        <v>20190303154746530</v>
      </c>
      <c r="B872" t="str">
        <f>"1551599266521893"</f>
        <v>1551599266521893</v>
      </c>
      <c r="C872" t="s">
        <v>40</v>
      </c>
      <c r="D872">
        <v>5.0384760000000002</v>
      </c>
      <c r="E872">
        <v>0.49142629999999998</v>
      </c>
      <c r="F872" t="s">
        <v>41</v>
      </c>
      <c r="G872">
        <v>-277.10890000000001</v>
      </c>
      <c r="H872" s="1">
        <v>-1.551864E-6</v>
      </c>
      <c r="I872">
        <v>367.76</v>
      </c>
      <c r="J872">
        <v>-293.91449999999998</v>
      </c>
      <c r="K872">
        <v>1.0707260000000001</v>
      </c>
      <c r="L872">
        <v>367.68419999999998</v>
      </c>
      <c r="M872">
        <v>0.99989479999999997</v>
      </c>
      <c r="N872">
        <v>-1.4177779999999999E-2</v>
      </c>
      <c r="O872">
        <v>3.1117789999999998E-3</v>
      </c>
      <c r="P872">
        <v>0.99629259999999997</v>
      </c>
      <c r="Q872">
        <v>-8.4391599999999997E-2</v>
      </c>
      <c r="R872">
        <v>-1.6721030000000001E-2</v>
      </c>
      <c r="S872">
        <v>2.995514</v>
      </c>
      <c r="T872">
        <v>-0.1876051</v>
      </c>
      <c r="U872">
        <v>1.345825E-2</v>
      </c>
      <c r="V872">
        <v>1.9820810000000001E-2</v>
      </c>
      <c r="W872">
        <v>-7.0258909999999994E-2</v>
      </c>
      <c r="X872">
        <v>0.99733190000000005</v>
      </c>
      <c r="Y872">
        <v>-1.3810039999999999E-3</v>
      </c>
      <c r="Z872" s="1">
        <v>-9.7602760000000004E-5</v>
      </c>
      <c r="AA872">
        <v>0.99999899999999997</v>
      </c>
      <c r="AB872">
        <v>32</v>
      </c>
      <c r="AC872">
        <v>16.805599999999899</v>
      </c>
      <c r="AD872">
        <v>-1.070727551864</v>
      </c>
      <c r="AE872">
        <v>7.5800000000015105E-2</v>
      </c>
      <c r="AF872">
        <v>-2.3404069061325399E-2</v>
      </c>
      <c r="AG872">
        <v>-1.070727551864</v>
      </c>
      <c r="AH872">
        <v>16.737812288644399</v>
      </c>
      <c r="AI872">
        <v>93.660253210417693</v>
      </c>
      <c r="AJ872">
        <v>90.080115219575205</v>
      </c>
      <c r="AK872">
        <v>16.772041183191298</v>
      </c>
      <c r="AL872">
        <v>94.028858085300897</v>
      </c>
      <c r="AM872">
        <v>88.861462989927801</v>
      </c>
      <c r="AN872">
        <v>1.0000000488505201</v>
      </c>
    </row>
    <row r="873" spans="1:40" x14ac:dyDescent="0.25">
      <c r="A873" t="str">
        <f>"20190303154746545"</f>
        <v>20190303154746545</v>
      </c>
      <c r="B873" t="str">
        <f>"1551599266541414"</f>
        <v>1551599266541414</v>
      </c>
      <c r="C873" t="s">
        <v>40</v>
      </c>
      <c r="D873">
        <v>5.0798319999999997</v>
      </c>
      <c r="E873">
        <v>0.49117650000000002</v>
      </c>
      <c r="F873" t="s">
        <v>41</v>
      </c>
      <c r="G873">
        <v>-276.89460000000003</v>
      </c>
      <c r="H873" s="1">
        <v>-1.6400420000000001E-6</v>
      </c>
      <c r="I873">
        <v>367.78129999999999</v>
      </c>
      <c r="J873">
        <v>-293.69659999999999</v>
      </c>
      <c r="K873">
        <v>1.07072099999999</v>
      </c>
      <c r="L873">
        <v>367.68490000000003</v>
      </c>
      <c r="M873">
        <v>0.99989459999999997</v>
      </c>
      <c r="N873">
        <v>-1.418342E-2</v>
      </c>
      <c r="O873">
        <v>3.1211519999999999E-3</v>
      </c>
      <c r="P873">
        <v>0.99632379999999998</v>
      </c>
      <c r="Q873">
        <v>-8.4046590000000004E-2</v>
      </c>
      <c r="R873">
        <v>-1.6575980000000001E-2</v>
      </c>
      <c r="S873">
        <v>2.9954830000000001</v>
      </c>
      <c r="T873">
        <v>-0.1884458</v>
      </c>
      <c r="U873">
        <v>1.7089839999999999E-2</v>
      </c>
      <c r="V873">
        <v>1.9685439999999998E-2</v>
      </c>
      <c r="W873">
        <v>-6.9907899999999995E-2</v>
      </c>
      <c r="X873">
        <v>0.9973592</v>
      </c>
      <c r="Y873">
        <v>-2.5811150000000001E-3</v>
      </c>
      <c r="Z873" s="1">
        <v>-5.248283E-5</v>
      </c>
      <c r="AA873">
        <v>0.99999669999999896</v>
      </c>
      <c r="AB873">
        <v>32</v>
      </c>
      <c r="AC873">
        <v>16.8019999999999</v>
      </c>
      <c r="AD873">
        <v>-1.07072264004199</v>
      </c>
      <c r="AE873">
        <v>9.6399999999960004E-2</v>
      </c>
      <c r="AF873">
        <v>-4.3774898429780502E-2</v>
      </c>
      <c r="AG873">
        <v>-1.07072264004199</v>
      </c>
      <c r="AH873">
        <v>16.734263599169399</v>
      </c>
      <c r="AI873">
        <v>93.661001626308007</v>
      </c>
      <c r="AJ873">
        <v>90.149878791672506</v>
      </c>
      <c r="AK873">
        <v>16.768540229254199</v>
      </c>
      <c r="AL873">
        <v>94.008697307931101</v>
      </c>
      <c r="AM873">
        <v>88.869267763125606</v>
      </c>
      <c r="AN873">
        <v>1.00000000242752</v>
      </c>
    </row>
    <row r="874" spans="1:40" x14ac:dyDescent="0.25">
      <c r="A874" t="str">
        <f>"20190303154746556"</f>
        <v>20190303154746556</v>
      </c>
      <c r="B874" t="str">
        <f>"1551599266551174"</f>
        <v>1551599266551174</v>
      </c>
      <c r="C874" t="s">
        <v>40</v>
      </c>
      <c r="D874">
        <v>5.0804450000000001</v>
      </c>
      <c r="E874">
        <v>0.49108829999999998</v>
      </c>
      <c r="F874" t="s">
        <v>41</v>
      </c>
      <c r="G874">
        <v>-276.8175</v>
      </c>
      <c r="H874" s="1">
        <v>-1.6707369999999999E-6</v>
      </c>
      <c r="I874">
        <v>367.7946</v>
      </c>
      <c r="J874">
        <v>-293.5394</v>
      </c>
      <c r="K874">
        <v>1.0707199999999999</v>
      </c>
      <c r="L874">
        <v>367.68540000000002</v>
      </c>
      <c r="M874">
        <v>0.99989490000000003</v>
      </c>
      <c r="N874">
        <v>-1.4171700000000001E-2</v>
      </c>
      <c r="O874">
        <v>3.1279680000000001E-3</v>
      </c>
      <c r="P874">
        <v>0.99633890000000003</v>
      </c>
      <c r="Q874">
        <v>-8.3935019999999999E-2</v>
      </c>
      <c r="R874">
        <v>-1.6256E-2</v>
      </c>
      <c r="S874">
        <v>2.9953919999999998</v>
      </c>
      <c r="T874">
        <v>-0.1900116</v>
      </c>
      <c r="U874">
        <v>1.9470210000000002E-2</v>
      </c>
      <c r="V874">
        <v>1.9371849999999999E-2</v>
      </c>
      <c r="W874">
        <v>-6.980778E-2</v>
      </c>
      <c r="X874">
        <v>0.99737229999999999</v>
      </c>
      <c r="Y874">
        <v>-3.36718E-3</v>
      </c>
      <c r="Z874" s="1">
        <v>-2.334377E-5</v>
      </c>
      <c r="AA874">
        <v>0.9999943</v>
      </c>
      <c r="AB874">
        <v>32</v>
      </c>
      <c r="AC874">
        <v>16.721900000000002</v>
      </c>
      <c r="AD874">
        <v>-1.070721670737</v>
      </c>
      <c r="AE874">
        <v>0.109199999999987</v>
      </c>
      <c r="AF874">
        <v>-5.6656375436306299E-2</v>
      </c>
      <c r="AG874">
        <v>-1.070721670737</v>
      </c>
      <c r="AH874">
        <v>16.653882083010899</v>
      </c>
      <c r="AI874">
        <v>93.678611390526001</v>
      </c>
      <c r="AJ874">
        <v>90.194919037835902</v>
      </c>
      <c r="AK874">
        <v>16.688362510321301</v>
      </c>
      <c r="AL874">
        <v>94.002947016925503</v>
      </c>
      <c r="AM874">
        <v>88.887290427679503</v>
      </c>
      <c r="AN874">
        <v>0.99999994976411899</v>
      </c>
    </row>
    <row r="875" spans="1:40" x14ac:dyDescent="0.25">
      <c r="A875" t="str">
        <f>"20190303154746567"</f>
        <v>20190303154746567</v>
      </c>
      <c r="B875" t="str">
        <f>"1551599266561909"</f>
        <v>1551599266561909</v>
      </c>
      <c r="C875" t="s">
        <v>40</v>
      </c>
      <c r="D875">
        <v>5.085483</v>
      </c>
      <c r="E875">
        <v>0.49099930000000003</v>
      </c>
      <c r="F875" t="s">
        <v>41</v>
      </c>
      <c r="G875">
        <v>-276.72390000000001</v>
      </c>
      <c r="H875" s="1">
        <v>-1.709043E-6</v>
      </c>
      <c r="I875">
        <v>367.80509999999998</v>
      </c>
      <c r="J875">
        <v>-293.36930000000001</v>
      </c>
      <c r="K875">
        <v>1.0707100000000001</v>
      </c>
      <c r="L875">
        <v>367.6859</v>
      </c>
      <c r="M875">
        <v>0.99989519999999998</v>
      </c>
      <c r="N875">
        <v>-1.413505E-2</v>
      </c>
      <c r="O875">
        <v>3.1354439999999998E-3</v>
      </c>
      <c r="P875">
        <v>0.99633179999999999</v>
      </c>
      <c r="Q875">
        <v>-8.405899E-2</v>
      </c>
      <c r="R875">
        <v>-1.6031730000000001E-2</v>
      </c>
      <c r="S875">
        <v>2.9952999999999999</v>
      </c>
      <c r="T875">
        <v>-0.190724</v>
      </c>
      <c r="U875">
        <v>2.133179E-2</v>
      </c>
      <c r="V875">
        <v>1.915526E-2</v>
      </c>
      <c r="W875">
        <v>-6.9968390000000005E-2</v>
      </c>
      <c r="X875">
        <v>0.99736530000000001</v>
      </c>
      <c r="Y875">
        <v>-3.9798500000000001E-3</v>
      </c>
      <c r="Z875" s="1">
        <v>-4.1390740000000002E-7</v>
      </c>
      <c r="AA875">
        <v>0.99999210000000005</v>
      </c>
      <c r="AB875">
        <v>32</v>
      </c>
      <c r="AC875">
        <v>16.645399999999899</v>
      </c>
      <c r="AD875">
        <v>-1.0707117090430001</v>
      </c>
      <c r="AE875">
        <v>0.119199999999978</v>
      </c>
      <c r="AF875">
        <v>-6.6727398563506402E-2</v>
      </c>
      <c r="AG875">
        <v>-1.0707117090430001</v>
      </c>
      <c r="AH875">
        <v>16.5771047500095</v>
      </c>
      <c r="AI875">
        <v>93.695559059629403</v>
      </c>
      <c r="AJ875">
        <v>90.2306299999033</v>
      </c>
      <c r="AK875">
        <v>16.611781301305001</v>
      </c>
      <c r="AL875">
        <v>94.012171564023106</v>
      </c>
      <c r="AM875">
        <v>88.899720455219395</v>
      </c>
      <c r="AN875">
        <v>1.0000000206144699</v>
      </c>
    </row>
    <row r="876" spans="1:40" x14ac:dyDescent="0.25">
      <c r="A876" t="str">
        <f>"20190303154746580"</f>
        <v>20190303154746580</v>
      </c>
      <c r="B876" t="str">
        <f>"1551599266571669"</f>
        <v>1551599266571669</v>
      </c>
      <c r="C876" t="s">
        <v>40</v>
      </c>
      <c r="D876">
        <v>5.1615570000000002</v>
      </c>
      <c r="E876">
        <v>0.49097010000000002</v>
      </c>
      <c r="F876" t="s">
        <v>41</v>
      </c>
      <c r="G876">
        <v>-276.67450000000002</v>
      </c>
      <c r="H876" s="1">
        <v>-1.7289709999999999E-6</v>
      </c>
      <c r="I876">
        <v>367.81229999999999</v>
      </c>
      <c r="J876">
        <v>-293.1893</v>
      </c>
      <c r="K876">
        <v>1.070695</v>
      </c>
      <c r="L876">
        <v>367.68650000000002</v>
      </c>
      <c r="M876">
        <v>0.99989600000000001</v>
      </c>
      <c r="N876">
        <v>-1.407945E-2</v>
      </c>
      <c r="O876">
        <v>3.143416E-3</v>
      </c>
      <c r="P876">
        <v>0.99634529999999999</v>
      </c>
      <c r="Q876">
        <v>-8.3924490000000004E-2</v>
      </c>
      <c r="R876">
        <v>-1.5901209999999999E-2</v>
      </c>
      <c r="S876">
        <v>2.9952390000000002</v>
      </c>
      <c r="T876">
        <v>-0.19209660000000001</v>
      </c>
      <c r="U876">
        <v>2.267456E-2</v>
      </c>
      <c r="V876">
        <v>1.9032779999999999E-2</v>
      </c>
      <c r="W876">
        <v>-6.9889140000000002E-2</v>
      </c>
      <c r="X876">
        <v>0.99737319999999996</v>
      </c>
      <c r="Y876">
        <v>-4.4191650000000001E-3</v>
      </c>
      <c r="Z876" s="1">
        <v>1.5547189999999998E-5</v>
      </c>
      <c r="AA876">
        <v>0.99999020000000005</v>
      </c>
      <c r="AB876">
        <v>32</v>
      </c>
      <c r="AC876">
        <v>16.514799999999902</v>
      </c>
      <c r="AD876">
        <v>-1.0706967289710001</v>
      </c>
      <c r="AE876">
        <v>0.12579999999996899</v>
      </c>
      <c r="AF876">
        <v>-7.3572123987590193E-2</v>
      </c>
      <c r="AG876">
        <v>-1.0706967289710001</v>
      </c>
      <c r="AH876">
        <v>16.445991097443901</v>
      </c>
      <c r="AI876">
        <v>93.724879787801498</v>
      </c>
      <c r="AJ876">
        <v>90.256314383808501</v>
      </c>
      <c r="AK876">
        <v>16.480971680094001</v>
      </c>
      <c r="AL876">
        <v>94.007619735755199</v>
      </c>
      <c r="AM876">
        <v>88.906762659784704</v>
      </c>
      <c r="AN876">
        <v>1.0000000193413501</v>
      </c>
    </row>
    <row r="877" spans="1:40" x14ac:dyDescent="0.25">
      <c r="A877" t="str">
        <f>"20190303154746592"</f>
        <v>20190303154746592</v>
      </c>
      <c r="B877" t="str">
        <f>"1551599266581431"</f>
        <v>1551599266581431</v>
      </c>
      <c r="C877" t="s">
        <v>40</v>
      </c>
      <c r="D877">
        <v>5.0724269999999896</v>
      </c>
      <c r="E877">
        <v>0.4908882</v>
      </c>
      <c r="F877" t="s">
        <v>41</v>
      </c>
      <c r="G877">
        <v>-276.53870000000001</v>
      </c>
      <c r="H877" s="1">
        <v>-1.7866279999999999E-6</v>
      </c>
      <c r="I877">
        <v>367.81560000000002</v>
      </c>
      <c r="J877">
        <v>-293.02069999999998</v>
      </c>
      <c r="K877">
        <v>1.070676</v>
      </c>
      <c r="L877">
        <v>367.68700000000001</v>
      </c>
      <c r="M877">
        <v>0.99989720000000004</v>
      </c>
      <c r="N877">
        <v>-1.3990590000000001E-2</v>
      </c>
      <c r="O877">
        <v>3.1501290000000002E-3</v>
      </c>
      <c r="P877">
        <v>0.99635580000000001</v>
      </c>
      <c r="Q877">
        <v>-8.3860080000000004E-2</v>
      </c>
      <c r="R877">
        <v>-1.5595589999999999E-2</v>
      </c>
      <c r="S877">
        <v>2.9951479999999999</v>
      </c>
      <c r="T877">
        <v>-0.19259799999999999</v>
      </c>
      <c r="U877">
        <v>2.3223879999999999E-2</v>
      </c>
      <c r="V877">
        <v>1.8733639999999999E-2</v>
      </c>
      <c r="W877">
        <v>-6.991319E-2</v>
      </c>
      <c r="X877">
        <v>0.99737719999999996</v>
      </c>
      <c r="Y877">
        <v>-4.5956410000000001E-3</v>
      </c>
      <c r="Z877" s="1">
        <v>2.1480499999999999E-5</v>
      </c>
      <c r="AA877">
        <v>0.99998940000000003</v>
      </c>
      <c r="AB877">
        <v>32</v>
      </c>
      <c r="AC877">
        <v>16.4819999999999</v>
      </c>
      <c r="AD877">
        <v>-1.070677786628</v>
      </c>
      <c r="AE877">
        <v>0.128600000000062</v>
      </c>
      <c r="AF877">
        <v>-7.6351681758388704E-2</v>
      </c>
      <c r="AG877">
        <v>-1.070677786628</v>
      </c>
      <c r="AH877">
        <v>16.413066768549399</v>
      </c>
      <c r="AI877">
        <v>93.7322618610619</v>
      </c>
      <c r="AJ877">
        <v>90.266531394156004</v>
      </c>
      <c r="AK877">
        <v>16.4481288069782</v>
      </c>
      <c r="AL877">
        <v>94.009000990154803</v>
      </c>
      <c r="AM877">
        <v>88.923945416465301</v>
      </c>
      <c r="AN877">
        <v>1.00000004124173</v>
      </c>
    </row>
    <row r="878" spans="1:40" x14ac:dyDescent="0.25">
      <c r="A878" t="str">
        <f>"20190303154746608"</f>
        <v>20190303154746608</v>
      </c>
      <c r="B878" t="str">
        <f>"1551599266600951"</f>
        <v>1551599266600951</v>
      </c>
      <c r="C878" t="s">
        <v>40</v>
      </c>
      <c r="D878">
        <v>5.083806</v>
      </c>
      <c r="E878">
        <v>0.49076209999999998</v>
      </c>
      <c r="F878" t="s">
        <v>41</v>
      </c>
      <c r="G878">
        <v>-276.43959999999998</v>
      </c>
      <c r="H878" s="1">
        <v>-1.8276770000000001E-6</v>
      </c>
      <c r="I878">
        <v>367.82380000000001</v>
      </c>
      <c r="J878">
        <v>-292.78399999999999</v>
      </c>
      <c r="K878">
        <v>1.070646</v>
      </c>
      <c r="L878">
        <v>367.68779999999998</v>
      </c>
      <c r="M878">
        <v>0.99989910000000004</v>
      </c>
      <c r="N878">
        <v>-1.385454E-2</v>
      </c>
      <c r="O878">
        <v>3.1593099999999998E-3</v>
      </c>
      <c r="P878">
        <v>0.99636009999999997</v>
      </c>
      <c r="Q878">
        <v>-8.3848290000000006E-2</v>
      </c>
      <c r="R878">
        <v>-1.537703E-2</v>
      </c>
      <c r="S878">
        <v>2.9950869999999998</v>
      </c>
      <c r="T878">
        <v>-0.19339870000000001</v>
      </c>
      <c r="U878">
        <v>2.471924E-2</v>
      </c>
      <c r="V878">
        <v>1.852444E-2</v>
      </c>
      <c r="W878">
        <v>-7.0037020000000005E-2</v>
      </c>
      <c r="X878">
        <v>0.99737240000000005</v>
      </c>
      <c r="Y878">
        <v>-5.0846279999999999E-3</v>
      </c>
      <c r="Z878" s="1">
        <v>3.9208419999999997E-5</v>
      </c>
      <c r="AA878">
        <v>0.99998710000000002</v>
      </c>
      <c r="AB878">
        <v>32</v>
      </c>
      <c r="AC878">
        <v>16.3444</v>
      </c>
      <c r="AD878">
        <v>-1.070647827677</v>
      </c>
      <c r="AE878">
        <v>0.13600000000002399</v>
      </c>
      <c r="AF878">
        <v>-8.3996938599579504E-2</v>
      </c>
      <c r="AG878">
        <v>-1.070647827677</v>
      </c>
      <c r="AH878">
        <v>16.2749177998015</v>
      </c>
      <c r="AI878">
        <v>93.763737936199107</v>
      </c>
      <c r="AJ878">
        <v>90.295708242681599</v>
      </c>
      <c r="AK878">
        <v>16.310312432534801</v>
      </c>
      <c r="AL878">
        <v>94.016113439278001</v>
      </c>
      <c r="AM878">
        <v>88.935953902927494</v>
      </c>
      <c r="AN878">
        <v>1.00000002166477</v>
      </c>
    </row>
    <row r="879" spans="1:40" x14ac:dyDescent="0.25">
      <c r="A879" t="str">
        <f>"20190303154746622"</f>
        <v>20190303154746622</v>
      </c>
      <c r="B879" t="str">
        <f>"1551599266611686"</f>
        <v>1551599266611686</v>
      </c>
      <c r="C879" t="s">
        <v>40</v>
      </c>
      <c r="D879">
        <v>5.1357670000000004</v>
      </c>
      <c r="E879">
        <v>0.49070550000000002</v>
      </c>
      <c r="F879" t="s">
        <v>41</v>
      </c>
      <c r="G879">
        <v>-276.31709999999998</v>
      </c>
      <c r="H879" s="1">
        <v>-1.8785300000000001E-6</v>
      </c>
      <c r="I879">
        <v>367.83339999999998</v>
      </c>
      <c r="J879">
        <v>-292.59210000000002</v>
      </c>
      <c r="K879">
        <v>1.070616</v>
      </c>
      <c r="L879">
        <v>367.6884</v>
      </c>
      <c r="M879">
        <v>0.99990060000000003</v>
      </c>
      <c r="N879">
        <v>-1.3735570000000001E-2</v>
      </c>
      <c r="O879">
        <v>3.1674030000000001E-3</v>
      </c>
      <c r="P879">
        <v>0.99637089999999995</v>
      </c>
      <c r="Q879">
        <v>-8.3682129999999993E-2</v>
      </c>
      <c r="R879">
        <v>-1.556986E-2</v>
      </c>
      <c r="S879">
        <v>2.9950260000000002</v>
      </c>
      <c r="T879">
        <v>-0.19472990000000001</v>
      </c>
      <c r="U879">
        <v>2.6489260000000001E-2</v>
      </c>
      <c r="V879">
        <v>1.87254E-2</v>
      </c>
      <c r="W879">
        <v>-6.9989410000000002E-2</v>
      </c>
      <c r="X879">
        <v>0.99737200000000004</v>
      </c>
      <c r="Y879">
        <v>-5.6661130000000004E-3</v>
      </c>
      <c r="Z879" s="1">
        <v>6.0723090000000001E-5</v>
      </c>
      <c r="AA879">
        <v>0.99998399999999998</v>
      </c>
      <c r="AB879">
        <v>32</v>
      </c>
      <c r="AC879">
        <v>16.274999999999999</v>
      </c>
      <c r="AD879">
        <v>-1.07061787852999</v>
      </c>
      <c r="AE879">
        <v>0.14499999999998101</v>
      </c>
      <c r="AF879">
        <v>-9.3042323469415794E-2</v>
      </c>
      <c r="AG879">
        <v>-1.07061787852999</v>
      </c>
      <c r="AH879">
        <v>16.205256609144499</v>
      </c>
      <c r="AI879">
        <v>93.779752883161606</v>
      </c>
      <c r="AJ879">
        <v>90.328959547082405</v>
      </c>
      <c r="AK879">
        <v>16.2408503867257</v>
      </c>
      <c r="AL879">
        <v>94.013378834278399</v>
      </c>
      <c r="AM879">
        <v>88.924413001903204</v>
      </c>
      <c r="AN879">
        <v>1.0000000322506499</v>
      </c>
    </row>
    <row r="880" spans="1:40" x14ac:dyDescent="0.25">
      <c r="A880" t="str">
        <f>"20190303154746636"</f>
        <v>20190303154746636</v>
      </c>
      <c r="B880" t="str">
        <f>"1551599266631207"</f>
        <v>1551599266631207</v>
      </c>
      <c r="C880" t="s">
        <v>40</v>
      </c>
      <c r="D880">
        <v>5.0680420000000002</v>
      </c>
      <c r="E880">
        <v>0.49076209999999998</v>
      </c>
      <c r="F880" t="s">
        <v>41</v>
      </c>
      <c r="G880">
        <v>-276.14030000000002</v>
      </c>
      <c r="H880" s="1">
        <v>-1.95442E-6</v>
      </c>
      <c r="I880">
        <v>367.83319999999998</v>
      </c>
      <c r="J880">
        <v>-292.392</v>
      </c>
      <c r="K880">
        <v>1.070592</v>
      </c>
      <c r="L880">
        <v>367.6891</v>
      </c>
      <c r="M880">
        <v>0.99990239999999997</v>
      </c>
      <c r="N880">
        <v>-1.361177E-2</v>
      </c>
      <c r="O880">
        <v>3.175817E-3</v>
      </c>
      <c r="P880">
        <v>0.9963649</v>
      </c>
      <c r="Q880">
        <v>-8.3762989999999996E-2</v>
      </c>
      <c r="R880">
        <v>-1.553293E-2</v>
      </c>
      <c r="S880">
        <v>2.9949650000000001</v>
      </c>
      <c r="T880">
        <v>-0.19489899999999999</v>
      </c>
      <c r="U880">
        <v>2.6367189999999999E-2</v>
      </c>
      <c r="V880">
        <v>1.8696709999999998E-2</v>
      </c>
      <c r="W880">
        <v>-7.0193829999999999E-2</v>
      </c>
      <c r="X880">
        <v>0.99735810000000003</v>
      </c>
      <c r="Y880">
        <v>-5.6172940000000001E-3</v>
      </c>
      <c r="Z880" s="1">
        <v>5.7608670000000001E-5</v>
      </c>
      <c r="AA880">
        <v>0.99998419999999999</v>
      </c>
      <c r="AB880">
        <v>32</v>
      </c>
      <c r="AC880">
        <v>16.2516999999999</v>
      </c>
      <c r="AD880">
        <v>-1.07059395442</v>
      </c>
      <c r="AE880">
        <v>0.14409999999997999</v>
      </c>
      <c r="AF880">
        <v>-9.2082498634418697E-2</v>
      </c>
      <c r="AG880">
        <v>-1.07059395442</v>
      </c>
      <c r="AH880">
        <v>16.181858067098801</v>
      </c>
      <c r="AI880">
        <v>93.785119191328604</v>
      </c>
      <c r="AJ880">
        <v>90.326036822863003</v>
      </c>
      <c r="AK880">
        <v>16.2174961416837</v>
      </c>
      <c r="AL880">
        <v>94.025120404714897</v>
      </c>
      <c r="AM880">
        <v>88.9260456054906</v>
      </c>
      <c r="AN880">
        <v>0.99999996018524995</v>
      </c>
    </row>
    <row r="881" spans="1:40" x14ac:dyDescent="0.25">
      <c r="A881" t="str">
        <f>"20190303154746648"</f>
        <v>20190303154746648</v>
      </c>
      <c r="B881" t="str">
        <f>"1551599266641942"</f>
        <v>1551599266641942</v>
      </c>
      <c r="C881" t="s">
        <v>40</v>
      </c>
      <c r="D881">
        <v>5.0921379999999896</v>
      </c>
      <c r="E881">
        <v>0.51114999999999999</v>
      </c>
      <c r="F881" t="s">
        <v>41</v>
      </c>
      <c r="G881">
        <v>-275.93579999999997</v>
      </c>
      <c r="H881" s="1">
        <v>-2.0424670000000001E-6</v>
      </c>
      <c r="I881">
        <v>367.83139999999997</v>
      </c>
      <c r="J881">
        <v>-292.21370000000002</v>
      </c>
      <c r="K881">
        <v>1.070573</v>
      </c>
      <c r="L881">
        <v>367.68970000000002</v>
      </c>
      <c r="M881">
        <v>0.99990389999999996</v>
      </c>
      <c r="N881">
        <v>-1.3504189999999999E-2</v>
      </c>
      <c r="O881">
        <v>3.183637E-3</v>
      </c>
      <c r="P881">
        <v>0.9963573</v>
      </c>
      <c r="Q881">
        <v>-8.3833099999999994E-2</v>
      </c>
      <c r="R881">
        <v>-1.5634680000000001E-2</v>
      </c>
      <c r="S881">
        <v>2.9949340000000002</v>
      </c>
      <c r="T881">
        <v>-0.1948414</v>
      </c>
      <c r="U881">
        <v>2.5909419999999999E-2</v>
      </c>
      <c r="V881">
        <v>1.880627E-2</v>
      </c>
      <c r="W881">
        <v>-7.0371370000000003E-2</v>
      </c>
      <c r="X881">
        <v>0.99734350000000005</v>
      </c>
      <c r="Y881">
        <v>-5.4571969999999996E-3</v>
      </c>
      <c r="Z881" s="1">
        <v>5.0284110000000003E-5</v>
      </c>
      <c r="AA881">
        <v>0.99998509999999996</v>
      </c>
      <c r="AB881">
        <v>32</v>
      </c>
      <c r="AC881">
        <v>16.277899999999999</v>
      </c>
      <c r="AD881">
        <v>-1.070575042467</v>
      </c>
      <c r="AE881">
        <v>0.141699999999957</v>
      </c>
      <c r="AF881">
        <v>-8.9484601730025204E-2</v>
      </c>
      <c r="AG881">
        <v>-1.070575042467</v>
      </c>
      <c r="AH881">
        <v>16.208165360128699</v>
      </c>
      <c r="AI881">
        <v>93.778930440812005</v>
      </c>
      <c r="AJ881">
        <v>90.316324383708306</v>
      </c>
      <c r="AK881">
        <v>16.243729952100701</v>
      </c>
      <c r="AL881">
        <v>94.035318032002493</v>
      </c>
      <c r="AM881">
        <v>88.919738066066003</v>
      </c>
      <c r="AN881">
        <v>0.99999993124961695</v>
      </c>
    </row>
    <row r="882" spans="1:40" x14ac:dyDescent="0.25">
      <c r="A882" t="str">
        <f>"20190303154746663"</f>
        <v>20190303154746663</v>
      </c>
      <c r="B882" t="str">
        <f>"1551599266651702"</f>
        <v>1551599266651702</v>
      </c>
      <c r="C882" t="s">
        <v>40</v>
      </c>
      <c r="D882">
        <v>5.1550310000000001</v>
      </c>
      <c r="E882">
        <v>0.5123065</v>
      </c>
      <c r="F882" t="s">
        <v>41</v>
      </c>
      <c r="G882">
        <v>-261.86329999999998</v>
      </c>
      <c r="H882" s="1">
        <v>-4.0632089999999999E-6</v>
      </c>
      <c r="I882">
        <v>366.2885</v>
      </c>
      <c r="J882">
        <v>-292.00150000000002</v>
      </c>
      <c r="K882">
        <v>1.070549</v>
      </c>
      <c r="L882">
        <v>367.69029999999998</v>
      </c>
      <c r="M882">
        <v>0.9999055</v>
      </c>
      <c r="N882">
        <v>-1.3379169999999999E-2</v>
      </c>
      <c r="O882">
        <v>3.1930579999999999E-3</v>
      </c>
      <c r="P882">
        <v>0.99631670000000006</v>
      </c>
      <c r="Q882">
        <v>-8.4318219999999999E-2</v>
      </c>
      <c r="R882">
        <v>-1.560921E-2</v>
      </c>
      <c r="S882">
        <v>2.9998779999999998</v>
      </c>
      <c r="T882">
        <v>-0.1058176</v>
      </c>
      <c r="U882">
        <v>-0.1384888</v>
      </c>
      <c r="V882">
        <v>1.8790020000000001E-2</v>
      </c>
      <c r="W882">
        <v>-7.0981710000000003E-2</v>
      </c>
      <c r="X882">
        <v>0.99730059999999998</v>
      </c>
      <c r="Y882">
        <v>4.9262439999999998E-2</v>
      </c>
      <c r="Z882">
        <v>-1.2678329999999999E-3</v>
      </c>
      <c r="AA882">
        <v>0.99878509999999998</v>
      </c>
      <c r="AB882">
        <v>32</v>
      </c>
      <c r="AC882">
        <v>30.138200000000001</v>
      </c>
      <c r="AD882">
        <v>-1.0705530632089999</v>
      </c>
      <c r="AE882">
        <v>-1.40179999999998</v>
      </c>
      <c r="AF882">
        <v>1.4961507476537399</v>
      </c>
      <c r="AG882">
        <v>-1.0705530632089999</v>
      </c>
      <c r="AH882">
        <v>30.095677918524</v>
      </c>
      <c r="AI882">
        <v>92.034736050999001</v>
      </c>
      <c r="AJ882">
        <v>87.153989702207994</v>
      </c>
      <c r="AK882">
        <v>30.151855337547399</v>
      </c>
      <c r="AL882">
        <v>94.070375421899101</v>
      </c>
      <c r="AM882">
        <v>88.920624853348698</v>
      </c>
      <c r="AN882">
        <v>0.99999997738324198</v>
      </c>
    </row>
    <row r="883" spans="1:40" x14ac:dyDescent="0.25">
      <c r="A883" t="str">
        <f>"20190303154746674"</f>
        <v>20190303154746674</v>
      </c>
      <c r="B883" t="str">
        <f>"1551599266671222"</f>
        <v>1551599266671222</v>
      </c>
      <c r="C883" t="s">
        <v>40</v>
      </c>
      <c r="D883">
        <v>5.1697749999999996</v>
      </c>
      <c r="E883">
        <v>0.51300119999999905</v>
      </c>
      <c r="F883" t="s">
        <v>41</v>
      </c>
      <c r="G883">
        <v>-265.49310000000003</v>
      </c>
      <c r="H883" s="1">
        <v>-2.488707E-6</v>
      </c>
      <c r="I883">
        <v>366.38639999999998</v>
      </c>
      <c r="J883">
        <v>-291.83940000000001</v>
      </c>
      <c r="K883">
        <v>1.0705340000000001</v>
      </c>
      <c r="L883">
        <v>367.6909</v>
      </c>
      <c r="M883">
        <v>0.99990659999999998</v>
      </c>
      <c r="N883">
        <v>-1.3287469999999999E-2</v>
      </c>
      <c r="O883">
        <v>3.2000489999999999E-3</v>
      </c>
      <c r="P883">
        <v>0.99629489999999998</v>
      </c>
      <c r="Q883">
        <v>-8.4594509999999998E-2</v>
      </c>
      <c r="R883">
        <v>-1.551026E-2</v>
      </c>
      <c r="S883">
        <v>2.998535</v>
      </c>
      <c r="T883">
        <v>-0.1210966</v>
      </c>
      <c r="U883">
        <v>-0.1474915</v>
      </c>
      <c r="V883">
        <v>1.8697910000000002E-2</v>
      </c>
      <c r="W883">
        <v>-7.134973E-2</v>
      </c>
      <c r="X883">
        <v>0.9972761</v>
      </c>
      <c r="Y883">
        <v>5.2266960000000001E-2</v>
      </c>
      <c r="Z883">
        <v>-1.488624E-3</v>
      </c>
      <c r="AA883">
        <v>0.99863199999999996</v>
      </c>
      <c r="AB883">
        <v>32</v>
      </c>
      <c r="AC883">
        <v>26.3462999999999</v>
      </c>
      <c r="AD883">
        <v>-1.0705364887069999</v>
      </c>
      <c r="AE883">
        <v>-1.30450000000001</v>
      </c>
      <c r="AF883">
        <v>1.3865265696225599</v>
      </c>
      <c r="AG883">
        <v>-1.0705364887069999</v>
      </c>
      <c r="AH883">
        <v>26.2986756618368</v>
      </c>
      <c r="AI883">
        <v>92.327814814629704</v>
      </c>
      <c r="AJ883">
        <v>86.982029159418204</v>
      </c>
      <c r="AK883">
        <v>26.356950617786001</v>
      </c>
      <c r="AL883">
        <v>94.091514890255198</v>
      </c>
      <c r="AM883">
        <v>88.925888402877604</v>
      </c>
      <c r="AN883">
        <v>1.0000000077203199</v>
      </c>
    </row>
    <row r="884" spans="1:40" x14ac:dyDescent="0.25">
      <c r="A884" t="str">
        <f>"20190303154746685"</f>
        <v>20190303154746685</v>
      </c>
      <c r="B884" t="str">
        <f>"1551599266680983"</f>
        <v>1551599266680983</v>
      </c>
      <c r="C884" t="s">
        <v>40</v>
      </c>
      <c r="D884">
        <v>5.1524809999999999</v>
      </c>
      <c r="E884">
        <v>0.51311090000000004</v>
      </c>
      <c r="F884" t="s">
        <v>41</v>
      </c>
      <c r="G884">
        <v>-268.44240000000002</v>
      </c>
      <c r="H884" s="1">
        <v>-1.3449349999999999E-6</v>
      </c>
      <c r="I884">
        <v>366.50130000000001</v>
      </c>
      <c r="J884">
        <v>-291.68439999999998</v>
      </c>
      <c r="K884">
        <v>1.0705309999999999</v>
      </c>
      <c r="L884">
        <v>367.69139999999999</v>
      </c>
      <c r="M884">
        <v>0.99990780000000001</v>
      </c>
      <c r="N884">
        <v>-1.32021E-2</v>
      </c>
      <c r="O884">
        <v>3.206694E-3</v>
      </c>
      <c r="P884">
        <v>0.99628810000000001</v>
      </c>
      <c r="Q884">
        <v>-8.4673239999999997E-2</v>
      </c>
      <c r="R884">
        <v>-1.551261E-2</v>
      </c>
      <c r="S884">
        <v>2.997131</v>
      </c>
      <c r="T884">
        <v>-0.13713410000000001</v>
      </c>
      <c r="U884">
        <v>-0.15237429999999999</v>
      </c>
      <c r="V884">
        <v>1.8706879999999999E-2</v>
      </c>
      <c r="W884">
        <v>-7.1513679999999996E-2</v>
      </c>
      <c r="X884">
        <v>0.99726420000000005</v>
      </c>
      <c r="Y884">
        <v>5.3902819999999997E-2</v>
      </c>
      <c r="Z884">
        <v>-1.6922860000000001E-3</v>
      </c>
      <c r="AA884">
        <v>0.99854480000000001</v>
      </c>
      <c r="AB884">
        <v>32</v>
      </c>
      <c r="AC884">
        <v>23.241999999999901</v>
      </c>
      <c r="AD884">
        <v>-1.0705323449349999</v>
      </c>
      <c r="AE884">
        <v>-1.19009999999997</v>
      </c>
      <c r="AF884">
        <v>1.2619600452209401</v>
      </c>
      <c r="AG884">
        <v>-1.0705323449349999</v>
      </c>
      <c r="AH884">
        <v>23.188995977278999</v>
      </c>
      <c r="AI884">
        <v>92.639313562872502</v>
      </c>
      <c r="AJ884">
        <v>86.884999612928695</v>
      </c>
      <c r="AK884">
        <v>23.2479701714268</v>
      </c>
      <c r="AL884">
        <v>94.100932543692707</v>
      </c>
      <c r="AM884">
        <v>88.925360417029196</v>
      </c>
      <c r="AN884">
        <v>1.0000000191940499</v>
      </c>
    </row>
    <row r="885" spans="1:40" x14ac:dyDescent="0.25">
      <c r="A885" t="str">
        <f>"20190303154746696"</f>
        <v>20190303154746696</v>
      </c>
      <c r="B885" t="str">
        <f>"1551599266691719"</f>
        <v>1551599266691719</v>
      </c>
      <c r="C885" t="s">
        <v>40</v>
      </c>
      <c r="D885">
        <v>5.1689179999999997</v>
      </c>
      <c r="E885">
        <v>0.51311759999999995</v>
      </c>
      <c r="F885" t="s">
        <v>41</v>
      </c>
      <c r="G885">
        <v>-269.07929999999999</v>
      </c>
      <c r="H885" s="1">
        <v>-1.118693E-6</v>
      </c>
      <c r="I885">
        <v>366.53710000000001</v>
      </c>
      <c r="J885">
        <v>-291.51690000000002</v>
      </c>
      <c r="K885">
        <v>1.0705209999999901</v>
      </c>
      <c r="L885">
        <v>367.69189999999998</v>
      </c>
      <c r="M885">
        <v>0.99990900000000005</v>
      </c>
      <c r="N885">
        <v>-1.3113120000000001E-2</v>
      </c>
      <c r="O885">
        <v>3.214134E-3</v>
      </c>
      <c r="P885">
        <v>0.99628079999999997</v>
      </c>
      <c r="Q885">
        <v>-8.4816950000000002E-2</v>
      </c>
      <c r="R885">
        <v>-1.5190449999999999E-2</v>
      </c>
      <c r="S885">
        <v>2.9967350000000001</v>
      </c>
      <c r="T885">
        <v>-0.14191879999999901</v>
      </c>
      <c r="U885">
        <v>-0.15301509999999999</v>
      </c>
      <c r="V885">
        <v>1.839205E-2</v>
      </c>
      <c r="W885">
        <v>-7.1746210000000005E-2</v>
      </c>
      <c r="X885">
        <v>0.99725339999999996</v>
      </c>
      <c r="Y885">
        <v>5.412496E-2</v>
      </c>
      <c r="Z885">
        <v>-1.745372E-3</v>
      </c>
      <c r="AA885">
        <v>0.99853270000000005</v>
      </c>
      <c r="AB885">
        <v>32</v>
      </c>
      <c r="AC885">
        <v>22.4376</v>
      </c>
      <c r="AD885">
        <v>-1.0705221186929901</v>
      </c>
      <c r="AE885">
        <v>-1.1547999999999601</v>
      </c>
      <c r="AF885">
        <v>1.2241384754170701</v>
      </c>
      <c r="AG885">
        <v>-1.0705221186929901</v>
      </c>
      <c r="AH885">
        <v>22.3829553130109</v>
      </c>
      <c r="AI885">
        <v>92.734150927957003</v>
      </c>
      <c r="AJ885">
        <v>86.869574937960195</v>
      </c>
      <c r="AK885">
        <v>22.441952258166999</v>
      </c>
      <c r="AL885">
        <v>94.114289653576094</v>
      </c>
      <c r="AM885">
        <v>88.943430636635199</v>
      </c>
      <c r="AN885">
        <v>1.00000006498206</v>
      </c>
    </row>
    <row r="886" spans="1:40" x14ac:dyDescent="0.25">
      <c r="A886" t="str">
        <f>"20190303154746710"</f>
        <v>20190303154746710</v>
      </c>
      <c r="B886" t="str">
        <f>"1551599266701478"</f>
        <v>1551599266701478</v>
      </c>
      <c r="C886" t="s">
        <v>40</v>
      </c>
      <c r="D886">
        <v>5.137372</v>
      </c>
      <c r="E886">
        <v>0.51312369999999996</v>
      </c>
      <c r="F886" t="s">
        <v>41</v>
      </c>
      <c r="G886">
        <v>-269.14940000000001</v>
      </c>
      <c r="H886" s="1">
        <v>-1.0895150000000001E-6</v>
      </c>
      <c r="I886">
        <v>366.55700000000002</v>
      </c>
      <c r="J886">
        <v>-291.33499999999998</v>
      </c>
      <c r="K886">
        <v>1.070514</v>
      </c>
      <c r="L886">
        <v>367.6925</v>
      </c>
      <c r="M886">
        <v>0.99991019999999997</v>
      </c>
      <c r="N886">
        <v>-1.302183E-2</v>
      </c>
      <c r="O886">
        <v>3.2221810000000002E-3</v>
      </c>
      <c r="P886">
        <v>0.99629429999999997</v>
      </c>
      <c r="Q886">
        <v>-8.4696949999999993E-2</v>
      </c>
      <c r="R886">
        <v>-1.4978089999999999E-2</v>
      </c>
      <c r="S886">
        <v>2.9966740000000001</v>
      </c>
      <c r="T886">
        <v>-0.14342240000000001</v>
      </c>
      <c r="U886">
        <v>-0.1520386</v>
      </c>
      <c r="V886">
        <v>1.818765E-2</v>
      </c>
      <c r="W886">
        <v>-7.1717080000000002E-2</v>
      </c>
      <c r="X886">
        <v>0.99725920000000001</v>
      </c>
      <c r="Y886">
        <v>5.3808500000000002E-2</v>
      </c>
      <c r="Z886">
        <v>-1.7490419999999999E-3</v>
      </c>
      <c r="AA886">
        <v>0.99854980000000004</v>
      </c>
      <c r="AB886">
        <v>32</v>
      </c>
      <c r="AC886">
        <v>22.185599999999901</v>
      </c>
      <c r="AD886">
        <v>-1.070515089515</v>
      </c>
      <c r="AE886">
        <v>-1.1355000000000299</v>
      </c>
      <c r="AF886">
        <v>1.2041897547009901</v>
      </c>
      <c r="AG886">
        <v>-1.070515089515</v>
      </c>
      <c r="AH886">
        <v>22.130433542065301</v>
      </c>
      <c r="AI886">
        <v>92.765324630356702</v>
      </c>
      <c r="AJ886">
        <v>86.885419453951698</v>
      </c>
      <c r="AK886">
        <v>22.189009988775499</v>
      </c>
      <c r="AL886">
        <v>94.112616497919902</v>
      </c>
      <c r="AM886">
        <v>88.955176275213603</v>
      </c>
      <c r="AN886">
        <v>1.0000000210804401</v>
      </c>
    </row>
    <row r="887" spans="1:40" x14ac:dyDescent="0.25">
      <c r="A887" t="str">
        <f>"20190303154746722"</f>
        <v>20190303154746722</v>
      </c>
      <c r="B887" t="str">
        <f>"1551599266711237"</f>
        <v>1551599266711237</v>
      </c>
      <c r="C887" t="s">
        <v>40</v>
      </c>
      <c r="D887">
        <v>5.1646140000000003</v>
      </c>
      <c r="E887">
        <v>0.51311709999999899</v>
      </c>
      <c r="F887" t="s">
        <v>41</v>
      </c>
      <c r="G887">
        <v>-269.19749999999999</v>
      </c>
      <c r="H887" s="1">
        <v>-1.0688160000000001E-6</v>
      </c>
      <c r="I887">
        <v>366.57330000000002</v>
      </c>
      <c r="J887">
        <v>-291.15190000000001</v>
      </c>
      <c r="K887">
        <v>1.0705070000000001</v>
      </c>
      <c r="L887">
        <v>367.69310000000002</v>
      </c>
      <c r="M887">
        <v>0.9999112</v>
      </c>
      <c r="N887">
        <v>-1.293327E-2</v>
      </c>
      <c r="O887">
        <v>3.2299690000000001E-3</v>
      </c>
      <c r="P887">
        <v>0.99630580000000002</v>
      </c>
      <c r="Q887">
        <v>-8.4633650000000005E-2</v>
      </c>
      <c r="R887">
        <v>-1.456354E-2</v>
      </c>
      <c r="S887">
        <v>2.9965519999999999</v>
      </c>
      <c r="T887">
        <v>-0.1449057</v>
      </c>
      <c r="U887">
        <v>-0.15148929999999999</v>
      </c>
      <c r="V887">
        <v>1.7781020000000002E-2</v>
      </c>
      <c r="W887">
        <v>-7.1741949999999999E-2</v>
      </c>
      <c r="X887">
        <v>0.9972647</v>
      </c>
      <c r="Y887">
        <v>5.3634599999999998E-2</v>
      </c>
      <c r="Z887">
        <v>-1.756837E-3</v>
      </c>
      <c r="AA887">
        <v>0.99855910000000003</v>
      </c>
      <c r="AB887">
        <v>32</v>
      </c>
      <c r="AC887">
        <v>21.9544</v>
      </c>
      <c r="AD887">
        <v>-1.07050806881599</v>
      </c>
      <c r="AE887">
        <v>-1.1197999999999899</v>
      </c>
      <c r="AF887">
        <v>1.18789511923504</v>
      </c>
      <c r="AG887">
        <v>-1.07050806881599</v>
      </c>
      <c r="AH887">
        <v>21.8987371481468</v>
      </c>
      <c r="AI887">
        <v>92.794543757330899</v>
      </c>
      <c r="AJ887">
        <v>86.895038427151803</v>
      </c>
      <c r="AK887">
        <v>21.957043767851001</v>
      </c>
      <c r="AL887">
        <v>94.114045305703598</v>
      </c>
      <c r="AM887">
        <v>88.978536525856796</v>
      </c>
      <c r="AN887">
        <v>0.99999997696406595</v>
      </c>
    </row>
    <row r="888" spans="1:40" x14ac:dyDescent="0.25">
      <c r="A888" t="str">
        <f>"20190303154746736"</f>
        <v>20190303154746736</v>
      </c>
      <c r="B888" t="str">
        <f>"1551599266731736"</f>
        <v>1551599266731736</v>
      </c>
      <c r="C888" t="s">
        <v>40</v>
      </c>
      <c r="D888">
        <v>5.1726700000000001</v>
      </c>
      <c r="E888">
        <v>0.51327639999999997</v>
      </c>
      <c r="F888" t="s">
        <v>41</v>
      </c>
      <c r="G888">
        <v>-269.38810000000001</v>
      </c>
      <c r="H888" s="1">
        <v>-9.9656399999999998E-7</v>
      </c>
      <c r="I888">
        <v>366.60120000000001</v>
      </c>
      <c r="J888">
        <v>-290.94450000000001</v>
      </c>
      <c r="K888">
        <v>1.0705009999999999</v>
      </c>
      <c r="L888">
        <v>367.69380000000001</v>
      </c>
      <c r="M888">
        <v>0.99991229999999998</v>
      </c>
      <c r="N888">
        <v>-1.2840529999999999E-2</v>
      </c>
      <c r="O888">
        <v>3.239151E-3</v>
      </c>
      <c r="P888">
        <v>0.99635799999999997</v>
      </c>
      <c r="Q888">
        <v>-8.4032519999999999E-2</v>
      </c>
      <c r="R888">
        <v>-1.44735E-2</v>
      </c>
      <c r="S888">
        <v>2.9963989999999998</v>
      </c>
      <c r="T888">
        <v>-0.1473845</v>
      </c>
      <c r="U888">
        <v>-0.15032960000000001</v>
      </c>
      <c r="V888">
        <v>1.7700110000000002E-2</v>
      </c>
      <c r="W888">
        <v>-7.1232719999999999E-2</v>
      </c>
      <c r="X888">
        <v>0.99730269999999999</v>
      </c>
      <c r="Y888">
        <v>5.3258970000000003E-2</v>
      </c>
      <c r="Z888">
        <v>-1.7682259999999999E-3</v>
      </c>
      <c r="AA888">
        <v>0.99857910000000005</v>
      </c>
      <c r="AB888">
        <v>32</v>
      </c>
      <c r="AC888">
        <v>21.5564</v>
      </c>
      <c r="AD888">
        <v>-1.0705019965639999</v>
      </c>
      <c r="AE888">
        <v>-1.0926</v>
      </c>
      <c r="AF888">
        <v>1.15957208889537</v>
      </c>
      <c r="AG888">
        <v>-1.0705019965639999</v>
      </c>
      <c r="AH888">
        <v>21.499861124158802</v>
      </c>
      <c r="AI888">
        <v>92.846336569728194</v>
      </c>
      <c r="AJ888">
        <v>86.912804312271206</v>
      </c>
      <c r="AK888">
        <v>21.557704198548301</v>
      </c>
      <c r="AL888">
        <v>94.084793498086995</v>
      </c>
      <c r="AM888">
        <v>88.983222307267596</v>
      </c>
      <c r="AN888">
        <v>1.00000003485994</v>
      </c>
    </row>
    <row r="889" spans="1:40" x14ac:dyDescent="0.25">
      <c r="A889" t="str">
        <f>"20190303154746749"</f>
        <v>20190303154746749</v>
      </c>
      <c r="B889" t="str">
        <f>"1551599266741494"</f>
        <v>1551599266741494</v>
      </c>
      <c r="C889" t="s">
        <v>40</v>
      </c>
      <c r="D889">
        <v>5.1741929999999998</v>
      </c>
      <c r="E889">
        <v>0.5132236</v>
      </c>
      <c r="F889" t="s">
        <v>41</v>
      </c>
      <c r="G889">
        <v>-269.40969999999999</v>
      </c>
      <c r="H889" s="1">
        <v>-9.8737509999999995E-7</v>
      </c>
      <c r="I889">
        <v>366.60809999999998</v>
      </c>
      <c r="J889">
        <v>-290.7713</v>
      </c>
      <c r="K889">
        <v>1.0704990000000001</v>
      </c>
      <c r="L889">
        <v>367.69439999999997</v>
      </c>
      <c r="M889">
        <v>0.9999133</v>
      </c>
      <c r="N889">
        <v>-1.2768389999999999E-2</v>
      </c>
      <c r="O889">
        <v>3.2465300000000001E-3</v>
      </c>
      <c r="P889">
        <v>0.99636970000000002</v>
      </c>
      <c r="Q889">
        <v>-8.3910670000000007E-2</v>
      </c>
      <c r="R889">
        <v>-1.437971E-2</v>
      </c>
      <c r="S889">
        <v>2.9962460000000002</v>
      </c>
      <c r="T889">
        <v>-0.14894389999999999</v>
      </c>
      <c r="U889">
        <v>-0.151062</v>
      </c>
      <c r="V889">
        <v>1.761383E-2</v>
      </c>
      <c r="W889">
        <v>-7.1182659999999995E-2</v>
      </c>
      <c r="X889">
        <v>0.99730779999999997</v>
      </c>
      <c r="Y889">
        <v>5.3510429999999998E-2</v>
      </c>
      <c r="Z889">
        <v>-1.790238E-3</v>
      </c>
      <c r="AA889">
        <v>0.9985657</v>
      </c>
      <c r="AB889">
        <v>32</v>
      </c>
      <c r="AC889">
        <v>21.361599999999999</v>
      </c>
      <c r="AD889">
        <v>-1.07049998737509</v>
      </c>
      <c r="AE889">
        <v>-1.0862999999999901</v>
      </c>
      <c r="AF889">
        <v>1.15276348159931</v>
      </c>
      <c r="AG889">
        <v>-1.07049998737509</v>
      </c>
      <c r="AH889">
        <v>21.3045953021118</v>
      </c>
      <c r="AI889">
        <v>92.872348610924107</v>
      </c>
      <c r="AJ889">
        <v>86.902821361426902</v>
      </c>
      <c r="AK889">
        <v>21.362598504260699</v>
      </c>
      <c r="AL889">
        <v>94.081917979509896</v>
      </c>
      <c r="AM889">
        <v>88.988182777107099</v>
      </c>
      <c r="AN889">
        <v>1.0000000330163901</v>
      </c>
    </row>
    <row r="890" spans="1:40" x14ac:dyDescent="0.25">
      <c r="A890" t="str">
        <f>"20190303154746764"</f>
        <v>20190303154746764</v>
      </c>
      <c r="B890" t="str">
        <f>"1551599266761014"</f>
        <v>1551599266761014</v>
      </c>
      <c r="C890" t="s">
        <v>40</v>
      </c>
      <c r="D890">
        <v>5.1479470000000003</v>
      </c>
      <c r="E890">
        <v>0.51327409999999996</v>
      </c>
      <c r="F890" t="s">
        <v>41</v>
      </c>
      <c r="G890">
        <v>-269.2312</v>
      </c>
      <c r="H890" s="1">
        <v>-1.0462879999999999E-6</v>
      </c>
      <c r="I890">
        <v>366.61489999999998</v>
      </c>
      <c r="J890">
        <v>-290.55680000000001</v>
      </c>
      <c r="K890">
        <v>1.0704940000000001</v>
      </c>
      <c r="L890">
        <v>367.69510000000002</v>
      </c>
      <c r="M890">
        <v>0.99991430000000003</v>
      </c>
      <c r="N890">
        <v>-1.26838E-2</v>
      </c>
      <c r="O890">
        <v>3.2554770000000001E-3</v>
      </c>
      <c r="P890">
        <v>0.99635799999999997</v>
      </c>
      <c r="Q890">
        <v>-8.4035070000000003E-2</v>
      </c>
      <c r="R890">
        <v>-1.445481E-2</v>
      </c>
      <c r="S890">
        <v>2.996216</v>
      </c>
      <c r="T890">
        <v>-0.14890519999999999</v>
      </c>
      <c r="U890">
        <v>-0.15014649999999999</v>
      </c>
      <c r="V890">
        <v>1.7697850000000001E-2</v>
      </c>
      <c r="W890">
        <v>-7.13916E-2</v>
      </c>
      <c r="X890">
        <v>0.99729129999999999</v>
      </c>
      <c r="Y890">
        <v>5.3216119999999999E-2</v>
      </c>
      <c r="Z890">
        <v>-1.7790389999999901E-3</v>
      </c>
      <c r="AA890">
        <v>0.99858139999999995</v>
      </c>
      <c r="AB890">
        <v>32</v>
      </c>
      <c r="AC890">
        <v>21.325600000000001</v>
      </c>
      <c r="AD890">
        <v>-1.0704950462880001</v>
      </c>
      <c r="AE890">
        <v>-1.08020000000004</v>
      </c>
      <c r="AF890">
        <v>1.1467426852629601</v>
      </c>
      <c r="AG890">
        <v>-1.0704950462880001</v>
      </c>
      <c r="AH890">
        <v>21.268514782962399</v>
      </c>
      <c r="AI890">
        <v>92.877229498891097</v>
      </c>
      <c r="AJ890">
        <v>86.913749784941203</v>
      </c>
      <c r="AK890">
        <v>21.3262912739984</v>
      </c>
      <c r="AL890">
        <v>94.093920211003507</v>
      </c>
      <c r="AM890">
        <v>88.983340486237907</v>
      </c>
      <c r="AN890">
        <v>0.99999995575043499</v>
      </c>
    </row>
    <row r="891" spans="1:40" x14ac:dyDescent="0.25">
      <c r="A891" t="str">
        <f>"20190303154746775"</f>
        <v>20190303154746775</v>
      </c>
      <c r="B891" t="str">
        <f>"1551599266771750"</f>
        <v>1551599266771750</v>
      </c>
      <c r="C891" t="s">
        <v>40</v>
      </c>
      <c r="D891">
        <v>5.1495769999999998</v>
      </c>
      <c r="E891">
        <v>0.51321709999999998</v>
      </c>
      <c r="F891" t="s">
        <v>41</v>
      </c>
      <c r="G891">
        <v>-269.1771</v>
      </c>
      <c r="H891" s="1">
        <v>-1.0641089999999999E-6</v>
      </c>
      <c r="I891">
        <v>366.61709999999999</v>
      </c>
      <c r="J891">
        <v>-290.39409999999998</v>
      </c>
      <c r="K891">
        <v>1.0704899999999999</v>
      </c>
      <c r="L891">
        <v>367.69560000000001</v>
      </c>
      <c r="M891">
        <v>0.99991509999999995</v>
      </c>
      <c r="N891">
        <v>-1.2624740000000001E-2</v>
      </c>
      <c r="O891">
        <v>3.2620549999999998E-3</v>
      </c>
      <c r="P891">
        <v>0.9963786</v>
      </c>
      <c r="Q891">
        <v>-8.376728E-2</v>
      </c>
      <c r="R891">
        <v>-1.4602810000000001E-2</v>
      </c>
      <c r="S891">
        <v>2.996124</v>
      </c>
      <c r="T891">
        <v>-0.15001709999999999</v>
      </c>
      <c r="U891">
        <v>-0.151062</v>
      </c>
      <c r="V891">
        <v>1.7852420000000001E-2</v>
      </c>
      <c r="W891">
        <v>-7.1182419999999996E-2</v>
      </c>
      <c r="X891">
        <v>0.99730350000000001</v>
      </c>
      <c r="Y891">
        <v>5.3526999999999998E-2</v>
      </c>
      <c r="Z891">
        <v>-1.7987379999999901E-3</v>
      </c>
      <c r="AA891">
        <v>0.99856480000000003</v>
      </c>
      <c r="AB891">
        <v>32</v>
      </c>
      <c r="AC891">
        <v>21.216999999999899</v>
      </c>
      <c r="AD891">
        <v>-1.070491064109</v>
      </c>
      <c r="AE891">
        <v>-1.07850000000001</v>
      </c>
      <c r="AF891">
        <v>1.1448040340589201</v>
      </c>
      <c r="AG891">
        <v>-1.070491064109</v>
      </c>
      <c r="AH891">
        <v>21.159642536781998</v>
      </c>
      <c r="AI891">
        <v>92.891968949587095</v>
      </c>
      <c r="AJ891">
        <v>86.903135209411005</v>
      </c>
      <c r="AK891">
        <v>21.217610602495501</v>
      </c>
      <c r="AL891">
        <v>94.081904498381803</v>
      </c>
      <c r="AM891">
        <v>88.974475586482399</v>
      </c>
      <c r="AN891">
        <v>0.99999995846458001</v>
      </c>
    </row>
    <row r="892" spans="1:40" x14ac:dyDescent="0.25">
      <c r="A892" t="str">
        <f>"20190303154746786"</f>
        <v>20190303154746786</v>
      </c>
      <c r="B892" t="str">
        <f>"1551599266781510"</f>
        <v>1551599266781510</v>
      </c>
      <c r="C892" t="s">
        <v>40</v>
      </c>
      <c r="D892">
        <v>5.1156379999999997</v>
      </c>
      <c r="E892">
        <v>0.51316620000000002</v>
      </c>
      <c r="F892" t="s">
        <v>41</v>
      </c>
      <c r="G892">
        <v>-268.98809999999997</v>
      </c>
      <c r="H892" s="1">
        <v>-1.1287469999999999E-6</v>
      </c>
      <c r="I892">
        <v>366.61590000000001</v>
      </c>
      <c r="J892">
        <v>-290.24079999999998</v>
      </c>
      <c r="K892">
        <v>1.070495</v>
      </c>
      <c r="L892">
        <v>367.6961</v>
      </c>
      <c r="M892">
        <v>0.99991569999999996</v>
      </c>
      <c r="N892">
        <v>-1.2570889999999999E-2</v>
      </c>
      <c r="O892">
        <v>3.268478E-3</v>
      </c>
      <c r="P892">
        <v>0.99635019999999996</v>
      </c>
      <c r="Q892">
        <v>-8.4062899999999996E-2</v>
      </c>
      <c r="R892">
        <v>-1.482605E-2</v>
      </c>
      <c r="S892">
        <v>2.9960939999999998</v>
      </c>
      <c r="T892">
        <v>-0.14983089999999999</v>
      </c>
      <c r="U892">
        <v>-0.15112300000000001</v>
      </c>
      <c r="V892">
        <v>1.8082049999999999E-2</v>
      </c>
      <c r="W892">
        <v>-7.1532120000000005E-2</v>
      </c>
      <c r="X892">
        <v>0.99727440000000001</v>
      </c>
      <c r="Y892">
        <v>5.3554419999999998E-2</v>
      </c>
      <c r="Z892">
        <v>-1.7967199999999999E-3</v>
      </c>
      <c r="AA892">
        <v>0.99856330000000004</v>
      </c>
      <c r="AB892">
        <v>32</v>
      </c>
      <c r="AC892">
        <v>21.252700000000001</v>
      </c>
      <c r="AD892">
        <v>-1.0704961287469901</v>
      </c>
      <c r="AE892">
        <v>-1.0801999999999901</v>
      </c>
      <c r="AF892">
        <v>1.1467617149821501</v>
      </c>
      <c r="AG892">
        <v>-1.0704961287469901</v>
      </c>
      <c r="AH892">
        <v>21.195418693381701</v>
      </c>
      <c r="AI892">
        <v>92.887109279162203</v>
      </c>
      <c r="AJ892">
        <v>86.903075704874595</v>
      </c>
      <c r="AK892">
        <v>21.253394975400202</v>
      </c>
      <c r="AL892">
        <v>94.101991800420095</v>
      </c>
      <c r="AM892">
        <v>88.961257161334601</v>
      </c>
      <c r="AN892">
        <v>1.0000000168096199</v>
      </c>
    </row>
    <row r="893" spans="1:40" x14ac:dyDescent="0.25">
      <c r="A893" t="str">
        <f>"20190303154746797"</f>
        <v>20190303154746797</v>
      </c>
      <c r="B893" t="str">
        <f>"1551599266791270"</f>
        <v>1551599266791270</v>
      </c>
      <c r="C893" t="s">
        <v>40</v>
      </c>
      <c r="D893">
        <v>5.1530930000000001</v>
      </c>
      <c r="E893">
        <v>0.51310859999999903</v>
      </c>
      <c r="F893" t="s">
        <v>41</v>
      </c>
      <c r="G893">
        <v>-269.12310000000002</v>
      </c>
      <c r="H893" s="1">
        <v>-1.0788679999999999E-6</v>
      </c>
      <c r="I893">
        <v>366.63060000000002</v>
      </c>
      <c r="J893">
        <v>-290.07979999999998</v>
      </c>
      <c r="K893">
        <v>1.070495</v>
      </c>
      <c r="L893">
        <v>367.69670000000002</v>
      </c>
      <c r="M893">
        <v>0.99991649999999999</v>
      </c>
      <c r="N893">
        <v>-1.251616E-2</v>
      </c>
      <c r="O893">
        <v>3.2750819999999999E-3</v>
      </c>
      <c r="P893">
        <v>0.99633309999999997</v>
      </c>
      <c r="Q893">
        <v>-8.4204609999999999E-2</v>
      </c>
      <c r="R893">
        <v>-1.5171799999999999E-2</v>
      </c>
      <c r="S893">
        <v>2.9959410000000002</v>
      </c>
      <c r="T893">
        <v>-0.15187</v>
      </c>
      <c r="U893">
        <v>-0.1511536</v>
      </c>
      <c r="V893">
        <v>1.843438E-2</v>
      </c>
      <c r="W893">
        <v>-7.1728639999999996E-2</v>
      </c>
      <c r="X893">
        <v>0.99725379999999997</v>
      </c>
      <c r="Y893">
        <v>5.3571609999999999E-2</v>
      </c>
      <c r="Z893">
        <v>-1.816706E-3</v>
      </c>
      <c r="AA893">
        <v>0.99856230000000001</v>
      </c>
      <c r="AB893">
        <v>32</v>
      </c>
      <c r="AC893">
        <v>20.956699999999898</v>
      </c>
      <c r="AD893">
        <v>-1.070496078868</v>
      </c>
      <c r="AE893">
        <v>-1.0661</v>
      </c>
      <c r="AF893">
        <v>1.13178899917427</v>
      </c>
      <c r="AG893">
        <v>-1.070496078868</v>
      </c>
      <c r="AH893">
        <v>20.8987054726236</v>
      </c>
      <c r="AI893">
        <v>92.928020419431903</v>
      </c>
      <c r="AJ893">
        <v>86.900121455970506</v>
      </c>
      <c r="AK893">
        <v>20.956688636924302</v>
      </c>
      <c r="AL893">
        <v>94.113280704675603</v>
      </c>
      <c r="AM893">
        <v>88.940999880029906</v>
      </c>
      <c r="AN893">
        <v>0.99999998288833603</v>
      </c>
    </row>
    <row r="894" spans="1:40" x14ac:dyDescent="0.25">
      <c r="A894" t="str">
        <f>"20190303154746808"</f>
        <v>20190303154746808</v>
      </c>
      <c r="B894" t="str">
        <f>"1551599266801031"</f>
        <v>1551599266801031</v>
      </c>
      <c r="C894" t="s">
        <v>40</v>
      </c>
      <c r="D894">
        <v>5.179754</v>
      </c>
      <c r="E894">
        <v>0.51309550000000004</v>
      </c>
      <c r="F894" t="s">
        <v>41</v>
      </c>
      <c r="G894">
        <v>-269.04579999999999</v>
      </c>
      <c r="H894" s="1">
        <v>-1.1050870000000001E-6</v>
      </c>
      <c r="I894">
        <v>366.63099999999997</v>
      </c>
      <c r="J894">
        <v>-289.91480000000001</v>
      </c>
      <c r="K894">
        <v>1.0704929999999999</v>
      </c>
      <c r="L894">
        <v>367.69720000000001</v>
      </c>
      <c r="M894">
        <v>0.99991699999999994</v>
      </c>
      <c r="N894">
        <v>-1.2461079999999999E-2</v>
      </c>
      <c r="O894">
        <v>3.2819839999999999E-3</v>
      </c>
      <c r="P894">
        <v>0.99631369999999997</v>
      </c>
      <c r="Q894">
        <v>-8.4313070000000004E-2</v>
      </c>
      <c r="R894">
        <v>-1.5828890000000002E-2</v>
      </c>
      <c r="S894">
        <v>2.9958499999999999</v>
      </c>
      <c r="T894">
        <v>-0.1524693</v>
      </c>
      <c r="U894">
        <v>-0.15176389999999901</v>
      </c>
      <c r="V894">
        <v>1.909814E-2</v>
      </c>
      <c r="W894">
        <v>-7.1892289999999998E-2</v>
      </c>
      <c r="X894">
        <v>0.99722949999999999</v>
      </c>
      <c r="Y894">
        <v>5.3782040000000003E-2</v>
      </c>
      <c r="Z894">
        <v>-1.8283749999999999E-3</v>
      </c>
      <c r="AA894">
        <v>0.99855099999999997</v>
      </c>
      <c r="AB894">
        <v>32</v>
      </c>
      <c r="AC894">
        <v>20.869</v>
      </c>
      <c r="AD894">
        <v>-1.070494105087</v>
      </c>
      <c r="AE894">
        <v>-1.06620000000003</v>
      </c>
      <c r="AF894">
        <v>1.13172118675186</v>
      </c>
      <c r="AG894">
        <v>-1.070494105087</v>
      </c>
      <c r="AH894">
        <v>20.8107718811168</v>
      </c>
      <c r="AI894">
        <v>92.940329539698496</v>
      </c>
      <c r="AJ894">
        <v>86.887235121697501</v>
      </c>
      <c r="AK894">
        <v>20.868995585831399</v>
      </c>
      <c r="AL894">
        <v>94.122681531871905</v>
      </c>
      <c r="AM894">
        <v>88.902851279383796</v>
      </c>
      <c r="AN894">
        <v>0.99999995799157504</v>
      </c>
    </row>
    <row r="895" spans="1:40" x14ac:dyDescent="0.25">
      <c r="A895" t="str">
        <f>"20190303154746823"</f>
        <v>20190303154746823</v>
      </c>
      <c r="B895" t="str">
        <f>"1551599266811766"</f>
        <v>1551599266811766</v>
      </c>
      <c r="C895" t="s">
        <v>40</v>
      </c>
      <c r="D895">
        <v>5.1839219999999999</v>
      </c>
      <c r="E895">
        <v>0.5131173</v>
      </c>
      <c r="F895" t="s">
        <v>41</v>
      </c>
      <c r="G895">
        <v>-268.94639999999998</v>
      </c>
      <c r="H895" s="1">
        <v>-1.1415729999999999E-6</v>
      </c>
      <c r="I895">
        <v>366.62099999999998</v>
      </c>
      <c r="J895">
        <v>-289.71660000000003</v>
      </c>
      <c r="K895">
        <v>1.070489</v>
      </c>
      <c r="L895">
        <v>367.69779999999997</v>
      </c>
      <c r="M895">
        <v>0.99991790000000003</v>
      </c>
      <c r="N895">
        <v>-1.239497E-2</v>
      </c>
      <c r="O895">
        <v>3.2899660000000001E-3</v>
      </c>
      <c r="P895">
        <v>0.99629610000000002</v>
      </c>
      <c r="Q895">
        <v>-8.4467899999999999E-2</v>
      </c>
      <c r="R895">
        <v>-1.6113659999999998E-2</v>
      </c>
      <c r="S895">
        <v>2.9957579999999999</v>
      </c>
      <c r="T895">
        <v>-0.1529411</v>
      </c>
      <c r="U895">
        <v>-0.15374760000000001</v>
      </c>
      <c r="V895">
        <v>1.9390790000000001E-2</v>
      </c>
      <c r="W895">
        <v>-7.2113269999999993E-2</v>
      </c>
      <c r="X895">
        <v>0.99720790000000004</v>
      </c>
      <c r="Y895">
        <v>5.444951E-2</v>
      </c>
      <c r="Z895">
        <v>-1.8530459999999999E-3</v>
      </c>
      <c r="AA895">
        <v>0.99851480000000004</v>
      </c>
      <c r="AB895">
        <v>32</v>
      </c>
      <c r="AC895">
        <v>20.770199999999999</v>
      </c>
      <c r="AD895">
        <v>-1.0704901415729999</v>
      </c>
      <c r="AE895">
        <v>-1.07679999999999</v>
      </c>
      <c r="AF895">
        <v>1.1421069696533901</v>
      </c>
      <c r="AG895">
        <v>-1.0704901415729999</v>
      </c>
      <c r="AH895">
        <v>20.711674853047001</v>
      </c>
      <c r="AI895">
        <v>92.954239414528601</v>
      </c>
      <c r="AJ895">
        <v>86.843726874601003</v>
      </c>
      <c r="AK895">
        <v>20.770744634983</v>
      </c>
      <c r="AL895">
        <v>94.135375689360203</v>
      </c>
      <c r="AM895">
        <v>88.886019222597099</v>
      </c>
      <c r="AN895">
        <v>0.99999996113466205</v>
      </c>
    </row>
    <row r="896" spans="1:40" x14ac:dyDescent="0.25">
      <c r="A896" t="str">
        <f>"20190303154746834"</f>
        <v>20190303154746834</v>
      </c>
      <c r="B896" t="str">
        <f>"1551599266831286"</f>
        <v>1551599266831286</v>
      </c>
      <c r="C896" t="s">
        <v>40</v>
      </c>
      <c r="D896">
        <v>5.1543539999999997</v>
      </c>
      <c r="E896">
        <v>0.51304019999999995</v>
      </c>
      <c r="F896" t="s">
        <v>41</v>
      </c>
      <c r="G896">
        <v>-268.85090000000002</v>
      </c>
      <c r="H896" s="1">
        <v>-1.1745069999999999E-6</v>
      </c>
      <c r="I896">
        <v>366.61939999999998</v>
      </c>
      <c r="J896">
        <v>-289.53960000000001</v>
      </c>
      <c r="K896">
        <v>1.070486</v>
      </c>
      <c r="L896">
        <v>367.69850000000002</v>
      </c>
      <c r="M896">
        <v>0.99991859999999999</v>
      </c>
      <c r="N896">
        <v>-1.2334009999999999E-2</v>
      </c>
      <c r="O896">
        <v>3.2973770000000002E-3</v>
      </c>
      <c r="P896">
        <v>0.99626669999999995</v>
      </c>
      <c r="Q896">
        <v>-8.4743869999999999E-2</v>
      </c>
      <c r="R896">
        <v>-1.6472569999999999E-2</v>
      </c>
      <c r="S896">
        <v>2.9956049999999999</v>
      </c>
      <c r="T896">
        <v>-0.1536853</v>
      </c>
      <c r="U896">
        <v>-0.1548157</v>
      </c>
      <c r="V896">
        <v>1.975706E-2</v>
      </c>
      <c r="W896">
        <v>-7.2450390000000003E-2</v>
      </c>
      <c r="X896">
        <v>0.99717630000000002</v>
      </c>
      <c r="Y896">
        <v>5.4813260000000003E-2</v>
      </c>
      <c r="Z896">
        <v>-1.8710700000000001E-3</v>
      </c>
      <c r="AA896">
        <v>0.99849489999999996</v>
      </c>
      <c r="AB896">
        <v>32</v>
      </c>
      <c r="AC896">
        <v>20.688699999999901</v>
      </c>
      <c r="AD896">
        <v>-1.0704871745069999</v>
      </c>
      <c r="AE896">
        <v>-1.0791000000000299</v>
      </c>
      <c r="AF896">
        <v>1.1442625401034501</v>
      </c>
      <c r="AG896">
        <v>-1.0704871745069999</v>
      </c>
      <c r="AH896">
        <v>20.6299464057312</v>
      </c>
      <c r="AI896">
        <v>92.965861274192704</v>
      </c>
      <c r="AJ896">
        <v>86.825279921268304</v>
      </c>
      <c r="AK896">
        <v>20.689368483711899</v>
      </c>
      <c r="AL896">
        <v>94.154741793559594</v>
      </c>
      <c r="AM896">
        <v>88.864946885717302</v>
      </c>
      <c r="AN896">
        <v>0.99999998685634195</v>
      </c>
    </row>
    <row r="897" spans="1:40" x14ac:dyDescent="0.25">
      <c r="A897" t="str">
        <f>"20190303154746845"</f>
        <v>20190303154746845</v>
      </c>
      <c r="B897" t="str">
        <f>"1551599266841047"</f>
        <v>1551599266841047</v>
      </c>
      <c r="C897" t="s">
        <v>40</v>
      </c>
      <c r="D897">
        <v>5.1654080000000002</v>
      </c>
      <c r="E897">
        <v>0.51304780000000005</v>
      </c>
      <c r="F897" t="s">
        <v>41</v>
      </c>
      <c r="G897">
        <v>-268.85930000000002</v>
      </c>
      <c r="H897" s="1">
        <v>-1.1695509999999999E-6</v>
      </c>
      <c r="I897">
        <v>366.62729999999999</v>
      </c>
      <c r="J897">
        <v>-289.3802</v>
      </c>
      <c r="K897">
        <v>1.070479</v>
      </c>
      <c r="L897">
        <v>367.69900000000001</v>
      </c>
      <c r="M897">
        <v>0.99991920000000001</v>
      </c>
      <c r="N897">
        <v>-1.227955E-2</v>
      </c>
      <c r="O897">
        <v>3.3041500000000001E-3</v>
      </c>
      <c r="P897">
        <v>0.99625330000000001</v>
      </c>
      <c r="Q897">
        <v>-8.4852129999999998E-2</v>
      </c>
      <c r="R897">
        <v>-1.6725360000000002E-2</v>
      </c>
      <c r="S897">
        <v>2.995514</v>
      </c>
      <c r="T897">
        <v>-0.15505840000000001</v>
      </c>
      <c r="U897">
        <v>-0.15515139999999999</v>
      </c>
      <c r="V897">
        <v>2.0016559999999999E-2</v>
      </c>
      <c r="W897">
        <v>-7.2613129999999998E-2</v>
      </c>
      <c r="X897">
        <v>0.99715929999999997</v>
      </c>
      <c r="Y897">
        <v>5.4931550000000003E-2</v>
      </c>
      <c r="Z897">
        <v>-1.887892E-3</v>
      </c>
      <c r="AA897">
        <v>0.99848840000000005</v>
      </c>
      <c r="AB897">
        <v>32</v>
      </c>
      <c r="AC897">
        <v>20.520899999999902</v>
      </c>
      <c r="AD897">
        <v>-1.070480169551</v>
      </c>
      <c r="AE897">
        <v>-1.0717000000000201</v>
      </c>
      <c r="AF897">
        <v>1.13641934836976</v>
      </c>
      <c r="AG897">
        <v>-1.070480169551</v>
      </c>
      <c r="AH897">
        <v>20.4617171583904</v>
      </c>
      <c r="AI897">
        <v>92.990169959469497</v>
      </c>
      <c r="AJ897">
        <v>86.821126582768201</v>
      </c>
      <c r="AK897">
        <v>20.521190165259</v>
      </c>
      <c r="AL897">
        <v>94.1640906804613</v>
      </c>
      <c r="AM897">
        <v>88.850022856848099</v>
      </c>
      <c r="AN897">
        <v>0.99999999944955997</v>
      </c>
    </row>
    <row r="898" spans="1:40" x14ac:dyDescent="0.25">
      <c r="A898" t="str">
        <f>"20190303154746856"</f>
        <v>20190303154746856</v>
      </c>
      <c r="B898" t="str">
        <f>"1551599266851782"</f>
        <v>1551599266851782</v>
      </c>
      <c r="C898" t="s">
        <v>40</v>
      </c>
      <c r="D898">
        <v>5.1562890000000001</v>
      </c>
      <c r="E898">
        <v>0.51302680000000001</v>
      </c>
      <c r="F898" t="s">
        <v>41</v>
      </c>
      <c r="G898">
        <v>-268.74619999999999</v>
      </c>
      <c r="H898" s="1">
        <v>-1.2082069999999999E-6</v>
      </c>
      <c r="I898">
        <v>366.6266</v>
      </c>
      <c r="J898">
        <v>-289.22579999999999</v>
      </c>
      <c r="K898">
        <v>1.0704720000000001</v>
      </c>
      <c r="L898">
        <v>367.6995</v>
      </c>
      <c r="M898">
        <v>0.99991980000000003</v>
      </c>
      <c r="N898">
        <v>-1.222725E-2</v>
      </c>
      <c r="O898">
        <v>3.310669E-3</v>
      </c>
      <c r="P898">
        <v>0.99622719999999998</v>
      </c>
      <c r="Q898">
        <v>-8.5155129999999996E-2</v>
      </c>
      <c r="R898">
        <v>-1.674045E-2</v>
      </c>
      <c r="S898">
        <v>2.995422</v>
      </c>
      <c r="T898">
        <v>-0.15540090000000001</v>
      </c>
      <c r="U898">
        <v>-0.15567020000000001</v>
      </c>
      <c r="V898">
        <v>2.0037949999999999E-2</v>
      </c>
      <c r="W898">
        <v>-7.296859E-2</v>
      </c>
      <c r="X898">
        <v>0.99713289999999999</v>
      </c>
      <c r="Y898">
        <v>5.5111489999999999E-2</v>
      </c>
      <c r="Z898">
        <v>-1.8962E-3</v>
      </c>
      <c r="AA898">
        <v>0.99847839999999999</v>
      </c>
      <c r="AB898">
        <v>32</v>
      </c>
      <c r="AC898">
        <v>20.479600000000001</v>
      </c>
      <c r="AD898">
        <v>-1.0704732082070001</v>
      </c>
      <c r="AE898">
        <v>-1.0729</v>
      </c>
      <c r="AF898">
        <v>1.13760074436256</v>
      </c>
      <c r="AG898">
        <v>-1.0704732082070001</v>
      </c>
      <c r="AH898">
        <v>20.420296330441801</v>
      </c>
      <c r="AI898">
        <v>92.996176496574904</v>
      </c>
      <c r="AJ898">
        <v>86.811387228462493</v>
      </c>
      <c r="AK898">
        <v>20.479954847755799</v>
      </c>
      <c r="AL898">
        <v>94.184511301770499</v>
      </c>
      <c r="AM898">
        <v>88.848763833325606</v>
      </c>
      <c r="AN898">
        <v>0.99999997741460001</v>
      </c>
    </row>
    <row r="899" spans="1:40" x14ac:dyDescent="0.25">
      <c r="A899" t="str">
        <f>"20190303154746868"</f>
        <v>20190303154746868</v>
      </c>
      <c r="B899" t="str">
        <f>"1551599266861542"</f>
        <v>1551599266861542</v>
      </c>
      <c r="C899" t="s">
        <v>40</v>
      </c>
      <c r="D899">
        <v>5.1637810000000002</v>
      </c>
      <c r="E899">
        <v>0.51301319999999995</v>
      </c>
      <c r="F899" t="s">
        <v>41</v>
      </c>
      <c r="G899">
        <v>-268.76170000000002</v>
      </c>
      <c r="H899" s="1">
        <v>-1.2003510000000001E-6</v>
      </c>
      <c r="I899">
        <v>366.63630000000001</v>
      </c>
      <c r="J899">
        <v>-289.05869999999999</v>
      </c>
      <c r="K899">
        <v>1.070468</v>
      </c>
      <c r="L899">
        <v>367.7</v>
      </c>
      <c r="M899">
        <v>0.99992049999999999</v>
      </c>
      <c r="N899">
        <v>-1.217152E-2</v>
      </c>
      <c r="O899">
        <v>3.317745E-3</v>
      </c>
      <c r="P899">
        <v>0.99620220000000004</v>
      </c>
      <c r="Q899">
        <v>-8.547979E-2</v>
      </c>
      <c r="R899">
        <v>-1.6568900000000001E-2</v>
      </c>
      <c r="S899">
        <v>2.9953609999999999</v>
      </c>
      <c r="T899">
        <v>-0.156686299999999</v>
      </c>
      <c r="U899">
        <v>-0.1556091</v>
      </c>
      <c r="V899">
        <v>1.9873430000000001E-2</v>
      </c>
      <c r="W899">
        <v>-7.3349109999999995E-2</v>
      </c>
      <c r="X899">
        <v>0.99710829999999995</v>
      </c>
      <c r="Y899">
        <v>5.5097979999999998E-2</v>
      </c>
      <c r="Z899">
        <v>-1.9079419999999999E-3</v>
      </c>
      <c r="AA899">
        <v>0.99847909999999995</v>
      </c>
      <c r="AB899">
        <v>32</v>
      </c>
      <c r="AC899">
        <v>20.296999999999901</v>
      </c>
      <c r="AD899">
        <v>-1.0704692003509999</v>
      </c>
      <c r="AE899">
        <v>-1.0636999999999801</v>
      </c>
      <c r="AF899">
        <v>1.12791066744513</v>
      </c>
      <c r="AG899">
        <v>-1.0704692003509999</v>
      </c>
      <c r="AH899">
        <v>20.237222546152399</v>
      </c>
      <c r="AI899">
        <v>93.02321550485</v>
      </c>
      <c r="AJ899">
        <v>86.809951060450999</v>
      </c>
      <c r="AK899">
        <v>20.296878163036201</v>
      </c>
      <c r="AL899">
        <v>94.206371962602603</v>
      </c>
      <c r="AM899">
        <v>88.858185292069606</v>
      </c>
      <c r="AN899">
        <v>1.0000000035433201</v>
      </c>
    </row>
    <row r="900" spans="1:40" x14ac:dyDescent="0.25">
      <c r="A900" t="str">
        <f>"20190303154746879"</f>
        <v>20190303154746879</v>
      </c>
      <c r="B900" t="str">
        <f>"1551599266871302"</f>
        <v>1551599266871302</v>
      </c>
      <c r="C900" t="s">
        <v>40</v>
      </c>
      <c r="D900">
        <v>5.1565909999999997</v>
      </c>
      <c r="E900">
        <v>0.51300000000000001</v>
      </c>
      <c r="F900" t="s">
        <v>41</v>
      </c>
      <c r="G900">
        <v>-268.74450000000002</v>
      </c>
      <c r="H900" s="1">
        <v>-1.2025520000000001E-6</v>
      </c>
      <c r="I900">
        <v>366.65</v>
      </c>
      <c r="J900">
        <v>-288.89830000000001</v>
      </c>
      <c r="K900">
        <v>1.070462</v>
      </c>
      <c r="L900">
        <v>367.70060000000001</v>
      </c>
      <c r="M900">
        <v>0.99992099999999995</v>
      </c>
      <c r="N900">
        <v>-1.2118490000000001E-2</v>
      </c>
      <c r="O900">
        <v>3.3248029999999999E-3</v>
      </c>
      <c r="P900">
        <v>0.99621729999999997</v>
      </c>
      <c r="Q900">
        <v>-8.5345690000000002E-2</v>
      </c>
      <c r="R900">
        <v>-1.6346550000000001E-2</v>
      </c>
      <c r="S900">
        <v>2.9953310000000002</v>
      </c>
      <c r="T900">
        <v>-0.15784100000000001</v>
      </c>
      <c r="U900">
        <v>-0.1548157</v>
      </c>
      <c r="V900">
        <v>1.9658120000000001E-2</v>
      </c>
      <c r="W900">
        <v>-7.3267730000000003E-2</v>
      </c>
      <c r="X900">
        <v>0.99711850000000002</v>
      </c>
      <c r="Y900">
        <v>5.4840970000000003E-2</v>
      </c>
      <c r="Z900">
        <v>-1.9105140000000001E-3</v>
      </c>
      <c r="AA900">
        <v>0.99849330000000003</v>
      </c>
      <c r="AB900">
        <v>32</v>
      </c>
      <c r="AC900">
        <v>20.153799999999901</v>
      </c>
      <c r="AD900">
        <v>-1.070463202552</v>
      </c>
      <c r="AE900">
        <v>-1.05060000000003</v>
      </c>
      <c r="AF900">
        <v>1.1144709369307699</v>
      </c>
      <c r="AG900">
        <v>-1.070463202552</v>
      </c>
      <c r="AH900">
        <v>20.093661244956401</v>
      </c>
      <c r="AI900">
        <v>93.044803254757994</v>
      </c>
      <c r="AJ900">
        <v>86.825410571892803</v>
      </c>
      <c r="AK900">
        <v>20.152993801526002</v>
      </c>
      <c r="AL900">
        <v>94.201696867195906</v>
      </c>
      <c r="AM900">
        <v>88.870564113678796</v>
      </c>
      <c r="AN900">
        <v>0.99999995249176699</v>
      </c>
    </row>
    <row r="901" spans="1:40" x14ac:dyDescent="0.25">
      <c r="A901" t="str">
        <f>"20190303154746891"</f>
        <v>20190303154746891</v>
      </c>
      <c r="B901" t="str">
        <f>"1551599266881062"</f>
        <v>1551599266881062</v>
      </c>
      <c r="C901" t="s">
        <v>40</v>
      </c>
      <c r="D901">
        <v>5.1764289999999997</v>
      </c>
      <c r="E901">
        <v>0.51301379999999996</v>
      </c>
      <c r="F901" t="s">
        <v>41</v>
      </c>
      <c r="G901">
        <v>-268.54809999999998</v>
      </c>
      <c r="H901" s="1">
        <v>-1.268746E-6</v>
      </c>
      <c r="I901">
        <v>366.65249999999997</v>
      </c>
      <c r="J901">
        <v>-288.74529999999999</v>
      </c>
      <c r="K901">
        <v>1.070454</v>
      </c>
      <c r="L901">
        <v>367.7011</v>
      </c>
      <c r="M901">
        <v>0.99992170000000002</v>
      </c>
      <c r="N901">
        <v>-1.2070340000000001E-2</v>
      </c>
      <c r="O901">
        <v>3.3309960000000001E-3</v>
      </c>
      <c r="P901">
        <v>0.99620739999999997</v>
      </c>
      <c r="Q901">
        <v>-8.5489109999999993E-2</v>
      </c>
      <c r="R901">
        <v>-1.621013E-2</v>
      </c>
      <c r="S901">
        <v>2.995422</v>
      </c>
      <c r="T901">
        <v>-0.1575646</v>
      </c>
      <c r="U901">
        <v>-0.1542664</v>
      </c>
      <c r="V901">
        <v>1.9527800000000001E-2</v>
      </c>
      <c r="W901">
        <v>-7.3459250000000004E-2</v>
      </c>
      <c r="X901">
        <v>0.99710699999999997</v>
      </c>
      <c r="Y901">
        <v>5.4663620000000003E-2</v>
      </c>
      <c r="Z901">
        <v>-1.9009980000000001E-3</v>
      </c>
      <c r="AA901">
        <v>0.99850300000000003</v>
      </c>
      <c r="AB901">
        <v>32</v>
      </c>
      <c r="AC901">
        <v>20.197199999999999</v>
      </c>
      <c r="AD901">
        <v>-1.0704552687459901</v>
      </c>
      <c r="AE901">
        <v>-1.04860000000002</v>
      </c>
      <c r="AF901">
        <v>1.11275851173815</v>
      </c>
      <c r="AG901">
        <v>-1.0704552687459901</v>
      </c>
      <c r="AH901">
        <v>20.1371811303088</v>
      </c>
      <c r="AI901">
        <v>93.038247076578003</v>
      </c>
      <c r="AJ901">
        <v>86.837114875874306</v>
      </c>
      <c r="AK901">
        <v>20.196290992721799</v>
      </c>
      <c r="AL901">
        <v>94.212699676994603</v>
      </c>
      <c r="AM901">
        <v>88.878036650630904</v>
      </c>
      <c r="AN901">
        <v>0.99999998291620096</v>
      </c>
    </row>
    <row r="902" spans="1:40" x14ac:dyDescent="0.25">
      <c r="A902" t="str">
        <f>"20190303154746902"</f>
        <v>20190303154746902</v>
      </c>
      <c r="B902" t="str">
        <f>"1551599266891798"</f>
        <v>1551599266891798</v>
      </c>
      <c r="C902" t="s">
        <v>40</v>
      </c>
      <c r="D902">
        <v>5.1579819999999996</v>
      </c>
      <c r="E902">
        <v>0.51299240000000002</v>
      </c>
      <c r="F902" t="s">
        <v>41</v>
      </c>
      <c r="G902">
        <v>-268.47969999999998</v>
      </c>
      <c r="H902" s="1">
        <v>-1.289941E-6</v>
      </c>
      <c r="I902">
        <v>366.66019999999997</v>
      </c>
      <c r="J902">
        <v>-288.57889999999998</v>
      </c>
      <c r="K902">
        <v>1.0704499999999999</v>
      </c>
      <c r="L902">
        <v>367.70170000000002</v>
      </c>
      <c r="M902">
        <v>0.99992230000000004</v>
      </c>
      <c r="N902">
        <v>-1.201869E-2</v>
      </c>
      <c r="O902">
        <v>3.3380430000000002E-3</v>
      </c>
      <c r="P902">
        <v>0.99621029999999999</v>
      </c>
      <c r="Q902">
        <v>-8.5632399999999997E-2</v>
      </c>
      <c r="R902">
        <v>-1.5256779999999999E-2</v>
      </c>
      <c r="S902">
        <v>2.9953310000000002</v>
      </c>
      <c r="T902">
        <v>-0.15821740000000001</v>
      </c>
      <c r="U902">
        <v>-0.15383910000000001</v>
      </c>
      <c r="V902">
        <v>1.858133E-2</v>
      </c>
      <c r="W902">
        <v>-7.3653940000000001E-2</v>
      </c>
      <c r="X902">
        <v>0.99711070000000002</v>
      </c>
      <c r="Y902">
        <v>5.4529729999999998E-2</v>
      </c>
      <c r="Z902">
        <v>-1.9024269999999999E-3</v>
      </c>
      <c r="AA902">
        <v>0.99851040000000002</v>
      </c>
      <c r="AB902">
        <v>32</v>
      </c>
      <c r="AC902">
        <v>20.0992</v>
      </c>
      <c r="AD902">
        <v>-1.0704512899409999</v>
      </c>
      <c r="AE902">
        <v>-1.0415000000000401</v>
      </c>
      <c r="AF902">
        <v>1.1054638258599701</v>
      </c>
      <c r="AG902">
        <v>-1.0704512899409999</v>
      </c>
      <c r="AH902">
        <v>20.038923839135901</v>
      </c>
      <c r="AI902">
        <v>93.053120748548295</v>
      </c>
      <c r="AJ902">
        <v>86.842431396588196</v>
      </c>
      <c r="AK902">
        <v>20.097919913889299</v>
      </c>
      <c r="AL902">
        <v>94.223884996603502</v>
      </c>
      <c r="AM902">
        <v>88.932406828744206</v>
      </c>
      <c r="AN902">
        <v>0.99999995837829003</v>
      </c>
    </row>
    <row r="903" spans="1:40" x14ac:dyDescent="0.25">
      <c r="A903" t="str">
        <f>"20190303154746915"</f>
        <v>20190303154746915</v>
      </c>
      <c r="B903" t="str">
        <f>"1551599266911318"</f>
        <v>1551599266911318</v>
      </c>
      <c r="C903" t="s">
        <v>40</v>
      </c>
      <c r="D903">
        <v>5.1274670000000002</v>
      </c>
      <c r="E903">
        <v>0.51296039999999998</v>
      </c>
      <c r="F903" t="s">
        <v>41</v>
      </c>
      <c r="G903">
        <v>-268.42349999999999</v>
      </c>
      <c r="H903" s="1">
        <v>-1.3024539999999901E-6</v>
      </c>
      <c r="I903">
        <v>366.68520000000001</v>
      </c>
      <c r="J903">
        <v>-288.3845</v>
      </c>
      <c r="K903">
        <v>1.070443</v>
      </c>
      <c r="L903">
        <v>367.70240000000001</v>
      </c>
      <c r="M903">
        <v>0.99992289999999995</v>
      </c>
      <c r="N903">
        <v>-1.196259E-2</v>
      </c>
      <c r="O903">
        <v>3.3464269999999999E-3</v>
      </c>
      <c r="P903">
        <v>0.99624279999999998</v>
      </c>
      <c r="Q903">
        <v>-8.5382689999999997E-2</v>
      </c>
      <c r="R903">
        <v>-1.449953E-2</v>
      </c>
      <c r="S903">
        <v>2.995422</v>
      </c>
      <c r="T903">
        <v>-0.15908630000000001</v>
      </c>
      <c r="U903">
        <v>-0.151062</v>
      </c>
      <c r="V903">
        <v>1.7832859999999999E-2</v>
      </c>
      <c r="W903">
        <v>-7.3459780000000002E-2</v>
      </c>
      <c r="X903">
        <v>0.99713870000000004</v>
      </c>
      <c r="Y903">
        <v>5.3613859999999999E-2</v>
      </c>
      <c r="Z903">
        <v>-1.880488E-3</v>
      </c>
      <c r="AA903">
        <v>0.99856</v>
      </c>
      <c r="AB903">
        <v>32</v>
      </c>
      <c r="AC903">
        <v>19.960999999999999</v>
      </c>
      <c r="AD903">
        <v>-1.070444302454</v>
      </c>
      <c r="AE903">
        <v>-1.0172000000000001</v>
      </c>
      <c r="AF903">
        <v>1.08089668308911</v>
      </c>
      <c r="AG903">
        <v>-1.070444302454</v>
      </c>
      <c r="AH903">
        <v>19.900402001866102</v>
      </c>
      <c r="AI903">
        <v>93.074454553335698</v>
      </c>
      <c r="AJ903">
        <v>86.891016383199698</v>
      </c>
      <c r="AK903">
        <v>19.958461575984298</v>
      </c>
      <c r="AL903">
        <v>94.212730186421197</v>
      </c>
      <c r="AM903">
        <v>88.975429692870307</v>
      </c>
      <c r="AN903">
        <v>0.99999996860555795</v>
      </c>
    </row>
    <row r="904" spans="1:40" x14ac:dyDescent="0.25">
      <c r="A904" t="str">
        <f>"20190303154746929"</f>
        <v>20190303154746929</v>
      </c>
      <c r="B904" t="str">
        <f>"1551599266921078"</f>
        <v>1551599266921078</v>
      </c>
      <c r="C904" t="s">
        <v>40</v>
      </c>
      <c r="D904">
        <v>5.1573630000000001</v>
      </c>
      <c r="E904">
        <v>0.51294689999999998</v>
      </c>
      <c r="F904" t="s">
        <v>41</v>
      </c>
      <c r="G904">
        <v>-268.20850000000002</v>
      </c>
      <c r="H904" s="1">
        <v>-1.370774E-6</v>
      </c>
      <c r="I904">
        <v>366.70339999999999</v>
      </c>
      <c r="J904">
        <v>-288.18549999999999</v>
      </c>
      <c r="K904">
        <v>1.0704389999999999</v>
      </c>
      <c r="L904">
        <v>367.70310000000001</v>
      </c>
      <c r="M904">
        <v>0.99992349999999997</v>
      </c>
      <c r="N904">
        <v>-1.1908520000000001E-2</v>
      </c>
      <c r="O904">
        <v>3.3548580000000001E-3</v>
      </c>
      <c r="P904">
        <v>0.99625859999999999</v>
      </c>
      <c r="Q904">
        <v>-8.5327199999999895E-2</v>
      </c>
      <c r="R904">
        <v>-1.3719500000000001E-2</v>
      </c>
      <c r="S904">
        <v>2.9955440000000002</v>
      </c>
      <c r="T904">
        <v>-0.1589296</v>
      </c>
      <c r="U904">
        <v>-0.14831539999999999</v>
      </c>
      <c r="V904">
        <v>1.7061260000000002E-2</v>
      </c>
      <c r="W904">
        <v>-7.3457980000000006E-2</v>
      </c>
      <c r="X904">
        <v>0.99715240000000005</v>
      </c>
      <c r="Y904">
        <v>5.2708709999999999E-2</v>
      </c>
      <c r="Z904">
        <v>-1.848574E-3</v>
      </c>
      <c r="AA904">
        <v>0.99860819999999995</v>
      </c>
      <c r="AB904">
        <v>32</v>
      </c>
      <c r="AC904">
        <v>19.976999999999901</v>
      </c>
      <c r="AD904">
        <v>-1.070440370774</v>
      </c>
      <c r="AE904">
        <v>-0.99970000000001802</v>
      </c>
      <c r="AF904">
        <v>1.0636727267516799</v>
      </c>
      <c r="AG904">
        <v>-1.070440370774</v>
      </c>
      <c r="AH904">
        <v>19.916491959698298</v>
      </c>
      <c r="AI904">
        <v>93.072113920287094</v>
      </c>
      <c r="AJ904">
        <v>86.942929795500206</v>
      </c>
      <c r="AK904">
        <v>19.973579905408599</v>
      </c>
      <c r="AL904">
        <v>94.2126264939062</v>
      </c>
      <c r="AM904">
        <v>89.019765869284797</v>
      </c>
      <c r="AN904">
        <v>1.0000000351221101</v>
      </c>
    </row>
    <row r="905" spans="1:40" x14ac:dyDescent="0.25">
      <c r="A905" t="str">
        <f>"20190303154746943"</f>
        <v>20190303154746943</v>
      </c>
      <c r="B905" t="str">
        <f>"1551599266931814"</f>
        <v>1551599266931814</v>
      </c>
      <c r="C905" t="s">
        <v>40</v>
      </c>
      <c r="D905">
        <v>5.1575220000000002</v>
      </c>
      <c r="E905">
        <v>0.51297809999999999</v>
      </c>
      <c r="F905" t="s">
        <v>41</v>
      </c>
      <c r="G905">
        <v>-267.99020000000002</v>
      </c>
      <c r="H905" s="1">
        <v>-1.4404630000000001E-6</v>
      </c>
      <c r="I905">
        <v>366.72059999999999</v>
      </c>
      <c r="J905">
        <v>-287.98390000000001</v>
      </c>
      <c r="K905">
        <v>1.0704340000000001</v>
      </c>
      <c r="L905">
        <v>367.70370000000003</v>
      </c>
      <c r="M905">
        <v>0.99992409999999998</v>
      </c>
      <c r="N905">
        <v>-1.18567E-2</v>
      </c>
      <c r="O905">
        <v>3.3632139999999998E-3</v>
      </c>
      <c r="P905">
        <v>0.99629089999999998</v>
      </c>
      <c r="Q905">
        <v>-8.5136989999999996E-2</v>
      </c>
      <c r="R905">
        <v>-1.250325E-2</v>
      </c>
      <c r="S905">
        <v>2.9956670000000001</v>
      </c>
      <c r="T905">
        <v>-0.15878299999999901</v>
      </c>
      <c r="U905">
        <v>-0.1457214</v>
      </c>
      <c r="V905">
        <v>1.5853470000000001E-2</v>
      </c>
      <c r="W905">
        <v>-7.3319019999999999E-2</v>
      </c>
      <c r="X905">
        <v>0.99718249999999997</v>
      </c>
      <c r="Y905">
        <v>5.1854079999999997E-2</v>
      </c>
      <c r="Z905">
        <v>-1.81854E-3</v>
      </c>
      <c r="AA905">
        <v>0.99865300000000001</v>
      </c>
      <c r="AB905">
        <v>32</v>
      </c>
      <c r="AC905">
        <v>19.993699999999901</v>
      </c>
      <c r="AD905">
        <v>-1.0704354404629901</v>
      </c>
      <c r="AE905">
        <v>-0.98310000000003495</v>
      </c>
      <c r="AF905">
        <v>1.0473473939620701</v>
      </c>
      <c r="AG905">
        <v>-1.0704354404629901</v>
      </c>
      <c r="AH905">
        <v>19.933281635343299</v>
      </c>
      <c r="AI905">
        <v>93.069656969326303</v>
      </c>
      <c r="AJ905">
        <v>86.9922938304707</v>
      </c>
      <c r="AK905">
        <v>19.989459356114502</v>
      </c>
      <c r="AL905">
        <v>94.204643399263304</v>
      </c>
      <c r="AM905">
        <v>89.089173341480901</v>
      </c>
      <c r="AN905">
        <v>0.99999997475552505</v>
      </c>
    </row>
    <row r="906" spans="1:40" x14ac:dyDescent="0.25">
      <c r="A906" t="str">
        <f>"20190303154746955"</f>
        <v>20190303154746955</v>
      </c>
      <c r="B906" t="str">
        <f>"1551599266951334"</f>
        <v>1551599266951334</v>
      </c>
      <c r="C906" t="s">
        <v>40</v>
      </c>
      <c r="D906">
        <v>5.1236309999999996</v>
      </c>
      <c r="E906">
        <v>0.51303889999999996</v>
      </c>
      <c r="F906" t="s">
        <v>41</v>
      </c>
      <c r="G906">
        <v>-267.73239999999998</v>
      </c>
      <c r="H906" s="1">
        <v>-1.5227480000000001E-6</v>
      </c>
      <c r="I906">
        <v>366.74110000000002</v>
      </c>
      <c r="J906">
        <v>-287.81360000000001</v>
      </c>
      <c r="K906">
        <v>1.0704290000000001</v>
      </c>
      <c r="L906">
        <v>367.70429999999999</v>
      </c>
      <c r="M906">
        <v>0.99992449999999999</v>
      </c>
      <c r="N906">
        <v>-1.181637E-2</v>
      </c>
      <c r="O906">
        <v>3.3705470000000002E-3</v>
      </c>
      <c r="P906">
        <v>0.99631040000000004</v>
      </c>
      <c r="Q906">
        <v>-8.502121E-2</v>
      </c>
      <c r="R906">
        <v>-1.169777E-2</v>
      </c>
      <c r="S906">
        <v>2.9958499999999999</v>
      </c>
      <c r="T906">
        <v>-0.1583514</v>
      </c>
      <c r="U906">
        <v>-0.14239499999999999</v>
      </c>
      <c r="V906">
        <v>1.5055509999999999E-2</v>
      </c>
      <c r="W906">
        <v>-7.3243210000000003E-2</v>
      </c>
      <c r="X906">
        <v>0.99720050000000005</v>
      </c>
      <c r="Y906">
        <v>5.0754489999999999E-2</v>
      </c>
      <c r="Z906">
        <v>-1.7781260000000001E-3</v>
      </c>
      <c r="AA906">
        <v>0.99870959999999998</v>
      </c>
      <c r="AB906">
        <v>32</v>
      </c>
      <c r="AC906">
        <v>20.081199999999999</v>
      </c>
      <c r="AD906">
        <v>-1.070430522748</v>
      </c>
      <c r="AE906">
        <v>-0.96319999999997197</v>
      </c>
      <c r="AF906">
        <v>1.02796967852758</v>
      </c>
      <c r="AG906">
        <v>-1.070430522748</v>
      </c>
      <c r="AH906">
        <v>20.021081170052099</v>
      </c>
      <c r="AI906">
        <v>93.056396359769394</v>
      </c>
      <c r="AJ906">
        <v>87.060765675904506</v>
      </c>
      <c r="AK906">
        <v>20.076011416160799</v>
      </c>
      <c r="AL906">
        <v>94.200287835474398</v>
      </c>
      <c r="AM906">
        <v>89.135026859786507</v>
      </c>
      <c r="AN906">
        <v>1.00000003669635</v>
      </c>
    </row>
    <row r="907" spans="1:40" x14ac:dyDescent="0.25">
      <c r="A907" t="str">
        <f>"20190303154746965"</f>
        <v>20190303154746965</v>
      </c>
      <c r="B907" t="str">
        <f>"1551599266961094"</f>
        <v>1551599266961094</v>
      </c>
      <c r="C907" t="s">
        <v>40</v>
      </c>
      <c r="D907">
        <v>5.1132989999999996</v>
      </c>
      <c r="E907">
        <v>0.51306509999999905</v>
      </c>
      <c r="F907" t="s">
        <v>41</v>
      </c>
      <c r="G907">
        <v>-267.54430000000002</v>
      </c>
      <c r="H907" s="1">
        <v>-1.5831619999999999E-6</v>
      </c>
      <c r="I907">
        <v>366.75470000000001</v>
      </c>
      <c r="J907">
        <v>-287.65730000000002</v>
      </c>
      <c r="K907">
        <v>1.0704279999999999</v>
      </c>
      <c r="L907">
        <v>367.70490000000001</v>
      </c>
      <c r="M907">
        <v>0.99992490000000001</v>
      </c>
      <c r="N907">
        <v>-1.178237E-2</v>
      </c>
      <c r="O907">
        <v>3.3769490000000002E-3</v>
      </c>
      <c r="P907">
        <v>0.99632589999999999</v>
      </c>
      <c r="Q907">
        <v>-8.487567E-2</v>
      </c>
      <c r="R907">
        <v>-1.143419E-2</v>
      </c>
      <c r="S907">
        <v>2.9959410000000002</v>
      </c>
      <c r="T907">
        <v>-0.15821589999999999</v>
      </c>
      <c r="U907">
        <v>-0.14035029999999901</v>
      </c>
      <c r="V907">
        <v>1.4798270000000001E-2</v>
      </c>
      <c r="W907">
        <v>-7.3131360000000006E-2</v>
      </c>
      <c r="X907">
        <v>0.99721249999999995</v>
      </c>
      <c r="Y907">
        <v>5.0080670000000001E-2</v>
      </c>
      <c r="Z907">
        <v>-1.7545690000000001E-3</v>
      </c>
      <c r="AA907">
        <v>0.99874370000000001</v>
      </c>
      <c r="AB907">
        <v>32</v>
      </c>
      <c r="AC907">
        <v>20.113</v>
      </c>
      <c r="AD907">
        <v>-1.0704295831620001</v>
      </c>
      <c r="AE907">
        <v>-0.95019999999999505</v>
      </c>
      <c r="AF907">
        <v>1.0152506260109599</v>
      </c>
      <c r="AG907">
        <v>-1.0704295831620001</v>
      </c>
      <c r="AH907">
        <v>20.053003627774999</v>
      </c>
      <c r="AI907">
        <v>93.051648303867296</v>
      </c>
      <c r="AJ907">
        <v>87.101683482611193</v>
      </c>
      <c r="AK907">
        <v>20.107200397411901</v>
      </c>
      <c r="AL907">
        <v>94.193862319441706</v>
      </c>
      <c r="AM907">
        <v>89.149813921442004</v>
      </c>
      <c r="AN907">
        <v>0.99999997738334501</v>
      </c>
    </row>
    <row r="908" spans="1:40" x14ac:dyDescent="0.25">
      <c r="A908" t="str">
        <f>"20190303154746977"</f>
        <v>20190303154746977</v>
      </c>
      <c r="B908" t="str">
        <f>"1551599266971830"</f>
        <v>1551599266971830</v>
      </c>
      <c r="C908" t="s">
        <v>40</v>
      </c>
      <c r="D908">
        <v>5.1373199999999999</v>
      </c>
      <c r="E908">
        <v>0.51310429999999996</v>
      </c>
      <c r="F908" t="s">
        <v>41</v>
      </c>
      <c r="G908">
        <v>-267.4221</v>
      </c>
      <c r="H908" s="1">
        <v>-1.6231110000000001E-6</v>
      </c>
      <c r="I908">
        <v>366.76080000000002</v>
      </c>
      <c r="J908">
        <v>-287.48020000000002</v>
      </c>
      <c r="K908">
        <v>1.0704260000000001</v>
      </c>
      <c r="L908">
        <v>367.7054</v>
      </c>
      <c r="M908">
        <v>0.99992530000000002</v>
      </c>
      <c r="N908">
        <v>-1.174733E-2</v>
      </c>
      <c r="O908">
        <v>3.384073E-3</v>
      </c>
      <c r="P908">
        <v>0.99637659999999995</v>
      </c>
      <c r="Q908">
        <v>-8.4338499999999997E-2</v>
      </c>
      <c r="R908">
        <v>-1.100215E-2</v>
      </c>
      <c r="S908">
        <v>2.9959720000000001</v>
      </c>
      <c r="T908">
        <v>-0.15848409999999999</v>
      </c>
      <c r="U908">
        <v>-0.13977049999999999</v>
      </c>
      <c r="V908">
        <v>1.4373260000000001E-2</v>
      </c>
      <c r="W908">
        <v>-7.2628559999999995E-2</v>
      </c>
      <c r="X908">
        <v>0.99725549999999996</v>
      </c>
      <c r="Y908">
        <v>4.9894510000000003E-2</v>
      </c>
      <c r="Z908">
        <v>-1.750616E-3</v>
      </c>
      <c r="AA908">
        <v>0.998753</v>
      </c>
      <c r="AB908">
        <v>32</v>
      </c>
      <c r="AC908">
        <v>20.0581</v>
      </c>
      <c r="AD908">
        <v>-1.0704276231109999</v>
      </c>
      <c r="AE908">
        <v>-0.94459999999998001</v>
      </c>
      <c r="AF908">
        <v>1.00960837808916</v>
      </c>
      <c r="AG908">
        <v>-1.0704276231109999</v>
      </c>
      <c r="AH908">
        <v>19.9979608033433</v>
      </c>
      <c r="AI908">
        <v>93.060048185957996</v>
      </c>
      <c r="AJ908">
        <v>87.109843921295493</v>
      </c>
      <c r="AK908">
        <v>20.052021361086801</v>
      </c>
      <c r="AL908">
        <v>94.164977028653695</v>
      </c>
      <c r="AM908">
        <v>89.174263647191296</v>
      </c>
      <c r="AN908">
        <v>1.00000001530547</v>
      </c>
    </row>
    <row r="909" spans="1:40" x14ac:dyDescent="0.25">
      <c r="A909" t="str">
        <f>"20190303154746989"</f>
        <v>20190303154746989</v>
      </c>
      <c r="B909" t="str">
        <f>"1551599266981590"</f>
        <v>1551599266981590</v>
      </c>
      <c r="C909" t="s">
        <v>40</v>
      </c>
      <c r="D909">
        <v>5.1354680000000004</v>
      </c>
      <c r="E909">
        <v>0.51315180000000005</v>
      </c>
      <c r="F909" t="s">
        <v>41</v>
      </c>
      <c r="G909">
        <v>-267.05279999999999</v>
      </c>
      <c r="H909" s="1">
        <v>-1.7535259999999999E-6</v>
      </c>
      <c r="I909">
        <v>366.75889999999998</v>
      </c>
      <c r="J909">
        <v>-287.32990000000001</v>
      </c>
      <c r="K909">
        <v>1.0704229999999999</v>
      </c>
      <c r="L909">
        <v>367.70589999999999</v>
      </c>
      <c r="M909">
        <v>0.99992559999999997</v>
      </c>
      <c r="N909">
        <v>-1.172539E-2</v>
      </c>
      <c r="O909">
        <v>3.3902820000000001E-3</v>
      </c>
      <c r="P909">
        <v>0.99639060000000002</v>
      </c>
      <c r="Q909">
        <v>-8.4170830000000002E-2</v>
      </c>
      <c r="R909">
        <v>-1.102262E-2</v>
      </c>
      <c r="S909">
        <v>2.9960939999999998</v>
      </c>
      <c r="T909">
        <v>-0.1569991</v>
      </c>
      <c r="U909">
        <v>-0.13882449999999999</v>
      </c>
      <c r="V909">
        <v>1.4400080000000001E-2</v>
      </c>
      <c r="W909">
        <v>-7.2482619999999998E-2</v>
      </c>
      <c r="X909">
        <v>0.99726570000000003</v>
      </c>
      <c r="Y909">
        <v>4.9586190000000002E-2</v>
      </c>
      <c r="Z909">
        <v>-1.726453E-3</v>
      </c>
      <c r="AA909">
        <v>0.99876830000000005</v>
      </c>
      <c r="AB909">
        <v>32</v>
      </c>
      <c r="AC909">
        <v>20.277100000000001</v>
      </c>
      <c r="AD909">
        <v>-1.0704247535260001</v>
      </c>
      <c r="AE909">
        <v>-0.94700000000000195</v>
      </c>
      <c r="AF909">
        <v>1.01292771423912</v>
      </c>
      <c r="AG909">
        <v>-1.0704247535260001</v>
      </c>
      <c r="AH909">
        <v>20.2175536525361</v>
      </c>
      <c r="AI909">
        <v>93.026923760777507</v>
      </c>
      <c r="AJ909">
        <v>87.131799579513199</v>
      </c>
      <c r="AK909">
        <v>20.271194029963102</v>
      </c>
      <c r="AL909">
        <v>94.1565933144784</v>
      </c>
      <c r="AM909">
        <v>89.1727315261857</v>
      </c>
      <c r="AN909">
        <v>0.99999998445128002</v>
      </c>
    </row>
    <row r="910" spans="1:40" x14ac:dyDescent="0.25">
      <c r="A910" t="str">
        <f>"20190303154747000"</f>
        <v>20190303154747000</v>
      </c>
      <c r="B910" t="str">
        <f>"1551599266991350"</f>
        <v>1551599266991350</v>
      </c>
      <c r="C910" t="s">
        <v>40</v>
      </c>
      <c r="D910">
        <v>5.1370209999999998</v>
      </c>
      <c r="E910">
        <v>0.51321209999999995</v>
      </c>
      <c r="F910" t="s">
        <v>41</v>
      </c>
      <c r="G910">
        <v>-266.85230000000001</v>
      </c>
      <c r="H910" s="1">
        <v>-1.8404349999999999E-6</v>
      </c>
      <c r="I910">
        <v>366.75369999999998</v>
      </c>
      <c r="J910">
        <v>-287.166</v>
      </c>
      <c r="K910">
        <v>1.070427</v>
      </c>
      <c r="L910">
        <v>367.70650000000001</v>
      </c>
      <c r="M910">
        <v>0.99992570000000003</v>
      </c>
      <c r="N910">
        <v>-1.170389E-2</v>
      </c>
      <c r="O910">
        <v>3.3973229999999998E-3</v>
      </c>
      <c r="P910">
        <v>0.99639080000000002</v>
      </c>
      <c r="Q910">
        <v>-8.4178080000000002E-2</v>
      </c>
      <c r="R910">
        <v>-1.092985E-2</v>
      </c>
      <c r="S910">
        <v>2.9960939999999998</v>
      </c>
      <c r="T910">
        <v>-0.15661429999999901</v>
      </c>
      <c r="U910">
        <v>-0.13931270000000001</v>
      </c>
      <c r="V910">
        <v>1.4314530000000001E-2</v>
      </c>
      <c r="W910">
        <v>-7.2511309999999995E-2</v>
      </c>
      <c r="X910">
        <v>0.99726490000000001</v>
      </c>
      <c r="Y910">
        <v>4.9755750000000001E-2</v>
      </c>
      <c r="Z910">
        <v>-1.7280819999999999E-3</v>
      </c>
      <c r="AA910">
        <v>0.99875990000000003</v>
      </c>
      <c r="AB910">
        <v>32</v>
      </c>
      <c r="AC910">
        <v>20.313699999999901</v>
      </c>
      <c r="AD910">
        <v>-1.070428840435</v>
      </c>
      <c r="AE910">
        <v>-0.95280000000002396</v>
      </c>
      <c r="AF910">
        <v>1.01898816151978</v>
      </c>
      <c r="AG910">
        <v>-1.070428840435</v>
      </c>
      <c r="AH910">
        <v>20.254227998191599</v>
      </c>
      <c r="AI910">
        <v>93.021433096770096</v>
      </c>
      <c r="AJ910">
        <v>87.119883432065194</v>
      </c>
      <c r="AK910">
        <v>20.308074910697002</v>
      </c>
      <c r="AL910">
        <v>94.158241242963797</v>
      </c>
      <c r="AM910">
        <v>89.177644941351105</v>
      </c>
      <c r="AN910">
        <v>1.00000003830952</v>
      </c>
    </row>
    <row r="911" spans="1:40" x14ac:dyDescent="0.25">
      <c r="A911" t="str">
        <f>"20190303154747010"</f>
        <v>20190303154747010</v>
      </c>
      <c r="B911" t="str">
        <f>"1551599267001110"</f>
        <v>1551599267001110</v>
      </c>
      <c r="C911" t="s">
        <v>40</v>
      </c>
      <c r="D911">
        <v>5.1595459999999997</v>
      </c>
      <c r="E911">
        <v>0.51330120000000001</v>
      </c>
      <c r="F911" t="s">
        <v>41</v>
      </c>
      <c r="G911">
        <v>-266.75580000000002</v>
      </c>
      <c r="H911" s="1">
        <v>-1.881366E-6</v>
      </c>
      <c r="I911">
        <v>366.75639999999999</v>
      </c>
      <c r="J911">
        <v>-287.01639999999998</v>
      </c>
      <c r="K911">
        <v>1.0704309999999999</v>
      </c>
      <c r="L911">
        <v>367.70699999999999</v>
      </c>
      <c r="M911">
        <v>0.99992590000000003</v>
      </c>
      <c r="N911">
        <v>-1.169972E-2</v>
      </c>
      <c r="O911">
        <v>3.4035469999999998E-3</v>
      </c>
      <c r="P911">
        <v>0.9963921</v>
      </c>
      <c r="Q911">
        <v>-8.417326E-2</v>
      </c>
      <c r="R911">
        <v>-1.085855E-2</v>
      </c>
      <c r="S911">
        <v>2.9960939999999998</v>
      </c>
      <c r="T911">
        <v>-0.15713199999999999</v>
      </c>
      <c r="U911">
        <v>-0.13946529999999999</v>
      </c>
      <c r="V911">
        <v>1.424929E-2</v>
      </c>
      <c r="W911">
        <v>-7.2510640000000001E-2</v>
      </c>
      <c r="X911">
        <v>0.99726579999999998</v>
      </c>
      <c r="Y911">
        <v>4.9812120000000001E-2</v>
      </c>
      <c r="Z911">
        <v>-1.734925E-3</v>
      </c>
      <c r="AA911">
        <v>0.99875709999999995</v>
      </c>
      <c r="AB911">
        <v>32</v>
      </c>
      <c r="AC911">
        <v>20.260599999999901</v>
      </c>
      <c r="AD911">
        <v>-1.070432881366</v>
      </c>
      <c r="AE911">
        <v>-0.95060000000000799</v>
      </c>
      <c r="AF911">
        <v>1.01672530605369</v>
      </c>
      <c r="AG911">
        <v>-1.070432881366</v>
      </c>
      <c r="AH911">
        <v>20.200982846534998</v>
      </c>
      <c r="AI911">
        <v>93.029390376377904</v>
      </c>
      <c r="AJ911">
        <v>87.118706792076594</v>
      </c>
      <c r="AK911">
        <v>20.2548578091153</v>
      </c>
      <c r="AL911">
        <v>94.158203098359493</v>
      </c>
      <c r="AM911">
        <v>89.181393139872</v>
      </c>
      <c r="AN911">
        <v>0.99999995551417498</v>
      </c>
    </row>
    <row r="912" spans="1:40" x14ac:dyDescent="0.25">
      <c r="A912" t="str">
        <f>"20190303154747021"</f>
        <v>20190303154747021</v>
      </c>
      <c r="B912" t="str">
        <f>"1551599267011847"</f>
        <v>1551599267011847</v>
      </c>
      <c r="C912" t="s">
        <v>40</v>
      </c>
      <c r="D912">
        <v>5.1341859999999997</v>
      </c>
      <c r="E912">
        <v>0.51337719999999998</v>
      </c>
      <c r="F912" t="s">
        <v>41</v>
      </c>
      <c r="G912">
        <v>-266.64420000000001</v>
      </c>
      <c r="H912" s="1">
        <v>-1.929205E-6</v>
      </c>
      <c r="I912">
        <v>366.75659999999999</v>
      </c>
      <c r="J912">
        <v>-286.85890000000001</v>
      </c>
      <c r="K912">
        <v>1.0704370000000001</v>
      </c>
      <c r="L912">
        <v>367.70760000000001</v>
      </c>
      <c r="M912">
        <v>0.99992590000000003</v>
      </c>
      <c r="N912">
        <v>-1.1698439999999999E-2</v>
      </c>
      <c r="O912">
        <v>3.4102899999999998E-3</v>
      </c>
      <c r="P912">
        <v>0.99640799999999996</v>
      </c>
      <c r="Q912">
        <v>-8.3937789999999998E-2</v>
      </c>
      <c r="R912">
        <v>-1.1230800000000001E-2</v>
      </c>
      <c r="S912">
        <v>2.9960330000000002</v>
      </c>
      <c r="T912">
        <v>-0.15742229999999999</v>
      </c>
      <c r="U912">
        <v>-0.13977049999999999</v>
      </c>
      <c r="V912">
        <v>1.4628210000000001E-2</v>
      </c>
      <c r="W912">
        <v>-7.2276259999999995E-2</v>
      </c>
      <c r="X912">
        <v>0.99727739999999998</v>
      </c>
      <c r="Y912">
        <v>4.9920819999999998E-2</v>
      </c>
      <c r="Z912">
        <v>-1.7414259999999999E-3</v>
      </c>
      <c r="AA912">
        <v>0.99875159999999996</v>
      </c>
      <c r="AB912">
        <v>32</v>
      </c>
      <c r="AC912">
        <v>20.214700000000001</v>
      </c>
      <c r="AD912">
        <v>-1.0704389292050001</v>
      </c>
      <c r="AE912">
        <v>-0.95100000000002105</v>
      </c>
      <c r="AF912">
        <v>1.01709146640994</v>
      </c>
      <c r="AG912">
        <v>-1.0704389292050001</v>
      </c>
      <c r="AH912">
        <v>20.154947904826301</v>
      </c>
      <c r="AI912">
        <v>93.036293569589404</v>
      </c>
      <c r="AJ912">
        <v>87.111098632304802</v>
      </c>
      <c r="AK912">
        <v>20.208964337601799</v>
      </c>
      <c r="AL912">
        <v>94.144738486063304</v>
      </c>
      <c r="AM912">
        <v>89.159637435774599</v>
      </c>
      <c r="AN912">
        <v>1.0000000274190699</v>
      </c>
    </row>
    <row r="913" spans="1:40" x14ac:dyDescent="0.25">
      <c r="A913" t="str">
        <f>"20190303154747031"</f>
        <v>20190303154747031</v>
      </c>
      <c r="B913" t="str">
        <f>"1551599267021607"</f>
        <v>1551599267021607</v>
      </c>
      <c r="C913" t="s">
        <v>40</v>
      </c>
      <c r="D913">
        <v>5.133203</v>
      </c>
      <c r="E913">
        <v>0.513432</v>
      </c>
      <c r="F913" t="s">
        <v>41</v>
      </c>
      <c r="G913">
        <v>-266.4701</v>
      </c>
      <c r="H913" s="1">
        <v>-2.0062750000000001E-6</v>
      </c>
      <c r="I913">
        <v>366.74329999999998</v>
      </c>
      <c r="J913">
        <v>-286.70650000000001</v>
      </c>
      <c r="K913">
        <v>1.0704480000000001</v>
      </c>
      <c r="L913">
        <v>367.7081</v>
      </c>
      <c r="M913">
        <v>0.99992539999999996</v>
      </c>
      <c r="N913">
        <v>-1.172463E-2</v>
      </c>
      <c r="O913">
        <v>3.4170490000000001E-3</v>
      </c>
      <c r="P913">
        <v>0.99644619999999995</v>
      </c>
      <c r="Q913">
        <v>-8.3475549999999996E-2</v>
      </c>
      <c r="R913">
        <v>-1.1261449999999999E-2</v>
      </c>
      <c r="S913">
        <v>2.9960019999999998</v>
      </c>
      <c r="T913">
        <v>-0.15729360000000001</v>
      </c>
      <c r="U913">
        <v>-0.14169309999999999</v>
      </c>
      <c r="V913">
        <v>1.466598E-2</v>
      </c>
      <c r="W913">
        <v>-7.1787500000000004E-2</v>
      </c>
      <c r="X913">
        <v>0.99731210000000003</v>
      </c>
      <c r="Y913">
        <v>5.0566569999999998E-2</v>
      </c>
      <c r="Z913">
        <v>-1.7617689999999901E-3</v>
      </c>
      <c r="AA913">
        <v>0.99871920000000003</v>
      </c>
      <c r="AB913">
        <v>32</v>
      </c>
      <c r="AC913">
        <v>20.2364</v>
      </c>
      <c r="AD913">
        <v>-1.070450006275</v>
      </c>
      <c r="AE913">
        <v>-0.96480000000002497</v>
      </c>
      <c r="AF913">
        <v>1.0310693796686401</v>
      </c>
      <c r="AG913">
        <v>-1.070450006275</v>
      </c>
      <c r="AH913">
        <v>20.176656186686099</v>
      </c>
      <c r="AI913">
        <v>93.032966312879694</v>
      </c>
      <c r="AJ913">
        <v>87.074610400110799</v>
      </c>
      <c r="AK913">
        <v>20.231322798012101</v>
      </c>
      <c r="AL913">
        <v>94.116661860673801</v>
      </c>
      <c r="AM913">
        <v>89.1574972446396</v>
      </c>
      <c r="AN913">
        <v>0.99999998046601002</v>
      </c>
    </row>
    <row r="914" spans="1:40" x14ac:dyDescent="0.25">
      <c r="A914" t="str">
        <f>"20190303154747043"</f>
        <v>20190303154747043</v>
      </c>
      <c r="B914" t="str">
        <f>"1551599267031367"</f>
        <v>1551599267031367</v>
      </c>
      <c r="C914" t="s">
        <v>40</v>
      </c>
      <c r="D914">
        <v>5.1345289999999997</v>
      </c>
      <c r="E914">
        <v>0.51350499999999999</v>
      </c>
      <c r="F914" t="s">
        <v>41</v>
      </c>
      <c r="G914">
        <v>-266.1798</v>
      </c>
      <c r="H914" s="1">
        <v>-2.132502E-6</v>
      </c>
      <c r="I914">
        <v>366.7337</v>
      </c>
      <c r="J914">
        <v>-286.54489999999998</v>
      </c>
      <c r="K914">
        <v>1.070462</v>
      </c>
      <c r="L914">
        <v>367.70859999999999</v>
      </c>
      <c r="M914">
        <v>0.99992519999999996</v>
      </c>
      <c r="N914">
        <v>-1.1759850000000001E-2</v>
      </c>
      <c r="O914">
        <v>3.4237550000000001E-3</v>
      </c>
      <c r="P914">
        <v>0.9964343</v>
      </c>
      <c r="Q914">
        <v>-8.3543779999999998E-2</v>
      </c>
      <c r="R914">
        <v>-1.18248E-2</v>
      </c>
      <c r="S914">
        <v>2.9959720000000001</v>
      </c>
      <c r="T914">
        <v>-0.15623699999999999</v>
      </c>
      <c r="U914">
        <v>-0.1422119</v>
      </c>
      <c r="V914">
        <v>1.523562E-2</v>
      </c>
      <c r="W914">
        <v>-7.1820770000000006E-2</v>
      </c>
      <c r="X914">
        <v>0.9973012</v>
      </c>
      <c r="Y914">
        <v>5.074704E-2</v>
      </c>
      <c r="Z914">
        <v>-1.7584860000000001E-3</v>
      </c>
      <c r="AA914">
        <v>0.99870999999999999</v>
      </c>
      <c r="AB914">
        <v>32</v>
      </c>
      <c r="AC914">
        <v>20.365099999999899</v>
      </c>
      <c r="AD914">
        <v>-1.0704641325019999</v>
      </c>
      <c r="AE914">
        <v>-0.97489999999999</v>
      </c>
      <c r="AF914">
        <v>1.0417524886543399</v>
      </c>
      <c r="AG914">
        <v>-1.0704641325019999</v>
      </c>
      <c r="AH914">
        <v>20.305667546896299</v>
      </c>
      <c r="AI914">
        <v>93.013740853345595</v>
      </c>
      <c r="AJ914">
        <v>87.063098961450095</v>
      </c>
      <c r="AK914">
        <v>20.360532317001599</v>
      </c>
      <c r="AL914">
        <v>94.118572880684297</v>
      </c>
      <c r="AM914">
        <v>89.124769102355103</v>
      </c>
      <c r="AN914">
        <v>1.0000000153208</v>
      </c>
    </row>
    <row r="915" spans="1:40" x14ac:dyDescent="0.25">
      <c r="A915" t="str">
        <f>"20190303154747053"</f>
        <v>20190303154747053</v>
      </c>
      <c r="B915" t="str">
        <f>"1551599267041127"</f>
        <v>1551599267041127</v>
      </c>
      <c r="C915" t="s">
        <v>40</v>
      </c>
      <c r="D915">
        <v>5.1196140000000003</v>
      </c>
      <c r="E915">
        <v>0.51353209999999905</v>
      </c>
      <c r="F915" t="s">
        <v>41</v>
      </c>
      <c r="G915">
        <v>-266.0428</v>
      </c>
      <c r="H915" s="1">
        <v>-2.1936130000000002E-6</v>
      </c>
      <c r="I915">
        <v>366.72030000000001</v>
      </c>
      <c r="J915">
        <v>-286.387</v>
      </c>
      <c r="K915">
        <v>1.0704819999999999</v>
      </c>
      <c r="L915">
        <v>367.70920000000001</v>
      </c>
      <c r="M915">
        <v>0.99992440000000005</v>
      </c>
      <c r="N915">
        <v>-1.181798E-2</v>
      </c>
      <c r="O915">
        <v>3.4297920000000001E-3</v>
      </c>
      <c r="P915">
        <v>0.99644460000000001</v>
      </c>
      <c r="Q915">
        <v>-8.3377729999999997E-2</v>
      </c>
      <c r="R915">
        <v>-1.210661E-2</v>
      </c>
      <c r="S915">
        <v>2.9958499999999999</v>
      </c>
      <c r="T915">
        <v>-0.1564208</v>
      </c>
      <c r="U915">
        <v>-0.14440919999999999</v>
      </c>
      <c r="V915">
        <v>1.552361E-2</v>
      </c>
      <c r="W915">
        <v>-7.1596640000000003E-2</v>
      </c>
      <c r="X915">
        <v>0.9973128</v>
      </c>
      <c r="Y915">
        <v>5.1484299999999997E-2</v>
      </c>
      <c r="Z915">
        <v>-1.7853980000000001E-3</v>
      </c>
      <c r="AA915">
        <v>0.99867220000000001</v>
      </c>
      <c r="AB915">
        <v>32</v>
      </c>
      <c r="AC915">
        <v>20.344200000000001</v>
      </c>
      <c r="AD915">
        <v>-1.0704841936129901</v>
      </c>
      <c r="AE915">
        <v>-0.988900000000001</v>
      </c>
      <c r="AF915">
        <v>1.0557592091996599</v>
      </c>
      <c r="AG915">
        <v>-1.0704841936129901</v>
      </c>
      <c r="AH915">
        <v>20.284658182284598</v>
      </c>
      <c r="AI915">
        <v>93.016797525983904</v>
      </c>
      <c r="AJ915">
        <v>87.020604744244196</v>
      </c>
      <c r="AK915">
        <v>20.340302885864599</v>
      </c>
      <c r="AL915">
        <v>94.105698337904698</v>
      </c>
      <c r="AM915">
        <v>89.108238143092706</v>
      </c>
      <c r="AN915">
        <v>0.99999994118527902</v>
      </c>
    </row>
    <row r="916" spans="1:40" x14ac:dyDescent="0.25">
      <c r="A916" t="str">
        <f>"20190303154747065"</f>
        <v>20190303154747065</v>
      </c>
      <c r="B916" t="str">
        <f>"1551599267061623"</f>
        <v>1551599267061623</v>
      </c>
      <c r="C916" t="s">
        <v>40</v>
      </c>
      <c r="D916">
        <v>5.1861100000000002</v>
      </c>
      <c r="E916">
        <v>0.51364220000000005</v>
      </c>
      <c r="F916" t="s">
        <v>41</v>
      </c>
      <c r="G916">
        <v>-265.87950000000001</v>
      </c>
      <c r="H916" s="1">
        <v>-2.2648969999999998E-6</v>
      </c>
      <c r="I916">
        <v>366.71350000000001</v>
      </c>
      <c r="J916">
        <v>-286.22629999999998</v>
      </c>
      <c r="K916">
        <v>1.0705009999999999</v>
      </c>
      <c r="L916">
        <v>367.70979999999997</v>
      </c>
      <c r="M916">
        <v>0.99992340000000002</v>
      </c>
      <c r="N916">
        <v>-1.1892399999999999E-2</v>
      </c>
      <c r="O916">
        <v>3.4359059999999999E-3</v>
      </c>
      <c r="P916">
        <v>0.99642149999999996</v>
      </c>
      <c r="Q916">
        <v>-8.3617520000000001E-2</v>
      </c>
      <c r="R916">
        <v>-1.235233E-2</v>
      </c>
      <c r="S916">
        <v>2.9958499999999999</v>
      </c>
      <c r="T916">
        <v>-0.1563822</v>
      </c>
      <c r="U916">
        <v>-0.14544679999999999</v>
      </c>
      <c r="V916">
        <v>1.5775580000000001E-2</v>
      </c>
      <c r="W916">
        <v>-7.176246E-2</v>
      </c>
      <c r="X916">
        <v>0.99729699999999999</v>
      </c>
      <c r="Y916">
        <v>5.183484E-2</v>
      </c>
      <c r="Z916">
        <v>-1.7981479999999901E-3</v>
      </c>
      <c r="AA916">
        <v>0.99865409999999999</v>
      </c>
      <c r="AB916">
        <v>32</v>
      </c>
      <c r="AC916">
        <v>20.346799999999899</v>
      </c>
      <c r="AD916">
        <v>-1.0705032648970001</v>
      </c>
      <c r="AE916">
        <v>-0.99629999999996199</v>
      </c>
      <c r="AF916">
        <v>1.06327253511568</v>
      </c>
      <c r="AG916">
        <v>-1.0705032648970001</v>
      </c>
      <c r="AH916">
        <v>20.287233422751299</v>
      </c>
      <c r="AI916">
        <v>93.016411879601705</v>
      </c>
      <c r="AJ916">
        <v>86.999820635547593</v>
      </c>
      <c r="AK916">
        <v>20.343263397824899</v>
      </c>
      <c r="AL916">
        <v>94.115223330787003</v>
      </c>
      <c r="AM916">
        <v>89.093751635047497</v>
      </c>
      <c r="AN916">
        <v>1.0000000128992901</v>
      </c>
    </row>
    <row r="917" spans="1:40" x14ac:dyDescent="0.25">
      <c r="A917" t="str">
        <f>"20190303154747076"</f>
        <v>20190303154747076</v>
      </c>
      <c r="B917" t="str">
        <f>"1551599267071382"</f>
        <v>1551599267071382</v>
      </c>
      <c r="C917" t="s">
        <v>40</v>
      </c>
      <c r="D917">
        <v>5.1371070000000003</v>
      </c>
      <c r="E917">
        <v>0.51367459999999998</v>
      </c>
      <c r="F917" t="s">
        <v>41</v>
      </c>
      <c r="G917">
        <v>-265.85399999999998</v>
      </c>
      <c r="H917" s="1">
        <v>-2.2765300000000001E-6</v>
      </c>
      <c r="I917">
        <v>366.70960000000002</v>
      </c>
      <c r="J917">
        <v>-286.06950000000001</v>
      </c>
      <c r="K917">
        <v>1.0705229999999999</v>
      </c>
      <c r="L917">
        <v>367.71030000000002</v>
      </c>
      <c r="M917">
        <v>0.99992230000000004</v>
      </c>
      <c r="N917">
        <v>-1.198477E-2</v>
      </c>
      <c r="O917">
        <v>3.4419070000000001E-3</v>
      </c>
      <c r="P917">
        <v>0.99641389999999996</v>
      </c>
      <c r="Q917">
        <v>-8.3675979999999997E-2</v>
      </c>
      <c r="R917">
        <v>-1.254535E-2</v>
      </c>
      <c r="S917">
        <v>2.9956969999999998</v>
      </c>
      <c r="T917">
        <v>-0.1574149</v>
      </c>
      <c r="U917">
        <v>-0.14706420000000001</v>
      </c>
      <c r="V917">
        <v>1.5974519999999999E-2</v>
      </c>
      <c r="W917">
        <v>-7.1728899999999998E-2</v>
      </c>
      <c r="X917">
        <v>0.99729619999999997</v>
      </c>
      <c r="Y917">
        <v>5.2379090000000003E-2</v>
      </c>
      <c r="Z917">
        <v>-1.8281770000000001E-3</v>
      </c>
      <c r="AA917">
        <v>0.9986256</v>
      </c>
      <c r="AB917">
        <v>32</v>
      </c>
      <c r="AC917">
        <v>20.215499999999899</v>
      </c>
      <c r="AD917">
        <v>-1.07052527653</v>
      </c>
      <c r="AE917">
        <v>-1.0006999999999899</v>
      </c>
      <c r="AF917">
        <v>1.0672932400758499</v>
      </c>
      <c r="AG917">
        <v>-1.07052527653</v>
      </c>
      <c r="AH917">
        <v>20.155551573332499</v>
      </c>
      <c r="AI917">
        <v>93.036058228026604</v>
      </c>
      <c r="AJ917">
        <v>86.968858048199493</v>
      </c>
      <c r="AK917">
        <v>20.212159668211299</v>
      </c>
      <c r="AL917">
        <v>94.113295711863103</v>
      </c>
      <c r="AM917">
        <v>89.082324478549396</v>
      </c>
      <c r="AN917">
        <v>0.99999996545943903</v>
      </c>
    </row>
    <row r="918" spans="1:40" x14ac:dyDescent="0.25">
      <c r="A918" t="str">
        <f>"20190303154747088"</f>
        <v>20190303154747088</v>
      </c>
      <c r="B918" t="str">
        <f>"1551599267081142"</f>
        <v>1551599267081142</v>
      </c>
      <c r="C918" t="s">
        <v>40</v>
      </c>
      <c r="D918">
        <v>5.176736</v>
      </c>
      <c r="E918">
        <v>0.51379300000000006</v>
      </c>
      <c r="F918" t="s">
        <v>41</v>
      </c>
      <c r="G918">
        <v>-265.81670000000003</v>
      </c>
      <c r="H918" s="1">
        <v>-2.2924069999999998E-6</v>
      </c>
      <c r="I918">
        <v>366.71019999999999</v>
      </c>
      <c r="J918">
        <v>-285.89049999999997</v>
      </c>
      <c r="K918">
        <v>1.0705530000000001</v>
      </c>
      <c r="L918">
        <v>367.71100000000001</v>
      </c>
      <c r="M918">
        <v>0.99992099999999995</v>
      </c>
      <c r="N918">
        <v>-1.210307E-2</v>
      </c>
      <c r="O918">
        <v>3.4489379999999999E-3</v>
      </c>
      <c r="P918">
        <v>0.99638130000000003</v>
      </c>
      <c r="Q918">
        <v>-8.4012890000000007E-2</v>
      </c>
      <c r="R918">
        <v>-1.2907160000000001E-2</v>
      </c>
      <c r="S918">
        <v>2.9956360000000002</v>
      </c>
      <c r="T918">
        <v>-0.1583437</v>
      </c>
      <c r="U918">
        <v>-0.14791869999999999</v>
      </c>
      <c r="V918">
        <v>1.6343070000000001E-2</v>
      </c>
      <c r="W918">
        <v>-7.1948209999999999E-2</v>
      </c>
      <c r="X918">
        <v>0.99727449999999995</v>
      </c>
      <c r="Y918">
        <v>5.2669630000000002E-2</v>
      </c>
      <c r="Z918">
        <v>-1.8497780000000001E-3</v>
      </c>
      <c r="AA918">
        <v>0.99861029999999995</v>
      </c>
      <c r="AB918">
        <v>32</v>
      </c>
      <c r="AC918">
        <v>20.073799999999899</v>
      </c>
      <c r="AD918">
        <v>-1.0705552924070001</v>
      </c>
      <c r="AE918">
        <v>-1.0008000000000199</v>
      </c>
      <c r="AF918">
        <v>1.0670051526951401</v>
      </c>
      <c r="AG918">
        <v>-1.0705552924070001</v>
      </c>
      <c r="AH918">
        <v>20.0134476762289</v>
      </c>
      <c r="AI918">
        <v>93.057601856570898</v>
      </c>
      <c r="AJ918">
        <v>86.948198644516197</v>
      </c>
      <c r="AK918">
        <v>20.0704428580719</v>
      </c>
      <c r="AL918">
        <v>94.125893513967199</v>
      </c>
      <c r="AM918">
        <v>89.061136002249398</v>
      </c>
      <c r="AN918">
        <v>1.00000003460473</v>
      </c>
    </row>
    <row r="919" spans="1:40" x14ac:dyDescent="0.25">
      <c r="A919" t="str">
        <f>"20190303154747101"</f>
        <v>20190303154747101</v>
      </c>
      <c r="B919" t="str">
        <f>"1551599267091879"</f>
        <v>1551599267091879</v>
      </c>
      <c r="C919" t="s">
        <v>40</v>
      </c>
      <c r="D919">
        <v>5.1791600000000004</v>
      </c>
      <c r="E919">
        <v>0.51379300000000006</v>
      </c>
      <c r="F919" t="s">
        <v>41</v>
      </c>
      <c r="G919">
        <v>-265.76639999999998</v>
      </c>
      <c r="H919" s="1">
        <v>-2.3149710000000001E-6</v>
      </c>
      <c r="I919">
        <v>366.70490000000001</v>
      </c>
      <c r="J919">
        <v>-285.70389999999998</v>
      </c>
      <c r="K919">
        <v>1.070581</v>
      </c>
      <c r="L919">
        <v>367.71159999999998</v>
      </c>
      <c r="M919">
        <v>0.99991920000000001</v>
      </c>
      <c r="N919">
        <v>-1.223367E-2</v>
      </c>
      <c r="O919">
        <v>3.4563609999999998E-3</v>
      </c>
      <c r="P919">
        <v>0.99636769999999997</v>
      </c>
      <c r="Q919">
        <v>-8.4155679999999997E-2</v>
      </c>
      <c r="R919">
        <v>-1.3022229999999999E-2</v>
      </c>
      <c r="S919">
        <v>2.995514</v>
      </c>
      <c r="T919">
        <v>-0.15935339999999901</v>
      </c>
      <c r="U919">
        <v>-0.14974979999999999</v>
      </c>
      <c r="V919">
        <v>1.6465469999999999E-2</v>
      </c>
      <c r="W919">
        <v>-7.1960919999999998E-2</v>
      </c>
      <c r="X919">
        <v>0.99727149999999998</v>
      </c>
      <c r="Y919">
        <v>5.3285609999999997E-2</v>
      </c>
      <c r="Z919">
        <v>-1.8832740000000001E-3</v>
      </c>
      <c r="AA919">
        <v>0.99857750000000001</v>
      </c>
      <c r="AB919">
        <v>32</v>
      </c>
      <c r="AC919">
        <v>19.9375</v>
      </c>
      <c r="AD919">
        <v>-1.070583314971</v>
      </c>
      <c r="AE919">
        <v>-1.00669999999996</v>
      </c>
      <c r="AF919">
        <v>1.0725257217979001</v>
      </c>
      <c r="AG919">
        <v>-1.070583314971</v>
      </c>
      <c r="AH919">
        <v>19.876734986961001</v>
      </c>
      <c r="AI919">
        <v>93.078566328490695</v>
      </c>
      <c r="AJ919">
        <v>86.911380982413704</v>
      </c>
      <c r="AK919">
        <v>19.934418822731999</v>
      </c>
      <c r="AL919">
        <v>94.126623922698997</v>
      </c>
      <c r="AM919">
        <v>89.054102889938207</v>
      </c>
      <c r="AN919">
        <v>0.99999996521090795</v>
      </c>
    </row>
    <row r="920" spans="1:40" x14ac:dyDescent="0.25">
      <c r="A920" t="str">
        <f>"20190303154747115"</f>
        <v>20190303154747115</v>
      </c>
      <c r="B920" t="str">
        <f>"1551599267111399"</f>
        <v>1551599267111399</v>
      </c>
      <c r="C920" t="s">
        <v>40</v>
      </c>
      <c r="D920">
        <v>5.2110760000000003</v>
      </c>
      <c r="E920">
        <v>0.53460399999999997</v>
      </c>
      <c r="F920" t="s">
        <v>41</v>
      </c>
      <c r="G920">
        <v>-265.63850000000002</v>
      </c>
      <c r="H920" s="1">
        <v>-2.3697419999999998E-6</v>
      </c>
      <c r="I920">
        <v>366.70519999999999</v>
      </c>
      <c r="J920">
        <v>-285.51249999999999</v>
      </c>
      <c r="K920">
        <v>1.070605</v>
      </c>
      <c r="L920">
        <v>367.71230000000003</v>
      </c>
      <c r="M920">
        <v>0.99991759999999996</v>
      </c>
      <c r="N920">
        <v>-1.236891E-2</v>
      </c>
      <c r="O920">
        <v>3.4646389999999998E-3</v>
      </c>
      <c r="P920">
        <v>0.9963651</v>
      </c>
      <c r="Q920">
        <v>-8.4188239999999998E-2</v>
      </c>
      <c r="R920">
        <v>-1.300695E-2</v>
      </c>
      <c r="S920">
        <v>2.9954830000000001</v>
      </c>
      <c r="T920">
        <v>-0.15982349999999901</v>
      </c>
      <c r="U920">
        <v>-0.15023800000000001</v>
      </c>
      <c r="V920">
        <v>1.645833E-2</v>
      </c>
      <c r="W920">
        <v>-7.1858669999999999E-2</v>
      </c>
      <c r="X920">
        <v>0.99727900000000003</v>
      </c>
      <c r="Y920">
        <v>5.345577E-2</v>
      </c>
      <c r="Z920">
        <v>-1.8970669999999999E-3</v>
      </c>
      <c r="AA920">
        <v>0.99856840000000002</v>
      </c>
      <c r="AB920">
        <v>32</v>
      </c>
      <c r="AC920">
        <v>19.873999999999899</v>
      </c>
      <c r="AD920">
        <v>-1.070607369742</v>
      </c>
      <c r="AE920">
        <v>-1.0071000000000301</v>
      </c>
      <c r="AF920">
        <v>1.0728500681998301</v>
      </c>
      <c r="AG920">
        <v>-1.070607369742</v>
      </c>
      <c r="AH920">
        <v>19.813042009598799</v>
      </c>
      <c r="AI920">
        <v>93.088481587079997</v>
      </c>
      <c r="AJ920">
        <v>86.900536106247898</v>
      </c>
      <c r="AK920">
        <v>19.870929547535201</v>
      </c>
      <c r="AL920">
        <v>94.120750184664999</v>
      </c>
      <c r="AM920">
        <v>89.054520098531</v>
      </c>
      <c r="AN920">
        <v>0.99999997446077804</v>
      </c>
    </row>
    <row r="921" spans="1:40" x14ac:dyDescent="0.25">
      <c r="A921" t="str">
        <f>"20190303154747129"</f>
        <v>20190303154747129</v>
      </c>
      <c r="B921" t="str">
        <f>"1551599267121158"</f>
        <v>1551599267121158</v>
      </c>
      <c r="C921" t="s">
        <v>40</v>
      </c>
      <c r="D921">
        <v>5.2143620000000004</v>
      </c>
      <c r="E921">
        <v>0.53499719999999995</v>
      </c>
      <c r="F921" t="s">
        <v>41</v>
      </c>
      <c r="G921">
        <v>-260.93239999999997</v>
      </c>
      <c r="H921" s="1">
        <v>-4.6712479999999999E-6</v>
      </c>
      <c r="I921">
        <v>365.11219999999997</v>
      </c>
      <c r="J921">
        <v>-285.31119999999999</v>
      </c>
      <c r="K921">
        <v>1.070622</v>
      </c>
      <c r="L921">
        <v>367.71300000000002</v>
      </c>
      <c r="M921">
        <v>0.99991580000000002</v>
      </c>
      <c r="N921">
        <v>-1.25074E-2</v>
      </c>
      <c r="O921">
        <v>3.473187E-3</v>
      </c>
      <c r="P921">
        <v>0.99635339999999994</v>
      </c>
      <c r="Q921">
        <v>-8.4327369999999999E-2</v>
      </c>
      <c r="R921">
        <v>-1.2999210000000001E-2</v>
      </c>
      <c r="S921">
        <v>2.9957889999999998</v>
      </c>
      <c r="T921">
        <v>-0.1304843</v>
      </c>
      <c r="U921">
        <v>-0.31689450000000002</v>
      </c>
      <c r="V921">
        <v>1.645891E-2</v>
      </c>
      <c r="W921">
        <v>-7.1859820000000005E-2</v>
      </c>
      <c r="X921">
        <v>0.99727889999999997</v>
      </c>
      <c r="Y921">
        <v>0.10851379999999999</v>
      </c>
      <c r="Z921">
        <v>-3.1439520000000002E-3</v>
      </c>
      <c r="AA921">
        <v>0.99409000000000003</v>
      </c>
      <c r="AB921">
        <v>32</v>
      </c>
      <c r="AC921">
        <v>24.378799999999998</v>
      </c>
      <c r="AD921">
        <v>-1.0706266712479999</v>
      </c>
      <c r="AE921">
        <v>-2.60080000000004</v>
      </c>
      <c r="AF921">
        <v>2.6803517963981802</v>
      </c>
      <c r="AG921">
        <v>-1.0706266712479999</v>
      </c>
      <c r="AH921">
        <v>24.3232362606274</v>
      </c>
      <c r="AI921">
        <v>92.505194348592497</v>
      </c>
      <c r="AJ921">
        <v>83.711539811560101</v>
      </c>
      <c r="AK921">
        <v>24.493883918479401</v>
      </c>
      <c r="AL921">
        <v>94.120816276735198</v>
      </c>
      <c r="AM921">
        <v>89.054486690590394</v>
      </c>
      <c r="AN921">
        <v>0.99999996691701398</v>
      </c>
    </row>
    <row r="922" spans="1:40" x14ac:dyDescent="0.25">
      <c r="A922" t="str">
        <f>"20190303154747145"</f>
        <v>20190303154747145</v>
      </c>
      <c r="B922" t="str">
        <f>"1551599267141654"</f>
        <v>1551599267141654</v>
      </c>
      <c r="C922" t="s">
        <v>40</v>
      </c>
      <c r="D922">
        <v>5.2303319999999998</v>
      </c>
      <c r="E922">
        <v>0.5359064</v>
      </c>
      <c r="F922" t="s">
        <v>41</v>
      </c>
      <c r="G922">
        <v>-260.67779999999999</v>
      </c>
      <c r="H922" s="1">
        <v>-4.7858050000000003E-6</v>
      </c>
      <c r="I922">
        <v>365.08210000000003</v>
      </c>
      <c r="J922">
        <v>-285.0883</v>
      </c>
      <c r="K922">
        <v>1.070643</v>
      </c>
      <c r="L922">
        <v>367.71379999999999</v>
      </c>
      <c r="M922">
        <v>0.99991379999999996</v>
      </c>
      <c r="N922">
        <v>-1.265604E-2</v>
      </c>
      <c r="O922">
        <v>3.4826750000000002E-3</v>
      </c>
      <c r="P922">
        <v>0.99636380000000002</v>
      </c>
      <c r="Q922">
        <v>-8.419749E-2</v>
      </c>
      <c r="R922">
        <v>-1.3039729999999999E-2</v>
      </c>
      <c r="S922">
        <v>2.9957579999999999</v>
      </c>
      <c r="T922">
        <v>-0.1302025</v>
      </c>
      <c r="U922">
        <v>-0.31994630000000002</v>
      </c>
      <c r="V922">
        <v>1.6509039999999999E-2</v>
      </c>
      <c r="W922">
        <v>-7.158159E-2</v>
      </c>
      <c r="X922">
        <v>0.99729809999999997</v>
      </c>
      <c r="Y922">
        <v>0.109524499999999</v>
      </c>
      <c r="Z922">
        <v>-3.1746550000000002E-3</v>
      </c>
      <c r="AA922">
        <v>0.99397899999999995</v>
      </c>
      <c r="AB922">
        <v>32</v>
      </c>
      <c r="AC922">
        <v>24.410499999999999</v>
      </c>
      <c r="AD922">
        <v>-1.0706477858050001</v>
      </c>
      <c r="AE922">
        <v>-2.63169999999996</v>
      </c>
      <c r="AF922">
        <v>2.7115483842522501</v>
      </c>
      <c r="AG922">
        <v>-1.0706477858050001</v>
      </c>
      <c r="AH922">
        <v>24.3548724070343</v>
      </c>
      <c r="AI922">
        <v>92.501682523033097</v>
      </c>
      <c r="AJ922">
        <v>83.647140217532794</v>
      </c>
      <c r="AK922">
        <v>24.528729915841701</v>
      </c>
      <c r="AL922">
        <v>94.104833632498398</v>
      </c>
      <c r="AM922">
        <v>89.0516256579686</v>
      </c>
      <c r="AN922">
        <v>0.99999998634612897</v>
      </c>
    </row>
    <row r="923" spans="1:40" x14ac:dyDescent="0.25">
      <c r="A923" t="str">
        <f>"20190303154747158"</f>
        <v>20190303154747158</v>
      </c>
      <c r="B923" t="str">
        <f>"1551599267151414"</f>
        <v>1551599267151414</v>
      </c>
      <c r="C923" t="s">
        <v>40</v>
      </c>
      <c r="D923">
        <v>5.185549</v>
      </c>
      <c r="E923">
        <v>0.53594330000000001</v>
      </c>
      <c r="F923" t="s">
        <v>41</v>
      </c>
      <c r="G923">
        <v>-260.46010000000001</v>
      </c>
      <c r="H923" s="1">
        <v>-4.8893589999999997E-6</v>
      </c>
      <c r="I923">
        <v>365.0247</v>
      </c>
      <c r="J923">
        <v>-284.8954</v>
      </c>
      <c r="K923">
        <v>1.070657</v>
      </c>
      <c r="L923">
        <v>367.71440000000001</v>
      </c>
      <c r="M923">
        <v>0.99991229999999998</v>
      </c>
      <c r="N923">
        <v>-1.27794E-2</v>
      </c>
      <c r="O923">
        <v>3.4906479999999998E-3</v>
      </c>
      <c r="P923">
        <v>0.99636559999999996</v>
      </c>
      <c r="Q923">
        <v>-8.4155389999999997E-2</v>
      </c>
      <c r="R923">
        <v>-1.317717E-2</v>
      </c>
      <c r="S923">
        <v>2.9956670000000001</v>
      </c>
      <c r="T923">
        <v>-0.13022909999999999</v>
      </c>
      <c r="U923">
        <v>-0.32708739999999997</v>
      </c>
      <c r="V923">
        <v>1.6654490000000001E-2</v>
      </c>
      <c r="W923">
        <v>-7.1416419999999994E-2</v>
      </c>
      <c r="X923">
        <v>0.99730750000000001</v>
      </c>
      <c r="Y923">
        <v>0.1118743</v>
      </c>
      <c r="Z923">
        <v>-3.2475849999999999E-3</v>
      </c>
      <c r="AA923">
        <v>0.99371710000000002</v>
      </c>
      <c r="AB923">
        <v>32</v>
      </c>
      <c r="AC923">
        <v>24.435299999999899</v>
      </c>
      <c r="AD923">
        <v>-1.0706618893590001</v>
      </c>
      <c r="AE923">
        <v>-2.68970000000001</v>
      </c>
      <c r="AF923">
        <v>2.7697317660195302</v>
      </c>
      <c r="AG923">
        <v>-1.0706618893590001</v>
      </c>
      <c r="AH923">
        <v>24.3795166310661</v>
      </c>
      <c r="AI923">
        <v>92.498559427745505</v>
      </c>
      <c r="AJ923">
        <v>83.518475859662701</v>
      </c>
      <c r="AK923">
        <v>24.559693851948801</v>
      </c>
      <c r="AL923">
        <v>94.095345900449303</v>
      </c>
      <c r="AM923">
        <v>89.043280734373496</v>
      </c>
      <c r="AN923">
        <v>0.99999996331951202</v>
      </c>
    </row>
    <row r="924" spans="1:40" x14ac:dyDescent="0.25">
      <c r="A924" t="str">
        <f>"20190303154747169"</f>
        <v>20190303154747169</v>
      </c>
      <c r="B924" t="str">
        <f>"1551599267161175"</f>
        <v>1551599267161175</v>
      </c>
      <c r="C924" t="s">
        <v>40</v>
      </c>
      <c r="D924">
        <v>5.2199549999999997</v>
      </c>
      <c r="E924">
        <v>0.53616090000000005</v>
      </c>
      <c r="F924" t="s">
        <v>41</v>
      </c>
      <c r="G924">
        <v>-260.19900000000001</v>
      </c>
      <c r="H924" s="1">
        <v>-5.0037299999999996E-6</v>
      </c>
      <c r="I924">
        <v>365.01150000000001</v>
      </c>
      <c r="J924">
        <v>-284.73430000000002</v>
      </c>
      <c r="K924">
        <v>1.0706709999999999</v>
      </c>
      <c r="L924">
        <v>367.71499999999997</v>
      </c>
      <c r="M924">
        <v>0.99991090000000005</v>
      </c>
      <c r="N924">
        <v>-1.287728E-2</v>
      </c>
      <c r="O924">
        <v>3.49723E-3</v>
      </c>
      <c r="P924">
        <v>0.99636150000000001</v>
      </c>
      <c r="Q924">
        <v>-8.4180999999999895E-2</v>
      </c>
      <c r="R924">
        <v>-1.3322560000000001E-2</v>
      </c>
      <c r="S924">
        <v>2.9956049999999999</v>
      </c>
      <c r="T924">
        <v>-0.12986789999999901</v>
      </c>
      <c r="U924">
        <v>-0.32785029999999998</v>
      </c>
      <c r="V924">
        <v>1.6806410000000001E-2</v>
      </c>
      <c r="W924">
        <v>-7.1344469999999993E-2</v>
      </c>
      <c r="X924">
        <v>0.99731020000000004</v>
      </c>
      <c r="Y924">
        <v>0.11213330000000001</v>
      </c>
      <c r="Z924">
        <v>-3.2530990000000002E-3</v>
      </c>
      <c r="AA924">
        <v>0.99368789999999996</v>
      </c>
      <c r="AB924">
        <v>32</v>
      </c>
      <c r="AC924">
        <v>24.535299999999999</v>
      </c>
      <c r="AD924">
        <v>-1.0706760037299901</v>
      </c>
      <c r="AE924">
        <v>-2.70349999999996</v>
      </c>
      <c r="AF924">
        <v>2.78405811258235</v>
      </c>
      <c r="AG924">
        <v>-1.0706760037299901</v>
      </c>
      <c r="AH924">
        <v>24.479637226464401</v>
      </c>
      <c r="AI924">
        <v>92.488352438949406</v>
      </c>
      <c r="AJ924">
        <v>83.511655274844102</v>
      </c>
      <c r="AK924">
        <v>24.660696774797401</v>
      </c>
      <c r="AL924">
        <v>94.091212522331901</v>
      </c>
      <c r="AM924">
        <v>89.034557928520002</v>
      </c>
      <c r="AN924">
        <v>1.00000006192035</v>
      </c>
    </row>
    <row r="925" spans="1:40" x14ac:dyDescent="0.25">
      <c r="A925" t="str">
        <f>"20190303154747181"</f>
        <v>20190303154747181</v>
      </c>
      <c r="B925" t="str">
        <f>"1551599267171910"</f>
        <v>1551599267171910</v>
      </c>
      <c r="C925" t="s">
        <v>40</v>
      </c>
      <c r="D925">
        <v>5.2148849999999998</v>
      </c>
      <c r="E925">
        <v>0.53615639999999998</v>
      </c>
      <c r="F925" t="s">
        <v>41</v>
      </c>
      <c r="G925">
        <v>-259.7568</v>
      </c>
      <c r="H925" s="1">
        <v>-1.3072660000000001E-6</v>
      </c>
      <c r="I925">
        <v>364.96190000000001</v>
      </c>
      <c r="J925">
        <v>-284.565</v>
      </c>
      <c r="K925">
        <v>1.070681</v>
      </c>
      <c r="L925">
        <v>367.71559999999999</v>
      </c>
      <c r="M925">
        <v>0.99990959999999995</v>
      </c>
      <c r="N925">
        <v>-1.297822E-2</v>
      </c>
      <c r="O925">
        <v>3.5041450000000002E-3</v>
      </c>
      <c r="P925">
        <v>0.99637989999999999</v>
      </c>
      <c r="Q925">
        <v>-8.3951799999999993E-2</v>
      </c>
      <c r="R925">
        <v>-1.3388540000000001E-2</v>
      </c>
      <c r="S925">
        <v>2.9957280000000002</v>
      </c>
      <c r="T925">
        <v>-0.12841279999999999</v>
      </c>
      <c r="U925">
        <v>-0.3302002</v>
      </c>
      <c r="V925">
        <v>1.6879459999999999E-2</v>
      </c>
      <c r="W925">
        <v>-7.1014389999999997E-2</v>
      </c>
      <c r="X925">
        <v>0.99733249999999996</v>
      </c>
      <c r="Y925">
        <v>0.11290749999999999</v>
      </c>
      <c r="Z925">
        <v>-3.2512169999999998E-3</v>
      </c>
      <c r="AA925">
        <v>0.99360020000000004</v>
      </c>
      <c r="AB925">
        <v>32</v>
      </c>
      <c r="AC925">
        <v>24.808199999999999</v>
      </c>
      <c r="AD925">
        <v>-1.0706823072660001</v>
      </c>
      <c r="AE925">
        <v>-2.7536999999999798</v>
      </c>
      <c r="AF925">
        <v>2.8354048647218999</v>
      </c>
      <c r="AG925">
        <v>-1.0706823072660001</v>
      </c>
      <c r="AH925">
        <v>24.752852791586601</v>
      </c>
      <c r="AI925">
        <v>92.460708259673694</v>
      </c>
      <c r="AJ925">
        <v>83.465330113800107</v>
      </c>
      <c r="AK925">
        <v>24.937714463677999</v>
      </c>
      <c r="AL925">
        <v>94.072252339260899</v>
      </c>
      <c r="AM925">
        <v>89.030384056677306</v>
      </c>
      <c r="AN925">
        <v>1.0000000376566001</v>
      </c>
    </row>
    <row r="926" spans="1:40" x14ac:dyDescent="0.25">
      <c r="A926" t="str">
        <f>"20190303154747194"</f>
        <v>20190303154747194</v>
      </c>
      <c r="B926" t="str">
        <f>"1551599267191431"</f>
        <v>1551599267191431</v>
      </c>
      <c r="C926" t="s">
        <v>40</v>
      </c>
      <c r="D926">
        <v>5.2366260000000002</v>
      </c>
      <c r="E926">
        <v>0.53615170000000001</v>
      </c>
      <c r="F926" t="s">
        <v>41</v>
      </c>
      <c r="G926">
        <v>-259.40190000000001</v>
      </c>
      <c r="H926" s="1">
        <v>-1.434077E-6</v>
      </c>
      <c r="I926">
        <v>364.93920000000003</v>
      </c>
      <c r="J926">
        <v>-284.37860000000001</v>
      </c>
      <c r="K926">
        <v>1.070692</v>
      </c>
      <c r="L926">
        <v>367.71620000000001</v>
      </c>
      <c r="M926">
        <v>0.99990829999999997</v>
      </c>
      <c r="N926">
        <v>-1.308115E-2</v>
      </c>
      <c r="O926">
        <v>3.5114030000000002E-3</v>
      </c>
      <c r="P926">
        <v>0.99639730000000004</v>
      </c>
      <c r="Q926">
        <v>-8.3701429999999993E-2</v>
      </c>
      <c r="R926">
        <v>-1.3665419999999999E-2</v>
      </c>
      <c r="S926">
        <v>2.9957280000000002</v>
      </c>
      <c r="T926">
        <v>-0.12746679999999999</v>
      </c>
      <c r="U926">
        <v>-0.33053589999999999</v>
      </c>
      <c r="V926">
        <v>1.7163600000000001E-2</v>
      </c>
      <c r="W926">
        <v>-7.0661139999999997E-2</v>
      </c>
      <c r="X926">
        <v>0.99735269999999998</v>
      </c>
      <c r="Y926">
        <v>0.1130261</v>
      </c>
      <c r="Z926">
        <v>-3.2413289999999998E-3</v>
      </c>
      <c r="AA926">
        <v>0.99358670000000004</v>
      </c>
      <c r="AB926">
        <v>32</v>
      </c>
      <c r="AC926">
        <v>24.976699999999902</v>
      </c>
      <c r="AD926">
        <v>-1.070693434077</v>
      </c>
      <c r="AE926">
        <v>-2.7769999999999802</v>
      </c>
      <c r="AF926">
        <v>2.85950306932064</v>
      </c>
      <c r="AG926">
        <v>-1.070693434077</v>
      </c>
      <c r="AH926">
        <v>24.921556390044401</v>
      </c>
      <c r="AI926">
        <v>92.444043507691305</v>
      </c>
      <c r="AJ926">
        <v>83.454498124331096</v>
      </c>
      <c r="AK926">
        <v>25.107909413875799</v>
      </c>
      <c r="AL926">
        <v>94.051961797384607</v>
      </c>
      <c r="AM926">
        <v>89.014085209104095</v>
      </c>
      <c r="AN926">
        <v>0.99999999703417397</v>
      </c>
    </row>
    <row r="927" spans="1:40" x14ac:dyDescent="0.25">
      <c r="A927" t="str">
        <f>"20190303154747205"</f>
        <v>20190303154747205</v>
      </c>
      <c r="B927" t="str">
        <f>"1551599267201190"</f>
        <v>1551599267201190</v>
      </c>
      <c r="C927" t="s">
        <v>40</v>
      </c>
      <c r="D927">
        <v>5.2184200000000001</v>
      </c>
      <c r="E927">
        <v>0.53634340000000003</v>
      </c>
      <c r="F927" t="s">
        <v>41</v>
      </c>
      <c r="G927">
        <v>-259.45319999999998</v>
      </c>
      <c r="H927" s="1">
        <v>-1.4107520000000001E-6</v>
      </c>
      <c r="I927">
        <v>364.96129999999999</v>
      </c>
      <c r="J927">
        <v>-284.23160000000001</v>
      </c>
      <c r="K927">
        <v>1.0707009999999999</v>
      </c>
      <c r="L927">
        <v>367.71679999999998</v>
      </c>
      <c r="M927">
        <v>0.99990730000000005</v>
      </c>
      <c r="N927">
        <v>-1.315938E-2</v>
      </c>
      <c r="O927">
        <v>3.5172670000000001E-3</v>
      </c>
      <c r="P927">
        <v>0.99642109999999995</v>
      </c>
      <c r="Q927">
        <v>-8.3384509999999995E-2</v>
      </c>
      <c r="R927">
        <v>-1.3866460000000001E-2</v>
      </c>
      <c r="S927">
        <v>2.9954830000000001</v>
      </c>
      <c r="T927">
        <v>-0.12867329999999999</v>
      </c>
      <c r="U927">
        <v>-0.33108520000000002</v>
      </c>
      <c r="V927">
        <v>1.7370679999999999E-2</v>
      </c>
      <c r="W927">
        <v>-7.0265930000000004E-2</v>
      </c>
      <c r="X927">
        <v>0.99737699999999996</v>
      </c>
      <c r="Y927">
        <v>0.1132181</v>
      </c>
      <c r="Z927">
        <v>-3.2753119999999998E-3</v>
      </c>
      <c r="AA927">
        <v>0.99356480000000003</v>
      </c>
      <c r="AB927">
        <v>32</v>
      </c>
      <c r="AC927">
        <v>24.778400000000001</v>
      </c>
      <c r="AD927">
        <v>-1.070702410752</v>
      </c>
      <c r="AE927">
        <v>-2.7554999999999801</v>
      </c>
      <c r="AF927">
        <v>2.8374094470440001</v>
      </c>
      <c r="AG927">
        <v>-1.070702410752</v>
      </c>
      <c r="AH927">
        <v>24.722955220284401</v>
      </c>
      <c r="AI927">
        <v>92.463665387104896</v>
      </c>
      <c r="AJ927">
        <v>83.452910890938497</v>
      </c>
      <c r="AK927">
        <v>24.9082679214503</v>
      </c>
      <c r="AL927">
        <v>94.029261653599207</v>
      </c>
      <c r="AM927">
        <v>89.002216776334294</v>
      </c>
      <c r="AN927">
        <v>0.99999996078571196</v>
      </c>
    </row>
    <row r="928" spans="1:40" x14ac:dyDescent="0.25">
      <c r="A928" t="str">
        <f>"20190303154747215"</f>
        <v>20190303154747215</v>
      </c>
      <c r="B928" t="str">
        <f>"1551599267210951"</f>
        <v>1551599267210951</v>
      </c>
      <c r="C928" t="s">
        <v>40</v>
      </c>
      <c r="D928">
        <v>5.2362909999999996</v>
      </c>
      <c r="E928">
        <v>0.53644939999999997</v>
      </c>
      <c r="F928" t="s">
        <v>41</v>
      </c>
      <c r="G928">
        <v>-259.06630000000001</v>
      </c>
      <c r="H928" s="1">
        <v>-1.554434E-6</v>
      </c>
      <c r="I928">
        <v>364.916</v>
      </c>
      <c r="J928">
        <v>-284.06990000000002</v>
      </c>
      <c r="K928">
        <v>1.070708</v>
      </c>
      <c r="L928">
        <v>367.71730000000002</v>
      </c>
      <c r="M928">
        <v>0.99990610000000002</v>
      </c>
      <c r="N928">
        <v>-1.324066E-2</v>
      </c>
      <c r="O928">
        <v>3.5238219999999998E-3</v>
      </c>
      <c r="P928">
        <v>0.99644410000000005</v>
      </c>
      <c r="Q928">
        <v>-8.3046990000000001E-2</v>
      </c>
      <c r="R928">
        <v>-1.421856E-2</v>
      </c>
      <c r="S928">
        <v>2.9954830000000001</v>
      </c>
      <c r="T928">
        <v>-0.12744800000000001</v>
      </c>
      <c r="U928">
        <v>-0.333374</v>
      </c>
      <c r="V928">
        <v>1.7729390000000001E-2</v>
      </c>
      <c r="W928">
        <v>-6.9847049999999994E-2</v>
      </c>
      <c r="X928">
        <v>0.99740019999999996</v>
      </c>
      <c r="Y928">
        <v>0.1139757</v>
      </c>
      <c r="Z928">
        <v>-3.2763639999999999E-3</v>
      </c>
      <c r="AA928">
        <v>0.99347810000000003</v>
      </c>
      <c r="AB928">
        <v>32</v>
      </c>
      <c r="AC928">
        <v>25.003599999999999</v>
      </c>
      <c r="AD928">
        <v>-1.070709554434</v>
      </c>
      <c r="AE928">
        <v>-2.8013000000000199</v>
      </c>
      <c r="AF928">
        <v>2.8841752961257998</v>
      </c>
      <c r="AG928">
        <v>-1.070709554434</v>
      </c>
      <c r="AH928">
        <v>24.948390792492901</v>
      </c>
      <c r="AI928">
        <v>92.441214713491206</v>
      </c>
      <c r="AJ928">
        <v>83.405556881277505</v>
      </c>
      <c r="AK928">
        <v>25.137364404879101</v>
      </c>
      <c r="AL928">
        <v>94.005202124435598</v>
      </c>
      <c r="AM928">
        <v>88.981640217782498</v>
      </c>
      <c r="AN928">
        <v>1.0000000503117501</v>
      </c>
    </row>
    <row r="929" spans="1:40" x14ac:dyDescent="0.25">
      <c r="A929" t="str">
        <f>"20190303154747226"</f>
        <v>20190303154747226</v>
      </c>
      <c r="B929" t="str">
        <f>"1551599267221686"</f>
        <v>1551599267221686</v>
      </c>
      <c r="C929" t="s">
        <v>40</v>
      </c>
      <c r="D929">
        <v>5.1607320000000003</v>
      </c>
      <c r="E929">
        <v>0.53657769999999905</v>
      </c>
      <c r="F929" t="s">
        <v>41</v>
      </c>
      <c r="G929">
        <v>-258.69979999999998</v>
      </c>
      <c r="H929" s="1">
        <v>-1.68835999999999E-6</v>
      </c>
      <c r="I929">
        <v>364.88139999999999</v>
      </c>
      <c r="J929">
        <v>-283.91370000000001</v>
      </c>
      <c r="K929">
        <v>1.0707169999999999</v>
      </c>
      <c r="L929">
        <v>367.71789999999999</v>
      </c>
      <c r="M929">
        <v>0.99990500000000004</v>
      </c>
      <c r="N929">
        <v>-1.3314609999999999E-2</v>
      </c>
      <c r="O929">
        <v>3.5302430000000002E-3</v>
      </c>
      <c r="P929">
        <v>0.99648769999999998</v>
      </c>
      <c r="Q929">
        <v>-8.2467200000000004E-2</v>
      </c>
      <c r="R929">
        <v>-1.45396E-2</v>
      </c>
      <c r="S929">
        <v>2.9954529999999999</v>
      </c>
      <c r="T929">
        <v>-0.126418899999999</v>
      </c>
      <c r="U929">
        <v>-0.33483889999999999</v>
      </c>
      <c r="V929">
        <v>1.8056760000000002E-2</v>
      </c>
      <c r="W929">
        <v>-6.9193009999999999E-2</v>
      </c>
      <c r="X929">
        <v>0.99743990000000005</v>
      </c>
      <c r="Y929">
        <v>0.1144643</v>
      </c>
      <c r="Z929">
        <v>-3.2733340000000001E-3</v>
      </c>
      <c r="AA929">
        <v>0.99342200000000003</v>
      </c>
      <c r="AB929">
        <v>32</v>
      </c>
      <c r="AC929">
        <v>25.213899999999999</v>
      </c>
      <c r="AD929">
        <v>-1.0707186883599999</v>
      </c>
      <c r="AE929">
        <v>-2.8365</v>
      </c>
      <c r="AF929">
        <v>2.92030102036184</v>
      </c>
      <c r="AG929">
        <v>-1.0707186883599999</v>
      </c>
      <c r="AH929">
        <v>25.158926060675899</v>
      </c>
      <c r="AI929">
        <v>92.420701659508595</v>
      </c>
      <c r="AJ929">
        <v>83.379069922698307</v>
      </c>
      <c r="AK929">
        <v>25.350466604890901</v>
      </c>
      <c r="AL929">
        <v>93.967637562765503</v>
      </c>
      <c r="AM929">
        <v>88.962881729555605</v>
      </c>
      <c r="AN929">
        <v>1.00000003666328</v>
      </c>
    </row>
    <row r="930" spans="1:40" x14ac:dyDescent="0.25">
      <c r="A930" t="str">
        <f>"20190303154747238"</f>
        <v>20190303154747238</v>
      </c>
      <c r="B930" t="str">
        <f>"1551599267231446"</f>
        <v>1551599267231446</v>
      </c>
      <c r="C930" t="s">
        <v>40</v>
      </c>
      <c r="D930">
        <v>5.1829099999999997</v>
      </c>
      <c r="E930">
        <v>0.53658839999999997</v>
      </c>
      <c r="F930" t="s">
        <v>41</v>
      </c>
      <c r="G930">
        <v>-258.00529999999998</v>
      </c>
      <c r="H930" s="1">
        <v>-1.9455159999999999E-6</v>
      </c>
      <c r="I930">
        <v>364.80329999999998</v>
      </c>
      <c r="J930">
        <v>-283.75229999999999</v>
      </c>
      <c r="K930">
        <v>1.0707230000000001</v>
      </c>
      <c r="L930">
        <v>367.71839999999997</v>
      </c>
      <c r="M930">
        <v>0.99990420000000002</v>
      </c>
      <c r="N930">
        <v>-1.338786E-2</v>
      </c>
      <c r="O930">
        <v>3.5366059999999999E-3</v>
      </c>
      <c r="P930">
        <v>0.99651710000000004</v>
      </c>
      <c r="Q930">
        <v>-8.2080860000000005E-2</v>
      </c>
      <c r="R930">
        <v>-1.4722229999999999E-2</v>
      </c>
      <c r="S930">
        <v>2.9953919999999998</v>
      </c>
      <c r="T930">
        <v>-0.1237905</v>
      </c>
      <c r="U930">
        <v>-0.33697510000000003</v>
      </c>
      <c r="V930">
        <v>1.824605E-2</v>
      </c>
      <c r="W930">
        <v>-6.8733249999999996E-2</v>
      </c>
      <c r="X930">
        <v>0.99746820000000003</v>
      </c>
      <c r="Y930">
        <v>0.1151765</v>
      </c>
      <c r="Z930">
        <v>-3.243793E-3</v>
      </c>
      <c r="AA930">
        <v>0.99333979999999999</v>
      </c>
      <c r="AB930">
        <v>32</v>
      </c>
      <c r="AC930">
        <v>25.747</v>
      </c>
      <c r="AD930">
        <v>-1.0707249455159999</v>
      </c>
      <c r="AE930">
        <v>-2.91509999999999</v>
      </c>
      <c r="AF930">
        <v>3.00102255107045</v>
      </c>
      <c r="AG930">
        <v>-1.0707249455159999</v>
      </c>
      <c r="AH930">
        <v>25.692657245471501</v>
      </c>
      <c r="AI930">
        <v>92.370287866898195</v>
      </c>
      <c r="AJ930">
        <v>83.337773807158598</v>
      </c>
      <c r="AK930">
        <v>25.889480964172702</v>
      </c>
      <c r="AL930">
        <v>93.941232559118603</v>
      </c>
      <c r="AM930">
        <v>88.952041701021102</v>
      </c>
      <c r="AN930">
        <v>0.99999999400370199</v>
      </c>
    </row>
    <row r="931" spans="1:40" x14ac:dyDescent="0.25">
      <c r="A931" t="str">
        <f>"20190303154747249"</f>
        <v>20190303154747249</v>
      </c>
      <c r="B931" t="str">
        <f>"1551599267241207"</f>
        <v>1551599267241207</v>
      </c>
      <c r="C931" t="s">
        <v>40</v>
      </c>
      <c r="D931">
        <v>5.1710739999999999</v>
      </c>
      <c r="E931">
        <v>0.53665490000000005</v>
      </c>
      <c r="F931" t="s">
        <v>41</v>
      </c>
      <c r="G931">
        <v>-257.4914</v>
      </c>
      <c r="H931" s="1">
        <v>-2.13252E-6</v>
      </c>
      <c r="I931">
        <v>364.75779999999997</v>
      </c>
      <c r="J931">
        <v>-283.59570000000002</v>
      </c>
      <c r="K931">
        <v>1.0707279999999999</v>
      </c>
      <c r="L931">
        <v>367.71899999999999</v>
      </c>
      <c r="M931">
        <v>0.9999034</v>
      </c>
      <c r="N931">
        <v>-1.345303E-2</v>
      </c>
      <c r="O931">
        <v>3.543259E-3</v>
      </c>
      <c r="P931">
        <v>0.9965465</v>
      </c>
      <c r="Q931">
        <v>-8.1700620000000002E-2</v>
      </c>
      <c r="R931">
        <v>-1.4853699999999999E-2</v>
      </c>
      <c r="S931">
        <v>2.9954529999999999</v>
      </c>
      <c r="T931">
        <v>-0.1221319</v>
      </c>
      <c r="U931">
        <v>-0.33770749999999999</v>
      </c>
      <c r="V931">
        <v>1.8384210000000002E-2</v>
      </c>
      <c r="W931">
        <v>-6.8287639999999997E-2</v>
      </c>
      <c r="X931">
        <v>0.99749620000000006</v>
      </c>
      <c r="Y931">
        <v>0.11542330000000001</v>
      </c>
      <c r="Z931">
        <v>-3.220414E-3</v>
      </c>
      <c r="AA931">
        <v>0.99331119999999995</v>
      </c>
      <c r="AB931">
        <v>32</v>
      </c>
      <c r="AC931">
        <v>26.104299999999999</v>
      </c>
      <c r="AD931">
        <v>-1.07073013252</v>
      </c>
      <c r="AE931">
        <v>-2.9612000000000198</v>
      </c>
      <c r="AF931">
        <v>3.0486201440754801</v>
      </c>
      <c r="AG931">
        <v>-1.07073013252</v>
      </c>
      <c r="AH931">
        <v>26.0503718493508</v>
      </c>
      <c r="AI931">
        <v>92.337727457069306</v>
      </c>
      <c r="AJ931">
        <v>83.325156950428195</v>
      </c>
      <c r="AK931">
        <v>26.249998500742802</v>
      </c>
      <c r="AL931">
        <v>93.915641126830593</v>
      </c>
      <c r="AM931">
        <v>88.944137930782503</v>
      </c>
      <c r="AN931">
        <v>0.99999992498426404</v>
      </c>
    </row>
    <row r="932" spans="1:40" x14ac:dyDescent="0.25">
      <c r="A932" t="str">
        <f>"20190303154747259"</f>
        <v>20190303154747259</v>
      </c>
      <c r="B932" t="str">
        <f>"1551599267250967"</f>
        <v>1551599267250967</v>
      </c>
      <c r="C932" t="s">
        <v>40</v>
      </c>
      <c r="D932">
        <v>5.1887420000000004</v>
      </c>
      <c r="E932">
        <v>0.53669800000000001</v>
      </c>
      <c r="F932" t="s">
        <v>41</v>
      </c>
      <c r="G932">
        <v>-257.13920000000002</v>
      </c>
      <c r="H932" s="1">
        <v>-2.2605729999999999E-6</v>
      </c>
      <c r="I932">
        <v>364.72680000000003</v>
      </c>
      <c r="J932">
        <v>-283.43810000000002</v>
      </c>
      <c r="K932">
        <v>1.0707329999999999</v>
      </c>
      <c r="L932">
        <v>367.71960000000001</v>
      </c>
      <c r="M932">
        <v>0.99990239999999997</v>
      </c>
      <c r="N932">
        <v>-1.351719E-2</v>
      </c>
      <c r="O932">
        <v>3.5499170000000001E-3</v>
      </c>
      <c r="P932">
        <v>0.99655130000000003</v>
      </c>
      <c r="Q932">
        <v>-8.1656259999999994E-2</v>
      </c>
      <c r="R932">
        <v>-1.475446E-2</v>
      </c>
      <c r="S932">
        <v>2.9954830000000001</v>
      </c>
      <c r="T932">
        <v>-0.12123109999999999</v>
      </c>
      <c r="U932">
        <v>-0.33877560000000001</v>
      </c>
      <c r="V932">
        <v>1.829153E-2</v>
      </c>
      <c r="W932">
        <v>-6.8179229999999993E-2</v>
      </c>
      <c r="X932">
        <v>0.99750539999999999</v>
      </c>
      <c r="Y932">
        <v>0.1157796</v>
      </c>
      <c r="Z932">
        <v>-3.21528E-3</v>
      </c>
      <c r="AA932">
        <v>0.99326970000000003</v>
      </c>
      <c r="AB932">
        <v>32</v>
      </c>
      <c r="AC932">
        <v>26.2989</v>
      </c>
      <c r="AD932">
        <v>-1.0707352605729901</v>
      </c>
      <c r="AE932">
        <v>-2.9927999999999799</v>
      </c>
      <c r="AF932">
        <v>3.0811065200974901</v>
      </c>
      <c r="AG932">
        <v>-1.0707352605729901</v>
      </c>
      <c r="AH932">
        <v>26.245160388686902</v>
      </c>
      <c r="AI932">
        <v>92.320308297559095</v>
      </c>
      <c r="AJ932">
        <v>83.304287944997299</v>
      </c>
      <c r="AK932">
        <v>26.4470817901394</v>
      </c>
      <c r="AL932">
        <v>93.909414866323601</v>
      </c>
      <c r="AM932">
        <v>88.949469321014107</v>
      </c>
      <c r="AN932">
        <v>1.00000000525114</v>
      </c>
    </row>
    <row r="933" spans="1:40" x14ac:dyDescent="0.25">
      <c r="A933" t="str">
        <f>"20190303154747271"</f>
        <v>20190303154747271</v>
      </c>
      <c r="B933" t="str">
        <f>"1551599267261703"</f>
        <v>1551599267261703</v>
      </c>
      <c r="C933" t="s">
        <v>40</v>
      </c>
      <c r="D933">
        <v>5.2206289999999997</v>
      </c>
      <c r="E933">
        <v>0.53675660000000003</v>
      </c>
      <c r="F933" t="s">
        <v>41</v>
      </c>
      <c r="G933">
        <v>-257.02260000000001</v>
      </c>
      <c r="H933" s="1">
        <v>-2.2986080000000001E-6</v>
      </c>
      <c r="I933">
        <v>364.733</v>
      </c>
      <c r="J933">
        <v>-283.2903</v>
      </c>
      <c r="K933">
        <v>1.070737</v>
      </c>
      <c r="L933">
        <v>367.7201</v>
      </c>
      <c r="M933">
        <v>0.9999017</v>
      </c>
      <c r="N933">
        <v>-1.3570789999999999E-2</v>
      </c>
      <c r="O933">
        <v>3.5561080000000001E-3</v>
      </c>
      <c r="P933">
        <v>0.9965695</v>
      </c>
      <c r="Q933">
        <v>-8.1459970000000007E-2</v>
      </c>
      <c r="R933">
        <v>-1.461631E-2</v>
      </c>
      <c r="S933">
        <v>2.9953919999999998</v>
      </c>
      <c r="T933">
        <v>-0.12141589999999999</v>
      </c>
      <c r="U933">
        <v>-0.338653599999999</v>
      </c>
      <c r="V933">
        <v>1.8159680000000001E-2</v>
      </c>
      <c r="W933">
        <v>-6.7929240000000002E-2</v>
      </c>
      <c r="X933">
        <v>0.99752490000000005</v>
      </c>
      <c r="Y933">
        <v>0.1157488</v>
      </c>
      <c r="Z933">
        <v>-3.2213929999999999E-3</v>
      </c>
      <c r="AA933">
        <v>0.99327330000000003</v>
      </c>
      <c r="AB933">
        <v>32</v>
      </c>
      <c r="AC933">
        <v>26.267699999999898</v>
      </c>
      <c r="AD933">
        <v>-1.070739298608</v>
      </c>
      <c r="AE933">
        <v>-2.9870999999999901</v>
      </c>
      <c r="AF933">
        <v>3.0754555782044899</v>
      </c>
      <c r="AG933">
        <v>-1.070739298608</v>
      </c>
      <c r="AH933">
        <v>26.2139098012135</v>
      </c>
      <c r="AI933">
        <v>92.323100460456502</v>
      </c>
      <c r="AJ933">
        <v>83.308561607796605</v>
      </c>
      <c r="AK933">
        <v>26.4154117273468</v>
      </c>
      <c r="AL933">
        <v>93.895058071340401</v>
      </c>
      <c r="AM933">
        <v>88.957060518253698</v>
      </c>
      <c r="AN933">
        <v>1.00000004087234</v>
      </c>
    </row>
    <row r="934" spans="1:40" x14ac:dyDescent="0.25">
      <c r="A934" t="str">
        <f>"20190303154747283"</f>
        <v>20190303154747283</v>
      </c>
      <c r="B934" t="str">
        <f>"1551599267271463"</f>
        <v>1551599267271463</v>
      </c>
      <c r="C934" t="s">
        <v>40</v>
      </c>
      <c r="D934">
        <v>5.2044439999999996</v>
      </c>
      <c r="E934">
        <v>0.53685799999999995</v>
      </c>
      <c r="F934" t="s">
        <v>41</v>
      </c>
      <c r="G934">
        <v>-256.94319999999999</v>
      </c>
      <c r="H934" s="1">
        <v>-2.3236449999999998E-6</v>
      </c>
      <c r="I934">
        <v>364.7405</v>
      </c>
      <c r="J934">
        <v>-283.12020000000001</v>
      </c>
      <c r="K934">
        <v>1.0707409999999999</v>
      </c>
      <c r="L934">
        <v>367.72070000000002</v>
      </c>
      <c r="M934">
        <v>0.99990080000000003</v>
      </c>
      <c r="N934">
        <v>-1.363111E-2</v>
      </c>
      <c r="O934">
        <v>3.5633840000000002E-3</v>
      </c>
      <c r="P934">
        <v>0.99656809999999996</v>
      </c>
      <c r="Q934">
        <v>-8.150686E-2</v>
      </c>
      <c r="R934">
        <v>-1.4457060000000001E-2</v>
      </c>
      <c r="S934">
        <v>2.995422</v>
      </c>
      <c r="T934">
        <v>-0.1217326</v>
      </c>
      <c r="U934">
        <v>-0.33874510000000002</v>
      </c>
      <c r="V934">
        <v>1.800763E-2</v>
      </c>
      <c r="W934">
        <v>-6.7915920000000005E-2</v>
      </c>
      <c r="X934">
        <v>0.99752850000000004</v>
      </c>
      <c r="Y934">
        <v>0.1157841</v>
      </c>
      <c r="Z934">
        <v>-3.232277E-3</v>
      </c>
      <c r="AA934">
        <v>0.99326910000000002</v>
      </c>
      <c r="AB934">
        <v>32</v>
      </c>
      <c r="AC934">
        <v>26.177</v>
      </c>
      <c r="AD934">
        <v>-1.0707433236449999</v>
      </c>
      <c r="AE934">
        <v>-2.9802000000000199</v>
      </c>
      <c r="AF934">
        <v>3.06840028247536</v>
      </c>
      <c r="AG934">
        <v>-1.0707433236449999</v>
      </c>
      <c r="AH934">
        <v>26.123065034570001</v>
      </c>
      <c r="AI934">
        <v>92.331141872198401</v>
      </c>
      <c r="AJ934">
        <v>83.300767100631703</v>
      </c>
      <c r="AK934">
        <v>26.3244391841307</v>
      </c>
      <c r="AL934">
        <v>93.894293371721105</v>
      </c>
      <c r="AM934">
        <v>88.965794819969304</v>
      </c>
      <c r="AN934">
        <v>0.99999997761995596</v>
      </c>
    </row>
    <row r="935" spans="1:40" x14ac:dyDescent="0.25">
      <c r="A935" t="str">
        <f>"20190303154747293"</f>
        <v>20190303154747293</v>
      </c>
      <c r="B935" t="str">
        <f>"1551599267290984"</f>
        <v>1551599267290984</v>
      </c>
      <c r="C935" t="s">
        <v>40</v>
      </c>
      <c r="D935">
        <v>5.1605759999999998</v>
      </c>
      <c r="E935">
        <v>0.53679560000000004</v>
      </c>
      <c r="F935" t="s">
        <v>41</v>
      </c>
      <c r="G935">
        <v>-256.8021</v>
      </c>
      <c r="H935" s="1">
        <v>-2.3714669999999998E-6</v>
      </c>
      <c r="I935">
        <v>364.74130000000002</v>
      </c>
      <c r="J935">
        <v>-282.95260000000002</v>
      </c>
      <c r="K935">
        <v>1.070743</v>
      </c>
      <c r="L935">
        <v>367.72129999999999</v>
      </c>
      <c r="M935">
        <v>0.99989989999999995</v>
      </c>
      <c r="N935">
        <v>-1.3685020000000001E-2</v>
      </c>
      <c r="O935">
        <v>3.5702860000000002E-3</v>
      </c>
      <c r="P935">
        <v>0.99656549999999999</v>
      </c>
      <c r="Q935">
        <v>-8.1556669999999998E-2</v>
      </c>
      <c r="R935">
        <v>-1.434967E-2</v>
      </c>
      <c r="S935">
        <v>2.9954830000000001</v>
      </c>
      <c r="T935">
        <v>-0.12186959999999999</v>
      </c>
      <c r="U935">
        <v>-0.3391113</v>
      </c>
      <c r="V935">
        <v>1.7906970000000001E-2</v>
      </c>
      <c r="W935">
        <v>-6.7911979999999997E-2</v>
      </c>
      <c r="X935">
        <v>0.99753060000000005</v>
      </c>
      <c r="Y935">
        <v>0.1159081</v>
      </c>
      <c r="Z935">
        <v>-3.2415080000000001E-3</v>
      </c>
      <c r="AA935">
        <v>0.99325469999999905</v>
      </c>
      <c r="AB935">
        <v>32</v>
      </c>
      <c r="AC935">
        <v>26.150500000000001</v>
      </c>
      <c r="AD935">
        <v>-1.0707453714669899</v>
      </c>
      <c r="AE935">
        <v>-2.97999999999996</v>
      </c>
      <c r="AF935">
        <v>3.0682763927966499</v>
      </c>
      <c r="AG935">
        <v>-1.0707453714669899</v>
      </c>
      <c r="AH935">
        <v>26.0965020431053</v>
      </c>
      <c r="AI935">
        <v>92.3334854996844</v>
      </c>
      <c r="AJ935">
        <v>83.294278483173301</v>
      </c>
      <c r="AK935">
        <v>26.298065224630299</v>
      </c>
      <c r="AL935">
        <v>93.894067027299997</v>
      </c>
      <c r="AM935">
        <v>88.971576794102305</v>
      </c>
      <c r="AN935">
        <v>0.99999999726922995</v>
      </c>
    </row>
    <row r="936" spans="1:40" x14ac:dyDescent="0.25">
      <c r="A936" t="str">
        <f>"20190303154747305"</f>
        <v>20190303154747305</v>
      </c>
      <c r="B936" t="str">
        <f>"1551599267301718"</f>
        <v>1551599267301718</v>
      </c>
      <c r="C936" t="s">
        <v>40</v>
      </c>
      <c r="D936">
        <v>5.2022089999999999</v>
      </c>
      <c r="E936">
        <v>0.53678700000000001</v>
      </c>
      <c r="F936" t="s">
        <v>41</v>
      </c>
      <c r="G936">
        <v>-257.16489999999999</v>
      </c>
      <c r="H936" s="1">
        <v>-2.229813E-6</v>
      </c>
      <c r="I936">
        <v>364.80959999999999</v>
      </c>
      <c r="J936">
        <v>-282.79910000000001</v>
      </c>
      <c r="K936">
        <v>1.070746</v>
      </c>
      <c r="L936">
        <v>367.72190000000001</v>
      </c>
      <c r="M936">
        <v>0.99989939999999999</v>
      </c>
      <c r="N936">
        <v>-1.3731729999999999E-2</v>
      </c>
      <c r="O936">
        <v>3.5766980000000001E-3</v>
      </c>
      <c r="P936">
        <v>0.99656860000000003</v>
      </c>
      <c r="Q936">
        <v>-8.1557400000000002E-2</v>
      </c>
      <c r="R936">
        <v>-1.413498E-2</v>
      </c>
      <c r="S936">
        <v>2.9953310000000002</v>
      </c>
      <c r="T936">
        <v>-0.1243702</v>
      </c>
      <c r="U936">
        <v>-0.33819579999999999</v>
      </c>
      <c r="V936">
        <v>1.769894E-2</v>
      </c>
      <c r="W936">
        <v>-6.7866070000000001E-2</v>
      </c>
      <c r="X936">
        <v>0.99753740000000002</v>
      </c>
      <c r="Y936">
        <v>0.11561589999999999</v>
      </c>
      <c r="Z936">
        <v>-3.2874860000000001E-3</v>
      </c>
      <c r="AA936">
        <v>0.99328859999999997</v>
      </c>
      <c r="AB936">
        <v>32</v>
      </c>
      <c r="AC936">
        <v>25.6342</v>
      </c>
      <c r="AD936">
        <v>-1.070748229813</v>
      </c>
      <c r="AE936">
        <v>-2.9123000000000099</v>
      </c>
      <c r="AF936">
        <v>2.9988102724183801</v>
      </c>
      <c r="AG936">
        <v>-1.070748229813</v>
      </c>
      <c r="AH936">
        <v>25.579557177415602</v>
      </c>
      <c r="AI936">
        <v>92.380689748354797</v>
      </c>
      <c r="AJ936">
        <v>83.313471361787904</v>
      </c>
      <c r="AK936">
        <v>25.7769879973259</v>
      </c>
      <c r="AL936">
        <v>93.8914306398609</v>
      </c>
      <c r="AM936">
        <v>88.9835286643101</v>
      </c>
      <c r="AN936">
        <v>0.99999996016656301</v>
      </c>
    </row>
    <row r="937" spans="1:40" x14ac:dyDescent="0.25">
      <c r="A937" t="str">
        <f>"20190303154747317"</f>
        <v>20190303154747317</v>
      </c>
      <c r="B937" t="str">
        <f>"1551599267311479"</f>
        <v>1551599267311479</v>
      </c>
      <c r="C937" t="s">
        <v>40</v>
      </c>
      <c r="D937">
        <v>5.2210269999999896</v>
      </c>
      <c r="E937">
        <v>0.53688210000000003</v>
      </c>
      <c r="F937" t="s">
        <v>41</v>
      </c>
      <c r="G937">
        <v>-257.22559999999999</v>
      </c>
      <c r="H937" s="1">
        <v>-2.2008460000000002E-6</v>
      </c>
      <c r="I937">
        <v>364.84089999999998</v>
      </c>
      <c r="J937">
        <v>-282.62459999999999</v>
      </c>
      <c r="K937">
        <v>1.0707469999999999</v>
      </c>
      <c r="L937">
        <v>367.72250000000003</v>
      </c>
      <c r="M937">
        <v>0.99989870000000003</v>
      </c>
      <c r="N937">
        <v>-1.378125E-2</v>
      </c>
      <c r="O937">
        <v>3.5842790000000001E-3</v>
      </c>
      <c r="P937">
        <v>0.99657180000000001</v>
      </c>
      <c r="Q937">
        <v>-8.1568719999999997E-2</v>
      </c>
      <c r="R937">
        <v>-1.3846529999999999E-2</v>
      </c>
      <c r="S937">
        <v>2.9952999999999999</v>
      </c>
      <c r="T937">
        <v>-0.12541089999999999</v>
      </c>
      <c r="U937">
        <v>-0.33743289999999998</v>
      </c>
      <c r="V937">
        <v>1.7417889999999998E-2</v>
      </c>
      <c r="W937">
        <v>-6.7827929999999995E-2</v>
      </c>
      <c r="X937">
        <v>0.99754500000000002</v>
      </c>
      <c r="Y937">
        <v>0.1153729</v>
      </c>
      <c r="Z937">
        <v>-3.304937E-3</v>
      </c>
      <c r="AA937">
        <v>0.9933168</v>
      </c>
      <c r="AB937">
        <v>32</v>
      </c>
      <c r="AC937">
        <v>25.399000000000001</v>
      </c>
      <c r="AD937">
        <v>-1.07074920084599</v>
      </c>
      <c r="AE937">
        <v>-2.8816000000000401</v>
      </c>
      <c r="AF937">
        <v>2.96742047399237</v>
      </c>
      <c r="AG937">
        <v>-1.07074920084599</v>
      </c>
      <c r="AH937">
        <v>25.3440377328144</v>
      </c>
      <c r="AI937">
        <v>92.402830967191207</v>
      </c>
      <c r="AJ937">
        <v>83.321898407868005</v>
      </c>
      <c r="AK937">
        <v>25.539622877460399</v>
      </c>
      <c r="AL937">
        <v>93.889240102518201</v>
      </c>
      <c r="AM937">
        <v>88.999674015999901</v>
      </c>
      <c r="AN937">
        <v>1.00000001900256</v>
      </c>
    </row>
    <row r="938" spans="1:40" x14ac:dyDescent="0.25">
      <c r="A938" t="str">
        <f>"20190303154747331"</f>
        <v>20190303154747331</v>
      </c>
      <c r="B938" t="str">
        <f>"1551599267321240"</f>
        <v>1551599267321240</v>
      </c>
      <c r="C938" t="s">
        <v>40</v>
      </c>
      <c r="D938">
        <v>5.1897820000000001</v>
      </c>
      <c r="E938">
        <v>0.53685459999999996</v>
      </c>
      <c r="F938" t="s">
        <v>41</v>
      </c>
      <c r="G938">
        <v>-257.11829999999998</v>
      </c>
      <c r="H938" s="1">
        <v>-2.2347470000000002E-6</v>
      </c>
      <c r="I938">
        <v>364.85070000000002</v>
      </c>
      <c r="J938">
        <v>-282.43729999999999</v>
      </c>
      <c r="K938">
        <v>1.0707469999999999</v>
      </c>
      <c r="L938">
        <v>367.72320000000002</v>
      </c>
      <c r="M938">
        <v>0.99989799999999995</v>
      </c>
      <c r="N938">
        <v>-1.382943E-2</v>
      </c>
      <c r="O938">
        <v>3.5925250000000001E-3</v>
      </c>
      <c r="P938">
        <v>0.99659310000000001</v>
      </c>
      <c r="Q938">
        <v>-8.1340759999999998E-2</v>
      </c>
      <c r="R938">
        <v>-1.364139E-2</v>
      </c>
      <c r="S938">
        <v>2.9953310000000002</v>
      </c>
      <c r="T938">
        <v>-0.1257432</v>
      </c>
      <c r="U938">
        <v>-0.33724979999999999</v>
      </c>
      <c r="V938">
        <v>1.722104E-2</v>
      </c>
      <c r="W938">
        <v>-6.7551650000000005E-2</v>
      </c>
      <c r="X938">
        <v>0.99756710000000004</v>
      </c>
      <c r="Y938">
        <v>0.1153193</v>
      </c>
      <c r="Z938">
        <v>-3.3130429999999999E-3</v>
      </c>
      <c r="AA938">
        <v>0.99332299999999996</v>
      </c>
      <c r="AB938">
        <v>32</v>
      </c>
      <c r="AC938">
        <v>25.318999999999999</v>
      </c>
      <c r="AD938">
        <v>-1.07074923474699</v>
      </c>
      <c r="AE938">
        <v>-2.8725000000000001</v>
      </c>
      <c r="AF938">
        <v>2.9582258178048502</v>
      </c>
      <c r="AG938">
        <v>-1.07074923474699</v>
      </c>
      <c r="AH938">
        <v>25.2639064368331</v>
      </c>
      <c r="AI938">
        <v>92.410441230432696</v>
      </c>
      <c r="AJ938">
        <v>83.321478794488698</v>
      </c>
      <c r="AK938">
        <v>25.459037145223999</v>
      </c>
      <c r="AL938">
        <v>93.873374285568701</v>
      </c>
      <c r="AM938">
        <v>89.010998946603905</v>
      </c>
      <c r="AN938">
        <v>0.99999995431940603</v>
      </c>
    </row>
    <row r="939" spans="1:40" x14ac:dyDescent="0.25">
      <c r="A939" t="str">
        <f>"20190303154747345"</f>
        <v>20190303154747345</v>
      </c>
      <c r="B939" t="str">
        <f>"1551599267341734"</f>
        <v>1551599267341734</v>
      </c>
      <c r="C939" t="s">
        <v>40</v>
      </c>
      <c r="D939">
        <v>5.2090259999999997</v>
      </c>
      <c r="E939">
        <v>0.53687209999999996</v>
      </c>
      <c r="F939" t="s">
        <v>41</v>
      </c>
      <c r="G939">
        <v>-257.01760000000002</v>
      </c>
      <c r="H939" s="1">
        <v>-2.2645000000000001E-6</v>
      </c>
      <c r="I939">
        <v>364.86759999999998</v>
      </c>
      <c r="J939">
        <v>-282.23340000000002</v>
      </c>
      <c r="K939">
        <v>1.070749</v>
      </c>
      <c r="L939">
        <v>367.72390000000001</v>
      </c>
      <c r="M939">
        <v>0.99989709999999998</v>
      </c>
      <c r="N939">
        <v>-1.3878390000000001E-2</v>
      </c>
      <c r="O939">
        <v>3.6012420000000002E-3</v>
      </c>
      <c r="P939">
        <v>0.99661869999999997</v>
      </c>
      <c r="Q939">
        <v>-8.1090910000000002E-2</v>
      </c>
      <c r="R939">
        <v>-1.3237779999999999E-2</v>
      </c>
      <c r="S939">
        <v>2.9953609999999999</v>
      </c>
      <c r="T939">
        <v>-0.12617249999999999</v>
      </c>
      <c r="U939">
        <v>-0.33648679999999997</v>
      </c>
      <c r="V939">
        <v>1.6826379999999998E-2</v>
      </c>
      <c r="W939">
        <v>-6.7252599999999996E-2</v>
      </c>
      <c r="X939">
        <v>0.99759410000000004</v>
      </c>
      <c r="Y939">
        <v>0.1150764</v>
      </c>
      <c r="Z939">
        <v>-3.3178980000000001E-3</v>
      </c>
      <c r="AA939">
        <v>0.99335110000000004</v>
      </c>
      <c r="AB939">
        <v>32</v>
      </c>
      <c r="AC939">
        <v>25.215800000000002</v>
      </c>
      <c r="AD939">
        <v>-1.0707512644999999</v>
      </c>
      <c r="AE939">
        <v>-2.8563000000000298</v>
      </c>
      <c r="AF939">
        <v>2.9418610157466598</v>
      </c>
      <c r="AG939">
        <v>-1.0707512644999999</v>
      </c>
      <c r="AH939">
        <v>25.160555746189601</v>
      </c>
      <c r="AI939">
        <v>92.4203825859137</v>
      </c>
      <c r="AJ939">
        <v>83.331055778470201</v>
      </c>
      <c r="AK939">
        <v>25.354577889673401</v>
      </c>
      <c r="AL939">
        <v>93.856200698001004</v>
      </c>
      <c r="AM939">
        <v>89.033685996208405</v>
      </c>
      <c r="AN939">
        <v>1.0000000138127301</v>
      </c>
    </row>
    <row r="940" spans="1:40" x14ac:dyDescent="0.25">
      <c r="A940" t="str">
        <f>"20190303154747359"</f>
        <v>20190303154747359</v>
      </c>
      <c r="B940" t="str">
        <f>"1551599267351494"</f>
        <v>1551599267351494</v>
      </c>
      <c r="C940" t="s">
        <v>40</v>
      </c>
      <c r="D940">
        <v>5.2094519999999997</v>
      </c>
      <c r="E940">
        <v>0.53687209999999996</v>
      </c>
      <c r="F940" t="s">
        <v>41</v>
      </c>
      <c r="G940">
        <v>-256.89299999999997</v>
      </c>
      <c r="H940" s="1">
        <v>-2.3017989999999999E-6</v>
      </c>
      <c r="I940">
        <v>364.88679999999999</v>
      </c>
      <c r="J940">
        <v>-282.03390000000002</v>
      </c>
      <c r="K940">
        <v>1.0707439999999999</v>
      </c>
      <c r="L940">
        <v>367.72469999999998</v>
      </c>
      <c r="M940">
        <v>0.99989660000000002</v>
      </c>
      <c r="N940">
        <v>-1.392235E-2</v>
      </c>
      <c r="O940">
        <v>3.6095179999999999E-3</v>
      </c>
      <c r="P940">
        <v>0.99662600000000001</v>
      </c>
      <c r="Q940">
        <v>-8.1012870000000001E-2</v>
      </c>
      <c r="R940">
        <v>-1.3171820000000001E-2</v>
      </c>
      <c r="S940">
        <v>2.9953919999999998</v>
      </c>
      <c r="T940">
        <v>-0.12656880000000001</v>
      </c>
      <c r="U940">
        <v>-0.33535769999999998</v>
      </c>
      <c r="V940">
        <v>1.6768669999999999E-2</v>
      </c>
      <c r="W940">
        <v>-6.7130599999999999E-2</v>
      </c>
      <c r="X940">
        <v>0.99760329999999997</v>
      </c>
      <c r="Y940">
        <v>0.1147132</v>
      </c>
      <c r="Z940">
        <v>-3.3183959999999999E-3</v>
      </c>
      <c r="AA940">
        <v>0.99339310000000003</v>
      </c>
      <c r="AB940">
        <v>32</v>
      </c>
      <c r="AC940">
        <v>25.140899999999998</v>
      </c>
      <c r="AD940">
        <v>-1.070746301799</v>
      </c>
      <c r="AE940">
        <v>-2.8378999999999901</v>
      </c>
      <c r="AF940">
        <v>2.9234008153114299</v>
      </c>
      <c r="AG940">
        <v>-1.070746301799</v>
      </c>
      <c r="AH940">
        <v>25.085561729892699</v>
      </c>
      <c r="AI940">
        <v>92.427706389471595</v>
      </c>
      <c r="AJ940">
        <v>83.352894043194198</v>
      </c>
      <c r="AK940">
        <v>25.2780176689953</v>
      </c>
      <c r="AL940">
        <v>93.849194737281096</v>
      </c>
      <c r="AM940">
        <v>89.037008449785603</v>
      </c>
      <c r="AN940">
        <v>1.0000000249604</v>
      </c>
    </row>
    <row r="941" spans="1:40" x14ac:dyDescent="0.25">
      <c r="A941" t="str">
        <f>"20190303154747371"</f>
        <v>20190303154747371</v>
      </c>
      <c r="B941" t="str">
        <f>"1551599267361255"</f>
        <v>1551599267361255</v>
      </c>
      <c r="C941" t="s">
        <v>40</v>
      </c>
      <c r="D941">
        <v>5.1370209999999998</v>
      </c>
      <c r="E941">
        <v>0.53581400000000001</v>
      </c>
      <c r="F941" t="s">
        <v>41</v>
      </c>
      <c r="G941">
        <v>-256.64909999999998</v>
      </c>
      <c r="H941" s="1">
        <v>-2.3855409999999999E-6</v>
      </c>
      <c r="I941">
        <v>364.88400000000001</v>
      </c>
      <c r="J941">
        <v>-281.8691</v>
      </c>
      <c r="K941">
        <v>1.0707439999999999</v>
      </c>
      <c r="L941">
        <v>367.7253</v>
      </c>
      <c r="M941">
        <v>0.99989620000000001</v>
      </c>
      <c r="N941">
        <v>-1.395441E-2</v>
      </c>
      <c r="O941">
        <v>3.616387E-3</v>
      </c>
      <c r="P941">
        <v>0.99664759999999997</v>
      </c>
      <c r="Q941">
        <v>-8.0722550000000004E-2</v>
      </c>
      <c r="R941">
        <v>-1.33273E-2</v>
      </c>
      <c r="S941">
        <v>2.9954529999999999</v>
      </c>
      <c r="T941">
        <v>-0.12634960000000001</v>
      </c>
      <c r="U941">
        <v>-0.33520509999999998</v>
      </c>
      <c r="V941">
        <v>1.6931089999999999E-2</v>
      </c>
      <c r="W941">
        <v>-6.6808030000000004E-2</v>
      </c>
      <c r="X941">
        <v>0.99762220000000001</v>
      </c>
      <c r="Y941">
        <v>0.1146682</v>
      </c>
      <c r="Z941">
        <v>-3.3145689999999998E-3</v>
      </c>
      <c r="AA941">
        <v>0.99339829999999996</v>
      </c>
      <c r="AB941">
        <v>32</v>
      </c>
      <c r="AC941">
        <v>25.22</v>
      </c>
      <c r="AD941">
        <v>-1.070746385541</v>
      </c>
      <c r="AE941">
        <v>-2.84129999999998</v>
      </c>
      <c r="AF941">
        <v>2.9272851745450801</v>
      </c>
      <c r="AG941">
        <v>-1.070746385541</v>
      </c>
      <c r="AH941">
        <v>25.164767019579401</v>
      </c>
      <c r="AI941">
        <v>92.420133539958499</v>
      </c>
      <c r="AJ941">
        <v>83.364903159491803</v>
      </c>
      <c r="AK941">
        <v>25.3570699305928</v>
      </c>
      <c r="AL941">
        <v>93.830671294372493</v>
      </c>
      <c r="AM941">
        <v>89.027701189599796</v>
      </c>
      <c r="AN941">
        <v>1.0000000143069501</v>
      </c>
    </row>
    <row r="942" spans="1:40" x14ac:dyDescent="0.25">
      <c r="A942" t="str">
        <f>"20190303154747382"</f>
        <v>20190303154747382</v>
      </c>
      <c r="B942" t="str">
        <f>"1551599267371015"</f>
        <v>1551599267371015</v>
      </c>
      <c r="C942" t="s">
        <v>40</v>
      </c>
      <c r="D942">
        <v>5.1236230000000003</v>
      </c>
      <c r="E942">
        <v>0.53581400000000001</v>
      </c>
      <c r="F942" t="s">
        <v>41</v>
      </c>
      <c r="G942">
        <v>-256.20159999999998</v>
      </c>
      <c r="H942" s="1">
        <v>-2.5276230000000002E-6</v>
      </c>
      <c r="I942">
        <v>364.92239999999998</v>
      </c>
      <c r="J942">
        <v>-281.70830000000001</v>
      </c>
      <c r="K942">
        <v>1.0707450000000001</v>
      </c>
      <c r="L942">
        <v>367.72590000000002</v>
      </c>
      <c r="M942">
        <v>0.9998958</v>
      </c>
      <c r="N942">
        <v>-1.3984659999999999E-2</v>
      </c>
      <c r="O942">
        <v>3.6228509999999998E-3</v>
      </c>
      <c r="P942">
        <v>0.996672</v>
      </c>
      <c r="Q942">
        <v>-8.0396880000000004E-2</v>
      </c>
      <c r="R942">
        <v>-1.3479E-2</v>
      </c>
      <c r="S942">
        <v>2.9956049999999999</v>
      </c>
      <c r="T942">
        <v>-0.12496409999999999</v>
      </c>
      <c r="U942">
        <v>-0.32711790000000002</v>
      </c>
      <c r="V942">
        <v>1.708923E-2</v>
      </c>
      <c r="W942">
        <v>-6.6451880000000005E-2</v>
      </c>
      <c r="X942">
        <v>0.99764330000000001</v>
      </c>
      <c r="Y942">
        <v>0.1120247</v>
      </c>
      <c r="Z942">
        <v>-3.2149219999999998E-3</v>
      </c>
      <c r="AA942">
        <v>0.99370020000000003</v>
      </c>
      <c r="AB942">
        <v>32</v>
      </c>
      <c r="AC942">
        <v>25.506699999999999</v>
      </c>
      <c r="AD942">
        <v>-1.0707475276230001</v>
      </c>
      <c r="AE942">
        <v>-2.8035000000000401</v>
      </c>
      <c r="AF942">
        <v>2.8908640017940601</v>
      </c>
      <c r="AG942">
        <v>-1.0707475276230001</v>
      </c>
      <c r="AH942">
        <v>25.452057616965799</v>
      </c>
      <c r="AI942">
        <v>92.393594897659</v>
      </c>
      <c r="AJ942">
        <v>83.520071667263295</v>
      </c>
      <c r="AK942">
        <v>25.638073872311999</v>
      </c>
      <c r="AL942">
        <v>93.810219917486606</v>
      </c>
      <c r="AM942">
        <v>89.018642230688997</v>
      </c>
      <c r="AN942">
        <v>1.0000000240861999</v>
      </c>
    </row>
    <row r="943" spans="1:40" x14ac:dyDescent="0.25">
      <c r="A943" t="str">
        <f>"20190303154747395"</f>
        <v>20190303154747395</v>
      </c>
      <c r="B943" t="str">
        <f>"1551599267391511"</f>
        <v>1551599267391511</v>
      </c>
      <c r="C943" t="s">
        <v>40</v>
      </c>
      <c r="D943">
        <v>5.11273</v>
      </c>
      <c r="E943">
        <v>0.50451440000000003</v>
      </c>
      <c r="F943" t="s">
        <v>41</v>
      </c>
      <c r="G943">
        <v>-255.8366</v>
      </c>
      <c r="H943" s="1">
        <v>-2.6589480000000001E-6</v>
      </c>
      <c r="I943">
        <v>364.89569999999998</v>
      </c>
      <c r="J943">
        <v>-281.52999999999997</v>
      </c>
      <c r="K943">
        <v>1.0707519999999999</v>
      </c>
      <c r="L943">
        <v>367.72649999999999</v>
      </c>
      <c r="M943">
        <v>0.99989530000000004</v>
      </c>
      <c r="N943">
        <v>-1.4014830000000001E-2</v>
      </c>
      <c r="O943">
        <v>3.6299140000000001E-3</v>
      </c>
      <c r="P943">
        <v>0.99669870000000005</v>
      </c>
      <c r="Q943">
        <v>-8.0025509999999994E-2</v>
      </c>
      <c r="R943">
        <v>-1.3701929999999999E-2</v>
      </c>
      <c r="S943">
        <v>2.9955750000000001</v>
      </c>
      <c r="T943">
        <v>-0.12397710000000001</v>
      </c>
      <c r="U943">
        <v>-0.32769779999999998</v>
      </c>
      <c r="V943">
        <v>1.7319319999999999E-2</v>
      </c>
      <c r="W943">
        <v>-6.6050070000000002E-2</v>
      </c>
      <c r="X943">
        <v>0.99766600000000005</v>
      </c>
      <c r="Y943">
        <v>0.1122244</v>
      </c>
      <c r="Z943">
        <v>-3.2026609999999999E-3</v>
      </c>
      <c r="AA943">
        <v>0.9936777</v>
      </c>
      <c r="AB943">
        <v>32</v>
      </c>
      <c r="AC943">
        <v>25.693399999999901</v>
      </c>
      <c r="AD943">
        <v>-1.0707546589479999</v>
      </c>
      <c r="AE943">
        <v>-2.8308</v>
      </c>
      <c r="AF943">
        <v>2.9190464835499901</v>
      </c>
      <c r="AG943">
        <v>-1.0707546589479999</v>
      </c>
      <c r="AH943">
        <v>25.638959753779499</v>
      </c>
      <c r="AI943">
        <v>92.376109751644506</v>
      </c>
      <c r="AJ943">
        <v>83.504729857779694</v>
      </c>
      <c r="AK943">
        <v>25.826800134137901</v>
      </c>
      <c r="AL943">
        <v>93.787147266703002</v>
      </c>
      <c r="AM943">
        <v>89.005454456204404</v>
      </c>
      <c r="AN943">
        <v>1.0000000090741299</v>
      </c>
    </row>
    <row r="944" spans="1:40" x14ac:dyDescent="0.25">
      <c r="A944" t="str">
        <f>"20190303154747407"</f>
        <v>20190303154747407</v>
      </c>
      <c r="B944" t="str">
        <f>"1551599267401270"</f>
        <v>1551599267401270</v>
      </c>
      <c r="C944" t="s">
        <v>40</v>
      </c>
      <c r="D944">
        <v>5.1547850000000004</v>
      </c>
      <c r="E944">
        <v>0.5055345</v>
      </c>
      <c r="F944" t="s">
        <v>41</v>
      </c>
      <c r="G944">
        <v>-235.2646</v>
      </c>
      <c r="H944" s="1">
        <v>-2.5671700000000002E-6</v>
      </c>
      <c r="I944">
        <v>366.4966</v>
      </c>
      <c r="J944">
        <v>-281.37209999999999</v>
      </c>
      <c r="K944">
        <v>1.0707549999999999</v>
      </c>
      <c r="L944">
        <v>367.72710000000001</v>
      </c>
      <c r="M944">
        <v>0.99989490000000003</v>
      </c>
      <c r="N944">
        <v>-1.403774E-2</v>
      </c>
      <c r="O944">
        <v>3.6363110000000001E-3</v>
      </c>
      <c r="P944">
        <v>0.99671940000000003</v>
      </c>
      <c r="Q944">
        <v>-7.9714880000000002E-2</v>
      </c>
      <c r="R944">
        <v>-1.4009560000000001E-2</v>
      </c>
      <c r="S944">
        <v>3.0032649999999999</v>
      </c>
      <c r="T944">
        <v>-6.9506760000000001E-2</v>
      </c>
      <c r="U944">
        <v>-7.9833979999999999E-2</v>
      </c>
      <c r="V944">
        <v>1.763354E-2</v>
      </c>
      <c r="W944">
        <v>-6.5716330000000003E-2</v>
      </c>
      <c r="X944">
        <v>0.99768250000000003</v>
      </c>
      <c r="Y944">
        <v>3.0195079999999999E-2</v>
      </c>
      <c r="Z944">
        <v>-5.9443050000000002E-4</v>
      </c>
      <c r="AA944">
        <v>0.99954379999999998</v>
      </c>
      <c r="AB944">
        <v>32</v>
      </c>
      <c r="AC944">
        <v>46.107499999999902</v>
      </c>
      <c r="AD944">
        <v>-1.07075756716999</v>
      </c>
      <c r="AE944">
        <v>-1.2304999999999999</v>
      </c>
      <c r="AF944">
        <v>1.3974164812550101</v>
      </c>
      <c r="AG944">
        <v>-1.07075756716999</v>
      </c>
      <c r="AH944">
        <v>46.077887565361998</v>
      </c>
      <c r="AI944">
        <v>91.330587724672796</v>
      </c>
      <c r="AJ944">
        <v>88.262907923446605</v>
      </c>
      <c r="AK944">
        <v>46.1115063414315</v>
      </c>
      <c r="AL944">
        <v>93.767983868810902</v>
      </c>
      <c r="AM944">
        <v>88.987431136781694</v>
      </c>
      <c r="AN944">
        <v>0.99999997428392395</v>
      </c>
    </row>
    <row r="945" spans="1:40" x14ac:dyDescent="0.25">
      <c r="A945" t="str">
        <f>"20190303154747418"</f>
        <v>20190303154747418</v>
      </c>
      <c r="B945" t="str">
        <f>"1551599267411031"</f>
        <v>1551599267411031</v>
      </c>
      <c r="C945" t="s">
        <v>40</v>
      </c>
      <c r="D945">
        <v>5.1023940000000003</v>
      </c>
      <c r="E945">
        <v>0.50577399999999995</v>
      </c>
      <c r="F945" t="s">
        <v>41</v>
      </c>
      <c r="G945">
        <v>-234.17840000000001</v>
      </c>
      <c r="H945" s="1">
        <v>-3.062527E-6</v>
      </c>
      <c r="I945">
        <v>366.33100000000002</v>
      </c>
      <c r="J945">
        <v>-281.19540000000001</v>
      </c>
      <c r="K945">
        <v>1.0707580000000001</v>
      </c>
      <c r="L945">
        <v>367.7278</v>
      </c>
      <c r="M945">
        <v>0.99989459999999997</v>
      </c>
      <c r="N945">
        <v>-1.405968E-2</v>
      </c>
      <c r="O945">
        <v>3.643547E-3</v>
      </c>
      <c r="P945">
        <v>0.99673319999999999</v>
      </c>
      <c r="Q945">
        <v>-7.9511380000000006E-2</v>
      </c>
      <c r="R945">
        <v>-1.4175139999999999E-2</v>
      </c>
      <c r="S945">
        <v>3.0031430000000001</v>
      </c>
      <c r="T945">
        <v>-6.8137050000000005E-2</v>
      </c>
      <c r="U945">
        <v>-8.8836670000000006E-2</v>
      </c>
      <c r="V945">
        <v>1.7806430000000002E-2</v>
      </c>
      <c r="W945">
        <v>-6.5490800000000002E-2</v>
      </c>
      <c r="X945">
        <v>0.99769430000000003</v>
      </c>
      <c r="Y945">
        <v>3.3196450000000002E-2</v>
      </c>
      <c r="Z945">
        <v>-6.4136E-4</v>
      </c>
      <c r="AA945">
        <v>0.99944869999999997</v>
      </c>
      <c r="AB945">
        <v>32</v>
      </c>
      <c r="AC945">
        <v>47.017000000000003</v>
      </c>
      <c r="AD945">
        <v>-1.0707610625270001</v>
      </c>
      <c r="AE945">
        <v>-1.39680000000004</v>
      </c>
      <c r="AF945">
        <v>1.5673041290473999</v>
      </c>
      <c r="AG945">
        <v>-1.0707610625270001</v>
      </c>
      <c r="AH945">
        <v>46.987249543288101</v>
      </c>
      <c r="AI945">
        <v>91.304723947247894</v>
      </c>
      <c r="AJ945">
        <v>88.089553431402805</v>
      </c>
      <c r="AK945">
        <v>47.025573799042398</v>
      </c>
      <c r="AL945">
        <v>93.755033901090002</v>
      </c>
      <c r="AM945">
        <v>88.977517481224695</v>
      </c>
      <c r="AN945">
        <v>1.00000001504323</v>
      </c>
    </row>
    <row r="946" spans="1:40" x14ac:dyDescent="0.25">
      <c r="A946" t="str">
        <f>"20190303154747434"</f>
        <v>20190303154747434</v>
      </c>
      <c r="B946" t="str">
        <f>"1551599267431526"</f>
        <v>1551599267431526</v>
      </c>
      <c r="C946" t="s">
        <v>40</v>
      </c>
      <c r="D946">
        <v>5.0859589999999999</v>
      </c>
      <c r="E946">
        <v>0.50552989999999998</v>
      </c>
      <c r="F946" t="s">
        <v>41</v>
      </c>
      <c r="G946">
        <v>-234.1446</v>
      </c>
      <c r="H946" s="1">
        <v>-3.0821300000000001E-6</v>
      </c>
      <c r="I946">
        <v>366.30239999999998</v>
      </c>
      <c r="J946">
        <v>-280.9828</v>
      </c>
      <c r="K946">
        <v>1.0709360000000001</v>
      </c>
      <c r="L946">
        <v>367.7285</v>
      </c>
      <c r="M946">
        <v>0.99988529999999998</v>
      </c>
      <c r="N946">
        <v>-1.4709099999999999E-2</v>
      </c>
      <c r="O946">
        <v>3.6506500000000001E-3</v>
      </c>
      <c r="P946">
        <v>0.99674700000000005</v>
      </c>
      <c r="Q946">
        <v>-7.9208059999999997E-2</v>
      </c>
      <c r="R946">
        <v>-1.4896059999999999E-2</v>
      </c>
      <c r="S946">
        <v>3.0031430000000001</v>
      </c>
      <c r="T946">
        <v>-6.8344000000000002E-2</v>
      </c>
      <c r="U946">
        <v>-9.0972899999999995E-2</v>
      </c>
      <c r="V946">
        <v>1.8534209999999999E-2</v>
      </c>
      <c r="W946">
        <v>-6.4539369999999999E-2</v>
      </c>
      <c r="X946">
        <v>0.99774300000000005</v>
      </c>
      <c r="Y946">
        <v>3.3913279999999997E-2</v>
      </c>
      <c r="Z946">
        <v>-6.6465839999999997E-4</v>
      </c>
      <c r="AA946">
        <v>0.9994246</v>
      </c>
      <c r="AB946">
        <v>32</v>
      </c>
      <c r="AC946">
        <v>46.838200000000001</v>
      </c>
      <c r="AD946">
        <v>-1.07093908213</v>
      </c>
      <c r="AE946">
        <v>-1.4261000000000099</v>
      </c>
      <c r="AF946">
        <v>1.5962651026354799</v>
      </c>
      <c r="AG946">
        <v>-1.07093908213</v>
      </c>
      <c r="AH946">
        <v>46.808232748181197</v>
      </c>
      <c r="AI946">
        <v>91.309896840341693</v>
      </c>
      <c r="AJ946">
        <v>88.046843083602994</v>
      </c>
      <c r="AK946">
        <v>46.847685383628402</v>
      </c>
      <c r="AL946">
        <v>93.700405562328996</v>
      </c>
      <c r="AM946">
        <v>88.935788187010402</v>
      </c>
      <c r="AN946">
        <v>0.99999997063465995</v>
      </c>
    </row>
    <row r="947" spans="1:40" x14ac:dyDescent="0.25">
      <c r="A947" t="str">
        <f>"20190303154747447"</f>
        <v>20190303154747447</v>
      </c>
      <c r="B947" t="str">
        <f>"1551599267441287"</f>
        <v>1551599267441287</v>
      </c>
      <c r="C947" t="s">
        <v>40</v>
      </c>
      <c r="D947">
        <v>5.0929970000000004</v>
      </c>
      <c r="E947">
        <v>0.50556400000000001</v>
      </c>
      <c r="F947" t="s">
        <v>41</v>
      </c>
      <c r="G947">
        <v>-234.7431</v>
      </c>
      <c r="H947" s="1">
        <v>-2.8218639999999999E-6</v>
      </c>
      <c r="I947">
        <v>366.322</v>
      </c>
      <c r="J947">
        <v>-280.8134</v>
      </c>
      <c r="K947">
        <v>1.0711930000000001</v>
      </c>
      <c r="L947">
        <v>367.72919999999999</v>
      </c>
      <c r="M947">
        <v>0.99987570000000003</v>
      </c>
      <c r="N947">
        <v>-1.534112E-2</v>
      </c>
      <c r="O947">
        <v>3.6564800000000001E-3</v>
      </c>
      <c r="P947">
        <v>0.99673469999999997</v>
      </c>
      <c r="Q947">
        <v>-7.9325469999999995E-2</v>
      </c>
      <c r="R947">
        <v>-1.507738E-2</v>
      </c>
      <c r="S947">
        <v>3.0028990000000002</v>
      </c>
      <c r="T947">
        <v>-6.9548960000000007E-2</v>
      </c>
      <c r="U947">
        <v>-9.1339110000000001E-2</v>
      </c>
      <c r="V947">
        <v>1.872128E-2</v>
      </c>
      <c r="W947">
        <v>-6.4026280000000005E-2</v>
      </c>
      <c r="X947">
        <v>0.99777260000000001</v>
      </c>
      <c r="Y947">
        <v>3.4042650000000001E-2</v>
      </c>
      <c r="Z947">
        <v>-6.8391509999999895E-4</v>
      </c>
      <c r="AA947">
        <v>0.99942019999999998</v>
      </c>
      <c r="AB947">
        <v>31</v>
      </c>
      <c r="AC947">
        <v>46.070300000000003</v>
      </c>
      <c r="AD947">
        <v>-1.0711958218639901</v>
      </c>
      <c r="AE947">
        <v>-1.40720000000004</v>
      </c>
      <c r="AF947">
        <v>1.57481494649312</v>
      </c>
      <c r="AG947">
        <v>-1.0711958218639901</v>
      </c>
      <c r="AH947">
        <v>46.039978809719898</v>
      </c>
      <c r="AI947">
        <v>91.332061313061999</v>
      </c>
      <c r="AJ947">
        <v>88.040939919493894</v>
      </c>
      <c r="AK947">
        <v>46.0793571071031</v>
      </c>
      <c r="AL947">
        <v>93.6709466102335</v>
      </c>
      <c r="AM947">
        <v>88.925081244854098</v>
      </c>
      <c r="AN947">
        <v>1.00000000608311</v>
      </c>
    </row>
    <row r="948" spans="1:40" x14ac:dyDescent="0.25">
      <c r="A948" t="str">
        <f>"20190303154747458"</f>
        <v>20190303154747458</v>
      </c>
      <c r="B948" t="str">
        <f>"1551599267452023"</f>
        <v>1551599267452023</v>
      </c>
      <c r="C948" t="s">
        <v>40</v>
      </c>
      <c r="D948">
        <v>5.0966659999999999</v>
      </c>
      <c r="E948">
        <v>0.5055577</v>
      </c>
      <c r="F948" t="s">
        <v>41</v>
      </c>
      <c r="G948">
        <v>-235.54499999999999</v>
      </c>
      <c r="H948" s="1">
        <v>-2.4745880000000001E-6</v>
      </c>
      <c r="I948">
        <v>366.34059999999999</v>
      </c>
      <c r="J948">
        <v>-280.637</v>
      </c>
      <c r="K948">
        <v>1.0715749999999999</v>
      </c>
      <c r="L948">
        <v>367.72980000000001</v>
      </c>
      <c r="M948">
        <v>0.99986430000000004</v>
      </c>
      <c r="N948">
        <v>-1.606697E-2</v>
      </c>
      <c r="O948">
        <v>3.6624800000000001E-3</v>
      </c>
      <c r="P948">
        <v>0.99670510000000001</v>
      </c>
      <c r="Q948">
        <v>-7.9659599999999997E-2</v>
      </c>
      <c r="R948">
        <v>-1.5290440000000001E-2</v>
      </c>
      <c r="S948">
        <v>3.0027469999999998</v>
      </c>
      <c r="T948">
        <v>-7.1054339999999994E-2</v>
      </c>
      <c r="U948">
        <v>-9.2102050000000005E-2</v>
      </c>
      <c r="V948">
        <v>1.8940269999999999E-2</v>
      </c>
      <c r="W948">
        <v>-6.3636570000000003E-2</v>
      </c>
      <c r="X948">
        <v>0.99779340000000005</v>
      </c>
      <c r="Y948">
        <v>3.4302989999999998E-2</v>
      </c>
      <c r="Z948">
        <v>-7.0922809999999896E-4</v>
      </c>
      <c r="AA948">
        <v>0.99941120000000006</v>
      </c>
      <c r="AB948">
        <v>31</v>
      </c>
      <c r="AC948">
        <v>45.091999999999999</v>
      </c>
      <c r="AD948">
        <v>-1.071577474588</v>
      </c>
      <c r="AE948">
        <v>-1.38920000000001</v>
      </c>
      <c r="AF948">
        <v>1.55348405227306</v>
      </c>
      <c r="AG948">
        <v>-1.071577474588</v>
      </c>
      <c r="AH948">
        <v>45.061185220760599</v>
      </c>
      <c r="AI948">
        <v>91.361456961331101</v>
      </c>
      <c r="AJ948">
        <v>88.025510388934705</v>
      </c>
      <c r="AK948">
        <v>45.100687405896601</v>
      </c>
      <c r="AL948">
        <v>93.648572236922803</v>
      </c>
      <c r="AM948">
        <v>88.912533173963297</v>
      </c>
      <c r="AN948">
        <v>1.0000000079762901</v>
      </c>
    </row>
    <row r="949" spans="1:40" x14ac:dyDescent="0.25">
      <c r="A949" t="str">
        <f>"20190303154747471"</f>
        <v>20190303154747471</v>
      </c>
      <c r="B949" t="str">
        <f>"1551599267461783"</f>
        <v>1551599267461783</v>
      </c>
      <c r="C949" t="s">
        <v>40</v>
      </c>
      <c r="D949">
        <v>5.0772830000000004</v>
      </c>
      <c r="E949">
        <v>0.50555589999999995</v>
      </c>
      <c r="F949" t="s">
        <v>41</v>
      </c>
      <c r="G949">
        <v>-236.7209</v>
      </c>
      <c r="H949" s="1">
        <v>-1.9648720000000001E-6</v>
      </c>
      <c r="I949">
        <v>366.37329999999997</v>
      </c>
      <c r="J949">
        <v>-280.47640000000001</v>
      </c>
      <c r="K949">
        <v>1.0719030000000001</v>
      </c>
      <c r="L949">
        <v>367.73039999999997</v>
      </c>
      <c r="M949">
        <v>0.99986620000000004</v>
      </c>
      <c r="N949">
        <v>-1.594624E-2</v>
      </c>
      <c r="O949">
        <v>3.6686930000000002E-3</v>
      </c>
      <c r="P949">
        <v>0.99674750000000001</v>
      </c>
      <c r="Q949">
        <v>-7.9117519999999997E-2</v>
      </c>
      <c r="R949">
        <v>-1.5336010000000001E-2</v>
      </c>
      <c r="S949">
        <v>3.0025940000000002</v>
      </c>
      <c r="T949">
        <v>-7.3264839999999998E-2</v>
      </c>
      <c r="U949">
        <v>-9.2742920000000006E-2</v>
      </c>
      <c r="V949">
        <v>1.899207E-2</v>
      </c>
      <c r="W949">
        <v>-6.3214389999999995E-2</v>
      </c>
      <c r="X949">
        <v>0.99781920000000002</v>
      </c>
      <c r="Y949">
        <v>3.4522980000000002E-2</v>
      </c>
      <c r="Z949">
        <v>-7.2742929999999905E-4</v>
      </c>
      <c r="AA949">
        <v>0.99940370000000001</v>
      </c>
      <c r="AB949">
        <v>31</v>
      </c>
      <c r="AC949">
        <v>43.755499999999998</v>
      </c>
      <c r="AD949">
        <v>-1.071904964872</v>
      </c>
      <c r="AE949">
        <v>-1.3571</v>
      </c>
      <c r="AF949">
        <v>1.51672739900067</v>
      </c>
      <c r="AG949">
        <v>-1.071904964872</v>
      </c>
      <c r="AH949">
        <v>43.724011059514503</v>
      </c>
      <c r="AI949">
        <v>91.403495118398496</v>
      </c>
      <c r="AJ949">
        <v>88.013282744258106</v>
      </c>
      <c r="AK949">
        <v>43.763438911826199</v>
      </c>
      <c r="AL949">
        <v>93.624334489053993</v>
      </c>
      <c r="AM949">
        <v>88.909587951442901</v>
      </c>
      <c r="AN949">
        <v>0.99999995685729703</v>
      </c>
    </row>
    <row r="950" spans="1:40" x14ac:dyDescent="0.25">
      <c r="A950" t="str">
        <f>"20190303154747485"</f>
        <v>20190303154747485</v>
      </c>
      <c r="B950" t="str">
        <f>"1551599267481302"</f>
        <v>1551599267481302</v>
      </c>
      <c r="C950" t="s">
        <v>40</v>
      </c>
      <c r="D950">
        <v>5.0920329999999998</v>
      </c>
      <c r="E950">
        <v>0.50549299999999997</v>
      </c>
      <c r="F950" t="s">
        <v>41</v>
      </c>
      <c r="G950">
        <v>-236.46619999999999</v>
      </c>
      <c r="H950" s="1">
        <v>-2.0745490000000001E-6</v>
      </c>
      <c r="I950">
        <v>366.36779999999999</v>
      </c>
      <c r="J950">
        <v>-280.29039999999998</v>
      </c>
      <c r="K950">
        <v>1.0722849999999999</v>
      </c>
      <c r="L950">
        <v>367.73110000000003</v>
      </c>
      <c r="M950">
        <v>0.99987420000000005</v>
      </c>
      <c r="N950">
        <v>-1.543392E-2</v>
      </c>
      <c r="O950">
        <v>3.6760690000000001E-3</v>
      </c>
      <c r="P950">
        <v>0.99679119999999999</v>
      </c>
      <c r="Q950">
        <v>-7.8540490000000004E-2</v>
      </c>
      <c r="R950">
        <v>-1.5447260000000001E-2</v>
      </c>
      <c r="S950">
        <v>3.0025629999999999</v>
      </c>
      <c r="T950">
        <v>-7.3129769999999997E-2</v>
      </c>
      <c r="U950">
        <v>-9.2956540000000004E-2</v>
      </c>
      <c r="V950">
        <v>1.9111039999999999E-2</v>
      </c>
      <c r="W950">
        <v>-6.3148010000000004E-2</v>
      </c>
      <c r="X950">
        <v>0.99782119999999996</v>
      </c>
      <c r="Y950">
        <v>3.460187E-2</v>
      </c>
      <c r="Z950">
        <v>-7.2115799999999996E-4</v>
      </c>
      <c r="AA950">
        <v>0.99940090000000004</v>
      </c>
      <c r="AB950">
        <v>31</v>
      </c>
      <c r="AC950">
        <v>43.824199999999898</v>
      </c>
      <c r="AD950">
        <v>-1.0722870745490001</v>
      </c>
      <c r="AE950">
        <v>-1.3633000000000299</v>
      </c>
      <c r="AF950">
        <v>1.5234995438507799</v>
      </c>
      <c r="AG950">
        <v>-1.0722870745490001</v>
      </c>
      <c r="AH950">
        <v>43.792699208567001</v>
      </c>
      <c r="AI950">
        <v>91.401789094313898</v>
      </c>
      <c r="AJ950">
        <v>88.007546775997795</v>
      </c>
      <c r="AK950">
        <v>43.832309480591803</v>
      </c>
      <c r="AL950">
        <v>93.620523333746405</v>
      </c>
      <c r="AM950">
        <v>88.902761262902999</v>
      </c>
      <c r="AN950">
        <v>1.00000002509314</v>
      </c>
    </row>
    <row r="951" spans="1:40" x14ac:dyDescent="0.25">
      <c r="A951" t="str">
        <f>"20190303154747495"</f>
        <v>20190303154747495</v>
      </c>
      <c r="B951" t="str">
        <f>"1551599267492039"</f>
        <v>1551599267492039</v>
      </c>
      <c r="C951" t="s">
        <v>40</v>
      </c>
      <c r="D951">
        <v>5.0879580000000004</v>
      </c>
      <c r="E951">
        <v>0.50542180000000003</v>
      </c>
      <c r="F951" t="s">
        <v>41</v>
      </c>
      <c r="G951">
        <v>-236.96629999999999</v>
      </c>
      <c r="H951" s="1">
        <v>-1.8760549999999999E-6</v>
      </c>
      <c r="I951">
        <v>366.39319999999998</v>
      </c>
      <c r="J951">
        <v>-280.13420000000002</v>
      </c>
      <c r="K951">
        <v>1.0726009999999999</v>
      </c>
      <c r="L951">
        <v>367.73169999999999</v>
      </c>
      <c r="M951">
        <v>0.99988869999999996</v>
      </c>
      <c r="N951">
        <v>-1.446328E-2</v>
      </c>
      <c r="O951">
        <v>3.6823479999999998E-3</v>
      </c>
      <c r="P951">
        <v>0.99690350000000005</v>
      </c>
      <c r="Q951">
        <v>-7.7083529999999997E-2</v>
      </c>
      <c r="R951">
        <v>-1.5550349999999999E-2</v>
      </c>
      <c r="S951">
        <v>3.00238</v>
      </c>
      <c r="T951">
        <v>-7.4309829999999993E-2</v>
      </c>
      <c r="U951">
        <v>-9.27124E-2</v>
      </c>
      <c r="V951">
        <v>1.9220640000000001E-2</v>
      </c>
      <c r="W951">
        <v>-6.2658199999999997E-2</v>
      </c>
      <c r="X951">
        <v>0.99784989999999996</v>
      </c>
      <c r="Y951">
        <v>3.4528759999999999E-2</v>
      </c>
      <c r="Z951">
        <v>-7.1482399999999997E-4</v>
      </c>
      <c r="AA951">
        <v>0.9994035</v>
      </c>
      <c r="AB951">
        <v>31</v>
      </c>
      <c r="AC951">
        <v>43.167900000000003</v>
      </c>
      <c r="AD951">
        <v>-1.0726028760549999</v>
      </c>
      <c r="AE951">
        <v>-1.33850000000001</v>
      </c>
      <c r="AF951">
        <v>1.4965437133594699</v>
      </c>
      <c r="AG951">
        <v>-1.0726028760549999</v>
      </c>
      <c r="AH951">
        <v>43.136071944256599</v>
      </c>
      <c r="AI951">
        <v>91.4235424033497</v>
      </c>
      <c r="AJ951">
        <v>88.0130026398094</v>
      </c>
      <c r="AK951">
        <v>43.175349712489897</v>
      </c>
      <c r="AL951">
        <v>93.592403860578003</v>
      </c>
      <c r="AM951">
        <v>88.896501986242498</v>
      </c>
      <c r="AN951">
        <v>0.99999995297962796</v>
      </c>
    </row>
    <row r="952" spans="1:40" x14ac:dyDescent="0.25">
      <c r="A952" t="str">
        <f>"20190303154747506"</f>
        <v>20190303154747506</v>
      </c>
      <c r="B952" t="str">
        <f>"1551599267501799"</f>
        <v>1551599267501799</v>
      </c>
      <c r="C952" t="s">
        <v>40</v>
      </c>
      <c r="D952">
        <v>5.1041150000000002</v>
      </c>
      <c r="E952">
        <v>0.50541930000000002</v>
      </c>
      <c r="F952" t="s">
        <v>41</v>
      </c>
      <c r="G952">
        <v>-234.98840000000001</v>
      </c>
      <c r="H952" s="1">
        <v>-2.7134129999999999E-6</v>
      </c>
      <c r="I952">
        <v>366.34030000000001</v>
      </c>
      <c r="J952">
        <v>-279.99220000000003</v>
      </c>
      <c r="K952">
        <v>1.0729759999999999</v>
      </c>
      <c r="L952">
        <v>367.73219999999998</v>
      </c>
      <c r="M952">
        <v>0.99990199999999996</v>
      </c>
      <c r="N952">
        <v>-1.350984E-2</v>
      </c>
      <c r="O952">
        <v>3.6880369999999999E-3</v>
      </c>
      <c r="P952">
        <v>0.99698719999999996</v>
      </c>
      <c r="Q952">
        <v>-7.6010300000000003E-2</v>
      </c>
      <c r="R952">
        <v>-1.548102E-2</v>
      </c>
      <c r="S952">
        <v>3.002319</v>
      </c>
      <c r="T952">
        <v>-7.1330900000000003E-2</v>
      </c>
      <c r="U952">
        <v>-9.2529299999999995E-2</v>
      </c>
      <c r="V952">
        <v>1.9157049999999998E-2</v>
      </c>
      <c r="W952">
        <v>-6.2535350000000003E-2</v>
      </c>
      <c r="X952">
        <v>0.99785889999999999</v>
      </c>
      <c r="Y952">
        <v>3.4475619999999998E-2</v>
      </c>
      <c r="Z952">
        <v>-6.8016759999999996E-4</v>
      </c>
      <c r="AA952">
        <v>0.99940530000000005</v>
      </c>
      <c r="AB952">
        <v>31</v>
      </c>
      <c r="AC952">
        <v>45.003799999999998</v>
      </c>
      <c r="AD952">
        <v>-1.072978713413</v>
      </c>
      <c r="AE952">
        <v>-1.3918999999999599</v>
      </c>
      <c r="AF952">
        <v>1.55699713782807</v>
      </c>
      <c r="AG952">
        <v>-1.072978713413</v>
      </c>
      <c r="AH952">
        <v>44.972820161364602</v>
      </c>
      <c r="AI952">
        <v>91.365907263300002</v>
      </c>
      <c r="AJ952">
        <v>88.017163526856194</v>
      </c>
      <c r="AK952">
        <v>45.012554656152197</v>
      </c>
      <c r="AL952">
        <v>93.5853509898879</v>
      </c>
      <c r="AM952">
        <v>88.900161843184407</v>
      </c>
      <c r="AN952">
        <v>1.0000000234367601</v>
      </c>
    </row>
    <row r="953" spans="1:40" x14ac:dyDescent="0.25">
      <c r="A953" t="str">
        <f>"20190303154747519"</f>
        <v>20190303154747519</v>
      </c>
      <c r="B953" t="str">
        <f>"1551599267511559"</f>
        <v>1551599267511559</v>
      </c>
      <c r="C953" t="s">
        <v>40</v>
      </c>
      <c r="D953">
        <v>5.1021519999999896</v>
      </c>
      <c r="E953">
        <v>0.50538289999999997</v>
      </c>
      <c r="F953" t="s">
        <v>41</v>
      </c>
      <c r="G953">
        <v>-233.52879999999999</v>
      </c>
      <c r="H953" s="1">
        <v>-3.3454990000000002E-6</v>
      </c>
      <c r="I953">
        <v>366.30689999999998</v>
      </c>
      <c r="J953">
        <v>-279.8091</v>
      </c>
      <c r="K953">
        <v>1.0735429999999999</v>
      </c>
      <c r="L953">
        <v>367.7328</v>
      </c>
      <c r="M953">
        <v>0.9999188</v>
      </c>
      <c r="N953">
        <v>-1.220566E-2</v>
      </c>
      <c r="O953">
        <v>3.6954499999999999E-3</v>
      </c>
      <c r="P953">
        <v>0.99707630000000003</v>
      </c>
      <c r="Q953">
        <v>-7.4860200000000002E-2</v>
      </c>
      <c r="R953">
        <v>-1.5326029999999999E-2</v>
      </c>
      <c r="S953">
        <v>3.0023499999999999</v>
      </c>
      <c r="T953">
        <v>-6.9333199999999998E-2</v>
      </c>
      <c r="U953">
        <v>-9.2102050000000005E-2</v>
      </c>
      <c r="V953">
        <v>1.9009959999999999E-2</v>
      </c>
      <c r="W953">
        <v>-6.2685690000000002E-2</v>
      </c>
      <c r="X953">
        <v>0.99785230000000003</v>
      </c>
      <c r="Y953">
        <v>3.4341799999999999E-2</v>
      </c>
      <c r="Z953">
        <v>-6.4627870000000004E-4</v>
      </c>
      <c r="AA953">
        <v>0.99940989999999996</v>
      </c>
      <c r="AB953">
        <v>31</v>
      </c>
      <c r="AC953">
        <v>46.280299999999997</v>
      </c>
      <c r="AD953">
        <v>-1.073546345499</v>
      </c>
      <c r="AE953">
        <v>-1.4259000000000099</v>
      </c>
      <c r="AF953">
        <v>1.5960715128044201</v>
      </c>
      <c r="AG953">
        <v>-1.073546345499</v>
      </c>
      <c r="AH953">
        <v>46.2498515504995</v>
      </c>
      <c r="AI953">
        <v>91.328913606345196</v>
      </c>
      <c r="AJ953">
        <v>88.023520471128506</v>
      </c>
      <c r="AK953">
        <v>46.289833813410503</v>
      </c>
      <c r="AL953">
        <v>93.593981698392696</v>
      </c>
      <c r="AM953">
        <v>88.908597257691795</v>
      </c>
      <c r="AN953">
        <v>1.0000000434626299</v>
      </c>
    </row>
    <row r="954" spans="1:40" x14ac:dyDescent="0.25">
      <c r="A954" t="str">
        <f>"20190303154747532"</f>
        <v>20190303154747532</v>
      </c>
      <c r="B954" t="str">
        <f>"1551599267521319"</f>
        <v>1551599267521319</v>
      </c>
      <c r="C954" t="s">
        <v>40</v>
      </c>
      <c r="D954">
        <v>5.1237159999999999</v>
      </c>
      <c r="E954">
        <v>0.50536429999999999</v>
      </c>
      <c r="F954" t="s">
        <v>41</v>
      </c>
      <c r="G954">
        <v>-231.6696</v>
      </c>
      <c r="H954" s="1">
        <v>-4.1498329999999999E-6</v>
      </c>
      <c r="I954">
        <v>366.2688</v>
      </c>
      <c r="J954">
        <v>-279.63749999999999</v>
      </c>
      <c r="K954">
        <v>1.07424599999999</v>
      </c>
      <c r="L954">
        <v>367.73349999999999</v>
      </c>
      <c r="M954">
        <v>0.99993189999999998</v>
      </c>
      <c r="N954">
        <v>-1.1070119999999999E-2</v>
      </c>
      <c r="O954">
        <v>3.7028030000000002E-3</v>
      </c>
      <c r="P954">
        <v>0.99715500000000001</v>
      </c>
      <c r="Q954">
        <v>-7.3800210000000005E-2</v>
      </c>
      <c r="R954">
        <v>-1.5348469999999999E-2</v>
      </c>
      <c r="S954">
        <v>3.00238</v>
      </c>
      <c r="T954">
        <v>-6.6955210000000001E-2</v>
      </c>
      <c r="U954">
        <v>-9.1308589999999995E-2</v>
      </c>
      <c r="V954">
        <v>1.903987E-2</v>
      </c>
      <c r="W954">
        <v>-6.2758069999999999E-2</v>
      </c>
      <c r="X954">
        <v>0.99784709999999999</v>
      </c>
      <c r="Y954">
        <v>3.408622E-2</v>
      </c>
      <c r="Z954">
        <v>-6.1025969999999995E-4</v>
      </c>
      <c r="AA954">
        <v>0.99941869999999999</v>
      </c>
      <c r="AB954">
        <v>31</v>
      </c>
      <c r="AC954">
        <v>47.967899999999901</v>
      </c>
      <c r="AD954">
        <v>-1.0742501498329899</v>
      </c>
      <c r="AE954">
        <v>-1.4646999999999899</v>
      </c>
      <c r="AF954">
        <v>1.6414940049689899</v>
      </c>
      <c r="AG954">
        <v>-1.0742501498329899</v>
      </c>
      <c r="AH954">
        <v>47.938126587864701</v>
      </c>
      <c r="AI954">
        <v>91.282980170425603</v>
      </c>
      <c r="AJ954">
        <v>88.038848143163705</v>
      </c>
      <c r="AK954">
        <v>47.978250246407498</v>
      </c>
      <c r="AL954">
        <v>93.598137236370604</v>
      </c>
      <c r="AM954">
        <v>88.906874781414402</v>
      </c>
      <c r="AN954">
        <v>0.99999996348907505</v>
      </c>
    </row>
    <row r="955" spans="1:40" x14ac:dyDescent="0.25">
      <c r="A955" t="str">
        <f>"20190303154747546"</f>
        <v>20190303154747546</v>
      </c>
      <c r="B955" t="str">
        <f>"1551599267541207"</f>
        <v>1551599267541207</v>
      </c>
      <c r="C955" t="s">
        <v>40</v>
      </c>
      <c r="D955">
        <v>5.0893730000000001</v>
      </c>
      <c r="E955">
        <v>0.50522719999999999</v>
      </c>
      <c r="F955" t="s">
        <v>41</v>
      </c>
      <c r="G955">
        <v>-229.79400000000001</v>
      </c>
      <c r="H955" s="1">
        <v>-9.6063710000000007E-7</v>
      </c>
      <c r="I955">
        <v>366.21710000000002</v>
      </c>
      <c r="J955">
        <v>-279.43599999999998</v>
      </c>
      <c r="K955">
        <v>1.0751409999999999</v>
      </c>
      <c r="L955">
        <v>367.73430000000002</v>
      </c>
      <c r="M955">
        <v>0.99994550000000004</v>
      </c>
      <c r="N955">
        <v>-9.7763069999999997E-3</v>
      </c>
      <c r="O955">
        <v>3.711425E-3</v>
      </c>
      <c r="P955">
        <v>0.99724659999999998</v>
      </c>
      <c r="Q955">
        <v>-7.2587769999999996E-2</v>
      </c>
      <c r="R955">
        <v>-1.518923E-2</v>
      </c>
      <c r="S955">
        <v>3.002319</v>
      </c>
      <c r="T955">
        <v>-6.470716E-2</v>
      </c>
      <c r="U955">
        <v>-9.1339110000000001E-2</v>
      </c>
      <c r="V955">
        <v>1.8889429999999999E-2</v>
      </c>
      <c r="W955">
        <v>-6.2835810000000006E-2</v>
      </c>
      <c r="X955">
        <v>0.99784510000000004</v>
      </c>
      <c r="Y955">
        <v>3.4106690000000002E-2</v>
      </c>
      <c r="Z955">
        <v>-5.778917E-4</v>
      </c>
      <c r="AA955">
        <v>0.99941800000000003</v>
      </c>
      <c r="AB955">
        <v>31</v>
      </c>
      <c r="AC955">
        <v>49.641999999999904</v>
      </c>
      <c r="AD955">
        <v>-1.0751419606371</v>
      </c>
      <c r="AE955">
        <v>-1.5172000000000001</v>
      </c>
      <c r="AF955">
        <v>1.7006439137813201</v>
      </c>
      <c r="AG955">
        <v>-1.0751419606371</v>
      </c>
      <c r="AH955">
        <v>49.612776920205803</v>
      </c>
      <c r="AI955">
        <v>91.240714958849694</v>
      </c>
      <c r="AJ955">
        <v>88.036764164548899</v>
      </c>
      <c r="AK955">
        <v>49.653557311547203</v>
      </c>
      <c r="AL955">
        <v>93.602600099510397</v>
      </c>
      <c r="AM955">
        <v>88.9155076633661</v>
      </c>
      <c r="AN955">
        <v>0.99999999658904504</v>
      </c>
    </row>
    <row r="956" spans="1:40" x14ac:dyDescent="0.25">
      <c r="A956" t="str">
        <f>"20190303154747559"</f>
        <v>20190303154747559</v>
      </c>
      <c r="B956" t="str">
        <f>"1551599267551943"</f>
        <v>1551599267551943</v>
      </c>
      <c r="C956" t="s">
        <v>40</v>
      </c>
      <c r="D956">
        <v>5.1010549999999997</v>
      </c>
      <c r="E956">
        <v>0.50517840000000003</v>
      </c>
      <c r="F956" t="s">
        <v>41</v>
      </c>
      <c r="G956">
        <v>-227.86850000000001</v>
      </c>
      <c r="H956" s="1">
        <v>-1.622134E-6</v>
      </c>
      <c r="I956">
        <v>366.19369999999998</v>
      </c>
      <c r="J956">
        <v>-279.24189999999999</v>
      </c>
      <c r="K956">
        <v>1.076082</v>
      </c>
      <c r="L956">
        <v>367.73500000000001</v>
      </c>
      <c r="M956">
        <v>0.99995639999999997</v>
      </c>
      <c r="N956">
        <v>-8.5709429999999993E-3</v>
      </c>
      <c r="O956">
        <v>3.7203169999999999E-3</v>
      </c>
      <c r="P956">
        <v>0.99732290000000001</v>
      </c>
      <c r="Q956">
        <v>-7.1517310000000001E-2</v>
      </c>
      <c r="R956">
        <v>-1.5252419999999999E-2</v>
      </c>
      <c r="S956">
        <v>3.0022890000000002</v>
      </c>
      <c r="T956">
        <v>-6.2595250000000005E-2</v>
      </c>
      <c r="U956">
        <v>-8.9691160000000006E-2</v>
      </c>
      <c r="V956">
        <v>1.8961700000000001E-2</v>
      </c>
      <c r="W956">
        <v>-6.2967549999999997E-2</v>
      </c>
      <c r="X956">
        <v>0.99783549999999999</v>
      </c>
      <c r="Y956">
        <v>3.3568960000000002E-2</v>
      </c>
      <c r="Z956">
        <v>-5.3940529999999996E-4</v>
      </c>
      <c r="AA956">
        <v>0.99943630000000006</v>
      </c>
      <c r="AB956">
        <v>31</v>
      </c>
      <c r="AC956">
        <v>51.373399999999897</v>
      </c>
      <c r="AD956">
        <v>-1.076083622134</v>
      </c>
      <c r="AE956">
        <v>-1.5413000000000301</v>
      </c>
      <c r="AF956">
        <v>1.73166259605453</v>
      </c>
      <c r="AG956">
        <v>-1.076083622134</v>
      </c>
      <c r="AH956">
        <v>51.344802929538098</v>
      </c>
      <c r="AI956">
        <v>91.199946287460904</v>
      </c>
      <c r="AJ956">
        <v>88.068366025967507</v>
      </c>
      <c r="AK956">
        <v>51.3852644167713</v>
      </c>
      <c r="AL956">
        <v>93.610162950904197</v>
      </c>
      <c r="AM956">
        <v>88.911348976297305</v>
      </c>
      <c r="AN956">
        <v>1.0000000717400599</v>
      </c>
    </row>
    <row r="957" spans="1:40" x14ac:dyDescent="0.25">
      <c r="A957" t="str">
        <f>"20190303154747574"</f>
        <v>20190303154747574</v>
      </c>
      <c r="B957" t="str">
        <f>"1551599267571463"</f>
        <v>1551599267571463</v>
      </c>
      <c r="C957" t="s">
        <v>40</v>
      </c>
      <c r="D957">
        <v>5.2003069999999996</v>
      </c>
      <c r="E957">
        <v>0.5051504</v>
      </c>
      <c r="F957" t="s">
        <v>41</v>
      </c>
      <c r="G957">
        <v>-226.00829999999999</v>
      </c>
      <c r="H957" s="1">
        <v>-2.3106949999999998E-6</v>
      </c>
      <c r="I957">
        <v>366.14409999999998</v>
      </c>
      <c r="J957">
        <v>-279.0412</v>
      </c>
      <c r="K957">
        <v>1.077105</v>
      </c>
      <c r="L957">
        <v>367.73579999999998</v>
      </c>
      <c r="M957">
        <v>0.99996609999999997</v>
      </c>
      <c r="N957">
        <v>-7.3521659999999898E-3</v>
      </c>
      <c r="O957">
        <v>3.7297229999999999E-3</v>
      </c>
      <c r="P957">
        <v>0.99740870000000004</v>
      </c>
      <c r="Q957">
        <v>-7.0305290000000006E-2</v>
      </c>
      <c r="R957">
        <v>-1.5269970000000001E-2</v>
      </c>
      <c r="S957">
        <v>3.0022890000000002</v>
      </c>
      <c r="T957">
        <v>-6.068921E-2</v>
      </c>
      <c r="U957">
        <v>-8.9721679999999998E-2</v>
      </c>
      <c r="V957">
        <v>1.8989019999999999E-2</v>
      </c>
      <c r="W957">
        <v>-6.2971070000000004E-2</v>
      </c>
      <c r="X957">
        <v>0.99783469999999996</v>
      </c>
      <c r="Y957">
        <v>3.3589389999999997E-2</v>
      </c>
      <c r="Z957">
        <v>-5.1086299999999996E-4</v>
      </c>
      <c r="AA957">
        <v>0.99943559999999998</v>
      </c>
      <c r="AB957">
        <v>31</v>
      </c>
      <c r="AC957">
        <v>53.032899999999998</v>
      </c>
      <c r="AD957">
        <v>-1.077107310695</v>
      </c>
      <c r="AE957">
        <v>-1.5916999999999999</v>
      </c>
      <c r="AF957">
        <v>1.7887550821001501</v>
      </c>
      <c r="AG957">
        <v>-1.077107310695</v>
      </c>
      <c r="AH957">
        <v>53.004749408592701</v>
      </c>
      <c r="AI957">
        <v>91.163482777552005</v>
      </c>
      <c r="AJ957">
        <v>88.067168738850498</v>
      </c>
      <c r="AK957">
        <v>53.045860015369797</v>
      </c>
      <c r="AL957">
        <v>93.610365243508298</v>
      </c>
      <c r="AM957">
        <v>88.909779953344696</v>
      </c>
      <c r="AN957">
        <v>1.00000001353079</v>
      </c>
    </row>
    <row r="958" spans="1:40" x14ac:dyDescent="0.25">
      <c r="A958" t="str">
        <f>"20190303154747586"</f>
        <v>20190303154747586</v>
      </c>
      <c r="B958" t="str">
        <f>"1551599267581224"</f>
        <v>1551599267581224</v>
      </c>
      <c r="C958" t="s">
        <v>40</v>
      </c>
      <c r="D958">
        <v>5.1032510000000002</v>
      </c>
      <c r="E958">
        <v>0.50506660000000003</v>
      </c>
      <c r="F958" t="s">
        <v>41</v>
      </c>
      <c r="G958">
        <v>-224.1232</v>
      </c>
      <c r="H958" s="1">
        <v>-3.127595E-6</v>
      </c>
      <c r="I958">
        <v>366.09789999999998</v>
      </c>
      <c r="J958">
        <v>-278.87279999999998</v>
      </c>
      <c r="K958">
        <v>1.0779719999999999</v>
      </c>
      <c r="L958">
        <v>367.7364</v>
      </c>
      <c r="M958">
        <v>0.99997290000000005</v>
      </c>
      <c r="N958">
        <v>-6.3518230000000004E-3</v>
      </c>
      <c r="O958">
        <v>3.7377589999999998E-3</v>
      </c>
      <c r="P958">
        <v>0.99746420000000002</v>
      </c>
      <c r="Q958">
        <v>-6.9457550000000007E-2</v>
      </c>
      <c r="R958">
        <v>-1.552541E-2</v>
      </c>
      <c r="S958">
        <v>3.0022579999999999</v>
      </c>
      <c r="T958">
        <v>-5.8883190000000002E-2</v>
      </c>
      <c r="U958">
        <v>-8.9538569999999998E-2</v>
      </c>
      <c r="V958">
        <v>1.9252450000000001E-2</v>
      </c>
      <c r="W958">
        <v>-6.3121209999999997E-2</v>
      </c>
      <c r="X958">
        <v>0.99782009999999999</v>
      </c>
      <c r="Y958">
        <v>3.3537600000000001E-2</v>
      </c>
      <c r="Z958">
        <v>-4.8488330000000002E-4</v>
      </c>
      <c r="AA958">
        <v>0.99943729999999997</v>
      </c>
      <c r="AB958">
        <v>31</v>
      </c>
      <c r="AC958">
        <v>54.749600000000001</v>
      </c>
      <c r="AD958">
        <v>-1.077975127595</v>
      </c>
      <c r="AE958">
        <v>-1.6385000000000201</v>
      </c>
      <c r="AF958">
        <v>1.8424198794358599</v>
      </c>
      <c r="AG958">
        <v>-1.077975127595</v>
      </c>
      <c r="AH958">
        <v>54.721898360460202</v>
      </c>
      <c r="AI958">
        <v>91.127893510384993</v>
      </c>
      <c r="AJ958">
        <v>88.071649098258305</v>
      </c>
      <c r="AK958">
        <v>54.763516154100103</v>
      </c>
      <c r="AL958">
        <v>93.618985016892793</v>
      </c>
      <c r="AM958">
        <v>88.894643156458102</v>
      </c>
      <c r="AN958">
        <v>0.99999994797343605</v>
      </c>
    </row>
    <row r="959" spans="1:40" x14ac:dyDescent="0.25">
      <c r="A959" t="str">
        <f>"20190303154747601"</f>
        <v>20190303154747601</v>
      </c>
      <c r="B959" t="str">
        <f>"1551599267591959"</f>
        <v>1551599267591959</v>
      </c>
      <c r="C959" t="s">
        <v>40</v>
      </c>
      <c r="D959">
        <v>5.1737979999999997</v>
      </c>
      <c r="E959">
        <v>0.5049593</v>
      </c>
      <c r="F959" t="s">
        <v>41</v>
      </c>
      <c r="G959">
        <v>-222.4503</v>
      </c>
      <c r="H959" s="1">
        <v>-3.8537970000000004E-6</v>
      </c>
      <c r="I959">
        <v>366.0496</v>
      </c>
      <c r="J959">
        <v>-278.66419999999999</v>
      </c>
      <c r="K959">
        <v>1.0790569999999999</v>
      </c>
      <c r="L959">
        <v>367.73719999999997</v>
      </c>
      <c r="M959">
        <v>0.99997970000000003</v>
      </c>
      <c r="N959">
        <v>-5.1668720000000003E-3</v>
      </c>
      <c r="O959">
        <v>3.7477510000000001E-3</v>
      </c>
      <c r="P959">
        <v>0.99754379999999998</v>
      </c>
      <c r="Q959">
        <v>-6.8268700000000002E-2</v>
      </c>
      <c r="R959">
        <v>-1.5689689999999999E-2</v>
      </c>
      <c r="S959">
        <v>3.0021969999999998</v>
      </c>
      <c r="T959">
        <v>-5.7358149999999997E-2</v>
      </c>
      <c r="U959">
        <v>-8.9752199999999893E-2</v>
      </c>
      <c r="V959">
        <v>1.94269E-2</v>
      </c>
      <c r="W959">
        <v>-6.3114279999999995E-2</v>
      </c>
      <c r="X959">
        <v>0.99781719999999896</v>
      </c>
      <c r="Y959">
        <v>3.3619919999999998E-2</v>
      </c>
      <c r="Z959">
        <v>-4.6016699999999999E-4</v>
      </c>
      <c r="AA959">
        <v>0.99943459999999995</v>
      </c>
      <c r="AB959">
        <v>31</v>
      </c>
      <c r="AC959">
        <v>56.213900000000002</v>
      </c>
      <c r="AD959">
        <v>-1.0790608537969999</v>
      </c>
      <c r="AE959">
        <v>-1.68759999999997</v>
      </c>
      <c r="AF959">
        <v>1.8975680740390499</v>
      </c>
      <c r="AG959">
        <v>-1.0790608537969999</v>
      </c>
      <c r="AH959">
        <v>56.1864959135888</v>
      </c>
      <c r="AI959">
        <v>91.099602609482801</v>
      </c>
      <c r="AJ959">
        <v>88.065703646893994</v>
      </c>
      <c r="AK959">
        <v>56.228884569850202</v>
      </c>
      <c r="AL959">
        <v>93.618587009021297</v>
      </c>
      <c r="AM959">
        <v>88.884626592269001</v>
      </c>
      <c r="AN959">
        <v>0.99999999069968304</v>
      </c>
    </row>
    <row r="960" spans="1:40" x14ac:dyDescent="0.25">
      <c r="A960" t="str">
        <f>"20190303154747613"</f>
        <v>20190303154747613</v>
      </c>
      <c r="B960" t="str">
        <f>"1551599267601720"</f>
        <v>1551599267601720</v>
      </c>
      <c r="C960" t="s">
        <v>40</v>
      </c>
      <c r="D960">
        <v>5.179646</v>
      </c>
      <c r="E960">
        <v>0.50486739999999997</v>
      </c>
      <c r="F960" t="s">
        <v>41</v>
      </c>
      <c r="G960">
        <v>-219.76900000000001</v>
      </c>
      <c r="H960" s="1">
        <v>-1.0290320000000001E-6</v>
      </c>
      <c r="I960">
        <v>365.99209999999999</v>
      </c>
      <c r="J960">
        <v>-278.48809999999997</v>
      </c>
      <c r="K960">
        <v>1.080087</v>
      </c>
      <c r="L960">
        <v>367.73790000000002</v>
      </c>
      <c r="M960">
        <v>0.99998220000000004</v>
      </c>
      <c r="N960">
        <v>-4.648475E-3</v>
      </c>
      <c r="O960">
        <v>3.7555890000000001E-3</v>
      </c>
      <c r="P960">
        <v>0.99757830000000003</v>
      </c>
      <c r="Q960">
        <v>-6.7702760000000001E-2</v>
      </c>
      <c r="R960">
        <v>-1.5947220000000002E-2</v>
      </c>
      <c r="S960">
        <v>3.0022579999999999</v>
      </c>
      <c r="T960">
        <v>-5.5006270000000003E-2</v>
      </c>
      <c r="U960">
        <v>-8.8958739999999994E-2</v>
      </c>
      <c r="V960">
        <v>1.9692379999999999E-2</v>
      </c>
      <c r="W960">
        <v>-6.3065469999999998E-2</v>
      </c>
      <c r="X960">
        <v>0.99781509999999995</v>
      </c>
      <c r="Y960">
        <v>3.3364020000000001E-2</v>
      </c>
      <c r="Z960">
        <v>-4.3445620000000002E-4</v>
      </c>
      <c r="AA960">
        <v>0.99944319999999998</v>
      </c>
      <c r="AB960">
        <v>31</v>
      </c>
      <c r="AC960">
        <v>58.719099999999898</v>
      </c>
      <c r="AD960">
        <v>-1.0800880290320001</v>
      </c>
      <c r="AE960">
        <v>-1.74580000000003</v>
      </c>
      <c r="AF960">
        <v>1.9656503838796999</v>
      </c>
      <c r="AG960">
        <v>-1.0800880290320001</v>
      </c>
      <c r="AH960">
        <v>58.692288618418999</v>
      </c>
      <c r="AI960">
        <v>91.053679072958104</v>
      </c>
      <c r="AJ960">
        <v>88.081836735463796</v>
      </c>
      <c r="AK960">
        <v>58.735126754352898</v>
      </c>
      <c r="AL960">
        <v>93.615784754940904</v>
      </c>
      <c r="AM960">
        <v>88.869385910395593</v>
      </c>
      <c r="AN960">
        <v>1.0000000085621901</v>
      </c>
    </row>
    <row r="961" spans="1:40" x14ac:dyDescent="0.25">
      <c r="A961" t="str">
        <f>"20190303154747628"</f>
        <v>20190303154747628</v>
      </c>
      <c r="B961" t="str">
        <f>"1551599267622216"</f>
        <v>1551599267622216</v>
      </c>
      <c r="C961" t="s">
        <v>40</v>
      </c>
      <c r="D961">
        <v>5.1357140000000001</v>
      </c>
      <c r="E961">
        <v>0.50493949999999999</v>
      </c>
      <c r="F961" t="s">
        <v>41</v>
      </c>
      <c r="G961">
        <v>-219.1123</v>
      </c>
      <c r="H961" s="1">
        <v>-1.257106E-6</v>
      </c>
      <c r="I961">
        <v>365.97489999999999</v>
      </c>
      <c r="J961">
        <v>-278.30160000000001</v>
      </c>
      <c r="K961">
        <v>1.0813299999999999</v>
      </c>
      <c r="L961">
        <v>367.73860000000002</v>
      </c>
      <c r="M961">
        <v>0.99998339999999997</v>
      </c>
      <c r="N961">
        <v>-4.3727260000000004E-3</v>
      </c>
      <c r="O961">
        <v>3.7644409999999999E-3</v>
      </c>
      <c r="P961">
        <v>0.99761750000000005</v>
      </c>
      <c r="Q961">
        <v>-6.7104830000000004E-2</v>
      </c>
      <c r="R961">
        <v>-1.600654E-2</v>
      </c>
      <c r="S961">
        <v>3.0021969999999998</v>
      </c>
      <c r="T961">
        <v>-5.4612040000000001E-2</v>
      </c>
      <c r="U961">
        <v>-8.9141849999999995E-2</v>
      </c>
      <c r="V961">
        <v>1.9760759999999999E-2</v>
      </c>
      <c r="W961">
        <v>-6.2742539999999999E-2</v>
      </c>
      <c r="X961">
        <v>0.99783409999999995</v>
      </c>
      <c r="Y961">
        <v>3.3434520000000002E-2</v>
      </c>
      <c r="Z961">
        <v>-4.2913210000000002E-4</v>
      </c>
      <c r="AA961">
        <v>0.99944080000000002</v>
      </c>
      <c r="AB961">
        <v>31</v>
      </c>
      <c r="AC961">
        <v>59.189300000000003</v>
      </c>
      <c r="AD961">
        <v>-1.0813312571060001</v>
      </c>
      <c r="AE961">
        <v>-1.76370000000002</v>
      </c>
      <c r="AF961">
        <v>1.9858420488355799</v>
      </c>
      <c r="AG961">
        <v>-1.0813312571060001</v>
      </c>
      <c r="AH961">
        <v>59.162512777677101</v>
      </c>
      <c r="AI961">
        <v>91.046506581856093</v>
      </c>
      <c r="AJ961">
        <v>88.077538279241594</v>
      </c>
      <c r="AK961">
        <v>59.205707191953401</v>
      </c>
      <c r="AL961">
        <v>93.597245535177805</v>
      </c>
      <c r="AM961">
        <v>88.865482577481004</v>
      </c>
      <c r="AN961">
        <v>1.0000000025421101</v>
      </c>
    </row>
    <row r="962" spans="1:40" x14ac:dyDescent="0.25">
      <c r="A962" t="str">
        <f>"20190303154747641"</f>
        <v>20190303154747641</v>
      </c>
      <c r="B962" t="str">
        <f>"1551599267631508"</f>
        <v>1551599267631508</v>
      </c>
      <c r="C962" t="s">
        <v>40</v>
      </c>
      <c r="D962">
        <v>5.0594530000000004</v>
      </c>
      <c r="E962">
        <v>0.50489539999999999</v>
      </c>
      <c r="F962" t="s">
        <v>41</v>
      </c>
      <c r="G962">
        <v>-217.5574</v>
      </c>
      <c r="H962" s="1">
        <v>-1.800968E-6</v>
      </c>
      <c r="I962">
        <v>365.91950000000003</v>
      </c>
      <c r="J962">
        <v>-278.11399999999998</v>
      </c>
      <c r="K962">
        <v>1.082735</v>
      </c>
      <c r="L962">
        <v>367.73930000000001</v>
      </c>
      <c r="M962">
        <v>0.99998350000000003</v>
      </c>
      <c r="N962">
        <v>-4.3662800000000002E-3</v>
      </c>
      <c r="O962">
        <v>3.773752E-3</v>
      </c>
      <c r="P962">
        <v>0.9976199</v>
      </c>
      <c r="Q962">
        <v>-6.7043850000000002E-2</v>
      </c>
      <c r="R962">
        <v>-1.6122299999999999E-2</v>
      </c>
      <c r="S962">
        <v>3.002167</v>
      </c>
      <c r="T962">
        <v>-5.3442719999999999E-2</v>
      </c>
      <c r="U962">
        <v>-8.9904789999999998E-2</v>
      </c>
      <c r="V962">
        <v>1.9885839999999998E-2</v>
      </c>
      <c r="W962">
        <v>-6.2688010000000002E-2</v>
      </c>
      <c r="X962">
        <v>0.99783500000000003</v>
      </c>
      <c r="Y962">
        <v>3.3698119999999998E-2</v>
      </c>
      <c r="Z962">
        <v>-4.2412340000000002E-4</v>
      </c>
      <c r="AA962">
        <v>0.99943199999999999</v>
      </c>
      <c r="AB962">
        <v>31</v>
      </c>
      <c r="AC962">
        <v>60.556600000000003</v>
      </c>
      <c r="AD962">
        <v>-1.0827368009680001</v>
      </c>
      <c r="AE962">
        <v>-1.8197999999999801</v>
      </c>
      <c r="AF962">
        <v>2.0476607587709799</v>
      </c>
      <c r="AG962">
        <v>-1.0827368009680001</v>
      </c>
      <c r="AH962">
        <v>60.529968163578999</v>
      </c>
      <c r="AI962">
        <v>91.024189843698693</v>
      </c>
      <c r="AJ962">
        <v>88.062487073069306</v>
      </c>
      <c r="AK962">
        <v>60.574270771071397</v>
      </c>
      <c r="AL962">
        <v>93.594115186092907</v>
      </c>
      <c r="AM962">
        <v>88.858304328589796</v>
      </c>
      <c r="AN962">
        <v>0.99999996022763205</v>
      </c>
    </row>
    <row r="963" spans="1:40" x14ac:dyDescent="0.25">
      <c r="A963" t="str">
        <f>"20190303154747652"</f>
        <v>20190303154747652</v>
      </c>
      <c r="B963" t="str">
        <f>"1551599267641267"</f>
        <v>1551599267641267</v>
      </c>
      <c r="C963" t="s">
        <v>40</v>
      </c>
      <c r="D963">
        <v>5.195284</v>
      </c>
      <c r="E963">
        <v>0.50486940000000002</v>
      </c>
      <c r="F963" t="s">
        <v>41</v>
      </c>
      <c r="G963">
        <v>-217.65479999999999</v>
      </c>
      <c r="H963" s="1">
        <v>-1.764233E-6</v>
      </c>
      <c r="I963">
        <v>365.93299999999999</v>
      </c>
      <c r="J963">
        <v>-277.94319999999999</v>
      </c>
      <c r="K963">
        <v>1.084163</v>
      </c>
      <c r="L963">
        <v>367.73989999999998</v>
      </c>
      <c r="M963">
        <v>0.99998339999999997</v>
      </c>
      <c r="N963">
        <v>-4.3808040000000003E-3</v>
      </c>
      <c r="O963">
        <v>3.7814099999999998E-3</v>
      </c>
      <c r="P963">
        <v>0.99763029999999997</v>
      </c>
      <c r="Q963">
        <v>-6.6871330000000007E-2</v>
      </c>
      <c r="R963">
        <v>-1.6193809999999999E-2</v>
      </c>
      <c r="S963">
        <v>3.0021360000000001</v>
      </c>
      <c r="T963">
        <v>-5.3763869999999998E-2</v>
      </c>
      <c r="U963">
        <v>-8.9691160000000006E-2</v>
      </c>
      <c r="V963">
        <v>1.996508E-2</v>
      </c>
      <c r="W963">
        <v>-6.2500920000000001E-2</v>
      </c>
      <c r="X963">
        <v>0.99784519999999999</v>
      </c>
      <c r="Y963">
        <v>3.3634949999999997E-2</v>
      </c>
      <c r="Z963">
        <v>-4.2592230000000001E-4</v>
      </c>
      <c r="AA963">
        <v>0.99943409999999999</v>
      </c>
      <c r="AB963">
        <v>31</v>
      </c>
      <c r="AC963">
        <v>60.288400000000003</v>
      </c>
      <c r="AD963">
        <v>-1.0841647642329999</v>
      </c>
      <c r="AE963">
        <v>-1.80689999999992</v>
      </c>
      <c r="AF963">
        <v>2.0342071478054802</v>
      </c>
      <c r="AG963">
        <v>-1.0841647642329999</v>
      </c>
      <c r="AH963">
        <v>60.261665889727801</v>
      </c>
      <c r="AI963">
        <v>91.030107848116501</v>
      </c>
      <c r="AJ963">
        <v>88.066644138621498</v>
      </c>
      <c r="AK963">
        <v>60.305735944115398</v>
      </c>
      <c r="AL963">
        <v>93.583374491271798</v>
      </c>
      <c r="AM963">
        <v>88.853767887721602</v>
      </c>
      <c r="AN963">
        <v>1.0000000062916401</v>
      </c>
    </row>
    <row r="964" spans="1:40" x14ac:dyDescent="0.25">
      <c r="A964" t="str">
        <f>"20190303154747668"</f>
        <v>20190303154747668</v>
      </c>
      <c r="B964" t="str">
        <f>"1551599267661767"</f>
        <v>1551599267661767</v>
      </c>
      <c r="C964" t="s">
        <v>40</v>
      </c>
      <c r="D964">
        <v>5.0399330000000004</v>
      </c>
      <c r="E964">
        <v>0.50477289999999997</v>
      </c>
      <c r="F964" t="s">
        <v>41</v>
      </c>
      <c r="G964">
        <v>-216.87870000000001</v>
      </c>
      <c r="H964" s="1">
        <v>-2.0329679999999998E-6</v>
      </c>
      <c r="I964">
        <v>365.91559999999998</v>
      </c>
      <c r="J964">
        <v>-277.73599999999999</v>
      </c>
      <c r="K964">
        <v>1.0859350000000001</v>
      </c>
      <c r="L964">
        <v>367.7407</v>
      </c>
      <c r="M964">
        <v>0.99998370000000003</v>
      </c>
      <c r="N964">
        <v>-4.2969879999999998E-3</v>
      </c>
      <c r="O964">
        <v>3.790893E-3</v>
      </c>
      <c r="P964">
        <v>0.99763999999999997</v>
      </c>
      <c r="Q964">
        <v>-6.668454E-2</v>
      </c>
      <c r="R964">
        <v>-1.636375E-2</v>
      </c>
      <c r="S964">
        <v>3.0021059999999999</v>
      </c>
      <c r="T964">
        <v>-5.330062E-2</v>
      </c>
      <c r="U964">
        <v>-8.9691160000000006E-2</v>
      </c>
      <c r="V964">
        <v>2.014467E-2</v>
      </c>
      <c r="W964">
        <v>-6.239774E-2</v>
      </c>
      <c r="X964">
        <v>0.99784799999999996</v>
      </c>
      <c r="Y964">
        <v>3.364487E-2</v>
      </c>
      <c r="Z964">
        <v>-4.218925E-4</v>
      </c>
      <c r="AA964">
        <v>0.99943380000000004</v>
      </c>
      <c r="AB964">
        <v>31</v>
      </c>
      <c r="AC964">
        <v>60.857299999999903</v>
      </c>
      <c r="AD964">
        <v>-1.085937032968</v>
      </c>
      <c r="AE964">
        <v>-1.8251000000000199</v>
      </c>
      <c r="AF964">
        <v>2.0551387163712098</v>
      </c>
      <c r="AG964">
        <v>-1.085937032968</v>
      </c>
      <c r="AH964">
        <v>60.830592341720099</v>
      </c>
      <c r="AI964">
        <v>91.022142495149296</v>
      </c>
      <c r="AJ964">
        <v>88.065019579642097</v>
      </c>
      <c r="AK964">
        <v>60.8749851665496</v>
      </c>
      <c r="AL964">
        <v>93.577451322790395</v>
      </c>
      <c r="AM964">
        <v>88.843463326592897</v>
      </c>
      <c r="AN964">
        <v>0.99999995839525702</v>
      </c>
    </row>
    <row r="965" spans="1:40" x14ac:dyDescent="0.25">
      <c r="A965" t="str">
        <f>"20190303154747679"</f>
        <v>20190303154747679</v>
      </c>
      <c r="B965" t="str">
        <f>"1551599267671524"</f>
        <v>1551599267671524</v>
      </c>
      <c r="C965" t="s">
        <v>40</v>
      </c>
      <c r="D965">
        <v>5.0507379999999999</v>
      </c>
      <c r="E965">
        <v>0.50472779999999995</v>
      </c>
      <c r="F965" t="s">
        <v>41</v>
      </c>
      <c r="G965">
        <v>-217.39420000000001</v>
      </c>
      <c r="H965" s="1">
        <v>-1.8504619999999999E-6</v>
      </c>
      <c r="I965">
        <v>365.94220000000001</v>
      </c>
      <c r="J965">
        <v>-277.57920000000001</v>
      </c>
      <c r="K965">
        <v>1.08731</v>
      </c>
      <c r="L965">
        <v>367.74130000000002</v>
      </c>
      <c r="M965">
        <v>0.99998410000000004</v>
      </c>
      <c r="N965">
        <v>-4.1627390000000004E-3</v>
      </c>
      <c r="O965">
        <v>3.798035E-3</v>
      </c>
      <c r="P965">
        <v>0.9976507</v>
      </c>
      <c r="Q965">
        <v>-6.6532389999999997E-2</v>
      </c>
      <c r="R965">
        <v>-1.633619E-2</v>
      </c>
      <c r="S965">
        <v>3.002014</v>
      </c>
      <c r="T965">
        <v>-5.4025530000000002E-2</v>
      </c>
      <c r="U965">
        <v>-8.9477539999999994E-2</v>
      </c>
      <c r="V965">
        <v>2.0124090000000001E-2</v>
      </c>
      <c r="W965">
        <v>-6.2379490000000003E-2</v>
      </c>
      <c r="X965">
        <v>0.9978496</v>
      </c>
      <c r="Y965">
        <v>3.3581720000000002E-2</v>
      </c>
      <c r="Z965">
        <v>-4.2452830000000002E-4</v>
      </c>
      <c r="AA965">
        <v>0.99943590000000004</v>
      </c>
      <c r="AB965">
        <v>31</v>
      </c>
      <c r="AC965">
        <v>60.185000000000002</v>
      </c>
      <c r="AD965">
        <v>-1.0873118504620001</v>
      </c>
      <c r="AE965">
        <v>-1.7991000000000099</v>
      </c>
      <c r="AF965">
        <v>2.0270127477318098</v>
      </c>
      <c r="AG965">
        <v>-1.0873118504620001</v>
      </c>
      <c r="AH965">
        <v>60.158115554605203</v>
      </c>
      <c r="AI965">
        <v>91.034877402299202</v>
      </c>
      <c r="AJ965">
        <v>88.070163070554699</v>
      </c>
      <c r="AK965">
        <v>60.202075502600898</v>
      </c>
      <c r="AL965">
        <v>93.576403477666901</v>
      </c>
      <c r="AM965">
        <v>88.844646387860806</v>
      </c>
      <c r="AN965">
        <v>1.0000000019955699</v>
      </c>
    </row>
    <row r="966" spans="1:40" x14ac:dyDescent="0.25">
      <c r="A966" t="str">
        <f>"20190303154747690"</f>
        <v>20190303154747690</v>
      </c>
      <c r="B966" t="str">
        <f>"1551599267681283"</f>
        <v>1551599267681283</v>
      </c>
      <c r="C966" t="s">
        <v>40</v>
      </c>
      <c r="D966">
        <v>5.0440420000000001</v>
      </c>
      <c r="E966">
        <v>0.50469799999999998</v>
      </c>
      <c r="F966" t="s">
        <v>41</v>
      </c>
      <c r="G966">
        <v>-217.27940000000001</v>
      </c>
      <c r="H966" s="1">
        <v>-1.888233E-6</v>
      </c>
      <c r="I966">
        <v>365.94709999999998</v>
      </c>
      <c r="J966">
        <v>-277.43470000000002</v>
      </c>
      <c r="K966">
        <v>1.08863</v>
      </c>
      <c r="L966">
        <v>367.74189999999999</v>
      </c>
      <c r="M966">
        <v>0.9999846</v>
      </c>
      <c r="N966">
        <v>-4.0526650000000004E-3</v>
      </c>
      <c r="O966">
        <v>3.8045219999999999E-3</v>
      </c>
      <c r="P966">
        <v>0.99765959999999998</v>
      </c>
      <c r="Q966">
        <v>-6.6391889999999995E-2</v>
      </c>
      <c r="R966">
        <v>-1.6359439999999999E-2</v>
      </c>
      <c r="S966">
        <v>3.0019840000000002</v>
      </c>
      <c r="T966">
        <v>-5.4131029999999997E-2</v>
      </c>
      <c r="U966">
        <v>-8.932495E-2</v>
      </c>
      <c r="V966">
        <v>2.0153899999999999E-2</v>
      </c>
      <c r="W966">
        <v>-6.2348779999999999E-2</v>
      </c>
      <c r="X966">
        <v>0.99785089999999999</v>
      </c>
      <c r="Y966">
        <v>3.353776E-2</v>
      </c>
      <c r="Z966">
        <v>-4.2342999999999998E-4</v>
      </c>
      <c r="AA966">
        <v>0.99943729999999997</v>
      </c>
      <c r="AB966">
        <v>31</v>
      </c>
      <c r="AC966">
        <v>60.155299999999997</v>
      </c>
      <c r="AD966">
        <v>-1.0886318882329999</v>
      </c>
      <c r="AE966">
        <v>-1.7948</v>
      </c>
      <c r="AF966">
        <v>2.0229890965906598</v>
      </c>
      <c r="AG966">
        <v>-1.0886318882329999</v>
      </c>
      <c r="AH966">
        <v>60.128361563523598</v>
      </c>
      <c r="AI966">
        <v>91.036647869960603</v>
      </c>
      <c r="AJ966">
        <v>88.073038587901394</v>
      </c>
      <c r="AK966">
        <v>60.172231706883103</v>
      </c>
      <c r="AL966">
        <v>93.574640555753604</v>
      </c>
      <c r="AM966">
        <v>88.842936923844903</v>
      </c>
      <c r="AN966">
        <v>0.99999998434175397</v>
      </c>
    </row>
    <row r="967" spans="1:40" x14ac:dyDescent="0.25">
      <c r="A967" t="str">
        <f>"20190303154747701"</f>
        <v>20190303154747701</v>
      </c>
      <c r="B967" t="str">
        <f>"1551599267692020"</f>
        <v>1551599267692020</v>
      </c>
      <c r="C967" t="s">
        <v>40</v>
      </c>
      <c r="D967">
        <v>5.0385090000000003</v>
      </c>
      <c r="E967">
        <v>0.50465280000000001</v>
      </c>
      <c r="F967" t="s">
        <v>41</v>
      </c>
      <c r="G967">
        <v>-217.44739999999999</v>
      </c>
      <c r="H967" s="1">
        <v>-1.8251849999999999E-6</v>
      </c>
      <c r="I967">
        <v>365.96910000000003</v>
      </c>
      <c r="J967">
        <v>-277.27260000000001</v>
      </c>
      <c r="K967">
        <v>1.0901299999999901</v>
      </c>
      <c r="L967">
        <v>367.74250000000001</v>
      </c>
      <c r="M967">
        <v>0.99998509999999996</v>
      </c>
      <c r="N967">
        <v>-3.9404180000000002E-3</v>
      </c>
      <c r="O967">
        <v>3.8114849999999999E-3</v>
      </c>
      <c r="P967">
        <v>0.99766250000000001</v>
      </c>
      <c r="Q967">
        <v>-6.6367399999999993E-2</v>
      </c>
      <c r="R967">
        <v>-1.629307E-2</v>
      </c>
      <c r="S967">
        <v>3.0019529999999999</v>
      </c>
      <c r="T967">
        <v>-5.4478529999999997E-2</v>
      </c>
      <c r="U967">
        <v>-8.8714600000000005E-2</v>
      </c>
      <c r="V967">
        <v>2.009437E-2</v>
      </c>
      <c r="W967">
        <v>-6.243626E-2</v>
      </c>
      <c r="X967">
        <v>0.99784669999999998</v>
      </c>
      <c r="Y967">
        <v>3.3341969999999999E-2</v>
      </c>
      <c r="Z967">
        <v>-4.2229609999999999E-4</v>
      </c>
      <c r="AA967">
        <v>0.99944390000000005</v>
      </c>
      <c r="AB967">
        <v>31</v>
      </c>
      <c r="AC967">
        <v>59.825200000000002</v>
      </c>
      <c r="AD967">
        <v>-1.0901318251849901</v>
      </c>
      <c r="AE967">
        <v>-1.7733999999999801</v>
      </c>
      <c r="AF967">
        <v>2.00074796789308</v>
      </c>
      <c r="AG967">
        <v>-1.0901318251849901</v>
      </c>
      <c r="AH967">
        <v>59.798168179207302</v>
      </c>
      <c r="AI967">
        <v>91.043813160976498</v>
      </c>
      <c r="AJ967">
        <v>88.083692688728206</v>
      </c>
      <c r="AK967">
        <v>59.841559951392298</v>
      </c>
      <c r="AL967">
        <v>93.579662327251597</v>
      </c>
      <c r="AM967">
        <v>88.846348843421197</v>
      </c>
      <c r="AN967">
        <v>1.00000005348468</v>
      </c>
    </row>
    <row r="968" spans="1:40" x14ac:dyDescent="0.25">
      <c r="A968" t="str">
        <f>"20190303154747712"</f>
        <v>20190303154747712</v>
      </c>
      <c r="B968" t="str">
        <f>"1551599267701781"</f>
        <v>1551599267701781</v>
      </c>
      <c r="C968" t="s">
        <v>40</v>
      </c>
      <c r="D968">
        <v>4.9895659999999999</v>
      </c>
      <c r="E968">
        <v>0.50460130000000003</v>
      </c>
      <c r="F968" t="s">
        <v>41</v>
      </c>
      <c r="G968">
        <v>-217.7235</v>
      </c>
      <c r="H968" s="1">
        <v>-1.7245740000000001E-6</v>
      </c>
      <c r="I968">
        <v>365.9941</v>
      </c>
      <c r="J968">
        <v>-277.10829999999999</v>
      </c>
      <c r="K968">
        <v>1.091701</v>
      </c>
      <c r="L968">
        <v>367.74310000000003</v>
      </c>
      <c r="M968">
        <v>0.99998509999999996</v>
      </c>
      <c r="N968">
        <v>-3.9326090000000001E-3</v>
      </c>
      <c r="O968">
        <v>3.8184170000000002E-3</v>
      </c>
      <c r="P968">
        <v>0.99767119999999998</v>
      </c>
      <c r="Q968">
        <v>-6.6287260000000001E-2</v>
      </c>
      <c r="R968">
        <v>-1.6080000000000001E-2</v>
      </c>
      <c r="S968">
        <v>3.0019529999999999</v>
      </c>
      <c r="T968">
        <v>-5.4955009999999999E-2</v>
      </c>
      <c r="U968">
        <v>-8.8134770000000001E-2</v>
      </c>
      <c r="V968">
        <v>1.9888380000000001E-2</v>
      </c>
      <c r="W968">
        <v>-6.236386E-2</v>
      </c>
      <c r="X968">
        <v>0.9978553</v>
      </c>
      <c r="Y968">
        <v>3.3155949999999997E-2</v>
      </c>
      <c r="Z968">
        <v>-4.234776E-4</v>
      </c>
      <c r="AA968">
        <v>0.99945010000000001</v>
      </c>
      <c r="AB968">
        <v>31</v>
      </c>
      <c r="AC968">
        <v>59.384799999999899</v>
      </c>
      <c r="AD968">
        <v>-1.0917027245739901</v>
      </c>
      <c r="AE968">
        <v>-1.7490000000000201</v>
      </c>
      <c r="AF968">
        <v>1.9750779967694001</v>
      </c>
      <c r="AG968">
        <v>-1.0917027245739901</v>
      </c>
      <c r="AH968">
        <v>59.357645809246002</v>
      </c>
      <c r="AI968">
        <v>91.053079515167894</v>
      </c>
      <c r="AJ968">
        <v>88.094232078646101</v>
      </c>
      <c r="AK968">
        <v>59.400529155454997</v>
      </c>
      <c r="AL968">
        <v>93.575506207575899</v>
      </c>
      <c r="AM968">
        <v>88.858181762512203</v>
      </c>
      <c r="AN968">
        <v>0.99999999921560601</v>
      </c>
    </row>
    <row r="969" spans="1:40" x14ac:dyDescent="0.25">
      <c r="A969" t="str">
        <f>"20190303154747725"</f>
        <v>20190303154747725</v>
      </c>
      <c r="B969" t="str">
        <f>"1551599267721299"</f>
        <v>1551599267721299</v>
      </c>
      <c r="C969" t="s">
        <v>40</v>
      </c>
      <c r="D969">
        <v>4.9974999999999996</v>
      </c>
      <c r="E969">
        <v>0.50451919999999995</v>
      </c>
      <c r="F969" t="s">
        <v>41</v>
      </c>
      <c r="G969">
        <v>-217.85</v>
      </c>
      <c r="H969" s="1">
        <v>-1.6738059999999999E-6</v>
      </c>
      <c r="I969">
        <v>366.02319999999997</v>
      </c>
      <c r="J969">
        <v>-276.94869999999997</v>
      </c>
      <c r="K969">
        <v>1.0932269999999999</v>
      </c>
      <c r="L969">
        <v>367.74380000000002</v>
      </c>
      <c r="M969">
        <v>0.99998489999999995</v>
      </c>
      <c r="N969">
        <v>-3.9655009999999997E-3</v>
      </c>
      <c r="O969">
        <v>3.8252070000000002E-3</v>
      </c>
      <c r="P969">
        <v>0.99768509999999999</v>
      </c>
      <c r="Q969">
        <v>-6.608675E-2</v>
      </c>
      <c r="R969">
        <v>-1.6041710000000001E-2</v>
      </c>
      <c r="S969">
        <v>3.0019230000000001</v>
      </c>
      <c r="T969">
        <v>-5.5303690000000003E-2</v>
      </c>
      <c r="U969">
        <v>-8.7127689999999994E-2</v>
      </c>
      <c r="V969">
        <v>1.985702E-2</v>
      </c>
      <c r="W969">
        <v>-6.213047E-2</v>
      </c>
      <c r="X969">
        <v>0.99787049999999999</v>
      </c>
      <c r="Y969">
        <v>3.2827990000000001E-2</v>
      </c>
      <c r="Z969">
        <v>-4.2269859999999999E-4</v>
      </c>
      <c r="AA969">
        <v>0.99946089999999999</v>
      </c>
      <c r="AB969">
        <v>31</v>
      </c>
      <c r="AC969">
        <v>59.098699999999901</v>
      </c>
      <c r="AD969">
        <v>-1.093228673806</v>
      </c>
      <c r="AE969">
        <v>-1.7206000000000401</v>
      </c>
      <c r="AF969">
        <v>1.94598860012222</v>
      </c>
      <c r="AG969">
        <v>-1.093228673806</v>
      </c>
      <c r="AH969">
        <v>59.071489416256298</v>
      </c>
      <c r="AI969">
        <v>91.059670087682903</v>
      </c>
      <c r="AJ969">
        <v>88.113190854589007</v>
      </c>
      <c r="AK969">
        <v>59.113643792443703</v>
      </c>
      <c r="AL969">
        <v>93.562107904563305</v>
      </c>
      <c r="AM969">
        <v>88.859999066802203</v>
      </c>
      <c r="AN969">
        <v>1.00000001565797</v>
      </c>
    </row>
    <row r="970" spans="1:40" x14ac:dyDescent="0.25">
      <c r="A970" t="str">
        <f>"20190303154747737"</f>
        <v>20190303154747737</v>
      </c>
      <c r="B970" t="str">
        <f>"1551599267732036"</f>
        <v>1551599267732036</v>
      </c>
      <c r="C970" t="s">
        <v>40</v>
      </c>
      <c r="D970">
        <v>5.0133590000000003</v>
      </c>
      <c r="E970">
        <v>0.50451699999999999</v>
      </c>
      <c r="F970" t="s">
        <v>41</v>
      </c>
      <c r="G970">
        <v>-217.9461</v>
      </c>
      <c r="H970" s="1">
        <v>-1.6343350000000001E-6</v>
      </c>
      <c r="I970">
        <v>366.04860000000002</v>
      </c>
      <c r="J970">
        <v>-276.7681</v>
      </c>
      <c r="K970">
        <v>1.0949580000000001</v>
      </c>
      <c r="L970">
        <v>367.74439999999998</v>
      </c>
      <c r="M970">
        <v>0.9999844</v>
      </c>
      <c r="N970">
        <v>-4.0839029999999998E-3</v>
      </c>
      <c r="O970">
        <v>3.8333719999999998E-3</v>
      </c>
      <c r="P970">
        <v>0.99770130000000001</v>
      </c>
      <c r="Q970">
        <v>-6.5852480000000005E-2</v>
      </c>
      <c r="R970">
        <v>-1.5984600000000002E-2</v>
      </c>
      <c r="S970">
        <v>3.0018919999999998</v>
      </c>
      <c r="T970">
        <v>-5.5620429999999998E-2</v>
      </c>
      <c r="U970">
        <v>-8.6242680000000002E-2</v>
      </c>
      <c r="V970">
        <v>1.980823E-2</v>
      </c>
      <c r="W970">
        <v>-6.1777980000000003E-2</v>
      </c>
      <c r="X970">
        <v>0.99789329999999998</v>
      </c>
      <c r="Y970">
        <v>3.254199E-2</v>
      </c>
      <c r="Z970">
        <v>-4.2321440000000002E-4</v>
      </c>
      <c r="AA970">
        <v>0.99947030000000003</v>
      </c>
      <c r="AB970">
        <v>31</v>
      </c>
      <c r="AC970">
        <v>58.821999999999903</v>
      </c>
      <c r="AD970">
        <v>-1.0949596343350001</v>
      </c>
      <c r="AE970">
        <v>-1.69579999999996</v>
      </c>
      <c r="AF970">
        <v>1.9206110491122801</v>
      </c>
      <c r="AG970">
        <v>-1.0949596343350001</v>
      </c>
      <c r="AH970">
        <v>58.794711040703497</v>
      </c>
      <c r="AI970">
        <v>91.0663523748062</v>
      </c>
      <c r="AJ970">
        <v>88.129018949412696</v>
      </c>
      <c r="AK970">
        <v>58.836262030848097</v>
      </c>
      <c r="AL970">
        <v>93.541873035849903</v>
      </c>
      <c r="AM970">
        <v>88.862825363446802</v>
      </c>
      <c r="AN970">
        <v>0.99999996148674997</v>
      </c>
    </row>
    <row r="971" spans="1:40" x14ac:dyDescent="0.25">
      <c r="A971" t="str">
        <f>"20190303154747752"</f>
        <v>20190303154747752</v>
      </c>
      <c r="B971" t="str">
        <f>"1551599267741795"</f>
        <v>1551599267741795</v>
      </c>
      <c r="C971" t="s">
        <v>40</v>
      </c>
      <c r="D971">
        <v>4.9670300000000003</v>
      </c>
      <c r="E971">
        <v>0.5045056</v>
      </c>
      <c r="F971" t="s">
        <v>41</v>
      </c>
      <c r="G971">
        <v>-217.30950000000001</v>
      </c>
      <c r="H971" s="1">
        <v>-1.8542570000000001E-6</v>
      </c>
      <c r="I971">
        <v>366.03620000000001</v>
      </c>
      <c r="J971">
        <v>-276.56380000000001</v>
      </c>
      <c r="K971">
        <v>1.0968800000000001</v>
      </c>
      <c r="L971">
        <v>367.74529999999999</v>
      </c>
      <c r="M971">
        <v>0.99998339999999997</v>
      </c>
      <c r="N971">
        <v>-4.2948630000000003E-3</v>
      </c>
      <c r="O971">
        <v>3.8427019999999999E-3</v>
      </c>
      <c r="P971">
        <v>0.9976777</v>
      </c>
      <c r="Q971">
        <v>-6.6238190000000002E-2</v>
      </c>
      <c r="R971">
        <v>-1.5871260000000002E-2</v>
      </c>
      <c r="S971">
        <v>3.0018919999999998</v>
      </c>
      <c r="T971">
        <v>-5.5281280000000002E-2</v>
      </c>
      <c r="U971">
        <v>-8.6242680000000002E-2</v>
      </c>
      <c r="V971">
        <v>1.9704030000000001E-2</v>
      </c>
      <c r="W971">
        <v>-6.1953260000000003E-2</v>
      </c>
      <c r="X971">
        <v>0.99788449999999995</v>
      </c>
      <c r="Y971">
        <v>3.255135E-2</v>
      </c>
      <c r="Z971">
        <v>-4.2380720000000002E-4</v>
      </c>
      <c r="AA971">
        <v>0.99946999999999997</v>
      </c>
      <c r="AB971">
        <v>31</v>
      </c>
      <c r="AC971">
        <v>59.254300000000001</v>
      </c>
      <c r="AD971">
        <v>-1.09688185425699</v>
      </c>
      <c r="AE971">
        <v>-1.7090999999999701</v>
      </c>
      <c r="AF971">
        <v>1.9361231911316199</v>
      </c>
      <c r="AG971">
        <v>-1.09688185425699</v>
      </c>
      <c r="AH971">
        <v>59.227016250638002</v>
      </c>
      <c r="AI971">
        <v>91.060427818685795</v>
      </c>
      <c r="AJ971">
        <v>88.127675427037801</v>
      </c>
      <c r="AK971">
        <v>59.2688044148587</v>
      </c>
      <c r="AL971">
        <v>93.551935101021201</v>
      </c>
      <c r="AM971">
        <v>88.868795870587107</v>
      </c>
      <c r="AN971">
        <v>0.99999996528155799</v>
      </c>
    </row>
    <row r="972" spans="1:40" x14ac:dyDescent="0.25">
      <c r="A972" t="str">
        <f>"20190303154747766"</f>
        <v>20190303154747766</v>
      </c>
      <c r="B972" t="str">
        <f>"1551599267761315"</f>
        <v>1551599267761315</v>
      </c>
      <c r="C972" t="s">
        <v>40</v>
      </c>
      <c r="D972">
        <v>4.9801229999999999</v>
      </c>
      <c r="E972">
        <v>0.50455669999999997</v>
      </c>
      <c r="F972" t="s">
        <v>41</v>
      </c>
      <c r="G972">
        <v>-218.50739999999999</v>
      </c>
      <c r="H972" s="1">
        <v>-1.4328479999999999E-6</v>
      </c>
      <c r="I972">
        <v>366.08800000000002</v>
      </c>
      <c r="J972">
        <v>-276.3655</v>
      </c>
      <c r="K972">
        <v>1.0986899999999999</v>
      </c>
      <c r="L972">
        <v>367.74599999999998</v>
      </c>
      <c r="M972">
        <v>0.99998240000000005</v>
      </c>
      <c r="N972">
        <v>-4.5406939999999996E-3</v>
      </c>
      <c r="O972">
        <v>3.8517529999999999E-3</v>
      </c>
      <c r="P972">
        <v>0.99768109999999999</v>
      </c>
      <c r="Q972">
        <v>-6.6234570000000006E-2</v>
      </c>
      <c r="R972">
        <v>-1.5673929999999999E-2</v>
      </c>
      <c r="S972">
        <v>3.001862</v>
      </c>
      <c r="T972">
        <v>-5.6715250000000002E-2</v>
      </c>
      <c r="U972">
        <v>-8.5693359999999996E-2</v>
      </c>
      <c r="V972">
        <v>1.951582E-2</v>
      </c>
      <c r="W972">
        <v>-6.1704290000000002E-2</v>
      </c>
      <c r="X972">
        <v>0.9979036</v>
      </c>
      <c r="Y972">
        <v>3.2377570000000001E-2</v>
      </c>
      <c r="Z972">
        <v>-4.3457009999999999E-4</v>
      </c>
      <c r="AA972">
        <v>0.99947560000000002</v>
      </c>
      <c r="AB972">
        <v>31</v>
      </c>
      <c r="AC972">
        <v>57.8581</v>
      </c>
      <c r="AD972">
        <v>-1.098691432848</v>
      </c>
      <c r="AE972">
        <v>-1.65799999999995</v>
      </c>
      <c r="AF972">
        <v>1.8801676518875701</v>
      </c>
      <c r="AG972">
        <v>-1.098691432848</v>
      </c>
      <c r="AH972">
        <v>57.830448101681696</v>
      </c>
      <c r="AI972">
        <v>91.087827963323804</v>
      </c>
      <c r="AJ972">
        <v>88.137871259301207</v>
      </c>
      <c r="AK972">
        <v>57.8714340664297</v>
      </c>
      <c r="AL972">
        <v>93.5376429127123</v>
      </c>
      <c r="AM972">
        <v>88.879619637874498</v>
      </c>
      <c r="AN972">
        <v>0.99999994076381604</v>
      </c>
    </row>
    <row r="973" spans="1:40" x14ac:dyDescent="0.25">
      <c r="A973" t="str">
        <f>"20190303154747779"</f>
        <v>20190303154747779</v>
      </c>
      <c r="B973" t="str">
        <f>"1551599267772051"</f>
        <v>1551599267772051</v>
      </c>
      <c r="C973" t="s">
        <v>40</v>
      </c>
      <c r="D973">
        <v>4.9353590000000001</v>
      </c>
      <c r="E973">
        <v>0.504556</v>
      </c>
      <c r="F973" t="s">
        <v>41</v>
      </c>
      <c r="G973">
        <v>-218.6584</v>
      </c>
      <c r="H973" s="1">
        <v>-1.376879E-6</v>
      </c>
      <c r="I973">
        <v>366.10509999999999</v>
      </c>
      <c r="J973">
        <v>-276.17290000000003</v>
      </c>
      <c r="K973">
        <v>1.100403</v>
      </c>
      <c r="L973">
        <v>367.74680000000001</v>
      </c>
      <c r="M973">
        <v>0.99998109999999996</v>
      </c>
      <c r="N973">
        <v>-4.8108120000000002E-3</v>
      </c>
      <c r="O973">
        <v>3.8601780000000001E-3</v>
      </c>
      <c r="P973">
        <v>0.99769030000000003</v>
      </c>
      <c r="Q973">
        <v>-6.6131170000000003E-2</v>
      </c>
      <c r="R973">
        <v>-1.5528419999999999E-2</v>
      </c>
      <c r="S973">
        <v>3.001862</v>
      </c>
      <c r="T973">
        <v>-5.7152750000000002E-2</v>
      </c>
      <c r="U973">
        <v>-8.5357669999999997E-2</v>
      </c>
      <c r="V973">
        <v>1.9378940000000001E-2</v>
      </c>
      <c r="W973">
        <v>-6.1331259999999999E-2</v>
      </c>
      <c r="X973">
        <v>0.99792930000000002</v>
      </c>
      <c r="Y973">
        <v>3.2274160000000003E-2</v>
      </c>
      <c r="Z973">
        <v>-4.3971130000000001E-4</v>
      </c>
      <c r="AA973">
        <v>0.99947889999999995</v>
      </c>
      <c r="AB973">
        <v>31</v>
      </c>
      <c r="AC973">
        <v>57.514499999999998</v>
      </c>
      <c r="AD973">
        <v>-1.1004043768789999</v>
      </c>
      <c r="AE973">
        <v>-1.6417000000000099</v>
      </c>
      <c r="AF973">
        <v>1.8630250976998299</v>
      </c>
      <c r="AG973">
        <v>-1.1004043768789999</v>
      </c>
      <c r="AH973">
        <v>57.486707812132799</v>
      </c>
      <c r="AI973">
        <v>91.096040443506396</v>
      </c>
      <c r="AJ973">
        <v>88.143812146163</v>
      </c>
      <c r="AK973">
        <v>57.527413703249699</v>
      </c>
      <c r="AL973">
        <v>93.516229180489006</v>
      </c>
      <c r="AM973">
        <v>88.887504420332505</v>
      </c>
      <c r="AN973">
        <v>0.99999997728360002</v>
      </c>
    </row>
    <row r="974" spans="1:40" x14ac:dyDescent="0.25">
      <c r="A974" t="str">
        <f>"20190303154747791"</f>
        <v>20190303154747791</v>
      </c>
      <c r="B974" t="str">
        <f>"1551599267781811"</f>
        <v>1551599267781811</v>
      </c>
      <c r="C974" t="s">
        <v>40</v>
      </c>
      <c r="D974">
        <v>4.9732079999999996</v>
      </c>
      <c r="E974">
        <v>0.50454889999999997</v>
      </c>
      <c r="F974" t="s">
        <v>41</v>
      </c>
      <c r="G974">
        <v>-218.26089999999999</v>
      </c>
      <c r="H974" s="1">
        <v>-1.5127290000000001E-6</v>
      </c>
      <c r="I974">
        <v>366.10300000000001</v>
      </c>
      <c r="J974">
        <v>-276.01330000000002</v>
      </c>
      <c r="K974">
        <v>1.101734</v>
      </c>
      <c r="L974">
        <v>367.74740000000003</v>
      </c>
      <c r="M974">
        <v>0.99997979999999997</v>
      </c>
      <c r="N974">
        <v>-5.0571000000000001E-3</v>
      </c>
      <c r="O974">
        <v>3.8671980000000001E-3</v>
      </c>
      <c r="P974">
        <v>0.99768480000000004</v>
      </c>
      <c r="Q974">
        <v>-6.6293480000000002E-2</v>
      </c>
      <c r="R974">
        <v>-1.5175920000000001E-2</v>
      </c>
      <c r="S974">
        <v>3.001862</v>
      </c>
      <c r="T974">
        <v>-5.7039260000000001E-2</v>
      </c>
      <c r="U974">
        <v>-8.5205080000000002E-2</v>
      </c>
      <c r="V974">
        <v>1.9033350000000001E-2</v>
      </c>
      <c r="W974">
        <v>-6.1247799999999998E-2</v>
      </c>
      <c r="X974">
        <v>0.99794110000000003</v>
      </c>
      <c r="Y974">
        <v>3.2230399999999999E-2</v>
      </c>
      <c r="Z974">
        <v>-4.4155250000000001E-4</v>
      </c>
      <c r="AA974">
        <v>0.99948040000000005</v>
      </c>
      <c r="AB974">
        <v>31</v>
      </c>
      <c r="AC974">
        <v>57.752400000000002</v>
      </c>
      <c r="AD974">
        <v>-1.1017355127290001</v>
      </c>
      <c r="AE974">
        <v>-1.6444000000000101</v>
      </c>
      <c r="AF974">
        <v>1.86705159005522</v>
      </c>
      <c r="AG974">
        <v>-1.1017355127290001</v>
      </c>
      <c r="AH974">
        <v>57.724618289883203</v>
      </c>
      <c r="AI974">
        <v>91.092846565839395</v>
      </c>
      <c r="AJ974">
        <v>88.147464644584801</v>
      </c>
      <c r="AK974">
        <v>57.765311905092801</v>
      </c>
      <c r="AL974">
        <v>93.511438187124398</v>
      </c>
      <c r="AM974">
        <v>88.9073519252414</v>
      </c>
      <c r="AN974">
        <v>1.00000000024313</v>
      </c>
    </row>
    <row r="975" spans="1:40" x14ac:dyDescent="0.25">
      <c r="A975" t="str">
        <f>"20190303154747802"</f>
        <v>20190303154747802</v>
      </c>
      <c r="B975" t="str">
        <f>"1551599267791572"</f>
        <v>1551599267791572</v>
      </c>
      <c r="C975" t="s">
        <v>40</v>
      </c>
      <c r="D975">
        <v>4.9367470000000004</v>
      </c>
      <c r="E975">
        <v>0.5045425</v>
      </c>
      <c r="F975" t="s">
        <v>41</v>
      </c>
      <c r="G975">
        <v>-219.06700000000001</v>
      </c>
      <c r="H975" s="1">
        <v>-1.225278E-6</v>
      </c>
      <c r="I975">
        <v>366.1524</v>
      </c>
      <c r="J975">
        <v>-275.85759999999999</v>
      </c>
      <c r="K975">
        <v>1.10301</v>
      </c>
      <c r="L975">
        <v>367.74799999999999</v>
      </c>
      <c r="M975">
        <v>0.99997849999999999</v>
      </c>
      <c r="N975">
        <v>-5.300333E-3</v>
      </c>
      <c r="O975">
        <v>3.873956E-3</v>
      </c>
      <c r="P975">
        <v>0.99768089999999998</v>
      </c>
      <c r="Q975">
        <v>-6.6357869999999999E-2</v>
      </c>
      <c r="R975">
        <v>-1.5157179999999999E-2</v>
      </c>
      <c r="S975">
        <v>3.0018009999999999</v>
      </c>
      <c r="T975">
        <v>-5.8075429999999997E-2</v>
      </c>
      <c r="U975">
        <v>-8.4075929999999993E-2</v>
      </c>
      <c r="V975">
        <v>1.9021260000000002E-2</v>
      </c>
      <c r="W975">
        <v>-6.1069470000000001E-2</v>
      </c>
      <c r="X975">
        <v>0.99795230000000001</v>
      </c>
      <c r="Y975">
        <v>3.1861830000000001E-2</v>
      </c>
      <c r="Z975">
        <v>-4.4699079999999998E-4</v>
      </c>
      <c r="AA975">
        <v>0.99949219999999905</v>
      </c>
      <c r="AB975">
        <v>31</v>
      </c>
      <c r="AC975">
        <v>56.790599999999898</v>
      </c>
      <c r="AD975">
        <v>-1.103011225278</v>
      </c>
      <c r="AE975">
        <v>-1.5956000000000401</v>
      </c>
      <c r="AF975">
        <v>1.8149112913610701</v>
      </c>
      <c r="AG975">
        <v>-1.103011225278</v>
      </c>
      <c r="AH975">
        <v>56.762596771780501</v>
      </c>
      <c r="AI975">
        <v>91.112663470729899</v>
      </c>
      <c r="AJ975">
        <v>88.168664773111004</v>
      </c>
      <c r="AK975">
        <v>56.802314468992698</v>
      </c>
      <c r="AL975">
        <v>93.501201326086701</v>
      </c>
      <c r="AM975">
        <v>88.908058060135005</v>
      </c>
      <c r="AN975">
        <v>1.00000004078667</v>
      </c>
    </row>
    <row r="976" spans="1:40" x14ac:dyDescent="0.25">
      <c r="A976" t="str">
        <f>"20190303154747814"</f>
        <v>20190303154747814</v>
      </c>
      <c r="B976" t="str">
        <f>"1551599267812067"</f>
        <v>1551599267812067</v>
      </c>
      <c r="C976" t="s">
        <v>40</v>
      </c>
      <c r="D976">
        <v>5.0608940000000002</v>
      </c>
      <c r="E976">
        <v>0.50455819999999996</v>
      </c>
      <c r="F976" t="s">
        <v>41</v>
      </c>
      <c r="G976">
        <v>-219.32589999999999</v>
      </c>
      <c r="H976" s="1">
        <v>-1.13267E-6</v>
      </c>
      <c r="I976">
        <v>366.16930000000002</v>
      </c>
      <c r="J976">
        <v>-275.67779999999999</v>
      </c>
      <c r="K976">
        <v>1.104382</v>
      </c>
      <c r="L976">
        <v>367.74869999999999</v>
      </c>
      <c r="M976">
        <v>0.99997689999999995</v>
      </c>
      <c r="N976">
        <v>-5.5912369999999998E-3</v>
      </c>
      <c r="O976">
        <v>3.8805549999999999E-3</v>
      </c>
      <c r="P976">
        <v>0.99767539999999999</v>
      </c>
      <c r="Q976">
        <v>-6.6436319999999993E-2</v>
      </c>
      <c r="R976">
        <v>-1.517341E-2</v>
      </c>
      <c r="S976">
        <v>3.00177</v>
      </c>
      <c r="T976">
        <v>-5.8568599999999998E-2</v>
      </c>
      <c r="U976">
        <v>-8.3831790000000003E-2</v>
      </c>
      <c r="V976">
        <v>1.904434E-2</v>
      </c>
      <c r="W976">
        <v>-6.0857609999999999E-2</v>
      </c>
      <c r="X976">
        <v>0.99796470000000004</v>
      </c>
      <c r="Y976">
        <v>3.1787309999999999E-2</v>
      </c>
      <c r="Z976">
        <v>-4.5291329999999999E-4</v>
      </c>
      <c r="AA976">
        <v>0.99949460000000001</v>
      </c>
      <c r="AB976">
        <v>31</v>
      </c>
      <c r="AC976">
        <v>56.351900000000001</v>
      </c>
      <c r="AD976">
        <v>-1.10438313267</v>
      </c>
      <c r="AE976">
        <v>-1.5793999999999599</v>
      </c>
      <c r="AF976">
        <v>1.79737836363723</v>
      </c>
      <c r="AG976">
        <v>-1.10438313267</v>
      </c>
      <c r="AH976">
        <v>56.323730774025698</v>
      </c>
      <c r="AI976">
        <v>91.122727533876699</v>
      </c>
      <c r="AJ976">
        <v>88.172222309884006</v>
      </c>
      <c r="AK976">
        <v>56.363222755540903</v>
      </c>
      <c r="AL976">
        <v>93.489040378140601</v>
      </c>
      <c r="AM976">
        <v>88.9067470228036</v>
      </c>
      <c r="AN976">
        <v>0.99999993901351703</v>
      </c>
    </row>
    <row r="977" spans="1:40" x14ac:dyDescent="0.25">
      <c r="A977" t="str">
        <f>"20190303154747829"</f>
        <v>20190303154747829</v>
      </c>
      <c r="B977" t="str">
        <f>"1551599267821827"</f>
        <v>1551599267821827</v>
      </c>
      <c r="C977" t="s">
        <v>40</v>
      </c>
      <c r="D977">
        <v>4.9547689999999998</v>
      </c>
      <c r="E977">
        <v>0.50454109999999996</v>
      </c>
      <c r="F977" t="s">
        <v>41</v>
      </c>
      <c r="G977">
        <v>-219.43770000000001</v>
      </c>
      <c r="H977" s="1">
        <v>-1.093341E-6</v>
      </c>
      <c r="I977">
        <v>366.17410000000001</v>
      </c>
      <c r="J977">
        <v>-275.47570000000002</v>
      </c>
      <c r="K977">
        <v>1.105836</v>
      </c>
      <c r="L977">
        <v>367.74950000000001</v>
      </c>
      <c r="M977">
        <v>0.99997499999999995</v>
      </c>
      <c r="N977">
        <v>-5.9179769999999996E-3</v>
      </c>
      <c r="O977">
        <v>3.8878379999999998E-3</v>
      </c>
      <c r="P977">
        <v>0.99765040000000005</v>
      </c>
      <c r="Q977">
        <v>-6.6813349999999994E-2</v>
      </c>
      <c r="R977">
        <v>-1.5157459999999999E-2</v>
      </c>
      <c r="S977">
        <v>3.0018009999999999</v>
      </c>
      <c r="T977">
        <v>-5.8946129999999999E-2</v>
      </c>
      <c r="U977">
        <v>-8.4045410000000001E-2</v>
      </c>
      <c r="V977">
        <v>1.9035650000000001E-2</v>
      </c>
      <c r="W977">
        <v>-6.0908650000000002E-2</v>
      </c>
      <c r="X977">
        <v>0.99796180000000001</v>
      </c>
      <c r="Y977">
        <v>3.1865190000000002E-2</v>
      </c>
      <c r="Z977">
        <v>-4.6041739999999999E-4</v>
      </c>
      <c r="AA977">
        <v>0.99949200000000005</v>
      </c>
      <c r="AB977">
        <v>31</v>
      </c>
      <c r="AC977">
        <v>56.037999999999997</v>
      </c>
      <c r="AD977">
        <v>-1.105837093341</v>
      </c>
      <c r="AE977">
        <v>-1.5753999999999999</v>
      </c>
      <c r="AF977">
        <v>1.7925610532860801</v>
      </c>
      <c r="AG977">
        <v>-1.105837093341</v>
      </c>
      <c r="AH977">
        <v>56.009657465838302</v>
      </c>
      <c r="AI977">
        <v>91.1305042457832</v>
      </c>
      <c r="AJ977">
        <v>88.166902956552605</v>
      </c>
      <c r="AK977">
        <v>56.049245135392397</v>
      </c>
      <c r="AL977">
        <v>93.491970022439205</v>
      </c>
      <c r="AM977">
        <v>88.907242582341198</v>
      </c>
      <c r="AN977">
        <v>0.99999998693749204</v>
      </c>
    </row>
    <row r="978" spans="1:40" x14ac:dyDescent="0.25">
      <c r="A978" t="str">
        <f>"20190303154747840"</f>
        <v>20190303154747840</v>
      </c>
      <c r="B978" t="str">
        <f>"1551599267832093"</f>
        <v>1551599267832093</v>
      </c>
      <c r="C978" t="s">
        <v>40</v>
      </c>
      <c r="D978">
        <v>4.9383970000000001</v>
      </c>
      <c r="E978">
        <v>0.50451309999999905</v>
      </c>
      <c r="F978" t="s">
        <v>41</v>
      </c>
      <c r="G978">
        <v>-220.19929999999999</v>
      </c>
      <c r="H978" s="1">
        <v>-4.7924839999999998E-6</v>
      </c>
      <c r="I978">
        <v>366.20179999999999</v>
      </c>
      <c r="J978">
        <v>-275.3141</v>
      </c>
      <c r="K978">
        <v>1.1069519999999999</v>
      </c>
      <c r="L978">
        <v>367.75020000000001</v>
      </c>
      <c r="M978">
        <v>0.99997340000000001</v>
      </c>
      <c r="N978">
        <v>-6.1790880000000001E-3</v>
      </c>
      <c r="O978">
        <v>3.8937809999999998E-3</v>
      </c>
      <c r="P978">
        <v>0.99764019999999998</v>
      </c>
      <c r="Q978">
        <v>-6.6970119999999994E-2</v>
      </c>
      <c r="R978">
        <v>-1.514451E-2</v>
      </c>
      <c r="S978">
        <v>3.00177</v>
      </c>
      <c r="T978">
        <v>-6.005228E-2</v>
      </c>
      <c r="U978">
        <v>-8.4045410000000001E-2</v>
      </c>
      <c r="V978">
        <v>1.90285E-2</v>
      </c>
      <c r="W978">
        <v>-6.0804900000000002E-2</v>
      </c>
      <c r="X978">
        <v>0.99796830000000003</v>
      </c>
      <c r="Y978">
        <v>3.187106E-2</v>
      </c>
      <c r="Z978">
        <v>-4.7102770000000002E-4</v>
      </c>
      <c r="AA978">
        <v>0.99949189999999999</v>
      </c>
      <c r="AB978">
        <v>31</v>
      </c>
      <c r="AC978">
        <v>55.114800000000002</v>
      </c>
      <c r="AD978">
        <v>-1.106956792484</v>
      </c>
      <c r="AE978">
        <v>-1.54840000000001</v>
      </c>
      <c r="AF978">
        <v>1.76228697630246</v>
      </c>
      <c r="AG978">
        <v>-1.106956792484</v>
      </c>
      <c r="AH978">
        <v>55.086149261423799</v>
      </c>
      <c r="AI978">
        <v>91.150615905894995</v>
      </c>
      <c r="AJ978">
        <v>88.167648639138605</v>
      </c>
      <c r="AK978">
        <v>55.125446476007198</v>
      </c>
      <c r="AL978">
        <v>93.486014418357499</v>
      </c>
      <c r="AM978">
        <v>88.907660047590397</v>
      </c>
      <c r="AN978">
        <v>1.00000002374057</v>
      </c>
    </row>
    <row r="979" spans="1:40" x14ac:dyDescent="0.25">
      <c r="A979" t="str">
        <f>"20190303154747852"</f>
        <v>20190303154747852</v>
      </c>
      <c r="B979" t="str">
        <f>"1551599267841854"</f>
        <v>1551599267841854</v>
      </c>
      <c r="C979" t="s">
        <v>40</v>
      </c>
      <c r="D979">
        <v>4.9141139999999996</v>
      </c>
      <c r="E979">
        <v>0.50452819999999998</v>
      </c>
      <c r="F979" t="s">
        <v>41</v>
      </c>
      <c r="G979">
        <v>-220.50319999999999</v>
      </c>
      <c r="H979" s="1">
        <v>-4.6577000000000003E-6</v>
      </c>
      <c r="I979">
        <v>366.22660000000002</v>
      </c>
      <c r="J979">
        <v>-275.14409999999998</v>
      </c>
      <c r="K979">
        <v>1.108012</v>
      </c>
      <c r="L979">
        <v>367.75080000000003</v>
      </c>
      <c r="M979">
        <v>0.99997170000000002</v>
      </c>
      <c r="N979">
        <v>-6.4457949999999998E-3</v>
      </c>
      <c r="O979">
        <v>3.9006829999999998E-3</v>
      </c>
      <c r="P979">
        <v>0.99762470000000003</v>
      </c>
      <c r="Q979">
        <v>-6.7190219999999995E-2</v>
      </c>
      <c r="R979">
        <v>-1.5190179999999999E-2</v>
      </c>
      <c r="S979">
        <v>3.0017399999999999</v>
      </c>
      <c r="T979">
        <v>-6.0622809999999999E-2</v>
      </c>
      <c r="U979">
        <v>-8.3435060000000005E-2</v>
      </c>
      <c r="V979">
        <v>1.9081069999999999E-2</v>
      </c>
      <c r="W979">
        <v>-6.0758930000000003E-2</v>
      </c>
      <c r="X979">
        <v>0.99797000000000002</v>
      </c>
      <c r="Y979">
        <v>3.1675000000000002E-2</v>
      </c>
      <c r="Z979">
        <v>-4.7549700000000002E-4</v>
      </c>
      <c r="AA979">
        <v>0.99949809999999994</v>
      </c>
      <c r="AB979">
        <v>32</v>
      </c>
      <c r="AC979">
        <v>54.640899999999903</v>
      </c>
      <c r="AD979">
        <v>-1.1080166576999999</v>
      </c>
      <c r="AE979">
        <v>-1.5242</v>
      </c>
      <c r="AF979">
        <v>1.73661609642516</v>
      </c>
      <c r="AG979">
        <v>-1.1080166576999999</v>
      </c>
      <c r="AH979">
        <v>54.612099517002598</v>
      </c>
      <c r="AI979">
        <v>91.161718925422704</v>
      </c>
      <c r="AJ979">
        <v>88.178659009053604</v>
      </c>
      <c r="AK979">
        <v>54.650937320736801</v>
      </c>
      <c r="AL979">
        <v>93.483375986965598</v>
      </c>
      <c r="AM979">
        <v>88.904644841801598</v>
      </c>
      <c r="AN979">
        <v>0.99999992785354197</v>
      </c>
    </row>
    <row r="980" spans="1:40" x14ac:dyDescent="0.25">
      <c r="A980" t="str">
        <f>"20190303154747865"</f>
        <v>20190303154747865</v>
      </c>
      <c r="B980" t="str">
        <f>"1551599267861373"</f>
        <v>1551599267861373</v>
      </c>
      <c r="C980" t="s">
        <v>40</v>
      </c>
      <c r="D980">
        <v>4.8553089999999903</v>
      </c>
      <c r="E980">
        <v>0.50448850000000001</v>
      </c>
      <c r="F980" t="s">
        <v>41</v>
      </c>
      <c r="G980">
        <v>-220.87790000000001</v>
      </c>
      <c r="H980" s="1">
        <v>-4.4954119999999997E-6</v>
      </c>
      <c r="I980">
        <v>366.2353</v>
      </c>
      <c r="J980">
        <v>-274.97910000000002</v>
      </c>
      <c r="K980">
        <v>1.1090120000000001</v>
      </c>
      <c r="L980">
        <v>367.75150000000002</v>
      </c>
      <c r="M980">
        <v>0.99997000000000003</v>
      </c>
      <c r="N980">
        <v>-6.7002349999999997E-3</v>
      </c>
      <c r="O980">
        <v>3.90741E-3</v>
      </c>
      <c r="P980">
        <v>0.99762390000000001</v>
      </c>
      <c r="Q980">
        <v>-6.7179429999999998E-2</v>
      </c>
      <c r="R980">
        <v>-1.528551E-2</v>
      </c>
      <c r="S980">
        <v>3.0017399999999999</v>
      </c>
      <c r="T980">
        <v>-6.1290030000000002E-2</v>
      </c>
      <c r="U980">
        <v>-8.3831790000000003E-2</v>
      </c>
      <c r="V980">
        <v>1.9183160000000001E-2</v>
      </c>
      <c r="W980">
        <v>-6.0494239999999998E-2</v>
      </c>
      <c r="X980">
        <v>0.99798419999999999</v>
      </c>
      <c r="Y980">
        <v>3.181345E-2</v>
      </c>
      <c r="Z980">
        <v>-4.8489010000000001E-4</v>
      </c>
      <c r="AA980">
        <v>0.99949370000000004</v>
      </c>
      <c r="AB980">
        <v>32</v>
      </c>
      <c r="AC980">
        <v>54.101199999999999</v>
      </c>
      <c r="AD980">
        <v>-1.1090164954119901</v>
      </c>
      <c r="AE980">
        <v>-1.51620000000002</v>
      </c>
      <c r="AF980">
        <v>1.7268636539911499</v>
      </c>
      <c r="AG980">
        <v>-1.1090164954119901</v>
      </c>
      <c r="AH980">
        <v>54.0721588157787</v>
      </c>
      <c r="AI980">
        <v>91.174369449230795</v>
      </c>
      <c r="AJ980">
        <v>88.170807601104798</v>
      </c>
      <c r="AK980">
        <v>54.111092528846299</v>
      </c>
      <c r="AL980">
        <v>93.468182149480398</v>
      </c>
      <c r="AM980">
        <v>88.898801435734995</v>
      </c>
      <c r="AN980">
        <v>1.0000000050752</v>
      </c>
    </row>
    <row r="981" spans="1:40" x14ac:dyDescent="0.25">
      <c r="A981" t="str">
        <f>"20190303154747876"</f>
        <v>20190303154747876</v>
      </c>
      <c r="B981" t="str">
        <f>"1551599267871134"</f>
        <v>1551599267871134</v>
      </c>
      <c r="C981" t="s">
        <v>40</v>
      </c>
      <c r="D981">
        <v>4.8800460000000001</v>
      </c>
      <c r="E981">
        <v>0.50447929999999996</v>
      </c>
      <c r="F981" t="s">
        <v>41</v>
      </c>
      <c r="G981">
        <v>-220.7978</v>
      </c>
      <c r="H981" s="1">
        <v>-4.5293680000000002E-6</v>
      </c>
      <c r="I981">
        <v>366.23770000000002</v>
      </c>
      <c r="J981">
        <v>-274.80869999999999</v>
      </c>
      <c r="K981">
        <v>1.1099589999999999</v>
      </c>
      <c r="L981">
        <v>367.75209999999998</v>
      </c>
      <c r="M981">
        <v>0.99996830000000003</v>
      </c>
      <c r="N981">
        <v>-6.9544560000000004E-3</v>
      </c>
      <c r="O981">
        <v>3.9151170000000001E-3</v>
      </c>
      <c r="P981">
        <v>0.99762949999999995</v>
      </c>
      <c r="Q981">
        <v>-6.7064760000000001E-2</v>
      </c>
      <c r="R981">
        <v>-1.543311E-2</v>
      </c>
      <c r="S981">
        <v>3.001709</v>
      </c>
      <c r="T981">
        <v>-6.1440710000000003E-2</v>
      </c>
      <c r="U981">
        <v>-8.3862300000000001E-2</v>
      </c>
      <c r="V981">
        <v>1.933824E-2</v>
      </c>
      <c r="W981">
        <v>-6.0125850000000002E-2</v>
      </c>
      <c r="X981">
        <v>0.99800350000000004</v>
      </c>
      <c r="Y981">
        <v>3.1831480000000002E-2</v>
      </c>
      <c r="Z981">
        <v>-4.8929210000000004E-4</v>
      </c>
      <c r="AA981">
        <v>0.99949310000000002</v>
      </c>
      <c r="AB981">
        <v>32</v>
      </c>
      <c r="AC981">
        <v>54.0108999999999</v>
      </c>
      <c r="AD981">
        <v>-1.1099635293679999</v>
      </c>
      <c r="AE981">
        <v>-1.51439999999996</v>
      </c>
      <c r="AF981">
        <v>1.72512446445848</v>
      </c>
      <c r="AG981">
        <v>-1.1099635293679999</v>
      </c>
      <c r="AH981">
        <v>53.981776485597798</v>
      </c>
      <c r="AI981">
        <v>91.177338597042393</v>
      </c>
      <c r="AJ981">
        <v>88.169591123495906</v>
      </c>
      <c r="AK981">
        <v>54.0207392211125</v>
      </c>
      <c r="AL981">
        <v>93.447036359952307</v>
      </c>
      <c r="AM981">
        <v>88.889922836278799</v>
      </c>
      <c r="AN981">
        <v>1.00000003568838</v>
      </c>
    </row>
    <row r="982" spans="1:40" x14ac:dyDescent="0.25">
      <c r="A982" t="str">
        <f>"20190303154747887"</f>
        <v>20190303154747887</v>
      </c>
      <c r="B982" t="str">
        <f>"1551599267881870"</f>
        <v>1551599267881870</v>
      </c>
      <c r="C982" t="s">
        <v>40</v>
      </c>
      <c r="D982">
        <v>4.8355439999999996</v>
      </c>
      <c r="E982">
        <v>0.50449679999999997</v>
      </c>
      <c r="F982" t="s">
        <v>41</v>
      </c>
      <c r="G982">
        <v>-220.4982</v>
      </c>
      <c r="H982" s="1">
        <v>-4.6598569999999999E-6</v>
      </c>
      <c r="I982">
        <v>366.22649999999999</v>
      </c>
      <c r="J982">
        <v>-274.65219999999999</v>
      </c>
      <c r="K982">
        <v>1.110765</v>
      </c>
      <c r="L982">
        <v>367.7527</v>
      </c>
      <c r="M982">
        <v>0.99996660000000004</v>
      </c>
      <c r="N982">
        <v>-7.1788279999999999E-3</v>
      </c>
      <c r="O982">
        <v>3.9225420000000002E-3</v>
      </c>
      <c r="P982">
        <v>0.99764850000000005</v>
      </c>
      <c r="Q982">
        <v>-6.6768679999999997E-2</v>
      </c>
      <c r="R982">
        <v>-1.548131E-2</v>
      </c>
      <c r="S982">
        <v>3.0016780000000001</v>
      </c>
      <c r="T982">
        <v>-6.1346289999999998E-2</v>
      </c>
      <c r="U982">
        <v>-8.4320069999999997E-2</v>
      </c>
      <c r="V982">
        <v>1.9393819999999999E-2</v>
      </c>
      <c r="W982">
        <v>-5.9605720000000001E-2</v>
      </c>
      <c r="X982">
        <v>0.99803359999999997</v>
      </c>
      <c r="Y982">
        <v>3.1991409999999998E-2</v>
      </c>
      <c r="Z982">
        <v>-4.9367300000000003E-4</v>
      </c>
      <c r="AA982">
        <v>0.99948800000000004</v>
      </c>
      <c r="AB982">
        <v>32</v>
      </c>
      <c r="AC982">
        <v>54.154000000000003</v>
      </c>
      <c r="AD982">
        <v>-1.110769659857</v>
      </c>
      <c r="AE982">
        <v>-1.52620000000001</v>
      </c>
      <c r="AF982">
        <v>1.7378844862545599</v>
      </c>
      <c r="AG982">
        <v>-1.110769659857</v>
      </c>
      <c r="AH982">
        <v>54.124843617443403</v>
      </c>
      <c r="AI982">
        <v>91.175074310935699</v>
      </c>
      <c r="AJ982">
        <v>88.160932363602797</v>
      </c>
      <c r="AK982">
        <v>54.164127873875401</v>
      </c>
      <c r="AL982">
        <v>93.417181633135201</v>
      </c>
      <c r="AM982">
        <v>88.886766734241505</v>
      </c>
      <c r="AN982">
        <v>1.0000000144199299</v>
      </c>
    </row>
    <row r="983" spans="1:40" x14ac:dyDescent="0.25">
      <c r="A983" t="str">
        <f>"20190303154747898"</f>
        <v>20190303154747898</v>
      </c>
      <c r="B983" t="str">
        <f>"1551599267891630"</f>
        <v>1551599267891630</v>
      </c>
      <c r="C983" t="s">
        <v>40</v>
      </c>
      <c r="D983">
        <v>4.8471529999999996</v>
      </c>
      <c r="E983">
        <v>0.50451429999999997</v>
      </c>
      <c r="F983" t="s">
        <v>41</v>
      </c>
      <c r="G983">
        <v>-219.38679999999999</v>
      </c>
      <c r="H983" s="1">
        <v>-1.1044359999999999E-6</v>
      </c>
      <c r="I983">
        <v>366.19749999999999</v>
      </c>
      <c r="J983">
        <v>-274.49459999999999</v>
      </c>
      <c r="K983">
        <v>1.111548</v>
      </c>
      <c r="L983">
        <v>367.7534</v>
      </c>
      <c r="M983">
        <v>0.99996479999999999</v>
      </c>
      <c r="N983">
        <v>-7.3996629999999999E-3</v>
      </c>
      <c r="O983">
        <v>3.9298359999999999E-3</v>
      </c>
      <c r="P983">
        <v>0.99764319999999895</v>
      </c>
      <c r="Q983">
        <v>-6.6802529999999999E-2</v>
      </c>
      <c r="R983">
        <v>-1.5669240000000001E-2</v>
      </c>
      <c r="S983">
        <v>3.0016780000000001</v>
      </c>
      <c r="T983">
        <v>-6.033003E-2</v>
      </c>
      <c r="U983">
        <v>-8.4472660000000005E-2</v>
      </c>
      <c r="V983">
        <v>1.958903E-2</v>
      </c>
      <c r="W983">
        <v>-5.9419239999999998E-2</v>
      </c>
      <c r="X983">
        <v>0.99804090000000001</v>
      </c>
      <c r="Y983">
        <v>3.2049670000000002E-2</v>
      </c>
      <c r="Z983">
        <v>-4.9049339999999997E-4</v>
      </c>
      <c r="AA983">
        <v>0.99948610000000004</v>
      </c>
      <c r="AB983">
        <v>32</v>
      </c>
      <c r="AC983">
        <v>55.107799999999997</v>
      </c>
      <c r="AD983">
        <v>-1.111549104436</v>
      </c>
      <c r="AE983">
        <v>-1.5559000000000001</v>
      </c>
      <c r="AF983">
        <v>1.7717382998378199</v>
      </c>
      <c r="AG983">
        <v>-1.111549104436</v>
      </c>
      <c r="AH983">
        <v>55.078869017394801</v>
      </c>
      <c r="AI983">
        <v>91.155534217339493</v>
      </c>
      <c r="AJ983">
        <v>88.157584978521299</v>
      </c>
      <c r="AK983">
        <v>55.118566837772697</v>
      </c>
      <c r="AL983">
        <v>93.406478169914195</v>
      </c>
      <c r="AM983">
        <v>88.875572483377297</v>
      </c>
      <c r="AN983">
        <v>1.0000000071256601</v>
      </c>
    </row>
    <row r="984" spans="1:40" x14ac:dyDescent="0.25">
      <c r="A984" t="str">
        <f>"20190303154747910"</f>
        <v>20190303154747910</v>
      </c>
      <c r="B984" t="str">
        <f>"1551599267901389"</f>
        <v>1551599267901389</v>
      </c>
      <c r="C984" t="s">
        <v>40</v>
      </c>
      <c r="D984">
        <v>4.8319779999999897</v>
      </c>
      <c r="E984">
        <v>0.50451000000000001</v>
      </c>
      <c r="F984" t="s">
        <v>41</v>
      </c>
      <c r="G984">
        <v>-219.2448</v>
      </c>
      <c r="H984" s="1">
        <v>-1.156067E-6</v>
      </c>
      <c r="I984">
        <v>366.18509999999998</v>
      </c>
      <c r="J984">
        <v>-274.34050000000002</v>
      </c>
      <c r="K984">
        <v>1.112231</v>
      </c>
      <c r="L984">
        <v>367.75400000000002</v>
      </c>
      <c r="M984">
        <v>0.99996339999999995</v>
      </c>
      <c r="N984">
        <v>-7.6066930000000003E-3</v>
      </c>
      <c r="O984">
        <v>3.9364450000000002E-3</v>
      </c>
      <c r="P984">
        <v>0.99765250000000005</v>
      </c>
      <c r="Q984">
        <v>-6.6638580000000003E-2</v>
      </c>
      <c r="R984">
        <v>-1.578481E-2</v>
      </c>
      <c r="S984">
        <v>3.0016780000000001</v>
      </c>
      <c r="T984">
        <v>-6.0389520000000002E-2</v>
      </c>
      <c r="U984">
        <v>-8.5205080000000002E-2</v>
      </c>
      <c r="V984">
        <v>1.9711300000000001E-2</v>
      </c>
      <c r="W984">
        <v>-5.9048589999999998E-2</v>
      </c>
      <c r="X984">
        <v>0.99806050000000002</v>
      </c>
      <c r="Y984">
        <v>3.2299830000000002E-2</v>
      </c>
      <c r="Z984">
        <v>-4.9694339999999896E-4</v>
      </c>
      <c r="AA984">
        <v>0.99947810000000004</v>
      </c>
      <c r="AB984">
        <v>32</v>
      </c>
      <c r="AC984">
        <v>55.095700000000001</v>
      </c>
      <c r="AD984">
        <v>-1.1122321560670001</v>
      </c>
      <c r="AE984">
        <v>-1.5689000000000399</v>
      </c>
      <c r="AF984">
        <v>1.78504842962115</v>
      </c>
      <c r="AG984">
        <v>-1.1122321560670001</v>
      </c>
      <c r="AH984">
        <v>55.066674108973203</v>
      </c>
      <c r="AI984">
        <v>91.156490813759405</v>
      </c>
      <c r="AJ984">
        <v>88.143342747694405</v>
      </c>
      <c r="AK984">
        <v>55.106824039214402</v>
      </c>
      <c r="AL984">
        <v>93.385204103076504</v>
      </c>
      <c r="AM984">
        <v>88.868578110479007</v>
      </c>
      <c r="AN984">
        <v>1.00000001649446</v>
      </c>
    </row>
    <row r="985" spans="1:40" x14ac:dyDescent="0.25">
      <c r="A985" t="str">
        <f>"20190303154747921"</f>
        <v>20190303154747921</v>
      </c>
      <c r="B985" t="str">
        <f>"1551599267911149"</f>
        <v>1551599267911149</v>
      </c>
      <c r="C985" t="s">
        <v>40</v>
      </c>
      <c r="D985">
        <v>4.8740800000000002</v>
      </c>
      <c r="E985">
        <v>0.50451000000000001</v>
      </c>
      <c r="F985" t="s">
        <v>41</v>
      </c>
      <c r="G985">
        <v>-218.65119999999999</v>
      </c>
      <c r="H985" s="1">
        <v>-1.3639439999999999E-6</v>
      </c>
      <c r="I985">
        <v>366.16300000000001</v>
      </c>
      <c r="J985">
        <v>-274.17520000000002</v>
      </c>
      <c r="K985">
        <v>1.1129439999999999</v>
      </c>
      <c r="L985">
        <v>367.75470000000001</v>
      </c>
      <c r="M985">
        <v>0.99996169999999995</v>
      </c>
      <c r="N985">
        <v>-7.8264289999999993E-3</v>
      </c>
      <c r="O985">
        <v>3.9438169999999996E-3</v>
      </c>
      <c r="P985">
        <v>0.9976486</v>
      </c>
      <c r="Q985">
        <v>-6.6645700000000002E-2</v>
      </c>
      <c r="R985">
        <v>-1.5998200000000001E-2</v>
      </c>
      <c r="S985">
        <v>3.001709</v>
      </c>
      <c r="T985">
        <v>-5.9950349999999999E-2</v>
      </c>
      <c r="U985">
        <v>-8.575439E-2</v>
      </c>
      <c r="V985">
        <v>1.9931999999999998E-2</v>
      </c>
      <c r="W985">
        <v>-5.883642E-2</v>
      </c>
      <c r="X985">
        <v>0.99806859999999997</v>
      </c>
      <c r="Y985">
        <v>3.248968E-2</v>
      </c>
      <c r="Z985">
        <v>-4.9941449999999995E-4</v>
      </c>
      <c r="AA985">
        <v>0.99947200000000003</v>
      </c>
      <c r="AB985">
        <v>32</v>
      </c>
      <c r="AC985">
        <v>55.524000000000001</v>
      </c>
      <c r="AD985">
        <v>-1.1129453639439999</v>
      </c>
      <c r="AE985">
        <v>-1.5916999999999999</v>
      </c>
      <c r="AF985">
        <v>1.8099442011703699</v>
      </c>
      <c r="AG985">
        <v>-1.1129453639439999</v>
      </c>
      <c r="AH985">
        <v>55.495012235987197</v>
      </c>
      <c r="AI985">
        <v>91.148295109005403</v>
      </c>
      <c r="AJ985">
        <v>88.131986758034202</v>
      </c>
      <c r="AK985">
        <v>55.535672575983497</v>
      </c>
      <c r="AL985">
        <v>93.373026643732999</v>
      </c>
      <c r="AM985">
        <v>88.855922636889005</v>
      </c>
      <c r="AN985">
        <v>0.99999996962418702</v>
      </c>
    </row>
    <row r="986" spans="1:40" x14ac:dyDescent="0.25">
      <c r="A986" t="str">
        <f>"20190303154747936"</f>
        <v>20190303154747936</v>
      </c>
      <c r="B986" t="str">
        <f>"1551599267931649"</f>
        <v>1551599267931649</v>
      </c>
      <c r="C986" t="s">
        <v>40</v>
      </c>
      <c r="D986">
        <v>4.8141569999999998</v>
      </c>
      <c r="E986">
        <v>0.50512109999999899</v>
      </c>
      <c r="F986" t="s">
        <v>41</v>
      </c>
      <c r="G986">
        <v>-218.47409999999999</v>
      </c>
      <c r="H986" s="1">
        <v>-1.4265490000000001E-6</v>
      </c>
      <c r="I986">
        <v>366.15429999999998</v>
      </c>
      <c r="J986">
        <v>-273.96050000000002</v>
      </c>
      <c r="K986">
        <v>1.113766</v>
      </c>
      <c r="L986">
        <v>367.75549999999998</v>
      </c>
      <c r="M986">
        <v>0.9999593</v>
      </c>
      <c r="N986">
        <v>-8.1028790000000003E-3</v>
      </c>
      <c r="O986">
        <v>3.9531430000000001E-3</v>
      </c>
      <c r="P986">
        <v>0.997645</v>
      </c>
      <c r="Q986">
        <v>-6.6618430000000006E-2</v>
      </c>
      <c r="R986">
        <v>-1.6330259999999999E-2</v>
      </c>
      <c r="S986">
        <v>3.0016780000000001</v>
      </c>
      <c r="T986">
        <v>-5.9975390000000003E-2</v>
      </c>
      <c r="U986">
        <v>-8.6242680000000002E-2</v>
      </c>
      <c r="V986">
        <v>2.0273289999999999E-2</v>
      </c>
      <c r="W986">
        <v>-5.8533269999999998E-2</v>
      </c>
      <c r="X986">
        <v>0.99807959999999996</v>
      </c>
      <c r="Y986">
        <v>3.2661610000000001E-2</v>
      </c>
      <c r="Z986">
        <v>-5.0551389999999995E-4</v>
      </c>
      <c r="AA986">
        <v>0.99946639999999998</v>
      </c>
      <c r="AB986">
        <v>32</v>
      </c>
      <c r="AC986">
        <v>55.486400000000003</v>
      </c>
      <c r="AD986">
        <v>-1.1137674265490001</v>
      </c>
      <c r="AE986">
        <v>-1.6012</v>
      </c>
      <c r="AF986">
        <v>1.8198077533313901</v>
      </c>
      <c r="AG986">
        <v>-1.1137674265490001</v>
      </c>
      <c r="AH986">
        <v>55.457310318466298</v>
      </c>
      <c r="AI986">
        <v>91.149916559934397</v>
      </c>
      <c r="AJ986">
        <v>88.120538077255205</v>
      </c>
      <c r="AK986">
        <v>55.498337325528901</v>
      </c>
      <c r="AL986">
        <v>93.355627275340893</v>
      </c>
      <c r="AM986">
        <v>88.836351086294798</v>
      </c>
      <c r="AN986">
        <v>1.0000000189602301</v>
      </c>
    </row>
    <row r="987" spans="1:40" x14ac:dyDescent="0.25">
      <c r="A987" t="str">
        <f>"20190303154747950"</f>
        <v>20190303154747950</v>
      </c>
      <c r="B987" t="str">
        <f>"1551599267941406"</f>
        <v>1551599267941406</v>
      </c>
      <c r="C987" t="s">
        <v>40</v>
      </c>
      <c r="D987">
        <v>4.7825220000000002</v>
      </c>
      <c r="E987">
        <v>0.55997069999999904</v>
      </c>
      <c r="F987" t="s">
        <v>41</v>
      </c>
      <c r="G987">
        <v>-218.3605</v>
      </c>
      <c r="H987" s="1">
        <v>-1.493416E-6</v>
      </c>
      <c r="I987">
        <v>366.04829999999998</v>
      </c>
      <c r="J987">
        <v>-273.77370000000002</v>
      </c>
      <c r="K987">
        <v>1.1144179999999999</v>
      </c>
      <c r="L987">
        <v>367.75630000000001</v>
      </c>
      <c r="M987">
        <v>0.9999574</v>
      </c>
      <c r="N987">
        <v>-8.3362530000000001E-3</v>
      </c>
      <c r="O987">
        <v>3.9609420000000003E-3</v>
      </c>
      <c r="P987">
        <v>0.997637</v>
      </c>
      <c r="Q987">
        <v>-6.6701090000000005E-2</v>
      </c>
      <c r="R987">
        <v>-1.6480720000000001E-2</v>
      </c>
      <c r="S987">
        <v>3.0015260000000001</v>
      </c>
      <c r="T987">
        <v>-6.0125829999999998E-2</v>
      </c>
      <c r="U987">
        <v>-9.2163090000000003E-2</v>
      </c>
      <c r="V987">
        <v>2.0431580000000001E-2</v>
      </c>
      <c r="W987">
        <v>-5.8383070000000002E-2</v>
      </c>
      <c r="X987">
        <v>0.99808509999999995</v>
      </c>
      <c r="Y987">
        <v>3.4639820000000002E-2</v>
      </c>
      <c r="Z987">
        <v>-5.3758110000000001E-4</v>
      </c>
      <c r="AA987">
        <v>0.9993997</v>
      </c>
      <c r="AB987">
        <v>32</v>
      </c>
      <c r="AC987">
        <v>55.413200000000003</v>
      </c>
      <c r="AD987">
        <v>-1.1144194934160001</v>
      </c>
      <c r="AE987">
        <v>-1.7080000000000199</v>
      </c>
      <c r="AF987">
        <v>1.9267041736119399</v>
      </c>
      <c r="AG987">
        <v>-1.1144194934160001</v>
      </c>
      <c r="AH987">
        <v>55.383620794687097</v>
      </c>
      <c r="AI987">
        <v>91.152043336329001</v>
      </c>
      <c r="AJ987">
        <v>88.007578503274104</v>
      </c>
      <c r="AK987">
        <v>55.428328245668901</v>
      </c>
      <c r="AL987">
        <v>93.347006939495998</v>
      </c>
      <c r="AM987">
        <v>88.827274524557595</v>
      </c>
      <c r="AN987">
        <v>0.99999994958296401</v>
      </c>
    </row>
    <row r="988" spans="1:40" x14ac:dyDescent="0.25">
      <c r="A988" t="str">
        <f>"20190303154747964"</f>
        <v>20190303154747964</v>
      </c>
      <c r="B988" t="str">
        <f>"1551599267961902"</f>
        <v>1551599267961902</v>
      </c>
      <c r="C988" t="s">
        <v>40</v>
      </c>
      <c r="D988">
        <v>4.9136199999999999</v>
      </c>
      <c r="E988">
        <v>0.56980690000000001</v>
      </c>
      <c r="F988" t="s">
        <v>46</v>
      </c>
      <c r="G988">
        <v>-209.214</v>
      </c>
      <c r="H988">
        <v>7.9987139999999998E-2</v>
      </c>
      <c r="I988">
        <v>356.32369999999997</v>
      </c>
      <c r="J988">
        <v>-273.56630000000001</v>
      </c>
      <c r="K988">
        <v>1.1150850000000001</v>
      </c>
      <c r="L988">
        <v>367.75709999999998</v>
      </c>
      <c r="M988">
        <v>0.99995520000000004</v>
      </c>
      <c r="N988">
        <v>-8.595821E-3</v>
      </c>
      <c r="O988">
        <v>3.9696150000000001E-3</v>
      </c>
      <c r="P988">
        <v>0.99761299999999997</v>
      </c>
      <c r="Q988">
        <v>-6.6962590000000002E-2</v>
      </c>
      <c r="R988">
        <v>-1.6866180000000001E-2</v>
      </c>
      <c r="S988">
        <v>2.9951479999999999</v>
      </c>
      <c r="T988">
        <v>-4.79908E-2</v>
      </c>
      <c r="U988">
        <v>-0.53039550000000002</v>
      </c>
      <c r="V988">
        <v>2.082579E-2</v>
      </c>
      <c r="W988">
        <v>-5.8385689999999997E-2</v>
      </c>
      <c r="X988">
        <v>0.99807690000000004</v>
      </c>
      <c r="Y988">
        <v>0.17824499999999999</v>
      </c>
      <c r="Z988">
        <v>-2.2182270000000001E-3</v>
      </c>
      <c r="AA988">
        <v>0.98398359999999996</v>
      </c>
      <c r="AB988">
        <v>32</v>
      </c>
      <c r="AC988">
        <v>64.3522999999999</v>
      </c>
      <c r="AD988">
        <v>-1.03509786</v>
      </c>
      <c r="AE988">
        <v>-11.433400000000001</v>
      </c>
      <c r="AF988">
        <v>11.685842320464999</v>
      </c>
      <c r="AG988">
        <v>-1.03509786</v>
      </c>
      <c r="AH988">
        <v>64.290280687230606</v>
      </c>
      <c r="AI988">
        <v>90.907536289768203</v>
      </c>
      <c r="AJ988">
        <v>79.698000094685597</v>
      </c>
      <c r="AK988">
        <v>65.351897670698406</v>
      </c>
      <c r="AL988">
        <v>93.347156973387001</v>
      </c>
      <c r="AM988">
        <v>88.804644466584094</v>
      </c>
      <c r="AN988">
        <v>1.0000000503197499</v>
      </c>
    </row>
    <row r="989" spans="1:40" x14ac:dyDescent="0.25">
      <c r="A989" t="str">
        <f>"20190303154747981"</f>
        <v>20190303154747981</v>
      </c>
      <c r="B989" t="str">
        <f>"1551599267971662"</f>
        <v>1551599267971662</v>
      </c>
      <c r="C989" t="s">
        <v>40</v>
      </c>
      <c r="D989">
        <v>4.8832940000000002</v>
      </c>
      <c r="E989">
        <v>0.57142599999999999</v>
      </c>
      <c r="F989" t="s">
        <v>46</v>
      </c>
      <c r="G989">
        <v>-204.1472</v>
      </c>
      <c r="H989">
        <v>7.998835E-2</v>
      </c>
      <c r="I989">
        <v>353.6182</v>
      </c>
      <c r="J989">
        <v>-273.33150000000001</v>
      </c>
      <c r="K989">
        <v>1.115775</v>
      </c>
      <c r="L989">
        <v>367.75799999999998</v>
      </c>
      <c r="M989">
        <v>0.99995259999999997</v>
      </c>
      <c r="N989">
        <v>-8.9021310000000006E-3</v>
      </c>
      <c r="O989">
        <v>3.9790600000000004E-3</v>
      </c>
      <c r="P989">
        <v>0.99757050000000003</v>
      </c>
      <c r="Q989">
        <v>-6.7564920000000001E-2</v>
      </c>
      <c r="R989">
        <v>-1.6972359999999999E-2</v>
      </c>
      <c r="S989">
        <v>2.9938660000000001</v>
      </c>
      <c r="T989">
        <v>-4.4641019999999997E-2</v>
      </c>
      <c r="U989">
        <v>-0.60977169999999903</v>
      </c>
      <c r="V989">
        <v>2.094118E-2</v>
      </c>
      <c r="W989">
        <v>-5.8682619999999998E-2</v>
      </c>
      <c r="X989">
        <v>0.99805699999999997</v>
      </c>
      <c r="Y989">
        <v>0.2034386</v>
      </c>
      <c r="Z989">
        <v>-2.4397149999999999E-3</v>
      </c>
      <c r="AA989">
        <v>0.97908470000000003</v>
      </c>
      <c r="AB989">
        <v>32</v>
      </c>
      <c r="AC989">
        <v>69.184299999999993</v>
      </c>
      <c r="AD989">
        <v>-1.0357866499999999</v>
      </c>
      <c r="AE989">
        <v>-14.139799999999999</v>
      </c>
      <c r="AF989">
        <v>14.4118866006585</v>
      </c>
      <c r="AG989">
        <v>-1.0357866499999999</v>
      </c>
      <c r="AH989">
        <v>69.112616933996307</v>
      </c>
      <c r="AI989">
        <v>90.840546223178606</v>
      </c>
      <c r="AJ989">
        <v>78.221045049743296</v>
      </c>
      <c r="AK989">
        <v>70.606863326732395</v>
      </c>
      <c r="AL989">
        <v>93.364199268542805</v>
      </c>
      <c r="AM989">
        <v>88.797999307693402</v>
      </c>
      <c r="AN989">
        <v>0.99999997907942795</v>
      </c>
    </row>
    <row r="990" spans="1:40" x14ac:dyDescent="0.25">
      <c r="A990" t="str">
        <f>"20190303154747993"</f>
        <v>20190303154747993</v>
      </c>
      <c r="B990" t="str">
        <f>"1551599267981422"</f>
        <v>1551599267981422</v>
      </c>
      <c r="C990" t="s">
        <v>40</v>
      </c>
      <c r="D990">
        <v>4.8567619999999998</v>
      </c>
      <c r="E990">
        <v>0.57241549999999997</v>
      </c>
      <c r="F990" t="s">
        <v>43</v>
      </c>
      <c r="G990">
        <v>-200.20670000000001</v>
      </c>
      <c r="H990">
        <v>-0.05</v>
      </c>
      <c r="I990">
        <v>352.53219999999999</v>
      </c>
      <c r="J990">
        <v>-273.15350000000001</v>
      </c>
      <c r="K990">
        <v>1.116241</v>
      </c>
      <c r="L990">
        <v>367.75869999999998</v>
      </c>
      <c r="M990">
        <v>0.99995020000000001</v>
      </c>
      <c r="N990">
        <v>-9.1584300000000004E-3</v>
      </c>
      <c r="O990">
        <v>3.9836330000000003E-3</v>
      </c>
      <c r="P990">
        <v>0.99754609999999999</v>
      </c>
      <c r="Q990">
        <v>-6.7914279999999994E-2</v>
      </c>
      <c r="R990">
        <v>-1.701484E-2</v>
      </c>
      <c r="S990">
        <v>2.9934690000000002</v>
      </c>
      <c r="T990">
        <v>-4.77227E-2</v>
      </c>
      <c r="U990">
        <v>-0.62329100000000004</v>
      </c>
      <c r="V990">
        <v>2.0988320000000001E-2</v>
      </c>
      <c r="W990">
        <v>-5.8776309999999998E-2</v>
      </c>
      <c r="X990">
        <v>0.99805049999999995</v>
      </c>
      <c r="Y990">
        <v>0.2077031</v>
      </c>
      <c r="Z990">
        <v>-2.6260279999999999E-3</v>
      </c>
      <c r="AA990">
        <v>0.97818839999999996</v>
      </c>
      <c r="AB990">
        <v>32</v>
      </c>
      <c r="AC990">
        <v>72.946799999999996</v>
      </c>
      <c r="AD990">
        <v>-1.1662410000000001</v>
      </c>
      <c r="AE990">
        <v>-15.2264999999999</v>
      </c>
      <c r="AF990">
        <v>15.5131849689476</v>
      </c>
      <c r="AG990">
        <v>-1.1662410000000001</v>
      </c>
      <c r="AH990">
        <v>72.867714301638301</v>
      </c>
      <c r="AI990">
        <v>90.8968396179515</v>
      </c>
      <c r="AJ990">
        <v>77.981438685346802</v>
      </c>
      <c r="AK990">
        <v>74.509883998675306</v>
      </c>
      <c r="AL990">
        <v>93.369576580740699</v>
      </c>
      <c r="AM990">
        <v>88.795286476499101</v>
      </c>
      <c r="AN990">
        <v>0.99999998237194399</v>
      </c>
    </row>
    <row r="991" spans="1:40" x14ac:dyDescent="0.25">
      <c r="A991" t="str">
        <f>"20190303154748004"</f>
        <v>20190303154748004</v>
      </c>
      <c r="B991" t="str">
        <f>"1551599268001918"</f>
        <v>1551599268001918</v>
      </c>
      <c r="C991" t="s">
        <v>40</v>
      </c>
      <c r="D991">
        <v>4.839747</v>
      </c>
      <c r="E991">
        <v>0.57359499999999997</v>
      </c>
      <c r="F991" t="s">
        <v>43</v>
      </c>
      <c r="G991">
        <v>-202.6987</v>
      </c>
      <c r="H991">
        <v>-0.05</v>
      </c>
      <c r="I991">
        <v>352.89870000000002</v>
      </c>
      <c r="J991">
        <v>-273.00689999999997</v>
      </c>
      <c r="K991">
        <v>1.1166100000000001</v>
      </c>
      <c r="L991">
        <v>367.7593</v>
      </c>
      <c r="M991">
        <v>0.99994810000000001</v>
      </c>
      <c r="N991">
        <v>-9.3761179999999993E-3</v>
      </c>
      <c r="O991">
        <v>3.9879909999999998E-3</v>
      </c>
      <c r="P991">
        <v>0.99750099999999997</v>
      </c>
      <c r="Q991">
        <v>-6.8545430000000004E-2</v>
      </c>
      <c r="R991">
        <v>-1.7126329999999999E-2</v>
      </c>
      <c r="S991">
        <v>2.9932249999999998</v>
      </c>
      <c r="T991">
        <v>-4.9546960000000001E-2</v>
      </c>
      <c r="U991">
        <v>-0.63131709999999996</v>
      </c>
      <c r="V991">
        <v>2.1104109999999999E-2</v>
      </c>
      <c r="W991">
        <v>-5.9190550000000001E-2</v>
      </c>
      <c r="X991">
        <v>0.99802360000000001</v>
      </c>
      <c r="Y991">
        <v>0.2102318</v>
      </c>
      <c r="Z991">
        <v>-2.745684E-3</v>
      </c>
      <c r="AA991">
        <v>0.97764770000000001</v>
      </c>
      <c r="AB991">
        <v>32</v>
      </c>
      <c r="AC991">
        <v>70.3081999999999</v>
      </c>
      <c r="AD991">
        <v>-1.1666099999999999</v>
      </c>
      <c r="AE991">
        <v>-14.8605999999999</v>
      </c>
      <c r="AF991">
        <v>15.136893323152201</v>
      </c>
      <c r="AG991">
        <v>-1.1666099999999999</v>
      </c>
      <c r="AH991">
        <v>70.229865427806402</v>
      </c>
      <c r="AI991">
        <v>90.930310885615697</v>
      </c>
      <c r="AJ991">
        <v>77.836902676658298</v>
      </c>
      <c r="AK991">
        <v>71.852073848820694</v>
      </c>
      <c r="AL991">
        <v>93.393352100984799</v>
      </c>
      <c r="AM991">
        <v>88.788609553630593</v>
      </c>
      <c r="AN991">
        <v>1.0000000054125699</v>
      </c>
    </row>
    <row r="992" spans="1:40" x14ac:dyDescent="0.25">
      <c r="A992" t="str">
        <f>"20190303154748015"</f>
        <v>20190303154748015</v>
      </c>
      <c r="B992" t="str">
        <f>"1551599268011678"</f>
        <v>1551599268011678</v>
      </c>
      <c r="C992" t="s">
        <v>40</v>
      </c>
      <c r="D992">
        <v>4.8319380000000001</v>
      </c>
      <c r="E992">
        <v>0.57372559999999995</v>
      </c>
      <c r="F992" t="s">
        <v>41</v>
      </c>
      <c r="G992">
        <v>-212.67230000000001</v>
      </c>
      <c r="H992">
        <v>7.9986249999999995E-2</v>
      </c>
      <c r="I992">
        <v>354.84519999999998</v>
      </c>
      <c r="J992">
        <v>-272.84660000000002</v>
      </c>
      <c r="K992">
        <v>1.1169789999999999</v>
      </c>
      <c r="L992">
        <v>367.75990000000002</v>
      </c>
      <c r="M992">
        <v>0.9999458</v>
      </c>
      <c r="N992">
        <v>-9.6263070000000006E-3</v>
      </c>
      <c r="O992">
        <v>3.9928159999999997E-3</v>
      </c>
      <c r="P992">
        <v>0.997479</v>
      </c>
      <c r="Q992">
        <v>-6.8940420000000002E-2</v>
      </c>
      <c r="R992">
        <v>-1.6826250000000001E-2</v>
      </c>
      <c r="S992">
        <v>2.9929809999999999</v>
      </c>
      <c r="T992">
        <v>-5.1423070000000001E-2</v>
      </c>
      <c r="U992">
        <v>-0.640625</v>
      </c>
      <c r="V992">
        <v>2.0808730000000001E-2</v>
      </c>
      <c r="W992">
        <v>-5.9336E-2</v>
      </c>
      <c r="X992">
        <v>0.99802120000000005</v>
      </c>
      <c r="Y992">
        <v>0.21315680000000001</v>
      </c>
      <c r="Z992">
        <v>-2.8779309999999998E-3</v>
      </c>
      <c r="AA992">
        <v>0.97701380000000004</v>
      </c>
      <c r="AB992">
        <v>32</v>
      </c>
      <c r="AC992">
        <v>60.174300000000002</v>
      </c>
      <c r="AD992">
        <v>-1.03699275</v>
      </c>
      <c r="AE992">
        <v>-12.9147</v>
      </c>
      <c r="AF992">
        <v>13.151139395465</v>
      </c>
      <c r="AG992">
        <v>-1.03699275</v>
      </c>
      <c r="AH992">
        <v>60.105187769440903</v>
      </c>
      <c r="AI992">
        <v>90.965585360724504</v>
      </c>
      <c r="AJ992">
        <v>77.658065698627695</v>
      </c>
      <c r="AK992">
        <v>61.535854736586302</v>
      </c>
      <c r="AL992">
        <v>93.401700327794899</v>
      </c>
      <c r="AM992">
        <v>88.805556750737793</v>
      </c>
      <c r="AN992">
        <v>1.0000000398948199</v>
      </c>
    </row>
    <row r="993" spans="1:40" x14ac:dyDescent="0.25">
      <c r="A993" t="str">
        <f>"20190303154748028"</f>
        <v>20190303154748028</v>
      </c>
      <c r="B993" t="str">
        <f>"1551599268021438"</f>
        <v>1551599268021438</v>
      </c>
      <c r="C993" t="s">
        <v>40</v>
      </c>
      <c r="D993">
        <v>4.8312949999999999</v>
      </c>
      <c r="E993">
        <v>0.57393099999999997</v>
      </c>
      <c r="F993" t="s">
        <v>41</v>
      </c>
      <c r="G993">
        <v>-214.26009999999999</v>
      </c>
      <c r="H993">
        <v>7.9985769999999998E-2</v>
      </c>
      <c r="I993">
        <v>355.21010000000001</v>
      </c>
      <c r="J993">
        <v>-272.6798</v>
      </c>
      <c r="K993">
        <v>1.1173360000000001</v>
      </c>
      <c r="L993">
        <v>367.76060000000001</v>
      </c>
      <c r="M993">
        <v>0.99994320000000003</v>
      </c>
      <c r="N993">
        <v>-9.8861379999999992E-3</v>
      </c>
      <c r="O993">
        <v>3.9989869999999999E-3</v>
      </c>
      <c r="P993">
        <v>0.99745309999999998</v>
      </c>
      <c r="Q993">
        <v>-6.9301219999999997E-2</v>
      </c>
      <c r="R993">
        <v>-1.6882919999999999E-2</v>
      </c>
      <c r="S993">
        <v>2.9930729999999999</v>
      </c>
      <c r="T993">
        <v>-5.2977919999999998E-2</v>
      </c>
      <c r="U993">
        <v>-0.64114380000000004</v>
      </c>
      <c r="V993">
        <v>2.0871270000000001E-2</v>
      </c>
      <c r="W993">
        <v>-5.9437759999999999E-2</v>
      </c>
      <c r="X993">
        <v>0.99801379999999995</v>
      </c>
      <c r="Y993">
        <v>0.2133158</v>
      </c>
      <c r="Z993">
        <v>-2.9638659999999999E-3</v>
      </c>
      <c r="AA993">
        <v>0.97697880000000004</v>
      </c>
      <c r="AB993">
        <v>32</v>
      </c>
      <c r="AC993">
        <v>58.419699999999999</v>
      </c>
      <c r="AD993">
        <v>-1.0373502299999999</v>
      </c>
      <c r="AE993">
        <v>-12.5505</v>
      </c>
      <c r="AF993">
        <v>12.7801787707367</v>
      </c>
      <c r="AG993">
        <v>-1.0373502299999999</v>
      </c>
      <c r="AH993">
        <v>58.351454228055999</v>
      </c>
      <c r="AI993">
        <v>90.994897320292495</v>
      </c>
      <c r="AJ993">
        <v>77.646109607446505</v>
      </c>
      <c r="AK993">
        <v>59.743629580404502</v>
      </c>
      <c r="AL993">
        <v>93.407541187051095</v>
      </c>
      <c r="AM993">
        <v>88.801959052377697</v>
      </c>
      <c r="AN993">
        <v>1.00000000110783</v>
      </c>
    </row>
    <row r="994" spans="1:40" x14ac:dyDescent="0.25">
      <c r="A994" t="str">
        <f>"20190303154748039"</f>
        <v>20190303154748039</v>
      </c>
      <c r="B994" t="str">
        <f>"1551599268031197"</f>
        <v>1551599268031197</v>
      </c>
      <c r="C994" t="s">
        <v>40</v>
      </c>
      <c r="D994">
        <v>4.8637839999999999</v>
      </c>
      <c r="E994">
        <v>0.57420649999999995</v>
      </c>
      <c r="F994" t="s">
        <v>41</v>
      </c>
      <c r="G994">
        <v>-215.1414</v>
      </c>
      <c r="H994">
        <v>7.9986979999999999E-2</v>
      </c>
      <c r="I994">
        <v>355.40750000000003</v>
      </c>
      <c r="J994">
        <v>-272.5136</v>
      </c>
      <c r="K994">
        <v>1.117669</v>
      </c>
      <c r="L994">
        <v>367.76130000000001</v>
      </c>
      <c r="M994">
        <v>0.99994050000000001</v>
      </c>
      <c r="N994">
        <v>-1.014484E-2</v>
      </c>
      <c r="O994">
        <v>4.0059010000000001E-3</v>
      </c>
      <c r="P994">
        <v>0.99740870000000004</v>
      </c>
      <c r="Q994">
        <v>-7.0000560000000003E-2</v>
      </c>
      <c r="R994">
        <v>-1.660642E-2</v>
      </c>
      <c r="S994">
        <v>2.9930110000000001</v>
      </c>
      <c r="T994">
        <v>-5.3960319999999999E-2</v>
      </c>
      <c r="U994">
        <v>-0.64257810000000004</v>
      </c>
      <c r="V994">
        <v>2.0601520000000002E-2</v>
      </c>
      <c r="W994">
        <v>-5.9879340000000003E-2</v>
      </c>
      <c r="X994">
        <v>0.99799300000000002</v>
      </c>
      <c r="Y994">
        <v>0.21377209999999999</v>
      </c>
      <c r="Z994">
        <v>-3.033118E-3</v>
      </c>
      <c r="AA994">
        <v>0.97687889999999999</v>
      </c>
      <c r="AB994">
        <v>31</v>
      </c>
      <c r="AC994">
        <v>57.3721999999999</v>
      </c>
      <c r="AD994">
        <v>-1.0376820200000001</v>
      </c>
      <c r="AE994">
        <v>-12.3537999999999</v>
      </c>
      <c r="AF994">
        <v>12.5796071861394</v>
      </c>
      <c r="AG994">
        <v>-1.0376820200000001</v>
      </c>
      <c r="AH994">
        <v>57.304333447687</v>
      </c>
      <c r="AI994">
        <v>91.013290844664297</v>
      </c>
      <c r="AJ994">
        <v>77.618663909395494</v>
      </c>
      <c r="AK994">
        <v>58.678019162339702</v>
      </c>
      <c r="AL994">
        <v>93.4328870302474</v>
      </c>
      <c r="AM994">
        <v>88.817414025220799</v>
      </c>
      <c r="AN994">
        <v>0.99999999301707299</v>
      </c>
    </row>
    <row r="995" spans="1:40" x14ac:dyDescent="0.25">
      <c r="A995" t="str">
        <f>"20190303154748050"</f>
        <v>20190303154748050</v>
      </c>
      <c r="B995" t="str">
        <f>"1551599268041934"</f>
        <v>1551599268041934</v>
      </c>
      <c r="C995" t="s">
        <v>40</v>
      </c>
      <c r="D995">
        <v>4.8211969999999997</v>
      </c>
      <c r="E995">
        <v>0.57433029999999996</v>
      </c>
      <c r="F995" t="s">
        <v>41</v>
      </c>
      <c r="G995">
        <v>-217.4204</v>
      </c>
      <c r="H995">
        <v>7.9986280000000007E-2</v>
      </c>
      <c r="I995">
        <v>355.90370000000001</v>
      </c>
      <c r="J995">
        <v>-272.36110000000002</v>
      </c>
      <c r="K995">
        <v>1.117934</v>
      </c>
      <c r="L995">
        <v>367.76190000000003</v>
      </c>
      <c r="M995">
        <v>0.9999382</v>
      </c>
      <c r="N995">
        <v>-1.0370209999999999E-2</v>
      </c>
      <c r="O995">
        <v>4.0129550000000003E-3</v>
      </c>
      <c r="P995">
        <v>0.99738159999999998</v>
      </c>
      <c r="Q995">
        <v>-7.0433200000000001E-2</v>
      </c>
      <c r="R995">
        <v>-1.6409400000000001E-2</v>
      </c>
      <c r="S995">
        <v>2.9931030000000001</v>
      </c>
      <c r="T995">
        <v>-5.6375149999999999E-2</v>
      </c>
      <c r="U995">
        <v>-0.64419559999999998</v>
      </c>
      <c r="V995">
        <v>2.0411229999999999E-2</v>
      </c>
      <c r="W995">
        <v>-6.0087349999999998E-2</v>
      </c>
      <c r="X995">
        <v>0.99798439999999999</v>
      </c>
      <c r="Y995">
        <v>0.21427280000000001</v>
      </c>
      <c r="Z995">
        <v>-3.1522770000000002E-3</v>
      </c>
      <c r="AA995">
        <v>0.97676879999999999</v>
      </c>
      <c r="AB995">
        <v>31</v>
      </c>
      <c r="AC995">
        <v>54.9407</v>
      </c>
      <c r="AD995">
        <v>-1.03794772</v>
      </c>
      <c r="AE995">
        <v>-11.8582</v>
      </c>
      <c r="AF995">
        <v>12.0744732021082</v>
      </c>
      <c r="AG995">
        <v>-1.03794772</v>
      </c>
      <c r="AH995">
        <v>54.873955127920702</v>
      </c>
      <c r="AI995">
        <v>91.058315818694396</v>
      </c>
      <c r="AJ995">
        <v>77.590387380893702</v>
      </c>
      <c r="AK995">
        <v>56.196273808491398</v>
      </c>
      <c r="AL995">
        <v>93.444826650788698</v>
      </c>
      <c r="AM995">
        <v>88.8283240606345</v>
      </c>
      <c r="AN995">
        <v>0.99999998529174705</v>
      </c>
    </row>
    <row r="996" spans="1:40" x14ac:dyDescent="0.25">
      <c r="A996" t="str">
        <f>"20190303154748062"</f>
        <v>20190303154748062</v>
      </c>
      <c r="B996" t="str">
        <f>"1551599268051694"</f>
        <v>1551599268051694</v>
      </c>
      <c r="C996" t="s">
        <v>40</v>
      </c>
      <c r="D996">
        <v>4.8351220000000001</v>
      </c>
      <c r="E996">
        <v>0.57457049999999998</v>
      </c>
      <c r="F996" t="s">
        <v>41</v>
      </c>
      <c r="G996">
        <v>-220.13570000000001</v>
      </c>
      <c r="H996">
        <v>7.9986920000000003E-2</v>
      </c>
      <c r="I996">
        <v>356.51609999999999</v>
      </c>
      <c r="J996">
        <v>-272.19560000000001</v>
      </c>
      <c r="K996">
        <v>1.118206</v>
      </c>
      <c r="L996">
        <v>367.76260000000002</v>
      </c>
      <c r="M996">
        <v>0.99993569999999998</v>
      </c>
      <c r="N996">
        <v>-1.06111E-2</v>
      </c>
      <c r="O996">
        <v>4.020437E-3</v>
      </c>
      <c r="P996">
        <v>0.99734820000000002</v>
      </c>
      <c r="Q996">
        <v>-7.093911E-2</v>
      </c>
      <c r="R996">
        <v>-1.6261520000000002E-2</v>
      </c>
      <c r="S996">
        <v>2.9930729999999999</v>
      </c>
      <c r="T996">
        <v>-5.9485320000000001E-2</v>
      </c>
      <c r="U996">
        <v>-0.64450069999999904</v>
      </c>
      <c r="V996">
        <v>2.0270509999999999E-2</v>
      </c>
      <c r="W996">
        <v>-6.0353179999999999E-2</v>
      </c>
      <c r="X996">
        <v>0.99797119999999995</v>
      </c>
      <c r="Y996">
        <v>0.2143716</v>
      </c>
      <c r="Z996">
        <v>-3.2931810000000001E-3</v>
      </c>
      <c r="AA996">
        <v>0.97674660000000002</v>
      </c>
      <c r="AB996">
        <v>31</v>
      </c>
      <c r="AC996">
        <v>52.059899999999999</v>
      </c>
      <c r="AD996">
        <v>-1.03821908</v>
      </c>
      <c r="AE996">
        <v>-11.246499999999999</v>
      </c>
      <c r="AF996">
        <v>11.4513731055823</v>
      </c>
      <c r="AG996">
        <v>-1.03821908</v>
      </c>
      <c r="AH996">
        <v>51.994503888987801</v>
      </c>
      <c r="AI996">
        <v>91.117155397585194</v>
      </c>
      <c r="AJ996">
        <v>77.579357119677795</v>
      </c>
      <c r="AK996">
        <v>53.2507303191543</v>
      </c>
      <c r="AL996">
        <v>93.460085375465795</v>
      </c>
      <c r="AM996">
        <v>88.836384265326004</v>
      </c>
      <c r="AN996">
        <v>0.99999995797060504</v>
      </c>
    </row>
    <row r="997" spans="1:40" x14ac:dyDescent="0.25">
      <c r="A997" t="str">
        <f>"20190303154748074"</f>
        <v>20190303154748074</v>
      </c>
      <c r="B997" t="str">
        <f>"1551599268061454"</f>
        <v>1551599268061454</v>
      </c>
      <c r="C997" t="s">
        <v>40</v>
      </c>
      <c r="D997">
        <v>4.8438689999999998</v>
      </c>
      <c r="E997">
        <v>0.57481499999999996</v>
      </c>
      <c r="F997" t="s">
        <v>41</v>
      </c>
      <c r="G997">
        <v>-221.55</v>
      </c>
      <c r="H997">
        <v>7.9986500000000002E-2</v>
      </c>
      <c r="I997">
        <v>356.8322</v>
      </c>
      <c r="J997">
        <v>-272.02859999999998</v>
      </c>
      <c r="K997">
        <v>1.118447</v>
      </c>
      <c r="L997">
        <v>367.76319999999998</v>
      </c>
      <c r="M997">
        <v>0.99993310000000002</v>
      </c>
      <c r="N997">
        <v>-1.083871E-2</v>
      </c>
      <c r="O997">
        <v>4.0282640000000002E-3</v>
      </c>
      <c r="P997">
        <v>0.99732319999999997</v>
      </c>
      <c r="Q997">
        <v>-7.1354870000000001E-2</v>
      </c>
      <c r="R997">
        <v>-1.5975110000000001E-2</v>
      </c>
      <c r="S997">
        <v>2.9930729999999999</v>
      </c>
      <c r="T997">
        <v>-6.1357019999999998E-2</v>
      </c>
      <c r="U997">
        <v>-0.64596560000000003</v>
      </c>
      <c r="V997">
        <v>1.9991829999999999E-2</v>
      </c>
      <c r="W997">
        <v>-6.0542029999999997E-2</v>
      </c>
      <c r="X997">
        <v>0.9979654</v>
      </c>
      <c r="Y997">
        <v>0.2148321</v>
      </c>
      <c r="Z997">
        <v>-3.3929099999999998E-3</v>
      </c>
      <c r="AA997">
        <v>0.97664510000000004</v>
      </c>
      <c r="AB997">
        <v>31</v>
      </c>
      <c r="AC997">
        <v>50.478599999999901</v>
      </c>
      <c r="AD997">
        <v>-1.0384605</v>
      </c>
      <c r="AE997">
        <v>-10.9309999999999</v>
      </c>
      <c r="AF997">
        <v>11.129765038614799</v>
      </c>
      <c r="AG997">
        <v>-1.0384605</v>
      </c>
      <c r="AH997">
        <v>50.413774465814299</v>
      </c>
      <c r="AI997">
        <v>91.152314964010799</v>
      </c>
      <c r="AJ997">
        <v>77.550598226237895</v>
      </c>
      <c r="AK997">
        <v>51.6381518444921</v>
      </c>
      <c r="AL997">
        <v>93.470925446838507</v>
      </c>
      <c r="AM997">
        <v>88.852370737321706</v>
      </c>
      <c r="AN997">
        <v>0.99999997513021399</v>
      </c>
    </row>
    <row r="998" spans="1:40" x14ac:dyDescent="0.25">
      <c r="A998" t="str">
        <f>"20190303154748085"</f>
        <v>20190303154748085</v>
      </c>
      <c r="B998" t="str">
        <f>"1551599268081950"</f>
        <v>1551599268081950</v>
      </c>
      <c r="C998" t="s">
        <v>40</v>
      </c>
      <c r="D998">
        <v>4.8351230000000003</v>
      </c>
      <c r="E998">
        <v>0.57512430000000003</v>
      </c>
      <c r="F998" t="s">
        <v>41</v>
      </c>
      <c r="G998">
        <v>-222.55430000000001</v>
      </c>
      <c r="H998">
        <v>7.9986189999999999E-2</v>
      </c>
      <c r="I998">
        <v>357.06479999999999</v>
      </c>
      <c r="J998">
        <v>-271.86849999999998</v>
      </c>
      <c r="K998">
        <v>1.1186609999999999</v>
      </c>
      <c r="L998">
        <v>367.76389999999998</v>
      </c>
      <c r="M998">
        <v>0.99993080000000001</v>
      </c>
      <c r="N998">
        <v>-1.1049990000000001E-2</v>
      </c>
      <c r="O998">
        <v>4.035561E-3</v>
      </c>
      <c r="P998">
        <v>0.99729100000000004</v>
      </c>
      <c r="Q998">
        <v>-7.1763069999999998E-2</v>
      </c>
      <c r="R998">
        <v>-1.615364E-2</v>
      </c>
      <c r="S998">
        <v>2.9931950000000001</v>
      </c>
      <c r="T998">
        <v>-6.2826750000000001E-2</v>
      </c>
      <c r="U998">
        <v>-0.64724729999999997</v>
      </c>
      <c r="V998">
        <v>2.0177520000000001E-2</v>
      </c>
      <c r="W998">
        <v>-6.0739729999999999E-2</v>
      </c>
      <c r="X998">
        <v>0.99794970000000005</v>
      </c>
      <c r="Y998">
        <v>0.21522729999999901</v>
      </c>
      <c r="Z998">
        <v>-3.4753589999999999E-3</v>
      </c>
      <c r="AA998">
        <v>0.97655780000000003</v>
      </c>
      <c r="AB998">
        <v>31</v>
      </c>
      <c r="AC998">
        <v>49.3141999999999</v>
      </c>
      <c r="AD998">
        <v>-1.0386748100000001</v>
      </c>
      <c r="AE998">
        <v>-10.6990999999999</v>
      </c>
      <c r="AF998">
        <v>10.8934201439326</v>
      </c>
      <c r="AG998">
        <v>-1.0386748100000001</v>
      </c>
      <c r="AH998">
        <v>49.2497526875133</v>
      </c>
      <c r="AI998">
        <v>91.179681660568207</v>
      </c>
      <c r="AJ998">
        <v>77.527710546438499</v>
      </c>
      <c r="AK998">
        <v>50.4508036365566</v>
      </c>
      <c r="AL998">
        <v>93.482273532194</v>
      </c>
      <c r="AM998">
        <v>88.841695892180198</v>
      </c>
      <c r="AN998">
        <v>1.0000000254219501</v>
      </c>
    </row>
    <row r="999" spans="1:40" x14ac:dyDescent="0.25">
      <c r="A999" t="str">
        <f>"20190303154748097"</f>
        <v>20190303154748097</v>
      </c>
      <c r="B999" t="str">
        <f>"1551599268091710"</f>
        <v>1551599268091710</v>
      </c>
      <c r="C999" t="s">
        <v>40</v>
      </c>
      <c r="D999">
        <v>4.8220599999999996</v>
      </c>
      <c r="E999">
        <v>0.57531480000000002</v>
      </c>
      <c r="F999" t="s">
        <v>41</v>
      </c>
      <c r="G999">
        <v>-222.40979999999999</v>
      </c>
      <c r="H999">
        <v>7.998624E-2</v>
      </c>
      <c r="I999">
        <v>357.01760000000002</v>
      </c>
      <c r="J999">
        <v>-271.69589999999999</v>
      </c>
      <c r="K999">
        <v>1.118876</v>
      </c>
      <c r="L999">
        <v>367.76459999999997</v>
      </c>
      <c r="M999">
        <v>0.99992840000000005</v>
      </c>
      <c r="N999">
        <v>-1.126739E-2</v>
      </c>
      <c r="O999">
        <v>4.0430429999999996E-3</v>
      </c>
      <c r="P999">
        <v>0.9972628</v>
      </c>
      <c r="Q999">
        <v>-7.2126300000000004E-2</v>
      </c>
      <c r="R999">
        <v>-1.627922E-2</v>
      </c>
      <c r="S999">
        <v>2.9931030000000001</v>
      </c>
      <c r="T999">
        <v>-6.2857629999999998E-2</v>
      </c>
      <c r="U999">
        <v>-0.65032959999999995</v>
      </c>
      <c r="V999">
        <v>2.0310479999999999E-2</v>
      </c>
      <c r="W999">
        <v>-6.0886309999999999E-2</v>
      </c>
      <c r="X999">
        <v>0.99793799999999999</v>
      </c>
      <c r="Y999">
        <v>0.21620030000000001</v>
      </c>
      <c r="Z999">
        <v>-3.514971E-3</v>
      </c>
      <c r="AA999">
        <v>0.97634270000000001</v>
      </c>
      <c r="AB999">
        <v>31</v>
      </c>
      <c r="AC999">
        <v>49.286099999999998</v>
      </c>
      <c r="AD999">
        <v>-1.03888976</v>
      </c>
      <c r="AE999">
        <v>-10.7469999999999</v>
      </c>
      <c r="AF999">
        <v>10.9415497878602</v>
      </c>
      <c r="AG999">
        <v>-1.03888976</v>
      </c>
      <c r="AH999">
        <v>49.221366693154202</v>
      </c>
      <c r="AI999">
        <v>91.180330291001695</v>
      </c>
      <c r="AJ999">
        <v>77.467345086154793</v>
      </c>
      <c r="AK999">
        <v>50.4335180493648</v>
      </c>
      <c r="AL999">
        <v>93.490687765961695</v>
      </c>
      <c r="AM999">
        <v>88.834051668141598</v>
      </c>
      <c r="AN999">
        <v>0.99999995509362205</v>
      </c>
    </row>
    <row r="1000" spans="1:40" x14ac:dyDescent="0.25">
      <c r="A1000" t="str">
        <f>"20190303154748108"</f>
        <v>20190303154748108</v>
      </c>
      <c r="B1000" t="str">
        <f>"1551599268101469"</f>
        <v>1551599268101469</v>
      </c>
      <c r="C1000" t="s">
        <v>40</v>
      </c>
      <c r="D1000">
        <v>4.8474449999999996</v>
      </c>
      <c r="E1000">
        <v>0.57549329999999999</v>
      </c>
      <c r="F1000" t="s">
        <v>41</v>
      </c>
      <c r="G1000">
        <v>-222.71789999999999</v>
      </c>
      <c r="H1000">
        <v>7.9986139999999997E-2</v>
      </c>
      <c r="I1000">
        <v>357.09379999999999</v>
      </c>
      <c r="J1000">
        <v>-271.54770000000002</v>
      </c>
      <c r="K1000">
        <v>1.1190420000000001</v>
      </c>
      <c r="L1000">
        <v>367.76519999999999</v>
      </c>
      <c r="M1000">
        <v>0.99992639999999999</v>
      </c>
      <c r="N1000">
        <v>-1.1442880000000001E-2</v>
      </c>
      <c r="O1000">
        <v>4.0489590000000004E-3</v>
      </c>
      <c r="P1000">
        <v>0.99725929999999996</v>
      </c>
      <c r="Q1000">
        <v>-7.2131290000000001E-2</v>
      </c>
      <c r="R1000">
        <v>-1.647216E-2</v>
      </c>
      <c r="S1000">
        <v>2.99295</v>
      </c>
      <c r="T1000">
        <v>-6.3484550000000001E-2</v>
      </c>
      <c r="U1000">
        <v>-0.65206909999999996</v>
      </c>
      <c r="V1000">
        <v>2.0509309999999999E-2</v>
      </c>
      <c r="W1000">
        <v>-6.0716190000000003E-2</v>
      </c>
      <c r="X1000">
        <v>0.99794439999999995</v>
      </c>
      <c r="Y1000">
        <v>0.21675639999999999</v>
      </c>
      <c r="Z1000">
        <v>-3.5658370000000001E-3</v>
      </c>
      <c r="AA1000">
        <v>0.97621919999999995</v>
      </c>
      <c r="AB1000">
        <v>31</v>
      </c>
      <c r="AC1000">
        <v>48.829799999999999</v>
      </c>
      <c r="AD1000">
        <v>-1.0390558599999999</v>
      </c>
      <c r="AE1000">
        <v>-10.6714</v>
      </c>
      <c r="AF1000">
        <v>10.8643401586469</v>
      </c>
      <c r="AG1000">
        <v>-1.0390558599999999</v>
      </c>
      <c r="AH1000">
        <v>48.765114412684603</v>
      </c>
      <c r="AI1000">
        <v>91.191435456931202</v>
      </c>
      <c r="AJ1000">
        <v>77.440240051963201</v>
      </c>
      <c r="AK1000">
        <v>49.971490950793203</v>
      </c>
      <c r="AL1000">
        <v>93.480922187332993</v>
      </c>
      <c r="AM1000">
        <v>88.822648330770505</v>
      </c>
      <c r="AN1000">
        <v>1.00000005650807</v>
      </c>
    </row>
    <row r="1001" spans="1:40" x14ac:dyDescent="0.25">
      <c r="A1001" t="str">
        <f>"20190303154748119"</f>
        <v>20190303154748119</v>
      </c>
      <c r="B1001" t="str">
        <f>"1551599268112206"</f>
        <v>1551599268112206</v>
      </c>
      <c r="C1001" t="s">
        <v>40</v>
      </c>
      <c r="D1001">
        <v>4.8072910000000002</v>
      </c>
      <c r="E1001">
        <v>0.57569459999999995</v>
      </c>
      <c r="F1001" t="s">
        <v>41</v>
      </c>
      <c r="G1001">
        <v>-222.42590000000001</v>
      </c>
      <c r="H1001">
        <v>7.998624E-2</v>
      </c>
      <c r="I1001">
        <v>357.02510000000001</v>
      </c>
      <c r="J1001">
        <v>-271.3974</v>
      </c>
      <c r="K1001">
        <v>1.1192059999999999</v>
      </c>
      <c r="L1001">
        <v>367.76580000000001</v>
      </c>
      <c r="M1001">
        <v>0.99992440000000005</v>
      </c>
      <c r="N1001">
        <v>-1.161689E-2</v>
      </c>
      <c r="O1001">
        <v>4.054869E-3</v>
      </c>
      <c r="P1001">
        <v>0.99726329999999996</v>
      </c>
      <c r="Q1001">
        <v>-7.2022009999999997E-2</v>
      </c>
      <c r="R1001">
        <v>-1.670698E-2</v>
      </c>
      <c r="S1001">
        <v>2.9928590000000002</v>
      </c>
      <c r="T1001">
        <v>-6.3306689999999999E-2</v>
      </c>
      <c r="U1001">
        <v>-0.65435790000000005</v>
      </c>
      <c r="V1001">
        <v>2.0750069999999999E-2</v>
      </c>
      <c r="W1001">
        <v>-6.0433210000000001E-2</v>
      </c>
      <c r="X1001">
        <v>0.99795650000000002</v>
      </c>
      <c r="Y1001">
        <v>0.2174807</v>
      </c>
      <c r="Z1001">
        <v>-3.5894899999999999E-3</v>
      </c>
      <c r="AA1001">
        <v>0.97605799999999998</v>
      </c>
      <c r="AB1001">
        <v>31</v>
      </c>
      <c r="AC1001">
        <v>48.971499999999899</v>
      </c>
      <c r="AD1001">
        <v>-1.0392197599999999</v>
      </c>
      <c r="AE1001">
        <v>-10.7407</v>
      </c>
      <c r="AF1001">
        <v>10.9344999819716</v>
      </c>
      <c r="AG1001">
        <v>-1.0392197599999999</v>
      </c>
      <c r="AH1001">
        <v>48.906529162616799</v>
      </c>
      <c r="AI1001">
        <v>91.187979138927702</v>
      </c>
      <c r="AJ1001">
        <v>77.397103976513904</v>
      </c>
      <c r="AK1001">
        <v>50.124762965017602</v>
      </c>
      <c r="AL1001">
        <v>93.464679145132806</v>
      </c>
      <c r="AM1001">
        <v>88.8088457275705</v>
      </c>
      <c r="AN1001">
        <v>0.99999995708407796</v>
      </c>
    </row>
    <row r="1002" spans="1:40" x14ac:dyDescent="0.25">
      <c r="A1002" t="str">
        <f>"20190303154748129"</f>
        <v>20190303154748129</v>
      </c>
      <c r="B1002" t="str">
        <f>"1551599268121966"</f>
        <v>1551599268121966</v>
      </c>
      <c r="C1002" t="s">
        <v>40</v>
      </c>
      <c r="D1002">
        <v>4.8258380000000001</v>
      </c>
      <c r="E1002">
        <v>0.57581660000000001</v>
      </c>
      <c r="F1002" t="s">
        <v>41</v>
      </c>
      <c r="G1002">
        <v>-221.5788</v>
      </c>
      <c r="H1002">
        <v>7.9986489999999993E-2</v>
      </c>
      <c r="I1002">
        <v>356.83370000000002</v>
      </c>
      <c r="J1002">
        <v>-271.25310000000002</v>
      </c>
      <c r="K1002">
        <v>1.11934</v>
      </c>
      <c r="L1002">
        <v>367.76639999999998</v>
      </c>
      <c r="M1002">
        <v>0.99992259999999999</v>
      </c>
      <c r="N1002">
        <v>-1.177112E-2</v>
      </c>
      <c r="O1002">
        <v>4.0606990000000001E-3</v>
      </c>
      <c r="P1002">
        <v>0.99726729999999997</v>
      </c>
      <c r="Q1002">
        <v>-7.1865579999999998E-2</v>
      </c>
      <c r="R1002">
        <v>-1.7134469999999999E-2</v>
      </c>
      <c r="S1002">
        <v>2.9927060000000001</v>
      </c>
      <c r="T1002">
        <v>-6.2427999999999997E-2</v>
      </c>
      <c r="U1002">
        <v>-0.65670779999999995</v>
      </c>
      <c r="V1002">
        <v>2.1183299999999999E-2</v>
      </c>
      <c r="W1002">
        <v>-6.0122830000000002E-2</v>
      </c>
      <c r="X1002">
        <v>0.99796620000000003</v>
      </c>
      <c r="Y1002">
        <v>0.21822910000000001</v>
      </c>
      <c r="Z1002">
        <v>-3.5853759999999999E-3</v>
      </c>
      <c r="AA1002">
        <v>0.97589099999999995</v>
      </c>
      <c r="AB1002">
        <v>31</v>
      </c>
      <c r="AC1002">
        <v>49.674300000000002</v>
      </c>
      <c r="AD1002">
        <v>-1.03935351</v>
      </c>
      <c r="AE1002">
        <v>-10.932699999999899</v>
      </c>
      <c r="AF1002">
        <v>11.129688856144201</v>
      </c>
      <c r="AG1002">
        <v>-1.03935351</v>
      </c>
      <c r="AH1002">
        <v>49.6087782229448</v>
      </c>
      <c r="AI1002">
        <v>91.171125633834507</v>
      </c>
      <c r="AJ1002">
        <v>77.355113730852693</v>
      </c>
      <c r="AK1002">
        <v>50.852542773460797</v>
      </c>
      <c r="AL1002">
        <v>93.446863096182199</v>
      </c>
      <c r="AM1002">
        <v>88.783995439347294</v>
      </c>
      <c r="AN1002">
        <v>1.00000001161426</v>
      </c>
    </row>
    <row r="1003" spans="1:40" x14ac:dyDescent="0.25">
      <c r="A1003" t="str">
        <f>"20190303154748139"</f>
        <v>20190303154748139</v>
      </c>
      <c r="B1003" t="str">
        <f>"1551599268131725"</f>
        <v>1551599268131725</v>
      </c>
      <c r="C1003" t="s">
        <v>40</v>
      </c>
      <c r="D1003">
        <v>4.8194169999999996</v>
      </c>
      <c r="E1003">
        <v>0.57592860000000001</v>
      </c>
      <c r="F1003" t="s">
        <v>41</v>
      </c>
      <c r="G1003">
        <v>-220.70679999999999</v>
      </c>
      <c r="H1003">
        <v>7.9986760000000004E-2</v>
      </c>
      <c r="I1003">
        <v>356.6377</v>
      </c>
      <c r="J1003">
        <v>-271.10050000000001</v>
      </c>
      <c r="K1003">
        <v>1.1194759999999999</v>
      </c>
      <c r="L1003">
        <v>367.767</v>
      </c>
      <c r="M1003">
        <v>0.9999207</v>
      </c>
      <c r="N1003">
        <v>-1.1931819999999999E-2</v>
      </c>
      <c r="O1003">
        <v>4.0667759999999898E-3</v>
      </c>
      <c r="P1003">
        <v>0.99728969999999995</v>
      </c>
      <c r="Q1003">
        <v>-7.1462109999999995E-2</v>
      </c>
      <c r="R1003">
        <v>-1.7521129999999999E-2</v>
      </c>
      <c r="S1003">
        <v>2.9924620000000002</v>
      </c>
      <c r="T1003">
        <v>-6.1532139999999999E-2</v>
      </c>
      <c r="U1003">
        <v>-0.65884399999999999</v>
      </c>
      <c r="V1003">
        <v>2.15762E-2</v>
      </c>
      <c r="W1003">
        <v>-5.9558739999999999E-2</v>
      </c>
      <c r="X1003">
        <v>0.99799159999999998</v>
      </c>
      <c r="Y1003">
        <v>0.21891730000000001</v>
      </c>
      <c r="Z1003">
        <v>-3.5803139999999998E-3</v>
      </c>
      <c r="AA1003">
        <v>0.97573690000000002</v>
      </c>
      <c r="AB1003">
        <v>31</v>
      </c>
      <c r="AC1003">
        <v>50.393700000000003</v>
      </c>
      <c r="AD1003">
        <v>-1.03948924</v>
      </c>
      <c r="AE1003">
        <v>-11.129300000000001</v>
      </c>
      <c r="AF1003">
        <v>11.329565988639899</v>
      </c>
      <c r="AG1003">
        <v>-1.03948924</v>
      </c>
      <c r="AH1003">
        <v>50.327601684791397</v>
      </c>
      <c r="AI1003">
        <v>91.154364434196594</v>
      </c>
      <c r="AJ1003">
        <v>77.313271532601703</v>
      </c>
      <c r="AK1003">
        <v>51.597549309187499</v>
      </c>
      <c r="AL1003">
        <v>93.414485119677806</v>
      </c>
      <c r="AM1003">
        <v>88.761479911511103</v>
      </c>
      <c r="AN1003">
        <v>1.0000000047936899</v>
      </c>
    </row>
    <row r="1004" spans="1:40" x14ac:dyDescent="0.25">
      <c r="A1004" t="str">
        <f>"20190303154748152"</f>
        <v>20190303154748152</v>
      </c>
      <c r="B1004" t="str">
        <f>"1551599268141486"</f>
        <v>1551599268141486</v>
      </c>
      <c r="C1004" t="s">
        <v>40</v>
      </c>
      <c r="D1004">
        <v>4.7929930000000001</v>
      </c>
      <c r="E1004">
        <v>0.57608119999999996</v>
      </c>
      <c r="F1004" t="s">
        <v>41</v>
      </c>
      <c r="G1004">
        <v>-218.68010000000001</v>
      </c>
      <c r="H1004">
        <v>7.9985890000000004E-2</v>
      </c>
      <c r="I1004">
        <v>356.1902</v>
      </c>
      <c r="J1004">
        <v>-270.9375</v>
      </c>
      <c r="K1004">
        <v>1.119597</v>
      </c>
      <c r="L1004">
        <v>367.76769999999999</v>
      </c>
      <c r="M1004">
        <v>0.99991859999999999</v>
      </c>
      <c r="N1004">
        <v>-1.20877E-2</v>
      </c>
      <c r="O1004">
        <v>4.0735830000000004E-3</v>
      </c>
      <c r="P1004">
        <v>0.9972761</v>
      </c>
      <c r="Q1004">
        <v>-7.1551379999999998E-2</v>
      </c>
      <c r="R1004">
        <v>-1.7904570000000002E-2</v>
      </c>
      <c r="S1004">
        <v>2.9922789999999999</v>
      </c>
      <c r="T1004">
        <v>-5.9336420000000001E-2</v>
      </c>
      <c r="U1004">
        <v>-0.66082759999999996</v>
      </c>
      <c r="V1004">
        <v>2.196652E-2</v>
      </c>
      <c r="W1004">
        <v>-5.9492650000000001E-2</v>
      </c>
      <c r="X1004">
        <v>0.99798699999999996</v>
      </c>
      <c r="Y1004">
        <v>0.2195568</v>
      </c>
      <c r="Z1004">
        <v>-3.524957E-3</v>
      </c>
      <c r="AA1004">
        <v>0.9755933</v>
      </c>
      <c r="AB1004">
        <v>31</v>
      </c>
      <c r="AC1004">
        <v>52.257399999999897</v>
      </c>
      <c r="AD1004">
        <v>-1.0396111100000001</v>
      </c>
      <c r="AE1004">
        <v>-11.577499999999899</v>
      </c>
      <c r="AF1004">
        <v>11.7858480628375</v>
      </c>
      <c r="AG1004">
        <v>-1.0396111100000001</v>
      </c>
      <c r="AH1004">
        <v>52.190111961173699</v>
      </c>
      <c r="AI1004">
        <v>91.113140329543796</v>
      </c>
      <c r="AJ1004">
        <v>77.274616389742704</v>
      </c>
      <c r="AK1004">
        <v>53.514435364116203</v>
      </c>
      <c r="AL1004">
        <v>93.410691807282902</v>
      </c>
      <c r="AM1004">
        <v>88.739076066733602</v>
      </c>
      <c r="AN1004">
        <v>0.99999997778696603</v>
      </c>
    </row>
    <row r="1005" spans="1:40" x14ac:dyDescent="0.25">
      <c r="A1005" t="str">
        <f>"20190303154748166"</f>
        <v>20190303154748166</v>
      </c>
      <c r="B1005" t="str">
        <f>"1551599268161982"</f>
        <v>1551599268161982</v>
      </c>
      <c r="C1005" t="s">
        <v>40</v>
      </c>
      <c r="D1005">
        <v>4.838273</v>
      </c>
      <c r="E1005">
        <v>0.57638059999999902</v>
      </c>
      <c r="F1005" t="s">
        <v>41</v>
      </c>
      <c r="G1005">
        <v>-217.87569999999999</v>
      </c>
      <c r="H1005">
        <v>7.9986150000000006E-2</v>
      </c>
      <c r="I1005">
        <v>356.00189999999998</v>
      </c>
      <c r="J1005">
        <v>-270.74270000000001</v>
      </c>
      <c r="K1005">
        <v>1.1197349999999999</v>
      </c>
      <c r="L1005">
        <v>367.76850000000002</v>
      </c>
      <c r="M1005">
        <v>0.99991649999999999</v>
      </c>
      <c r="N1005">
        <v>-1.2266310000000001E-2</v>
      </c>
      <c r="O1005">
        <v>4.0816070000000001E-3</v>
      </c>
      <c r="P1005">
        <v>0.99728629999999996</v>
      </c>
      <c r="Q1005">
        <v>-7.133014E-2</v>
      </c>
      <c r="R1005">
        <v>-1.822031E-2</v>
      </c>
      <c r="S1005">
        <v>2.9920650000000002</v>
      </c>
      <c r="T1005">
        <v>-5.8621760000000002E-2</v>
      </c>
      <c r="U1005">
        <v>-0.66345209999999999</v>
      </c>
      <c r="V1005">
        <v>2.2290259999999999E-2</v>
      </c>
      <c r="W1005">
        <v>-5.9093050000000001E-2</v>
      </c>
      <c r="X1005">
        <v>0.99800359999999999</v>
      </c>
      <c r="Y1005">
        <v>0.2203957</v>
      </c>
      <c r="Z1005">
        <v>-3.5306859999999999E-3</v>
      </c>
      <c r="AA1005">
        <v>0.9754041</v>
      </c>
      <c r="AB1005">
        <v>31</v>
      </c>
      <c r="AC1005">
        <v>52.866999999999997</v>
      </c>
      <c r="AD1005">
        <v>-1.0397488500000001</v>
      </c>
      <c r="AE1005">
        <v>-11.7666</v>
      </c>
      <c r="AF1005">
        <v>11.977886129297</v>
      </c>
      <c r="AG1005">
        <v>-1.0397488500000001</v>
      </c>
      <c r="AH1005">
        <v>52.799070520032103</v>
      </c>
      <c r="AI1005">
        <v>91.100206261869303</v>
      </c>
      <c r="AJ1005">
        <v>77.218336567031997</v>
      </c>
      <c r="AK1005">
        <v>54.150648025455901</v>
      </c>
      <c r="AL1005">
        <v>93.387755934707499</v>
      </c>
      <c r="AM1005">
        <v>88.720520125404803</v>
      </c>
      <c r="AN1005">
        <v>1.0000000149310599</v>
      </c>
    </row>
    <row r="1006" spans="1:40" x14ac:dyDescent="0.25">
      <c r="A1006" t="str">
        <f>"20190303154748180"</f>
        <v>20190303154748180</v>
      </c>
      <c r="B1006" t="str">
        <f>"1551599268171744"</f>
        <v>1551599268171744</v>
      </c>
      <c r="C1006" t="s">
        <v>40</v>
      </c>
      <c r="D1006">
        <v>4.7878280000000002</v>
      </c>
      <c r="E1006">
        <v>0.57655699999999999</v>
      </c>
      <c r="F1006" t="s">
        <v>41</v>
      </c>
      <c r="G1006">
        <v>-216.10730000000001</v>
      </c>
      <c r="H1006">
        <v>7.9986680000000004E-2</v>
      </c>
      <c r="I1006">
        <v>355.59739999999999</v>
      </c>
      <c r="J1006">
        <v>-270.53910000000002</v>
      </c>
      <c r="K1006">
        <v>1.1198629999999901</v>
      </c>
      <c r="L1006">
        <v>367.76940000000002</v>
      </c>
      <c r="M1006">
        <v>0.99991430000000003</v>
      </c>
      <c r="N1006">
        <v>-1.244088E-2</v>
      </c>
      <c r="O1006">
        <v>4.0897549999999996E-3</v>
      </c>
      <c r="P1006">
        <v>0.99728320000000004</v>
      </c>
      <c r="Q1006">
        <v>-7.1308369999999996E-2</v>
      </c>
      <c r="R1006">
        <v>-1.8481640000000001E-2</v>
      </c>
      <c r="S1006">
        <v>2.9919129999999998</v>
      </c>
      <c r="T1006">
        <v>-5.6937929999999998E-2</v>
      </c>
      <c r="U1006">
        <v>-0.66650390000000004</v>
      </c>
      <c r="V1006">
        <v>2.2559630000000001E-2</v>
      </c>
      <c r="W1006">
        <v>-5.8897119999999997E-2</v>
      </c>
      <c r="X1006">
        <v>0.99800909999999998</v>
      </c>
      <c r="Y1006">
        <v>0.22136459999999999</v>
      </c>
      <c r="Z1006">
        <v>-3.5012089999999999E-3</v>
      </c>
      <c r="AA1006">
        <v>0.97518490000000002</v>
      </c>
      <c r="AB1006">
        <v>31</v>
      </c>
      <c r="AC1006">
        <v>54.431800000000003</v>
      </c>
      <c r="AD1006">
        <v>-1.0398763200000001</v>
      </c>
      <c r="AE1006">
        <v>-12.172000000000001</v>
      </c>
      <c r="AF1006">
        <v>12.3902214242162</v>
      </c>
      <c r="AG1006">
        <v>-1.0398763200000001</v>
      </c>
      <c r="AH1006">
        <v>54.362664484406999</v>
      </c>
      <c r="AI1006">
        <v>91.068455415016899</v>
      </c>
      <c r="AJ1006">
        <v>77.160591676904303</v>
      </c>
      <c r="AK1006">
        <v>55.7664614221326</v>
      </c>
      <c r="AL1006">
        <v>93.376510485030707</v>
      </c>
      <c r="AM1006">
        <v>88.705070425730895</v>
      </c>
      <c r="AN1006">
        <v>0.99999998566642001</v>
      </c>
    </row>
    <row r="1007" spans="1:40" x14ac:dyDescent="0.25">
      <c r="A1007" t="str">
        <f>"20190303154748194"</f>
        <v>20190303154748194</v>
      </c>
      <c r="B1007" t="str">
        <f>"1551599268181501"</f>
        <v>1551599268181501</v>
      </c>
      <c r="C1007" t="s">
        <v>40</v>
      </c>
      <c r="D1007">
        <v>4.8244220000000002</v>
      </c>
      <c r="E1007">
        <v>0.57661750000000001</v>
      </c>
      <c r="F1007" t="s">
        <v>41</v>
      </c>
      <c r="G1007">
        <v>-215.05500000000001</v>
      </c>
      <c r="H1007">
        <v>7.9987009999999997E-2</v>
      </c>
      <c r="I1007">
        <v>355.36329999999998</v>
      </c>
      <c r="J1007">
        <v>-270.35329999999999</v>
      </c>
      <c r="K1007">
        <v>1.1199650000000001</v>
      </c>
      <c r="L1007">
        <v>367.77010000000001</v>
      </c>
      <c r="M1007">
        <v>0.99991240000000003</v>
      </c>
      <c r="N1007">
        <v>-1.2583830000000001E-2</v>
      </c>
      <c r="O1007">
        <v>4.0970720000000002E-3</v>
      </c>
      <c r="P1007">
        <v>0.99724789999999996</v>
      </c>
      <c r="Q1007">
        <v>-7.1688409999999994E-2</v>
      </c>
      <c r="R1007">
        <v>-1.890437E-2</v>
      </c>
      <c r="S1007">
        <v>2.9917600000000002</v>
      </c>
      <c r="T1007">
        <v>-5.6071040000000003E-2</v>
      </c>
      <c r="U1007">
        <v>-0.66894529999999996</v>
      </c>
      <c r="V1007">
        <v>2.2989369999999999E-2</v>
      </c>
      <c r="W1007">
        <v>-5.9134979999999997E-2</v>
      </c>
      <c r="X1007">
        <v>0.99798520000000002</v>
      </c>
      <c r="Y1007">
        <v>0.22214130000000001</v>
      </c>
      <c r="Z1007">
        <v>-3.4960299999999998E-3</v>
      </c>
      <c r="AA1007">
        <v>0.97500819999999999</v>
      </c>
      <c r="AB1007">
        <v>31</v>
      </c>
      <c r="AC1007">
        <v>55.298299999999898</v>
      </c>
      <c r="AD1007">
        <v>-1.0399779899999999</v>
      </c>
      <c r="AE1007">
        <v>-12.4068</v>
      </c>
      <c r="AF1007">
        <v>12.6290222096472</v>
      </c>
      <c r="AG1007">
        <v>-1.0399779899999999</v>
      </c>
      <c r="AH1007">
        <v>55.228402573662997</v>
      </c>
      <c r="AI1007">
        <v>91.051641960545794</v>
      </c>
      <c r="AJ1007">
        <v>77.119687050844803</v>
      </c>
      <c r="AK1007">
        <v>56.663482129410603</v>
      </c>
      <c r="AL1007">
        <v>93.390162747847</v>
      </c>
      <c r="AM1007">
        <v>88.680380269796999</v>
      </c>
      <c r="AN1007">
        <v>0.999999958205817</v>
      </c>
    </row>
    <row r="1008" spans="1:40" x14ac:dyDescent="0.25">
      <c r="A1008" t="str">
        <f>"20190303154748205"</f>
        <v>20190303154748205</v>
      </c>
      <c r="B1008" t="str">
        <f>"1551599268201998"</f>
        <v>1551599268201998</v>
      </c>
      <c r="C1008" t="s">
        <v>40</v>
      </c>
      <c r="D1008">
        <v>4.8096459999999999</v>
      </c>
      <c r="E1008">
        <v>0.57674440000000005</v>
      </c>
      <c r="F1008" t="s">
        <v>41</v>
      </c>
      <c r="G1008">
        <v>-216.137</v>
      </c>
      <c r="H1008">
        <v>7.9986680000000004E-2</v>
      </c>
      <c r="I1008">
        <v>355.61689999999999</v>
      </c>
      <c r="J1008">
        <v>-270.18779999999998</v>
      </c>
      <c r="K1008">
        <v>1.1200479999999999</v>
      </c>
      <c r="L1008">
        <v>367.77080000000001</v>
      </c>
      <c r="M1008">
        <v>0.99991090000000005</v>
      </c>
      <c r="N1008">
        <v>-1.270518E-2</v>
      </c>
      <c r="O1008">
        <v>4.1026700000000001E-3</v>
      </c>
      <c r="P1008">
        <v>0.99722060000000001</v>
      </c>
      <c r="Q1008">
        <v>-7.1983130000000006E-2</v>
      </c>
      <c r="R1008">
        <v>-1.9227770000000002E-2</v>
      </c>
      <c r="S1008">
        <v>2.991425</v>
      </c>
      <c r="T1008">
        <v>-5.7381509999999997E-2</v>
      </c>
      <c r="U1008">
        <v>-0.67056269999999996</v>
      </c>
      <c r="V1008">
        <v>2.3318149999999999E-2</v>
      </c>
      <c r="W1008">
        <v>-5.9308949999999999E-2</v>
      </c>
      <c r="X1008">
        <v>0.9979673</v>
      </c>
      <c r="Y1008">
        <v>0.22266920000000001</v>
      </c>
      <c r="Z1008">
        <v>-3.5676449999999999E-3</v>
      </c>
      <c r="AA1008">
        <v>0.97488750000000002</v>
      </c>
      <c r="AB1008">
        <v>31</v>
      </c>
      <c r="AC1008">
        <v>54.050799999999903</v>
      </c>
      <c r="AD1008">
        <v>-1.04006132</v>
      </c>
      <c r="AE1008">
        <v>-12.1539</v>
      </c>
      <c r="AF1008">
        <v>12.371208010228401</v>
      </c>
      <c r="AG1008">
        <v>-1.04006132</v>
      </c>
      <c r="AH1008">
        <v>53.981452058381102</v>
      </c>
      <c r="AI1008">
        <v>91.075896581966802</v>
      </c>
      <c r="AJ1008">
        <v>77.092128880333902</v>
      </c>
      <c r="AK1008">
        <v>55.3906642089892</v>
      </c>
      <c r="AL1008">
        <v>93.400147845270098</v>
      </c>
      <c r="AM1008">
        <v>88.661490688442498</v>
      </c>
      <c r="AN1008">
        <v>1.0000000097694</v>
      </c>
    </row>
    <row r="1009" spans="1:40" x14ac:dyDescent="0.25">
      <c r="A1009" t="str">
        <f>"20190303154748217"</f>
        <v>20190303154748217</v>
      </c>
      <c r="B1009" t="str">
        <f>"1551599268211758"</f>
        <v>1551599268211758</v>
      </c>
      <c r="C1009" t="s">
        <v>40</v>
      </c>
      <c r="D1009">
        <v>4.8268639999999996</v>
      </c>
      <c r="E1009">
        <v>0.57678450000000003</v>
      </c>
      <c r="F1009" t="s">
        <v>41</v>
      </c>
      <c r="G1009">
        <v>-216.7835</v>
      </c>
      <c r="H1009">
        <v>7.9986470000000004E-2</v>
      </c>
      <c r="I1009">
        <v>355.7654</v>
      </c>
      <c r="J1009">
        <v>-270.02199999999999</v>
      </c>
      <c r="K1009">
        <v>1.12012</v>
      </c>
      <c r="L1009">
        <v>367.7715</v>
      </c>
      <c r="M1009">
        <v>0.99990950000000001</v>
      </c>
      <c r="N1009">
        <v>-1.281914E-2</v>
      </c>
      <c r="O1009">
        <v>4.1071730000000004E-3</v>
      </c>
      <c r="P1009">
        <v>0.99719860000000005</v>
      </c>
      <c r="Q1009">
        <v>-7.2256310000000004E-2</v>
      </c>
      <c r="R1009">
        <v>-1.9343510000000001E-2</v>
      </c>
      <c r="S1009">
        <v>2.9911799999999999</v>
      </c>
      <c r="T1009">
        <v>-5.8253880000000001E-2</v>
      </c>
      <c r="U1009">
        <v>-0.67242429999999997</v>
      </c>
      <c r="V1009">
        <v>2.3438319999999999E-2</v>
      </c>
      <c r="W1009">
        <v>-5.9468689999999998E-2</v>
      </c>
      <c r="X1009">
        <v>0.99795500000000004</v>
      </c>
      <c r="Y1009">
        <v>0.2232661</v>
      </c>
      <c r="Z1009">
        <v>-3.623051E-3</v>
      </c>
      <c r="AA1009">
        <v>0.97475080000000003</v>
      </c>
      <c r="AB1009">
        <v>31</v>
      </c>
      <c r="AC1009">
        <v>53.238499999999902</v>
      </c>
      <c r="AD1009">
        <v>-1.0401335300000001</v>
      </c>
      <c r="AE1009">
        <v>-12.0061</v>
      </c>
      <c r="AF1009">
        <v>12.2202376249738</v>
      </c>
      <c r="AG1009">
        <v>-1.0401335300000001</v>
      </c>
      <c r="AH1009">
        <v>53.169422929655198</v>
      </c>
      <c r="AI1009">
        <v>91.092242767397394</v>
      </c>
      <c r="AJ1009">
        <v>77.056170308673501</v>
      </c>
      <c r="AK1009">
        <v>54.565590073265099</v>
      </c>
      <c r="AL1009">
        <v>93.409316383885297</v>
      </c>
      <c r="AM1009">
        <v>88.654578638243393</v>
      </c>
      <c r="AN1009">
        <v>1.00000003097986</v>
      </c>
    </row>
    <row r="1010" spans="1:40" x14ac:dyDescent="0.25">
      <c r="A1010" t="str">
        <f>"20190303154748229"</f>
        <v>20190303154748229</v>
      </c>
      <c r="B1010" t="str">
        <f>"1551599268221518"</f>
        <v>1551599268221518</v>
      </c>
      <c r="C1010" t="s">
        <v>40</v>
      </c>
      <c r="D1010">
        <v>4.8393680000000003</v>
      </c>
      <c r="E1010">
        <v>0.57681110000000002</v>
      </c>
      <c r="F1010" t="s">
        <v>41</v>
      </c>
      <c r="G1010">
        <v>-217.36670000000001</v>
      </c>
      <c r="H1010">
        <v>7.9986290000000002E-2</v>
      </c>
      <c r="I1010">
        <v>355.92009999999999</v>
      </c>
      <c r="J1010">
        <v>-269.8655</v>
      </c>
      <c r="K1010">
        <v>1.1201810000000001</v>
      </c>
      <c r="L1010">
        <v>367.7722</v>
      </c>
      <c r="M1010">
        <v>0.99990809999999997</v>
      </c>
      <c r="N1010">
        <v>-1.291807E-2</v>
      </c>
      <c r="O1010">
        <v>4.1105710000000004E-3</v>
      </c>
      <c r="P1010">
        <v>0.9971778</v>
      </c>
      <c r="Q1010">
        <v>-7.2480269999999999E-2</v>
      </c>
      <c r="R1010">
        <v>-1.9572840000000001E-2</v>
      </c>
      <c r="S1010">
        <v>2.9910890000000001</v>
      </c>
      <c r="T1010">
        <v>-5.9084770000000002E-2</v>
      </c>
      <c r="U1010">
        <v>-0.67321779999999998</v>
      </c>
      <c r="V1010">
        <v>2.367056E-2</v>
      </c>
      <c r="W1010">
        <v>-5.9594269999999998E-2</v>
      </c>
      <c r="X1010">
        <v>0.997942</v>
      </c>
      <c r="Y1010">
        <v>0.2235201</v>
      </c>
      <c r="Z1010">
        <v>-3.6697909999999999E-3</v>
      </c>
      <c r="AA1010">
        <v>0.97469240000000001</v>
      </c>
      <c r="AB1010">
        <v>31</v>
      </c>
      <c r="AC1010">
        <v>52.498799999999903</v>
      </c>
      <c r="AD1010">
        <v>-1.04019471</v>
      </c>
      <c r="AE1010">
        <v>-11.8521</v>
      </c>
      <c r="AF1010">
        <v>12.063311733599599</v>
      </c>
      <c r="AG1010">
        <v>-1.04019471</v>
      </c>
      <c r="AH1010">
        <v>52.430048519175998</v>
      </c>
      <c r="AI1010">
        <v>91.107647009357507</v>
      </c>
      <c r="AJ1010">
        <v>77.042668217207094</v>
      </c>
      <c r="AK1010">
        <v>53.809994264447397</v>
      </c>
      <c r="AL1010">
        <v>93.416524464181194</v>
      </c>
      <c r="AM1010">
        <v>88.641234729539406</v>
      </c>
      <c r="AN1010">
        <v>1.0000000038957699</v>
      </c>
    </row>
    <row r="1011" spans="1:40" x14ac:dyDescent="0.25">
      <c r="A1011" t="str">
        <f>"20190303154748241"</f>
        <v>20190303154748241</v>
      </c>
      <c r="B1011" t="str">
        <f>"1551599268231278"</f>
        <v>1551599268231278</v>
      </c>
      <c r="C1011" t="s">
        <v>40</v>
      </c>
      <c r="D1011">
        <v>4.8886349999999998</v>
      </c>
      <c r="E1011">
        <v>0.57677429999999996</v>
      </c>
      <c r="F1011" t="s">
        <v>41</v>
      </c>
      <c r="G1011">
        <v>-217.97200000000001</v>
      </c>
      <c r="H1011">
        <v>7.9986119999999994E-2</v>
      </c>
      <c r="I1011">
        <v>356.07670000000002</v>
      </c>
      <c r="J1011">
        <v>-269.70089999999999</v>
      </c>
      <c r="K1011">
        <v>1.120239</v>
      </c>
      <c r="L1011">
        <v>367.77289999999999</v>
      </c>
      <c r="M1011">
        <v>0.99990670000000004</v>
      </c>
      <c r="N1011">
        <v>-1.3018760000000001E-2</v>
      </c>
      <c r="O1011">
        <v>4.1138889999999999E-3</v>
      </c>
      <c r="P1011">
        <v>0.99714219999999998</v>
      </c>
      <c r="Q1011">
        <v>-7.2976199999999894E-2</v>
      </c>
      <c r="R1011">
        <v>-1.9540999999999999E-2</v>
      </c>
      <c r="S1011">
        <v>2.9909059999999998</v>
      </c>
      <c r="T1011">
        <v>-5.9952020000000002E-2</v>
      </c>
      <c r="U1011">
        <v>-0.67407229999999996</v>
      </c>
      <c r="V1011">
        <v>2.364194E-2</v>
      </c>
      <c r="W1011">
        <v>-5.9990170000000002E-2</v>
      </c>
      <c r="X1011">
        <v>0.997919</v>
      </c>
      <c r="Y1011">
        <v>0.2237992</v>
      </c>
      <c r="Z1011">
        <v>-3.7186939999999998E-3</v>
      </c>
      <c r="AA1011">
        <v>0.97462819999999994</v>
      </c>
      <c r="AB1011">
        <v>31</v>
      </c>
      <c r="AC1011">
        <v>51.728899999999904</v>
      </c>
      <c r="AD1011">
        <v>-1.0402528799999999</v>
      </c>
      <c r="AE1011">
        <v>-11.6961999999999</v>
      </c>
      <c r="AF1011">
        <v>11.9043460429177</v>
      </c>
      <c r="AG1011">
        <v>-1.0402528799999999</v>
      </c>
      <c r="AH1011">
        <v>51.660465843569497</v>
      </c>
      <c r="AI1011">
        <v>91.124120084803806</v>
      </c>
      <c r="AJ1011">
        <v>77.023601471941504</v>
      </c>
      <c r="AK1011">
        <v>53.024516140540896</v>
      </c>
      <c r="AL1011">
        <v>93.439248374574703</v>
      </c>
      <c r="AM1011">
        <v>88.642845726369998</v>
      </c>
      <c r="AN1011">
        <v>1.00000004619229</v>
      </c>
    </row>
    <row r="1012" spans="1:40" x14ac:dyDescent="0.25">
      <c r="A1012" t="str">
        <f>"20190303154748252"</f>
        <v>20190303154748252</v>
      </c>
      <c r="B1012" t="str">
        <f>"1551599268242014"</f>
        <v>1551599268242014</v>
      </c>
      <c r="C1012" t="s">
        <v>40</v>
      </c>
      <c r="D1012">
        <v>4.8407910000000003</v>
      </c>
      <c r="E1012">
        <v>0.57673129999999995</v>
      </c>
      <c r="F1012" t="s">
        <v>41</v>
      </c>
      <c r="G1012">
        <v>-219.4837</v>
      </c>
      <c r="H1012">
        <v>7.9985639999999997E-2</v>
      </c>
      <c r="I1012">
        <v>356.46120000000002</v>
      </c>
      <c r="J1012">
        <v>-269.52679999999998</v>
      </c>
      <c r="K1012">
        <v>1.120293</v>
      </c>
      <c r="L1012">
        <v>367.77359999999999</v>
      </c>
      <c r="M1012">
        <v>0.99990559999999995</v>
      </c>
      <c r="N1012">
        <v>-1.311382E-2</v>
      </c>
      <c r="O1012">
        <v>4.1162819999999998E-3</v>
      </c>
      <c r="P1012">
        <v>0.99711910000000004</v>
      </c>
      <c r="Q1012">
        <v>-7.3285219999999998E-2</v>
      </c>
      <c r="R1012">
        <v>-1.9564809999999998E-2</v>
      </c>
      <c r="S1012">
        <v>2.990875</v>
      </c>
      <c r="T1012">
        <v>-6.1956049999999999E-2</v>
      </c>
      <c r="U1012">
        <v>-0.67370609999999997</v>
      </c>
      <c r="V1012">
        <v>2.3667899999999999E-2</v>
      </c>
      <c r="W1012">
        <v>-6.0204679999999997E-2</v>
      </c>
      <c r="X1012">
        <v>0.99790540000000005</v>
      </c>
      <c r="Y1012">
        <v>0.223686</v>
      </c>
      <c r="Z1012">
        <v>-3.8039860000000001E-3</v>
      </c>
      <c r="AA1012">
        <v>0.97465380000000001</v>
      </c>
      <c r="AB1012">
        <v>31</v>
      </c>
      <c r="AC1012">
        <v>50.043099999999903</v>
      </c>
      <c r="AD1012">
        <v>-1.0403073599999999</v>
      </c>
      <c r="AE1012">
        <v>-11.312399999999901</v>
      </c>
      <c r="AF1012">
        <v>11.5135796535777</v>
      </c>
      <c r="AG1012">
        <v>-1.0403073599999999</v>
      </c>
      <c r="AH1012">
        <v>49.975559929350197</v>
      </c>
      <c r="AI1012">
        <v>91.162082706360707</v>
      </c>
      <c r="AJ1012">
        <v>77.026329904055501</v>
      </c>
      <c r="AK1012">
        <v>51.295237070264299</v>
      </c>
      <c r="AL1012">
        <v>93.451561374995194</v>
      </c>
      <c r="AM1012">
        <v>88.641337553830596</v>
      </c>
      <c r="AN1012">
        <v>0.99999998016673597</v>
      </c>
    </row>
    <row r="1013" spans="1:40" x14ac:dyDescent="0.25">
      <c r="A1013" t="str">
        <f>"20190303154748264"</f>
        <v>20190303154748264</v>
      </c>
      <c r="B1013" t="str">
        <f>"1551599268261534"</f>
        <v>1551599268261534</v>
      </c>
      <c r="C1013" t="s">
        <v>40</v>
      </c>
      <c r="D1013">
        <v>4.8639900000000003</v>
      </c>
      <c r="E1013">
        <v>0.57665669999999902</v>
      </c>
      <c r="F1013" t="s">
        <v>41</v>
      </c>
      <c r="G1013">
        <v>-220.29859999999999</v>
      </c>
      <c r="H1013">
        <v>7.9986860000000007E-2</v>
      </c>
      <c r="I1013">
        <v>356.69490000000002</v>
      </c>
      <c r="J1013">
        <v>-269.37139999999999</v>
      </c>
      <c r="K1013">
        <v>1.1203379999999901</v>
      </c>
      <c r="L1013">
        <v>367.77420000000001</v>
      </c>
      <c r="M1013">
        <v>0.99990460000000003</v>
      </c>
      <c r="N1013">
        <v>-1.319527E-2</v>
      </c>
      <c r="O1013">
        <v>4.118287E-3</v>
      </c>
      <c r="P1013">
        <v>0.99709239999999999</v>
      </c>
      <c r="Q1013">
        <v>-7.3567980000000005E-2</v>
      </c>
      <c r="R1013">
        <v>-1.9871969999999999E-2</v>
      </c>
      <c r="S1013">
        <v>2.9908139999999999</v>
      </c>
      <c r="T1013">
        <v>-6.3202620000000001E-2</v>
      </c>
      <c r="U1013">
        <v>-0.67306519999999903</v>
      </c>
      <c r="V1013">
        <v>2.3976669999999999E-2</v>
      </c>
      <c r="W1013">
        <v>-6.0406580000000001E-2</v>
      </c>
      <c r="X1013">
        <v>0.99788580000000004</v>
      </c>
      <c r="Y1013">
        <v>0.22349079999999999</v>
      </c>
      <c r="Z1013">
        <v>-3.8573520000000001E-3</v>
      </c>
      <c r="AA1013">
        <v>0.97469839999999996</v>
      </c>
      <c r="AB1013">
        <v>31</v>
      </c>
      <c r="AC1013">
        <v>49.072800000000001</v>
      </c>
      <c r="AD1013">
        <v>-1.0403511399999901</v>
      </c>
      <c r="AE1013">
        <v>-11.0792999999999</v>
      </c>
      <c r="AF1013">
        <v>11.276497098711401</v>
      </c>
      <c r="AG1013">
        <v>-1.0403511399999901</v>
      </c>
      <c r="AH1013">
        <v>49.005794844100599</v>
      </c>
      <c r="AI1013">
        <v>91.185194507117103</v>
      </c>
      <c r="AJ1013">
        <v>77.041501083297206</v>
      </c>
      <c r="AK1013">
        <v>50.297213099870902</v>
      </c>
      <c r="AL1013">
        <v>93.463150580928499</v>
      </c>
      <c r="AM1013">
        <v>88.623592275895405</v>
      </c>
      <c r="AN1013">
        <v>0.99999995272661102</v>
      </c>
    </row>
    <row r="1014" spans="1:40" x14ac:dyDescent="0.25">
      <c r="A1014" t="str">
        <f>"20190303154748275"</f>
        <v>20190303154748275</v>
      </c>
      <c r="B1014" t="str">
        <f>"1551599268271294"</f>
        <v>1551599268271294</v>
      </c>
      <c r="C1014" t="s">
        <v>40</v>
      </c>
      <c r="D1014">
        <v>4.8444830000000003</v>
      </c>
      <c r="E1014">
        <v>0.57666459999999997</v>
      </c>
      <c r="F1014" t="s">
        <v>41</v>
      </c>
      <c r="G1014">
        <v>-221.20410000000001</v>
      </c>
      <c r="H1014">
        <v>7.9986589999999996E-2</v>
      </c>
      <c r="I1014">
        <v>356.92450000000002</v>
      </c>
      <c r="J1014">
        <v>-269.21550000000002</v>
      </c>
      <c r="K1014">
        <v>1.1203780000000001</v>
      </c>
      <c r="L1014">
        <v>367.77480000000003</v>
      </c>
      <c r="M1014">
        <v>0.9999034</v>
      </c>
      <c r="N1014">
        <v>-1.3270769999999999E-2</v>
      </c>
      <c r="O1014">
        <v>4.1196169999999999E-3</v>
      </c>
      <c r="P1014">
        <v>0.99709519999999996</v>
      </c>
      <c r="Q1014">
        <v>-7.3394050000000002E-2</v>
      </c>
      <c r="R1014">
        <v>-2.0362479999999999E-2</v>
      </c>
      <c r="S1014">
        <v>2.9905400000000002</v>
      </c>
      <c r="T1014">
        <v>-6.459165E-2</v>
      </c>
      <c r="U1014">
        <v>-0.6736145</v>
      </c>
      <c r="V1014">
        <v>2.446833E-2</v>
      </c>
      <c r="W1014">
        <v>-6.0157370000000002E-2</v>
      </c>
      <c r="X1014">
        <v>0.99788900000000003</v>
      </c>
      <c r="Y1014">
        <v>0.22367860000000001</v>
      </c>
      <c r="Z1014">
        <v>-3.9222099999999998E-3</v>
      </c>
      <c r="AA1014">
        <v>0.9746551</v>
      </c>
      <c r="AB1014">
        <v>31</v>
      </c>
      <c r="AC1014">
        <v>48.011400000000002</v>
      </c>
      <c r="AD1014">
        <v>-1.04039141</v>
      </c>
      <c r="AE1014">
        <v>-10.850300000000001</v>
      </c>
      <c r="AF1014">
        <v>11.043080343276699</v>
      </c>
      <c r="AG1014">
        <v>-1.04039141</v>
      </c>
      <c r="AH1014">
        <v>47.944869776399898</v>
      </c>
      <c r="AI1014">
        <v>91.211400528540295</v>
      </c>
      <c r="AJ1014">
        <v>77.0293489399793</v>
      </c>
      <c r="AK1014">
        <v>49.211203761237201</v>
      </c>
      <c r="AL1014">
        <v>93.448845609438493</v>
      </c>
      <c r="AM1014">
        <v>88.595383676389602</v>
      </c>
      <c r="AN1014">
        <v>1.0000000323296501</v>
      </c>
    </row>
    <row r="1015" spans="1:40" x14ac:dyDescent="0.25">
      <c r="A1015" t="str">
        <f>"20190303154748287"</f>
        <v>20190303154748287</v>
      </c>
      <c r="B1015" t="str">
        <f>"1551599268282030"</f>
        <v>1551599268282030</v>
      </c>
      <c r="C1015" t="s">
        <v>40</v>
      </c>
      <c r="D1015">
        <v>4.8699009999999996</v>
      </c>
      <c r="E1015">
        <v>0.57674409999999998</v>
      </c>
      <c r="F1015" t="s">
        <v>41</v>
      </c>
      <c r="G1015">
        <v>-220.76060000000001</v>
      </c>
      <c r="H1015">
        <v>7.9986719999999997E-2</v>
      </c>
      <c r="I1015">
        <v>356.8349</v>
      </c>
      <c r="J1015">
        <v>-269.04910000000001</v>
      </c>
      <c r="K1015">
        <v>1.120417</v>
      </c>
      <c r="L1015">
        <v>367.77550000000002</v>
      </c>
      <c r="M1015">
        <v>0.99990250000000003</v>
      </c>
      <c r="N1015">
        <v>-1.334579E-2</v>
      </c>
      <c r="O1015">
        <v>4.1205920000000002E-3</v>
      </c>
      <c r="P1015">
        <v>0.99707219999999996</v>
      </c>
      <c r="Q1015">
        <v>-7.3450360000000006E-2</v>
      </c>
      <c r="R1015">
        <v>-2.127337E-2</v>
      </c>
      <c r="S1015">
        <v>2.9902039999999999</v>
      </c>
      <c r="T1015">
        <v>-6.4203499999999997E-2</v>
      </c>
      <c r="U1015">
        <v>-0.67510990000000004</v>
      </c>
      <c r="V1015">
        <v>2.5379889999999999E-2</v>
      </c>
      <c r="W1015">
        <v>-6.0139249999999998E-2</v>
      </c>
      <c r="X1015">
        <v>0.99786730000000001</v>
      </c>
      <c r="Y1015">
        <v>0.22416730000000001</v>
      </c>
      <c r="Z1015">
        <v>-3.9242519999999996E-3</v>
      </c>
      <c r="AA1015">
        <v>0.97454280000000004</v>
      </c>
      <c r="AB1015">
        <v>31</v>
      </c>
      <c r="AC1015">
        <v>48.288499999999999</v>
      </c>
      <c r="AD1015">
        <v>-1.04043028</v>
      </c>
      <c r="AE1015">
        <v>-10.9406</v>
      </c>
      <c r="AF1015">
        <v>11.134585335673901</v>
      </c>
      <c r="AG1015">
        <v>-1.04043028</v>
      </c>
      <c r="AH1015">
        <v>48.2217110109316</v>
      </c>
      <c r="AI1015">
        <v>91.204341236517493</v>
      </c>
      <c r="AJ1015">
        <v>76.998052843343103</v>
      </c>
      <c r="AK1015">
        <v>49.501463600450798</v>
      </c>
      <c r="AL1015">
        <v>93.447805609748897</v>
      </c>
      <c r="AM1015">
        <v>88.543045613361997</v>
      </c>
      <c r="AN1015">
        <v>1.00000000830813</v>
      </c>
    </row>
    <row r="1016" spans="1:40" x14ac:dyDescent="0.25">
      <c r="A1016" t="str">
        <f>"20190303154748299"</f>
        <v>20190303154748299</v>
      </c>
      <c r="B1016" t="str">
        <f>"1551599268291789"</f>
        <v>1551599268291789</v>
      </c>
      <c r="C1016" t="s">
        <v>40</v>
      </c>
      <c r="D1016">
        <v>4.8814109999999999</v>
      </c>
      <c r="E1016">
        <v>0.57676680000000002</v>
      </c>
      <c r="F1016" t="s">
        <v>41</v>
      </c>
      <c r="G1016">
        <v>-220.78569999999999</v>
      </c>
      <c r="H1016">
        <v>7.9986719999999997E-2</v>
      </c>
      <c r="I1016">
        <v>356.82429999999999</v>
      </c>
      <c r="J1016">
        <v>-268.88650000000001</v>
      </c>
      <c r="K1016">
        <v>1.1204529999999999</v>
      </c>
      <c r="L1016">
        <v>367.77620000000002</v>
      </c>
      <c r="M1016">
        <v>0.99990159999999995</v>
      </c>
      <c r="N1016">
        <v>-1.341556E-2</v>
      </c>
      <c r="O1016">
        <v>4.1211240000000003E-3</v>
      </c>
      <c r="P1016">
        <v>0.99700429999999995</v>
      </c>
      <c r="Q1016">
        <v>-7.4004840000000002E-2</v>
      </c>
      <c r="R1016">
        <v>-2.249081E-2</v>
      </c>
      <c r="S1016">
        <v>2.9895939999999999</v>
      </c>
      <c r="T1016">
        <v>-6.4447519999999994E-2</v>
      </c>
      <c r="U1016">
        <v>-0.67834469999999902</v>
      </c>
      <c r="V1016">
        <v>2.6597570000000001E-2</v>
      </c>
      <c r="W1016">
        <v>-6.0625100000000001E-2</v>
      </c>
      <c r="X1016">
        <v>0.99780619999999998</v>
      </c>
      <c r="Y1016">
        <v>0.22521250000000001</v>
      </c>
      <c r="Z1016">
        <v>-3.9598699999999999E-3</v>
      </c>
      <c r="AA1016">
        <v>0.97430159999999999</v>
      </c>
      <c r="AB1016">
        <v>31</v>
      </c>
      <c r="AC1016">
        <v>48.1008</v>
      </c>
      <c r="AD1016">
        <v>-1.04046628</v>
      </c>
      <c r="AE1016">
        <v>-10.9519</v>
      </c>
      <c r="AF1016">
        <v>11.1450964108443</v>
      </c>
      <c r="AG1016">
        <v>-1.04046628</v>
      </c>
      <c r="AH1016">
        <v>48.033885996553202</v>
      </c>
      <c r="AI1016">
        <v>91.208793113224502</v>
      </c>
      <c r="AJ1016">
        <v>76.937051190928301</v>
      </c>
      <c r="AK1016">
        <v>49.320887542872804</v>
      </c>
      <c r="AL1016">
        <v>93.475693599151597</v>
      </c>
      <c r="AM1016">
        <v>88.4730825282208</v>
      </c>
      <c r="AN1016">
        <v>1.0000000231191699</v>
      </c>
    </row>
    <row r="1017" spans="1:40" x14ac:dyDescent="0.25">
      <c r="A1017" t="str">
        <f>"20190303154748312"</f>
        <v>20190303154748312</v>
      </c>
      <c r="B1017" t="str">
        <f>"1551599268301551"</f>
        <v>1551599268301551</v>
      </c>
      <c r="C1017" t="s">
        <v>40</v>
      </c>
      <c r="D1017">
        <v>4.8985919999999998</v>
      </c>
      <c r="E1017">
        <v>0.57680830000000005</v>
      </c>
      <c r="F1017" t="s">
        <v>41</v>
      </c>
      <c r="G1017">
        <v>-222.4435</v>
      </c>
      <c r="H1017">
        <v>7.9986210000000002E-2</v>
      </c>
      <c r="I1017">
        <v>357.1721</v>
      </c>
      <c r="J1017">
        <v>-268.71699999999998</v>
      </c>
      <c r="K1017">
        <v>1.120484</v>
      </c>
      <c r="L1017">
        <v>367.77690000000001</v>
      </c>
      <c r="M1017">
        <v>0.99990080000000003</v>
      </c>
      <c r="N1017">
        <v>-1.3480590000000001E-2</v>
      </c>
      <c r="O1017">
        <v>4.1213320000000001E-3</v>
      </c>
      <c r="P1017">
        <v>0.99695420000000001</v>
      </c>
      <c r="Q1017">
        <v>-7.4379299999999995E-2</v>
      </c>
      <c r="R1017">
        <v>-2.3461760000000002E-2</v>
      </c>
      <c r="S1017">
        <v>2.9886469999999998</v>
      </c>
      <c r="T1017">
        <v>-6.6954849999999996E-2</v>
      </c>
      <c r="U1017">
        <v>-0.68237300000000001</v>
      </c>
      <c r="V1017">
        <v>2.75684E-2</v>
      </c>
      <c r="W1017">
        <v>-6.0935429999999999E-2</v>
      </c>
      <c r="X1017">
        <v>0.99776089999999995</v>
      </c>
      <c r="Y1017">
        <v>0.22652159999999999</v>
      </c>
      <c r="Z1017">
        <v>-4.0877500000000002E-3</v>
      </c>
      <c r="AA1017">
        <v>0.97399760000000002</v>
      </c>
      <c r="AB1017">
        <v>31</v>
      </c>
      <c r="AC1017">
        <v>46.273499999999899</v>
      </c>
      <c r="AD1017">
        <v>-1.0404977900000001</v>
      </c>
      <c r="AE1017">
        <v>-10.604799999999999</v>
      </c>
      <c r="AF1017">
        <v>10.7902522362204</v>
      </c>
      <c r="AG1017">
        <v>-1.0404977900000001</v>
      </c>
      <c r="AH1017">
        <v>46.207199979042201</v>
      </c>
      <c r="AI1017">
        <v>91.256188637569693</v>
      </c>
      <c r="AJ1017">
        <v>76.855897570822705</v>
      </c>
      <c r="AK1017">
        <v>47.461747848930401</v>
      </c>
      <c r="AL1017">
        <v>93.493507288537799</v>
      </c>
      <c r="AM1017">
        <v>88.417304995909902</v>
      </c>
      <c r="AN1017">
        <v>0.999999978438327</v>
      </c>
    </row>
    <row r="1018" spans="1:40" x14ac:dyDescent="0.25">
      <c r="A1018" t="str">
        <f>"20190303154748324"</f>
        <v>20190303154748324</v>
      </c>
      <c r="B1018" t="str">
        <f>"1551599268322046"</f>
        <v>1551599268322046</v>
      </c>
      <c r="C1018" t="s">
        <v>40</v>
      </c>
      <c r="D1018">
        <v>4.7000510000000002</v>
      </c>
      <c r="E1018">
        <v>0.57698689999999997</v>
      </c>
      <c r="F1018" t="s">
        <v>41</v>
      </c>
      <c r="G1018">
        <v>-223.08099999999999</v>
      </c>
      <c r="H1018">
        <v>7.9986020000000005E-2</v>
      </c>
      <c r="I1018">
        <v>357.30849999999998</v>
      </c>
      <c r="J1018">
        <v>-268.53980000000001</v>
      </c>
      <c r="K1018">
        <v>1.1205160000000001</v>
      </c>
      <c r="L1018">
        <v>367.77760000000001</v>
      </c>
      <c r="M1018">
        <v>0.99989969999999995</v>
      </c>
      <c r="N1018">
        <v>-1.3545359999999999E-2</v>
      </c>
      <c r="O1018">
        <v>4.1214229999999999E-3</v>
      </c>
      <c r="P1018">
        <v>0.99693019999999999</v>
      </c>
      <c r="Q1018">
        <v>-7.444895E-2</v>
      </c>
      <c r="R1018">
        <v>-2.4239199999999999E-2</v>
      </c>
      <c r="S1018">
        <v>2.987946</v>
      </c>
      <c r="T1018">
        <v>-6.8124889999999994E-2</v>
      </c>
      <c r="U1018">
        <v>-0.68539430000000001</v>
      </c>
      <c r="V1018">
        <v>2.8345840000000001E-2</v>
      </c>
      <c r="W1018">
        <v>-6.0940859999999999E-2</v>
      </c>
      <c r="X1018">
        <v>0.99773880000000004</v>
      </c>
      <c r="Y1018">
        <v>0.22750400000000001</v>
      </c>
      <c r="Z1018">
        <v>-4.1585720000000001E-3</v>
      </c>
      <c r="AA1018">
        <v>0.97376830000000003</v>
      </c>
      <c r="AB1018">
        <v>31</v>
      </c>
      <c r="AC1018">
        <v>45.458799999999997</v>
      </c>
      <c r="AD1018">
        <v>-1.0405299800000001</v>
      </c>
      <c r="AE1018">
        <v>-10.469099999999999</v>
      </c>
      <c r="AF1018">
        <v>10.651083856556101</v>
      </c>
      <c r="AG1018">
        <v>-1.0405299800000001</v>
      </c>
      <c r="AH1018">
        <v>45.392677544396797</v>
      </c>
      <c r="AI1018">
        <v>91.278442779296498</v>
      </c>
      <c r="AJ1018">
        <v>76.794822706687199</v>
      </c>
      <c r="AK1018">
        <v>46.637146831772</v>
      </c>
      <c r="AL1018">
        <v>93.493818929307693</v>
      </c>
      <c r="AM1018">
        <v>88.372660002487905</v>
      </c>
      <c r="AN1018">
        <v>0.99999999404414197</v>
      </c>
    </row>
    <row r="1019" spans="1:40" x14ac:dyDescent="0.25">
      <c r="A1019" t="str">
        <f>"20190303154748337"</f>
        <v>20190303154748337</v>
      </c>
      <c r="B1019" t="str">
        <f>"1551599268331806"</f>
        <v>1551599268331806</v>
      </c>
      <c r="C1019" t="s">
        <v>40</v>
      </c>
      <c r="D1019">
        <v>4.923813</v>
      </c>
      <c r="E1019">
        <v>0.57698640000000001</v>
      </c>
      <c r="F1019" t="s">
        <v>43</v>
      </c>
      <c r="G1019">
        <v>-201.3974</v>
      </c>
      <c r="H1019">
        <v>-0.05</v>
      </c>
      <c r="I1019">
        <v>352.2978</v>
      </c>
      <c r="J1019">
        <v>-268.34820000000002</v>
      </c>
      <c r="K1019">
        <v>1.120547</v>
      </c>
      <c r="L1019">
        <v>367.77839999999998</v>
      </c>
      <c r="M1019">
        <v>0.99989899999999998</v>
      </c>
      <c r="N1019">
        <v>-1.3609609999999999E-2</v>
      </c>
      <c r="O1019">
        <v>4.1208010000000003E-3</v>
      </c>
      <c r="P1019">
        <v>0.99686059999999999</v>
      </c>
      <c r="Q1019">
        <v>-7.4717179999999994E-2</v>
      </c>
      <c r="R1019">
        <v>-2.6201169999999999E-2</v>
      </c>
      <c r="S1019">
        <v>2.9885860000000002</v>
      </c>
      <c r="T1019">
        <v>-5.2101019999999998E-2</v>
      </c>
      <c r="U1019">
        <v>-0.68902589999999997</v>
      </c>
      <c r="V1019">
        <v>3.030687E-2</v>
      </c>
      <c r="W1019">
        <v>-6.1146119999999998E-2</v>
      </c>
      <c r="X1019">
        <v>0.99766860000000002</v>
      </c>
      <c r="Y1019">
        <v>0.2286128</v>
      </c>
      <c r="Z1019">
        <v>-3.558444E-3</v>
      </c>
      <c r="AA1019">
        <v>0.97351089999999996</v>
      </c>
      <c r="AB1019">
        <v>31</v>
      </c>
      <c r="AC1019">
        <v>66.950800000000001</v>
      </c>
      <c r="AD1019">
        <v>-1.170547</v>
      </c>
      <c r="AE1019">
        <v>-15.4805999999999</v>
      </c>
      <c r="AF1019">
        <v>15.7518143462942</v>
      </c>
      <c r="AG1019">
        <v>-1.170547</v>
      </c>
      <c r="AH1019">
        <v>66.867030542105397</v>
      </c>
      <c r="AI1019">
        <v>90.976179710764598</v>
      </c>
      <c r="AJ1019">
        <v>76.744545571480103</v>
      </c>
      <c r="AK1019">
        <v>68.707274789487798</v>
      </c>
      <c r="AL1019">
        <v>93.505601431230005</v>
      </c>
      <c r="AM1019">
        <v>88.260021513577797</v>
      </c>
      <c r="AN1019">
        <v>0.99999999489310498</v>
      </c>
    </row>
    <row r="1020" spans="1:40" x14ac:dyDescent="0.25">
      <c r="A1020" t="str">
        <f>"20190303154748349"</f>
        <v>20190303154748349</v>
      </c>
      <c r="B1020" t="str">
        <f>"1551599268341566"</f>
        <v>1551599268341566</v>
      </c>
      <c r="C1020" t="s">
        <v>40</v>
      </c>
      <c r="D1020">
        <v>4.9310539999999996</v>
      </c>
      <c r="E1020">
        <v>0.57700200000000001</v>
      </c>
      <c r="F1020" t="s">
        <v>43</v>
      </c>
      <c r="G1020">
        <v>-202.41220000000001</v>
      </c>
      <c r="H1020">
        <v>-0.05</v>
      </c>
      <c r="I1020">
        <v>352.43950000000001</v>
      </c>
      <c r="J1020">
        <v>-268.202</v>
      </c>
      <c r="K1020">
        <v>1.1205620000000001</v>
      </c>
      <c r="L1020">
        <v>367.779</v>
      </c>
      <c r="M1020">
        <v>0.99989839999999997</v>
      </c>
      <c r="N1020">
        <v>-1.365412E-2</v>
      </c>
      <c r="O1020">
        <v>4.1206719999999997E-3</v>
      </c>
      <c r="P1020">
        <v>0.99683670000000002</v>
      </c>
      <c r="Q1020">
        <v>-7.4687260000000005E-2</v>
      </c>
      <c r="R1020">
        <v>-2.717342E-2</v>
      </c>
      <c r="S1020">
        <v>2.9871829999999999</v>
      </c>
      <c r="T1020">
        <v>-5.3030729999999998E-2</v>
      </c>
      <c r="U1020">
        <v>-0.69491579999999997</v>
      </c>
      <c r="V1020">
        <v>3.1278970000000003E-2</v>
      </c>
      <c r="W1020">
        <v>-6.1072210000000002E-2</v>
      </c>
      <c r="X1020">
        <v>0.9976431</v>
      </c>
      <c r="Y1020">
        <v>0.23053180000000001</v>
      </c>
      <c r="Z1020">
        <v>-3.6307280000000002E-3</v>
      </c>
      <c r="AA1020">
        <v>0.97305799999999998</v>
      </c>
      <c r="AB1020">
        <v>31</v>
      </c>
      <c r="AC1020">
        <v>65.7897999999999</v>
      </c>
      <c r="AD1020">
        <v>-1.1705620000000001</v>
      </c>
      <c r="AE1020">
        <v>-15.3394999999999</v>
      </c>
      <c r="AF1020">
        <v>15.605807547245201</v>
      </c>
      <c r="AG1020">
        <v>-1.1705620000000001</v>
      </c>
      <c r="AH1020">
        <v>65.706298160981603</v>
      </c>
      <c r="AI1020">
        <v>90.993002294886296</v>
      </c>
      <c r="AJ1020">
        <v>76.639317879300705</v>
      </c>
      <c r="AK1020">
        <v>67.544274832270702</v>
      </c>
      <c r="AL1020">
        <v>93.501358851636496</v>
      </c>
      <c r="AM1020">
        <v>88.204201397743205</v>
      </c>
      <c r="AN1020">
        <v>0.99999997188807699</v>
      </c>
    </row>
    <row r="1021" spans="1:40" x14ac:dyDescent="0.25">
      <c r="A1021" t="str">
        <f>"20190303154748363"</f>
        <v>20190303154748363</v>
      </c>
      <c r="B1021" t="str">
        <f>"1551599268351326"</f>
        <v>1551599268351326</v>
      </c>
      <c r="C1021" t="s">
        <v>40</v>
      </c>
      <c r="D1021">
        <v>4.9363390000000003</v>
      </c>
      <c r="E1021">
        <v>0.57697180000000003</v>
      </c>
      <c r="F1021" t="s">
        <v>43</v>
      </c>
      <c r="G1021">
        <v>-203.00030000000001</v>
      </c>
      <c r="H1021">
        <v>-0.05</v>
      </c>
      <c r="I1021">
        <v>352.53719999999998</v>
      </c>
      <c r="J1021">
        <v>-268.01459999999997</v>
      </c>
      <c r="K1021">
        <v>1.1205879999999999</v>
      </c>
      <c r="L1021">
        <v>367.77969999999999</v>
      </c>
      <c r="M1021">
        <v>0.99989760000000005</v>
      </c>
      <c r="N1021">
        <v>-1.3708639999999999E-2</v>
      </c>
      <c r="O1021">
        <v>4.1204140000000002E-3</v>
      </c>
      <c r="P1021">
        <v>0.99679169999999995</v>
      </c>
      <c r="Q1021">
        <v>-7.4857989999999999E-2</v>
      </c>
      <c r="R1021">
        <v>-2.833364E-2</v>
      </c>
      <c r="S1021">
        <v>2.98645</v>
      </c>
      <c r="T1021">
        <v>-5.3615570000000001E-2</v>
      </c>
      <c r="U1021">
        <v>-0.69812010000000002</v>
      </c>
      <c r="V1021">
        <v>3.2438500000000002E-2</v>
      </c>
      <c r="W1021">
        <v>-6.1189260000000002E-2</v>
      </c>
      <c r="X1021">
        <v>0.99759889999999996</v>
      </c>
      <c r="Y1021">
        <v>0.2315728</v>
      </c>
      <c r="Z1021">
        <v>-3.6768450000000002E-3</v>
      </c>
      <c r="AA1021">
        <v>0.97281059999999997</v>
      </c>
      <c r="AB1021">
        <v>31</v>
      </c>
      <c r="AC1021">
        <v>65.014299999999906</v>
      </c>
      <c r="AD1021">
        <v>-1.170588</v>
      </c>
      <c r="AE1021">
        <v>-15.2425</v>
      </c>
      <c r="AF1021">
        <v>15.505516846526101</v>
      </c>
      <c r="AG1021">
        <v>-1.170588</v>
      </c>
      <c r="AH1021">
        <v>64.930983884735596</v>
      </c>
      <c r="AI1021">
        <v>91.004586859728505</v>
      </c>
      <c r="AJ1021">
        <v>76.569296496604807</v>
      </c>
      <c r="AK1021">
        <v>66.766937904800201</v>
      </c>
      <c r="AL1021">
        <v>93.508077883139705</v>
      </c>
      <c r="AM1021">
        <v>88.137593663083095</v>
      </c>
      <c r="AN1021">
        <v>0.99999997355140302</v>
      </c>
    </row>
    <row r="1022" spans="1:40" x14ac:dyDescent="0.25">
      <c r="A1022" t="str">
        <f>"20190303154748376"</f>
        <v>20190303154748376</v>
      </c>
      <c r="B1022" t="str">
        <f>"1551599268371822"</f>
        <v>1551599268371822</v>
      </c>
      <c r="C1022" t="s">
        <v>40</v>
      </c>
      <c r="D1022">
        <v>4.9616049999999996</v>
      </c>
      <c r="E1022">
        <v>0.57696000000000003</v>
      </c>
      <c r="F1022" t="s">
        <v>43</v>
      </c>
      <c r="G1022">
        <v>-204.44409999999999</v>
      </c>
      <c r="H1022">
        <v>-0.05</v>
      </c>
      <c r="I1022">
        <v>352.8528</v>
      </c>
      <c r="J1022">
        <v>-267.81939999999997</v>
      </c>
      <c r="K1022">
        <v>1.1206100000000001</v>
      </c>
      <c r="L1022">
        <v>367.78050000000002</v>
      </c>
      <c r="M1022">
        <v>0.99989700000000004</v>
      </c>
      <c r="N1022">
        <v>-1.3759469999999999E-2</v>
      </c>
      <c r="O1022">
        <v>4.1199409999999898E-3</v>
      </c>
      <c r="P1022">
        <v>0.99676279999999995</v>
      </c>
      <c r="Q1022">
        <v>-7.4805529999999995E-2</v>
      </c>
      <c r="R1022">
        <v>-2.9469800000000001E-2</v>
      </c>
      <c r="S1022">
        <v>2.9856259999999999</v>
      </c>
      <c r="T1022">
        <v>-5.49773E-2</v>
      </c>
      <c r="U1022">
        <v>-0.70104979999999995</v>
      </c>
      <c r="V1022">
        <v>3.3574050000000001E-2</v>
      </c>
      <c r="W1022">
        <v>-6.108661E-2</v>
      </c>
      <c r="X1022">
        <v>0.99756769999999995</v>
      </c>
      <c r="Y1022">
        <v>0.23253370000000001</v>
      </c>
      <c r="Z1022">
        <v>-3.7525089999999998E-3</v>
      </c>
      <c r="AA1022">
        <v>0.97258109999999998</v>
      </c>
      <c r="AB1022">
        <v>31</v>
      </c>
      <c r="AC1022">
        <v>63.375299999999903</v>
      </c>
      <c r="AD1022">
        <v>-1.1706099999999999</v>
      </c>
      <c r="AE1022">
        <v>-14.9277</v>
      </c>
      <c r="AF1022">
        <v>15.1837923527399</v>
      </c>
      <c r="AG1022">
        <v>-1.1706099999999999</v>
      </c>
      <c r="AH1022">
        <v>63.292795797889703</v>
      </c>
      <c r="AI1022">
        <v>91.030346093396702</v>
      </c>
      <c r="AJ1022">
        <v>76.509812219867399</v>
      </c>
      <c r="AK1022">
        <v>65.099123480248096</v>
      </c>
      <c r="AL1022">
        <v>93.502185168333895</v>
      </c>
      <c r="AM1022">
        <v>88.0723859245835</v>
      </c>
      <c r="AN1022">
        <v>1.0000000534189899</v>
      </c>
    </row>
    <row r="1023" spans="1:40" x14ac:dyDescent="0.25">
      <c r="A1023" t="str">
        <f>"20190303154748391"</f>
        <v>20190303154748391</v>
      </c>
      <c r="B1023" t="str">
        <f>"1551599268381582"</f>
        <v>1551599268381582</v>
      </c>
      <c r="C1023" t="s">
        <v>40</v>
      </c>
      <c r="D1023">
        <v>4.9682240000000002</v>
      </c>
      <c r="E1023">
        <v>0.57695759999999996</v>
      </c>
      <c r="F1023" t="s">
        <v>41</v>
      </c>
      <c r="G1023">
        <v>-212.49420000000001</v>
      </c>
      <c r="H1023">
        <v>7.9986299999999996E-2</v>
      </c>
      <c r="I1023">
        <v>354.72609999999997</v>
      </c>
      <c r="J1023">
        <v>-267.63490000000002</v>
      </c>
      <c r="K1023">
        <v>1.1206309999999999</v>
      </c>
      <c r="L1023">
        <v>367.78129999999999</v>
      </c>
      <c r="M1023">
        <v>0.99989640000000002</v>
      </c>
      <c r="N1023">
        <v>-1.3795450000000001E-2</v>
      </c>
      <c r="O1023">
        <v>4.1198099999999998E-3</v>
      </c>
      <c r="P1023">
        <v>0.99673210000000001</v>
      </c>
      <c r="Q1023">
        <v>-7.475242E-2</v>
      </c>
      <c r="R1023">
        <v>-3.061531E-2</v>
      </c>
      <c r="S1023">
        <v>2.98468</v>
      </c>
      <c r="T1023">
        <v>-5.6139469999999997E-2</v>
      </c>
      <c r="U1023">
        <v>-0.70425419999999905</v>
      </c>
      <c r="V1023">
        <v>3.4719460000000001E-2</v>
      </c>
      <c r="W1023">
        <v>-6.0998150000000001E-2</v>
      </c>
      <c r="X1023">
        <v>0.99753389999999997</v>
      </c>
      <c r="Y1023">
        <v>0.23358870000000001</v>
      </c>
      <c r="Z1023">
        <v>-3.8206270000000001E-3</v>
      </c>
      <c r="AA1023">
        <v>0.97232799999999997</v>
      </c>
      <c r="AB1023">
        <v>31</v>
      </c>
      <c r="AC1023">
        <v>55.140700000000002</v>
      </c>
      <c r="AD1023">
        <v>-1.0406447000000001</v>
      </c>
      <c r="AE1023">
        <v>-13.055199999999999</v>
      </c>
      <c r="AF1023">
        <v>13.2778018424821</v>
      </c>
      <c r="AG1023">
        <v>-1.0406447000000001</v>
      </c>
      <c r="AH1023">
        <v>55.067869345073703</v>
      </c>
      <c r="AI1023">
        <v>91.052463267691095</v>
      </c>
      <c r="AJ1023">
        <v>76.443765935796307</v>
      </c>
      <c r="AK1023">
        <v>56.655566340527997</v>
      </c>
      <c r="AL1023">
        <v>93.497107332117295</v>
      </c>
      <c r="AM1023">
        <v>88.006608264582894</v>
      </c>
      <c r="AN1023">
        <v>1.0000000484276601</v>
      </c>
    </row>
    <row r="1024" spans="1:40" x14ac:dyDescent="0.25">
      <c r="A1024" t="str">
        <f>"20190303154748404"</f>
        <v>20190303154748404</v>
      </c>
      <c r="B1024" t="str">
        <f>"1551599268402078"</f>
        <v>1551599268402078</v>
      </c>
      <c r="C1024" t="s">
        <v>40</v>
      </c>
      <c r="D1024">
        <v>5.0372399999999997</v>
      </c>
      <c r="E1024">
        <v>0.57692279999999996</v>
      </c>
      <c r="F1024" t="s">
        <v>41</v>
      </c>
      <c r="G1024">
        <v>-212.624</v>
      </c>
      <c r="H1024">
        <v>7.9986269999999998E-2</v>
      </c>
      <c r="I1024">
        <v>354.73219999999998</v>
      </c>
      <c r="J1024">
        <v>-267.44470000000001</v>
      </c>
      <c r="K1024">
        <v>1.1206430000000001</v>
      </c>
      <c r="L1024">
        <v>367.78199999999998</v>
      </c>
      <c r="M1024">
        <v>0.99989609999999995</v>
      </c>
      <c r="N1024">
        <v>-1.38142E-2</v>
      </c>
      <c r="O1024">
        <v>4.1198570000000002E-3</v>
      </c>
      <c r="P1024">
        <v>0.99671169999999998</v>
      </c>
      <c r="Q1024">
        <v>-7.4689130000000006E-2</v>
      </c>
      <c r="R1024">
        <v>-3.1423600000000003E-2</v>
      </c>
      <c r="S1024">
        <v>2.9838559999999998</v>
      </c>
      <c r="T1024">
        <v>-5.6445719999999998E-2</v>
      </c>
      <c r="U1024">
        <v>-0.70779419999999904</v>
      </c>
      <c r="V1024">
        <v>3.5527499999999997E-2</v>
      </c>
      <c r="W1024">
        <v>-6.091651E-2</v>
      </c>
      <c r="X1024">
        <v>0.99751040000000002</v>
      </c>
      <c r="Y1024">
        <v>0.23474</v>
      </c>
      <c r="Z1024">
        <v>-3.854349E-3</v>
      </c>
      <c r="AA1024">
        <v>0.97205050000000004</v>
      </c>
      <c r="AB1024">
        <v>31</v>
      </c>
      <c r="AC1024">
        <v>54.820699999999903</v>
      </c>
      <c r="AD1024">
        <v>-1.04065673</v>
      </c>
      <c r="AE1024">
        <v>-13.049799999999999</v>
      </c>
      <c r="AF1024">
        <v>13.2710384479507</v>
      </c>
      <c r="AG1024">
        <v>-1.04065673</v>
      </c>
      <c r="AH1024">
        <v>54.747795769704602</v>
      </c>
      <c r="AI1024">
        <v>91.058316285323698</v>
      </c>
      <c r="AJ1024">
        <v>76.374146277087405</v>
      </c>
      <c r="AK1024">
        <v>56.342919427004901</v>
      </c>
      <c r="AL1024">
        <v>93.4924211199599</v>
      </c>
      <c r="AM1024">
        <v>87.960205984815801</v>
      </c>
      <c r="AN1024">
        <v>1.0000000112774901</v>
      </c>
    </row>
    <row r="1025" spans="1:40" x14ac:dyDescent="0.25">
      <c r="A1025" t="str">
        <f>"20190303154748416"</f>
        <v>20190303154748416</v>
      </c>
      <c r="B1025" t="str">
        <f>"1551599268411841"</f>
        <v>1551599268411841</v>
      </c>
      <c r="C1025" t="s">
        <v>40</v>
      </c>
      <c r="D1025">
        <v>5.0166789999999999</v>
      </c>
      <c r="E1025">
        <v>0.57690469999999905</v>
      </c>
      <c r="F1025" t="s">
        <v>41</v>
      </c>
      <c r="G1025">
        <v>-213.26990000000001</v>
      </c>
      <c r="H1025">
        <v>7.9986070000000006E-2</v>
      </c>
      <c r="I1025">
        <v>354.8904</v>
      </c>
      <c r="J1025">
        <v>-267.27249999999998</v>
      </c>
      <c r="K1025">
        <v>1.120641</v>
      </c>
      <c r="L1025">
        <v>367.78269999999998</v>
      </c>
      <c r="M1025">
        <v>0.99989649999999997</v>
      </c>
      <c r="N1025">
        <v>-1.379551E-2</v>
      </c>
      <c r="O1025">
        <v>4.1196879999999998E-3</v>
      </c>
      <c r="P1025">
        <v>0.99667329999999998</v>
      </c>
      <c r="Q1025">
        <v>-7.4543330000000005E-2</v>
      </c>
      <c r="R1025">
        <v>-3.2957269999999997E-2</v>
      </c>
      <c r="S1025">
        <v>2.9832459999999998</v>
      </c>
      <c r="T1025">
        <v>-5.7305809999999999E-2</v>
      </c>
      <c r="U1025">
        <v>-0.70989990000000003</v>
      </c>
      <c r="V1025">
        <v>3.7060750000000003E-2</v>
      </c>
      <c r="W1025">
        <v>-6.0790049999999998E-2</v>
      </c>
      <c r="X1025">
        <v>0.99746230000000002</v>
      </c>
      <c r="Y1025">
        <v>0.235432</v>
      </c>
      <c r="Z1025">
        <v>-3.8985449999999998E-3</v>
      </c>
      <c r="AA1025">
        <v>0.97188300000000005</v>
      </c>
      <c r="AB1025">
        <v>31</v>
      </c>
      <c r="AC1025">
        <v>54.002599999999902</v>
      </c>
      <c r="AD1025">
        <v>-1.0406549300000001</v>
      </c>
      <c r="AE1025">
        <v>-12.892299999999899</v>
      </c>
      <c r="AF1025">
        <v>13.1100796542301</v>
      </c>
      <c r="AG1025">
        <v>-1.0406549300000001</v>
      </c>
      <c r="AH1025">
        <v>53.930077257784902</v>
      </c>
      <c r="AI1025">
        <v>91.074187389427493</v>
      </c>
      <c r="AJ1025">
        <v>76.336765017558207</v>
      </c>
      <c r="AK1025">
        <v>55.510452927842699</v>
      </c>
      <c r="AL1025">
        <v>93.485162135602096</v>
      </c>
      <c r="AM1025">
        <v>87.872151917766402</v>
      </c>
      <c r="AN1025">
        <v>0.99999998464542705</v>
      </c>
    </row>
    <row r="1026" spans="1:40" x14ac:dyDescent="0.25">
      <c r="A1026" t="str">
        <f>"20190303154748428"</f>
        <v>20190303154748428</v>
      </c>
      <c r="B1026" t="str">
        <f>"1551599268421598"</f>
        <v>1551599268421598</v>
      </c>
      <c r="C1026" t="s">
        <v>40</v>
      </c>
      <c r="D1026">
        <v>5.0416629999999998</v>
      </c>
      <c r="E1026">
        <v>0.57688130000000004</v>
      </c>
      <c r="F1026" t="s">
        <v>41</v>
      </c>
      <c r="G1026">
        <v>-212.7038</v>
      </c>
      <c r="H1026">
        <v>7.9986249999999995E-2</v>
      </c>
      <c r="I1026">
        <v>354.71640000000002</v>
      </c>
      <c r="J1026">
        <v>-267.11399999999998</v>
      </c>
      <c r="K1026">
        <v>1.120633</v>
      </c>
      <c r="L1026">
        <v>367.78339999999997</v>
      </c>
      <c r="M1026">
        <v>0.99989709999999998</v>
      </c>
      <c r="N1026">
        <v>-1.3750480000000001E-2</v>
      </c>
      <c r="O1026">
        <v>4.1198210000000001E-3</v>
      </c>
      <c r="P1026">
        <v>0.99662289999999998</v>
      </c>
      <c r="Q1026">
        <v>-7.4765789999999999E-2</v>
      </c>
      <c r="R1026">
        <v>-3.3957849999999998E-2</v>
      </c>
      <c r="S1026">
        <v>2.9820859999999998</v>
      </c>
      <c r="T1026">
        <v>-5.6869860000000001E-2</v>
      </c>
      <c r="U1026">
        <v>-0.71405030000000003</v>
      </c>
      <c r="V1026">
        <v>3.8061379999999999E-2</v>
      </c>
      <c r="W1026">
        <v>-6.1058229999999998E-2</v>
      </c>
      <c r="X1026">
        <v>0.99740830000000003</v>
      </c>
      <c r="Y1026">
        <v>0.23679729999999999</v>
      </c>
      <c r="Z1026">
        <v>-3.8989329999999998E-3</v>
      </c>
      <c r="AA1026">
        <v>0.97155119999999895</v>
      </c>
      <c r="AB1026">
        <v>31</v>
      </c>
      <c r="AC1026">
        <v>54.410200000000003</v>
      </c>
      <c r="AD1026">
        <v>-1.0406467500000001</v>
      </c>
      <c r="AE1026">
        <v>-13.066999999999901</v>
      </c>
      <c r="AF1026">
        <v>13.286475347179399</v>
      </c>
      <c r="AG1026">
        <v>-1.0406467500000001</v>
      </c>
      <c r="AH1026">
        <v>54.337106636989702</v>
      </c>
      <c r="AI1026">
        <v>91.065784766529902</v>
      </c>
      <c r="AJ1026">
        <v>76.259680634701198</v>
      </c>
      <c r="AK1026">
        <v>55.947605225684903</v>
      </c>
      <c r="AL1026">
        <v>93.500556097465704</v>
      </c>
      <c r="AM1026">
        <v>87.814637379578699</v>
      </c>
      <c r="AN1026">
        <v>1.0000000465035599</v>
      </c>
    </row>
    <row r="1027" spans="1:40" x14ac:dyDescent="0.25">
      <c r="A1027" t="str">
        <f>"20190303154748439"</f>
        <v>20190303154748439</v>
      </c>
      <c r="B1027" t="str">
        <f>"1551599268431358"</f>
        <v>1551599268431358</v>
      </c>
      <c r="C1027" t="s">
        <v>40</v>
      </c>
      <c r="D1027">
        <v>5.0530200000000001</v>
      </c>
      <c r="E1027">
        <v>0.57687259999999996</v>
      </c>
      <c r="F1027" t="s">
        <v>41</v>
      </c>
      <c r="G1027">
        <v>-213.41370000000001</v>
      </c>
      <c r="H1027">
        <v>7.9986039999999994E-2</v>
      </c>
      <c r="I1027">
        <v>354.87369999999999</v>
      </c>
      <c r="J1027">
        <v>-266.95760000000001</v>
      </c>
      <c r="K1027">
        <v>1.1206240000000001</v>
      </c>
      <c r="L1027">
        <v>367.78399999999999</v>
      </c>
      <c r="M1027">
        <v>0.99989790000000001</v>
      </c>
      <c r="N1027">
        <v>-1.369192E-2</v>
      </c>
      <c r="O1027">
        <v>4.1198670000000001E-3</v>
      </c>
      <c r="P1027">
        <v>0.99656489999999998</v>
      </c>
      <c r="Q1027">
        <v>-7.5156390000000003E-2</v>
      </c>
      <c r="R1027">
        <v>-3.4786690000000002E-2</v>
      </c>
      <c r="S1027">
        <v>2.9814150000000001</v>
      </c>
      <c r="T1027">
        <v>-5.7776090000000002E-2</v>
      </c>
      <c r="U1027">
        <v>-0.71673580000000003</v>
      </c>
      <c r="V1027">
        <v>3.8890189999999998E-2</v>
      </c>
      <c r="W1027">
        <v>-6.150808E-2</v>
      </c>
      <c r="X1027">
        <v>0.99734869999999998</v>
      </c>
      <c r="Y1027">
        <v>0.2376723</v>
      </c>
      <c r="Z1027">
        <v>-3.9437329999999996E-3</v>
      </c>
      <c r="AA1027">
        <v>0.97133740000000002</v>
      </c>
      <c r="AB1027">
        <v>31</v>
      </c>
      <c r="AC1027">
        <v>53.543900000000001</v>
      </c>
      <c r="AD1027">
        <v>-1.04063796</v>
      </c>
      <c r="AE1027">
        <v>-12.910299999999999</v>
      </c>
      <c r="AF1027">
        <v>13.126119120448701</v>
      </c>
      <c r="AG1027">
        <v>-1.04063796</v>
      </c>
      <c r="AH1027">
        <v>53.4711639539427</v>
      </c>
      <c r="AI1027">
        <v>91.082791011410507</v>
      </c>
      <c r="AJ1027">
        <v>76.207739565459903</v>
      </c>
      <c r="AK1027">
        <v>55.0685328033844</v>
      </c>
      <c r="AL1027">
        <v>93.526379091380093</v>
      </c>
      <c r="AM1027">
        <v>87.766964118627797</v>
      </c>
      <c r="AN1027">
        <v>1.0000000600876</v>
      </c>
    </row>
    <row r="1028" spans="1:40" x14ac:dyDescent="0.25">
      <c r="A1028" t="str">
        <f>"20190303154748450"</f>
        <v>20190303154748450</v>
      </c>
      <c r="B1028" t="str">
        <f>"1551599268442095"</f>
        <v>1551599268442095</v>
      </c>
      <c r="C1028" t="s">
        <v>40</v>
      </c>
      <c r="D1028">
        <v>5.0834020000000004</v>
      </c>
      <c r="E1028">
        <v>0.57683569999999995</v>
      </c>
      <c r="F1028" t="s">
        <v>41</v>
      </c>
      <c r="G1028">
        <v>-214.98820000000001</v>
      </c>
      <c r="H1028">
        <v>7.9987039999999995E-2</v>
      </c>
      <c r="I1028">
        <v>355.23820000000001</v>
      </c>
      <c r="J1028">
        <v>-266.80520000000001</v>
      </c>
      <c r="K1028">
        <v>1.1206100000000001</v>
      </c>
      <c r="L1028">
        <v>367.78469999999999</v>
      </c>
      <c r="M1028">
        <v>0.99989899999999998</v>
      </c>
      <c r="N1028">
        <v>-1.361151E-2</v>
      </c>
      <c r="O1028">
        <v>4.1202410000000002E-3</v>
      </c>
      <c r="P1028">
        <v>0.99653000000000003</v>
      </c>
      <c r="Q1028">
        <v>-7.5225929999999996E-2</v>
      </c>
      <c r="R1028">
        <v>-3.5629300000000003E-2</v>
      </c>
      <c r="S1028">
        <v>2.9807429999999999</v>
      </c>
      <c r="T1028">
        <v>-5.9686419999999997E-2</v>
      </c>
      <c r="U1028">
        <v>-0.71957399999999905</v>
      </c>
      <c r="V1028">
        <v>3.9732870000000003E-2</v>
      </c>
      <c r="W1028">
        <v>-6.1658369999999997E-2</v>
      </c>
      <c r="X1028">
        <v>0.99730620000000003</v>
      </c>
      <c r="Y1028">
        <v>0.23859240000000001</v>
      </c>
      <c r="Z1028">
        <v>-4.0279259999999898E-3</v>
      </c>
      <c r="AA1028">
        <v>0.97111150000000002</v>
      </c>
      <c r="AB1028">
        <v>31</v>
      </c>
      <c r="AC1028">
        <v>51.817</v>
      </c>
      <c r="AD1028">
        <v>-1.0406229600000001</v>
      </c>
      <c r="AE1028">
        <v>-12.546499999999901</v>
      </c>
      <c r="AF1028">
        <v>12.7550523774834</v>
      </c>
      <c r="AG1028">
        <v>-1.0406229600000001</v>
      </c>
      <c r="AH1028">
        <v>51.745146969123297</v>
      </c>
      <c r="AI1028">
        <v>91.118619652337898</v>
      </c>
      <c r="AJ1028">
        <v>76.152782336350796</v>
      </c>
      <c r="AK1028">
        <v>53.304169556924798</v>
      </c>
      <c r="AL1028">
        <v>93.535006462988207</v>
      </c>
      <c r="AM1028">
        <v>87.7185317409959</v>
      </c>
      <c r="AN1028">
        <v>1.0000000560539599</v>
      </c>
    </row>
    <row r="1029" spans="1:40" x14ac:dyDescent="0.25">
      <c r="A1029" t="str">
        <f>"20190303154748462"</f>
        <v>20190303154748462</v>
      </c>
      <c r="B1029" t="str">
        <f>"1551599268451855"</f>
        <v>1551599268451855</v>
      </c>
      <c r="C1029" t="s">
        <v>40</v>
      </c>
      <c r="D1029">
        <v>5.0935360000000003</v>
      </c>
      <c r="E1029">
        <v>0.57679820000000004</v>
      </c>
      <c r="F1029" t="s">
        <v>41</v>
      </c>
      <c r="G1029">
        <v>-215.75389999999999</v>
      </c>
      <c r="H1029">
        <v>7.9986799999999997E-2</v>
      </c>
      <c r="I1029">
        <v>355.42419999999998</v>
      </c>
      <c r="J1029">
        <v>-266.6465</v>
      </c>
      <c r="K1029">
        <v>1.1205940000000001</v>
      </c>
      <c r="L1029">
        <v>367.78530000000001</v>
      </c>
      <c r="M1029">
        <v>0.99990020000000002</v>
      </c>
      <c r="N1029">
        <v>-1.352337E-2</v>
      </c>
      <c r="O1029">
        <v>4.1207240000000001E-3</v>
      </c>
      <c r="P1029">
        <v>0.99649730000000003</v>
      </c>
      <c r="Q1029">
        <v>-7.5394669999999997E-2</v>
      </c>
      <c r="R1029">
        <v>-3.6179290000000003E-2</v>
      </c>
      <c r="S1029">
        <v>2.9800719999999998</v>
      </c>
      <c r="T1029">
        <v>-6.0745239999999999E-2</v>
      </c>
      <c r="U1029">
        <v>-0.72152709999999998</v>
      </c>
      <c r="V1029">
        <v>4.0283119999999999E-2</v>
      </c>
      <c r="W1029">
        <v>-6.191547E-2</v>
      </c>
      <c r="X1029">
        <v>0.99726809999999999</v>
      </c>
      <c r="Y1029">
        <v>0.2392418</v>
      </c>
      <c r="Z1029">
        <v>-4.0723039999999997E-3</v>
      </c>
      <c r="AA1029">
        <v>0.97095149999999997</v>
      </c>
      <c r="AB1029">
        <v>31</v>
      </c>
      <c r="AC1029">
        <v>50.892600000000002</v>
      </c>
      <c r="AD1029">
        <v>-1.0406072</v>
      </c>
      <c r="AE1029">
        <v>-12.3611</v>
      </c>
      <c r="AF1029">
        <v>12.565767645881699</v>
      </c>
      <c r="AG1029">
        <v>-1.0406072</v>
      </c>
      <c r="AH1029">
        <v>50.821162586080803</v>
      </c>
      <c r="AI1029">
        <v>91.138734257881396</v>
      </c>
      <c r="AJ1029">
        <v>76.111897292558197</v>
      </c>
      <c r="AK1029">
        <v>52.361932226340102</v>
      </c>
      <c r="AL1029">
        <v>93.549765750239303</v>
      </c>
      <c r="AM1029">
        <v>87.6868821020757</v>
      </c>
      <c r="AN1029">
        <v>0.99999995922993101</v>
      </c>
    </row>
    <row r="1030" spans="1:40" x14ac:dyDescent="0.25">
      <c r="A1030" t="str">
        <f>"20190303154748473"</f>
        <v>20190303154748473</v>
      </c>
      <c r="B1030" t="str">
        <f>"1551599268461614"</f>
        <v>1551599268461614</v>
      </c>
      <c r="C1030" t="s">
        <v>40</v>
      </c>
      <c r="D1030">
        <v>5.0883710000000004</v>
      </c>
      <c r="E1030">
        <v>0.57671559999999999</v>
      </c>
      <c r="F1030" t="s">
        <v>41</v>
      </c>
      <c r="G1030">
        <v>-217.03620000000001</v>
      </c>
      <c r="H1030">
        <v>7.9986399999999902E-2</v>
      </c>
      <c r="I1030">
        <v>355.75119999999998</v>
      </c>
      <c r="J1030">
        <v>-266.48520000000002</v>
      </c>
      <c r="K1030">
        <v>1.120576</v>
      </c>
      <c r="L1030">
        <v>367.78590000000003</v>
      </c>
      <c r="M1030">
        <v>0.99990140000000005</v>
      </c>
      <c r="N1030">
        <v>-1.342166E-2</v>
      </c>
      <c r="O1030">
        <v>4.1208779999999997E-3</v>
      </c>
      <c r="P1030">
        <v>0.99645510000000004</v>
      </c>
      <c r="Q1030">
        <v>-7.5610159999999996E-2</v>
      </c>
      <c r="R1030">
        <v>-3.6883590000000001E-2</v>
      </c>
      <c r="S1030">
        <v>2.9795229999999999</v>
      </c>
      <c r="T1030">
        <v>-6.2497259999999999E-2</v>
      </c>
      <c r="U1030">
        <v>-0.72274780000000005</v>
      </c>
      <c r="V1030">
        <v>4.0987389999999999E-2</v>
      </c>
      <c r="W1030">
        <v>-6.2233030000000002E-2</v>
      </c>
      <c r="X1030">
        <v>0.99721970000000004</v>
      </c>
      <c r="Y1030">
        <v>0.23965500000000001</v>
      </c>
      <c r="Z1030">
        <v>-4.139584E-3</v>
      </c>
      <c r="AA1030">
        <v>0.97084930000000003</v>
      </c>
      <c r="AB1030">
        <v>31</v>
      </c>
      <c r="AC1030">
        <v>49.448999999999998</v>
      </c>
      <c r="AD1030">
        <v>-1.0405895999999999</v>
      </c>
      <c r="AE1030">
        <v>-12.034700000000001</v>
      </c>
      <c r="AF1030">
        <v>12.2332750451772</v>
      </c>
      <c r="AG1030">
        <v>-1.0405895999999999</v>
      </c>
      <c r="AH1030">
        <v>49.378338273734798</v>
      </c>
      <c r="AI1030">
        <v>91.1718446613514</v>
      </c>
      <c r="AJ1030">
        <v>76.085380538706801</v>
      </c>
      <c r="AK1030">
        <v>50.881785893598199</v>
      </c>
      <c r="AL1030">
        <v>93.567995526506095</v>
      </c>
      <c r="AM1030">
        <v>87.646372834567103</v>
      </c>
      <c r="AN1030">
        <v>1.0000000231150401</v>
      </c>
    </row>
    <row r="1031" spans="1:40" x14ac:dyDescent="0.25">
      <c r="A1031" t="str">
        <f>"20190303154748486"</f>
        <v>20190303154748486</v>
      </c>
      <c r="B1031" t="str">
        <f>"1551599268482110"</f>
        <v>1551599268482110</v>
      </c>
      <c r="C1031" t="s">
        <v>40</v>
      </c>
      <c r="D1031">
        <v>5.2590389999999996</v>
      </c>
      <c r="E1031">
        <v>0.54109940000000001</v>
      </c>
      <c r="F1031" t="s">
        <v>41</v>
      </c>
      <c r="G1031">
        <v>-218.22550000000001</v>
      </c>
      <c r="H1031">
        <v>7.9986039999999994E-2</v>
      </c>
      <c r="I1031">
        <v>356.05009999999999</v>
      </c>
      <c r="J1031">
        <v>-266.32420000000002</v>
      </c>
      <c r="K1031">
        <v>1.1205609999999999</v>
      </c>
      <c r="L1031">
        <v>367.7867</v>
      </c>
      <c r="M1031">
        <v>0.99990290000000004</v>
      </c>
      <c r="N1031">
        <v>-1.331763E-2</v>
      </c>
      <c r="O1031">
        <v>4.1211019999999998E-3</v>
      </c>
      <c r="P1031">
        <v>0.9964035</v>
      </c>
      <c r="Q1031">
        <v>-7.6043840000000001E-2</v>
      </c>
      <c r="R1031">
        <v>-3.7383810000000003E-2</v>
      </c>
      <c r="S1031">
        <v>2.9789729999999999</v>
      </c>
      <c r="T1031">
        <v>-6.4233540000000006E-2</v>
      </c>
      <c r="U1031">
        <v>-0.72442629999999997</v>
      </c>
      <c r="V1031">
        <v>4.1487639999999999E-2</v>
      </c>
      <c r="W1031">
        <v>-6.2771160000000006E-2</v>
      </c>
      <c r="X1031">
        <v>0.99716530000000003</v>
      </c>
      <c r="Y1031">
        <v>0.24020910000000001</v>
      </c>
      <c r="Z1031">
        <v>-4.2085909999999898E-3</v>
      </c>
      <c r="AA1031">
        <v>0.97071209999999997</v>
      </c>
      <c r="AB1031">
        <v>31</v>
      </c>
      <c r="AC1031">
        <v>48.098700000000001</v>
      </c>
      <c r="AD1031">
        <v>-1.04057496</v>
      </c>
      <c r="AE1031">
        <v>-11.736599999999999</v>
      </c>
      <c r="AF1031">
        <v>11.9294678636473</v>
      </c>
      <c r="AG1031">
        <v>-1.04057496</v>
      </c>
      <c r="AH1031">
        <v>48.028703494150697</v>
      </c>
      <c r="AI1031">
        <v>91.204568604351905</v>
      </c>
      <c r="AJ1031">
        <v>76.051038322415707</v>
      </c>
      <c r="AK1031">
        <v>49.499003617105402</v>
      </c>
      <c r="AL1031">
        <v>93.598888447110099</v>
      </c>
      <c r="AM1031">
        <v>87.617549958790306</v>
      </c>
      <c r="AN1031">
        <v>1.0000000391623001</v>
      </c>
    </row>
    <row r="1032" spans="1:40" x14ac:dyDescent="0.25">
      <c r="A1032" t="str">
        <f>"20190303154748496"</f>
        <v>20190303154748496</v>
      </c>
      <c r="B1032" t="str">
        <f>"1551599268491871"</f>
        <v>1551599268491871</v>
      </c>
      <c r="C1032" t="s">
        <v>40</v>
      </c>
      <c r="D1032">
        <v>5.0240260000000001</v>
      </c>
      <c r="E1032">
        <v>0.53430469999999997</v>
      </c>
      <c r="F1032" t="s">
        <v>41</v>
      </c>
      <c r="G1032">
        <v>-242.41829999999999</v>
      </c>
      <c r="H1032" s="1">
        <v>-4.5159740000000002E-6</v>
      </c>
      <c r="I1032">
        <v>364.25189999999998</v>
      </c>
      <c r="J1032">
        <v>-266.16030000000001</v>
      </c>
      <c r="K1032">
        <v>1.120544</v>
      </c>
      <c r="L1032">
        <v>367.78730000000002</v>
      </c>
      <c r="M1032">
        <v>0.99990429999999997</v>
      </c>
      <c r="N1032">
        <v>-1.3208019999999999E-2</v>
      </c>
      <c r="O1032">
        <v>4.1212979999999998E-3</v>
      </c>
      <c r="P1032">
        <v>0.99638660000000001</v>
      </c>
      <c r="Q1032">
        <v>-7.6052140000000004E-2</v>
      </c>
      <c r="R1032">
        <v>-3.7813479999999997E-2</v>
      </c>
      <c r="S1032">
        <v>2.9836119999999999</v>
      </c>
      <c r="T1032">
        <v>-0.13985359999999999</v>
      </c>
      <c r="U1032">
        <v>-0.4411621</v>
      </c>
      <c r="V1032">
        <v>4.1917450000000002E-2</v>
      </c>
      <c r="W1032">
        <v>-6.2889039999999993E-2</v>
      </c>
      <c r="X1032">
        <v>0.99713989999999997</v>
      </c>
      <c r="Y1032">
        <v>0.15013750000000001</v>
      </c>
      <c r="Z1032">
        <v>-4.6333839999999999E-3</v>
      </c>
      <c r="AA1032">
        <v>0.98865429999999999</v>
      </c>
      <c r="AB1032">
        <v>31</v>
      </c>
      <c r="AC1032">
        <v>23.742000000000001</v>
      </c>
      <c r="AD1032">
        <v>-1.1205485159739901</v>
      </c>
      <c r="AE1032">
        <v>-3.5354000000000299</v>
      </c>
      <c r="AF1032">
        <v>3.6253259625217198</v>
      </c>
      <c r="AG1032">
        <v>-1.1205485159739901</v>
      </c>
      <c r="AH1032">
        <v>23.675632113556102</v>
      </c>
      <c r="AI1032">
        <v>92.678566556069995</v>
      </c>
      <c r="AJ1032">
        <v>81.294218130791705</v>
      </c>
      <c r="AK1032">
        <v>23.977784995441802</v>
      </c>
      <c r="AL1032">
        <v>93.605655833611493</v>
      </c>
      <c r="AM1032">
        <v>87.592835528415804</v>
      </c>
      <c r="AN1032">
        <v>1.00000004206931</v>
      </c>
    </row>
    <row r="1033" spans="1:40" x14ac:dyDescent="0.25">
      <c r="A1033" t="str">
        <f>"20190303154748509"</f>
        <v>20190303154748509</v>
      </c>
      <c r="B1033" t="str">
        <f>"1551599268501629"</f>
        <v>1551599268501629</v>
      </c>
      <c r="C1033" t="s">
        <v>40</v>
      </c>
      <c r="D1033">
        <v>5.0856659999999998</v>
      </c>
      <c r="E1033">
        <v>0.52750369999999902</v>
      </c>
      <c r="F1033" t="s">
        <v>41</v>
      </c>
      <c r="G1033">
        <v>-236.23070000000001</v>
      </c>
      <c r="H1033" s="1">
        <v>-2.7908189999999999E-6</v>
      </c>
      <c r="I1033">
        <v>363.89600000000002</v>
      </c>
      <c r="J1033">
        <v>-265.99250000000001</v>
      </c>
      <c r="K1033">
        <v>1.1205270000000001</v>
      </c>
      <c r="L1033">
        <v>367.78800000000001</v>
      </c>
      <c r="M1033">
        <v>0.99990590000000001</v>
      </c>
      <c r="N1033">
        <v>-1.309622E-2</v>
      </c>
      <c r="O1033">
        <v>4.1213839999999996E-3</v>
      </c>
      <c r="P1033">
        <v>0.99635119999999999</v>
      </c>
      <c r="Q1033">
        <v>-7.6172749999999997E-2</v>
      </c>
      <c r="R1033">
        <v>-3.8500760000000002E-2</v>
      </c>
      <c r="S1033">
        <v>2.9876100000000001</v>
      </c>
      <c r="T1033">
        <v>-0.1118542</v>
      </c>
      <c r="U1033">
        <v>-0.38842769999999999</v>
      </c>
      <c r="V1033">
        <v>4.2604629999999998E-2</v>
      </c>
      <c r="W1033">
        <v>-6.3121650000000001E-2</v>
      </c>
      <c r="X1033">
        <v>0.99709610000000004</v>
      </c>
      <c r="Y1033">
        <v>0.1328888</v>
      </c>
      <c r="Z1033">
        <v>-3.450491E-3</v>
      </c>
      <c r="AA1033">
        <v>0.99112489999999998</v>
      </c>
      <c r="AB1033">
        <v>31</v>
      </c>
      <c r="AC1033">
        <v>29.761799999999901</v>
      </c>
      <c r="AD1033">
        <v>-1.1205297908189999</v>
      </c>
      <c r="AE1033">
        <v>-3.8920000000000501</v>
      </c>
      <c r="AF1033">
        <v>4.0090498996512096</v>
      </c>
      <c r="AG1033">
        <v>-1.1205297908189999</v>
      </c>
      <c r="AH1033">
        <v>29.7041072589879</v>
      </c>
      <c r="AI1033">
        <v>92.140954352572194</v>
      </c>
      <c r="AJ1033">
        <v>82.313455274764095</v>
      </c>
      <c r="AK1033">
        <v>29.9943670738935</v>
      </c>
      <c r="AL1033">
        <v>93.619009853631397</v>
      </c>
      <c r="AM1033">
        <v>87.553313541006105</v>
      </c>
      <c r="AN1033">
        <v>1.0000000649156799</v>
      </c>
    </row>
    <row r="1034" spans="1:40" x14ac:dyDescent="0.25">
      <c r="A1034" t="str">
        <f>"20190303154748521"</f>
        <v>20190303154748521</v>
      </c>
      <c r="B1034" t="str">
        <f>"1551599268511390"</f>
        <v>1551599268511390</v>
      </c>
      <c r="C1034" t="s">
        <v>40</v>
      </c>
      <c r="D1034">
        <v>5.0143469999999999</v>
      </c>
      <c r="E1034">
        <v>0.5225474</v>
      </c>
      <c r="F1034" t="s">
        <v>41</v>
      </c>
      <c r="G1034">
        <v>-234.46379999999999</v>
      </c>
      <c r="H1034" s="1">
        <v>-3.3108729999999998E-6</v>
      </c>
      <c r="I1034">
        <v>364.24079999999998</v>
      </c>
      <c r="J1034">
        <v>-265.8347</v>
      </c>
      <c r="K1034">
        <v>1.120517</v>
      </c>
      <c r="L1034">
        <v>367.78859999999997</v>
      </c>
      <c r="M1034">
        <v>0.99990710000000005</v>
      </c>
      <c r="N1034">
        <v>-1.2991259999999999E-2</v>
      </c>
      <c r="O1034">
        <v>4.1215369999999998E-3</v>
      </c>
      <c r="P1034">
        <v>0.99632469999999995</v>
      </c>
      <c r="Q1034">
        <v>-7.627304E-2</v>
      </c>
      <c r="R1034">
        <v>-3.8982780000000002E-2</v>
      </c>
      <c r="S1034">
        <v>2.9898380000000002</v>
      </c>
      <c r="T1034">
        <v>-0.10625859999999999</v>
      </c>
      <c r="U1034">
        <v>-0.33636470000000002</v>
      </c>
      <c r="V1034">
        <v>4.3086760000000002E-2</v>
      </c>
      <c r="W1034">
        <v>-6.3326969999999996E-2</v>
      </c>
      <c r="X1034">
        <v>0.99706229999999996</v>
      </c>
      <c r="Y1034">
        <v>0.1157926</v>
      </c>
      <c r="Z1034">
        <v>-2.8980009999999999E-3</v>
      </c>
      <c r="AA1034">
        <v>0.99326919999999996</v>
      </c>
      <c r="AB1034">
        <v>31</v>
      </c>
      <c r="AC1034">
        <v>31.370899999999999</v>
      </c>
      <c r="AD1034">
        <v>-1.120520310873</v>
      </c>
      <c r="AE1034">
        <v>-3.5477999999999899</v>
      </c>
      <c r="AF1034">
        <v>3.6724509244127299</v>
      </c>
      <c r="AG1034">
        <v>-1.120520310873</v>
      </c>
      <c r="AH1034">
        <v>31.316560495445501</v>
      </c>
      <c r="AI1034">
        <v>92.035259262635805</v>
      </c>
      <c r="AJ1034">
        <v>83.311549094220098</v>
      </c>
      <c r="AK1034">
        <v>31.551060565758998</v>
      </c>
      <c r="AL1034">
        <v>93.630797633756998</v>
      </c>
      <c r="AM1034">
        <v>87.525576362479697</v>
      </c>
      <c r="AN1034">
        <v>1.0000000020489801</v>
      </c>
    </row>
    <row r="1035" spans="1:40" x14ac:dyDescent="0.25">
      <c r="A1035" t="str">
        <f>"20190303154748556"</f>
        <v>20190303154748556</v>
      </c>
      <c r="B1035" t="str">
        <f>"1551599268551406"</f>
        <v>1551599268551406</v>
      </c>
      <c r="C1035" t="s">
        <v>40</v>
      </c>
      <c r="D1035">
        <v>5.0520399999999999</v>
      </c>
      <c r="E1035">
        <v>0.51765909999999904</v>
      </c>
      <c r="F1035" t="s">
        <v>41</v>
      </c>
      <c r="G1035">
        <v>-228.6765</v>
      </c>
      <c r="H1035" s="1">
        <v>-1.9088120000000002E-6</v>
      </c>
      <c r="I1035">
        <v>364.0829</v>
      </c>
      <c r="J1035">
        <v>-265.34589999999997</v>
      </c>
      <c r="K1035">
        <v>1.120485</v>
      </c>
      <c r="L1035">
        <v>367.79059999999998</v>
      </c>
      <c r="M1035">
        <v>0.99991129999999995</v>
      </c>
      <c r="N1035">
        <v>-1.267681E-2</v>
      </c>
      <c r="O1035">
        <v>4.1219009999999999E-3</v>
      </c>
      <c r="P1035">
        <v>0.99614720000000001</v>
      </c>
      <c r="Q1035">
        <v>-7.7633690000000005E-2</v>
      </c>
      <c r="R1035">
        <v>-4.079547E-2</v>
      </c>
      <c r="S1035">
        <v>2.9924620000000002</v>
      </c>
      <c r="T1035">
        <v>-9.0238449999999998E-2</v>
      </c>
      <c r="U1035">
        <v>-0.29843140000000001</v>
      </c>
      <c r="V1035">
        <v>4.4898920000000002E-2</v>
      </c>
      <c r="W1035">
        <v>-6.5003459999999999E-2</v>
      </c>
      <c r="X1035">
        <v>0.9968745</v>
      </c>
      <c r="Y1035">
        <v>0.10326970000000001</v>
      </c>
      <c r="Z1035">
        <v>-2.281132E-3</v>
      </c>
      <c r="AA1035">
        <v>0.99465079999999995</v>
      </c>
      <c r="AB1035">
        <v>31</v>
      </c>
      <c r="AC1035">
        <v>36.669399999999897</v>
      </c>
      <c r="AD1035">
        <v>-1.120486908812</v>
      </c>
      <c r="AE1035">
        <v>-3.70769999999998</v>
      </c>
      <c r="AF1035">
        <v>3.8552650372919</v>
      </c>
      <c r="AG1035">
        <v>-1.120486908812</v>
      </c>
      <c r="AH1035">
        <v>36.619958522452997</v>
      </c>
      <c r="AI1035">
        <v>91.742946634254196</v>
      </c>
      <c r="AJ1035">
        <v>83.9901699271186</v>
      </c>
      <c r="AK1035">
        <v>36.839380038306302</v>
      </c>
      <c r="AL1035">
        <v>93.727051560474607</v>
      </c>
      <c r="AM1035">
        <v>87.421158611003705</v>
      </c>
      <c r="AN1035">
        <v>1.0000000657896899</v>
      </c>
    </row>
    <row r="1036" spans="1:40" x14ac:dyDescent="0.25">
      <c r="A1036" t="str">
        <f>"20190303154748568"</f>
        <v>20190303154748568</v>
      </c>
      <c r="B1036" t="str">
        <f>"1551599268561166"</f>
        <v>1551599268561166</v>
      </c>
      <c r="C1036" t="s">
        <v>40</v>
      </c>
      <c r="D1036">
        <v>4.3883070000000002</v>
      </c>
      <c r="E1036">
        <v>0.51201799999999997</v>
      </c>
      <c r="F1036" t="s">
        <v>41</v>
      </c>
      <c r="G1036">
        <v>-223.96950000000001</v>
      </c>
      <c r="H1036" s="1">
        <v>-3.5434199999999999E-6</v>
      </c>
      <c r="I1036">
        <v>364.12520000000001</v>
      </c>
      <c r="J1036">
        <v>-265.17680000000001</v>
      </c>
      <c r="K1036">
        <v>1.1204750000000001</v>
      </c>
      <c r="L1036">
        <v>367.79129999999998</v>
      </c>
      <c r="M1036">
        <v>0.99991260000000004</v>
      </c>
      <c r="N1036">
        <v>-1.257542E-2</v>
      </c>
      <c r="O1036">
        <v>4.1222480000000002E-3</v>
      </c>
      <c r="P1036">
        <v>0.99604040000000005</v>
      </c>
      <c r="Q1036">
        <v>-7.8513849999999996E-2</v>
      </c>
      <c r="R1036">
        <v>-4.1706960000000001E-2</v>
      </c>
      <c r="S1036">
        <v>2.994415</v>
      </c>
      <c r="T1036">
        <v>-8.1089620000000001E-2</v>
      </c>
      <c r="U1036">
        <v>-0.26525880000000002</v>
      </c>
      <c r="V1036">
        <v>4.5810219999999999E-2</v>
      </c>
      <c r="W1036">
        <v>-6.5986080000000003E-2</v>
      </c>
      <c r="X1036">
        <v>0.9967684</v>
      </c>
      <c r="Y1036">
        <v>9.2295009999999997E-2</v>
      </c>
      <c r="Z1036">
        <v>-1.88832E-3</v>
      </c>
      <c r="AA1036">
        <v>0.99572989999999995</v>
      </c>
      <c r="AB1036">
        <v>31</v>
      </c>
      <c r="AC1036">
        <v>41.207299999999996</v>
      </c>
      <c r="AD1036">
        <v>-1.12047854342</v>
      </c>
      <c r="AE1036">
        <v>-3.6660999999999699</v>
      </c>
      <c r="AF1036">
        <v>3.8331371295523402</v>
      </c>
      <c r="AG1036">
        <v>-1.12047854342</v>
      </c>
      <c r="AH1036">
        <v>41.161641586563597</v>
      </c>
      <c r="AI1036">
        <v>91.552573518983607</v>
      </c>
      <c r="AJ1036">
        <v>84.679731109475298</v>
      </c>
      <c r="AK1036">
        <v>41.354916884464203</v>
      </c>
      <c r="AL1036">
        <v>93.783472961904394</v>
      </c>
      <c r="AM1036">
        <v>87.368609787926104</v>
      </c>
      <c r="AN1036">
        <v>0.99999999112438698</v>
      </c>
    </row>
    <row r="1037" spans="1:40" x14ac:dyDescent="0.25">
      <c r="A1037" t="str">
        <f>"20190303154748647"</f>
        <v>20190303154748647</v>
      </c>
      <c r="B1037" t="str">
        <f>"1551599268641199"</f>
        <v>1551599268641199</v>
      </c>
      <c r="C1037" t="s">
        <v>40</v>
      </c>
      <c r="D1037">
        <v>5.5515889999999999</v>
      </c>
      <c r="E1037">
        <v>0.51181779999999999</v>
      </c>
      <c r="F1037" t="s">
        <v>45</v>
      </c>
      <c r="G1037">
        <v>-158.19499999999999</v>
      </c>
      <c r="H1037">
        <v>61.435569999999998</v>
      </c>
      <c r="I1037">
        <v>359.37650000000002</v>
      </c>
      <c r="J1037">
        <v>-264.09809999999999</v>
      </c>
      <c r="K1037">
        <v>1.1204240000000001</v>
      </c>
      <c r="L1037">
        <v>367.79570000000001</v>
      </c>
      <c r="M1037">
        <v>0.99991859999999999</v>
      </c>
      <c r="N1037">
        <v>-1.2086380000000001E-2</v>
      </c>
      <c r="O1037">
        <v>4.1132479999999999E-3</v>
      </c>
      <c r="P1037">
        <v>0.99462439999999996</v>
      </c>
      <c r="Q1037">
        <v>-8.5141820000000007E-2</v>
      </c>
      <c r="R1037">
        <v>-5.8937419999999997E-2</v>
      </c>
      <c r="S1037">
        <v>3.1411440000000002</v>
      </c>
      <c r="T1037">
        <v>1.7709410000000001</v>
      </c>
      <c r="U1037">
        <v>-0.24707029999999999</v>
      </c>
      <c r="V1037">
        <v>6.3024629999999998E-2</v>
      </c>
      <c r="W1037">
        <v>-7.3120270000000001E-2</v>
      </c>
      <c r="X1037">
        <v>0.99532969999999998</v>
      </c>
      <c r="Y1037">
        <v>7.1606370000000003E-2</v>
      </c>
      <c r="Z1037">
        <v>2.0511720000000001E-2</v>
      </c>
      <c r="AA1037">
        <v>0.9972221</v>
      </c>
      <c r="AB1037">
        <v>31</v>
      </c>
      <c r="AC1037">
        <v>105.90309999999999</v>
      </c>
      <c r="AD1037">
        <v>60.315145999999999</v>
      </c>
      <c r="AE1037">
        <v>-8.4191999999999894</v>
      </c>
      <c r="AF1037">
        <v>6.6963416831366702</v>
      </c>
      <c r="AG1037">
        <v>60.315145999999999</v>
      </c>
      <c r="AH1037">
        <v>80.061450447352897</v>
      </c>
      <c r="AI1037">
        <v>53.103003597040498</v>
      </c>
      <c r="AJ1037">
        <v>85.2189078258113</v>
      </c>
      <c r="AK1037">
        <v>100.46190161784</v>
      </c>
      <c r="AL1037">
        <v>94.193225340426295</v>
      </c>
      <c r="AM1037">
        <v>86.376848034807395</v>
      </c>
      <c r="AN1037">
        <v>0.99999994478679799</v>
      </c>
    </row>
    <row r="1038" spans="1:40" x14ac:dyDescent="0.25">
      <c r="A1038" t="str">
        <f>"20190303154748686"</f>
        <v>20190303154748686</v>
      </c>
      <c r="B1038" t="str">
        <f>"1551599268681215"</f>
        <v>1551599268681215</v>
      </c>
      <c r="C1038" t="s">
        <v>40</v>
      </c>
      <c r="D1038">
        <v>5.1091230000000003</v>
      </c>
      <c r="E1038">
        <v>0.51181779999999999</v>
      </c>
      <c r="F1038" t="s">
        <v>45</v>
      </c>
      <c r="G1038">
        <v>-158.19499999999999</v>
      </c>
      <c r="H1038">
        <v>57.362650000000002</v>
      </c>
      <c r="I1038">
        <v>357.99040000000002</v>
      </c>
      <c r="J1038">
        <v>-263.5634</v>
      </c>
      <c r="K1038">
        <v>1.1204459999999901</v>
      </c>
      <c r="L1038">
        <v>367.7978</v>
      </c>
      <c r="M1038">
        <v>0.99991909999999895</v>
      </c>
      <c r="N1038">
        <v>-1.205615E-2</v>
      </c>
      <c r="O1038">
        <v>4.0911569999999998E-3</v>
      </c>
      <c r="P1038">
        <v>0.99395699999999998</v>
      </c>
      <c r="Q1038">
        <v>-8.6237649999999999E-2</v>
      </c>
      <c r="R1038">
        <v>-6.7917359999999996E-2</v>
      </c>
      <c r="S1038">
        <v>3.1418149999999998</v>
      </c>
      <c r="T1038">
        <v>1.668534</v>
      </c>
      <c r="U1038">
        <v>-0.29089359999999997</v>
      </c>
      <c r="V1038">
        <v>7.197858E-2</v>
      </c>
      <c r="W1038">
        <v>-7.4256230000000006E-2</v>
      </c>
      <c r="X1038">
        <v>0.99463809999999997</v>
      </c>
      <c r="Y1038">
        <v>8.4857070000000007E-2</v>
      </c>
      <c r="Z1038">
        <v>2.2634689999999999E-2</v>
      </c>
      <c r="AA1038">
        <v>0.99613600000000002</v>
      </c>
      <c r="AB1038">
        <v>31</v>
      </c>
      <c r="AC1038">
        <v>105.36839999999999</v>
      </c>
      <c r="AD1038">
        <v>56.242204000000001</v>
      </c>
      <c r="AE1038">
        <v>-9.8073999999999693</v>
      </c>
      <c r="AF1038">
        <v>7.98342582562152</v>
      </c>
      <c r="AG1038">
        <v>56.242204000000001</v>
      </c>
      <c r="AH1038">
        <v>82.129154033761907</v>
      </c>
      <c r="AI1038">
        <v>55.722074033743901</v>
      </c>
      <c r="AJ1038">
        <v>84.447964050631398</v>
      </c>
      <c r="AK1038">
        <v>99.860495397290194</v>
      </c>
      <c r="AL1038">
        <v>94.258488567229406</v>
      </c>
      <c r="AM1038">
        <v>85.860914397635497</v>
      </c>
      <c r="AN1038">
        <v>0.99999992682211603</v>
      </c>
    </row>
    <row r="1039" spans="1:40" x14ac:dyDescent="0.25">
      <c r="A1039" t="str">
        <f>"20190303154748696"</f>
        <v>20190303154748696</v>
      </c>
      <c r="B1039" t="str">
        <f>"1551599268691950"</f>
        <v>1551599268691950</v>
      </c>
      <c r="C1039" t="s">
        <v>40</v>
      </c>
      <c r="D1039">
        <v>5.0544039999999999</v>
      </c>
      <c r="E1039">
        <v>0.48430669999999998</v>
      </c>
      <c r="F1039" t="s">
        <v>45</v>
      </c>
      <c r="G1039">
        <v>-158.19499999999999</v>
      </c>
      <c r="H1039">
        <v>56.979430000000001</v>
      </c>
      <c r="I1039">
        <v>357.1241</v>
      </c>
      <c r="J1039">
        <v>-263.39929999999998</v>
      </c>
      <c r="K1039">
        <v>1.120465</v>
      </c>
      <c r="L1039">
        <v>367.79840000000002</v>
      </c>
      <c r="M1039">
        <v>0.99991839999999999</v>
      </c>
      <c r="N1039">
        <v>-1.2104749999999999E-2</v>
      </c>
      <c r="O1039">
        <v>4.0818829999999997E-3</v>
      </c>
      <c r="P1039">
        <v>0.99379010000000001</v>
      </c>
      <c r="Q1039">
        <v>-8.6855070000000006E-2</v>
      </c>
      <c r="R1039">
        <v>-6.9553320000000002E-2</v>
      </c>
      <c r="S1039">
        <v>3.1409609999999999</v>
      </c>
      <c r="T1039">
        <v>1.6651199999999999</v>
      </c>
      <c r="U1039">
        <v>-0.31817630000000002</v>
      </c>
      <c r="V1039">
        <v>7.3604230000000007E-2</v>
      </c>
      <c r="W1039">
        <v>-7.4827920000000006E-2</v>
      </c>
      <c r="X1039">
        <v>0.99447629999999998</v>
      </c>
      <c r="Y1039">
        <v>9.2518630000000004E-2</v>
      </c>
      <c r="Z1039">
        <v>2.443553E-2</v>
      </c>
      <c r="AA1039">
        <v>0.99541109999999999</v>
      </c>
      <c r="AB1039">
        <v>31</v>
      </c>
      <c r="AC1039">
        <v>105.2043</v>
      </c>
      <c r="AD1039">
        <v>55.858964999999998</v>
      </c>
      <c r="AE1039">
        <v>-10.674300000000001</v>
      </c>
      <c r="AF1039">
        <v>8.6812377751197296</v>
      </c>
      <c r="AG1039">
        <v>55.858964999999998</v>
      </c>
      <c r="AH1039">
        <v>82.217619093371596</v>
      </c>
      <c r="AI1039">
        <v>55.955155754171201</v>
      </c>
      <c r="AJ1039">
        <v>83.972556358175595</v>
      </c>
      <c r="AK1039">
        <v>99.776373704209803</v>
      </c>
      <c r="AL1039">
        <v>94.291335253930995</v>
      </c>
      <c r="AM1039">
        <v>85.767082221227696</v>
      </c>
      <c r="AN1039">
        <v>0.99999995577355305</v>
      </c>
    </row>
    <row r="1040" spans="1:40" x14ac:dyDescent="0.25">
      <c r="A1040" t="str">
        <f>"20190303154748709"</f>
        <v>20190303154748709</v>
      </c>
      <c r="B1040" t="str">
        <f>"1551599268701710"</f>
        <v>1551599268701710</v>
      </c>
      <c r="C1040" t="s">
        <v>40</v>
      </c>
      <c r="D1040">
        <v>5.0632349999999997</v>
      </c>
      <c r="E1040">
        <v>0.48657679999999998</v>
      </c>
      <c r="F1040" t="s">
        <v>45</v>
      </c>
      <c r="G1040">
        <v>-158.19499999999999</v>
      </c>
      <c r="H1040">
        <v>0.90072319999999995</v>
      </c>
      <c r="I1040">
        <v>364.78410000000002</v>
      </c>
      <c r="J1040">
        <v>-263.23329999999999</v>
      </c>
      <c r="K1040">
        <v>1.120487</v>
      </c>
      <c r="L1040">
        <v>367.79910000000001</v>
      </c>
      <c r="M1040">
        <v>0.99991759999999996</v>
      </c>
      <c r="N1040">
        <v>-1.218316E-2</v>
      </c>
      <c r="O1040">
        <v>4.0711150000000002E-3</v>
      </c>
      <c r="P1040">
        <v>0.99362229999999996</v>
      </c>
      <c r="Q1040">
        <v>-8.736215E-2</v>
      </c>
      <c r="R1040">
        <v>-7.1293990000000002E-2</v>
      </c>
      <c r="S1040">
        <v>3.012146</v>
      </c>
      <c r="T1040">
        <v>-6.2890050000000003E-3</v>
      </c>
      <c r="U1040">
        <v>-8.6303710000000006E-2</v>
      </c>
      <c r="V1040">
        <v>7.533289E-2</v>
      </c>
      <c r="W1040">
        <v>-7.5259670000000001E-2</v>
      </c>
      <c r="X1040">
        <v>0.99431429999999998</v>
      </c>
      <c r="Y1040">
        <v>3.2708969999999997E-2</v>
      </c>
      <c r="Z1040">
        <v>-1.9234610000000001E-4</v>
      </c>
      <c r="AA1040">
        <v>0.99946489999999999</v>
      </c>
      <c r="AB1040">
        <v>31</v>
      </c>
      <c r="AC1040">
        <v>105.03830000000001</v>
      </c>
      <c r="AD1040">
        <v>-0.21976380000000001</v>
      </c>
      <c r="AE1040">
        <v>-3.0149999999999801</v>
      </c>
      <c r="AF1040">
        <v>3.44261464680587</v>
      </c>
      <c r="AG1040">
        <v>-0.21976380000000001</v>
      </c>
      <c r="AH1040">
        <v>105.024694737293</v>
      </c>
      <c r="AI1040">
        <v>90.119826682189</v>
      </c>
      <c r="AJ1040">
        <v>88.122568312384701</v>
      </c>
      <c r="AK1040">
        <v>105.081332292638</v>
      </c>
      <c r="AL1040">
        <v>94.316142490595695</v>
      </c>
      <c r="AM1040">
        <v>85.667339436827504</v>
      </c>
      <c r="AN1040">
        <v>0.99999999471437495</v>
      </c>
    </row>
    <row r="1041" spans="1:40" x14ac:dyDescent="0.25">
      <c r="A1041" t="str">
        <f>"20190303154748722"</f>
        <v>20190303154748722</v>
      </c>
      <c r="B1041" t="str">
        <f>"1551599268711470"</f>
        <v>1551599268711470</v>
      </c>
      <c r="C1041" t="s">
        <v>40</v>
      </c>
      <c r="D1041">
        <v>5.1727319999999999</v>
      </c>
      <c r="E1041">
        <v>0.48529</v>
      </c>
      <c r="F1041" t="s">
        <v>46</v>
      </c>
      <c r="G1041">
        <v>-199.05869999999999</v>
      </c>
      <c r="H1041" s="1">
        <v>-9.1755190000000008E-6</v>
      </c>
      <c r="I1041">
        <v>365.46409999999997</v>
      </c>
      <c r="J1041">
        <v>-263.07190000000003</v>
      </c>
      <c r="K1041">
        <v>1.120512</v>
      </c>
      <c r="L1041">
        <v>367.79969999999997</v>
      </c>
      <c r="M1041">
        <v>0.99991660000000004</v>
      </c>
      <c r="N1041">
        <v>-1.2270069999999999E-2</v>
      </c>
      <c r="O1041">
        <v>4.0599360000000001E-3</v>
      </c>
      <c r="P1041">
        <v>0.99345839999999996</v>
      </c>
      <c r="Q1041">
        <v>-8.8218320000000003E-2</v>
      </c>
      <c r="R1041">
        <v>-7.2512640000000003E-2</v>
      </c>
      <c r="S1041">
        <v>3.006866</v>
      </c>
      <c r="T1041">
        <v>-5.2500249999999998E-2</v>
      </c>
      <c r="U1041">
        <v>-0.1094055</v>
      </c>
      <c r="V1041">
        <v>7.6539369999999995E-2</v>
      </c>
      <c r="W1041">
        <v>-7.6031899999999999E-2</v>
      </c>
      <c r="X1041">
        <v>0.99416340000000003</v>
      </c>
      <c r="Y1041">
        <v>4.0407890000000002E-2</v>
      </c>
      <c r="Z1041">
        <v>-6.2170710000000002E-4</v>
      </c>
      <c r="AA1041">
        <v>0.99918309999999999</v>
      </c>
      <c r="AB1041">
        <v>31</v>
      </c>
      <c r="AC1041">
        <v>64.013199999999998</v>
      </c>
      <c r="AD1041">
        <v>-1.1205211755190001</v>
      </c>
      <c r="AE1041">
        <v>-2.3355999999999901</v>
      </c>
      <c r="AF1041">
        <v>2.5946957971075602</v>
      </c>
      <c r="AG1041">
        <v>-1.1205211755190001</v>
      </c>
      <c r="AH1041">
        <v>63.983610183053202</v>
      </c>
      <c r="AI1041">
        <v>91.002473344523295</v>
      </c>
      <c r="AJ1041">
        <v>87.677784910317399</v>
      </c>
      <c r="AK1041">
        <v>64.046002108181796</v>
      </c>
      <c r="AL1041">
        <v>94.360515147244996</v>
      </c>
      <c r="AM1041">
        <v>85.597555581073905</v>
      </c>
      <c r="AN1041">
        <v>0.99999999543858298</v>
      </c>
    </row>
    <row r="1042" spans="1:40" x14ac:dyDescent="0.25">
      <c r="A1042" t="str">
        <f>"20190303154748733"</f>
        <v>20190303154748733</v>
      </c>
      <c r="B1042" t="str">
        <f>"1551599268721231"</f>
        <v>1551599268721231</v>
      </c>
      <c r="C1042" t="s">
        <v>40</v>
      </c>
      <c r="D1042">
        <v>5.2762500000000001</v>
      </c>
      <c r="E1042">
        <v>0.48362460000000002</v>
      </c>
      <c r="F1042" t="s">
        <v>41</v>
      </c>
      <c r="G1042">
        <v>-220.5762</v>
      </c>
      <c r="H1042" s="1">
        <v>-4.6047969999999996E-6</v>
      </c>
      <c r="I1042">
        <v>366.34840000000003</v>
      </c>
      <c r="J1042">
        <v>-262.89490000000001</v>
      </c>
      <c r="K1042">
        <v>1.1205350000000001</v>
      </c>
      <c r="L1042">
        <v>367.80040000000002</v>
      </c>
      <c r="M1042">
        <v>0.9999152</v>
      </c>
      <c r="N1042">
        <v>-1.2377900000000001E-2</v>
      </c>
      <c r="O1042">
        <v>4.0452910000000003E-3</v>
      </c>
      <c r="P1042">
        <v>0.99327359999999998</v>
      </c>
      <c r="Q1042">
        <v>-8.9211040000000005E-2</v>
      </c>
      <c r="R1042">
        <v>-7.3819019999999999E-2</v>
      </c>
      <c r="S1042">
        <v>3.005188</v>
      </c>
      <c r="T1042">
        <v>-7.9239850000000001E-2</v>
      </c>
      <c r="U1042">
        <v>-0.1026306</v>
      </c>
      <c r="V1042">
        <v>7.7830109999999994E-2</v>
      </c>
      <c r="W1042">
        <v>-7.6920119999999995E-2</v>
      </c>
      <c r="X1042">
        <v>0.99399479999999996</v>
      </c>
      <c r="Y1042">
        <v>3.8154349999999997E-2</v>
      </c>
      <c r="Z1042">
        <v>-7.9562320000000004E-4</v>
      </c>
      <c r="AA1042">
        <v>0.99927149999999998</v>
      </c>
      <c r="AB1042">
        <v>31</v>
      </c>
      <c r="AC1042">
        <v>42.3187</v>
      </c>
      <c r="AD1042">
        <v>-1.120539604797</v>
      </c>
      <c r="AE1042">
        <v>-1.45199999999999</v>
      </c>
      <c r="AF1042">
        <v>1.62205677857306</v>
      </c>
      <c r="AG1042">
        <v>-1.120539604797</v>
      </c>
      <c r="AH1042">
        <v>42.282869142254803</v>
      </c>
      <c r="AI1042">
        <v>91.516926634158594</v>
      </c>
      <c r="AJ1042">
        <v>87.803094739528305</v>
      </c>
      <c r="AK1042">
        <v>42.328804614587</v>
      </c>
      <c r="AL1042">
        <v>94.411556098900803</v>
      </c>
      <c r="AM1042">
        <v>85.522856969641794</v>
      </c>
      <c r="AN1042">
        <v>0.99999994665523095</v>
      </c>
    </row>
    <row r="1043" spans="1:40" x14ac:dyDescent="0.25">
      <c r="A1043" t="str">
        <f>"20190303154748746"</f>
        <v>20190303154748746</v>
      </c>
      <c r="B1043" t="str">
        <f>"1551599268741727"</f>
        <v>1551599268741727</v>
      </c>
      <c r="C1043" t="s">
        <v>40</v>
      </c>
      <c r="D1043">
        <v>5.1178210000000002</v>
      </c>
      <c r="E1043">
        <v>0.48222739999999997</v>
      </c>
      <c r="F1043" t="s">
        <v>41</v>
      </c>
      <c r="G1043">
        <v>-233.03530000000001</v>
      </c>
      <c r="H1043" s="1">
        <v>-3.4567639999999999E-6</v>
      </c>
      <c r="I1043">
        <v>366.8732</v>
      </c>
      <c r="J1043">
        <v>-262.7303</v>
      </c>
      <c r="K1043">
        <v>1.1205579999999999</v>
      </c>
      <c r="L1043">
        <v>367.80110000000002</v>
      </c>
      <c r="M1043">
        <v>0.99991399999999997</v>
      </c>
      <c r="N1043">
        <v>-1.24779E-2</v>
      </c>
      <c r="O1043">
        <v>4.0309930000000001E-3</v>
      </c>
      <c r="P1043">
        <v>0.99314380000000002</v>
      </c>
      <c r="Q1043">
        <v>-8.9967909999999998E-2</v>
      </c>
      <c r="R1043">
        <v>-7.4639159999999996E-2</v>
      </c>
      <c r="S1043">
        <v>3.0032350000000001</v>
      </c>
      <c r="T1043">
        <v>-0.11270189999999999</v>
      </c>
      <c r="U1043">
        <v>-9.3261720000000006E-2</v>
      </c>
      <c r="V1043">
        <v>7.8635449999999996E-2</v>
      </c>
      <c r="W1043">
        <v>-7.7579519999999999E-2</v>
      </c>
      <c r="X1043">
        <v>0.99388019999999999</v>
      </c>
      <c r="Y1043">
        <v>3.5033799999999997E-2</v>
      </c>
      <c r="Z1043">
        <v>-9.7660910000000006E-4</v>
      </c>
      <c r="AA1043">
        <v>0.99938570000000004</v>
      </c>
      <c r="AB1043">
        <v>31</v>
      </c>
      <c r="AC1043">
        <v>29.695</v>
      </c>
      <c r="AD1043">
        <v>-1.1205614567640001</v>
      </c>
      <c r="AE1043">
        <v>-0.92790000000002204</v>
      </c>
      <c r="AF1043">
        <v>1.0461139246361699</v>
      </c>
      <c r="AG1043">
        <v>-1.1205614567640001</v>
      </c>
      <c r="AH1043">
        <v>29.6488398059074</v>
      </c>
      <c r="AI1043">
        <v>92.163087288933696</v>
      </c>
      <c r="AJ1043">
        <v>87.979244414732804</v>
      </c>
      <c r="AK1043">
        <v>29.688444118176001</v>
      </c>
      <c r="AL1043">
        <v>94.449450008721399</v>
      </c>
      <c r="AM1043">
        <v>85.476202013443697</v>
      </c>
      <c r="AN1043">
        <v>0.99999998393608602</v>
      </c>
    </row>
    <row r="1044" spans="1:40" x14ac:dyDescent="0.25">
      <c r="A1044" t="str">
        <f>"20190303154748757"</f>
        <v>20190303154748757</v>
      </c>
      <c r="B1044" t="str">
        <f>"1551599268751486"</f>
        <v>1551599268751486</v>
      </c>
      <c r="C1044" t="s">
        <v>40</v>
      </c>
      <c r="D1044">
        <v>5.1233170000000001</v>
      </c>
      <c r="E1044">
        <v>0.48144759999999998</v>
      </c>
      <c r="F1044" t="s">
        <v>41</v>
      </c>
      <c r="G1044">
        <v>-239.0626</v>
      </c>
      <c r="H1044" s="1">
        <v>-9.6487509999999995E-7</v>
      </c>
      <c r="I1044">
        <v>367.13670000000002</v>
      </c>
      <c r="J1044">
        <v>-262.5675</v>
      </c>
      <c r="K1044">
        <v>1.120573</v>
      </c>
      <c r="L1044">
        <v>367.80169999999998</v>
      </c>
      <c r="M1044">
        <v>0.99991289999999999</v>
      </c>
      <c r="N1044">
        <v>-1.2576530000000001E-2</v>
      </c>
      <c r="O1044">
        <v>4.0156899999999997E-3</v>
      </c>
      <c r="P1044">
        <v>0.99299870000000001</v>
      </c>
      <c r="Q1044">
        <v>-9.0663309999999997E-2</v>
      </c>
      <c r="R1044">
        <v>-7.5725410000000007E-2</v>
      </c>
      <c r="S1044">
        <v>3.0014949999999998</v>
      </c>
      <c r="T1044">
        <v>-0.14210680000000001</v>
      </c>
      <c r="U1044">
        <v>-8.4259029999999999E-2</v>
      </c>
      <c r="V1044">
        <v>7.9705310000000001E-2</v>
      </c>
      <c r="W1044">
        <v>-7.8178960000000006E-2</v>
      </c>
      <c r="X1044">
        <v>0.99374799999999996</v>
      </c>
      <c r="Y1044">
        <v>3.2027689999999998E-2</v>
      </c>
      <c r="Z1044">
        <v>-1.098705E-3</v>
      </c>
      <c r="AA1044">
        <v>0.9994864</v>
      </c>
      <c r="AB1044">
        <v>31</v>
      </c>
      <c r="AC1044">
        <v>23.5048999999999</v>
      </c>
      <c r="AD1044">
        <v>-1.1205739648751001</v>
      </c>
      <c r="AE1044">
        <v>-0.66499999999996295</v>
      </c>
      <c r="AF1044">
        <v>0.75766982324330401</v>
      </c>
      <c r="AG1044">
        <v>-1.1205739648751001</v>
      </c>
      <c r="AH1044">
        <v>23.448787656883599</v>
      </c>
      <c r="AI1044">
        <v>92.734552361927399</v>
      </c>
      <c r="AJ1044">
        <v>88.149320747353997</v>
      </c>
      <c r="AK1044">
        <v>23.487771119232001</v>
      </c>
      <c r="AL1044">
        <v>94.483900010303699</v>
      </c>
      <c r="AM1044">
        <v>85.414307641064795</v>
      </c>
      <c r="AN1044">
        <v>0.99999998686643798</v>
      </c>
    </row>
    <row r="1045" spans="1:40" x14ac:dyDescent="0.25">
      <c r="A1045" t="str">
        <f>"20190303154748770"</f>
        <v>20190303154748770</v>
      </c>
      <c r="B1045" t="str">
        <f>"1551599268761247"</f>
        <v>1551599268761247</v>
      </c>
      <c r="C1045" t="s">
        <v>40</v>
      </c>
      <c r="D1045">
        <v>5.0392400000000004</v>
      </c>
      <c r="E1045">
        <v>0.48099609999999898</v>
      </c>
      <c r="F1045" t="s">
        <v>41</v>
      </c>
      <c r="G1045">
        <v>-241.0778</v>
      </c>
      <c r="H1045" s="1">
        <v>-4.623037E-6</v>
      </c>
      <c r="I1045">
        <v>367.22059999999999</v>
      </c>
      <c r="J1045">
        <v>-262.41070000000002</v>
      </c>
      <c r="K1045">
        <v>1.1205879999999999</v>
      </c>
      <c r="L1045">
        <v>367.8023</v>
      </c>
      <c r="M1045">
        <v>0.99991180000000002</v>
      </c>
      <c r="N1045">
        <v>-1.2669450000000001E-2</v>
      </c>
      <c r="O1045">
        <v>4.0004819999999996E-3</v>
      </c>
      <c r="P1045">
        <v>0.99287769999999997</v>
      </c>
      <c r="Q1045">
        <v>-9.1341030000000004E-2</v>
      </c>
      <c r="R1045">
        <v>-7.6490249999999996E-2</v>
      </c>
      <c r="S1045">
        <v>3.0006710000000001</v>
      </c>
      <c r="T1045">
        <v>-0.15646979999999999</v>
      </c>
      <c r="U1045">
        <v>-8.1146239999999994E-2</v>
      </c>
      <c r="V1045">
        <v>8.0454440000000002E-2</v>
      </c>
      <c r="W1045">
        <v>-7.8766089999999997E-2</v>
      </c>
      <c r="X1045">
        <v>0.99364129999999995</v>
      </c>
      <c r="Y1045">
        <v>3.0976529999999999E-2</v>
      </c>
      <c r="Z1045">
        <v>-1.161154E-3</v>
      </c>
      <c r="AA1045">
        <v>0.99951950000000001</v>
      </c>
      <c r="AB1045">
        <v>31</v>
      </c>
      <c r="AC1045">
        <v>21.332899999999999</v>
      </c>
      <c r="AD1045">
        <v>-1.120592623037</v>
      </c>
      <c r="AE1045">
        <v>-0.58170000000001199</v>
      </c>
      <c r="AF1045">
        <v>0.66520993519281102</v>
      </c>
      <c r="AG1045">
        <v>-1.120592623037</v>
      </c>
      <c r="AH1045">
        <v>21.2717508993438</v>
      </c>
      <c r="AI1045">
        <v>93.0140748122883</v>
      </c>
      <c r="AJ1045">
        <v>88.208830811987198</v>
      </c>
      <c r="AK1045">
        <v>21.311631059316401</v>
      </c>
      <c r="AL1045">
        <v>94.517643974176707</v>
      </c>
      <c r="AM1045">
        <v>85.370899414224297</v>
      </c>
      <c r="AN1045">
        <v>1.0000000234576401</v>
      </c>
    </row>
    <row r="1046" spans="1:40" x14ac:dyDescent="0.25">
      <c r="A1046" t="str">
        <f>"20190303154748783"</f>
        <v>20190303154748783</v>
      </c>
      <c r="B1046" t="str">
        <f>"1551599268771982"</f>
        <v>1551599268771982</v>
      </c>
      <c r="C1046" t="s">
        <v>40</v>
      </c>
      <c r="D1046">
        <v>5.1065509999999996</v>
      </c>
      <c r="E1046">
        <v>0.4799872</v>
      </c>
      <c r="F1046" t="s">
        <v>41</v>
      </c>
      <c r="G1046">
        <v>-241.3074</v>
      </c>
      <c r="H1046" s="1">
        <v>-4.5106959999999997E-6</v>
      </c>
      <c r="I1046">
        <v>367.24220000000003</v>
      </c>
      <c r="J1046">
        <v>-262.22109999999998</v>
      </c>
      <c r="K1046">
        <v>1.120608</v>
      </c>
      <c r="L1046">
        <v>367.80309999999997</v>
      </c>
      <c r="M1046">
        <v>0.99991050000000004</v>
      </c>
      <c r="N1046">
        <v>-1.278022E-2</v>
      </c>
      <c r="O1046">
        <v>3.9817569999999998E-3</v>
      </c>
      <c r="P1046">
        <v>0.99278250000000001</v>
      </c>
      <c r="Q1046">
        <v>-9.2128169999999995E-2</v>
      </c>
      <c r="R1046">
        <v>-7.67843E-2</v>
      </c>
      <c r="S1046">
        <v>3.000702</v>
      </c>
      <c r="T1046">
        <v>-0.15933820000000001</v>
      </c>
      <c r="U1046">
        <v>-7.9650879999999993E-2</v>
      </c>
      <c r="V1046">
        <v>8.0729250000000002E-2</v>
      </c>
      <c r="W1046">
        <v>-7.944445E-2</v>
      </c>
      <c r="X1046">
        <v>0.99356500000000003</v>
      </c>
      <c r="Y1046">
        <v>3.045875E-2</v>
      </c>
      <c r="Z1046">
        <v>-1.1632159999999999E-3</v>
      </c>
      <c r="AA1046">
        <v>0.99953530000000002</v>
      </c>
      <c r="AB1046">
        <v>31</v>
      </c>
      <c r="AC1046">
        <v>20.913699999999899</v>
      </c>
      <c r="AD1046">
        <v>-1.1206125106960001</v>
      </c>
      <c r="AE1046">
        <v>-0.560899999999946</v>
      </c>
      <c r="AF1046">
        <v>0.64233273797394197</v>
      </c>
      <c r="AG1046">
        <v>-1.1206125106960001</v>
      </c>
      <c r="AH1046">
        <v>20.851476872095901</v>
      </c>
      <c r="AI1046">
        <v>93.074808770220102</v>
      </c>
      <c r="AJ1046">
        <v>88.235553274895096</v>
      </c>
      <c r="AK1046">
        <v>20.891444456833302</v>
      </c>
      <c r="AL1046">
        <v>94.556633333162594</v>
      </c>
      <c r="AM1046">
        <v>85.354801625973707</v>
      </c>
      <c r="AN1046">
        <v>1.0000000208331801</v>
      </c>
    </row>
    <row r="1047" spans="1:40" x14ac:dyDescent="0.25">
      <c r="A1047" t="str">
        <f>"20190303154748797"</f>
        <v>20190303154748797</v>
      </c>
      <c r="B1047" t="str">
        <f>"1551599268791503"</f>
        <v>1551599268791503</v>
      </c>
      <c r="C1047" t="s">
        <v>40</v>
      </c>
      <c r="D1047">
        <v>5.1108149999999997</v>
      </c>
      <c r="E1047">
        <v>0.47840929999999998</v>
      </c>
      <c r="F1047" t="s">
        <v>41</v>
      </c>
      <c r="G1047">
        <v>-241.96440000000001</v>
      </c>
      <c r="H1047" s="1">
        <v>-4.1874510000000003E-6</v>
      </c>
      <c r="I1047">
        <v>367.3134</v>
      </c>
      <c r="J1047">
        <v>-262.02870000000001</v>
      </c>
      <c r="K1047">
        <v>1.1206199999999999</v>
      </c>
      <c r="L1047">
        <v>367.80380000000002</v>
      </c>
      <c r="M1047">
        <v>0.99990919999999905</v>
      </c>
      <c r="N1047">
        <v>-1.2889070000000001E-2</v>
      </c>
      <c r="O1047">
        <v>3.9623849999999997E-3</v>
      </c>
      <c r="P1047">
        <v>0.99273999999999996</v>
      </c>
      <c r="Q1047">
        <v>-9.2358430000000005E-2</v>
      </c>
      <c r="R1047">
        <v>-7.7054460000000005E-2</v>
      </c>
      <c r="S1047">
        <v>3.0007929999999998</v>
      </c>
      <c r="T1047">
        <v>-0.16600570000000001</v>
      </c>
      <c r="U1047">
        <v>-7.2540279999999999E-2</v>
      </c>
      <c r="V1047">
        <v>8.0980079999999996E-2</v>
      </c>
      <c r="W1047">
        <v>-7.9567239999999997E-2</v>
      </c>
      <c r="X1047">
        <v>0.99353469999999999</v>
      </c>
      <c r="Y1047">
        <v>2.8071530000000001E-2</v>
      </c>
      <c r="Z1047">
        <v>-1.124842E-3</v>
      </c>
      <c r="AA1047">
        <v>0.99960530000000003</v>
      </c>
      <c r="AB1047">
        <v>31</v>
      </c>
      <c r="AC1047">
        <v>20.064299999999999</v>
      </c>
      <c r="AD1047">
        <v>-1.1206241874509999</v>
      </c>
      <c r="AE1047">
        <v>-0.49040000000002198</v>
      </c>
      <c r="AF1047">
        <v>0.56813404324967398</v>
      </c>
      <c r="AG1047">
        <v>-1.1206241874509999</v>
      </c>
      <c r="AH1047">
        <v>19.999848739693199</v>
      </c>
      <c r="AI1047">
        <v>93.205732229301901</v>
      </c>
      <c r="AJ1047">
        <v>88.372841132731196</v>
      </c>
      <c r="AK1047">
        <v>20.039274549524201</v>
      </c>
      <c r="AL1047">
        <v>94.563691303786499</v>
      </c>
      <c r="AM1047">
        <v>85.3402907287321</v>
      </c>
      <c r="AN1047">
        <v>0.99999995957105603</v>
      </c>
    </row>
    <row r="1048" spans="1:40" x14ac:dyDescent="0.25">
      <c r="A1048" t="str">
        <f>"20190303154748812"</f>
        <v>20190303154748812</v>
      </c>
      <c r="B1048" t="str">
        <f>"1551599268801262"</f>
        <v>1551599268801262</v>
      </c>
      <c r="C1048" t="s">
        <v>40</v>
      </c>
      <c r="D1048">
        <v>5.1228239999999996</v>
      </c>
      <c r="E1048">
        <v>0.477933</v>
      </c>
      <c r="F1048" t="s">
        <v>41</v>
      </c>
      <c r="G1048">
        <v>-242.81880000000001</v>
      </c>
      <c r="H1048" s="1">
        <v>-3.765623E-6</v>
      </c>
      <c r="I1048">
        <v>367.41460000000001</v>
      </c>
      <c r="J1048">
        <v>-261.82209999999998</v>
      </c>
      <c r="K1048">
        <v>1.120635</v>
      </c>
      <c r="L1048">
        <v>367.80459999999999</v>
      </c>
      <c r="M1048">
        <v>0.99990780000000001</v>
      </c>
      <c r="N1048">
        <v>-1.300076E-2</v>
      </c>
      <c r="O1048">
        <v>3.941618E-3</v>
      </c>
      <c r="P1048">
        <v>0.99274609999999996</v>
      </c>
      <c r="Q1048">
        <v>-9.2455280000000001E-2</v>
      </c>
      <c r="R1048">
        <v>-7.6860540000000005E-2</v>
      </c>
      <c r="S1048">
        <v>3.0009459999999999</v>
      </c>
      <c r="T1048">
        <v>-0.1750621</v>
      </c>
      <c r="U1048">
        <v>-6.0791020000000001E-2</v>
      </c>
      <c r="V1048">
        <v>8.0765310000000007E-2</v>
      </c>
      <c r="W1048">
        <v>-7.955305E-2</v>
      </c>
      <c r="X1048">
        <v>0.99355329999999997</v>
      </c>
      <c r="Y1048">
        <v>2.4139890000000001E-2</v>
      </c>
      <c r="Z1048">
        <v>-1.0390550000000001E-3</v>
      </c>
      <c r="AA1048">
        <v>0.99970809999999999</v>
      </c>
      <c r="AB1048">
        <v>31</v>
      </c>
      <c r="AC1048">
        <v>19.0032999999999</v>
      </c>
      <c r="AD1048">
        <v>-1.1206387656229999</v>
      </c>
      <c r="AE1048">
        <v>-0.38999999999998602</v>
      </c>
      <c r="AF1048">
        <v>0.46329658577744898</v>
      </c>
      <c r="AG1048">
        <v>-1.1206387656229999</v>
      </c>
      <c r="AH1048">
        <v>18.935792573061502</v>
      </c>
      <c r="AI1048">
        <v>93.3858591236948</v>
      </c>
      <c r="AJ1048">
        <v>88.598440279171996</v>
      </c>
      <c r="AK1048">
        <v>18.974580768476098</v>
      </c>
      <c r="AL1048">
        <v>94.562875773825496</v>
      </c>
      <c r="AM1048">
        <v>85.352681317169598</v>
      </c>
      <c r="AN1048">
        <v>0.99999994150229199</v>
      </c>
    </row>
    <row r="1049" spans="1:40" x14ac:dyDescent="0.25">
      <c r="A1049" t="str">
        <f>"20190303154748827"</f>
        <v>20190303154748827</v>
      </c>
      <c r="B1049" t="str">
        <f>"1551599268821758"</f>
        <v>1551599268821758</v>
      </c>
      <c r="C1049" t="s">
        <v>40</v>
      </c>
      <c r="D1049">
        <v>5.1462479999999999</v>
      </c>
      <c r="E1049">
        <v>0.47710429999999998</v>
      </c>
      <c r="F1049" t="s">
        <v>41</v>
      </c>
      <c r="G1049">
        <v>-243.14169999999999</v>
      </c>
      <c r="H1049" s="1">
        <v>-3.6061390000000001E-6</v>
      </c>
      <c r="I1049">
        <v>367.45339999999999</v>
      </c>
      <c r="J1049">
        <v>-261.61810000000003</v>
      </c>
      <c r="K1049">
        <v>1.12064599999999</v>
      </c>
      <c r="L1049">
        <v>367.80540000000002</v>
      </c>
      <c r="M1049">
        <v>0.99990650000000003</v>
      </c>
      <c r="N1049">
        <v>-1.310595E-2</v>
      </c>
      <c r="O1049">
        <v>3.9213670000000003E-3</v>
      </c>
      <c r="P1049">
        <v>0.99275709999999995</v>
      </c>
      <c r="Q1049">
        <v>-9.2526689999999995E-2</v>
      </c>
      <c r="R1049">
        <v>-7.6629939999999994E-2</v>
      </c>
      <c r="S1049">
        <v>3.0007929999999998</v>
      </c>
      <c r="T1049">
        <v>-0.1800177</v>
      </c>
      <c r="U1049">
        <v>-5.6426999999999998E-2</v>
      </c>
      <c r="V1049">
        <v>8.0514600000000006E-2</v>
      </c>
      <c r="W1049">
        <v>-7.951983E-2</v>
      </c>
      <c r="X1049">
        <v>0.99357629999999997</v>
      </c>
      <c r="Y1049">
        <v>2.2667610000000001E-2</v>
      </c>
      <c r="Z1049">
        <v>-1.0116249999999999E-3</v>
      </c>
      <c r="AA1049">
        <v>0.99974260000000004</v>
      </c>
      <c r="AB1049">
        <v>31</v>
      </c>
      <c r="AC1049">
        <v>18.476400000000002</v>
      </c>
      <c r="AD1049">
        <v>-1.1206496061390001</v>
      </c>
      <c r="AE1049">
        <v>-0.35200000000003201</v>
      </c>
      <c r="AF1049">
        <v>0.42290105651924398</v>
      </c>
      <c r="AG1049">
        <v>-1.1206496061390001</v>
      </c>
      <c r="AH1049">
        <v>18.407185879694399</v>
      </c>
      <c r="AI1049">
        <v>93.483012704124704</v>
      </c>
      <c r="AJ1049">
        <v>88.683873573740698</v>
      </c>
      <c r="AK1049">
        <v>18.446115928643799</v>
      </c>
      <c r="AL1049">
        <v>94.560966392879195</v>
      </c>
      <c r="AM1049">
        <v>85.367151310174904</v>
      </c>
      <c r="AN1049">
        <v>0.99999993404903698</v>
      </c>
    </row>
    <row r="1050" spans="1:40" x14ac:dyDescent="0.25">
      <c r="A1050" t="str">
        <f>"20190303154748842"</f>
        <v>20190303154748842</v>
      </c>
      <c r="B1050" t="str">
        <f>"1551599268831518"</f>
        <v>1551599268831518</v>
      </c>
      <c r="C1050" t="s">
        <v>40</v>
      </c>
      <c r="D1050">
        <v>5.1086660000000004</v>
      </c>
      <c r="E1050">
        <v>0.4767631</v>
      </c>
      <c r="F1050" t="s">
        <v>41</v>
      </c>
      <c r="G1050">
        <v>-243.613</v>
      </c>
      <c r="H1050" s="1">
        <v>-3.3727419999999998E-6</v>
      </c>
      <c r="I1050">
        <v>367.51299999999998</v>
      </c>
      <c r="J1050">
        <v>-261.42520000000002</v>
      </c>
      <c r="K1050">
        <v>1.120655</v>
      </c>
      <c r="L1050">
        <v>367.80619999999999</v>
      </c>
      <c r="M1050">
        <v>0.99990520000000005</v>
      </c>
      <c r="N1050">
        <v>-1.3200699999999999E-2</v>
      </c>
      <c r="O1050">
        <v>3.9023740000000001E-3</v>
      </c>
      <c r="P1050">
        <v>0.99285630000000002</v>
      </c>
      <c r="Q1050">
        <v>-9.2328149999999998E-2</v>
      </c>
      <c r="R1050">
        <v>-7.5578300000000001E-2</v>
      </c>
      <c r="S1050">
        <v>3.0007320000000002</v>
      </c>
      <c r="T1050">
        <v>-0.1867683</v>
      </c>
      <c r="U1050">
        <v>-4.873657E-2</v>
      </c>
      <c r="V1050">
        <v>7.9444550000000003E-2</v>
      </c>
      <c r="W1050">
        <v>-7.9225760000000006E-2</v>
      </c>
      <c r="X1050">
        <v>0.99368599999999996</v>
      </c>
      <c r="Y1050">
        <v>2.0089679999999999E-2</v>
      </c>
      <c r="Z1050">
        <v>-9.4848809999999997E-4</v>
      </c>
      <c r="AA1050">
        <v>0.99979779999999996</v>
      </c>
      <c r="AB1050">
        <v>31</v>
      </c>
      <c r="AC1050">
        <v>17.812200000000001</v>
      </c>
      <c r="AD1050">
        <v>-1.1206583727420001</v>
      </c>
      <c r="AE1050">
        <v>-0.293199999999956</v>
      </c>
      <c r="AF1050">
        <v>0.36128400220437101</v>
      </c>
      <c r="AG1050">
        <v>-1.1206583727420001</v>
      </c>
      <c r="AH1050">
        <v>17.740715592570901</v>
      </c>
      <c r="AI1050">
        <v>93.613751492424598</v>
      </c>
      <c r="AJ1050">
        <v>88.833351024674201</v>
      </c>
      <c r="AK1050">
        <v>17.7797466532888</v>
      </c>
      <c r="AL1050">
        <v>94.544063739771602</v>
      </c>
      <c r="AM1050">
        <v>85.428962316826599</v>
      </c>
      <c r="AN1050">
        <v>1.0000000120841399</v>
      </c>
    </row>
    <row r="1051" spans="1:40" x14ac:dyDescent="0.25">
      <c r="A1051" t="str">
        <f>"20190303154748852"</f>
        <v>20190303154748852</v>
      </c>
      <c r="B1051" t="str">
        <f>"1551599268841279"</f>
        <v>1551599268841279</v>
      </c>
      <c r="C1051" t="s">
        <v>40</v>
      </c>
      <c r="D1051">
        <v>5.1029489999999997</v>
      </c>
      <c r="E1051">
        <v>0.47640830000000001</v>
      </c>
      <c r="F1051" t="s">
        <v>41</v>
      </c>
      <c r="G1051">
        <v>-243.6455</v>
      </c>
      <c r="H1051" s="1">
        <v>-3.3506699999999898E-6</v>
      </c>
      <c r="I1051">
        <v>367.55090000000001</v>
      </c>
      <c r="J1051">
        <v>-261.25839999999999</v>
      </c>
      <c r="K1051">
        <v>1.1206640000000001</v>
      </c>
      <c r="L1051">
        <v>367.80680000000001</v>
      </c>
      <c r="M1051">
        <v>0.99990429999999997</v>
      </c>
      <c r="N1051">
        <v>-1.3275810000000001E-2</v>
      </c>
      <c r="O1051">
        <v>3.8858959999999998E-3</v>
      </c>
      <c r="P1051">
        <v>0.99289099999999997</v>
      </c>
      <c r="Q1051">
        <v>-9.2582789999999998E-2</v>
      </c>
      <c r="R1051">
        <v>-7.4808089999999994E-2</v>
      </c>
      <c r="S1051">
        <v>3.000702</v>
      </c>
      <c r="T1051">
        <v>-0.18913469999999999</v>
      </c>
      <c r="U1051">
        <v>-4.3090820000000002E-2</v>
      </c>
      <c r="V1051">
        <v>7.8657899999999906E-2</v>
      </c>
      <c r="W1051">
        <v>-7.9405149999999994E-2</v>
      </c>
      <c r="X1051">
        <v>0.99373420000000001</v>
      </c>
      <c r="Y1051">
        <v>1.8195969999999999E-2</v>
      </c>
      <c r="Z1051">
        <v>-8.8691629999999996E-4</v>
      </c>
      <c r="AA1051">
        <v>0.99983409999999995</v>
      </c>
      <c r="AB1051">
        <v>31</v>
      </c>
      <c r="AC1051">
        <v>17.6128999999999</v>
      </c>
      <c r="AD1051">
        <v>-1.12066735066999</v>
      </c>
      <c r="AE1051">
        <v>-0.25589999999999602</v>
      </c>
      <c r="AF1051">
        <v>0.32303846103621098</v>
      </c>
      <c r="AG1051">
        <v>-1.12066735066999</v>
      </c>
      <c r="AH1051">
        <v>17.540774071694401</v>
      </c>
      <c r="AI1051">
        <v>93.654999284268897</v>
      </c>
      <c r="AJ1051">
        <v>88.944935481036495</v>
      </c>
      <c r="AK1051">
        <v>17.579505231729101</v>
      </c>
      <c r="AL1051">
        <v>94.554374788706696</v>
      </c>
      <c r="AM1051">
        <v>85.474253790175794</v>
      </c>
      <c r="AN1051">
        <v>0.99999995166428501</v>
      </c>
    </row>
    <row r="1052" spans="1:40" x14ac:dyDescent="0.25">
      <c r="A1052" t="str">
        <f>"20190303154748865"</f>
        <v>20190303154748865</v>
      </c>
      <c r="B1052" t="str">
        <f>"1551599268861774"</f>
        <v>1551599268861774</v>
      </c>
      <c r="C1052" t="s">
        <v>40</v>
      </c>
      <c r="D1052">
        <v>5.1302640000000004</v>
      </c>
      <c r="E1052">
        <v>0.4758116</v>
      </c>
      <c r="F1052" t="s">
        <v>41</v>
      </c>
      <c r="G1052">
        <v>-243.75739999999999</v>
      </c>
      <c r="H1052" s="1">
        <v>-3.2914599999999902E-6</v>
      </c>
      <c r="I1052">
        <v>367.58659999999998</v>
      </c>
      <c r="J1052">
        <v>-261.10070000000002</v>
      </c>
      <c r="K1052">
        <v>1.1206689999999999</v>
      </c>
      <c r="L1052">
        <v>367.80739999999997</v>
      </c>
      <c r="M1052">
        <v>0.9999036</v>
      </c>
      <c r="N1052">
        <v>-1.3344200000000001E-2</v>
      </c>
      <c r="O1052">
        <v>3.8706529999999999E-3</v>
      </c>
      <c r="P1052">
        <v>0.99294000000000004</v>
      </c>
      <c r="Q1052">
        <v>-9.2738950000000001E-2</v>
      </c>
      <c r="R1052">
        <v>-7.3957819999999994E-2</v>
      </c>
      <c r="S1052">
        <v>3.0007320000000002</v>
      </c>
      <c r="T1052">
        <v>-0.19215019999999999</v>
      </c>
      <c r="U1052">
        <v>-3.7750239999999997E-2</v>
      </c>
      <c r="V1052">
        <v>7.7792910000000007E-2</v>
      </c>
      <c r="W1052">
        <v>-7.9492519999999997E-2</v>
      </c>
      <c r="X1052">
        <v>0.99379530000000005</v>
      </c>
      <c r="Y1052">
        <v>1.6404370000000001E-2</v>
      </c>
      <c r="Z1052">
        <v>-8.3024439999999998E-4</v>
      </c>
      <c r="AA1052">
        <v>0.99986509999999995</v>
      </c>
      <c r="AB1052">
        <v>31</v>
      </c>
      <c r="AC1052">
        <v>17.343299999999999</v>
      </c>
      <c r="AD1052">
        <v>-1.12067229146</v>
      </c>
      <c r="AE1052">
        <v>-0.220799999999996</v>
      </c>
      <c r="AF1052">
        <v>0.28673717425547801</v>
      </c>
      <c r="AG1052">
        <v>-1.12067229146</v>
      </c>
      <c r="AH1052">
        <v>17.270217673379801</v>
      </c>
      <c r="AI1052">
        <v>93.7122337084881</v>
      </c>
      <c r="AJ1052">
        <v>89.048806396710901</v>
      </c>
      <c r="AK1052">
        <v>17.308915132898001</v>
      </c>
      <c r="AL1052">
        <v>94.559396612420798</v>
      </c>
      <c r="AM1052">
        <v>85.524093500549199</v>
      </c>
      <c r="AN1052">
        <v>0.99999994794215297</v>
      </c>
    </row>
    <row r="1053" spans="1:40" x14ac:dyDescent="0.25">
      <c r="A1053" t="str">
        <f>"20190303154748876"</f>
        <v>20190303154748876</v>
      </c>
      <c r="B1053" t="str">
        <f>"1551599268871535"</f>
        <v>1551599268871535</v>
      </c>
      <c r="C1053" t="s">
        <v>40</v>
      </c>
      <c r="D1053">
        <v>5.1221230000000002</v>
      </c>
      <c r="E1053">
        <v>0.4755489</v>
      </c>
      <c r="F1053" t="s">
        <v>41</v>
      </c>
      <c r="G1053">
        <v>-243.83619999999999</v>
      </c>
      <c r="H1053" s="1">
        <v>-3.246073E-6</v>
      </c>
      <c r="I1053">
        <v>367.63240000000002</v>
      </c>
      <c r="J1053">
        <v>-260.93880000000001</v>
      </c>
      <c r="K1053">
        <v>1.1206719999999999</v>
      </c>
      <c r="L1053">
        <v>367.80799999999999</v>
      </c>
      <c r="M1053">
        <v>0.99990270000000003</v>
      </c>
      <c r="N1053">
        <v>-1.340998E-2</v>
      </c>
      <c r="O1053">
        <v>3.8552450000000002E-3</v>
      </c>
      <c r="P1053">
        <v>0.99296779999999996</v>
      </c>
      <c r="Q1053">
        <v>-9.3020829999999999E-2</v>
      </c>
      <c r="R1053">
        <v>-7.3228109999999999E-2</v>
      </c>
      <c r="S1053">
        <v>3.0008849999999998</v>
      </c>
      <c r="T1053">
        <v>-0.1947933</v>
      </c>
      <c r="U1053">
        <v>-3.042603E-2</v>
      </c>
      <c r="V1053">
        <v>7.7047859999999996E-2</v>
      </c>
      <c r="W1053">
        <v>-7.9708550000000003E-2</v>
      </c>
      <c r="X1053">
        <v>0.9938361</v>
      </c>
      <c r="Y1053">
        <v>1.395327E-2</v>
      </c>
      <c r="Z1053">
        <v>-7.4438749999999995E-4</v>
      </c>
      <c r="AA1053">
        <v>0.99990239999999997</v>
      </c>
      <c r="AB1053">
        <v>31</v>
      </c>
      <c r="AC1053">
        <v>17.102599999999999</v>
      </c>
      <c r="AD1053">
        <v>-1.1206752460729901</v>
      </c>
      <c r="AE1053">
        <v>-0.17560000000003101</v>
      </c>
      <c r="AF1053">
        <v>0.24050677028787101</v>
      </c>
      <c r="AG1053">
        <v>-1.1206752460729901</v>
      </c>
      <c r="AH1053">
        <v>17.028686868500401</v>
      </c>
      <c r="AI1053">
        <v>93.764889630565705</v>
      </c>
      <c r="AJ1053">
        <v>89.1908297549233</v>
      </c>
      <c r="AK1053">
        <v>17.067218079674099</v>
      </c>
      <c r="AL1053">
        <v>94.571813338660306</v>
      </c>
      <c r="AM1053">
        <v>85.566970392253396</v>
      </c>
      <c r="AN1053">
        <v>1.00000000966844</v>
      </c>
    </row>
    <row r="1054" spans="1:40" x14ac:dyDescent="0.25">
      <c r="A1054" t="str">
        <f>"20190303154748888"</f>
        <v>20190303154748888</v>
      </c>
      <c r="B1054" t="str">
        <f>"1551599268881295"</f>
        <v>1551599268881295</v>
      </c>
      <c r="C1054" t="s">
        <v>40</v>
      </c>
      <c r="D1054">
        <v>5.1153779999999998</v>
      </c>
      <c r="E1054">
        <v>0.47532580000000002</v>
      </c>
      <c r="F1054" t="s">
        <v>41</v>
      </c>
      <c r="G1054">
        <v>-243.8449</v>
      </c>
      <c r="H1054" s="1">
        <v>-3.2373950000000002E-6</v>
      </c>
      <c r="I1054">
        <v>367.65809999999999</v>
      </c>
      <c r="J1054">
        <v>-260.78559999999999</v>
      </c>
      <c r="K1054">
        <v>1.1206750000000001</v>
      </c>
      <c r="L1054">
        <v>367.80860000000001</v>
      </c>
      <c r="M1054">
        <v>0.99990199999999996</v>
      </c>
      <c r="N1054">
        <v>-1.346813E-2</v>
      </c>
      <c r="O1054">
        <v>3.8403690000000002E-3</v>
      </c>
      <c r="P1054">
        <v>0.99298940000000002</v>
      </c>
      <c r="Q1054">
        <v>-9.3542810000000004E-2</v>
      </c>
      <c r="R1054">
        <v>-7.2264480000000006E-2</v>
      </c>
      <c r="S1054">
        <v>3.0008849999999998</v>
      </c>
      <c r="T1054">
        <v>-0.19673740000000001</v>
      </c>
      <c r="U1054">
        <v>-2.630615E-2</v>
      </c>
      <c r="V1054">
        <v>7.6069399999999995E-2</v>
      </c>
      <c r="W1054">
        <v>-8.0172190000000004E-2</v>
      </c>
      <c r="X1054">
        <v>0.99387420000000004</v>
      </c>
      <c r="Y1054">
        <v>1.2568559999999999E-2</v>
      </c>
      <c r="Z1054">
        <v>-6.9611869999999896E-4</v>
      </c>
      <c r="AA1054">
        <v>0.99992080000000005</v>
      </c>
      <c r="AB1054">
        <v>31</v>
      </c>
      <c r="AC1054">
        <v>16.9406999999999</v>
      </c>
      <c r="AD1054">
        <v>-1.1206782373949999</v>
      </c>
      <c r="AE1054">
        <v>-0.15050000000002201</v>
      </c>
      <c r="AF1054">
        <v>0.21462415709986701</v>
      </c>
      <c r="AG1054">
        <v>-1.1206782373949999</v>
      </c>
      <c r="AH1054">
        <v>16.866192675257501</v>
      </c>
      <c r="AI1054">
        <v>93.801137188591397</v>
      </c>
      <c r="AJ1054">
        <v>89.270944252988897</v>
      </c>
      <c r="AK1054">
        <v>16.904746037710598</v>
      </c>
      <c r="AL1054">
        <v>94.598463151345797</v>
      </c>
      <c r="AM1054">
        <v>85.623214088587304</v>
      </c>
      <c r="AN1054">
        <v>1.0000000295456899</v>
      </c>
    </row>
    <row r="1055" spans="1:40" x14ac:dyDescent="0.25">
      <c r="A1055" t="str">
        <f>"20190303154748899"</f>
        <v>20190303154748899</v>
      </c>
      <c r="B1055" t="str">
        <f>"1551599268892031"</f>
        <v>1551599268892031</v>
      </c>
      <c r="C1055" t="s">
        <v>40</v>
      </c>
      <c r="D1055">
        <v>5.107024</v>
      </c>
      <c r="E1055">
        <v>0.4750566</v>
      </c>
      <c r="F1055" t="s">
        <v>41</v>
      </c>
      <c r="G1055">
        <v>-243.8809</v>
      </c>
      <c r="H1055" s="1">
        <v>-3.215385E-6</v>
      </c>
      <c r="I1055">
        <v>367.68619999999999</v>
      </c>
      <c r="J1055">
        <v>-260.62439999999998</v>
      </c>
      <c r="K1055">
        <v>1.1206750000000001</v>
      </c>
      <c r="L1055">
        <v>367.80919999999998</v>
      </c>
      <c r="M1055">
        <v>0.99990120000000005</v>
      </c>
      <c r="N1055">
        <v>-1.3527030000000001E-2</v>
      </c>
      <c r="O1055">
        <v>3.8244749999999999E-3</v>
      </c>
      <c r="P1055">
        <v>0.99300710000000003</v>
      </c>
      <c r="Q1055">
        <v>-9.3837249999999997E-2</v>
      </c>
      <c r="R1055">
        <v>-7.1634690000000001E-2</v>
      </c>
      <c r="S1055">
        <v>3.0008539999999999</v>
      </c>
      <c r="T1055">
        <v>-0.19893930000000001</v>
      </c>
      <c r="U1055">
        <v>-2.1728520000000001E-2</v>
      </c>
      <c r="V1055">
        <v>7.5424060000000001E-2</v>
      </c>
      <c r="W1055">
        <v>-8.0407660000000006E-2</v>
      </c>
      <c r="X1055">
        <v>0.99390440000000002</v>
      </c>
      <c r="Y1055">
        <v>1.103078E-2</v>
      </c>
      <c r="Z1055">
        <v>-6.4151200000000001E-4</v>
      </c>
      <c r="AA1055">
        <v>0.99993900000000002</v>
      </c>
      <c r="AB1055">
        <v>31</v>
      </c>
      <c r="AC1055">
        <v>16.743499999999901</v>
      </c>
      <c r="AD1055">
        <v>-1.1206782153849999</v>
      </c>
      <c r="AE1055">
        <v>-0.12299999999999001</v>
      </c>
      <c r="AF1055">
        <v>0.18620591543248299</v>
      </c>
      <c r="AG1055">
        <v>-1.1206782153849999</v>
      </c>
      <c r="AH1055">
        <v>16.6682388795173</v>
      </c>
      <c r="AI1055">
        <v>93.846216307760301</v>
      </c>
      <c r="AJ1055">
        <v>89.359958219365794</v>
      </c>
      <c r="AK1055">
        <v>16.706908141545298</v>
      </c>
      <c r="AL1055">
        <v>94.611998105711194</v>
      </c>
      <c r="AM1055">
        <v>85.660333759643606</v>
      </c>
      <c r="AN1055">
        <v>1.0000000684764501</v>
      </c>
    </row>
    <row r="1056" spans="1:40" x14ac:dyDescent="0.25">
      <c r="A1056" t="str">
        <f>"20190303154748912"</f>
        <v>20190303154748912</v>
      </c>
      <c r="B1056" t="str">
        <f>"1551599268901790"</f>
        <v>1551599268901790</v>
      </c>
      <c r="C1056" t="s">
        <v>40</v>
      </c>
      <c r="D1056">
        <v>5.0737410000000001</v>
      </c>
      <c r="E1056">
        <v>0.47498669999999998</v>
      </c>
      <c r="F1056" t="s">
        <v>41</v>
      </c>
      <c r="G1056">
        <v>-243.82839999999999</v>
      </c>
      <c r="H1056" s="1">
        <v>-3.2358680000000002E-6</v>
      </c>
      <c r="I1056">
        <v>367.71069999999997</v>
      </c>
      <c r="J1056">
        <v>-260.45740000000001</v>
      </c>
      <c r="K1056">
        <v>1.120673</v>
      </c>
      <c r="L1056">
        <v>367.8098</v>
      </c>
      <c r="M1056">
        <v>0.99990060000000003</v>
      </c>
      <c r="N1056">
        <v>-1.3577830000000001E-2</v>
      </c>
      <c r="O1056">
        <v>3.808334E-3</v>
      </c>
      <c r="P1056">
        <v>0.99298520000000001</v>
      </c>
      <c r="Q1056">
        <v>-9.4485920000000001E-2</v>
      </c>
      <c r="R1056">
        <v>-7.1083489999999999E-2</v>
      </c>
      <c r="S1056">
        <v>3.0009459999999999</v>
      </c>
      <c r="T1056">
        <v>-0.2002323</v>
      </c>
      <c r="U1056">
        <v>-1.7608639999999998E-2</v>
      </c>
      <c r="V1056">
        <v>7.4856699999999998E-2</v>
      </c>
      <c r="W1056">
        <v>-8.1005949999999993E-2</v>
      </c>
      <c r="X1056">
        <v>0.99389859999999997</v>
      </c>
      <c r="Y1056">
        <v>9.6449840000000005E-3</v>
      </c>
      <c r="Z1056">
        <v>-5.8913589999999897E-4</v>
      </c>
      <c r="AA1056">
        <v>0.99995330000000004</v>
      </c>
      <c r="AB1056">
        <v>31</v>
      </c>
      <c r="AC1056">
        <v>16.629000000000001</v>
      </c>
      <c r="AD1056">
        <v>-1.120676235868</v>
      </c>
      <c r="AE1056">
        <v>-9.9100000000021199E-2</v>
      </c>
      <c r="AF1056">
        <v>0.16169952254143899</v>
      </c>
      <c r="AG1056">
        <v>-1.120676235868</v>
      </c>
      <c r="AH1056">
        <v>16.553322727760602</v>
      </c>
      <c r="AI1056">
        <v>93.872886343676896</v>
      </c>
      <c r="AJ1056">
        <v>89.440329553426494</v>
      </c>
      <c r="AK1056">
        <v>16.5920027510432</v>
      </c>
      <c r="AL1056">
        <v>94.646390298567397</v>
      </c>
      <c r="AM1056">
        <v>85.692829544796595</v>
      </c>
      <c r="AN1056">
        <v>0.99999995827612498</v>
      </c>
    </row>
    <row r="1057" spans="1:40" x14ac:dyDescent="0.25">
      <c r="A1057" t="str">
        <f>"20190303154748925"</f>
        <v>20190303154748925</v>
      </c>
      <c r="B1057" t="str">
        <f>"1551599268921311"</f>
        <v>1551599268921311</v>
      </c>
      <c r="C1057" t="s">
        <v>40</v>
      </c>
      <c r="D1057">
        <v>5.1525800000000004</v>
      </c>
      <c r="E1057">
        <v>0.4748153</v>
      </c>
      <c r="F1057" t="s">
        <v>41</v>
      </c>
      <c r="G1057">
        <v>-243.66050000000001</v>
      </c>
      <c r="H1057" s="1">
        <v>-3.3129979999999998E-6</v>
      </c>
      <c r="I1057">
        <v>367.72340000000003</v>
      </c>
      <c r="J1057">
        <v>-260.29340000000002</v>
      </c>
      <c r="K1057">
        <v>1.120668</v>
      </c>
      <c r="L1057">
        <v>367.81040000000002</v>
      </c>
      <c r="M1057">
        <v>0.99990020000000002</v>
      </c>
      <c r="N1057">
        <v>-1.3613449999999999E-2</v>
      </c>
      <c r="O1057">
        <v>3.792237E-3</v>
      </c>
      <c r="P1057">
        <v>0.99300429999999995</v>
      </c>
      <c r="Q1057">
        <v>-9.4836889999999993E-2</v>
      </c>
      <c r="R1057">
        <v>-7.0345350000000001E-2</v>
      </c>
      <c r="S1057">
        <v>3.0010379999999999</v>
      </c>
      <c r="T1057">
        <v>-0.20022680000000001</v>
      </c>
      <c r="U1057">
        <v>-1.544189E-2</v>
      </c>
      <c r="V1057">
        <v>7.4102860000000007E-2</v>
      </c>
      <c r="W1057">
        <v>-8.1321099999999993E-2</v>
      </c>
      <c r="X1057">
        <v>0.99392939999999996</v>
      </c>
      <c r="Y1057">
        <v>8.9087550000000008E-3</v>
      </c>
      <c r="Z1057">
        <v>-5.5873499999999998E-4</v>
      </c>
      <c r="AA1057">
        <v>0.99996019999999997</v>
      </c>
      <c r="AB1057">
        <v>31</v>
      </c>
      <c r="AC1057">
        <v>16.632899999999999</v>
      </c>
      <c r="AD1057">
        <v>-1.1206713129979999</v>
      </c>
      <c r="AE1057">
        <v>-8.6999999999989003E-2</v>
      </c>
      <c r="AF1057">
        <v>0.149402899540795</v>
      </c>
      <c r="AG1057">
        <v>-1.1206713129979999</v>
      </c>
      <c r="AH1057">
        <v>16.5572884983935</v>
      </c>
      <c r="AI1057">
        <v>93.871971601360102</v>
      </c>
      <c r="AJ1057">
        <v>89.483011769970403</v>
      </c>
      <c r="AK1057">
        <v>16.595843691635601</v>
      </c>
      <c r="AL1057">
        <v>94.664506622182003</v>
      </c>
      <c r="AM1057">
        <v>85.736175514026996</v>
      </c>
      <c r="AN1057">
        <v>1.00000000367487</v>
      </c>
    </row>
    <row r="1058" spans="1:40" x14ac:dyDescent="0.25">
      <c r="A1058" t="str">
        <f>"20190303154748935"</f>
        <v>20190303154748935</v>
      </c>
      <c r="B1058" t="str">
        <f>"1551599268931070"</f>
        <v>1551599268931070</v>
      </c>
      <c r="C1058" t="s">
        <v>40</v>
      </c>
      <c r="D1058">
        <v>5.1665599999999996</v>
      </c>
      <c r="E1058">
        <v>0.47471039999999998</v>
      </c>
      <c r="F1058" t="s">
        <v>41</v>
      </c>
      <c r="G1058">
        <v>-243.56979999999999</v>
      </c>
      <c r="H1058" s="1">
        <v>-3.3520720000000001E-6</v>
      </c>
      <c r="I1058">
        <v>367.7448</v>
      </c>
      <c r="J1058">
        <v>-260.12240000000003</v>
      </c>
      <c r="K1058">
        <v>1.120655</v>
      </c>
      <c r="L1058">
        <v>367.81099999999998</v>
      </c>
      <c r="M1058">
        <v>0.99990029999999996</v>
      </c>
      <c r="N1058">
        <v>-1.3616319999999999E-2</v>
      </c>
      <c r="O1058">
        <v>3.7752290000000002E-3</v>
      </c>
      <c r="P1058">
        <v>0.99296609999999996</v>
      </c>
      <c r="Q1058">
        <v>-9.5417230000000006E-2</v>
      </c>
      <c r="R1058">
        <v>-7.010313E-2</v>
      </c>
      <c r="S1058">
        <v>3.0011290000000002</v>
      </c>
      <c r="T1058">
        <v>-0.20111019999999999</v>
      </c>
      <c r="U1058">
        <v>-1.177979E-2</v>
      </c>
      <c r="V1058">
        <v>7.3843320000000004E-2</v>
      </c>
      <c r="W1058">
        <v>-8.1898979999999996E-2</v>
      </c>
      <c r="X1058">
        <v>0.99390129999999999</v>
      </c>
      <c r="Y1058">
        <v>7.6745149999999998E-3</v>
      </c>
      <c r="Z1058">
        <v>-5.1051229999999996E-4</v>
      </c>
      <c r="AA1058">
        <v>0.99997040000000004</v>
      </c>
      <c r="AB1058">
        <v>30</v>
      </c>
      <c r="AC1058">
        <v>16.552600000000002</v>
      </c>
      <c r="AD1058">
        <v>-1.1206583520719999</v>
      </c>
      <c r="AE1058">
        <v>-6.6199999999980705E-2</v>
      </c>
      <c r="AF1058">
        <v>0.128107972920665</v>
      </c>
      <c r="AG1058">
        <v>-1.1206583520719999</v>
      </c>
      <c r="AH1058">
        <v>16.4767093688682</v>
      </c>
      <c r="AI1058">
        <v>93.890845212040105</v>
      </c>
      <c r="AJ1058">
        <v>89.554528874405705</v>
      </c>
      <c r="AK1058">
        <v>16.5152728836355</v>
      </c>
      <c r="AL1058">
        <v>94.697727366817702</v>
      </c>
      <c r="AM1058">
        <v>85.7509347815231</v>
      </c>
      <c r="AN1058">
        <v>1.00000003648767</v>
      </c>
    </row>
    <row r="1059" spans="1:40" x14ac:dyDescent="0.25">
      <c r="A1059" t="str">
        <f>"20190303154748949"</f>
        <v>20190303154748949</v>
      </c>
      <c r="B1059" t="str">
        <f>"1551599268941807"</f>
        <v>1551599268941807</v>
      </c>
      <c r="C1059" t="s">
        <v>40</v>
      </c>
      <c r="D1059">
        <v>5.2826380000000004</v>
      </c>
      <c r="E1059">
        <v>0.47475650000000003</v>
      </c>
      <c r="F1059" t="s">
        <v>41</v>
      </c>
      <c r="G1059">
        <v>-243.6755</v>
      </c>
      <c r="H1059" s="1">
        <v>-3.3001500000000001E-6</v>
      </c>
      <c r="I1059">
        <v>367.75580000000002</v>
      </c>
      <c r="J1059">
        <v>-259.952</v>
      </c>
      <c r="K1059">
        <v>1.120633</v>
      </c>
      <c r="L1059">
        <v>367.81169999999997</v>
      </c>
      <c r="M1059">
        <v>0.99990080000000003</v>
      </c>
      <c r="N1059">
        <v>-1.3581330000000001E-2</v>
      </c>
      <c r="O1059">
        <v>3.7593119999999999E-3</v>
      </c>
      <c r="P1059">
        <v>0.99295089999999997</v>
      </c>
      <c r="Q1059">
        <v>-9.5858399999999996E-2</v>
      </c>
      <c r="R1059">
        <v>-6.9714330000000005E-2</v>
      </c>
      <c r="S1059">
        <v>3.0008849999999998</v>
      </c>
      <c r="T1059">
        <v>-0.2044735</v>
      </c>
      <c r="U1059">
        <v>-1.00708E-2</v>
      </c>
      <c r="V1059">
        <v>7.3438500000000004E-2</v>
      </c>
      <c r="W1059">
        <v>-8.2375080000000003E-2</v>
      </c>
      <c r="X1059">
        <v>0.99389190000000005</v>
      </c>
      <c r="Y1059">
        <v>7.0902259999999998E-3</v>
      </c>
      <c r="Z1059">
        <v>-4.9433430000000002E-4</v>
      </c>
      <c r="AA1059">
        <v>0.99997469999999999</v>
      </c>
      <c r="AB1059">
        <v>30</v>
      </c>
      <c r="AC1059">
        <v>16.276499999999999</v>
      </c>
      <c r="AD1059">
        <v>-1.1206363001499999</v>
      </c>
      <c r="AE1059">
        <v>-5.5899999999951398E-2</v>
      </c>
      <c r="AF1059">
        <v>0.116541248820088</v>
      </c>
      <c r="AG1059">
        <v>-1.1206363001499999</v>
      </c>
      <c r="AH1059">
        <v>16.1993854938057</v>
      </c>
      <c r="AI1059">
        <v>93.957183850109899</v>
      </c>
      <c r="AJ1059">
        <v>89.5878111237528</v>
      </c>
      <c r="AK1059">
        <v>16.2385189582306</v>
      </c>
      <c r="AL1059">
        <v>94.725098601782506</v>
      </c>
      <c r="AM1059">
        <v>85.774104346938103</v>
      </c>
      <c r="AN1059">
        <v>0.99999998798643297</v>
      </c>
    </row>
    <row r="1060" spans="1:40" x14ac:dyDescent="0.25">
      <c r="A1060" t="str">
        <f>"20190303154748965"</f>
        <v>20190303154748965</v>
      </c>
      <c r="B1060" t="str">
        <f>"1551599268961326"</f>
        <v>1551599268961326</v>
      </c>
      <c r="C1060" t="s">
        <v>40</v>
      </c>
      <c r="D1060">
        <v>5.1248670000000001</v>
      </c>
      <c r="E1060">
        <v>0.47457440000000001</v>
      </c>
      <c r="F1060" t="s">
        <v>41</v>
      </c>
      <c r="G1060">
        <v>-243.7183</v>
      </c>
      <c r="H1060" s="1">
        <v>-3.2787620000000001E-6</v>
      </c>
      <c r="I1060">
        <v>367.76229999999998</v>
      </c>
      <c r="J1060">
        <v>-259.73750000000001</v>
      </c>
      <c r="K1060">
        <v>1.1205940000000001</v>
      </c>
      <c r="L1060">
        <v>367.81240000000003</v>
      </c>
      <c r="M1060">
        <v>0.99990199999999996</v>
      </c>
      <c r="N1060">
        <v>-1.350019E-2</v>
      </c>
      <c r="O1060">
        <v>3.739179E-3</v>
      </c>
      <c r="P1060">
        <v>0.99293109999999996</v>
      </c>
      <c r="Q1060">
        <v>-9.6266589999999999E-2</v>
      </c>
      <c r="R1060">
        <v>-6.9433049999999996E-2</v>
      </c>
      <c r="S1060">
        <v>3.0006710000000001</v>
      </c>
      <c r="T1060">
        <v>-0.2071413</v>
      </c>
      <c r="U1060">
        <v>-9.1247559999999995E-3</v>
      </c>
      <c r="V1060">
        <v>7.3136999999999994E-2</v>
      </c>
      <c r="W1060">
        <v>-8.2864140000000003E-2</v>
      </c>
      <c r="X1060">
        <v>0.99387349999999997</v>
      </c>
      <c r="Y1060">
        <v>6.755385E-3</v>
      </c>
      <c r="Z1060">
        <v>-4.8593719999999999E-4</v>
      </c>
      <c r="AA1060">
        <v>0.99997709999999995</v>
      </c>
      <c r="AB1060">
        <v>30</v>
      </c>
      <c r="AC1060">
        <v>16.019200000000001</v>
      </c>
      <c r="AD1060">
        <v>-1.120597278762</v>
      </c>
      <c r="AE1060">
        <v>-5.0100000000043103E-2</v>
      </c>
      <c r="AF1060">
        <v>0.10946808350488001</v>
      </c>
      <c r="AG1060">
        <v>-1.120597278762</v>
      </c>
      <c r="AH1060">
        <v>15.940895016136601</v>
      </c>
      <c r="AI1060">
        <v>94.021012612629093</v>
      </c>
      <c r="AJ1060">
        <v>89.606549031194703</v>
      </c>
      <c r="AK1060">
        <v>15.9806087317712</v>
      </c>
      <c r="AL1060">
        <v>94.753215698680194</v>
      </c>
      <c r="AM1060">
        <v>85.791313558434894</v>
      </c>
      <c r="AN1060">
        <v>1.0000000102345901</v>
      </c>
    </row>
    <row r="1061" spans="1:40" x14ac:dyDescent="0.25">
      <c r="A1061" t="str">
        <f>"20190303154748976"</f>
        <v>20190303154748976</v>
      </c>
      <c r="B1061" t="str">
        <f>"1551599268972062"</f>
        <v>1551599268972062</v>
      </c>
      <c r="C1061" t="s">
        <v>40</v>
      </c>
      <c r="D1061">
        <v>5.1211949999999904</v>
      </c>
      <c r="E1061">
        <v>0.47445710000000002</v>
      </c>
      <c r="F1061" t="s">
        <v>41</v>
      </c>
      <c r="G1061">
        <v>-243.8159</v>
      </c>
      <c r="H1061" s="1">
        <v>-3.2300680000000002E-6</v>
      </c>
      <c r="I1061">
        <v>367.77659999999997</v>
      </c>
      <c r="J1061">
        <v>-259.57080000000002</v>
      </c>
      <c r="K1061">
        <v>1.1205609999999999</v>
      </c>
      <c r="L1061">
        <v>367.81299999999999</v>
      </c>
      <c r="M1061">
        <v>0.99990310000000004</v>
      </c>
      <c r="N1061">
        <v>-1.3405469999999999E-2</v>
      </c>
      <c r="O1061">
        <v>3.7234939999999999E-3</v>
      </c>
      <c r="P1061">
        <v>0.99292709999999995</v>
      </c>
      <c r="Q1061">
        <v>-9.6390340000000005E-2</v>
      </c>
      <c r="R1061">
        <v>-6.9315520000000005E-2</v>
      </c>
      <c r="S1061">
        <v>3.0004270000000002</v>
      </c>
      <c r="T1061">
        <v>-0.21117649999999999</v>
      </c>
      <c r="U1061">
        <v>-6.7443850000000003E-3</v>
      </c>
      <c r="V1061">
        <v>7.3004150000000004E-2</v>
      </c>
      <c r="W1061">
        <v>-8.3082059999999999E-2</v>
      </c>
      <c r="X1061">
        <v>0.99386509999999995</v>
      </c>
      <c r="Y1061">
        <v>5.9480469999999997E-3</v>
      </c>
      <c r="Z1061">
        <v>-4.608638E-4</v>
      </c>
      <c r="AA1061">
        <v>0.99998220000000004</v>
      </c>
      <c r="AB1061">
        <v>30</v>
      </c>
      <c r="AC1061">
        <v>15.754899999999999</v>
      </c>
      <c r="AD1061">
        <v>-1.1205642300679901</v>
      </c>
      <c r="AE1061">
        <v>-3.6400000000071403E-2</v>
      </c>
      <c r="AF1061">
        <v>9.45897990050176E-2</v>
      </c>
      <c r="AG1061">
        <v>-1.1205642300679901</v>
      </c>
      <c r="AH1061">
        <v>15.6753581061323</v>
      </c>
      <c r="AI1061">
        <v>94.088800217839093</v>
      </c>
      <c r="AJ1061">
        <v>89.654264326729006</v>
      </c>
      <c r="AK1061">
        <v>15.7156438996075</v>
      </c>
      <c r="AL1061">
        <v>94.765744675706301</v>
      </c>
      <c r="AM1061">
        <v>85.798895668754199</v>
      </c>
      <c r="AN1061">
        <v>1.00000003580453</v>
      </c>
    </row>
    <row r="1062" spans="1:40" x14ac:dyDescent="0.25">
      <c r="A1062" t="str">
        <f>"20190303154748999"</f>
        <v>20190303154748999</v>
      </c>
      <c r="B1062" t="str">
        <f>"1551599268991582"</f>
        <v>1551599268991582</v>
      </c>
      <c r="C1062" t="s">
        <v>40</v>
      </c>
      <c r="D1062">
        <v>5.1228889999999998</v>
      </c>
      <c r="E1062">
        <v>0.47428579999999998</v>
      </c>
      <c r="F1062" t="s">
        <v>41</v>
      </c>
      <c r="G1062">
        <v>-243.72710000000001</v>
      </c>
      <c r="H1062" s="1">
        <v>-3.2710309999999999E-6</v>
      </c>
      <c r="I1062">
        <v>367.7826</v>
      </c>
      <c r="J1062">
        <v>-259.27999999999997</v>
      </c>
      <c r="K1062">
        <v>1.1205050000000001</v>
      </c>
      <c r="L1062">
        <v>367.8141</v>
      </c>
      <c r="M1062">
        <v>0.99990610000000002</v>
      </c>
      <c r="N1062">
        <v>-1.3207389999999999E-2</v>
      </c>
      <c r="O1062">
        <v>3.6949190000000001E-3</v>
      </c>
      <c r="P1062">
        <v>0.99285219999999996</v>
      </c>
      <c r="Q1062">
        <v>-9.7369570000000003E-2</v>
      </c>
      <c r="R1062">
        <v>-6.9022440000000004E-2</v>
      </c>
      <c r="S1062">
        <v>3.0003660000000001</v>
      </c>
      <c r="T1062">
        <v>-0.21220359999999999</v>
      </c>
      <c r="U1062">
        <v>-5.7678219999999997E-3</v>
      </c>
      <c r="V1062">
        <v>7.2682259999999999E-2</v>
      </c>
      <c r="W1062">
        <v>-8.4258849999999996E-2</v>
      </c>
      <c r="X1062">
        <v>0.99378960000000005</v>
      </c>
      <c r="Y1062">
        <v>5.5948919999999997E-3</v>
      </c>
      <c r="Z1062">
        <v>-4.4685539999999999E-4</v>
      </c>
      <c r="AA1062">
        <v>0.99998430000000005</v>
      </c>
      <c r="AB1062">
        <v>30</v>
      </c>
      <c r="AC1062">
        <v>15.5528999999999</v>
      </c>
      <c r="AD1062">
        <v>-1.1205082710309999</v>
      </c>
      <c r="AE1062">
        <v>-3.1499999999993998E-2</v>
      </c>
      <c r="AF1062">
        <v>8.8512076771947695E-2</v>
      </c>
      <c r="AG1062">
        <v>-1.1205082710309999</v>
      </c>
      <c r="AH1062">
        <v>15.4723687498937</v>
      </c>
      <c r="AI1062">
        <v>94.142059082110904</v>
      </c>
      <c r="AJ1062">
        <v>89.672234213367403</v>
      </c>
      <c r="AK1062">
        <v>15.5131417806281</v>
      </c>
      <c r="AL1062">
        <v>94.833407128711599</v>
      </c>
      <c r="AM1062">
        <v>85.817036664195399</v>
      </c>
      <c r="AN1062">
        <v>1.00000001689509</v>
      </c>
    </row>
    <row r="1063" spans="1:40" x14ac:dyDescent="0.25">
      <c r="A1063" t="str">
        <f>"20190303154749014"</f>
        <v>20190303154749014</v>
      </c>
      <c r="B1063" t="str">
        <f>"1551599269001343"</f>
        <v>1551599269001343</v>
      </c>
      <c r="C1063" t="s">
        <v>40</v>
      </c>
      <c r="D1063">
        <v>5.1164489999999896</v>
      </c>
      <c r="E1063">
        <v>0.47420200000000001</v>
      </c>
      <c r="F1063" t="s">
        <v>41</v>
      </c>
      <c r="G1063">
        <v>-243.7073</v>
      </c>
      <c r="H1063" s="1">
        <v>-3.277861E-6</v>
      </c>
      <c r="I1063">
        <v>367.79669999999999</v>
      </c>
      <c r="J1063">
        <v>-259.08089999999999</v>
      </c>
      <c r="K1063">
        <v>1.1204700000000001</v>
      </c>
      <c r="L1063">
        <v>367.81479999999999</v>
      </c>
      <c r="M1063">
        <v>0.99990789999999996</v>
      </c>
      <c r="N1063">
        <v>-1.3062229999999999E-2</v>
      </c>
      <c r="O1063">
        <v>3.6753269999999999E-3</v>
      </c>
      <c r="P1063">
        <v>0.99280880000000005</v>
      </c>
      <c r="Q1063">
        <v>-9.7975110000000004E-2</v>
      </c>
      <c r="R1063">
        <v>-6.8786089999999994E-2</v>
      </c>
      <c r="S1063">
        <v>3.0001829999999998</v>
      </c>
      <c r="T1063">
        <v>-0.2158735</v>
      </c>
      <c r="U1063">
        <v>-3.3569339999999998E-3</v>
      </c>
      <c r="V1063">
        <v>7.2426359999999995E-2</v>
      </c>
      <c r="W1063">
        <v>-8.5009050000000003E-2</v>
      </c>
      <c r="X1063">
        <v>0.99374439999999997</v>
      </c>
      <c r="Y1063">
        <v>4.7735870000000001E-3</v>
      </c>
      <c r="Z1063">
        <v>-4.188932E-4</v>
      </c>
      <c r="AA1063">
        <v>0.99998849999999995</v>
      </c>
      <c r="AB1063">
        <v>30</v>
      </c>
      <c r="AC1063">
        <v>15.3735999999999</v>
      </c>
      <c r="AD1063">
        <v>-1.120473277861</v>
      </c>
      <c r="AE1063">
        <v>-1.8100000000003998E-2</v>
      </c>
      <c r="AF1063">
        <v>7.4213491699590906E-2</v>
      </c>
      <c r="AG1063">
        <v>-1.120473277861</v>
      </c>
      <c r="AH1063">
        <v>15.292198734439401</v>
      </c>
      <c r="AI1063">
        <v>94.1905759914778</v>
      </c>
      <c r="AJ1063">
        <v>89.721944074243297</v>
      </c>
      <c r="AK1063">
        <v>15.333372432128</v>
      </c>
      <c r="AL1063">
        <v>94.876545160889293</v>
      </c>
      <c r="AM1063">
        <v>85.831523133906103</v>
      </c>
      <c r="AN1063">
        <v>1.00000002436805</v>
      </c>
    </row>
    <row r="1064" spans="1:40" x14ac:dyDescent="0.25">
      <c r="A1064" t="str">
        <f>"20190303154749027"</f>
        <v>20190303154749027</v>
      </c>
      <c r="B1064" t="str">
        <f>"1551599269021839"</f>
        <v>1551599269021839</v>
      </c>
      <c r="C1064" t="s">
        <v>40</v>
      </c>
      <c r="D1064">
        <v>5.112355</v>
      </c>
      <c r="E1064">
        <v>0.47410279999999999</v>
      </c>
      <c r="F1064" t="s">
        <v>41</v>
      </c>
      <c r="G1064">
        <v>-243.66990000000001</v>
      </c>
      <c r="H1064" s="1">
        <v>-3.2942149999999999E-6</v>
      </c>
      <c r="I1064">
        <v>367.80430000000001</v>
      </c>
      <c r="J1064">
        <v>-258.87939999999998</v>
      </c>
      <c r="K1064">
        <v>1.120436</v>
      </c>
      <c r="L1064">
        <v>367.81549999999999</v>
      </c>
      <c r="M1064">
        <v>0.99990979999999996</v>
      </c>
      <c r="N1064">
        <v>-1.2919140000000001E-2</v>
      </c>
      <c r="O1064">
        <v>3.6552329999999999E-3</v>
      </c>
      <c r="P1064">
        <v>0.99274519999999999</v>
      </c>
      <c r="Q1064">
        <v>-9.8694000000000004E-2</v>
      </c>
      <c r="R1064">
        <v>-6.8677779999999994E-2</v>
      </c>
      <c r="S1064">
        <v>3.0000610000000001</v>
      </c>
      <c r="T1064">
        <v>-0.21812200000000001</v>
      </c>
      <c r="U1064">
        <v>-2.0446779999999999E-3</v>
      </c>
      <c r="V1064">
        <v>7.2297719999999996E-2</v>
      </c>
      <c r="W1064">
        <v>-8.5870829999999995E-2</v>
      </c>
      <c r="X1064">
        <v>0.9936796</v>
      </c>
      <c r="Y1064">
        <v>4.3171290000000003E-3</v>
      </c>
      <c r="Z1064">
        <v>-4.0289759999999998E-4</v>
      </c>
      <c r="AA1064">
        <v>0.99999059999999995</v>
      </c>
      <c r="AB1064">
        <v>31</v>
      </c>
      <c r="AC1064">
        <v>15.209499999999901</v>
      </c>
      <c r="AD1064">
        <v>-1.1204392942150001</v>
      </c>
      <c r="AE1064">
        <v>-1.1199999999973899E-2</v>
      </c>
      <c r="AF1064">
        <v>6.6438285489714796E-2</v>
      </c>
      <c r="AG1064">
        <v>-1.1204392942150001</v>
      </c>
      <c r="AH1064">
        <v>15.127264280624701</v>
      </c>
      <c r="AI1064">
        <v>94.235981919652701</v>
      </c>
      <c r="AJ1064">
        <v>89.748361051240096</v>
      </c>
      <c r="AK1064">
        <v>15.168847117485999</v>
      </c>
      <c r="AL1064">
        <v>94.926103083600495</v>
      </c>
      <c r="AM1064">
        <v>85.838630539190802</v>
      </c>
      <c r="AN1064">
        <v>0.99999995360912197</v>
      </c>
    </row>
    <row r="1065" spans="1:40" x14ac:dyDescent="0.25">
      <c r="A1065" t="str">
        <f>"20190303154749042"</f>
        <v>20190303154749042</v>
      </c>
      <c r="B1065" t="str">
        <f>"1551599269031599"</f>
        <v>1551599269031599</v>
      </c>
      <c r="C1065" t="s">
        <v>40</v>
      </c>
      <c r="D1065">
        <v>5.0829630000000003</v>
      </c>
      <c r="E1065">
        <v>0.47403440000000002</v>
      </c>
      <c r="F1065" t="s">
        <v>41</v>
      </c>
      <c r="G1065">
        <v>-243.5881</v>
      </c>
      <c r="H1065" s="1">
        <v>-3.3315740000000001E-6</v>
      </c>
      <c r="I1065">
        <v>367.8116</v>
      </c>
      <c r="J1065">
        <v>-258.68529999999998</v>
      </c>
      <c r="K1065">
        <v>1.1204050000000001</v>
      </c>
      <c r="L1065">
        <v>367.81619999999998</v>
      </c>
      <c r="M1065">
        <v>0.99991180000000002</v>
      </c>
      <c r="N1065">
        <v>-1.2787379999999999E-2</v>
      </c>
      <c r="O1065">
        <v>3.6355889999999998E-3</v>
      </c>
      <c r="P1065">
        <v>0.99259699999999995</v>
      </c>
      <c r="Q1065">
        <v>-0.1003043</v>
      </c>
      <c r="R1065">
        <v>-6.8490980000000007E-2</v>
      </c>
      <c r="S1065">
        <v>3.0000149999999999</v>
      </c>
      <c r="T1065">
        <v>-0.21981980000000001</v>
      </c>
      <c r="U1065">
        <v>-7.6293949999999998E-4</v>
      </c>
      <c r="V1065">
        <v>7.2090680000000004E-2</v>
      </c>
      <c r="W1065">
        <v>-8.7613720000000006E-2</v>
      </c>
      <c r="X1065">
        <v>0.99354260000000005</v>
      </c>
      <c r="Y1065">
        <v>3.871359E-3</v>
      </c>
      <c r="Z1065">
        <v>-3.8602800000000001E-4</v>
      </c>
      <c r="AA1065">
        <v>0.9999924</v>
      </c>
      <c r="AB1065">
        <v>31</v>
      </c>
      <c r="AC1065">
        <v>15.0971999999999</v>
      </c>
      <c r="AD1065">
        <v>-1.1204083315740001</v>
      </c>
      <c r="AE1065">
        <v>-4.5999999999821696E-3</v>
      </c>
      <c r="AF1065">
        <v>5.91658028630647E-2</v>
      </c>
      <c r="AG1065">
        <v>-1.1204083315740001</v>
      </c>
      <c r="AH1065">
        <v>15.0143907192871</v>
      </c>
      <c r="AI1065">
        <v>94.267600002963604</v>
      </c>
      <c r="AJ1065">
        <v>89.774221058164301</v>
      </c>
      <c r="AK1065">
        <v>15.056252657720099</v>
      </c>
      <c r="AL1065">
        <v>95.026340604760605</v>
      </c>
      <c r="AM1065">
        <v>85.849935649745603</v>
      </c>
      <c r="AN1065">
        <v>1.00000006404492</v>
      </c>
    </row>
    <row r="1066" spans="1:40" x14ac:dyDescent="0.25">
      <c r="A1066" t="str">
        <f>"20190303154749054"</f>
        <v>20190303154749054</v>
      </c>
      <c r="B1066" t="str">
        <f>"1551599269051119"</f>
        <v>1551599269051119</v>
      </c>
      <c r="C1066" t="s">
        <v>40</v>
      </c>
      <c r="D1066">
        <v>5.0826390000000004</v>
      </c>
      <c r="E1066">
        <v>0.47389249999999999</v>
      </c>
      <c r="F1066" t="s">
        <v>41</v>
      </c>
      <c r="G1066">
        <v>-243.71190000000001</v>
      </c>
      <c r="H1066" s="1">
        <v>-3.27221E-6</v>
      </c>
      <c r="I1066">
        <v>367.81619999999998</v>
      </c>
      <c r="J1066">
        <v>-258.51780000000002</v>
      </c>
      <c r="K1066">
        <v>1.1203879999999999</v>
      </c>
      <c r="L1066">
        <v>367.8168</v>
      </c>
      <c r="M1066">
        <v>0.99991319999999995</v>
      </c>
      <c r="N1066">
        <v>-1.2684269999999999E-2</v>
      </c>
      <c r="O1066">
        <v>3.6194420000000001E-3</v>
      </c>
      <c r="P1066">
        <v>0.99254350000000002</v>
      </c>
      <c r="Q1066">
        <v>-0.1010404</v>
      </c>
      <c r="R1066">
        <v>-6.8180009999999999E-2</v>
      </c>
      <c r="S1066">
        <v>2.999695</v>
      </c>
      <c r="T1066">
        <v>-0.22445799999999999</v>
      </c>
      <c r="U1066">
        <v>0</v>
      </c>
      <c r="V1066">
        <v>7.1763460000000001E-2</v>
      </c>
      <c r="W1066">
        <v>-8.8452840000000005E-2</v>
      </c>
      <c r="X1066">
        <v>0.99349189999999998</v>
      </c>
      <c r="Y1066">
        <v>3.6009750000000002E-3</v>
      </c>
      <c r="Z1066">
        <v>-3.8200750000000002E-4</v>
      </c>
      <c r="AA1066">
        <v>0.99999340000000003</v>
      </c>
      <c r="AB1066">
        <v>31</v>
      </c>
      <c r="AC1066">
        <v>14.805899999999999</v>
      </c>
      <c r="AD1066">
        <v>-1.12039127221</v>
      </c>
      <c r="AE1066">
        <v>-6.0000000001991696E-4</v>
      </c>
      <c r="AF1066">
        <v>5.3884835520522902E-2</v>
      </c>
      <c r="AG1066">
        <v>-1.12039127221</v>
      </c>
      <c r="AH1066">
        <v>14.721501926644599</v>
      </c>
      <c r="AI1066">
        <v>94.352120762333996</v>
      </c>
      <c r="AJ1066">
        <v>89.790282276718798</v>
      </c>
      <c r="AK1066">
        <v>14.7641728232415</v>
      </c>
      <c r="AL1066">
        <v>95.074606213783497</v>
      </c>
      <c r="AM1066">
        <v>85.868497345817104</v>
      </c>
      <c r="AN1066">
        <v>1.0000000272304199</v>
      </c>
    </row>
    <row r="1067" spans="1:40" x14ac:dyDescent="0.25">
      <c r="A1067" t="str">
        <f>"20190303154749064"</f>
        <v>20190303154749064</v>
      </c>
      <c r="B1067" t="str">
        <f>"1551599269061854"</f>
        <v>1551599269061854</v>
      </c>
      <c r="C1067" t="s">
        <v>40</v>
      </c>
      <c r="D1067">
        <v>5.0551320000000004</v>
      </c>
      <c r="E1067">
        <v>0.47381479999999998</v>
      </c>
      <c r="F1067" t="s">
        <v>41</v>
      </c>
      <c r="G1067">
        <v>-243.65049999999999</v>
      </c>
      <c r="H1067" s="1">
        <v>-3.2991759999999999E-6</v>
      </c>
      <c r="I1067">
        <v>367.82780000000002</v>
      </c>
      <c r="J1067">
        <v>-258.37040000000002</v>
      </c>
      <c r="K1067">
        <v>1.120374</v>
      </c>
      <c r="L1067">
        <v>367.81729999999999</v>
      </c>
      <c r="M1067">
        <v>0.99991410000000003</v>
      </c>
      <c r="N1067">
        <v>-1.2597819999999999E-2</v>
      </c>
      <c r="O1067">
        <v>3.605151E-3</v>
      </c>
      <c r="P1067">
        <v>0.99246990000000002</v>
      </c>
      <c r="Q1067">
        <v>-0.1018222</v>
      </c>
      <c r="R1067">
        <v>-6.8088430000000005E-2</v>
      </c>
      <c r="S1067">
        <v>2.9996800000000001</v>
      </c>
      <c r="T1067">
        <v>-0.22605430000000001</v>
      </c>
      <c r="U1067">
        <v>2.2277830000000001E-3</v>
      </c>
      <c r="V1067">
        <v>7.1657369999999998E-2</v>
      </c>
      <c r="W1067">
        <v>-8.9321490000000003E-2</v>
      </c>
      <c r="X1067">
        <v>0.99342180000000002</v>
      </c>
      <c r="Y1067">
        <v>2.8462539999999999E-3</v>
      </c>
      <c r="Z1067">
        <v>-3.5098479999999999E-4</v>
      </c>
      <c r="AA1067">
        <v>0.99999590000000005</v>
      </c>
      <c r="AB1067">
        <v>31</v>
      </c>
      <c r="AC1067">
        <v>14.719900000000001</v>
      </c>
      <c r="AD1067">
        <v>-1.1203772991759999</v>
      </c>
      <c r="AE1067">
        <v>1.0500000000035901E-2</v>
      </c>
      <c r="AF1067">
        <v>4.2326538210239503E-2</v>
      </c>
      <c r="AG1067">
        <v>-1.1203772991759999</v>
      </c>
      <c r="AH1067">
        <v>14.635058336370401</v>
      </c>
      <c r="AI1067">
        <v>94.377683996140703</v>
      </c>
      <c r="AJ1067">
        <v>89.834293435425906</v>
      </c>
      <c r="AK1067">
        <v>14.6779415906084</v>
      </c>
      <c r="AL1067">
        <v>95.124574171608799</v>
      </c>
      <c r="AM1067">
        <v>85.874293861180604</v>
      </c>
      <c r="AN1067">
        <v>0.99999998998318795</v>
      </c>
    </row>
    <row r="1068" spans="1:40" x14ac:dyDescent="0.25">
      <c r="A1068" t="str">
        <f>"20190303154749076"</f>
        <v>20190303154749076</v>
      </c>
      <c r="B1068" t="str">
        <f>"1551599269071615"</f>
        <v>1551599269071615</v>
      </c>
      <c r="C1068" t="s">
        <v>40</v>
      </c>
      <c r="D1068">
        <v>5.0644130000000001</v>
      </c>
      <c r="E1068">
        <v>0.47381259999999997</v>
      </c>
      <c r="F1068" t="s">
        <v>41</v>
      </c>
      <c r="G1068">
        <v>-243.64429999999999</v>
      </c>
      <c r="H1068" s="1">
        <v>-3.3013690000000001E-6</v>
      </c>
      <c r="I1068">
        <v>367.83199999999999</v>
      </c>
      <c r="J1068">
        <v>-258.21460000000002</v>
      </c>
      <c r="K1068">
        <v>1.120363</v>
      </c>
      <c r="L1068">
        <v>367.81779999999998</v>
      </c>
      <c r="M1068">
        <v>0.99991540000000001</v>
      </c>
      <c r="N1068">
        <v>-1.251291E-2</v>
      </c>
      <c r="O1068">
        <v>3.589896E-3</v>
      </c>
      <c r="P1068">
        <v>0.99241299999999999</v>
      </c>
      <c r="Q1068">
        <v>-0.1025491</v>
      </c>
      <c r="R1068">
        <v>-6.7825910000000003E-2</v>
      </c>
      <c r="S1068">
        <v>2.9995569999999998</v>
      </c>
      <c r="T1068">
        <v>-0.22821060000000001</v>
      </c>
      <c r="U1068">
        <v>2.9907229999999998E-3</v>
      </c>
      <c r="V1068">
        <v>7.1379339999999999E-2</v>
      </c>
      <c r="W1068">
        <v>-9.0133309999999994E-2</v>
      </c>
      <c r="X1068">
        <v>0.99336849999999999</v>
      </c>
      <c r="Y1068">
        <v>2.5772080000000001E-3</v>
      </c>
      <c r="Z1068">
        <v>-3.4191119999999999E-4</v>
      </c>
      <c r="AA1068">
        <v>0.99999660000000001</v>
      </c>
      <c r="AB1068">
        <v>31</v>
      </c>
      <c r="AC1068">
        <v>14.5703</v>
      </c>
      <c r="AD1068">
        <v>-1.120366301369</v>
      </c>
      <c r="AE1068">
        <v>1.42000000000166E-2</v>
      </c>
      <c r="AF1068">
        <v>3.7886034408678798E-2</v>
      </c>
      <c r="AG1068">
        <v>-1.120366301369</v>
      </c>
      <c r="AH1068">
        <v>14.4846145239481</v>
      </c>
      <c r="AI1068">
        <v>94.422933229921796</v>
      </c>
      <c r="AJ1068">
        <v>89.850137197623596</v>
      </c>
      <c r="AK1068">
        <v>14.5279287549263</v>
      </c>
      <c r="AL1068">
        <v>95.171276359722697</v>
      </c>
      <c r="AM1068">
        <v>85.890026853859993</v>
      </c>
      <c r="AN1068">
        <v>1.0000000002713201</v>
      </c>
    </row>
    <row r="1069" spans="1:40" x14ac:dyDescent="0.25">
      <c r="A1069" t="str">
        <f>"20190303154749088"</f>
        <v>20190303154749088</v>
      </c>
      <c r="B1069" t="str">
        <f>"1551599269081375"</f>
        <v>1551599269081375</v>
      </c>
      <c r="C1069" t="s">
        <v>40</v>
      </c>
      <c r="D1069">
        <v>5.0114479999999997</v>
      </c>
      <c r="E1069">
        <v>0.47380230000000001</v>
      </c>
      <c r="F1069" t="s">
        <v>41</v>
      </c>
      <c r="G1069">
        <v>-243.6046</v>
      </c>
      <c r="H1069" s="1">
        <v>-3.3192419999999998E-6</v>
      </c>
      <c r="I1069">
        <v>367.8372</v>
      </c>
      <c r="J1069">
        <v>-258.0557</v>
      </c>
      <c r="K1069">
        <v>1.1203540000000001</v>
      </c>
      <c r="L1069">
        <v>367.8184</v>
      </c>
      <c r="M1069">
        <v>0.99991629999999998</v>
      </c>
      <c r="N1069">
        <v>-1.2440990000000001E-2</v>
      </c>
      <c r="O1069">
        <v>3.574373E-3</v>
      </c>
      <c r="P1069">
        <v>0.99240450000000002</v>
      </c>
      <c r="Q1069">
        <v>-0.1025919</v>
      </c>
      <c r="R1069">
        <v>-6.7883860000000004E-2</v>
      </c>
      <c r="S1069">
        <v>2.9994350000000001</v>
      </c>
      <c r="T1069">
        <v>-0.23001060000000001</v>
      </c>
      <c r="U1069">
        <v>3.9672850000000001E-3</v>
      </c>
      <c r="V1069">
        <v>7.1422020000000003E-2</v>
      </c>
      <c r="W1069">
        <v>-9.0247649999999999E-2</v>
      </c>
      <c r="X1069">
        <v>0.99335499999999999</v>
      </c>
      <c r="Y1069">
        <v>2.2369780000000001E-3</v>
      </c>
      <c r="Z1069">
        <v>-3.2886569999999998E-4</v>
      </c>
      <c r="AA1069">
        <v>0.99999740000000004</v>
      </c>
      <c r="AB1069">
        <v>31</v>
      </c>
      <c r="AC1069">
        <v>14.451099999999901</v>
      </c>
      <c r="AD1069">
        <v>-1.120357319242</v>
      </c>
      <c r="AE1069">
        <v>1.87999999999988E-2</v>
      </c>
      <c r="AF1069">
        <v>3.2661424026230602E-2</v>
      </c>
      <c r="AG1069">
        <v>-1.120357319242</v>
      </c>
      <c r="AH1069">
        <v>14.3647356381192</v>
      </c>
      <c r="AI1069">
        <v>94.459664010501299</v>
      </c>
      <c r="AJ1069">
        <v>89.869725515882706</v>
      </c>
      <c r="AK1069">
        <v>14.408396761765299</v>
      </c>
      <c r="AL1069">
        <v>95.177854630436997</v>
      </c>
      <c r="AM1069">
        <v>85.8875221005257</v>
      </c>
      <c r="AN1069">
        <v>0.99999994964820005</v>
      </c>
    </row>
    <row r="1070" spans="1:40" x14ac:dyDescent="0.25">
      <c r="A1070" t="str">
        <f>"20190303154749098"</f>
        <v>20190303154749098</v>
      </c>
      <c r="B1070" t="str">
        <f>"1551599269091134"</f>
        <v>1551599269091134</v>
      </c>
      <c r="C1070" t="s">
        <v>40</v>
      </c>
      <c r="D1070">
        <v>5.0946559999999996</v>
      </c>
      <c r="E1070">
        <v>0.47368840000000001</v>
      </c>
      <c r="F1070" t="s">
        <v>41</v>
      </c>
      <c r="G1070">
        <v>-243.4435</v>
      </c>
      <c r="H1070" s="1">
        <v>-3.395458E-6</v>
      </c>
      <c r="I1070">
        <v>367.83679999999998</v>
      </c>
      <c r="J1070">
        <v>-257.8963</v>
      </c>
      <c r="K1070">
        <v>1.12035</v>
      </c>
      <c r="L1070">
        <v>367.81900000000002</v>
      </c>
      <c r="M1070">
        <v>0.9999171</v>
      </c>
      <c r="N1070">
        <v>-1.2376979999999999E-2</v>
      </c>
      <c r="O1070">
        <v>3.558917E-3</v>
      </c>
      <c r="P1070">
        <v>0.99238510000000002</v>
      </c>
      <c r="Q1070">
        <v>-0.1029566</v>
      </c>
      <c r="R1070">
        <v>-6.7615939999999999E-2</v>
      </c>
      <c r="S1070">
        <v>2.9994510000000001</v>
      </c>
      <c r="T1070">
        <v>-0.22997519999999999</v>
      </c>
      <c r="U1070">
        <v>3.7841799999999998E-3</v>
      </c>
      <c r="V1070">
        <v>7.1138480000000004E-2</v>
      </c>
      <c r="W1070">
        <v>-9.0676209999999993E-2</v>
      </c>
      <c r="X1070">
        <v>0.99333640000000001</v>
      </c>
      <c r="Y1070">
        <v>2.2824429999999999E-3</v>
      </c>
      <c r="Z1070">
        <v>-3.2999549999999998E-4</v>
      </c>
      <c r="AA1070">
        <v>0.99999729999999998</v>
      </c>
      <c r="AB1070">
        <v>31</v>
      </c>
      <c r="AC1070">
        <v>14.4527999999999</v>
      </c>
      <c r="AD1070">
        <v>-1.1203533954580001</v>
      </c>
      <c r="AE1070">
        <v>1.77999999999656E-2</v>
      </c>
      <c r="AF1070">
        <v>3.3439427951676197E-2</v>
      </c>
      <c r="AG1070">
        <v>-1.1203533954580001</v>
      </c>
      <c r="AH1070">
        <v>14.3664432129675</v>
      </c>
      <c r="AI1070">
        <v>94.459119974542006</v>
      </c>
      <c r="AJ1070">
        <v>89.866638206649597</v>
      </c>
      <c r="AK1070">
        <v>14.4101006421702</v>
      </c>
      <c r="AL1070">
        <v>95.202509977622498</v>
      </c>
      <c r="AM1070">
        <v>85.903716202443704</v>
      </c>
      <c r="AN1070">
        <v>1.0000000309808099</v>
      </c>
    </row>
    <row r="1071" spans="1:40" x14ac:dyDescent="0.25">
      <c r="A1071" t="str">
        <f>"20190303154749111"</f>
        <v>20190303154749111</v>
      </c>
      <c r="B1071" t="str">
        <f>"1551599269101871"</f>
        <v>1551599269101871</v>
      </c>
      <c r="C1071" t="s">
        <v>40</v>
      </c>
      <c r="D1071">
        <v>4.9934880000000001</v>
      </c>
      <c r="E1071">
        <v>0.47367799999999999</v>
      </c>
      <c r="F1071" t="s">
        <v>41</v>
      </c>
      <c r="G1071">
        <v>-243.29130000000001</v>
      </c>
      <c r="H1071" s="1">
        <v>-3.4657769999999999E-6</v>
      </c>
      <c r="I1071">
        <v>367.84589999999997</v>
      </c>
      <c r="J1071">
        <v>-257.7355</v>
      </c>
      <c r="K1071">
        <v>1.120357</v>
      </c>
      <c r="L1071">
        <v>367.81950000000001</v>
      </c>
      <c r="M1071">
        <v>0.99991759999999996</v>
      </c>
      <c r="N1071">
        <v>-1.234931E-2</v>
      </c>
      <c r="O1071">
        <v>3.5431120000000002E-3</v>
      </c>
      <c r="P1071">
        <v>0.99234900000000004</v>
      </c>
      <c r="Q1071">
        <v>-0.1033324</v>
      </c>
      <c r="R1071">
        <v>-6.7575830000000003E-2</v>
      </c>
      <c r="S1071">
        <v>2.9995270000000001</v>
      </c>
      <c r="T1071">
        <v>-0.2300944</v>
      </c>
      <c r="U1071">
        <v>5.5236819999999898E-3</v>
      </c>
      <c r="V1071">
        <v>7.1082309999999996E-2</v>
      </c>
      <c r="W1071">
        <v>-9.1079850000000004E-2</v>
      </c>
      <c r="X1071">
        <v>0.99330350000000001</v>
      </c>
      <c r="Y1071">
        <v>1.6887829999999999E-3</v>
      </c>
      <c r="Z1071">
        <v>-3.0281479999999999E-4</v>
      </c>
      <c r="AA1071">
        <v>0.99999850000000001</v>
      </c>
      <c r="AB1071">
        <v>31</v>
      </c>
      <c r="AC1071">
        <v>14.444199999999899</v>
      </c>
      <c r="AD1071">
        <v>-1.1203604657770001</v>
      </c>
      <c r="AE1071">
        <v>2.6399999999966801E-2</v>
      </c>
      <c r="AF1071">
        <v>2.4633279751038201E-2</v>
      </c>
      <c r="AG1071">
        <v>-1.1203604657770001</v>
      </c>
      <c r="AH1071">
        <v>14.357822372242399</v>
      </c>
      <c r="AI1071">
        <v>94.461820089141696</v>
      </c>
      <c r="AJ1071">
        <v>89.901699467795396</v>
      </c>
      <c r="AK1071">
        <v>14.401488730149101</v>
      </c>
      <c r="AL1071">
        <v>95.225732902063797</v>
      </c>
      <c r="AM1071">
        <v>85.9068044679709</v>
      </c>
      <c r="AN1071">
        <v>1.0000000384915999</v>
      </c>
    </row>
    <row r="1072" spans="1:40" x14ac:dyDescent="0.25">
      <c r="A1072" t="str">
        <f>"20190303154749124"</f>
        <v>20190303154749124</v>
      </c>
      <c r="B1072" t="str">
        <f>"1551599269111632"</f>
        <v>1551599269111632</v>
      </c>
      <c r="C1072" t="s">
        <v>40</v>
      </c>
      <c r="D1072">
        <v>4.935619</v>
      </c>
      <c r="E1072">
        <v>0.47367799999999999</v>
      </c>
      <c r="F1072" t="s">
        <v>41</v>
      </c>
      <c r="G1072">
        <v>-243.214</v>
      </c>
      <c r="H1072" s="1">
        <v>-3.5021060000000001E-6</v>
      </c>
      <c r="I1072">
        <v>367.84699999999998</v>
      </c>
      <c r="J1072">
        <v>-257.57060000000001</v>
      </c>
      <c r="K1072">
        <v>1.1203609999999999</v>
      </c>
      <c r="L1072">
        <v>367.82010000000002</v>
      </c>
      <c r="M1072">
        <v>0.99991770000000002</v>
      </c>
      <c r="N1072">
        <v>-1.2338089999999999E-2</v>
      </c>
      <c r="O1072">
        <v>3.5283900000000002E-3</v>
      </c>
      <c r="P1072">
        <v>0.99237960000000003</v>
      </c>
      <c r="Q1072">
        <v>-0.1032686</v>
      </c>
      <c r="R1072">
        <v>-6.7218559999999997E-2</v>
      </c>
      <c r="S1072">
        <v>2.9994200000000002</v>
      </c>
      <c r="T1072">
        <v>-0.23141129999999999</v>
      </c>
      <c r="U1072">
        <v>5.6762699999999998E-3</v>
      </c>
      <c r="V1072">
        <v>7.0710549999999997E-2</v>
      </c>
      <c r="W1072">
        <v>-9.1026969999999999E-2</v>
      </c>
      <c r="X1072">
        <v>0.99333479999999996</v>
      </c>
      <c r="Y1072">
        <v>1.6232149999999999E-3</v>
      </c>
      <c r="Z1072">
        <v>-3.0089210000000001E-4</v>
      </c>
      <c r="AA1072">
        <v>0.99999859999999896</v>
      </c>
      <c r="AB1072">
        <v>31</v>
      </c>
      <c r="AC1072">
        <v>14.356599999999901</v>
      </c>
      <c r="AD1072">
        <v>-1.120364502106</v>
      </c>
      <c r="AE1072">
        <v>2.6899999999955002E-2</v>
      </c>
      <c r="AF1072">
        <v>2.3615885619362401E-2</v>
      </c>
      <c r="AG1072">
        <v>-1.120364502106</v>
      </c>
      <c r="AH1072">
        <v>14.269703712825899</v>
      </c>
      <c r="AI1072">
        <v>94.489277121486296</v>
      </c>
      <c r="AJ1072">
        <v>89.905177474784793</v>
      </c>
      <c r="AK1072">
        <v>14.313637496439201</v>
      </c>
      <c r="AL1072">
        <v>95.222690884547603</v>
      </c>
      <c r="AM1072">
        <v>85.928267530571404</v>
      </c>
      <c r="AN1072">
        <v>0.99999995801985997</v>
      </c>
    </row>
    <row r="1073" spans="1:40" x14ac:dyDescent="0.25">
      <c r="A1073" t="str">
        <f>"20190303154749136"</f>
        <v>20190303154749136</v>
      </c>
      <c r="B1073" t="str">
        <f>"1551599269131151"</f>
        <v>1551599269131151</v>
      </c>
      <c r="C1073" t="s">
        <v>40</v>
      </c>
      <c r="D1073">
        <v>4.9528600000000003</v>
      </c>
      <c r="E1073">
        <v>0.49554510000000002</v>
      </c>
      <c r="F1073" t="s">
        <v>41</v>
      </c>
      <c r="G1073">
        <v>-243.03440000000001</v>
      </c>
      <c r="H1073" s="1">
        <v>-3.5860620000000001E-6</v>
      </c>
      <c r="I1073">
        <v>367.85250000000002</v>
      </c>
      <c r="J1073">
        <v>-257.4042</v>
      </c>
      <c r="K1073">
        <v>1.120379</v>
      </c>
      <c r="L1073">
        <v>367.82069999999999</v>
      </c>
      <c r="M1073">
        <v>0.99991730000000001</v>
      </c>
      <c r="N1073">
        <v>-1.237019E-2</v>
      </c>
      <c r="O1073">
        <v>3.5163590000000002E-3</v>
      </c>
      <c r="P1073">
        <v>0.99237390000000003</v>
      </c>
      <c r="Q1073">
        <v>-0.10377359999999999</v>
      </c>
      <c r="R1073">
        <v>-6.6521179999999999E-2</v>
      </c>
      <c r="S1073">
        <v>2.9994350000000001</v>
      </c>
      <c r="T1073">
        <v>-0.231179</v>
      </c>
      <c r="U1073">
        <v>6.6833500000000002E-3</v>
      </c>
      <c r="V1073">
        <v>7.000062E-2</v>
      </c>
      <c r="W1073">
        <v>-9.1500300000000007E-2</v>
      </c>
      <c r="X1073">
        <v>0.99334160000000005</v>
      </c>
      <c r="Y1073">
        <v>1.2766909999999999E-3</v>
      </c>
      <c r="Z1073">
        <v>-2.8420989999999998E-4</v>
      </c>
      <c r="AA1073">
        <v>0.99999919999999998</v>
      </c>
      <c r="AB1073">
        <v>31</v>
      </c>
      <c r="AC1073">
        <v>14.3697999999999</v>
      </c>
      <c r="AD1073">
        <v>-1.120382586062</v>
      </c>
      <c r="AE1073">
        <v>3.18000000000324E-2</v>
      </c>
      <c r="AF1073">
        <v>1.8620247150925098E-2</v>
      </c>
      <c r="AG1073">
        <v>-1.120382586062</v>
      </c>
      <c r="AH1073">
        <v>14.282997238236099</v>
      </c>
      <c r="AI1073">
        <v>94.485190321272796</v>
      </c>
      <c r="AJ1073">
        <v>89.925305525650401</v>
      </c>
      <c r="AK1073">
        <v>14.326884307490401</v>
      </c>
      <c r="AL1073">
        <v>95.249924322684194</v>
      </c>
      <c r="AM1073">
        <v>85.969039560598802</v>
      </c>
      <c r="AN1073">
        <v>0.99999996299551597</v>
      </c>
    </row>
    <row r="1074" spans="1:40" x14ac:dyDescent="0.25">
      <c r="A1074" t="str">
        <f>"20190303154749147"</f>
        <v>20190303154749147</v>
      </c>
      <c r="B1074" t="str">
        <f>"1551599269141886"</f>
        <v>1551599269141886</v>
      </c>
      <c r="C1074" t="s">
        <v>40</v>
      </c>
      <c r="D1074">
        <v>4.8865809999999996</v>
      </c>
      <c r="E1074">
        <v>0.49785889999999999</v>
      </c>
      <c r="F1074" t="s">
        <v>41</v>
      </c>
      <c r="G1074">
        <v>-221.6662</v>
      </c>
      <c r="H1074" s="1">
        <v>-4.2285560000000001E-6</v>
      </c>
      <c r="I1074">
        <v>365.83339999999998</v>
      </c>
      <c r="J1074">
        <v>-257.23860000000002</v>
      </c>
      <c r="K1074">
        <v>1.1204019999999999</v>
      </c>
      <c r="L1074">
        <v>367.82119999999998</v>
      </c>
      <c r="M1074">
        <v>0.99991660000000004</v>
      </c>
      <c r="N1074">
        <v>-1.242568E-2</v>
      </c>
      <c r="O1074">
        <v>3.5035449999999998E-3</v>
      </c>
      <c r="P1074">
        <v>0.99239310000000003</v>
      </c>
      <c r="Q1074">
        <v>-0.1039114</v>
      </c>
      <c r="R1074">
        <v>-6.6018399999999894E-2</v>
      </c>
      <c r="S1074">
        <v>3.0020289999999998</v>
      </c>
      <c r="T1074">
        <v>-9.411311E-2</v>
      </c>
      <c r="U1074">
        <v>-0.1669312</v>
      </c>
      <c r="V1074">
        <v>6.9485149999999996E-2</v>
      </c>
      <c r="W1074">
        <v>-9.1582769999999994E-2</v>
      </c>
      <c r="X1074">
        <v>0.99337019999999998</v>
      </c>
      <c r="Y1074">
        <v>5.8977399999999999E-2</v>
      </c>
      <c r="Z1074">
        <v>-1.356597E-3</v>
      </c>
      <c r="AA1074">
        <v>0.99825839999999999</v>
      </c>
      <c r="AB1074">
        <v>31</v>
      </c>
      <c r="AC1074">
        <v>35.572400000000002</v>
      </c>
      <c r="AD1074">
        <v>-1.1204062285559999</v>
      </c>
      <c r="AE1074">
        <v>-1.98779999999999</v>
      </c>
      <c r="AF1074">
        <v>2.1103399290967602</v>
      </c>
      <c r="AG1074">
        <v>-1.1204062285559999</v>
      </c>
      <c r="AH1074">
        <v>35.530079582381298</v>
      </c>
      <c r="AI1074">
        <v>91.802992258498406</v>
      </c>
      <c r="AJ1074">
        <v>86.600860909234001</v>
      </c>
      <c r="AK1074">
        <v>35.610327151876596</v>
      </c>
      <c r="AL1074">
        <v>95.254669381614093</v>
      </c>
      <c r="AM1074">
        <v>85.998740767380099</v>
      </c>
      <c r="AN1074">
        <v>0.99999997203971702</v>
      </c>
    </row>
    <row r="1075" spans="1:40" x14ac:dyDescent="0.25">
      <c r="A1075" t="str">
        <f>"20190303154749158"</f>
        <v>20190303154749158</v>
      </c>
      <c r="B1075" t="str">
        <f>"1551599269151647"</f>
        <v>1551599269151647</v>
      </c>
      <c r="C1075" t="s">
        <v>40</v>
      </c>
      <c r="D1075">
        <v>4.8948970000000003</v>
      </c>
      <c r="E1075">
        <v>0.49937769999999998</v>
      </c>
      <c r="F1075" t="s">
        <v>41</v>
      </c>
      <c r="G1075">
        <v>-219.52619999999999</v>
      </c>
      <c r="H1075" s="1">
        <v>-1.2394689999999999E-6</v>
      </c>
      <c r="I1075">
        <v>365.51170000000002</v>
      </c>
      <c r="J1075">
        <v>-257.08179999999999</v>
      </c>
      <c r="K1075">
        <v>1.1204240000000001</v>
      </c>
      <c r="L1075">
        <v>367.82170000000002</v>
      </c>
      <c r="M1075">
        <v>0.99991589999999997</v>
      </c>
      <c r="N1075">
        <v>-1.2492929999999999E-2</v>
      </c>
      <c r="O1075">
        <v>3.490847E-3</v>
      </c>
      <c r="P1075">
        <v>0.99237989999999998</v>
      </c>
      <c r="Q1075">
        <v>-0.1044694</v>
      </c>
      <c r="R1075">
        <v>-6.5334459999999997E-2</v>
      </c>
      <c r="S1075">
        <v>3.001404</v>
      </c>
      <c r="T1075">
        <v>-8.9168910000000004E-2</v>
      </c>
      <c r="U1075">
        <v>-0.18380740000000001</v>
      </c>
      <c r="V1075">
        <v>6.8788479999999999E-2</v>
      </c>
      <c r="W1075">
        <v>-9.2073820000000001E-2</v>
      </c>
      <c r="X1075">
        <v>0.99337330000000001</v>
      </c>
      <c r="Y1075">
        <v>6.4569299999999996E-2</v>
      </c>
      <c r="Z1075">
        <v>-1.4219149999999999E-3</v>
      </c>
      <c r="AA1075">
        <v>0.99791220000000003</v>
      </c>
      <c r="AB1075">
        <v>31</v>
      </c>
      <c r="AC1075">
        <v>37.555599999999998</v>
      </c>
      <c r="AD1075">
        <v>-1.120425239469</v>
      </c>
      <c r="AE1075">
        <v>-2.31</v>
      </c>
      <c r="AF1075">
        <v>2.4389344025411099</v>
      </c>
      <c r="AG1075">
        <v>-1.120425239469</v>
      </c>
      <c r="AH1075">
        <v>37.514042974907298</v>
      </c>
      <c r="AI1075">
        <v>91.707132371874707</v>
      </c>
      <c r="AJ1075">
        <v>86.280212717514402</v>
      </c>
      <c r="AK1075">
        <v>37.609934512842898</v>
      </c>
      <c r="AL1075">
        <v>95.2829238216367</v>
      </c>
      <c r="AM1075">
        <v>86.038742038888799</v>
      </c>
      <c r="AN1075">
        <v>0.999999978231496</v>
      </c>
    </row>
    <row r="1076" spans="1:40" x14ac:dyDescent="0.25">
      <c r="A1076" t="str">
        <f>"20190303154749170"</f>
        <v>20190303154749170</v>
      </c>
      <c r="B1076" t="str">
        <f>"1551599269161406"</f>
        <v>1551599269161406</v>
      </c>
      <c r="C1076" t="s">
        <v>40</v>
      </c>
      <c r="D1076">
        <v>4.9066239999999999</v>
      </c>
      <c r="E1076">
        <v>0.50059379999999998</v>
      </c>
      <c r="F1076" t="s">
        <v>41</v>
      </c>
      <c r="G1076">
        <v>-218.9024</v>
      </c>
      <c r="H1076" s="1">
        <v>-1.4932890000000001E-6</v>
      </c>
      <c r="I1076">
        <v>365.35559999999998</v>
      </c>
      <c r="J1076">
        <v>-256.92989999999998</v>
      </c>
      <c r="K1076">
        <v>1.1204459999999901</v>
      </c>
      <c r="L1076">
        <v>367.82229999999998</v>
      </c>
      <c r="M1076">
        <v>0.999915</v>
      </c>
      <c r="N1076">
        <v>-1.2568899999999999E-2</v>
      </c>
      <c r="O1076">
        <v>3.4764359999999998E-3</v>
      </c>
      <c r="P1076">
        <v>0.99242710000000001</v>
      </c>
      <c r="Q1076">
        <v>-0.1046112</v>
      </c>
      <c r="R1076">
        <v>-6.4383889999999999E-2</v>
      </c>
      <c r="S1076">
        <v>3.001007</v>
      </c>
      <c r="T1076">
        <v>-8.8068599999999997E-2</v>
      </c>
      <c r="U1076">
        <v>-0.19384770000000001</v>
      </c>
      <c r="V1076">
        <v>6.7824099999999998E-2</v>
      </c>
      <c r="W1076">
        <v>-9.2139280000000004E-2</v>
      </c>
      <c r="X1076">
        <v>0.99343349999999997</v>
      </c>
      <c r="Y1076">
        <v>6.7886859999999993E-2</v>
      </c>
      <c r="Z1076">
        <v>-1.480339E-3</v>
      </c>
      <c r="AA1076">
        <v>0.99769189999999996</v>
      </c>
      <c r="AB1076">
        <v>31</v>
      </c>
      <c r="AC1076">
        <v>38.027499999999897</v>
      </c>
      <c r="AD1076">
        <v>-1.1204474932889901</v>
      </c>
      <c r="AE1076">
        <v>-2.4666999999999999</v>
      </c>
      <c r="AF1076">
        <v>2.5966509014127901</v>
      </c>
      <c r="AG1076">
        <v>-1.1204474932889901</v>
      </c>
      <c r="AH1076">
        <v>37.985855475369299</v>
      </c>
      <c r="AI1076">
        <v>91.685600204682501</v>
      </c>
      <c r="AJ1076">
        <v>86.089437905320494</v>
      </c>
      <c r="AK1076">
        <v>38.090986003051597</v>
      </c>
      <c r="AL1076">
        <v>95.286690632228897</v>
      </c>
      <c r="AM1076">
        <v>86.094339733634698</v>
      </c>
      <c r="AN1076">
        <v>0.99999993719098701</v>
      </c>
    </row>
    <row r="1077" spans="1:40" x14ac:dyDescent="0.25">
      <c r="A1077" t="str">
        <f>"20190303154749182"</f>
        <v>20190303154749182</v>
      </c>
      <c r="B1077" t="str">
        <f>"1551599269171167"</f>
        <v>1551599269171167</v>
      </c>
      <c r="C1077" t="s">
        <v>40</v>
      </c>
      <c r="D1077">
        <v>4.8666489999999998</v>
      </c>
      <c r="E1077">
        <v>0.50034899999999904</v>
      </c>
      <c r="F1077" t="s">
        <v>41</v>
      </c>
      <c r="G1077">
        <v>-217.5421</v>
      </c>
      <c r="H1077" s="1">
        <v>-2.001713E-6</v>
      </c>
      <c r="I1077">
        <v>365.18459999999999</v>
      </c>
      <c r="J1077">
        <v>-256.76560000000001</v>
      </c>
      <c r="K1077">
        <v>1.1204719999999999</v>
      </c>
      <c r="L1077">
        <v>367.82279999999997</v>
      </c>
      <c r="M1077">
        <v>0.99991399999999997</v>
      </c>
      <c r="N1077">
        <v>-1.265258E-2</v>
      </c>
      <c r="O1077">
        <v>3.4604269999999999E-3</v>
      </c>
      <c r="P1077">
        <v>0.99242750000000002</v>
      </c>
      <c r="Q1077">
        <v>-0.10523109999999999</v>
      </c>
      <c r="R1077">
        <v>-6.3356529999999994E-2</v>
      </c>
      <c r="S1077">
        <v>3.0008539999999999</v>
      </c>
      <c r="T1077">
        <v>-8.5363980000000006E-2</v>
      </c>
      <c r="U1077">
        <v>-0.20095830000000001</v>
      </c>
      <c r="V1077">
        <v>6.6781179999999996E-2</v>
      </c>
      <c r="W1077">
        <v>-9.2675610000000005E-2</v>
      </c>
      <c r="X1077">
        <v>0.99345430000000001</v>
      </c>
      <c r="Y1077">
        <v>7.0228579999999999E-2</v>
      </c>
      <c r="Z1077">
        <v>-1.49707299999999E-3</v>
      </c>
      <c r="AA1077">
        <v>0.99752980000000002</v>
      </c>
      <c r="AB1077">
        <v>30</v>
      </c>
      <c r="AC1077">
        <v>39.223500000000001</v>
      </c>
      <c r="AD1077">
        <v>-1.1204740017129999</v>
      </c>
      <c r="AE1077">
        <v>-2.6381999999999799</v>
      </c>
      <c r="AF1077">
        <v>2.7716735139312099</v>
      </c>
      <c r="AG1077">
        <v>-1.1204740017129999</v>
      </c>
      <c r="AH1077">
        <v>39.182304804720502</v>
      </c>
      <c r="AI1077">
        <v>91.633927656663701</v>
      </c>
      <c r="AJ1077">
        <v>85.953757476015795</v>
      </c>
      <c r="AK1077">
        <v>39.296191238673003</v>
      </c>
      <c r="AL1077">
        <v>95.317551950421105</v>
      </c>
      <c r="AM1077">
        <v>86.154295084541403</v>
      </c>
      <c r="AN1077">
        <v>0.99999997043977695</v>
      </c>
    </row>
    <row r="1078" spans="1:40" x14ac:dyDescent="0.25">
      <c r="A1078" t="str">
        <f>"20190303154749198"</f>
        <v>20190303154749198</v>
      </c>
      <c r="B1078" t="str">
        <f>"1551599269191662"</f>
        <v>1551599269191662</v>
      </c>
      <c r="C1078" t="s">
        <v>40</v>
      </c>
      <c r="D1078">
        <v>4.8214930000000003</v>
      </c>
      <c r="E1078">
        <v>0.50047359999999996</v>
      </c>
      <c r="F1078" t="s">
        <v>41</v>
      </c>
      <c r="G1078">
        <v>-219.03819999999999</v>
      </c>
      <c r="H1078" s="1">
        <v>-1.444972E-6</v>
      </c>
      <c r="I1078">
        <v>365.36360000000002</v>
      </c>
      <c r="J1078">
        <v>-256.54140000000001</v>
      </c>
      <c r="K1078">
        <v>1.1205050000000001</v>
      </c>
      <c r="L1078">
        <v>367.8236</v>
      </c>
      <c r="M1078">
        <v>0.99991269999999999</v>
      </c>
      <c r="N1078">
        <v>-1.276792E-2</v>
      </c>
      <c r="O1078">
        <v>3.4370009999999999E-3</v>
      </c>
      <c r="P1078">
        <v>0.99245289999999997</v>
      </c>
      <c r="Q1078">
        <v>-0.1059229</v>
      </c>
      <c r="R1078">
        <v>-6.1791079999999998E-2</v>
      </c>
      <c r="S1078">
        <v>3.0009459999999999</v>
      </c>
      <c r="T1078">
        <v>-8.9125389999999999E-2</v>
      </c>
      <c r="U1078">
        <v>-0.19561770000000001</v>
      </c>
      <c r="V1078">
        <v>6.5192749999999994E-2</v>
      </c>
      <c r="W1078">
        <v>-9.3251819999999999E-2</v>
      </c>
      <c r="X1078">
        <v>0.99350590000000005</v>
      </c>
      <c r="Y1078">
        <v>6.8433399999999894E-2</v>
      </c>
      <c r="Z1078">
        <v>-1.510515E-3</v>
      </c>
      <c r="AA1078">
        <v>0.99765459999999995</v>
      </c>
      <c r="AB1078">
        <v>30</v>
      </c>
      <c r="AC1078">
        <v>37.5032</v>
      </c>
      <c r="AD1078">
        <v>-1.1205064449719999</v>
      </c>
      <c r="AE1078">
        <v>-2.4599999999999702</v>
      </c>
      <c r="AF1078">
        <v>2.5865954058437701</v>
      </c>
      <c r="AG1078">
        <v>-1.1205064449719999</v>
      </c>
      <c r="AH1078">
        <v>37.461225407545498</v>
      </c>
      <c r="AI1078">
        <v>91.709201886635199</v>
      </c>
      <c r="AJ1078">
        <v>86.050151790054699</v>
      </c>
      <c r="AK1078">
        <v>37.567132170578198</v>
      </c>
      <c r="AL1078">
        <v>95.350709865851897</v>
      </c>
      <c r="AM1078">
        <v>86.245697098775693</v>
      </c>
      <c r="AN1078">
        <v>0.99999998496034204</v>
      </c>
    </row>
    <row r="1079" spans="1:40" x14ac:dyDescent="0.25">
      <c r="A1079" t="str">
        <f>"20190303154749214"</f>
        <v>20190303154749214</v>
      </c>
      <c r="B1079" t="str">
        <f>"1551599269202398"</f>
        <v>1551599269202398</v>
      </c>
      <c r="C1079" t="s">
        <v>40</v>
      </c>
      <c r="D1079">
        <v>4.878253</v>
      </c>
      <c r="E1079">
        <v>0.50072529999999904</v>
      </c>
      <c r="F1079" t="s">
        <v>41</v>
      </c>
      <c r="G1079">
        <v>-218.73699999999999</v>
      </c>
      <c r="H1079" s="1">
        <v>-1.5380820000000001E-6</v>
      </c>
      <c r="I1079">
        <v>365.39890000000003</v>
      </c>
      <c r="J1079">
        <v>-256.34140000000002</v>
      </c>
      <c r="K1079">
        <v>1.1205259999999999</v>
      </c>
      <c r="L1079">
        <v>367.82420000000002</v>
      </c>
      <c r="M1079">
        <v>0.99991140000000001</v>
      </c>
      <c r="N1079">
        <v>-1.286954E-2</v>
      </c>
      <c r="O1079">
        <v>3.4159730000000001E-3</v>
      </c>
      <c r="P1079">
        <v>0.99251579999999995</v>
      </c>
      <c r="Q1079">
        <v>-0.1058302</v>
      </c>
      <c r="R1079">
        <v>-6.0928549999999998E-2</v>
      </c>
      <c r="S1079">
        <v>3.0013730000000001</v>
      </c>
      <c r="T1079">
        <v>-8.8959220000000006E-2</v>
      </c>
      <c r="U1079">
        <v>-0.19250490000000001</v>
      </c>
      <c r="V1079">
        <v>6.4310019999999996E-2</v>
      </c>
      <c r="W1079">
        <v>-9.3057180000000003E-2</v>
      </c>
      <c r="X1079">
        <v>0.99358170000000001</v>
      </c>
      <c r="Y1079">
        <v>6.7373509999999998E-2</v>
      </c>
      <c r="Z1079">
        <v>-1.4885600000000001E-3</v>
      </c>
      <c r="AA1079">
        <v>0.99772669999999997</v>
      </c>
      <c r="AB1079">
        <v>30</v>
      </c>
      <c r="AC1079">
        <v>37.604399999999998</v>
      </c>
      <c r="AD1079">
        <v>-1.1205275380819999</v>
      </c>
      <c r="AE1079">
        <v>-2.4252999999999898</v>
      </c>
      <c r="AF1079">
        <v>2.5514959869978</v>
      </c>
      <c r="AG1079">
        <v>-1.1205275380819999</v>
      </c>
      <c r="AH1079">
        <v>37.5626810877026</v>
      </c>
      <c r="AI1079">
        <v>91.704750357436296</v>
      </c>
      <c r="AJ1079">
        <v>86.114075778569202</v>
      </c>
      <c r="AK1079">
        <v>37.665909311096101</v>
      </c>
      <c r="AL1079">
        <v>95.339508997850501</v>
      </c>
      <c r="AM1079">
        <v>86.296670830954696</v>
      </c>
      <c r="AN1079">
        <v>1.00000000599842</v>
      </c>
    </row>
    <row r="1080" spans="1:40" x14ac:dyDescent="0.25">
      <c r="A1080" t="str">
        <f>"20190303154749228"</f>
        <v>20190303154749228</v>
      </c>
      <c r="B1080" t="str">
        <f>"1551599269221919"</f>
        <v>1551599269221919</v>
      </c>
      <c r="C1080" t="s">
        <v>40</v>
      </c>
      <c r="D1080">
        <v>4.9404389999999996</v>
      </c>
      <c r="E1080">
        <v>0.50056229999999902</v>
      </c>
      <c r="F1080" t="s">
        <v>41</v>
      </c>
      <c r="G1080">
        <v>-217.74940000000001</v>
      </c>
      <c r="H1080" s="1">
        <v>-1.88478E-6</v>
      </c>
      <c r="I1080">
        <v>365.35899999999998</v>
      </c>
      <c r="J1080">
        <v>-256.14389999999997</v>
      </c>
      <c r="K1080">
        <v>1.1205459999999901</v>
      </c>
      <c r="L1080">
        <v>367.82490000000001</v>
      </c>
      <c r="M1080">
        <v>0.99991019999999997</v>
      </c>
      <c r="N1080">
        <v>-1.2968210000000001E-2</v>
      </c>
      <c r="O1080">
        <v>3.3954889999999998E-3</v>
      </c>
      <c r="P1080">
        <v>0.99249860000000001</v>
      </c>
      <c r="Q1080">
        <v>-0.1062893</v>
      </c>
      <c r="R1080">
        <v>-6.0408719999999999E-2</v>
      </c>
      <c r="S1080">
        <v>3.0015869999999998</v>
      </c>
      <c r="T1080">
        <v>-8.7151649999999997E-2</v>
      </c>
      <c r="U1080">
        <v>-0.19174189999999999</v>
      </c>
      <c r="V1080">
        <v>6.3769820000000005E-2</v>
      </c>
      <c r="W1080">
        <v>-9.341824E-2</v>
      </c>
      <c r="X1080">
        <v>0.99358259999999998</v>
      </c>
      <c r="Y1080">
        <v>6.7097509999999999E-2</v>
      </c>
      <c r="Z1080">
        <v>-1.4630450000000001E-3</v>
      </c>
      <c r="AA1080">
        <v>0.99774529999999995</v>
      </c>
      <c r="AB1080">
        <v>30</v>
      </c>
      <c r="AC1080">
        <v>38.394499999999901</v>
      </c>
      <c r="AD1080">
        <v>-1.1205478847799999</v>
      </c>
      <c r="AE1080">
        <v>-2.4658999999999698</v>
      </c>
      <c r="AF1080">
        <v>2.5940643693818402</v>
      </c>
      <c r="AG1080">
        <v>-1.1205478847799999</v>
      </c>
      <c r="AH1080">
        <v>38.353370904182697</v>
      </c>
      <c r="AI1080">
        <v>91.669688475336997</v>
      </c>
      <c r="AJ1080">
        <v>86.130642060633505</v>
      </c>
      <c r="AK1080">
        <v>38.457325143961697</v>
      </c>
      <c r="AL1080">
        <v>95.360286914421394</v>
      </c>
      <c r="AM1080">
        <v>86.327696390160995</v>
      </c>
      <c r="AN1080">
        <v>0.99999997026514398</v>
      </c>
    </row>
    <row r="1081" spans="1:40" x14ac:dyDescent="0.25">
      <c r="A1081" t="str">
        <f>"20190303154749244"</f>
        <v>20190303154749244</v>
      </c>
      <c r="B1081" t="str">
        <f>"1551599269231679"</f>
        <v>1551599269231679</v>
      </c>
      <c r="C1081" t="s">
        <v>40</v>
      </c>
      <c r="D1081">
        <v>4.9091500000000003</v>
      </c>
      <c r="E1081">
        <v>0.50038769999999999</v>
      </c>
      <c r="F1081" t="s">
        <v>41</v>
      </c>
      <c r="G1081">
        <v>-221.12860000000001</v>
      </c>
      <c r="H1081" s="1">
        <v>-4.4965089999999997E-6</v>
      </c>
      <c r="I1081">
        <v>365.62279999999998</v>
      </c>
      <c r="J1081">
        <v>-255.93719999999999</v>
      </c>
      <c r="K1081">
        <v>1.120565</v>
      </c>
      <c r="L1081">
        <v>367.82560000000001</v>
      </c>
      <c r="M1081">
        <v>0.99990889999999999</v>
      </c>
      <c r="N1081">
        <v>-1.30691E-2</v>
      </c>
      <c r="O1081">
        <v>3.3747999999999998E-3</v>
      </c>
      <c r="P1081">
        <v>0.99256909999999998</v>
      </c>
      <c r="Q1081">
        <v>-0.1063553</v>
      </c>
      <c r="R1081">
        <v>-5.9120020000000002E-2</v>
      </c>
      <c r="S1081">
        <v>3.0009000000000001</v>
      </c>
      <c r="T1081">
        <v>-9.6033930000000003E-2</v>
      </c>
      <c r="U1081">
        <v>-0.18872069999999999</v>
      </c>
      <c r="V1081">
        <v>6.2460830000000002E-2</v>
      </c>
      <c r="W1081">
        <v>-9.3382850000000003E-2</v>
      </c>
      <c r="X1081">
        <v>0.99366909999999997</v>
      </c>
      <c r="Y1081">
        <v>6.608398E-2</v>
      </c>
      <c r="Z1081">
        <v>-1.552328E-3</v>
      </c>
      <c r="AA1081">
        <v>0.9978129</v>
      </c>
      <c r="AB1081">
        <v>30</v>
      </c>
      <c r="AC1081">
        <v>34.808599999999899</v>
      </c>
      <c r="AD1081">
        <v>-1.1205694965090001</v>
      </c>
      <c r="AE1081">
        <v>-2.2028000000000199</v>
      </c>
      <c r="AF1081">
        <v>2.31787701112061</v>
      </c>
      <c r="AG1081">
        <v>-1.1205694965090001</v>
      </c>
      <c r="AH1081">
        <v>34.765082180162203</v>
      </c>
      <c r="AI1081">
        <v>91.842066770890099</v>
      </c>
      <c r="AJ1081">
        <v>86.185589023774995</v>
      </c>
      <c r="AK1081">
        <v>34.860280676274201</v>
      </c>
      <c r="AL1081">
        <v>95.358250174980398</v>
      </c>
      <c r="AM1081">
        <v>86.403189337940404</v>
      </c>
      <c r="AN1081">
        <v>0.99999999612660995</v>
      </c>
    </row>
    <row r="1082" spans="1:40" x14ac:dyDescent="0.25">
      <c r="A1082" t="str">
        <f>"20190303154749255"</f>
        <v>20190303154749255</v>
      </c>
      <c r="B1082" t="str">
        <f>"1551599269251199"</f>
        <v>1551599269251199</v>
      </c>
      <c r="C1082" t="s">
        <v>40</v>
      </c>
      <c r="D1082">
        <v>4.8673140000000004</v>
      </c>
      <c r="E1082">
        <v>0.49986580000000003</v>
      </c>
      <c r="F1082" t="s">
        <v>41</v>
      </c>
      <c r="G1082">
        <v>-223.23490000000001</v>
      </c>
      <c r="H1082" s="1">
        <v>-3.5566540000000002E-6</v>
      </c>
      <c r="I1082">
        <v>365.8272</v>
      </c>
      <c r="J1082">
        <v>-255.7817</v>
      </c>
      <c r="K1082">
        <v>1.1205719999999999</v>
      </c>
      <c r="L1082">
        <v>367.8261</v>
      </c>
      <c r="M1082">
        <v>0.99990800000000002</v>
      </c>
      <c r="N1082">
        <v>-1.3141999999999999E-2</v>
      </c>
      <c r="O1082">
        <v>3.360006E-3</v>
      </c>
      <c r="P1082">
        <v>0.9926104</v>
      </c>
      <c r="Q1082">
        <v>-0.106253</v>
      </c>
      <c r="R1082">
        <v>-5.8609040000000001E-2</v>
      </c>
      <c r="S1082">
        <v>3.0005039999999998</v>
      </c>
      <c r="T1082">
        <v>-0.1028143</v>
      </c>
      <c r="U1082">
        <v>-0.1833496</v>
      </c>
      <c r="V1082">
        <v>6.1935249999999997E-2</v>
      </c>
      <c r="W1082">
        <v>-9.3207499999999999E-2</v>
      </c>
      <c r="X1082">
        <v>0.9937184</v>
      </c>
      <c r="Y1082">
        <v>6.4293390000000006E-2</v>
      </c>
      <c r="Z1082">
        <v>-1.594121E-3</v>
      </c>
      <c r="AA1082">
        <v>0.99792979999999998</v>
      </c>
      <c r="AB1082">
        <v>30</v>
      </c>
      <c r="AC1082">
        <v>32.546799999999898</v>
      </c>
      <c r="AD1082">
        <v>-1.1205755566540001</v>
      </c>
      <c r="AE1082">
        <v>-1.9988999999999899</v>
      </c>
      <c r="AF1082">
        <v>2.1057687995004599</v>
      </c>
      <c r="AG1082">
        <v>-1.1205755566540001</v>
      </c>
      <c r="AH1082">
        <v>32.501516761115397</v>
      </c>
      <c r="AI1082">
        <v>91.970512779286906</v>
      </c>
      <c r="AJ1082">
        <v>86.292995531038301</v>
      </c>
      <c r="AK1082">
        <v>32.588932839051097</v>
      </c>
      <c r="AL1082">
        <v>95.348159671970507</v>
      </c>
      <c r="AM1082">
        <v>86.433552928144294</v>
      </c>
      <c r="AN1082">
        <v>0.99999993587368396</v>
      </c>
    </row>
    <row r="1083" spans="1:40" x14ac:dyDescent="0.25">
      <c r="A1083" t="str">
        <f>"20190303154749266"</f>
        <v>20190303154749266</v>
      </c>
      <c r="B1083" t="str">
        <f>"1551599269261934"</f>
        <v>1551599269261934</v>
      </c>
      <c r="C1083" t="s">
        <v>40</v>
      </c>
      <c r="D1083">
        <v>4.8510980000000004</v>
      </c>
      <c r="E1083">
        <v>0.49969960000000002</v>
      </c>
      <c r="F1083" t="s">
        <v>41</v>
      </c>
      <c r="G1083">
        <v>-226.381</v>
      </c>
      <c r="H1083" s="1">
        <v>-2.1611919999999999E-6</v>
      </c>
      <c r="I1083">
        <v>366.08550000000002</v>
      </c>
      <c r="J1083">
        <v>-255.626</v>
      </c>
      <c r="K1083">
        <v>1.1205830000000001</v>
      </c>
      <c r="L1083">
        <v>367.82670000000002</v>
      </c>
      <c r="M1083">
        <v>0.99990710000000005</v>
      </c>
      <c r="N1083">
        <v>-1.321227E-2</v>
      </c>
      <c r="O1083">
        <v>3.3455249999999998E-3</v>
      </c>
      <c r="P1083">
        <v>0.9926199</v>
      </c>
      <c r="Q1083">
        <v>-0.10638010000000001</v>
      </c>
      <c r="R1083">
        <v>-5.8217820000000003E-2</v>
      </c>
      <c r="S1083">
        <v>2.999619</v>
      </c>
      <c r="T1083">
        <v>-0.1143267</v>
      </c>
      <c r="U1083">
        <v>-0.17758180000000001</v>
      </c>
      <c r="V1083">
        <v>6.1529460000000001E-2</v>
      </c>
      <c r="W1083">
        <v>-9.3264680000000003E-2</v>
      </c>
      <c r="X1083">
        <v>0.99373829999999996</v>
      </c>
      <c r="Y1083">
        <v>6.2375769999999997E-2</v>
      </c>
      <c r="Z1083">
        <v>-1.683061E-3</v>
      </c>
      <c r="AA1083">
        <v>0.99805129999999997</v>
      </c>
      <c r="AB1083">
        <v>30</v>
      </c>
      <c r="AC1083">
        <v>29.245000000000001</v>
      </c>
      <c r="AD1083">
        <v>-1.1205851611919999</v>
      </c>
      <c r="AE1083">
        <v>-1.7411999999999901</v>
      </c>
      <c r="AF1083">
        <v>1.8363520587889901</v>
      </c>
      <c r="AG1083">
        <v>-1.1205851611919999</v>
      </c>
      <c r="AH1083">
        <v>29.196295860985298</v>
      </c>
      <c r="AI1083">
        <v>92.193664084848905</v>
      </c>
      <c r="AJ1083">
        <v>86.401022659667007</v>
      </c>
      <c r="AK1083">
        <v>29.275443497742099</v>
      </c>
      <c r="AL1083">
        <v>95.351449877321301</v>
      </c>
      <c r="AM1083">
        <v>86.456930777938595</v>
      </c>
      <c r="AN1083">
        <v>0.999999991935141</v>
      </c>
    </row>
    <row r="1084" spans="1:40" x14ac:dyDescent="0.25">
      <c r="A1084" t="str">
        <f>"20190303154749279"</f>
        <v>20190303154749279</v>
      </c>
      <c r="B1084" t="str">
        <f>"1551599269271695"</f>
        <v>1551599269271695</v>
      </c>
      <c r="C1084" t="s">
        <v>40</v>
      </c>
      <c r="D1084">
        <v>4.8552400000000002</v>
      </c>
      <c r="E1084">
        <v>0.4996236</v>
      </c>
      <c r="F1084" t="s">
        <v>41</v>
      </c>
      <c r="G1084">
        <v>-227.6952</v>
      </c>
      <c r="H1084" s="1">
        <v>-1.6811469999999999E-6</v>
      </c>
      <c r="I1084">
        <v>366.19349999999997</v>
      </c>
      <c r="J1084">
        <v>-255.45519999999999</v>
      </c>
      <c r="K1084">
        <v>1.1205909999999999</v>
      </c>
      <c r="L1084">
        <v>367.8272</v>
      </c>
      <c r="M1084">
        <v>0.99990630000000003</v>
      </c>
      <c r="N1084">
        <v>-1.3286620000000001E-2</v>
      </c>
      <c r="O1084">
        <v>3.329701E-3</v>
      </c>
      <c r="P1084">
        <v>0.9926507</v>
      </c>
      <c r="Q1084">
        <v>-0.10624309999999999</v>
      </c>
      <c r="R1084">
        <v>-5.7943870000000001E-2</v>
      </c>
      <c r="S1084">
        <v>2.9991150000000002</v>
      </c>
      <c r="T1084">
        <v>-0.1203241</v>
      </c>
      <c r="U1084">
        <v>-0.17535400000000001</v>
      </c>
      <c r="V1084">
        <v>6.1239910000000002E-2</v>
      </c>
      <c r="W1084">
        <v>-9.3053369999999996E-2</v>
      </c>
      <c r="X1084">
        <v>0.99377599999999999</v>
      </c>
      <c r="Y1084">
        <v>6.1625869999999999E-2</v>
      </c>
      <c r="Z1084">
        <v>-1.7338779999999999E-3</v>
      </c>
      <c r="AA1084">
        <v>0.99809780000000003</v>
      </c>
      <c r="AB1084">
        <v>30</v>
      </c>
      <c r="AC1084">
        <v>27.759999999999899</v>
      </c>
      <c r="AD1084">
        <v>-1.1205926811469999</v>
      </c>
      <c r="AE1084">
        <v>-1.6337000000000299</v>
      </c>
      <c r="AF1084">
        <v>1.72333309737673</v>
      </c>
      <c r="AG1084">
        <v>-1.1205926811469999</v>
      </c>
      <c r="AH1084">
        <v>27.7094089988165</v>
      </c>
      <c r="AI1084">
        <v>92.311368400196102</v>
      </c>
      <c r="AJ1084">
        <v>86.441183564819596</v>
      </c>
      <c r="AK1084">
        <v>27.785552936467699</v>
      </c>
      <c r="AL1084">
        <v>95.339289796658605</v>
      </c>
      <c r="AM1084">
        <v>86.473695289265905</v>
      </c>
      <c r="AN1084">
        <v>0.99999999721058197</v>
      </c>
    </row>
    <row r="1085" spans="1:40" x14ac:dyDescent="0.25">
      <c r="A1085" t="str">
        <f>"20190303154749293"</f>
        <v>20190303154749293</v>
      </c>
      <c r="B1085" t="str">
        <f>"1551599269281455"</f>
        <v>1551599269281455</v>
      </c>
      <c r="C1085" t="s">
        <v>40</v>
      </c>
      <c r="D1085">
        <v>4.847696</v>
      </c>
      <c r="E1085">
        <v>0.49948160000000003</v>
      </c>
      <c r="F1085" t="s">
        <v>41</v>
      </c>
      <c r="G1085">
        <v>-228.39019999999999</v>
      </c>
      <c r="H1085" s="1">
        <v>-1.426523E-6</v>
      </c>
      <c r="I1085">
        <v>366.26159999999999</v>
      </c>
      <c r="J1085">
        <v>-255.27940000000001</v>
      </c>
      <c r="K1085">
        <v>1.1206</v>
      </c>
      <c r="L1085">
        <v>367.82780000000002</v>
      </c>
      <c r="M1085">
        <v>0.99990540000000006</v>
      </c>
      <c r="N1085">
        <v>-1.335736E-2</v>
      </c>
      <c r="O1085">
        <v>3.3136009999999998E-3</v>
      </c>
      <c r="P1085">
        <v>0.99265650000000005</v>
      </c>
      <c r="Q1085">
        <v>-0.1062816</v>
      </c>
      <c r="R1085">
        <v>-5.777181E-2</v>
      </c>
      <c r="S1085">
        <v>2.9987949999999999</v>
      </c>
      <c r="T1085">
        <v>-0.1241609</v>
      </c>
      <c r="U1085">
        <v>-0.1734619</v>
      </c>
      <c r="V1085">
        <v>6.1051849999999998E-2</v>
      </c>
      <c r="W1085">
        <v>-9.3021549999999995E-2</v>
      </c>
      <c r="X1085">
        <v>0.99379059999999997</v>
      </c>
      <c r="Y1085">
        <v>6.0985169999999998E-2</v>
      </c>
      <c r="Z1085">
        <v>-1.7616109999999999E-3</v>
      </c>
      <c r="AA1085">
        <v>0.9981371</v>
      </c>
      <c r="AB1085">
        <v>30</v>
      </c>
      <c r="AC1085">
        <v>26.889199999999999</v>
      </c>
      <c r="AD1085">
        <v>-1.120601426523</v>
      </c>
      <c r="AE1085">
        <v>-1.56620000000003</v>
      </c>
      <c r="AF1085">
        <v>1.6524391891505099</v>
      </c>
      <c r="AG1085">
        <v>-1.120601426523</v>
      </c>
      <c r="AH1085">
        <v>26.837408862460901</v>
      </c>
      <c r="AI1085">
        <v>92.386493671630802</v>
      </c>
      <c r="AJ1085">
        <v>86.476618970078405</v>
      </c>
      <c r="AK1085">
        <v>26.911574039469699</v>
      </c>
      <c r="AL1085">
        <v>95.337458436791096</v>
      </c>
      <c r="AM1085">
        <v>86.484548442138703</v>
      </c>
      <c r="AN1085">
        <v>1.0000000469005901</v>
      </c>
    </row>
    <row r="1086" spans="1:40" x14ac:dyDescent="0.25">
      <c r="A1086" t="str">
        <f>"20190303154749304"</f>
        <v>20190303154749304</v>
      </c>
      <c r="B1086" t="str">
        <f>"1551599269301951"</f>
        <v>1551599269301951</v>
      </c>
      <c r="C1086" t="s">
        <v>40</v>
      </c>
      <c r="D1086">
        <v>4.8322190000000003</v>
      </c>
      <c r="E1086">
        <v>0.49921330000000003</v>
      </c>
      <c r="F1086" t="s">
        <v>41</v>
      </c>
      <c r="G1086">
        <v>-228.9117</v>
      </c>
      <c r="H1086" s="1">
        <v>-1.2337750000000001E-6</v>
      </c>
      <c r="I1086">
        <v>366.31900000000002</v>
      </c>
      <c r="J1086">
        <v>-255.1071</v>
      </c>
      <c r="K1086">
        <v>1.1206039999999999</v>
      </c>
      <c r="L1086">
        <v>367.82830000000001</v>
      </c>
      <c r="M1086">
        <v>0.99990449999999997</v>
      </c>
      <c r="N1086">
        <v>-1.3423849999999999E-2</v>
      </c>
      <c r="O1086">
        <v>3.2976490000000002E-3</v>
      </c>
      <c r="P1086">
        <v>0.99268559999999995</v>
      </c>
      <c r="Q1086">
        <v>-0.1061877</v>
      </c>
      <c r="R1086">
        <v>-5.744051E-2</v>
      </c>
      <c r="S1086">
        <v>2.9985659999999998</v>
      </c>
      <c r="T1086">
        <v>-0.1274354</v>
      </c>
      <c r="U1086">
        <v>-0.17156979999999999</v>
      </c>
      <c r="V1086">
        <v>6.0704849999999998E-2</v>
      </c>
      <c r="W1086">
        <v>-9.2861170000000007E-2</v>
      </c>
      <c r="X1086">
        <v>0.99382680000000001</v>
      </c>
      <c r="Y1086">
        <v>6.0343229999999998E-2</v>
      </c>
      <c r="Z1086">
        <v>-1.781995E-3</v>
      </c>
      <c r="AA1086">
        <v>0.99817610000000001</v>
      </c>
      <c r="AB1086">
        <v>30</v>
      </c>
      <c r="AC1086">
        <v>26.195399999999999</v>
      </c>
      <c r="AD1086">
        <v>-1.1206052337749901</v>
      </c>
      <c r="AE1086">
        <v>-1.5092999999999901</v>
      </c>
      <c r="AF1086">
        <v>1.5927776407502801</v>
      </c>
      <c r="AG1086">
        <v>-1.1206052337749901</v>
      </c>
      <c r="AH1086">
        <v>26.142596840023899</v>
      </c>
      <c r="AI1086">
        <v>92.449949804725307</v>
      </c>
      <c r="AJ1086">
        <v>86.513476901481397</v>
      </c>
      <c r="AK1086">
        <v>26.215035118093301</v>
      </c>
      <c r="AL1086">
        <v>95.328229686045404</v>
      </c>
      <c r="AM1086">
        <v>86.504606516016807</v>
      </c>
      <c r="AN1086">
        <v>0.99999999205276502</v>
      </c>
    </row>
    <row r="1087" spans="1:40" x14ac:dyDescent="0.25">
      <c r="A1087" t="str">
        <f>"20190303154749315"</f>
        <v>20190303154749315</v>
      </c>
      <c r="B1087" t="str">
        <f>"1551599269311711"</f>
        <v>1551599269311711</v>
      </c>
      <c r="C1087" t="s">
        <v>40</v>
      </c>
      <c r="D1087">
        <v>4.8070079999999997</v>
      </c>
      <c r="E1087">
        <v>0.49914009999999998</v>
      </c>
      <c r="F1087" t="s">
        <v>41</v>
      </c>
      <c r="G1087">
        <v>-229.85239999999999</v>
      </c>
      <c r="H1087" s="1">
        <v>-8.8982200000000001E-7</v>
      </c>
      <c r="I1087">
        <v>366.4085</v>
      </c>
      <c r="J1087">
        <v>-254.9563</v>
      </c>
      <c r="K1087">
        <v>1.1206069999999999</v>
      </c>
      <c r="L1087">
        <v>367.8288</v>
      </c>
      <c r="M1087">
        <v>0.99990389999999996</v>
      </c>
      <c r="N1087">
        <v>-1.347828E-2</v>
      </c>
      <c r="O1087">
        <v>3.282975E-3</v>
      </c>
      <c r="P1087">
        <v>0.99268049999999997</v>
      </c>
      <c r="Q1087">
        <v>-0.10636420000000001</v>
      </c>
      <c r="R1087">
        <v>-5.72019E-2</v>
      </c>
      <c r="S1087">
        <v>2.9981080000000002</v>
      </c>
      <c r="T1087">
        <v>-0.1330324</v>
      </c>
      <c r="U1087">
        <v>-0.16854859999999999</v>
      </c>
      <c r="V1087">
        <v>6.0451610000000003E-2</v>
      </c>
      <c r="W1087">
        <v>-9.2983540000000003E-2</v>
      </c>
      <c r="X1087">
        <v>0.99383080000000001</v>
      </c>
      <c r="Y1087">
        <v>5.9329989999999999E-2</v>
      </c>
      <c r="Z1087">
        <v>-1.8163280000000001E-3</v>
      </c>
      <c r="AA1087">
        <v>0.99823680000000004</v>
      </c>
      <c r="AB1087">
        <v>30</v>
      </c>
      <c r="AC1087">
        <v>25.103899999999999</v>
      </c>
      <c r="AD1087">
        <v>-1.120607889822</v>
      </c>
      <c r="AE1087">
        <v>-1.4202999999999899</v>
      </c>
      <c r="AF1087">
        <v>1.4997364245214899</v>
      </c>
      <c r="AG1087">
        <v>-1.120607889822</v>
      </c>
      <c r="AH1087">
        <v>25.049346836379101</v>
      </c>
      <c r="AI1087">
        <v>92.556904332262803</v>
      </c>
      <c r="AJ1087">
        <v>86.573718428523193</v>
      </c>
      <c r="AK1087">
        <v>25.119210742278199</v>
      </c>
      <c r="AL1087">
        <v>95.335271408927994</v>
      </c>
      <c r="AM1087">
        <v>86.519166157711098</v>
      </c>
      <c r="AN1087">
        <v>0.99999999744558099</v>
      </c>
    </row>
    <row r="1088" spans="1:40" x14ac:dyDescent="0.25">
      <c r="A1088" t="str">
        <f>"20190303154749327"</f>
        <v>20190303154749327</v>
      </c>
      <c r="B1088" t="str">
        <f>"1551599269321471"</f>
        <v>1551599269321471</v>
      </c>
      <c r="C1088" t="s">
        <v>40</v>
      </c>
      <c r="D1088">
        <v>4.7950879999999998</v>
      </c>
      <c r="E1088">
        <v>0.49913410000000002</v>
      </c>
      <c r="F1088" t="s">
        <v>41</v>
      </c>
      <c r="G1088">
        <v>-230.2714</v>
      </c>
      <c r="H1088" s="1">
        <v>-4.7169700000000003E-6</v>
      </c>
      <c r="I1088">
        <v>366.45319999999998</v>
      </c>
      <c r="J1088">
        <v>-254.803</v>
      </c>
      <c r="K1088">
        <v>1.1206100000000001</v>
      </c>
      <c r="L1088">
        <v>367.82929999999999</v>
      </c>
      <c r="M1088">
        <v>0.99990319999999999</v>
      </c>
      <c r="N1088">
        <v>-1.353029E-2</v>
      </c>
      <c r="O1088">
        <v>3.2683159999999998E-3</v>
      </c>
      <c r="P1088">
        <v>0.99267019999999995</v>
      </c>
      <c r="Q1088">
        <v>-0.10674309999999999</v>
      </c>
      <c r="R1088">
        <v>-5.6672970000000003E-2</v>
      </c>
      <c r="S1088">
        <v>2.9978940000000001</v>
      </c>
      <c r="T1088">
        <v>-0.13609360000000001</v>
      </c>
      <c r="U1088">
        <v>-0.16705320000000001</v>
      </c>
      <c r="V1088">
        <v>5.990819E-2</v>
      </c>
      <c r="W1088">
        <v>-9.3310779999999996E-2</v>
      </c>
      <c r="X1088">
        <v>0.99383310000000002</v>
      </c>
      <c r="Y1088">
        <v>5.8820360000000002E-2</v>
      </c>
      <c r="Z1088">
        <v>-1.8359260000000001E-3</v>
      </c>
      <c r="AA1088">
        <v>0.99826689999999996</v>
      </c>
      <c r="AB1088">
        <v>30</v>
      </c>
      <c r="AC1088">
        <v>24.531600000000001</v>
      </c>
      <c r="AD1088">
        <v>-1.12061471697</v>
      </c>
      <c r="AE1088">
        <v>-1.3761000000000001</v>
      </c>
      <c r="AF1088">
        <v>1.4532540043456501</v>
      </c>
      <c r="AG1088">
        <v>-1.12061471697</v>
      </c>
      <c r="AH1088">
        <v>24.476056930204599</v>
      </c>
      <c r="AI1088">
        <v>92.616804119160903</v>
      </c>
      <c r="AJ1088">
        <v>86.602080077852605</v>
      </c>
      <c r="AK1088">
        <v>24.544756820870202</v>
      </c>
      <c r="AL1088">
        <v>95.354102406567307</v>
      </c>
      <c r="AM1088">
        <v>86.550388613194698</v>
      </c>
      <c r="AN1088">
        <v>1.00000006177444</v>
      </c>
    </row>
    <row r="1089" spans="1:40" x14ac:dyDescent="0.25">
      <c r="A1089" t="str">
        <f>"20190303154749339"</f>
        <v>20190303154749339</v>
      </c>
      <c r="B1089" t="str">
        <f>"1551599269331230"</f>
        <v>1551599269331230</v>
      </c>
      <c r="C1089" t="s">
        <v>40</v>
      </c>
      <c r="D1089">
        <v>4.8158050000000001</v>
      </c>
      <c r="E1089">
        <v>0.49909009999999998</v>
      </c>
      <c r="F1089" t="s">
        <v>41</v>
      </c>
      <c r="G1089">
        <v>-230.6704</v>
      </c>
      <c r="H1089" s="1">
        <v>-4.5379350000000001E-6</v>
      </c>
      <c r="I1089">
        <v>366.4975</v>
      </c>
      <c r="J1089">
        <v>-254.64330000000001</v>
      </c>
      <c r="K1089">
        <v>1.120609</v>
      </c>
      <c r="L1089">
        <v>367.82979999999998</v>
      </c>
      <c r="M1089">
        <v>0.99990250000000003</v>
      </c>
      <c r="N1089">
        <v>-1.3582189999999999E-2</v>
      </c>
      <c r="O1089">
        <v>3.2528209999999999E-3</v>
      </c>
      <c r="P1089">
        <v>0.99265099999999995</v>
      </c>
      <c r="Q1089">
        <v>-0.1069972</v>
      </c>
      <c r="R1089">
        <v>-5.6531739999999997E-2</v>
      </c>
      <c r="S1089">
        <v>2.9977109999999998</v>
      </c>
      <c r="T1089">
        <v>-0.13920060000000001</v>
      </c>
      <c r="U1089">
        <v>-0.16543579999999999</v>
      </c>
      <c r="V1089">
        <v>5.9751220000000001E-2</v>
      </c>
      <c r="W1089">
        <v>-9.3513509999999994E-2</v>
      </c>
      <c r="X1089">
        <v>0.99382340000000002</v>
      </c>
      <c r="Y1089">
        <v>5.8268689999999998E-2</v>
      </c>
      <c r="Z1089">
        <v>-1.854142E-3</v>
      </c>
      <c r="AA1089">
        <v>0.99829920000000005</v>
      </c>
      <c r="AB1089">
        <v>30</v>
      </c>
      <c r="AC1089">
        <v>23.972899999999999</v>
      </c>
      <c r="AD1089">
        <v>-1.120613537935</v>
      </c>
      <c r="AE1089">
        <v>-1.3322999999999701</v>
      </c>
      <c r="AF1089">
        <v>1.4072142631223501</v>
      </c>
      <c r="AG1089">
        <v>-1.120613537935</v>
      </c>
      <c r="AH1089">
        <v>23.916340421612901</v>
      </c>
      <c r="AI1089">
        <v>92.678038843227995</v>
      </c>
      <c r="AJ1089">
        <v>86.632654301703596</v>
      </c>
      <c r="AK1089">
        <v>23.983898053615299</v>
      </c>
      <c r="AL1089">
        <v>95.365769497794304</v>
      </c>
      <c r="AM1089">
        <v>86.559371960238707</v>
      </c>
      <c r="AN1089">
        <v>0.99999996761578303</v>
      </c>
    </row>
    <row r="1090" spans="1:40" x14ac:dyDescent="0.25">
      <c r="A1090" t="str">
        <f>"20190303154749350"</f>
        <v>20190303154749350</v>
      </c>
      <c r="B1090" t="str">
        <f>"1551599269341967"</f>
        <v>1551599269341967</v>
      </c>
      <c r="C1090" t="s">
        <v>40</v>
      </c>
      <c r="D1090">
        <v>4.7950200000000001</v>
      </c>
      <c r="E1090">
        <v>0.4990986</v>
      </c>
      <c r="F1090" t="s">
        <v>41</v>
      </c>
      <c r="G1090">
        <v>-230.9666</v>
      </c>
      <c r="H1090" s="1">
        <v>-4.405378E-6</v>
      </c>
      <c r="I1090">
        <v>366.52839999999998</v>
      </c>
      <c r="J1090">
        <v>-254.49080000000001</v>
      </c>
      <c r="K1090">
        <v>1.120609</v>
      </c>
      <c r="L1090">
        <v>367.83030000000002</v>
      </c>
      <c r="M1090">
        <v>0.99990199999999996</v>
      </c>
      <c r="N1090">
        <v>-1.362712E-2</v>
      </c>
      <c r="O1090">
        <v>3.2380289999999999E-3</v>
      </c>
      <c r="P1090">
        <v>0.99262320000000004</v>
      </c>
      <c r="Q1090">
        <v>-0.1074205</v>
      </c>
      <c r="R1090">
        <v>-5.6216780000000001E-2</v>
      </c>
      <c r="S1090">
        <v>2.9975429999999998</v>
      </c>
      <c r="T1090">
        <v>-0.1418729</v>
      </c>
      <c r="U1090">
        <v>-0.16476440000000001</v>
      </c>
      <c r="V1090">
        <v>5.9421469999999997E-2</v>
      </c>
      <c r="W1090">
        <v>-9.3892370000000003E-2</v>
      </c>
      <c r="X1090">
        <v>0.99380749999999995</v>
      </c>
      <c r="Y1090">
        <v>5.8031480000000003E-2</v>
      </c>
      <c r="Z1090">
        <v>-1.8764890000000001E-3</v>
      </c>
      <c r="AA1090">
        <v>0.99831300000000001</v>
      </c>
      <c r="AB1090">
        <v>30</v>
      </c>
      <c r="AC1090">
        <v>23.5242</v>
      </c>
      <c r="AD1090">
        <v>-1.1206134053779999</v>
      </c>
      <c r="AE1090">
        <v>-1.30190000000004</v>
      </c>
      <c r="AF1090">
        <v>1.37496168026169</v>
      </c>
      <c r="AG1090">
        <v>-1.1206134053779999</v>
      </c>
      <c r="AH1090">
        <v>23.466771360121399</v>
      </c>
      <c r="AI1090">
        <v>92.729306118055803</v>
      </c>
      <c r="AJ1090">
        <v>86.646767672208099</v>
      </c>
      <c r="AK1090">
        <v>23.533713096209802</v>
      </c>
      <c r="AL1090">
        <v>95.387572236180105</v>
      </c>
      <c r="AM1090">
        <v>86.578259956208299</v>
      </c>
      <c r="AN1090">
        <v>1.00000001764871</v>
      </c>
    </row>
    <row r="1091" spans="1:40" x14ac:dyDescent="0.25">
      <c r="A1091" t="str">
        <f>"20190303154749362"</f>
        <v>20190303154749362</v>
      </c>
      <c r="B1091" t="str">
        <f>"1551599269351728"</f>
        <v>1551599269351728</v>
      </c>
      <c r="C1091" t="s">
        <v>40</v>
      </c>
      <c r="D1091">
        <v>4.8057809999999996</v>
      </c>
      <c r="E1091">
        <v>0.49913010000000002</v>
      </c>
      <c r="F1091" t="s">
        <v>41</v>
      </c>
      <c r="G1091">
        <v>-231.3108</v>
      </c>
      <c r="H1091" s="1">
        <v>-4.2512369999999996E-6</v>
      </c>
      <c r="I1091">
        <v>366.565</v>
      </c>
      <c r="J1091">
        <v>-254.33519999999999</v>
      </c>
      <c r="K1091">
        <v>1.120606</v>
      </c>
      <c r="L1091">
        <v>367.83069999999998</v>
      </c>
      <c r="M1091">
        <v>0.99990140000000005</v>
      </c>
      <c r="N1091">
        <v>-1.367168E-2</v>
      </c>
      <c r="O1091">
        <v>3.2229400000000001E-3</v>
      </c>
      <c r="P1091">
        <v>0.99256670000000002</v>
      </c>
      <c r="Q1091">
        <v>-0.1080879</v>
      </c>
      <c r="R1091">
        <v>-5.593074E-2</v>
      </c>
      <c r="S1091">
        <v>2.9973139999999998</v>
      </c>
      <c r="T1091">
        <v>-0.144901</v>
      </c>
      <c r="U1091">
        <v>-0.16360469999999999</v>
      </c>
      <c r="V1091">
        <v>5.9120390000000002E-2</v>
      </c>
      <c r="W1091">
        <v>-9.4516230000000007E-2</v>
      </c>
      <c r="X1091">
        <v>0.99376629999999999</v>
      </c>
      <c r="Y1091">
        <v>5.763273E-2</v>
      </c>
      <c r="Z1091">
        <v>-1.897407E-3</v>
      </c>
      <c r="AA1091">
        <v>0.99833609999999995</v>
      </c>
      <c r="AB1091">
        <v>30</v>
      </c>
      <c r="AC1091">
        <v>23.024399999999901</v>
      </c>
      <c r="AD1091">
        <v>-1.120610251237</v>
      </c>
      <c r="AE1091">
        <v>-1.2656999999999801</v>
      </c>
      <c r="AF1091">
        <v>1.33674963424592</v>
      </c>
      <c r="AG1091">
        <v>-1.120610251237</v>
      </c>
      <c r="AH1091">
        <v>22.965962353980402</v>
      </c>
      <c r="AI1091">
        <v>92.788784728368</v>
      </c>
      <c r="AJ1091">
        <v>86.668818260010895</v>
      </c>
      <c r="AK1091">
        <v>23.0321100588782</v>
      </c>
      <c r="AL1091">
        <v>95.423476554719002</v>
      </c>
      <c r="AM1091">
        <v>86.595415725275302</v>
      </c>
      <c r="AN1091">
        <v>0.99999999863142697</v>
      </c>
    </row>
    <row r="1092" spans="1:40" x14ac:dyDescent="0.25">
      <c r="A1092" t="str">
        <f>"20190303154749378"</f>
        <v>20190303154749378</v>
      </c>
      <c r="B1092" t="str">
        <f>"1551599269371247"</f>
        <v>1551599269371247</v>
      </c>
      <c r="C1092" t="s">
        <v>40</v>
      </c>
      <c r="D1092">
        <v>4.7892210000000004</v>
      </c>
      <c r="E1092">
        <v>0.49919209999999897</v>
      </c>
      <c r="F1092" t="s">
        <v>41</v>
      </c>
      <c r="G1092">
        <v>-231.71360000000001</v>
      </c>
      <c r="H1092" s="1">
        <v>-4.072385E-6</v>
      </c>
      <c r="I1092">
        <v>366.59910000000002</v>
      </c>
      <c r="J1092">
        <v>-254.1241</v>
      </c>
      <c r="K1092">
        <v>1.120603</v>
      </c>
      <c r="L1092">
        <v>367.83150000000001</v>
      </c>
      <c r="M1092">
        <v>0.99990080000000003</v>
      </c>
      <c r="N1092">
        <v>-1.3726210000000001E-2</v>
      </c>
      <c r="O1092">
        <v>3.2021789999999999E-3</v>
      </c>
      <c r="P1092">
        <v>0.99252050000000003</v>
      </c>
      <c r="Q1092">
        <v>-0.10886759999999999</v>
      </c>
      <c r="R1092">
        <v>-5.523724E-2</v>
      </c>
      <c r="S1092">
        <v>2.9971009999999998</v>
      </c>
      <c r="T1092">
        <v>-0.148467299999999</v>
      </c>
      <c r="U1092">
        <v>-0.1631775</v>
      </c>
      <c r="V1092">
        <v>5.840596E-2</v>
      </c>
      <c r="W1092">
        <v>-9.5242129999999994E-2</v>
      </c>
      <c r="X1092">
        <v>0.99373920000000004</v>
      </c>
      <c r="Y1092">
        <v>5.7470220000000002E-2</v>
      </c>
      <c r="Z1092">
        <v>-1.931082E-3</v>
      </c>
      <c r="AA1092">
        <v>0.99834540000000005</v>
      </c>
      <c r="AB1092">
        <v>30</v>
      </c>
      <c r="AC1092">
        <v>22.4104999999999</v>
      </c>
      <c r="AD1092">
        <v>-1.1206070723849999</v>
      </c>
      <c r="AE1092">
        <v>-1.23239999999998</v>
      </c>
      <c r="AF1092">
        <v>1.30091989527257</v>
      </c>
      <c r="AG1092">
        <v>-1.1206070723849999</v>
      </c>
      <c r="AH1092">
        <v>22.350721846927499</v>
      </c>
      <c r="AI1092">
        <v>92.865416432001197</v>
      </c>
      <c r="AJ1092">
        <v>86.668867420364293</v>
      </c>
      <c r="AK1092">
        <v>22.416576898878201</v>
      </c>
      <c r="AL1092">
        <v>95.465256257582595</v>
      </c>
      <c r="AM1092">
        <v>86.636371277696497</v>
      </c>
      <c r="AN1092">
        <v>0.99999995855354795</v>
      </c>
    </row>
    <row r="1093" spans="1:40" x14ac:dyDescent="0.25">
      <c r="A1093" t="str">
        <f>"20190303154749390"</f>
        <v>20190303154749390</v>
      </c>
      <c r="B1093" t="str">
        <f>"1551599269381983"</f>
        <v>1551599269381983</v>
      </c>
      <c r="C1093" t="s">
        <v>40</v>
      </c>
      <c r="D1093">
        <v>4.7639259999999997</v>
      </c>
      <c r="E1093">
        <v>0.49921100000000002</v>
      </c>
      <c r="F1093" t="s">
        <v>41</v>
      </c>
      <c r="G1093">
        <v>-232.26920000000001</v>
      </c>
      <c r="H1093" s="1">
        <v>-3.8244210000000001E-6</v>
      </c>
      <c r="I1093">
        <v>366.65320000000003</v>
      </c>
      <c r="J1093">
        <v>-253.9581</v>
      </c>
      <c r="K1093">
        <v>1.1205959999999999</v>
      </c>
      <c r="L1093">
        <v>367.83199999999999</v>
      </c>
      <c r="M1093">
        <v>0.99990029999999996</v>
      </c>
      <c r="N1093">
        <v>-1.376524E-2</v>
      </c>
      <c r="O1093">
        <v>3.1860539999999998E-3</v>
      </c>
      <c r="P1093">
        <v>0.99248230000000004</v>
      </c>
      <c r="Q1093">
        <v>-0.1092482</v>
      </c>
      <c r="R1093">
        <v>-5.517681E-2</v>
      </c>
      <c r="S1093">
        <v>2.99675</v>
      </c>
      <c r="T1093">
        <v>-0.15365780000000001</v>
      </c>
      <c r="U1093">
        <v>-0.16156010000000001</v>
      </c>
      <c r="V1093">
        <v>5.8329209999999999E-2</v>
      </c>
      <c r="W1093">
        <v>-9.558432E-2</v>
      </c>
      <c r="X1093">
        <v>0.99371089999999995</v>
      </c>
      <c r="Y1093">
        <v>5.6918160000000002E-2</v>
      </c>
      <c r="Z1093">
        <v>-1.9689320000000001E-3</v>
      </c>
      <c r="AA1093">
        <v>0.99837690000000001</v>
      </c>
      <c r="AB1093">
        <v>30</v>
      </c>
      <c r="AC1093">
        <v>21.688899999999901</v>
      </c>
      <c r="AD1093">
        <v>-1.120599824421</v>
      </c>
      <c r="AE1093">
        <v>-1.1787999999999601</v>
      </c>
      <c r="AF1093">
        <v>1.2445899439824999</v>
      </c>
      <c r="AG1093">
        <v>-1.120599824421</v>
      </c>
      <c r="AH1093">
        <v>21.6274698483032</v>
      </c>
      <c r="AI1093">
        <v>92.961165164686605</v>
      </c>
      <c r="AJ1093">
        <v>86.7064483037542</v>
      </c>
      <c r="AK1093">
        <v>21.6922151965727</v>
      </c>
      <c r="AL1093">
        <v>95.484951898549895</v>
      </c>
      <c r="AM1093">
        <v>86.640685771742199</v>
      </c>
      <c r="AN1093">
        <v>1.00000000587394</v>
      </c>
    </row>
    <row r="1094" spans="1:40" x14ac:dyDescent="0.25">
      <c r="A1094" t="str">
        <f>"20190303154749405"</f>
        <v>20190303154749405</v>
      </c>
      <c r="B1094" t="str">
        <f>"1551599269401503"</f>
        <v>1551599269401503</v>
      </c>
      <c r="C1094" t="s">
        <v>40</v>
      </c>
      <c r="D1094">
        <v>4.7725330000000001</v>
      </c>
      <c r="E1094">
        <v>0.49930269999999999</v>
      </c>
      <c r="F1094" t="s">
        <v>41</v>
      </c>
      <c r="G1094">
        <v>-232.38829999999999</v>
      </c>
      <c r="H1094" s="1">
        <v>-3.770655E-6</v>
      </c>
      <c r="I1094">
        <v>366.66840000000002</v>
      </c>
      <c r="J1094">
        <v>-253.761</v>
      </c>
      <c r="K1094">
        <v>1.1205969999999901</v>
      </c>
      <c r="L1094">
        <v>367.83260000000001</v>
      </c>
      <c r="M1094">
        <v>0.99989969999999995</v>
      </c>
      <c r="N1094">
        <v>-1.380873E-2</v>
      </c>
      <c r="O1094">
        <v>3.166917E-3</v>
      </c>
      <c r="P1094">
        <v>0.99244449999999995</v>
      </c>
      <c r="Q1094">
        <v>-0.10970100000000001</v>
      </c>
      <c r="R1094">
        <v>-5.4952000000000001E-2</v>
      </c>
      <c r="S1094">
        <v>2.9965670000000002</v>
      </c>
      <c r="T1094">
        <v>-0.1556777</v>
      </c>
      <c r="U1094">
        <v>-0.16165160000000001</v>
      </c>
      <c r="V1094">
        <v>5.8085459999999998E-2</v>
      </c>
      <c r="W1094">
        <v>-9.599444E-2</v>
      </c>
      <c r="X1094">
        <v>0.99368570000000001</v>
      </c>
      <c r="Y1094">
        <v>5.6930359999999999E-2</v>
      </c>
      <c r="Z1094">
        <v>-1.9910840000000002E-3</v>
      </c>
      <c r="AA1094">
        <v>0.99837620000000005</v>
      </c>
      <c r="AB1094">
        <v>30</v>
      </c>
      <c r="AC1094">
        <v>21.372699999999998</v>
      </c>
      <c r="AD1094">
        <v>-1.1206007706550001</v>
      </c>
      <c r="AE1094">
        <v>-1.1641999999999899</v>
      </c>
      <c r="AF1094">
        <v>1.2285189057721699</v>
      </c>
      <c r="AG1094">
        <v>-1.1206007706550001</v>
      </c>
      <c r="AH1094">
        <v>21.3104951642452</v>
      </c>
      <c r="AI1094">
        <v>93.005114723698696</v>
      </c>
      <c r="AJ1094">
        <v>86.700633789626096</v>
      </c>
      <c r="AK1094">
        <v>21.375270967507099</v>
      </c>
      <c r="AL1094">
        <v>95.5085582872169</v>
      </c>
      <c r="AM1094">
        <v>86.654607304835594</v>
      </c>
      <c r="AN1094">
        <v>1.0000000617794</v>
      </c>
    </row>
    <row r="1095" spans="1:40" x14ac:dyDescent="0.25">
      <c r="A1095" t="str">
        <f>"20190303154749419"</f>
        <v>20190303154749419</v>
      </c>
      <c r="B1095" t="str">
        <f>"1551599269411263"</f>
        <v>1551599269411263</v>
      </c>
      <c r="C1095" t="s">
        <v>40</v>
      </c>
      <c r="D1095">
        <v>4.786187</v>
      </c>
      <c r="E1095">
        <v>0.49943660000000001</v>
      </c>
      <c r="F1095" t="s">
        <v>41</v>
      </c>
      <c r="G1095">
        <v>-232.5583</v>
      </c>
      <c r="H1095" s="1">
        <v>-3.6943430000000001E-6</v>
      </c>
      <c r="I1095">
        <v>366.68729999999999</v>
      </c>
      <c r="J1095">
        <v>-253.57300000000001</v>
      </c>
      <c r="K1095">
        <v>1.1205969999999901</v>
      </c>
      <c r="L1095">
        <v>367.8331</v>
      </c>
      <c r="M1095">
        <v>0.99989930000000005</v>
      </c>
      <c r="N1095">
        <v>-1.384671E-2</v>
      </c>
      <c r="O1095">
        <v>3.14883E-3</v>
      </c>
      <c r="P1095">
        <v>0.99241420000000002</v>
      </c>
      <c r="Q1095">
        <v>-0.110047699999999</v>
      </c>
      <c r="R1095">
        <v>-5.4805369999999999E-2</v>
      </c>
      <c r="S1095">
        <v>2.9963679999999999</v>
      </c>
      <c r="T1095">
        <v>-0.15836259999999999</v>
      </c>
      <c r="U1095">
        <v>-0.1618347</v>
      </c>
      <c r="V1095">
        <v>5.7920609999999997E-2</v>
      </c>
      <c r="W1095">
        <v>-9.6303749999999994E-2</v>
      </c>
      <c r="X1095">
        <v>0.99366529999999997</v>
      </c>
      <c r="Y1095">
        <v>5.697344E-2</v>
      </c>
      <c r="Z1095">
        <v>-2.021162E-3</v>
      </c>
      <c r="AA1095">
        <v>0.99837359999999997</v>
      </c>
      <c r="AB1095">
        <v>30</v>
      </c>
      <c r="AC1095">
        <v>21.014699999999898</v>
      </c>
      <c r="AD1095">
        <v>-1.12060069434299</v>
      </c>
      <c r="AE1095">
        <v>-1.1457999999999999</v>
      </c>
      <c r="AF1095">
        <v>1.20854604056464</v>
      </c>
      <c r="AG1095">
        <v>-1.12060069434299</v>
      </c>
      <c r="AH1095">
        <v>20.951587972686401</v>
      </c>
      <c r="AI1095">
        <v>93.056490266910501</v>
      </c>
      <c r="AJ1095">
        <v>86.698677863950095</v>
      </c>
      <c r="AK1095">
        <v>21.016311951090401</v>
      </c>
      <c r="AL1095">
        <v>95.526363448704501</v>
      </c>
      <c r="AM1095">
        <v>86.664011924332698</v>
      </c>
      <c r="AN1095">
        <v>0.99999996887546105</v>
      </c>
    </row>
    <row r="1096" spans="1:40" x14ac:dyDescent="0.25">
      <c r="A1096" t="str">
        <f>"20190303154749434"</f>
        <v>20190303154749434</v>
      </c>
      <c r="B1096" t="str">
        <f>"1551599269421999"</f>
        <v>1551599269421999</v>
      </c>
      <c r="C1096" t="s">
        <v>40</v>
      </c>
      <c r="D1096">
        <v>4.7455629999999998</v>
      </c>
      <c r="E1096">
        <v>0.49949929999999898</v>
      </c>
      <c r="F1096" t="s">
        <v>41</v>
      </c>
      <c r="G1096">
        <v>-232.47559999999999</v>
      </c>
      <c r="H1096" s="1">
        <v>-3.7297219999999998E-6</v>
      </c>
      <c r="I1096">
        <v>366.68799999999999</v>
      </c>
      <c r="J1096">
        <v>-253.37299999999999</v>
      </c>
      <c r="K1096">
        <v>1.120598</v>
      </c>
      <c r="L1096">
        <v>367.83370000000002</v>
      </c>
      <c r="M1096">
        <v>0.99989899999999998</v>
      </c>
      <c r="N1096">
        <v>-1.3882719999999999E-2</v>
      </c>
      <c r="O1096">
        <v>3.1297400000000002E-3</v>
      </c>
      <c r="P1096">
        <v>0.99236919999999995</v>
      </c>
      <c r="Q1096">
        <v>-0.11060440000000001</v>
      </c>
      <c r="R1096">
        <v>-5.4504259999999999E-2</v>
      </c>
      <c r="S1096">
        <v>2.9963069999999998</v>
      </c>
      <c r="T1096">
        <v>-0.15914990000000001</v>
      </c>
      <c r="U1096">
        <v>-0.1626282</v>
      </c>
      <c r="V1096">
        <v>5.7600350000000002E-2</v>
      </c>
      <c r="W1096">
        <v>-9.6825120000000001E-2</v>
      </c>
      <c r="X1096">
        <v>0.99363330000000005</v>
      </c>
      <c r="Y1096">
        <v>5.7217690000000002E-2</v>
      </c>
      <c r="Z1096">
        <v>-2.037821E-3</v>
      </c>
      <c r="AA1096">
        <v>0.99835960000000001</v>
      </c>
      <c r="AB1096">
        <v>30</v>
      </c>
      <c r="AC1096">
        <v>20.897400000000001</v>
      </c>
      <c r="AD1096">
        <v>-1.1206017297219999</v>
      </c>
      <c r="AE1096">
        <v>-1.14569999999997</v>
      </c>
      <c r="AF1096">
        <v>1.2076418971826499</v>
      </c>
      <c r="AG1096">
        <v>-1.1206017297219999</v>
      </c>
      <c r="AH1096">
        <v>20.833982313831601</v>
      </c>
      <c r="AI1096">
        <v>93.073663783013401</v>
      </c>
      <c r="AJ1096">
        <v>86.682561974649403</v>
      </c>
      <c r="AK1096">
        <v>20.8990183080818</v>
      </c>
      <c r="AL1096">
        <v>95.5563757248716</v>
      </c>
      <c r="AM1096">
        <v>86.682309658891896</v>
      </c>
      <c r="AN1096">
        <v>1.0000000195260099</v>
      </c>
    </row>
    <row r="1097" spans="1:40" x14ac:dyDescent="0.25">
      <c r="A1097" t="str">
        <f>"20190303154749446"</f>
        <v>20190303154749446</v>
      </c>
      <c r="B1097" t="str">
        <f>"1551599269441424"</f>
        <v>1551599269441424</v>
      </c>
      <c r="C1097" t="s">
        <v>40</v>
      </c>
      <c r="D1097">
        <v>4.7479440000000004</v>
      </c>
      <c r="E1097">
        <v>0.49949939999999998</v>
      </c>
      <c r="F1097" t="s">
        <v>41</v>
      </c>
      <c r="G1097">
        <v>-232.53630000000001</v>
      </c>
      <c r="H1097" s="1">
        <v>-3.70021E-6</v>
      </c>
      <c r="I1097">
        <v>366.70760000000001</v>
      </c>
      <c r="J1097">
        <v>-253.21029999999999</v>
      </c>
      <c r="K1097">
        <v>1.120598</v>
      </c>
      <c r="L1097">
        <v>367.83429999999998</v>
      </c>
      <c r="M1097">
        <v>0.99989839999999997</v>
      </c>
      <c r="N1097">
        <v>-1.3909980000000001E-2</v>
      </c>
      <c r="O1097">
        <v>3.1142309999999999E-3</v>
      </c>
      <c r="P1097">
        <v>0.99234440000000002</v>
      </c>
      <c r="Q1097">
        <v>-0.11091230000000001</v>
      </c>
      <c r="R1097">
        <v>-5.4324770000000001E-2</v>
      </c>
      <c r="S1097">
        <v>2.996216</v>
      </c>
      <c r="T1097">
        <v>-0.161136</v>
      </c>
      <c r="U1097">
        <v>-0.1619263</v>
      </c>
      <c r="V1097">
        <v>5.7405390000000001E-2</v>
      </c>
      <c r="W1097">
        <v>-9.7106280000000003E-2</v>
      </c>
      <c r="X1097">
        <v>0.99361710000000003</v>
      </c>
      <c r="Y1097">
        <v>5.6968709999999999E-2</v>
      </c>
      <c r="Z1097">
        <v>-2.0505269999999999E-3</v>
      </c>
      <c r="AA1097">
        <v>0.99837390000000004</v>
      </c>
      <c r="AB1097">
        <v>30</v>
      </c>
      <c r="AC1097">
        <v>20.6739999999999</v>
      </c>
      <c r="AD1097">
        <v>-1.1206017002099999</v>
      </c>
      <c r="AE1097">
        <v>-1.1266999999999701</v>
      </c>
      <c r="AF1097">
        <v>1.18760551028568</v>
      </c>
      <c r="AG1097">
        <v>-1.1206017002099999</v>
      </c>
      <c r="AH1097">
        <v>20.610017423310602</v>
      </c>
      <c r="AI1097">
        <v>93.107060630330096</v>
      </c>
      <c r="AJ1097">
        <v>86.702107511264501</v>
      </c>
      <c r="AK1097">
        <v>20.6745972925168</v>
      </c>
      <c r="AL1097">
        <v>95.572561526156605</v>
      </c>
      <c r="AM1097">
        <v>86.6934603040024</v>
      </c>
      <c r="AN1097">
        <v>0.99999997491444903</v>
      </c>
    </row>
    <row r="1098" spans="1:40" x14ac:dyDescent="0.25">
      <c r="A1098" t="str">
        <f>"20190303154749458"</f>
        <v>20190303154749458</v>
      </c>
      <c r="B1098" t="str">
        <f>"1551599269451184"</f>
        <v>1551599269451184</v>
      </c>
      <c r="C1098" t="s">
        <v>40</v>
      </c>
      <c r="D1098">
        <v>4.7185280000000001</v>
      </c>
      <c r="E1098">
        <v>0.49313240000000003</v>
      </c>
      <c r="F1098" t="s">
        <v>41</v>
      </c>
      <c r="G1098">
        <v>-232.5282</v>
      </c>
      <c r="H1098" s="1">
        <v>-3.7013390000000001E-6</v>
      </c>
      <c r="I1098">
        <v>366.72070000000002</v>
      </c>
      <c r="J1098">
        <v>-253.05279999999999</v>
      </c>
      <c r="K1098">
        <v>1.1206020000000001</v>
      </c>
      <c r="L1098">
        <v>367.8347</v>
      </c>
      <c r="M1098">
        <v>0.99989819999999996</v>
      </c>
      <c r="N1098">
        <v>-1.3934449999999999E-2</v>
      </c>
      <c r="O1098">
        <v>3.098745E-3</v>
      </c>
      <c r="P1098">
        <v>0.99234160000000005</v>
      </c>
      <c r="Q1098">
        <v>-0.1110767</v>
      </c>
      <c r="R1098">
        <v>-5.4037540000000002E-2</v>
      </c>
      <c r="S1098">
        <v>2.9961700000000002</v>
      </c>
      <c r="T1098">
        <v>-0.16233839999999999</v>
      </c>
      <c r="U1098">
        <v>-0.16131589999999901</v>
      </c>
      <c r="V1098">
        <v>5.7102970000000003E-2</v>
      </c>
      <c r="W1098">
        <v>-9.7246299999999994E-2</v>
      </c>
      <c r="X1098">
        <v>0.99362090000000003</v>
      </c>
      <c r="Y1098">
        <v>5.6750210000000002E-2</v>
      </c>
      <c r="Z1098">
        <v>-2.0557729999999999E-3</v>
      </c>
      <c r="AA1098">
        <v>0.99838629999999995</v>
      </c>
      <c r="AB1098">
        <v>30</v>
      </c>
      <c r="AC1098">
        <v>20.5245999999999</v>
      </c>
      <c r="AD1098">
        <v>-1.1206057013390001</v>
      </c>
      <c r="AE1098">
        <v>-1.1139999999999699</v>
      </c>
      <c r="AF1098">
        <v>1.17411162165476</v>
      </c>
      <c r="AG1098">
        <v>-1.1206057013390001</v>
      </c>
      <c r="AH1098">
        <v>20.460237087513502</v>
      </c>
      <c r="AI1098">
        <v>93.129814694940293</v>
      </c>
      <c r="AJ1098">
        <v>86.715681100909094</v>
      </c>
      <c r="AK1098">
        <v>20.5245120993226</v>
      </c>
      <c r="AL1098">
        <v>95.580621852979505</v>
      </c>
      <c r="AM1098">
        <v>86.710853844451606</v>
      </c>
      <c r="AN1098">
        <v>1.00000004248165</v>
      </c>
    </row>
    <row r="1099" spans="1:40" x14ac:dyDescent="0.25">
      <c r="A1099" t="str">
        <f>"20190303154749469"</f>
        <v>20190303154749469</v>
      </c>
      <c r="B1099" t="str">
        <f>"1551599269461920"</f>
        <v>1551599269461920</v>
      </c>
      <c r="C1099" t="s">
        <v>40</v>
      </c>
      <c r="D1099">
        <v>4.7174690000000004</v>
      </c>
      <c r="E1099">
        <v>0.49124040000000002</v>
      </c>
      <c r="F1099" t="s">
        <v>41</v>
      </c>
      <c r="G1099">
        <v>-218.09790000000001</v>
      </c>
      <c r="H1099" s="1">
        <v>-1.451115E-6</v>
      </c>
      <c r="I1099">
        <v>366.54309999999998</v>
      </c>
      <c r="J1099">
        <v>-252.8955</v>
      </c>
      <c r="K1099">
        <v>1.120601</v>
      </c>
      <c r="L1099">
        <v>367.83519999999999</v>
      </c>
      <c r="M1099">
        <v>0.99989799999999995</v>
      </c>
      <c r="N1099">
        <v>-1.395653E-2</v>
      </c>
      <c r="O1099">
        <v>3.083274E-3</v>
      </c>
      <c r="P1099">
        <v>0.99233629999999995</v>
      </c>
      <c r="Q1099">
        <v>-0.1112358</v>
      </c>
      <c r="R1099">
        <v>-5.3809740000000002E-2</v>
      </c>
      <c r="S1099">
        <v>3.0063170000000001</v>
      </c>
      <c r="T1099">
        <v>-9.6377729999999995E-2</v>
      </c>
      <c r="U1099">
        <v>-0.111084</v>
      </c>
      <c r="V1099">
        <v>5.6859609999999998E-2</v>
      </c>
      <c r="W1099">
        <v>-9.7383479999999994E-2</v>
      </c>
      <c r="X1099">
        <v>0.99362130000000004</v>
      </c>
      <c r="Y1099">
        <v>3.9976320000000003E-2</v>
      </c>
      <c r="Z1099">
        <v>-9.7535709999999997E-4</v>
      </c>
      <c r="AA1099">
        <v>0.99920019999999998</v>
      </c>
      <c r="AB1099">
        <v>30</v>
      </c>
      <c r="AC1099">
        <v>34.797599999999903</v>
      </c>
      <c r="AD1099">
        <v>-1.1206024511149999</v>
      </c>
      <c r="AE1099">
        <v>-1.2921</v>
      </c>
      <c r="AF1099">
        <v>1.3979470659427999</v>
      </c>
      <c r="AG1099">
        <v>-1.1206024511149999</v>
      </c>
      <c r="AH1099">
        <v>34.757454287880599</v>
      </c>
      <c r="AI1099">
        <v>91.845122005873705</v>
      </c>
      <c r="AJ1099">
        <v>87.696801422144503</v>
      </c>
      <c r="AK1099">
        <v>34.803600883051402</v>
      </c>
      <c r="AL1099">
        <v>95.588519843162501</v>
      </c>
      <c r="AM1099">
        <v>86.724842179928004</v>
      </c>
      <c r="AN1099">
        <v>0.99999992261997295</v>
      </c>
    </row>
    <row r="1100" spans="1:40" x14ac:dyDescent="0.25">
      <c r="A1100" t="str">
        <f>"20190303154749483"</f>
        <v>20190303154749483</v>
      </c>
      <c r="B1100" t="str">
        <f>"1551599269471680"</f>
        <v>1551599269471680</v>
      </c>
      <c r="C1100" t="s">
        <v>40</v>
      </c>
      <c r="D1100">
        <v>4.7049370000000001</v>
      </c>
      <c r="E1100">
        <v>0.49034680000000003</v>
      </c>
      <c r="F1100" t="s">
        <v>41</v>
      </c>
      <c r="G1100">
        <v>-221.30850000000001</v>
      </c>
      <c r="H1100" s="1">
        <v>-4.2041010000000004E-6</v>
      </c>
      <c r="I1100">
        <v>366.83620000000002</v>
      </c>
      <c r="J1100">
        <v>-252.71539999999999</v>
      </c>
      <c r="K1100">
        <v>1.120601</v>
      </c>
      <c r="L1100">
        <v>367.83569999999997</v>
      </c>
      <c r="M1100">
        <v>0.9998977</v>
      </c>
      <c r="N1100">
        <v>-1.3980390000000001E-2</v>
      </c>
      <c r="O1100">
        <v>3.065763E-3</v>
      </c>
      <c r="P1100">
        <v>0.99233190000000004</v>
      </c>
      <c r="Q1100">
        <v>-0.1112981</v>
      </c>
      <c r="R1100">
        <v>-5.376156E-2</v>
      </c>
      <c r="S1100">
        <v>3.0060419999999999</v>
      </c>
      <c r="T1100">
        <v>-0.1066443</v>
      </c>
      <c r="U1100">
        <v>-9.5062259999999996E-2</v>
      </c>
      <c r="V1100">
        <v>5.6794129999999998E-2</v>
      </c>
      <c r="W1100">
        <v>-9.7422030000000007E-2</v>
      </c>
      <c r="X1100">
        <v>0.99362130000000004</v>
      </c>
      <c r="Y1100">
        <v>3.4641239999999997E-2</v>
      </c>
      <c r="Z1100">
        <v>-9.2231759999999996E-4</v>
      </c>
      <c r="AA1100">
        <v>0.99939940000000005</v>
      </c>
      <c r="AB1100">
        <v>30</v>
      </c>
      <c r="AC1100">
        <v>31.406899999999901</v>
      </c>
      <c r="AD1100">
        <v>-1.120605204101</v>
      </c>
      <c r="AE1100">
        <v>-0.99949999999995498</v>
      </c>
      <c r="AF1100">
        <v>1.0943989664081499</v>
      </c>
      <c r="AG1100">
        <v>-1.120605204101</v>
      </c>
      <c r="AH1100">
        <v>31.3637996706195</v>
      </c>
      <c r="AI1100">
        <v>92.045021544982703</v>
      </c>
      <c r="AJ1100">
        <v>88.001549171572094</v>
      </c>
      <c r="AK1100">
        <v>31.402888320979098</v>
      </c>
      <c r="AL1100">
        <v>95.590738958462495</v>
      </c>
      <c r="AM1100">
        <v>86.728605682348601</v>
      </c>
      <c r="AN1100">
        <v>0.99999995647273199</v>
      </c>
    </row>
    <row r="1101" spans="1:40" x14ac:dyDescent="0.25">
      <c r="A1101" t="str">
        <f>"20190303154749495"</f>
        <v>20190303154749495</v>
      </c>
      <c r="B1101" t="str">
        <f>"1551599269492176"</f>
        <v>1551599269492176</v>
      </c>
      <c r="C1101" t="s">
        <v>40</v>
      </c>
      <c r="D1101">
        <v>4.7024780000000002</v>
      </c>
      <c r="E1101">
        <v>0.4898246</v>
      </c>
      <c r="F1101" t="s">
        <v>41</v>
      </c>
      <c r="G1101">
        <v>-221.8117</v>
      </c>
      <c r="H1101" s="1">
        <v>-3.9715409999999997E-6</v>
      </c>
      <c r="I1101">
        <v>366.93029999999999</v>
      </c>
      <c r="J1101">
        <v>-252.547</v>
      </c>
      <c r="K1101">
        <v>1.1206050000000001</v>
      </c>
      <c r="L1101">
        <v>367.83620000000002</v>
      </c>
      <c r="M1101">
        <v>0.99989749999999999</v>
      </c>
      <c r="N1101">
        <v>-1.40003E-2</v>
      </c>
      <c r="O1101">
        <v>3.0494710000000002E-3</v>
      </c>
      <c r="P1101">
        <v>0.99235119999999999</v>
      </c>
      <c r="Q1101">
        <v>-0.1112191</v>
      </c>
      <c r="R1101">
        <v>-5.3570529999999998E-2</v>
      </c>
      <c r="S1101">
        <v>3.0061800000000001</v>
      </c>
      <c r="T1101">
        <v>-0.1090074</v>
      </c>
      <c r="U1101">
        <v>-8.8073730000000003E-2</v>
      </c>
      <c r="V1101">
        <v>5.6586860000000003E-2</v>
      </c>
      <c r="W1101">
        <v>-9.7322989999999998E-2</v>
      </c>
      <c r="X1101">
        <v>0.9936429</v>
      </c>
      <c r="Y1101">
        <v>3.2303150000000003E-2</v>
      </c>
      <c r="Z1101">
        <v>-8.7948589999999895E-4</v>
      </c>
      <c r="AA1101">
        <v>0.99947770000000002</v>
      </c>
      <c r="AB1101">
        <v>30</v>
      </c>
      <c r="AC1101">
        <v>30.735299999999899</v>
      </c>
      <c r="AD1101">
        <v>-1.1206089715409999</v>
      </c>
      <c r="AE1101">
        <v>-0.90590000000003001</v>
      </c>
      <c r="AF1101">
        <v>0.998305438169519</v>
      </c>
      <c r="AG1101">
        <v>-1.1206089715409999</v>
      </c>
      <c r="AH1101">
        <v>30.691630341290299</v>
      </c>
      <c r="AI1101">
        <v>92.089943157862294</v>
      </c>
      <c r="AJ1101">
        <v>88.136999295856597</v>
      </c>
      <c r="AK1101">
        <v>30.728302120706001</v>
      </c>
      <c r="AL1101">
        <v>95.585036906454206</v>
      </c>
      <c r="AM1101">
        <v>86.740589538992396</v>
      </c>
      <c r="AN1101">
        <v>1.0000000249137999</v>
      </c>
    </row>
    <row r="1102" spans="1:40" x14ac:dyDescent="0.25">
      <c r="A1102" t="str">
        <f>"20190303154749506"</f>
        <v>20190303154749506</v>
      </c>
      <c r="B1102" t="str">
        <f>"1551599269501936"</f>
        <v>1551599269501936</v>
      </c>
      <c r="C1102" t="s">
        <v>40</v>
      </c>
      <c r="D1102">
        <v>4.706753</v>
      </c>
      <c r="E1102">
        <v>0.48961290000000002</v>
      </c>
      <c r="F1102" t="s">
        <v>41</v>
      </c>
      <c r="G1102">
        <v>-221.4562</v>
      </c>
      <c r="H1102" s="1">
        <v>-4.1157469999999996E-6</v>
      </c>
      <c r="I1102">
        <v>366.97719999999998</v>
      </c>
      <c r="J1102">
        <v>-252.39670000000001</v>
      </c>
      <c r="K1102">
        <v>1.1206069999999999</v>
      </c>
      <c r="L1102">
        <v>367.83670000000001</v>
      </c>
      <c r="M1102">
        <v>0.99989729999999999</v>
      </c>
      <c r="N1102">
        <v>-1.4016799999999999E-2</v>
      </c>
      <c r="O1102">
        <v>3.0346940000000001E-3</v>
      </c>
      <c r="P1102">
        <v>0.99235019999999996</v>
      </c>
      <c r="Q1102">
        <v>-0.1112191</v>
      </c>
      <c r="R1102">
        <v>-5.358856E-2</v>
      </c>
      <c r="S1102">
        <v>3.0065</v>
      </c>
      <c r="T1102">
        <v>-0.10836320000000001</v>
      </c>
      <c r="U1102">
        <v>-8.306885E-2</v>
      </c>
      <c r="V1102">
        <v>5.6590500000000002E-2</v>
      </c>
      <c r="W1102">
        <v>-9.7306550000000006E-2</v>
      </c>
      <c r="X1102">
        <v>0.99364430000000004</v>
      </c>
      <c r="Y1102">
        <v>3.062457E-2</v>
      </c>
      <c r="Z1102">
        <v>-8.331953E-4</v>
      </c>
      <c r="AA1102">
        <v>0.99953060000000005</v>
      </c>
      <c r="AB1102">
        <v>30</v>
      </c>
      <c r="AC1102">
        <v>30.9405</v>
      </c>
      <c r="AD1102">
        <v>-1.120611115747</v>
      </c>
      <c r="AE1102">
        <v>-0.85950000000002502</v>
      </c>
      <c r="AF1102">
        <v>0.95215216832634697</v>
      </c>
      <c r="AG1102">
        <v>-1.120611115747</v>
      </c>
      <c r="AH1102">
        <v>30.897250324088802</v>
      </c>
      <c r="AI1102">
        <v>92.076163092252898</v>
      </c>
      <c r="AJ1102">
        <v>88.234890146542298</v>
      </c>
      <c r="AK1102">
        <v>30.9322233377071</v>
      </c>
      <c r="AL1102">
        <v>95.584090487278701</v>
      </c>
      <c r="AM1102">
        <v>86.740384909367407</v>
      </c>
      <c r="AN1102">
        <v>1.00000002214282</v>
      </c>
    </row>
    <row r="1103" spans="1:40" x14ac:dyDescent="0.25">
      <c r="A1103" t="str">
        <f>"20190303154749517"</f>
        <v>20190303154749517</v>
      </c>
      <c r="B1103" t="str">
        <f>"1551599269511696"</f>
        <v>1551599269511696</v>
      </c>
      <c r="C1103" t="s">
        <v>40</v>
      </c>
      <c r="D1103">
        <v>4.7096210000000003</v>
      </c>
      <c r="E1103">
        <v>0.48965180000000003</v>
      </c>
      <c r="F1103" t="s">
        <v>41</v>
      </c>
      <c r="G1103">
        <v>-221.8185</v>
      </c>
      <c r="H1103" s="1">
        <v>-3.9546829999999998E-6</v>
      </c>
      <c r="I1103">
        <v>367.00889999999998</v>
      </c>
      <c r="J1103">
        <v>-252.24590000000001</v>
      </c>
      <c r="K1103">
        <v>1.120609</v>
      </c>
      <c r="L1103">
        <v>367.83710000000002</v>
      </c>
      <c r="M1103">
        <v>0.99989700000000004</v>
      </c>
      <c r="N1103">
        <v>-1.4032330000000001E-2</v>
      </c>
      <c r="O1103">
        <v>3.0201009999999999E-3</v>
      </c>
      <c r="P1103">
        <v>0.99235119999999999</v>
      </c>
      <c r="Q1103">
        <v>-0.1112398</v>
      </c>
      <c r="R1103">
        <v>-5.3526490000000003E-2</v>
      </c>
      <c r="S1103">
        <v>3.0063780000000002</v>
      </c>
      <c r="T1103">
        <v>-0.1101758</v>
      </c>
      <c r="U1103">
        <v>-8.1390379999999998E-2</v>
      </c>
      <c r="V1103">
        <v>5.6513710000000002E-2</v>
      </c>
      <c r="W1103">
        <v>-9.7311739999999994E-2</v>
      </c>
      <c r="X1103">
        <v>0.99364810000000003</v>
      </c>
      <c r="Y1103">
        <v>3.0053159999999999E-2</v>
      </c>
      <c r="Z1103">
        <v>-8.29662E-4</v>
      </c>
      <c r="AA1103">
        <v>0.99954799999999999</v>
      </c>
      <c r="AB1103">
        <v>30</v>
      </c>
      <c r="AC1103">
        <v>30.427399999999999</v>
      </c>
      <c r="AD1103">
        <v>-1.1206129546829999</v>
      </c>
      <c r="AE1103">
        <v>-0.82820000000003802</v>
      </c>
      <c r="AF1103">
        <v>0.91885369751786306</v>
      </c>
      <c r="AG1103">
        <v>-1.1206129546829999</v>
      </c>
      <c r="AH1103">
        <v>30.383578525568399</v>
      </c>
      <c r="AI1103">
        <v>92.111272136815202</v>
      </c>
      <c r="AJ1103">
        <v>88.267801204749006</v>
      </c>
      <c r="AK1103">
        <v>30.418118112911401</v>
      </c>
      <c r="AL1103">
        <v>95.584389616241594</v>
      </c>
      <c r="AM1103">
        <v>86.744810920225007</v>
      </c>
      <c r="AN1103">
        <v>0.99999996039670003</v>
      </c>
    </row>
    <row r="1104" spans="1:40" x14ac:dyDescent="0.25">
      <c r="A1104" t="str">
        <f>"20190303154749531"</f>
        <v>20190303154749531</v>
      </c>
      <c r="B1104" t="str">
        <f>"1551599269521456"</f>
        <v>1551599269521456</v>
      </c>
      <c r="C1104" t="s">
        <v>40</v>
      </c>
      <c r="D1104">
        <v>4.7041300000000001</v>
      </c>
      <c r="E1104">
        <v>0.48961650000000001</v>
      </c>
      <c r="F1104" t="s">
        <v>41</v>
      </c>
      <c r="G1104">
        <v>-221.77080000000001</v>
      </c>
      <c r="H1104" s="1">
        <v>-3.9746570000000001E-6</v>
      </c>
      <c r="I1104">
        <v>367.01170000000002</v>
      </c>
      <c r="J1104">
        <v>-252.08269999999999</v>
      </c>
      <c r="K1104">
        <v>1.120606</v>
      </c>
      <c r="L1104">
        <v>367.83760000000001</v>
      </c>
      <c r="M1104">
        <v>0.99989680000000003</v>
      </c>
      <c r="N1104">
        <v>-1.4047270000000001E-2</v>
      </c>
      <c r="O1104">
        <v>3.00432E-3</v>
      </c>
      <c r="P1104">
        <v>0.99231329999999995</v>
      </c>
      <c r="Q1104">
        <v>-0.11151949999999999</v>
      </c>
      <c r="R1104">
        <v>-5.3645209999999999E-2</v>
      </c>
      <c r="S1104">
        <v>3.0063170000000001</v>
      </c>
      <c r="T1104">
        <v>-0.1105462</v>
      </c>
      <c r="U1104">
        <v>-8.1420899999999893E-2</v>
      </c>
      <c r="V1104">
        <v>5.661683E-2</v>
      </c>
      <c r="W1104">
        <v>-9.7577140000000007E-2</v>
      </c>
      <c r="X1104">
        <v>0.99361619999999995</v>
      </c>
      <c r="Y1104">
        <v>3.0047899999999999E-2</v>
      </c>
      <c r="Z1104">
        <v>-8.3158429999999903E-4</v>
      </c>
      <c r="AA1104">
        <v>0.99954810000000005</v>
      </c>
      <c r="AB1104">
        <v>30</v>
      </c>
      <c r="AC1104">
        <v>30.311899999999898</v>
      </c>
      <c r="AD1104">
        <v>-1.120609974657</v>
      </c>
      <c r="AE1104">
        <v>-0.82589999999998998</v>
      </c>
      <c r="AF1104">
        <v>0.91572129224671595</v>
      </c>
      <c r="AG1104">
        <v>-1.120609974657</v>
      </c>
      <c r="AH1104">
        <v>30.2679442515171</v>
      </c>
      <c r="AI1104">
        <v>92.119324201966805</v>
      </c>
      <c r="AJ1104">
        <v>88.267111699645696</v>
      </c>
      <c r="AK1104">
        <v>30.302520710550201</v>
      </c>
      <c r="AL1104">
        <v>95.599668641919806</v>
      </c>
      <c r="AM1104">
        <v>86.738779545485698</v>
      </c>
      <c r="AN1104">
        <v>0.99999995829613297</v>
      </c>
    </row>
    <row r="1105" spans="1:40" x14ac:dyDescent="0.25">
      <c r="A1105" t="str">
        <f>"20190303154749545"</f>
        <v>20190303154749545</v>
      </c>
      <c r="B1105" t="str">
        <f>"1551599269541483"</f>
        <v>1551599269541483</v>
      </c>
      <c r="C1105" t="s">
        <v>40</v>
      </c>
      <c r="D1105">
        <v>4.715846</v>
      </c>
      <c r="E1105">
        <v>0.48963329999999999</v>
      </c>
      <c r="F1105" t="s">
        <v>41</v>
      </c>
      <c r="G1105">
        <v>-221.8999</v>
      </c>
      <c r="H1105" s="1">
        <v>-3.9181340000000003E-6</v>
      </c>
      <c r="I1105">
        <v>367.01799999999997</v>
      </c>
      <c r="J1105">
        <v>-251.8905</v>
      </c>
      <c r="K1105">
        <v>1.1206050000000001</v>
      </c>
      <c r="L1105">
        <v>367.8381</v>
      </c>
      <c r="M1105">
        <v>0.99989660000000002</v>
      </c>
      <c r="N1105">
        <v>-1.406366E-2</v>
      </c>
      <c r="O1105">
        <v>2.9857289999999999E-3</v>
      </c>
      <c r="P1105">
        <v>0.992313</v>
      </c>
      <c r="Q1105">
        <v>-0.11149149999999999</v>
      </c>
      <c r="R1105">
        <v>-5.370842E-2</v>
      </c>
      <c r="S1105">
        <v>3.0063019999999998</v>
      </c>
      <c r="T1105">
        <v>-0.1116161</v>
      </c>
      <c r="U1105">
        <v>-8.1634520000000002E-2</v>
      </c>
      <c r="V1105">
        <v>5.6661700000000002E-2</v>
      </c>
      <c r="W1105">
        <v>-9.7532830000000001E-2</v>
      </c>
      <c r="X1105">
        <v>0.993618</v>
      </c>
      <c r="Y1105">
        <v>3.0099890000000001E-2</v>
      </c>
      <c r="Z1105">
        <v>-8.3909640000000003E-4</v>
      </c>
      <c r="AA1105">
        <v>0.9995465</v>
      </c>
      <c r="AB1105">
        <v>30</v>
      </c>
      <c r="AC1105">
        <v>29.990600000000001</v>
      </c>
      <c r="AD1105">
        <v>-1.12060891813399</v>
      </c>
      <c r="AE1105">
        <v>-0.82009999999996797</v>
      </c>
      <c r="AF1105">
        <v>0.90838170224770198</v>
      </c>
      <c r="AG1105">
        <v>-1.12060891813399</v>
      </c>
      <c r="AH1105">
        <v>29.946238702786999</v>
      </c>
      <c r="AI1105">
        <v>92.142063323323995</v>
      </c>
      <c r="AJ1105">
        <v>88.262536949092294</v>
      </c>
      <c r="AK1105">
        <v>29.980962861600599</v>
      </c>
      <c r="AL1105">
        <v>95.597117657442695</v>
      </c>
      <c r="AM1105">
        <v>86.736206446437507</v>
      </c>
      <c r="AN1105">
        <v>0.999999965549348</v>
      </c>
    </row>
    <row r="1106" spans="1:40" x14ac:dyDescent="0.25">
      <c r="A1106" t="str">
        <f>"20190303154749556"</f>
        <v>20190303154749556</v>
      </c>
      <c r="B1106" t="str">
        <f>"1551599269551243"</f>
        <v>1551599269551243</v>
      </c>
      <c r="C1106" t="s">
        <v>40</v>
      </c>
      <c r="D1106">
        <v>4.7055369999999996</v>
      </c>
      <c r="E1106">
        <v>0.48974259999999997</v>
      </c>
      <c r="F1106" t="s">
        <v>41</v>
      </c>
      <c r="G1106">
        <v>-221.8048</v>
      </c>
      <c r="H1106" s="1">
        <v>-3.9582810000000004E-6</v>
      </c>
      <c r="I1106">
        <v>367.02170000000001</v>
      </c>
      <c r="J1106">
        <v>-251.732</v>
      </c>
      <c r="K1106">
        <v>1.1206039999999999</v>
      </c>
      <c r="L1106">
        <v>367.83859999999999</v>
      </c>
      <c r="M1106">
        <v>0.99989660000000002</v>
      </c>
      <c r="N1106">
        <v>-1.4075839999999999E-2</v>
      </c>
      <c r="O1106">
        <v>2.9699700000000002E-3</v>
      </c>
      <c r="P1106">
        <v>0.99225870000000005</v>
      </c>
      <c r="Q1106">
        <v>-0.11201750000000001</v>
      </c>
      <c r="R1106">
        <v>-5.3618359999999997E-2</v>
      </c>
      <c r="S1106">
        <v>3.006256</v>
      </c>
      <c r="T1106">
        <v>-0.1119742</v>
      </c>
      <c r="U1106">
        <v>-8.1573489999999999E-2</v>
      </c>
      <c r="V1106">
        <v>5.6555849999999998E-2</v>
      </c>
      <c r="W1106">
        <v>-9.8047380000000003E-2</v>
      </c>
      <c r="X1106">
        <v>0.99357340000000005</v>
      </c>
      <c r="Y1106">
        <v>3.006414E-2</v>
      </c>
      <c r="Z1106">
        <v>-8.4011839999999997E-4</v>
      </c>
      <c r="AA1106">
        <v>0.99954759999999998</v>
      </c>
      <c r="AB1106">
        <v>30</v>
      </c>
      <c r="AC1106">
        <v>29.927199999999999</v>
      </c>
      <c r="AD1106">
        <v>-1.120607958281</v>
      </c>
      <c r="AE1106">
        <v>-0.81689999999997498</v>
      </c>
      <c r="AF1106">
        <v>0.90452080852504402</v>
      </c>
      <c r="AG1106">
        <v>-1.120607958281</v>
      </c>
      <c r="AH1106">
        <v>29.8827744939484</v>
      </c>
      <c r="AI1106">
        <v>92.146610695555793</v>
      </c>
      <c r="AJ1106">
        <v>88.266245126939396</v>
      </c>
      <c r="AK1106">
        <v>29.9174552986278</v>
      </c>
      <c r="AL1106">
        <v>95.626741121034797</v>
      </c>
      <c r="AM1106">
        <v>86.742144492288304</v>
      </c>
      <c r="AN1106">
        <v>0.999999977040823</v>
      </c>
    </row>
    <row r="1107" spans="1:40" x14ac:dyDescent="0.25">
      <c r="A1107" t="str">
        <f>"20190303154749569"</f>
        <v>20190303154749569</v>
      </c>
      <c r="B1107" t="str">
        <f>"1551599269561979"</f>
        <v>1551599269561979</v>
      </c>
      <c r="C1107" t="s">
        <v>40</v>
      </c>
      <c r="D1107">
        <v>4.7204160000000002</v>
      </c>
      <c r="E1107">
        <v>0.48969570000000001</v>
      </c>
      <c r="F1107" t="s">
        <v>41</v>
      </c>
      <c r="G1107">
        <v>-221.94130000000001</v>
      </c>
      <c r="H1107" s="1">
        <v>-3.8996919999999999E-6</v>
      </c>
      <c r="I1107">
        <v>367.02199999999999</v>
      </c>
      <c r="J1107">
        <v>-251.5669</v>
      </c>
      <c r="K1107">
        <v>1.120606</v>
      </c>
      <c r="L1107">
        <v>367.83909999999997</v>
      </c>
      <c r="M1107">
        <v>0.99989649999999997</v>
      </c>
      <c r="N1107">
        <v>-1.408732E-2</v>
      </c>
      <c r="O1107">
        <v>2.954094E-3</v>
      </c>
      <c r="P1107">
        <v>0.99222900000000003</v>
      </c>
      <c r="Q1107">
        <v>-0.1122609</v>
      </c>
      <c r="R1107">
        <v>-5.3658749999999998E-2</v>
      </c>
      <c r="S1107">
        <v>3.006195</v>
      </c>
      <c r="T1107">
        <v>-0.1130806</v>
      </c>
      <c r="U1107">
        <v>-8.2397460000000006E-2</v>
      </c>
      <c r="V1107">
        <v>5.658026E-2</v>
      </c>
      <c r="W1107">
        <v>-9.8279829999999999E-2</v>
      </c>
      <c r="X1107">
        <v>0.99354900000000002</v>
      </c>
      <c r="Y1107">
        <v>3.0321810000000001E-2</v>
      </c>
      <c r="Z1107">
        <v>-8.5317469999999997E-4</v>
      </c>
      <c r="AA1107">
        <v>0.99953990000000004</v>
      </c>
      <c r="AB1107">
        <v>30</v>
      </c>
      <c r="AC1107">
        <v>29.625599999999899</v>
      </c>
      <c r="AD1107">
        <v>-1.120609899692</v>
      </c>
      <c r="AE1107">
        <v>-0.81709999999998195</v>
      </c>
      <c r="AF1107">
        <v>0.90333042831195298</v>
      </c>
      <c r="AG1107">
        <v>-1.120609899692</v>
      </c>
      <c r="AH1107">
        <v>29.580765112907901</v>
      </c>
      <c r="AI1107">
        <v>92.168492095890002</v>
      </c>
      <c r="AJ1107">
        <v>88.250858586997396</v>
      </c>
      <c r="AK1107">
        <v>29.615763320823401</v>
      </c>
      <c r="AL1107">
        <v>95.640124410137403</v>
      </c>
      <c r="AM1107">
        <v>86.740661534373103</v>
      </c>
      <c r="AN1107">
        <v>0.99999993310374602</v>
      </c>
    </row>
    <row r="1108" spans="1:40" x14ac:dyDescent="0.25">
      <c r="A1108" t="str">
        <f>"20190303154749582"</f>
        <v>20190303154749582</v>
      </c>
      <c r="B1108" t="str">
        <f>"1551599269571740"</f>
        <v>1551599269571740</v>
      </c>
      <c r="C1108" t="s">
        <v>40</v>
      </c>
      <c r="D1108">
        <v>4.732164</v>
      </c>
      <c r="E1108">
        <v>0.48966969999999999</v>
      </c>
      <c r="F1108" t="s">
        <v>41</v>
      </c>
      <c r="G1108">
        <v>-222.06319999999999</v>
      </c>
      <c r="H1108" s="1">
        <v>-3.8454399999999999E-6</v>
      </c>
      <c r="I1108">
        <v>367.03309999999999</v>
      </c>
      <c r="J1108">
        <v>-251.3954</v>
      </c>
      <c r="K1108">
        <v>1.120606</v>
      </c>
      <c r="L1108">
        <v>367.83960000000002</v>
      </c>
      <c r="M1108">
        <v>0.99989629999999996</v>
      </c>
      <c r="N1108">
        <v>-1.40985E-2</v>
      </c>
      <c r="O1108">
        <v>2.9375019999999998E-3</v>
      </c>
      <c r="P1108">
        <v>0.99220090000000005</v>
      </c>
      <c r="Q1108">
        <v>-0.112529</v>
      </c>
      <c r="R1108">
        <v>-5.3618289999999999E-2</v>
      </c>
      <c r="S1108">
        <v>3.0061339999999999</v>
      </c>
      <c r="T1108">
        <v>-0.1141784</v>
      </c>
      <c r="U1108">
        <v>-8.2122799999999996E-2</v>
      </c>
      <c r="V1108">
        <v>5.65231E-2</v>
      </c>
      <c r="W1108">
        <v>-9.8537120000000006E-2</v>
      </c>
      <c r="X1108">
        <v>0.99352680000000004</v>
      </c>
      <c r="Y1108">
        <v>3.0214100000000001E-2</v>
      </c>
      <c r="Z1108">
        <v>-8.5673460000000004E-4</v>
      </c>
      <c r="AA1108">
        <v>0.99954310000000002</v>
      </c>
      <c r="AB1108">
        <v>30</v>
      </c>
      <c r="AC1108">
        <v>29.3322</v>
      </c>
      <c r="AD1108">
        <v>-1.12060984544</v>
      </c>
      <c r="AE1108">
        <v>-0.80650000000002797</v>
      </c>
      <c r="AF1108">
        <v>0.89136846418510696</v>
      </c>
      <c r="AG1108">
        <v>-1.12060984544</v>
      </c>
      <c r="AH1108">
        <v>29.286990494934098</v>
      </c>
      <c r="AI1108">
        <v>92.190229625118405</v>
      </c>
      <c r="AJ1108">
        <v>88.256704114148505</v>
      </c>
      <c r="AK1108">
        <v>29.321973269461299</v>
      </c>
      <c r="AL1108">
        <v>95.654937772688399</v>
      </c>
      <c r="AM1108">
        <v>86.743874582021903</v>
      </c>
      <c r="AN1108">
        <v>0.99999996358487098</v>
      </c>
    </row>
    <row r="1109" spans="1:40" x14ac:dyDescent="0.25">
      <c r="A1109" t="str">
        <f>"20190303154749597"</f>
        <v>20190303154749597</v>
      </c>
      <c r="B1109" t="str">
        <f>"1551599269592236"</f>
        <v>1551599269592236</v>
      </c>
      <c r="C1109" t="s">
        <v>40</v>
      </c>
      <c r="D1109">
        <v>4.7370999999999999</v>
      </c>
      <c r="E1109">
        <v>0.48976150000000002</v>
      </c>
      <c r="F1109" t="s">
        <v>41</v>
      </c>
      <c r="G1109">
        <v>-222.03479999999999</v>
      </c>
      <c r="H1109" s="1">
        <v>-3.8554629999999901E-6</v>
      </c>
      <c r="I1109">
        <v>367.04520000000002</v>
      </c>
      <c r="J1109">
        <v>-251.1942</v>
      </c>
      <c r="K1109">
        <v>1.120601</v>
      </c>
      <c r="L1109">
        <v>367.84010000000001</v>
      </c>
      <c r="M1109">
        <v>0.99989620000000001</v>
      </c>
      <c r="N1109">
        <v>-1.4109989999999999E-2</v>
      </c>
      <c r="O1109">
        <v>2.9182280000000001E-3</v>
      </c>
      <c r="P1109">
        <v>0.99217299999999997</v>
      </c>
      <c r="Q1109">
        <v>-0.112857</v>
      </c>
      <c r="R1109">
        <v>-5.3443499999999998E-2</v>
      </c>
      <c r="S1109">
        <v>3.0061490000000002</v>
      </c>
      <c r="T1109">
        <v>-0.1147357</v>
      </c>
      <c r="U1109">
        <v>-8.1329349999999995E-2</v>
      </c>
      <c r="V1109">
        <v>5.6329259999999999E-2</v>
      </c>
      <c r="W1109">
        <v>-9.8854029999999996E-2</v>
      </c>
      <c r="X1109">
        <v>0.99350640000000001</v>
      </c>
      <c r="Y1109">
        <v>2.9931079999999999E-2</v>
      </c>
      <c r="Z1109">
        <v>-8.5235499999999995E-4</v>
      </c>
      <c r="AA1109">
        <v>0.99955159999999998</v>
      </c>
      <c r="AB1109">
        <v>30</v>
      </c>
      <c r="AC1109">
        <v>29.159400000000002</v>
      </c>
      <c r="AD1109">
        <v>-1.1206048554629999</v>
      </c>
      <c r="AE1109">
        <v>-0.79489999999998395</v>
      </c>
      <c r="AF1109">
        <v>0.87870208167902497</v>
      </c>
      <c r="AG1109">
        <v>-1.1206048554629999</v>
      </c>
      <c r="AH1109">
        <v>29.1139896839831</v>
      </c>
      <c r="AI1109">
        <v>92.203238735654196</v>
      </c>
      <c r="AJ1109">
        <v>88.271255756994904</v>
      </c>
      <c r="AK1109">
        <v>29.1487953080313</v>
      </c>
      <c r="AL1109">
        <v>95.673184054145196</v>
      </c>
      <c r="AM1109">
        <v>86.754950728129003</v>
      </c>
      <c r="AN1109">
        <v>1.0000000358101699</v>
      </c>
    </row>
    <row r="1110" spans="1:40" x14ac:dyDescent="0.25">
      <c r="A1110" t="str">
        <f>"20190303154749612"</f>
        <v>20190303154749612</v>
      </c>
      <c r="B1110" t="str">
        <f>"1551599269601996"</f>
        <v>1551599269601996</v>
      </c>
      <c r="C1110" t="s">
        <v>40</v>
      </c>
      <c r="D1110">
        <v>4.7275019999999897</v>
      </c>
      <c r="E1110">
        <v>0.48977130000000002</v>
      </c>
      <c r="F1110" t="s">
        <v>41</v>
      </c>
      <c r="G1110">
        <v>-221.73570000000001</v>
      </c>
      <c r="H1110" s="1">
        <v>-3.9850330000000002E-6</v>
      </c>
      <c r="I1110">
        <v>367.03809999999999</v>
      </c>
      <c r="J1110">
        <v>-250.9923</v>
      </c>
      <c r="K1110">
        <v>1.1206</v>
      </c>
      <c r="L1110">
        <v>367.84070000000003</v>
      </c>
      <c r="M1110">
        <v>0.99989609999999995</v>
      </c>
      <c r="N1110">
        <v>-1.4120300000000001E-2</v>
      </c>
      <c r="O1110">
        <v>2.8987840000000002E-3</v>
      </c>
      <c r="P1110">
        <v>0.9921335</v>
      </c>
      <c r="Q1110">
        <v>-0.1132903</v>
      </c>
      <c r="R1110">
        <v>-5.3257319999999997E-2</v>
      </c>
      <c r="S1110">
        <v>3.006256</v>
      </c>
      <c r="T1110">
        <v>-0.11435819999999999</v>
      </c>
      <c r="U1110">
        <v>-8.184814E-2</v>
      </c>
      <c r="V1110">
        <v>5.612354E-2</v>
      </c>
      <c r="W1110">
        <v>-9.9277610000000002E-2</v>
      </c>
      <c r="X1110">
        <v>0.99347580000000002</v>
      </c>
      <c r="Y1110">
        <v>3.008309E-2</v>
      </c>
      <c r="Z1110">
        <v>-8.5370909999999995E-4</v>
      </c>
      <c r="AA1110">
        <v>0.99954710000000002</v>
      </c>
      <c r="AB1110">
        <v>30</v>
      </c>
      <c r="AC1110">
        <v>29.256599999999899</v>
      </c>
      <c r="AD1110">
        <v>-1.1206039850330001</v>
      </c>
      <c r="AE1110">
        <v>-0.80260000000003995</v>
      </c>
      <c r="AF1110">
        <v>0.88611461543516201</v>
      </c>
      <c r="AG1110">
        <v>-1.1206039850330001</v>
      </c>
      <c r="AH1110">
        <v>29.211326854521602</v>
      </c>
      <c r="AI1110">
        <v>92.195892500972406</v>
      </c>
      <c r="AJ1110">
        <v>88.262486890452806</v>
      </c>
      <c r="AK1110">
        <v>29.246240254170299</v>
      </c>
      <c r="AL1110">
        <v>95.697573404661696</v>
      </c>
      <c r="AM1110">
        <v>86.766677403092501</v>
      </c>
      <c r="AN1110">
        <v>1.00000003038754</v>
      </c>
    </row>
    <row r="1111" spans="1:40" x14ac:dyDescent="0.25">
      <c r="A1111" t="str">
        <f>"20190303154749629"</f>
        <v>20190303154749629</v>
      </c>
      <c r="B1111" t="str">
        <f>"1551599269621516"</f>
        <v>1551599269621516</v>
      </c>
      <c r="C1111" t="s">
        <v>40</v>
      </c>
      <c r="D1111">
        <v>4.7395740000000002</v>
      </c>
      <c r="E1111">
        <v>0.48984119999999998</v>
      </c>
      <c r="F1111" t="s">
        <v>41</v>
      </c>
      <c r="G1111">
        <v>-221.7107</v>
      </c>
      <c r="H1111" s="1">
        <v>-3.9939209999999999E-6</v>
      </c>
      <c r="I1111">
        <v>367.04849999999999</v>
      </c>
      <c r="J1111">
        <v>-250.7886</v>
      </c>
      <c r="K1111">
        <v>1.120598</v>
      </c>
      <c r="L1111">
        <v>367.84120000000001</v>
      </c>
      <c r="M1111">
        <v>0.99989620000000001</v>
      </c>
      <c r="N1111">
        <v>-1.4129589999999999E-2</v>
      </c>
      <c r="O1111">
        <v>2.8786929999999999E-3</v>
      </c>
      <c r="P1111">
        <v>0.99210169999999998</v>
      </c>
      <c r="Q1111">
        <v>-0.11368789999999999</v>
      </c>
      <c r="R1111">
        <v>-5.3007690000000003E-2</v>
      </c>
      <c r="S1111">
        <v>3.0062869999999999</v>
      </c>
      <c r="T1111">
        <v>-0.11504979999999999</v>
      </c>
      <c r="U1111">
        <v>-8.1329349999999995E-2</v>
      </c>
      <c r="V1111">
        <v>5.5853710000000001E-2</v>
      </c>
      <c r="W1111">
        <v>-9.966622E-2</v>
      </c>
      <c r="X1111">
        <v>0.99345209999999995</v>
      </c>
      <c r="Y1111">
        <v>2.989023E-2</v>
      </c>
      <c r="Z1111">
        <v>-8.5240309999999998E-4</v>
      </c>
      <c r="AA1111">
        <v>0.99955280000000002</v>
      </c>
      <c r="AB1111">
        <v>30</v>
      </c>
      <c r="AC1111">
        <v>29.0779</v>
      </c>
      <c r="AD1111">
        <v>-1.1206019939209999</v>
      </c>
      <c r="AE1111">
        <v>-0.79270000000002405</v>
      </c>
      <c r="AF1111">
        <v>0.87511267718682895</v>
      </c>
      <c r="AG1111">
        <v>-1.1206019939209999</v>
      </c>
      <c r="AH1111">
        <v>29.032411227033698</v>
      </c>
      <c r="AI1111">
        <v>92.209420457147004</v>
      </c>
      <c r="AJ1111">
        <v>88.273478373798</v>
      </c>
      <c r="AK1111">
        <v>29.0672061382263</v>
      </c>
      <c r="AL1111">
        <v>95.719950078320593</v>
      </c>
      <c r="AM1111">
        <v>86.782113179223799</v>
      </c>
      <c r="AN1111">
        <v>1.00000003366213</v>
      </c>
    </row>
    <row r="1112" spans="1:40" x14ac:dyDescent="0.25">
      <c r="A1112" t="str">
        <f>"20190303154749644"</f>
        <v>20190303154749644</v>
      </c>
      <c r="B1112" t="str">
        <f>"1551599269631276"</f>
        <v>1551599269631276</v>
      </c>
      <c r="C1112" t="s">
        <v>40</v>
      </c>
      <c r="D1112">
        <v>4.754664</v>
      </c>
      <c r="E1112">
        <v>0.48990089999999997</v>
      </c>
      <c r="F1112" t="s">
        <v>41</v>
      </c>
      <c r="G1112">
        <v>-221.48400000000001</v>
      </c>
      <c r="H1112" s="1">
        <v>-4.0912349999999998E-6</v>
      </c>
      <c r="I1112">
        <v>367.04820000000001</v>
      </c>
      <c r="J1112">
        <v>-250.56970000000001</v>
      </c>
      <c r="K1112">
        <v>1.1205959999999999</v>
      </c>
      <c r="L1112">
        <v>367.84190000000001</v>
      </c>
      <c r="M1112">
        <v>0.99989609999999995</v>
      </c>
      <c r="N1112">
        <v>-1.413828E-2</v>
      </c>
      <c r="O1112">
        <v>2.8569400000000001E-3</v>
      </c>
      <c r="P1112">
        <v>0.9920987</v>
      </c>
      <c r="Q1112">
        <v>-0.1137596</v>
      </c>
      <c r="R1112">
        <v>-5.2910850000000002E-2</v>
      </c>
      <c r="S1112">
        <v>3.006348</v>
      </c>
      <c r="T1112">
        <v>-0.1149617</v>
      </c>
      <c r="U1112">
        <v>-8.1359860000000006E-2</v>
      </c>
      <c r="V1112">
        <v>5.573529E-2</v>
      </c>
      <c r="W1112">
        <v>-9.9729280000000003E-2</v>
      </c>
      <c r="X1112">
        <v>0.99345240000000001</v>
      </c>
      <c r="Y1112">
        <v>2.9878129999999999E-2</v>
      </c>
      <c r="Z1112">
        <v>-8.5113159999999997E-4</v>
      </c>
      <c r="AA1112">
        <v>0.99955320000000003</v>
      </c>
      <c r="AB1112">
        <v>30</v>
      </c>
      <c r="AC1112">
        <v>29.085699999999999</v>
      </c>
      <c r="AD1112">
        <v>-1.12060009123499</v>
      </c>
      <c r="AE1112">
        <v>-0.79370000000000096</v>
      </c>
      <c r="AF1112">
        <v>0.87550255232311103</v>
      </c>
      <c r="AG1112">
        <v>-1.12060009123499</v>
      </c>
      <c r="AH1112">
        <v>29.0402391021561</v>
      </c>
      <c r="AI1112">
        <v>92.208821392921806</v>
      </c>
      <c r="AJ1112">
        <v>88.273174963588204</v>
      </c>
      <c r="AK1112">
        <v>29.075036309418302</v>
      </c>
      <c r="AL1112">
        <v>95.723581368890095</v>
      </c>
      <c r="AM1112">
        <v>86.788922358725799</v>
      </c>
      <c r="AN1112">
        <v>1.0000000114532299</v>
      </c>
    </row>
    <row r="1113" spans="1:40" x14ac:dyDescent="0.25">
      <c r="A1113" t="str">
        <f>"20190303154749656"</f>
        <v>20190303154749656</v>
      </c>
      <c r="B1113" t="str">
        <f>"1551599269652281"</f>
        <v>1551599269652281</v>
      </c>
      <c r="C1113" t="s">
        <v>40</v>
      </c>
      <c r="D1113">
        <v>4.9592369999999999</v>
      </c>
      <c r="E1113">
        <v>0.4911296</v>
      </c>
      <c r="F1113" t="s">
        <v>41</v>
      </c>
      <c r="G1113">
        <v>-221.0341</v>
      </c>
      <c r="H1113" s="1">
        <v>-4.2852400000000003E-6</v>
      </c>
      <c r="I1113">
        <v>367.04230000000001</v>
      </c>
      <c r="J1113">
        <v>-250.4042</v>
      </c>
      <c r="K1113">
        <v>1.1206</v>
      </c>
      <c r="L1113">
        <v>367.8424</v>
      </c>
      <c r="M1113">
        <v>0.99989600000000001</v>
      </c>
      <c r="N1113">
        <v>-1.4143920000000001E-2</v>
      </c>
      <c r="O1113">
        <v>2.8408679999999999E-3</v>
      </c>
      <c r="P1113">
        <v>0.99201059999999996</v>
      </c>
      <c r="Q1113">
        <v>-0.11455600000000001</v>
      </c>
      <c r="R1113">
        <v>-5.2839690000000002E-2</v>
      </c>
      <c r="S1113">
        <v>3.0064700000000002</v>
      </c>
      <c r="T1113">
        <v>-0.1140673</v>
      </c>
      <c r="U1113">
        <v>-8.1390379999999998E-2</v>
      </c>
      <c r="V1113">
        <v>5.5648080000000003E-2</v>
      </c>
      <c r="W1113">
        <v>-0.10052129999999999</v>
      </c>
      <c r="X1113">
        <v>0.99337739999999997</v>
      </c>
      <c r="Y1113">
        <v>2.9871539999999999E-2</v>
      </c>
      <c r="Z1113">
        <v>-8.4532909999999995E-4</v>
      </c>
      <c r="AA1113">
        <v>0.99955340000000004</v>
      </c>
      <c r="AB1113">
        <v>30</v>
      </c>
      <c r="AC1113">
        <v>29.370100000000001</v>
      </c>
      <c r="AD1113">
        <v>-1.12060428524</v>
      </c>
      <c r="AE1113">
        <v>-0.80009999999998604</v>
      </c>
      <c r="AF1113">
        <v>0.88225827403620005</v>
      </c>
      <c r="AG1113">
        <v>-1.12060428524</v>
      </c>
      <c r="AH1113">
        <v>29.3250492929057</v>
      </c>
      <c r="AI1113">
        <v>92.187402143524096</v>
      </c>
      <c r="AJ1113">
        <v>88.276748595822198</v>
      </c>
      <c r="AK1113">
        <v>29.359711334710902</v>
      </c>
      <c r="AL1113">
        <v>95.769190321008693</v>
      </c>
      <c r="AM1113">
        <v>86.793694746566899</v>
      </c>
      <c r="AN1113">
        <v>0.99999994969606598</v>
      </c>
    </row>
    <row r="1114" spans="1:40" x14ac:dyDescent="0.25">
      <c r="A1114" t="str">
        <f>"20190303154749668"</f>
        <v>20190303154749668</v>
      </c>
      <c r="B1114" t="str">
        <f>"1551599269662040"</f>
        <v>1551599269662040</v>
      </c>
      <c r="C1114" t="s">
        <v>40</v>
      </c>
      <c r="D1114">
        <v>4.9154910000000003</v>
      </c>
      <c r="E1114">
        <v>0.4911296</v>
      </c>
      <c r="F1114" t="s">
        <v>41</v>
      </c>
      <c r="G1114">
        <v>-221.6619</v>
      </c>
      <c r="H1114" s="1">
        <v>-4.0288479999999999E-6</v>
      </c>
      <c r="I1114">
        <v>366.96949999999998</v>
      </c>
      <c r="J1114">
        <v>-250.24369999999999</v>
      </c>
      <c r="K1114">
        <v>1.1206020000000001</v>
      </c>
      <c r="L1114">
        <v>367.84280000000001</v>
      </c>
      <c r="M1114">
        <v>0.99989600000000001</v>
      </c>
      <c r="N1114">
        <v>-1.414873E-2</v>
      </c>
      <c r="O1114">
        <v>2.8253950000000001E-3</v>
      </c>
      <c r="P1114">
        <v>0.99198569999999997</v>
      </c>
      <c r="Q1114">
        <v>-0.1147533</v>
      </c>
      <c r="R1114">
        <v>-5.2883140000000002E-2</v>
      </c>
      <c r="S1114">
        <v>3.0057529999999999</v>
      </c>
      <c r="T1114">
        <v>-0.117188</v>
      </c>
      <c r="U1114">
        <v>-9.1278079999999998E-2</v>
      </c>
      <c r="V1114">
        <v>5.56759E-2</v>
      </c>
      <c r="W1114">
        <v>-0.1007141</v>
      </c>
      <c r="X1114">
        <v>0.99335629999999997</v>
      </c>
      <c r="Y1114">
        <v>3.3142890000000001E-2</v>
      </c>
      <c r="Z1114">
        <v>-9.5047549999999995E-4</v>
      </c>
      <c r="AA1114">
        <v>0.99945010000000001</v>
      </c>
      <c r="AB1114">
        <v>30</v>
      </c>
      <c r="AC1114">
        <v>28.581799999999902</v>
      </c>
      <c r="AD1114">
        <v>-1.120606028848</v>
      </c>
      <c r="AE1114">
        <v>-0.87330000000002805</v>
      </c>
      <c r="AF1114">
        <v>0.95259651196110295</v>
      </c>
      <c r="AG1114">
        <v>-1.120606028848</v>
      </c>
      <c r="AH1114">
        <v>28.535394899156</v>
      </c>
      <c r="AI1114">
        <v>92.247641193445304</v>
      </c>
      <c r="AJ1114">
        <v>88.088006194861705</v>
      </c>
      <c r="AK1114">
        <v>28.5732735267989</v>
      </c>
      <c r="AL1114">
        <v>95.780293365764905</v>
      </c>
      <c r="AM1114">
        <v>86.792027176400495</v>
      </c>
      <c r="AN1114">
        <v>0.99999993726465297</v>
      </c>
    </row>
    <row r="1115" spans="1:40" x14ac:dyDescent="0.25">
      <c r="A1115" t="str">
        <f>"20190303154749682"</f>
        <v>20190303154749682</v>
      </c>
      <c r="B1115" t="str">
        <f>"1551599269671800"</f>
        <v>1551599269671800</v>
      </c>
      <c r="C1115" t="s">
        <v>40</v>
      </c>
      <c r="D1115">
        <v>4.9586899999999998</v>
      </c>
      <c r="E1115">
        <v>0.53710740000000001</v>
      </c>
      <c r="F1115" t="s">
        <v>41</v>
      </c>
      <c r="G1115">
        <v>-221.64449999999999</v>
      </c>
      <c r="H1115" s="1">
        <v>-4.0352610000000001E-6</v>
      </c>
      <c r="I1115">
        <v>366.97539999999998</v>
      </c>
      <c r="J1115">
        <v>-250.0754</v>
      </c>
      <c r="K1115">
        <v>1.1206020000000001</v>
      </c>
      <c r="L1115">
        <v>367.84320000000002</v>
      </c>
      <c r="M1115">
        <v>0.99989589999999995</v>
      </c>
      <c r="N1115">
        <v>-1.415339E-2</v>
      </c>
      <c r="O1115">
        <v>2.809326E-3</v>
      </c>
      <c r="P1115">
        <v>0.99194280000000001</v>
      </c>
      <c r="Q1115">
        <v>-0.11513279999999999</v>
      </c>
      <c r="R1115">
        <v>-5.2857210000000002E-2</v>
      </c>
      <c r="S1115">
        <v>3.0057529999999999</v>
      </c>
      <c r="T1115">
        <v>-0.1177747</v>
      </c>
      <c r="U1115">
        <v>-9.1156009999999996E-2</v>
      </c>
      <c r="V1115">
        <v>5.5634019999999999E-2</v>
      </c>
      <c r="W1115">
        <v>-0.1010896</v>
      </c>
      <c r="X1115">
        <v>0.9933206</v>
      </c>
      <c r="Y1115">
        <v>3.3086020000000001E-2</v>
      </c>
      <c r="Z1115">
        <v>-9.5240410000000005E-4</v>
      </c>
      <c r="AA1115">
        <v>0.99945209999999995</v>
      </c>
      <c r="AB1115">
        <v>30</v>
      </c>
      <c r="AC1115">
        <v>28.430900000000001</v>
      </c>
      <c r="AD1115">
        <v>-1.1206060352609899</v>
      </c>
      <c r="AE1115">
        <v>-0.86780000000004498</v>
      </c>
      <c r="AF1115">
        <v>0.94620763082919002</v>
      </c>
      <c r="AG1115">
        <v>-1.1206060352609899</v>
      </c>
      <c r="AH1115">
        <v>28.384294285974999</v>
      </c>
      <c r="AI1115">
        <v>92.259597466424694</v>
      </c>
      <c r="AJ1115">
        <v>88.090717537807194</v>
      </c>
      <c r="AK1115">
        <v>28.422160876325702</v>
      </c>
      <c r="AL1115">
        <v>95.801917741042203</v>
      </c>
      <c r="AM1115">
        <v>86.794320245291701</v>
      </c>
      <c r="AN1115">
        <v>1.0000000328969301</v>
      </c>
    </row>
    <row r="1116" spans="1:40" x14ac:dyDescent="0.25">
      <c r="A1116" t="str">
        <f>"20190303154749694"</f>
        <v>20190303154749694</v>
      </c>
      <c r="B1116" t="str">
        <f>"1551599269691321"</f>
        <v>1551599269691321</v>
      </c>
      <c r="C1116" t="s">
        <v>40</v>
      </c>
      <c r="D1116">
        <v>4.9175709999999997</v>
      </c>
      <c r="E1116">
        <v>0.54260889999999995</v>
      </c>
      <c r="F1116" t="s">
        <v>41</v>
      </c>
      <c r="G1116">
        <v>-229.82509999999999</v>
      </c>
      <c r="H1116" s="1">
        <v>-1.3426639999999999E-6</v>
      </c>
      <c r="I1116">
        <v>364.74149999999997</v>
      </c>
      <c r="J1116">
        <v>-249.90809999999999</v>
      </c>
      <c r="K1116">
        <v>1.1206050000000001</v>
      </c>
      <c r="L1116">
        <v>367.84370000000001</v>
      </c>
      <c r="M1116">
        <v>0.99989589999999995</v>
      </c>
      <c r="N1116">
        <v>-1.4157299999999901E-2</v>
      </c>
      <c r="O1116">
        <v>2.7927910000000002E-3</v>
      </c>
      <c r="P1116">
        <v>0.99192389999999997</v>
      </c>
      <c r="Q1116">
        <v>-0.1152492</v>
      </c>
      <c r="R1116">
        <v>-5.2962170000000003E-2</v>
      </c>
      <c r="S1116">
        <v>2.980896</v>
      </c>
      <c r="T1116">
        <v>-0.1649555</v>
      </c>
      <c r="U1116">
        <v>-0.45657350000000002</v>
      </c>
      <c r="V1116">
        <v>5.5722460000000001E-2</v>
      </c>
      <c r="W1116">
        <v>-0.1012023</v>
      </c>
      <c r="X1116">
        <v>0.99330410000000002</v>
      </c>
      <c r="Y1116">
        <v>0.1538688</v>
      </c>
      <c r="Z1116">
        <v>-5.4403350000000001E-3</v>
      </c>
      <c r="AA1116">
        <v>0.98807630000000002</v>
      </c>
      <c r="AB1116">
        <v>30</v>
      </c>
      <c r="AC1116">
        <v>20.082999999999998</v>
      </c>
      <c r="AD1116">
        <v>-1.1206063426639901</v>
      </c>
      <c r="AE1116">
        <v>-3.10220000000003</v>
      </c>
      <c r="AF1116">
        <v>3.1487061093532098</v>
      </c>
      <c r="AG1116">
        <v>-1.1206063426639901</v>
      </c>
      <c r="AH1116">
        <v>20.013397420710699</v>
      </c>
      <c r="AI1116">
        <v>93.165942597177505</v>
      </c>
      <c r="AJ1116">
        <v>81.058950871697903</v>
      </c>
      <c r="AK1116">
        <v>20.290544227733498</v>
      </c>
      <c r="AL1116">
        <v>95.808408647726196</v>
      </c>
      <c r="AM1116">
        <v>86.789181687295795</v>
      </c>
      <c r="AN1116">
        <v>0.99999996657527501</v>
      </c>
    </row>
    <row r="1117" spans="1:40" x14ac:dyDescent="0.25">
      <c r="A1117" t="str">
        <f>"20190303154749706"</f>
        <v>20190303154749706</v>
      </c>
      <c r="B1117" t="str">
        <f>"1551599269702056"</f>
        <v>1551599269702056</v>
      </c>
      <c r="C1117" t="s">
        <v>40</v>
      </c>
      <c r="D1117">
        <v>4.9836530000000003</v>
      </c>
      <c r="E1117">
        <v>0.54463980000000001</v>
      </c>
      <c r="F1117" t="s">
        <v>41</v>
      </c>
      <c r="G1117">
        <v>-229.75409999999999</v>
      </c>
      <c r="H1117" s="1">
        <v>-1.443077E-6</v>
      </c>
      <c r="I1117">
        <v>364.45490000000001</v>
      </c>
      <c r="J1117">
        <v>-249.75200000000001</v>
      </c>
      <c r="K1117">
        <v>1.1206050000000001</v>
      </c>
      <c r="L1117">
        <v>367.84410000000003</v>
      </c>
      <c r="M1117">
        <v>0.9998958</v>
      </c>
      <c r="N1117">
        <v>-1.416064E-2</v>
      </c>
      <c r="O1117">
        <v>2.7774509999999998E-3</v>
      </c>
      <c r="P1117">
        <v>0.99190480000000003</v>
      </c>
      <c r="Q1117">
        <v>-0.1154205</v>
      </c>
      <c r="R1117">
        <v>-5.2944680000000001E-2</v>
      </c>
      <c r="S1117">
        <v>2.9784389999999998</v>
      </c>
      <c r="T1117">
        <v>-0.16560710000000001</v>
      </c>
      <c r="U1117">
        <v>-0.5007935</v>
      </c>
      <c r="V1117">
        <v>5.5689700000000002E-2</v>
      </c>
      <c r="W1117">
        <v>-0.1013705</v>
      </c>
      <c r="X1117">
        <v>0.99328879999999997</v>
      </c>
      <c r="Y1117">
        <v>0.16822970000000001</v>
      </c>
      <c r="Z1117">
        <v>-5.9556710000000001E-3</v>
      </c>
      <c r="AA1117">
        <v>0.98572979999999999</v>
      </c>
      <c r="AB1117">
        <v>30</v>
      </c>
      <c r="AC1117">
        <v>19.997900000000001</v>
      </c>
      <c r="AD1117">
        <v>-1.12060644307699</v>
      </c>
      <c r="AE1117">
        <v>-3.38920000000001</v>
      </c>
      <c r="AF1117">
        <v>3.43425302841124</v>
      </c>
      <c r="AG1117">
        <v>-1.12060644307699</v>
      </c>
      <c r="AH1117">
        <v>19.927581944057199</v>
      </c>
      <c r="AI1117">
        <v>93.171916997025704</v>
      </c>
      <c r="AJ1117">
        <v>80.221884524887997</v>
      </c>
      <c r="AK1117">
        <v>20.252367140671101</v>
      </c>
      <c r="AL1117">
        <v>95.818095533491501</v>
      </c>
      <c r="AM1117">
        <v>86.791016100271605</v>
      </c>
      <c r="AN1117">
        <v>0.99999998058088901</v>
      </c>
    </row>
    <row r="1118" spans="1:40" x14ac:dyDescent="0.25">
      <c r="A1118" t="str">
        <f>"20190303154749718"</f>
        <v>20190303154749718</v>
      </c>
      <c r="B1118" t="str">
        <f>"1551599269711815"</f>
        <v>1551599269711815</v>
      </c>
      <c r="C1118" t="s">
        <v>40</v>
      </c>
      <c r="D1118">
        <v>4.9571899999999998</v>
      </c>
      <c r="E1118">
        <v>0.54552609999999901</v>
      </c>
      <c r="F1118" t="s">
        <v>41</v>
      </c>
      <c r="G1118">
        <v>-229.2681</v>
      </c>
      <c r="H1118" s="1">
        <v>-1.652528E-6</v>
      </c>
      <c r="I1118">
        <v>364.28930000000003</v>
      </c>
      <c r="J1118">
        <v>-249.58109999999999</v>
      </c>
      <c r="K1118">
        <v>1.120606</v>
      </c>
      <c r="L1118">
        <v>367.84460000000001</v>
      </c>
      <c r="M1118">
        <v>0.9998958</v>
      </c>
      <c r="N1118">
        <v>-1.416392E-2</v>
      </c>
      <c r="O1118">
        <v>2.760977E-3</v>
      </c>
      <c r="P1118">
        <v>0.99185190000000001</v>
      </c>
      <c r="Q1118">
        <v>-0.115804</v>
      </c>
      <c r="R1118">
        <v>-5.309635E-2</v>
      </c>
      <c r="S1118">
        <v>2.9779360000000001</v>
      </c>
      <c r="T1118">
        <v>-0.1629128</v>
      </c>
      <c r="U1118">
        <v>-0.51678469999999999</v>
      </c>
      <c r="V1118">
        <v>5.5824720000000001E-2</v>
      </c>
      <c r="W1118">
        <v>-0.10175149999999999</v>
      </c>
      <c r="X1118">
        <v>0.99324230000000002</v>
      </c>
      <c r="Y1118">
        <v>0.1733816</v>
      </c>
      <c r="Z1118">
        <v>-6.0531519999999896E-3</v>
      </c>
      <c r="AA1118">
        <v>0.98483609999999999</v>
      </c>
      <c r="AB1118">
        <v>30</v>
      </c>
      <c r="AC1118">
        <v>20.312999999999899</v>
      </c>
      <c r="AD1118">
        <v>-1.120607652528</v>
      </c>
      <c r="AE1118">
        <v>-3.5552999999999799</v>
      </c>
      <c r="AF1118">
        <v>3.6007430265180602</v>
      </c>
      <c r="AG1118">
        <v>-1.120607652528</v>
      </c>
      <c r="AH1118">
        <v>20.243328151499</v>
      </c>
      <c r="AI1118">
        <v>93.119615023219296</v>
      </c>
      <c r="AJ1118">
        <v>79.914109250974505</v>
      </c>
      <c r="AK1118">
        <v>20.5915867893466</v>
      </c>
      <c r="AL1118">
        <v>95.8400384748889</v>
      </c>
      <c r="AM1118">
        <v>86.783101938946302</v>
      </c>
      <c r="AN1118">
        <v>1.0000000168123</v>
      </c>
    </row>
    <row r="1119" spans="1:40" x14ac:dyDescent="0.25">
      <c r="A1119" t="str">
        <f>"20190303154749731"</f>
        <v>20190303154749731</v>
      </c>
      <c r="B1119" t="str">
        <f>"1551599269721576"</f>
        <v>1551599269721576</v>
      </c>
      <c r="C1119" t="s">
        <v>40</v>
      </c>
      <c r="D1119">
        <v>4.902895</v>
      </c>
      <c r="E1119">
        <v>0.54604989999999998</v>
      </c>
      <c r="F1119" t="s">
        <v>41</v>
      </c>
      <c r="G1119">
        <v>-228.90819999999999</v>
      </c>
      <c r="H1119" s="1">
        <v>-1.7979420000000001E-6</v>
      </c>
      <c r="I1119">
        <v>364.20310000000001</v>
      </c>
      <c r="J1119">
        <v>-249.42959999999999</v>
      </c>
      <c r="K1119">
        <v>1.1206020000000001</v>
      </c>
      <c r="L1119">
        <v>367.84500000000003</v>
      </c>
      <c r="M1119">
        <v>0.99989589999999995</v>
      </c>
      <c r="N1119">
        <v>-1.416633E-2</v>
      </c>
      <c r="O1119">
        <v>2.746119E-3</v>
      </c>
      <c r="P1119">
        <v>0.99181430000000004</v>
      </c>
      <c r="Q1119">
        <v>-0.1161944</v>
      </c>
      <c r="R1119">
        <v>-5.2947460000000002E-2</v>
      </c>
      <c r="S1119">
        <v>2.977722</v>
      </c>
      <c r="T1119">
        <v>-0.16141140000000001</v>
      </c>
      <c r="U1119">
        <v>-0.52450559999999902</v>
      </c>
      <c r="V1119">
        <v>5.566115E-2</v>
      </c>
      <c r="W1119">
        <v>-0.10213999999999999</v>
      </c>
      <c r="X1119">
        <v>0.99321159999999997</v>
      </c>
      <c r="Y1119">
        <v>0.17585700000000001</v>
      </c>
      <c r="Z1119">
        <v>-6.0918480000000004E-3</v>
      </c>
      <c r="AA1119">
        <v>0.98439690000000002</v>
      </c>
      <c r="AB1119">
        <v>30</v>
      </c>
      <c r="AC1119">
        <v>20.5214</v>
      </c>
      <c r="AD1119">
        <v>-1.120603797942</v>
      </c>
      <c r="AE1119">
        <v>-3.6419000000000201</v>
      </c>
      <c r="AF1119">
        <v>3.68758592943162</v>
      </c>
      <c r="AG1119">
        <v>-1.120603797942</v>
      </c>
      <c r="AH1119">
        <v>20.452196618714002</v>
      </c>
      <c r="AI1119">
        <v>93.0865082595693</v>
      </c>
      <c r="AJ1119">
        <v>79.779228952514202</v>
      </c>
      <c r="AK1119">
        <v>20.8121692619832</v>
      </c>
      <c r="AL1119">
        <v>95.862414488427405</v>
      </c>
      <c r="AM1119">
        <v>86.792409010644405</v>
      </c>
      <c r="AN1119">
        <v>1.00000001279694</v>
      </c>
    </row>
    <row r="1120" spans="1:40" x14ac:dyDescent="0.25">
      <c r="A1120" t="str">
        <f>"20190303154749743"</f>
        <v>20190303154749743</v>
      </c>
      <c r="B1120" t="str">
        <f>"1551599269731336"</f>
        <v>1551599269731336</v>
      </c>
      <c r="C1120" t="s">
        <v>40</v>
      </c>
      <c r="D1120">
        <v>4.9894400000000001</v>
      </c>
      <c r="E1120">
        <v>0.54670410000000003</v>
      </c>
      <c r="F1120" t="s">
        <v>41</v>
      </c>
      <c r="G1120">
        <v>-229.0506</v>
      </c>
      <c r="H1120" s="1">
        <v>-1.7421870000000001E-6</v>
      </c>
      <c r="I1120">
        <v>364.23059999999998</v>
      </c>
      <c r="J1120">
        <v>-249.26499999999999</v>
      </c>
      <c r="K1120">
        <v>1.120603</v>
      </c>
      <c r="L1120">
        <v>367.84550000000002</v>
      </c>
      <c r="M1120">
        <v>0.99989600000000001</v>
      </c>
      <c r="N1120">
        <v>-1.4168770000000001E-2</v>
      </c>
      <c r="O1120">
        <v>2.7299490000000002E-3</v>
      </c>
      <c r="P1120">
        <v>0.99178239999999995</v>
      </c>
      <c r="Q1120">
        <v>-0.1164808</v>
      </c>
      <c r="R1120">
        <v>-5.2916770000000002E-2</v>
      </c>
      <c r="S1120">
        <v>2.9773710000000002</v>
      </c>
      <c r="T1120">
        <v>-0.163718899999999</v>
      </c>
      <c r="U1120">
        <v>-0.52804569999999995</v>
      </c>
      <c r="V1120">
        <v>5.5614329999999997E-2</v>
      </c>
      <c r="W1120">
        <v>-0.102424399999999</v>
      </c>
      <c r="X1120">
        <v>0.99318490000000004</v>
      </c>
      <c r="Y1120">
        <v>0.17698539999999999</v>
      </c>
      <c r="Z1120">
        <v>-6.2000359999999999E-3</v>
      </c>
      <c r="AA1120">
        <v>0.98419389999999995</v>
      </c>
      <c r="AB1120">
        <v>29</v>
      </c>
      <c r="AC1120">
        <v>20.214399999999898</v>
      </c>
      <c r="AD1120">
        <v>-1.120604742187</v>
      </c>
      <c r="AE1120">
        <v>-3.6149000000000302</v>
      </c>
      <c r="AF1120">
        <v>3.6591796198257902</v>
      </c>
      <c r="AG1120">
        <v>-1.120604742187</v>
      </c>
      <c r="AH1120">
        <v>20.1444666873027</v>
      </c>
      <c r="AI1120">
        <v>93.132831043934203</v>
      </c>
      <c r="AJ1120">
        <v>79.704654346357103</v>
      </c>
      <c r="AK1120">
        <v>20.5047528293859</v>
      </c>
      <c r="AL1120">
        <v>95.878795520813497</v>
      </c>
      <c r="AM1120">
        <v>86.795015506602098</v>
      </c>
      <c r="AN1120">
        <v>0.999999978502359</v>
      </c>
    </row>
    <row r="1121" spans="1:40" x14ac:dyDescent="0.25">
      <c r="A1121" t="str">
        <f>"20190303154749756"</f>
        <v>20190303154749756</v>
      </c>
      <c r="B1121" t="str">
        <f>"1551599269751835"</f>
        <v>1551599269751835</v>
      </c>
      <c r="C1121" t="s">
        <v>40</v>
      </c>
      <c r="D1121">
        <v>4.9203169999999998</v>
      </c>
      <c r="E1121">
        <v>0.54761099999999996</v>
      </c>
      <c r="F1121" t="s">
        <v>41</v>
      </c>
      <c r="G1121">
        <v>-228.7302</v>
      </c>
      <c r="H1121" s="1">
        <v>-1.8683500000000001E-6</v>
      </c>
      <c r="I1121">
        <v>364.1662</v>
      </c>
      <c r="J1121">
        <v>-249.0788</v>
      </c>
      <c r="K1121">
        <v>1.120603</v>
      </c>
      <c r="L1121">
        <v>367.84589999999997</v>
      </c>
      <c r="M1121">
        <v>0.99989600000000001</v>
      </c>
      <c r="N1121">
        <v>-1.4171039999999999E-2</v>
      </c>
      <c r="O1121">
        <v>2.7122270000000002E-3</v>
      </c>
      <c r="P1121">
        <v>0.99171609999999999</v>
      </c>
      <c r="Q1121">
        <v>-0.11703330000000001</v>
      </c>
      <c r="R1121">
        <v>-5.2939849999999997E-2</v>
      </c>
      <c r="S1121">
        <v>2.9773100000000001</v>
      </c>
      <c r="T1121">
        <v>-0.16247429999999999</v>
      </c>
      <c r="U1121">
        <v>-0.53344729999999996</v>
      </c>
      <c r="V1121">
        <v>5.5619380000000003E-2</v>
      </c>
      <c r="W1121">
        <v>-0.1029755</v>
      </c>
      <c r="X1121">
        <v>0.9931276</v>
      </c>
      <c r="Y1121">
        <v>0.17870320000000001</v>
      </c>
      <c r="Z1121">
        <v>-6.2200240000000002E-3</v>
      </c>
      <c r="AA1121">
        <v>0.98388339999999996</v>
      </c>
      <c r="AB1121">
        <v>29</v>
      </c>
      <c r="AC1121">
        <v>20.348600000000001</v>
      </c>
      <c r="AD1121">
        <v>-1.1206048683499901</v>
      </c>
      <c r="AE1121">
        <v>-3.67969999999996</v>
      </c>
      <c r="AF1121">
        <v>3.7239458623089798</v>
      </c>
      <c r="AG1121">
        <v>-1.1206048683499901</v>
      </c>
      <c r="AH1121">
        <v>20.278990382653301</v>
      </c>
      <c r="AI1121">
        <v>93.110998698868201</v>
      </c>
      <c r="AJ1121">
        <v>79.594384105568395</v>
      </c>
      <c r="AK1121">
        <v>20.648510333583999</v>
      </c>
      <c r="AL1121">
        <v>95.910539246116898</v>
      </c>
      <c r="AM1121">
        <v>86.794540540627594</v>
      </c>
      <c r="AN1121">
        <v>0.99999994945679505</v>
      </c>
    </row>
    <row r="1122" spans="1:40" x14ac:dyDescent="0.25">
      <c r="A1122" t="str">
        <f>"20190303154749769"</f>
        <v>20190303154749769</v>
      </c>
      <c r="B1122" t="str">
        <f>"1551599269761592"</f>
        <v>1551599269761592</v>
      </c>
      <c r="C1122" t="s">
        <v>40</v>
      </c>
      <c r="D1122">
        <v>4.9536819999999997</v>
      </c>
      <c r="E1122">
        <v>0.54792839999999998</v>
      </c>
      <c r="F1122" t="s">
        <v>41</v>
      </c>
      <c r="G1122">
        <v>-228.99879999999999</v>
      </c>
      <c r="H1122" s="1">
        <v>-1.7687520000000001E-6</v>
      </c>
      <c r="I1122">
        <v>364.197</v>
      </c>
      <c r="J1122">
        <v>-248.92320000000001</v>
      </c>
      <c r="K1122">
        <v>1.1206050000000001</v>
      </c>
      <c r="L1122">
        <v>367.84629999999999</v>
      </c>
      <c r="M1122">
        <v>0.99989600000000001</v>
      </c>
      <c r="N1122">
        <v>-1.41726E-2</v>
      </c>
      <c r="O1122">
        <v>2.6970789999999998E-3</v>
      </c>
      <c r="P1122">
        <v>0.99166799999999999</v>
      </c>
      <c r="Q1122">
        <v>-0.1174342</v>
      </c>
      <c r="R1122">
        <v>-5.2953279999999998E-2</v>
      </c>
      <c r="S1122">
        <v>2.9765929999999998</v>
      </c>
      <c r="T1122">
        <v>-0.16611409999999999</v>
      </c>
      <c r="U1122">
        <v>-0.54089359999999997</v>
      </c>
      <c r="V1122">
        <v>5.5617779999999999E-2</v>
      </c>
      <c r="W1122">
        <v>-0.10337540000000001</v>
      </c>
      <c r="X1122">
        <v>0.99308620000000003</v>
      </c>
      <c r="Y1122">
        <v>0.1810947</v>
      </c>
      <c r="Z1122">
        <v>-6.4146100000000003E-3</v>
      </c>
      <c r="AA1122">
        <v>0.98344480000000001</v>
      </c>
      <c r="AB1122">
        <v>29</v>
      </c>
      <c r="AC1122">
        <v>19.924399999999999</v>
      </c>
      <c r="AD1122">
        <v>-1.1206067687519901</v>
      </c>
      <c r="AE1122">
        <v>-3.64930000000003</v>
      </c>
      <c r="AF1122">
        <v>3.69173090460326</v>
      </c>
      <c r="AG1122">
        <v>-1.1206067687519901</v>
      </c>
      <c r="AH1122">
        <v>19.853719877148102</v>
      </c>
      <c r="AI1122">
        <v>93.176198009165901</v>
      </c>
      <c r="AJ1122">
        <v>79.466351612431694</v>
      </c>
      <c r="AK1122">
        <v>20.225103944416201</v>
      </c>
      <c r="AL1122">
        <v>95.933574431329404</v>
      </c>
      <c r="AM1122">
        <v>86.7944992122206</v>
      </c>
      <c r="AN1122">
        <v>1.0000000057038601</v>
      </c>
    </row>
    <row r="1123" spans="1:40" x14ac:dyDescent="0.25">
      <c r="A1123" t="str">
        <f>"20190303154749781"</f>
        <v>20190303154749781</v>
      </c>
      <c r="B1123" t="str">
        <f>"1551599269771352"</f>
        <v>1551599269771352</v>
      </c>
      <c r="C1123" t="s">
        <v>40</v>
      </c>
      <c r="D1123">
        <v>4.9764369999999998</v>
      </c>
      <c r="E1123">
        <v>0.54823169999999899</v>
      </c>
      <c r="F1123" t="s">
        <v>41</v>
      </c>
      <c r="G1123">
        <v>-230.18600000000001</v>
      </c>
      <c r="H1123" s="1">
        <v>-5.1135070000000002E-6</v>
      </c>
      <c r="I1123">
        <v>364.42419999999998</v>
      </c>
      <c r="J1123">
        <v>-248.7689</v>
      </c>
      <c r="K1123">
        <v>1.1206050000000001</v>
      </c>
      <c r="L1123">
        <v>367.8467</v>
      </c>
      <c r="M1123">
        <v>0.99989589999999995</v>
      </c>
      <c r="N1123">
        <v>-1.4174020000000001E-2</v>
      </c>
      <c r="O1123">
        <v>2.6819330000000001E-3</v>
      </c>
      <c r="P1123">
        <v>0.99165320000000001</v>
      </c>
      <c r="Q1123">
        <v>-0.1175641</v>
      </c>
      <c r="R1123">
        <v>-5.2937829999999998E-2</v>
      </c>
      <c r="S1123">
        <v>2.9751280000000002</v>
      </c>
      <c r="T1123">
        <v>-0.17793129999999999</v>
      </c>
      <c r="U1123">
        <v>-0.54336549999999995</v>
      </c>
      <c r="V1123">
        <v>5.5587379999999999E-2</v>
      </c>
      <c r="W1123">
        <v>-0.1035041</v>
      </c>
      <c r="X1123">
        <v>0.99307449999999997</v>
      </c>
      <c r="Y1123">
        <v>0.18190799999999999</v>
      </c>
      <c r="Z1123">
        <v>-6.8127889999999997E-3</v>
      </c>
      <c r="AA1123">
        <v>0.9832919</v>
      </c>
      <c r="AB1123">
        <v>29</v>
      </c>
      <c r="AC1123">
        <v>18.582899999999999</v>
      </c>
      <c r="AD1123">
        <v>-1.1206101135069999</v>
      </c>
      <c r="AE1123">
        <v>-3.4225000000000101</v>
      </c>
      <c r="AF1123">
        <v>3.4601607707101798</v>
      </c>
      <c r="AG1123">
        <v>-1.1206101135069999</v>
      </c>
      <c r="AH1123">
        <v>18.508555331812399</v>
      </c>
      <c r="AI1123">
        <v>93.405908616441195</v>
      </c>
      <c r="AJ1123">
        <v>79.410831015070201</v>
      </c>
      <c r="AK1123">
        <v>18.862531644941399</v>
      </c>
      <c r="AL1123">
        <v>95.940988147563999</v>
      </c>
      <c r="AM1123">
        <v>86.796209982398906</v>
      </c>
      <c r="AN1123">
        <v>1.00000000904116</v>
      </c>
    </row>
    <row r="1124" spans="1:40" x14ac:dyDescent="0.25">
      <c r="A1124" t="str">
        <f>"20190303154749791"</f>
        <v>20190303154749791</v>
      </c>
      <c r="B1124" t="str">
        <f>"1551599269782089"</f>
        <v>1551599269782089</v>
      </c>
      <c r="C1124" t="s">
        <v>40</v>
      </c>
      <c r="D1124">
        <v>4.9739779999999998</v>
      </c>
      <c r="E1124">
        <v>0.54859939999999996</v>
      </c>
      <c r="F1124" t="s">
        <v>41</v>
      </c>
      <c r="G1124">
        <v>-230.9204</v>
      </c>
      <c r="H1124" s="1">
        <v>-4.7721350000000003E-6</v>
      </c>
      <c r="I1124">
        <v>364.57260000000002</v>
      </c>
      <c r="J1124">
        <v>-248.62029999999999</v>
      </c>
      <c r="K1124">
        <v>1.1206050000000001</v>
      </c>
      <c r="L1124">
        <v>367.84710000000001</v>
      </c>
      <c r="M1124">
        <v>0.99989600000000001</v>
      </c>
      <c r="N1124">
        <v>-1.4175109999999999E-2</v>
      </c>
      <c r="O1124">
        <v>2.6670880000000002E-3</v>
      </c>
      <c r="P1124">
        <v>0.99165859999999995</v>
      </c>
      <c r="Q1124">
        <v>-0.1175562</v>
      </c>
      <c r="R1124">
        <v>-5.2857880000000003E-2</v>
      </c>
      <c r="S1124">
        <v>2.9740139999999999</v>
      </c>
      <c r="T1124">
        <v>-0.18672050000000001</v>
      </c>
      <c r="U1124">
        <v>-0.54553219999999902</v>
      </c>
      <c r="V1124">
        <v>5.5492680000000003E-2</v>
      </c>
      <c r="W1124">
        <v>-0.103495</v>
      </c>
      <c r="X1124">
        <v>0.99308070000000004</v>
      </c>
      <c r="Y1124">
        <v>0.18261379999999999</v>
      </c>
      <c r="Z1124">
        <v>-7.1147600000000004E-3</v>
      </c>
      <c r="AA1124">
        <v>0.98315900000000001</v>
      </c>
      <c r="AB1124">
        <v>29</v>
      </c>
      <c r="AC1124">
        <v>17.6998999999999</v>
      </c>
      <c r="AD1124">
        <v>-1.1206097721349999</v>
      </c>
      <c r="AE1124">
        <v>-3.2744999999999802</v>
      </c>
      <c r="AF1124">
        <v>3.30887601921967</v>
      </c>
      <c r="AG1124">
        <v>-1.1206097721349999</v>
      </c>
      <c r="AH1124">
        <v>17.6228017953962</v>
      </c>
      <c r="AI1124">
        <v>93.576136659340605</v>
      </c>
      <c r="AJ1124">
        <v>79.3658955341525</v>
      </c>
      <c r="AK1124">
        <v>17.965733213308901</v>
      </c>
      <c r="AL1124">
        <v>95.940464205461893</v>
      </c>
      <c r="AM1124">
        <v>86.801676621745301</v>
      </c>
      <c r="AN1124">
        <v>0.99999996463553498</v>
      </c>
    </row>
    <row r="1125" spans="1:40" x14ac:dyDescent="0.25">
      <c r="A1125" t="str">
        <f>"20190303154749805"</f>
        <v>20190303154749805</v>
      </c>
      <c r="B1125" t="str">
        <f>"1551599269801608"</f>
        <v>1551599269801608</v>
      </c>
      <c r="C1125" t="s">
        <v>40</v>
      </c>
      <c r="D1125">
        <v>4.9178249999999997</v>
      </c>
      <c r="E1125">
        <v>0.54905019999999904</v>
      </c>
      <c r="F1125" t="s">
        <v>41</v>
      </c>
      <c r="G1125">
        <v>-231.44329999999999</v>
      </c>
      <c r="H1125" s="1">
        <v>-4.5287889999999996E-6</v>
      </c>
      <c r="I1125">
        <v>364.6798</v>
      </c>
      <c r="J1125">
        <v>-248.44929999999999</v>
      </c>
      <c r="K1125">
        <v>1.1206039999999999</v>
      </c>
      <c r="L1125">
        <v>367.84750000000003</v>
      </c>
      <c r="M1125">
        <v>0.99989600000000001</v>
      </c>
      <c r="N1125">
        <v>-1.417623E-2</v>
      </c>
      <c r="O1125">
        <v>2.6504530000000001E-3</v>
      </c>
      <c r="P1125">
        <v>0.99164770000000002</v>
      </c>
      <c r="Q1125">
        <v>-0.11770410000000001</v>
      </c>
      <c r="R1125">
        <v>-5.2732969999999997E-2</v>
      </c>
      <c r="S1125">
        <v>2.973007</v>
      </c>
      <c r="T1125">
        <v>-0.19395509999999999</v>
      </c>
      <c r="U1125">
        <v>-0.54818730000000004</v>
      </c>
      <c r="V1125">
        <v>5.5351259999999999E-2</v>
      </c>
      <c r="W1125">
        <v>-0.103641899999999</v>
      </c>
      <c r="X1125">
        <v>0.99307330000000005</v>
      </c>
      <c r="Y1125">
        <v>0.18347250000000001</v>
      </c>
      <c r="Z1125">
        <v>-7.3757029999999999E-3</v>
      </c>
      <c r="AA1125">
        <v>0.98299720000000002</v>
      </c>
      <c r="AB1125">
        <v>29</v>
      </c>
      <c r="AC1125">
        <v>17.006</v>
      </c>
      <c r="AD1125">
        <v>-1.120608528789</v>
      </c>
      <c r="AE1125">
        <v>-3.1677000000000199</v>
      </c>
      <c r="AF1125">
        <v>3.1993408671891999</v>
      </c>
      <c r="AG1125">
        <v>-1.120608528789</v>
      </c>
      <c r="AH1125">
        <v>16.926510919667301</v>
      </c>
      <c r="AI1125">
        <v>93.721989481880101</v>
      </c>
      <c r="AJ1125">
        <v>79.296589823637007</v>
      </c>
      <c r="AK1125">
        <v>17.2626277655772</v>
      </c>
      <c r="AL1125">
        <v>95.948926297879098</v>
      </c>
      <c r="AM1125">
        <v>86.809786790650307</v>
      </c>
      <c r="AN1125">
        <v>0.99999999229604297</v>
      </c>
    </row>
    <row r="1126" spans="1:40" x14ac:dyDescent="0.25">
      <c r="A1126" t="str">
        <f>"20190303154749826"</f>
        <v>20190303154749826</v>
      </c>
      <c r="B1126" t="str">
        <f>"1551599269822104"</f>
        <v>1551599269822104</v>
      </c>
      <c r="C1126" t="s">
        <v>40</v>
      </c>
      <c r="D1126">
        <v>4.89621</v>
      </c>
      <c r="E1126">
        <v>0.549616199999999</v>
      </c>
      <c r="F1126" t="s">
        <v>41</v>
      </c>
      <c r="G1126">
        <v>-230.89869999999999</v>
      </c>
      <c r="H1126" s="1">
        <v>-4.777714E-6</v>
      </c>
      <c r="I1126">
        <v>364.59350000000001</v>
      </c>
      <c r="J1126">
        <v>-248.18530000000001</v>
      </c>
      <c r="K1126">
        <v>1.1206039999999999</v>
      </c>
      <c r="L1126">
        <v>367.84820000000002</v>
      </c>
      <c r="M1126">
        <v>0.99989620000000001</v>
      </c>
      <c r="N1126">
        <v>-1.4177439999999999E-2</v>
      </c>
      <c r="O1126">
        <v>2.6249929999999999E-3</v>
      </c>
      <c r="P1126">
        <v>0.99165329999999996</v>
      </c>
      <c r="Q1126">
        <v>-0.11777310000000001</v>
      </c>
      <c r="R1126">
        <v>-5.247243E-2</v>
      </c>
      <c r="S1126">
        <v>2.9734039999999999</v>
      </c>
      <c r="T1126">
        <v>-0.1898513</v>
      </c>
      <c r="U1126">
        <v>-0.55126949999999997</v>
      </c>
      <c r="V1126">
        <v>5.506556E-2</v>
      </c>
      <c r="W1126">
        <v>-0.1037095</v>
      </c>
      <c r="X1126">
        <v>0.99308209999999997</v>
      </c>
      <c r="Y1126">
        <v>0.18442500000000001</v>
      </c>
      <c r="Z1126">
        <v>-7.2814100000000003E-3</v>
      </c>
      <c r="AA1126">
        <v>0.98281960000000002</v>
      </c>
      <c r="AB1126">
        <v>29</v>
      </c>
      <c r="AC1126">
        <v>17.2866</v>
      </c>
      <c r="AD1126">
        <v>-1.1206087777139999</v>
      </c>
      <c r="AE1126">
        <v>-3.2547000000000099</v>
      </c>
      <c r="AF1126">
        <v>3.2867315069932301</v>
      </c>
      <c r="AG1126">
        <v>-1.1206087777139999</v>
      </c>
      <c r="AH1126">
        <v>17.208157560736598</v>
      </c>
      <c r="AI1126">
        <v>93.659910604690495</v>
      </c>
      <c r="AJ1126">
        <v>79.1868290069511</v>
      </c>
      <c r="AK1126">
        <v>17.555029326859199</v>
      </c>
      <c r="AL1126">
        <v>95.952820629973502</v>
      </c>
      <c r="AM1126">
        <v>86.826247650114695</v>
      </c>
      <c r="AN1126">
        <v>0.99999996681438597</v>
      </c>
    </row>
    <row r="1127" spans="1:40" x14ac:dyDescent="0.25">
      <c r="A1127" t="str">
        <f>"20190303154749840"</f>
        <v>20190303154749840</v>
      </c>
      <c r="B1127" t="str">
        <f>"1551599269831864"</f>
        <v>1551599269831864</v>
      </c>
      <c r="C1127" t="s">
        <v>40</v>
      </c>
      <c r="D1127">
        <v>5.0083029999999997</v>
      </c>
      <c r="E1127">
        <v>0.54963549999999906</v>
      </c>
      <c r="F1127" t="s">
        <v>41</v>
      </c>
      <c r="G1127">
        <v>-230.1591</v>
      </c>
      <c r="H1127" s="1">
        <v>-5.1144620000000001E-6</v>
      </c>
      <c r="I1127">
        <v>364.48390000000001</v>
      </c>
      <c r="J1127">
        <v>-247.99100000000001</v>
      </c>
      <c r="K1127">
        <v>1.1206050000000001</v>
      </c>
      <c r="L1127">
        <v>367.84870000000001</v>
      </c>
      <c r="M1127">
        <v>0.99989620000000001</v>
      </c>
      <c r="N1127">
        <v>-1.4178E-2</v>
      </c>
      <c r="O1127">
        <v>2.6061560000000001E-3</v>
      </c>
      <c r="P1127">
        <v>0.99164300000000005</v>
      </c>
      <c r="Q1127">
        <v>-0.118021</v>
      </c>
      <c r="R1127">
        <v>-5.211097E-2</v>
      </c>
      <c r="S1127">
        <v>2.9739230000000001</v>
      </c>
      <c r="T1127">
        <v>-0.1848747</v>
      </c>
      <c r="U1127">
        <v>-0.55502320000000005</v>
      </c>
      <c r="V1127">
        <v>5.4685129999999998E-2</v>
      </c>
      <c r="W1127">
        <v>-0.10395699999999999</v>
      </c>
      <c r="X1127">
        <v>0.99307730000000005</v>
      </c>
      <c r="Y1127">
        <v>0.18559339999999999</v>
      </c>
      <c r="Z1127">
        <v>-7.16637E-3</v>
      </c>
      <c r="AA1127">
        <v>0.98260049999999999</v>
      </c>
      <c r="AB1127">
        <v>29</v>
      </c>
      <c r="AC1127">
        <v>17.831899999999901</v>
      </c>
      <c r="AD1127">
        <v>-1.12061011446199</v>
      </c>
      <c r="AE1127">
        <v>-3.3647999999999998</v>
      </c>
      <c r="AF1127">
        <v>3.3983066415862599</v>
      </c>
      <c r="AG1127">
        <v>-1.12061011446199</v>
      </c>
      <c r="AH1127">
        <v>17.7553599883489</v>
      </c>
      <c r="AI1127">
        <v>93.547153117237997</v>
      </c>
      <c r="AJ1127">
        <v>79.164849174864003</v>
      </c>
      <c r="AK1127">
        <v>18.112345606650301</v>
      </c>
      <c r="AL1127">
        <v>95.967078069490199</v>
      </c>
      <c r="AM1127">
        <v>86.848114504880797</v>
      </c>
      <c r="AN1127">
        <v>1.0000000225337</v>
      </c>
    </row>
    <row r="1128" spans="1:40" x14ac:dyDescent="0.25">
      <c r="A1128" t="str">
        <f>"20190303154749852"</f>
        <v>20190303154749852</v>
      </c>
      <c r="B1128" t="str">
        <f>"1551599269842131"</f>
        <v>1551599269842131</v>
      </c>
      <c r="C1128" t="s">
        <v>40</v>
      </c>
      <c r="D1128">
        <v>5.1081029999999998</v>
      </c>
      <c r="E1128">
        <v>0.54976550000000002</v>
      </c>
      <c r="F1128" t="s">
        <v>41</v>
      </c>
      <c r="G1128">
        <v>-229.9675</v>
      </c>
      <c r="H1128" s="1">
        <v>-5.1952480000000003E-6</v>
      </c>
      <c r="I1128">
        <v>364.49189999999999</v>
      </c>
      <c r="J1128">
        <v>-247.83340000000001</v>
      </c>
      <c r="K1128">
        <v>1.120603</v>
      </c>
      <c r="L1128">
        <v>367.84910000000002</v>
      </c>
      <c r="M1128">
        <v>0.99989629999999996</v>
      </c>
      <c r="N1128">
        <v>-1.417821E-2</v>
      </c>
      <c r="O1128">
        <v>2.590658E-3</v>
      </c>
      <c r="P1128">
        <v>0.99166600000000005</v>
      </c>
      <c r="Q1128">
        <v>-0.1178382</v>
      </c>
      <c r="R1128">
        <v>-5.2089030000000001E-2</v>
      </c>
      <c r="S1128">
        <v>2.9741819999999999</v>
      </c>
      <c r="T1128">
        <v>-0.18491840000000001</v>
      </c>
      <c r="U1128">
        <v>-0.55392459999999999</v>
      </c>
      <c r="V1128">
        <v>5.4648000000000002E-2</v>
      </c>
      <c r="W1128">
        <v>-0.10377359999999999</v>
      </c>
      <c r="X1128">
        <v>0.9930985</v>
      </c>
      <c r="Y1128">
        <v>0.18521260000000001</v>
      </c>
      <c r="Z1128">
        <v>-7.1522369999999997E-3</v>
      </c>
      <c r="AA1128">
        <v>0.98267249999999995</v>
      </c>
      <c r="AB1128">
        <v>29</v>
      </c>
      <c r="AC1128">
        <v>17.8659</v>
      </c>
      <c r="AD1128">
        <v>-1.120608195248</v>
      </c>
      <c r="AE1128">
        <v>-3.3572000000000299</v>
      </c>
      <c r="AF1128">
        <v>3.3905934529428601</v>
      </c>
      <c r="AG1128">
        <v>-1.120608195248</v>
      </c>
      <c r="AH1128">
        <v>17.7895409961409</v>
      </c>
      <c r="AI1128">
        <v>93.540870374094595</v>
      </c>
      <c r="AJ1128">
        <v>79.209146104361594</v>
      </c>
      <c r="AK1128">
        <v>18.144411137972298</v>
      </c>
      <c r="AL1128">
        <v>95.956513031246402</v>
      </c>
      <c r="AM1128">
        <v>86.850317358654493</v>
      </c>
      <c r="AN1128">
        <v>0.99999999733160505</v>
      </c>
    </row>
    <row r="1129" spans="1:40" x14ac:dyDescent="0.25">
      <c r="A1129" t="str">
        <f>"20190303154749864"</f>
        <v>20190303154749864</v>
      </c>
      <c r="B1129" t="str">
        <f>"1551599269861650"</f>
        <v>1551599269861650</v>
      </c>
      <c r="C1129" t="s">
        <v>40</v>
      </c>
      <c r="D1129">
        <v>4.986478</v>
      </c>
      <c r="E1129">
        <v>0.55009549999999996</v>
      </c>
      <c r="F1129" t="s">
        <v>41</v>
      </c>
      <c r="G1129">
        <v>-229.65379999999999</v>
      </c>
      <c r="H1129" s="1">
        <v>-1.4765129999999999E-6</v>
      </c>
      <c r="I1129">
        <v>364.45749999999998</v>
      </c>
      <c r="J1129">
        <v>-247.67689999999999</v>
      </c>
      <c r="K1129">
        <v>1.120603</v>
      </c>
      <c r="L1129">
        <v>367.84949999999998</v>
      </c>
      <c r="M1129">
        <v>0.99989620000000001</v>
      </c>
      <c r="N1129">
        <v>-1.4178339999999999E-2</v>
      </c>
      <c r="O1129">
        <v>2.5753410000000001E-3</v>
      </c>
      <c r="P1129">
        <v>0.9916469</v>
      </c>
      <c r="Q1129">
        <v>-0.1180147</v>
      </c>
      <c r="R1129">
        <v>-5.204719E-2</v>
      </c>
      <c r="S1129">
        <v>2.9742739999999999</v>
      </c>
      <c r="T1129">
        <v>-0.18333569999999999</v>
      </c>
      <c r="U1129">
        <v>-0.55487059999999999</v>
      </c>
      <c r="V1129">
        <v>5.4591220000000003E-2</v>
      </c>
      <c r="W1129">
        <v>-0.10395020000000001</v>
      </c>
      <c r="X1129">
        <v>0.99308320000000005</v>
      </c>
      <c r="Y1129">
        <v>0.1855002</v>
      </c>
      <c r="Z1129">
        <v>-7.1119520000000004E-3</v>
      </c>
      <c r="AA1129">
        <v>0.98261849999999995</v>
      </c>
      <c r="AB1129">
        <v>29</v>
      </c>
      <c r="AC1129">
        <v>18.023099999999999</v>
      </c>
      <c r="AD1129">
        <v>-1.1206044765129901</v>
      </c>
      <c r="AE1129">
        <v>-3.3919999999999901</v>
      </c>
      <c r="AF1129">
        <v>3.4256191139462899</v>
      </c>
      <c r="AG1129">
        <v>-1.1206044765129901</v>
      </c>
      <c r="AH1129">
        <v>17.947295570916999</v>
      </c>
      <c r="AI1129">
        <v>93.509635068903606</v>
      </c>
      <c r="AJ1129">
        <v>79.193872125560404</v>
      </c>
      <c r="AK1129">
        <v>18.3056286157146</v>
      </c>
      <c r="AL1129">
        <v>95.966686208782804</v>
      </c>
      <c r="AM1129">
        <v>86.853534964004893</v>
      </c>
      <c r="AN1129">
        <v>1.0000000437516801</v>
      </c>
    </row>
    <row r="1130" spans="1:40" x14ac:dyDescent="0.25">
      <c r="A1130" t="str">
        <f>"20190303154749876"</f>
        <v>20190303154749876</v>
      </c>
      <c r="B1130" t="str">
        <f>"1551599269871410"</f>
        <v>1551599269871410</v>
      </c>
      <c r="C1130" t="s">
        <v>40</v>
      </c>
      <c r="D1130">
        <v>5.0127790000000001</v>
      </c>
      <c r="E1130">
        <v>0.55026909999999996</v>
      </c>
      <c r="F1130" t="s">
        <v>41</v>
      </c>
      <c r="G1130">
        <v>-229.30840000000001</v>
      </c>
      <c r="H1130" s="1">
        <v>-1.60743E-6</v>
      </c>
      <c r="I1130">
        <v>364.40730000000002</v>
      </c>
      <c r="J1130">
        <v>-247.52330000000001</v>
      </c>
      <c r="K1130">
        <v>1.1206039999999999</v>
      </c>
      <c r="L1130">
        <v>367.84989999999999</v>
      </c>
      <c r="M1130">
        <v>0.99989640000000002</v>
      </c>
      <c r="N1130">
        <v>-1.4178329999999999E-2</v>
      </c>
      <c r="O1130">
        <v>2.5600269999999999E-3</v>
      </c>
      <c r="P1130">
        <v>0.9916336</v>
      </c>
      <c r="Q1130">
        <v>-0.118258</v>
      </c>
      <c r="R1130">
        <v>-5.1756429999999999E-2</v>
      </c>
      <c r="S1130">
        <v>2.9744259999999998</v>
      </c>
      <c r="T1130">
        <v>-0.18145900000000001</v>
      </c>
      <c r="U1130">
        <v>-0.55737300000000001</v>
      </c>
      <c r="V1130">
        <v>5.4284829999999999E-2</v>
      </c>
      <c r="W1130">
        <v>-0.1041936</v>
      </c>
      <c r="X1130">
        <v>0.99307449999999997</v>
      </c>
      <c r="Y1130">
        <v>0.186281</v>
      </c>
      <c r="Z1130">
        <v>-7.0802900000000004E-3</v>
      </c>
      <c r="AA1130">
        <v>0.98247099999999998</v>
      </c>
      <c r="AB1130">
        <v>29</v>
      </c>
      <c r="AC1130">
        <v>18.2149</v>
      </c>
      <c r="AD1130">
        <v>-1.1206056074299999</v>
      </c>
      <c r="AE1130">
        <v>-3.4425999999999699</v>
      </c>
      <c r="AF1130">
        <v>3.4765196345039202</v>
      </c>
      <c r="AG1130">
        <v>-1.1206056074299999</v>
      </c>
      <c r="AH1130">
        <v>18.139737436735999</v>
      </c>
      <c r="AI1130">
        <v>93.471997742329805</v>
      </c>
      <c r="AJ1130">
        <v>79.150697782935097</v>
      </c>
      <c r="AK1130">
        <v>18.503837979463</v>
      </c>
      <c r="AL1130">
        <v>95.980708070859606</v>
      </c>
      <c r="AM1130">
        <v>86.871131771322794</v>
      </c>
      <c r="AN1130">
        <v>1.00000005579966</v>
      </c>
    </row>
    <row r="1131" spans="1:40" x14ac:dyDescent="0.25">
      <c r="A1131" t="str">
        <f>"20190303154749890"</f>
        <v>20190303154749890</v>
      </c>
      <c r="B1131" t="str">
        <f>"1551599269882146"</f>
        <v>1551599269882146</v>
      </c>
      <c r="C1131" t="s">
        <v>40</v>
      </c>
      <c r="D1131">
        <v>5.0218600000000002</v>
      </c>
      <c r="E1131">
        <v>0.55046399999999995</v>
      </c>
      <c r="F1131" t="s">
        <v>41</v>
      </c>
      <c r="G1131">
        <v>-229.16059999999999</v>
      </c>
      <c r="H1131" s="1">
        <v>-1.6584540000000001E-6</v>
      </c>
      <c r="I1131">
        <v>364.40460000000002</v>
      </c>
      <c r="J1131">
        <v>-247.3305</v>
      </c>
      <c r="K1131">
        <v>1.1206050000000001</v>
      </c>
      <c r="L1131">
        <v>367.8503</v>
      </c>
      <c r="M1131">
        <v>0.99989629999999996</v>
      </c>
      <c r="N1131">
        <v>-1.417816E-2</v>
      </c>
      <c r="O1131">
        <v>2.541195E-3</v>
      </c>
      <c r="P1131">
        <v>0.99161589999999999</v>
      </c>
      <c r="Q1131">
        <v>-0.1184712</v>
      </c>
      <c r="R1131">
        <v>-5.1603250000000003E-2</v>
      </c>
      <c r="S1131">
        <v>2.9745180000000002</v>
      </c>
      <c r="T1131">
        <v>-0.18152270000000001</v>
      </c>
      <c r="U1131">
        <v>-0.55807499999999999</v>
      </c>
      <c r="V1131">
        <v>5.4113040000000001E-2</v>
      </c>
      <c r="W1131">
        <v>-0.1044071</v>
      </c>
      <c r="X1131">
        <v>0.99306139999999998</v>
      </c>
      <c r="Y1131">
        <v>0.18648029999999999</v>
      </c>
      <c r="Z1131">
        <v>-7.0886109999999999E-3</v>
      </c>
      <c r="AA1131">
        <v>0.98243309999999995</v>
      </c>
      <c r="AB1131">
        <v>29</v>
      </c>
      <c r="AC1131">
        <v>18.169899999999998</v>
      </c>
      <c r="AD1131">
        <v>-1.12060665845399</v>
      </c>
      <c r="AE1131">
        <v>-3.44569999999998</v>
      </c>
      <c r="AF1131">
        <v>3.4790928766047799</v>
      </c>
      <c r="AG1131">
        <v>-1.12060665845399</v>
      </c>
      <c r="AH1131">
        <v>18.0946476418797</v>
      </c>
      <c r="AI1131">
        <v>93.480233189859106</v>
      </c>
      <c r="AJ1131">
        <v>79.116448754249006</v>
      </c>
      <c r="AK1131">
        <v>18.460122421338301</v>
      </c>
      <c r="AL1131">
        <v>95.993008115953899</v>
      </c>
      <c r="AM1131">
        <v>86.880972757222906</v>
      </c>
      <c r="AN1131">
        <v>1.0000000038992001</v>
      </c>
    </row>
    <row r="1132" spans="1:40" x14ac:dyDescent="0.25">
      <c r="A1132" t="str">
        <f>"20190303154749902"</f>
        <v>20190303154749902</v>
      </c>
      <c r="B1132" t="str">
        <f>"1551599269891907"</f>
        <v>1551599269891907</v>
      </c>
      <c r="C1132" t="s">
        <v>40</v>
      </c>
      <c r="D1132">
        <v>5.0318889999999996</v>
      </c>
      <c r="E1132">
        <v>0.5506645</v>
      </c>
      <c r="F1132" t="s">
        <v>41</v>
      </c>
      <c r="G1132">
        <v>-228.93879999999999</v>
      </c>
      <c r="H1132" s="1">
        <v>-1.7371559999999999E-6</v>
      </c>
      <c r="I1132">
        <v>364.39240000000001</v>
      </c>
      <c r="J1132">
        <v>-247.17750000000001</v>
      </c>
      <c r="K1132">
        <v>1.1206050000000001</v>
      </c>
      <c r="L1132">
        <v>367.85070000000002</v>
      </c>
      <c r="M1132">
        <v>0.99989649999999997</v>
      </c>
      <c r="N1132">
        <v>-1.417795E-2</v>
      </c>
      <c r="O1132">
        <v>2.5261770000000001E-3</v>
      </c>
      <c r="P1132">
        <v>0.99165340000000002</v>
      </c>
      <c r="Q1132">
        <v>-0.11830160000000001</v>
      </c>
      <c r="R1132">
        <v>-5.1270940000000001E-2</v>
      </c>
      <c r="S1132">
        <v>2.9746090000000001</v>
      </c>
      <c r="T1132">
        <v>-0.1812426</v>
      </c>
      <c r="U1132">
        <v>-0.55926509999999996</v>
      </c>
      <c r="V1132">
        <v>5.376587E-2</v>
      </c>
      <c r="W1132">
        <v>-0.1042372</v>
      </c>
      <c r="X1132">
        <v>0.99309809999999998</v>
      </c>
      <c r="Y1132">
        <v>0.18684029999999999</v>
      </c>
      <c r="Z1132">
        <v>-7.0920740000000003E-3</v>
      </c>
      <c r="AA1132">
        <v>0.98236469999999998</v>
      </c>
      <c r="AB1132">
        <v>29</v>
      </c>
      <c r="AC1132">
        <v>18.238700000000001</v>
      </c>
      <c r="AD1132">
        <v>-1.12060673715599</v>
      </c>
      <c r="AE1132">
        <v>-3.4582999999999999</v>
      </c>
      <c r="AF1132">
        <v>3.49164421246644</v>
      </c>
      <c r="AG1132">
        <v>-1.12060673715599</v>
      </c>
      <c r="AH1132">
        <v>18.1637160274596</v>
      </c>
      <c r="AI1132">
        <v>93.467057744683302</v>
      </c>
      <c r="AJ1132">
        <v>79.118665064407296</v>
      </c>
      <c r="AK1132">
        <v>18.530189386296101</v>
      </c>
      <c r="AL1132">
        <v>95.983220182428994</v>
      </c>
      <c r="AM1132">
        <v>86.901058496990998</v>
      </c>
      <c r="AN1132">
        <v>0.99999999943215301</v>
      </c>
    </row>
    <row r="1133" spans="1:40" x14ac:dyDescent="0.25">
      <c r="A1133" t="str">
        <f>"20190303154749914"</f>
        <v>20190303154749914</v>
      </c>
      <c r="B1133" t="str">
        <f>"1551599269911426"</f>
        <v>1551599269911426</v>
      </c>
      <c r="C1133" t="s">
        <v>40</v>
      </c>
      <c r="D1133">
        <v>4.9581629999999999</v>
      </c>
      <c r="E1133">
        <v>0.55090059999999996</v>
      </c>
      <c r="F1133" t="s">
        <v>41</v>
      </c>
      <c r="G1133">
        <v>-228.64760000000001</v>
      </c>
      <c r="H1133" s="1">
        <v>-1.8441489999999999E-6</v>
      </c>
      <c r="I1133">
        <v>364.36290000000002</v>
      </c>
      <c r="J1133">
        <v>-247.0187</v>
      </c>
      <c r="K1133">
        <v>1.120606</v>
      </c>
      <c r="L1133">
        <v>367.85109999999997</v>
      </c>
      <c r="M1133">
        <v>0.99989649999999997</v>
      </c>
      <c r="N1133">
        <v>-1.417757E-2</v>
      </c>
      <c r="O1133">
        <v>2.5110380000000002E-3</v>
      </c>
      <c r="P1133">
        <v>0.99166920000000003</v>
      </c>
      <c r="Q1133">
        <v>-0.1180788</v>
      </c>
      <c r="R1133">
        <v>-5.1478830000000003E-2</v>
      </c>
      <c r="S1133">
        <v>2.9748230000000002</v>
      </c>
      <c r="T1133">
        <v>-0.179902799999999</v>
      </c>
      <c r="U1133">
        <v>-0.55993649999999995</v>
      </c>
      <c r="V1133">
        <v>5.3958869999999999E-2</v>
      </c>
      <c r="W1133">
        <v>-0.1040146</v>
      </c>
      <c r="X1133">
        <v>0.99311099999999997</v>
      </c>
      <c r="Y1133">
        <v>0.1870319</v>
      </c>
      <c r="Z1133">
        <v>-7.0552130000000003E-3</v>
      </c>
      <c r="AA1133">
        <v>0.98232850000000005</v>
      </c>
      <c r="AB1133">
        <v>29</v>
      </c>
      <c r="AC1133">
        <v>18.371099999999899</v>
      </c>
      <c r="AD1133">
        <v>-1.1206078441489999</v>
      </c>
      <c r="AE1133">
        <v>-3.48819999999994</v>
      </c>
      <c r="AF1133">
        <v>3.5216766567901701</v>
      </c>
      <c r="AG1133">
        <v>-1.1206078441489999</v>
      </c>
      <c r="AH1133">
        <v>18.2965731536143</v>
      </c>
      <c r="AI1133">
        <v>93.441790090362105</v>
      </c>
      <c r="AJ1133">
        <v>79.1050970012748</v>
      </c>
      <c r="AK1133">
        <v>18.666080402186999</v>
      </c>
      <c r="AL1133">
        <v>95.970396265424299</v>
      </c>
      <c r="AM1133">
        <v>86.889996536604997</v>
      </c>
      <c r="AN1133">
        <v>1.0000000274929099</v>
      </c>
    </row>
    <row r="1134" spans="1:40" x14ac:dyDescent="0.25">
      <c r="A1134" t="str">
        <f>"20190303154749926"</f>
        <v>20190303154749926</v>
      </c>
      <c r="B1134" t="str">
        <f>"1551599269922162"</f>
        <v>1551599269922162</v>
      </c>
      <c r="C1134" t="s">
        <v>40</v>
      </c>
      <c r="D1134">
        <v>4.9832580000000002</v>
      </c>
      <c r="E1134">
        <v>0.55107059999999997</v>
      </c>
      <c r="F1134" t="s">
        <v>41</v>
      </c>
      <c r="G1134">
        <v>-228.33949999999999</v>
      </c>
      <c r="H1134" s="1">
        <v>-1.960121E-6</v>
      </c>
      <c r="I1134">
        <v>364.32100000000003</v>
      </c>
      <c r="J1134">
        <v>-246.86920000000001</v>
      </c>
      <c r="K1134">
        <v>1.120609</v>
      </c>
      <c r="L1134">
        <v>367.85149999999999</v>
      </c>
      <c r="M1134">
        <v>0.99989649999999997</v>
      </c>
      <c r="N1134">
        <v>-1.417712E-2</v>
      </c>
      <c r="O1134">
        <v>2.4963799999999999E-3</v>
      </c>
      <c r="P1134">
        <v>0.99167780000000005</v>
      </c>
      <c r="Q1134">
        <v>-0.118031</v>
      </c>
      <c r="R1134">
        <v>-5.1419800000000002E-2</v>
      </c>
      <c r="S1134">
        <v>2.9748079999999999</v>
      </c>
      <c r="T1134">
        <v>-0.1784645</v>
      </c>
      <c r="U1134">
        <v>-0.56219479999999999</v>
      </c>
      <c r="V1134">
        <v>5.3885490000000001E-2</v>
      </c>
      <c r="W1134">
        <v>-0.10396710000000001</v>
      </c>
      <c r="X1134">
        <v>0.99312</v>
      </c>
      <c r="Y1134">
        <v>0.18774299999999999</v>
      </c>
      <c r="Z1134">
        <v>-7.034523E-3</v>
      </c>
      <c r="AA1134">
        <v>0.98219299999999998</v>
      </c>
      <c r="AB1134">
        <v>29</v>
      </c>
      <c r="AC1134">
        <v>18.529699999999998</v>
      </c>
      <c r="AD1134">
        <v>-1.1206109601209999</v>
      </c>
      <c r="AE1134">
        <v>-3.5305000000000102</v>
      </c>
      <c r="AF1134">
        <v>3.5641718434829301</v>
      </c>
      <c r="AG1134">
        <v>-1.1206109601209999</v>
      </c>
      <c r="AH1134">
        <v>18.455692540809402</v>
      </c>
      <c r="AI1134">
        <v>93.4117889965014</v>
      </c>
      <c r="AJ1134">
        <v>79.0695723086897</v>
      </c>
      <c r="AK1134">
        <v>18.830073738960898</v>
      </c>
      <c r="AL1134">
        <v>95.967659630442796</v>
      </c>
      <c r="AM1134">
        <v>86.894245712171497</v>
      </c>
      <c r="AN1134">
        <v>1.00000006915747</v>
      </c>
    </row>
    <row r="1135" spans="1:40" x14ac:dyDescent="0.25">
      <c r="A1135" t="str">
        <f>"20190303154749938"</f>
        <v>20190303154749938</v>
      </c>
      <c r="B1135" t="str">
        <f>"1551599269931922"</f>
        <v>1551599269931922</v>
      </c>
      <c r="C1135" t="s">
        <v>40</v>
      </c>
      <c r="D1135">
        <v>4.9893780000000003</v>
      </c>
      <c r="E1135">
        <v>0.55121509999999996</v>
      </c>
      <c r="F1135" t="s">
        <v>41</v>
      </c>
      <c r="G1135">
        <v>-228.0891</v>
      </c>
      <c r="H1135" s="1">
        <v>-2.0526079999999998E-6</v>
      </c>
      <c r="I1135">
        <v>364.29360000000003</v>
      </c>
      <c r="J1135">
        <v>-246.714</v>
      </c>
      <c r="K1135">
        <v>1.120611</v>
      </c>
      <c r="L1135">
        <v>367.85180000000003</v>
      </c>
      <c r="M1135">
        <v>0.99989660000000002</v>
      </c>
      <c r="N1135">
        <v>-1.417655E-2</v>
      </c>
      <c r="O1135">
        <v>2.4810700000000002E-3</v>
      </c>
      <c r="P1135">
        <v>0.99174490000000004</v>
      </c>
      <c r="Q1135">
        <v>-0.1174877</v>
      </c>
      <c r="R1135">
        <v>-5.1370989999999998E-2</v>
      </c>
      <c r="S1135">
        <v>2.9748380000000001</v>
      </c>
      <c r="T1135">
        <v>-0.17750859999999999</v>
      </c>
      <c r="U1135">
        <v>-0.56356809999999902</v>
      </c>
      <c r="V1135">
        <v>5.3821809999999998E-2</v>
      </c>
      <c r="W1135">
        <v>-0.1034234</v>
      </c>
      <c r="X1135">
        <v>0.99318019999999996</v>
      </c>
      <c r="Y1135">
        <v>0.1881669</v>
      </c>
      <c r="Z1135">
        <v>-7.0184699999999997E-3</v>
      </c>
      <c r="AA1135">
        <v>0.98211199999999999</v>
      </c>
      <c r="AB1135">
        <v>29</v>
      </c>
      <c r="AC1135">
        <v>18.6249</v>
      </c>
      <c r="AD1135">
        <v>-1.120613052608</v>
      </c>
      <c r="AE1135">
        <v>-3.5581999999999998</v>
      </c>
      <c r="AF1135">
        <v>3.5918582654974598</v>
      </c>
      <c r="AG1135">
        <v>-1.120613052608</v>
      </c>
      <c r="AH1135">
        <v>18.551220745320801</v>
      </c>
      <c r="AI1135">
        <v>93.393953424385103</v>
      </c>
      <c r="AJ1135">
        <v>79.042069063080902</v>
      </c>
      <c r="AK1135">
        <v>18.928946366734699</v>
      </c>
      <c r="AL1135">
        <v>95.936339195769406</v>
      </c>
      <c r="AM1135">
        <v>86.898096473164998</v>
      </c>
      <c r="AN1135">
        <v>1.0000000482856299</v>
      </c>
    </row>
    <row r="1136" spans="1:40" x14ac:dyDescent="0.25">
      <c r="A1136" t="str">
        <f>"20190303154749949"</f>
        <v>20190303154749949</v>
      </c>
      <c r="B1136" t="str">
        <f>"1551599269942016"</f>
        <v>1551599269942016</v>
      </c>
      <c r="C1136" t="s">
        <v>40</v>
      </c>
      <c r="D1136">
        <v>4.9917920000000002</v>
      </c>
      <c r="E1136">
        <v>0.55140259999999996</v>
      </c>
      <c r="F1136" t="s">
        <v>41</v>
      </c>
      <c r="G1136">
        <v>-227.6592</v>
      </c>
      <c r="H1136" s="1">
        <v>-2.2143970000000001E-6</v>
      </c>
      <c r="I1136">
        <v>364.2355</v>
      </c>
      <c r="J1136">
        <v>-246.57169999999999</v>
      </c>
      <c r="K1136">
        <v>1.120614</v>
      </c>
      <c r="L1136">
        <v>367.85210000000001</v>
      </c>
      <c r="M1136">
        <v>0.99989649999999997</v>
      </c>
      <c r="N1136">
        <v>-1.417597E-2</v>
      </c>
      <c r="O1136">
        <v>2.4672470000000001E-3</v>
      </c>
      <c r="P1136">
        <v>0.99177510000000002</v>
      </c>
      <c r="Q1136">
        <v>-0.1173429</v>
      </c>
      <c r="R1136">
        <v>-5.1116689999999999E-2</v>
      </c>
      <c r="S1136">
        <v>2.975006</v>
      </c>
      <c r="T1136">
        <v>-0.17495920000000001</v>
      </c>
      <c r="U1136">
        <v>-0.56460569999999999</v>
      </c>
      <c r="V1136">
        <v>5.3553839999999998E-2</v>
      </c>
      <c r="W1136">
        <v>-0.1032787</v>
      </c>
      <c r="X1136">
        <v>0.99320969999999997</v>
      </c>
      <c r="Y1136">
        <v>0.1884837</v>
      </c>
      <c r="Z1136">
        <v>-6.9469939999999997E-3</v>
      </c>
      <c r="AA1136">
        <v>0.98205169999999997</v>
      </c>
      <c r="AB1136">
        <v>29</v>
      </c>
      <c r="AC1136">
        <v>18.912499999999898</v>
      </c>
      <c r="AD1136">
        <v>-1.120616214397</v>
      </c>
      <c r="AE1136">
        <v>-3.6166</v>
      </c>
      <c r="AF1136">
        <v>3.6508898415276998</v>
      </c>
      <c r="AG1136">
        <v>-1.120616214397</v>
      </c>
      <c r="AH1136">
        <v>18.839707971860701</v>
      </c>
      <c r="AI1136">
        <v>93.342005963472403</v>
      </c>
      <c r="AJ1136">
        <v>79.032761983628802</v>
      </c>
      <c r="AK1136">
        <v>19.222886718698899</v>
      </c>
      <c r="AL1136">
        <v>95.928004112750997</v>
      </c>
      <c r="AM1136">
        <v>86.913601905827306</v>
      </c>
      <c r="AN1136">
        <v>1.0000000059132601</v>
      </c>
    </row>
    <row r="1137" spans="1:40" x14ac:dyDescent="0.25">
      <c r="A1137" t="str">
        <f>"20190303154749961"</f>
        <v>20190303154749961</v>
      </c>
      <c r="B1137" t="str">
        <f>"1551599269951775"</f>
        <v>1551599269951775</v>
      </c>
      <c r="C1137" t="s">
        <v>40</v>
      </c>
      <c r="D1137">
        <v>5.01396</v>
      </c>
      <c r="E1137">
        <v>0.55160949999999997</v>
      </c>
      <c r="F1137" t="s">
        <v>41</v>
      </c>
      <c r="G1137">
        <v>-227.35120000000001</v>
      </c>
      <c r="H1137" s="1">
        <v>-2.3284189999999999E-6</v>
      </c>
      <c r="I1137">
        <v>364.20089999999999</v>
      </c>
      <c r="J1137">
        <v>-246.41249999999999</v>
      </c>
      <c r="K1137">
        <v>1.1206149999999999</v>
      </c>
      <c r="L1137">
        <v>367.85250000000002</v>
      </c>
      <c r="M1137">
        <v>0.99989660000000002</v>
      </c>
      <c r="N1137">
        <v>-1.4175299999999899E-2</v>
      </c>
      <c r="O1137">
        <v>2.4514570000000002E-3</v>
      </c>
      <c r="P1137">
        <v>0.99185380000000001</v>
      </c>
      <c r="Q1137">
        <v>-0.1168443</v>
      </c>
      <c r="R1137">
        <v>-5.0732810000000003E-2</v>
      </c>
      <c r="S1137">
        <v>2.9752200000000002</v>
      </c>
      <c r="T1137">
        <v>-0.1734637</v>
      </c>
      <c r="U1137">
        <v>-0.56518550000000001</v>
      </c>
      <c r="V1137">
        <v>5.3154409999999999E-2</v>
      </c>
      <c r="W1137">
        <v>-0.1027797</v>
      </c>
      <c r="X1137">
        <v>0.99328289999999997</v>
      </c>
      <c r="Y1137">
        <v>0.1886458</v>
      </c>
      <c r="Z1137">
        <v>-6.9035269999999996E-3</v>
      </c>
      <c r="AA1137">
        <v>0.98202089999999997</v>
      </c>
      <c r="AB1137">
        <v>29</v>
      </c>
      <c r="AC1137">
        <v>19.0612999999999</v>
      </c>
      <c r="AD1137">
        <v>-1.120617328419</v>
      </c>
      <c r="AE1137">
        <v>-3.6516000000000299</v>
      </c>
      <c r="AF1137">
        <v>3.68603269306149</v>
      </c>
      <c r="AG1137">
        <v>-1.120617328419</v>
      </c>
      <c r="AH1137">
        <v>18.988982103515401</v>
      </c>
      <c r="AI1137">
        <v>93.315593877404098</v>
      </c>
      <c r="AJ1137">
        <v>79.014687831197307</v>
      </c>
      <c r="AK1137">
        <v>19.375862859204499</v>
      </c>
      <c r="AL1137">
        <v>95.899260656668503</v>
      </c>
      <c r="AM1137">
        <v>86.936803048859105</v>
      </c>
      <c r="AN1137">
        <v>0.99999998873347395</v>
      </c>
    </row>
    <row r="1138" spans="1:40" x14ac:dyDescent="0.25">
      <c r="A1138" t="str">
        <f>"20190303154749973"</f>
        <v>20190303154749973</v>
      </c>
      <c r="B1138" t="str">
        <f>"1551599269961537"</f>
        <v>1551599269961537</v>
      </c>
      <c r="C1138" t="s">
        <v>40</v>
      </c>
      <c r="D1138">
        <v>5.016553</v>
      </c>
      <c r="E1138">
        <v>0.55174639999999997</v>
      </c>
      <c r="F1138" t="s">
        <v>41</v>
      </c>
      <c r="G1138">
        <v>-226.90819999999999</v>
      </c>
      <c r="H1138" s="1">
        <v>-2.494385E-6</v>
      </c>
      <c r="I1138">
        <v>364.14359999999999</v>
      </c>
      <c r="J1138">
        <v>-246.25470000000001</v>
      </c>
      <c r="K1138">
        <v>1.1206160000000001</v>
      </c>
      <c r="L1138">
        <v>367.85289999999998</v>
      </c>
      <c r="M1138">
        <v>0.99989669999999997</v>
      </c>
      <c r="N1138">
        <v>-1.4174529999999999E-2</v>
      </c>
      <c r="O1138">
        <v>2.4361449999999998E-3</v>
      </c>
      <c r="P1138">
        <v>0.99195860000000002</v>
      </c>
      <c r="Q1138">
        <v>-0.1160476</v>
      </c>
      <c r="R1138">
        <v>-5.0513790000000003E-2</v>
      </c>
      <c r="S1138">
        <v>2.9755549999999999</v>
      </c>
      <c r="T1138">
        <v>-0.17095969999999999</v>
      </c>
      <c r="U1138">
        <v>-0.56582639999999995</v>
      </c>
      <c r="V1138">
        <v>5.292057E-2</v>
      </c>
      <c r="W1138">
        <v>-0.1019822</v>
      </c>
      <c r="X1138">
        <v>0.99337759999999997</v>
      </c>
      <c r="Y1138">
        <v>0.1888244</v>
      </c>
      <c r="Z1138">
        <v>-6.8279009999999999E-3</v>
      </c>
      <c r="AA1138">
        <v>0.9819871</v>
      </c>
      <c r="AB1138">
        <v>29</v>
      </c>
      <c r="AC1138">
        <v>19.346499999999999</v>
      </c>
      <c r="AD1138">
        <v>-1.1206184943849999</v>
      </c>
      <c r="AE1138">
        <v>-3.7092999999999798</v>
      </c>
      <c r="AF1138">
        <v>3.7443073543389001</v>
      </c>
      <c r="AG1138">
        <v>-1.1206184943849999</v>
      </c>
      <c r="AH1138">
        <v>19.275027859921799</v>
      </c>
      <c r="AI1138">
        <v>93.266413466263202</v>
      </c>
      <c r="AJ1138">
        <v>79.006812987021306</v>
      </c>
      <c r="AK1138">
        <v>19.667290671937401</v>
      </c>
      <c r="AL1138">
        <v>95.853325794199804</v>
      </c>
      <c r="AM1138">
        <v>86.950543537288397</v>
      </c>
      <c r="AN1138">
        <v>1.0000000060138601</v>
      </c>
    </row>
    <row r="1139" spans="1:40" x14ac:dyDescent="0.25">
      <c r="A1139" t="str">
        <f>"20190303154749984"</f>
        <v>20190303154749984</v>
      </c>
      <c r="B1139" t="str">
        <f>"1551599269982031"</f>
        <v>1551599269982031</v>
      </c>
      <c r="C1139" t="s">
        <v>40</v>
      </c>
      <c r="D1139">
        <v>4.9885169999999999</v>
      </c>
      <c r="E1139">
        <v>0.55203979999999997</v>
      </c>
      <c r="F1139" t="s">
        <v>41</v>
      </c>
      <c r="G1139">
        <v>-226.39</v>
      </c>
      <c r="H1139" s="1">
        <v>-2.689398E-6</v>
      </c>
      <c r="I1139">
        <v>364.07350000000002</v>
      </c>
      <c r="J1139">
        <v>-246.10939999999999</v>
      </c>
      <c r="K1139">
        <v>1.120619</v>
      </c>
      <c r="L1139">
        <v>367.85329999999999</v>
      </c>
      <c r="M1139">
        <v>0.99989660000000002</v>
      </c>
      <c r="N1139">
        <v>-1.417379E-2</v>
      </c>
      <c r="O1139">
        <v>2.4223220000000002E-3</v>
      </c>
      <c r="P1139">
        <v>0.99202069999999998</v>
      </c>
      <c r="Q1139">
        <v>-0.115590899999999</v>
      </c>
      <c r="R1139">
        <v>-5.0336789999999999E-2</v>
      </c>
      <c r="S1139">
        <v>2.9758610000000001</v>
      </c>
      <c r="T1139">
        <v>-0.16787460000000001</v>
      </c>
      <c r="U1139">
        <v>-0.5661621</v>
      </c>
      <c r="V1139">
        <v>5.2730150000000003E-2</v>
      </c>
      <c r="W1139">
        <v>-0.1015255</v>
      </c>
      <c r="X1139">
        <v>0.9934345</v>
      </c>
      <c r="Y1139">
        <v>0.18891140000000001</v>
      </c>
      <c r="Z1139">
        <v>-6.7303850000000002E-3</v>
      </c>
      <c r="AA1139">
        <v>0.98197109999999999</v>
      </c>
      <c r="AB1139">
        <v>29</v>
      </c>
      <c r="AC1139">
        <v>19.7194</v>
      </c>
      <c r="AD1139">
        <v>-1.1206216893979899</v>
      </c>
      <c r="AE1139">
        <v>-3.7797999999999599</v>
      </c>
      <c r="AF1139">
        <v>3.8156745536538699</v>
      </c>
      <c r="AG1139">
        <v>-1.1206216893979899</v>
      </c>
      <c r="AH1139">
        <v>19.648978422697802</v>
      </c>
      <c r="AI1139">
        <v>93.204427307434699</v>
      </c>
      <c r="AJ1139">
        <v>79.010396485543893</v>
      </c>
      <c r="AK1139">
        <v>20.047381832194301</v>
      </c>
      <c r="AL1139">
        <v>95.827022316384003</v>
      </c>
      <c r="AM1139">
        <v>86.961669270141996</v>
      </c>
      <c r="AN1139">
        <v>1.00000000082976</v>
      </c>
    </row>
    <row r="1140" spans="1:40" x14ac:dyDescent="0.25">
      <c r="A1140" t="str">
        <f>"20190303154749996"</f>
        <v>20190303154749996</v>
      </c>
      <c r="B1140" t="str">
        <f>"1551599269991792"</f>
        <v>1551599269991792</v>
      </c>
      <c r="C1140" t="s">
        <v>40</v>
      </c>
      <c r="D1140">
        <v>4.990799</v>
      </c>
      <c r="E1140">
        <v>0.55221379999999998</v>
      </c>
      <c r="F1140" t="s">
        <v>41</v>
      </c>
      <c r="G1140">
        <v>-225.95259999999999</v>
      </c>
      <c r="H1140" s="1">
        <v>-2.856482E-6</v>
      </c>
      <c r="I1140">
        <v>364.00490000000002</v>
      </c>
      <c r="J1140">
        <v>-245.94390000000001</v>
      </c>
      <c r="K1140">
        <v>1.1206240000000001</v>
      </c>
      <c r="L1140">
        <v>367.85359999999997</v>
      </c>
      <c r="M1140">
        <v>0.99989680000000003</v>
      </c>
      <c r="N1140">
        <v>-1.417289E-2</v>
      </c>
      <c r="O1140">
        <v>2.40653E-3</v>
      </c>
      <c r="P1140">
        <v>0.992058</v>
      </c>
      <c r="Q1140">
        <v>-0.1153787</v>
      </c>
      <c r="R1140">
        <v>-5.0086459999999999E-2</v>
      </c>
      <c r="S1140">
        <v>2.9759980000000001</v>
      </c>
      <c r="T1140">
        <v>-0.16545090000000001</v>
      </c>
      <c r="U1140">
        <v>-0.56817629999999997</v>
      </c>
      <c r="V1140">
        <v>5.2464240000000002E-2</v>
      </c>
      <c r="W1140">
        <v>-0.1013136</v>
      </c>
      <c r="X1140">
        <v>0.99347019999999997</v>
      </c>
      <c r="Y1140">
        <v>0.18953719999999999</v>
      </c>
      <c r="Z1140">
        <v>-6.6728119999999898E-3</v>
      </c>
      <c r="AA1140">
        <v>0.98185089999999997</v>
      </c>
      <c r="AB1140">
        <v>29</v>
      </c>
      <c r="AC1140">
        <v>19.991299999999999</v>
      </c>
      <c r="AD1140">
        <v>-1.1206268564820001</v>
      </c>
      <c r="AE1140">
        <v>-3.8486999999999498</v>
      </c>
      <c r="AF1140">
        <v>3.8850319120797598</v>
      </c>
      <c r="AG1140">
        <v>-1.1206268564820001</v>
      </c>
      <c r="AH1140">
        <v>19.921617766405198</v>
      </c>
      <c r="AI1140">
        <v>93.160189628805298</v>
      </c>
      <c r="AJ1140">
        <v>78.964914216479499</v>
      </c>
      <c r="AK1140">
        <v>20.327816703721499</v>
      </c>
      <c r="AL1140">
        <v>95.814818476528103</v>
      </c>
      <c r="AM1140">
        <v>86.977071041402994</v>
      </c>
      <c r="AN1140">
        <v>0.99999999015588803</v>
      </c>
    </row>
    <row r="1141" spans="1:40" x14ac:dyDescent="0.25">
      <c r="A1141" t="str">
        <f>"20190303154750010"</f>
        <v>20190303154750010</v>
      </c>
      <c r="B1141" t="str">
        <f>"1551599270001552"</f>
        <v>1551599270001552</v>
      </c>
      <c r="C1141" t="s">
        <v>40</v>
      </c>
      <c r="D1141">
        <v>4.9856480000000003</v>
      </c>
      <c r="E1141">
        <v>0.55241479999999998</v>
      </c>
      <c r="F1141" t="s">
        <v>41</v>
      </c>
      <c r="G1141">
        <v>-225.61539999999999</v>
      </c>
      <c r="H1141" s="1">
        <v>-2.9806840000000001E-6</v>
      </c>
      <c r="I1141">
        <v>363.96949999999998</v>
      </c>
      <c r="J1141">
        <v>-245.78659999999999</v>
      </c>
      <c r="K1141">
        <v>1.1206240000000001</v>
      </c>
      <c r="L1141">
        <v>367.85399999999998</v>
      </c>
      <c r="M1141">
        <v>0.99989680000000003</v>
      </c>
      <c r="N1141">
        <v>-1.4171960000000001E-2</v>
      </c>
      <c r="O1141">
        <v>2.3912199999999999E-3</v>
      </c>
      <c r="P1141">
        <v>0.99213810000000002</v>
      </c>
      <c r="Q1141">
        <v>-0.11481379999999999</v>
      </c>
      <c r="R1141">
        <v>-4.980155E-2</v>
      </c>
      <c r="S1141">
        <v>2.9762420000000001</v>
      </c>
      <c r="T1141">
        <v>-0.1640674</v>
      </c>
      <c r="U1141">
        <v>-0.56866459999999996</v>
      </c>
      <c r="V1141">
        <v>5.2164240000000001E-2</v>
      </c>
      <c r="W1141">
        <v>-0.1007485</v>
      </c>
      <c r="X1141">
        <v>0.99354339999999997</v>
      </c>
      <c r="Y1141">
        <v>0.189668</v>
      </c>
      <c r="Z1141">
        <v>-6.6314269999999996E-3</v>
      </c>
      <c r="AA1141">
        <v>0.98182590000000003</v>
      </c>
      <c r="AB1141">
        <v>29</v>
      </c>
      <c r="AC1141">
        <v>20.171199999999999</v>
      </c>
      <c r="AD1141">
        <v>-1.1206269806839999</v>
      </c>
      <c r="AE1141">
        <v>-3.88450000000006</v>
      </c>
      <c r="AF1141">
        <v>3.9210581421296302</v>
      </c>
      <c r="AG1141">
        <v>-1.1206269806839999</v>
      </c>
      <c r="AH1141">
        <v>20.102027531133</v>
      </c>
      <c r="AI1141">
        <v>93.131860280332006</v>
      </c>
      <c r="AJ1141">
        <v>78.962598243295005</v>
      </c>
      <c r="AK1141">
        <v>20.5115092727529</v>
      </c>
      <c r="AL1141">
        <v>95.782274471119806</v>
      </c>
      <c r="AM1141">
        <v>86.994545948233196</v>
      </c>
      <c r="AN1141">
        <v>0.99999992793529102</v>
      </c>
    </row>
    <row r="1142" spans="1:40" x14ac:dyDescent="0.25">
      <c r="A1142" t="str">
        <f>"20190303154750024"</f>
        <v>20190303154750024</v>
      </c>
      <c r="B1142" t="str">
        <f>"1551599270012287"</f>
        <v>1551599270012287</v>
      </c>
      <c r="C1142" t="s">
        <v>40</v>
      </c>
      <c r="D1142">
        <v>5.0309080000000002</v>
      </c>
      <c r="E1142">
        <v>0.55257840000000003</v>
      </c>
      <c r="F1142" t="s">
        <v>41</v>
      </c>
      <c r="G1142">
        <v>-225.2116</v>
      </c>
      <c r="H1142" s="1">
        <v>-3.1323699999999999E-6</v>
      </c>
      <c r="I1142">
        <v>363.91579999999999</v>
      </c>
      <c r="J1142">
        <v>-245.6061</v>
      </c>
      <c r="K1142">
        <v>1.120625</v>
      </c>
      <c r="L1142">
        <v>367.8544</v>
      </c>
      <c r="M1142">
        <v>0.99989689999999998</v>
      </c>
      <c r="N1142">
        <v>-1.4170820000000001E-2</v>
      </c>
      <c r="O1142">
        <v>2.3731730000000001E-3</v>
      </c>
      <c r="P1142">
        <v>0.99213709999999999</v>
      </c>
      <c r="Q1142">
        <v>-0.1148473</v>
      </c>
      <c r="R1142">
        <v>-4.9740140000000002E-2</v>
      </c>
      <c r="S1142">
        <v>2.9764400000000002</v>
      </c>
      <c r="T1142">
        <v>-0.16211239999999999</v>
      </c>
      <c r="U1142">
        <v>-0.56970209999999999</v>
      </c>
      <c r="V1142">
        <v>5.2085109999999997E-2</v>
      </c>
      <c r="W1142">
        <v>-0.1007831</v>
      </c>
      <c r="X1142">
        <v>0.99354410000000004</v>
      </c>
      <c r="Y1142">
        <v>0.18997539999999999</v>
      </c>
      <c r="Z1142">
        <v>-6.5774409999999998E-3</v>
      </c>
      <c r="AA1142">
        <v>0.98176680000000005</v>
      </c>
      <c r="AB1142">
        <v>29</v>
      </c>
      <c r="AC1142">
        <v>20.394499999999901</v>
      </c>
      <c r="AD1142">
        <v>-1.12062813237</v>
      </c>
      <c r="AE1142">
        <v>-3.9386000000000001</v>
      </c>
      <c r="AF1142">
        <v>3.9754222578162501</v>
      </c>
      <c r="AG1142">
        <v>-1.12062813237</v>
      </c>
      <c r="AH1142">
        <v>20.3259323676835</v>
      </c>
      <c r="AI1142">
        <v>93.097125432946498</v>
      </c>
      <c r="AJ1142">
        <v>78.933572835913196</v>
      </c>
      <c r="AK1142">
        <v>20.7413431617782</v>
      </c>
      <c r="AL1142">
        <v>95.784266714231606</v>
      </c>
      <c r="AM1142">
        <v>86.999098811408999</v>
      </c>
      <c r="AN1142">
        <v>0.99999998528706602</v>
      </c>
    </row>
    <row r="1143" spans="1:40" x14ac:dyDescent="0.25">
      <c r="A1143" t="str">
        <f>"20190303154750038"</f>
        <v>20190303154750038</v>
      </c>
      <c r="B1143" t="str">
        <f>"1551599270031808"</f>
        <v>1551599270031808</v>
      </c>
      <c r="C1143" t="s">
        <v>40</v>
      </c>
      <c r="D1143">
        <v>4.9935090000000004</v>
      </c>
      <c r="E1143">
        <v>0.55296449999999997</v>
      </c>
      <c r="F1143" t="s">
        <v>41</v>
      </c>
      <c r="G1143">
        <v>-224.9204</v>
      </c>
      <c r="H1143" s="1">
        <v>-3.2391329999999999E-6</v>
      </c>
      <c r="I1143">
        <v>363.887</v>
      </c>
      <c r="J1143">
        <v>-245.4126</v>
      </c>
      <c r="K1143">
        <v>1.120627</v>
      </c>
      <c r="L1143">
        <v>367.85480000000001</v>
      </c>
      <c r="M1143">
        <v>0.99989689999999998</v>
      </c>
      <c r="N1143">
        <v>-1.416951E-2</v>
      </c>
      <c r="O1143">
        <v>2.3539949999999998E-3</v>
      </c>
      <c r="P1143">
        <v>0.99219139999999995</v>
      </c>
      <c r="Q1143">
        <v>-0.1144855</v>
      </c>
      <c r="R1143">
        <v>-4.9492179999999997E-2</v>
      </c>
      <c r="S1143">
        <v>2.976486</v>
      </c>
      <c r="T1143">
        <v>-0.16124759999999999</v>
      </c>
      <c r="U1143">
        <v>-0.57086179999999997</v>
      </c>
      <c r="V1143">
        <v>5.1818179999999998E-2</v>
      </c>
      <c r="W1143">
        <v>-0.10042180000000001</v>
      </c>
      <c r="X1143">
        <v>0.99359459999999999</v>
      </c>
      <c r="Y1143">
        <v>0.19032550000000001</v>
      </c>
      <c r="Z1143">
        <v>-6.5602509999999996E-3</v>
      </c>
      <c r="AA1143">
        <v>0.98169910000000005</v>
      </c>
      <c r="AB1143">
        <v>29</v>
      </c>
      <c r="AC1143">
        <v>20.4922</v>
      </c>
      <c r="AD1143">
        <v>-1.1206302391329901</v>
      </c>
      <c r="AE1143">
        <v>-3.9678000000000599</v>
      </c>
      <c r="AF1143">
        <v>4.00448959871159</v>
      </c>
      <c r="AG1143">
        <v>-1.1206302391329901</v>
      </c>
      <c r="AH1143">
        <v>20.423930923495501</v>
      </c>
      <c r="AI1143">
        <v>93.082018016607194</v>
      </c>
      <c r="AJ1143">
        <v>78.906824682048807</v>
      </c>
      <c r="AK1143">
        <v>20.842953328325699</v>
      </c>
      <c r="AL1143">
        <v>95.763460421567203</v>
      </c>
      <c r="AM1143">
        <v>87.014601646208803</v>
      </c>
      <c r="AN1143">
        <v>0.99999994542145398</v>
      </c>
    </row>
    <row r="1144" spans="1:40" x14ac:dyDescent="0.25">
      <c r="A1144" t="str">
        <f>"20190303154750053"</f>
        <v>20190303154750053</v>
      </c>
      <c r="B1144" t="str">
        <f>"1551599270042076"</f>
        <v>1551599270042076</v>
      </c>
      <c r="C1144" t="s">
        <v>40</v>
      </c>
      <c r="D1144">
        <v>5.0164970000000002</v>
      </c>
      <c r="E1144">
        <v>0.55312709999999998</v>
      </c>
      <c r="F1144" t="s">
        <v>41</v>
      </c>
      <c r="G1144">
        <v>-224.44470000000001</v>
      </c>
      <c r="H1144" s="1">
        <v>-3.4188670000000001E-6</v>
      </c>
      <c r="I1144">
        <v>363.81990000000002</v>
      </c>
      <c r="J1144">
        <v>-245.21940000000001</v>
      </c>
      <c r="K1144">
        <v>1.120628</v>
      </c>
      <c r="L1144">
        <v>367.8553</v>
      </c>
      <c r="M1144">
        <v>0.99989689999999998</v>
      </c>
      <c r="N1144">
        <v>-1.4168119999999999E-2</v>
      </c>
      <c r="O1144">
        <v>2.3353470000000002E-3</v>
      </c>
      <c r="P1144">
        <v>0.99220730000000001</v>
      </c>
      <c r="Q1144">
        <v>-0.1143853</v>
      </c>
      <c r="R1144">
        <v>-4.9405079999999997E-2</v>
      </c>
      <c r="S1144">
        <v>2.9766849999999998</v>
      </c>
      <c r="T1144">
        <v>-0.15908849999999999</v>
      </c>
      <c r="U1144">
        <v>-0.57281490000000002</v>
      </c>
      <c r="V1144">
        <v>5.1712590000000003E-2</v>
      </c>
      <c r="W1144">
        <v>-0.1003227</v>
      </c>
      <c r="X1144">
        <v>0.99361010000000005</v>
      </c>
      <c r="Y1144">
        <v>0.1909235</v>
      </c>
      <c r="Z1144">
        <v>-6.5089450000000004E-3</v>
      </c>
      <c r="AA1144">
        <v>0.98158339999999999</v>
      </c>
      <c r="AB1144">
        <v>29</v>
      </c>
      <c r="AC1144">
        <v>20.774699999999999</v>
      </c>
      <c r="AD1144">
        <v>-1.1206314188669999</v>
      </c>
      <c r="AE1144">
        <v>-4.0353999999999797</v>
      </c>
      <c r="AF1144">
        <v>4.0724909146740096</v>
      </c>
      <c r="AG1144">
        <v>-1.1206314188669999</v>
      </c>
      <c r="AH1144">
        <v>20.707156391829098</v>
      </c>
      <c r="AI1144">
        <v>93.039600561342695</v>
      </c>
      <c r="AJ1144">
        <v>78.8736025954382</v>
      </c>
      <c r="AK1144">
        <v>21.133559162212201</v>
      </c>
      <c r="AL1144">
        <v>95.757753658838695</v>
      </c>
      <c r="AM1144">
        <v>87.0207204196048</v>
      </c>
      <c r="AN1144">
        <v>0.99999993346090099</v>
      </c>
    </row>
    <row r="1145" spans="1:40" x14ac:dyDescent="0.25">
      <c r="A1145" t="str">
        <f>"20190303154750065"</f>
        <v>20190303154750065</v>
      </c>
      <c r="B1145" t="str">
        <f>"1551599270061597"</f>
        <v>1551599270061597</v>
      </c>
      <c r="C1145" t="s">
        <v>40</v>
      </c>
      <c r="D1145">
        <v>5.0247570000000001</v>
      </c>
      <c r="E1145">
        <v>0.55339749999999999</v>
      </c>
      <c r="F1145" t="s">
        <v>41</v>
      </c>
      <c r="G1145">
        <v>-224.1679</v>
      </c>
      <c r="H1145" s="1">
        <v>-3.518941E-6</v>
      </c>
      <c r="I1145">
        <v>363.7978</v>
      </c>
      <c r="J1145">
        <v>-245.06460000000001</v>
      </c>
      <c r="K1145">
        <v>1.120622</v>
      </c>
      <c r="L1145">
        <v>367.85559999999998</v>
      </c>
      <c r="M1145">
        <v>0.99989689999999998</v>
      </c>
      <c r="N1145">
        <v>-1.4166969999999999E-2</v>
      </c>
      <c r="O1145">
        <v>2.3203350000000002E-3</v>
      </c>
      <c r="P1145">
        <v>0.99222069999999996</v>
      </c>
      <c r="Q1145">
        <v>-0.11425449999999999</v>
      </c>
      <c r="R1145">
        <v>-4.9436929999999997E-2</v>
      </c>
      <c r="S1145">
        <v>2.976715</v>
      </c>
      <c r="T1145">
        <v>-0.15845870000000001</v>
      </c>
      <c r="U1145">
        <v>-0.57373050000000003</v>
      </c>
      <c r="V1145">
        <v>5.1729690000000002E-2</v>
      </c>
      <c r="W1145">
        <v>-0.1001929</v>
      </c>
      <c r="X1145">
        <v>0.99362240000000002</v>
      </c>
      <c r="Y1145">
        <v>0.19119990000000001</v>
      </c>
      <c r="Z1145">
        <v>-6.49689E-3</v>
      </c>
      <c r="AA1145">
        <v>0.9815296</v>
      </c>
      <c r="AB1145">
        <v>29</v>
      </c>
      <c r="AC1145">
        <v>20.896699999999999</v>
      </c>
      <c r="AD1145">
        <v>-1.1206255189409999</v>
      </c>
      <c r="AE1145">
        <v>-4.0577999999999799</v>
      </c>
      <c r="AF1145">
        <v>4.0949328129815301</v>
      </c>
      <c r="AG1145">
        <v>-1.1206255189409999</v>
      </c>
      <c r="AH1145">
        <v>20.829501583424602</v>
      </c>
      <c r="AI1145">
        <v>93.021808723106304</v>
      </c>
      <c r="AJ1145">
        <v>78.877892368618603</v>
      </c>
      <c r="AK1145">
        <v>21.2577612299701</v>
      </c>
      <c r="AL1145">
        <v>95.750278471661701</v>
      </c>
      <c r="AM1145">
        <v>87.019773851570605</v>
      </c>
      <c r="AN1145">
        <v>1.0000000259098301</v>
      </c>
    </row>
    <row r="1146" spans="1:40" x14ac:dyDescent="0.25">
      <c r="A1146" t="str">
        <f>"20190303154750077"</f>
        <v>20190303154750077</v>
      </c>
      <c r="B1146" t="str">
        <f>"1551599270071357"</f>
        <v>1551599270071357</v>
      </c>
      <c r="C1146" t="s">
        <v>40</v>
      </c>
      <c r="D1146">
        <v>5.0405739999999897</v>
      </c>
      <c r="E1146">
        <v>0.55352109999999999</v>
      </c>
      <c r="F1146" t="s">
        <v>41</v>
      </c>
      <c r="G1146">
        <v>-223.95140000000001</v>
      </c>
      <c r="H1146" s="1">
        <v>-3.614943E-6</v>
      </c>
      <c r="I1146">
        <v>363.76589999999999</v>
      </c>
      <c r="J1146">
        <v>-244.90799999999999</v>
      </c>
      <c r="K1146">
        <v>1.1206229999999999</v>
      </c>
      <c r="L1146">
        <v>367.85599999999999</v>
      </c>
      <c r="M1146">
        <v>0.99989700000000004</v>
      </c>
      <c r="N1146">
        <v>-1.4165769999999999E-2</v>
      </c>
      <c r="O1146">
        <v>2.3050259999999999E-3</v>
      </c>
      <c r="P1146">
        <v>0.99221400000000004</v>
      </c>
      <c r="Q1146">
        <v>-0.1142278</v>
      </c>
      <c r="R1146">
        <v>-4.963352E-2</v>
      </c>
      <c r="S1146">
        <v>2.9765929999999998</v>
      </c>
      <c r="T1146">
        <v>-0.15798799999999999</v>
      </c>
      <c r="U1146">
        <v>-0.57656859999999999</v>
      </c>
      <c r="V1146">
        <v>5.1911220000000001E-2</v>
      </c>
      <c r="W1146">
        <v>-0.10016750000000001</v>
      </c>
      <c r="X1146">
        <v>0.99361540000000004</v>
      </c>
      <c r="Y1146">
        <v>0.19209480000000001</v>
      </c>
      <c r="Z1146">
        <v>-6.5106540000000003E-3</v>
      </c>
      <c r="AA1146">
        <v>0.98135479999999997</v>
      </c>
      <c r="AB1146">
        <v>29</v>
      </c>
      <c r="AC1146">
        <v>20.956599999999899</v>
      </c>
      <c r="AD1146">
        <v>-1.120626614943</v>
      </c>
      <c r="AE1146">
        <v>-4.0900999999999996</v>
      </c>
      <c r="AF1146">
        <v>4.1270315302311502</v>
      </c>
      <c r="AG1146">
        <v>-1.120626614943</v>
      </c>
      <c r="AH1146">
        <v>20.889575000402299</v>
      </c>
      <c r="AI1146">
        <v>93.012583595473501</v>
      </c>
      <c r="AJ1146">
        <v>78.824325193175497</v>
      </c>
      <c r="AK1146">
        <v>21.322817284755601</v>
      </c>
      <c r="AL1146">
        <v>95.748816336763298</v>
      </c>
      <c r="AM1146">
        <v>87.009313553463997</v>
      </c>
      <c r="AN1146">
        <v>0.999999932967647</v>
      </c>
    </row>
    <row r="1147" spans="1:40" x14ac:dyDescent="0.25">
      <c r="A1147" t="str">
        <f>"20190303154750092"</f>
        <v>20190303154750092</v>
      </c>
      <c r="B1147" t="str">
        <f>"1551599270082092"</f>
        <v>1551599270082092</v>
      </c>
      <c r="C1147" t="s">
        <v>40</v>
      </c>
      <c r="D1147">
        <v>5.0281269999999996</v>
      </c>
      <c r="E1147">
        <v>0.55364069999999899</v>
      </c>
      <c r="F1147" t="s">
        <v>41</v>
      </c>
      <c r="G1147">
        <v>-223.7807</v>
      </c>
      <c r="H1147" s="1">
        <v>-3.690275E-6</v>
      </c>
      <c r="I1147">
        <v>363.75400000000002</v>
      </c>
      <c r="J1147">
        <v>-244.72200000000001</v>
      </c>
      <c r="K1147">
        <v>1.120628</v>
      </c>
      <c r="L1147">
        <v>367.85640000000001</v>
      </c>
      <c r="M1147">
        <v>0.99989709999999998</v>
      </c>
      <c r="N1147">
        <v>-1.416429E-2</v>
      </c>
      <c r="O1147">
        <v>2.2872140000000001E-3</v>
      </c>
      <c r="P1147">
        <v>0.99219049999999998</v>
      </c>
      <c r="Q1147">
        <v>-0.1141823</v>
      </c>
      <c r="R1147">
        <v>-5.0206170000000001E-2</v>
      </c>
      <c r="S1147">
        <v>2.9764400000000002</v>
      </c>
      <c r="T1147">
        <v>-0.1578746</v>
      </c>
      <c r="U1147">
        <v>-0.57788090000000003</v>
      </c>
      <c r="V1147">
        <v>5.246584E-2</v>
      </c>
      <c r="W1147">
        <v>-0.1001239</v>
      </c>
      <c r="X1147">
        <v>0.99359070000000005</v>
      </c>
      <c r="Y1147">
        <v>0.19250339999999999</v>
      </c>
      <c r="Z1147">
        <v>-6.5198790000000001E-3</v>
      </c>
      <c r="AA1147">
        <v>0.98127470000000006</v>
      </c>
      <c r="AB1147">
        <v>29</v>
      </c>
      <c r="AC1147">
        <v>20.941299999999998</v>
      </c>
      <c r="AD1147">
        <v>-1.120631690275</v>
      </c>
      <c r="AE1147">
        <v>-4.1023999999999798</v>
      </c>
      <c r="AF1147">
        <v>4.1388770899031702</v>
      </c>
      <c r="AG1147">
        <v>-1.120631690275</v>
      </c>
      <c r="AH1147">
        <v>20.874293974234298</v>
      </c>
      <c r="AI1147">
        <v>93.014390416557504</v>
      </c>
      <c r="AJ1147">
        <v>78.785062980406195</v>
      </c>
      <c r="AK1147">
        <v>21.3101447173248</v>
      </c>
      <c r="AL1147">
        <v>95.746305408497605</v>
      </c>
      <c r="AM1147">
        <v>86.977344966172694</v>
      </c>
      <c r="AN1147">
        <v>0.99999996942230196</v>
      </c>
    </row>
    <row r="1148" spans="1:40" x14ac:dyDescent="0.25">
      <c r="A1148" t="str">
        <f>"20190303154750104"</f>
        <v>20190303154750104</v>
      </c>
      <c r="B1148" t="str">
        <f>"1551599270101613"</f>
        <v>1551599270101613</v>
      </c>
      <c r="C1148" t="s">
        <v>40</v>
      </c>
      <c r="D1148">
        <v>5.0330510000000004</v>
      </c>
      <c r="E1148">
        <v>0.55387120000000001</v>
      </c>
      <c r="F1148" t="s">
        <v>41</v>
      </c>
      <c r="G1148">
        <v>-223.59389999999999</v>
      </c>
      <c r="H1148" s="1">
        <v>-3.7740920000000002E-6</v>
      </c>
      <c r="I1148">
        <v>363.73320000000001</v>
      </c>
      <c r="J1148">
        <v>-244.56479999999999</v>
      </c>
      <c r="K1148">
        <v>1.1206320000000001</v>
      </c>
      <c r="L1148">
        <v>367.85669999999999</v>
      </c>
      <c r="M1148">
        <v>0.99989709999999998</v>
      </c>
      <c r="N1148">
        <v>-1.416301E-2</v>
      </c>
      <c r="O1148">
        <v>2.2720240000000001E-3</v>
      </c>
      <c r="P1148">
        <v>0.99219069999999998</v>
      </c>
      <c r="Q1148">
        <v>-0.11398850000000001</v>
      </c>
      <c r="R1148">
        <v>-5.064051E-2</v>
      </c>
      <c r="S1148">
        <v>2.9760439999999999</v>
      </c>
      <c r="T1148">
        <v>-0.15784819999999999</v>
      </c>
      <c r="U1148">
        <v>-0.58077999999999996</v>
      </c>
      <c r="V1148">
        <v>5.2885170000000002E-2</v>
      </c>
      <c r="W1148">
        <v>-9.9931430000000002E-2</v>
      </c>
      <c r="X1148">
        <v>0.99358789999999997</v>
      </c>
      <c r="Y1148">
        <v>0.1934324</v>
      </c>
      <c r="Z1148">
        <v>-6.5496769999999899E-3</v>
      </c>
      <c r="AA1148">
        <v>0.98109170000000001</v>
      </c>
      <c r="AB1148">
        <v>29</v>
      </c>
      <c r="AC1148">
        <v>20.9709</v>
      </c>
      <c r="AD1148">
        <v>-1.1206357740919899</v>
      </c>
      <c r="AE1148">
        <v>-4.1234999999999697</v>
      </c>
      <c r="AF1148">
        <v>4.1597043023359497</v>
      </c>
      <c r="AG1148">
        <v>-1.1206357740919899</v>
      </c>
      <c r="AH1148">
        <v>20.904005121700401</v>
      </c>
      <c r="AI1148">
        <v>93.009714640197899</v>
      </c>
      <c r="AJ1148">
        <v>78.745678298743996</v>
      </c>
      <c r="AK1148">
        <v>21.343298586421099</v>
      </c>
      <c r="AL1148">
        <v>95.735221791870899</v>
      </c>
      <c r="AM1148">
        <v>86.953223347991397</v>
      </c>
      <c r="AN1148">
        <v>1.00000002346709</v>
      </c>
    </row>
    <row r="1149" spans="1:40" x14ac:dyDescent="0.25">
      <c r="A1149" t="str">
        <f>"20190303154750114"</f>
        <v>20190303154750114</v>
      </c>
      <c r="B1149" t="str">
        <f>"1551599270111373"</f>
        <v>1551599270111373</v>
      </c>
      <c r="C1149" t="s">
        <v>40</v>
      </c>
      <c r="D1149">
        <v>5.0389249999999999</v>
      </c>
      <c r="E1149">
        <v>0.55398859999999905</v>
      </c>
      <c r="F1149" t="s">
        <v>41</v>
      </c>
      <c r="G1149">
        <v>-223.38200000000001</v>
      </c>
      <c r="H1149" s="1">
        <v>-3.8709069999999996E-6</v>
      </c>
      <c r="I1149">
        <v>363.69979999999998</v>
      </c>
      <c r="J1149">
        <v>-244.42590000000001</v>
      </c>
      <c r="K1149">
        <v>1.1206309999999999</v>
      </c>
      <c r="L1149">
        <v>367.85700000000003</v>
      </c>
      <c r="M1149">
        <v>0.99989720000000004</v>
      </c>
      <c r="N1149">
        <v>-1.416187E-2</v>
      </c>
      <c r="O1149">
        <v>2.258267E-3</v>
      </c>
      <c r="P1149">
        <v>0.99227010000000004</v>
      </c>
      <c r="Q1149">
        <v>-0.11314970000000001</v>
      </c>
      <c r="R1149">
        <v>-5.0962710000000001E-2</v>
      </c>
      <c r="S1149">
        <v>2.9757389999999999</v>
      </c>
      <c r="T1149">
        <v>-0.15742529999999999</v>
      </c>
      <c r="U1149">
        <v>-0.58395390000000003</v>
      </c>
      <c r="V1149">
        <v>5.3194079999999998E-2</v>
      </c>
      <c r="W1149">
        <v>-9.9092739999999999E-2</v>
      </c>
      <c r="X1149">
        <v>0.99365539999999997</v>
      </c>
      <c r="Y1149">
        <v>0.19444539999999999</v>
      </c>
      <c r="Z1149">
        <v>-6.5690380000000001E-3</v>
      </c>
      <c r="AA1149">
        <v>0.98089130000000002</v>
      </c>
      <c r="AB1149">
        <v>29</v>
      </c>
      <c r="AC1149">
        <v>21.043900000000001</v>
      </c>
      <c r="AD1149">
        <v>-1.120634870907</v>
      </c>
      <c r="AE1149">
        <v>-4.15719999999998</v>
      </c>
      <c r="AF1149">
        <v>4.1932722541110197</v>
      </c>
      <c r="AG1149">
        <v>-1.120634870907</v>
      </c>
      <c r="AH1149">
        <v>20.9772044620454</v>
      </c>
      <c r="AI1149">
        <v>92.998708998125593</v>
      </c>
      <c r="AJ1149">
        <v>78.6957630991798</v>
      </c>
      <c r="AK1149">
        <v>21.421542002233299</v>
      </c>
      <c r="AL1149">
        <v>95.686928717741793</v>
      </c>
      <c r="AM1149">
        <v>86.935668285152602</v>
      </c>
      <c r="AN1149">
        <v>1.00000001760845</v>
      </c>
    </row>
    <row r="1150" spans="1:40" x14ac:dyDescent="0.25">
      <c r="A1150" t="str">
        <f>"20190303154750126"</f>
        <v>20190303154750126</v>
      </c>
      <c r="B1150" t="str">
        <f>"1551599270122108"</f>
        <v>1551599270122108</v>
      </c>
      <c r="C1150" t="s">
        <v>40</v>
      </c>
      <c r="D1150">
        <v>5.066719</v>
      </c>
      <c r="E1150">
        <v>0.55410300000000001</v>
      </c>
      <c r="F1150" t="s">
        <v>41</v>
      </c>
      <c r="G1150">
        <v>-222.92660000000001</v>
      </c>
      <c r="H1150" s="1">
        <v>-4.0795819999999998E-6</v>
      </c>
      <c r="I1150">
        <v>363.62479999999999</v>
      </c>
      <c r="J1150">
        <v>-244.28880000000001</v>
      </c>
      <c r="K1150">
        <v>1.1206430000000001</v>
      </c>
      <c r="L1150">
        <v>367.85730000000001</v>
      </c>
      <c r="M1150">
        <v>0.99989720000000004</v>
      </c>
      <c r="N1150">
        <v>-1.416072E-2</v>
      </c>
      <c r="O1150">
        <v>2.244809E-3</v>
      </c>
      <c r="P1150">
        <v>0.99225569999999996</v>
      </c>
      <c r="Q1150">
        <v>-0.1131838</v>
      </c>
      <c r="R1150">
        <v>-5.1169949999999999E-2</v>
      </c>
      <c r="S1150">
        <v>2.9756010000000002</v>
      </c>
      <c r="T1150">
        <v>-0.15510060000000001</v>
      </c>
      <c r="U1150">
        <v>-0.58575440000000001</v>
      </c>
      <c r="V1150">
        <v>5.3387839999999999E-2</v>
      </c>
      <c r="W1150">
        <v>-9.91282E-2</v>
      </c>
      <c r="X1150">
        <v>0.99364140000000001</v>
      </c>
      <c r="Y1150">
        <v>0.19502</v>
      </c>
      <c r="Z1150">
        <v>-6.5105149999999997E-3</v>
      </c>
      <c r="AA1150">
        <v>0.98077769999999997</v>
      </c>
      <c r="AB1150">
        <v>29</v>
      </c>
      <c r="AC1150">
        <v>21.362200000000001</v>
      </c>
      <c r="AD1150">
        <v>-1.1206470795819901</v>
      </c>
      <c r="AE1150">
        <v>-4.2325000000000097</v>
      </c>
      <c r="AF1150">
        <v>4.2691433694875496</v>
      </c>
      <c r="AG1150">
        <v>-1.1206470795819901</v>
      </c>
      <c r="AH1150">
        <v>21.2962508839977</v>
      </c>
      <c r="AI1150">
        <v>92.953574303142702</v>
      </c>
      <c r="AJ1150">
        <v>78.664476730797304</v>
      </c>
      <c r="AK1150">
        <v>21.748832996287099</v>
      </c>
      <c r="AL1150">
        <v>95.688970883830805</v>
      </c>
      <c r="AM1150">
        <v>86.924484564288903</v>
      </c>
      <c r="AN1150">
        <v>0.99999994664453096</v>
      </c>
    </row>
    <row r="1151" spans="1:40" x14ac:dyDescent="0.25">
      <c r="A1151" t="str">
        <f>"20190303154750136"</f>
        <v>20190303154750136</v>
      </c>
      <c r="B1151" t="str">
        <f>"1551599270131868"</f>
        <v>1551599270131868</v>
      </c>
      <c r="C1151" t="s">
        <v>40</v>
      </c>
      <c r="D1151">
        <v>5.1108229999999999</v>
      </c>
      <c r="E1151">
        <v>0.55421529999999997</v>
      </c>
      <c r="F1151" t="s">
        <v>41</v>
      </c>
      <c r="G1151">
        <v>-222.8817</v>
      </c>
      <c r="H1151" s="1">
        <v>-4.0974809999999998E-6</v>
      </c>
      <c r="I1151">
        <v>363.63260000000002</v>
      </c>
      <c r="J1151">
        <v>-244.14150000000001</v>
      </c>
      <c r="K1151">
        <v>1.12064599999999</v>
      </c>
      <c r="L1151">
        <v>367.85759999999999</v>
      </c>
      <c r="M1151">
        <v>0.99989740000000005</v>
      </c>
      <c r="N1151">
        <v>-1.4159450000000001E-2</v>
      </c>
      <c r="O1151">
        <v>2.2299809999999998E-3</v>
      </c>
      <c r="P1151">
        <v>0.99225469999999905</v>
      </c>
      <c r="Q1151">
        <v>-0.1130386</v>
      </c>
      <c r="R1151">
        <v>-5.1506799999999998E-2</v>
      </c>
      <c r="S1151">
        <v>2.9753720000000001</v>
      </c>
      <c r="T1151">
        <v>-0.15575839999999999</v>
      </c>
      <c r="U1151">
        <v>-0.58718870000000001</v>
      </c>
      <c r="V1151">
        <v>5.3710349999999997E-2</v>
      </c>
      <c r="W1151">
        <v>-9.8984299999999997E-2</v>
      </c>
      <c r="X1151">
        <v>0.99363840000000003</v>
      </c>
      <c r="Y1151">
        <v>0.1954716</v>
      </c>
      <c r="Z1151">
        <v>-6.5467900000000002E-3</v>
      </c>
      <c r="AA1151">
        <v>0.98068750000000005</v>
      </c>
      <c r="AB1151">
        <v>29</v>
      </c>
      <c r="AC1151">
        <v>21.259799999999998</v>
      </c>
      <c r="AD1151">
        <v>-1.1206500974810001</v>
      </c>
      <c r="AE1151">
        <v>-4.2249999999999597</v>
      </c>
      <c r="AF1151">
        <v>4.2610134842805802</v>
      </c>
      <c r="AG1151">
        <v>-1.1206500974810001</v>
      </c>
      <c r="AH1151">
        <v>21.193673744800201</v>
      </c>
      <c r="AI1151">
        <v>92.967516677716702</v>
      </c>
      <c r="AJ1151">
        <v>78.632166581301703</v>
      </c>
      <c r="AK1151">
        <v>21.6467988246585</v>
      </c>
      <c r="AL1151">
        <v>95.680685071194802</v>
      </c>
      <c r="AM1151">
        <v>86.905932384545395</v>
      </c>
      <c r="AN1151">
        <v>0.99999998164908599</v>
      </c>
    </row>
    <row r="1152" spans="1:40" x14ac:dyDescent="0.25">
      <c r="A1152" t="str">
        <f>"20190303154750150"</f>
        <v>20190303154750150</v>
      </c>
      <c r="B1152" t="str">
        <f>"1551599270141629"</f>
        <v>1551599270141629</v>
      </c>
      <c r="C1152" t="s">
        <v>40</v>
      </c>
      <c r="D1152">
        <v>5.0971679999999999</v>
      </c>
      <c r="E1152">
        <v>0.55430699999999999</v>
      </c>
      <c r="F1152" t="s">
        <v>41</v>
      </c>
      <c r="G1152">
        <v>-222.72559999999999</v>
      </c>
      <c r="H1152" s="1">
        <v>-4.1674969999999996E-6</v>
      </c>
      <c r="I1152">
        <v>363.61540000000002</v>
      </c>
      <c r="J1152">
        <v>-243.97450000000001</v>
      </c>
      <c r="K1152">
        <v>1.12064599999999</v>
      </c>
      <c r="L1152">
        <v>367.858</v>
      </c>
      <c r="M1152">
        <v>0.99989740000000005</v>
      </c>
      <c r="N1152">
        <v>-1.4157990000000001E-2</v>
      </c>
      <c r="O1152">
        <v>2.2136600000000001E-3</v>
      </c>
      <c r="P1152">
        <v>0.99231409999999998</v>
      </c>
      <c r="Q1152">
        <v>-0.1123864</v>
      </c>
      <c r="R1152">
        <v>-5.1789269999999998E-2</v>
      </c>
      <c r="S1152">
        <v>2.9751129999999999</v>
      </c>
      <c r="T1152">
        <v>-0.15568089999999901</v>
      </c>
      <c r="U1152">
        <v>-0.58932499999999999</v>
      </c>
      <c r="V1152">
        <v>5.3976719999999999E-2</v>
      </c>
      <c r="W1152">
        <v>-9.833277E-2</v>
      </c>
      <c r="X1152">
        <v>0.99368869999999998</v>
      </c>
      <c r="Y1152">
        <v>0.19614860000000001</v>
      </c>
      <c r="Z1152">
        <v>-6.5660170000000004E-3</v>
      </c>
      <c r="AA1152">
        <v>0.98055219999999998</v>
      </c>
      <c r="AB1152">
        <v>29</v>
      </c>
      <c r="AC1152">
        <v>21.248899999999999</v>
      </c>
      <c r="AD1152">
        <v>-1.12065016749699</v>
      </c>
      <c r="AE1152">
        <v>-4.2425999999999799</v>
      </c>
      <c r="AF1152">
        <v>4.2781888819905003</v>
      </c>
      <c r="AG1152">
        <v>-1.12065016749699</v>
      </c>
      <c r="AH1152">
        <v>21.182795705876298</v>
      </c>
      <c r="AI1152">
        <v>92.968513505611796</v>
      </c>
      <c r="AJ1152">
        <v>78.581838163129802</v>
      </c>
      <c r="AK1152">
        <v>21.639537675856001</v>
      </c>
      <c r="AL1152">
        <v>95.643171885562595</v>
      </c>
      <c r="AM1152">
        <v>86.890774852106603</v>
      </c>
      <c r="AN1152">
        <v>1.00000002623276</v>
      </c>
    </row>
    <row r="1153" spans="1:40" x14ac:dyDescent="0.25">
      <c r="A1153" t="str">
        <f>"20190303154750163"</f>
        <v>20190303154750163</v>
      </c>
      <c r="B1153" t="str">
        <f>"1551599270151389"</f>
        <v>1551599270151389</v>
      </c>
      <c r="C1153" t="s">
        <v>40</v>
      </c>
      <c r="D1153">
        <v>5.0682450000000001</v>
      </c>
      <c r="E1153">
        <v>0.55440809999999996</v>
      </c>
      <c r="F1153" t="s">
        <v>41</v>
      </c>
      <c r="G1153">
        <v>-222.3314</v>
      </c>
      <c r="H1153" s="1">
        <v>-4.3464990000000004E-6</v>
      </c>
      <c r="I1153">
        <v>363.55950000000001</v>
      </c>
      <c r="J1153">
        <v>-243.81800000000001</v>
      </c>
      <c r="K1153">
        <v>1.1206499999999999</v>
      </c>
      <c r="L1153">
        <v>367.85829999999999</v>
      </c>
      <c r="M1153">
        <v>0.99989749999999999</v>
      </c>
      <c r="N1153">
        <v>-1.415662E-2</v>
      </c>
      <c r="O1153">
        <v>2.198172E-3</v>
      </c>
      <c r="P1153">
        <v>0.99226919999999996</v>
      </c>
      <c r="Q1153">
        <v>-0.1126788</v>
      </c>
      <c r="R1153">
        <v>-5.2017330000000001E-2</v>
      </c>
      <c r="S1153">
        <v>2.9749910000000002</v>
      </c>
      <c r="T1153">
        <v>-0.1540406</v>
      </c>
      <c r="U1153">
        <v>-0.59085080000000001</v>
      </c>
      <c r="V1153">
        <v>5.4189130000000002E-2</v>
      </c>
      <c r="W1153">
        <v>-9.8627060000000003E-2</v>
      </c>
      <c r="X1153">
        <v>0.99364790000000003</v>
      </c>
      <c r="Y1153">
        <v>0.19663050000000001</v>
      </c>
      <c r="Z1153">
        <v>-6.5264470000000003E-3</v>
      </c>
      <c r="AA1153">
        <v>0.98045590000000005</v>
      </c>
      <c r="AB1153">
        <v>29</v>
      </c>
      <c r="AC1153">
        <v>21.4865999999999</v>
      </c>
      <c r="AD1153">
        <v>-1.120654346499</v>
      </c>
      <c r="AE1153">
        <v>-4.2987999999999698</v>
      </c>
      <c r="AF1153">
        <v>4.3346879866651697</v>
      </c>
      <c r="AG1153">
        <v>-1.120654346499</v>
      </c>
      <c r="AH1153">
        <v>21.421069740323698</v>
      </c>
      <c r="AI1153">
        <v>92.935340158394396</v>
      </c>
      <c r="AJ1153">
        <v>78.560314138915402</v>
      </c>
      <c r="AK1153">
        <v>21.8839579355718</v>
      </c>
      <c r="AL1153">
        <v>95.660116234287301</v>
      </c>
      <c r="AM1153">
        <v>86.878435615550302</v>
      </c>
      <c r="AN1153">
        <v>0.999999953974404</v>
      </c>
    </row>
    <row r="1154" spans="1:40" x14ac:dyDescent="0.25">
      <c r="A1154" t="str">
        <f>"20190303154750175"</f>
        <v>20190303154750175</v>
      </c>
      <c r="B1154" t="str">
        <f>"1551599270171885"</f>
        <v>1551599270171885</v>
      </c>
      <c r="C1154" t="s">
        <v>40</v>
      </c>
      <c r="D1154">
        <v>5.0704279999999997</v>
      </c>
      <c r="E1154">
        <v>0.55452199999999996</v>
      </c>
      <c r="F1154" t="s">
        <v>41</v>
      </c>
      <c r="G1154">
        <v>-222.3503</v>
      </c>
      <c r="H1154" s="1">
        <v>-4.3342260000000002E-6</v>
      </c>
      <c r="I1154">
        <v>363.5829</v>
      </c>
      <c r="J1154">
        <v>-243.6499</v>
      </c>
      <c r="K1154">
        <v>1.1206499999999999</v>
      </c>
      <c r="L1154">
        <v>367.85860000000002</v>
      </c>
      <c r="M1154">
        <v>0.99989749999999999</v>
      </c>
      <c r="N1154">
        <v>-1.415509E-2</v>
      </c>
      <c r="O1154">
        <v>2.1820310000000001E-3</v>
      </c>
      <c r="P1154">
        <v>0.99226809999999999</v>
      </c>
      <c r="Q1154">
        <v>-0.1126337</v>
      </c>
      <c r="R1154">
        <v>-5.2132249999999998E-2</v>
      </c>
      <c r="S1154">
        <v>2.9746700000000001</v>
      </c>
      <c r="T1154">
        <v>-0.1552829</v>
      </c>
      <c r="U1154">
        <v>-0.59240719999999902</v>
      </c>
      <c r="V1154">
        <v>5.4288160000000002E-2</v>
      </c>
      <c r="W1154">
        <v>-9.8583550000000006E-2</v>
      </c>
      <c r="X1154">
        <v>0.9936469</v>
      </c>
      <c r="Y1154">
        <v>0.19712270000000001</v>
      </c>
      <c r="Z1154">
        <v>-6.5837860000000003E-3</v>
      </c>
      <c r="AA1154">
        <v>0.98035669999999997</v>
      </c>
      <c r="AB1154">
        <v>29</v>
      </c>
      <c r="AC1154">
        <v>21.299600000000002</v>
      </c>
      <c r="AD1154">
        <v>-1.120654334226</v>
      </c>
      <c r="AE1154">
        <v>-4.27570000000002</v>
      </c>
      <c r="AF1154">
        <v>4.3107001326137704</v>
      </c>
      <c r="AG1154">
        <v>-1.120654334226</v>
      </c>
      <c r="AH1154">
        <v>21.2337159449343</v>
      </c>
      <c r="AI1154">
        <v>92.960816587827594</v>
      </c>
      <c r="AJ1154">
        <v>78.524224088584802</v>
      </c>
      <c r="AK1154">
        <v>21.695822054033702</v>
      </c>
      <c r="AL1154">
        <v>95.657610590814002</v>
      </c>
      <c r="AM1154">
        <v>86.872739164854295</v>
      </c>
      <c r="AN1154">
        <v>1.00000004126319</v>
      </c>
    </row>
    <row r="1155" spans="1:40" x14ac:dyDescent="0.25">
      <c r="A1155" t="str">
        <f>"20190303154750187"</f>
        <v>20190303154750187</v>
      </c>
      <c r="B1155" t="str">
        <f>"1551599270181645"</f>
        <v>1551599270181645</v>
      </c>
      <c r="C1155" t="s">
        <v>40</v>
      </c>
      <c r="D1155">
        <v>5.0470139999999999</v>
      </c>
      <c r="E1155">
        <v>0.55452199999999996</v>
      </c>
      <c r="F1155" t="s">
        <v>41</v>
      </c>
      <c r="G1155">
        <v>-222.17590000000001</v>
      </c>
      <c r="H1155" s="1">
        <v>-4.4105199999999899E-6</v>
      </c>
      <c r="I1155">
        <v>363.57479999999998</v>
      </c>
      <c r="J1155">
        <v>-243.48849999999999</v>
      </c>
      <c r="K1155">
        <v>1.1206499999999999</v>
      </c>
      <c r="L1155">
        <v>367.85899999999998</v>
      </c>
      <c r="M1155">
        <v>0.99989749999999999</v>
      </c>
      <c r="N1155">
        <v>-1.4153600000000001E-2</v>
      </c>
      <c r="O1155">
        <v>2.1661879999999999E-3</v>
      </c>
      <c r="P1155">
        <v>0.99225379999999996</v>
      </c>
      <c r="Q1155">
        <v>-0.1127021</v>
      </c>
      <c r="R1155">
        <v>-5.2256829999999997E-2</v>
      </c>
      <c r="S1155">
        <v>2.974564</v>
      </c>
      <c r="T1155">
        <v>-0.15523149999999999</v>
      </c>
      <c r="U1155">
        <v>-0.59338380000000002</v>
      </c>
      <c r="V1155">
        <v>5.4397010000000003E-2</v>
      </c>
      <c r="W1155">
        <v>-9.8653669999999999E-2</v>
      </c>
      <c r="X1155">
        <v>0.99363389999999996</v>
      </c>
      <c r="Y1155">
        <v>0.19742319999999999</v>
      </c>
      <c r="Z1155">
        <v>-6.591296E-3</v>
      </c>
      <c r="AA1155">
        <v>0.98029619999999995</v>
      </c>
      <c r="AB1155">
        <v>29</v>
      </c>
      <c r="AC1155">
        <v>21.3125999999999</v>
      </c>
      <c r="AD1155">
        <v>-1.12065441052</v>
      </c>
      <c r="AE1155">
        <v>-4.28420000000005</v>
      </c>
      <c r="AF1155">
        <v>4.3188844025403696</v>
      </c>
      <c r="AG1155">
        <v>-1.12065441052</v>
      </c>
      <c r="AH1155">
        <v>21.246806117391898</v>
      </c>
      <c r="AI1155">
        <v>92.958845978102701</v>
      </c>
      <c r="AJ1155">
        <v>78.509910738105603</v>
      </c>
      <c r="AK1155">
        <v>21.7102602236906</v>
      </c>
      <c r="AL1155">
        <v>95.661648345286295</v>
      </c>
      <c r="AM1155">
        <v>86.866440445956002</v>
      </c>
      <c r="AN1155">
        <v>0.99999995426530797</v>
      </c>
    </row>
    <row r="1156" spans="1:40" x14ac:dyDescent="0.25">
      <c r="A1156" t="str">
        <f>"20190303154750199"</f>
        <v>20190303154750199</v>
      </c>
      <c r="B1156" t="str">
        <f>"1551599270191404"</f>
        <v>1551599270191404</v>
      </c>
      <c r="C1156" t="s">
        <v>40</v>
      </c>
      <c r="D1156">
        <v>4.9465640000000004</v>
      </c>
      <c r="E1156">
        <v>0.52112570000000003</v>
      </c>
      <c r="F1156" t="s">
        <v>41</v>
      </c>
      <c r="G1156">
        <v>-222.05879999999999</v>
      </c>
      <c r="H1156" s="1">
        <v>-4.4597690000000003E-6</v>
      </c>
      <c r="I1156">
        <v>363.5804</v>
      </c>
      <c r="J1156">
        <v>-243.34100000000001</v>
      </c>
      <c r="K1156">
        <v>1.1206510000000001</v>
      </c>
      <c r="L1156">
        <v>367.85930000000002</v>
      </c>
      <c r="M1156">
        <v>0.99989760000000005</v>
      </c>
      <c r="N1156">
        <v>-1.415223E-2</v>
      </c>
      <c r="O1156">
        <v>2.1518930000000002E-3</v>
      </c>
      <c r="P1156">
        <v>0.9922417</v>
      </c>
      <c r="Q1156">
        <v>-0.1127351</v>
      </c>
      <c r="R1156">
        <v>-5.2416509999999999E-2</v>
      </c>
      <c r="S1156">
        <v>2.974472</v>
      </c>
      <c r="T1156">
        <v>-0.15554770000000001</v>
      </c>
      <c r="U1156">
        <v>-0.59387209999999901</v>
      </c>
      <c r="V1156">
        <v>5.4542279999999999E-2</v>
      </c>
      <c r="W1156">
        <v>-9.8688139999999994E-2</v>
      </c>
      <c r="X1156">
        <v>0.99362249999999996</v>
      </c>
      <c r="Y1156">
        <v>0.1975683</v>
      </c>
      <c r="Z1156">
        <v>-6.6061150000000001E-3</v>
      </c>
      <c r="AA1156">
        <v>0.98026690000000005</v>
      </c>
      <c r="AB1156">
        <v>29</v>
      </c>
      <c r="AC1156">
        <v>21.2821999999999</v>
      </c>
      <c r="AD1156">
        <v>-1.1206554597689999</v>
      </c>
      <c r="AE1156">
        <v>-4.2789000000000197</v>
      </c>
      <c r="AF1156">
        <v>4.3131969186647598</v>
      </c>
      <c r="AG1156">
        <v>-1.1206554597689999</v>
      </c>
      <c r="AH1156">
        <v>21.2163998423942</v>
      </c>
      <c r="AI1156">
        <v>92.963068240706903</v>
      </c>
      <c r="AJ1156">
        <v>78.508631516428395</v>
      </c>
      <c r="AK1156">
        <v>21.679371729619699</v>
      </c>
      <c r="AL1156">
        <v>95.663633091823101</v>
      </c>
      <c r="AM1156">
        <v>86.858052883013201</v>
      </c>
      <c r="AN1156">
        <v>0.99999994089525202</v>
      </c>
    </row>
    <row r="1157" spans="1:40" x14ac:dyDescent="0.25">
      <c r="A1157" t="str">
        <f>"20190303154750212"</f>
        <v>20190303154750212</v>
      </c>
      <c r="B1157" t="str">
        <f>"1551599270202140"</f>
        <v>1551599270202140</v>
      </c>
      <c r="C1157" t="s">
        <v>40</v>
      </c>
      <c r="D1157">
        <v>4.9208689999999997</v>
      </c>
      <c r="E1157">
        <v>0.51717020000000002</v>
      </c>
      <c r="F1157" t="s">
        <v>42</v>
      </c>
      <c r="G1157">
        <v>-242.6046</v>
      </c>
      <c r="H1157">
        <v>1.03102</v>
      </c>
      <c r="I1157">
        <v>367.77839999999998</v>
      </c>
      <c r="J1157">
        <v>-243.18440000000001</v>
      </c>
      <c r="K1157">
        <v>1.120649</v>
      </c>
      <c r="L1157">
        <v>367.8596</v>
      </c>
      <c r="M1157">
        <v>0.9998977</v>
      </c>
      <c r="N1157">
        <v>-1.415076E-2</v>
      </c>
      <c r="O1157">
        <v>2.1362299999999998E-3</v>
      </c>
      <c r="P1157">
        <v>0.99221610000000005</v>
      </c>
      <c r="Q1157">
        <v>-0.11289150000000001</v>
      </c>
      <c r="R1157">
        <v>-5.2568030000000002E-2</v>
      </c>
      <c r="S1157">
        <v>2.9652859999999999</v>
      </c>
      <c r="T1157">
        <v>-0.36102099999999998</v>
      </c>
      <c r="U1157">
        <v>-0.32492070000000001</v>
      </c>
      <c r="V1157">
        <v>5.4678230000000001E-2</v>
      </c>
      <c r="W1157">
        <v>-9.8846310000000007E-2</v>
      </c>
      <c r="X1157">
        <v>0.99359940000000002</v>
      </c>
      <c r="Y1157">
        <v>0.1101355</v>
      </c>
      <c r="Z1157">
        <v>-7.6731849999999999E-3</v>
      </c>
      <c r="AA1157">
        <v>0.99388690000000002</v>
      </c>
      <c r="AB1157">
        <v>29</v>
      </c>
      <c r="AC1157">
        <v>0.57980000000000498</v>
      </c>
      <c r="AD1157">
        <v>-8.9628999999999903E-2</v>
      </c>
      <c r="AE1157">
        <v>-8.1200000000023906E-2</v>
      </c>
      <c r="AF1157">
        <v>8.0550645888827196E-2</v>
      </c>
      <c r="AG1157">
        <v>-8.9628999999999903E-2</v>
      </c>
      <c r="AH1157">
        <v>0.56635152300140301</v>
      </c>
      <c r="AI1157">
        <v>98.904710979711894</v>
      </c>
      <c r="AJ1157">
        <v>81.905266556925099</v>
      </c>
      <c r="AK1157">
        <v>0.57903006122317702</v>
      </c>
      <c r="AL1157">
        <v>95.672739559711999</v>
      </c>
      <c r="AM1157">
        <v>86.850164054447504</v>
      </c>
      <c r="AN1157">
        <v>1.0000000347584499</v>
      </c>
    </row>
    <row r="1158" spans="1:40" x14ac:dyDescent="0.25">
      <c r="A1158" t="str">
        <f>"20190303154750226"</f>
        <v>20190303154750226</v>
      </c>
      <c r="B1158" t="str">
        <f>"1551599270221660"</f>
        <v>1551599270221660</v>
      </c>
      <c r="C1158" t="s">
        <v>40</v>
      </c>
      <c r="D1158">
        <v>4.9932540000000003</v>
      </c>
      <c r="E1158">
        <v>0.51206209999999996</v>
      </c>
      <c r="F1158" t="s">
        <v>42</v>
      </c>
      <c r="G1158">
        <v>-242.3595</v>
      </c>
      <c r="H1158">
        <v>1.0092179999999999</v>
      </c>
      <c r="I1158">
        <v>367.77780000000001</v>
      </c>
      <c r="J1158">
        <v>-242.99430000000001</v>
      </c>
      <c r="K1158">
        <v>1.1206499999999999</v>
      </c>
      <c r="L1158">
        <v>367.86</v>
      </c>
      <c r="M1158">
        <v>0.9998977</v>
      </c>
      <c r="N1158">
        <v>-1.414898E-2</v>
      </c>
      <c r="O1158">
        <v>2.117589E-3</v>
      </c>
      <c r="P1158">
        <v>0.99219840000000004</v>
      </c>
      <c r="Q1158">
        <v>-0.113080399999999</v>
      </c>
      <c r="R1158">
        <v>-5.2493390000000001E-2</v>
      </c>
      <c r="S1158">
        <v>2.9624630000000001</v>
      </c>
      <c r="T1158">
        <v>-0.40022219999999997</v>
      </c>
      <c r="U1158">
        <v>-0.29333500000000001</v>
      </c>
      <c r="V1158">
        <v>5.458503E-2</v>
      </c>
      <c r="W1158">
        <v>-9.9037269999999997E-2</v>
      </c>
      <c r="X1158">
        <v>0.99358550000000001</v>
      </c>
      <c r="Y1158">
        <v>9.9635459999999995E-2</v>
      </c>
      <c r="Z1158">
        <v>-7.6481680000000003E-3</v>
      </c>
      <c r="AA1158">
        <v>0.99499459999999995</v>
      </c>
      <c r="AB1158">
        <v>29</v>
      </c>
      <c r="AC1158">
        <v>0.63480000000001202</v>
      </c>
      <c r="AD1158">
        <v>-0.111431999999999</v>
      </c>
      <c r="AE1158">
        <v>-8.2200000000000203E-2</v>
      </c>
      <c r="AF1158">
        <v>8.108680326079E-2</v>
      </c>
      <c r="AG1158">
        <v>-0.111431999999999</v>
      </c>
      <c r="AH1158">
        <v>0.61595747027474801</v>
      </c>
      <c r="AI1158">
        <v>100.168512582258</v>
      </c>
      <c r="AJ1158">
        <v>82.500506190669796</v>
      </c>
      <c r="AK1158">
        <v>0.63118599911145201</v>
      </c>
      <c r="AL1158">
        <v>95.683734761653795</v>
      </c>
      <c r="AM1158">
        <v>86.855478319357502</v>
      </c>
      <c r="AN1158">
        <v>1.0000000260797</v>
      </c>
    </row>
    <row r="1159" spans="1:40" x14ac:dyDescent="0.25">
      <c r="A1159" t="str">
        <f>"20190303154750242"</f>
        <v>20190303154750242</v>
      </c>
      <c r="B1159" t="str">
        <f>"1551599270231420"</f>
        <v>1551599270231420</v>
      </c>
      <c r="C1159" t="s">
        <v>40</v>
      </c>
      <c r="D1159">
        <v>4.9822100000000002</v>
      </c>
      <c r="E1159">
        <v>0.51101909999999995</v>
      </c>
      <c r="F1159" t="s">
        <v>42</v>
      </c>
      <c r="G1159">
        <v>-242.11529999999999</v>
      </c>
      <c r="H1159">
        <v>0.98623870000000002</v>
      </c>
      <c r="I1159">
        <v>367.78519999999997</v>
      </c>
      <c r="J1159">
        <v>-242.8066</v>
      </c>
      <c r="K1159">
        <v>1.1206499999999999</v>
      </c>
      <c r="L1159">
        <v>367.86040000000003</v>
      </c>
      <c r="M1159">
        <v>0.99989779999999995</v>
      </c>
      <c r="N1159">
        <v>-1.41472E-2</v>
      </c>
      <c r="O1159">
        <v>2.0994199999999998E-3</v>
      </c>
      <c r="P1159">
        <v>0.99220469999999905</v>
      </c>
      <c r="Q1159">
        <v>-0.11293069999999999</v>
      </c>
      <c r="R1159">
        <v>-5.2697790000000001E-2</v>
      </c>
      <c r="S1159">
        <v>2.9586939999999999</v>
      </c>
      <c r="T1159">
        <v>-0.45242379999999999</v>
      </c>
      <c r="U1159">
        <v>-0.25167850000000003</v>
      </c>
      <c r="V1159">
        <v>5.4771460000000001E-2</v>
      </c>
      <c r="W1159">
        <v>-9.888922E-2</v>
      </c>
      <c r="X1159">
        <v>0.99358990000000003</v>
      </c>
      <c r="Y1159">
        <v>8.574706E-2</v>
      </c>
      <c r="Z1159">
        <v>-7.4070999999999998E-3</v>
      </c>
      <c r="AA1159">
        <v>0.99628939999999999</v>
      </c>
      <c r="AB1159">
        <v>29</v>
      </c>
      <c r="AC1159">
        <v>0.69130000000001202</v>
      </c>
      <c r="AD1159">
        <v>-0.13441129999999901</v>
      </c>
      <c r="AE1159">
        <v>-7.52000000000521E-2</v>
      </c>
      <c r="AF1159">
        <v>7.3890611204728701E-2</v>
      </c>
      <c r="AG1159">
        <v>-0.13441129999999901</v>
      </c>
      <c r="AH1159">
        <v>0.66624825106907504</v>
      </c>
      <c r="AI1159">
        <v>101.33825649231601</v>
      </c>
      <c r="AJ1159">
        <v>83.671444157091301</v>
      </c>
      <c r="AK1159">
        <v>0.68367605782600005</v>
      </c>
      <c r="AL1159">
        <v>95.675210765769904</v>
      </c>
      <c r="AM1159">
        <v>86.844774111060303</v>
      </c>
      <c r="AN1159">
        <v>0.99999994002237302</v>
      </c>
    </row>
    <row r="1160" spans="1:40" x14ac:dyDescent="0.25">
      <c r="A1160" t="str">
        <f>"20190303154750258"</f>
        <v>20190303154750258</v>
      </c>
      <c r="B1160" t="str">
        <f>"1551599270251917"</f>
        <v>1551599270251917</v>
      </c>
      <c r="C1160" t="s">
        <v>40</v>
      </c>
      <c r="D1160">
        <v>4.9810400000000001</v>
      </c>
      <c r="E1160">
        <v>0.50958789999999998</v>
      </c>
      <c r="F1160" t="s">
        <v>42</v>
      </c>
      <c r="G1160">
        <v>-241.86580000000001</v>
      </c>
      <c r="H1160">
        <v>0.9744583</v>
      </c>
      <c r="I1160">
        <v>367.78269999999998</v>
      </c>
      <c r="J1160">
        <v>-242.577</v>
      </c>
      <c r="K1160">
        <v>1.12064599999999</v>
      </c>
      <c r="L1160">
        <v>367.86079999999998</v>
      </c>
      <c r="M1160">
        <v>0.99989799999999995</v>
      </c>
      <c r="N1160">
        <v>-1.414495E-2</v>
      </c>
      <c r="O1160">
        <v>2.077026E-3</v>
      </c>
      <c r="P1160">
        <v>0.99223090000000003</v>
      </c>
      <c r="Q1160">
        <v>-0.1127843</v>
      </c>
      <c r="R1160">
        <v>-5.2515890000000003E-2</v>
      </c>
      <c r="S1160">
        <v>2.9582820000000001</v>
      </c>
      <c r="T1160">
        <v>-0.45971289999999998</v>
      </c>
      <c r="U1160">
        <v>-0.243866</v>
      </c>
      <c r="V1160">
        <v>5.4567520000000001E-2</v>
      </c>
      <c r="W1160">
        <v>-9.8744680000000001E-2</v>
      </c>
      <c r="X1160">
        <v>0.99361560000000004</v>
      </c>
      <c r="Y1160">
        <v>8.3123069999999993E-2</v>
      </c>
      <c r="Z1160">
        <v>-7.2932569999999896E-3</v>
      </c>
      <c r="AA1160">
        <v>0.99651259999999997</v>
      </c>
      <c r="AB1160">
        <v>29</v>
      </c>
      <c r="AC1160">
        <v>0.71119999999999095</v>
      </c>
      <c r="AD1160">
        <v>-0.146187699999999</v>
      </c>
      <c r="AE1160">
        <v>-7.8100000000006206E-2</v>
      </c>
      <c r="AF1160">
        <v>7.6388133237019401E-2</v>
      </c>
      <c r="AG1160">
        <v>-0.146187699999999</v>
      </c>
      <c r="AH1160">
        <v>0.682541707035483</v>
      </c>
      <c r="AI1160">
        <v>102.01621963698599</v>
      </c>
      <c r="AJ1160">
        <v>83.614191994270101</v>
      </c>
      <c r="AK1160">
        <v>0.70218884381171798</v>
      </c>
      <c r="AL1160">
        <v>95.666887913762693</v>
      </c>
      <c r="AM1160">
        <v>86.856580044808894</v>
      </c>
      <c r="AN1160">
        <v>1.0000000433153</v>
      </c>
    </row>
    <row r="1161" spans="1:40" x14ac:dyDescent="0.25">
      <c r="A1161" t="str">
        <f>"20190303154750271"</f>
        <v>20190303154750271</v>
      </c>
      <c r="B1161" t="str">
        <f>"1551599270261677"</f>
        <v>1551599270261677</v>
      </c>
      <c r="C1161" t="s">
        <v>40</v>
      </c>
      <c r="D1161">
        <v>4.9871030000000003</v>
      </c>
      <c r="E1161">
        <v>0.5091272</v>
      </c>
      <c r="F1161" t="s">
        <v>42</v>
      </c>
      <c r="G1161">
        <v>-241.85059999999999</v>
      </c>
      <c r="H1161">
        <v>1.005242</v>
      </c>
      <c r="I1161">
        <v>367.80380000000002</v>
      </c>
      <c r="J1161">
        <v>-242.43029999999999</v>
      </c>
      <c r="K1161">
        <v>1.1206480000000001</v>
      </c>
      <c r="L1161">
        <v>367.86110000000002</v>
      </c>
      <c r="M1161">
        <v>0.99989799999999995</v>
      </c>
      <c r="N1161">
        <v>-1.414351E-2</v>
      </c>
      <c r="O1161">
        <v>2.0623769999999998E-3</v>
      </c>
      <c r="P1161">
        <v>0.99224849999999998</v>
      </c>
      <c r="Q1161">
        <v>-0.11272980000000001</v>
      </c>
      <c r="R1161">
        <v>-5.229934E-2</v>
      </c>
      <c r="S1161">
        <v>2.9578090000000001</v>
      </c>
      <c r="T1161">
        <v>-0.47000239999999999</v>
      </c>
      <c r="U1161">
        <v>-0.23184199999999999</v>
      </c>
      <c r="V1161">
        <v>5.4336589999999997E-2</v>
      </c>
      <c r="W1161">
        <v>-9.8691379999999995E-2</v>
      </c>
      <c r="X1161">
        <v>0.99363349999999995</v>
      </c>
      <c r="Y1161">
        <v>7.9102290000000006E-2</v>
      </c>
      <c r="Z1161">
        <v>-7.0964829999999998E-3</v>
      </c>
      <c r="AA1161">
        <v>0.99684130000000004</v>
      </c>
      <c r="AB1161">
        <v>29</v>
      </c>
      <c r="AC1161">
        <v>0.57970000000000199</v>
      </c>
      <c r="AD1161">
        <v>-0.115405999999999</v>
      </c>
      <c r="AE1161">
        <v>-5.7299999999997901E-2</v>
      </c>
      <c r="AF1161">
        <v>5.62863783086738E-2</v>
      </c>
      <c r="AG1161">
        <v>-0.115405999999999</v>
      </c>
      <c r="AH1161">
        <v>0.55769178452062795</v>
      </c>
      <c r="AI1161">
        <v>101.634005924116</v>
      </c>
      <c r="AJ1161">
        <v>84.236802058118599</v>
      </c>
      <c r="AK1161">
        <v>0.57228212250681898</v>
      </c>
      <c r="AL1161">
        <v>95.663819345276096</v>
      </c>
      <c r="AM1161">
        <v>86.869912779788294</v>
      </c>
      <c r="AN1161">
        <v>0.99999999291069097</v>
      </c>
    </row>
    <row r="1162" spans="1:40" x14ac:dyDescent="0.25">
      <c r="A1162" t="str">
        <f>"20190303154750284"</f>
        <v>20190303154750284</v>
      </c>
      <c r="B1162" t="str">
        <f>"1551599270271438"</f>
        <v>1551599270271438</v>
      </c>
      <c r="C1162" t="s">
        <v>40</v>
      </c>
      <c r="D1162">
        <v>4.9863679999999997</v>
      </c>
      <c r="E1162">
        <v>0.50870400000000005</v>
      </c>
      <c r="F1162" t="s">
        <v>42</v>
      </c>
      <c r="G1162">
        <v>-241.60380000000001</v>
      </c>
      <c r="H1162">
        <v>0.98865840000000005</v>
      </c>
      <c r="I1162">
        <v>367.79739999999998</v>
      </c>
      <c r="J1162">
        <v>-242.26730000000001</v>
      </c>
      <c r="K1162">
        <v>1.120644</v>
      </c>
      <c r="L1162">
        <v>367.8614</v>
      </c>
      <c r="M1162">
        <v>0.99989790000000001</v>
      </c>
      <c r="N1162">
        <v>-1.4141910000000001E-2</v>
      </c>
      <c r="O1162">
        <v>2.0460600000000002E-3</v>
      </c>
      <c r="P1162">
        <v>0.99225680000000005</v>
      </c>
      <c r="Q1162">
        <v>-0.112732</v>
      </c>
      <c r="R1162">
        <v>-5.2132650000000003E-2</v>
      </c>
      <c r="S1162">
        <v>2.9577640000000001</v>
      </c>
      <c r="T1162">
        <v>-0.47247220000000001</v>
      </c>
      <c r="U1162">
        <v>-0.22741700000000001</v>
      </c>
      <c r="V1162">
        <v>5.4153720000000002E-2</v>
      </c>
      <c r="W1162">
        <v>-9.8694970000000007E-2</v>
      </c>
      <c r="X1162">
        <v>0.99364319999999895</v>
      </c>
      <c r="Y1162">
        <v>7.761411E-2</v>
      </c>
      <c r="Z1162">
        <v>-7.000048E-3</v>
      </c>
      <c r="AA1162">
        <v>0.99695889999999998</v>
      </c>
      <c r="AB1162">
        <v>29</v>
      </c>
      <c r="AC1162">
        <v>0.66349999999999898</v>
      </c>
      <c r="AD1162">
        <v>-0.13198559999999901</v>
      </c>
      <c r="AE1162">
        <v>-6.4000000000021304E-2</v>
      </c>
      <c r="AF1162">
        <v>6.2891844035609504E-2</v>
      </c>
      <c r="AG1162">
        <v>-0.13198559999999901</v>
      </c>
      <c r="AH1162">
        <v>0.63834104456999097</v>
      </c>
      <c r="AI1162">
        <v>101.62730329649899</v>
      </c>
      <c r="AJ1162">
        <v>84.373156436242994</v>
      </c>
      <c r="AK1162">
        <v>0.65487011829542696</v>
      </c>
      <c r="AL1162">
        <v>95.664025632631507</v>
      </c>
      <c r="AM1162">
        <v>86.880456651807705</v>
      </c>
      <c r="AN1162">
        <v>1.0000000656996799</v>
      </c>
    </row>
    <row r="1163" spans="1:40" x14ac:dyDescent="0.25">
      <c r="A1163" t="str">
        <f>"20190303154750304"</f>
        <v>20190303154750304</v>
      </c>
      <c r="B1163" t="str">
        <f>"1551599270291932"</f>
        <v>1551599270291932</v>
      </c>
      <c r="C1163" t="s">
        <v>40</v>
      </c>
      <c r="D1163">
        <v>4.9155379999999997</v>
      </c>
      <c r="E1163">
        <v>0.50918770000000002</v>
      </c>
      <c r="F1163" t="s">
        <v>42</v>
      </c>
      <c r="G1163">
        <v>-241.3562</v>
      </c>
      <c r="H1163">
        <v>0.97430589999999995</v>
      </c>
      <c r="I1163">
        <v>367.79250000000002</v>
      </c>
      <c r="J1163">
        <v>-242.00389999999999</v>
      </c>
      <c r="K1163">
        <v>1.12064599999999</v>
      </c>
      <c r="L1163">
        <v>367.86189999999999</v>
      </c>
      <c r="M1163">
        <v>0.99989799999999995</v>
      </c>
      <c r="N1163">
        <v>-1.4139290000000001E-2</v>
      </c>
      <c r="O1163">
        <v>2.0205100000000001E-3</v>
      </c>
      <c r="P1163">
        <v>0.9923343</v>
      </c>
      <c r="Q1163">
        <v>-0.1122244</v>
      </c>
      <c r="R1163">
        <v>-5.1751129999999999E-2</v>
      </c>
      <c r="S1163">
        <v>2.957703</v>
      </c>
      <c r="T1163">
        <v>-0.47505740000000002</v>
      </c>
      <c r="U1163">
        <v>-0.2234497</v>
      </c>
      <c r="V1163">
        <v>5.3746919999999997E-2</v>
      </c>
      <c r="W1163">
        <v>-9.8188880000000006E-2</v>
      </c>
      <c r="X1163">
        <v>0.99371529999999997</v>
      </c>
      <c r="Y1163">
        <v>7.6268020000000006E-2</v>
      </c>
      <c r="Z1163">
        <v>-6.9148289999999999E-3</v>
      </c>
      <c r="AA1163">
        <v>0.99706340000000004</v>
      </c>
      <c r="AB1163">
        <v>29</v>
      </c>
      <c r="AC1163">
        <v>0.64769999999998595</v>
      </c>
      <c r="AD1163">
        <v>-0.146340099999999</v>
      </c>
      <c r="AE1163">
        <v>-6.9399999999973205E-2</v>
      </c>
      <c r="AF1163">
        <v>6.7311553506762004E-2</v>
      </c>
      <c r="AG1163">
        <v>-0.146340099999999</v>
      </c>
      <c r="AH1163">
        <v>0.61644721166206096</v>
      </c>
      <c r="AI1163">
        <v>103.278296813968</v>
      </c>
      <c r="AJ1163">
        <v>83.768405742317199</v>
      </c>
      <c r="AK1163">
        <v>0.63714475189664199</v>
      </c>
      <c r="AL1163">
        <v>95.634887978720499</v>
      </c>
      <c r="AM1163">
        <v>86.904068945843093</v>
      </c>
      <c r="AN1163">
        <v>0.99999994250961299</v>
      </c>
    </row>
    <row r="1164" spans="1:40" x14ac:dyDescent="0.25">
      <c r="A1164" t="str">
        <f>"20190303154750315"</f>
        <v>20190303154750315</v>
      </c>
      <c r="B1164" t="str">
        <f>"1551599270311453"</f>
        <v>1551599270311453</v>
      </c>
      <c r="C1164" t="s">
        <v>40</v>
      </c>
      <c r="D1164">
        <v>5.0203329999999999</v>
      </c>
      <c r="E1164">
        <v>0.50843369999999999</v>
      </c>
      <c r="F1164" t="s">
        <v>42</v>
      </c>
      <c r="G1164">
        <v>-241.1003</v>
      </c>
      <c r="H1164">
        <v>0.97726789999999997</v>
      </c>
      <c r="I1164">
        <v>367.79259999999999</v>
      </c>
      <c r="J1164">
        <v>-241.8563</v>
      </c>
      <c r="K1164">
        <v>1.1206499999999999</v>
      </c>
      <c r="L1164">
        <v>367.86219999999997</v>
      </c>
      <c r="M1164">
        <v>0.99989810000000001</v>
      </c>
      <c r="N1164">
        <v>-1.4137810000000001E-2</v>
      </c>
      <c r="O1164">
        <v>2.0060379999999999E-3</v>
      </c>
      <c r="P1164">
        <v>0.9923691</v>
      </c>
      <c r="Q1164">
        <v>-0.111956</v>
      </c>
      <c r="R1164">
        <v>-5.1667419999999999E-2</v>
      </c>
      <c r="S1164">
        <v>2.9582980000000001</v>
      </c>
      <c r="T1164">
        <v>-0.46950969999999997</v>
      </c>
      <c r="U1164">
        <v>-0.2264709</v>
      </c>
      <c r="V1164">
        <v>5.3648950000000001E-2</v>
      </c>
      <c r="W1164">
        <v>-9.7921439999999998E-2</v>
      </c>
      <c r="X1164">
        <v>0.99374709999999999</v>
      </c>
      <c r="Y1164">
        <v>7.7262059999999994E-2</v>
      </c>
      <c r="Z1164">
        <v>-6.9226959999999999E-3</v>
      </c>
      <c r="AA1164">
        <v>0.99698679999999995</v>
      </c>
      <c r="AB1164">
        <v>28</v>
      </c>
      <c r="AC1164">
        <v>0.75600000000000001</v>
      </c>
      <c r="AD1164">
        <v>-0.14338209999999901</v>
      </c>
      <c r="AE1164">
        <v>-6.95999999999799E-2</v>
      </c>
      <c r="AF1164">
        <v>6.8667337755542998E-2</v>
      </c>
      <c r="AG1164">
        <v>-0.14338209999999901</v>
      </c>
      <c r="AH1164">
        <v>0.72982724090602202</v>
      </c>
      <c r="AI1164">
        <v>101.06712966718599</v>
      </c>
      <c r="AJ1164">
        <v>84.625028714285193</v>
      </c>
      <c r="AK1164">
        <v>0.74694138420851997</v>
      </c>
      <c r="AL1164">
        <v>95.619489940304902</v>
      </c>
      <c r="AM1164">
        <v>86.909799965659005</v>
      </c>
      <c r="AN1164">
        <v>1.0000000585030899</v>
      </c>
    </row>
    <row r="1165" spans="1:40" x14ac:dyDescent="0.25">
      <c r="A1165" t="str">
        <f>"20190303154750328"</f>
        <v>20190303154750328</v>
      </c>
      <c r="B1165" t="str">
        <f>"1551599270322190"</f>
        <v>1551599270322190</v>
      </c>
      <c r="C1165" t="s">
        <v>40</v>
      </c>
      <c r="D1165">
        <v>5.0393699999999999</v>
      </c>
      <c r="E1165">
        <v>0.5082276</v>
      </c>
      <c r="F1165" t="s">
        <v>42</v>
      </c>
      <c r="G1165">
        <v>-241.09049999999999</v>
      </c>
      <c r="H1165">
        <v>0.9971236</v>
      </c>
      <c r="I1165">
        <v>367.80520000000001</v>
      </c>
      <c r="J1165">
        <v>-241.7011</v>
      </c>
      <c r="K1165">
        <v>1.120652</v>
      </c>
      <c r="L1165">
        <v>367.86250000000001</v>
      </c>
      <c r="M1165">
        <v>0.99989810000000001</v>
      </c>
      <c r="N1165">
        <v>-1.413624E-2</v>
      </c>
      <c r="O1165">
        <v>1.9908489999999998E-3</v>
      </c>
      <c r="P1165">
        <v>0.99236970000000002</v>
      </c>
      <c r="Q1165">
        <v>-0.1119337</v>
      </c>
      <c r="R1165">
        <v>-5.1705269999999998E-2</v>
      </c>
      <c r="S1165">
        <v>2.9577939999999998</v>
      </c>
      <c r="T1165">
        <v>-0.47719620000000001</v>
      </c>
      <c r="U1165">
        <v>-0.2198792</v>
      </c>
      <c r="V1165">
        <v>5.3671780000000002E-2</v>
      </c>
      <c r="W1165">
        <v>-9.7900730000000005E-2</v>
      </c>
      <c r="X1165">
        <v>0.99374779999999996</v>
      </c>
      <c r="Y1165">
        <v>7.5047219999999998E-2</v>
      </c>
      <c r="Z1165">
        <v>-6.8325139999999996E-3</v>
      </c>
      <c r="AA1165">
        <v>0.99715659999999895</v>
      </c>
      <c r="AB1165">
        <v>28</v>
      </c>
      <c r="AC1165">
        <v>0.61060000000000503</v>
      </c>
      <c r="AD1165">
        <v>-0.1235284</v>
      </c>
      <c r="AE1165">
        <v>-5.7299999999997901E-2</v>
      </c>
      <c r="AF1165">
        <v>5.6234162398793898E-2</v>
      </c>
      <c r="AG1165">
        <v>-0.1235284</v>
      </c>
      <c r="AH1165">
        <v>0.586682594105425</v>
      </c>
      <c r="AI1165">
        <v>101.837467291896</v>
      </c>
      <c r="AJ1165">
        <v>84.524864038646996</v>
      </c>
      <c r="AK1165">
        <v>0.60217772530501701</v>
      </c>
      <c r="AL1165">
        <v>95.618298219230297</v>
      </c>
      <c r="AM1165">
        <v>86.908489672682194</v>
      </c>
      <c r="AN1165">
        <v>0.999999951453869</v>
      </c>
    </row>
    <row r="1166" spans="1:40" x14ac:dyDescent="0.25">
      <c r="A1166" t="str">
        <f>"20190303154750338"</f>
        <v>20190303154750338</v>
      </c>
      <c r="B1166" t="str">
        <f>"1551599270331949"</f>
        <v>1551599270331949</v>
      </c>
      <c r="C1166" t="s">
        <v>40</v>
      </c>
      <c r="D1166">
        <v>5.0578379999999896</v>
      </c>
      <c r="E1166">
        <v>0.50807650000000004</v>
      </c>
      <c r="F1166" t="s">
        <v>42</v>
      </c>
      <c r="G1166">
        <v>-240.8441</v>
      </c>
      <c r="H1166">
        <v>0.9814425</v>
      </c>
      <c r="I1166">
        <v>367.79910000000001</v>
      </c>
      <c r="J1166">
        <v>-241.5564</v>
      </c>
      <c r="K1166">
        <v>1.120655</v>
      </c>
      <c r="L1166">
        <v>367.86279999999999</v>
      </c>
      <c r="M1166">
        <v>0.99989819999999996</v>
      </c>
      <c r="N1166">
        <v>-1.413478E-2</v>
      </c>
      <c r="O1166">
        <v>1.976911E-3</v>
      </c>
      <c r="P1166">
        <v>0.99237940000000002</v>
      </c>
      <c r="Q1166">
        <v>-0.1118726</v>
      </c>
      <c r="R1166">
        <v>-5.1652900000000002E-2</v>
      </c>
      <c r="S1166">
        <v>2.9574889999999998</v>
      </c>
      <c r="T1166">
        <v>-0.48046410000000001</v>
      </c>
      <c r="U1166">
        <v>-0.2185059</v>
      </c>
      <c r="V1166">
        <v>5.3605430000000003E-2</v>
      </c>
      <c r="W1166">
        <v>-9.7840869999999996E-2</v>
      </c>
      <c r="X1166">
        <v>0.99375729999999995</v>
      </c>
      <c r="Y1166">
        <v>7.4572970000000002E-2</v>
      </c>
      <c r="Z1166">
        <v>-6.8323669999999998E-3</v>
      </c>
      <c r="AA1166">
        <v>0.99719210000000003</v>
      </c>
      <c r="AB1166">
        <v>28</v>
      </c>
      <c r="AC1166">
        <v>0.71229999999999805</v>
      </c>
      <c r="AD1166">
        <v>-0.13921249999999999</v>
      </c>
      <c r="AE1166">
        <v>-6.3699999999982895E-2</v>
      </c>
      <c r="AF1166">
        <v>6.2731036203749493E-2</v>
      </c>
      <c r="AG1166">
        <v>-0.13921249999999999</v>
      </c>
      <c r="AH1166">
        <v>0.68617086643430203</v>
      </c>
      <c r="AI1166">
        <v>101.42230768869</v>
      </c>
      <c r="AJ1166">
        <v>84.776432153156705</v>
      </c>
      <c r="AK1166">
        <v>0.70295502061130999</v>
      </c>
      <c r="AL1166">
        <v>95.614851818019503</v>
      </c>
      <c r="AM1166">
        <v>86.912333512784002</v>
      </c>
      <c r="AN1166">
        <v>0.999999974635565</v>
      </c>
    </row>
    <row r="1167" spans="1:40" x14ac:dyDescent="0.25">
      <c r="A1167" t="str">
        <f>"20190303154750351"</f>
        <v>20190303154750351</v>
      </c>
      <c r="B1167" t="str">
        <f>"1551599270341709"</f>
        <v>1551599270341709</v>
      </c>
      <c r="C1167" t="s">
        <v>40</v>
      </c>
      <c r="D1167">
        <v>5.0334700000000003</v>
      </c>
      <c r="E1167">
        <v>0.50800049999999997</v>
      </c>
      <c r="F1167" t="s">
        <v>42</v>
      </c>
      <c r="G1167">
        <v>-240.83359999999999</v>
      </c>
      <c r="H1167">
        <v>1.0027090000000001</v>
      </c>
      <c r="I1167">
        <v>367.80970000000002</v>
      </c>
      <c r="J1167">
        <v>-241.4067</v>
      </c>
      <c r="K1167">
        <v>1.120654</v>
      </c>
      <c r="L1167">
        <v>367.86309999999997</v>
      </c>
      <c r="M1167">
        <v>0.99989830000000002</v>
      </c>
      <c r="N1167">
        <v>-1.413327E-2</v>
      </c>
      <c r="O1167">
        <v>1.9620839999999998E-3</v>
      </c>
      <c r="P1167">
        <v>0.99238490000000001</v>
      </c>
      <c r="Q1167">
        <v>-0.1118219</v>
      </c>
      <c r="R1167">
        <v>-5.1656319999999999E-2</v>
      </c>
      <c r="S1167">
        <v>2.9573209999999999</v>
      </c>
      <c r="T1167">
        <v>-0.48262640000000001</v>
      </c>
      <c r="U1167">
        <v>-0.2170715</v>
      </c>
      <c r="V1167">
        <v>5.3594290000000003E-2</v>
      </c>
      <c r="W1167">
        <v>-9.7791610000000001E-2</v>
      </c>
      <c r="X1167">
        <v>0.99376279999999995</v>
      </c>
      <c r="Y1167">
        <v>7.4079039999999999E-2</v>
      </c>
      <c r="Z1167">
        <v>-6.8152179999999996E-3</v>
      </c>
      <c r="AA1167">
        <v>0.99722909999999998</v>
      </c>
      <c r="AB1167">
        <v>28</v>
      </c>
      <c r="AC1167">
        <v>0.57310000000001005</v>
      </c>
      <c r="AD1167">
        <v>-0.117944999999999</v>
      </c>
      <c r="AE1167">
        <v>-5.33999999999537E-2</v>
      </c>
      <c r="AF1167">
        <v>5.2327267436838999E-2</v>
      </c>
      <c r="AG1167">
        <v>-0.117944999999999</v>
      </c>
      <c r="AH1167">
        <v>0.54990375378660505</v>
      </c>
      <c r="AI1167">
        <v>102.052720775105</v>
      </c>
      <c r="AJ1167">
        <v>84.564264812446893</v>
      </c>
      <c r="AK1167">
        <v>0.56483918452158199</v>
      </c>
      <c r="AL1167">
        <v>95.612015545492497</v>
      </c>
      <c r="AM1167">
        <v>86.912990986435204</v>
      </c>
      <c r="AN1167">
        <v>1.0000000247854099</v>
      </c>
    </row>
    <row r="1168" spans="1:40" x14ac:dyDescent="0.25">
      <c r="A1168" t="str">
        <f>"20190303154750364"</f>
        <v>20190303154750364</v>
      </c>
      <c r="B1168" t="str">
        <f>"1551599270351470"</f>
        <v>1551599270351470</v>
      </c>
      <c r="C1168" t="s">
        <v>40</v>
      </c>
      <c r="D1168">
        <v>5.0731760000000001</v>
      </c>
      <c r="E1168">
        <v>0.50800049999999997</v>
      </c>
      <c r="F1168" t="s">
        <v>42</v>
      </c>
      <c r="G1168">
        <v>-240.58779999999999</v>
      </c>
      <c r="H1168">
        <v>0.98664739999999995</v>
      </c>
      <c r="I1168">
        <v>367.80290000000002</v>
      </c>
      <c r="J1168">
        <v>-241.24170000000001</v>
      </c>
      <c r="K1168">
        <v>1.120654</v>
      </c>
      <c r="L1168">
        <v>367.86340000000001</v>
      </c>
      <c r="M1168">
        <v>0.99989830000000002</v>
      </c>
      <c r="N1168">
        <v>-1.4131629999999999E-2</v>
      </c>
      <c r="O1168">
        <v>1.9455900000000001E-3</v>
      </c>
      <c r="P1168">
        <v>0.99240139999999999</v>
      </c>
      <c r="Q1168">
        <v>-0.111664899999999</v>
      </c>
      <c r="R1168">
        <v>-5.1677969999999997E-2</v>
      </c>
      <c r="S1168">
        <v>2.9571990000000001</v>
      </c>
      <c r="T1168">
        <v>-0.48409780000000002</v>
      </c>
      <c r="U1168">
        <v>-0.21621699999999999</v>
      </c>
      <c r="V1168">
        <v>5.359974E-2</v>
      </c>
      <c r="W1168">
        <v>-9.7635959999999994E-2</v>
      </c>
      <c r="X1168">
        <v>0.99377780000000004</v>
      </c>
      <c r="Y1168">
        <v>7.3777110000000007E-2</v>
      </c>
      <c r="Z1168">
        <v>-6.8053819999999996E-3</v>
      </c>
      <c r="AA1168">
        <v>0.99725149999999996</v>
      </c>
      <c r="AB1168">
        <v>28</v>
      </c>
      <c r="AC1168">
        <v>0.65390000000002102</v>
      </c>
      <c r="AD1168">
        <v>-0.134006599999999</v>
      </c>
      <c r="AE1168">
        <v>-6.0499999999990402E-2</v>
      </c>
      <c r="AF1168">
        <v>5.9302769110320598E-2</v>
      </c>
      <c r="AG1168">
        <v>-0.134006599999999</v>
      </c>
      <c r="AH1168">
        <v>0.62764487915044498</v>
      </c>
      <c r="AI1168">
        <v>102.000207597996</v>
      </c>
      <c r="AJ1168">
        <v>84.602455601568806</v>
      </c>
      <c r="AK1168">
        <v>0.64452515978159397</v>
      </c>
      <c r="AL1168">
        <v>95.603054634399101</v>
      </c>
      <c r="AM1168">
        <v>86.9127241855752</v>
      </c>
      <c r="AN1168">
        <v>1.0000000142930101</v>
      </c>
    </row>
    <row r="1169" spans="1:40" x14ac:dyDescent="0.25">
      <c r="A1169" t="str">
        <f>"20190303154750375"</f>
        <v>20190303154750375</v>
      </c>
      <c r="B1169" t="str">
        <f>"1551599270371965"</f>
        <v>1551599270371965</v>
      </c>
      <c r="C1169" t="s">
        <v>40</v>
      </c>
      <c r="D1169">
        <v>4.9833920000000003</v>
      </c>
      <c r="E1169">
        <v>0.54310519999999995</v>
      </c>
      <c r="F1169" t="s">
        <v>42</v>
      </c>
      <c r="G1169">
        <v>-240.3409</v>
      </c>
      <c r="H1169">
        <v>0.97336389999999995</v>
      </c>
      <c r="I1169">
        <v>367.79739999999998</v>
      </c>
      <c r="J1169">
        <v>-241.09059999999999</v>
      </c>
      <c r="K1169">
        <v>1.120654</v>
      </c>
      <c r="L1169">
        <v>367.86360000000002</v>
      </c>
      <c r="M1169">
        <v>0.99989839999999997</v>
      </c>
      <c r="N1169">
        <v>-1.4130230000000001E-2</v>
      </c>
      <c r="O1169">
        <v>1.930644E-3</v>
      </c>
      <c r="P1169">
        <v>0.99239049999999995</v>
      </c>
      <c r="Q1169">
        <v>-0.111732399999999</v>
      </c>
      <c r="R1169">
        <v>-5.1741200000000001E-2</v>
      </c>
      <c r="S1169">
        <v>2.9572910000000001</v>
      </c>
      <c r="T1169">
        <v>-0.48362640000000001</v>
      </c>
      <c r="U1169">
        <v>-0.21621699999999999</v>
      </c>
      <c r="V1169">
        <v>5.3648149999999999E-2</v>
      </c>
      <c r="W1169">
        <v>-9.7705009999999995E-2</v>
      </c>
      <c r="X1169">
        <v>0.9937684</v>
      </c>
      <c r="Y1169">
        <v>7.3762399999999895E-2</v>
      </c>
      <c r="Z1169">
        <v>-6.79556E-3</v>
      </c>
      <c r="AA1169">
        <v>0.99725269999999999</v>
      </c>
      <c r="AB1169">
        <v>28</v>
      </c>
      <c r="AC1169">
        <v>0.74969999999999004</v>
      </c>
      <c r="AD1169">
        <v>-0.14729009999999901</v>
      </c>
      <c r="AE1169">
        <v>-6.6200000000037507E-2</v>
      </c>
      <c r="AF1169">
        <v>6.5152098524037499E-2</v>
      </c>
      <c r="AG1169">
        <v>-0.14729009999999901</v>
      </c>
      <c r="AH1169">
        <v>0.72192118979730902</v>
      </c>
      <c r="AI1169">
        <v>101.486082667107</v>
      </c>
      <c r="AJ1169">
        <v>84.843128370835501</v>
      </c>
      <c r="AK1169">
        <v>0.73966842150957002</v>
      </c>
      <c r="AL1169">
        <v>95.607029922284994</v>
      </c>
      <c r="AM1169">
        <v>86.909912061315296</v>
      </c>
      <c r="AN1169">
        <v>1.00000001290804</v>
      </c>
    </row>
    <row r="1170" spans="1:40" x14ac:dyDescent="0.25">
      <c r="A1170" t="str">
        <f>"20190303154750388"</f>
        <v>20190303154750388</v>
      </c>
      <c r="B1170" t="str">
        <f>"1551599270381725"</f>
        <v>1551599270381725</v>
      </c>
      <c r="C1170" t="s">
        <v>40</v>
      </c>
      <c r="D1170">
        <v>4.998964</v>
      </c>
      <c r="E1170">
        <v>0.54565620000000004</v>
      </c>
      <c r="F1170" t="s">
        <v>42</v>
      </c>
      <c r="G1170">
        <v>-240.34379999999999</v>
      </c>
      <c r="H1170">
        <v>0.96501720000000002</v>
      </c>
      <c r="I1170">
        <v>367.73739999999998</v>
      </c>
      <c r="J1170">
        <v>-240.93559999999999</v>
      </c>
      <c r="K1170">
        <v>1.120655</v>
      </c>
      <c r="L1170">
        <v>367.8639</v>
      </c>
      <c r="M1170">
        <v>0.99989830000000002</v>
      </c>
      <c r="N1170">
        <v>-1.4128709999999999E-2</v>
      </c>
      <c r="O1170">
        <v>1.9153390000000001E-3</v>
      </c>
      <c r="P1170">
        <v>0.99236150000000001</v>
      </c>
      <c r="Q1170">
        <v>-0.1120116</v>
      </c>
      <c r="R1170">
        <v>-5.1694129999999998E-2</v>
      </c>
      <c r="S1170">
        <v>2.9285429999999999</v>
      </c>
      <c r="T1170">
        <v>-0.61037350000000001</v>
      </c>
      <c r="U1170">
        <v>-0.49435420000000002</v>
      </c>
      <c r="V1170">
        <v>5.3585559999999997E-2</v>
      </c>
      <c r="W1170">
        <v>-9.7986080000000003E-2</v>
      </c>
      <c r="X1170">
        <v>0.99374410000000002</v>
      </c>
      <c r="Y1170">
        <v>0.16462009999999999</v>
      </c>
      <c r="Z1170">
        <v>-1.8407070000000001E-2</v>
      </c>
      <c r="AA1170">
        <v>0.98618530000000004</v>
      </c>
      <c r="AB1170">
        <v>28</v>
      </c>
      <c r="AC1170">
        <v>0.59180000000000599</v>
      </c>
      <c r="AD1170">
        <v>-0.15563779999999999</v>
      </c>
      <c r="AE1170">
        <v>-0.12650000000002101</v>
      </c>
      <c r="AF1170">
        <v>0.119715185493677</v>
      </c>
      <c r="AG1170">
        <v>-0.15563779999999999</v>
      </c>
      <c r="AH1170">
        <v>0.554857269749506</v>
      </c>
      <c r="AI1170">
        <v>105.333157572232</v>
      </c>
      <c r="AJ1170">
        <v>77.824586280806798</v>
      </c>
      <c r="AK1170">
        <v>0.58857577270942896</v>
      </c>
      <c r="AL1170">
        <v>95.623211708566799</v>
      </c>
      <c r="AM1170">
        <v>86.913434889774805</v>
      </c>
      <c r="AN1170">
        <v>1.0000000101995401</v>
      </c>
    </row>
    <row r="1171" spans="1:40" x14ac:dyDescent="0.25">
      <c r="A1171" t="str">
        <f>"20190303154750400"</f>
        <v>20190303154750400</v>
      </c>
      <c r="B1171" t="str">
        <f>"1551599270391485"</f>
        <v>1551599270391485</v>
      </c>
      <c r="C1171" t="s">
        <v>40</v>
      </c>
      <c r="D1171">
        <v>5.0214109999999996</v>
      </c>
      <c r="E1171">
        <v>0.54541549999999905</v>
      </c>
      <c r="F1171" t="s">
        <v>42</v>
      </c>
      <c r="G1171">
        <v>-240.10069999999999</v>
      </c>
      <c r="H1171">
        <v>0.9423319</v>
      </c>
      <c r="I1171">
        <v>367.71690000000001</v>
      </c>
      <c r="J1171">
        <v>-240.7861</v>
      </c>
      <c r="K1171">
        <v>1.120654</v>
      </c>
      <c r="L1171">
        <v>367.86419999999998</v>
      </c>
      <c r="M1171">
        <v>0.99989839999999997</v>
      </c>
      <c r="N1171">
        <v>-1.4127209999999999E-2</v>
      </c>
      <c r="O1171">
        <v>1.900688E-3</v>
      </c>
      <c r="P1171">
        <v>0.9923495</v>
      </c>
      <c r="Q1171">
        <v>-0.1119996</v>
      </c>
      <c r="R1171">
        <v>-5.1944820000000003E-2</v>
      </c>
      <c r="S1171">
        <v>2.9257659999999999</v>
      </c>
      <c r="T1171">
        <v>-0.62505840000000001</v>
      </c>
      <c r="U1171">
        <v>-0.51434329999999995</v>
      </c>
      <c r="V1171">
        <v>5.3822050000000003E-2</v>
      </c>
      <c r="W1171">
        <v>-9.7975759999999995E-2</v>
      </c>
      <c r="X1171">
        <v>0.99373230000000001</v>
      </c>
      <c r="Y1171">
        <v>0.17097499999999999</v>
      </c>
      <c r="Z1171">
        <v>-1.9529910000000001E-2</v>
      </c>
      <c r="AA1171">
        <v>0.98508180000000001</v>
      </c>
      <c r="AB1171">
        <v>28</v>
      </c>
      <c r="AC1171">
        <v>0.685400000000015</v>
      </c>
      <c r="AD1171">
        <v>-0.17832210000000001</v>
      </c>
      <c r="AE1171">
        <v>-0.14729999999997201</v>
      </c>
      <c r="AF1171">
        <v>0.13957210070317699</v>
      </c>
      <c r="AG1171">
        <v>-0.17832210000000001</v>
      </c>
      <c r="AH1171">
        <v>0.64348448701865502</v>
      </c>
      <c r="AI1171">
        <v>105.15347316564601</v>
      </c>
      <c r="AJ1171">
        <v>77.7620815583401</v>
      </c>
      <c r="AK1171">
        <v>0.68216671545654395</v>
      </c>
      <c r="AL1171">
        <v>95.622617765169693</v>
      </c>
      <c r="AM1171">
        <v>86.899802675732602</v>
      </c>
      <c r="AN1171">
        <v>0.99999997333853397</v>
      </c>
    </row>
    <row r="1172" spans="1:40" x14ac:dyDescent="0.25">
      <c r="A1172" t="str">
        <f>"20190303154750411"</f>
        <v>20190303154750411</v>
      </c>
      <c r="B1172" t="str">
        <f>"1551599270402221"</f>
        <v>1551599270402221</v>
      </c>
      <c r="C1172" t="s">
        <v>40</v>
      </c>
      <c r="D1172">
        <v>5.000324</v>
      </c>
      <c r="E1172">
        <v>0.54541850000000003</v>
      </c>
      <c r="F1172" t="s">
        <v>42</v>
      </c>
      <c r="G1172">
        <v>-240.09020000000001</v>
      </c>
      <c r="H1172">
        <v>0.96620130000000004</v>
      </c>
      <c r="I1172">
        <v>367.74189999999999</v>
      </c>
      <c r="J1172">
        <v>-240.64429999999999</v>
      </c>
      <c r="K1172">
        <v>1.1206560000000001</v>
      </c>
      <c r="L1172">
        <v>367.86450000000002</v>
      </c>
      <c r="M1172">
        <v>0.99989839999999997</v>
      </c>
      <c r="N1172">
        <v>-1.412566E-2</v>
      </c>
      <c r="O1172">
        <v>1.8866919999999999E-3</v>
      </c>
      <c r="P1172">
        <v>0.99232229999999999</v>
      </c>
      <c r="Q1172">
        <v>-0.1121694</v>
      </c>
      <c r="R1172">
        <v>-5.2102320000000001E-2</v>
      </c>
      <c r="S1172">
        <v>2.9230499999999999</v>
      </c>
      <c r="T1172">
        <v>-0.64888579999999996</v>
      </c>
      <c r="U1172">
        <v>-0.51281739999999998</v>
      </c>
      <c r="V1172">
        <v>5.3965409999999998E-2</v>
      </c>
      <c r="W1172">
        <v>-9.8147470000000001E-2</v>
      </c>
      <c r="X1172">
        <v>0.99370760000000002</v>
      </c>
      <c r="Y1172">
        <v>0.17032639999999999</v>
      </c>
      <c r="Z1172">
        <v>-2.015314E-2</v>
      </c>
      <c r="AA1172">
        <v>0.98518159999999999</v>
      </c>
      <c r="AB1172">
        <v>28</v>
      </c>
      <c r="AC1172">
        <v>0.55409999999997595</v>
      </c>
      <c r="AD1172">
        <v>-0.154454699999999</v>
      </c>
      <c r="AE1172">
        <v>-0.122600000000034</v>
      </c>
      <c r="AF1172">
        <v>0.115117993991827</v>
      </c>
      <c r="AG1172">
        <v>-0.154454699999999</v>
      </c>
      <c r="AH1172">
        <v>0.51566970509810495</v>
      </c>
      <c r="AI1172">
        <v>106.29506128231399</v>
      </c>
      <c r="AJ1172">
        <v>77.415645862206205</v>
      </c>
      <c r="AK1172">
        <v>0.55047584111272196</v>
      </c>
      <c r="AL1172">
        <v>95.632503560308095</v>
      </c>
      <c r="AM1172">
        <v>86.891484073188295</v>
      </c>
      <c r="AN1172">
        <v>0.99999999282081398</v>
      </c>
    </row>
    <row r="1173" spans="1:40" x14ac:dyDescent="0.25">
      <c r="A1173" t="str">
        <f>"20190303154750424"</f>
        <v>20190303154750424</v>
      </c>
      <c r="B1173" t="str">
        <f>"1551599270421741"</f>
        <v>1551599270421741</v>
      </c>
      <c r="C1173" t="s">
        <v>40</v>
      </c>
      <c r="D1173">
        <v>5.0175090000000004</v>
      </c>
      <c r="E1173">
        <v>0.54488780000000003</v>
      </c>
      <c r="F1173" t="s">
        <v>42</v>
      </c>
      <c r="G1173">
        <v>-239.84880000000001</v>
      </c>
      <c r="H1173">
        <v>0.94090030000000002</v>
      </c>
      <c r="I1173">
        <v>367.72489999999999</v>
      </c>
      <c r="J1173">
        <v>-240.47730000000001</v>
      </c>
      <c r="K1173">
        <v>1.120655</v>
      </c>
      <c r="L1173">
        <v>367.8648</v>
      </c>
      <c r="M1173">
        <v>0.99989839999999997</v>
      </c>
      <c r="N1173">
        <v>-1.4123810000000001E-2</v>
      </c>
      <c r="O1173">
        <v>1.870373E-3</v>
      </c>
      <c r="P1173">
        <v>0.99233070000000001</v>
      </c>
      <c r="Q1173">
        <v>-0.1121018</v>
      </c>
      <c r="R1173">
        <v>-5.2084619999999998E-2</v>
      </c>
      <c r="S1173">
        <v>2.921646</v>
      </c>
      <c r="T1173">
        <v>-0.66017510000000001</v>
      </c>
      <c r="U1173">
        <v>-0.51263429999999999</v>
      </c>
      <c r="V1173">
        <v>5.3931800000000002E-2</v>
      </c>
      <c r="W1173">
        <v>-9.8081559999999998E-2</v>
      </c>
      <c r="X1173">
        <v>0.99371589999999999</v>
      </c>
      <c r="Y1173">
        <v>0.17018510000000001</v>
      </c>
      <c r="Z1173">
        <v>-2.0464320000000001E-2</v>
      </c>
      <c r="AA1173">
        <v>0.98519959999999995</v>
      </c>
      <c r="AB1173">
        <v>28</v>
      </c>
      <c r="AC1173">
        <v>0.62850000000000195</v>
      </c>
      <c r="AD1173">
        <v>-0.17975469999999899</v>
      </c>
      <c r="AE1173">
        <v>-0.13990000000001099</v>
      </c>
      <c r="AF1173">
        <v>0.130875280996505</v>
      </c>
      <c r="AG1173">
        <v>-0.17975469999999899</v>
      </c>
      <c r="AH1173">
        <v>0.58281401345393302</v>
      </c>
      <c r="AI1173">
        <v>106.74819115354499</v>
      </c>
      <c r="AJ1173">
        <v>77.343748339706195</v>
      </c>
      <c r="AK1173">
        <v>0.62378863858384404</v>
      </c>
      <c r="AL1173">
        <v>95.628709068100207</v>
      </c>
      <c r="AM1173">
        <v>86.893442180240896</v>
      </c>
      <c r="AN1173">
        <v>0.99999996068804098</v>
      </c>
    </row>
    <row r="1174" spans="1:40" x14ac:dyDescent="0.25">
      <c r="A1174" t="str">
        <f>"20190303154750439"</f>
        <v>20190303154750439</v>
      </c>
      <c r="B1174" t="str">
        <f>"1551599270431500"</f>
        <v>1551599270431500</v>
      </c>
      <c r="C1174" t="s">
        <v>40</v>
      </c>
      <c r="D1174">
        <v>5.017201</v>
      </c>
      <c r="E1174">
        <v>0.54474940000000005</v>
      </c>
      <c r="F1174" t="s">
        <v>42</v>
      </c>
      <c r="G1174">
        <v>-239.60599999999999</v>
      </c>
      <c r="H1174">
        <v>0.91753640000000003</v>
      </c>
      <c r="I1174">
        <v>367.71289999999999</v>
      </c>
      <c r="J1174">
        <v>-240.2946</v>
      </c>
      <c r="K1174">
        <v>1.1206560000000001</v>
      </c>
      <c r="L1174">
        <v>367.86509999999998</v>
      </c>
      <c r="M1174">
        <v>0.99989859999999997</v>
      </c>
      <c r="N1174">
        <v>-1.412178E-2</v>
      </c>
      <c r="O1174">
        <v>1.8528609999999999E-3</v>
      </c>
      <c r="P1174">
        <v>0.99237600000000004</v>
      </c>
      <c r="Q1174">
        <v>-0.1117036</v>
      </c>
      <c r="R1174">
        <v>-5.2080519999999998E-2</v>
      </c>
      <c r="S1174">
        <v>2.9196010000000001</v>
      </c>
      <c r="T1174">
        <v>-0.680708599999999</v>
      </c>
      <c r="U1174">
        <v>-0.50814820000000005</v>
      </c>
      <c r="V1174">
        <v>5.3910239999999998E-2</v>
      </c>
      <c r="W1174">
        <v>-9.7684759999999995E-2</v>
      </c>
      <c r="X1174">
        <v>0.99375619999999998</v>
      </c>
      <c r="Y1174">
        <v>0.16858229999999999</v>
      </c>
      <c r="Z1174">
        <v>-2.0866539999999999E-2</v>
      </c>
      <c r="AA1174">
        <v>0.98546670000000003</v>
      </c>
      <c r="AB1174">
        <v>28</v>
      </c>
      <c r="AC1174">
        <v>0.68860000000000798</v>
      </c>
      <c r="AD1174">
        <v>-0.20311960000000001</v>
      </c>
      <c r="AE1174">
        <v>-0.15219999999999301</v>
      </c>
      <c r="AF1174">
        <v>0.141719105967273</v>
      </c>
      <c r="AG1174">
        <v>-0.20311960000000001</v>
      </c>
      <c r="AH1174">
        <v>0.63558993416845899</v>
      </c>
      <c r="AI1174">
        <v>107.323577178599</v>
      </c>
      <c r="AJ1174">
        <v>77.430231485927905</v>
      </c>
      <c r="AK1174">
        <v>0.68214107141894698</v>
      </c>
      <c r="AL1174">
        <v>95.605864146654596</v>
      </c>
      <c r="AM1174">
        <v>86.894807323813097</v>
      </c>
      <c r="AN1174">
        <v>1.0000000056757701</v>
      </c>
    </row>
    <row r="1175" spans="1:40" x14ac:dyDescent="0.25">
      <c r="A1175" t="str">
        <f>"20190303154750454"</f>
        <v>20190303154750454</v>
      </c>
      <c r="B1175" t="str">
        <f>"1551599270442237"</f>
        <v>1551599270442237</v>
      </c>
      <c r="C1175" t="s">
        <v>40</v>
      </c>
      <c r="D1175">
        <v>5.0335400000000003</v>
      </c>
      <c r="E1175">
        <v>0.54460940000000002</v>
      </c>
      <c r="F1175" t="s">
        <v>42</v>
      </c>
      <c r="G1175">
        <v>-239.59010000000001</v>
      </c>
      <c r="H1175">
        <v>0.95500359999999995</v>
      </c>
      <c r="I1175">
        <v>367.74239999999998</v>
      </c>
      <c r="J1175">
        <v>-240.10230000000001</v>
      </c>
      <c r="K1175">
        <v>1.120663</v>
      </c>
      <c r="L1175">
        <v>367.86540000000002</v>
      </c>
      <c r="M1175">
        <v>0.99989859999999997</v>
      </c>
      <c r="N1175">
        <v>-1.4119649999999999E-2</v>
      </c>
      <c r="O1175">
        <v>1.8338650000000001E-3</v>
      </c>
      <c r="P1175">
        <v>0.99238939999999998</v>
      </c>
      <c r="Q1175">
        <v>-0.11155519999999999</v>
      </c>
      <c r="R1175">
        <v>-5.2141460000000001E-2</v>
      </c>
      <c r="S1175">
        <v>2.9191889999999998</v>
      </c>
      <c r="T1175">
        <v>-0.6864479</v>
      </c>
      <c r="U1175">
        <v>-0.50735470000000005</v>
      </c>
      <c r="V1175">
        <v>5.395225E-2</v>
      </c>
      <c r="W1175">
        <v>-9.7538340000000001E-2</v>
      </c>
      <c r="X1175">
        <v>0.99376830000000005</v>
      </c>
      <c r="Y1175">
        <v>0.16825850000000001</v>
      </c>
      <c r="Z1175">
        <v>-2.0987619999999998E-2</v>
      </c>
      <c r="AA1175">
        <v>0.98551949999999999</v>
      </c>
      <c r="AB1175">
        <v>28</v>
      </c>
      <c r="AC1175">
        <v>0.51220000000000698</v>
      </c>
      <c r="AD1175">
        <v>-0.16565940000000001</v>
      </c>
      <c r="AE1175">
        <v>-0.123000000000047</v>
      </c>
      <c r="AF1175">
        <v>0.112784600958606</v>
      </c>
      <c r="AG1175">
        <v>-0.16565940000000001</v>
      </c>
      <c r="AH1175">
        <v>0.46589566598557602</v>
      </c>
      <c r="AI1175">
        <v>109.064622239561</v>
      </c>
      <c r="AJ1175">
        <v>76.3915682754118</v>
      </c>
      <c r="AK1175">
        <v>0.50717075488034202</v>
      </c>
      <c r="AL1175">
        <v>95.597434656171103</v>
      </c>
      <c r="AM1175">
        <v>86.892430081356395</v>
      </c>
      <c r="AN1175">
        <v>1.0000000035674499</v>
      </c>
    </row>
    <row r="1176" spans="1:40" x14ac:dyDescent="0.25">
      <c r="A1176" t="str">
        <f>"20190303154750468"</f>
        <v>20190303154750468</v>
      </c>
      <c r="B1176" t="str">
        <f>"1551599270461756"</f>
        <v>1551599270461756</v>
      </c>
      <c r="C1176" t="s">
        <v>40</v>
      </c>
      <c r="D1176">
        <v>5.0263710000000001</v>
      </c>
      <c r="E1176">
        <v>0.54435330000000004</v>
      </c>
      <c r="F1176" t="s">
        <v>42</v>
      </c>
      <c r="G1176">
        <v>-239.3441</v>
      </c>
      <c r="H1176">
        <v>0.94111029999999996</v>
      </c>
      <c r="I1176">
        <v>367.73390000000001</v>
      </c>
      <c r="J1176">
        <v>-239.923</v>
      </c>
      <c r="K1176">
        <v>1.1206640000000001</v>
      </c>
      <c r="L1176">
        <v>367.86579999999998</v>
      </c>
      <c r="M1176">
        <v>0.99989870000000003</v>
      </c>
      <c r="N1176">
        <v>-1.41177E-2</v>
      </c>
      <c r="O1176">
        <v>1.8160019999999999E-3</v>
      </c>
      <c r="P1176">
        <v>0.99241109999999999</v>
      </c>
      <c r="Q1176">
        <v>-0.1114141</v>
      </c>
      <c r="R1176">
        <v>-5.2025420000000003E-2</v>
      </c>
      <c r="S1176">
        <v>2.918701</v>
      </c>
      <c r="T1176">
        <v>-0.69125999999999999</v>
      </c>
      <c r="U1176">
        <v>-0.50650019999999996</v>
      </c>
      <c r="V1176">
        <v>5.3818850000000001E-2</v>
      </c>
      <c r="W1176">
        <v>-9.7398860000000004E-2</v>
      </c>
      <c r="X1176">
        <v>0.99378920000000004</v>
      </c>
      <c r="Y1176">
        <v>0.1679322</v>
      </c>
      <c r="Z1176">
        <v>-2.1082380000000001E-2</v>
      </c>
      <c r="AA1176">
        <v>0.98557309999999998</v>
      </c>
      <c r="AB1176">
        <v>28</v>
      </c>
      <c r="AC1176">
        <v>0.57890000000000397</v>
      </c>
      <c r="AD1176">
        <v>-0.17955369999999901</v>
      </c>
      <c r="AE1176">
        <v>-0.13189999999997301</v>
      </c>
      <c r="AF1176">
        <v>0.12181109067894701</v>
      </c>
      <c r="AG1176">
        <v>-0.17955369999999901</v>
      </c>
      <c r="AH1176">
        <v>0.53017317015597298</v>
      </c>
      <c r="AI1176">
        <v>108.26650757284899</v>
      </c>
      <c r="AJ1176">
        <v>77.060449936540806</v>
      </c>
      <c r="AK1176">
        <v>0.57285343967660596</v>
      </c>
      <c r="AL1176">
        <v>95.589404881995605</v>
      </c>
      <c r="AM1176">
        <v>86.900163785988795</v>
      </c>
      <c r="AN1176">
        <v>0.99999999029063102</v>
      </c>
    </row>
    <row r="1177" spans="1:40" x14ac:dyDescent="0.25">
      <c r="A1177" t="str">
        <f>"20190303154750483"</f>
        <v>20190303154750483</v>
      </c>
      <c r="B1177" t="str">
        <f>"1551599270471516"</f>
        <v>1551599270471516</v>
      </c>
      <c r="C1177" t="s">
        <v>40</v>
      </c>
      <c r="D1177">
        <v>4.9994560000000003</v>
      </c>
      <c r="E1177">
        <v>0.54421909999999996</v>
      </c>
      <c r="F1177" t="s">
        <v>42</v>
      </c>
      <c r="G1177">
        <v>-239.09970000000001</v>
      </c>
      <c r="H1177">
        <v>0.92354990000000003</v>
      </c>
      <c r="I1177">
        <v>367.72320000000002</v>
      </c>
      <c r="J1177">
        <v>-239.74340000000001</v>
      </c>
      <c r="K1177">
        <v>1.1206640000000001</v>
      </c>
      <c r="L1177">
        <v>367.86599999999999</v>
      </c>
      <c r="M1177">
        <v>0.99989890000000003</v>
      </c>
      <c r="N1177">
        <v>-1.411575E-2</v>
      </c>
      <c r="O1177">
        <v>1.7980190000000001E-3</v>
      </c>
      <c r="P1177">
        <v>0.99240620000000002</v>
      </c>
      <c r="Q1177">
        <v>-0.11137320000000001</v>
      </c>
      <c r="R1177">
        <v>-5.2211880000000002E-2</v>
      </c>
      <c r="S1177">
        <v>2.9180600000000001</v>
      </c>
      <c r="T1177">
        <v>-0.69879009999999997</v>
      </c>
      <c r="U1177">
        <v>-0.50378420000000002</v>
      </c>
      <c r="V1177">
        <v>5.3987449999999999E-2</v>
      </c>
      <c r="W1177">
        <v>-9.7359899999999999E-2</v>
      </c>
      <c r="X1177">
        <v>0.99378390000000005</v>
      </c>
      <c r="Y1177">
        <v>0.16698370000000001</v>
      </c>
      <c r="Z1177">
        <v>-2.1177189999999999E-2</v>
      </c>
      <c r="AA1177">
        <v>0.98573219999999995</v>
      </c>
      <c r="AB1177">
        <v>28</v>
      </c>
      <c r="AC1177">
        <v>0.64369999999999505</v>
      </c>
      <c r="AD1177">
        <v>-0.19711409999999899</v>
      </c>
      <c r="AE1177">
        <v>-0.14279999999996501</v>
      </c>
      <c r="AF1177">
        <v>0.13214695586436001</v>
      </c>
      <c r="AG1177">
        <v>-0.19711409999999899</v>
      </c>
      <c r="AH1177">
        <v>0.59065391725647398</v>
      </c>
      <c r="AI1177">
        <v>108.038906970697</v>
      </c>
      <c r="AJ1177">
        <v>77.388898861567199</v>
      </c>
      <c r="AK1177">
        <v>0.63654444961325796</v>
      </c>
      <c r="AL1177">
        <v>95.587161826730295</v>
      </c>
      <c r="AM1177">
        <v>86.890455308292701</v>
      </c>
      <c r="AN1177">
        <v>1.00000001739236</v>
      </c>
    </row>
    <row r="1178" spans="1:40" x14ac:dyDescent="0.25">
      <c r="A1178" t="str">
        <f>"20190303154750494"</f>
        <v>20190303154750494</v>
      </c>
      <c r="B1178" t="str">
        <f>"1551599270482253"</f>
        <v>1551599270482253</v>
      </c>
      <c r="C1178" t="s">
        <v>40</v>
      </c>
      <c r="D1178">
        <v>4.9761470000000001</v>
      </c>
      <c r="E1178">
        <v>0.54407499999999998</v>
      </c>
      <c r="F1178" t="s">
        <v>42</v>
      </c>
      <c r="G1178">
        <v>-238.85489999999999</v>
      </c>
      <c r="H1178">
        <v>0.90645469999999895</v>
      </c>
      <c r="I1178">
        <v>367.71289999999999</v>
      </c>
      <c r="J1178">
        <v>-239.5926</v>
      </c>
      <c r="K1178">
        <v>1.1206659999999999</v>
      </c>
      <c r="L1178">
        <v>367.86630000000002</v>
      </c>
      <c r="M1178">
        <v>0.99989879999999998</v>
      </c>
      <c r="N1178">
        <v>-1.4114069999999999E-2</v>
      </c>
      <c r="O1178">
        <v>1.783724E-3</v>
      </c>
      <c r="P1178">
        <v>0.99236639999999998</v>
      </c>
      <c r="Q1178">
        <v>-0.1117141</v>
      </c>
      <c r="R1178">
        <v>-5.2239510000000003E-2</v>
      </c>
      <c r="S1178">
        <v>2.9175719999999998</v>
      </c>
      <c r="T1178">
        <v>-0.70345639999999998</v>
      </c>
      <c r="U1178">
        <v>-0.50277709999999998</v>
      </c>
      <c r="V1178">
        <v>5.4000649999999997E-2</v>
      </c>
      <c r="W1178">
        <v>-9.7703029999999996E-2</v>
      </c>
      <c r="X1178">
        <v>0.99374949999999995</v>
      </c>
      <c r="Y1178">
        <v>0.16661309999999999</v>
      </c>
      <c r="Z1178">
        <v>-2.1261349999999998E-2</v>
      </c>
      <c r="AA1178">
        <v>0.98579309999999998</v>
      </c>
      <c r="AB1178">
        <v>28</v>
      </c>
      <c r="AC1178">
        <v>0.73770000000001701</v>
      </c>
      <c r="AD1178">
        <v>-0.21421129999999999</v>
      </c>
      <c r="AE1178">
        <v>-0.15340000000003301</v>
      </c>
      <c r="AF1178">
        <v>0.14314609021720001</v>
      </c>
      <c r="AG1178">
        <v>-0.21421129999999999</v>
      </c>
      <c r="AH1178">
        <v>0.68228048803355801</v>
      </c>
      <c r="AI1178">
        <v>107.080815669025</v>
      </c>
      <c r="AJ1178">
        <v>78.150903376139496</v>
      </c>
      <c r="AK1178">
        <v>0.72930374230732598</v>
      </c>
      <c r="AL1178">
        <v>95.606915944738304</v>
      </c>
      <c r="AM1178">
        <v>86.889589057245203</v>
      </c>
      <c r="AN1178">
        <v>1.0000000105109199</v>
      </c>
    </row>
    <row r="1179" spans="1:40" x14ac:dyDescent="0.25">
      <c r="A1179" t="str">
        <f>"20190303154750505"</f>
        <v>20190303154750505</v>
      </c>
      <c r="B1179" t="str">
        <f>"1551599270501773"</f>
        <v>1551599270501773</v>
      </c>
      <c r="C1179" t="s">
        <v>40</v>
      </c>
      <c r="D1179">
        <v>4.9209120000000004</v>
      </c>
      <c r="E1179">
        <v>0.54431609999999997</v>
      </c>
      <c r="F1179" t="s">
        <v>42</v>
      </c>
      <c r="G1179">
        <v>-238.84209999999999</v>
      </c>
      <c r="H1179">
        <v>0.9380773</v>
      </c>
      <c r="I1179">
        <v>367.73719999999997</v>
      </c>
      <c r="J1179">
        <v>-239.45439999999999</v>
      </c>
      <c r="K1179">
        <v>1.1206670000000001</v>
      </c>
      <c r="L1179">
        <v>367.86649999999997</v>
      </c>
      <c r="M1179">
        <v>0.99989890000000003</v>
      </c>
      <c r="N1179">
        <v>-1.411253E-2</v>
      </c>
      <c r="O1179">
        <v>1.77026299999999E-3</v>
      </c>
      <c r="P1179">
        <v>0.99235980000000001</v>
      </c>
      <c r="Q1179">
        <v>-0.1117224</v>
      </c>
      <c r="R1179">
        <v>-5.2350559999999997E-2</v>
      </c>
      <c r="S1179">
        <v>2.9167939999999999</v>
      </c>
      <c r="T1179">
        <v>-0.70963739999999997</v>
      </c>
      <c r="U1179">
        <v>-0.50137330000000002</v>
      </c>
      <c r="V1179">
        <v>5.4098130000000001E-2</v>
      </c>
      <c r="W1179">
        <v>-9.7712869999999993E-2</v>
      </c>
      <c r="X1179">
        <v>0.99374320000000005</v>
      </c>
      <c r="Y1179">
        <v>0.16611129999999999</v>
      </c>
      <c r="Z1179">
        <v>-2.1372660000000002E-2</v>
      </c>
      <c r="AA1179">
        <v>0.98587539999999996</v>
      </c>
      <c r="AB1179">
        <v>28</v>
      </c>
      <c r="AC1179">
        <v>0.61230000000000395</v>
      </c>
      <c r="AD1179">
        <v>-0.18258969999999999</v>
      </c>
      <c r="AE1179">
        <v>-0.1293</v>
      </c>
      <c r="AF1179">
        <v>0.12015516454665499</v>
      </c>
      <c r="AG1179">
        <v>-0.18258969999999999</v>
      </c>
      <c r="AH1179">
        <v>0.564052936492348</v>
      </c>
      <c r="AI1179">
        <v>107.568122190116</v>
      </c>
      <c r="AJ1179">
        <v>77.974538071361096</v>
      </c>
      <c r="AK1179">
        <v>0.60492311683301103</v>
      </c>
      <c r="AL1179">
        <v>95.607482616969705</v>
      </c>
      <c r="AM1179">
        <v>86.883965596282096</v>
      </c>
      <c r="AN1179">
        <v>0.99999998008968605</v>
      </c>
    </row>
    <row r="1180" spans="1:40" x14ac:dyDescent="0.25">
      <c r="A1180" t="str">
        <f>"20190303154750517"</f>
        <v>20190303154750517</v>
      </c>
      <c r="B1180" t="str">
        <f>"1551599270511533"</f>
        <v>1551599270511533</v>
      </c>
      <c r="C1180" t="s">
        <v>40</v>
      </c>
      <c r="D1180">
        <v>4.92164</v>
      </c>
      <c r="E1180">
        <v>0.54429949999999905</v>
      </c>
      <c r="F1180" t="s">
        <v>42</v>
      </c>
      <c r="G1180">
        <v>-238.60140000000001</v>
      </c>
      <c r="H1180">
        <v>0.91218520000000003</v>
      </c>
      <c r="I1180">
        <v>367.71910000000003</v>
      </c>
      <c r="J1180">
        <v>-239.30940000000001</v>
      </c>
      <c r="K1180">
        <v>1.1206659999999999</v>
      </c>
      <c r="L1180">
        <v>367.86680000000001</v>
      </c>
      <c r="M1180">
        <v>0.99989890000000003</v>
      </c>
      <c r="N1180">
        <v>-1.4110940000000001E-2</v>
      </c>
      <c r="O1180">
        <v>1.7559710000000001E-3</v>
      </c>
      <c r="P1180">
        <v>0.99236780000000002</v>
      </c>
      <c r="Q1180">
        <v>-0.1115715</v>
      </c>
      <c r="R1180">
        <v>-5.251741E-2</v>
      </c>
      <c r="S1180">
        <v>2.9163060000000001</v>
      </c>
      <c r="T1180">
        <v>-0.71282349999999906</v>
      </c>
      <c r="U1180">
        <v>-0.50326539999999997</v>
      </c>
      <c r="V1180">
        <v>5.4251069999999998E-2</v>
      </c>
      <c r="W1180">
        <v>-9.7563520000000001E-2</v>
      </c>
      <c r="X1180">
        <v>0.99374960000000001</v>
      </c>
      <c r="Y1180">
        <v>0.16668450000000001</v>
      </c>
      <c r="Z1180">
        <v>-2.1532559999999999E-2</v>
      </c>
      <c r="AA1180">
        <v>0.98577510000000002</v>
      </c>
      <c r="AB1180">
        <v>28</v>
      </c>
      <c r="AC1180">
        <v>0.70799999999999796</v>
      </c>
      <c r="AD1180">
        <v>-0.20848079999999999</v>
      </c>
      <c r="AE1180">
        <v>-0.14769999999998601</v>
      </c>
      <c r="AF1180">
        <v>0.13751646363910699</v>
      </c>
      <c r="AG1180">
        <v>-0.20848079999999999</v>
      </c>
      <c r="AH1180">
        <v>0.65344296829794202</v>
      </c>
      <c r="AI1180">
        <v>107.338932964918</v>
      </c>
      <c r="AJ1180">
        <v>78.115580161551506</v>
      </c>
      <c r="AK1180">
        <v>0.69954466230432499</v>
      </c>
      <c r="AL1180">
        <v>95.5988840548398</v>
      </c>
      <c r="AM1180">
        <v>86.875193821243798</v>
      </c>
      <c r="AN1180">
        <v>1.00000004326554</v>
      </c>
    </row>
    <row r="1181" spans="1:40" x14ac:dyDescent="0.25">
      <c r="A1181" t="str">
        <f>"20190303154750529"</f>
        <v>20190303154750529</v>
      </c>
      <c r="B1181" t="str">
        <f>"1551599270522269"</f>
        <v>1551599270522269</v>
      </c>
      <c r="C1181" t="s">
        <v>40</v>
      </c>
      <c r="D1181">
        <v>4.870126</v>
      </c>
      <c r="E1181">
        <v>0.54437380000000002</v>
      </c>
      <c r="F1181" t="s">
        <v>42</v>
      </c>
      <c r="G1181">
        <v>-238.5882</v>
      </c>
      <c r="H1181">
        <v>0.94369029999999998</v>
      </c>
      <c r="I1181">
        <v>367.74189999999999</v>
      </c>
      <c r="J1181">
        <v>-239.15620000000001</v>
      </c>
      <c r="K1181">
        <v>1.1206670000000001</v>
      </c>
      <c r="L1181">
        <v>367.86700000000002</v>
      </c>
      <c r="M1181">
        <v>0.99989899999999998</v>
      </c>
      <c r="N1181">
        <v>-1.410926E-2</v>
      </c>
      <c r="O1181">
        <v>1.7409610000000001E-3</v>
      </c>
      <c r="P1181">
        <v>0.99236769999999996</v>
      </c>
      <c r="Q1181">
        <v>-0.1116311</v>
      </c>
      <c r="R1181">
        <v>-5.2394080000000003E-2</v>
      </c>
      <c r="S1181">
        <v>2.9159389999999998</v>
      </c>
      <c r="T1181">
        <v>-0.71559319999999904</v>
      </c>
      <c r="U1181">
        <v>-0.50405880000000003</v>
      </c>
      <c r="V1181">
        <v>5.4112630000000002E-2</v>
      </c>
      <c r="W1181">
        <v>-9.762477E-2</v>
      </c>
      <c r="X1181">
        <v>0.9937511</v>
      </c>
      <c r="Y1181">
        <v>0.16690550000000001</v>
      </c>
      <c r="Z1181">
        <v>-2.163619E-2</v>
      </c>
      <c r="AA1181">
        <v>0.98573549999999999</v>
      </c>
      <c r="AB1181">
        <v>28</v>
      </c>
      <c r="AC1181">
        <v>0.56800000000001205</v>
      </c>
      <c r="AD1181">
        <v>-0.17697669999999999</v>
      </c>
      <c r="AE1181">
        <v>-0.12509999999997401</v>
      </c>
      <c r="AF1181">
        <v>0.11540357101724399</v>
      </c>
      <c r="AG1181">
        <v>-0.17697669999999999</v>
      </c>
      <c r="AH1181">
        <v>0.51966554874122906</v>
      </c>
      <c r="AI1181">
        <v>108.389884881719</v>
      </c>
      <c r="AJ1181">
        <v>77.479352237414702</v>
      </c>
      <c r="AK1181">
        <v>0.56097327841435096</v>
      </c>
      <c r="AL1181">
        <v>95.602410437816999</v>
      </c>
      <c r="AM1181">
        <v>86.883156776857206</v>
      </c>
      <c r="AN1181">
        <v>1.0000000105971301</v>
      </c>
    </row>
    <row r="1182" spans="1:40" x14ac:dyDescent="0.25">
      <c r="A1182" t="str">
        <f>"20190303154750542"</f>
        <v>20190303154750542</v>
      </c>
      <c r="B1182" t="str">
        <f>"1551599270532029"</f>
        <v>1551599270532029</v>
      </c>
      <c r="C1182" t="s">
        <v>40</v>
      </c>
      <c r="D1182">
        <v>4.8965829999999997</v>
      </c>
      <c r="E1182">
        <v>0.54427780000000003</v>
      </c>
      <c r="F1182" t="s">
        <v>42</v>
      </c>
      <c r="G1182">
        <v>-238.3466</v>
      </c>
      <c r="H1182">
        <v>0.92182339999999996</v>
      </c>
      <c r="I1182">
        <v>367.72680000000003</v>
      </c>
      <c r="J1182">
        <v>-238.99430000000001</v>
      </c>
      <c r="K1182">
        <v>1.1206670000000001</v>
      </c>
      <c r="L1182">
        <v>367.8673</v>
      </c>
      <c r="M1182">
        <v>0.99989899999999998</v>
      </c>
      <c r="N1182">
        <v>-1.41075E-2</v>
      </c>
      <c r="O1182">
        <v>1.725475E-3</v>
      </c>
      <c r="P1182">
        <v>0.99238389999999999</v>
      </c>
      <c r="Q1182">
        <v>-0.1114792</v>
      </c>
      <c r="R1182">
        <v>-5.2407229999999999E-2</v>
      </c>
      <c r="S1182">
        <v>2.9158780000000002</v>
      </c>
      <c r="T1182">
        <v>-0.71617940000000002</v>
      </c>
      <c r="U1182">
        <v>-0.50460819999999995</v>
      </c>
      <c r="V1182">
        <v>5.4110619999999998E-2</v>
      </c>
      <c r="W1182">
        <v>-9.7474459999999999E-2</v>
      </c>
      <c r="X1182">
        <v>0.99376600000000004</v>
      </c>
      <c r="Y1182">
        <v>0.1670616</v>
      </c>
      <c r="Z1182">
        <v>-2.1668840000000002E-2</v>
      </c>
      <c r="AA1182">
        <v>0.98570829999999998</v>
      </c>
      <c r="AB1182">
        <v>28</v>
      </c>
      <c r="AC1182">
        <v>0.64770000000001404</v>
      </c>
      <c r="AD1182">
        <v>-0.19884360000000001</v>
      </c>
      <c r="AE1182">
        <v>-0.14049999999997401</v>
      </c>
      <c r="AF1182">
        <v>0.12992273667696499</v>
      </c>
      <c r="AG1182">
        <v>-0.19884360000000001</v>
      </c>
      <c r="AH1182">
        <v>0.59398969539242197</v>
      </c>
      <c r="AI1182">
        <v>108.10918603638299</v>
      </c>
      <c r="AJ1182">
        <v>77.662064251149005</v>
      </c>
      <c r="AK1182">
        <v>0.63972060542003395</v>
      </c>
      <c r="AL1182">
        <v>95.593756838781204</v>
      </c>
      <c r="AM1182">
        <v>86.883318961387602</v>
      </c>
      <c r="AN1182">
        <v>1.00000004615253</v>
      </c>
    </row>
    <row r="1183" spans="1:40" x14ac:dyDescent="0.25">
      <c r="A1183" t="str">
        <f>"20190303154750553"</f>
        <v>20190303154750553</v>
      </c>
      <c r="B1183" t="str">
        <f>"1551599270541790"</f>
        <v>1551599270541790</v>
      </c>
      <c r="C1183" t="s">
        <v>40</v>
      </c>
      <c r="D1183">
        <v>4.8680450000000004</v>
      </c>
      <c r="E1183">
        <v>0.54428140000000003</v>
      </c>
      <c r="F1183" t="s">
        <v>42</v>
      </c>
      <c r="G1183">
        <v>-238.10400000000001</v>
      </c>
      <c r="H1183">
        <v>0.90121280000000004</v>
      </c>
      <c r="I1183">
        <v>367.7131</v>
      </c>
      <c r="J1183">
        <v>-238.8434</v>
      </c>
      <c r="K1183">
        <v>1.1206659999999999</v>
      </c>
      <c r="L1183">
        <v>367.86759999999998</v>
      </c>
      <c r="M1183">
        <v>0.99989899999999998</v>
      </c>
      <c r="N1183">
        <v>-1.4105879999999999E-2</v>
      </c>
      <c r="O1183">
        <v>1.71053E-3</v>
      </c>
      <c r="P1183">
        <v>0.99240399999999995</v>
      </c>
      <c r="Q1183">
        <v>-0.1113403</v>
      </c>
      <c r="R1183">
        <v>-5.2323050000000003E-2</v>
      </c>
      <c r="S1183">
        <v>2.9156650000000002</v>
      </c>
      <c r="T1183">
        <v>-0.71876260000000003</v>
      </c>
      <c r="U1183">
        <v>-0.50390630000000003</v>
      </c>
      <c r="V1183">
        <v>5.4011499999999997E-2</v>
      </c>
      <c r="W1183">
        <v>-9.7336820000000004E-2</v>
      </c>
      <c r="X1183">
        <v>0.99378480000000002</v>
      </c>
      <c r="Y1183">
        <v>0.16680029999999901</v>
      </c>
      <c r="Z1183">
        <v>-2.1705660000000002E-2</v>
      </c>
      <c r="AA1183">
        <v>0.98575170000000001</v>
      </c>
      <c r="AB1183">
        <v>28</v>
      </c>
      <c r="AC1183">
        <v>0.73939999999998895</v>
      </c>
      <c r="AD1183">
        <v>-0.21945319999999899</v>
      </c>
      <c r="AE1183">
        <v>-0.15449999999998401</v>
      </c>
      <c r="AF1183">
        <v>0.14364074844740099</v>
      </c>
      <c r="AG1183">
        <v>-0.21945319999999899</v>
      </c>
      <c r="AH1183">
        <v>0.68160419308567799</v>
      </c>
      <c r="AI1183">
        <v>107.486823868004</v>
      </c>
      <c r="AJ1183">
        <v>78.099660656036804</v>
      </c>
      <c r="AK1183">
        <v>0.73032639801444099</v>
      </c>
      <c r="AL1183">
        <v>95.585833430291501</v>
      </c>
      <c r="AM1183">
        <v>86.889075619353093</v>
      </c>
      <c r="AN1183">
        <v>0.99999996368550004</v>
      </c>
    </row>
    <row r="1184" spans="1:40" x14ac:dyDescent="0.25">
      <c r="A1184" t="str">
        <f>"20190303154750567"</f>
        <v>20190303154750567</v>
      </c>
      <c r="B1184" t="str">
        <f>"1551599270561309"</f>
        <v>1551599270561309</v>
      </c>
      <c r="C1184" t="s">
        <v>40</v>
      </c>
      <c r="D1184">
        <v>4.8939750000000002</v>
      </c>
      <c r="E1184">
        <v>0.54416799999999999</v>
      </c>
      <c r="F1184" t="s">
        <v>42</v>
      </c>
      <c r="G1184">
        <v>-238.09049999999999</v>
      </c>
      <c r="H1184">
        <v>0.93466369999999999</v>
      </c>
      <c r="I1184">
        <v>367.7371</v>
      </c>
      <c r="J1184">
        <v>-238.6919</v>
      </c>
      <c r="K1184">
        <v>1.1206670000000001</v>
      </c>
      <c r="L1184">
        <v>367.86779999999999</v>
      </c>
      <c r="M1184">
        <v>0.99989910000000004</v>
      </c>
      <c r="N1184">
        <v>-1.410429E-2</v>
      </c>
      <c r="O1184">
        <v>1.6955239999999999E-3</v>
      </c>
      <c r="P1184">
        <v>0.99239520000000003</v>
      </c>
      <c r="Q1184">
        <v>-0.11142249999999999</v>
      </c>
      <c r="R1184">
        <v>-5.2316040000000001E-2</v>
      </c>
      <c r="S1184">
        <v>2.9155880000000001</v>
      </c>
      <c r="T1184">
        <v>-0.72033760000000002</v>
      </c>
      <c r="U1184">
        <v>-0.50363159999999996</v>
      </c>
      <c r="V1184">
        <v>5.3989599999999999E-2</v>
      </c>
      <c r="W1184">
        <v>-9.7420699999999999E-2</v>
      </c>
      <c r="X1184">
        <v>0.99377780000000004</v>
      </c>
      <c r="Y1184">
        <v>0.16668160000000001</v>
      </c>
      <c r="Z1184">
        <v>-2.1731339999999998E-2</v>
      </c>
      <c r="AA1184">
        <v>0.98577130000000002</v>
      </c>
      <c r="AB1184">
        <v>28</v>
      </c>
      <c r="AC1184">
        <v>0.60140000000001204</v>
      </c>
      <c r="AD1184">
        <v>-0.18600330000000001</v>
      </c>
      <c r="AE1184">
        <v>-0.13069999999998999</v>
      </c>
      <c r="AF1184">
        <v>0.120695035797172</v>
      </c>
      <c r="AG1184">
        <v>-0.18600330000000001</v>
      </c>
      <c r="AH1184">
        <v>0.55086061585684998</v>
      </c>
      <c r="AI1184">
        <v>108.254376170268</v>
      </c>
      <c r="AJ1184">
        <v>77.641629993365996</v>
      </c>
      <c r="AK1184">
        <v>0.59381136514819199</v>
      </c>
      <c r="AL1184">
        <v>95.590662187483005</v>
      </c>
      <c r="AM1184">
        <v>86.89031266632</v>
      </c>
      <c r="AN1184">
        <v>0.99999999273474405</v>
      </c>
    </row>
    <row r="1185" spans="1:40" x14ac:dyDescent="0.25">
      <c r="A1185" t="str">
        <f>"20190303154750579"</f>
        <v>20190303154750579</v>
      </c>
      <c r="B1185" t="str">
        <f>"1551599270572045"</f>
        <v>1551599270572045</v>
      </c>
      <c r="C1185" t="s">
        <v>40</v>
      </c>
      <c r="D1185">
        <v>4.8269380000000002</v>
      </c>
      <c r="E1185">
        <v>0.54414499999999999</v>
      </c>
      <c r="F1185" t="s">
        <v>42</v>
      </c>
      <c r="G1185">
        <v>-237.84970000000001</v>
      </c>
      <c r="H1185">
        <v>0.91131770000000001</v>
      </c>
      <c r="I1185">
        <v>367.72269999999997</v>
      </c>
      <c r="J1185">
        <v>-238.51689999999999</v>
      </c>
      <c r="K1185">
        <v>1.120665</v>
      </c>
      <c r="L1185">
        <v>367.86810000000003</v>
      </c>
      <c r="M1185">
        <v>0.99989910000000004</v>
      </c>
      <c r="N1185">
        <v>-1.410251E-2</v>
      </c>
      <c r="O1185">
        <v>1.6783729999999999E-3</v>
      </c>
      <c r="P1185">
        <v>0.99241780000000002</v>
      </c>
      <c r="Q1185">
        <v>-0.1113489</v>
      </c>
      <c r="R1185">
        <v>-5.2042480000000002E-2</v>
      </c>
      <c r="S1185">
        <v>2.9151310000000001</v>
      </c>
      <c r="T1185">
        <v>-0.72463679999999997</v>
      </c>
      <c r="U1185">
        <v>-0.50238039999999995</v>
      </c>
      <c r="V1185">
        <v>5.3699200000000002E-2</v>
      </c>
      <c r="W1185">
        <v>-9.7348409999999996E-2</v>
      </c>
      <c r="X1185">
        <v>0.99380060000000003</v>
      </c>
      <c r="Y1185">
        <v>0.16623250000000001</v>
      </c>
      <c r="Z1185">
        <v>-2.1792550000000001E-2</v>
      </c>
      <c r="AA1185">
        <v>0.98584570000000005</v>
      </c>
      <c r="AB1185">
        <v>28</v>
      </c>
      <c r="AC1185">
        <v>0.66719999999997903</v>
      </c>
      <c r="AD1185">
        <v>-0.20934729999999999</v>
      </c>
      <c r="AE1185">
        <v>-0.14540000000005099</v>
      </c>
      <c r="AF1185">
        <v>0.13393174860517901</v>
      </c>
      <c r="AG1185">
        <v>-0.20934729999999999</v>
      </c>
      <c r="AH1185">
        <v>0.60965480438271202</v>
      </c>
      <c r="AI1185">
        <v>108.54087718780301</v>
      </c>
      <c r="AJ1185">
        <v>77.609821522418599</v>
      </c>
      <c r="AK1185">
        <v>0.65836387037006705</v>
      </c>
      <c r="AL1185">
        <v>95.586500594900599</v>
      </c>
      <c r="AM1185">
        <v>86.907077353314307</v>
      </c>
      <c r="AN1185">
        <v>0.99999997478526303</v>
      </c>
    </row>
    <row r="1186" spans="1:40" x14ac:dyDescent="0.25">
      <c r="A1186" t="str">
        <f>"20190303154750595"</f>
        <v>20190303154750595</v>
      </c>
      <c r="B1186" t="str">
        <f>"1551599270591566"</f>
        <v>1551599270591566</v>
      </c>
      <c r="C1186" t="s">
        <v>40</v>
      </c>
      <c r="D1186">
        <v>4.811725</v>
      </c>
      <c r="E1186">
        <v>0.54376759999999902</v>
      </c>
      <c r="F1186" t="s">
        <v>42</v>
      </c>
      <c r="G1186">
        <v>-237.8331</v>
      </c>
      <c r="H1186">
        <v>0.95039090000000004</v>
      </c>
      <c r="I1186">
        <v>367.75049999999999</v>
      </c>
      <c r="J1186">
        <v>-238.33629999999999</v>
      </c>
      <c r="K1186">
        <v>1.1206659999999999</v>
      </c>
      <c r="L1186">
        <v>367.86829999999998</v>
      </c>
      <c r="M1186">
        <v>0.99989930000000005</v>
      </c>
      <c r="N1186">
        <v>-1.4100680000000001E-2</v>
      </c>
      <c r="O1186">
        <v>1.6605070000000001E-3</v>
      </c>
      <c r="P1186">
        <v>0.99243170000000003</v>
      </c>
      <c r="Q1186">
        <v>-0.111461</v>
      </c>
      <c r="R1186">
        <v>-5.153576E-2</v>
      </c>
      <c r="S1186">
        <v>2.9151919999999998</v>
      </c>
      <c r="T1186">
        <v>-0.72582789999999997</v>
      </c>
      <c r="U1186">
        <v>-0.50149540000000004</v>
      </c>
      <c r="V1186">
        <v>5.317475E-2</v>
      </c>
      <c r="W1186">
        <v>-9.7462060000000003E-2</v>
      </c>
      <c r="X1186">
        <v>0.99381770000000003</v>
      </c>
      <c r="Y1186">
        <v>0.1659146</v>
      </c>
      <c r="Z1186">
        <v>-2.1780319999999999E-2</v>
      </c>
      <c r="AA1186">
        <v>0.98589959999999999</v>
      </c>
      <c r="AB1186">
        <v>28</v>
      </c>
      <c r="AC1186">
        <v>0.50319999999999199</v>
      </c>
      <c r="AD1186">
        <v>-0.17027509999999901</v>
      </c>
      <c r="AE1186">
        <v>-0.117799999999988</v>
      </c>
      <c r="AF1186">
        <v>0.107018144358173</v>
      </c>
      <c r="AG1186">
        <v>-0.17027509999999901</v>
      </c>
      <c r="AH1186">
        <v>0.45374719976431499</v>
      </c>
      <c r="AI1186">
        <v>110.064367516321</v>
      </c>
      <c r="AJ1186">
        <v>76.7290815562544</v>
      </c>
      <c r="AK1186">
        <v>0.496319467879141</v>
      </c>
      <c r="AL1186">
        <v>95.593043152543103</v>
      </c>
      <c r="AM1186">
        <v>86.937279001144802</v>
      </c>
      <c r="AN1186">
        <v>1.0000000140051399</v>
      </c>
    </row>
    <row r="1187" spans="1:40" x14ac:dyDescent="0.25">
      <c r="A1187" t="str">
        <f>"20190303154750610"</f>
        <v>20190303154750610</v>
      </c>
      <c r="B1187" t="str">
        <f>"1551599270601325"</f>
        <v>1551599270601325</v>
      </c>
      <c r="C1187" t="s">
        <v>40</v>
      </c>
      <c r="D1187">
        <v>4.7820799999999997</v>
      </c>
      <c r="E1187">
        <v>0.54382810000000004</v>
      </c>
      <c r="F1187" t="s">
        <v>42</v>
      </c>
      <c r="G1187">
        <v>-237.58959999999999</v>
      </c>
      <c r="H1187">
        <v>0.93554970000000004</v>
      </c>
      <c r="I1187">
        <v>367.7407</v>
      </c>
      <c r="J1187">
        <v>-238.1618</v>
      </c>
      <c r="K1187">
        <v>1.1206659999999999</v>
      </c>
      <c r="L1187">
        <v>367.86860000000001</v>
      </c>
      <c r="M1187">
        <v>0.99989930000000005</v>
      </c>
      <c r="N1187">
        <v>-1.4098879999999999E-2</v>
      </c>
      <c r="O1187">
        <v>1.643355E-3</v>
      </c>
      <c r="P1187">
        <v>0.99245329999999998</v>
      </c>
      <c r="Q1187">
        <v>-0.1113678</v>
      </c>
      <c r="R1187">
        <v>-5.1322420000000001E-2</v>
      </c>
      <c r="S1187">
        <v>2.915848</v>
      </c>
      <c r="T1187">
        <v>-0.72286010000000001</v>
      </c>
      <c r="U1187">
        <v>-0.49740600000000001</v>
      </c>
      <c r="V1187">
        <v>5.2944339999999999E-2</v>
      </c>
      <c r="W1187">
        <v>-9.7370369999999998E-2</v>
      </c>
      <c r="X1187">
        <v>0.99383900000000003</v>
      </c>
      <c r="Y1187">
        <v>0.16460069999999999</v>
      </c>
      <c r="Z1187">
        <v>-2.1523199999999999E-2</v>
      </c>
      <c r="AA1187">
        <v>0.98612540000000004</v>
      </c>
      <c r="AB1187">
        <v>28</v>
      </c>
      <c r="AC1187">
        <v>0.57220000000000903</v>
      </c>
      <c r="AD1187">
        <v>-0.18511629999999901</v>
      </c>
      <c r="AE1187">
        <v>-0.127900000000011</v>
      </c>
      <c r="AF1187">
        <v>0.11716129484932999</v>
      </c>
      <c r="AG1187">
        <v>-0.18511629999999901</v>
      </c>
      <c r="AH1187">
        <v>0.52014005860115098</v>
      </c>
      <c r="AI1187">
        <v>109.146901411554</v>
      </c>
      <c r="AJ1187">
        <v>77.306010061516304</v>
      </c>
      <c r="AK1187">
        <v>0.56439391748854895</v>
      </c>
      <c r="AL1187">
        <v>95.587764534682094</v>
      </c>
      <c r="AM1187">
        <v>86.950590121493306</v>
      </c>
      <c r="AN1187">
        <v>1.00000002500648</v>
      </c>
    </row>
    <row r="1188" spans="1:40" x14ac:dyDescent="0.25">
      <c r="A1188" t="str">
        <f>"20190303154750623"</f>
        <v>20190303154750623</v>
      </c>
      <c r="B1188" t="str">
        <f>"1551599270612061"</f>
        <v>1551599270612061</v>
      </c>
      <c r="C1188" t="s">
        <v>40</v>
      </c>
      <c r="D1188">
        <v>4.8377319999999999</v>
      </c>
      <c r="E1188">
        <v>0.54367869999999996</v>
      </c>
      <c r="F1188" t="s">
        <v>42</v>
      </c>
      <c r="G1188">
        <v>-237.34690000000001</v>
      </c>
      <c r="H1188">
        <v>0.91859849999999998</v>
      </c>
      <c r="I1188">
        <v>367.7296</v>
      </c>
      <c r="J1188">
        <v>-237.9897</v>
      </c>
      <c r="K1188">
        <v>1.1206689999999999</v>
      </c>
      <c r="L1188">
        <v>367.8689</v>
      </c>
      <c r="M1188">
        <v>0.99989930000000005</v>
      </c>
      <c r="N1188">
        <v>-1.409709E-2</v>
      </c>
      <c r="O1188">
        <v>1.6263810000000001E-3</v>
      </c>
      <c r="P1188">
        <v>0.99245989999999995</v>
      </c>
      <c r="Q1188">
        <v>-0.1113547</v>
      </c>
      <c r="R1188">
        <v>-5.1221419999999997E-2</v>
      </c>
      <c r="S1188">
        <v>2.9159549999999999</v>
      </c>
      <c r="T1188">
        <v>-0.72316550000000002</v>
      </c>
      <c r="U1188">
        <v>-0.49707030000000002</v>
      </c>
      <c r="V1188">
        <v>5.2826699999999997E-2</v>
      </c>
      <c r="W1188">
        <v>-9.7358899999999998E-2</v>
      </c>
      <c r="X1188">
        <v>0.99384640000000002</v>
      </c>
      <c r="Y1188">
        <v>0.16446830000000001</v>
      </c>
      <c r="Z1188">
        <v>-2.150999E-2</v>
      </c>
      <c r="AA1188">
        <v>0.98614780000000002</v>
      </c>
      <c r="AB1188">
        <v>28</v>
      </c>
      <c r="AC1188">
        <v>0.64279999999999404</v>
      </c>
      <c r="AD1188">
        <v>-0.20207049999999999</v>
      </c>
      <c r="AE1188">
        <v>-0.13929999999999099</v>
      </c>
      <c r="AF1188">
        <v>0.12824079215698</v>
      </c>
      <c r="AG1188">
        <v>-0.20207049999999999</v>
      </c>
      <c r="AH1188">
        <v>0.58715170385015203</v>
      </c>
      <c r="AI1188">
        <v>108.58406529814</v>
      </c>
      <c r="AJ1188">
        <v>77.679412929098802</v>
      </c>
      <c r="AK1188">
        <v>0.63405465937680505</v>
      </c>
      <c r="AL1188">
        <v>95.587104123919502</v>
      </c>
      <c r="AM1188">
        <v>86.957375643410202</v>
      </c>
      <c r="AN1188">
        <v>1.0000000412175201</v>
      </c>
    </row>
    <row r="1189" spans="1:40" x14ac:dyDescent="0.25">
      <c r="A1189" t="str">
        <f>"20190303154750638"</f>
        <v>20190303154750638</v>
      </c>
      <c r="B1189" t="str">
        <f>"1551599270631581"</f>
        <v>1551599270631581</v>
      </c>
      <c r="C1189" t="s">
        <v>40</v>
      </c>
      <c r="D1189">
        <v>4.8136929999999998</v>
      </c>
      <c r="E1189">
        <v>0.54340519999999903</v>
      </c>
      <c r="F1189" t="s">
        <v>42</v>
      </c>
      <c r="G1189">
        <v>-237.1045</v>
      </c>
      <c r="H1189">
        <v>0.90057430000000005</v>
      </c>
      <c r="I1189">
        <v>367.7183</v>
      </c>
      <c r="J1189">
        <v>-237.7946</v>
      </c>
      <c r="K1189">
        <v>1.120671</v>
      </c>
      <c r="L1189">
        <v>367.86919999999998</v>
      </c>
      <c r="M1189">
        <v>0.99989930000000005</v>
      </c>
      <c r="N1189">
        <v>-1.409505E-2</v>
      </c>
      <c r="O1189">
        <v>1.6073229999999999E-3</v>
      </c>
      <c r="P1189">
        <v>0.99248420000000004</v>
      </c>
      <c r="Q1189">
        <v>-0.11127720000000001</v>
      </c>
      <c r="R1189">
        <v>-5.0917709999999998E-2</v>
      </c>
      <c r="S1189">
        <v>2.9158330000000001</v>
      </c>
      <c r="T1189">
        <v>-0.72504349999999995</v>
      </c>
      <c r="U1189">
        <v>-0.49578860000000002</v>
      </c>
      <c r="V1189">
        <v>5.2503899999999999E-2</v>
      </c>
      <c r="W1189">
        <v>-9.7283049999999996E-2</v>
      </c>
      <c r="X1189">
        <v>0.9938709</v>
      </c>
      <c r="Y1189">
        <v>0.1640229</v>
      </c>
      <c r="Z1189">
        <v>-2.150096E-2</v>
      </c>
      <c r="AA1189">
        <v>0.98622220000000005</v>
      </c>
      <c r="AB1189">
        <v>28</v>
      </c>
      <c r="AC1189">
        <v>0.69010000000000105</v>
      </c>
      <c r="AD1189">
        <v>-0.22009669999999901</v>
      </c>
      <c r="AE1189">
        <v>-0.150899999999978</v>
      </c>
      <c r="AF1189">
        <v>0.13855823400464001</v>
      </c>
      <c r="AG1189">
        <v>-0.22009669999999901</v>
      </c>
      <c r="AH1189">
        <v>0.62881291719305099</v>
      </c>
      <c r="AI1189">
        <v>108.871425152752</v>
      </c>
      <c r="AJ1189">
        <v>77.573515297319105</v>
      </c>
      <c r="AK1189">
        <v>0.68047529447453803</v>
      </c>
      <c r="AL1189">
        <v>95.582737693793504</v>
      </c>
      <c r="AM1189">
        <v>86.976007534022401</v>
      </c>
      <c r="AN1189">
        <v>1.0000000085996601</v>
      </c>
    </row>
    <row r="1190" spans="1:40" x14ac:dyDescent="0.25">
      <c r="A1190" t="str">
        <f>"20190303154750654"</f>
        <v>20190303154750654</v>
      </c>
      <c r="B1190" t="str">
        <f>"1551599270641341"</f>
        <v>1551599270641341</v>
      </c>
      <c r="C1190" t="s">
        <v>40</v>
      </c>
      <c r="D1190">
        <v>4.7131299999999996</v>
      </c>
      <c r="E1190">
        <v>0.54349259999999999</v>
      </c>
      <c r="F1190" t="s">
        <v>42</v>
      </c>
      <c r="G1190">
        <v>-237.0866</v>
      </c>
      <c r="H1190">
        <v>0.94386289999999995</v>
      </c>
      <c r="I1190">
        <v>367.74939999999998</v>
      </c>
      <c r="J1190">
        <v>-237.60820000000001</v>
      </c>
      <c r="K1190">
        <v>1.1206750000000001</v>
      </c>
      <c r="L1190">
        <v>367.86950000000002</v>
      </c>
      <c r="M1190">
        <v>0.99989950000000005</v>
      </c>
      <c r="N1190">
        <v>-1.4093120000000001E-2</v>
      </c>
      <c r="O1190">
        <v>1.5886839999999999E-3</v>
      </c>
      <c r="P1190">
        <v>0.99250130000000003</v>
      </c>
      <c r="Q1190">
        <v>-0.1112218</v>
      </c>
      <c r="R1190">
        <v>-5.0705680000000003E-2</v>
      </c>
      <c r="S1190">
        <v>2.9157869999999999</v>
      </c>
      <c r="T1190">
        <v>-0.72823190000000004</v>
      </c>
      <c r="U1190">
        <v>-0.49276730000000002</v>
      </c>
      <c r="V1190">
        <v>5.227362E-2</v>
      </c>
      <c r="W1190">
        <v>-9.7229259999999998E-2</v>
      </c>
      <c r="X1190">
        <v>0.99388829999999995</v>
      </c>
      <c r="Y1190">
        <v>0.16300139999999999</v>
      </c>
      <c r="Z1190">
        <v>-2.1453239999999998E-2</v>
      </c>
      <c r="AA1190">
        <v>0.98639259999999995</v>
      </c>
      <c r="AB1190">
        <v>28</v>
      </c>
      <c r="AC1190">
        <v>0.52160000000000595</v>
      </c>
      <c r="AD1190">
        <v>-0.1768121</v>
      </c>
      <c r="AE1190">
        <v>-0.120100000000036</v>
      </c>
      <c r="AF1190">
        <v>0.109030884046001</v>
      </c>
      <c r="AG1190">
        <v>-0.1768121</v>
      </c>
      <c r="AH1190">
        <v>0.47010911902107799</v>
      </c>
      <c r="AI1190">
        <v>110.122015911178</v>
      </c>
      <c r="AJ1190">
        <v>76.942431085427302</v>
      </c>
      <c r="AK1190">
        <v>0.51395801012245801</v>
      </c>
      <c r="AL1190">
        <v>95.579641085075593</v>
      </c>
      <c r="AM1190">
        <v>86.989298800747605</v>
      </c>
      <c r="AN1190">
        <v>1.0000000066124699</v>
      </c>
    </row>
    <row r="1191" spans="1:40" x14ac:dyDescent="0.25">
      <c r="A1191" t="str">
        <f>"20190303154750669"</f>
        <v>20190303154750669</v>
      </c>
      <c r="B1191" t="str">
        <f>"1551599270661837"</f>
        <v>1551599270661837</v>
      </c>
      <c r="C1191" t="s">
        <v>40</v>
      </c>
      <c r="D1191">
        <v>4.6756830000000003</v>
      </c>
      <c r="E1191">
        <v>0.54366190000000003</v>
      </c>
      <c r="F1191" t="s">
        <v>42</v>
      </c>
      <c r="G1191">
        <v>-236.84370000000001</v>
      </c>
      <c r="H1191">
        <v>0.92968110000000004</v>
      </c>
      <c r="I1191">
        <v>367.74040000000002</v>
      </c>
      <c r="J1191">
        <v>-237.4127</v>
      </c>
      <c r="K1191">
        <v>1.1206780000000001</v>
      </c>
      <c r="L1191">
        <v>367.8698</v>
      </c>
      <c r="M1191">
        <v>0.99989939999999999</v>
      </c>
      <c r="N1191">
        <v>-1.409112E-2</v>
      </c>
      <c r="O1191">
        <v>1.5696250000000001E-3</v>
      </c>
      <c r="P1191">
        <v>0.99255930000000003</v>
      </c>
      <c r="Q1191">
        <v>-0.11083709999999999</v>
      </c>
      <c r="R1191">
        <v>-5.04077E-2</v>
      </c>
      <c r="S1191">
        <v>2.9158629999999999</v>
      </c>
      <c r="T1191">
        <v>-0.72847099999999998</v>
      </c>
      <c r="U1191">
        <v>-0.4926758</v>
      </c>
      <c r="V1191">
        <v>5.1956969999999998E-2</v>
      </c>
      <c r="W1191">
        <v>-9.6845760000000003E-2</v>
      </c>
      <c r="X1191">
        <v>0.99394229999999995</v>
      </c>
      <c r="Y1191">
        <v>0.1629475</v>
      </c>
      <c r="Z1191">
        <v>-2.1447730000000002E-2</v>
      </c>
      <c r="AA1191">
        <v>0.98640159999999999</v>
      </c>
      <c r="AB1191">
        <v>28</v>
      </c>
      <c r="AC1191">
        <v>0.56899999999998796</v>
      </c>
      <c r="AD1191">
        <v>-0.1909969</v>
      </c>
      <c r="AE1191">
        <v>-0.12939999999997501</v>
      </c>
      <c r="AF1191">
        <v>0.117684947213616</v>
      </c>
      <c r="AG1191">
        <v>-0.1909969</v>
      </c>
      <c r="AH1191">
        <v>0.51375533260290296</v>
      </c>
      <c r="AI1191">
        <v>109.919522139077</v>
      </c>
      <c r="AJ1191">
        <v>77.097958240197997</v>
      </c>
      <c r="AK1191">
        <v>0.56060155582035398</v>
      </c>
      <c r="AL1191">
        <v>95.557564215221404</v>
      </c>
      <c r="AM1191">
        <v>87.0076653053586</v>
      </c>
      <c r="AN1191">
        <v>0.99999996184542295</v>
      </c>
    </row>
    <row r="1192" spans="1:40" x14ac:dyDescent="0.25">
      <c r="A1192" t="str">
        <f>"20190303154750683"</f>
        <v>20190303154750683</v>
      </c>
      <c r="B1192" t="str">
        <f>"1551599270671597"</f>
        <v>1551599270671597</v>
      </c>
      <c r="C1192" t="s">
        <v>40</v>
      </c>
      <c r="D1192">
        <v>4.7544399999999998</v>
      </c>
      <c r="E1192">
        <v>0.54353370000000001</v>
      </c>
      <c r="F1192" t="s">
        <v>42</v>
      </c>
      <c r="G1192">
        <v>-236.59950000000001</v>
      </c>
      <c r="H1192">
        <v>0.91787220000000003</v>
      </c>
      <c r="I1192">
        <v>367.7319</v>
      </c>
      <c r="J1192">
        <v>-237.23269999999999</v>
      </c>
      <c r="K1192">
        <v>1.120681</v>
      </c>
      <c r="L1192">
        <v>367.87009999999998</v>
      </c>
      <c r="M1192">
        <v>0.9998996</v>
      </c>
      <c r="N1192">
        <v>-1.4089300000000001E-2</v>
      </c>
      <c r="O1192">
        <v>1.552112E-3</v>
      </c>
      <c r="P1192">
        <v>0.99259940000000002</v>
      </c>
      <c r="Q1192">
        <v>-0.110564</v>
      </c>
      <c r="R1192">
        <v>-5.022248E-2</v>
      </c>
      <c r="S1192">
        <v>2.9161990000000002</v>
      </c>
      <c r="T1192">
        <v>-0.72746569999999899</v>
      </c>
      <c r="U1192">
        <v>-0.49340820000000002</v>
      </c>
      <c r="V1192">
        <v>5.1754210000000002E-2</v>
      </c>
      <c r="W1192">
        <v>-9.6573870000000006E-2</v>
      </c>
      <c r="X1192">
        <v>0.99397939999999996</v>
      </c>
      <c r="Y1192">
        <v>0.16316129999999901</v>
      </c>
      <c r="Z1192">
        <v>-2.144132E-2</v>
      </c>
      <c r="AA1192">
        <v>0.98636639999999998</v>
      </c>
      <c r="AB1192">
        <v>28</v>
      </c>
      <c r="AC1192">
        <v>0.633199999999987</v>
      </c>
      <c r="AD1192">
        <v>-0.20280879999999901</v>
      </c>
      <c r="AE1192">
        <v>-0.138199999999983</v>
      </c>
      <c r="AF1192">
        <v>0.126769202055107</v>
      </c>
      <c r="AG1192">
        <v>-0.20280879999999901</v>
      </c>
      <c r="AH1192">
        <v>0.576529631760901</v>
      </c>
      <c r="AI1192">
        <v>108.96106470762599</v>
      </c>
      <c r="AJ1192">
        <v>77.598962769367901</v>
      </c>
      <c r="AK1192">
        <v>0.62417005394803204</v>
      </c>
      <c r="AL1192">
        <v>95.541912326476194</v>
      </c>
      <c r="AM1192">
        <v>87.019432725692695</v>
      </c>
      <c r="AN1192">
        <v>1.00000002912193</v>
      </c>
    </row>
    <row r="1193" spans="1:40" x14ac:dyDescent="0.25">
      <c r="A1193" t="str">
        <f>"20190303154750695"</f>
        <v>20190303154750695</v>
      </c>
      <c r="B1193" t="str">
        <f>"1551599270692092"</f>
        <v>1551599270692092</v>
      </c>
      <c r="C1193" t="s">
        <v>40</v>
      </c>
      <c r="D1193">
        <v>4.6221410000000001</v>
      </c>
      <c r="E1193">
        <v>0.53357460000000001</v>
      </c>
      <c r="F1193" t="s">
        <v>42</v>
      </c>
      <c r="G1193">
        <v>-236.3571</v>
      </c>
      <c r="H1193">
        <v>0.90235089999999996</v>
      </c>
      <c r="I1193">
        <v>367.72239999999999</v>
      </c>
      <c r="J1193">
        <v>-237.08320000000001</v>
      </c>
      <c r="K1193">
        <v>1.1206849999999999</v>
      </c>
      <c r="L1193">
        <v>367.87029999999999</v>
      </c>
      <c r="M1193">
        <v>0.9998996</v>
      </c>
      <c r="N1193">
        <v>-1.4087779999999999E-2</v>
      </c>
      <c r="O1193">
        <v>1.5374609999999999E-3</v>
      </c>
      <c r="P1193">
        <v>0.99270979999999998</v>
      </c>
      <c r="Q1193">
        <v>-0.10968890000000001</v>
      </c>
      <c r="R1193">
        <v>-4.9958679999999998E-2</v>
      </c>
      <c r="S1193">
        <v>2.9164729999999999</v>
      </c>
      <c r="T1193">
        <v>-0.72716890000000001</v>
      </c>
      <c r="U1193">
        <v>-0.49160769999999998</v>
      </c>
      <c r="V1193">
        <v>5.1475979999999998E-2</v>
      </c>
      <c r="W1193">
        <v>-9.5698759999999994E-2</v>
      </c>
      <c r="X1193">
        <v>0.99407849999999998</v>
      </c>
      <c r="Y1193">
        <v>0.16256319999999999</v>
      </c>
      <c r="Z1193">
        <v>-2.1351620000000002E-2</v>
      </c>
      <c r="AA1193">
        <v>0.98646710000000004</v>
      </c>
      <c r="AB1193">
        <v>28</v>
      </c>
      <c r="AC1193">
        <v>0.72610000000000197</v>
      </c>
      <c r="AD1193">
        <v>-0.2183341</v>
      </c>
      <c r="AE1193">
        <v>-0.14789999999999201</v>
      </c>
      <c r="AF1193">
        <v>0.13711282567669</v>
      </c>
      <c r="AG1193">
        <v>-0.2183341</v>
      </c>
      <c r="AH1193">
        <v>0.667888901369462</v>
      </c>
      <c r="AI1193">
        <v>107.75628835382901</v>
      </c>
      <c r="AJ1193">
        <v>78.398771543355593</v>
      </c>
      <c r="AK1193">
        <v>0.71592268490414801</v>
      </c>
      <c r="AL1193">
        <v>95.491538799219995</v>
      </c>
      <c r="AM1193">
        <v>87.035722570636906</v>
      </c>
      <c r="AN1193">
        <v>1.00000004667237</v>
      </c>
    </row>
    <row r="1194" spans="1:40" x14ac:dyDescent="0.25">
      <c r="A1194" t="str">
        <f>"20190303154750706"</f>
        <v>20190303154750706</v>
      </c>
      <c r="B1194" t="str">
        <f>"1551599270701854"</f>
        <v>1551599270701854</v>
      </c>
      <c r="C1194" t="s">
        <v>40</v>
      </c>
      <c r="D1194">
        <v>4.5904590000000001</v>
      </c>
      <c r="E1194">
        <v>0.53357460000000001</v>
      </c>
      <c r="F1194" t="s">
        <v>42</v>
      </c>
      <c r="G1194">
        <v>-236.31880000000001</v>
      </c>
      <c r="H1194">
        <v>0.98788830000000005</v>
      </c>
      <c r="I1194">
        <v>367.76249999999999</v>
      </c>
      <c r="J1194">
        <v>-236.94200000000001</v>
      </c>
      <c r="K1194">
        <v>1.120689</v>
      </c>
      <c r="L1194">
        <v>367.87049999999999</v>
      </c>
      <c r="M1194">
        <v>0.99989980000000001</v>
      </c>
      <c r="N1194">
        <v>-1.4086349999999999E-2</v>
      </c>
      <c r="O1194">
        <v>1.523525E-3</v>
      </c>
      <c r="P1194">
        <v>0.9927513</v>
      </c>
      <c r="Q1194">
        <v>-0.1093191</v>
      </c>
      <c r="R1194">
        <v>-4.9945539999999997E-2</v>
      </c>
      <c r="S1194">
        <v>2.9446110000000001</v>
      </c>
      <c r="T1194">
        <v>-0.51151409999999997</v>
      </c>
      <c r="U1194">
        <v>-0.41497800000000001</v>
      </c>
      <c r="V1194">
        <v>5.1449210000000002E-2</v>
      </c>
      <c r="W1194">
        <v>-9.5329810000000001E-2</v>
      </c>
      <c r="X1194">
        <v>0.99411530000000004</v>
      </c>
      <c r="Y1194">
        <v>0.13882929999999999</v>
      </c>
      <c r="Z1194">
        <v>-1.314158E-2</v>
      </c>
      <c r="AA1194">
        <v>0.99022909999999997</v>
      </c>
      <c r="AB1194">
        <v>28</v>
      </c>
      <c r="AC1194">
        <v>0.62319999999999698</v>
      </c>
      <c r="AD1194">
        <v>-0.13280069999999999</v>
      </c>
      <c r="AE1194">
        <v>-0.108000000000004</v>
      </c>
      <c r="AF1194">
        <v>0.104349154272654</v>
      </c>
      <c r="AG1194">
        <v>-0.13280069999999999</v>
      </c>
      <c r="AH1194">
        <v>0.59672773318788397</v>
      </c>
      <c r="AI1194">
        <v>102.36487487498199</v>
      </c>
      <c r="AJ1194">
        <v>80.081039950253995</v>
      </c>
      <c r="AK1194">
        <v>0.620168331562858</v>
      </c>
      <c r="AL1194">
        <v>95.470302622227806</v>
      </c>
      <c r="AM1194">
        <v>87.037370869885606</v>
      </c>
      <c r="AN1194">
        <v>1.0000000117891701</v>
      </c>
    </row>
    <row r="1195" spans="1:40" x14ac:dyDescent="0.25">
      <c r="A1195" t="str">
        <f>"20190303154750718"</f>
        <v>20190303154750718</v>
      </c>
      <c r="B1195" t="str">
        <f>"1551599270711613"</f>
        <v>1551599270711613</v>
      </c>
      <c r="C1195" t="s">
        <v>40</v>
      </c>
      <c r="D1195">
        <v>4.6483600000000003</v>
      </c>
      <c r="E1195">
        <v>0.52551110000000001</v>
      </c>
      <c r="F1195" t="s">
        <v>42</v>
      </c>
      <c r="G1195">
        <v>-236.07830000000001</v>
      </c>
      <c r="H1195">
        <v>0.97097869999999997</v>
      </c>
      <c r="I1195">
        <v>367.74869999999999</v>
      </c>
      <c r="J1195">
        <v>-236.79130000000001</v>
      </c>
      <c r="K1195">
        <v>1.1206929999999999</v>
      </c>
      <c r="L1195">
        <v>367.8707</v>
      </c>
      <c r="M1195">
        <v>0.99989969999999995</v>
      </c>
      <c r="N1195">
        <v>-1.408482E-2</v>
      </c>
      <c r="O1195">
        <v>1.5088739999999999E-3</v>
      </c>
      <c r="P1195">
        <v>0.99282950000000003</v>
      </c>
      <c r="Q1195">
        <v>-0.1087336</v>
      </c>
      <c r="R1195">
        <v>-4.9668530000000002E-2</v>
      </c>
      <c r="S1195">
        <v>2.944839</v>
      </c>
      <c r="T1195">
        <v>-0.5105132</v>
      </c>
      <c r="U1195">
        <v>-0.41458129999999999</v>
      </c>
      <c r="V1195">
        <v>5.1157840000000003E-2</v>
      </c>
      <c r="W1195">
        <v>-9.4744780000000001E-2</v>
      </c>
      <c r="X1195">
        <v>0.99418620000000002</v>
      </c>
      <c r="Y1195">
        <v>0.13868449999999999</v>
      </c>
      <c r="Z1195">
        <v>-1.3101410000000001E-2</v>
      </c>
      <c r="AA1195">
        <v>0.99024990000000002</v>
      </c>
      <c r="AB1195">
        <v>28</v>
      </c>
      <c r="AC1195">
        <v>0.71299999999999297</v>
      </c>
      <c r="AD1195">
        <v>-0.149714299999999</v>
      </c>
      <c r="AE1195">
        <v>-0.122000000000014</v>
      </c>
      <c r="AF1195">
        <v>0.118020212096657</v>
      </c>
      <c r="AG1195">
        <v>-0.149714299999999</v>
      </c>
      <c r="AH1195">
        <v>0.68353479111339399</v>
      </c>
      <c r="AI1195">
        <v>102.179649689081</v>
      </c>
      <c r="AJ1195">
        <v>80.203805018013696</v>
      </c>
      <c r="AK1195">
        <v>0.70962169692749799</v>
      </c>
      <c r="AL1195">
        <v>95.436630804212299</v>
      </c>
      <c r="AM1195">
        <v>87.054329071350395</v>
      </c>
      <c r="AN1195">
        <v>0.99999994910057499</v>
      </c>
    </row>
    <row r="1196" spans="1:40" x14ac:dyDescent="0.25">
      <c r="A1196" t="str">
        <f>"20190303154750732"</f>
        <v>20190303154750732</v>
      </c>
      <c r="B1196" t="str">
        <f>"1551599270721373"</f>
        <v>1551599270721373</v>
      </c>
      <c r="C1196" t="s">
        <v>40</v>
      </c>
      <c r="D1196">
        <v>4.6397240000000002</v>
      </c>
      <c r="E1196">
        <v>0.52576829999999997</v>
      </c>
      <c r="F1196" t="s">
        <v>41</v>
      </c>
      <c r="G1196">
        <v>-217.08369999999999</v>
      </c>
      <c r="H1196" s="1">
        <v>-2.0654740000000001E-6</v>
      </c>
      <c r="I1196">
        <v>365.53129999999999</v>
      </c>
      <c r="J1196">
        <v>-236.6361</v>
      </c>
      <c r="K1196">
        <v>1.1206959999999999</v>
      </c>
      <c r="L1196">
        <v>367.87090000000001</v>
      </c>
      <c r="M1196">
        <v>0.99989969999999995</v>
      </c>
      <c r="N1196">
        <v>-1.408326E-2</v>
      </c>
      <c r="O1196">
        <v>1.4937479999999901E-3</v>
      </c>
      <c r="P1196">
        <v>0.99286019999999997</v>
      </c>
      <c r="Q1196">
        <v>-0.1083631</v>
      </c>
      <c r="R1196">
        <v>-4.9863360000000002E-2</v>
      </c>
      <c r="S1196">
        <v>2.9853519999999998</v>
      </c>
      <c r="T1196">
        <v>-0.1697642</v>
      </c>
      <c r="U1196">
        <v>-0.35437010000000002</v>
      </c>
      <c r="V1196">
        <v>5.1337819999999999E-2</v>
      </c>
      <c r="W1196">
        <v>-9.4375410000000007E-2</v>
      </c>
      <c r="X1196">
        <v>0.99421210000000004</v>
      </c>
      <c r="Y1196">
        <v>0.11912</v>
      </c>
      <c r="Z1196">
        <v>-4.278619E-3</v>
      </c>
      <c r="AA1196">
        <v>0.99287060000000005</v>
      </c>
      <c r="AB1196">
        <v>28</v>
      </c>
      <c r="AC1196">
        <v>19.552399999999999</v>
      </c>
      <c r="AD1196">
        <v>-1.120698065474</v>
      </c>
      <c r="AE1196">
        <v>-2.3396000000000101</v>
      </c>
      <c r="AF1196">
        <v>2.36115899159689</v>
      </c>
      <c r="AG1196">
        <v>-1.120698065474</v>
      </c>
      <c r="AH1196">
        <v>19.485769815846801</v>
      </c>
      <c r="AI1196">
        <v>93.2678132483544</v>
      </c>
      <c r="AJ1196">
        <v>83.090953500444897</v>
      </c>
      <c r="AK1196">
        <v>19.660271138865902</v>
      </c>
      <c r="AL1196">
        <v>95.415371956322105</v>
      </c>
      <c r="AM1196">
        <v>87.044061031823304</v>
      </c>
      <c r="AN1196">
        <v>0.999999994780715</v>
      </c>
    </row>
    <row r="1197" spans="1:40" x14ac:dyDescent="0.25">
      <c r="A1197" t="str">
        <f>"20190303154750743"</f>
        <v>20190303154750743</v>
      </c>
      <c r="B1197" t="str">
        <f>"1551599270741869"</f>
        <v>1551599270741869</v>
      </c>
      <c r="C1197" t="s">
        <v>40</v>
      </c>
      <c r="D1197">
        <v>4.6011870000000004</v>
      </c>
      <c r="E1197">
        <v>0.52648009999999901</v>
      </c>
      <c r="F1197" t="s">
        <v>41</v>
      </c>
      <c r="G1197">
        <v>-211.69139999999999</v>
      </c>
      <c r="H1197" s="1">
        <v>-4.3857939999999998E-6</v>
      </c>
      <c r="I1197">
        <v>364.88589999999999</v>
      </c>
      <c r="J1197">
        <v>-236.47890000000001</v>
      </c>
      <c r="K1197">
        <v>1.1206969999999901</v>
      </c>
      <c r="L1197">
        <v>367.87110000000001</v>
      </c>
      <c r="M1197">
        <v>0.99989969999999995</v>
      </c>
      <c r="N1197">
        <v>-1.4081659999999999E-2</v>
      </c>
      <c r="O1197">
        <v>1.4782650000000001E-3</v>
      </c>
      <c r="P1197">
        <v>0.99287360000000002</v>
      </c>
      <c r="Q1197">
        <v>-0.1081458</v>
      </c>
      <c r="R1197">
        <v>-5.0065270000000002E-2</v>
      </c>
      <c r="S1197">
        <v>2.988953</v>
      </c>
      <c r="T1197">
        <v>-0.1342856</v>
      </c>
      <c r="U1197">
        <v>-0.35766599999999998</v>
      </c>
      <c r="V1197">
        <v>5.1524590000000002E-2</v>
      </c>
      <c r="W1197">
        <v>-9.4159580000000007E-2</v>
      </c>
      <c r="X1197">
        <v>0.99422290000000002</v>
      </c>
      <c r="Y1197">
        <v>0.1201247</v>
      </c>
      <c r="Z1197">
        <v>-3.5823000000000001E-3</v>
      </c>
      <c r="AA1197">
        <v>0.99275230000000003</v>
      </c>
      <c r="AB1197">
        <v>28</v>
      </c>
      <c r="AC1197">
        <v>24.787500000000001</v>
      </c>
      <c r="AD1197">
        <v>-1.12070138579399</v>
      </c>
      <c r="AE1197">
        <v>-2.9852000000000198</v>
      </c>
      <c r="AF1197">
        <v>3.0157662986971898</v>
      </c>
      <c r="AG1197">
        <v>-1.12070138579399</v>
      </c>
      <c r="AH1197">
        <v>24.733223758361099</v>
      </c>
      <c r="AI1197">
        <v>92.575339922165</v>
      </c>
      <c r="AJ1197">
        <v>83.048139328172695</v>
      </c>
      <c r="AK1197">
        <v>24.941595286702</v>
      </c>
      <c r="AL1197">
        <v>95.402950507181103</v>
      </c>
      <c r="AM1197">
        <v>87.033358496814799</v>
      </c>
      <c r="AN1197">
        <v>0.99999999238242698</v>
      </c>
    </row>
    <row r="1198" spans="1:40" x14ac:dyDescent="0.25">
      <c r="A1198" t="str">
        <f>"20190303154750756"</f>
        <v>20190303154750756</v>
      </c>
      <c r="B1198" t="str">
        <f>"1551599270751629"</f>
        <v>1551599270751629</v>
      </c>
      <c r="C1198" t="s">
        <v>40</v>
      </c>
      <c r="D1198">
        <v>4.6238070000000002</v>
      </c>
      <c r="E1198">
        <v>0.52674849999999995</v>
      </c>
      <c r="F1198" t="s">
        <v>46</v>
      </c>
      <c r="G1198">
        <v>-203.97190000000001</v>
      </c>
      <c r="H1198" s="1">
        <v>-3.702328E-6</v>
      </c>
      <c r="I1198">
        <v>363.91210000000001</v>
      </c>
      <c r="J1198">
        <v>-236.32749999999999</v>
      </c>
      <c r="K1198">
        <v>1.1206959999999999</v>
      </c>
      <c r="L1198">
        <v>367.87130000000002</v>
      </c>
      <c r="M1198">
        <v>0.99989969999999995</v>
      </c>
      <c r="N1198">
        <v>-1.408014E-2</v>
      </c>
      <c r="O1198">
        <v>1.463081E-3</v>
      </c>
      <c r="P1198">
        <v>0.99287080000000005</v>
      </c>
      <c r="Q1198">
        <v>-0.1081408</v>
      </c>
      <c r="R1198">
        <v>-5.0131250000000002E-2</v>
      </c>
      <c r="S1198">
        <v>2.9919129999999998</v>
      </c>
      <c r="T1198">
        <v>-0.1031482</v>
      </c>
      <c r="U1198">
        <v>-0.36437989999999998</v>
      </c>
      <c r="V1198">
        <v>5.1575500000000003E-2</v>
      </c>
      <c r="W1198">
        <v>-9.4156130000000005E-2</v>
      </c>
      <c r="X1198">
        <v>0.99422060000000001</v>
      </c>
      <c r="Y1198">
        <v>0.12224589999999901</v>
      </c>
      <c r="Z1198">
        <v>-2.9927880000000001E-3</v>
      </c>
      <c r="AA1198">
        <v>0.99249540000000003</v>
      </c>
      <c r="AB1198">
        <v>28</v>
      </c>
      <c r="AC1198">
        <v>32.355599999999903</v>
      </c>
      <c r="AD1198">
        <v>-1.1206997023280001</v>
      </c>
      <c r="AE1198">
        <v>-3.9592000000000001</v>
      </c>
      <c r="AF1198">
        <v>4.0018091027654803</v>
      </c>
      <c r="AG1198">
        <v>-1.1206997023280001</v>
      </c>
      <c r="AH1198">
        <v>32.311579209157301</v>
      </c>
      <c r="AI1198">
        <v>91.971409040894997</v>
      </c>
      <c r="AJ1198">
        <v>82.939834299340504</v>
      </c>
      <c r="AK1198">
        <v>32.577731580136501</v>
      </c>
      <c r="AL1198">
        <v>95.402751884950803</v>
      </c>
      <c r="AM1198">
        <v>87.030425628193299</v>
      </c>
      <c r="AN1198">
        <v>1.00000000524059</v>
      </c>
    </row>
    <row r="1199" spans="1:40" x14ac:dyDescent="0.25">
      <c r="A1199" t="str">
        <f>"20190303154750768"</f>
        <v>20190303154750768</v>
      </c>
      <c r="B1199" t="str">
        <f>"1551599270761389"</f>
        <v>1551599270761389</v>
      </c>
      <c r="C1199" t="s">
        <v>40</v>
      </c>
      <c r="D1199">
        <v>4.6205980000000002</v>
      </c>
      <c r="E1199">
        <v>0.52671129999999999</v>
      </c>
      <c r="F1199" t="s">
        <v>46</v>
      </c>
      <c r="G1199">
        <v>-201.98750000000001</v>
      </c>
      <c r="H1199" s="1">
        <v>-2.755402E-6</v>
      </c>
      <c r="I1199">
        <v>363.66180000000003</v>
      </c>
      <c r="J1199">
        <v>-236.17939999999999</v>
      </c>
      <c r="K1199">
        <v>1.1206969999999901</v>
      </c>
      <c r="L1199">
        <v>367.87150000000003</v>
      </c>
      <c r="M1199">
        <v>0.99989989999999995</v>
      </c>
      <c r="N1199">
        <v>-1.407865E-2</v>
      </c>
      <c r="O1199">
        <v>1.44831E-3</v>
      </c>
      <c r="P1199">
        <v>0.9928631</v>
      </c>
      <c r="Q1199">
        <v>-0.1081853</v>
      </c>
      <c r="R1199">
        <v>-5.0193519999999998E-2</v>
      </c>
      <c r="S1199">
        <v>2.992416</v>
      </c>
      <c r="T1199">
        <v>-9.7658750000000003E-2</v>
      </c>
      <c r="U1199">
        <v>-0.36682130000000002</v>
      </c>
      <c r="V1199">
        <v>5.1622710000000002E-2</v>
      </c>
      <c r="W1199">
        <v>-9.4202149999999998E-2</v>
      </c>
      <c r="X1199">
        <v>0.99421380000000004</v>
      </c>
      <c r="Y1199">
        <v>0.1230175</v>
      </c>
      <c r="Z1199">
        <v>-2.8956770000000001E-3</v>
      </c>
      <c r="AA1199">
        <v>0.99240030000000001</v>
      </c>
      <c r="AB1199">
        <v>28</v>
      </c>
      <c r="AC1199">
        <v>34.191899999999897</v>
      </c>
      <c r="AD1199">
        <v>-1.12069975540199</v>
      </c>
      <c r="AE1199">
        <v>-4.20969999999999</v>
      </c>
      <c r="AF1199">
        <v>4.2547183013289001</v>
      </c>
      <c r="AG1199">
        <v>-1.12069975540199</v>
      </c>
      <c r="AH1199">
        <v>34.149626906445803</v>
      </c>
      <c r="AI1199">
        <v>91.865209655934606</v>
      </c>
      <c r="AJ1199">
        <v>82.898087777320299</v>
      </c>
      <c r="AK1199">
        <v>34.431898199414903</v>
      </c>
      <c r="AL1199">
        <v>95.405400357508</v>
      </c>
      <c r="AM1199">
        <v>87.027691986379693</v>
      </c>
      <c r="AN1199">
        <v>1.0000000146814001</v>
      </c>
    </row>
    <row r="1200" spans="1:40" x14ac:dyDescent="0.25">
      <c r="A1200" t="str">
        <f>"20190303154750779"</f>
        <v>20190303154750779</v>
      </c>
      <c r="B1200" t="str">
        <f>"1551599270772125"</f>
        <v>1551599270772125</v>
      </c>
      <c r="C1200" t="s">
        <v>40</v>
      </c>
      <c r="D1200">
        <v>4.6546130000000003</v>
      </c>
      <c r="E1200">
        <v>0.52679529999999997</v>
      </c>
      <c r="F1200" t="s">
        <v>46</v>
      </c>
      <c r="G1200">
        <v>-200.81469999999999</v>
      </c>
      <c r="H1200" s="1">
        <v>-2.0940269999999999E-6</v>
      </c>
      <c r="I1200">
        <v>363.53820000000002</v>
      </c>
      <c r="J1200">
        <v>-236.0308</v>
      </c>
      <c r="K1200">
        <v>1.1206959999999999</v>
      </c>
      <c r="L1200">
        <v>367.87169999999998</v>
      </c>
      <c r="M1200">
        <v>0.99990000000000001</v>
      </c>
      <c r="N1200">
        <v>-1.407715E-2</v>
      </c>
      <c r="O1200">
        <v>1.4337760000000001E-3</v>
      </c>
      <c r="P1200">
        <v>0.99283679999999996</v>
      </c>
      <c r="Q1200">
        <v>-0.1082641</v>
      </c>
      <c r="R1200">
        <v>-5.0539300000000002E-2</v>
      </c>
      <c r="S1200">
        <v>2.9927060000000001</v>
      </c>
      <c r="T1200">
        <v>-9.4838019999999995E-2</v>
      </c>
      <c r="U1200">
        <v>-0.3666992</v>
      </c>
      <c r="V1200">
        <v>5.195433E-2</v>
      </c>
      <c r="W1200">
        <v>-9.4282900000000003E-2</v>
      </c>
      <c r="X1200">
        <v>0.99418879999999998</v>
      </c>
      <c r="Y1200">
        <v>0.1229561</v>
      </c>
      <c r="Z1200">
        <v>-2.8346460000000001E-3</v>
      </c>
      <c r="AA1200">
        <v>0.99240799999999996</v>
      </c>
      <c r="AB1200">
        <v>28</v>
      </c>
      <c r="AC1200">
        <v>35.216099999999997</v>
      </c>
      <c r="AD1200">
        <v>-1.1206980940269999</v>
      </c>
      <c r="AE1200">
        <v>-4.3334999999999502</v>
      </c>
      <c r="AF1200">
        <v>4.3796233154166497</v>
      </c>
      <c r="AG1200">
        <v>-1.1206980940269999</v>
      </c>
      <c r="AH1200">
        <v>35.174758657212799</v>
      </c>
      <c r="AI1200">
        <v>91.810901887712205</v>
      </c>
      <c r="AJ1200">
        <v>82.902605685285593</v>
      </c>
      <c r="AK1200">
        <v>35.464076347708001</v>
      </c>
      <c r="AL1200">
        <v>95.410048059989094</v>
      </c>
      <c r="AM1200">
        <v>87.008557610081098</v>
      </c>
      <c r="AN1200">
        <v>0.99999994384179702</v>
      </c>
    </row>
    <row r="1201" spans="1:40" x14ac:dyDescent="0.25">
      <c r="A1201" t="str">
        <f>"20190303154750791"</f>
        <v>20190303154750791</v>
      </c>
      <c r="B1201" t="str">
        <f>"1551599270781885"</f>
        <v>1551599270781885</v>
      </c>
      <c r="C1201" t="s">
        <v>40</v>
      </c>
      <c r="D1201">
        <v>4.6133649999999999</v>
      </c>
      <c r="E1201">
        <v>0.52667739999999996</v>
      </c>
      <c r="F1201" t="s">
        <v>46</v>
      </c>
      <c r="G1201">
        <v>-199.77500000000001</v>
      </c>
      <c r="H1201" s="1">
        <v>-9.7313719999999998E-6</v>
      </c>
      <c r="I1201">
        <v>363.40690000000001</v>
      </c>
      <c r="J1201">
        <v>-235.89410000000001</v>
      </c>
      <c r="K1201">
        <v>1.1207</v>
      </c>
      <c r="L1201">
        <v>367.87189999999998</v>
      </c>
      <c r="M1201">
        <v>0.99989989999999995</v>
      </c>
      <c r="N1201">
        <v>-1.407574E-2</v>
      </c>
      <c r="O1201">
        <v>1.4206729999999999E-3</v>
      </c>
      <c r="P1201">
        <v>0.99280619999999997</v>
      </c>
      <c r="Q1201">
        <v>-0.1083041</v>
      </c>
      <c r="R1201">
        <v>-5.1051109999999997E-2</v>
      </c>
      <c r="S1201">
        <v>2.9928129999999999</v>
      </c>
      <c r="T1201">
        <v>-9.251094E-2</v>
      </c>
      <c r="U1201">
        <v>-0.36856080000000002</v>
      </c>
      <c r="V1201">
        <v>5.2453020000000003E-2</v>
      </c>
      <c r="W1201">
        <v>-9.4324749999999999E-2</v>
      </c>
      <c r="X1201">
        <v>0.99415869999999995</v>
      </c>
      <c r="Y1201">
        <v>0.1235502</v>
      </c>
      <c r="Z1201">
        <v>-2.7988620000000001E-3</v>
      </c>
      <c r="AA1201">
        <v>0.99233439999999995</v>
      </c>
      <c r="AB1201">
        <v>28</v>
      </c>
      <c r="AC1201">
        <v>36.119100000000003</v>
      </c>
      <c r="AD1201">
        <v>-1.120709731372</v>
      </c>
      <c r="AE1201">
        <v>-4.4649999999999697</v>
      </c>
      <c r="AF1201">
        <v>4.5120354406685497</v>
      </c>
      <c r="AG1201">
        <v>-1.120709731372</v>
      </c>
      <c r="AH1201">
        <v>36.078507922026397</v>
      </c>
      <c r="AI1201">
        <v>91.765467572277899</v>
      </c>
      <c r="AJ1201">
        <v>82.871509315613096</v>
      </c>
      <c r="AK1201">
        <v>36.376822126177601</v>
      </c>
      <c r="AL1201">
        <v>95.412456321402701</v>
      </c>
      <c r="AM1201">
        <v>86.979805518372899</v>
      </c>
      <c r="AN1201">
        <v>0.99999999927768601</v>
      </c>
    </row>
    <row r="1202" spans="1:40" x14ac:dyDescent="0.25">
      <c r="A1202" t="str">
        <f>"20190303154750804"</f>
        <v>20190303154750804</v>
      </c>
      <c r="B1202" t="str">
        <f>"1551599270801406"</f>
        <v>1551599270801406</v>
      </c>
      <c r="C1202" t="s">
        <v>40</v>
      </c>
      <c r="D1202">
        <v>4.7020289999999996</v>
      </c>
      <c r="E1202">
        <v>0.52452129999999997</v>
      </c>
      <c r="F1202" t="s">
        <v>46</v>
      </c>
      <c r="G1202">
        <v>-199.18719999999999</v>
      </c>
      <c r="H1202" s="1">
        <v>-9.5264159999999996E-6</v>
      </c>
      <c r="I1202">
        <v>363.3458</v>
      </c>
      <c r="J1202">
        <v>-235.73480000000001</v>
      </c>
      <c r="K1202">
        <v>1.1207</v>
      </c>
      <c r="L1202">
        <v>367.87200000000001</v>
      </c>
      <c r="M1202">
        <v>0.99990000000000001</v>
      </c>
      <c r="N1202">
        <v>-1.4074089999999999E-2</v>
      </c>
      <c r="O1202">
        <v>1.4050110000000001E-3</v>
      </c>
      <c r="P1202">
        <v>0.99281079999999999</v>
      </c>
      <c r="Q1202">
        <v>-0.1081744</v>
      </c>
      <c r="R1202">
        <v>-5.1233099999999997E-2</v>
      </c>
      <c r="S1202">
        <v>2.9927980000000001</v>
      </c>
      <c r="T1202">
        <v>-9.1373919999999997E-2</v>
      </c>
      <c r="U1202">
        <v>-0.36901859999999997</v>
      </c>
      <c r="V1202">
        <v>5.2619480000000003E-2</v>
      </c>
      <c r="W1202">
        <v>-9.4196619999999995E-2</v>
      </c>
      <c r="X1202">
        <v>0.99416210000000005</v>
      </c>
      <c r="Y1202">
        <v>0.1236864</v>
      </c>
      <c r="Z1202">
        <v>-2.777631E-3</v>
      </c>
      <c r="AA1202">
        <v>0.99231740000000002</v>
      </c>
      <c r="AB1202">
        <v>28</v>
      </c>
      <c r="AC1202">
        <v>36.547600000000003</v>
      </c>
      <c r="AD1202">
        <v>-1.1207095264160001</v>
      </c>
      <c r="AE1202">
        <v>-4.5261999999999603</v>
      </c>
      <c r="AF1202">
        <v>4.5733150477862798</v>
      </c>
      <c r="AG1202">
        <v>-1.1207095264160001</v>
      </c>
      <c r="AH1202">
        <v>36.507394418151897</v>
      </c>
      <c r="AI1202">
        <v>91.744694568417799</v>
      </c>
      <c r="AJ1202">
        <v>82.859700146627105</v>
      </c>
      <c r="AK1202">
        <v>36.809795538299497</v>
      </c>
      <c r="AL1202">
        <v>95.405081921530893</v>
      </c>
      <c r="AM1202">
        <v>86.9702490828941</v>
      </c>
      <c r="AN1202">
        <v>1.00000004698565</v>
      </c>
    </row>
    <row r="1203" spans="1:40" x14ac:dyDescent="0.25">
      <c r="A1203" t="str">
        <f>"20190303154750817"</f>
        <v>20190303154750817</v>
      </c>
      <c r="B1203" t="str">
        <f>"1551599270812142"</f>
        <v>1551599270812142</v>
      </c>
      <c r="C1203" t="s">
        <v>40</v>
      </c>
      <c r="D1203">
        <v>4.6598490000000004</v>
      </c>
      <c r="E1203">
        <v>0.52365090000000003</v>
      </c>
      <c r="F1203" t="s">
        <v>46</v>
      </c>
      <c r="G1203">
        <v>-204.19030000000001</v>
      </c>
      <c r="H1203" s="1">
        <v>-3.7578479999999999E-6</v>
      </c>
      <c r="I1203">
        <v>364.1574</v>
      </c>
      <c r="J1203">
        <v>-235.55950000000001</v>
      </c>
      <c r="K1203">
        <v>1.1207009999999999</v>
      </c>
      <c r="L1203">
        <v>367.8723</v>
      </c>
      <c r="M1203">
        <v>0.99990000000000001</v>
      </c>
      <c r="N1203">
        <v>-1.407222E-2</v>
      </c>
      <c r="O1203">
        <v>1.387505E-3</v>
      </c>
      <c r="P1203">
        <v>0.99278580000000005</v>
      </c>
      <c r="Q1203">
        <v>-0.10818709999999999</v>
      </c>
      <c r="R1203">
        <v>-5.1691059999999997E-2</v>
      </c>
      <c r="S1203">
        <v>2.991943</v>
      </c>
      <c r="T1203">
        <v>-0.1062968</v>
      </c>
      <c r="U1203">
        <v>-0.35232540000000001</v>
      </c>
      <c r="V1203">
        <v>5.3060030000000001E-2</v>
      </c>
      <c r="W1203">
        <v>-9.4211569999999994E-2</v>
      </c>
      <c r="X1203">
        <v>0.99413720000000005</v>
      </c>
      <c r="Y1203">
        <v>0.1182246</v>
      </c>
      <c r="Z1203">
        <v>-2.957005E-3</v>
      </c>
      <c r="AA1203">
        <v>0.99298240000000004</v>
      </c>
      <c r="AB1203">
        <v>28</v>
      </c>
      <c r="AC1203">
        <v>31.369199999999999</v>
      </c>
      <c r="AD1203">
        <v>-1.1207047578479901</v>
      </c>
      <c r="AE1203">
        <v>-3.7149000000000001</v>
      </c>
      <c r="AF1203">
        <v>3.7537008200975999</v>
      </c>
      <c r="AG1203">
        <v>-1.1207047578479901</v>
      </c>
      <c r="AH1203">
        <v>31.324586147361799</v>
      </c>
      <c r="AI1203">
        <v>92.034463548973093</v>
      </c>
      <c r="AJ1203">
        <v>83.1666923596148</v>
      </c>
      <c r="AK1203">
        <v>31.568591135883</v>
      </c>
      <c r="AL1203">
        <v>95.405942685225</v>
      </c>
      <c r="AM1203">
        <v>86.944854351679197</v>
      </c>
      <c r="AN1203">
        <v>0.99999997956465203</v>
      </c>
    </row>
    <row r="1204" spans="1:40" x14ac:dyDescent="0.25">
      <c r="A1204" t="str">
        <f>"20190303154750833"</f>
        <v>20190303154750833</v>
      </c>
      <c r="B1204" t="str">
        <f>"1551599270821901"</f>
        <v>1551599270821901</v>
      </c>
      <c r="C1204" t="s">
        <v>40</v>
      </c>
      <c r="D1204">
        <v>4.7055530000000001</v>
      </c>
      <c r="E1204">
        <v>0.52306509999999995</v>
      </c>
      <c r="F1204" t="s">
        <v>46</v>
      </c>
      <c r="G1204">
        <v>-205.86429999999999</v>
      </c>
      <c r="H1204" s="1">
        <v>-4.5075490000000003E-6</v>
      </c>
      <c r="I1204">
        <v>364.42970000000003</v>
      </c>
      <c r="J1204">
        <v>-235.3817</v>
      </c>
      <c r="K1204">
        <v>1.1207009999999999</v>
      </c>
      <c r="L1204">
        <v>367.8725</v>
      </c>
      <c r="M1204">
        <v>0.99990020000000002</v>
      </c>
      <c r="N1204">
        <v>-1.407037E-2</v>
      </c>
      <c r="O1204">
        <v>1.3699960000000001E-3</v>
      </c>
      <c r="P1204">
        <v>0.99279070000000003</v>
      </c>
      <c r="Q1204">
        <v>-0.10802970000000001</v>
      </c>
      <c r="R1204">
        <v>-5.1929400000000001E-2</v>
      </c>
      <c r="S1204">
        <v>2.9914399999999999</v>
      </c>
      <c r="T1204">
        <v>-0.11289780000000001</v>
      </c>
      <c r="U1204">
        <v>-0.34680179999999999</v>
      </c>
      <c r="V1204">
        <v>5.328099E-2</v>
      </c>
      <c r="W1204">
        <v>-9.4055910000000006E-2</v>
      </c>
      <c r="X1204">
        <v>0.99414009999999997</v>
      </c>
      <c r="Y1204">
        <v>0.116408</v>
      </c>
      <c r="Z1204">
        <v>-3.0429599999999999E-3</v>
      </c>
      <c r="AA1204">
        <v>0.99319679999999999</v>
      </c>
      <c r="AB1204">
        <v>28</v>
      </c>
      <c r="AC1204">
        <v>29.517399999999999</v>
      </c>
      <c r="AD1204">
        <v>-1.120705507549</v>
      </c>
      <c r="AE1204">
        <v>-3.4427999999999699</v>
      </c>
      <c r="AF1204">
        <v>3.47829268371903</v>
      </c>
      <c r="AG1204">
        <v>-1.120705507549</v>
      </c>
      <c r="AH1204">
        <v>29.470742127309698</v>
      </c>
      <c r="AI1204">
        <v>92.162781991284604</v>
      </c>
      <c r="AJ1204">
        <v>83.268789319816193</v>
      </c>
      <c r="AK1204">
        <v>29.696449995961601</v>
      </c>
      <c r="AL1204">
        <v>95.396984359878203</v>
      </c>
      <c r="AM1204">
        <v>86.932164871567693</v>
      </c>
      <c r="AN1204">
        <v>0.99999995826465804</v>
      </c>
    </row>
    <row r="1205" spans="1:40" x14ac:dyDescent="0.25">
      <c r="A1205" t="str">
        <f>"20190303154750853"</f>
        <v>20190303154750853</v>
      </c>
      <c r="B1205" t="str">
        <f>"1551599270841422"</f>
        <v>1551599270841422</v>
      </c>
      <c r="C1205" t="s">
        <v>40</v>
      </c>
      <c r="D1205">
        <v>4.6587399999999999</v>
      </c>
      <c r="E1205">
        <v>0.52193639999999997</v>
      </c>
      <c r="F1205" t="s">
        <v>46</v>
      </c>
      <c r="G1205">
        <v>-206.6087</v>
      </c>
      <c r="H1205" s="1">
        <v>-4.8220459999999997E-6</v>
      </c>
      <c r="I1205">
        <v>364.57530000000003</v>
      </c>
      <c r="J1205">
        <v>-235.1431</v>
      </c>
      <c r="K1205">
        <v>1.1206989999999999</v>
      </c>
      <c r="L1205">
        <v>367.87279999999998</v>
      </c>
      <c r="M1205">
        <v>0.99990020000000002</v>
      </c>
      <c r="N1205">
        <v>-1.406789E-2</v>
      </c>
      <c r="O1205">
        <v>1.3465910000000001E-3</v>
      </c>
      <c r="P1205">
        <v>0.99279209999999996</v>
      </c>
      <c r="Q1205">
        <v>-0.1079455</v>
      </c>
      <c r="R1205">
        <v>-5.2074519999999999E-2</v>
      </c>
      <c r="S1205">
        <v>2.9911650000000001</v>
      </c>
      <c r="T1205">
        <v>-0.1165059</v>
      </c>
      <c r="U1205">
        <v>-0.34277340000000001</v>
      </c>
      <c r="V1205">
        <v>5.3403069999999997E-2</v>
      </c>
      <c r="W1205">
        <v>-9.3974150000000006E-2</v>
      </c>
      <c r="X1205">
        <v>0.99414130000000001</v>
      </c>
      <c r="Y1205">
        <v>0.11507000000000001</v>
      </c>
      <c r="Z1205">
        <v>-3.0787129999999998E-3</v>
      </c>
      <c r="AA1205">
        <v>0.99335260000000003</v>
      </c>
      <c r="AB1205">
        <v>28</v>
      </c>
      <c r="AC1205">
        <v>28.534400000000002</v>
      </c>
      <c r="AD1205">
        <v>-1.1207038220459999</v>
      </c>
      <c r="AE1205">
        <v>-3.2974999999999501</v>
      </c>
      <c r="AF1205">
        <v>3.3308546204321998</v>
      </c>
      <c r="AG1205">
        <v>-1.1207038220459999</v>
      </c>
      <c r="AH1205">
        <v>28.4865699420853</v>
      </c>
      <c r="AI1205">
        <v>92.237709553483498</v>
      </c>
      <c r="AJ1205">
        <v>83.330848863668294</v>
      </c>
      <c r="AK1205">
        <v>28.702530143256102</v>
      </c>
      <c r="AL1205">
        <v>95.392278916788996</v>
      </c>
      <c r="AM1205">
        <v>86.925152875900295</v>
      </c>
      <c r="AN1205">
        <v>0.99999997655966799</v>
      </c>
    </row>
    <row r="1206" spans="1:40" x14ac:dyDescent="0.25">
      <c r="A1206" t="str">
        <f>"20190303154750867"</f>
        <v>20190303154750867</v>
      </c>
      <c r="B1206" t="str">
        <f>"1551599270861917"</f>
        <v>1551599270861917</v>
      </c>
      <c r="C1206" t="s">
        <v>40</v>
      </c>
      <c r="D1206">
        <v>4.6091629999999997</v>
      </c>
      <c r="E1206">
        <v>0.52109039999999995</v>
      </c>
      <c r="F1206" t="s">
        <v>46</v>
      </c>
      <c r="G1206">
        <v>-207.78380000000001</v>
      </c>
      <c r="H1206" s="1">
        <v>-5.2932700000000002E-6</v>
      </c>
      <c r="I1206">
        <v>364.8141</v>
      </c>
      <c r="J1206">
        <v>-234.9598</v>
      </c>
      <c r="K1206">
        <v>1.1206989999999999</v>
      </c>
      <c r="L1206">
        <v>367.87299999999999</v>
      </c>
      <c r="M1206">
        <v>0.99990020000000002</v>
      </c>
      <c r="N1206">
        <v>-1.406598E-2</v>
      </c>
      <c r="O1206">
        <v>1.3286029999999901E-3</v>
      </c>
      <c r="P1206">
        <v>0.99278339999999998</v>
      </c>
      <c r="Q1206">
        <v>-0.1079754</v>
      </c>
      <c r="R1206">
        <v>-5.2181039999999998E-2</v>
      </c>
      <c r="S1206">
        <v>2.990936</v>
      </c>
      <c r="T1206">
        <v>-0.12251620000000001</v>
      </c>
      <c r="U1206">
        <v>-0.33438109999999999</v>
      </c>
      <c r="V1206">
        <v>5.3491509999999999E-2</v>
      </c>
      <c r="W1206">
        <v>-9.4006119999999999E-2</v>
      </c>
      <c r="X1206">
        <v>0.9941335</v>
      </c>
      <c r="Y1206">
        <v>0.1123006</v>
      </c>
      <c r="Z1206">
        <v>-3.1203089999999999E-3</v>
      </c>
      <c r="AA1206">
        <v>0.99366940000000004</v>
      </c>
      <c r="AB1206">
        <v>28</v>
      </c>
      <c r="AC1206">
        <v>27.175999999999899</v>
      </c>
      <c r="AD1206">
        <v>-1.12070429327</v>
      </c>
      <c r="AE1206">
        <v>-3.0589000000000501</v>
      </c>
      <c r="AF1206">
        <v>3.08981807616478</v>
      </c>
      <c r="AG1206">
        <v>-1.12070429327</v>
      </c>
      <c r="AH1206">
        <v>27.126356681497001</v>
      </c>
      <c r="AI1206">
        <v>92.350602761638996</v>
      </c>
      <c r="AJ1206">
        <v>83.5017512374625</v>
      </c>
      <c r="AK1206">
        <v>27.324753990997699</v>
      </c>
      <c r="AL1206">
        <v>95.394118929747705</v>
      </c>
      <c r="AM1206">
        <v>86.920046346192905</v>
      </c>
      <c r="AN1206">
        <v>0.99999995403089104</v>
      </c>
    </row>
    <row r="1207" spans="1:40" x14ac:dyDescent="0.25">
      <c r="A1207" t="str">
        <f>"20190303154750881"</f>
        <v>20190303154750881</v>
      </c>
      <c r="B1207" t="str">
        <f>"1551599270871678"</f>
        <v>1551599270871678</v>
      </c>
      <c r="C1207" t="s">
        <v>40</v>
      </c>
      <c r="D1207">
        <v>4.6007089999999904</v>
      </c>
      <c r="E1207">
        <v>0.52082629999999996</v>
      </c>
      <c r="F1207" t="s">
        <v>46</v>
      </c>
      <c r="G1207">
        <v>-208.6678</v>
      </c>
      <c r="H1207" s="1">
        <v>-5.5615110000000001E-6</v>
      </c>
      <c r="I1207">
        <v>364.9914</v>
      </c>
      <c r="J1207">
        <v>-234.79130000000001</v>
      </c>
      <c r="K1207">
        <v>1.1207009999999999</v>
      </c>
      <c r="L1207">
        <v>367.87329999999997</v>
      </c>
      <c r="M1207">
        <v>0.99990029999999996</v>
      </c>
      <c r="N1207">
        <v>-1.406424E-2</v>
      </c>
      <c r="O1207">
        <v>1.312281E-3</v>
      </c>
      <c r="P1207">
        <v>0.99278809999999995</v>
      </c>
      <c r="Q1207">
        <v>-0.10795250000000001</v>
      </c>
      <c r="R1207">
        <v>-5.2137830000000003E-2</v>
      </c>
      <c r="S1207">
        <v>2.9906920000000001</v>
      </c>
      <c r="T1207">
        <v>-0.12747919999999999</v>
      </c>
      <c r="U1207">
        <v>-0.32778930000000001</v>
      </c>
      <c r="V1207">
        <v>5.3432149999999998E-2</v>
      </c>
      <c r="W1207">
        <v>-9.3984830000000005E-2</v>
      </c>
      <c r="X1207">
        <v>0.99413879999999999</v>
      </c>
      <c r="Y1207">
        <v>0.1101229</v>
      </c>
      <c r="Z1207">
        <v>-3.1535140000000001E-3</v>
      </c>
      <c r="AA1207">
        <v>0.99391300000000005</v>
      </c>
      <c r="AB1207">
        <v>28</v>
      </c>
      <c r="AC1207">
        <v>26.1235</v>
      </c>
      <c r="AD1207">
        <v>-1.1207065615109999</v>
      </c>
      <c r="AE1207">
        <v>-2.8818999999999702</v>
      </c>
      <c r="AF1207">
        <v>2.9108893842981698</v>
      </c>
      <c r="AG1207">
        <v>-1.1207065615109999</v>
      </c>
      <c r="AH1207">
        <v>26.0722878010492</v>
      </c>
      <c r="AI1207">
        <v>92.446140591162404</v>
      </c>
      <c r="AJ1207">
        <v>83.629487542007993</v>
      </c>
      <c r="AK1207">
        <v>26.258207314768701</v>
      </c>
      <c r="AL1207">
        <v>95.392893168034604</v>
      </c>
      <c r="AM1207">
        <v>86.923473998700103</v>
      </c>
      <c r="AN1207">
        <v>1.0000000482945901</v>
      </c>
    </row>
    <row r="1208" spans="1:40" x14ac:dyDescent="0.25">
      <c r="A1208" t="str">
        <f>"20190303154750892"</f>
        <v>20190303154750892</v>
      </c>
      <c r="B1208" t="str">
        <f>"1551599270881438"</f>
        <v>1551599270881438</v>
      </c>
      <c r="C1208" t="s">
        <v>40</v>
      </c>
      <c r="D1208">
        <v>4.6158190000000001</v>
      </c>
      <c r="E1208">
        <v>0.52060070000000003</v>
      </c>
      <c r="F1208" t="s">
        <v>46</v>
      </c>
      <c r="G1208">
        <v>-208.8802</v>
      </c>
      <c r="H1208" s="1">
        <v>-5.622755E-6</v>
      </c>
      <c r="I1208">
        <v>365.05439999999999</v>
      </c>
      <c r="J1208">
        <v>-234.65360000000001</v>
      </c>
      <c r="K1208">
        <v>1.1207009999999999</v>
      </c>
      <c r="L1208">
        <v>367.8734</v>
      </c>
      <c r="M1208">
        <v>0.99990040000000002</v>
      </c>
      <c r="N1208">
        <v>-1.406281E-2</v>
      </c>
      <c r="O1208">
        <v>1.2989399999999999E-3</v>
      </c>
      <c r="P1208">
        <v>0.99278770000000005</v>
      </c>
      <c r="Q1208">
        <v>-0.10802150000000001</v>
      </c>
      <c r="R1208">
        <v>-5.2001230000000002E-2</v>
      </c>
      <c r="S1208">
        <v>2.9906619999999999</v>
      </c>
      <c r="T1208">
        <v>-0.1293521</v>
      </c>
      <c r="U1208">
        <v>-0.32534790000000002</v>
      </c>
      <c r="V1208">
        <v>5.3282379999999997E-2</v>
      </c>
      <c r="W1208">
        <v>-9.4055219999999995E-2</v>
      </c>
      <c r="X1208">
        <v>0.99414009999999997</v>
      </c>
      <c r="Y1208">
        <v>0.1093065</v>
      </c>
      <c r="Z1208">
        <v>-3.1649500000000001E-3</v>
      </c>
      <c r="AA1208">
        <v>0.99400310000000003</v>
      </c>
      <c r="AB1208">
        <v>28</v>
      </c>
      <c r="AC1208">
        <v>25.773399999999999</v>
      </c>
      <c r="AD1208">
        <v>-1.120706622755</v>
      </c>
      <c r="AE1208">
        <v>-2.8190000000000102</v>
      </c>
      <c r="AF1208">
        <v>2.8471593235730399</v>
      </c>
      <c r="AG1208">
        <v>-1.120706622755</v>
      </c>
      <c r="AH1208">
        <v>25.721657184422199</v>
      </c>
      <c r="AI1208">
        <v>92.479704423843501</v>
      </c>
      <c r="AJ1208">
        <v>83.683578987006001</v>
      </c>
      <c r="AK1208">
        <v>25.9030104015158</v>
      </c>
      <c r="AL1208">
        <v>95.396944600151599</v>
      </c>
      <c r="AM1208">
        <v>86.932084990453106</v>
      </c>
      <c r="AN1208">
        <v>0.99999996742786001</v>
      </c>
    </row>
    <row r="1209" spans="1:40" x14ac:dyDescent="0.25">
      <c r="A1209" t="str">
        <f>"20190303154750903"</f>
        <v>20190303154750903</v>
      </c>
      <c r="B1209" t="str">
        <f>"1551599270901934"</f>
        <v>1551599270901934</v>
      </c>
      <c r="C1209" t="s">
        <v>40</v>
      </c>
      <c r="D1209">
        <v>4.5950129999999998</v>
      </c>
      <c r="E1209">
        <v>0.52011419999999997</v>
      </c>
      <c r="F1209" t="s">
        <v>46</v>
      </c>
      <c r="G1209">
        <v>-209.15260000000001</v>
      </c>
      <c r="H1209" s="1">
        <v>-5.7042329999999998E-6</v>
      </c>
      <c r="I1209">
        <v>365.11660000000001</v>
      </c>
      <c r="J1209">
        <v>-234.50739999999999</v>
      </c>
      <c r="K1209">
        <v>1.1207020000000001</v>
      </c>
      <c r="L1209">
        <v>367.87360000000001</v>
      </c>
      <c r="M1209">
        <v>0.99990029999999996</v>
      </c>
      <c r="N1209">
        <v>-1.4061300000000001E-2</v>
      </c>
      <c r="O1209">
        <v>1.285006E-3</v>
      </c>
      <c r="P1209">
        <v>0.99277969999999904</v>
      </c>
      <c r="Q1209">
        <v>-0.108152399999999</v>
      </c>
      <c r="R1209">
        <v>-5.1881950000000003E-2</v>
      </c>
      <c r="S1209">
        <v>2.9905400000000002</v>
      </c>
      <c r="T1209">
        <v>-0.13142679999999901</v>
      </c>
      <c r="U1209">
        <v>-0.32330320000000001</v>
      </c>
      <c r="V1209">
        <v>5.3149109999999999E-2</v>
      </c>
      <c r="W1209">
        <v>-9.4187800000000002E-2</v>
      </c>
      <c r="X1209">
        <v>0.99413470000000004</v>
      </c>
      <c r="Y1209">
        <v>0.1086223</v>
      </c>
      <c r="Z1209">
        <v>-3.183464E-3</v>
      </c>
      <c r="AA1209">
        <v>0.99407800000000002</v>
      </c>
      <c r="AB1209">
        <v>28</v>
      </c>
      <c r="AC1209">
        <v>25.354799999999901</v>
      </c>
      <c r="AD1209">
        <v>-1.120707704233</v>
      </c>
      <c r="AE1209">
        <v>-2.7570000000000001</v>
      </c>
      <c r="AF1209">
        <v>2.7842059954338199</v>
      </c>
      <c r="AG1209">
        <v>-1.120707704233</v>
      </c>
      <c r="AH1209">
        <v>25.302379618450001</v>
      </c>
      <c r="AI1209">
        <v>92.520924140437302</v>
      </c>
      <c r="AJ1209">
        <v>83.7205889103858</v>
      </c>
      <c r="AK1209">
        <v>25.4797606570291</v>
      </c>
      <c r="AL1209">
        <v>95.404574648442306</v>
      </c>
      <c r="AM1209">
        <v>86.939727270791096</v>
      </c>
      <c r="AN1209">
        <v>0.99999998565336001</v>
      </c>
    </row>
    <row r="1210" spans="1:40" x14ac:dyDescent="0.25">
      <c r="A1210" t="str">
        <f>"20190303154750917"</f>
        <v>20190303154750917</v>
      </c>
      <c r="B1210" t="str">
        <f>"1551599270911693"</f>
        <v>1551599270911693</v>
      </c>
      <c r="C1210" t="s">
        <v>40</v>
      </c>
      <c r="D1210">
        <v>4.5930780000000002</v>
      </c>
      <c r="E1210">
        <v>0.51988659999999998</v>
      </c>
      <c r="F1210" t="s">
        <v>46</v>
      </c>
      <c r="G1210">
        <v>-209.76519999999999</v>
      </c>
      <c r="H1210" s="1">
        <v>-5.8908800000000001E-6</v>
      </c>
      <c r="I1210">
        <v>365.23439999999999</v>
      </c>
      <c r="J1210">
        <v>-234.3322</v>
      </c>
      <c r="K1210">
        <v>1.1207069999999999</v>
      </c>
      <c r="L1210">
        <v>367.87380000000002</v>
      </c>
      <c r="M1210">
        <v>0.99990040000000002</v>
      </c>
      <c r="N1210">
        <v>-1.4059469999999999E-2</v>
      </c>
      <c r="O1210">
        <v>1.2675E-3</v>
      </c>
      <c r="P1210">
        <v>0.99278650000000002</v>
      </c>
      <c r="Q1210">
        <v>-0.1082128</v>
      </c>
      <c r="R1210">
        <v>-5.1625549999999999E-2</v>
      </c>
      <c r="S1210">
        <v>2.9903870000000001</v>
      </c>
      <c r="T1210">
        <v>-0.1354506</v>
      </c>
      <c r="U1210">
        <v>-0.31896970000000002</v>
      </c>
      <c r="V1210">
        <v>5.2875569999999997E-2</v>
      </c>
      <c r="W1210">
        <v>-9.4249780000000005E-2</v>
      </c>
      <c r="X1210">
        <v>0.99414340000000001</v>
      </c>
      <c r="Y1210">
        <v>0.107180399999999</v>
      </c>
      <c r="Z1210">
        <v>-3.214869E-3</v>
      </c>
      <c r="AA1210">
        <v>0.99423439999999996</v>
      </c>
      <c r="AB1210">
        <v>27</v>
      </c>
      <c r="AC1210">
        <v>24.567</v>
      </c>
      <c r="AD1210">
        <v>-1.1207128908799999</v>
      </c>
      <c r="AE1210">
        <v>-2.6394000000000202</v>
      </c>
      <c r="AF1210">
        <v>2.6650567738410098</v>
      </c>
      <c r="AG1210">
        <v>-1.1207128908799999</v>
      </c>
      <c r="AH1210">
        <v>24.5132031712002</v>
      </c>
      <c r="AI1210">
        <v>92.602355037196105</v>
      </c>
      <c r="AJ1210">
        <v>83.795216503502303</v>
      </c>
      <c r="AK1210">
        <v>24.683104640707601</v>
      </c>
      <c r="AL1210">
        <v>95.408141775668796</v>
      </c>
      <c r="AM1210">
        <v>86.955474316942997</v>
      </c>
      <c r="AN1210">
        <v>0.999999973348216</v>
      </c>
    </row>
    <row r="1211" spans="1:40" x14ac:dyDescent="0.25">
      <c r="A1211" t="str">
        <f>"20190303154750930"</f>
        <v>20190303154750930</v>
      </c>
      <c r="B1211" t="str">
        <f>"1551599270921453"</f>
        <v>1551599270921453</v>
      </c>
      <c r="C1211" t="s">
        <v>40</v>
      </c>
      <c r="D1211">
        <v>4.5770770000000001</v>
      </c>
      <c r="E1211">
        <v>0.51968040000000004</v>
      </c>
      <c r="F1211" t="s">
        <v>46</v>
      </c>
      <c r="G1211">
        <v>-209.916</v>
      </c>
      <c r="H1211" s="1">
        <v>-5.9328509999999997E-6</v>
      </c>
      <c r="I1211">
        <v>365.28879999999998</v>
      </c>
      <c r="J1211">
        <v>-234.18989999999999</v>
      </c>
      <c r="K1211">
        <v>1.120709</v>
      </c>
      <c r="L1211">
        <v>367.87389999999999</v>
      </c>
      <c r="M1211">
        <v>0.99990049999999997</v>
      </c>
      <c r="N1211">
        <v>-1.4057989999999999E-2</v>
      </c>
      <c r="O1211">
        <v>1.253327E-3</v>
      </c>
      <c r="P1211">
        <v>0.99276560000000003</v>
      </c>
      <c r="Q1211">
        <v>-0.108361</v>
      </c>
      <c r="R1211">
        <v>-5.1718119999999999E-2</v>
      </c>
      <c r="S1211">
        <v>2.9903870000000001</v>
      </c>
      <c r="T1211">
        <v>-0.13725979999999999</v>
      </c>
      <c r="U1211">
        <v>-0.31658940000000002</v>
      </c>
      <c r="V1211">
        <v>5.2954000000000001E-2</v>
      </c>
      <c r="W1211">
        <v>-9.4399700000000003E-2</v>
      </c>
      <c r="X1211">
        <v>0.99412500000000004</v>
      </c>
      <c r="Y1211">
        <v>0.1063814</v>
      </c>
      <c r="Z1211">
        <v>-3.2235580000000001E-3</v>
      </c>
      <c r="AA1211">
        <v>0.99432019999999999</v>
      </c>
      <c r="AB1211">
        <v>27</v>
      </c>
      <c r="AC1211">
        <v>24.273900000000001</v>
      </c>
      <c r="AD1211">
        <v>-1.120714932851</v>
      </c>
      <c r="AE1211">
        <v>-2.5851000000000099</v>
      </c>
      <c r="AF1211">
        <v>2.61002290447004</v>
      </c>
      <c r="AG1211">
        <v>-1.120714932851</v>
      </c>
      <c r="AH1211">
        <v>24.219592469422199</v>
      </c>
      <c r="AI1211">
        <v>92.634132201864702</v>
      </c>
      <c r="AJ1211">
        <v>83.849260616035806</v>
      </c>
      <c r="AK1211">
        <v>24.385587565352299</v>
      </c>
      <c r="AL1211">
        <v>95.416770032721999</v>
      </c>
      <c r="AM1211">
        <v>86.950910578568497</v>
      </c>
      <c r="AN1211">
        <v>0.99999997255054396</v>
      </c>
    </row>
    <row r="1212" spans="1:40" x14ac:dyDescent="0.25">
      <c r="A1212" t="str">
        <f>"20190303154750941"</f>
        <v>20190303154750941</v>
      </c>
      <c r="B1212" t="str">
        <f>"1551599270931214"</f>
        <v>1551599270931214</v>
      </c>
      <c r="C1212" t="s">
        <v>40</v>
      </c>
      <c r="D1212">
        <v>4.5998669999999997</v>
      </c>
      <c r="E1212">
        <v>0.51953479999999996</v>
      </c>
      <c r="F1212" t="s">
        <v>41</v>
      </c>
      <c r="G1212">
        <v>-210.04900000000001</v>
      </c>
      <c r="H1212" s="1">
        <v>-5.0117419999999997E-6</v>
      </c>
      <c r="I1212">
        <v>365.32940000000002</v>
      </c>
      <c r="J1212">
        <v>-234.04349999999999</v>
      </c>
      <c r="K1212">
        <v>1.120709</v>
      </c>
      <c r="L1212">
        <v>367.8741</v>
      </c>
      <c r="M1212">
        <v>0.99990049999999997</v>
      </c>
      <c r="N1212">
        <v>-1.405646E-2</v>
      </c>
      <c r="O1212">
        <v>1.2390350000000001E-3</v>
      </c>
      <c r="P1212">
        <v>0.99279110000000004</v>
      </c>
      <c r="Q1212">
        <v>-0.10812239999999999</v>
      </c>
      <c r="R1212">
        <v>-5.1725050000000002E-2</v>
      </c>
      <c r="S1212">
        <v>2.9902950000000001</v>
      </c>
      <c r="T1212">
        <v>-0.13882030000000001</v>
      </c>
      <c r="U1212">
        <v>-0.31518550000000001</v>
      </c>
      <c r="V1212">
        <v>5.2946819999999999E-2</v>
      </c>
      <c r="W1212">
        <v>-9.4162330000000002E-2</v>
      </c>
      <c r="X1212">
        <v>0.99414789999999997</v>
      </c>
      <c r="Y1212">
        <v>0.105906399999999</v>
      </c>
      <c r="Z1212">
        <v>-3.2370950000000002E-3</v>
      </c>
      <c r="AA1212">
        <v>0.9943708</v>
      </c>
      <c r="AB1212">
        <v>27</v>
      </c>
      <c r="AC1212">
        <v>23.994499999999899</v>
      </c>
      <c r="AD1212">
        <v>-1.120714011742</v>
      </c>
      <c r="AE1212">
        <v>-2.54469999999997</v>
      </c>
      <c r="AF1212">
        <v>2.5688891648197201</v>
      </c>
      <c r="AG1212">
        <v>-1.120714011742</v>
      </c>
      <c r="AH1212">
        <v>23.939683422331498</v>
      </c>
      <c r="AI1212">
        <v>92.665014459496703</v>
      </c>
      <c r="AJ1212">
        <v>83.875213886785801</v>
      </c>
      <c r="AK1212">
        <v>24.1031872124559</v>
      </c>
      <c r="AL1212">
        <v>95.403108848409204</v>
      </c>
      <c r="AM1212">
        <v>86.951393315958001</v>
      </c>
      <c r="AN1212">
        <v>0.99999997860677503</v>
      </c>
    </row>
    <row r="1213" spans="1:40" x14ac:dyDescent="0.25">
      <c r="A1213" t="str">
        <f>"20190303154750953"</f>
        <v>20190303154750953</v>
      </c>
      <c r="B1213" t="str">
        <f>"1551599270941950"</f>
        <v>1551599270941950</v>
      </c>
      <c r="C1213" t="s">
        <v>40</v>
      </c>
      <c r="D1213">
        <v>4.5966529999999999</v>
      </c>
      <c r="E1213">
        <v>0.51942319999999997</v>
      </c>
      <c r="F1213" t="s">
        <v>41</v>
      </c>
      <c r="G1213">
        <v>-210.02459999999999</v>
      </c>
      <c r="H1213" s="1">
        <v>-5.0180269999999998E-6</v>
      </c>
      <c r="I1213">
        <v>365.35289999999998</v>
      </c>
      <c r="J1213">
        <v>-233.89169999999999</v>
      </c>
      <c r="K1213">
        <v>1.1207039999999999</v>
      </c>
      <c r="L1213">
        <v>367.87430000000001</v>
      </c>
      <c r="M1213">
        <v>0.99990060000000003</v>
      </c>
      <c r="N1213">
        <v>-1.405489E-2</v>
      </c>
      <c r="O1213">
        <v>1.223909E-3</v>
      </c>
      <c r="P1213">
        <v>0.992811</v>
      </c>
      <c r="Q1213">
        <v>-0.10793129999999999</v>
      </c>
      <c r="R1213">
        <v>-5.174173E-2</v>
      </c>
      <c r="S1213">
        <v>2.9902039999999999</v>
      </c>
      <c r="T1213">
        <v>-0.13952139999999999</v>
      </c>
      <c r="U1213">
        <v>-0.31387330000000002</v>
      </c>
      <c r="V1213">
        <v>5.2948519999999999E-2</v>
      </c>
      <c r="W1213">
        <v>-9.39725E-2</v>
      </c>
      <c r="X1213">
        <v>0.99416579999999999</v>
      </c>
      <c r="Y1213">
        <v>0.10546229999999999</v>
      </c>
      <c r="Z1213">
        <v>-3.2358320000000001E-3</v>
      </c>
      <c r="AA1213">
        <v>0.99441800000000002</v>
      </c>
      <c r="AB1213">
        <v>27</v>
      </c>
      <c r="AC1213">
        <v>23.867099999999901</v>
      </c>
      <c r="AD1213">
        <v>-1.1207090180270001</v>
      </c>
      <c r="AE1213">
        <v>-2.5214000000000198</v>
      </c>
      <c r="AF1213">
        <v>2.5450625120530002</v>
      </c>
      <c r="AG1213">
        <v>-1.1207090180270001</v>
      </c>
      <c r="AH1213">
        <v>23.8120724044404</v>
      </c>
      <c r="AI1213">
        <v>92.679384377932607</v>
      </c>
      <c r="AJ1213">
        <v>83.899319405930896</v>
      </c>
      <c r="AK1213">
        <v>23.973905065459299</v>
      </c>
      <c r="AL1213">
        <v>95.392183792782006</v>
      </c>
      <c r="AM1213">
        <v>86.951350405406203</v>
      </c>
      <c r="AN1213">
        <v>1.0000000072080399</v>
      </c>
    </row>
    <row r="1214" spans="1:40" x14ac:dyDescent="0.25">
      <c r="A1214" t="str">
        <f>"20190303154750965"</f>
        <v>20190303154750965</v>
      </c>
      <c r="B1214" t="str">
        <f>"1551599270961469"</f>
        <v>1551599270961469</v>
      </c>
      <c r="C1214" t="s">
        <v>40</v>
      </c>
      <c r="D1214">
        <v>4.6217009999999998</v>
      </c>
      <c r="E1214">
        <v>0.51927069999999997</v>
      </c>
      <c r="F1214" t="s">
        <v>46</v>
      </c>
      <c r="G1214">
        <v>-209.9469</v>
      </c>
      <c r="H1214" s="1">
        <v>-5.9308219999999901E-6</v>
      </c>
      <c r="I1214">
        <v>365.3682</v>
      </c>
      <c r="J1214">
        <v>-233.75720000000001</v>
      </c>
      <c r="K1214">
        <v>1.1207049999999901</v>
      </c>
      <c r="L1214">
        <v>367.87450000000001</v>
      </c>
      <c r="M1214">
        <v>0.99990060000000003</v>
      </c>
      <c r="N1214">
        <v>-1.405348E-2</v>
      </c>
      <c r="O1214">
        <v>1.2109250000000001E-3</v>
      </c>
      <c r="P1214">
        <v>0.99279810000000002</v>
      </c>
      <c r="Q1214">
        <v>-0.10805629999999999</v>
      </c>
      <c r="R1214">
        <v>-5.1729379999999998E-2</v>
      </c>
      <c r="S1214">
        <v>2.9902039999999999</v>
      </c>
      <c r="T1214">
        <v>-0.1399531</v>
      </c>
      <c r="U1214">
        <v>-0.31295780000000001</v>
      </c>
      <c r="V1214">
        <v>5.2923280000000003E-2</v>
      </c>
      <c r="W1214">
        <v>-9.4098989999999993E-2</v>
      </c>
      <c r="X1214">
        <v>0.99415520000000002</v>
      </c>
      <c r="Y1214">
        <v>0.1051478</v>
      </c>
      <c r="Z1214">
        <v>-3.2335720000000001E-3</v>
      </c>
      <c r="AA1214">
        <v>0.99445130000000004</v>
      </c>
      <c r="AB1214">
        <v>27</v>
      </c>
      <c r="AC1214">
        <v>23.810300000000002</v>
      </c>
      <c r="AD1214">
        <v>-1.12071093082199</v>
      </c>
      <c r="AE1214">
        <v>-2.5063</v>
      </c>
      <c r="AF1214">
        <v>2.5295907832802902</v>
      </c>
      <c r="AG1214">
        <v>-1.12071093082199</v>
      </c>
      <c r="AH1214">
        <v>23.755196114078899</v>
      </c>
      <c r="AI1214">
        <v>92.685906591872893</v>
      </c>
      <c r="AJ1214">
        <v>83.921719023079604</v>
      </c>
      <c r="AK1214">
        <v>23.915772304896802</v>
      </c>
      <c r="AL1214">
        <v>95.399463282735098</v>
      </c>
      <c r="AM1214">
        <v>86.952768496012496</v>
      </c>
      <c r="AN1214">
        <v>1.0000000275859999</v>
      </c>
    </row>
    <row r="1215" spans="1:40" x14ac:dyDescent="0.25">
      <c r="A1215" t="str">
        <f>"20190303154750976"</f>
        <v>20190303154750976</v>
      </c>
      <c r="B1215" t="str">
        <f>"1551599270972205"</f>
        <v>1551599270972205</v>
      </c>
      <c r="C1215" t="s">
        <v>40</v>
      </c>
      <c r="D1215">
        <v>4.636609</v>
      </c>
      <c r="E1215">
        <v>0.51924219999999999</v>
      </c>
      <c r="F1215" t="s">
        <v>41</v>
      </c>
      <c r="G1215">
        <v>-210.28190000000001</v>
      </c>
      <c r="H1215" s="1">
        <v>-4.8944299999999997E-6</v>
      </c>
      <c r="I1215">
        <v>365.42739999999998</v>
      </c>
      <c r="J1215">
        <v>-233.61619999999999</v>
      </c>
      <c r="K1215">
        <v>1.120708</v>
      </c>
      <c r="L1215">
        <v>367.87459999999999</v>
      </c>
      <c r="M1215">
        <v>0.99990069999999998</v>
      </c>
      <c r="N1215">
        <v>-1.405201E-2</v>
      </c>
      <c r="O1215">
        <v>1.1971060000000001E-3</v>
      </c>
      <c r="P1215">
        <v>0.99280849999999998</v>
      </c>
      <c r="Q1215">
        <v>-0.10791439999999999</v>
      </c>
      <c r="R1215">
        <v>-5.1829970000000003E-2</v>
      </c>
      <c r="S1215">
        <v>2.990005</v>
      </c>
      <c r="T1215">
        <v>-0.14274229999999999</v>
      </c>
      <c r="U1215">
        <v>-0.31167600000000001</v>
      </c>
      <c r="V1215">
        <v>5.3009889999999997E-2</v>
      </c>
      <c r="W1215">
        <v>-9.3958399999999997E-2</v>
      </c>
      <c r="X1215">
        <v>0.99416389999999999</v>
      </c>
      <c r="Y1215">
        <v>0.1047145</v>
      </c>
      <c r="Z1215">
        <v>-3.269844E-3</v>
      </c>
      <c r="AA1215">
        <v>0.99449690000000002</v>
      </c>
      <c r="AB1215">
        <v>27</v>
      </c>
      <c r="AC1215">
        <v>23.334299999999899</v>
      </c>
      <c r="AD1215">
        <v>-1.12071289443</v>
      </c>
      <c r="AE1215">
        <v>-2.4472</v>
      </c>
      <c r="AF1215">
        <v>2.46950010267875</v>
      </c>
      <c r="AG1215">
        <v>-1.12071289443</v>
      </c>
      <c r="AH1215">
        <v>23.278240696801799</v>
      </c>
      <c r="AI1215">
        <v>92.740975652326298</v>
      </c>
      <c r="AJ1215">
        <v>83.9443579862929</v>
      </c>
      <c r="AK1215">
        <v>23.4356761815637</v>
      </c>
      <c r="AL1215">
        <v>95.391372129137693</v>
      </c>
      <c r="AM1215">
        <v>86.947817722129301</v>
      </c>
      <c r="AN1215">
        <v>1.00000004471579</v>
      </c>
    </row>
    <row r="1216" spans="1:40" x14ac:dyDescent="0.25">
      <c r="A1216" t="str">
        <f>"20190303154750987"</f>
        <v>20190303154750987</v>
      </c>
      <c r="B1216" t="str">
        <f>"1551599270981966"</f>
        <v>1551599270981966</v>
      </c>
      <c r="C1216" t="s">
        <v>40</v>
      </c>
      <c r="D1216">
        <v>4.6260029999999999</v>
      </c>
      <c r="E1216">
        <v>0.51918140000000002</v>
      </c>
      <c r="F1216" t="s">
        <v>41</v>
      </c>
      <c r="G1216">
        <v>-210.2373</v>
      </c>
      <c r="H1216" s="1">
        <v>-4.9121890000000001E-6</v>
      </c>
      <c r="I1216">
        <v>365.43509999999998</v>
      </c>
      <c r="J1216">
        <v>-233.4777</v>
      </c>
      <c r="K1216">
        <v>1.120716</v>
      </c>
      <c r="L1216">
        <v>367.87479999999999</v>
      </c>
      <c r="M1216">
        <v>0.99990060000000003</v>
      </c>
      <c r="N1216">
        <v>-1.405056E-2</v>
      </c>
      <c r="O1216">
        <v>1.183824E-3</v>
      </c>
      <c r="P1216">
        <v>0.99280539999999995</v>
      </c>
      <c r="Q1216">
        <v>-0.1078895</v>
      </c>
      <c r="R1216">
        <v>-5.1936030000000001E-2</v>
      </c>
      <c r="S1216">
        <v>2.989868</v>
      </c>
      <c r="T1216">
        <v>-0.14332490000000001</v>
      </c>
      <c r="U1216">
        <v>-0.31198120000000001</v>
      </c>
      <c r="V1216">
        <v>5.3102990000000003E-2</v>
      </c>
      <c r="W1216">
        <v>-9.3935030000000003E-2</v>
      </c>
      <c r="X1216">
        <v>0.99416110000000002</v>
      </c>
      <c r="Y1216">
        <v>0.1048052</v>
      </c>
      <c r="Z1216">
        <v>-3.2826270000000002E-3</v>
      </c>
      <c r="AA1216">
        <v>0.99448729999999996</v>
      </c>
      <c r="AB1216">
        <v>27</v>
      </c>
      <c r="AC1216">
        <v>23.240399999999902</v>
      </c>
      <c r="AD1216">
        <v>-1.1207209121890001</v>
      </c>
      <c r="AE1216">
        <v>-2.43970000000001</v>
      </c>
      <c r="AF1216">
        <v>2.4615517178006199</v>
      </c>
      <c r="AG1216">
        <v>-1.1207209121890001</v>
      </c>
      <c r="AH1216">
        <v>23.184169190822299</v>
      </c>
      <c r="AI1216">
        <v>92.752074694390103</v>
      </c>
      <c r="AJ1216">
        <v>83.939393874010406</v>
      </c>
      <c r="AK1216">
        <v>23.341399985671401</v>
      </c>
      <c r="AL1216">
        <v>95.390027392685994</v>
      </c>
      <c r="AM1216">
        <v>86.942458814536195</v>
      </c>
      <c r="AN1216">
        <v>1.0000000050806199</v>
      </c>
    </row>
    <row r="1217" spans="1:40" x14ac:dyDescent="0.25">
      <c r="A1217" t="str">
        <f>"20190303154750999"</f>
        <v>20190303154750999</v>
      </c>
      <c r="B1217" t="str">
        <f>"1551599270991725"</f>
        <v>1551599270991725</v>
      </c>
      <c r="C1217" t="s">
        <v>40</v>
      </c>
      <c r="D1217">
        <v>4.6583870000000003</v>
      </c>
      <c r="E1217">
        <v>0.51919759999999904</v>
      </c>
      <c r="F1217" t="s">
        <v>41</v>
      </c>
      <c r="G1217">
        <v>-210.26859999999999</v>
      </c>
      <c r="H1217" s="1">
        <v>-4.8951260000000002E-6</v>
      </c>
      <c r="I1217">
        <v>365.45549999999997</v>
      </c>
      <c r="J1217">
        <v>-233.3389</v>
      </c>
      <c r="K1217">
        <v>1.120717</v>
      </c>
      <c r="L1217">
        <v>367.87490000000003</v>
      </c>
      <c r="M1217">
        <v>0.99990060000000003</v>
      </c>
      <c r="N1217">
        <v>-1.404911E-2</v>
      </c>
      <c r="O1217">
        <v>1.170185E-3</v>
      </c>
      <c r="P1217">
        <v>0.99284939999999999</v>
      </c>
      <c r="Q1217">
        <v>-0.1074272</v>
      </c>
      <c r="R1217">
        <v>-5.2053629999999997E-2</v>
      </c>
      <c r="S1217">
        <v>2.9897610000000001</v>
      </c>
      <c r="T1217">
        <v>-0.14436959999999999</v>
      </c>
      <c r="U1217">
        <v>-0.31164550000000002</v>
      </c>
      <c r="V1217">
        <v>5.3207009999999999E-2</v>
      </c>
      <c r="W1217">
        <v>-9.3473639999999997E-2</v>
      </c>
      <c r="X1217">
        <v>0.99419900000000005</v>
      </c>
      <c r="Y1217">
        <v>0.104683</v>
      </c>
      <c r="Z1217">
        <v>-3.2970360000000002E-3</v>
      </c>
      <c r="AA1217">
        <v>0.99450019999999995</v>
      </c>
      <c r="AB1217">
        <v>27</v>
      </c>
      <c r="AC1217">
        <v>23.0703</v>
      </c>
      <c r="AD1217">
        <v>-1.1207218951260001</v>
      </c>
      <c r="AE1217">
        <v>-2.4194000000000502</v>
      </c>
      <c r="AF1217">
        <v>2.44070043239822</v>
      </c>
      <c r="AG1217">
        <v>-1.1207218951260001</v>
      </c>
      <c r="AH1217">
        <v>23.013734004503799</v>
      </c>
      <c r="AI1217">
        <v>92.772461542257503</v>
      </c>
      <c r="AJ1217">
        <v>83.946177751287706</v>
      </c>
      <c r="AK1217">
        <v>23.169915601852701</v>
      </c>
      <c r="AL1217">
        <v>95.363475001477795</v>
      </c>
      <c r="AM1217">
        <v>86.936597555309305</v>
      </c>
      <c r="AN1217">
        <v>0.99999997944449404</v>
      </c>
    </row>
    <row r="1218" spans="1:40" x14ac:dyDescent="0.25">
      <c r="A1218" t="str">
        <f>"20190303154751011"</f>
        <v>20190303154751011</v>
      </c>
      <c r="B1218" t="str">
        <f>"1551599271001486"</f>
        <v>1551599271001486</v>
      </c>
      <c r="C1218" t="s">
        <v>40</v>
      </c>
      <c r="D1218">
        <v>4.5947389999999997</v>
      </c>
      <c r="E1218">
        <v>0.51914870000000002</v>
      </c>
      <c r="F1218" t="s">
        <v>41</v>
      </c>
      <c r="G1218">
        <v>-209.98269999999999</v>
      </c>
      <c r="H1218" s="1">
        <v>-5.02124199999999E-6</v>
      </c>
      <c r="I1218">
        <v>365.43619999999999</v>
      </c>
      <c r="J1218">
        <v>-233.19739999999999</v>
      </c>
      <c r="K1218">
        <v>1.120722</v>
      </c>
      <c r="L1218">
        <v>367.87509999999997</v>
      </c>
      <c r="M1218">
        <v>0.99990069999999998</v>
      </c>
      <c r="N1218">
        <v>-1.404762E-2</v>
      </c>
      <c r="O1218">
        <v>1.155894E-3</v>
      </c>
      <c r="P1218">
        <v>0.99284810000000001</v>
      </c>
      <c r="Q1218">
        <v>-0.10741240000000001</v>
      </c>
      <c r="R1218">
        <v>-5.2107670000000002E-2</v>
      </c>
      <c r="S1218">
        <v>2.989716</v>
      </c>
      <c r="T1218">
        <v>-0.1434578</v>
      </c>
      <c r="U1218">
        <v>-0.31216430000000001</v>
      </c>
      <c r="V1218">
        <v>5.3247030000000001E-2</v>
      </c>
      <c r="W1218">
        <v>-9.3460310000000005E-2</v>
      </c>
      <c r="X1218">
        <v>0.99419809999999997</v>
      </c>
      <c r="Y1218">
        <v>0.10484259999999999</v>
      </c>
      <c r="Z1218">
        <v>-3.2851859999999998E-3</v>
      </c>
      <c r="AA1218">
        <v>0.99448340000000002</v>
      </c>
      <c r="AB1218">
        <v>27</v>
      </c>
      <c r="AC1218">
        <v>23.214700000000001</v>
      </c>
      <c r="AD1218">
        <v>-1.120727021242</v>
      </c>
      <c r="AE1218">
        <v>-2.4388999999999799</v>
      </c>
      <c r="AF1218">
        <v>2.4600638398757901</v>
      </c>
      <c r="AG1218">
        <v>-1.120727021242</v>
      </c>
      <c r="AH1218">
        <v>23.1584804471327</v>
      </c>
      <c r="AI1218">
        <v>92.755122287739098</v>
      </c>
      <c r="AJ1218">
        <v>83.936361231308695</v>
      </c>
      <c r="AK1218">
        <v>23.315727734141898</v>
      </c>
      <c r="AL1218">
        <v>95.362707947333803</v>
      </c>
      <c r="AM1218">
        <v>86.9342950208556</v>
      </c>
      <c r="AN1218">
        <v>0.999999968896363</v>
      </c>
    </row>
    <row r="1219" spans="1:40" x14ac:dyDescent="0.25">
      <c r="A1219" t="str">
        <f>"20190303154751024"</f>
        <v>20190303154751024</v>
      </c>
      <c r="B1219" t="str">
        <f>"1551599271021981"</f>
        <v>1551599271021981</v>
      </c>
      <c r="C1219" t="s">
        <v>40</v>
      </c>
      <c r="D1219">
        <v>4.629359</v>
      </c>
      <c r="E1219">
        <v>0.51910159999999905</v>
      </c>
      <c r="F1219" t="s">
        <v>41</v>
      </c>
      <c r="G1219">
        <v>-209.99350000000001</v>
      </c>
      <c r="H1219" s="1">
        <v>-5.01335E-6</v>
      </c>
      <c r="I1219">
        <v>365.4545</v>
      </c>
      <c r="J1219">
        <v>-233.03360000000001</v>
      </c>
      <c r="K1219">
        <v>1.1207180000000001</v>
      </c>
      <c r="L1219">
        <v>367.87520000000001</v>
      </c>
      <c r="M1219">
        <v>0.99990080000000003</v>
      </c>
      <c r="N1219">
        <v>-1.40459E-2</v>
      </c>
      <c r="O1219">
        <v>1.139756E-3</v>
      </c>
      <c r="P1219">
        <v>0.9928825</v>
      </c>
      <c r="Q1219">
        <v>-0.107155</v>
      </c>
      <c r="R1219">
        <v>-5.1984240000000001E-2</v>
      </c>
      <c r="S1219">
        <v>2.9896090000000002</v>
      </c>
      <c r="T1219">
        <v>-0.14439460000000001</v>
      </c>
      <c r="U1219">
        <v>-0.3118591</v>
      </c>
      <c r="V1219">
        <v>5.310753E-2</v>
      </c>
      <c r="W1219">
        <v>-9.3204090000000003E-2</v>
      </c>
      <c r="X1219">
        <v>0.99422969999999999</v>
      </c>
      <c r="Y1219">
        <v>0.1047281</v>
      </c>
      <c r="Z1219">
        <v>-3.2978080000000002E-3</v>
      </c>
      <c r="AA1219">
        <v>0.99449540000000003</v>
      </c>
      <c r="AB1219">
        <v>27</v>
      </c>
      <c r="AC1219">
        <v>23.040099999999899</v>
      </c>
      <c r="AD1219">
        <v>-1.1207230133499999</v>
      </c>
      <c r="AE1219">
        <v>-2.4207000000000098</v>
      </c>
      <c r="AF1219">
        <v>2.4412480050702201</v>
      </c>
      <c r="AG1219">
        <v>-1.1207230133499999</v>
      </c>
      <c r="AH1219">
        <v>22.983538788817601</v>
      </c>
      <c r="AI1219">
        <v>92.776053543852697</v>
      </c>
      <c r="AJ1219">
        <v>83.936933742051806</v>
      </c>
      <c r="AK1219">
        <v>23.139982004141601</v>
      </c>
      <c r="AL1219">
        <v>95.347962804211207</v>
      </c>
      <c r="AM1219">
        <v>86.942408490722798</v>
      </c>
      <c r="AN1219">
        <v>1.0000000542487499</v>
      </c>
    </row>
    <row r="1220" spans="1:40" x14ac:dyDescent="0.25">
      <c r="A1220" t="str">
        <f>"20190303154751036"</f>
        <v>20190303154751036</v>
      </c>
      <c r="B1220" t="str">
        <f>"1551599271031742"</f>
        <v>1551599271031742</v>
      </c>
      <c r="C1220" t="s">
        <v>40</v>
      </c>
      <c r="D1220">
        <v>4.6343730000000001</v>
      </c>
      <c r="E1220">
        <v>0.51900020000000002</v>
      </c>
      <c r="F1220" t="s">
        <v>46</v>
      </c>
      <c r="G1220">
        <v>-209.94239999999999</v>
      </c>
      <c r="H1220" s="1">
        <v>-5.9131759999999997E-6</v>
      </c>
      <c r="I1220">
        <v>365.47160000000002</v>
      </c>
      <c r="J1220">
        <v>-232.88890000000001</v>
      </c>
      <c r="K1220">
        <v>1.120719</v>
      </c>
      <c r="L1220">
        <v>367.87540000000001</v>
      </c>
      <c r="M1220">
        <v>0.99990089999999998</v>
      </c>
      <c r="N1220">
        <v>-1.404437E-2</v>
      </c>
      <c r="O1220">
        <v>1.125402E-3</v>
      </c>
      <c r="P1220">
        <v>0.99288259999999995</v>
      </c>
      <c r="Q1220">
        <v>-0.1071175</v>
      </c>
      <c r="R1220">
        <v>-5.2060380000000003E-2</v>
      </c>
      <c r="S1220">
        <v>2.9895320000000001</v>
      </c>
      <c r="T1220">
        <v>-0.14509629999999901</v>
      </c>
      <c r="U1220">
        <v>-0.31118770000000001</v>
      </c>
      <c r="V1220">
        <v>5.316949E-2</v>
      </c>
      <c r="W1220">
        <v>-9.3168210000000001E-2</v>
      </c>
      <c r="X1220">
        <v>0.99422969999999999</v>
      </c>
      <c r="Y1220">
        <v>0.1044945</v>
      </c>
      <c r="Z1220">
        <v>-3.3025329999999999E-3</v>
      </c>
      <c r="AA1220">
        <v>0.99451990000000001</v>
      </c>
      <c r="AB1220">
        <v>27</v>
      </c>
      <c r="AC1220">
        <v>22.9465</v>
      </c>
      <c r="AD1220">
        <v>-1.120724913176</v>
      </c>
      <c r="AE1220">
        <v>-2.40379999999998</v>
      </c>
      <c r="AF1220">
        <v>2.4239057834385398</v>
      </c>
      <c r="AG1220">
        <v>-1.120724913176</v>
      </c>
      <c r="AH1220">
        <v>22.889770898083299</v>
      </c>
      <c r="AI1220">
        <v>92.787506596628006</v>
      </c>
      <c r="AJ1220">
        <v>83.9552073535761</v>
      </c>
      <c r="AK1220">
        <v>23.045020185383699</v>
      </c>
      <c r="AL1220">
        <v>95.345898321126498</v>
      </c>
      <c r="AM1220">
        <v>86.938848011270693</v>
      </c>
      <c r="AN1220">
        <v>1.00000000319177</v>
      </c>
    </row>
    <row r="1221" spans="1:40" x14ac:dyDescent="0.25">
      <c r="A1221" t="str">
        <f>"20190303154751050"</f>
        <v>20190303154751050</v>
      </c>
      <c r="B1221" t="str">
        <f>"1551599271041501"</f>
        <v>1551599271041501</v>
      </c>
      <c r="C1221" t="s">
        <v>40</v>
      </c>
      <c r="D1221">
        <v>4.5440339999999999</v>
      </c>
      <c r="E1221">
        <v>0.51900020000000002</v>
      </c>
      <c r="F1221" t="s">
        <v>41</v>
      </c>
      <c r="G1221">
        <v>-209.9828</v>
      </c>
      <c r="H1221" s="1">
        <v>-5.0106890000000001E-6</v>
      </c>
      <c r="I1221">
        <v>365.49540000000002</v>
      </c>
      <c r="J1221">
        <v>-232.7244</v>
      </c>
      <c r="K1221">
        <v>1.120719</v>
      </c>
      <c r="L1221">
        <v>367.87549999999999</v>
      </c>
      <c r="M1221">
        <v>0.99990080000000003</v>
      </c>
      <c r="N1221">
        <v>-1.404262E-2</v>
      </c>
      <c r="O1221">
        <v>1.1092630000000001E-3</v>
      </c>
      <c r="P1221">
        <v>0.99291099999999999</v>
      </c>
      <c r="Q1221">
        <v>-0.1068978</v>
      </c>
      <c r="R1221">
        <v>-5.1966760000000001E-2</v>
      </c>
      <c r="S1221">
        <v>2.9894560000000001</v>
      </c>
      <c r="T1221">
        <v>-0.14626410000000001</v>
      </c>
      <c r="U1221">
        <v>-0.31060789999999999</v>
      </c>
      <c r="V1221">
        <v>5.3059870000000002E-2</v>
      </c>
      <c r="W1221">
        <v>-9.2949809999999994E-2</v>
      </c>
      <c r="X1221">
        <v>0.99425600000000003</v>
      </c>
      <c r="Y1221">
        <v>0.1042883</v>
      </c>
      <c r="Z1221">
        <v>-3.3162500000000002E-3</v>
      </c>
      <c r="AA1221">
        <v>0.99454160000000003</v>
      </c>
      <c r="AB1221">
        <v>27</v>
      </c>
      <c r="AC1221">
        <v>22.741599999999998</v>
      </c>
      <c r="AD1221">
        <v>-1.120724010689</v>
      </c>
      <c r="AE1221">
        <v>-2.3800999999999699</v>
      </c>
      <c r="AF1221">
        <v>2.3995630083206101</v>
      </c>
      <c r="AG1221">
        <v>-1.120724010689</v>
      </c>
      <c r="AH1221">
        <v>22.684451114791301</v>
      </c>
      <c r="AI1221">
        <v>92.812727763864999</v>
      </c>
      <c r="AJ1221">
        <v>83.961702854590996</v>
      </c>
      <c r="AK1221">
        <v>22.838525506660702</v>
      </c>
      <c r="AL1221">
        <v>95.333330374473206</v>
      </c>
      <c r="AM1221">
        <v>86.945227902482799</v>
      </c>
      <c r="AN1221">
        <v>1.00000000525972</v>
      </c>
    </row>
    <row r="1222" spans="1:40" x14ac:dyDescent="0.25">
      <c r="A1222" t="str">
        <f>"20190303154751065"</f>
        <v>20190303154751065</v>
      </c>
      <c r="B1222" t="str">
        <f>"1551599271061998"</f>
        <v>1551599271061998</v>
      </c>
      <c r="C1222" t="s">
        <v>40</v>
      </c>
      <c r="D1222">
        <v>4.5762489999999998</v>
      </c>
      <c r="E1222">
        <v>0.51775099999999996</v>
      </c>
      <c r="F1222" t="s">
        <v>46</v>
      </c>
      <c r="G1222">
        <v>-209.71969999999999</v>
      </c>
      <c r="H1222" s="1">
        <v>-5.836217E-6</v>
      </c>
      <c r="I1222">
        <v>365.48700000000002</v>
      </c>
      <c r="J1222">
        <v>-232.5333</v>
      </c>
      <c r="K1222">
        <v>1.120716</v>
      </c>
      <c r="L1222">
        <v>367.87569999999999</v>
      </c>
      <c r="M1222">
        <v>0.99990080000000003</v>
      </c>
      <c r="N1222">
        <v>-1.40406E-2</v>
      </c>
      <c r="O1222">
        <v>1.090384E-3</v>
      </c>
      <c r="P1222">
        <v>0.99293799999999999</v>
      </c>
      <c r="Q1222">
        <v>-0.10674119999999999</v>
      </c>
      <c r="R1222">
        <v>-5.1774920000000002E-2</v>
      </c>
      <c r="S1222">
        <v>2.989487</v>
      </c>
      <c r="T1222">
        <v>-0.1456394</v>
      </c>
      <c r="U1222">
        <v>-0.31039430000000001</v>
      </c>
      <c r="V1222">
        <v>5.2849189999999997E-2</v>
      </c>
      <c r="W1222">
        <v>-9.2794779999999993E-2</v>
      </c>
      <c r="X1222">
        <v>0.99428170000000005</v>
      </c>
      <c r="Y1222">
        <v>0.1041996</v>
      </c>
      <c r="Z1222">
        <v>-3.3016109999999999E-3</v>
      </c>
      <c r="AA1222">
        <v>0.99455090000000002</v>
      </c>
      <c r="AB1222">
        <v>27</v>
      </c>
      <c r="AC1222">
        <v>22.813600000000001</v>
      </c>
      <c r="AD1222">
        <v>-1.1207218362169999</v>
      </c>
      <c r="AE1222">
        <v>-2.38870000000002</v>
      </c>
      <c r="AF1222">
        <v>2.40782886142068</v>
      </c>
      <c r="AG1222">
        <v>-1.1207218362169999</v>
      </c>
      <c r="AH1222">
        <v>22.756658897409402</v>
      </c>
      <c r="AI1222">
        <v>92.803803621234707</v>
      </c>
      <c r="AJ1222">
        <v>83.960139929447905</v>
      </c>
      <c r="AK1222">
        <v>22.911114801185601</v>
      </c>
      <c r="AL1222">
        <v>95.324409262288398</v>
      </c>
      <c r="AM1222">
        <v>86.957412870410494</v>
      </c>
      <c r="AN1222">
        <v>1.0000000035168899</v>
      </c>
    </row>
    <row r="1223" spans="1:40" x14ac:dyDescent="0.25">
      <c r="A1223" t="str">
        <f>"20190303154751079"</f>
        <v>20190303154751079</v>
      </c>
      <c r="B1223" t="str">
        <f>"1551599271071758"</f>
        <v>1551599271071758</v>
      </c>
      <c r="C1223" t="s">
        <v>40</v>
      </c>
      <c r="D1223">
        <v>4.6076129999999997</v>
      </c>
      <c r="E1223">
        <v>0.51719589999999904</v>
      </c>
      <c r="F1223" t="s">
        <v>46</v>
      </c>
      <c r="G1223">
        <v>-208.98410000000001</v>
      </c>
      <c r="H1223" s="1">
        <v>-5.5858540000000002E-6</v>
      </c>
      <c r="I1223">
        <v>365.51339999999999</v>
      </c>
      <c r="J1223">
        <v>-232.35390000000001</v>
      </c>
      <c r="K1223">
        <v>1.1207129999999901</v>
      </c>
      <c r="L1223">
        <v>367.8759</v>
      </c>
      <c r="M1223">
        <v>0.99990100000000004</v>
      </c>
      <c r="N1223">
        <v>-1.4038719999999999E-2</v>
      </c>
      <c r="O1223">
        <v>1.072871E-3</v>
      </c>
      <c r="P1223">
        <v>0.99293019999999999</v>
      </c>
      <c r="Q1223">
        <v>-0.10670209999999999</v>
      </c>
      <c r="R1223">
        <v>-5.2006139999999999E-2</v>
      </c>
      <c r="S1223">
        <v>2.9904169999999999</v>
      </c>
      <c r="T1223">
        <v>-0.142316</v>
      </c>
      <c r="U1223">
        <v>-0.29998780000000003</v>
      </c>
      <c r="V1223">
        <v>5.3063100000000002E-2</v>
      </c>
      <c r="W1223">
        <v>-9.2757679999999995E-2</v>
      </c>
      <c r="X1223">
        <v>0.99427379999999999</v>
      </c>
      <c r="Y1223">
        <v>0.1007358</v>
      </c>
      <c r="Z1223">
        <v>-3.1350050000000002E-3</v>
      </c>
      <c r="AA1223">
        <v>0.99490829999999997</v>
      </c>
      <c r="AB1223">
        <v>27</v>
      </c>
      <c r="AC1223">
        <v>23.369800000000001</v>
      </c>
      <c r="AD1223">
        <v>-1.1207185858540001</v>
      </c>
      <c r="AE1223">
        <v>-2.36250000000001</v>
      </c>
      <c r="AF1223">
        <v>2.3821509257430802</v>
      </c>
      <c r="AG1223">
        <v>-1.1207185858540001</v>
      </c>
      <c r="AH1223">
        <v>23.3141769512109</v>
      </c>
      <c r="AI1223">
        <v>92.737871952337201</v>
      </c>
      <c r="AJ1223">
        <v>84.165988591672701</v>
      </c>
      <c r="AK1223">
        <v>23.4623421698276</v>
      </c>
      <c r="AL1223">
        <v>95.322274215331404</v>
      </c>
      <c r="AM1223">
        <v>86.945096884418206</v>
      </c>
      <c r="AN1223">
        <v>1.0000000345735101</v>
      </c>
    </row>
    <row r="1224" spans="1:40" x14ac:dyDescent="0.25">
      <c r="A1224" t="str">
        <f>"20190303154751092"</f>
        <v>20190303154751092</v>
      </c>
      <c r="B1224" t="str">
        <f>"1551599271081517"</f>
        <v>1551599271081517</v>
      </c>
      <c r="C1224" t="s">
        <v>40</v>
      </c>
      <c r="D1224">
        <v>4.597143</v>
      </c>
      <c r="E1224">
        <v>0.51668530000000001</v>
      </c>
      <c r="F1224" t="s">
        <v>46</v>
      </c>
      <c r="G1224">
        <v>-208.60910000000001</v>
      </c>
      <c r="H1224" s="1">
        <v>-5.4585320000000004E-6</v>
      </c>
      <c r="I1224">
        <v>365.5249</v>
      </c>
      <c r="J1224">
        <v>-232.2217</v>
      </c>
      <c r="K1224">
        <v>1.1207119999999999</v>
      </c>
      <c r="L1224">
        <v>367.87599999999998</v>
      </c>
      <c r="M1224">
        <v>0.99990100000000004</v>
      </c>
      <c r="N1224">
        <v>-1.4037310000000001E-2</v>
      </c>
      <c r="O1224">
        <v>1.059948E-3</v>
      </c>
      <c r="P1224">
        <v>0.99290599999999996</v>
      </c>
      <c r="Q1224">
        <v>-0.1070512</v>
      </c>
      <c r="R1224">
        <v>-5.1747689999999999E-2</v>
      </c>
      <c r="S1224">
        <v>2.9906619999999999</v>
      </c>
      <c r="T1224">
        <v>-0.141155</v>
      </c>
      <c r="U1224">
        <v>-0.29611209999999999</v>
      </c>
      <c r="V1224">
        <v>5.2791730000000002E-2</v>
      </c>
      <c r="W1224">
        <v>-9.3108449999999995E-2</v>
      </c>
      <c r="X1224">
        <v>0.99425540000000001</v>
      </c>
      <c r="Y1224">
        <v>9.9442150000000007E-2</v>
      </c>
      <c r="Z1224">
        <v>-3.0749779999999999E-3</v>
      </c>
      <c r="AA1224">
        <v>0.9950386</v>
      </c>
      <c r="AB1224">
        <v>27</v>
      </c>
      <c r="AC1224">
        <v>23.612599999999901</v>
      </c>
      <c r="AD1224">
        <v>-1.1207174585320001</v>
      </c>
      <c r="AE1224">
        <v>-2.35109999999997</v>
      </c>
      <c r="AF1224">
        <v>2.3708408916039598</v>
      </c>
      <c r="AG1224">
        <v>-1.1207174585320001</v>
      </c>
      <c r="AH1224">
        <v>23.557547159841398</v>
      </c>
      <c r="AI1224">
        <v>92.710044059388906</v>
      </c>
      <c r="AJ1224">
        <v>84.253080429569096</v>
      </c>
      <c r="AK1224">
        <v>23.7030572362155</v>
      </c>
      <c r="AL1224">
        <v>95.342459526194105</v>
      </c>
      <c r="AM1224">
        <v>86.960634457361394</v>
      </c>
      <c r="AN1224">
        <v>0.99999997532347695</v>
      </c>
    </row>
    <row r="1225" spans="1:40" x14ac:dyDescent="0.25">
      <c r="A1225" t="str">
        <f>"20190303154751103"</f>
        <v>20190303154751103</v>
      </c>
      <c r="B1225" t="str">
        <f>"1551599271091278"</f>
        <v>1551599271091278</v>
      </c>
      <c r="C1225" t="s">
        <v>40</v>
      </c>
      <c r="D1225">
        <v>4.6269099999999996</v>
      </c>
      <c r="E1225">
        <v>0.51617469999999999</v>
      </c>
      <c r="F1225" t="s">
        <v>46</v>
      </c>
      <c r="G1225">
        <v>-208.57589999999999</v>
      </c>
      <c r="H1225" s="1">
        <v>-5.4400779999999996E-6</v>
      </c>
      <c r="I1225">
        <v>365.57190000000003</v>
      </c>
      <c r="J1225">
        <v>-232.07169999999999</v>
      </c>
      <c r="K1225">
        <v>1.1207119999999999</v>
      </c>
      <c r="L1225">
        <v>367.87619999999998</v>
      </c>
      <c r="M1225">
        <v>0.99990100000000004</v>
      </c>
      <c r="N1225">
        <v>-1.403571E-2</v>
      </c>
      <c r="O1225">
        <v>1.0451200000000001E-3</v>
      </c>
      <c r="P1225">
        <v>0.99288410000000005</v>
      </c>
      <c r="Q1225">
        <v>-0.1072105</v>
      </c>
      <c r="R1225">
        <v>-5.183749E-2</v>
      </c>
      <c r="S1225">
        <v>2.9909520000000001</v>
      </c>
      <c r="T1225">
        <v>-0.14175950000000001</v>
      </c>
      <c r="U1225">
        <v>-0.2914429</v>
      </c>
      <c r="V1225">
        <v>5.2867039999999997E-2</v>
      </c>
      <c r="W1225">
        <v>-9.3269599999999994E-2</v>
      </c>
      <c r="X1225">
        <v>0.99423629999999996</v>
      </c>
      <c r="Y1225">
        <v>9.7880499999999995E-2</v>
      </c>
      <c r="Z1225">
        <v>-3.0366350000000002E-3</v>
      </c>
      <c r="AA1225">
        <v>0.99519349999999995</v>
      </c>
      <c r="AB1225">
        <v>27</v>
      </c>
      <c r="AC1225">
        <v>23.495799999999999</v>
      </c>
      <c r="AD1225">
        <v>-1.120717440078</v>
      </c>
      <c r="AE1225">
        <v>-2.3042999999999498</v>
      </c>
      <c r="AF1225">
        <v>2.3236208460227501</v>
      </c>
      <c r="AG1225">
        <v>-1.120717440078</v>
      </c>
      <c r="AH1225">
        <v>23.4405557287484</v>
      </c>
      <c r="AI1225">
        <v>92.723956207220198</v>
      </c>
      <c r="AJ1225">
        <v>84.338865206526705</v>
      </c>
      <c r="AK1225">
        <v>23.5820879968065</v>
      </c>
      <c r="AL1225">
        <v>95.351733064196907</v>
      </c>
      <c r="AM1225">
        <v>86.956248437973997</v>
      </c>
      <c r="AN1225">
        <v>0.99999998122010503</v>
      </c>
    </row>
    <row r="1226" spans="1:40" x14ac:dyDescent="0.25">
      <c r="A1226" t="str">
        <f>"20190303154751114"</f>
        <v>20190303154751114</v>
      </c>
      <c r="B1226" t="str">
        <f>"1551599271111774"</f>
        <v>1551599271111774</v>
      </c>
      <c r="C1226" t="s">
        <v>40</v>
      </c>
      <c r="D1226">
        <v>4.6480940000000004</v>
      </c>
      <c r="E1226">
        <v>0.51525569999999998</v>
      </c>
      <c r="F1226" t="s">
        <v>46</v>
      </c>
      <c r="G1226">
        <v>-208.41069999999999</v>
      </c>
      <c r="H1226" s="1">
        <v>-5.380208E-6</v>
      </c>
      <c r="I1226">
        <v>365.601</v>
      </c>
      <c r="J1226">
        <v>-231.9324</v>
      </c>
      <c r="K1226">
        <v>1.1207119999999999</v>
      </c>
      <c r="L1226">
        <v>367.87630000000001</v>
      </c>
      <c r="M1226">
        <v>0.99990100000000004</v>
      </c>
      <c r="N1226">
        <v>-1.403423E-2</v>
      </c>
      <c r="O1226">
        <v>1.0311280000000001E-3</v>
      </c>
      <c r="P1226">
        <v>0.99287840000000005</v>
      </c>
      <c r="Q1226">
        <v>-0.10734059999999999</v>
      </c>
      <c r="R1226">
        <v>-5.1675899999999997E-2</v>
      </c>
      <c r="S1226">
        <v>2.9911799999999999</v>
      </c>
      <c r="T1226">
        <v>-0.14167869999999999</v>
      </c>
      <c r="U1226">
        <v>-0.2876282</v>
      </c>
      <c r="V1226">
        <v>5.2691509999999997E-2</v>
      </c>
      <c r="W1226">
        <v>-9.3401189999999995E-2</v>
      </c>
      <c r="X1226">
        <v>0.99423329999999999</v>
      </c>
      <c r="Y1226">
        <v>9.6603720000000004E-2</v>
      </c>
      <c r="Z1226">
        <v>-2.9955369999999999E-3</v>
      </c>
      <c r="AA1226">
        <v>0.99531840000000005</v>
      </c>
      <c r="AB1226">
        <v>27</v>
      </c>
      <c r="AC1226">
        <v>23.521699999999999</v>
      </c>
      <c r="AD1226">
        <v>-1.1207173802079999</v>
      </c>
      <c r="AE1226">
        <v>-2.2753000000000099</v>
      </c>
      <c r="AF1226">
        <v>2.2943947246354401</v>
      </c>
      <c r="AG1226">
        <v>-1.1207173802079999</v>
      </c>
      <c r="AH1226">
        <v>23.4665623446392</v>
      </c>
      <c r="AI1226">
        <v>92.721300852317697</v>
      </c>
      <c r="AJ1226">
        <v>84.415772445698394</v>
      </c>
      <c r="AK1226">
        <v>23.6050800226047</v>
      </c>
      <c r="AL1226">
        <v>95.359305484617394</v>
      </c>
      <c r="AM1226">
        <v>86.966326306137404</v>
      </c>
      <c r="AN1226">
        <v>1.00000001617419</v>
      </c>
    </row>
    <row r="1227" spans="1:40" x14ac:dyDescent="0.25">
      <c r="A1227" t="str">
        <f>"20190303154751127"</f>
        <v>20190303154751127</v>
      </c>
      <c r="B1227" t="str">
        <f>"1551599271121534"</f>
        <v>1551599271121534</v>
      </c>
      <c r="C1227" t="s">
        <v>40</v>
      </c>
      <c r="D1227">
        <v>4.6444130000000001</v>
      </c>
      <c r="E1227">
        <v>0.51484229999999997</v>
      </c>
      <c r="F1227" t="s">
        <v>46</v>
      </c>
      <c r="G1227">
        <v>-208.14400000000001</v>
      </c>
      <c r="H1227" s="1">
        <v>-5.28318099999999E-6</v>
      </c>
      <c r="I1227">
        <v>365.65069999999997</v>
      </c>
      <c r="J1227">
        <v>-231.79089999999999</v>
      </c>
      <c r="K1227">
        <v>1.1207180000000001</v>
      </c>
      <c r="L1227">
        <v>367.87650000000002</v>
      </c>
      <c r="M1227">
        <v>0.99990109999999999</v>
      </c>
      <c r="N1227">
        <v>-1.403273E-2</v>
      </c>
      <c r="O1227">
        <v>1.017015E-3</v>
      </c>
      <c r="P1227">
        <v>0.99285210000000002</v>
      </c>
      <c r="Q1227">
        <v>-0.1075096</v>
      </c>
      <c r="R1227">
        <v>-5.1832839999999998E-2</v>
      </c>
      <c r="S1227">
        <v>2.99173</v>
      </c>
      <c r="T1227">
        <v>-0.1409463</v>
      </c>
      <c r="U1227">
        <v>-0.27990720000000002</v>
      </c>
      <c r="V1227">
        <v>5.2834270000000003E-2</v>
      </c>
      <c r="W1227">
        <v>-9.3572039999999995E-2</v>
      </c>
      <c r="X1227">
        <v>0.99420960000000003</v>
      </c>
      <c r="Y1227">
        <v>9.4031169999999997E-2</v>
      </c>
      <c r="Z1227">
        <v>-2.9042E-3</v>
      </c>
      <c r="AA1227">
        <v>0.99556500000000003</v>
      </c>
      <c r="AB1227">
        <v>27</v>
      </c>
      <c r="AC1227">
        <v>23.646899999999899</v>
      </c>
      <c r="AD1227">
        <v>-1.1207232831809999</v>
      </c>
      <c r="AE1227">
        <v>-2.22580000000004</v>
      </c>
      <c r="AF1227">
        <v>2.2448523625055299</v>
      </c>
      <c r="AG1227">
        <v>-1.1207232831809999</v>
      </c>
      <c r="AH1227">
        <v>23.592096694019201</v>
      </c>
      <c r="AI1227">
        <v>92.707533480660501</v>
      </c>
      <c r="AJ1227">
        <v>84.564515217993602</v>
      </c>
      <c r="AK1227">
        <v>23.725142975899299</v>
      </c>
      <c r="AL1227">
        <v>95.369137842112394</v>
      </c>
      <c r="AM1227">
        <v>86.958050046590103</v>
      </c>
      <c r="AN1227">
        <v>0.99999995774417605</v>
      </c>
    </row>
    <row r="1228" spans="1:40" x14ac:dyDescent="0.25">
      <c r="A1228" t="str">
        <f>"20190303154751139"</f>
        <v>20190303154751139</v>
      </c>
      <c r="B1228" t="str">
        <f>"1551599271131294"</f>
        <v>1551599271131294</v>
      </c>
      <c r="C1228" t="s">
        <v>40</v>
      </c>
      <c r="D1228">
        <v>4.6231819999999999</v>
      </c>
      <c r="E1228">
        <v>0.51444350000000005</v>
      </c>
      <c r="F1228" t="s">
        <v>46</v>
      </c>
      <c r="G1228">
        <v>-207.9906</v>
      </c>
      <c r="H1228" s="1">
        <v>-5.2221489999999901E-6</v>
      </c>
      <c r="I1228">
        <v>365.67380000000003</v>
      </c>
      <c r="J1228">
        <v>-231.64099999999999</v>
      </c>
      <c r="K1228">
        <v>1.120717</v>
      </c>
      <c r="L1228">
        <v>367.8766</v>
      </c>
      <c r="M1228">
        <v>0.99990100000000004</v>
      </c>
      <c r="N1228">
        <v>-1.4031129999999999E-2</v>
      </c>
      <c r="O1228">
        <v>1.0023650000000001E-3</v>
      </c>
      <c r="P1228">
        <v>0.99287029999999998</v>
      </c>
      <c r="Q1228">
        <v>-0.10739609999999999</v>
      </c>
      <c r="R1228">
        <v>-5.1718159999999999E-2</v>
      </c>
      <c r="S1228">
        <v>2.9918670000000001</v>
      </c>
      <c r="T1228">
        <v>-0.1408827</v>
      </c>
      <c r="U1228">
        <v>-0.27688600000000002</v>
      </c>
      <c r="V1228">
        <v>5.2705120000000001E-2</v>
      </c>
      <c r="W1228">
        <v>-9.3459849999999997E-2</v>
      </c>
      <c r="X1228">
        <v>0.99422710000000003</v>
      </c>
      <c r="Y1228">
        <v>9.3017150000000007E-2</v>
      </c>
      <c r="Z1228">
        <v>-2.8716530000000001E-3</v>
      </c>
      <c r="AA1228">
        <v>0.9956604</v>
      </c>
      <c r="AB1228">
        <v>27</v>
      </c>
      <c r="AC1228">
        <v>23.650399999999902</v>
      </c>
      <c r="AD1228">
        <v>-1.1207222221490001</v>
      </c>
      <c r="AE1228">
        <v>-2.2027999999999599</v>
      </c>
      <c r="AF1228">
        <v>2.2215618804756101</v>
      </c>
      <c r="AG1228">
        <v>-1.1207222221490001</v>
      </c>
      <c r="AH1228">
        <v>23.595650825822201</v>
      </c>
      <c r="AI1228">
        <v>92.707377650171793</v>
      </c>
      <c r="AJ1228">
        <v>84.621381697675503</v>
      </c>
      <c r="AK1228">
        <v>23.726485061680101</v>
      </c>
      <c r="AL1228">
        <v>95.362681040247097</v>
      </c>
      <c r="AM1228">
        <v>86.965525297455699</v>
      </c>
      <c r="AN1228">
        <v>1.0000000498053201</v>
      </c>
    </row>
    <row r="1229" spans="1:40" x14ac:dyDescent="0.25">
      <c r="A1229" t="str">
        <f>"20190303154751153"</f>
        <v>20190303154751153</v>
      </c>
      <c r="B1229" t="str">
        <f>"1551599271142030"</f>
        <v>1551599271142030</v>
      </c>
      <c r="C1229" t="s">
        <v>40</v>
      </c>
      <c r="D1229">
        <v>4.6557559999999896</v>
      </c>
      <c r="E1229">
        <v>0.51406759999999996</v>
      </c>
      <c r="F1229" t="s">
        <v>46</v>
      </c>
      <c r="G1229">
        <v>-207.6994</v>
      </c>
      <c r="H1229" s="1">
        <v>-5.0828410000000003E-6</v>
      </c>
      <c r="I1229">
        <v>365.69040000000001</v>
      </c>
      <c r="J1229">
        <v>-231.47399999999999</v>
      </c>
      <c r="K1229">
        <v>1.1207149999999999</v>
      </c>
      <c r="L1229">
        <v>367.87670000000003</v>
      </c>
      <c r="M1229">
        <v>0.99990120000000005</v>
      </c>
      <c r="N1229">
        <v>-1.4029359999999999E-2</v>
      </c>
      <c r="O1229">
        <v>9.8551049999999994E-4</v>
      </c>
      <c r="P1229">
        <v>0.99283759999999999</v>
      </c>
      <c r="Q1229">
        <v>-0.10771940000000001</v>
      </c>
      <c r="R1229">
        <v>-5.1678300000000003E-2</v>
      </c>
      <c r="S1229">
        <v>2.9921570000000002</v>
      </c>
      <c r="T1229">
        <v>-0.14006469999999999</v>
      </c>
      <c r="U1229">
        <v>-0.27322390000000002</v>
      </c>
      <c r="V1229">
        <v>5.2648399999999998E-2</v>
      </c>
      <c r="W1229">
        <v>-9.3785279999999999E-2</v>
      </c>
      <c r="X1229">
        <v>0.99419939999999996</v>
      </c>
      <c r="Y1229">
        <v>9.1786179999999995E-2</v>
      </c>
      <c r="Z1229">
        <v>-2.820552E-3</v>
      </c>
      <c r="AA1229">
        <v>0.99577470000000001</v>
      </c>
      <c r="AB1229">
        <v>27</v>
      </c>
      <c r="AC1229">
        <v>23.7746</v>
      </c>
      <c r="AD1229">
        <v>-1.120720082841</v>
      </c>
      <c r="AE1229">
        <v>-2.1863000000000099</v>
      </c>
      <c r="AF1229">
        <v>2.2048729487761598</v>
      </c>
      <c r="AG1229">
        <v>-1.120720082841</v>
      </c>
      <c r="AH1229">
        <v>23.720166517689201</v>
      </c>
      <c r="AI1229">
        <v>92.693480246954607</v>
      </c>
      <c r="AJ1229">
        <v>84.689415702561305</v>
      </c>
      <c r="AK1229">
        <v>23.848768895924799</v>
      </c>
      <c r="AL1229">
        <v>95.381409386380795</v>
      </c>
      <c r="AM1229">
        <v>86.9687005367918</v>
      </c>
      <c r="AN1229">
        <v>0.99999998986379901</v>
      </c>
    </row>
    <row r="1230" spans="1:40" x14ac:dyDescent="0.25">
      <c r="A1230" t="str">
        <f>"20190303154751165"</f>
        <v>20190303154751165</v>
      </c>
      <c r="B1230" t="str">
        <f>"1551599271161549"</f>
        <v>1551599271161549</v>
      </c>
      <c r="C1230" t="s">
        <v>40</v>
      </c>
      <c r="D1230">
        <v>4.6685449999999999</v>
      </c>
      <c r="E1230">
        <v>0.5133337</v>
      </c>
      <c r="F1230" t="s">
        <v>46</v>
      </c>
      <c r="G1230">
        <v>-207.6489</v>
      </c>
      <c r="H1230" s="1">
        <v>-5.0517219999999996E-6</v>
      </c>
      <c r="I1230">
        <v>365.72460000000001</v>
      </c>
      <c r="J1230">
        <v>-231.32320000000001</v>
      </c>
      <c r="K1230">
        <v>1.1207149999999999</v>
      </c>
      <c r="L1230">
        <v>367.87689999999998</v>
      </c>
      <c r="M1230">
        <v>0.99990120000000005</v>
      </c>
      <c r="N1230">
        <v>-1.402776E-2</v>
      </c>
      <c r="O1230">
        <v>9.7056180000000005E-4</v>
      </c>
      <c r="P1230">
        <v>0.99281699999999995</v>
      </c>
      <c r="Q1230">
        <v>-0.1078566</v>
      </c>
      <c r="R1230">
        <v>-5.1783629999999997E-2</v>
      </c>
      <c r="S1230">
        <v>2.9923099999999998</v>
      </c>
      <c r="T1230">
        <v>-0.14075670000000001</v>
      </c>
      <c r="U1230">
        <v>-0.27029419999999998</v>
      </c>
      <c r="V1230">
        <v>5.2738819999999999E-2</v>
      </c>
      <c r="W1230">
        <v>-9.3924430000000003E-2</v>
      </c>
      <c r="X1230">
        <v>0.99418150000000005</v>
      </c>
      <c r="Y1230">
        <v>9.0799959999999999E-2</v>
      </c>
      <c r="Z1230">
        <v>-2.800678E-3</v>
      </c>
      <c r="AA1230">
        <v>0.99586520000000001</v>
      </c>
      <c r="AB1230">
        <v>27</v>
      </c>
      <c r="AC1230">
        <v>23.674299999999999</v>
      </c>
      <c r="AD1230">
        <v>-1.120720051722</v>
      </c>
      <c r="AE1230">
        <v>-2.1522999999999599</v>
      </c>
      <c r="AF1230">
        <v>2.17045452109911</v>
      </c>
      <c r="AG1230">
        <v>-1.120720051722</v>
      </c>
      <c r="AH1230">
        <v>23.619702078029999</v>
      </c>
      <c r="AI1230">
        <v>92.705182511637503</v>
      </c>
      <c r="AJ1230">
        <v>84.7497383083345</v>
      </c>
      <c r="AK1230">
        <v>23.745677764961499</v>
      </c>
      <c r="AL1230">
        <v>95.389417288838004</v>
      </c>
      <c r="AM1230">
        <v>86.9634496539597</v>
      </c>
      <c r="AN1230">
        <v>1.0000000183140301</v>
      </c>
    </row>
    <row r="1231" spans="1:40" x14ac:dyDescent="0.25">
      <c r="A1231" t="str">
        <f>"20190303154751177"</f>
        <v>20190303154751177</v>
      </c>
      <c r="B1231" t="str">
        <f>"1551599271171310"</f>
        <v>1551599271171310</v>
      </c>
      <c r="C1231" t="s">
        <v>40</v>
      </c>
      <c r="D1231">
        <v>4.6717250000000003</v>
      </c>
      <c r="E1231">
        <v>0.51302170000000002</v>
      </c>
      <c r="F1231" t="s">
        <v>46</v>
      </c>
      <c r="G1231">
        <v>-207.43119999999999</v>
      </c>
      <c r="H1231" s="1">
        <v>-4.9413520000000002E-6</v>
      </c>
      <c r="I1231">
        <v>365.76499999999999</v>
      </c>
      <c r="J1231">
        <v>-231.18459999999999</v>
      </c>
      <c r="K1231">
        <v>1.1207129999999901</v>
      </c>
      <c r="L1231">
        <v>367.87700000000001</v>
      </c>
      <c r="M1231">
        <v>0.99990120000000005</v>
      </c>
      <c r="N1231">
        <v>-1.402629E-2</v>
      </c>
      <c r="O1231">
        <v>9.5692290000000001E-4</v>
      </c>
      <c r="P1231">
        <v>0.99280610000000002</v>
      </c>
      <c r="Q1231">
        <v>-0.10788449999999999</v>
      </c>
      <c r="R1231">
        <v>-5.1935839999999997E-2</v>
      </c>
      <c r="S1231">
        <v>2.992661</v>
      </c>
      <c r="T1231">
        <v>-0.14037920000000001</v>
      </c>
      <c r="U1231">
        <v>-0.26452639999999999</v>
      </c>
      <c r="V1231">
        <v>5.2877430000000003E-2</v>
      </c>
      <c r="W1231">
        <v>-9.3953869999999995E-2</v>
      </c>
      <c r="X1231">
        <v>0.99417129999999998</v>
      </c>
      <c r="Y1231">
        <v>8.8874969999999998E-2</v>
      </c>
      <c r="Z1231">
        <v>-2.7356379999999999E-3</v>
      </c>
      <c r="AA1231">
        <v>0.99603900000000001</v>
      </c>
      <c r="AB1231">
        <v>27</v>
      </c>
      <c r="AC1231">
        <v>23.753399999999999</v>
      </c>
      <c r="AD1231">
        <v>-1.1207179413520001</v>
      </c>
      <c r="AE1231">
        <v>-2.1119999999999601</v>
      </c>
      <c r="AF1231">
        <v>2.1300270181957202</v>
      </c>
      <c r="AG1231">
        <v>-1.1207179413520001</v>
      </c>
      <c r="AH1231">
        <v>23.699025734315899</v>
      </c>
      <c r="AI1231">
        <v>92.696624885712595</v>
      </c>
      <c r="AJ1231">
        <v>84.864155088513201</v>
      </c>
      <c r="AK1231">
        <v>23.820932906964</v>
      </c>
      <c r="AL1231">
        <v>95.391111867754503</v>
      </c>
      <c r="AM1231">
        <v>86.955452703904498</v>
      </c>
      <c r="AN1231">
        <v>0.99999996301753502</v>
      </c>
    </row>
    <row r="1232" spans="1:40" x14ac:dyDescent="0.25">
      <c r="A1232" t="str">
        <f>"20190303154751187"</f>
        <v>20190303154751187</v>
      </c>
      <c r="B1232" t="str">
        <f>"1551599271182046"</f>
        <v>1551599271182046</v>
      </c>
      <c r="C1232" t="s">
        <v>40</v>
      </c>
      <c r="D1232">
        <v>4.6891930000000004</v>
      </c>
      <c r="E1232">
        <v>0.51268789999999997</v>
      </c>
      <c r="F1232" t="s">
        <v>46</v>
      </c>
      <c r="G1232">
        <v>-207.30279999999999</v>
      </c>
      <c r="H1232" s="1">
        <v>-4.8783369999999999E-6</v>
      </c>
      <c r="I1232">
        <v>365.77949999999998</v>
      </c>
      <c r="J1232">
        <v>-231.05699999999999</v>
      </c>
      <c r="K1232">
        <v>1.120709</v>
      </c>
      <c r="L1232">
        <v>367.87709999999998</v>
      </c>
      <c r="M1232">
        <v>0.99990120000000005</v>
      </c>
      <c r="N1232">
        <v>-1.4024999999999999E-2</v>
      </c>
      <c r="O1232">
        <v>9.4441329999999995E-4</v>
      </c>
      <c r="P1232">
        <v>0.99279729999999999</v>
      </c>
      <c r="Q1232">
        <v>-0.1079731</v>
      </c>
      <c r="R1232">
        <v>-5.1918400000000003E-2</v>
      </c>
      <c r="S1232">
        <v>2.992737</v>
      </c>
      <c r="T1232">
        <v>-0.1404424</v>
      </c>
      <c r="U1232">
        <v>-0.26284790000000002</v>
      </c>
      <c r="V1232">
        <v>5.2847749999999999E-2</v>
      </c>
      <c r="W1232">
        <v>-9.4043849999999998E-2</v>
      </c>
      <c r="X1232">
        <v>0.99416439999999995</v>
      </c>
      <c r="Y1232">
        <v>8.830665E-2</v>
      </c>
      <c r="Z1232">
        <v>-2.7188099999999999E-3</v>
      </c>
      <c r="AA1232">
        <v>0.99608960000000002</v>
      </c>
      <c r="AB1232">
        <v>27</v>
      </c>
      <c r="AC1232">
        <v>23.754200000000001</v>
      </c>
      <c r="AD1232">
        <v>-1.1207138783370001</v>
      </c>
      <c r="AE1232">
        <v>-2.0975999999999999</v>
      </c>
      <c r="AF1232">
        <v>2.11536286650886</v>
      </c>
      <c r="AG1232">
        <v>-1.1207138783370001</v>
      </c>
      <c r="AH1232">
        <v>23.699862490313599</v>
      </c>
      <c r="AI1232">
        <v>92.696668850977105</v>
      </c>
      <c r="AJ1232">
        <v>84.899504746472402</v>
      </c>
      <c r="AK1232">
        <v>23.8204584698505</v>
      </c>
      <c r="AL1232">
        <v>95.396290112010504</v>
      </c>
      <c r="AM1232">
        <v>86.957137311007003</v>
      </c>
      <c r="AN1232">
        <v>0.99999999231512204</v>
      </c>
    </row>
    <row r="1233" spans="1:40" x14ac:dyDescent="0.25">
      <c r="A1233" t="str">
        <f>"20190303154751198"</f>
        <v>20190303154751198</v>
      </c>
      <c r="B1233" t="str">
        <f>"1551599271191805"</f>
        <v>1551599271191805</v>
      </c>
      <c r="C1233" t="s">
        <v>40</v>
      </c>
      <c r="D1233">
        <v>4.7173569999999998</v>
      </c>
      <c r="E1233">
        <v>0.51237259999999996</v>
      </c>
      <c r="F1233" t="s">
        <v>46</v>
      </c>
      <c r="G1233">
        <v>-207.2303</v>
      </c>
      <c r="H1233" s="1">
        <v>-4.8385840000000001E-6</v>
      </c>
      <c r="I1233">
        <v>365.8064</v>
      </c>
      <c r="J1233">
        <v>-230.92240000000001</v>
      </c>
      <c r="K1233">
        <v>1.1207100000000001</v>
      </c>
      <c r="L1233">
        <v>367.87720000000002</v>
      </c>
      <c r="M1233">
        <v>0.99990120000000005</v>
      </c>
      <c r="N1233">
        <v>-1.402368E-2</v>
      </c>
      <c r="O1233">
        <v>9.314856E-4</v>
      </c>
      <c r="P1233">
        <v>0.99276050000000005</v>
      </c>
      <c r="Q1233">
        <v>-0.1082625</v>
      </c>
      <c r="R1233">
        <v>-5.2017069999999999E-2</v>
      </c>
      <c r="S1233">
        <v>2.9928590000000002</v>
      </c>
      <c r="T1233">
        <v>-0.14077200000000001</v>
      </c>
      <c r="U1233">
        <v>-0.26010129999999998</v>
      </c>
      <c r="V1233">
        <v>5.2933380000000002E-2</v>
      </c>
      <c r="W1233">
        <v>-9.4335119999999995E-2</v>
      </c>
      <c r="X1233">
        <v>0.99413229999999997</v>
      </c>
      <c r="Y1233">
        <v>8.7383820000000001E-2</v>
      </c>
      <c r="Z1233">
        <v>-2.6951129999999998E-3</v>
      </c>
      <c r="AA1233">
        <v>0.99617109999999998</v>
      </c>
      <c r="AB1233">
        <v>27</v>
      </c>
      <c r="AC1233">
        <v>23.6921</v>
      </c>
      <c r="AD1233">
        <v>-1.120714838584</v>
      </c>
      <c r="AE1233">
        <v>-2.0708000000000202</v>
      </c>
      <c r="AF1233">
        <v>2.0882329115423199</v>
      </c>
      <c r="AG1233">
        <v>-1.120714838584</v>
      </c>
      <c r="AH1233">
        <v>23.637669883700301</v>
      </c>
      <c r="AI1233">
        <v>92.703972954282406</v>
      </c>
      <c r="AJ1233">
        <v>84.951400938655695</v>
      </c>
      <c r="AK1233">
        <v>23.7561814265901</v>
      </c>
      <c r="AL1233">
        <v>95.413052898441606</v>
      </c>
      <c r="AM1233">
        <v>86.952117977203002</v>
      </c>
      <c r="AN1233">
        <v>1.00000004374346</v>
      </c>
    </row>
    <row r="1234" spans="1:40" x14ac:dyDescent="0.25">
      <c r="A1234" t="str">
        <f>"20190303154751211"</f>
        <v>20190303154751211</v>
      </c>
      <c r="B1234" t="str">
        <f>"1551599271201565"</f>
        <v>1551599271201565</v>
      </c>
      <c r="C1234" t="s">
        <v>40</v>
      </c>
      <c r="D1234">
        <v>4.7464879999999896</v>
      </c>
      <c r="E1234">
        <v>0.51207020000000003</v>
      </c>
      <c r="F1234" t="s">
        <v>46</v>
      </c>
      <c r="G1234">
        <v>-207.25309999999999</v>
      </c>
      <c r="H1234" s="1">
        <v>-4.8422789999999901E-6</v>
      </c>
      <c r="I1234">
        <v>365.83760000000001</v>
      </c>
      <c r="J1234">
        <v>-230.774</v>
      </c>
      <c r="K1234">
        <v>1.1207100000000001</v>
      </c>
      <c r="L1234">
        <v>367.87729999999999</v>
      </c>
      <c r="M1234">
        <v>0.99990140000000005</v>
      </c>
      <c r="N1234">
        <v>-1.4022150000000001E-2</v>
      </c>
      <c r="O1234">
        <v>9.1647899999999999E-4</v>
      </c>
      <c r="P1234">
        <v>0.99273710000000004</v>
      </c>
      <c r="Q1234">
        <v>-0.1084683</v>
      </c>
      <c r="R1234">
        <v>-5.2043680000000002E-2</v>
      </c>
      <c r="S1234">
        <v>2.9929049999999999</v>
      </c>
      <c r="T1234">
        <v>-0.14171049999999999</v>
      </c>
      <c r="U1234">
        <v>-0.25790410000000002</v>
      </c>
      <c r="V1234">
        <v>5.2944869999999998E-2</v>
      </c>
      <c r="W1234">
        <v>-9.454274E-2</v>
      </c>
      <c r="X1234">
        <v>0.99411190000000005</v>
      </c>
      <c r="Y1234">
        <v>8.6641199999999904E-2</v>
      </c>
      <c r="Z1234">
        <v>-2.6857529999999999E-3</v>
      </c>
      <c r="AA1234">
        <v>0.99623600000000001</v>
      </c>
      <c r="AB1234">
        <v>27</v>
      </c>
      <c r="AC1234">
        <v>23.520900000000001</v>
      </c>
      <c r="AD1234">
        <v>-1.1207148422790001</v>
      </c>
      <c r="AE1234">
        <v>-2.0396999999999799</v>
      </c>
      <c r="AF1234">
        <v>2.0566233785111998</v>
      </c>
      <c r="AG1234">
        <v>-1.1207148422790001</v>
      </c>
      <c r="AH1234">
        <v>23.4661431611583</v>
      </c>
      <c r="AI1234">
        <v>92.723874642744093</v>
      </c>
      <c r="AJ1234">
        <v>84.991272452069893</v>
      </c>
      <c r="AK1234">
        <v>23.5827389490432</v>
      </c>
      <c r="AL1234">
        <v>95.4250024030231</v>
      </c>
      <c r="AM1234">
        <v>86.951395194963993</v>
      </c>
      <c r="AN1234">
        <v>0.99999997933381701</v>
      </c>
    </row>
    <row r="1235" spans="1:40" x14ac:dyDescent="0.25">
      <c r="A1235" t="str">
        <f>"20190303154751224"</f>
        <v>20190303154751224</v>
      </c>
      <c r="B1235" t="str">
        <f>"1551599271211326"</f>
        <v>1551599271211326</v>
      </c>
      <c r="C1235" t="s">
        <v>40</v>
      </c>
      <c r="D1235">
        <v>4.7918520000000004</v>
      </c>
      <c r="E1235">
        <v>0.51178650000000003</v>
      </c>
      <c r="F1235" t="s">
        <v>46</v>
      </c>
      <c r="G1235">
        <v>-207.1884</v>
      </c>
      <c r="H1235" s="1">
        <v>-4.806275E-6</v>
      </c>
      <c r="I1235">
        <v>365.86430000000001</v>
      </c>
      <c r="J1235">
        <v>-230.6293</v>
      </c>
      <c r="K1235">
        <v>1.120708</v>
      </c>
      <c r="L1235">
        <v>367.87740000000002</v>
      </c>
      <c r="M1235">
        <v>0.99990129999999999</v>
      </c>
      <c r="N1235">
        <v>-1.4020609999999999E-2</v>
      </c>
      <c r="O1235">
        <v>9.0218790000000002E-4</v>
      </c>
      <c r="P1235">
        <v>0.9927262</v>
      </c>
      <c r="Q1235">
        <v>-0.108574</v>
      </c>
      <c r="R1235">
        <v>-5.2022140000000001E-2</v>
      </c>
      <c r="S1235">
        <v>2.9930569999999999</v>
      </c>
      <c r="T1235">
        <v>-0.1422215</v>
      </c>
      <c r="U1235">
        <v>-0.25546259999999998</v>
      </c>
      <c r="V1235">
        <v>5.2909419999999999E-2</v>
      </c>
      <c r="W1235">
        <v>-9.4650049999999999E-2</v>
      </c>
      <c r="X1235">
        <v>0.99410359999999998</v>
      </c>
      <c r="Y1235">
        <v>8.5816310000000007E-2</v>
      </c>
      <c r="Z1235">
        <v>-2.6673339999999999E-3</v>
      </c>
      <c r="AA1235">
        <v>0.99630739999999995</v>
      </c>
      <c r="AB1235">
        <v>27</v>
      </c>
      <c r="AC1235">
        <v>23.440899999999999</v>
      </c>
      <c r="AD1235">
        <v>-1.120712806275</v>
      </c>
      <c r="AE1235">
        <v>-2.0131000000000001</v>
      </c>
      <c r="AF1235">
        <v>2.0296439421530401</v>
      </c>
      <c r="AG1235">
        <v>-1.120712806275</v>
      </c>
      <c r="AH1235">
        <v>23.386009483454401</v>
      </c>
      <c r="AI1235">
        <v>92.733390671986996</v>
      </c>
      <c r="AJ1235">
        <v>85.039796450277294</v>
      </c>
      <c r="AK1235">
        <v>23.500657252219298</v>
      </c>
      <c r="AL1235">
        <v>95.431178379195899</v>
      </c>
      <c r="AM1235">
        <v>86.953407197021093</v>
      </c>
      <c r="AN1235">
        <v>1.0000000031113401</v>
      </c>
    </row>
    <row r="1236" spans="1:40" x14ac:dyDescent="0.25">
      <c r="A1236" t="str">
        <f>"20190303154751235"</f>
        <v>20190303154751235</v>
      </c>
      <c r="B1236" t="str">
        <f>"1551599271231822"</f>
        <v>1551599271231822</v>
      </c>
      <c r="C1236" t="s">
        <v>40</v>
      </c>
      <c r="D1236">
        <v>4.7768699999999997</v>
      </c>
      <c r="E1236">
        <v>0.51120489999999996</v>
      </c>
      <c r="F1236" t="s">
        <v>46</v>
      </c>
      <c r="G1236">
        <v>-207.12020000000001</v>
      </c>
      <c r="H1236" s="1">
        <v>-4.7692750000000002E-6</v>
      </c>
      <c r="I1236">
        <v>365.8877</v>
      </c>
      <c r="J1236">
        <v>-230.4795</v>
      </c>
      <c r="K1236">
        <v>1.120708</v>
      </c>
      <c r="L1236">
        <v>367.87759999999997</v>
      </c>
      <c r="M1236">
        <v>0.99990140000000005</v>
      </c>
      <c r="N1236">
        <v>-1.4018940000000001E-2</v>
      </c>
      <c r="O1236">
        <v>8.8717989999999997E-4</v>
      </c>
      <c r="P1236">
        <v>0.99270700000000001</v>
      </c>
      <c r="Q1236">
        <v>-0.1087861</v>
      </c>
      <c r="R1236">
        <v>-5.1948080000000001E-2</v>
      </c>
      <c r="S1236">
        <v>2.9931030000000001</v>
      </c>
      <c r="T1236">
        <v>-0.1426857</v>
      </c>
      <c r="U1236">
        <v>-0.25332640000000001</v>
      </c>
      <c r="V1236">
        <v>5.2820409999999998E-2</v>
      </c>
      <c r="W1236">
        <v>-9.4864069999999995E-2</v>
      </c>
      <c r="X1236">
        <v>0.99408790000000002</v>
      </c>
      <c r="Y1236">
        <v>8.5094379999999997E-2</v>
      </c>
      <c r="Z1236">
        <v>-2.6513050000000001E-3</v>
      </c>
      <c r="AA1236">
        <v>0.99636939999999996</v>
      </c>
      <c r="AB1236">
        <v>27</v>
      </c>
      <c r="AC1236">
        <v>23.359299999999902</v>
      </c>
      <c r="AD1236">
        <v>-1.1207127692749901</v>
      </c>
      <c r="AE1236">
        <v>-1.98989999999997</v>
      </c>
      <c r="AF1236">
        <v>2.0060409005260502</v>
      </c>
      <c r="AG1236">
        <v>-1.1207127692749901</v>
      </c>
      <c r="AH1236">
        <v>23.304269753113999</v>
      </c>
      <c r="AI1236">
        <v>92.743129792652695</v>
      </c>
      <c r="AJ1236">
        <v>85.080084289814593</v>
      </c>
      <c r="AK1236">
        <v>23.4172839144873</v>
      </c>
      <c r="AL1236">
        <v>95.4434964267125</v>
      </c>
      <c r="AM1236">
        <v>86.958474931870796</v>
      </c>
      <c r="AN1236">
        <v>0.99999997020797105</v>
      </c>
    </row>
    <row r="1237" spans="1:40" x14ac:dyDescent="0.25">
      <c r="A1237" t="str">
        <f>"20190303154751249"</f>
        <v>20190303154751249</v>
      </c>
      <c r="B1237" t="str">
        <f>"1551599271241582"</f>
        <v>1551599271241582</v>
      </c>
      <c r="C1237" t="s">
        <v>40</v>
      </c>
      <c r="D1237">
        <v>4.7918450000000004</v>
      </c>
      <c r="E1237">
        <v>0.51096960000000002</v>
      </c>
      <c r="F1237" t="s">
        <v>46</v>
      </c>
      <c r="G1237">
        <v>-207.16550000000001</v>
      </c>
      <c r="H1237" s="1">
        <v>-4.7780779999999999E-6</v>
      </c>
      <c r="I1237">
        <v>365.94319999999999</v>
      </c>
      <c r="J1237">
        <v>-230.3245</v>
      </c>
      <c r="K1237">
        <v>1.120708</v>
      </c>
      <c r="L1237">
        <v>367.8777</v>
      </c>
      <c r="M1237">
        <v>0.99990140000000005</v>
      </c>
      <c r="N1237">
        <v>-1.4017190000000001E-2</v>
      </c>
      <c r="O1237">
        <v>8.713363E-4</v>
      </c>
      <c r="P1237">
        <v>0.99269629999999998</v>
      </c>
      <c r="Q1237">
        <v>-0.1088761</v>
      </c>
      <c r="R1237">
        <v>-5.1965669999999999E-2</v>
      </c>
      <c r="S1237">
        <v>2.993271</v>
      </c>
      <c r="T1237">
        <v>-0.14388790000000001</v>
      </c>
      <c r="U1237">
        <v>-0.24835209999999999</v>
      </c>
      <c r="V1237">
        <v>5.2822029999999999E-2</v>
      </c>
      <c r="W1237">
        <v>-9.4955970000000001E-2</v>
      </c>
      <c r="X1237">
        <v>0.99407909999999999</v>
      </c>
      <c r="Y1237">
        <v>8.343014E-2</v>
      </c>
      <c r="Z1237">
        <v>-2.6164690000000002E-3</v>
      </c>
      <c r="AA1237">
        <v>0.99651020000000001</v>
      </c>
      <c r="AB1237">
        <v>27</v>
      </c>
      <c r="AC1237">
        <v>23.158999999999899</v>
      </c>
      <c r="AD1237">
        <v>-1.120712778078</v>
      </c>
      <c r="AE1237">
        <v>-1.9345000000000101</v>
      </c>
      <c r="AF1237">
        <v>1.9501453269387501</v>
      </c>
      <c r="AG1237">
        <v>-1.120712778078</v>
      </c>
      <c r="AH1237">
        <v>23.103576472588799</v>
      </c>
      <c r="AI1237">
        <v>92.767312468263</v>
      </c>
      <c r="AJ1237">
        <v>85.175168644195494</v>
      </c>
      <c r="AK1237">
        <v>23.212804866105401</v>
      </c>
      <c r="AL1237">
        <v>95.448785458756703</v>
      </c>
      <c r="AM1237">
        <v>86.958354948462201</v>
      </c>
      <c r="AN1237">
        <v>1.0000000300743801</v>
      </c>
    </row>
    <row r="1238" spans="1:40" x14ac:dyDescent="0.25">
      <c r="A1238" t="str">
        <f>"20190303154751265"</f>
        <v>20190303154751265</v>
      </c>
      <c r="B1238" t="str">
        <f>"1551599271262078"</f>
        <v>1551599271262078</v>
      </c>
      <c r="C1238" t="s">
        <v>40</v>
      </c>
      <c r="D1238">
        <v>4.799804</v>
      </c>
      <c r="E1238">
        <v>0.51048199999999999</v>
      </c>
      <c r="F1238" t="s">
        <v>46</v>
      </c>
      <c r="G1238">
        <v>-207.07990000000001</v>
      </c>
      <c r="H1238" s="1">
        <v>-4.733197E-6</v>
      </c>
      <c r="I1238">
        <v>365.96570000000003</v>
      </c>
      <c r="J1238">
        <v>-230.1217</v>
      </c>
      <c r="K1238">
        <v>1.1207100000000001</v>
      </c>
      <c r="L1238">
        <v>367.87779999999998</v>
      </c>
      <c r="M1238">
        <v>0.9999015</v>
      </c>
      <c r="N1238">
        <v>-1.401488E-2</v>
      </c>
      <c r="O1238">
        <v>8.4964839999999997E-4</v>
      </c>
      <c r="P1238">
        <v>0.99268970000000001</v>
      </c>
      <c r="Q1238">
        <v>-0.1091046</v>
      </c>
      <c r="R1238">
        <v>-5.1609450000000001E-2</v>
      </c>
      <c r="S1238">
        <v>2.9933619999999999</v>
      </c>
      <c r="T1238">
        <v>-0.14432130000000001</v>
      </c>
      <c r="U1238">
        <v>-0.24621580000000001</v>
      </c>
      <c r="V1238">
        <v>5.2444209999999998E-2</v>
      </c>
      <c r="W1238">
        <v>-9.5186809999999997E-2</v>
      </c>
      <c r="X1238">
        <v>0.99407699999999999</v>
      </c>
      <c r="Y1238">
        <v>8.2700079999999995E-2</v>
      </c>
      <c r="Z1238">
        <v>-2.5990739999999998E-3</v>
      </c>
      <c r="AA1238">
        <v>0.99657110000000004</v>
      </c>
      <c r="AB1238">
        <v>27</v>
      </c>
      <c r="AC1238">
        <v>23.041799999999899</v>
      </c>
      <c r="AD1238">
        <v>-1.120714733197</v>
      </c>
      <c r="AE1238">
        <v>-1.91209999999995</v>
      </c>
      <c r="AF1238">
        <v>1.9271508036628699</v>
      </c>
      <c r="AG1238">
        <v>-1.120714733197</v>
      </c>
      <c r="AH1238">
        <v>22.986160743101699</v>
      </c>
      <c r="AI1238">
        <v>92.781562937732005</v>
      </c>
      <c r="AJ1238">
        <v>85.207551926585595</v>
      </c>
      <c r="AK1238">
        <v>23.094014320619401</v>
      </c>
      <c r="AL1238">
        <v>95.462071945803999</v>
      </c>
      <c r="AM1238">
        <v>86.980064131686404</v>
      </c>
      <c r="AN1238">
        <v>1.00000000294475</v>
      </c>
    </row>
    <row r="1239" spans="1:40" x14ac:dyDescent="0.25">
      <c r="A1239" t="str">
        <f>"20190303154751280"</f>
        <v>20190303154751280</v>
      </c>
      <c r="B1239" t="str">
        <f>"1551599271271837"</f>
        <v>1551599271271837</v>
      </c>
      <c r="C1239" t="s">
        <v>40</v>
      </c>
      <c r="D1239">
        <v>4.8323499999999999</v>
      </c>
      <c r="E1239">
        <v>0.51027020000000001</v>
      </c>
      <c r="F1239" t="s">
        <v>46</v>
      </c>
      <c r="G1239">
        <v>-207.0899</v>
      </c>
      <c r="H1239" s="1">
        <v>-4.7259300000000003E-6</v>
      </c>
      <c r="I1239">
        <v>366.01960000000003</v>
      </c>
      <c r="J1239">
        <v>-229.94059999999999</v>
      </c>
      <c r="K1239">
        <v>1.120708</v>
      </c>
      <c r="L1239">
        <v>367.87799999999999</v>
      </c>
      <c r="M1239">
        <v>0.9999015</v>
      </c>
      <c r="N1239">
        <v>-1.401284E-2</v>
      </c>
      <c r="O1239">
        <v>8.287228E-4</v>
      </c>
      <c r="P1239">
        <v>0.99270060000000004</v>
      </c>
      <c r="Q1239">
        <v>-0.1090849</v>
      </c>
      <c r="R1239">
        <v>-5.1440670000000001E-2</v>
      </c>
      <c r="S1239">
        <v>2.9935</v>
      </c>
      <c r="T1239">
        <v>-0.14566209999999999</v>
      </c>
      <c r="U1239">
        <v>-0.24151610000000001</v>
      </c>
      <c r="V1239">
        <v>5.2254509999999997E-2</v>
      </c>
      <c r="W1239">
        <v>-9.5169100000000006E-2</v>
      </c>
      <c r="X1239">
        <v>0.99408869999999905</v>
      </c>
      <c r="Y1239">
        <v>8.1121470000000001E-2</v>
      </c>
      <c r="Z1239">
        <v>-2.5677019999999998E-3</v>
      </c>
      <c r="AA1239">
        <v>0.9967009</v>
      </c>
      <c r="AB1239">
        <v>27</v>
      </c>
      <c r="AC1239">
        <v>22.8506999999999</v>
      </c>
      <c r="AD1239">
        <v>-1.12071272593</v>
      </c>
      <c r="AE1239">
        <v>-1.85840000000001</v>
      </c>
      <c r="AF1239">
        <v>1.8728627104925499</v>
      </c>
      <c r="AG1239">
        <v>-1.12071272593</v>
      </c>
      <c r="AH1239">
        <v>22.794681566223201</v>
      </c>
      <c r="AI1239">
        <v>92.805273597372107</v>
      </c>
      <c r="AJ1239">
        <v>85.302999163505802</v>
      </c>
      <c r="AK1239">
        <v>22.898932714253899</v>
      </c>
      <c r="AL1239">
        <v>95.461052530652694</v>
      </c>
      <c r="AM1239">
        <v>86.991003013912405</v>
      </c>
      <c r="AN1239">
        <v>1.0000000174389101</v>
      </c>
    </row>
    <row r="1240" spans="1:40" x14ac:dyDescent="0.25">
      <c r="A1240" t="str">
        <f>"20190303154751298"</f>
        <v>20190303154751298</v>
      </c>
      <c r="B1240" t="str">
        <f>"1551599271291357"</f>
        <v>1551599271291357</v>
      </c>
      <c r="C1240" t="s">
        <v>40</v>
      </c>
      <c r="D1240">
        <v>4.8767610000000001</v>
      </c>
      <c r="E1240">
        <v>0.50984470000000004</v>
      </c>
      <c r="F1240" t="s">
        <v>46</v>
      </c>
      <c r="G1240">
        <v>-206.93700000000001</v>
      </c>
      <c r="H1240" s="1">
        <v>-4.6497590000000003E-6</v>
      </c>
      <c r="I1240">
        <v>366.0419</v>
      </c>
      <c r="J1240">
        <v>-229.72409999999999</v>
      </c>
      <c r="K1240">
        <v>1.120706</v>
      </c>
      <c r="L1240">
        <v>367.87810000000002</v>
      </c>
      <c r="M1240">
        <v>0.9999015</v>
      </c>
      <c r="N1240">
        <v>-1.4010420000000001E-2</v>
      </c>
      <c r="O1240">
        <v>7.9990249999999997E-4</v>
      </c>
      <c r="P1240">
        <v>0.99273509999999998</v>
      </c>
      <c r="Q1240">
        <v>-0.10905769999999999</v>
      </c>
      <c r="R1240">
        <v>-5.082623E-2</v>
      </c>
      <c r="S1240">
        <v>2.993668</v>
      </c>
      <c r="T1240">
        <v>-0.14584849999999999</v>
      </c>
      <c r="U1240">
        <v>-0.23895259999999999</v>
      </c>
      <c r="V1240">
        <v>5.1610820000000002E-2</v>
      </c>
      <c r="W1240">
        <v>-9.5144129999999993E-2</v>
      </c>
      <c r="X1240">
        <v>0.99412469999999997</v>
      </c>
      <c r="Y1240">
        <v>8.0241309999999996E-2</v>
      </c>
      <c r="Z1240">
        <v>-2.5415390000000002E-3</v>
      </c>
      <c r="AA1240">
        <v>0.9967722</v>
      </c>
      <c r="AB1240">
        <v>27</v>
      </c>
      <c r="AC1240">
        <v>22.787099999999899</v>
      </c>
      <c r="AD1240">
        <v>-1.120710649759</v>
      </c>
      <c r="AE1240">
        <v>-1.83620000000002</v>
      </c>
      <c r="AF1240">
        <v>1.8499826990946999</v>
      </c>
      <c r="AG1240">
        <v>-1.120710649759</v>
      </c>
      <c r="AH1240">
        <v>22.730995635564799</v>
      </c>
      <c r="AI1240">
        <v>92.813292511675698</v>
      </c>
      <c r="AJ1240">
        <v>85.347185824356501</v>
      </c>
      <c r="AK1240">
        <v>22.833672304986301</v>
      </c>
      <c r="AL1240">
        <v>95.459615425276596</v>
      </c>
      <c r="AM1240">
        <v>87.0281094968839</v>
      </c>
      <c r="AN1240">
        <v>1.0000000006823</v>
      </c>
    </row>
    <row r="1241" spans="1:40" x14ac:dyDescent="0.25">
      <c r="A1241" t="str">
        <f>"20190303154751312"</f>
        <v>20190303154751312</v>
      </c>
      <c r="B1241" t="str">
        <f>"1551599271302093"</f>
        <v>1551599271302093</v>
      </c>
      <c r="C1241" t="s">
        <v>40</v>
      </c>
      <c r="D1241">
        <v>4.8724040000000004</v>
      </c>
      <c r="E1241">
        <v>0.50964529999999997</v>
      </c>
      <c r="F1241" t="s">
        <v>46</v>
      </c>
      <c r="G1241">
        <v>-206.78870000000001</v>
      </c>
      <c r="H1241" s="1">
        <v>-4.5704920000000003E-6</v>
      </c>
      <c r="I1241">
        <v>366.08780000000002</v>
      </c>
      <c r="J1241">
        <v>-229.5641</v>
      </c>
      <c r="K1241">
        <v>1.1207039999999999</v>
      </c>
      <c r="L1241">
        <v>367.87819999999999</v>
      </c>
      <c r="M1241">
        <v>0.99990159999999995</v>
      </c>
      <c r="N1241">
        <v>-1.4008619999999999E-2</v>
      </c>
      <c r="O1241">
        <v>7.7356929999999901E-4</v>
      </c>
      <c r="P1241">
        <v>0.9927897</v>
      </c>
      <c r="Q1241">
        <v>-0.1087933</v>
      </c>
      <c r="R1241">
        <v>-5.032441E-2</v>
      </c>
      <c r="S1241">
        <v>2.9939119999999999</v>
      </c>
      <c r="T1241">
        <v>-0.1462936</v>
      </c>
      <c r="U1241">
        <v>-0.23370360000000001</v>
      </c>
      <c r="V1241">
        <v>5.1082130000000003E-2</v>
      </c>
      <c r="W1241">
        <v>-9.4881160000000006E-2</v>
      </c>
      <c r="X1241">
        <v>0.99417719999999998</v>
      </c>
      <c r="Y1241">
        <v>7.8473799999999996E-2</v>
      </c>
      <c r="Z1241">
        <v>-2.491053E-3</v>
      </c>
      <c r="AA1241">
        <v>0.9969131</v>
      </c>
      <c r="AB1241">
        <v>27</v>
      </c>
      <c r="AC1241">
        <v>22.775399999999902</v>
      </c>
      <c r="AD1241">
        <v>-1.1207085704919999</v>
      </c>
      <c r="AE1241">
        <v>-1.79039999999997</v>
      </c>
      <c r="AF1241">
        <v>1.8036790698646901</v>
      </c>
      <c r="AG1241">
        <v>-1.1207085704919999</v>
      </c>
      <c r="AH1241">
        <v>22.719334985014299</v>
      </c>
      <c r="AI1241">
        <v>92.815177008329499</v>
      </c>
      <c r="AJ1241">
        <v>85.460830976118103</v>
      </c>
      <c r="AK1241">
        <v>22.818357260073299</v>
      </c>
      <c r="AL1241">
        <v>95.444479548335906</v>
      </c>
      <c r="AM1241">
        <v>87.058654216054606</v>
      </c>
      <c r="AN1241">
        <v>1.0000000617640501</v>
      </c>
    </row>
    <row r="1242" spans="1:40" x14ac:dyDescent="0.25">
      <c r="A1242" t="str">
        <f>"20190303154751325"</f>
        <v>20190303154751325</v>
      </c>
      <c r="B1242" t="str">
        <f>"1551599271321614"</f>
        <v>1551599271321614</v>
      </c>
      <c r="C1242" t="s">
        <v>40</v>
      </c>
      <c r="D1242">
        <v>4.8453080000000002</v>
      </c>
      <c r="E1242">
        <v>0.5092641</v>
      </c>
      <c r="F1242" t="s">
        <v>46</v>
      </c>
      <c r="G1242">
        <v>-206.5633</v>
      </c>
      <c r="H1242" s="1">
        <v>-4.4613960000000001E-6</v>
      </c>
      <c r="I1242">
        <v>366.10640000000001</v>
      </c>
      <c r="J1242">
        <v>-229.40479999999999</v>
      </c>
      <c r="K1242">
        <v>1.1207049999999901</v>
      </c>
      <c r="L1242">
        <v>367.87830000000002</v>
      </c>
      <c r="M1242">
        <v>0.9999017</v>
      </c>
      <c r="N1242">
        <v>-1.400685E-2</v>
      </c>
      <c r="O1242">
        <v>7.4364329999999999E-4</v>
      </c>
      <c r="P1242">
        <v>0.99282570000000003</v>
      </c>
      <c r="Q1242">
        <v>-0.10847320000000001</v>
      </c>
      <c r="R1242">
        <v>-5.0310929999999997E-2</v>
      </c>
      <c r="S1242">
        <v>2.9941249999999999</v>
      </c>
      <c r="T1242">
        <v>-0.14588799999999999</v>
      </c>
      <c r="U1242">
        <v>-0.23065189999999999</v>
      </c>
      <c r="V1242">
        <v>5.1037640000000002E-2</v>
      </c>
      <c r="W1242">
        <v>-9.4562789999999994E-2</v>
      </c>
      <c r="X1242">
        <v>0.99420980000000003</v>
      </c>
      <c r="Y1242">
        <v>7.7430559999999996E-2</v>
      </c>
      <c r="Z1242">
        <v>-2.4517720000000001E-3</v>
      </c>
      <c r="AA1242">
        <v>0.99699470000000001</v>
      </c>
      <c r="AB1242">
        <v>27</v>
      </c>
      <c r="AC1242">
        <v>22.8415</v>
      </c>
      <c r="AD1242">
        <v>-1.12070946139599</v>
      </c>
      <c r="AE1242">
        <v>-1.77190000000001</v>
      </c>
      <c r="AF1242">
        <v>1.78461662884922</v>
      </c>
      <c r="AG1242">
        <v>-1.12070946139599</v>
      </c>
      <c r="AH1242">
        <v>22.785651269690501</v>
      </c>
      <c r="AI1242">
        <v>92.807233451271003</v>
      </c>
      <c r="AJ1242">
        <v>85.521625189738103</v>
      </c>
      <c r="AK1242">
        <v>22.882892081045501</v>
      </c>
      <c r="AL1242">
        <v>95.426156000359001</v>
      </c>
      <c r="AM1242">
        <v>87.061307683182804</v>
      </c>
      <c r="AN1242">
        <v>1.00000004418269</v>
      </c>
    </row>
    <row r="1243" spans="1:40" x14ac:dyDescent="0.25">
      <c r="A1243" t="str">
        <f>"20190303154751337"</f>
        <v>20190303154751337</v>
      </c>
      <c r="B1243" t="str">
        <f>"1551599271331374"</f>
        <v>1551599271331374</v>
      </c>
      <c r="C1243" t="s">
        <v>40</v>
      </c>
      <c r="D1243">
        <v>4.8881459999999999</v>
      </c>
      <c r="E1243">
        <v>0.50909349999999998</v>
      </c>
      <c r="F1243" t="s">
        <v>46</v>
      </c>
      <c r="G1243">
        <v>-206.4015</v>
      </c>
      <c r="H1243" s="1">
        <v>-4.380338E-6</v>
      </c>
      <c r="I1243">
        <v>366.13189999999997</v>
      </c>
      <c r="J1243">
        <v>-229.2586</v>
      </c>
      <c r="K1243">
        <v>1.1207039999999999</v>
      </c>
      <c r="L1243">
        <v>367.8784</v>
      </c>
      <c r="M1243">
        <v>0.9999017</v>
      </c>
      <c r="N1243">
        <v>-1.400526E-2</v>
      </c>
      <c r="O1243">
        <v>7.1155509999999895E-4</v>
      </c>
      <c r="P1243">
        <v>0.99289349999999998</v>
      </c>
      <c r="Q1243">
        <v>-0.108067</v>
      </c>
      <c r="R1243">
        <v>-4.9843220000000001E-2</v>
      </c>
      <c r="S1243">
        <v>2.9942319999999998</v>
      </c>
      <c r="T1243">
        <v>-0.14587720000000001</v>
      </c>
      <c r="U1243">
        <v>-0.22732540000000001</v>
      </c>
      <c r="V1243">
        <v>5.0537060000000002E-2</v>
      </c>
      <c r="W1243">
        <v>-9.4157959999999999E-2</v>
      </c>
      <c r="X1243">
        <v>0.99427370000000004</v>
      </c>
      <c r="Y1243">
        <v>7.6296390000000006E-2</v>
      </c>
      <c r="Z1243">
        <v>-2.4149169999999999E-3</v>
      </c>
      <c r="AA1243">
        <v>0.99708220000000003</v>
      </c>
      <c r="AB1243">
        <v>27</v>
      </c>
      <c r="AC1243">
        <v>22.857099999999999</v>
      </c>
      <c r="AD1243">
        <v>-1.120708380338</v>
      </c>
      <c r="AE1243">
        <v>-1.7465000000000199</v>
      </c>
      <c r="AF1243">
        <v>1.7585621120028301</v>
      </c>
      <c r="AG1243">
        <v>-1.120708380338</v>
      </c>
      <c r="AH1243">
        <v>22.8013540074951</v>
      </c>
      <c r="AI1243">
        <v>92.805559503540394</v>
      </c>
      <c r="AJ1243">
        <v>85.589774342798094</v>
      </c>
      <c r="AK1243">
        <v>22.896512235505298</v>
      </c>
      <c r="AL1243">
        <v>95.4028574861902</v>
      </c>
      <c r="AM1243">
        <v>87.090267450899503</v>
      </c>
      <c r="AN1243">
        <v>0.99999995318824597</v>
      </c>
    </row>
    <row r="1244" spans="1:40" x14ac:dyDescent="0.25">
      <c r="A1244" t="str">
        <f>"20190303154751348"</f>
        <v>20190303154751348</v>
      </c>
      <c r="B1244" t="str">
        <f>"1551599271342110"</f>
        <v>1551599271342110</v>
      </c>
      <c r="C1244" t="s">
        <v>40</v>
      </c>
      <c r="D1244">
        <v>4.8984920000000001</v>
      </c>
      <c r="E1244">
        <v>0.50892190000000004</v>
      </c>
      <c r="F1244" t="s">
        <v>46</v>
      </c>
      <c r="G1244">
        <v>-206.1215</v>
      </c>
      <c r="H1244" s="1">
        <v>-4.2469099999999998E-6</v>
      </c>
      <c r="I1244">
        <v>366.14550000000003</v>
      </c>
      <c r="J1244">
        <v>-229.11689999999999</v>
      </c>
      <c r="K1244">
        <v>1.1207020000000001</v>
      </c>
      <c r="L1244">
        <v>367.87849999999997</v>
      </c>
      <c r="M1244">
        <v>0.99990179999999995</v>
      </c>
      <c r="N1244">
        <v>-1.4003699999999999E-2</v>
      </c>
      <c r="O1244">
        <v>6.7438669999999896E-4</v>
      </c>
      <c r="P1244">
        <v>0.99293679999999995</v>
      </c>
      <c r="Q1244">
        <v>-0.1076937</v>
      </c>
      <c r="R1244">
        <v>-4.9784950000000001E-2</v>
      </c>
      <c r="S1244">
        <v>2.9944310000000001</v>
      </c>
      <c r="T1244">
        <v>-0.14504349999999999</v>
      </c>
      <c r="U1244">
        <v>-0.22427369999999999</v>
      </c>
      <c r="V1244">
        <v>5.0440810000000003E-2</v>
      </c>
      <c r="W1244">
        <v>-9.3786389999999997E-2</v>
      </c>
      <c r="X1244">
        <v>0.99431380000000003</v>
      </c>
      <c r="Y1244">
        <v>7.5246679999999996E-2</v>
      </c>
      <c r="Z1244">
        <v>-2.3699789999999999E-3</v>
      </c>
      <c r="AA1244">
        <v>0.9971622</v>
      </c>
      <c r="AB1244">
        <v>27</v>
      </c>
      <c r="AC1244">
        <v>22.995399999999901</v>
      </c>
      <c r="AD1244">
        <v>-1.12070624691</v>
      </c>
      <c r="AE1244">
        <v>-1.7329999999999399</v>
      </c>
      <c r="AF1244">
        <v>1.7443890296345499</v>
      </c>
      <c r="AG1244">
        <v>-1.12070624691</v>
      </c>
      <c r="AH1244">
        <v>22.940046278595801</v>
      </c>
      <c r="AI1244">
        <v>92.788848865791294</v>
      </c>
      <c r="AJ1244">
        <v>85.651527673045805</v>
      </c>
      <c r="AK1244">
        <v>23.033553760605098</v>
      </c>
      <c r="AL1244">
        <v>95.381472954811699</v>
      </c>
      <c r="AM1244">
        <v>87.0959165891515</v>
      </c>
      <c r="AN1244">
        <v>1.00000004756656</v>
      </c>
    </row>
    <row r="1245" spans="1:40" x14ac:dyDescent="0.25">
      <c r="A1245" t="str">
        <f>"20190303154751361"</f>
        <v>20190303154751361</v>
      </c>
      <c r="B1245" t="str">
        <f>"1551599271351870"</f>
        <v>1551599271351870</v>
      </c>
      <c r="C1245" t="s">
        <v>40</v>
      </c>
      <c r="D1245">
        <v>4.9089939999999999</v>
      </c>
      <c r="E1245">
        <v>0.50875079999999995</v>
      </c>
      <c r="F1245" t="s">
        <v>46</v>
      </c>
      <c r="G1245">
        <v>-205.87469999999999</v>
      </c>
      <c r="H1245" s="1">
        <v>-4.1312380000000001E-6</v>
      </c>
      <c r="I1245">
        <v>366.14870000000002</v>
      </c>
      <c r="J1245">
        <v>-228.97370000000001</v>
      </c>
      <c r="K1245">
        <v>1.1206929999999999</v>
      </c>
      <c r="L1245">
        <v>367.87849999999997</v>
      </c>
      <c r="M1245">
        <v>0.99990190000000001</v>
      </c>
      <c r="N1245">
        <v>-1.400211E-2</v>
      </c>
      <c r="O1245">
        <v>6.3417019999999897E-4</v>
      </c>
      <c r="P1245">
        <v>0.99297469999999999</v>
      </c>
      <c r="Q1245">
        <v>-0.10740710000000001</v>
      </c>
      <c r="R1245">
        <v>-4.964905E-2</v>
      </c>
      <c r="S1245">
        <v>2.994507</v>
      </c>
      <c r="T1245">
        <v>-0.14439089999999999</v>
      </c>
      <c r="U1245">
        <v>-0.22286990000000001</v>
      </c>
      <c r="V1245">
        <v>5.026344E-2</v>
      </c>
      <c r="W1245">
        <v>-9.3501550000000003E-2</v>
      </c>
      <c r="X1245">
        <v>0.9943495</v>
      </c>
      <c r="Y1245">
        <v>7.4741479999999999E-2</v>
      </c>
      <c r="Z1245">
        <v>-2.3444989999999999E-3</v>
      </c>
      <c r="AA1245">
        <v>0.99720019999999998</v>
      </c>
      <c r="AB1245">
        <v>27</v>
      </c>
      <c r="AC1245">
        <v>23.099</v>
      </c>
      <c r="AD1245">
        <v>-1.1206971312380001</v>
      </c>
      <c r="AE1245">
        <v>-1.72979999999995</v>
      </c>
      <c r="AF1245">
        <v>1.7403759385247199</v>
      </c>
      <c r="AG1245">
        <v>-1.1206971312380001</v>
      </c>
      <c r="AH1245">
        <v>23.043957318048001</v>
      </c>
      <c r="AI1245">
        <v>92.776378406108407</v>
      </c>
      <c r="AJ1245">
        <v>85.680982635570402</v>
      </c>
      <c r="AK1245">
        <v>23.136742193821899</v>
      </c>
      <c r="AL1245">
        <v>95.365081369449996</v>
      </c>
      <c r="AM1245">
        <v>87.1062148376013</v>
      </c>
      <c r="AN1245">
        <v>0.999999940701641</v>
      </c>
    </row>
    <row r="1246" spans="1:40" x14ac:dyDescent="0.25">
      <c r="A1246" t="str">
        <f>"20190303154751373"</f>
        <v>20190303154751373</v>
      </c>
      <c r="B1246" t="str">
        <f>"1551599271361629"</f>
        <v>1551599271361629</v>
      </c>
      <c r="C1246" t="s">
        <v>40</v>
      </c>
      <c r="D1246">
        <v>5.0277479999999999</v>
      </c>
      <c r="E1246">
        <v>0.50861840000000003</v>
      </c>
      <c r="F1246" t="s">
        <v>46</v>
      </c>
      <c r="G1246">
        <v>-205.6506</v>
      </c>
      <c r="H1246" s="1">
        <v>-4.0249500000000003E-6</v>
      </c>
      <c r="I1246">
        <v>366.15730000000002</v>
      </c>
      <c r="J1246">
        <v>-228.82329999999999</v>
      </c>
      <c r="K1246">
        <v>1.1206849999999999</v>
      </c>
      <c r="L1246">
        <v>367.87860000000001</v>
      </c>
      <c r="M1246">
        <v>0.99990179999999995</v>
      </c>
      <c r="N1246">
        <v>-1.4000439999999999E-2</v>
      </c>
      <c r="O1246">
        <v>5.8164670000000003E-4</v>
      </c>
      <c r="P1246">
        <v>0.9930215</v>
      </c>
      <c r="Q1246">
        <v>-0.1069152</v>
      </c>
      <c r="R1246">
        <v>-4.977144E-2</v>
      </c>
      <c r="S1246">
        <v>2.9946290000000002</v>
      </c>
      <c r="T1246">
        <v>-0.14389469999999999</v>
      </c>
      <c r="U1246">
        <v>-0.22100829999999999</v>
      </c>
      <c r="V1246">
        <v>5.0331969999999997E-2</v>
      </c>
      <c r="W1246">
        <v>-9.3011769999999994E-2</v>
      </c>
      <c r="X1246">
        <v>0.99439200000000005</v>
      </c>
      <c r="Y1246">
        <v>7.407126E-2</v>
      </c>
      <c r="Z1246">
        <v>-2.315554E-3</v>
      </c>
      <c r="AA1246">
        <v>0.99725030000000003</v>
      </c>
      <c r="AB1246">
        <v>27</v>
      </c>
      <c r="AC1246">
        <v>23.172699999999899</v>
      </c>
      <c r="AD1246">
        <v>-1.1206890249499999</v>
      </c>
      <c r="AE1246">
        <v>-1.7212999999999801</v>
      </c>
      <c r="AF1246">
        <v>1.7307534597315899</v>
      </c>
      <c r="AG1246">
        <v>-1.1206890249499999</v>
      </c>
      <c r="AH1246">
        <v>23.117920340873301</v>
      </c>
      <c r="AI1246">
        <v>92.767625485100098</v>
      </c>
      <c r="AJ1246">
        <v>85.718463604169102</v>
      </c>
      <c r="AK1246">
        <v>23.209689621276201</v>
      </c>
      <c r="AL1246">
        <v>95.336896039073807</v>
      </c>
      <c r="AM1246">
        <v>87.102399759881706</v>
      </c>
      <c r="AN1246">
        <v>0.99999997311330602</v>
      </c>
    </row>
    <row r="1247" spans="1:40" x14ac:dyDescent="0.25">
      <c r="A1247" t="str">
        <f>"20190303154751387"</f>
        <v>20190303154751387</v>
      </c>
      <c r="B1247" t="str">
        <f>"1551599271382125"</f>
        <v>1551599271382125</v>
      </c>
      <c r="C1247" t="s">
        <v>40</v>
      </c>
      <c r="D1247">
        <v>4.8864589999999897</v>
      </c>
      <c r="E1247">
        <v>0.50829150000000001</v>
      </c>
      <c r="F1247" t="s">
        <v>46</v>
      </c>
      <c r="G1247">
        <v>-205.3211</v>
      </c>
      <c r="H1247" s="1">
        <v>-3.873191E-6</v>
      </c>
      <c r="I1247">
        <v>366.14940000000001</v>
      </c>
      <c r="J1247">
        <v>-228.6557</v>
      </c>
      <c r="K1247">
        <v>1.1206849999999999</v>
      </c>
      <c r="L1247">
        <v>367.87860000000001</v>
      </c>
      <c r="M1247">
        <v>0.99990199999999996</v>
      </c>
      <c r="N1247">
        <v>-1.399865E-2</v>
      </c>
      <c r="O1247">
        <v>5.1574900000000003E-4</v>
      </c>
      <c r="P1247">
        <v>0.99295900000000004</v>
      </c>
      <c r="Q1247">
        <v>-0.1073272</v>
      </c>
      <c r="R1247">
        <v>-5.0137139999999997E-2</v>
      </c>
      <c r="S1247">
        <v>2.994675</v>
      </c>
      <c r="T1247">
        <v>-0.14279910000000001</v>
      </c>
      <c r="U1247">
        <v>-0.2203369</v>
      </c>
      <c r="V1247">
        <v>5.0629680000000003E-2</v>
      </c>
      <c r="W1247">
        <v>-9.3427499999999997E-2</v>
      </c>
      <c r="X1247">
        <v>0.9943379</v>
      </c>
      <c r="Y1247">
        <v>7.3784000000000002E-2</v>
      </c>
      <c r="Z1247">
        <v>-2.2906810000000001E-3</v>
      </c>
      <c r="AA1247">
        <v>0.99727160000000004</v>
      </c>
      <c r="AB1247">
        <v>27</v>
      </c>
      <c r="AC1247">
        <v>23.334599999999899</v>
      </c>
      <c r="AD1247">
        <v>-1.1206888731910001</v>
      </c>
      <c r="AE1247">
        <v>-1.7291999999999901</v>
      </c>
      <c r="AF1247">
        <v>1.73725051396375</v>
      </c>
      <c r="AG1247">
        <v>-1.1206888731910001</v>
      </c>
      <c r="AH1247">
        <v>23.280300263202498</v>
      </c>
      <c r="AI1247">
        <v>92.748400235831497</v>
      </c>
      <c r="AJ1247">
        <v>85.732315536269198</v>
      </c>
      <c r="AK1247">
        <v>23.371913983318201</v>
      </c>
      <c r="AL1247">
        <v>95.360819854747305</v>
      </c>
      <c r="AM1247">
        <v>87.085131819035496</v>
      </c>
      <c r="AN1247">
        <v>0.99999996081478004</v>
      </c>
    </row>
    <row r="1248" spans="1:40" x14ac:dyDescent="0.25">
      <c r="A1248" t="str">
        <f>"20190303154751401"</f>
        <v>20190303154751401</v>
      </c>
      <c r="B1248" t="str">
        <f>"1551599271391886"</f>
        <v>1551599271391886</v>
      </c>
      <c r="C1248" t="s">
        <v>40</v>
      </c>
      <c r="D1248">
        <v>4.9037569999999997</v>
      </c>
      <c r="E1248">
        <v>0.50812120000000005</v>
      </c>
      <c r="F1248" t="s">
        <v>46</v>
      </c>
      <c r="G1248">
        <v>-205.565</v>
      </c>
      <c r="H1248" s="1">
        <v>-3.9772440000000002E-6</v>
      </c>
      <c r="I1248">
        <v>366.19260000000003</v>
      </c>
      <c r="J1248">
        <v>-228.4982</v>
      </c>
      <c r="K1248">
        <v>1.1206780000000001</v>
      </c>
      <c r="L1248">
        <v>367.87860000000001</v>
      </c>
      <c r="M1248">
        <v>0.99990199999999996</v>
      </c>
      <c r="N1248">
        <v>-1.3997010000000001E-2</v>
      </c>
      <c r="O1248">
        <v>4.4782699999999998E-4</v>
      </c>
      <c r="P1248">
        <v>0.99296240000000002</v>
      </c>
      <c r="Q1248">
        <v>-0.1072526</v>
      </c>
      <c r="R1248">
        <v>-5.02277E-2</v>
      </c>
      <c r="S1248">
        <v>2.9945369999999998</v>
      </c>
      <c r="T1248">
        <v>-0.14533779999999999</v>
      </c>
      <c r="U1248">
        <v>-0.2186584</v>
      </c>
      <c r="V1248">
        <v>5.065062E-2</v>
      </c>
      <c r="W1248">
        <v>-9.3355750000000001E-2</v>
      </c>
      <c r="X1248">
        <v>0.99434359999999999</v>
      </c>
      <c r="Y1248">
        <v>7.316114E-2</v>
      </c>
      <c r="Z1248">
        <v>-2.300561E-3</v>
      </c>
      <c r="AA1248">
        <v>0.99731749999999997</v>
      </c>
      <c r="AB1248">
        <v>27</v>
      </c>
      <c r="AC1248">
        <v>22.933199999999999</v>
      </c>
      <c r="AD1248">
        <v>-1.120681977244</v>
      </c>
      <c r="AE1248">
        <v>-1.68599999999997</v>
      </c>
      <c r="AF1248">
        <v>1.6922515595774399</v>
      </c>
      <c r="AG1248">
        <v>-1.120681977244</v>
      </c>
      <c r="AH1248">
        <v>22.8781032338206</v>
      </c>
      <c r="AI1248">
        <v>92.796759023060204</v>
      </c>
      <c r="AJ1248">
        <v>85.769639667481002</v>
      </c>
      <c r="AK1248">
        <v>22.967961403057998</v>
      </c>
      <c r="AL1248">
        <v>95.356690689673897</v>
      </c>
      <c r="AM1248">
        <v>87.083945022294301</v>
      </c>
      <c r="AN1248">
        <v>0.99999998811270296</v>
      </c>
    </row>
    <row r="1249" spans="1:40" x14ac:dyDescent="0.25">
      <c r="A1249" t="str">
        <f>"20190303154751414"</f>
        <v>20190303154751414</v>
      </c>
      <c r="B1249" t="str">
        <f>"1551599271411407"</f>
        <v>1551599271411407</v>
      </c>
      <c r="C1249" t="s">
        <v>40</v>
      </c>
      <c r="D1249">
        <v>4.959562</v>
      </c>
      <c r="E1249">
        <v>0.50786030000000004</v>
      </c>
      <c r="F1249" t="s">
        <v>46</v>
      </c>
      <c r="G1249">
        <v>-205.4873</v>
      </c>
      <c r="H1249" s="1">
        <v>-3.937829E-6</v>
      </c>
      <c r="I1249">
        <v>366.20710000000003</v>
      </c>
      <c r="J1249">
        <v>-228.33670000000001</v>
      </c>
      <c r="K1249">
        <v>1.120668</v>
      </c>
      <c r="L1249">
        <v>367.87860000000001</v>
      </c>
      <c r="M1249">
        <v>0.99990199999999996</v>
      </c>
      <c r="N1249">
        <v>-1.399533E-2</v>
      </c>
      <c r="O1249">
        <v>3.643947E-4</v>
      </c>
      <c r="P1249">
        <v>0.99300180000000005</v>
      </c>
      <c r="Q1249">
        <v>-0.1067293</v>
      </c>
      <c r="R1249">
        <v>-5.0561519999999999E-2</v>
      </c>
      <c r="S1249">
        <v>2.994507</v>
      </c>
      <c r="T1249">
        <v>-0.1458392</v>
      </c>
      <c r="U1249">
        <v>-0.21752929999999901</v>
      </c>
      <c r="V1249">
        <v>5.0899550000000002E-2</v>
      </c>
      <c r="W1249">
        <v>-9.2834929999999996E-2</v>
      </c>
      <c r="X1249">
        <v>0.99437960000000003</v>
      </c>
      <c r="Y1249">
        <v>7.2704610000000003E-2</v>
      </c>
      <c r="Z1249">
        <v>-2.2895319999999999E-3</v>
      </c>
      <c r="AA1249">
        <v>0.99735090000000004</v>
      </c>
      <c r="AB1249">
        <v>27</v>
      </c>
      <c r="AC1249">
        <v>22.849399999999999</v>
      </c>
      <c r="AD1249">
        <v>-1.120671937829</v>
      </c>
      <c r="AE1249">
        <v>-1.67149999999998</v>
      </c>
      <c r="AF1249">
        <v>1.67581716521424</v>
      </c>
      <c r="AG1249">
        <v>-1.120671937829</v>
      </c>
      <c r="AH1249">
        <v>22.794249376149299</v>
      </c>
      <c r="AI1249">
        <v>92.807098278267404</v>
      </c>
      <c r="AJ1249">
        <v>85.795219477015095</v>
      </c>
      <c r="AK1249">
        <v>22.883226900626301</v>
      </c>
      <c r="AL1249">
        <v>95.326720007418004</v>
      </c>
      <c r="AM1249">
        <v>87.069744458701706</v>
      </c>
      <c r="AN1249">
        <v>0.99999993865723102</v>
      </c>
    </row>
    <row r="1250" spans="1:40" x14ac:dyDescent="0.25">
      <c r="A1250" t="str">
        <f>"20190303154751426"</f>
        <v>20190303154751426</v>
      </c>
      <c r="B1250" t="str">
        <f>"1551599271422142"</f>
        <v>1551599271422142</v>
      </c>
      <c r="C1250" t="s">
        <v>40</v>
      </c>
      <c r="D1250">
        <v>4.9718280000000004</v>
      </c>
      <c r="E1250">
        <v>0.50773649999999904</v>
      </c>
      <c r="F1250" t="s">
        <v>46</v>
      </c>
      <c r="G1250">
        <v>-205.26920000000001</v>
      </c>
      <c r="H1250" s="1">
        <v>-3.8352659999999998E-6</v>
      </c>
      <c r="I1250">
        <v>366.21140000000003</v>
      </c>
      <c r="J1250">
        <v>-228.20830000000001</v>
      </c>
      <c r="K1250">
        <v>1.120662</v>
      </c>
      <c r="L1250">
        <v>367.87860000000001</v>
      </c>
      <c r="M1250">
        <v>0.99990210000000002</v>
      </c>
      <c r="N1250">
        <v>-1.399398E-2</v>
      </c>
      <c r="O1250">
        <v>2.9297490000000003E-4</v>
      </c>
      <c r="P1250">
        <v>0.99299170000000003</v>
      </c>
      <c r="Q1250">
        <v>-0.1067044</v>
      </c>
      <c r="R1250">
        <v>-5.080846E-2</v>
      </c>
      <c r="S1250">
        <v>2.9944920000000002</v>
      </c>
      <c r="T1250">
        <v>-0.1454791</v>
      </c>
      <c r="U1250">
        <v>-0.2164307</v>
      </c>
      <c r="V1250">
        <v>5.1073689999999998E-2</v>
      </c>
      <c r="W1250">
        <v>-9.2812549999999994E-2</v>
      </c>
      <c r="X1250">
        <v>0.99437279999999995</v>
      </c>
      <c r="Y1250">
        <v>7.2270929999999997E-2</v>
      </c>
      <c r="Z1250">
        <v>-2.2690840000000002E-3</v>
      </c>
      <c r="AA1250">
        <v>0.99738249999999995</v>
      </c>
      <c r="AB1250">
        <v>27</v>
      </c>
      <c r="AC1250">
        <v>22.9391</v>
      </c>
      <c r="AD1250">
        <v>-1.1206658352659999</v>
      </c>
      <c r="AE1250">
        <v>-1.66719999999997</v>
      </c>
      <c r="AF1250">
        <v>1.6699564093038799</v>
      </c>
      <c r="AG1250">
        <v>-1.1206658352659999</v>
      </c>
      <c r="AH1250">
        <v>22.884279391665899</v>
      </c>
      <c r="AI1250">
        <v>92.796168027993104</v>
      </c>
      <c r="AJ1250">
        <v>85.826298382012496</v>
      </c>
      <c r="AK1250">
        <v>22.9724811372026</v>
      </c>
      <c r="AL1250">
        <v>95.325431955818999</v>
      </c>
      <c r="AM1250">
        <v>87.059716816562499</v>
      </c>
      <c r="AN1250">
        <v>0.99999997831377896</v>
      </c>
    </row>
    <row r="1251" spans="1:40" x14ac:dyDescent="0.25">
      <c r="A1251" t="str">
        <f>"20190303154751437"</f>
        <v>20190303154751437</v>
      </c>
      <c r="B1251" t="str">
        <f>"1551599271431901"</f>
        <v>1551599271431901</v>
      </c>
      <c r="C1251" t="s">
        <v>40</v>
      </c>
      <c r="D1251">
        <v>4.9769059999999996</v>
      </c>
      <c r="E1251">
        <v>0.50761599999999996</v>
      </c>
      <c r="F1251" t="s">
        <v>46</v>
      </c>
      <c r="G1251">
        <v>-205.21680000000001</v>
      </c>
      <c r="H1251" s="1">
        <v>-3.8095870000000002E-6</v>
      </c>
      <c r="I1251">
        <v>366.21699999999998</v>
      </c>
      <c r="J1251">
        <v>-228.05869999999999</v>
      </c>
      <c r="K1251">
        <v>1.120654</v>
      </c>
      <c r="L1251">
        <v>367.87849999999997</v>
      </c>
      <c r="M1251">
        <v>0.99990210000000002</v>
      </c>
      <c r="N1251">
        <v>-1.399238E-2</v>
      </c>
      <c r="O1251">
        <v>2.0329190000000001E-4</v>
      </c>
      <c r="P1251">
        <v>0.99301530000000005</v>
      </c>
      <c r="Q1251">
        <v>-0.1063969</v>
      </c>
      <c r="R1251">
        <v>-5.0989600000000003E-2</v>
      </c>
      <c r="S1251">
        <v>2.994415</v>
      </c>
      <c r="T1251">
        <v>-0.14595540000000001</v>
      </c>
      <c r="U1251">
        <v>-0.21640010000000001</v>
      </c>
      <c r="V1251">
        <v>5.1163550000000002E-2</v>
      </c>
      <c r="W1251">
        <v>-9.2507500000000006E-2</v>
      </c>
      <c r="X1251">
        <v>0.99439659999999996</v>
      </c>
      <c r="Y1251">
        <v>7.2172739999999999E-2</v>
      </c>
      <c r="Z1251">
        <v>-2.2686640000000001E-3</v>
      </c>
      <c r="AA1251">
        <v>0.99738959999999999</v>
      </c>
      <c r="AB1251">
        <v>27</v>
      </c>
      <c r="AC1251">
        <v>22.8418999999999</v>
      </c>
      <c r="AD1251">
        <v>-1.1206578095869999</v>
      </c>
      <c r="AE1251">
        <v>-1.66149999999998</v>
      </c>
      <c r="AF1251">
        <v>1.66216417078933</v>
      </c>
      <c r="AG1251">
        <v>-1.1206578095869999</v>
      </c>
      <c r="AH1251">
        <v>22.787001395832299</v>
      </c>
      <c r="AI1251">
        <v>92.808071953147405</v>
      </c>
      <c r="AJ1251">
        <v>85.828032835690095</v>
      </c>
      <c r="AK1251">
        <v>22.8750103009924</v>
      </c>
      <c r="AL1251">
        <v>95.307878391124405</v>
      </c>
      <c r="AM1251">
        <v>87.054623101709396</v>
      </c>
      <c r="AN1251">
        <v>0.99999997224820503</v>
      </c>
    </row>
    <row r="1252" spans="1:40" x14ac:dyDescent="0.25">
      <c r="A1252" t="str">
        <f>"20190303154751450"</f>
        <v>20190303154751450</v>
      </c>
      <c r="B1252" t="str">
        <f>"1551599271441662"</f>
        <v>1551599271441662</v>
      </c>
      <c r="C1252" t="s">
        <v>40</v>
      </c>
      <c r="D1252">
        <v>4.9920019999999896</v>
      </c>
      <c r="E1252">
        <v>0.50750759999999995</v>
      </c>
      <c r="F1252" t="s">
        <v>46</v>
      </c>
      <c r="G1252">
        <v>-205.01320000000001</v>
      </c>
      <c r="H1252" s="1">
        <v>-3.7150719999999999E-6</v>
      </c>
      <c r="I1252">
        <v>366.21559999999999</v>
      </c>
      <c r="J1252">
        <v>-227.91659999999999</v>
      </c>
      <c r="K1252">
        <v>1.1206480000000001</v>
      </c>
      <c r="L1252">
        <v>367.87849999999997</v>
      </c>
      <c r="M1252">
        <v>0.99990219999999996</v>
      </c>
      <c r="N1252">
        <v>-1.3990880000000001E-2</v>
      </c>
      <c r="O1252">
        <v>1.084313E-4</v>
      </c>
      <c r="P1252">
        <v>0.99299899999999997</v>
      </c>
      <c r="Q1252">
        <v>-0.106506</v>
      </c>
      <c r="R1252">
        <v>-5.1085289999999998E-2</v>
      </c>
      <c r="S1252">
        <v>2.99437</v>
      </c>
      <c r="T1252">
        <v>-0.14560999999999999</v>
      </c>
      <c r="U1252">
        <v>-0.21606449999999999</v>
      </c>
      <c r="V1252">
        <v>5.1162949999999999E-2</v>
      </c>
      <c r="W1252">
        <v>-9.2619380000000001E-2</v>
      </c>
      <c r="X1252">
        <v>0.99438629999999995</v>
      </c>
      <c r="Y1252">
        <v>7.1968820000000003E-2</v>
      </c>
      <c r="Z1252">
        <v>-2.254809E-3</v>
      </c>
      <c r="AA1252">
        <v>0.99740430000000002</v>
      </c>
      <c r="AB1252">
        <v>27</v>
      </c>
      <c r="AC1252">
        <v>22.903399999999898</v>
      </c>
      <c r="AD1252">
        <v>-1.1206517150719999</v>
      </c>
      <c r="AE1252">
        <v>-1.6628999999999701</v>
      </c>
      <c r="AF1252">
        <v>1.66142692238585</v>
      </c>
      <c r="AG1252">
        <v>-1.1206517150719999</v>
      </c>
      <c r="AH1252">
        <v>22.848804175695399</v>
      </c>
      <c r="AI1252">
        <v>92.800519918932594</v>
      </c>
      <c r="AJ1252">
        <v>85.841116732498904</v>
      </c>
      <c r="AK1252">
        <v>22.936522228624799</v>
      </c>
      <c r="AL1252">
        <v>95.314315839626204</v>
      </c>
      <c r="AM1252">
        <v>87.054627127043901</v>
      </c>
      <c r="AN1252">
        <v>1.00000005531598</v>
      </c>
    </row>
    <row r="1253" spans="1:40" x14ac:dyDescent="0.25">
      <c r="A1253" t="str">
        <f>"20190303154751479"</f>
        <v>20190303154751479</v>
      </c>
      <c r="B1253" t="str">
        <f>"1551599271471918"</f>
        <v>1551599271471918</v>
      </c>
      <c r="C1253" t="s">
        <v>40</v>
      </c>
      <c r="D1253">
        <v>5.3998559999999998</v>
      </c>
      <c r="E1253">
        <v>0.50746849999999999</v>
      </c>
      <c r="F1253" t="s">
        <v>46</v>
      </c>
      <c r="G1253">
        <v>-204.97649999999999</v>
      </c>
      <c r="H1253" s="1">
        <v>-3.6941599999999999E-6</v>
      </c>
      <c r="I1253">
        <v>366.22899999999998</v>
      </c>
      <c r="J1253">
        <v>-227.5692</v>
      </c>
      <c r="K1253">
        <v>1.1206229999999999</v>
      </c>
      <c r="L1253">
        <v>367.87819999999999</v>
      </c>
      <c r="M1253">
        <v>0.99990230000000002</v>
      </c>
      <c r="N1253">
        <v>-1.398722E-2</v>
      </c>
      <c r="O1253">
        <v>-1.4578059999999999E-4</v>
      </c>
      <c r="P1253">
        <v>0.99296589999999996</v>
      </c>
      <c r="Q1253">
        <v>-0.1068891</v>
      </c>
      <c r="R1253">
        <v>-5.0930639999999999E-2</v>
      </c>
      <c r="S1253">
        <v>2.99437</v>
      </c>
      <c r="T1253">
        <v>-0.14627889999999999</v>
      </c>
      <c r="U1253">
        <v>-0.21530150000000001</v>
      </c>
      <c r="V1253">
        <v>5.0750320000000002E-2</v>
      </c>
      <c r="W1253">
        <v>-9.3008999999999994E-2</v>
      </c>
      <c r="X1253">
        <v>0.994371</v>
      </c>
      <c r="Y1253">
        <v>7.1462449999999997E-2</v>
      </c>
      <c r="Z1253">
        <v>-2.23799E-3</v>
      </c>
      <c r="AA1253">
        <v>0.99744080000000002</v>
      </c>
      <c r="AB1253">
        <v>27</v>
      </c>
      <c r="AC1253">
        <v>22.592700000000001</v>
      </c>
      <c r="AD1253">
        <v>-1.1206266941599901</v>
      </c>
      <c r="AE1253">
        <v>-1.64919999999995</v>
      </c>
      <c r="AF1253">
        <v>1.6418879794916901</v>
      </c>
      <c r="AG1253">
        <v>-1.1206266941599901</v>
      </c>
      <c r="AH1253">
        <v>22.537784700599101</v>
      </c>
      <c r="AI1253">
        <v>92.839012752805104</v>
      </c>
      <c r="AJ1253">
        <v>85.833336802226896</v>
      </c>
      <c r="AK1253">
        <v>22.625280982463401</v>
      </c>
      <c r="AL1253">
        <v>95.336736616100694</v>
      </c>
      <c r="AM1253">
        <v>87.0782954055191</v>
      </c>
      <c r="AN1253">
        <v>0.99999997735105095</v>
      </c>
    </row>
    <row r="1254" spans="1:40" x14ac:dyDescent="0.25">
      <c r="A1254" t="str">
        <f>"20190303154751494"</f>
        <v>20190303154751494</v>
      </c>
      <c r="B1254" t="str">
        <f>"1551599271491438"</f>
        <v>1551599271491438</v>
      </c>
      <c r="C1254" t="s">
        <v>40</v>
      </c>
      <c r="D1254">
        <v>5.2594880000000002</v>
      </c>
      <c r="E1254">
        <v>0.5625637</v>
      </c>
      <c r="F1254" t="s">
        <v>46</v>
      </c>
      <c r="G1254">
        <v>-204.85230000000001</v>
      </c>
      <c r="H1254" s="1">
        <v>-3.627279E-6</v>
      </c>
      <c r="I1254">
        <v>366.24869999999999</v>
      </c>
      <c r="J1254">
        <v>-227.39070000000001</v>
      </c>
      <c r="K1254">
        <v>1.120609</v>
      </c>
      <c r="L1254">
        <v>367.87810000000002</v>
      </c>
      <c r="M1254">
        <v>0.99990219999999996</v>
      </c>
      <c r="N1254">
        <v>-1.398537E-2</v>
      </c>
      <c r="O1254">
        <v>-2.9149329999999998E-4</v>
      </c>
      <c r="P1254">
        <v>0.99295250000000002</v>
      </c>
      <c r="Q1254">
        <v>-0.10708040000000001</v>
      </c>
      <c r="R1254">
        <v>-5.078891E-2</v>
      </c>
      <c r="S1254">
        <v>2.9943390000000001</v>
      </c>
      <c r="T1254">
        <v>-0.14771129999999999</v>
      </c>
      <c r="U1254">
        <v>-0.21478269999999999</v>
      </c>
      <c r="V1254">
        <v>5.046167E-2</v>
      </c>
      <c r="W1254">
        <v>-9.3203419999999995E-2</v>
      </c>
      <c r="X1254">
        <v>0.99436749999999996</v>
      </c>
      <c r="Y1254">
        <v>7.1144579999999999E-2</v>
      </c>
      <c r="Z1254">
        <v>-2.2397329999999998E-3</v>
      </c>
      <c r="AA1254">
        <v>0.99746349999999995</v>
      </c>
      <c r="AB1254">
        <v>27</v>
      </c>
      <c r="AC1254">
        <v>22.538399999999999</v>
      </c>
      <c r="AD1254">
        <v>-1.120612627279</v>
      </c>
      <c r="AE1254">
        <v>-1.6294000000000299</v>
      </c>
      <c r="AF1254">
        <v>1.61884835899396</v>
      </c>
      <c r="AG1254">
        <v>-1.120612627279</v>
      </c>
      <c r="AH1254">
        <v>22.483581521712701</v>
      </c>
      <c r="AI1254">
        <v>92.845983927470797</v>
      </c>
      <c r="AJ1254">
        <v>85.881732999330595</v>
      </c>
      <c r="AK1254">
        <v>22.569622963473201</v>
      </c>
      <c r="AL1254">
        <v>95.347924585580103</v>
      </c>
      <c r="AM1254">
        <v>87.094874279537095</v>
      </c>
      <c r="AN1254">
        <v>0.99999999134756701</v>
      </c>
    </row>
    <row r="1255" spans="1:40" x14ac:dyDescent="0.25">
      <c r="A1255" t="str">
        <f>"20190303154751507"</f>
        <v>20190303154751507</v>
      </c>
      <c r="B1255" t="str">
        <f>"1551599271502174"</f>
        <v>1551599271502174</v>
      </c>
      <c r="C1255" t="s">
        <v>40</v>
      </c>
      <c r="D1255">
        <v>5.2738509999999996</v>
      </c>
      <c r="E1255">
        <v>0.56725340000000002</v>
      </c>
      <c r="F1255" t="s">
        <v>41</v>
      </c>
      <c r="G1255">
        <v>-211.56489999999999</v>
      </c>
      <c r="H1255" s="1">
        <v>-4.5266510000000003E-6</v>
      </c>
      <c r="I1255">
        <v>364.39780000000002</v>
      </c>
      <c r="J1255">
        <v>-227.2431</v>
      </c>
      <c r="K1255">
        <v>1.1206</v>
      </c>
      <c r="L1255">
        <v>367.87790000000001</v>
      </c>
      <c r="M1255">
        <v>0.99990219999999996</v>
      </c>
      <c r="N1255">
        <v>-1.3983850000000001E-2</v>
      </c>
      <c r="O1255">
        <v>-4.161778E-4</v>
      </c>
      <c r="P1255">
        <v>0.99294380000000004</v>
      </c>
      <c r="Q1255">
        <v>-0.107230199999999</v>
      </c>
      <c r="R1255">
        <v>-5.0642090000000001E-2</v>
      </c>
      <c r="S1255">
        <v>2.9652859999999999</v>
      </c>
      <c r="T1255">
        <v>-0.2099683</v>
      </c>
      <c r="U1255">
        <v>-0.6520996</v>
      </c>
      <c r="V1255">
        <v>5.0189110000000002E-2</v>
      </c>
      <c r="W1255">
        <v>-9.3355480000000005E-2</v>
      </c>
      <c r="X1255">
        <v>0.99436709999999995</v>
      </c>
      <c r="Y1255">
        <v>0.21375769999999999</v>
      </c>
      <c r="Z1255">
        <v>-8.9606960000000006E-3</v>
      </c>
      <c r="AA1255">
        <v>0.97684559999999998</v>
      </c>
      <c r="AB1255">
        <v>27</v>
      </c>
      <c r="AC1255">
        <v>15.6782</v>
      </c>
      <c r="AD1255">
        <v>-1.1206045266509901</v>
      </c>
      <c r="AE1255">
        <v>-3.48009999999999</v>
      </c>
      <c r="AF1255">
        <v>3.4567438409614701</v>
      </c>
      <c r="AG1255">
        <v>-1.1206045266509901</v>
      </c>
      <c r="AH1255">
        <v>15.603675466821301</v>
      </c>
      <c r="AI1255">
        <v>94.010829023396099</v>
      </c>
      <c r="AJ1255">
        <v>77.508777156921397</v>
      </c>
      <c r="AK1255">
        <v>16.021220944767499</v>
      </c>
      <c r="AL1255">
        <v>95.356674760460095</v>
      </c>
      <c r="AM1255">
        <v>87.1105379908483</v>
      </c>
      <c r="AN1255">
        <v>1.00000006098551</v>
      </c>
    </row>
    <row r="1256" spans="1:40" x14ac:dyDescent="0.25">
      <c r="A1256" t="str">
        <f>"20190303154751521"</f>
        <v>20190303154751521</v>
      </c>
      <c r="B1256" t="str">
        <f>"1551599271511933"</f>
        <v>1551599271511933</v>
      </c>
      <c r="C1256" t="s">
        <v>40</v>
      </c>
      <c r="D1256">
        <v>5.2412349999999996</v>
      </c>
      <c r="E1256">
        <v>0.57033159999999905</v>
      </c>
      <c r="F1256" t="s">
        <v>41</v>
      </c>
      <c r="G1256">
        <v>-212.21950000000001</v>
      </c>
      <c r="H1256" s="1">
        <v>-4.2484300000000003E-6</v>
      </c>
      <c r="I1256">
        <v>364.38319999999999</v>
      </c>
      <c r="J1256">
        <v>-227.07149999999999</v>
      </c>
      <c r="K1256">
        <v>1.1205940000000001</v>
      </c>
      <c r="L1256">
        <v>367.8777</v>
      </c>
      <c r="M1256">
        <v>0.99990219999999996</v>
      </c>
      <c r="N1256">
        <v>-1.3982090000000001E-2</v>
      </c>
      <c r="O1256">
        <v>-5.6517540000000004E-4</v>
      </c>
      <c r="P1256">
        <v>0.99290140000000005</v>
      </c>
      <c r="Q1256">
        <v>-0.1077212</v>
      </c>
      <c r="R1256">
        <v>-5.0430000000000003E-2</v>
      </c>
      <c r="S1256">
        <v>2.9623110000000001</v>
      </c>
      <c r="T1256">
        <v>-0.2209566</v>
      </c>
      <c r="U1256">
        <v>-0.68905640000000001</v>
      </c>
      <c r="V1256">
        <v>4.9827209999999997E-2</v>
      </c>
      <c r="W1256">
        <v>-9.3849379999999996E-2</v>
      </c>
      <c r="X1256">
        <v>0.99433879999999997</v>
      </c>
      <c r="Y1256">
        <v>0.22529959999999999</v>
      </c>
      <c r="Z1256">
        <v>-9.8453629999999993E-3</v>
      </c>
      <c r="AA1256">
        <v>0.97423979999999999</v>
      </c>
      <c r="AB1256">
        <v>26</v>
      </c>
      <c r="AC1256">
        <v>14.851999999999901</v>
      </c>
      <c r="AD1256">
        <v>-1.1205982484299899</v>
      </c>
      <c r="AE1256">
        <v>-3.4945000000000102</v>
      </c>
      <c r="AF1256">
        <v>3.4674006935167299</v>
      </c>
      <c r="AG1256">
        <v>-1.1205982484299899</v>
      </c>
      <c r="AH1256">
        <v>14.774277034028</v>
      </c>
      <c r="AI1256">
        <v>94.223146158624999</v>
      </c>
      <c r="AJ1256">
        <v>76.792187950060296</v>
      </c>
      <c r="AK1256">
        <v>15.2170256581893</v>
      </c>
      <c r="AL1256">
        <v>95.385097974723706</v>
      </c>
      <c r="AM1256">
        <v>87.131256677558994</v>
      </c>
      <c r="AN1256">
        <v>1.0000000530841</v>
      </c>
    </row>
    <row r="1257" spans="1:40" x14ac:dyDescent="0.25">
      <c r="A1257" t="str">
        <f>"20190303154751535"</f>
        <v>20190303154751535</v>
      </c>
      <c r="B1257" t="str">
        <f>"1551599271531454"</f>
        <v>1551599271531454</v>
      </c>
      <c r="C1257" t="s">
        <v>40</v>
      </c>
      <c r="D1257">
        <v>5.2127290000000004</v>
      </c>
      <c r="E1257">
        <v>0.57421420000000001</v>
      </c>
      <c r="F1257" t="s">
        <v>41</v>
      </c>
      <c r="G1257">
        <v>-212.7028</v>
      </c>
      <c r="H1257" s="1">
        <v>-4.0351349999999996E-6</v>
      </c>
      <c r="I1257">
        <v>364.41669999999999</v>
      </c>
      <c r="J1257">
        <v>-226.90629999999999</v>
      </c>
      <c r="K1257">
        <v>1.1205889999999901</v>
      </c>
      <c r="L1257">
        <v>367.87740000000002</v>
      </c>
      <c r="M1257">
        <v>0.99990210000000002</v>
      </c>
      <c r="N1257">
        <v>-1.39804E-2</v>
      </c>
      <c r="O1257">
        <v>-7.1377149999999896E-4</v>
      </c>
      <c r="P1257">
        <v>0.99295719999999998</v>
      </c>
      <c r="Q1257">
        <v>-0.107281</v>
      </c>
      <c r="R1257">
        <v>-5.0267489999999998E-2</v>
      </c>
      <c r="S1257">
        <v>2.9601899999999999</v>
      </c>
      <c r="T1257">
        <v>-0.23086019999999999</v>
      </c>
      <c r="U1257">
        <v>-0.71301269999999894</v>
      </c>
      <c r="V1257">
        <v>4.9516350000000001E-2</v>
      </c>
      <c r="W1257">
        <v>-9.3410499999999994E-2</v>
      </c>
      <c r="X1257">
        <v>0.99439560000000005</v>
      </c>
      <c r="Y1257">
        <v>0.232684</v>
      </c>
      <c r="Z1257">
        <v>-1.0539720000000001E-2</v>
      </c>
      <c r="AA1257">
        <v>0.97249529999999995</v>
      </c>
      <c r="AB1257">
        <v>26</v>
      </c>
      <c r="AC1257">
        <v>14.203499999999901</v>
      </c>
      <c r="AD1257">
        <v>-1.12059303513499</v>
      </c>
      <c r="AE1257">
        <v>-3.4607000000000299</v>
      </c>
      <c r="AF1257">
        <v>3.4304040737432402</v>
      </c>
      <c r="AG1257">
        <v>-1.12059303513499</v>
      </c>
      <c r="AH1257">
        <v>14.122984451399599</v>
      </c>
      <c r="AI1257">
        <v>94.408979526077303</v>
      </c>
      <c r="AJ1257">
        <v>76.347525870288194</v>
      </c>
      <c r="AK1257">
        <v>14.576765439356601</v>
      </c>
      <c r="AL1257">
        <v>95.359841338300896</v>
      </c>
      <c r="AM1257">
        <v>87.149287034354202</v>
      </c>
      <c r="AN1257">
        <v>0.99999999986346599</v>
      </c>
    </row>
    <row r="1258" spans="1:40" x14ac:dyDescent="0.25">
      <c r="A1258" t="str">
        <f>"20190303154751547"</f>
        <v>20190303154751547</v>
      </c>
      <c r="B1258" t="str">
        <f>"1551599271541214"</f>
        <v>1551599271541214</v>
      </c>
      <c r="C1258" t="s">
        <v>40</v>
      </c>
      <c r="D1258">
        <v>5.2395300000000002</v>
      </c>
      <c r="E1258">
        <v>0.57555880000000004</v>
      </c>
      <c r="F1258" t="s">
        <v>41</v>
      </c>
      <c r="G1258">
        <v>-212.59690000000001</v>
      </c>
      <c r="H1258" s="1">
        <v>-4.1044489999999999E-6</v>
      </c>
      <c r="I1258">
        <v>364.28199999999998</v>
      </c>
      <c r="J1258">
        <v>-226.76159999999999</v>
      </c>
      <c r="K1258">
        <v>1.120587</v>
      </c>
      <c r="L1258">
        <v>367.87720000000002</v>
      </c>
      <c r="M1258">
        <v>0.99990199999999996</v>
      </c>
      <c r="N1258">
        <v>-1.3978920000000001E-2</v>
      </c>
      <c r="O1258">
        <v>-8.4553179999999903E-4</v>
      </c>
      <c r="P1258">
        <v>0.99297480000000005</v>
      </c>
      <c r="Q1258">
        <v>-0.1070603</v>
      </c>
      <c r="R1258">
        <v>-5.0394170000000002E-2</v>
      </c>
      <c r="S1258">
        <v>2.958618</v>
      </c>
      <c r="T1258">
        <v>-0.23169300000000001</v>
      </c>
      <c r="U1258">
        <v>-0.74337769999999903</v>
      </c>
      <c r="V1258">
        <v>4.9511579999999999E-2</v>
      </c>
      <c r="W1258">
        <v>-9.3191289999999996E-2</v>
      </c>
      <c r="X1258">
        <v>0.99441639999999998</v>
      </c>
      <c r="Y1258">
        <v>0.24203749999999999</v>
      </c>
      <c r="Z1258">
        <v>-1.098557E-2</v>
      </c>
      <c r="AA1258">
        <v>0.97020470000000003</v>
      </c>
      <c r="AB1258">
        <v>26</v>
      </c>
      <c r="AC1258">
        <v>14.1646999999999</v>
      </c>
      <c r="AD1258">
        <v>-1.120591104449</v>
      </c>
      <c r="AE1258">
        <v>-3.5952000000000299</v>
      </c>
      <c r="AF1258">
        <v>3.56227521310044</v>
      </c>
      <c r="AG1258">
        <v>-1.120591104449</v>
      </c>
      <c r="AH1258">
        <v>14.0849179478901</v>
      </c>
      <c r="AI1258">
        <v>94.410549209956002</v>
      </c>
      <c r="AJ1258">
        <v>75.806717163386594</v>
      </c>
      <c r="AK1258">
        <v>14.571562809665799</v>
      </c>
      <c r="AL1258">
        <v>95.347226530959901</v>
      </c>
      <c r="AM1258">
        <v>87.149620719509002</v>
      </c>
      <c r="AN1258">
        <v>0.99999999483746005</v>
      </c>
    </row>
    <row r="1259" spans="1:40" x14ac:dyDescent="0.25">
      <c r="A1259" t="str">
        <f>"20190303154751559"</f>
        <v>20190303154751559</v>
      </c>
      <c r="B1259" t="str">
        <f>"1551599271551460"</f>
        <v>1551599271551460</v>
      </c>
      <c r="C1259" t="s">
        <v>40</v>
      </c>
      <c r="D1259">
        <v>5.2287400000000002</v>
      </c>
      <c r="E1259">
        <v>0.57649719999999904</v>
      </c>
      <c r="F1259" t="s">
        <v>41</v>
      </c>
      <c r="G1259">
        <v>-212.52500000000001</v>
      </c>
      <c r="H1259" s="1">
        <v>-4.141535E-6</v>
      </c>
      <c r="I1259">
        <v>364.24700000000001</v>
      </c>
      <c r="J1259">
        <v>-226.6182</v>
      </c>
      <c r="K1259">
        <v>1.1205889999999901</v>
      </c>
      <c r="L1259">
        <v>367.87700000000001</v>
      </c>
      <c r="M1259">
        <v>0.99990179999999995</v>
      </c>
      <c r="N1259">
        <v>-1.3977450000000001E-2</v>
      </c>
      <c r="O1259">
        <v>-9.772769000000001E-4</v>
      </c>
      <c r="P1259">
        <v>0.99300469999999996</v>
      </c>
      <c r="Q1259">
        <v>-0.1067492</v>
      </c>
      <c r="R1259">
        <v>-5.0460739999999997E-2</v>
      </c>
      <c r="S1259">
        <v>2.95784</v>
      </c>
      <c r="T1259">
        <v>-0.23281550000000001</v>
      </c>
      <c r="U1259">
        <v>-0.75421139999999998</v>
      </c>
      <c r="V1259">
        <v>4.9447100000000001E-2</v>
      </c>
      <c r="W1259">
        <v>-9.2881420000000006E-2</v>
      </c>
      <c r="X1259">
        <v>0.99444860000000002</v>
      </c>
      <c r="Y1259">
        <v>0.24529020000000001</v>
      </c>
      <c r="Z1259">
        <v>-1.1169689999999999E-2</v>
      </c>
      <c r="AA1259">
        <v>0.96938530000000001</v>
      </c>
      <c r="AB1259">
        <v>26</v>
      </c>
      <c r="AC1259">
        <v>14.0931999999999</v>
      </c>
      <c r="AD1259">
        <v>-1.1205931415349999</v>
      </c>
      <c r="AE1259">
        <v>-3.6299999999999901</v>
      </c>
      <c r="AF1259">
        <v>3.59490982029094</v>
      </c>
      <c r="AG1259">
        <v>-1.1205931415349999</v>
      </c>
      <c r="AH1259">
        <v>14.0136544821331</v>
      </c>
      <c r="AI1259">
        <v>94.429080801271596</v>
      </c>
      <c r="AJ1259">
        <v>75.612217768666596</v>
      </c>
      <c r="AK1259">
        <v>14.510741454160399</v>
      </c>
      <c r="AL1259">
        <v>95.329394940881699</v>
      </c>
      <c r="AM1259">
        <v>87.153418743174001</v>
      </c>
      <c r="AN1259">
        <v>0.99999999596079303</v>
      </c>
    </row>
    <row r="1260" spans="1:40" x14ac:dyDescent="0.25">
      <c r="A1260" t="str">
        <f>"20190303154751578"</f>
        <v>20190303154751578</v>
      </c>
      <c r="B1260" t="str">
        <f>"1551599271571957"</f>
        <v>1551599271571957</v>
      </c>
      <c r="C1260" t="s">
        <v>40</v>
      </c>
      <c r="D1260">
        <v>5.2499900000000004</v>
      </c>
      <c r="E1260">
        <v>0.57781590000000005</v>
      </c>
      <c r="F1260" t="s">
        <v>41</v>
      </c>
      <c r="G1260">
        <v>-212.54589999999999</v>
      </c>
      <c r="H1260" s="1">
        <v>-4.1322539999999901E-6</v>
      </c>
      <c r="I1260">
        <v>364.24880000000002</v>
      </c>
      <c r="J1260">
        <v>-226.40170000000001</v>
      </c>
      <c r="K1260">
        <v>1.120592</v>
      </c>
      <c r="L1260">
        <v>367.87650000000002</v>
      </c>
      <c r="M1260">
        <v>0.9999017</v>
      </c>
      <c r="N1260">
        <v>-1.397521E-2</v>
      </c>
      <c r="O1260">
        <v>-1.1775399999999999E-3</v>
      </c>
      <c r="P1260">
        <v>0.99300350000000004</v>
      </c>
      <c r="Q1260">
        <v>-0.1066183</v>
      </c>
      <c r="R1260">
        <v>-5.076108E-2</v>
      </c>
      <c r="S1260">
        <v>2.957077</v>
      </c>
      <c r="T1260">
        <v>-0.23547409999999999</v>
      </c>
      <c r="U1260">
        <v>-0.76239009999999996</v>
      </c>
      <c r="V1260">
        <v>4.9548420000000003E-2</v>
      </c>
      <c r="W1260">
        <v>-9.2752689999999999E-2</v>
      </c>
      <c r="X1260">
        <v>0.9944556</v>
      </c>
      <c r="Y1260">
        <v>0.24764549999999999</v>
      </c>
      <c r="Z1260">
        <v>-1.137234E-2</v>
      </c>
      <c r="AA1260">
        <v>0.96878399999999998</v>
      </c>
      <c r="AB1260">
        <v>26</v>
      </c>
      <c r="AC1260">
        <v>13.8558</v>
      </c>
      <c r="AD1260">
        <v>-1.1205961322539999</v>
      </c>
      <c r="AE1260">
        <v>-3.6276999999999999</v>
      </c>
      <c r="AF1260">
        <v>3.5894084377624198</v>
      </c>
      <c r="AG1260">
        <v>-1.1205961322539999</v>
      </c>
      <c r="AH1260">
        <v>13.775737725479001</v>
      </c>
      <c r="AI1260">
        <v>94.500892870119898</v>
      </c>
      <c r="AJ1260">
        <v>75.395725285102998</v>
      </c>
      <c r="AK1260">
        <v>14.2797247349481</v>
      </c>
      <c r="AL1260">
        <v>95.321987128482206</v>
      </c>
      <c r="AM1260">
        <v>87.147615599564205</v>
      </c>
      <c r="AN1260">
        <v>1.0000000238990401</v>
      </c>
    </row>
    <row r="1261" spans="1:40" x14ac:dyDescent="0.25">
      <c r="A1261" t="str">
        <f>"20190303154751592"</f>
        <v>20190303154751592</v>
      </c>
      <c r="B1261" t="str">
        <f>"1551599271581717"</f>
        <v>1551599271581717</v>
      </c>
      <c r="C1261" t="s">
        <v>40</v>
      </c>
      <c r="D1261">
        <v>5.23095</v>
      </c>
      <c r="E1261">
        <v>0.57837329999999998</v>
      </c>
      <c r="F1261" t="s">
        <v>41</v>
      </c>
      <c r="G1261">
        <v>-212.63460000000001</v>
      </c>
      <c r="H1261" s="1">
        <v>-4.089516E-6</v>
      </c>
      <c r="I1261">
        <v>364.27499999999998</v>
      </c>
      <c r="J1261">
        <v>-226.2405</v>
      </c>
      <c r="K1261">
        <v>1.1205940000000001</v>
      </c>
      <c r="L1261">
        <v>367.87619999999998</v>
      </c>
      <c r="M1261">
        <v>0.9999015</v>
      </c>
      <c r="N1261">
        <v>-1.397354E-2</v>
      </c>
      <c r="O1261">
        <v>-1.326411E-3</v>
      </c>
      <c r="P1261">
        <v>0.99299669999999896</v>
      </c>
      <c r="Q1261">
        <v>-0.10659920000000001</v>
      </c>
      <c r="R1261">
        <v>-5.0935099999999997E-2</v>
      </c>
      <c r="S1261">
        <v>2.9557799999999999</v>
      </c>
      <c r="T1261">
        <v>-0.24059059999999999</v>
      </c>
      <c r="U1261">
        <v>-0.77322389999999996</v>
      </c>
      <c r="V1261">
        <v>4.9574409999999999E-2</v>
      </c>
      <c r="W1261">
        <v>-9.2735250000000005E-2</v>
      </c>
      <c r="X1261">
        <v>0.99445589999999995</v>
      </c>
      <c r="Y1261">
        <v>0.25088270000000001</v>
      </c>
      <c r="Z1261">
        <v>-1.172314E-2</v>
      </c>
      <c r="AA1261">
        <v>0.96794650000000004</v>
      </c>
      <c r="AB1261">
        <v>26</v>
      </c>
      <c r="AC1261">
        <v>13.605899999999901</v>
      </c>
      <c r="AD1261">
        <v>-1.1205980895159999</v>
      </c>
      <c r="AE1261">
        <v>-3.6012</v>
      </c>
      <c r="AF1261">
        <v>3.5605766078391099</v>
      </c>
      <c r="AG1261">
        <v>-1.1205980895159999</v>
      </c>
      <c r="AH1261">
        <v>13.524927040908</v>
      </c>
      <c r="AI1261">
        <v>94.580994586708499</v>
      </c>
      <c r="AJ1261">
        <v>75.250948904298596</v>
      </c>
      <c r="AK1261">
        <v>14.030577226914099</v>
      </c>
      <c r="AL1261">
        <v>95.320983730258405</v>
      </c>
      <c r="AM1261">
        <v>87.146122749550202</v>
      </c>
      <c r="AN1261">
        <v>0.99999999288210994</v>
      </c>
    </row>
    <row r="1262" spans="1:40" x14ac:dyDescent="0.25">
      <c r="A1262" t="str">
        <f>"20190303154751606"</f>
        <v>20190303154751606</v>
      </c>
      <c r="B1262" t="str">
        <f>"1551599271602213"</f>
        <v>1551599271602213</v>
      </c>
      <c r="C1262" t="s">
        <v>40</v>
      </c>
      <c r="D1262">
        <v>5.2098610000000001</v>
      </c>
      <c r="E1262">
        <v>0.57919900000000002</v>
      </c>
      <c r="F1262" t="s">
        <v>41</v>
      </c>
      <c r="G1262">
        <v>-212.5453</v>
      </c>
      <c r="H1262" s="1">
        <v>-4.1288299999999997E-6</v>
      </c>
      <c r="I1262">
        <v>364.26949999999999</v>
      </c>
      <c r="J1262">
        <v>-226.08349999999999</v>
      </c>
      <c r="K1262">
        <v>1.120595</v>
      </c>
      <c r="L1262">
        <v>367.87580000000003</v>
      </c>
      <c r="M1262">
        <v>0.99990140000000005</v>
      </c>
      <c r="N1262">
        <v>-1.3971920000000001E-2</v>
      </c>
      <c r="O1262">
        <v>-1.470985E-3</v>
      </c>
      <c r="P1262">
        <v>0.99297829999999998</v>
      </c>
      <c r="Q1262">
        <v>-0.1066188</v>
      </c>
      <c r="R1262">
        <v>-5.1253960000000001E-2</v>
      </c>
      <c r="S1262">
        <v>2.955276</v>
      </c>
      <c r="T1262">
        <v>-0.24181069999999999</v>
      </c>
      <c r="U1262">
        <v>-0.77825929999999999</v>
      </c>
      <c r="V1262">
        <v>4.9749889999999998E-2</v>
      </c>
      <c r="W1262">
        <v>-9.2756699999999997E-2</v>
      </c>
      <c r="X1262">
        <v>0.99444509999999997</v>
      </c>
      <c r="Y1262">
        <v>0.25231239999999999</v>
      </c>
      <c r="Z1262">
        <v>-1.183097E-2</v>
      </c>
      <c r="AA1262">
        <v>0.96757349999999998</v>
      </c>
      <c r="AB1262">
        <v>26</v>
      </c>
      <c r="AC1262">
        <v>13.5381999999999</v>
      </c>
      <c r="AD1262">
        <v>-1.1205991288299999</v>
      </c>
      <c r="AE1262">
        <v>-3.6063000000000298</v>
      </c>
      <c r="AF1262">
        <v>3.5635818642103398</v>
      </c>
      <c r="AG1262">
        <v>-1.1205991288299999</v>
      </c>
      <c r="AH1262">
        <v>13.457397782565</v>
      </c>
      <c r="AI1262">
        <v>94.602140639837501</v>
      </c>
      <c r="AJ1262">
        <v>75.168230334162601</v>
      </c>
      <c r="AK1262">
        <v>13.966259813874601</v>
      </c>
      <c r="AL1262">
        <v>95.322218236763604</v>
      </c>
      <c r="AM1262">
        <v>87.136006533243702</v>
      </c>
      <c r="AN1262">
        <v>0.99999995693195498</v>
      </c>
    </row>
    <row r="1263" spans="1:40" x14ac:dyDescent="0.25">
      <c r="A1263" t="str">
        <f>"20190303154751618"</f>
        <v>20190303154751618</v>
      </c>
      <c r="B1263" t="str">
        <f>"1551599271611973"</f>
        <v>1551599271611973</v>
      </c>
      <c r="C1263" t="s">
        <v>40</v>
      </c>
      <c r="D1263">
        <v>5.2329819999999998</v>
      </c>
      <c r="E1263">
        <v>0.57953909999999997</v>
      </c>
      <c r="F1263" t="s">
        <v>41</v>
      </c>
      <c r="G1263">
        <v>-212.49359999999999</v>
      </c>
      <c r="H1263" s="1">
        <v>-4.1524240000000001E-6</v>
      </c>
      <c r="I1263">
        <v>364.26139999999998</v>
      </c>
      <c r="J1263">
        <v>-225.92189999999999</v>
      </c>
      <c r="K1263">
        <v>1.1205969999999901</v>
      </c>
      <c r="L1263">
        <v>367.87540000000001</v>
      </c>
      <c r="M1263">
        <v>0.99990109999999999</v>
      </c>
      <c r="N1263">
        <v>-1.397025E-2</v>
      </c>
      <c r="O1263">
        <v>-1.6187720000000001E-3</v>
      </c>
      <c r="P1263">
        <v>0.99296269999999998</v>
      </c>
      <c r="Q1263">
        <v>-0.10667119999999999</v>
      </c>
      <c r="R1263">
        <v>-5.1442880000000003E-2</v>
      </c>
      <c r="S1263">
        <v>2.9544980000000001</v>
      </c>
      <c r="T1263">
        <v>-0.2436218</v>
      </c>
      <c r="U1263">
        <v>-0.78576659999999998</v>
      </c>
      <c r="V1263">
        <v>4.9792240000000001E-2</v>
      </c>
      <c r="W1263">
        <v>-9.2810760000000006E-2</v>
      </c>
      <c r="X1263">
        <v>0.99443800000000004</v>
      </c>
      <c r="Y1263">
        <v>0.25450859999999997</v>
      </c>
      <c r="Z1263">
        <v>-1.200004E-2</v>
      </c>
      <c r="AA1263">
        <v>0.96699610000000003</v>
      </c>
      <c r="AB1263">
        <v>26</v>
      </c>
      <c r="AC1263">
        <v>13.4283</v>
      </c>
      <c r="AD1263">
        <v>-1.1206011524239901</v>
      </c>
      <c r="AE1263">
        <v>-3.6140000000000301</v>
      </c>
      <c r="AF1263">
        <v>3.5690793719569598</v>
      </c>
      <c r="AG1263">
        <v>-1.1206011524239901</v>
      </c>
      <c r="AH1263">
        <v>13.347459254408401</v>
      </c>
      <c r="AI1263">
        <v>94.636914634605205</v>
      </c>
      <c r="AJ1263">
        <v>75.029487711476605</v>
      </c>
      <c r="AK1263">
        <v>13.8617727240868</v>
      </c>
      <c r="AL1263">
        <v>95.325328728658306</v>
      </c>
      <c r="AM1263">
        <v>87.133552168311098</v>
      </c>
      <c r="AN1263">
        <v>1.0000000200899899</v>
      </c>
    </row>
    <row r="1264" spans="1:40" x14ac:dyDescent="0.25">
      <c r="A1264" t="str">
        <f>"20190303154751634"</f>
        <v>20190303154751634</v>
      </c>
      <c r="B1264" t="str">
        <f>"1551599271621733"</f>
        <v>1551599271621733</v>
      </c>
      <c r="C1264" t="s">
        <v>40</v>
      </c>
      <c r="D1264">
        <v>5.2535629999999998</v>
      </c>
      <c r="E1264">
        <v>0.57989889999999999</v>
      </c>
      <c r="F1264" t="s">
        <v>41</v>
      </c>
      <c r="G1264">
        <v>-212.38319999999999</v>
      </c>
      <c r="H1264" s="1">
        <v>-4.2003939999999999E-6</v>
      </c>
      <c r="I1264">
        <v>364.25799999999998</v>
      </c>
      <c r="J1264">
        <v>-225.74469999999999</v>
      </c>
      <c r="K1264">
        <v>1.1206</v>
      </c>
      <c r="L1264">
        <v>367.87490000000003</v>
      </c>
      <c r="M1264">
        <v>0.99990089999999998</v>
      </c>
      <c r="N1264">
        <v>-1.3968410000000001E-2</v>
      </c>
      <c r="O1264">
        <v>-1.7795459999999999E-3</v>
      </c>
      <c r="P1264">
        <v>0.99296589999999996</v>
      </c>
      <c r="Q1264">
        <v>-0.1064481</v>
      </c>
      <c r="R1264">
        <v>-5.18459E-2</v>
      </c>
      <c r="S1264">
        <v>2.9541170000000001</v>
      </c>
      <c r="T1264">
        <v>-0.2445127</v>
      </c>
      <c r="U1264">
        <v>-0.78930659999999997</v>
      </c>
      <c r="V1264">
        <v>5.0035740000000002E-2</v>
      </c>
      <c r="W1264">
        <v>-9.2589340000000006E-2</v>
      </c>
      <c r="X1264">
        <v>0.99444639999999995</v>
      </c>
      <c r="Y1264">
        <v>0.25545639999999997</v>
      </c>
      <c r="Z1264">
        <v>-1.207126E-2</v>
      </c>
      <c r="AA1264">
        <v>0.96674519999999997</v>
      </c>
      <c r="AB1264">
        <v>26</v>
      </c>
      <c r="AC1264">
        <v>13.361499999999999</v>
      </c>
      <c r="AD1264">
        <v>-1.120604200394</v>
      </c>
      <c r="AE1264">
        <v>-3.6168999999999798</v>
      </c>
      <c r="AF1264">
        <v>3.56971988979419</v>
      </c>
      <c r="AG1264">
        <v>-1.120604200394</v>
      </c>
      <c r="AH1264">
        <v>13.280877813960601</v>
      </c>
      <c r="AI1264">
        <v>94.658460217503702</v>
      </c>
      <c r="AJ1264">
        <v>74.955251965406802</v>
      </c>
      <c r="AK1264">
        <v>13.797839300951599</v>
      </c>
      <c r="AL1264">
        <v>95.312587531755199</v>
      </c>
      <c r="AM1264">
        <v>87.119582160136005</v>
      </c>
      <c r="AN1264">
        <v>1.00000000181597</v>
      </c>
    </row>
    <row r="1265" spans="1:40" x14ac:dyDescent="0.25">
      <c r="A1265" t="str">
        <f>"20190303154751648"</f>
        <v>20190303154751648</v>
      </c>
      <c r="B1265" t="str">
        <f>"1551599271641252"</f>
        <v>1551599271641252</v>
      </c>
      <c r="C1265" t="s">
        <v>40</v>
      </c>
      <c r="D1265">
        <v>5.2441319999999996</v>
      </c>
      <c r="E1265">
        <v>0.5805323</v>
      </c>
      <c r="F1265" t="s">
        <v>41</v>
      </c>
      <c r="G1265">
        <v>-212.18639999999999</v>
      </c>
      <c r="H1265" s="1">
        <v>-4.2891320000000002E-6</v>
      </c>
      <c r="I1265">
        <v>364.23360000000002</v>
      </c>
      <c r="J1265">
        <v>-225.5752</v>
      </c>
      <c r="K1265">
        <v>1.120603</v>
      </c>
      <c r="L1265">
        <v>367.87450000000001</v>
      </c>
      <c r="M1265">
        <v>0.99990080000000003</v>
      </c>
      <c r="N1265">
        <v>-1.3966650000000001E-2</v>
      </c>
      <c r="O1265">
        <v>-1.9322149999999999E-3</v>
      </c>
      <c r="P1265">
        <v>0.992977</v>
      </c>
      <c r="Q1265">
        <v>-0.1061743</v>
      </c>
      <c r="R1265">
        <v>-5.2192210000000003E-2</v>
      </c>
      <c r="S1265">
        <v>2.9536739999999999</v>
      </c>
      <c r="T1265">
        <v>-0.2441229</v>
      </c>
      <c r="U1265">
        <v>-0.79324340000000004</v>
      </c>
      <c r="V1265">
        <v>5.0231119999999997E-2</v>
      </c>
      <c r="W1265">
        <v>-9.2317010000000005E-2</v>
      </c>
      <c r="X1265">
        <v>0.99446190000000001</v>
      </c>
      <c r="Y1265">
        <v>0.2565462</v>
      </c>
      <c r="Z1265">
        <v>-1.209646E-2</v>
      </c>
      <c r="AA1265">
        <v>0.96645630000000005</v>
      </c>
      <c r="AB1265">
        <v>26</v>
      </c>
      <c r="AC1265">
        <v>13.3888</v>
      </c>
      <c r="AD1265">
        <v>-1.120607289132</v>
      </c>
      <c r="AE1265">
        <v>-3.6408999999999798</v>
      </c>
      <c r="AF1265">
        <v>3.5915930912880198</v>
      </c>
      <c r="AG1265">
        <v>-1.120607289132</v>
      </c>
      <c r="AH1265">
        <v>13.3089976137873</v>
      </c>
      <c r="AI1265">
        <v>94.647423678004998</v>
      </c>
      <c r="AJ1265">
        <v>74.897793195302697</v>
      </c>
      <c r="AK1265">
        <v>13.8305719011775</v>
      </c>
      <c r="AL1265">
        <v>95.296916889516098</v>
      </c>
      <c r="AM1265">
        <v>87.108398724893505</v>
      </c>
      <c r="AN1265">
        <v>1.0000000331517001</v>
      </c>
    </row>
    <row r="1266" spans="1:40" x14ac:dyDescent="0.25">
      <c r="A1266" t="str">
        <f>"20190303154751662"</f>
        <v>20190303154751662</v>
      </c>
      <c r="B1266" t="str">
        <f>"1551599271651477"</f>
        <v>1551599271651477</v>
      </c>
      <c r="C1266" t="s">
        <v>40</v>
      </c>
      <c r="D1266">
        <v>5.2705039999999999</v>
      </c>
      <c r="E1266">
        <v>0.58072489999999999</v>
      </c>
      <c r="F1266" t="s">
        <v>41</v>
      </c>
      <c r="G1266">
        <v>-212.01949999999999</v>
      </c>
      <c r="H1266" s="1">
        <v>-4.3658800000000003E-6</v>
      </c>
      <c r="I1266">
        <v>364.20460000000003</v>
      </c>
      <c r="J1266">
        <v>-225.41650000000001</v>
      </c>
      <c r="K1266">
        <v>1.1206039999999999</v>
      </c>
      <c r="L1266">
        <v>367.87400000000002</v>
      </c>
      <c r="M1266">
        <v>0.99990029999999996</v>
      </c>
      <c r="N1266">
        <v>-1.3965E-2</v>
      </c>
      <c r="O1266">
        <v>-2.0740390000000002E-3</v>
      </c>
      <c r="P1266">
        <v>0.99296280000000003</v>
      </c>
      <c r="Q1266">
        <v>-0.10596940000000001</v>
      </c>
      <c r="R1266">
        <v>-5.2869850000000003E-2</v>
      </c>
      <c r="S1266">
        <v>2.9531100000000001</v>
      </c>
      <c r="T1266">
        <v>-0.24412320000000001</v>
      </c>
      <c r="U1266">
        <v>-0.79946899999999999</v>
      </c>
      <c r="V1266">
        <v>5.0768010000000002E-2</v>
      </c>
      <c r="W1266">
        <v>-9.2113990000000007E-2</v>
      </c>
      <c r="X1266">
        <v>0.99445340000000004</v>
      </c>
      <c r="Y1266">
        <v>0.25834810000000002</v>
      </c>
      <c r="Z1266">
        <v>-1.2172189999999999E-2</v>
      </c>
      <c r="AA1266">
        <v>0.96597520000000003</v>
      </c>
      <c r="AB1266">
        <v>26</v>
      </c>
      <c r="AC1266">
        <v>13.397</v>
      </c>
      <c r="AD1266">
        <v>-1.1206083658799999</v>
      </c>
      <c r="AE1266">
        <v>-3.6693999999999898</v>
      </c>
      <c r="AF1266">
        <v>3.61805563492935</v>
      </c>
      <c r="AG1266">
        <v>-1.1206083658799999</v>
      </c>
      <c r="AH1266">
        <v>13.317903763096499</v>
      </c>
      <c r="AI1266">
        <v>94.642226986849096</v>
      </c>
      <c r="AJ1266">
        <v>74.801357115916801</v>
      </c>
      <c r="AK1266">
        <v>13.846033740036299</v>
      </c>
      <c r="AL1266">
        <v>95.285235252123599</v>
      </c>
      <c r="AM1266">
        <v>87.077520510310094</v>
      </c>
      <c r="AN1266">
        <v>0.999999971382319</v>
      </c>
    </row>
    <row r="1267" spans="1:40" x14ac:dyDescent="0.25">
      <c r="A1267" t="str">
        <f>"20190303154751676"</f>
        <v>20190303154751676</v>
      </c>
      <c r="B1267" t="str">
        <f>"1551599271671973"</f>
        <v>1551599271671973</v>
      </c>
      <c r="C1267" t="s">
        <v>40</v>
      </c>
      <c r="D1267">
        <v>5.218985</v>
      </c>
      <c r="E1267">
        <v>0.581229</v>
      </c>
      <c r="F1267" t="s">
        <v>41</v>
      </c>
      <c r="G1267">
        <v>-211.89410000000001</v>
      </c>
      <c r="H1267" s="1">
        <v>-4.4209509999999998E-6</v>
      </c>
      <c r="I1267">
        <v>364.19749999999999</v>
      </c>
      <c r="J1267">
        <v>-225.2353</v>
      </c>
      <c r="K1267">
        <v>1.120606</v>
      </c>
      <c r="L1267">
        <v>367.8734</v>
      </c>
      <c r="M1267">
        <v>0.99990000000000001</v>
      </c>
      <c r="N1267">
        <v>-1.3963100000000001E-2</v>
      </c>
      <c r="O1267">
        <v>-2.235173E-3</v>
      </c>
      <c r="P1267">
        <v>0.99297880000000005</v>
      </c>
      <c r="Q1267">
        <v>-0.1054321</v>
      </c>
      <c r="R1267">
        <v>-5.3640779999999999E-2</v>
      </c>
      <c r="S1267">
        <v>2.9523929999999998</v>
      </c>
      <c r="T1267">
        <v>-0.24466399999999999</v>
      </c>
      <c r="U1267">
        <v>-0.80267330000000003</v>
      </c>
      <c r="V1267">
        <v>5.1379309999999997E-2</v>
      </c>
      <c r="W1267">
        <v>-9.1578430000000002E-2</v>
      </c>
      <c r="X1267">
        <v>0.99447149999999995</v>
      </c>
      <c r="Y1267">
        <v>0.25922109999999998</v>
      </c>
      <c r="Z1267">
        <v>-1.222674E-2</v>
      </c>
      <c r="AA1267">
        <v>0.96574059999999995</v>
      </c>
      <c r="AB1267">
        <v>26</v>
      </c>
      <c r="AC1267">
        <v>13.341199999999899</v>
      </c>
      <c r="AD1267">
        <v>-1.1206104209509999</v>
      </c>
      <c r="AE1267">
        <v>-3.6759000000000102</v>
      </c>
      <c r="AF1267">
        <v>3.6223145504538299</v>
      </c>
      <c r="AG1267">
        <v>-1.1206104209509999</v>
      </c>
      <c r="AH1267">
        <v>13.262414942626499</v>
      </c>
      <c r="AI1267">
        <v>94.659857462034296</v>
      </c>
      <c r="AJ1267">
        <v>74.723602751372596</v>
      </c>
      <c r="AK1267">
        <v>13.7937877513167</v>
      </c>
      <c r="AL1267">
        <v>95.254419503699197</v>
      </c>
      <c r="AM1267">
        <v>87.0424466394158</v>
      </c>
      <c r="AN1267">
        <v>1.00000000332479</v>
      </c>
    </row>
    <row r="1268" spans="1:40" x14ac:dyDescent="0.25">
      <c r="A1268" t="str">
        <f>"20190303154751690"</f>
        <v>20190303154751690</v>
      </c>
      <c r="B1268" t="str">
        <f>"1551599271681732"</f>
        <v>1551599271681732</v>
      </c>
      <c r="C1268" t="s">
        <v>40</v>
      </c>
      <c r="D1268">
        <v>5.2395940000000003</v>
      </c>
      <c r="E1268">
        <v>0.58146969999999898</v>
      </c>
      <c r="F1268" t="s">
        <v>41</v>
      </c>
      <c r="G1268">
        <v>-211.70400000000001</v>
      </c>
      <c r="H1268" s="1">
        <v>-4.5084139999999999E-6</v>
      </c>
      <c r="I1268">
        <v>364.16419999999999</v>
      </c>
      <c r="J1268">
        <v>-225.08189999999999</v>
      </c>
      <c r="K1268">
        <v>1.1206050000000001</v>
      </c>
      <c r="L1268">
        <v>367.87290000000002</v>
      </c>
      <c r="M1268">
        <v>0.99989989999999995</v>
      </c>
      <c r="N1268">
        <v>-1.396149E-2</v>
      </c>
      <c r="O1268">
        <v>-2.3715110000000002E-3</v>
      </c>
      <c r="P1268">
        <v>0.99298560000000002</v>
      </c>
      <c r="Q1268">
        <v>-0.1046583</v>
      </c>
      <c r="R1268">
        <v>-5.5014880000000002E-2</v>
      </c>
      <c r="S1268">
        <v>2.9515690000000001</v>
      </c>
      <c r="T1268">
        <v>-0.24443670000000001</v>
      </c>
      <c r="U1268">
        <v>-0.80908199999999997</v>
      </c>
      <c r="V1268">
        <v>5.2618659999999998E-2</v>
      </c>
      <c r="W1268">
        <v>-9.080647E-2</v>
      </c>
      <c r="X1268">
        <v>0.99447750000000001</v>
      </c>
      <c r="Y1268">
        <v>0.26110359999999999</v>
      </c>
      <c r="Z1268">
        <v>-1.229795E-2</v>
      </c>
      <c r="AA1268">
        <v>0.96523239999999999</v>
      </c>
      <c r="AB1268">
        <v>26</v>
      </c>
      <c r="AC1268">
        <v>13.377899999999901</v>
      </c>
      <c r="AD1268">
        <v>-1.12060950841399</v>
      </c>
      <c r="AE1268">
        <v>-3.7087000000000199</v>
      </c>
      <c r="AF1268">
        <v>3.6531569626557099</v>
      </c>
      <c r="AG1268">
        <v>-1.12060950841399</v>
      </c>
      <c r="AH1268">
        <v>13.2999967230731</v>
      </c>
      <c r="AI1268">
        <v>94.644920688846199</v>
      </c>
      <c r="AJ1268">
        <v>74.641140765711299</v>
      </c>
      <c r="AK1268">
        <v>13.838035781782899</v>
      </c>
      <c r="AL1268">
        <v>95.210004310090397</v>
      </c>
      <c r="AM1268">
        <v>86.971255295018295</v>
      </c>
      <c r="AN1268">
        <v>1.0000000181901501</v>
      </c>
    </row>
    <row r="1269" spans="1:40" x14ac:dyDescent="0.25">
      <c r="A1269" t="str">
        <f>"20190303154751711"</f>
        <v>20190303154751711</v>
      </c>
      <c r="B1269" t="str">
        <f>"1551599271701253"</f>
        <v>1551599271701253</v>
      </c>
      <c r="C1269" t="s">
        <v>40</v>
      </c>
      <c r="D1269">
        <v>5.2357370000000003</v>
      </c>
      <c r="E1269">
        <v>0.58189930000000001</v>
      </c>
      <c r="F1269" t="s">
        <v>41</v>
      </c>
      <c r="G1269">
        <v>-211.51920000000001</v>
      </c>
      <c r="H1269" s="1">
        <v>-4.5947140000000002E-6</v>
      </c>
      <c r="I1269">
        <v>364.12459999999999</v>
      </c>
      <c r="J1269">
        <v>-224.83959999999999</v>
      </c>
      <c r="K1269">
        <v>1.1206050000000001</v>
      </c>
      <c r="L1269">
        <v>367.87209999999999</v>
      </c>
      <c r="M1269">
        <v>0.99989930000000005</v>
      </c>
      <c r="N1269">
        <v>-1.3958979999999999E-2</v>
      </c>
      <c r="O1269">
        <v>-2.5861529999999999E-3</v>
      </c>
      <c r="P1269">
        <v>0.99293240000000005</v>
      </c>
      <c r="Q1269">
        <v>-0.10388169999999999</v>
      </c>
      <c r="R1269">
        <v>-5.7393909999999999E-2</v>
      </c>
      <c r="S1269">
        <v>2.9503020000000002</v>
      </c>
      <c r="T1269">
        <v>-0.24376619999999999</v>
      </c>
      <c r="U1269">
        <v>-0.81536869999999995</v>
      </c>
      <c r="V1269">
        <v>5.4785250000000001E-2</v>
      </c>
      <c r="W1269">
        <v>-9.0033810000000006E-2</v>
      </c>
      <c r="X1269">
        <v>0.9944307</v>
      </c>
      <c r="Y1269">
        <v>0.26291199999999998</v>
      </c>
      <c r="Z1269">
        <v>-1.234272E-2</v>
      </c>
      <c r="AA1269">
        <v>0.96474090000000001</v>
      </c>
      <c r="AB1269">
        <v>26</v>
      </c>
      <c r="AC1269">
        <v>13.3203999999999</v>
      </c>
      <c r="AD1269">
        <v>-1.12060959471399</v>
      </c>
      <c r="AE1269">
        <v>-3.7475000000000001</v>
      </c>
      <c r="AF1269">
        <v>3.6888429134201099</v>
      </c>
      <c r="AG1269">
        <v>-1.12060959471399</v>
      </c>
      <c r="AH1269">
        <v>13.243194912353101</v>
      </c>
      <c r="AI1269">
        <v>94.660136817590896</v>
      </c>
      <c r="AJ1269">
        <v>74.435018381299997</v>
      </c>
      <c r="AK1269">
        <v>13.792952526208101</v>
      </c>
      <c r="AL1269">
        <v>95.165552344998602</v>
      </c>
      <c r="AM1269">
        <v>86.846644368988507</v>
      </c>
      <c r="AN1269">
        <v>0.99999996383158296</v>
      </c>
    </row>
    <row r="1270" spans="1:40" x14ac:dyDescent="0.25">
      <c r="A1270" t="str">
        <f>"20190303154751726"</f>
        <v>20190303154751726</v>
      </c>
      <c r="B1270" t="str">
        <f>"1551599271721749"</f>
        <v>1551599271721749</v>
      </c>
      <c r="C1270" t="s">
        <v>40</v>
      </c>
      <c r="D1270">
        <v>5.2284810000000004</v>
      </c>
      <c r="E1270">
        <v>0.58228239999999998</v>
      </c>
      <c r="F1270" t="s">
        <v>41</v>
      </c>
      <c r="G1270">
        <v>-211.2439</v>
      </c>
      <c r="H1270" s="1">
        <v>-4.7235109999999998E-6</v>
      </c>
      <c r="I1270">
        <v>364.06420000000003</v>
      </c>
      <c r="J1270">
        <v>-224.6712</v>
      </c>
      <c r="K1270">
        <v>1.120609</v>
      </c>
      <c r="L1270">
        <v>367.87150000000003</v>
      </c>
      <c r="M1270">
        <v>0.99989899999999998</v>
      </c>
      <c r="N1270">
        <v>-1.3957260000000001E-2</v>
      </c>
      <c r="O1270">
        <v>-2.73501E-3</v>
      </c>
      <c r="P1270">
        <v>0.99289479999999997</v>
      </c>
      <c r="Q1270">
        <v>-0.1038968</v>
      </c>
      <c r="R1270">
        <v>-5.8016419999999999E-2</v>
      </c>
      <c r="S1270">
        <v>2.9481809999999999</v>
      </c>
      <c r="T1270">
        <v>-0.24299999999999999</v>
      </c>
      <c r="U1270">
        <v>-0.82571410000000001</v>
      </c>
      <c r="V1270">
        <v>5.5260160000000003E-2</v>
      </c>
      <c r="W1270">
        <v>-9.0051030000000004E-2</v>
      </c>
      <c r="X1270">
        <v>0.99440289999999998</v>
      </c>
      <c r="Y1270">
        <v>0.26608100000000001</v>
      </c>
      <c r="Z1270">
        <v>-1.2453570000000001E-2</v>
      </c>
      <c r="AA1270">
        <v>0.96387020000000001</v>
      </c>
      <c r="AB1270">
        <v>26</v>
      </c>
      <c r="AC1270">
        <v>13.427300000000001</v>
      </c>
      <c r="AD1270">
        <v>-1.1206137235110001</v>
      </c>
      <c r="AE1270">
        <v>-3.8072999999999899</v>
      </c>
      <c r="AF1270">
        <v>3.7464057422415502</v>
      </c>
      <c r="AG1270">
        <v>-1.1206137235110001</v>
      </c>
      <c r="AH1270">
        <v>13.3515876496856</v>
      </c>
      <c r="AI1270">
        <v>94.620039944024199</v>
      </c>
      <c r="AJ1270">
        <v>74.326078214961299</v>
      </c>
      <c r="AK1270">
        <v>13.9124485217397</v>
      </c>
      <c r="AL1270">
        <v>95.166542812990102</v>
      </c>
      <c r="AM1270">
        <v>86.819276418256905</v>
      </c>
      <c r="AN1270">
        <v>1.00000000040784</v>
      </c>
    </row>
    <row r="1271" spans="1:40" x14ac:dyDescent="0.25">
      <c r="A1271" t="str">
        <f>"20190303154751739"</f>
        <v>20190303154751739</v>
      </c>
      <c r="B1271" t="str">
        <f>"1551599271731508"</f>
        <v>1551599271731508</v>
      </c>
      <c r="C1271" t="s">
        <v>40</v>
      </c>
      <c r="D1271">
        <v>4.8929199999999904</v>
      </c>
      <c r="E1271">
        <v>0.5829105</v>
      </c>
      <c r="F1271" t="s">
        <v>41</v>
      </c>
      <c r="G1271">
        <v>-211.1268</v>
      </c>
      <c r="H1271" s="1">
        <v>-4.7754979999999998E-6</v>
      </c>
      <c r="I1271">
        <v>364.05439999999999</v>
      </c>
      <c r="J1271">
        <v>-224.5076</v>
      </c>
      <c r="K1271">
        <v>1.120609</v>
      </c>
      <c r="L1271">
        <v>367.87079999999997</v>
      </c>
      <c r="M1271">
        <v>0.99989850000000002</v>
      </c>
      <c r="N1271">
        <v>-1.395559E-2</v>
      </c>
      <c r="O1271">
        <v>-2.8804070000000002E-3</v>
      </c>
      <c r="P1271">
        <v>0.99277199999999999</v>
      </c>
      <c r="Q1271">
        <v>-0.10454280000000001</v>
      </c>
      <c r="R1271">
        <v>-5.8947140000000002E-2</v>
      </c>
      <c r="S1271">
        <v>2.947403</v>
      </c>
      <c r="T1271">
        <v>-0.24385580000000001</v>
      </c>
      <c r="U1271">
        <v>-0.83062739999999902</v>
      </c>
      <c r="V1271">
        <v>5.6046800000000001E-2</v>
      </c>
      <c r="W1271">
        <v>-9.0700429999999999E-2</v>
      </c>
      <c r="X1271">
        <v>0.99429979999999996</v>
      </c>
      <c r="Y1271">
        <v>0.26748460000000002</v>
      </c>
      <c r="Z1271">
        <v>-1.2548119999999999E-2</v>
      </c>
      <c r="AA1271">
        <v>0.96348040000000001</v>
      </c>
      <c r="AB1271">
        <v>26</v>
      </c>
      <c r="AC1271">
        <v>13.380799999999899</v>
      </c>
      <c r="AD1271">
        <v>-1.1206137754979999</v>
      </c>
      <c r="AE1271">
        <v>-3.8163999999999798</v>
      </c>
      <c r="AF1271">
        <v>3.7534927957816402</v>
      </c>
      <c r="AG1271">
        <v>-1.1206137754979999</v>
      </c>
      <c r="AH1271">
        <v>13.305438156420401</v>
      </c>
      <c r="AI1271">
        <v>94.634183078020698</v>
      </c>
      <c r="AJ1271">
        <v>74.246126286656903</v>
      </c>
      <c r="AK1271">
        <v>13.8700817566498</v>
      </c>
      <c r="AL1271">
        <v>95.203903835250102</v>
      </c>
      <c r="AM1271">
        <v>86.773759316344197</v>
      </c>
      <c r="AN1271">
        <v>0.99999995203623104</v>
      </c>
    </row>
    <row r="1272" spans="1:40" x14ac:dyDescent="0.25">
      <c r="A1272" t="str">
        <f>"20190303154751753"</f>
        <v>20190303154751753</v>
      </c>
      <c r="B1272" t="str">
        <f>"1551599271742245"</f>
        <v>1551599271742245</v>
      </c>
      <c r="C1272" t="s">
        <v>40</v>
      </c>
      <c r="D1272">
        <v>5.2477660000000004</v>
      </c>
      <c r="E1272">
        <v>0.58299400000000001</v>
      </c>
      <c r="F1272" t="s">
        <v>41</v>
      </c>
      <c r="G1272">
        <v>-210.2491</v>
      </c>
      <c r="H1272" s="1">
        <v>-5.1949029999999999E-6</v>
      </c>
      <c r="I1272">
        <v>363.81279999999998</v>
      </c>
      <c r="J1272">
        <v>-224.35140000000001</v>
      </c>
      <c r="K1272">
        <v>1.1206069999999999</v>
      </c>
      <c r="L1272">
        <v>367.87020000000001</v>
      </c>
      <c r="M1272">
        <v>0.99989810000000001</v>
      </c>
      <c r="N1272">
        <v>-1.3954009999999999E-2</v>
      </c>
      <c r="O1272">
        <v>-3.0186599999999998E-3</v>
      </c>
      <c r="P1272">
        <v>0.99261449999999996</v>
      </c>
      <c r="Q1272">
        <v>-0.1056826</v>
      </c>
      <c r="R1272">
        <v>-5.9563159999999997E-2</v>
      </c>
      <c r="S1272">
        <v>2.947632</v>
      </c>
      <c r="T1272">
        <v>-0.23166100000000001</v>
      </c>
      <c r="U1272">
        <v>-0.83889769999999897</v>
      </c>
      <c r="V1272">
        <v>5.6525800000000001E-2</v>
      </c>
      <c r="W1272">
        <v>-9.1843889999999997E-2</v>
      </c>
      <c r="X1272">
        <v>0.99416769999999999</v>
      </c>
      <c r="Y1272">
        <v>0.26991579999999998</v>
      </c>
      <c r="Z1272">
        <v>-1.21172E-2</v>
      </c>
      <c r="AA1272">
        <v>0.96280770000000004</v>
      </c>
      <c r="AB1272">
        <v>26</v>
      </c>
      <c r="AC1272">
        <v>14.1023</v>
      </c>
      <c r="AD1272">
        <v>-1.1206121949029999</v>
      </c>
      <c r="AE1272">
        <v>-4.0574000000000296</v>
      </c>
      <c r="AF1272">
        <v>3.9915301182365299</v>
      </c>
      <c r="AG1272">
        <v>-1.1206121949029999</v>
      </c>
      <c r="AH1272">
        <v>14.0326513549245</v>
      </c>
      <c r="AI1272">
        <v>94.392296648620302</v>
      </c>
      <c r="AJ1272">
        <v>74.121815066725205</v>
      </c>
      <c r="AK1272">
        <v>14.632272155240299</v>
      </c>
      <c r="AL1272">
        <v>95.269693941317996</v>
      </c>
      <c r="AM1272">
        <v>86.745814058291202</v>
      </c>
      <c r="AN1272">
        <v>0.99999994095962896</v>
      </c>
    </row>
    <row r="1273" spans="1:40" x14ac:dyDescent="0.25">
      <c r="A1273" t="str">
        <f>"20190303154751768"</f>
        <v>20190303154751768</v>
      </c>
      <c r="B1273" t="str">
        <f>"1551599271762272"</f>
        <v>1551599271762272</v>
      </c>
      <c r="C1273" t="s">
        <v>40</v>
      </c>
      <c r="D1273">
        <v>5.2466330000000001</v>
      </c>
      <c r="E1273">
        <v>0.58313859999999995</v>
      </c>
      <c r="F1273" t="s">
        <v>41</v>
      </c>
      <c r="G1273">
        <v>-210.39019999999999</v>
      </c>
      <c r="H1273" s="1">
        <v>-5.1217959999999997E-6</v>
      </c>
      <c r="I1273">
        <v>363.8836</v>
      </c>
      <c r="J1273">
        <v>-224.17920000000001</v>
      </c>
      <c r="K1273">
        <v>1.1205989999999999</v>
      </c>
      <c r="L1273">
        <v>367.86950000000002</v>
      </c>
      <c r="M1273">
        <v>0.9998977</v>
      </c>
      <c r="N1273">
        <v>-1.3952229999999999E-2</v>
      </c>
      <c r="O1273">
        <v>-3.170853E-3</v>
      </c>
      <c r="P1273">
        <v>0.99236230000000003</v>
      </c>
      <c r="Q1273">
        <v>-0.10786800000000001</v>
      </c>
      <c r="R1273">
        <v>-5.984689E-2</v>
      </c>
      <c r="S1273">
        <v>2.9466549999999998</v>
      </c>
      <c r="T1273">
        <v>-0.23651610000000001</v>
      </c>
      <c r="U1273">
        <v>-0.84140009999999998</v>
      </c>
      <c r="V1273">
        <v>5.6658489999999999E-2</v>
      </c>
      <c r="W1273">
        <v>-9.4034149999999997E-2</v>
      </c>
      <c r="X1273">
        <v>0.99395540000000004</v>
      </c>
      <c r="Y1273">
        <v>0.27057179999999997</v>
      </c>
      <c r="Z1273">
        <v>-1.2352139999999999E-2</v>
      </c>
      <c r="AA1273">
        <v>0.96262060000000005</v>
      </c>
      <c r="AB1273">
        <v>26</v>
      </c>
      <c r="AC1273">
        <v>13.789</v>
      </c>
      <c r="AD1273">
        <v>-1.1206041217960001</v>
      </c>
      <c r="AE1273">
        <v>-3.9859000000000102</v>
      </c>
      <c r="AF1273">
        <v>3.9182702367397901</v>
      </c>
      <c r="AG1273">
        <v>-1.1206041217960001</v>
      </c>
      <c r="AH1273">
        <v>13.7179571333451</v>
      </c>
      <c r="AI1273">
        <v>94.491219868037604</v>
      </c>
      <c r="AJ1273">
        <v>74.059029785091496</v>
      </c>
      <c r="AK1273">
        <v>14.3105186194701</v>
      </c>
      <c r="AL1273">
        <v>95.395731981625104</v>
      </c>
      <c r="AM1273">
        <v>86.737496391885898</v>
      </c>
      <c r="AN1273">
        <v>0.99999997152222997</v>
      </c>
    </row>
    <row r="1274" spans="1:40" x14ac:dyDescent="0.25">
      <c r="A1274" t="str">
        <f>"20190303154751781"</f>
        <v>20190303154751781</v>
      </c>
      <c r="B1274" t="str">
        <f>"1551599271772032"</f>
        <v>1551599271772032</v>
      </c>
      <c r="C1274" t="s">
        <v>40</v>
      </c>
      <c r="D1274">
        <v>5.2312580000000004</v>
      </c>
      <c r="E1274">
        <v>0.58328290000000005</v>
      </c>
      <c r="F1274" t="s">
        <v>41</v>
      </c>
      <c r="G1274">
        <v>-210.72620000000001</v>
      </c>
      <c r="H1274" s="1">
        <v>-4.9537739999999996E-6</v>
      </c>
      <c r="I1274">
        <v>364.01819999999998</v>
      </c>
      <c r="J1274">
        <v>-224.0248</v>
      </c>
      <c r="K1274">
        <v>1.120598</v>
      </c>
      <c r="L1274">
        <v>367.8689</v>
      </c>
      <c r="M1274">
        <v>0.99989740000000005</v>
      </c>
      <c r="N1274">
        <v>-1.395062E-2</v>
      </c>
      <c r="O1274">
        <v>-3.3063569999999998E-3</v>
      </c>
      <c r="P1274">
        <v>0.99229590000000001</v>
      </c>
      <c r="Q1274">
        <v>-0.1085647</v>
      </c>
      <c r="R1274">
        <v>-5.9688669999999999E-2</v>
      </c>
      <c r="S1274">
        <v>2.945541</v>
      </c>
      <c r="T1274">
        <v>-0.24535689999999999</v>
      </c>
      <c r="U1274">
        <v>-0.8432617</v>
      </c>
      <c r="V1274">
        <v>5.636588E-2</v>
      </c>
      <c r="W1274">
        <v>-9.4732910000000004E-2</v>
      </c>
      <c r="X1274">
        <v>0.9939057</v>
      </c>
      <c r="Y1274">
        <v>0.27103179999999999</v>
      </c>
      <c r="Z1274">
        <v>-1.2754929999999999E-2</v>
      </c>
      <c r="AA1274">
        <v>0.96248590000000001</v>
      </c>
      <c r="AB1274">
        <v>26</v>
      </c>
      <c r="AC1274">
        <v>13.298599999999899</v>
      </c>
      <c r="AD1274">
        <v>-1.1206029537740001</v>
      </c>
      <c r="AE1274">
        <v>-3.85070000000001</v>
      </c>
      <c r="AF1274">
        <v>3.7819283380677402</v>
      </c>
      <c r="AG1274">
        <v>-1.1206029537740001</v>
      </c>
      <c r="AH1274">
        <v>13.224622300144</v>
      </c>
      <c r="AI1274">
        <v>94.657609219571796</v>
      </c>
      <c r="AJ1274">
        <v>74.040726617853693</v>
      </c>
      <c r="AK1274">
        <v>13.8003394130634</v>
      </c>
      <c r="AL1274">
        <v>95.435947415220497</v>
      </c>
      <c r="AM1274">
        <v>86.754147363554296</v>
      </c>
      <c r="AN1274">
        <v>0.99999998857886596</v>
      </c>
    </row>
    <row r="1275" spans="1:40" x14ac:dyDescent="0.25">
      <c r="A1275" t="str">
        <f>"20190303154751795"</f>
        <v>20190303154751795</v>
      </c>
      <c r="B1275" t="str">
        <f>"1551599271791552"</f>
        <v>1551599271791552</v>
      </c>
      <c r="C1275" t="s">
        <v>40</v>
      </c>
      <c r="D1275">
        <v>5.2389099999999997</v>
      </c>
      <c r="E1275">
        <v>0.583509099999999</v>
      </c>
      <c r="F1275" t="s">
        <v>41</v>
      </c>
      <c r="G1275">
        <v>-210.7235</v>
      </c>
      <c r="H1275" s="1">
        <v>-4.9479630000000004E-6</v>
      </c>
      <c r="I1275">
        <v>364.05739999999997</v>
      </c>
      <c r="J1275">
        <v>-223.86019999999999</v>
      </c>
      <c r="K1275">
        <v>1.1205959999999999</v>
      </c>
      <c r="L1275">
        <v>367.8682</v>
      </c>
      <c r="M1275">
        <v>0.99989669999999997</v>
      </c>
      <c r="N1275">
        <v>-1.394896E-2</v>
      </c>
      <c r="O1275">
        <v>-3.4493639999999999E-3</v>
      </c>
      <c r="P1275">
        <v>0.99215410000000004</v>
      </c>
      <c r="Q1275">
        <v>-0.10978599999999999</v>
      </c>
      <c r="R1275">
        <v>-5.9811349999999999E-2</v>
      </c>
      <c r="S1275">
        <v>2.945389</v>
      </c>
      <c r="T1275">
        <v>-0.2481419</v>
      </c>
      <c r="U1275">
        <v>-0.84399409999999897</v>
      </c>
      <c r="V1275">
        <v>5.6346680000000003E-2</v>
      </c>
      <c r="W1275">
        <v>-9.5957349999999997E-2</v>
      </c>
      <c r="X1275">
        <v>0.99378929999999999</v>
      </c>
      <c r="Y1275">
        <v>0.2711073</v>
      </c>
      <c r="Z1275">
        <v>-1.287076E-2</v>
      </c>
      <c r="AA1275">
        <v>0.96246310000000002</v>
      </c>
      <c r="AB1275">
        <v>26</v>
      </c>
      <c r="AC1275">
        <v>13.1366999999999</v>
      </c>
      <c r="AD1275">
        <v>-1.1206009479629999</v>
      </c>
      <c r="AE1275">
        <v>-3.8108000000000199</v>
      </c>
      <c r="AF1275">
        <v>3.74035510367588</v>
      </c>
      <c r="AG1275">
        <v>-1.1206009479629999</v>
      </c>
      <c r="AH1275">
        <v>13.0620976438382</v>
      </c>
      <c r="AI1275">
        <v>94.714827016253807</v>
      </c>
      <c r="AJ1275">
        <v>74.020839933819403</v>
      </c>
      <c r="AK1275">
        <v>13.6332093669588</v>
      </c>
      <c r="AL1275">
        <v>95.506423854266004</v>
      </c>
      <c r="AM1275">
        <v>86.7548714036989</v>
      </c>
      <c r="AN1275">
        <v>0.99999996708026695</v>
      </c>
    </row>
    <row r="1276" spans="1:40" x14ac:dyDescent="0.25">
      <c r="A1276" t="str">
        <f>"20190303154751808"</f>
        <v>20190303154751808</v>
      </c>
      <c r="B1276" t="str">
        <f>"1551599271802288"</f>
        <v>1551599271802288</v>
      </c>
      <c r="C1276" t="s">
        <v>40</v>
      </c>
      <c r="D1276">
        <v>5.2354000000000003</v>
      </c>
      <c r="E1276">
        <v>0.58364959999999999</v>
      </c>
      <c r="F1276" t="s">
        <v>41</v>
      </c>
      <c r="G1276">
        <v>-210.8305</v>
      </c>
      <c r="H1276" s="1">
        <v>-4.8903699999999901E-6</v>
      </c>
      <c r="I1276">
        <v>364.1234</v>
      </c>
      <c r="J1276">
        <v>-223.71090000000001</v>
      </c>
      <c r="K1276">
        <v>1.1205969999999901</v>
      </c>
      <c r="L1276">
        <v>367.86759999999998</v>
      </c>
      <c r="M1276">
        <v>0.99989649999999997</v>
      </c>
      <c r="N1276">
        <v>-1.394745E-2</v>
      </c>
      <c r="O1276">
        <v>-3.5786630000000002E-3</v>
      </c>
      <c r="P1276">
        <v>0.99210229999999999</v>
      </c>
      <c r="Q1276">
        <v>-0.1102892</v>
      </c>
      <c r="R1276">
        <v>-5.9749110000000001E-2</v>
      </c>
      <c r="S1276">
        <v>2.9447169999999998</v>
      </c>
      <c r="T1276">
        <v>-0.2532547</v>
      </c>
      <c r="U1276">
        <v>-0.84631350000000005</v>
      </c>
      <c r="V1276">
        <v>5.6156459999999998E-2</v>
      </c>
      <c r="W1276">
        <v>-9.6462320000000004E-2</v>
      </c>
      <c r="X1276">
        <v>0.99375119999999895</v>
      </c>
      <c r="Y1276">
        <v>0.27169929999999998</v>
      </c>
      <c r="Z1276">
        <v>-1.311581E-2</v>
      </c>
      <c r="AA1276">
        <v>0.96229279999999995</v>
      </c>
      <c r="AB1276">
        <v>26</v>
      </c>
      <c r="AC1276">
        <v>12.8804</v>
      </c>
      <c r="AD1276">
        <v>-1.1206018903699999</v>
      </c>
      <c r="AE1276">
        <v>-3.74419999999997</v>
      </c>
      <c r="AF1276">
        <v>3.67244569255364</v>
      </c>
      <c r="AG1276">
        <v>-1.1206018903699999</v>
      </c>
      <c r="AH1276">
        <v>12.804352133741901</v>
      </c>
      <c r="AI1276">
        <v>94.808713727864898</v>
      </c>
      <c r="AJ1276">
        <v>73.9964574144674</v>
      </c>
      <c r="AK1276">
        <v>13.3676489902419</v>
      </c>
      <c r="AL1276">
        <v>95.535491234775407</v>
      </c>
      <c r="AM1276">
        <v>86.765679559756606</v>
      </c>
      <c r="AN1276">
        <v>0.99999998734047602</v>
      </c>
    </row>
    <row r="1277" spans="1:40" x14ac:dyDescent="0.25">
      <c r="A1277" t="str">
        <f>"20190303154751824"</f>
        <v>20190303154751824</v>
      </c>
      <c r="B1277" t="str">
        <f>"1551599271812048"</f>
        <v>1551599271812048</v>
      </c>
      <c r="C1277" t="s">
        <v>40</v>
      </c>
      <c r="D1277">
        <v>5.2347989999999998</v>
      </c>
      <c r="E1277">
        <v>0.5837348</v>
      </c>
      <c r="F1277" t="s">
        <v>41</v>
      </c>
      <c r="G1277">
        <v>-210.78139999999999</v>
      </c>
      <c r="H1277" s="1">
        <v>-4.9070749999999999E-6</v>
      </c>
      <c r="I1277">
        <v>364.1481</v>
      </c>
      <c r="J1277">
        <v>-223.53</v>
      </c>
      <c r="K1277">
        <v>1.120598</v>
      </c>
      <c r="L1277">
        <v>367.86669999999998</v>
      </c>
      <c r="M1277">
        <v>0.99989589999999995</v>
      </c>
      <c r="N1277">
        <v>-1.3945600000000001E-2</v>
      </c>
      <c r="O1277">
        <v>-3.7344169999999999E-3</v>
      </c>
      <c r="P1277">
        <v>0.99206749999999999</v>
      </c>
      <c r="Q1277">
        <v>-0.1106393</v>
      </c>
      <c r="R1277">
        <v>-5.9676010000000002E-2</v>
      </c>
      <c r="S1277">
        <v>2.9445190000000001</v>
      </c>
      <c r="T1277">
        <v>-0.25519920000000001</v>
      </c>
      <c r="U1277">
        <v>-0.84704590000000002</v>
      </c>
      <c r="V1277">
        <v>5.5929319999999998E-2</v>
      </c>
      <c r="W1277">
        <v>-9.6814330000000004E-2</v>
      </c>
      <c r="X1277">
        <v>0.9937298</v>
      </c>
      <c r="Y1277">
        <v>0.27177240000000003</v>
      </c>
      <c r="Z1277">
        <v>-1.3193720000000001E-2</v>
      </c>
      <c r="AA1277">
        <v>0.96227110000000005</v>
      </c>
      <c r="AB1277">
        <v>26</v>
      </c>
      <c r="AC1277">
        <v>12.7486</v>
      </c>
      <c r="AD1277">
        <v>-1.1206029070750001</v>
      </c>
      <c r="AE1277">
        <v>-3.7185999999999799</v>
      </c>
      <c r="AF1277">
        <v>3.6450062420410698</v>
      </c>
      <c r="AG1277">
        <v>-1.1206029070750001</v>
      </c>
      <c r="AH1277">
        <v>12.6721658886268</v>
      </c>
      <c r="AI1277">
        <v>94.857579761418194</v>
      </c>
      <c r="AJ1277">
        <v>73.952712913610696</v>
      </c>
      <c r="AK1277">
        <v>13.2335033036887</v>
      </c>
      <c r="AL1277">
        <v>95.555754641878295</v>
      </c>
      <c r="AM1277">
        <v>86.778664814522401</v>
      </c>
      <c r="AN1277">
        <v>1.00000000936852</v>
      </c>
    </row>
    <row r="1278" spans="1:40" x14ac:dyDescent="0.25">
      <c r="A1278" t="str">
        <f>"20190303154751837"</f>
        <v>20190303154751837</v>
      </c>
      <c r="B1278" t="str">
        <f>"1551599271831568"</f>
        <v>1551599271831568</v>
      </c>
      <c r="C1278" t="s">
        <v>40</v>
      </c>
      <c r="D1278">
        <v>5.2374239999999999</v>
      </c>
      <c r="E1278">
        <v>0.58393280000000003</v>
      </c>
      <c r="F1278" t="s">
        <v>41</v>
      </c>
      <c r="G1278">
        <v>-210.67859999999999</v>
      </c>
      <c r="H1278" s="1">
        <v>-4.9478030000000002E-6</v>
      </c>
      <c r="I1278">
        <v>364.16699999999997</v>
      </c>
      <c r="J1278">
        <v>-223.37270000000001</v>
      </c>
      <c r="K1278">
        <v>1.1205969999999901</v>
      </c>
      <c r="L1278">
        <v>367.86599999999999</v>
      </c>
      <c r="M1278">
        <v>0.99989539999999999</v>
      </c>
      <c r="N1278">
        <v>-1.394399E-2</v>
      </c>
      <c r="O1278">
        <v>-3.8688400000000001E-3</v>
      </c>
      <c r="P1278">
        <v>0.99217339999999998</v>
      </c>
      <c r="Q1278">
        <v>-0.109750399999999</v>
      </c>
      <c r="R1278">
        <v>-5.9556650000000003E-2</v>
      </c>
      <c r="S1278">
        <v>2.9443510000000002</v>
      </c>
      <c r="T1278">
        <v>-0.25673790000000002</v>
      </c>
      <c r="U1278">
        <v>-0.84762569999999904</v>
      </c>
      <c r="V1278">
        <v>5.5677039999999997E-2</v>
      </c>
      <c r="W1278">
        <v>-9.5925150000000001E-2</v>
      </c>
      <c r="X1278">
        <v>0.9938302</v>
      </c>
      <c r="Y1278">
        <v>0.27182060000000002</v>
      </c>
      <c r="Z1278">
        <v>-1.32539999999999E-2</v>
      </c>
      <c r="AA1278">
        <v>0.96225669999999996</v>
      </c>
      <c r="AB1278">
        <v>26</v>
      </c>
      <c r="AC1278">
        <v>12.694100000000001</v>
      </c>
      <c r="AD1278">
        <v>-1.1206019478029901</v>
      </c>
      <c r="AE1278">
        <v>-3.6990000000000101</v>
      </c>
      <c r="AF1278">
        <v>3.6238262236511001</v>
      </c>
      <c r="AG1278">
        <v>-1.1206019478029901</v>
      </c>
      <c r="AH1278">
        <v>12.617684615777099</v>
      </c>
      <c r="AI1278">
        <v>94.879011695374999</v>
      </c>
      <c r="AJ1278">
        <v>73.975820295195106</v>
      </c>
      <c r="AK1278">
        <v>13.175501139913401</v>
      </c>
      <c r="AL1278">
        <v>95.504570105444699</v>
      </c>
      <c r="AM1278">
        <v>86.793488162956393</v>
      </c>
      <c r="AN1278">
        <v>1.0000000168088601</v>
      </c>
    </row>
    <row r="1279" spans="1:40" x14ac:dyDescent="0.25">
      <c r="A1279" t="str">
        <f>"20190303154751850"</f>
        <v>20190303154751850</v>
      </c>
      <c r="B1279" t="str">
        <f>"1551599271842304"</f>
        <v>1551599271842304</v>
      </c>
      <c r="C1279" t="s">
        <v>40</v>
      </c>
      <c r="D1279">
        <v>5.249803</v>
      </c>
      <c r="E1279">
        <v>0.58404029999999996</v>
      </c>
      <c r="F1279" t="s">
        <v>41</v>
      </c>
      <c r="G1279">
        <v>-210.37610000000001</v>
      </c>
      <c r="H1279" s="1">
        <v>-5.0857710000000003E-6</v>
      </c>
      <c r="I1279">
        <v>364.12079999999997</v>
      </c>
      <c r="J1279">
        <v>-223.21979999999999</v>
      </c>
      <c r="K1279">
        <v>1.1206</v>
      </c>
      <c r="L1279">
        <v>367.86529999999999</v>
      </c>
      <c r="M1279">
        <v>0.99989479999999997</v>
      </c>
      <c r="N1279">
        <v>-1.3942420000000001E-2</v>
      </c>
      <c r="O1279">
        <v>-3.9986199999999996E-3</v>
      </c>
      <c r="P1279">
        <v>0.9921179</v>
      </c>
      <c r="Q1279">
        <v>-0.11016579999999999</v>
      </c>
      <c r="R1279">
        <v>-5.9711460000000001E-2</v>
      </c>
      <c r="S1279">
        <v>2.9446560000000002</v>
      </c>
      <c r="T1279">
        <v>-0.25389469999999997</v>
      </c>
      <c r="U1279">
        <v>-0.84854130000000005</v>
      </c>
      <c r="V1279">
        <v>5.5703290000000003E-2</v>
      </c>
      <c r="W1279">
        <v>-9.6342629999999999E-2</v>
      </c>
      <c r="X1279">
        <v>0.99378829999999996</v>
      </c>
      <c r="Y1279">
        <v>0.27196799999999999</v>
      </c>
      <c r="Z1279">
        <v>-1.3125970000000001E-2</v>
      </c>
      <c r="AA1279">
        <v>0.96221679999999998</v>
      </c>
      <c r="AB1279">
        <v>26</v>
      </c>
      <c r="AC1279">
        <v>12.843699999999901</v>
      </c>
      <c r="AD1279">
        <v>-1.1206050857709999</v>
      </c>
      <c r="AE1279">
        <v>-3.7445000000000102</v>
      </c>
      <c r="AF1279">
        <v>3.6673772886213301</v>
      </c>
      <c r="AG1279">
        <v>-1.1206050857709999</v>
      </c>
      <c r="AH1279">
        <v>12.768983071302801</v>
      </c>
      <c r="AI1279">
        <v>94.821478591534401</v>
      </c>
      <c r="AJ1279">
        <v>73.975414803768601</v>
      </c>
      <c r="AK1279">
        <v>13.3323794054388</v>
      </c>
      <c r="AL1279">
        <v>95.528601497869403</v>
      </c>
      <c r="AM1279">
        <v>86.7918445750432</v>
      </c>
      <c r="AN1279">
        <v>0.99999997204451496</v>
      </c>
    </row>
    <row r="1280" spans="1:40" x14ac:dyDescent="0.25">
      <c r="A1280" t="str">
        <f>"20190303154751866"</f>
        <v>20190303154751866</v>
      </c>
      <c r="B1280" t="str">
        <f>"1551599271862331"</f>
        <v>1551599271862331</v>
      </c>
      <c r="C1280" t="s">
        <v>40</v>
      </c>
      <c r="D1280">
        <v>5.2217289999999998</v>
      </c>
      <c r="E1280">
        <v>0.5842794</v>
      </c>
      <c r="F1280" t="s">
        <v>41</v>
      </c>
      <c r="G1280">
        <v>-210.2783</v>
      </c>
      <c r="H1280" s="1">
        <v>-5.12604799999999E-6</v>
      </c>
      <c r="I1280">
        <v>364.13040000000001</v>
      </c>
      <c r="J1280">
        <v>-223.04769999999999</v>
      </c>
      <c r="K1280">
        <v>1.1206050000000001</v>
      </c>
      <c r="L1280">
        <v>367.86439999999999</v>
      </c>
      <c r="M1280">
        <v>0.99989430000000001</v>
      </c>
      <c r="N1280">
        <v>-1.3940660000000001E-2</v>
      </c>
      <c r="O1280">
        <v>-4.14461E-3</v>
      </c>
      <c r="P1280">
        <v>0.99208189999999996</v>
      </c>
      <c r="Q1280">
        <v>-0.1103021</v>
      </c>
      <c r="R1280">
        <v>-6.0063930000000001E-2</v>
      </c>
      <c r="S1280">
        <v>2.9443969999999999</v>
      </c>
      <c r="T1280">
        <v>-0.25495230000000002</v>
      </c>
      <c r="U1280">
        <v>-0.84973140000000003</v>
      </c>
      <c r="V1280">
        <v>5.5911099999999998E-2</v>
      </c>
      <c r="W1280">
        <v>-9.648089E-2</v>
      </c>
      <c r="X1280">
        <v>0.99376330000000002</v>
      </c>
      <c r="Y1280">
        <v>0.2722002</v>
      </c>
      <c r="Z1280">
        <v>-1.3173519999999999E-2</v>
      </c>
      <c r="AA1280">
        <v>0.96215050000000002</v>
      </c>
      <c r="AB1280">
        <v>26</v>
      </c>
      <c r="AC1280">
        <v>12.7693999999999</v>
      </c>
      <c r="AD1280">
        <v>-1.1206101260479999</v>
      </c>
      <c r="AE1280">
        <v>-3.73399999999998</v>
      </c>
      <c r="AF1280">
        <v>3.6551066568328698</v>
      </c>
      <c r="AG1280">
        <v>-1.1206101260479999</v>
      </c>
      <c r="AH1280">
        <v>12.6947024737203</v>
      </c>
      <c r="AI1280">
        <v>94.848662939378897</v>
      </c>
      <c r="AJ1280">
        <v>73.937632423024397</v>
      </c>
      <c r="AK1280">
        <v>13.2578671973928</v>
      </c>
      <c r="AL1280">
        <v>95.536559828523295</v>
      </c>
      <c r="AM1280">
        <v>86.779820342669694</v>
      </c>
      <c r="AN1280">
        <v>1.00000005483264</v>
      </c>
    </row>
    <row r="1281" spans="1:40" x14ac:dyDescent="0.25">
      <c r="A1281" t="str">
        <f>"20190303154751880"</f>
        <v>20190303154751880</v>
      </c>
      <c r="B1281" t="str">
        <f>"1551599271872090"</f>
        <v>1551599271872090</v>
      </c>
      <c r="C1281" t="s">
        <v>40</v>
      </c>
      <c r="D1281">
        <v>5.2342029999999999</v>
      </c>
      <c r="E1281">
        <v>0.58444079999999998</v>
      </c>
      <c r="F1281" t="s">
        <v>41</v>
      </c>
      <c r="G1281">
        <v>-210.1104</v>
      </c>
      <c r="H1281" s="1">
        <v>-5.2003779999999899E-6</v>
      </c>
      <c r="I1281">
        <v>364.11739999999998</v>
      </c>
      <c r="J1281">
        <v>-222.86789999999999</v>
      </c>
      <c r="K1281">
        <v>1.1206069999999999</v>
      </c>
      <c r="L1281">
        <v>367.86349999999999</v>
      </c>
      <c r="M1281">
        <v>0.9998937</v>
      </c>
      <c r="N1281">
        <v>-1.3938819999999999E-2</v>
      </c>
      <c r="O1281">
        <v>-4.2962080000000001E-3</v>
      </c>
      <c r="P1281">
        <v>0.9920369</v>
      </c>
      <c r="Q1281">
        <v>-0.1102253</v>
      </c>
      <c r="R1281">
        <v>-6.0940840000000003E-2</v>
      </c>
      <c r="S1281">
        <v>2.9439850000000001</v>
      </c>
      <c r="T1281">
        <v>-0.25500139999999999</v>
      </c>
      <c r="U1281">
        <v>-0.85266109999999995</v>
      </c>
      <c r="V1281">
        <v>5.6637880000000002E-2</v>
      </c>
      <c r="W1281">
        <v>-9.6406580000000006E-2</v>
      </c>
      <c r="X1281">
        <v>0.99372930000000004</v>
      </c>
      <c r="Y1281">
        <v>0.27297070000000001</v>
      </c>
      <c r="Z1281">
        <v>-1.3203009999999999E-2</v>
      </c>
      <c r="AA1281">
        <v>0.96193169999999995</v>
      </c>
      <c r="AB1281">
        <v>26</v>
      </c>
      <c r="AC1281">
        <v>12.757499999999901</v>
      </c>
      <c r="AD1281">
        <v>-1.1206122003779999</v>
      </c>
      <c r="AE1281">
        <v>-3.74610000000001</v>
      </c>
      <c r="AF1281">
        <v>3.6652160955523998</v>
      </c>
      <c r="AG1281">
        <v>-1.1206122003779999</v>
      </c>
      <c r="AH1281">
        <v>12.683383940386999</v>
      </c>
      <c r="AI1281">
        <v>94.851622711248595</v>
      </c>
      <c r="AJ1281">
        <v>73.881881264556398</v>
      </c>
      <c r="AK1281">
        <v>13.2498229765533</v>
      </c>
      <c r="AL1281">
        <v>95.532282543993901</v>
      </c>
      <c r="AM1281">
        <v>86.737940157574101</v>
      </c>
      <c r="AN1281">
        <v>0.99999999989833999</v>
      </c>
    </row>
    <row r="1282" spans="1:40" x14ac:dyDescent="0.25">
      <c r="A1282" t="str">
        <f>"20190303154751897"</f>
        <v>20190303154751897</v>
      </c>
      <c r="B1282" t="str">
        <f>"1551599271891610"</f>
        <v>1551599271891610</v>
      </c>
      <c r="C1282" t="s">
        <v>40</v>
      </c>
      <c r="D1282">
        <v>5.2241330000000001</v>
      </c>
      <c r="E1282">
        <v>0.58437139999999999</v>
      </c>
      <c r="F1282" t="s">
        <v>46</v>
      </c>
      <c r="G1282">
        <v>-209.95140000000001</v>
      </c>
      <c r="H1282" s="1">
        <v>-6.1300109999999998E-6</v>
      </c>
      <c r="I1282">
        <v>364.1026</v>
      </c>
      <c r="J1282">
        <v>-222.67400000000001</v>
      </c>
      <c r="K1282">
        <v>1.1206069999999999</v>
      </c>
      <c r="L1282">
        <v>367.86250000000001</v>
      </c>
      <c r="M1282">
        <v>0.99989309999999998</v>
      </c>
      <c r="N1282">
        <v>-1.3936830000000001E-2</v>
      </c>
      <c r="O1282">
        <v>-4.4587809999999898E-3</v>
      </c>
      <c r="P1282">
        <v>0.99197420000000003</v>
      </c>
      <c r="Q1282">
        <v>-0.1102674</v>
      </c>
      <c r="R1282">
        <v>-6.187409E-2</v>
      </c>
      <c r="S1282">
        <v>2.9430540000000001</v>
      </c>
      <c r="T1282">
        <v>-0.2553356</v>
      </c>
      <c r="U1282">
        <v>-0.85693359999999996</v>
      </c>
      <c r="V1282">
        <v>5.7410360000000001E-2</v>
      </c>
      <c r="W1282">
        <v>-9.6451679999999998E-2</v>
      </c>
      <c r="X1282">
        <v>0.99368060000000002</v>
      </c>
      <c r="Y1282">
        <v>0.27417599999999998</v>
      </c>
      <c r="Z1282">
        <v>-1.3267060000000001E-2</v>
      </c>
      <c r="AA1282">
        <v>0.961588</v>
      </c>
      <c r="AB1282">
        <v>26</v>
      </c>
      <c r="AC1282">
        <v>12.7226</v>
      </c>
      <c r="AD1282">
        <v>-1.1206131300109901</v>
      </c>
      <c r="AE1282">
        <v>-3.7599000000000098</v>
      </c>
      <c r="AF1282">
        <v>3.6768951038100002</v>
      </c>
      <c r="AG1282">
        <v>-1.1206131300109901</v>
      </c>
      <c r="AH1282">
        <v>12.648988894516201</v>
      </c>
      <c r="AI1282">
        <v>94.862544138013803</v>
      </c>
      <c r="AJ1282">
        <v>73.791545411323696</v>
      </c>
      <c r="AK1282">
        <v>13.2201456665639</v>
      </c>
      <c r="AL1282">
        <v>95.534878651415696</v>
      </c>
      <c r="AM1282">
        <v>86.6933855181029</v>
      </c>
      <c r="AN1282">
        <v>1.0000000054132501</v>
      </c>
    </row>
    <row r="1283" spans="1:40" x14ac:dyDescent="0.25">
      <c r="A1283" t="str">
        <f>"20190303154751914"</f>
        <v>20190303154751914</v>
      </c>
      <c r="B1283" t="str">
        <f>"1551599271902347"</f>
        <v>1551599271902347</v>
      </c>
      <c r="C1283" t="s">
        <v>40</v>
      </c>
      <c r="D1283">
        <v>5.284491</v>
      </c>
      <c r="E1283">
        <v>0.58437139999999999</v>
      </c>
      <c r="F1283" t="s">
        <v>46</v>
      </c>
      <c r="G1283">
        <v>-209.78059999999999</v>
      </c>
      <c r="H1283" s="1">
        <v>-6.0735850000000004E-6</v>
      </c>
      <c r="I1283">
        <v>364.09769999999997</v>
      </c>
      <c r="J1283">
        <v>-222.48480000000001</v>
      </c>
      <c r="K1283">
        <v>1.1206069999999999</v>
      </c>
      <c r="L1283">
        <v>367.86149999999998</v>
      </c>
      <c r="M1283">
        <v>0.99989240000000001</v>
      </c>
      <c r="N1283">
        <v>-1.393489E-2</v>
      </c>
      <c r="O1283">
        <v>-4.6175399999999998E-3</v>
      </c>
      <c r="P1283">
        <v>0.99187539999999996</v>
      </c>
      <c r="Q1283">
        <v>-0.110682</v>
      </c>
      <c r="R1283">
        <v>-6.2717729999999999E-2</v>
      </c>
      <c r="S1283">
        <v>2.9422450000000002</v>
      </c>
      <c r="T1283">
        <v>-0.25572070000000002</v>
      </c>
      <c r="U1283">
        <v>-0.85910030000000004</v>
      </c>
      <c r="V1283">
        <v>5.8096599999999998E-2</v>
      </c>
      <c r="W1283">
        <v>-9.6869570000000002E-2</v>
      </c>
      <c r="X1283">
        <v>0.99360009999999999</v>
      </c>
      <c r="Y1283">
        <v>0.27474159999999997</v>
      </c>
      <c r="Z1283">
        <v>-1.330248E-2</v>
      </c>
      <c r="AA1283">
        <v>0.96142609999999995</v>
      </c>
      <c r="AB1283">
        <v>26</v>
      </c>
      <c r="AC1283">
        <v>12.7042</v>
      </c>
      <c r="AD1283">
        <v>-1.120613073585</v>
      </c>
      <c r="AE1283">
        <v>-3.7637999999999998</v>
      </c>
      <c r="AF1283">
        <v>3.6787783066661999</v>
      </c>
      <c r="AG1283">
        <v>-1.120613073585</v>
      </c>
      <c r="AH1283">
        <v>12.6310974686678</v>
      </c>
      <c r="AI1283">
        <v>94.868669375544698</v>
      </c>
      <c r="AJ1283">
        <v>73.761919888624703</v>
      </c>
      <c r="AK1283">
        <v>13.203552807986</v>
      </c>
      <c r="AL1283">
        <v>95.558934416259305</v>
      </c>
      <c r="AM1283">
        <v>86.653679551501696</v>
      </c>
      <c r="AN1283">
        <v>1.00000004362177</v>
      </c>
    </row>
    <row r="1284" spans="1:40" x14ac:dyDescent="0.25">
      <c r="A1284" t="str">
        <f>"20190303154751927"</f>
        <v>20190303154751927</v>
      </c>
      <c r="B1284" t="str">
        <f>"1551599271921867"</f>
        <v>1551599271921867</v>
      </c>
      <c r="C1284" t="s">
        <v>40</v>
      </c>
      <c r="D1284">
        <v>5.1419879999999996</v>
      </c>
      <c r="E1284">
        <v>0.53933549999999997</v>
      </c>
      <c r="F1284" t="s">
        <v>46</v>
      </c>
      <c r="G1284">
        <v>-209.684</v>
      </c>
      <c r="H1284" s="1">
        <v>-6.0391869999999898E-6</v>
      </c>
      <c r="I1284">
        <v>364.11090000000002</v>
      </c>
      <c r="J1284">
        <v>-222.32550000000001</v>
      </c>
      <c r="K1284">
        <v>1.120601</v>
      </c>
      <c r="L1284">
        <v>367.86059999999998</v>
      </c>
      <c r="M1284">
        <v>0.99989170000000005</v>
      </c>
      <c r="N1284">
        <v>-1.3933259999999999E-2</v>
      </c>
      <c r="O1284">
        <v>-4.751389E-3</v>
      </c>
      <c r="P1284">
        <v>0.99166019999999999</v>
      </c>
      <c r="Q1284">
        <v>-0.1112807</v>
      </c>
      <c r="R1284">
        <v>-6.5013130000000002E-2</v>
      </c>
      <c r="S1284">
        <v>2.9413450000000001</v>
      </c>
      <c r="T1284">
        <v>-0.25749159999999999</v>
      </c>
      <c r="U1284">
        <v>-0.86178589999999999</v>
      </c>
      <c r="V1284">
        <v>6.0260220000000003E-2</v>
      </c>
      <c r="W1284">
        <v>-9.7473459999999998E-2</v>
      </c>
      <c r="X1284">
        <v>0.99341210000000002</v>
      </c>
      <c r="Y1284">
        <v>0.27548349999999999</v>
      </c>
      <c r="Z1284">
        <v>-1.340971E-2</v>
      </c>
      <c r="AA1284">
        <v>0.96121230000000002</v>
      </c>
      <c r="AB1284">
        <v>26</v>
      </c>
      <c r="AC1284">
        <v>12.641499999999899</v>
      </c>
      <c r="AD1284">
        <v>-1.120607039187</v>
      </c>
      <c r="AE1284">
        <v>-3.7496999999999598</v>
      </c>
      <c r="AF1284">
        <v>3.6631301929672699</v>
      </c>
      <c r="AG1284">
        <v>-1.120607039187</v>
      </c>
      <c r="AH1284">
        <v>12.568400008099699</v>
      </c>
      <c r="AI1284">
        <v>94.892541114092197</v>
      </c>
      <c r="AJ1284">
        <v>73.750942608812693</v>
      </c>
      <c r="AK1284">
        <v>13.139214653490599</v>
      </c>
      <c r="AL1284">
        <v>95.593699612174305</v>
      </c>
      <c r="AM1284">
        <v>86.528700640200896</v>
      </c>
      <c r="AN1284">
        <v>0.999999984972614</v>
      </c>
    </row>
    <row r="1285" spans="1:40" x14ac:dyDescent="0.25">
      <c r="A1285" t="str">
        <f>"20190303154751942"</f>
        <v>20190303154751942</v>
      </c>
      <c r="B1285" t="str">
        <f>"1551599271931626"</f>
        <v>1551599271931626</v>
      </c>
      <c r="C1285" t="s">
        <v>40</v>
      </c>
      <c r="D1285">
        <v>5.132771</v>
      </c>
      <c r="E1285">
        <v>0.5362616</v>
      </c>
      <c r="F1285" t="s">
        <v>46</v>
      </c>
      <c r="G1285">
        <v>-208.124</v>
      </c>
      <c r="H1285" s="1">
        <v>-5.3133270000000001E-6</v>
      </c>
      <c r="I1285">
        <v>365.41480000000001</v>
      </c>
      <c r="J1285">
        <v>-222.16890000000001</v>
      </c>
      <c r="K1285">
        <v>1.120598</v>
      </c>
      <c r="L1285">
        <v>367.8596</v>
      </c>
      <c r="M1285">
        <v>0.99989110000000003</v>
      </c>
      <c r="N1285">
        <v>-1.393168E-2</v>
      </c>
      <c r="O1285">
        <v>-4.882735E-3</v>
      </c>
      <c r="P1285">
        <v>0.99152640000000003</v>
      </c>
      <c r="Q1285">
        <v>-0.11167059999999999</v>
      </c>
      <c r="R1285">
        <v>-6.6372280000000006E-2</v>
      </c>
      <c r="S1285">
        <v>2.9655</v>
      </c>
      <c r="T1285">
        <v>-0.23400080000000001</v>
      </c>
      <c r="U1285">
        <v>-0.51071169999999999</v>
      </c>
      <c r="V1285">
        <v>6.1489559999999999E-2</v>
      </c>
      <c r="W1285">
        <v>-9.7866919999999996E-2</v>
      </c>
      <c r="X1285">
        <v>0.99329809999999996</v>
      </c>
      <c r="Y1285">
        <v>0.1643289</v>
      </c>
      <c r="Z1285">
        <v>-7.2670219999999997E-3</v>
      </c>
      <c r="AA1285">
        <v>0.9863788</v>
      </c>
      <c r="AB1285">
        <v>26</v>
      </c>
      <c r="AC1285">
        <v>14.044899999999901</v>
      </c>
      <c r="AD1285">
        <v>-1.1206033133269999</v>
      </c>
      <c r="AE1285">
        <v>-2.4447999999999799</v>
      </c>
      <c r="AF1285">
        <v>2.3615949037958601</v>
      </c>
      <c r="AG1285">
        <v>-1.1206033133269999</v>
      </c>
      <c r="AH1285">
        <v>13.9703513101566</v>
      </c>
      <c r="AI1285">
        <v>94.522160532139097</v>
      </c>
      <c r="AJ1285">
        <v>80.405235852727202</v>
      </c>
      <c r="AK1285">
        <v>14.212796980350801</v>
      </c>
      <c r="AL1285">
        <v>95.616351384208102</v>
      </c>
      <c r="AM1285">
        <v>86.457657332510706</v>
      </c>
      <c r="AN1285">
        <v>1.0000000077414399</v>
      </c>
    </row>
    <row r="1286" spans="1:40" x14ac:dyDescent="0.25">
      <c r="A1286" t="str">
        <f>"20190303154751955"</f>
        <v>20190303154751955</v>
      </c>
      <c r="B1286" t="str">
        <f>"1551599271951655"</f>
        <v>1551599271951655</v>
      </c>
      <c r="C1286" t="s">
        <v>40</v>
      </c>
      <c r="D1286">
        <v>5.1116169999999999</v>
      </c>
      <c r="E1286">
        <v>0.53379709999999903</v>
      </c>
      <c r="F1286" t="s">
        <v>46</v>
      </c>
      <c r="G1286">
        <v>-208.04570000000001</v>
      </c>
      <c r="H1286" s="1">
        <v>-5.2698550000000004E-6</v>
      </c>
      <c r="I1286">
        <v>365.52519999999998</v>
      </c>
      <c r="J1286">
        <v>-222.0009</v>
      </c>
      <c r="K1286">
        <v>1.120595</v>
      </c>
      <c r="L1286">
        <v>367.8587</v>
      </c>
      <c r="M1286">
        <v>0.99989039999999996</v>
      </c>
      <c r="N1286">
        <v>-1.392995E-2</v>
      </c>
      <c r="O1286">
        <v>-5.0243279999999998E-3</v>
      </c>
      <c r="P1286">
        <v>0.99135130000000005</v>
      </c>
      <c r="Q1286">
        <v>-0.1125932</v>
      </c>
      <c r="R1286">
        <v>-6.7419899999999894E-2</v>
      </c>
      <c r="S1286">
        <v>2.9663089999999999</v>
      </c>
      <c r="T1286">
        <v>-0.23536009999999999</v>
      </c>
      <c r="U1286">
        <v>-0.49029539999999999</v>
      </c>
      <c r="V1286">
        <v>6.2397300000000003E-2</v>
      </c>
      <c r="W1286">
        <v>-9.8793770000000003E-2</v>
      </c>
      <c r="X1286">
        <v>0.99314970000000002</v>
      </c>
      <c r="Y1286">
        <v>0.15755759999999999</v>
      </c>
      <c r="Z1286">
        <v>-6.9799349999999996E-3</v>
      </c>
      <c r="AA1286">
        <v>0.9874851</v>
      </c>
      <c r="AB1286">
        <v>26</v>
      </c>
      <c r="AC1286">
        <v>13.9551999999999</v>
      </c>
      <c r="AD1286">
        <v>-1.1206002698549999</v>
      </c>
      <c r="AE1286">
        <v>-2.3335000000000101</v>
      </c>
      <c r="AF1286">
        <v>2.24923948558463</v>
      </c>
      <c r="AG1286">
        <v>-1.1206002698549999</v>
      </c>
      <c r="AH1286">
        <v>13.879686439045599</v>
      </c>
      <c r="AI1286">
        <v>94.556672410399798</v>
      </c>
      <c r="AJ1286">
        <v>80.795089320320301</v>
      </c>
      <c r="AK1286">
        <v>14.105336538861399</v>
      </c>
      <c r="AL1286">
        <v>95.669714747861804</v>
      </c>
      <c r="AM1286">
        <v>86.404963893446407</v>
      </c>
      <c r="AN1286">
        <v>0.99999997932409601</v>
      </c>
    </row>
    <row r="1287" spans="1:40" x14ac:dyDescent="0.25">
      <c r="A1287" t="str">
        <f>"20190303154751970"</f>
        <v>20190303154751970</v>
      </c>
      <c r="B1287" t="str">
        <f>"1551599271962391"</f>
        <v>1551599271962391</v>
      </c>
      <c r="C1287" t="s">
        <v>40</v>
      </c>
      <c r="D1287">
        <v>5.1239980000000003</v>
      </c>
      <c r="E1287">
        <v>0.53270580000000001</v>
      </c>
      <c r="F1287" t="s">
        <v>46</v>
      </c>
      <c r="G1287">
        <v>-208.2664</v>
      </c>
      <c r="H1287" s="1">
        <v>-5.3216019999999996E-6</v>
      </c>
      <c r="I1287">
        <v>365.6669</v>
      </c>
      <c r="J1287">
        <v>-221.84649999999999</v>
      </c>
      <c r="K1287">
        <v>1.120593</v>
      </c>
      <c r="L1287">
        <v>367.8578</v>
      </c>
      <c r="M1287">
        <v>0.9998899</v>
      </c>
      <c r="N1287">
        <v>-1.3928350000000001E-2</v>
      </c>
      <c r="O1287">
        <v>-5.1548389999999996E-3</v>
      </c>
      <c r="P1287">
        <v>0.99101039999999996</v>
      </c>
      <c r="Q1287">
        <v>-0.1140698</v>
      </c>
      <c r="R1287">
        <v>-6.9904610000000006E-2</v>
      </c>
      <c r="S1287">
        <v>2.966507</v>
      </c>
      <c r="T1287">
        <v>-0.24203669999999999</v>
      </c>
      <c r="U1287">
        <v>-0.4733887</v>
      </c>
      <c r="V1287">
        <v>6.4753770000000002E-2</v>
      </c>
      <c r="W1287">
        <v>-0.10027709999999999</v>
      </c>
      <c r="X1287">
        <v>0.99285020000000002</v>
      </c>
      <c r="Y1287">
        <v>0.15192420000000001</v>
      </c>
      <c r="Z1287">
        <v>-6.8695369999999898E-3</v>
      </c>
      <c r="AA1287">
        <v>0.98836829999999998</v>
      </c>
      <c r="AB1287">
        <v>26</v>
      </c>
      <c r="AC1287">
        <v>13.5800999999999</v>
      </c>
      <c r="AD1287">
        <v>-1.1205983216019999</v>
      </c>
      <c r="AE1287">
        <v>-2.1908999999999899</v>
      </c>
      <c r="AF1287">
        <v>2.10687871543609</v>
      </c>
      <c r="AG1287">
        <v>-1.1205983216019999</v>
      </c>
      <c r="AH1287">
        <v>13.5016118008659</v>
      </c>
      <c r="AI1287">
        <v>94.688047472778095</v>
      </c>
      <c r="AJ1287">
        <v>81.130725297780998</v>
      </c>
      <c r="AK1287">
        <v>13.7108788828877</v>
      </c>
      <c r="AL1287">
        <v>95.755127151085901</v>
      </c>
      <c r="AM1287">
        <v>86.268449572063901</v>
      </c>
      <c r="AN1287">
        <v>1.00000003357683</v>
      </c>
    </row>
    <row r="1288" spans="1:40" x14ac:dyDescent="0.25">
      <c r="A1288" t="str">
        <f>"20190303154751984"</f>
        <v>20190303154751984</v>
      </c>
      <c r="B1288" t="str">
        <f>"1551599271972151"</f>
        <v>1551599271972151</v>
      </c>
      <c r="C1288" t="s">
        <v>40</v>
      </c>
      <c r="D1288">
        <v>5.1469110000000002</v>
      </c>
      <c r="E1288">
        <v>0.53195859999999995</v>
      </c>
      <c r="F1288" t="s">
        <v>46</v>
      </c>
      <c r="G1288">
        <v>-208.50700000000001</v>
      </c>
      <c r="H1288" s="1">
        <v>-5.3917219999999997E-6</v>
      </c>
      <c r="I1288">
        <v>365.73360000000002</v>
      </c>
      <c r="J1288">
        <v>-221.67609999999999</v>
      </c>
      <c r="K1288">
        <v>1.1205909999999999</v>
      </c>
      <c r="L1288">
        <v>367.85669999999999</v>
      </c>
      <c r="M1288">
        <v>0.99988909999999998</v>
      </c>
      <c r="N1288">
        <v>-1.3926590000000001E-2</v>
      </c>
      <c r="O1288">
        <v>-5.2988200000000001E-3</v>
      </c>
      <c r="P1288">
        <v>0.99084190000000005</v>
      </c>
      <c r="Q1288">
        <v>-0.11483690000000001</v>
      </c>
      <c r="R1288">
        <v>-7.1030200000000002E-2</v>
      </c>
      <c r="S1288">
        <v>2.9652400000000001</v>
      </c>
      <c r="T1288">
        <v>-0.24909780000000001</v>
      </c>
      <c r="U1288">
        <v>-0.47216799999999998</v>
      </c>
      <c r="V1288">
        <v>6.5737160000000003E-2</v>
      </c>
      <c r="W1288">
        <v>-0.1010485</v>
      </c>
      <c r="X1288">
        <v>0.99270729999999996</v>
      </c>
      <c r="Y1288">
        <v>0.1514218</v>
      </c>
      <c r="Z1288">
        <v>-7.0043149999999997E-3</v>
      </c>
      <c r="AA1288">
        <v>0.9884444</v>
      </c>
      <c r="AB1288">
        <v>26</v>
      </c>
      <c r="AC1288">
        <v>13.169099999999901</v>
      </c>
      <c r="AD1288">
        <v>-1.1205963917220001</v>
      </c>
      <c r="AE1288">
        <v>-2.12309999999996</v>
      </c>
      <c r="AF1288">
        <v>2.0388935233947301</v>
      </c>
      <c r="AG1288">
        <v>-1.1205963917220001</v>
      </c>
      <c r="AH1288">
        <v>13.0878007187473</v>
      </c>
      <c r="AI1288">
        <v>94.835765009004504</v>
      </c>
      <c r="AJ1288">
        <v>81.145305450744004</v>
      </c>
      <c r="AK1288">
        <v>13.292981258037001</v>
      </c>
      <c r="AL1288">
        <v>95.799551080743896</v>
      </c>
      <c r="AM1288">
        <v>86.211400048562894</v>
      </c>
      <c r="AN1288">
        <v>0.99999997851520195</v>
      </c>
    </row>
    <row r="1289" spans="1:40" x14ac:dyDescent="0.25">
      <c r="A1289" t="str">
        <f>"20190303154752003"</f>
        <v>20190303154752003</v>
      </c>
      <c r="B1289" t="str">
        <f>"1551599271991671"</f>
        <v>1551599271991671</v>
      </c>
      <c r="C1289" t="s">
        <v>40</v>
      </c>
      <c r="D1289">
        <v>5.1745960000000002</v>
      </c>
      <c r="E1289">
        <v>0.53058899999999998</v>
      </c>
      <c r="F1289" t="s">
        <v>46</v>
      </c>
      <c r="G1289">
        <v>-208.61170000000001</v>
      </c>
      <c r="H1289" s="1">
        <v>-5.4184020000000001E-6</v>
      </c>
      <c r="I1289">
        <v>365.78730000000002</v>
      </c>
      <c r="J1289">
        <v>-221.4649</v>
      </c>
      <c r="K1289">
        <v>1.1205769999999999</v>
      </c>
      <c r="L1289">
        <v>367.85539999999997</v>
      </c>
      <c r="M1289">
        <v>0.9998882</v>
      </c>
      <c r="N1289">
        <v>-1.392438E-2</v>
      </c>
      <c r="O1289">
        <v>-5.4767749999999997E-3</v>
      </c>
      <c r="P1289">
        <v>0.99061849999999996</v>
      </c>
      <c r="Q1289">
        <v>-0.1158542</v>
      </c>
      <c r="R1289">
        <v>-7.2481799999999999E-2</v>
      </c>
      <c r="S1289">
        <v>2.9646150000000002</v>
      </c>
      <c r="T1289">
        <v>-0.25428970000000001</v>
      </c>
      <c r="U1289">
        <v>-0.46960449999999998</v>
      </c>
      <c r="V1289">
        <v>6.7013100000000006E-2</v>
      </c>
      <c r="W1289">
        <v>-0.1020711</v>
      </c>
      <c r="X1289">
        <v>0.99251739999999999</v>
      </c>
      <c r="Y1289">
        <v>0.150425799999999</v>
      </c>
      <c r="Z1289">
        <v>-7.0656190000000004E-3</v>
      </c>
      <c r="AA1289">
        <v>0.98859600000000003</v>
      </c>
      <c r="AB1289">
        <v>26</v>
      </c>
      <c r="AC1289">
        <v>12.8531999999999</v>
      </c>
      <c r="AD1289">
        <v>-1.1205824184019999</v>
      </c>
      <c r="AE1289">
        <v>-2.0680999999999501</v>
      </c>
      <c r="AF1289">
        <v>1.98297604021338</v>
      </c>
      <c r="AG1289">
        <v>-1.1205824184019999</v>
      </c>
      <c r="AH1289">
        <v>12.7697228490167</v>
      </c>
      <c r="AI1289">
        <v>94.955937086110296</v>
      </c>
      <c r="AJ1289">
        <v>81.173191707927401</v>
      </c>
      <c r="AK1289">
        <v>12.971265187837</v>
      </c>
      <c r="AL1289">
        <v>95.858445984135102</v>
      </c>
      <c r="AM1289">
        <v>86.137348120071593</v>
      </c>
      <c r="AN1289">
        <v>1.00000002716478</v>
      </c>
    </row>
    <row r="1290" spans="1:40" x14ac:dyDescent="0.25">
      <c r="A1290" t="str">
        <f>"20190303154752017"</f>
        <v>20190303154752017</v>
      </c>
      <c r="B1290" t="str">
        <f>"1551599272012167"</f>
        <v>1551599272012167</v>
      </c>
      <c r="C1290" t="s">
        <v>40</v>
      </c>
      <c r="D1290">
        <v>5.1572209999999998</v>
      </c>
      <c r="E1290">
        <v>0.53001869999999995</v>
      </c>
      <c r="F1290" t="s">
        <v>42</v>
      </c>
      <c r="G1290">
        <v>-220.52850000000001</v>
      </c>
      <c r="H1290">
        <v>1.038707</v>
      </c>
      <c r="I1290">
        <v>367.70890000000003</v>
      </c>
      <c r="J1290">
        <v>-221.2936</v>
      </c>
      <c r="K1290">
        <v>1.120576</v>
      </c>
      <c r="L1290">
        <v>367.85430000000002</v>
      </c>
      <c r="M1290">
        <v>0.99988730000000003</v>
      </c>
      <c r="N1290">
        <v>-1.3922540000000001E-2</v>
      </c>
      <c r="O1290">
        <v>-5.6215909999999996E-3</v>
      </c>
      <c r="P1290">
        <v>0.99050039999999995</v>
      </c>
      <c r="Q1290">
        <v>-0.1165312</v>
      </c>
      <c r="R1290">
        <v>-7.3004189999999997E-2</v>
      </c>
      <c r="S1290">
        <v>2.9642330000000001</v>
      </c>
      <c r="T1290">
        <v>-0.25926739999999998</v>
      </c>
      <c r="U1290">
        <v>-0.4630127</v>
      </c>
      <c r="V1290">
        <v>6.7392510000000003E-2</v>
      </c>
      <c r="W1290">
        <v>-0.1027515</v>
      </c>
      <c r="X1290">
        <v>0.99242140000000001</v>
      </c>
      <c r="Y1290">
        <v>0.1481441</v>
      </c>
      <c r="Z1290">
        <v>-7.0573340000000002E-3</v>
      </c>
      <c r="AA1290">
        <v>0.98894059999999995</v>
      </c>
      <c r="AB1290">
        <v>26</v>
      </c>
      <c r="AC1290">
        <v>0.76509999999998901</v>
      </c>
      <c r="AD1290">
        <v>-8.18689999999999E-2</v>
      </c>
      <c r="AE1290">
        <v>-0.14539999999999501</v>
      </c>
      <c r="AF1290">
        <v>0.13955401985281601</v>
      </c>
      <c r="AG1290">
        <v>-8.18689999999999E-2</v>
      </c>
      <c r="AH1290">
        <v>0.75753399607875405</v>
      </c>
      <c r="AI1290">
        <v>96.066880832940399</v>
      </c>
      <c r="AJ1290">
        <v>79.561918676070206</v>
      </c>
      <c r="AK1290">
        <v>0.77461965688531698</v>
      </c>
      <c r="AL1290">
        <v>95.897636674222994</v>
      </c>
      <c r="AM1290">
        <v>86.115170991510396</v>
      </c>
      <c r="AN1290">
        <v>0.999999928167152</v>
      </c>
    </row>
    <row r="1291" spans="1:40" x14ac:dyDescent="0.25">
      <c r="A1291" t="str">
        <f>"20190303154752031"</f>
        <v>20190303154752031</v>
      </c>
      <c r="B1291" t="str">
        <f>"1551599272021927"</f>
        <v>1551599272021927</v>
      </c>
      <c r="C1291" t="s">
        <v>40</v>
      </c>
      <c r="D1291">
        <v>5.1908699999999897</v>
      </c>
      <c r="E1291">
        <v>0.52955390000000002</v>
      </c>
      <c r="F1291" t="s">
        <v>46</v>
      </c>
      <c r="G1291">
        <v>-208.57820000000001</v>
      </c>
      <c r="H1291" s="1">
        <v>-5.3924350000000002E-6</v>
      </c>
      <c r="I1291">
        <v>365.88170000000002</v>
      </c>
      <c r="J1291">
        <v>-221.14080000000001</v>
      </c>
      <c r="K1291">
        <v>1.120579</v>
      </c>
      <c r="L1291">
        <v>367.85329999999999</v>
      </c>
      <c r="M1291">
        <v>0.99988659999999996</v>
      </c>
      <c r="N1291">
        <v>-1.3921019999999999E-2</v>
      </c>
      <c r="O1291">
        <v>-5.7507950000000004E-3</v>
      </c>
      <c r="P1291">
        <v>0.99036000000000002</v>
      </c>
      <c r="Q1291">
        <v>-0.1175534</v>
      </c>
      <c r="R1291">
        <v>-7.3271920000000004E-2</v>
      </c>
      <c r="S1291">
        <v>2.9641419999999998</v>
      </c>
      <c r="T1291">
        <v>-0.26122329999999999</v>
      </c>
      <c r="U1291">
        <v>-0.45983889999999999</v>
      </c>
      <c r="V1291">
        <v>6.7532510000000004E-2</v>
      </c>
      <c r="W1291">
        <v>-0.10377699999999999</v>
      </c>
      <c r="X1291">
        <v>0.9923052</v>
      </c>
      <c r="Y1291">
        <v>0.14698359999999999</v>
      </c>
      <c r="Z1291">
        <v>-7.0340819999999997E-3</v>
      </c>
      <c r="AA1291">
        <v>0.98911389999999999</v>
      </c>
      <c r="AB1291">
        <v>26</v>
      </c>
      <c r="AC1291">
        <v>12.5626</v>
      </c>
      <c r="AD1291">
        <v>-1.1205843924349901</v>
      </c>
      <c r="AE1291">
        <v>-1.9715999999999601</v>
      </c>
      <c r="AF1291">
        <v>1.8846801992218201</v>
      </c>
      <c r="AG1291">
        <v>-1.1205843924349901</v>
      </c>
      <c r="AH1291">
        <v>12.4768441648581</v>
      </c>
      <c r="AI1291">
        <v>95.074877962609193</v>
      </c>
      <c r="AJ1291">
        <v>81.410169277116495</v>
      </c>
      <c r="AK1291">
        <v>12.6680451983746</v>
      </c>
      <c r="AL1291">
        <v>95.956709130789307</v>
      </c>
      <c r="AM1291">
        <v>86.106671047141802</v>
      </c>
      <c r="AN1291">
        <v>0.999999957791469</v>
      </c>
    </row>
    <row r="1292" spans="1:40" x14ac:dyDescent="0.25">
      <c r="A1292" t="str">
        <f>"20190303154752045"</f>
        <v>20190303154752045</v>
      </c>
      <c r="B1292" t="str">
        <f>"1551599272041446"</f>
        <v>1551599272041446</v>
      </c>
      <c r="C1292" t="s">
        <v>40</v>
      </c>
      <c r="D1292">
        <v>5.175478</v>
      </c>
      <c r="E1292">
        <v>0.52898599999999996</v>
      </c>
      <c r="F1292" t="s">
        <v>42</v>
      </c>
      <c r="G1292">
        <v>-220.29060000000001</v>
      </c>
      <c r="H1292">
        <v>1.0444119999999999</v>
      </c>
      <c r="I1292">
        <v>367.72199999999998</v>
      </c>
      <c r="J1292">
        <v>-220.96780000000001</v>
      </c>
      <c r="K1292">
        <v>1.120581</v>
      </c>
      <c r="L1292">
        <v>367.85210000000001</v>
      </c>
      <c r="M1292">
        <v>0.99988580000000005</v>
      </c>
      <c r="N1292">
        <v>-1.3919320000000001E-2</v>
      </c>
      <c r="O1292">
        <v>-5.8971609999999997E-3</v>
      </c>
      <c r="P1292">
        <v>0.99025640000000004</v>
      </c>
      <c r="Q1292">
        <v>-0.118184</v>
      </c>
      <c r="R1292">
        <v>-7.3655810000000002E-2</v>
      </c>
      <c r="S1292">
        <v>2.9638369999999998</v>
      </c>
      <c r="T1292">
        <v>-0.265630599999999</v>
      </c>
      <c r="U1292">
        <v>-0.4572754</v>
      </c>
      <c r="V1292">
        <v>6.7771830000000005E-2</v>
      </c>
      <c r="W1292">
        <v>-0.10441060000000001</v>
      </c>
      <c r="X1292">
        <v>0.99222250000000001</v>
      </c>
      <c r="Y1292">
        <v>0.14600350000000001</v>
      </c>
      <c r="Z1292">
        <v>-7.0730619999999998E-3</v>
      </c>
      <c r="AA1292">
        <v>0.98925879999999999</v>
      </c>
      <c r="AB1292">
        <v>26</v>
      </c>
      <c r="AC1292">
        <v>0.67719999999999902</v>
      </c>
      <c r="AD1292">
        <v>-7.6168999999999903E-2</v>
      </c>
      <c r="AE1292">
        <v>-0.130100000000027</v>
      </c>
      <c r="AF1292">
        <v>0.12458379207503301</v>
      </c>
      <c r="AG1292">
        <v>-7.6168999999999903E-2</v>
      </c>
      <c r="AH1292">
        <v>0.66978373146468495</v>
      </c>
      <c r="AI1292">
        <v>96.379410807486494</v>
      </c>
      <c r="AJ1292">
        <v>79.463059834595498</v>
      </c>
      <c r="AK1292">
        <v>0.68551665533636197</v>
      </c>
      <c r="AL1292">
        <v>95.993209524536297</v>
      </c>
      <c r="AM1292">
        <v>86.0925919835245</v>
      </c>
      <c r="AN1292">
        <v>1.0000000419200701</v>
      </c>
    </row>
    <row r="1293" spans="1:40" x14ac:dyDescent="0.25">
      <c r="A1293" t="str">
        <f>"20190303154752058"</f>
        <v>20190303154752058</v>
      </c>
      <c r="B1293" t="str">
        <f>"1551599272051716"</f>
        <v>1551599272051716</v>
      </c>
      <c r="C1293" t="s">
        <v>40</v>
      </c>
      <c r="D1293">
        <v>5.1683379999999897</v>
      </c>
      <c r="E1293">
        <v>0.52874759999999998</v>
      </c>
      <c r="F1293" t="s">
        <v>42</v>
      </c>
      <c r="G1293">
        <v>-220.07089999999999</v>
      </c>
      <c r="H1293">
        <v>1.039614</v>
      </c>
      <c r="I1293">
        <v>367.71469999999999</v>
      </c>
      <c r="J1293">
        <v>-220.81479999999999</v>
      </c>
      <c r="K1293">
        <v>1.120584</v>
      </c>
      <c r="L1293">
        <v>367.85109999999997</v>
      </c>
      <c r="M1293">
        <v>0.99988520000000003</v>
      </c>
      <c r="N1293">
        <v>-1.391776E-2</v>
      </c>
      <c r="O1293">
        <v>-6.0269570000000003E-3</v>
      </c>
      <c r="P1293">
        <v>0.9900854</v>
      </c>
      <c r="Q1293">
        <v>-0.11936430000000001</v>
      </c>
      <c r="R1293">
        <v>-7.4050619999999998E-2</v>
      </c>
      <c r="S1293">
        <v>2.9638209999999998</v>
      </c>
      <c r="T1293">
        <v>-0.267632599999999</v>
      </c>
      <c r="U1293">
        <v>-0.45373540000000001</v>
      </c>
      <c r="V1293">
        <v>6.8038660000000001E-2</v>
      </c>
      <c r="W1293">
        <v>-0.1055946</v>
      </c>
      <c r="X1293">
        <v>0.99207889999999999</v>
      </c>
      <c r="Y1293">
        <v>0.1447186</v>
      </c>
      <c r="Z1293">
        <v>-7.0418340000000003E-3</v>
      </c>
      <c r="AA1293">
        <v>0.98944779999999999</v>
      </c>
      <c r="AB1293">
        <v>26</v>
      </c>
      <c r="AC1293">
        <v>0.74389999999999601</v>
      </c>
      <c r="AD1293">
        <v>-8.0969999999999903E-2</v>
      </c>
      <c r="AE1293">
        <v>-0.13639999999998001</v>
      </c>
      <c r="AF1293">
        <v>0.13041878308333399</v>
      </c>
      <c r="AG1293">
        <v>-8.0969999999999903E-2</v>
      </c>
      <c r="AH1293">
        <v>0.73626956404847799</v>
      </c>
      <c r="AI1293">
        <v>96.180339023535396</v>
      </c>
      <c r="AJ1293">
        <v>79.955130723630404</v>
      </c>
      <c r="AK1293">
        <v>0.75210243373165098</v>
      </c>
      <c r="AL1293">
        <v>96.061425012737004</v>
      </c>
      <c r="AM1293">
        <v>86.076689714132897</v>
      </c>
      <c r="AN1293">
        <v>1.00000001131448</v>
      </c>
    </row>
    <row r="1294" spans="1:40" x14ac:dyDescent="0.25">
      <c r="A1294" t="str">
        <f>"20190303154752080"</f>
        <v>20190303154752080</v>
      </c>
      <c r="B1294" t="str">
        <f>"1551599272072211"</f>
        <v>1551599272072211</v>
      </c>
      <c r="C1294" t="s">
        <v>40</v>
      </c>
      <c r="D1294">
        <v>5.1849720000000001</v>
      </c>
      <c r="E1294">
        <v>0.52822150000000001</v>
      </c>
      <c r="F1294" t="s">
        <v>46</v>
      </c>
      <c r="G1294">
        <v>-208.55330000000001</v>
      </c>
      <c r="H1294" s="1">
        <v>-5.369355E-6</v>
      </c>
      <c r="I1294">
        <v>365.97620000000001</v>
      </c>
      <c r="J1294">
        <v>-220.5735</v>
      </c>
      <c r="K1294">
        <v>1.1205889999999901</v>
      </c>
      <c r="L1294">
        <v>367.84949999999998</v>
      </c>
      <c r="M1294">
        <v>0.99988390000000005</v>
      </c>
      <c r="N1294">
        <v>-1.39151E-2</v>
      </c>
      <c r="O1294">
        <v>-6.231365E-3</v>
      </c>
      <c r="P1294">
        <v>0.99004570000000003</v>
      </c>
      <c r="Q1294">
        <v>-0.11966259999999999</v>
      </c>
      <c r="R1294">
        <v>-7.4098600000000001E-2</v>
      </c>
      <c r="S1294">
        <v>2.9635009999999999</v>
      </c>
      <c r="T1294">
        <v>-0.2708373</v>
      </c>
      <c r="U1294">
        <v>-0.45315549999999999</v>
      </c>
      <c r="V1294">
        <v>6.7884319999999998E-2</v>
      </c>
      <c r="W1294">
        <v>-0.1058958</v>
      </c>
      <c r="X1294">
        <v>0.99205739999999998</v>
      </c>
      <c r="Y1294">
        <v>0.14433099999999999</v>
      </c>
      <c r="Z1294">
        <v>-7.0772710000000004E-3</v>
      </c>
      <c r="AA1294">
        <v>0.98950419999999994</v>
      </c>
      <c r="AB1294">
        <v>26</v>
      </c>
      <c r="AC1294">
        <v>12.0201999999999</v>
      </c>
      <c r="AD1294">
        <v>-1.12059436935499</v>
      </c>
      <c r="AE1294">
        <v>-1.87329999999997</v>
      </c>
      <c r="AF1294">
        <v>1.78322349040213</v>
      </c>
      <c r="AG1294">
        <v>-1.12059436935499</v>
      </c>
      <c r="AH1294">
        <v>11.9304114858702</v>
      </c>
      <c r="AI1294">
        <v>95.307294200913702</v>
      </c>
      <c r="AJ1294">
        <v>81.499006243115005</v>
      </c>
      <c r="AK1294">
        <v>12.114880766212099</v>
      </c>
      <c r="AL1294">
        <v>96.078779611120396</v>
      </c>
      <c r="AM1294">
        <v>86.085477145391494</v>
      </c>
      <c r="AN1294">
        <v>1.0000000431271301</v>
      </c>
    </row>
    <row r="1295" spans="1:40" x14ac:dyDescent="0.25">
      <c r="A1295" t="str">
        <f>"20190303154752097"</f>
        <v>20190303154752097</v>
      </c>
      <c r="B1295" t="str">
        <f>"1551599272091732"</f>
        <v>1551599272091732</v>
      </c>
      <c r="C1295" t="s">
        <v>40</v>
      </c>
      <c r="D1295">
        <v>5.1822429999999997</v>
      </c>
      <c r="E1295">
        <v>0.52783950000000002</v>
      </c>
      <c r="F1295" t="s">
        <v>46</v>
      </c>
      <c r="G1295">
        <v>-208.40010000000001</v>
      </c>
      <c r="H1295" s="1">
        <v>-5.3133789999999999E-6</v>
      </c>
      <c r="I1295">
        <v>366.00630000000001</v>
      </c>
      <c r="J1295">
        <v>-220.38630000000001</v>
      </c>
      <c r="K1295">
        <v>1.1205860000000001</v>
      </c>
      <c r="L1295">
        <v>367.84809999999999</v>
      </c>
      <c r="M1295">
        <v>0.99988290000000002</v>
      </c>
      <c r="N1295">
        <v>-1.391297E-2</v>
      </c>
      <c r="O1295">
        <v>-6.3895319999999999E-3</v>
      </c>
      <c r="P1295">
        <v>0.99011769999999999</v>
      </c>
      <c r="Q1295">
        <v>-0.119406399999999</v>
      </c>
      <c r="R1295">
        <v>-7.3548939999999993E-2</v>
      </c>
      <c r="S1295">
        <v>2.9636079999999998</v>
      </c>
      <c r="T1295">
        <v>-0.27280949999999998</v>
      </c>
      <c r="U1295">
        <v>-0.44873049999999998</v>
      </c>
      <c r="V1295">
        <v>6.7177769999999998E-2</v>
      </c>
      <c r="W1295">
        <v>-0.1056402</v>
      </c>
      <c r="X1295">
        <v>0.99213269999999998</v>
      </c>
      <c r="Y1295">
        <v>0.14272409999999999</v>
      </c>
      <c r="Z1295">
        <v>-7.023924E-3</v>
      </c>
      <c r="AA1295">
        <v>0.9897376</v>
      </c>
      <c r="AB1295">
        <v>26</v>
      </c>
      <c r="AC1295">
        <v>11.986199999999901</v>
      </c>
      <c r="AD1295">
        <v>-1.120591313379</v>
      </c>
      <c r="AE1295">
        <v>-1.8417999999999699</v>
      </c>
      <c r="AF1295">
        <v>1.7502239861706399</v>
      </c>
      <c r="AG1295">
        <v>-1.120591313379</v>
      </c>
      <c r="AH1295">
        <v>11.8961459580102</v>
      </c>
      <c r="AI1295">
        <v>95.3242789659745</v>
      </c>
      <c r="AJ1295">
        <v>81.630385984996295</v>
      </c>
      <c r="AK1295">
        <v>12.076311421442799</v>
      </c>
      <c r="AL1295">
        <v>96.064052467392003</v>
      </c>
      <c r="AM1295">
        <v>86.126388493957805</v>
      </c>
      <c r="AN1295">
        <v>0.99999999952375096</v>
      </c>
    </row>
    <row r="1296" spans="1:40" x14ac:dyDescent="0.25">
      <c r="A1296" t="str">
        <f>"20190303154752115"</f>
        <v>20190303154752115</v>
      </c>
      <c r="B1296" t="str">
        <f>"1551599272112228"</f>
        <v>1551599272112228</v>
      </c>
      <c r="C1296" t="s">
        <v>40</v>
      </c>
      <c r="D1296">
        <v>5.1980420000000001</v>
      </c>
      <c r="E1296">
        <v>0.52758760000000005</v>
      </c>
      <c r="F1296" t="s">
        <v>42</v>
      </c>
      <c r="G1296">
        <v>-219.60300000000001</v>
      </c>
      <c r="H1296">
        <v>1.0488090000000001</v>
      </c>
      <c r="I1296">
        <v>367.73070000000001</v>
      </c>
      <c r="J1296">
        <v>-220.18350000000001</v>
      </c>
      <c r="K1296">
        <v>1.120593</v>
      </c>
      <c r="L1296">
        <v>367.8467</v>
      </c>
      <c r="M1296">
        <v>0.99988180000000004</v>
      </c>
      <c r="N1296">
        <v>-1.39107E-2</v>
      </c>
      <c r="O1296">
        <v>-6.5611649999999999E-3</v>
      </c>
      <c r="P1296">
        <v>0.99029020000000001</v>
      </c>
      <c r="Q1296">
        <v>-0.11897480000000001</v>
      </c>
      <c r="R1296">
        <v>-7.1903469999999997E-2</v>
      </c>
      <c r="S1296">
        <v>2.964188</v>
      </c>
      <c r="T1296">
        <v>-0.27164719999999998</v>
      </c>
      <c r="U1296">
        <v>-0.4443665</v>
      </c>
      <c r="V1296">
        <v>6.5361639999999999E-2</v>
      </c>
      <c r="W1296">
        <v>-0.1052077</v>
      </c>
      <c r="X1296">
        <v>0.99229999999999996</v>
      </c>
      <c r="Y1296">
        <v>0.14111399999999999</v>
      </c>
      <c r="Z1296">
        <v>-6.9002119999999898E-3</v>
      </c>
      <c r="AA1296">
        <v>0.98996930000000005</v>
      </c>
      <c r="AB1296">
        <v>26</v>
      </c>
      <c r="AC1296">
        <v>0.58050000000002899</v>
      </c>
      <c r="AD1296">
        <v>-7.1783999999999806E-2</v>
      </c>
      <c r="AE1296">
        <v>-0.115999999999985</v>
      </c>
      <c r="AF1296">
        <v>0.110562624900072</v>
      </c>
      <c r="AG1296">
        <v>-7.1783999999999806E-2</v>
      </c>
      <c r="AH1296">
        <v>0.57282563382638396</v>
      </c>
      <c r="AI1296">
        <v>97.014679196573596</v>
      </c>
      <c r="AJ1296">
        <v>79.075524402897301</v>
      </c>
      <c r="AK1296">
        <v>0.58779779129339405</v>
      </c>
      <c r="AL1296">
        <v>96.039132888353706</v>
      </c>
      <c r="AM1296">
        <v>86.231437972001999</v>
      </c>
      <c r="AN1296">
        <v>1.0000000470613799</v>
      </c>
    </row>
    <row r="1297" spans="1:40" x14ac:dyDescent="0.25">
      <c r="A1297" t="str">
        <f>"20190303154752128"</f>
        <v>20190303154752128</v>
      </c>
      <c r="B1297" t="str">
        <f>"1551599272121988"</f>
        <v>1551599272121988</v>
      </c>
      <c r="C1297" t="s">
        <v>40</v>
      </c>
      <c r="D1297">
        <v>5.1800980000000001</v>
      </c>
      <c r="E1297">
        <v>0.52752299999999996</v>
      </c>
      <c r="F1297" t="s">
        <v>42</v>
      </c>
      <c r="G1297">
        <v>-219.38140000000001</v>
      </c>
      <c r="H1297">
        <v>1.0475840000000001</v>
      </c>
      <c r="I1297">
        <v>367.72820000000002</v>
      </c>
      <c r="J1297">
        <v>-220.03039999999999</v>
      </c>
      <c r="K1297">
        <v>1.1206039999999999</v>
      </c>
      <c r="L1297">
        <v>367.84550000000002</v>
      </c>
      <c r="M1297">
        <v>0.99988089999999996</v>
      </c>
      <c r="N1297">
        <v>-1.3908999999999999E-2</v>
      </c>
      <c r="O1297">
        <v>-6.6908430000000001E-3</v>
      </c>
      <c r="P1297">
        <v>0.99040539999999999</v>
      </c>
      <c r="Q1297">
        <v>-0.118491899999999</v>
      </c>
      <c r="R1297">
        <v>-7.1114460000000004E-2</v>
      </c>
      <c r="S1297">
        <v>2.9652250000000002</v>
      </c>
      <c r="T1297">
        <v>-0.27008649999999901</v>
      </c>
      <c r="U1297">
        <v>-0.43719479999999999</v>
      </c>
      <c r="V1297">
        <v>6.4443139999999996E-2</v>
      </c>
      <c r="W1297">
        <v>-0.104724499999999</v>
      </c>
      <c r="X1297">
        <v>0.99241109999999999</v>
      </c>
      <c r="Y1297">
        <v>0.13861089999999901</v>
      </c>
      <c r="Z1297">
        <v>-6.7249900000000001E-3</v>
      </c>
      <c r="AA1297">
        <v>0.99032410000000004</v>
      </c>
      <c r="AB1297">
        <v>26</v>
      </c>
      <c r="AC1297">
        <v>0.64899999999997204</v>
      </c>
      <c r="AD1297">
        <v>-7.3020000000000002E-2</v>
      </c>
      <c r="AE1297">
        <v>-0.1173</v>
      </c>
      <c r="AF1297">
        <v>0.111586721261934</v>
      </c>
      <c r="AG1297">
        <v>-7.3020000000000002E-2</v>
      </c>
      <c r="AH1297">
        <v>0.64190168944353898</v>
      </c>
      <c r="AI1297">
        <v>96.394734390337803</v>
      </c>
      <c r="AJ1297">
        <v>80.138382551730302</v>
      </c>
      <c r="AK1297">
        <v>0.65560757749774201</v>
      </c>
      <c r="AL1297">
        <v>96.011294273254805</v>
      </c>
      <c r="AM1297">
        <v>86.284661407085494</v>
      </c>
      <c r="AN1297">
        <v>0.99999996529825896</v>
      </c>
    </row>
    <row r="1298" spans="1:40" x14ac:dyDescent="0.25">
      <c r="A1298" t="str">
        <f>"20190303154752143"</f>
        <v>20190303154752143</v>
      </c>
      <c r="B1298" t="str">
        <f>"1551599272131749"</f>
        <v>1551599272131749</v>
      </c>
      <c r="C1298" t="s">
        <v>40</v>
      </c>
      <c r="D1298">
        <v>5.1778639999999996</v>
      </c>
      <c r="E1298">
        <v>0.52754469999999898</v>
      </c>
      <c r="F1298" t="s">
        <v>42</v>
      </c>
      <c r="G1298">
        <v>-219.15790000000001</v>
      </c>
      <c r="H1298">
        <v>1.0414620000000001</v>
      </c>
      <c r="I1298">
        <v>367.71769999999998</v>
      </c>
      <c r="J1298">
        <v>-219.86439999999999</v>
      </c>
      <c r="K1298">
        <v>1.1206069999999999</v>
      </c>
      <c r="L1298">
        <v>367.84429999999998</v>
      </c>
      <c r="M1298">
        <v>0.99987999999999999</v>
      </c>
      <c r="N1298">
        <v>-1.390717E-2</v>
      </c>
      <c r="O1298">
        <v>-6.8312470000000004E-3</v>
      </c>
      <c r="P1298">
        <v>0.99050269999999996</v>
      </c>
      <c r="Q1298">
        <v>-0.1178969</v>
      </c>
      <c r="R1298">
        <v>-7.0745890000000006E-2</v>
      </c>
      <c r="S1298">
        <v>2.9656980000000002</v>
      </c>
      <c r="T1298">
        <v>-0.26915349999999999</v>
      </c>
      <c r="U1298">
        <v>-0.43423460000000003</v>
      </c>
      <c r="V1298">
        <v>6.3935240000000004E-2</v>
      </c>
      <c r="W1298">
        <v>-0.10412979999999999</v>
      </c>
      <c r="X1298">
        <v>0.99250660000000002</v>
      </c>
      <c r="Y1298">
        <v>0.1374911</v>
      </c>
      <c r="Z1298">
        <v>-6.6358169999999996E-3</v>
      </c>
      <c r="AA1298">
        <v>0.99048080000000005</v>
      </c>
      <c r="AB1298">
        <v>25</v>
      </c>
      <c r="AC1298">
        <v>0.70649999999997704</v>
      </c>
      <c r="AD1298">
        <v>-7.9144999999999799E-2</v>
      </c>
      <c r="AE1298">
        <v>-0.12659999999999599</v>
      </c>
      <c r="AF1298">
        <v>0.120307488473887</v>
      </c>
      <c r="AG1298">
        <v>-7.9144999999999799E-2</v>
      </c>
      <c r="AH1298">
        <v>0.69885112587640397</v>
      </c>
      <c r="AI1298">
        <v>96.368337103077593</v>
      </c>
      <c r="AJ1298">
        <v>80.232250252215096</v>
      </c>
      <c r="AK1298">
        <v>0.71353396481639997</v>
      </c>
      <c r="AL1298">
        <v>95.977032698353099</v>
      </c>
      <c r="AM1298">
        <v>86.314216006647101</v>
      </c>
      <c r="AN1298">
        <v>1.0000000406027201</v>
      </c>
    </row>
    <row r="1299" spans="1:40" x14ac:dyDescent="0.25">
      <c r="A1299" t="str">
        <f>"20190303154752156"</f>
        <v>20190303154752156</v>
      </c>
      <c r="B1299" t="str">
        <f>"1551599272151775"</f>
        <v>1551599272151775</v>
      </c>
      <c r="C1299" t="s">
        <v>40</v>
      </c>
      <c r="D1299">
        <v>5.1988539999999999</v>
      </c>
      <c r="E1299">
        <v>0.52746559999999998</v>
      </c>
      <c r="F1299" t="s">
        <v>42</v>
      </c>
      <c r="G1299">
        <v>-218.93369999999999</v>
      </c>
      <c r="H1299">
        <v>1.0366439999999999</v>
      </c>
      <c r="I1299">
        <v>367.70819999999998</v>
      </c>
      <c r="J1299">
        <v>-219.70959999999999</v>
      </c>
      <c r="K1299">
        <v>1.120614</v>
      </c>
      <c r="L1299">
        <v>367.84309999999999</v>
      </c>
      <c r="M1299">
        <v>0.99987910000000002</v>
      </c>
      <c r="N1299">
        <v>-1.390549E-2</v>
      </c>
      <c r="O1299">
        <v>-6.9623539999999996E-3</v>
      </c>
      <c r="P1299">
        <v>0.99054900000000001</v>
      </c>
      <c r="Q1299">
        <v>-0.1176953</v>
      </c>
      <c r="R1299">
        <v>-7.0430850000000003E-2</v>
      </c>
      <c r="S1299">
        <v>2.9659420000000001</v>
      </c>
      <c r="T1299">
        <v>-0.26777010000000001</v>
      </c>
      <c r="U1299">
        <v>-0.4333496</v>
      </c>
      <c r="V1299">
        <v>6.3490249999999998E-2</v>
      </c>
      <c r="W1299">
        <v>-0.1039289</v>
      </c>
      <c r="X1299">
        <v>0.9925562</v>
      </c>
      <c r="Y1299">
        <v>0.13706849999999901</v>
      </c>
      <c r="Z1299">
        <v>-6.5749240000000002E-3</v>
      </c>
      <c r="AA1299">
        <v>0.99053970000000002</v>
      </c>
      <c r="AB1299">
        <v>25</v>
      </c>
      <c r="AC1299">
        <v>0.77590000000000703</v>
      </c>
      <c r="AD1299">
        <v>-8.3969999999999795E-2</v>
      </c>
      <c r="AE1299">
        <v>-0.13490000000001601</v>
      </c>
      <c r="AF1299">
        <v>0.12803851056837301</v>
      </c>
      <c r="AG1299">
        <v>-8.3969999999999795E-2</v>
      </c>
      <c r="AH1299">
        <v>0.76808848489263404</v>
      </c>
      <c r="AI1299">
        <v>96.154726676606501</v>
      </c>
      <c r="AJ1299">
        <v>80.535953094924395</v>
      </c>
      <c r="AK1299">
        <v>0.78320159710845105</v>
      </c>
      <c r="AL1299">
        <v>95.965459309996703</v>
      </c>
      <c r="AM1299">
        <v>86.339981536029597</v>
      </c>
      <c r="AN1299">
        <v>1.0000000191293501</v>
      </c>
    </row>
    <row r="1300" spans="1:40" x14ac:dyDescent="0.25">
      <c r="A1300" t="str">
        <f>"20190303154752169"</f>
        <v>20190303154752169</v>
      </c>
      <c r="B1300" t="str">
        <f>"1551599272161535"</f>
        <v>1551599272161535</v>
      </c>
      <c r="C1300" t="s">
        <v>40</v>
      </c>
      <c r="D1300">
        <v>5.1035519999999996</v>
      </c>
      <c r="E1300">
        <v>0.52727740000000001</v>
      </c>
      <c r="F1300" t="s">
        <v>42</v>
      </c>
      <c r="G1300">
        <v>-218.92580000000001</v>
      </c>
      <c r="H1300">
        <v>1.0486279999999999</v>
      </c>
      <c r="I1300">
        <v>367.72890000000001</v>
      </c>
      <c r="J1300">
        <v>-219.56049999999999</v>
      </c>
      <c r="K1300">
        <v>1.1206240000000001</v>
      </c>
      <c r="L1300">
        <v>367.84199999999998</v>
      </c>
      <c r="M1300">
        <v>0.9998783</v>
      </c>
      <c r="N1300">
        <v>-1.3903850000000001E-2</v>
      </c>
      <c r="O1300">
        <v>-7.0884549999999996E-3</v>
      </c>
      <c r="P1300">
        <v>0.99059779999999997</v>
      </c>
      <c r="Q1300">
        <v>-0.11707529999999999</v>
      </c>
      <c r="R1300">
        <v>-7.0781129999999998E-2</v>
      </c>
      <c r="S1300">
        <v>2.9655459999999998</v>
      </c>
      <c r="T1300">
        <v>-0.27261200000000002</v>
      </c>
      <c r="U1300">
        <v>-0.4316101</v>
      </c>
      <c r="V1300">
        <v>6.371512E-2</v>
      </c>
      <c r="W1300">
        <v>-0.1033097</v>
      </c>
      <c r="X1300">
        <v>0.9926064</v>
      </c>
      <c r="Y1300">
        <v>0.13637639999999901</v>
      </c>
      <c r="Z1300">
        <v>-6.6290009999999998E-3</v>
      </c>
      <c r="AA1300">
        <v>0.99063489999999998</v>
      </c>
      <c r="AB1300">
        <v>25</v>
      </c>
      <c r="AC1300">
        <v>0.63469999999998095</v>
      </c>
      <c r="AD1300">
        <v>-7.1995999999999893E-2</v>
      </c>
      <c r="AE1300">
        <v>-0.113099999999974</v>
      </c>
      <c r="AF1300">
        <v>0.10726003314612299</v>
      </c>
      <c r="AG1300">
        <v>-7.1995999999999893E-2</v>
      </c>
      <c r="AH1300">
        <v>0.62765825950947896</v>
      </c>
      <c r="AI1300">
        <v>96.450846279926296</v>
      </c>
      <c r="AJ1300">
        <v>80.302444228863195</v>
      </c>
      <c r="AK1300">
        <v>0.64081434866658205</v>
      </c>
      <c r="AL1300">
        <v>95.929789940747398</v>
      </c>
      <c r="AM1300">
        <v>86.327239138617401</v>
      </c>
      <c r="AN1300">
        <v>0.99999998797583201</v>
      </c>
    </row>
    <row r="1301" spans="1:40" x14ac:dyDescent="0.25">
      <c r="A1301" t="str">
        <f>"20190303154752183"</f>
        <v>20190303154752183</v>
      </c>
      <c r="B1301" t="str">
        <f>"1551599272172271"</f>
        <v>1551599272172271</v>
      </c>
      <c r="C1301" t="s">
        <v>40</v>
      </c>
      <c r="D1301">
        <v>5.072133</v>
      </c>
      <c r="E1301">
        <v>0.52727740000000001</v>
      </c>
      <c r="F1301" t="s">
        <v>42</v>
      </c>
      <c r="G1301">
        <v>-218.7022</v>
      </c>
      <c r="H1301">
        <v>1.043137</v>
      </c>
      <c r="I1301">
        <v>367.71719999999999</v>
      </c>
      <c r="J1301">
        <v>-219.40010000000001</v>
      </c>
      <c r="K1301">
        <v>1.120627</v>
      </c>
      <c r="L1301">
        <v>367.84070000000003</v>
      </c>
      <c r="M1301">
        <v>0.99987749999999997</v>
      </c>
      <c r="N1301">
        <v>-1.3902080000000001E-2</v>
      </c>
      <c r="O1301">
        <v>-7.2239679999999999E-3</v>
      </c>
      <c r="P1301">
        <v>0.99061449999999995</v>
      </c>
      <c r="Q1301">
        <v>-0.116555199999999</v>
      </c>
      <c r="R1301">
        <v>-7.1403620000000001E-2</v>
      </c>
      <c r="S1301">
        <v>2.9660190000000002</v>
      </c>
      <c r="T1301">
        <v>-0.26787759999999999</v>
      </c>
      <c r="U1301">
        <v>-0.43087769999999997</v>
      </c>
      <c r="V1301">
        <v>6.4203689999999994E-2</v>
      </c>
      <c r="W1301">
        <v>-0.1027911</v>
      </c>
      <c r="X1301">
        <v>0.99262879999999998</v>
      </c>
      <c r="Y1301">
        <v>0.1360024</v>
      </c>
      <c r="Z1301">
        <v>-6.501911E-3</v>
      </c>
      <c r="AA1301">
        <v>0.99068719999999999</v>
      </c>
      <c r="AB1301">
        <v>25</v>
      </c>
      <c r="AC1301">
        <v>0.69790000000000396</v>
      </c>
      <c r="AD1301">
        <v>-7.7490000000000003E-2</v>
      </c>
      <c r="AE1301">
        <v>-0.123500000000035</v>
      </c>
      <c r="AF1301">
        <v>0.117055401678359</v>
      </c>
      <c r="AG1301">
        <v>-7.7490000000000003E-2</v>
      </c>
      <c r="AH1301">
        <v>0.69051955211035398</v>
      </c>
      <c r="AI1301">
        <v>96.313605888802201</v>
      </c>
      <c r="AJ1301">
        <v>80.3788050852027</v>
      </c>
      <c r="AK1301">
        <v>0.70464453379613101</v>
      </c>
      <c r="AL1301">
        <v>95.899917066170204</v>
      </c>
      <c r="AM1301">
        <v>86.299237519753902</v>
      </c>
      <c r="AN1301">
        <v>1.00000002931913</v>
      </c>
    </row>
    <row r="1302" spans="1:40" x14ac:dyDescent="0.25">
      <c r="A1302" t="str">
        <f>"20190303154752196"</f>
        <v>20190303154752196</v>
      </c>
      <c r="B1302" t="str">
        <f>"1551599272191791"</f>
        <v>1551599272191791</v>
      </c>
      <c r="C1302" t="s">
        <v>40</v>
      </c>
      <c r="D1302">
        <v>5.0930439999999999</v>
      </c>
      <c r="E1302">
        <v>0.50795630000000003</v>
      </c>
      <c r="F1302" t="s">
        <v>42</v>
      </c>
      <c r="G1302">
        <v>-218.4786</v>
      </c>
      <c r="H1302">
        <v>1.0379529999999999</v>
      </c>
      <c r="I1302">
        <v>367.70600000000002</v>
      </c>
      <c r="J1302">
        <v>-219.24590000000001</v>
      </c>
      <c r="K1302">
        <v>1.120633</v>
      </c>
      <c r="L1302">
        <v>367.83940000000001</v>
      </c>
      <c r="M1302">
        <v>0.9998764</v>
      </c>
      <c r="N1302">
        <v>-1.390037E-2</v>
      </c>
      <c r="O1302">
        <v>-7.35219699999999E-3</v>
      </c>
      <c r="P1302">
        <v>0.99062510000000004</v>
      </c>
      <c r="Q1302">
        <v>-0.1159531</v>
      </c>
      <c r="R1302">
        <v>-7.2227600000000003E-2</v>
      </c>
      <c r="S1302">
        <v>2.9659119999999999</v>
      </c>
      <c r="T1302">
        <v>-0.26620650000000001</v>
      </c>
      <c r="U1302">
        <v>-0.43298340000000002</v>
      </c>
      <c r="V1302">
        <v>6.4901219999999996E-2</v>
      </c>
      <c r="W1302">
        <v>-0.10219060000000001</v>
      </c>
      <c r="X1302">
        <v>0.99264540000000001</v>
      </c>
      <c r="Y1302">
        <v>0.1365739</v>
      </c>
      <c r="Z1302">
        <v>-6.4876719999999999E-3</v>
      </c>
      <c r="AA1302">
        <v>0.99060859999999995</v>
      </c>
      <c r="AB1302">
        <v>25</v>
      </c>
      <c r="AC1302">
        <v>0.76730000000000498</v>
      </c>
      <c r="AD1302">
        <v>-8.2679999999999795E-2</v>
      </c>
      <c r="AE1302">
        <v>-0.13340000000005101</v>
      </c>
      <c r="AF1302">
        <v>0.12633071482509001</v>
      </c>
      <c r="AG1302">
        <v>-8.2679999999999795E-2</v>
      </c>
      <c r="AH1302">
        <v>0.75969806027223996</v>
      </c>
      <c r="AI1302">
        <v>96.127716444672899</v>
      </c>
      <c r="AJ1302">
        <v>80.558638718336397</v>
      </c>
      <c r="AK1302">
        <v>0.77455572729766997</v>
      </c>
      <c r="AL1302">
        <v>95.865329047044995</v>
      </c>
      <c r="AM1302">
        <v>86.259207153171204</v>
      </c>
      <c r="AN1302">
        <v>0.99999998861350403</v>
      </c>
    </row>
    <row r="1303" spans="1:40" x14ac:dyDescent="0.25">
      <c r="A1303" t="str">
        <f>"20190303154752215"</f>
        <v>20190303154752215</v>
      </c>
      <c r="B1303" t="str">
        <f>"1551599272212286"</f>
        <v>1551599272212286</v>
      </c>
      <c r="C1303" t="s">
        <v>40</v>
      </c>
      <c r="D1303">
        <v>5.1264059999999896</v>
      </c>
      <c r="E1303">
        <v>0.50792349999999997</v>
      </c>
      <c r="F1303" t="s">
        <v>46</v>
      </c>
      <c r="G1303">
        <v>-202.89019999999999</v>
      </c>
      <c r="H1303" s="1">
        <v>-2.590192E-6</v>
      </c>
      <c r="I1303">
        <v>366.29079999999999</v>
      </c>
      <c r="J1303">
        <v>-219.04759999999999</v>
      </c>
      <c r="K1303">
        <v>1.1206499999999999</v>
      </c>
      <c r="L1303">
        <v>367.83780000000002</v>
      </c>
      <c r="M1303">
        <v>0.99987519999999996</v>
      </c>
      <c r="N1303">
        <v>-1.389815E-2</v>
      </c>
      <c r="O1303">
        <v>-7.5114969999999998E-3</v>
      </c>
      <c r="P1303">
        <v>0.99069870000000004</v>
      </c>
      <c r="Q1303">
        <v>-0.11442140000000001</v>
      </c>
      <c r="R1303">
        <v>-7.3647770000000001E-2</v>
      </c>
      <c r="S1303">
        <v>2.9838710000000002</v>
      </c>
      <c r="T1303">
        <v>-0.20444390000000001</v>
      </c>
      <c r="U1303">
        <v>-0.2825317</v>
      </c>
      <c r="V1303">
        <v>6.6164280000000006E-2</v>
      </c>
      <c r="W1303">
        <v>-0.1006599</v>
      </c>
      <c r="X1303">
        <v>0.9927184</v>
      </c>
      <c r="Y1303">
        <v>8.6552050000000005E-2</v>
      </c>
      <c r="Z1303">
        <v>-3.1499420000000002E-3</v>
      </c>
      <c r="AA1303">
        <v>0.99624230000000003</v>
      </c>
      <c r="AB1303">
        <v>25</v>
      </c>
      <c r="AC1303">
        <v>16.1573999999999</v>
      </c>
      <c r="AD1303">
        <v>-1.1206525901919999</v>
      </c>
      <c r="AE1303">
        <v>-1.5470000000000199</v>
      </c>
      <c r="AF1303">
        <v>1.4188150158416899</v>
      </c>
      <c r="AG1303">
        <v>-1.1206525901919999</v>
      </c>
      <c r="AH1303">
        <v>16.091857241642</v>
      </c>
      <c r="AI1303">
        <v>93.968356504696601</v>
      </c>
      <c r="AJ1303">
        <v>84.961275391970304</v>
      </c>
      <c r="AK1303">
        <v>16.1931086503632</v>
      </c>
      <c r="AL1303">
        <v>95.777171856198905</v>
      </c>
      <c r="AM1303">
        <v>86.186898933530998</v>
      </c>
      <c r="AN1303">
        <v>0.99999997455724299</v>
      </c>
    </row>
    <row r="1304" spans="1:40" x14ac:dyDescent="0.25">
      <c r="A1304" t="str">
        <f>"20190303154752228"</f>
        <v>20190303154752228</v>
      </c>
      <c r="B1304" t="str">
        <f>"1551599272222046"</f>
        <v>1551599272222046</v>
      </c>
      <c r="C1304" t="s">
        <v>40</v>
      </c>
      <c r="D1304">
        <v>5.0997199999999996</v>
      </c>
      <c r="E1304">
        <v>0.50782839999999996</v>
      </c>
      <c r="F1304" t="s">
        <v>46</v>
      </c>
      <c r="G1304">
        <v>-202.48009999999999</v>
      </c>
      <c r="H1304" s="1">
        <v>-2.3585700000000002E-6</v>
      </c>
      <c r="I1304">
        <v>366.2491</v>
      </c>
      <c r="J1304">
        <v>-218.8844</v>
      </c>
      <c r="K1304">
        <v>1.120663</v>
      </c>
      <c r="L1304">
        <v>367.8365</v>
      </c>
      <c r="M1304">
        <v>0.99987440000000005</v>
      </c>
      <c r="N1304">
        <v>-1.389634E-2</v>
      </c>
      <c r="O1304">
        <v>-7.6299530000000001E-3</v>
      </c>
      <c r="P1304">
        <v>0.99078189999999999</v>
      </c>
      <c r="Q1304">
        <v>-0.11343019999999999</v>
      </c>
      <c r="R1304">
        <v>-7.4061559999999999E-2</v>
      </c>
      <c r="S1304">
        <v>2.9835660000000002</v>
      </c>
      <c r="T1304">
        <v>-0.20181370000000001</v>
      </c>
      <c r="U1304">
        <v>-0.28610229999999998</v>
      </c>
      <c r="V1304">
        <v>6.6462090000000001E-2</v>
      </c>
      <c r="W1304">
        <v>-9.9668000000000007E-2</v>
      </c>
      <c r="X1304">
        <v>0.99279859999999998</v>
      </c>
      <c r="Y1304">
        <v>8.7627590000000005E-2</v>
      </c>
      <c r="Z1304">
        <v>-3.1560329999999999E-3</v>
      </c>
      <c r="AA1304">
        <v>0.99614829999999999</v>
      </c>
      <c r="AB1304">
        <v>25</v>
      </c>
      <c r="AC1304">
        <v>16.404299999999999</v>
      </c>
      <c r="AD1304">
        <v>-1.1206653585699999</v>
      </c>
      <c r="AE1304">
        <v>-1.5873999999999999</v>
      </c>
      <c r="AF1304">
        <v>1.4554481270941</v>
      </c>
      <c r="AG1304">
        <v>-1.1206653585699999</v>
      </c>
      <c r="AH1304">
        <v>16.340382494869299</v>
      </c>
      <c r="AI1304">
        <v>93.907924958592105</v>
      </c>
      <c r="AJ1304">
        <v>84.910061063429097</v>
      </c>
      <c r="AK1304">
        <v>16.443306242212699</v>
      </c>
      <c r="AL1304">
        <v>95.720052826329393</v>
      </c>
      <c r="AM1304">
        <v>86.170095365977602</v>
      </c>
      <c r="AN1304">
        <v>0.99999998989656402</v>
      </c>
    </row>
    <row r="1305" spans="1:40" x14ac:dyDescent="0.25">
      <c r="A1305" t="str">
        <f>"20190303154752243"</f>
        <v>20190303154752243</v>
      </c>
      <c r="B1305" t="str">
        <f>"1551599272231807"</f>
        <v>1551599272231807</v>
      </c>
      <c r="C1305" t="s">
        <v>40</v>
      </c>
      <c r="D1305">
        <v>5.115246</v>
      </c>
      <c r="E1305">
        <v>0.50766219999999995</v>
      </c>
      <c r="F1305" t="s">
        <v>46</v>
      </c>
      <c r="G1305">
        <v>-202.221</v>
      </c>
      <c r="H1305" s="1">
        <v>-2.2086720000000002E-6</v>
      </c>
      <c r="I1305">
        <v>366.23599999999999</v>
      </c>
      <c r="J1305">
        <v>-218.7235</v>
      </c>
      <c r="K1305">
        <v>1.120679</v>
      </c>
      <c r="L1305">
        <v>367.83510000000001</v>
      </c>
      <c r="M1305">
        <v>0.99987360000000003</v>
      </c>
      <c r="N1305">
        <v>-1.389458E-2</v>
      </c>
      <c r="O1305">
        <v>-7.7333030000000004E-3</v>
      </c>
      <c r="P1305">
        <v>0.99079989999999996</v>
      </c>
      <c r="Q1305">
        <v>-0.112997</v>
      </c>
      <c r="R1305">
        <v>-7.448341E-2</v>
      </c>
      <c r="S1305">
        <v>2.983536</v>
      </c>
      <c r="T1305">
        <v>-0.200652</v>
      </c>
      <c r="U1305">
        <v>-0.28656009999999998</v>
      </c>
      <c r="V1305">
        <v>6.678481E-2</v>
      </c>
      <c r="W1305">
        <v>-9.9234230000000007E-2</v>
      </c>
      <c r="X1305">
        <v>0.99282040000000005</v>
      </c>
      <c r="Y1305">
        <v>8.7679409999999999E-2</v>
      </c>
      <c r="Z1305">
        <v>-3.13854E-3</v>
      </c>
      <c r="AA1305">
        <v>0.99614380000000002</v>
      </c>
      <c r="AB1305">
        <v>25</v>
      </c>
      <c r="AC1305">
        <v>16.502500000000001</v>
      </c>
      <c r="AD1305">
        <v>-1.1206812086719999</v>
      </c>
      <c r="AE1305">
        <v>-1.5991000000000199</v>
      </c>
      <c r="AF1305">
        <v>1.4647289151229801</v>
      </c>
      <c r="AG1305">
        <v>-1.1206812086719999</v>
      </c>
      <c r="AH1305">
        <v>16.439265604847499</v>
      </c>
      <c r="AI1305">
        <v>93.884535670131299</v>
      </c>
      <c r="AJ1305">
        <v>84.908424779443294</v>
      </c>
      <c r="AK1305">
        <v>16.542394348853801</v>
      </c>
      <c r="AL1305">
        <v>95.695075781876795</v>
      </c>
      <c r="AM1305">
        <v>86.151638494176694</v>
      </c>
      <c r="AN1305">
        <v>0.99999999495329395</v>
      </c>
    </row>
    <row r="1306" spans="1:40" x14ac:dyDescent="0.25">
      <c r="A1306" t="str">
        <f>"20190303154752256"</f>
        <v>20190303154752256</v>
      </c>
      <c r="B1306" t="str">
        <f>"1551599272251835"</f>
        <v>1551599272251835</v>
      </c>
      <c r="C1306" t="s">
        <v>40</v>
      </c>
      <c r="D1306">
        <v>5.1257619999999999</v>
      </c>
      <c r="E1306">
        <v>0.50749880000000003</v>
      </c>
      <c r="F1306" t="s">
        <v>46</v>
      </c>
      <c r="G1306">
        <v>-202.29589999999999</v>
      </c>
      <c r="H1306" s="1">
        <v>-2.2471449999999998E-6</v>
      </c>
      <c r="I1306">
        <v>366.25790000000001</v>
      </c>
      <c r="J1306">
        <v>-218.56729999999999</v>
      </c>
      <c r="K1306">
        <v>1.1207020000000001</v>
      </c>
      <c r="L1306">
        <v>367.8338</v>
      </c>
      <c r="M1306">
        <v>0.99987309999999996</v>
      </c>
      <c r="N1306">
        <v>-1.3892969999999999E-2</v>
      </c>
      <c r="O1306">
        <v>-7.8097100000000001E-3</v>
      </c>
      <c r="P1306">
        <v>0.99080250000000003</v>
      </c>
      <c r="Q1306">
        <v>-0.1126028</v>
      </c>
      <c r="R1306">
        <v>-7.5041490000000002E-2</v>
      </c>
      <c r="S1306">
        <v>2.9831240000000001</v>
      </c>
      <c r="T1306">
        <v>-0.20350599999999999</v>
      </c>
      <c r="U1306">
        <v>-0.28640749999999998</v>
      </c>
      <c r="V1306">
        <v>6.727197E-2</v>
      </c>
      <c r="W1306">
        <v>-9.8838400000000007E-2</v>
      </c>
      <c r="X1306">
        <v>0.99282700000000002</v>
      </c>
      <c r="Y1306">
        <v>8.7560460000000007E-2</v>
      </c>
      <c r="Z1306">
        <v>-3.1641529999999998E-3</v>
      </c>
      <c r="AA1306">
        <v>0.99615419999999999</v>
      </c>
      <c r="AB1306">
        <v>25</v>
      </c>
      <c r="AC1306">
        <v>16.2714</v>
      </c>
      <c r="AD1306">
        <v>-1.1207042471449999</v>
      </c>
      <c r="AE1306">
        <v>-1.5758999999999801</v>
      </c>
      <c r="AF1306">
        <v>1.44198774110878</v>
      </c>
      <c r="AG1306">
        <v>-1.1207042471449999</v>
      </c>
      <c r="AH1306">
        <v>16.207042674213099</v>
      </c>
      <c r="AI1306">
        <v>93.940145878265795</v>
      </c>
      <c r="AJ1306">
        <v>84.915615887573296</v>
      </c>
      <c r="AK1306">
        <v>16.309614921844101</v>
      </c>
      <c r="AL1306">
        <v>95.672284319978402</v>
      </c>
      <c r="AM1306">
        <v>86.123677688252599</v>
      </c>
      <c r="AN1306">
        <v>0.99999999959562003</v>
      </c>
    </row>
    <row r="1307" spans="1:40" x14ac:dyDescent="0.25">
      <c r="A1307" t="str">
        <f>"20190303154752271"</f>
        <v>20190303154752271</v>
      </c>
      <c r="B1307" t="str">
        <f>"1551599272261595"</f>
        <v>1551599272261595</v>
      </c>
      <c r="C1307" t="s">
        <v>40</v>
      </c>
      <c r="D1307">
        <v>5.0856370000000002</v>
      </c>
      <c r="E1307">
        <v>0.50745459999999998</v>
      </c>
      <c r="F1307" t="s">
        <v>46</v>
      </c>
      <c r="G1307">
        <v>-202.34010000000001</v>
      </c>
      <c r="H1307" s="1">
        <v>-2.2687099999999998E-6</v>
      </c>
      <c r="I1307">
        <v>366.27539999999999</v>
      </c>
      <c r="J1307">
        <v>-218.4101</v>
      </c>
      <c r="K1307">
        <v>1.1207260000000001</v>
      </c>
      <c r="L1307">
        <v>367.83260000000001</v>
      </c>
      <c r="M1307">
        <v>0.9998726</v>
      </c>
      <c r="N1307">
        <v>-1.389133E-2</v>
      </c>
      <c r="O1307">
        <v>-7.8668599999999998E-3</v>
      </c>
      <c r="P1307">
        <v>0.99060389999999998</v>
      </c>
      <c r="Q1307">
        <v>-0.1133247</v>
      </c>
      <c r="R1307">
        <v>-7.6561169999999998E-2</v>
      </c>
      <c r="S1307">
        <v>2.982758</v>
      </c>
      <c r="T1307">
        <v>-0.2059996</v>
      </c>
      <c r="U1307">
        <v>-0.28646850000000001</v>
      </c>
      <c r="V1307">
        <v>6.8742139999999993E-2</v>
      </c>
      <c r="W1307">
        <v>-9.9560800000000005E-2</v>
      </c>
      <c r="X1307">
        <v>0.99265409999999998</v>
      </c>
      <c r="Y1307">
        <v>8.7530369999999996E-2</v>
      </c>
      <c r="Z1307">
        <v>-3.1898930000000001E-3</v>
      </c>
      <c r="AA1307">
        <v>0.99615679999999995</v>
      </c>
      <c r="AB1307">
        <v>25</v>
      </c>
      <c r="AC1307">
        <v>16.069999999999901</v>
      </c>
      <c r="AD1307">
        <v>-1.12072826871</v>
      </c>
      <c r="AE1307">
        <v>-1.5572000000000199</v>
      </c>
      <c r="AF1307">
        <v>1.42385833771284</v>
      </c>
      <c r="AG1307">
        <v>-1.12072826871</v>
      </c>
      <c r="AH1307">
        <v>16.004636081741001</v>
      </c>
      <c r="AI1307">
        <v>93.989903867963605</v>
      </c>
      <c r="AJ1307">
        <v>84.916044593842301</v>
      </c>
      <c r="AK1307">
        <v>16.1068861213807</v>
      </c>
      <c r="AL1307">
        <v>95.713879966661693</v>
      </c>
      <c r="AM1307">
        <v>86.038543126330595</v>
      </c>
      <c r="AN1307">
        <v>0.999999998477614</v>
      </c>
    </row>
    <row r="1308" spans="1:40" x14ac:dyDescent="0.25">
      <c r="A1308" t="str">
        <f>"20190303154752295"</f>
        <v>20190303154752295</v>
      </c>
      <c r="B1308" t="str">
        <f>"1551599272291850"</f>
        <v>1551599272291850</v>
      </c>
      <c r="C1308" t="s">
        <v>40</v>
      </c>
      <c r="D1308">
        <v>5.0659229999999997</v>
      </c>
      <c r="E1308">
        <v>0.50671619999999995</v>
      </c>
      <c r="F1308" t="s">
        <v>46</v>
      </c>
      <c r="G1308">
        <v>-202.51560000000001</v>
      </c>
      <c r="H1308" s="1">
        <v>-2.3702819999999999E-6</v>
      </c>
      <c r="I1308">
        <v>366.28399999999999</v>
      </c>
      <c r="J1308">
        <v>-218.15289999999999</v>
      </c>
      <c r="K1308">
        <v>1.1207670000000001</v>
      </c>
      <c r="L1308">
        <v>367.8304</v>
      </c>
      <c r="M1308">
        <v>0.99987239999999999</v>
      </c>
      <c r="N1308">
        <v>-1.3888609999999999E-2</v>
      </c>
      <c r="O1308">
        <v>-7.911207E-3</v>
      </c>
      <c r="P1308">
        <v>0.99028459999999996</v>
      </c>
      <c r="Q1308">
        <v>-0.1143908</v>
      </c>
      <c r="R1308">
        <v>-7.9064609999999994E-2</v>
      </c>
      <c r="S1308">
        <v>2.9819640000000001</v>
      </c>
      <c r="T1308">
        <v>-0.21025930000000001</v>
      </c>
      <c r="U1308">
        <v>-0.29052729999999999</v>
      </c>
      <c r="V1308">
        <v>7.1215559999999997E-2</v>
      </c>
      <c r="W1308">
        <v>-0.1006259</v>
      </c>
      <c r="X1308">
        <v>0.99237229999999998</v>
      </c>
      <c r="Y1308">
        <v>8.8841920000000005E-2</v>
      </c>
      <c r="Z1308">
        <v>-3.2939979999999998E-3</v>
      </c>
      <c r="AA1308">
        <v>0.99604029999999999</v>
      </c>
      <c r="AB1308">
        <v>25</v>
      </c>
      <c r="AC1308">
        <v>15.6372999999999</v>
      </c>
      <c r="AD1308">
        <v>-1.1207693702820001</v>
      </c>
      <c r="AE1308">
        <v>-1.5464</v>
      </c>
      <c r="AF1308">
        <v>1.41542913513343</v>
      </c>
      <c r="AG1308">
        <v>-1.1207693702820001</v>
      </c>
      <c r="AH1308">
        <v>15.569838087084699</v>
      </c>
      <c r="AI1308">
        <v>94.1003910049306</v>
      </c>
      <c r="AJ1308">
        <v>84.8056101117038</v>
      </c>
      <c r="AK1308">
        <v>15.6741641460073</v>
      </c>
      <c r="AL1308">
        <v>95.7752136830415</v>
      </c>
      <c r="AM1308">
        <v>85.895322659125995</v>
      </c>
      <c r="AN1308">
        <v>1.0000000047721</v>
      </c>
    </row>
    <row r="1309" spans="1:40" x14ac:dyDescent="0.25">
      <c r="A1309" t="str">
        <f>"20190303154752315"</f>
        <v>20190303154752315</v>
      </c>
      <c r="B1309" t="str">
        <f>"1551599272312346"</f>
        <v>1551599272312346</v>
      </c>
      <c r="C1309" t="s">
        <v>40</v>
      </c>
      <c r="D1309">
        <v>5.146757</v>
      </c>
      <c r="E1309">
        <v>0.50637500000000002</v>
      </c>
      <c r="F1309" t="s">
        <v>46</v>
      </c>
      <c r="G1309">
        <v>-203.3389</v>
      </c>
      <c r="H1309" s="1">
        <v>-2.8322140000000001E-6</v>
      </c>
      <c r="I1309">
        <v>366.37939999999998</v>
      </c>
      <c r="J1309">
        <v>-217.9134</v>
      </c>
      <c r="K1309">
        <v>1.120825</v>
      </c>
      <c r="L1309">
        <v>367.82850000000002</v>
      </c>
      <c r="M1309">
        <v>0.99987269999999995</v>
      </c>
      <c r="N1309">
        <v>-1.38860999999999E-2</v>
      </c>
      <c r="O1309">
        <v>-7.8781200000000006E-3</v>
      </c>
      <c r="P1309">
        <v>0.99013390000000001</v>
      </c>
      <c r="Q1309">
        <v>-0.11376940000000001</v>
      </c>
      <c r="R1309">
        <v>-8.1804360000000007E-2</v>
      </c>
      <c r="S1309">
        <v>2.9801030000000002</v>
      </c>
      <c r="T1309">
        <v>-0.22546260000000001</v>
      </c>
      <c r="U1309">
        <v>-0.29190060000000001</v>
      </c>
      <c r="V1309">
        <v>7.4001810000000001E-2</v>
      </c>
      <c r="W1309">
        <v>-9.9999850000000001E-2</v>
      </c>
      <c r="X1309">
        <v>0.99223170000000005</v>
      </c>
      <c r="Y1309">
        <v>8.9354020000000006E-2</v>
      </c>
      <c r="Z1309">
        <v>-3.5055020000000002E-3</v>
      </c>
      <c r="AA1309">
        <v>0.99599369999999998</v>
      </c>
      <c r="AB1309">
        <v>25</v>
      </c>
      <c r="AC1309">
        <v>14.5745</v>
      </c>
      <c r="AD1309">
        <v>-1.120827832214</v>
      </c>
      <c r="AE1309">
        <v>-1.44910000000004</v>
      </c>
      <c r="AF1309">
        <v>1.3264562724714599</v>
      </c>
      <c r="AG1309">
        <v>-1.120827832214</v>
      </c>
      <c r="AH1309">
        <v>14.500546349598499</v>
      </c>
      <c r="AI1309">
        <v>94.401615717443505</v>
      </c>
      <c r="AJ1309">
        <v>84.773340657412703</v>
      </c>
      <c r="AK1309">
        <v>14.604163300548899</v>
      </c>
      <c r="AL1309">
        <v>95.739161884610397</v>
      </c>
      <c r="AM1309">
        <v>85.734709866142893</v>
      </c>
      <c r="AN1309">
        <v>0.99999999218409397</v>
      </c>
    </row>
    <row r="1310" spans="1:40" x14ac:dyDescent="0.25">
      <c r="A1310" t="str">
        <f>"20190303154752328"</f>
        <v>20190303154752328</v>
      </c>
      <c r="B1310" t="str">
        <f>"1551599272322106"</f>
        <v>1551599272322106</v>
      </c>
      <c r="C1310" t="s">
        <v>40</v>
      </c>
      <c r="D1310">
        <v>5.1553879999999896</v>
      </c>
      <c r="E1310">
        <v>0.50605659999999997</v>
      </c>
      <c r="F1310" t="s">
        <v>46</v>
      </c>
      <c r="G1310">
        <v>-203.40790000000001</v>
      </c>
      <c r="H1310" s="1">
        <v>-2.8713840000000001E-6</v>
      </c>
      <c r="I1310">
        <v>366.37959999999998</v>
      </c>
      <c r="J1310">
        <v>-217.76</v>
      </c>
      <c r="K1310">
        <v>1.120865</v>
      </c>
      <c r="L1310">
        <v>367.82729999999998</v>
      </c>
      <c r="M1310">
        <v>0.99987320000000002</v>
      </c>
      <c r="N1310">
        <v>-1.3884540000000001E-2</v>
      </c>
      <c r="O1310">
        <v>-7.8149389999999999E-3</v>
      </c>
      <c r="P1310">
        <v>0.99012389999999995</v>
      </c>
      <c r="Q1310">
        <v>-0.11295760000000001</v>
      </c>
      <c r="R1310">
        <v>-8.3040649999999994E-2</v>
      </c>
      <c r="S1310">
        <v>2.9788670000000002</v>
      </c>
      <c r="T1310">
        <v>-0.23017370000000001</v>
      </c>
      <c r="U1310">
        <v>-0.29754639999999999</v>
      </c>
      <c r="V1310">
        <v>7.5309130000000002E-2</v>
      </c>
      <c r="W1310">
        <v>-9.9183289999999993E-2</v>
      </c>
      <c r="X1310">
        <v>0.99221530000000002</v>
      </c>
      <c r="Y1310">
        <v>9.130829E-2</v>
      </c>
      <c r="Z1310">
        <v>-3.6570090000000001E-3</v>
      </c>
      <c r="AA1310">
        <v>0.99581589999999998</v>
      </c>
      <c r="AB1310">
        <v>25</v>
      </c>
      <c r="AC1310">
        <v>14.352099999999901</v>
      </c>
      <c r="AD1310">
        <v>-1.1208678713839999</v>
      </c>
      <c r="AE1310">
        <v>-1.44769999999999</v>
      </c>
      <c r="AF1310">
        <v>1.3274691565207899</v>
      </c>
      <c r="AG1310">
        <v>-1.1208678713839999</v>
      </c>
      <c r="AH1310">
        <v>14.276775572744899</v>
      </c>
      <c r="AI1310">
        <v>94.469874502813596</v>
      </c>
      <c r="AJ1310">
        <v>84.687853506663302</v>
      </c>
      <c r="AK1310">
        <v>14.3821013729267</v>
      </c>
      <c r="AL1310">
        <v>95.692142659813101</v>
      </c>
      <c r="AM1310">
        <v>85.659573009449701</v>
      </c>
      <c r="AN1310">
        <v>0.99999999581533505</v>
      </c>
    </row>
    <row r="1311" spans="1:40" x14ac:dyDescent="0.25">
      <c r="A1311" t="str">
        <f>"20190303154752343"</f>
        <v>20190303154752343</v>
      </c>
      <c r="B1311" t="str">
        <f>"1551599272331866"</f>
        <v>1551599272331866</v>
      </c>
      <c r="C1311" t="s">
        <v>40</v>
      </c>
      <c r="D1311">
        <v>5.1213889999999997</v>
      </c>
      <c r="E1311">
        <v>0.50572240000000002</v>
      </c>
      <c r="F1311" t="s">
        <v>42</v>
      </c>
      <c r="G1311">
        <v>-216.8862</v>
      </c>
      <c r="H1311">
        <v>1.0528169999999999</v>
      </c>
      <c r="I1311">
        <v>367.73970000000003</v>
      </c>
      <c r="J1311">
        <v>-217.5975</v>
      </c>
      <c r="K1311">
        <v>1.120908</v>
      </c>
      <c r="L1311">
        <v>367.82619999999997</v>
      </c>
      <c r="M1311">
        <v>0.99987389999999998</v>
      </c>
      <c r="N1311">
        <v>-1.388293E-2</v>
      </c>
      <c r="O1311">
        <v>-7.721098E-3</v>
      </c>
      <c r="P1311">
        <v>0.99006709999999998</v>
      </c>
      <c r="Q1311">
        <v>-0.1126726</v>
      </c>
      <c r="R1311">
        <v>-8.4098530000000005E-2</v>
      </c>
      <c r="S1311">
        <v>2.9784389999999998</v>
      </c>
      <c r="T1311">
        <v>-0.23193320000000001</v>
      </c>
      <c r="U1311">
        <v>-0.29870609999999997</v>
      </c>
      <c r="V1311">
        <v>7.6469259999999997E-2</v>
      </c>
      <c r="W1311">
        <v>-9.8893839999999997E-2</v>
      </c>
      <c r="X1311">
        <v>0.99215540000000002</v>
      </c>
      <c r="Y1311">
        <v>9.1793550000000002E-2</v>
      </c>
      <c r="Z1311">
        <v>-3.7076850000000001E-3</v>
      </c>
      <c r="AA1311">
        <v>0.99577119999999997</v>
      </c>
      <c r="AB1311">
        <v>25</v>
      </c>
      <c r="AC1311">
        <v>0.71129999999999405</v>
      </c>
      <c r="AD1311">
        <v>-6.8090999999999902E-2</v>
      </c>
      <c r="AE1311">
        <v>-8.6499999999943997E-2</v>
      </c>
      <c r="AF1311">
        <v>8.0279929953885901E-2</v>
      </c>
      <c r="AG1311">
        <v>-6.8090999999999902E-2</v>
      </c>
      <c r="AH1311">
        <v>0.70557523451534199</v>
      </c>
      <c r="AI1311">
        <v>95.477094332734495</v>
      </c>
      <c r="AJ1311">
        <v>83.508835286848196</v>
      </c>
      <c r="AK1311">
        <v>0.713384652901772</v>
      </c>
      <c r="AL1311">
        <v>95.675476784698404</v>
      </c>
      <c r="AM1311">
        <v>85.592705548319998</v>
      </c>
      <c r="AN1311">
        <v>0.99999993853202396</v>
      </c>
    </row>
    <row r="1312" spans="1:40" x14ac:dyDescent="0.25">
      <c r="A1312" t="str">
        <f>"20190303154752358"</f>
        <v>20190303154752358</v>
      </c>
      <c r="B1312" t="str">
        <f>"1551599272351896"</f>
        <v>1551599272351896</v>
      </c>
      <c r="C1312" t="s">
        <v>40</v>
      </c>
      <c r="D1312">
        <v>5.1162169999999998</v>
      </c>
      <c r="E1312">
        <v>0.5052063</v>
      </c>
      <c r="F1312" t="s">
        <v>42</v>
      </c>
      <c r="G1312">
        <v>-216.66890000000001</v>
      </c>
      <c r="H1312">
        <v>1.0476989999999999</v>
      </c>
      <c r="I1312">
        <v>367.73259999999999</v>
      </c>
      <c r="J1312">
        <v>-217.41239999999999</v>
      </c>
      <c r="K1312">
        <v>1.1209499999999999</v>
      </c>
      <c r="L1312">
        <v>367.82490000000001</v>
      </c>
      <c r="M1312">
        <v>0.99987490000000001</v>
      </c>
      <c r="N1312">
        <v>-1.388113E-2</v>
      </c>
      <c r="O1312">
        <v>-7.5765750000000003E-3</v>
      </c>
      <c r="P1312">
        <v>0.98979629999999996</v>
      </c>
      <c r="Q1312">
        <v>-0.1131124</v>
      </c>
      <c r="R1312">
        <v>-8.6654380000000003E-2</v>
      </c>
      <c r="S1312">
        <v>2.9779360000000001</v>
      </c>
      <c r="T1312">
        <v>-0.23499310000000001</v>
      </c>
      <c r="U1312">
        <v>-0.29931639999999998</v>
      </c>
      <c r="V1312">
        <v>7.9179680000000002E-2</v>
      </c>
      <c r="W1312">
        <v>-9.9331160000000002E-2</v>
      </c>
      <c r="X1312">
        <v>0.99189910000000003</v>
      </c>
      <c r="Y1312">
        <v>9.2147140000000002E-2</v>
      </c>
      <c r="Z1312">
        <v>-3.7727500000000001E-3</v>
      </c>
      <c r="AA1312">
        <v>0.99573829999999997</v>
      </c>
      <c r="AB1312">
        <v>25</v>
      </c>
      <c r="AC1312">
        <v>0.74349999999998295</v>
      </c>
      <c r="AD1312">
        <v>-7.32509999999999E-2</v>
      </c>
      <c r="AE1312">
        <v>-9.2300000000022905E-2</v>
      </c>
      <c r="AF1312">
        <v>8.5843029951879701E-2</v>
      </c>
      <c r="AG1312">
        <v>-7.32509999999999E-2</v>
      </c>
      <c r="AH1312">
        <v>0.73713162620124595</v>
      </c>
      <c r="AI1312">
        <v>95.637174850910995</v>
      </c>
      <c r="AJ1312">
        <v>83.357511898189003</v>
      </c>
      <c r="AK1312">
        <v>0.745719631723889</v>
      </c>
      <c r="AL1312">
        <v>95.700657221055394</v>
      </c>
      <c r="AM1312">
        <v>85.435965288271206</v>
      </c>
      <c r="AN1312">
        <v>0.99999996282632797</v>
      </c>
    </row>
    <row r="1313" spans="1:40" x14ac:dyDescent="0.25">
      <c r="A1313" t="str">
        <f>"20190303154752373"</f>
        <v>20190303154752373</v>
      </c>
      <c r="B1313" t="str">
        <f>"1551599272361656"</f>
        <v>1551599272361656</v>
      </c>
      <c r="C1313" t="s">
        <v>40</v>
      </c>
      <c r="D1313">
        <v>5.1674490000000004</v>
      </c>
      <c r="E1313">
        <v>0.50502290000000005</v>
      </c>
      <c r="F1313" t="s">
        <v>46</v>
      </c>
      <c r="G1313">
        <v>-203.71190000000001</v>
      </c>
      <c r="H1313" s="1">
        <v>-3.012801E-6</v>
      </c>
      <c r="I1313">
        <v>366.43189999999998</v>
      </c>
      <c r="J1313">
        <v>-217.2628</v>
      </c>
      <c r="K1313">
        <v>1.120973</v>
      </c>
      <c r="L1313">
        <v>367.82389999999998</v>
      </c>
      <c r="M1313">
        <v>0.99987610000000005</v>
      </c>
      <c r="N1313">
        <v>-1.387964E-2</v>
      </c>
      <c r="O1313">
        <v>-7.4345610000000001E-3</v>
      </c>
      <c r="P1313">
        <v>0.98958959999999996</v>
      </c>
      <c r="Q1313">
        <v>-0.1141046</v>
      </c>
      <c r="R1313">
        <v>-8.7709919999999997E-2</v>
      </c>
      <c r="S1313">
        <v>2.9766240000000002</v>
      </c>
      <c r="T1313">
        <v>-0.2435426</v>
      </c>
      <c r="U1313">
        <v>-0.30264279999999999</v>
      </c>
      <c r="V1313">
        <v>8.0383209999999997E-2</v>
      </c>
      <c r="W1313">
        <v>-0.1003227</v>
      </c>
      <c r="X1313">
        <v>0.99170250000000004</v>
      </c>
      <c r="Y1313">
        <v>9.3406820000000002E-2</v>
      </c>
      <c r="Z1313">
        <v>-3.953387E-3</v>
      </c>
      <c r="AA1313">
        <v>0.99562019999999996</v>
      </c>
      <c r="AB1313">
        <v>25</v>
      </c>
      <c r="AC1313">
        <v>13.550899999999899</v>
      </c>
      <c r="AD1313">
        <v>-1.120976012801</v>
      </c>
      <c r="AE1313">
        <v>-1.3919999999999899</v>
      </c>
      <c r="AF1313">
        <v>1.28252197871489</v>
      </c>
      <c r="AG1313">
        <v>-1.120976012801</v>
      </c>
      <c r="AH1313">
        <v>13.4696628346276</v>
      </c>
      <c r="AI1313">
        <v>94.736000678840298</v>
      </c>
      <c r="AJ1313">
        <v>84.560945478725898</v>
      </c>
      <c r="AK1313">
        <v>13.5769387833087</v>
      </c>
      <c r="AL1313">
        <v>95.757753409928497</v>
      </c>
      <c r="AM1313">
        <v>85.365977308044094</v>
      </c>
      <c r="AN1313">
        <v>0.99999997654572104</v>
      </c>
    </row>
    <row r="1314" spans="1:40" x14ac:dyDescent="0.25">
      <c r="A1314" t="str">
        <f>"20190303154752387"</f>
        <v>20190303154752387</v>
      </c>
      <c r="B1314" t="str">
        <f>"1551599272382152"</f>
        <v>1551599272382152</v>
      </c>
      <c r="C1314" t="s">
        <v>40</v>
      </c>
      <c r="D1314">
        <v>5.0949090000000004</v>
      </c>
      <c r="E1314">
        <v>0.50459949999999998</v>
      </c>
      <c r="F1314" t="s">
        <v>42</v>
      </c>
      <c r="G1314">
        <v>-216.4409</v>
      </c>
      <c r="H1314">
        <v>1.0521370000000001</v>
      </c>
      <c r="I1314">
        <v>367.73950000000002</v>
      </c>
      <c r="J1314">
        <v>-217.10300000000001</v>
      </c>
      <c r="K1314">
        <v>1.120989</v>
      </c>
      <c r="L1314">
        <v>367.82279999999997</v>
      </c>
      <c r="M1314">
        <v>0.99987729999999997</v>
      </c>
      <c r="N1314">
        <v>-1.3878039999999999E-2</v>
      </c>
      <c r="O1314">
        <v>-7.2723450000000004E-3</v>
      </c>
      <c r="P1314">
        <v>0.98936740000000001</v>
      </c>
      <c r="Q1314">
        <v>-0.1154458</v>
      </c>
      <c r="R1314">
        <v>-8.8456679999999996E-2</v>
      </c>
      <c r="S1314">
        <v>2.975784</v>
      </c>
      <c r="T1314">
        <v>-0.24943899999999999</v>
      </c>
      <c r="U1314">
        <v>-0.30462650000000002</v>
      </c>
      <c r="V1314">
        <v>8.1297739999999993E-2</v>
      </c>
      <c r="W1314">
        <v>-0.1016643</v>
      </c>
      <c r="X1314">
        <v>0.99149129999999996</v>
      </c>
      <c r="Y1314">
        <v>9.4234120000000005E-2</v>
      </c>
      <c r="Z1314">
        <v>-4.0829550000000001E-3</v>
      </c>
      <c r="AA1314">
        <v>0.99554169999999997</v>
      </c>
      <c r="AB1314">
        <v>25</v>
      </c>
      <c r="AC1314">
        <v>0.66209999999998004</v>
      </c>
      <c r="AD1314">
        <v>-6.8851999999999899E-2</v>
      </c>
      <c r="AE1314">
        <v>-8.3299999999951496E-2</v>
      </c>
      <c r="AF1314">
        <v>7.7655631711199893E-2</v>
      </c>
      <c r="AG1314">
        <v>-6.8851999999999899E-2</v>
      </c>
      <c r="AH1314">
        <v>0.65570800228501303</v>
      </c>
      <c r="AI1314">
        <v>95.953022369622005</v>
      </c>
      <c r="AJ1314">
        <v>83.2459089473994</v>
      </c>
      <c r="AK1314">
        <v>0.66387045370393505</v>
      </c>
      <c r="AL1314">
        <v>95.835016482873797</v>
      </c>
      <c r="AM1314">
        <v>85.3124951341658</v>
      </c>
      <c r="AN1314">
        <v>0.99999997519964301</v>
      </c>
    </row>
    <row r="1315" spans="1:40" x14ac:dyDescent="0.25">
      <c r="A1315" t="str">
        <f>"20190303154752400"</f>
        <v>20190303154752400</v>
      </c>
      <c r="B1315" t="str">
        <f>"1551599272391912"</f>
        <v>1551599272391912</v>
      </c>
      <c r="C1315" t="s">
        <v>40</v>
      </c>
      <c r="D1315">
        <v>5.1025</v>
      </c>
      <c r="E1315">
        <v>0.50459949999999998</v>
      </c>
      <c r="F1315" t="s">
        <v>42</v>
      </c>
      <c r="G1315">
        <v>-216.22380000000001</v>
      </c>
      <c r="H1315">
        <v>1.0443340000000001</v>
      </c>
      <c r="I1315">
        <v>367.73289999999997</v>
      </c>
      <c r="J1315">
        <v>-216.9487</v>
      </c>
      <c r="K1315">
        <v>1.1210039999999999</v>
      </c>
      <c r="L1315">
        <v>367.82190000000003</v>
      </c>
      <c r="M1315">
        <v>0.9998785</v>
      </c>
      <c r="N1315">
        <v>-1.387647E-2</v>
      </c>
      <c r="O1315">
        <v>-7.1059390000000004E-3</v>
      </c>
      <c r="P1315">
        <v>0.98918720000000004</v>
      </c>
      <c r="Q1315">
        <v>-0.11616659999999999</v>
      </c>
      <c r="R1315">
        <v>-8.9522640000000001E-2</v>
      </c>
      <c r="S1315">
        <v>2.9748079999999999</v>
      </c>
      <c r="T1315">
        <v>-0.25963950000000002</v>
      </c>
      <c r="U1315">
        <v>-0.3034058</v>
      </c>
      <c r="V1315">
        <v>8.2533419999999996E-2</v>
      </c>
      <c r="W1315">
        <v>-0.1023859</v>
      </c>
      <c r="X1315">
        <v>0.9913149</v>
      </c>
      <c r="Y1315">
        <v>9.4001199999999993E-2</v>
      </c>
      <c r="Z1315">
        <v>-4.2200479999999997E-3</v>
      </c>
      <c r="AA1315">
        <v>0.99556310000000003</v>
      </c>
      <c r="AB1315">
        <v>25</v>
      </c>
      <c r="AC1315">
        <v>0.72489999999999</v>
      </c>
      <c r="AD1315">
        <v>-7.6670000000000002E-2</v>
      </c>
      <c r="AE1315">
        <v>-8.9000000000055396E-2</v>
      </c>
      <c r="AF1315">
        <v>8.2932215883900595E-2</v>
      </c>
      <c r="AG1315">
        <v>-7.6670000000000002E-2</v>
      </c>
      <c r="AH1315">
        <v>0.71760588494549005</v>
      </c>
      <c r="AI1315">
        <v>96.058404662301498</v>
      </c>
      <c r="AJ1315">
        <v>83.407691255697202</v>
      </c>
      <c r="AK1315">
        <v>0.72643943136356104</v>
      </c>
      <c r="AL1315">
        <v>95.876578234909502</v>
      </c>
      <c r="AM1315">
        <v>85.2407295695985</v>
      </c>
      <c r="AN1315">
        <v>0.99999993444885604</v>
      </c>
    </row>
    <row r="1316" spans="1:40" x14ac:dyDescent="0.25">
      <c r="A1316" t="str">
        <f>"20190303154752414"</f>
        <v>20190303154752414</v>
      </c>
      <c r="B1316" t="str">
        <f>"1551599272411431"</f>
        <v>1551599272411431</v>
      </c>
      <c r="C1316" t="s">
        <v>40</v>
      </c>
      <c r="D1316">
        <v>5.1736559999999896</v>
      </c>
      <c r="E1316">
        <v>0.5016313</v>
      </c>
      <c r="F1316" t="s">
        <v>42</v>
      </c>
      <c r="G1316">
        <v>-216.00370000000001</v>
      </c>
      <c r="H1316">
        <v>1.0378240000000001</v>
      </c>
      <c r="I1316">
        <v>367.7244</v>
      </c>
      <c r="J1316">
        <v>-216.7911</v>
      </c>
      <c r="K1316">
        <v>1.121016</v>
      </c>
      <c r="L1316">
        <v>367.82089999999999</v>
      </c>
      <c r="M1316">
        <v>0.99987979999999999</v>
      </c>
      <c r="N1316">
        <v>-1.387481E-2</v>
      </c>
      <c r="O1316">
        <v>-6.9301450000000004E-3</v>
      </c>
      <c r="P1316">
        <v>0.98889839999999996</v>
      </c>
      <c r="Q1316">
        <v>-0.1169061</v>
      </c>
      <c r="R1316">
        <v>-9.1723109999999997E-2</v>
      </c>
      <c r="S1316">
        <v>2.9742890000000002</v>
      </c>
      <c r="T1316">
        <v>-0.26180920000000002</v>
      </c>
      <c r="U1316">
        <v>-0.30667109999999997</v>
      </c>
      <c r="V1316">
        <v>8.4911470000000003E-2</v>
      </c>
      <c r="W1316">
        <v>-0.103129</v>
      </c>
      <c r="X1316">
        <v>0.9910371</v>
      </c>
      <c r="Y1316">
        <v>9.5263139999999996E-2</v>
      </c>
      <c r="Z1316">
        <v>-4.3263349999999997E-3</v>
      </c>
      <c r="AA1316">
        <v>0.99544270000000001</v>
      </c>
      <c r="AB1316">
        <v>25</v>
      </c>
      <c r="AC1316">
        <v>0.78739999999999</v>
      </c>
      <c r="AD1316">
        <v>-8.3191999999999905E-2</v>
      </c>
      <c r="AE1316">
        <v>-9.6499999999991801E-2</v>
      </c>
      <c r="AF1316">
        <v>9.0050027240480904E-2</v>
      </c>
      <c r="AG1316">
        <v>-8.3191999999999905E-2</v>
      </c>
      <c r="AH1316">
        <v>0.77947753151548604</v>
      </c>
      <c r="AI1316">
        <v>96.052046451381997</v>
      </c>
      <c r="AJ1316">
        <v>83.410053480720507</v>
      </c>
      <c r="AK1316">
        <v>0.78905965453030702</v>
      </c>
      <c r="AL1316">
        <v>95.919380680232905</v>
      </c>
      <c r="AM1316">
        <v>85.102891440019604</v>
      </c>
      <c r="AN1316">
        <v>1.0000000409774801</v>
      </c>
    </row>
    <row r="1317" spans="1:40" x14ac:dyDescent="0.25">
      <c r="A1317" t="str">
        <f>"20190303154752429"</f>
        <v>20190303154752429</v>
      </c>
      <c r="B1317" t="str">
        <f>"1551599272422168"</f>
        <v>1551599272422168</v>
      </c>
      <c r="C1317" t="s">
        <v>40</v>
      </c>
      <c r="D1317">
        <v>5.0559580000000004</v>
      </c>
      <c r="E1317">
        <v>0.50129190000000001</v>
      </c>
      <c r="F1317" t="s">
        <v>42</v>
      </c>
      <c r="G1317">
        <v>-216.00460000000001</v>
      </c>
      <c r="H1317">
        <v>1.0358210000000001</v>
      </c>
      <c r="I1317">
        <v>367.74439999999998</v>
      </c>
      <c r="J1317">
        <v>-216.6361</v>
      </c>
      <c r="K1317">
        <v>1.121019</v>
      </c>
      <c r="L1317">
        <v>367.82</v>
      </c>
      <c r="M1317">
        <v>0.99988100000000002</v>
      </c>
      <c r="N1317">
        <v>-1.3873170000000001E-2</v>
      </c>
      <c r="O1317">
        <v>-6.7591969999999998E-3</v>
      </c>
      <c r="P1317">
        <v>0.98885080000000003</v>
      </c>
      <c r="Q1317">
        <v>-0.1165799</v>
      </c>
      <c r="R1317">
        <v>-9.2647149999999998E-2</v>
      </c>
      <c r="S1317">
        <v>2.9688870000000001</v>
      </c>
      <c r="T1317">
        <v>-0.32162689999999999</v>
      </c>
      <c r="U1317">
        <v>-0.28869630000000002</v>
      </c>
      <c r="V1317">
        <v>8.6004670000000005E-2</v>
      </c>
      <c r="W1317">
        <v>-0.1028048</v>
      </c>
      <c r="X1317">
        <v>0.99097650000000004</v>
      </c>
      <c r="Y1317">
        <v>8.9497519999999997E-2</v>
      </c>
      <c r="Z1317">
        <v>-4.8116440000000003E-3</v>
      </c>
      <c r="AA1317">
        <v>0.99597539999999996</v>
      </c>
      <c r="AB1317">
        <v>25</v>
      </c>
      <c r="AC1317">
        <v>0.63149999999998796</v>
      </c>
      <c r="AD1317">
        <v>-8.5198000000000093E-2</v>
      </c>
      <c r="AE1317">
        <v>-7.5600000000008494E-2</v>
      </c>
      <c r="AF1317">
        <v>7.0072019809729602E-2</v>
      </c>
      <c r="AG1317">
        <v>-8.5198000000000093E-2</v>
      </c>
      <c r="AH1317">
        <v>0.62085565261853204</v>
      </c>
      <c r="AI1317">
        <v>97.765017503648494</v>
      </c>
      <c r="AJ1317">
        <v>83.560640287839504</v>
      </c>
      <c r="AK1317">
        <v>0.63057951802496603</v>
      </c>
      <c r="AL1317">
        <v>95.900706213519101</v>
      </c>
      <c r="AM1317">
        <v>85.039853923358095</v>
      </c>
      <c r="AN1317">
        <v>1.0000000268585401</v>
      </c>
    </row>
    <row r="1318" spans="1:40" x14ac:dyDescent="0.25">
      <c r="A1318" t="str">
        <f>"20190303154752444"</f>
        <v>20190303154752444</v>
      </c>
      <c r="B1318" t="str">
        <f>"1551599272431928"</f>
        <v>1551599272431928</v>
      </c>
      <c r="C1318" t="s">
        <v>40</v>
      </c>
      <c r="D1318">
        <v>5.0426449999999896</v>
      </c>
      <c r="E1318">
        <v>0.50213890000000005</v>
      </c>
      <c r="F1318" t="s">
        <v>42</v>
      </c>
      <c r="G1318">
        <v>-215.7843</v>
      </c>
      <c r="H1318">
        <v>1.0296129999999999</v>
      </c>
      <c r="I1318">
        <v>367.73689999999999</v>
      </c>
      <c r="J1318">
        <v>-216.46889999999999</v>
      </c>
      <c r="K1318">
        <v>1.1210180000000001</v>
      </c>
      <c r="L1318">
        <v>367.81909999999999</v>
      </c>
      <c r="M1318">
        <v>0.99988220000000005</v>
      </c>
      <c r="N1318">
        <v>-1.3871400000000001E-2</v>
      </c>
      <c r="O1318">
        <v>-6.579985E-3</v>
      </c>
      <c r="P1318">
        <v>0.98879969999999995</v>
      </c>
      <c r="Q1318">
        <v>-0.1161553</v>
      </c>
      <c r="R1318">
        <v>-9.3719800000000006E-2</v>
      </c>
      <c r="S1318">
        <v>2.9691770000000002</v>
      </c>
      <c r="T1318">
        <v>-0.31886969999999998</v>
      </c>
      <c r="U1318">
        <v>-0.28881839999999998</v>
      </c>
      <c r="V1318">
        <v>8.7253499999999998E-2</v>
      </c>
      <c r="W1318">
        <v>-0.1023833</v>
      </c>
      <c r="X1318">
        <v>0.99091090000000004</v>
      </c>
      <c r="Y1318">
        <v>8.9714000000000002E-2</v>
      </c>
      <c r="Z1318">
        <v>-4.8059699999999997E-3</v>
      </c>
      <c r="AA1318">
        <v>0.99595599999999995</v>
      </c>
      <c r="AB1318">
        <v>25</v>
      </c>
      <c r="AC1318">
        <v>0.684599999999989</v>
      </c>
      <c r="AD1318">
        <v>-9.1405000000000097E-2</v>
      </c>
      <c r="AE1318">
        <v>-8.2200000000000203E-2</v>
      </c>
      <c r="AF1318">
        <v>7.6351394595937302E-2</v>
      </c>
      <c r="AG1318">
        <v>-9.1405000000000097E-2</v>
      </c>
      <c r="AH1318">
        <v>0.67329420201409795</v>
      </c>
      <c r="AI1318">
        <v>97.682445316634499</v>
      </c>
      <c r="AJ1318">
        <v>83.530310758089101</v>
      </c>
      <c r="AK1318">
        <v>0.68374665772312604</v>
      </c>
      <c r="AL1318">
        <v>95.876428313113706</v>
      </c>
      <c r="AM1318">
        <v>84.967865897743806</v>
      </c>
      <c r="AN1318">
        <v>0.99999996255997403</v>
      </c>
    </row>
    <row r="1319" spans="1:40" x14ac:dyDescent="0.25">
      <c r="A1319" t="str">
        <f>"20190303154752459"</f>
        <v>20190303154752459</v>
      </c>
      <c r="B1319" t="str">
        <f>"1551599272451956"</f>
        <v>1551599272451956</v>
      </c>
      <c r="C1319" t="s">
        <v>40</v>
      </c>
      <c r="D1319">
        <v>5.0306240000000004</v>
      </c>
      <c r="E1319">
        <v>0.50132549999999998</v>
      </c>
      <c r="F1319" t="s">
        <v>42</v>
      </c>
      <c r="G1319">
        <v>-215.56209999999999</v>
      </c>
      <c r="H1319">
        <v>1.0275510000000001</v>
      </c>
      <c r="I1319">
        <v>367.72750000000002</v>
      </c>
      <c r="J1319">
        <v>-216.28630000000001</v>
      </c>
      <c r="K1319">
        <v>1.1210100000000001</v>
      </c>
      <c r="L1319">
        <v>367.81799999999998</v>
      </c>
      <c r="M1319">
        <v>0.99988339999999998</v>
      </c>
      <c r="N1319">
        <v>-1.386945E-2</v>
      </c>
      <c r="O1319">
        <v>-6.397781E-3</v>
      </c>
      <c r="P1319">
        <v>0.98874010000000001</v>
      </c>
      <c r="Q1319">
        <v>-0.114673499999999</v>
      </c>
      <c r="R1319">
        <v>-9.6141500000000005E-2</v>
      </c>
      <c r="S1319">
        <v>2.9696500000000001</v>
      </c>
      <c r="T1319">
        <v>-0.30629289999999998</v>
      </c>
      <c r="U1319">
        <v>-0.29916379999999998</v>
      </c>
      <c r="V1319">
        <v>8.9852600000000005E-2</v>
      </c>
      <c r="W1319">
        <v>-0.1009058</v>
      </c>
      <c r="X1319">
        <v>0.99083019999999999</v>
      </c>
      <c r="Y1319">
        <v>9.3333139999999995E-2</v>
      </c>
      <c r="Z1319">
        <v>-4.8712119999999998E-3</v>
      </c>
      <c r="AA1319">
        <v>0.99562300000000004</v>
      </c>
      <c r="AB1319">
        <v>25</v>
      </c>
      <c r="AC1319">
        <v>0.72420000000002405</v>
      </c>
      <c r="AD1319">
        <v>-9.3458999999999903E-2</v>
      </c>
      <c r="AE1319">
        <v>-9.0500000000019995E-2</v>
      </c>
      <c r="AF1319">
        <v>8.4479125508207506E-2</v>
      </c>
      <c r="AG1319">
        <v>-9.3458999999999903E-2</v>
      </c>
      <c r="AH1319">
        <v>0.71307116452453601</v>
      </c>
      <c r="AI1319">
        <v>97.415658433138702</v>
      </c>
      <c r="AJ1319">
        <v>83.243534722307004</v>
      </c>
      <c r="AK1319">
        <v>0.72411448887866403</v>
      </c>
      <c r="AL1319">
        <v>95.791332972596607</v>
      </c>
      <c r="AM1319">
        <v>84.818353558824199</v>
      </c>
      <c r="AN1319">
        <v>0.99999997771621896</v>
      </c>
    </row>
    <row r="1320" spans="1:40" x14ac:dyDescent="0.25">
      <c r="A1320" t="str">
        <f>"20190303154752474"</f>
        <v>20190303154752474</v>
      </c>
      <c r="B1320" t="str">
        <f>"1551599272461716"</f>
        <v>1551599272461716</v>
      </c>
      <c r="C1320" t="s">
        <v>40</v>
      </c>
      <c r="D1320">
        <v>4.9370269999999996</v>
      </c>
      <c r="E1320">
        <v>0.50153800000000004</v>
      </c>
      <c r="F1320" t="s">
        <v>42</v>
      </c>
      <c r="G1320">
        <v>-215.55250000000001</v>
      </c>
      <c r="H1320">
        <v>1.0459309999999999</v>
      </c>
      <c r="I1320">
        <v>367.74380000000002</v>
      </c>
      <c r="J1320">
        <v>-216.13579999999999</v>
      </c>
      <c r="K1320">
        <v>1.1209990000000001</v>
      </c>
      <c r="L1320">
        <v>367.81720000000001</v>
      </c>
      <c r="M1320">
        <v>0.99988440000000001</v>
      </c>
      <c r="N1320">
        <v>-1.38678E-2</v>
      </c>
      <c r="O1320">
        <v>-6.2665079999999996E-3</v>
      </c>
      <c r="P1320">
        <v>0.98873009999999995</v>
      </c>
      <c r="Q1320">
        <v>-0.11372019999999999</v>
      </c>
      <c r="R1320">
        <v>-9.7369579999999997E-2</v>
      </c>
      <c r="S1320">
        <v>2.9697719999999999</v>
      </c>
      <c r="T1320">
        <v>-0.30410949999999998</v>
      </c>
      <c r="U1320">
        <v>-0.29965209999999998</v>
      </c>
      <c r="V1320">
        <v>9.1206999999999996E-2</v>
      </c>
      <c r="W1320">
        <v>-9.9956970000000006E-2</v>
      </c>
      <c r="X1320">
        <v>0.99080259999999998</v>
      </c>
      <c r="Y1320">
        <v>9.3626630000000002E-2</v>
      </c>
      <c r="Z1320">
        <v>-4.8701580000000003E-3</v>
      </c>
      <c r="AA1320">
        <v>0.99559549999999997</v>
      </c>
      <c r="AB1320">
        <v>25</v>
      </c>
      <c r="AC1320">
        <v>0.58329999999997995</v>
      </c>
      <c r="AD1320">
        <v>-7.5068000000000107E-2</v>
      </c>
      <c r="AE1320">
        <v>-7.3399999999992305E-2</v>
      </c>
      <c r="AF1320">
        <v>6.8624084502438204E-2</v>
      </c>
      <c r="AG1320">
        <v>-7.5068000000000107E-2</v>
      </c>
      <c r="AH1320">
        <v>0.57438361577007302</v>
      </c>
      <c r="AI1320">
        <v>97.393966657991896</v>
      </c>
      <c r="AJ1320">
        <v>83.186920845185099</v>
      </c>
      <c r="AK1320">
        <v>0.58331895877204298</v>
      </c>
      <c r="AL1320">
        <v>95.7366928986293</v>
      </c>
      <c r="AM1320">
        <v>84.740536711028795</v>
      </c>
      <c r="AN1320">
        <v>0.99999995243366901</v>
      </c>
    </row>
    <row r="1321" spans="1:40" x14ac:dyDescent="0.25">
      <c r="A1321" t="str">
        <f>"20190303154752494"</f>
        <v>20190303154752494</v>
      </c>
      <c r="B1321" t="str">
        <f>"1551599272482211"</f>
        <v>1551599272482211</v>
      </c>
      <c r="C1321" t="s">
        <v>40</v>
      </c>
      <c r="D1321">
        <v>5.0163510000000002</v>
      </c>
      <c r="E1321">
        <v>0.50125379999999997</v>
      </c>
      <c r="F1321" t="s">
        <v>42</v>
      </c>
      <c r="G1321">
        <v>-215.33260000000001</v>
      </c>
      <c r="H1321">
        <v>1.0409600000000001</v>
      </c>
      <c r="I1321">
        <v>367.73450000000003</v>
      </c>
      <c r="J1321">
        <v>-215.9084</v>
      </c>
      <c r="K1321">
        <v>1.120987</v>
      </c>
      <c r="L1321">
        <v>367.81599999999997</v>
      </c>
      <c r="M1321">
        <v>0.99988540000000004</v>
      </c>
      <c r="N1321">
        <v>-1.386535E-2</v>
      </c>
      <c r="O1321">
        <v>-6.0921200000000003E-3</v>
      </c>
      <c r="P1321">
        <v>0.98854489999999995</v>
      </c>
      <c r="Q1321">
        <v>-0.1128117</v>
      </c>
      <c r="R1321">
        <v>-0.1002642</v>
      </c>
      <c r="S1321">
        <v>2.970078</v>
      </c>
      <c r="T1321">
        <v>-0.29615069999999999</v>
      </c>
      <c r="U1321">
        <v>-0.30529790000000001</v>
      </c>
      <c r="V1321">
        <v>9.4269249999999999E-2</v>
      </c>
      <c r="W1321">
        <v>-9.9057779999999998E-2</v>
      </c>
      <c r="X1321">
        <v>0.99060630000000005</v>
      </c>
      <c r="Y1321">
        <v>9.5676310000000001E-2</v>
      </c>
      <c r="Z1321">
        <v>-4.8924820000000001E-3</v>
      </c>
      <c r="AA1321">
        <v>0.99540050000000002</v>
      </c>
      <c r="AB1321">
        <v>25</v>
      </c>
      <c r="AC1321">
        <v>0.57579999999998599</v>
      </c>
      <c r="AD1321">
        <v>-8.0027000000000001E-2</v>
      </c>
      <c r="AE1321">
        <v>-8.14999999999486E-2</v>
      </c>
      <c r="AF1321">
        <v>7.6540840949680902E-2</v>
      </c>
      <c r="AG1321">
        <v>-8.0027000000000001E-2</v>
      </c>
      <c r="AH1321">
        <v>0.56557547077841896</v>
      </c>
      <c r="AI1321">
        <v>97.981881200397495</v>
      </c>
      <c r="AJ1321">
        <v>82.292833391903599</v>
      </c>
      <c r="AK1321">
        <v>0.57631452715380505</v>
      </c>
      <c r="AL1321">
        <v>95.684915919810507</v>
      </c>
      <c r="AM1321">
        <v>84.563921493170795</v>
      </c>
      <c r="AN1321">
        <v>0.99999998843688997</v>
      </c>
    </row>
    <row r="1322" spans="1:40" x14ac:dyDescent="0.25">
      <c r="A1322" t="str">
        <f>"20190303154752517"</f>
        <v>20190303154752517</v>
      </c>
      <c r="B1322" t="str">
        <f>"1551599272511492"</f>
        <v>1551599272511492</v>
      </c>
      <c r="C1322" t="s">
        <v>40</v>
      </c>
      <c r="D1322">
        <v>5.0156519999999896</v>
      </c>
      <c r="E1322">
        <v>0.50101720000000005</v>
      </c>
      <c r="F1322" t="s">
        <v>42</v>
      </c>
      <c r="G1322">
        <v>-215.1097</v>
      </c>
      <c r="H1322">
        <v>1.0414079999999999</v>
      </c>
      <c r="I1322">
        <v>367.73219999999998</v>
      </c>
      <c r="J1322">
        <v>-215.65969999999999</v>
      </c>
      <c r="K1322">
        <v>1.1209610000000001</v>
      </c>
      <c r="L1322">
        <v>367.81470000000002</v>
      </c>
      <c r="M1322">
        <v>0.99988630000000001</v>
      </c>
      <c r="N1322">
        <v>-1.38627E-2</v>
      </c>
      <c r="O1322">
        <v>-5.9427259999999997E-3</v>
      </c>
      <c r="P1322">
        <v>0.98820989999999997</v>
      </c>
      <c r="Q1322">
        <v>-0.112746</v>
      </c>
      <c r="R1322">
        <v>-0.1035841</v>
      </c>
      <c r="S1322">
        <v>2.9693909999999999</v>
      </c>
      <c r="T1322">
        <v>-0.29587190000000002</v>
      </c>
      <c r="U1322">
        <v>-0.31164550000000002</v>
      </c>
      <c r="V1322">
        <v>9.7732269999999996E-2</v>
      </c>
      <c r="W1322">
        <v>-9.9004830000000002E-2</v>
      </c>
      <c r="X1322">
        <v>0.99027589999999999</v>
      </c>
      <c r="Y1322">
        <v>9.7940940000000004E-2</v>
      </c>
      <c r="Z1322">
        <v>-5.0297850000000002E-3</v>
      </c>
      <c r="AA1322">
        <v>0.99517949999999999</v>
      </c>
      <c r="AB1322">
        <v>25</v>
      </c>
      <c r="AC1322">
        <v>0.54999999999998295</v>
      </c>
      <c r="AD1322">
        <v>-7.9553000000000207E-2</v>
      </c>
      <c r="AE1322">
        <v>-8.2500000000038598E-2</v>
      </c>
      <c r="AF1322">
        <v>7.7641123535681103E-2</v>
      </c>
      <c r="AG1322">
        <v>-7.9553000000000207E-2</v>
      </c>
      <c r="AH1322">
        <v>0.53944312406537198</v>
      </c>
      <c r="AI1322">
        <v>98.304717312186995</v>
      </c>
      <c r="AJ1322">
        <v>81.809762217553498</v>
      </c>
      <c r="AK1322">
        <v>0.55077736697715896</v>
      </c>
      <c r="AL1322">
        <v>95.6818673088477</v>
      </c>
      <c r="AM1322">
        <v>84.363619544268801</v>
      </c>
      <c r="AN1322">
        <v>0.99999995554174503</v>
      </c>
    </row>
    <row r="1323" spans="1:40" x14ac:dyDescent="0.25">
      <c r="A1323" t="str">
        <f>"20190303154752538"</f>
        <v>20190303154752538</v>
      </c>
      <c r="B1323" t="str">
        <f>"1551599272531988"</f>
        <v>1551599272531988</v>
      </c>
      <c r="C1323" t="s">
        <v>40</v>
      </c>
      <c r="D1323">
        <v>5.0905050000000003</v>
      </c>
      <c r="E1323">
        <v>0.50122709999999904</v>
      </c>
      <c r="F1323" t="s">
        <v>42</v>
      </c>
      <c r="G1323">
        <v>-214.8861</v>
      </c>
      <c r="H1323">
        <v>1.043965</v>
      </c>
      <c r="I1323">
        <v>367.73110000000003</v>
      </c>
      <c r="J1323">
        <v>-215.41560000000001</v>
      </c>
      <c r="K1323">
        <v>1.120941</v>
      </c>
      <c r="L1323">
        <v>367.8134</v>
      </c>
      <c r="M1323">
        <v>0.99988690000000002</v>
      </c>
      <c r="N1323">
        <v>-1.386012E-2</v>
      </c>
      <c r="O1323">
        <v>-5.836473E-3</v>
      </c>
      <c r="P1323">
        <v>0.98786810000000003</v>
      </c>
      <c r="Q1323">
        <v>-0.1121651</v>
      </c>
      <c r="R1323">
        <v>-0.1074045</v>
      </c>
      <c r="S1323">
        <v>2.9685359999999998</v>
      </c>
      <c r="T1323">
        <v>-0.29581950000000001</v>
      </c>
      <c r="U1323">
        <v>-0.3198242</v>
      </c>
      <c r="V1323">
        <v>0.1016529</v>
      </c>
      <c r="W1323">
        <v>-9.8436899999999994E-2</v>
      </c>
      <c r="X1323">
        <v>0.98993779999999998</v>
      </c>
      <c r="Y1323">
        <v>0.1007711</v>
      </c>
      <c r="Z1323">
        <v>-5.1986319999999999E-3</v>
      </c>
      <c r="AA1323">
        <v>0.99489609999999995</v>
      </c>
      <c r="AB1323">
        <v>25</v>
      </c>
      <c r="AC1323">
        <v>0.52950000000001296</v>
      </c>
      <c r="AD1323">
        <v>-7.6975999999999906E-2</v>
      </c>
      <c r="AE1323">
        <v>-8.2299999999975101E-2</v>
      </c>
      <c r="AF1323">
        <v>7.7606453057448899E-2</v>
      </c>
      <c r="AG1323">
        <v>-7.6975999999999906E-2</v>
      </c>
      <c r="AH1323">
        <v>0.51925633646378899</v>
      </c>
      <c r="AI1323">
        <v>98.340955968172693</v>
      </c>
      <c r="AJ1323">
        <v>81.499668260960405</v>
      </c>
      <c r="AK1323">
        <v>0.53063660737830098</v>
      </c>
      <c r="AL1323">
        <v>95.649167377646805</v>
      </c>
      <c r="AM1323">
        <v>84.137066573066207</v>
      </c>
      <c r="AN1323">
        <v>0.99999999161442998</v>
      </c>
    </row>
    <row r="1324" spans="1:40" x14ac:dyDescent="0.25">
      <c r="A1324" t="str">
        <f>"20190303154752561"</f>
        <v>20190303154752561</v>
      </c>
      <c r="B1324" t="str">
        <f>"1551599272552014"</f>
        <v>1551599272552014</v>
      </c>
      <c r="C1324" t="s">
        <v>40</v>
      </c>
      <c r="D1324">
        <v>5.2734920000000001</v>
      </c>
      <c r="E1324">
        <v>0.53059089999999998</v>
      </c>
      <c r="F1324" t="s">
        <v>42</v>
      </c>
      <c r="G1324">
        <v>-214.66139999999999</v>
      </c>
      <c r="H1324">
        <v>1.0466959999999901</v>
      </c>
      <c r="I1324">
        <v>367.7287</v>
      </c>
      <c r="J1324">
        <v>-215.16589999999999</v>
      </c>
      <c r="K1324">
        <v>1.120924</v>
      </c>
      <c r="L1324">
        <v>367.81200000000001</v>
      </c>
      <c r="M1324">
        <v>0.99988750000000004</v>
      </c>
      <c r="N1324">
        <v>-1.385747E-2</v>
      </c>
      <c r="O1324">
        <v>-5.7599900000000004E-3</v>
      </c>
      <c r="P1324">
        <v>0.98754390000000003</v>
      </c>
      <c r="Q1324">
        <v>-0.11130760000000001</v>
      </c>
      <c r="R1324">
        <v>-0.11121200000000001</v>
      </c>
      <c r="S1324">
        <v>2.9674680000000002</v>
      </c>
      <c r="T1324">
        <v>-0.29222320000000002</v>
      </c>
      <c r="U1324">
        <v>-0.33282469999999997</v>
      </c>
      <c r="V1324">
        <v>0.1055316</v>
      </c>
      <c r="W1324">
        <v>-9.7592209999999999E-2</v>
      </c>
      <c r="X1324">
        <v>0.98961549999999998</v>
      </c>
      <c r="Y1324">
        <v>0.1051786</v>
      </c>
      <c r="Z1324">
        <v>-5.3986619999999898E-3</v>
      </c>
      <c r="AA1324">
        <v>0.99443870000000001</v>
      </c>
      <c r="AB1324">
        <v>25</v>
      </c>
      <c r="AC1324">
        <v>0.50450000000000705</v>
      </c>
      <c r="AD1324">
        <v>-7.4228000000000099E-2</v>
      </c>
      <c r="AE1324">
        <v>-8.3299999999951496E-2</v>
      </c>
      <c r="AF1324">
        <v>7.8733257916052901E-2</v>
      </c>
      <c r="AG1324">
        <v>-7.4228000000000099E-2</v>
      </c>
      <c r="AH1324">
        <v>0.49454970875452398</v>
      </c>
      <c r="AI1324">
        <v>98.431302340944697</v>
      </c>
      <c r="AJ1324">
        <v>80.9543144492538</v>
      </c>
      <c r="AK1324">
        <v>0.50624908524881296</v>
      </c>
      <c r="AL1324">
        <v>95.600536007387106</v>
      </c>
      <c r="AM1324">
        <v>83.913039618801406</v>
      </c>
      <c r="AN1324">
        <v>0.99999999794574701</v>
      </c>
    </row>
    <row r="1325" spans="1:40" x14ac:dyDescent="0.25">
      <c r="A1325" t="str">
        <f>"20190303154752577"</f>
        <v>20190303154752577</v>
      </c>
      <c r="B1325" t="str">
        <f>"1551599272571535"</f>
        <v>1551599272571535</v>
      </c>
      <c r="C1325" t="s">
        <v>40</v>
      </c>
      <c r="D1325">
        <v>4.8548600000000004</v>
      </c>
      <c r="E1325">
        <v>0.58655190000000001</v>
      </c>
      <c r="F1325" t="s">
        <v>46</v>
      </c>
      <c r="G1325">
        <v>-201.57</v>
      </c>
      <c r="H1325" s="1">
        <v>-2.1137760000000002E-6</v>
      </c>
      <c r="I1325">
        <v>365.14440000000002</v>
      </c>
      <c r="J1325">
        <v>-214.98929999999999</v>
      </c>
      <c r="K1325">
        <v>1.120916</v>
      </c>
      <c r="L1325">
        <v>367.81110000000001</v>
      </c>
      <c r="M1325">
        <v>0.99988759999999999</v>
      </c>
      <c r="N1325">
        <v>-1.3855599999999999E-2</v>
      </c>
      <c r="O1325">
        <v>-5.7223019999999899E-3</v>
      </c>
      <c r="P1325">
        <v>0.98731749999999996</v>
      </c>
      <c r="Q1325">
        <v>-0.1112226</v>
      </c>
      <c r="R1325">
        <v>-0.1132864</v>
      </c>
      <c r="S1325">
        <v>2.9454039999999999</v>
      </c>
      <c r="T1325">
        <v>-0.24283589999999999</v>
      </c>
      <c r="U1325">
        <v>-0.57791139999999996</v>
      </c>
      <c r="V1325">
        <v>0.1076411</v>
      </c>
      <c r="W1325">
        <v>-9.7515610000000003E-2</v>
      </c>
      <c r="X1325">
        <v>0.98939580000000005</v>
      </c>
      <c r="Y1325">
        <v>0.18621679999999999</v>
      </c>
      <c r="Z1325">
        <v>-8.5081240000000006E-3</v>
      </c>
      <c r="AA1325">
        <v>0.98247180000000001</v>
      </c>
      <c r="AB1325">
        <v>25</v>
      </c>
      <c r="AC1325">
        <v>13.4192999999999</v>
      </c>
      <c r="AD1325">
        <v>-1.120918113776</v>
      </c>
      <c r="AE1325">
        <v>-2.6666999999999899</v>
      </c>
      <c r="AF1325">
        <v>2.5725918076638901</v>
      </c>
      <c r="AG1325">
        <v>-1.120918113776</v>
      </c>
      <c r="AH1325">
        <v>13.344768050755899</v>
      </c>
      <c r="AI1325">
        <v>94.714980796320404</v>
      </c>
      <c r="AJ1325">
        <v>79.0884311544539</v>
      </c>
      <c r="AK1325">
        <v>13.636624228713201</v>
      </c>
      <c r="AL1325">
        <v>95.596126246324303</v>
      </c>
      <c r="AM1325">
        <v>83.790938779662</v>
      </c>
      <c r="AN1325">
        <v>0.99999997483026004</v>
      </c>
    </row>
    <row r="1326" spans="1:40" x14ac:dyDescent="0.25">
      <c r="A1326" t="str">
        <f>"20190303154752595"</f>
        <v>20190303154752595</v>
      </c>
      <c r="B1326" t="str">
        <f>"1551599272592030"</f>
        <v>1551599272592030</v>
      </c>
      <c r="C1326" t="s">
        <v>40</v>
      </c>
      <c r="D1326">
        <v>5.2303850000000001</v>
      </c>
      <c r="E1326">
        <v>0.64417550000000001</v>
      </c>
      <c r="F1326" t="s">
        <v>46</v>
      </c>
      <c r="G1326">
        <v>-203.0882</v>
      </c>
      <c r="H1326" s="1">
        <v>-3.330627E-6</v>
      </c>
      <c r="I1326">
        <v>363.58280000000002</v>
      </c>
      <c r="J1326">
        <v>-214.7851</v>
      </c>
      <c r="K1326">
        <v>1.1209199999999999</v>
      </c>
      <c r="L1326">
        <v>367.81</v>
      </c>
      <c r="M1326">
        <v>0.99988779999999999</v>
      </c>
      <c r="N1326">
        <v>-1.3861470000000001E-2</v>
      </c>
      <c r="O1326">
        <v>-5.6880969999999996E-3</v>
      </c>
      <c r="P1326">
        <v>0.98683270000000001</v>
      </c>
      <c r="Q1326">
        <v>-0.1110275</v>
      </c>
      <c r="R1326">
        <v>-0.1176181</v>
      </c>
      <c r="S1326">
        <v>2.8900760000000001</v>
      </c>
      <c r="T1326">
        <v>-0.27220480000000002</v>
      </c>
      <c r="U1326">
        <v>-1.026794</v>
      </c>
      <c r="V1326">
        <v>0.1120066</v>
      </c>
      <c r="W1326">
        <v>-9.7324110000000005E-2</v>
      </c>
      <c r="X1326">
        <v>0.98892999999999998</v>
      </c>
      <c r="Y1326">
        <v>0.32793450000000002</v>
      </c>
      <c r="Z1326">
        <v>-1.6857770000000001E-2</v>
      </c>
      <c r="AA1326">
        <v>0.94455</v>
      </c>
      <c r="AB1326">
        <v>25</v>
      </c>
      <c r="AC1326">
        <v>11.696899999999999</v>
      </c>
      <c r="AD1326">
        <v>-1.1209233306269999</v>
      </c>
      <c r="AE1326">
        <v>-4.2271999999999803</v>
      </c>
      <c r="AF1326">
        <v>4.1270692842564003</v>
      </c>
      <c r="AG1326">
        <v>-1.1209233306269999</v>
      </c>
      <c r="AH1326">
        <v>11.626320989078399</v>
      </c>
      <c r="AI1326">
        <v>95.191521372786099</v>
      </c>
      <c r="AJ1326">
        <v>70.456339776694804</v>
      </c>
      <c r="AK1326">
        <v>12.3879178933056</v>
      </c>
      <c r="AL1326">
        <v>95.585101507346806</v>
      </c>
      <c r="AM1326">
        <v>83.538194135275504</v>
      </c>
      <c r="AN1326">
        <v>1.0000000028654199</v>
      </c>
    </row>
    <row r="1327" spans="1:40" x14ac:dyDescent="0.25">
      <c r="A1327" t="str">
        <f>"20190303154752617"</f>
        <v>20190303154752617</v>
      </c>
      <c r="B1327" t="str">
        <f>"1551599272611550"</f>
        <v>1551599272611550</v>
      </c>
      <c r="C1327" t="s">
        <v>40</v>
      </c>
      <c r="D1327">
        <v>5.2209370000000002</v>
      </c>
      <c r="E1327">
        <v>0.64153909999999903</v>
      </c>
      <c r="F1327" t="s">
        <v>46</v>
      </c>
      <c r="G1327">
        <v>-199.97630000000001</v>
      </c>
      <c r="H1327" s="1">
        <v>-1.029402E-5</v>
      </c>
      <c r="I1327">
        <v>359.99869999999999</v>
      </c>
      <c r="J1327">
        <v>-214.5462</v>
      </c>
      <c r="K1327">
        <v>1.1209229999999999</v>
      </c>
      <c r="L1327">
        <v>367.80860000000001</v>
      </c>
      <c r="M1327">
        <v>0.99988779999999999</v>
      </c>
      <c r="N1327">
        <v>-1.387911E-2</v>
      </c>
      <c r="O1327">
        <v>-5.6577529999999997E-3</v>
      </c>
      <c r="P1327">
        <v>0.98635090000000003</v>
      </c>
      <c r="Q1327">
        <v>-0.11048620000000001</v>
      </c>
      <c r="R1327">
        <v>-0.1220864</v>
      </c>
      <c r="S1327">
        <v>2.8374630000000001</v>
      </c>
      <c r="T1327">
        <v>-0.2147781</v>
      </c>
      <c r="U1327">
        <v>-1.496704</v>
      </c>
      <c r="V1327">
        <v>0.116505</v>
      </c>
      <c r="W1327">
        <v>-9.6774470000000001E-2</v>
      </c>
      <c r="X1327">
        <v>0.98846409999999996</v>
      </c>
      <c r="Y1327">
        <v>0.460289</v>
      </c>
      <c r="Z1327">
        <v>-1.940016E-2</v>
      </c>
      <c r="AA1327">
        <v>0.88755709999999999</v>
      </c>
      <c r="AB1327">
        <v>25</v>
      </c>
      <c r="AC1327">
        <v>14.569899999999899</v>
      </c>
      <c r="AD1327">
        <v>-1.1209332940200001</v>
      </c>
      <c r="AE1327">
        <v>-7.8099000000000203</v>
      </c>
      <c r="AF1327">
        <v>7.6919674420784903</v>
      </c>
      <c r="AG1327">
        <v>-1.1209332940200001</v>
      </c>
      <c r="AH1327">
        <v>14.546972328315199</v>
      </c>
      <c r="AI1327">
        <v>93.896934404096498</v>
      </c>
      <c r="AJ1327">
        <v>62.131565350420701</v>
      </c>
      <c r="AK1327">
        <v>16.493552028001901</v>
      </c>
      <c r="AL1327">
        <v>95.553460137559</v>
      </c>
      <c r="AM1327">
        <v>83.277865226827103</v>
      </c>
      <c r="AN1327">
        <v>0.999999995028795</v>
      </c>
    </row>
    <row r="1328" spans="1:40" x14ac:dyDescent="0.25">
      <c r="A1328" t="str">
        <f>"20190303154752634"</f>
        <v>20190303154752634</v>
      </c>
      <c r="B1328" t="str">
        <f>"1551599272632046"</f>
        <v>1551599272632046</v>
      </c>
      <c r="C1328" t="s">
        <v>40</v>
      </c>
      <c r="D1328">
        <v>5.1728610000000002</v>
      </c>
      <c r="E1328">
        <v>0.63998029999999995</v>
      </c>
      <c r="F1328" t="s">
        <v>46</v>
      </c>
      <c r="G1328">
        <v>-202.28270000000001</v>
      </c>
      <c r="H1328" s="1">
        <v>-3.4189169999999998E-6</v>
      </c>
      <c r="I1328">
        <v>361.35669999999999</v>
      </c>
      <c r="J1328">
        <v>-214.3535</v>
      </c>
      <c r="K1328">
        <v>1.1209639999999901</v>
      </c>
      <c r="L1328">
        <v>367.80759999999998</v>
      </c>
      <c r="M1328">
        <v>0.99988560000000004</v>
      </c>
      <c r="N1328">
        <v>-1.4036069999999999E-2</v>
      </c>
      <c r="O1328">
        <v>-5.6390320000000004E-3</v>
      </c>
      <c r="P1328">
        <v>0.98608090000000004</v>
      </c>
      <c r="Q1328">
        <v>-0.1103089</v>
      </c>
      <c r="R1328">
        <v>-0.124403399999999</v>
      </c>
      <c r="S1328">
        <v>2.8283689999999999</v>
      </c>
      <c r="T1328">
        <v>-0.25852370000000002</v>
      </c>
      <c r="U1328">
        <v>-1.4880370000000001</v>
      </c>
      <c r="V1328">
        <v>0.1188409</v>
      </c>
      <c r="W1328">
        <v>-9.6447290000000005E-2</v>
      </c>
      <c r="X1328">
        <v>0.98821789999999998</v>
      </c>
      <c r="Y1328">
        <v>0.45884229999999998</v>
      </c>
      <c r="Z1328">
        <v>-2.2670840000000001E-2</v>
      </c>
      <c r="AA1328">
        <v>0.88822849999999998</v>
      </c>
      <c r="AB1328">
        <v>25</v>
      </c>
      <c r="AC1328">
        <v>12.070799999999901</v>
      </c>
      <c r="AD1328">
        <v>-1.12096741891699</v>
      </c>
      <c r="AE1328">
        <v>-6.4508999999999901</v>
      </c>
      <c r="AF1328">
        <v>6.3401918341978796</v>
      </c>
      <c r="AG1328">
        <v>-1.12096741891699</v>
      </c>
      <c r="AH1328">
        <v>12.0263135938524</v>
      </c>
      <c r="AI1328">
        <v>94.713546541392205</v>
      </c>
      <c r="AJ1328">
        <v>62.202102637364902</v>
      </c>
      <c r="AK1328">
        <v>13.6413642685174</v>
      </c>
      <c r="AL1328">
        <v>95.534626371418796</v>
      </c>
      <c r="AM1328">
        <v>83.142666465008503</v>
      </c>
      <c r="AN1328">
        <v>0.99999992857077902</v>
      </c>
    </row>
    <row r="1329" spans="1:40" x14ac:dyDescent="0.25">
      <c r="A1329" t="str">
        <f>"20190303154752651"</f>
        <v>20190303154752651</v>
      </c>
      <c r="B1329" t="str">
        <f>"1551599272641807"</f>
        <v>1551599272641807</v>
      </c>
      <c r="C1329" t="s">
        <v>40</v>
      </c>
      <c r="D1329">
        <v>5.1832079999999996</v>
      </c>
      <c r="E1329">
        <v>0.63966330000000005</v>
      </c>
      <c r="F1329" t="s">
        <v>46</v>
      </c>
      <c r="G1329">
        <v>-203.00030000000001</v>
      </c>
      <c r="H1329" s="1">
        <v>-3.670789E-6</v>
      </c>
      <c r="I1329">
        <v>361.84930000000003</v>
      </c>
      <c r="J1329">
        <v>-214.1788</v>
      </c>
      <c r="K1329">
        <v>1.1210469999999999</v>
      </c>
      <c r="L1329">
        <v>367.8066</v>
      </c>
      <c r="M1329">
        <v>0.99988120000000003</v>
      </c>
      <c r="N1329">
        <v>-1.435495E-2</v>
      </c>
      <c r="O1329">
        <v>-5.625756E-3</v>
      </c>
      <c r="P1329">
        <v>0.98548820000000004</v>
      </c>
      <c r="Q1329">
        <v>-0.1097033</v>
      </c>
      <c r="R1329">
        <v>-0.12952959999999999</v>
      </c>
      <c r="S1329">
        <v>2.824173</v>
      </c>
      <c r="T1329">
        <v>-0.27884690000000001</v>
      </c>
      <c r="U1329">
        <v>-1.4821470000000001</v>
      </c>
      <c r="V1329">
        <v>0.1239821</v>
      </c>
      <c r="W1329">
        <v>-9.5536209999999996E-2</v>
      </c>
      <c r="X1329">
        <v>0.98767470000000002</v>
      </c>
      <c r="Y1329">
        <v>0.45767400000000003</v>
      </c>
      <c r="Z1329">
        <v>-2.4226399999999999E-2</v>
      </c>
      <c r="AA1329">
        <v>0.88878999999999997</v>
      </c>
      <c r="AB1329">
        <v>25</v>
      </c>
      <c r="AC1329">
        <v>11.1784999999999</v>
      </c>
      <c r="AD1329">
        <v>-1.121050670789</v>
      </c>
      <c r="AE1329">
        <v>-5.9572999999999698</v>
      </c>
      <c r="AF1329">
        <v>5.8485017460180098</v>
      </c>
      <c r="AG1329">
        <v>-1.121050670789</v>
      </c>
      <c r="AH1329">
        <v>11.124703584265699</v>
      </c>
      <c r="AI1329">
        <v>95.097074947357299</v>
      </c>
      <c r="AJ1329">
        <v>62.268106261390301</v>
      </c>
      <c r="AK1329">
        <v>12.618270765736</v>
      </c>
      <c r="AL1329">
        <v>95.4821826439277</v>
      </c>
      <c r="AM1329">
        <v>82.845126290229402</v>
      </c>
      <c r="AN1329">
        <v>1.0000000207808299</v>
      </c>
    </row>
    <row r="1330" spans="1:40" x14ac:dyDescent="0.25">
      <c r="A1330" t="str">
        <f>"20190303154752673"</f>
        <v>20190303154752673</v>
      </c>
      <c r="B1330" t="str">
        <f>"1551599272661833"</f>
        <v>1551599272661833</v>
      </c>
      <c r="C1330" t="s">
        <v>40</v>
      </c>
      <c r="D1330">
        <v>4.7698130000000001</v>
      </c>
      <c r="E1330">
        <v>0.64075819999999895</v>
      </c>
      <c r="F1330" t="s">
        <v>46</v>
      </c>
      <c r="G1330">
        <v>-202.96559999999999</v>
      </c>
      <c r="H1330" s="1">
        <v>-3.6509719999999999E-6</v>
      </c>
      <c r="I1330">
        <v>361.85989999999998</v>
      </c>
      <c r="J1330">
        <v>-213.93469999999999</v>
      </c>
      <c r="K1330">
        <v>1.121202</v>
      </c>
      <c r="L1330">
        <v>367.80529999999999</v>
      </c>
      <c r="M1330">
        <v>0.99987139999999997</v>
      </c>
      <c r="N1330">
        <v>-1.5032449999999999E-2</v>
      </c>
      <c r="O1330">
        <v>-5.6129650000000001E-3</v>
      </c>
      <c r="P1330">
        <v>0.98469669999999998</v>
      </c>
      <c r="Q1330">
        <v>-0.10983809999999999</v>
      </c>
      <c r="R1330">
        <v>-0.1353084</v>
      </c>
      <c r="S1330">
        <v>2.816513</v>
      </c>
      <c r="T1330">
        <v>-0.28158280000000002</v>
      </c>
      <c r="U1330">
        <v>-1.4936830000000001</v>
      </c>
      <c r="V1330">
        <v>0.129776</v>
      </c>
      <c r="W1330">
        <v>-9.501561E-2</v>
      </c>
      <c r="X1330">
        <v>0.98698039999999998</v>
      </c>
      <c r="Y1330">
        <v>0.46144639999999998</v>
      </c>
      <c r="Z1330">
        <v>-2.4839779999999999E-2</v>
      </c>
      <c r="AA1330">
        <v>0.88682030000000001</v>
      </c>
      <c r="AB1330">
        <v>25</v>
      </c>
      <c r="AC1330">
        <v>10.9690999999999</v>
      </c>
      <c r="AD1330">
        <v>-1.1212056509720001</v>
      </c>
      <c r="AE1330">
        <v>-5.9454000000000002</v>
      </c>
      <c r="AF1330">
        <v>5.8365968505183101</v>
      </c>
      <c r="AG1330">
        <v>-1.1212056509720001</v>
      </c>
      <c r="AH1330">
        <v>10.914165081951699</v>
      </c>
      <c r="AI1330">
        <v>95.176261223392004</v>
      </c>
      <c r="AJ1330">
        <v>61.863347748589398</v>
      </c>
      <c r="AK1330">
        <v>12.427468138898901</v>
      </c>
      <c r="AL1330">
        <v>95.452218027668906</v>
      </c>
      <c r="AM1330">
        <v>82.509269138526506</v>
      </c>
      <c r="AN1330">
        <v>1.00000004315191</v>
      </c>
    </row>
    <row r="1331" spans="1:40" x14ac:dyDescent="0.25">
      <c r="A1331" t="str">
        <f>"20190303154752695"</f>
        <v>20190303154752695</v>
      </c>
      <c r="B1331" t="str">
        <f>"1551599272692089"</f>
        <v>1551599272692089</v>
      </c>
      <c r="C1331" t="s">
        <v>40</v>
      </c>
      <c r="D1331">
        <v>5.1827480000000001</v>
      </c>
      <c r="E1331">
        <v>0.63943359999999905</v>
      </c>
      <c r="F1331" t="s">
        <v>46</v>
      </c>
      <c r="G1331">
        <v>-201.1181</v>
      </c>
      <c r="H1331" s="1">
        <v>-2.9401680000000002E-6</v>
      </c>
      <c r="I1331">
        <v>360.87259999999998</v>
      </c>
      <c r="J1331">
        <v>-213.69309999999999</v>
      </c>
      <c r="K1331">
        <v>1.121353</v>
      </c>
      <c r="L1331">
        <v>367.8039</v>
      </c>
      <c r="M1331">
        <v>0.99985939999999995</v>
      </c>
      <c r="N1331">
        <v>-1.5811950000000002E-2</v>
      </c>
      <c r="O1331">
        <v>-5.6062119999999898E-3</v>
      </c>
      <c r="P1331">
        <v>0.98385540000000005</v>
      </c>
      <c r="Q1331">
        <v>-0.1093344</v>
      </c>
      <c r="R1331">
        <v>-0.14168620000000001</v>
      </c>
      <c r="S1331">
        <v>2.8103180000000001</v>
      </c>
      <c r="T1331">
        <v>-0.24584819999999999</v>
      </c>
      <c r="U1331">
        <v>-1.5201420000000001</v>
      </c>
      <c r="V1331">
        <v>0.1361636</v>
      </c>
      <c r="W1331">
        <v>-9.3757699999999999E-2</v>
      </c>
      <c r="X1331">
        <v>0.9862398</v>
      </c>
      <c r="Y1331">
        <v>0.46914980000000001</v>
      </c>
      <c r="Z1331">
        <v>-2.2754259999999998E-2</v>
      </c>
      <c r="AA1331">
        <v>0.88282539999999998</v>
      </c>
      <c r="AB1331">
        <v>24</v>
      </c>
      <c r="AC1331">
        <v>12.5749999999999</v>
      </c>
      <c r="AD1331">
        <v>-1.121355940168</v>
      </c>
      <c r="AE1331">
        <v>-6.9313000000000198</v>
      </c>
      <c r="AF1331">
        <v>6.81909490707387</v>
      </c>
      <c r="AG1331">
        <v>-1.121355940168</v>
      </c>
      <c r="AH1331">
        <v>12.537201940379401</v>
      </c>
      <c r="AI1331">
        <v>94.492612995872804</v>
      </c>
      <c r="AJ1331">
        <v>61.457839980650903</v>
      </c>
      <c r="AK1331">
        <v>14.315688142387099</v>
      </c>
      <c r="AL1331">
        <v>95.379822186843796</v>
      </c>
      <c r="AM1331">
        <v>82.1392455775988</v>
      </c>
      <c r="AN1331">
        <v>0.999999987689144</v>
      </c>
    </row>
    <row r="1332" spans="1:40" x14ac:dyDescent="0.25">
      <c r="A1332" t="str">
        <f>"20190303154752718"</f>
        <v>20190303154752718</v>
      </c>
      <c r="B1332" t="str">
        <f>"1551599272711609"</f>
        <v>1551599272711609</v>
      </c>
      <c r="C1332" t="s">
        <v>40</v>
      </c>
      <c r="D1332">
        <v>5.158684</v>
      </c>
      <c r="E1332">
        <v>0.63859119999999903</v>
      </c>
      <c r="F1332" t="s">
        <v>46</v>
      </c>
      <c r="G1332">
        <v>-201.92320000000001</v>
      </c>
      <c r="H1332" s="1">
        <v>-3.2319139999999999E-6</v>
      </c>
      <c r="I1332">
        <v>361.38420000000002</v>
      </c>
      <c r="J1332">
        <v>-213.45320000000001</v>
      </c>
      <c r="K1332">
        <v>1.12148</v>
      </c>
      <c r="L1332">
        <v>367.80250000000001</v>
      </c>
      <c r="M1332">
        <v>0.99984700000000004</v>
      </c>
      <c r="N1332">
        <v>-1.6571780000000001E-2</v>
      </c>
      <c r="O1332">
        <v>-5.6044619999999898E-3</v>
      </c>
      <c r="P1332">
        <v>0.98291390000000001</v>
      </c>
      <c r="Q1332">
        <v>-0.1090877</v>
      </c>
      <c r="R1332">
        <v>-0.14825679999999999</v>
      </c>
      <c r="S1332">
        <v>2.7996979999999998</v>
      </c>
      <c r="T1332">
        <v>-0.26673770000000002</v>
      </c>
      <c r="U1332">
        <v>-1.527069</v>
      </c>
      <c r="V1332">
        <v>0.142739899999999</v>
      </c>
      <c r="W1332">
        <v>-9.2778589999999994E-2</v>
      </c>
      <c r="X1332">
        <v>0.98540220000000001</v>
      </c>
      <c r="Y1332">
        <v>0.47192790000000001</v>
      </c>
      <c r="Z1332">
        <v>-2.474229E-2</v>
      </c>
      <c r="AA1332">
        <v>0.88128989999999996</v>
      </c>
      <c r="AB1332">
        <v>24</v>
      </c>
      <c r="AC1332">
        <v>11.53</v>
      </c>
      <c r="AD1332">
        <v>-1.121483231914</v>
      </c>
      <c r="AE1332">
        <v>-6.4182999999999799</v>
      </c>
      <c r="AF1332">
        <v>6.3080101199915797</v>
      </c>
      <c r="AG1332">
        <v>-1.121483231914</v>
      </c>
      <c r="AH1332">
        <v>11.4828579309756</v>
      </c>
      <c r="AI1332">
        <v>94.892602019778494</v>
      </c>
      <c r="AJ1332">
        <v>61.2181821955594</v>
      </c>
      <c r="AK1332">
        <v>13.1493247954543</v>
      </c>
      <c r="AL1332">
        <v>95.323477532329306</v>
      </c>
      <c r="AM1332">
        <v>81.757780256979103</v>
      </c>
      <c r="AN1332">
        <v>1.00000002078961</v>
      </c>
    </row>
    <row r="1333" spans="1:40" x14ac:dyDescent="0.25">
      <c r="A1333" t="str">
        <f>"20190303154752739"</f>
        <v>20190303154752739</v>
      </c>
      <c r="B1333" t="str">
        <f>"1551599272732106"</f>
        <v>1551599272732106</v>
      </c>
      <c r="C1333" t="s">
        <v>40</v>
      </c>
      <c r="D1333">
        <v>5.1900740000000001</v>
      </c>
      <c r="E1333">
        <v>0.63760209999999995</v>
      </c>
      <c r="F1333" t="s">
        <v>46</v>
      </c>
      <c r="G1333">
        <v>-202.083</v>
      </c>
      <c r="H1333" s="1">
        <v>-3.2798840000000001E-6</v>
      </c>
      <c r="I1333">
        <v>361.53030000000001</v>
      </c>
      <c r="J1333">
        <v>-213.22059999999999</v>
      </c>
      <c r="K1333">
        <v>1.12157</v>
      </c>
      <c r="L1333">
        <v>367.80119999999999</v>
      </c>
      <c r="M1333">
        <v>0.99983509999999998</v>
      </c>
      <c r="N1333">
        <v>-1.7275490000000001E-2</v>
      </c>
      <c r="O1333">
        <v>-5.6140959999999998E-3</v>
      </c>
      <c r="P1333">
        <v>0.98196890000000003</v>
      </c>
      <c r="Q1333">
        <v>-0.10893899999999999</v>
      </c>
      <c r="R1333">
        <v>-0.1544981</v>
      </c>
      <c r="S1333">
        <v>2.78952</v>
      </c>
      <c r="T1333">
        <v>-0.27513949999999998</v>
      </c>
      <c r="U1333">
        <v>-1.5387879999999901</v>
      </c>
      <c r="V1333">
        <v>0.14897560000000001</v>
      </c>
      <c r="W1333">
        <v>-9.1954330000000001E-2</v>
      </c>
      <c r="X1333">
        <v>0.98455610000000005</v>
      </c>
      <c r="Y1333">
        <v>0.47595090000000001</v>
      </c>
      <c r="Z1333">
        <v>-2.5840370000000001E-2</v>
      </c>
      <c r="AA1333">
        <v>0.87909219999999899</v>
      </c>
      <c r="AB1333">
        <v>24</v>
      </c>
      <c r="AC1333">
        <v>11.1375999999999</v>
      </c>
      <c r="AD1333">
        <v>-1.1215732798839999</v>
      </c>
      <c r="AE1333">
        <v>-6.2708999999999797</v>
      </c>
      <c r="AF1333">
        <v>6.1608268344733297</v>
      </c>
      <c r="AG1333">
        <v>-1.1215732798839999</v>
      </c>
      <c r="AH1333">
        <v>11.087264861057299</v>
      </c>
      <c r="AI1333">
        <v>95.053203834746597</v>
      </c>
      <c r="AJ1333">
        <v>60.940518258876502</v>
      </c>
      <c r="AK1333">
        <v>12.7334659855733</v>
      </c>
      <c r="AL1333">
        <v>95.276048154205895</v>
      </c>
      <c r="AM1333">
        <v>81.395705214568096</v>
      </c>
      <c r="AN1333">
        <v>1.00000002112415</v>
      </c>
    </row>
    <row r="1334" spans="1:40" x14ac:dyDescent="0.25">
      <c r="A1334" t="str">
        <f>"20190303154752762"</f>
        <v>20190303154752762</v>
      </c>
      <c r="B1334" t="str">
        <f>"1551599272752133"</f>
        <v>1551599272752133</v>
      </c>
      <c r="C1334" t="s">
        <v>40</v>
      </c>
      <c r="D1334">
        <v>5.1909609999999997</v>
      </c>
      <c r="E1334">
        <v>0.63670890000000002</v>
      </c>
      <c r="F1334" t="s">
        <v>46</v>
      </c>
      <c r="G1334">
        <v>-202.12899999999999</v>
      </c>
      <c r="H1334" s="1">
        <v>-3.282451E-6</v>
      </c>
      <c r="I1334">
        <v>361.6232</v>
      </c>
      <c r="J1334">
        <v>-212.98869999999999</v>
      </c>
      <c r="K1334">
        <v>1.1216379999999999</v>
      </c>
      <c r="L1334">
        <v>367.79989999999998</v>
      </c>
      <c r="M1334">
        <v>0.99982300000000002</v>
      </c>
      <c r="N1334">
        <v>-1.79489E-2</v>
      </c>
      <c r="O1334">
        <v>-5.649846E-3</v>
      </c>
      <c r="P1334">
        <v>0.98098830000000004</v>
      </c>
      <c r="Q1334">
        <v>-0.1093079</v>
      </c>
      <c r="R1334">
        <v>-0.16035639999999901</v>
      </c>
      <c r="S1334">
        <v>2.7802579999999999</v>
      </c>
      <c r="T1334">
        <v>-0.28113749999999998</v>
      </c>
      <c r="U1334">
        <v>-1.5486150000000001</v>
      </c>
      <c r="V1334">
        <v>0.1548012</v>
      </c>
      <c r="W1334">
        <v>-9.1681970000000002E-2</v>
      </c>
      <c r="X1334">
        <v>0.98368230000000001</v>
      </c>
      <c r="Y1334">
        <v>0.47940260000000001</v>
      </c>
      <c r="Z1334">
        <v>-2.672281E-2</v>
      </c>
      <c r="AA1334">
        <v>0.87718809999999903</v>
      </c>
      <c r="AB1334">
        <v>24</v>
      </c>
      <c r="AC1334">
        <v>10.859699999999901</v>
      </c>
      <c r="AD1334">
        <v>-1.12164128245099</v>
      </c>
      <c r="AE1334">
        <v>-6.1766999999999799</v>
      </c>
      <c r="AF1334">
        <v>6.0663397560137202</v>
      </c>
      <c r="AG1334">
        <v>-1.12164128245099</v>
      </c>
      <c r="AH1334">
        <v>10.807320119844301</v>
      </c>
      <c r="AI1334">
        <v>95.171319696530503</v>
      </c>
      <c r="AJ1334">
        <v>60.693732617299297</v>
      </c>
      <c r="AK1334">
        <v>12.4441442202621</v>
      </c>
      <c r="AL1334">
        <v>95.260377351405396</v>
      </c>
      <c r="AM1334">
        <v>81.056759864403105</v>
      </c>
      <c r="AN1334">
        <v>0.99999993123890296</v>
      </c>
    </row>
    <row r="1335" spans="1:40" x14ac:dyDescent="0.25">
      <c r="A1335" t="str">
        <f>"20190303154752785"</f>
        <v>20190303154752785</v>
      </c>
      <c r="B1335" t="str">
        <f>"1551599272782389"</f>
        <v>1551599272782389</v>
      </c>
      <c r="C1335" t="s">
        <v>40</v>
      </c>
      <c r="D1335">
        <v>5.1978099999999996</v>
      </c>
      <c r="E1335">
        <v>0.63532500000000003</v>
      </c>
      <c r="F1335" t="s">
        <v>46</v>
      </c>
      <c r="G1335">
        <v>-202.2867</v>
      </c>
      <c r="H1335" s="1">
        <v>-3.32652E-6</v>
      </c>
      <c r="I1335">
        <v>361.78230000000002</v>
      </c>
      <c r="J1335">
        <v>-212.755</v>
      </c>
      <c r="K1335">
        <v>1.1216710000000001</v>
      </c>
      <c r="L1335">
        <v>367.79840000000002</v>
      </c>
      <c r="M1335">
        <v>0.99981089999999995</v>
      </c>
      <c r="N1335">
        <v>-1.8584860000000002E-2</v>
      </c>
      <c r="O1335">
        <v>-5.728215E-3</v>
      </c>
      <c r="P1335">
        <v>0.97998289999999999</v>
      </c>
      <c r="Q1335">
        <v>-0.1095836</v>
      </c>
      <c r="R1335">
        <v>-0.1662081</v>
      </c>
      <c r="S1335">
        <v>2.7710880000000002</v>
      </c>
      <c r="T1335">
        <v>-0.29042790000000002</v>
      </c>
      <c r="U1335">
        <v>-1.558136</v>
      </c>
      <c r="V1335">
        <v>0.1605762</v>
      </c>
      <c r="W1335">
        <v>-9.1360049999999998E-2</v>
      </c>
      <c r="X1335">
        <v>0.98278620000000005</v>
      </c>
      <c r="Y1335">
        <v>0.48267890000000002</v>
      </c>
      <c r="Z1335">
        <v>-2.785319E-2</v>
      </c>
      <c r="AA1335">
        <v>0.87535439999999998</v>
      </c>
      <c r="AB1335">
        <v>23</v>
      </c>
      <c r="AC1335">
        <v>10.468299999999999</v>
      </c>
      <c r="AD1335">
        <v>-1.12167432651999</v>
      </c>
      <c r="AE1335">
        <v>-6.01609999999999</v>
      </c>
      <c r="AF1335">
        <v>5.9050622023001198</v>
      </c>
      <c r="AG1335">
        <v>-1.12167432651999</v>
      </c>
      <c r="AH1335">
        <v>10.412727921340201</v>
      </c>
      <c r="AI1335">
        <v>95.353134481260994</v>
      </c>
      <c r="AJ1335">
        <v>60.442410353650502</v>
      </c>
      <c r="AK1335">
        <v>12.0230119217967</v>
      </c>
      <c r="AL1335">
        <v>95.241854359833695</v>
      </c>
      <c r="AM1335">
        <v>80.720509675804095</v>
      </c>
      <c r="AN1335">
        <v>1.0000000448264399</v>
      </c>
    </row>
    <row r="1336" spans="1:40" x14ac:dyDescent="0.25">
      <c r="A1336" t="str">
        <f>"20190303154752806"</f>
        <v>20190303154752806</v>
      </c>
      <c r="B1336" t="str">
        <f>"1551599272801909"</f>
        <v>1551599272801909</v>
      </c>
      <c r="C1336" t="s">
        <v>40</v>
      </c>
      <c r="D1336">
        <v>5.1493859999999998</v>
      </c>
      <c r="E1336">
        <v>0.63455680000000003</v>
      </c>
      <c r="F1336" t="s">
        <v>46</v>
      </c>
      <c r="G1336">
        <v>-202.5547</v>
      </c>
      <c r="H1336" s="1">
        <v>-3.4075450000000002E-6</v>
      </c>
      <c r="I1336">
        <v>362.02510000000001</v>
      </c>
      <c r="J1336">
        <v>-212.5307</v>
      </c>
      <c r="K1336">
        <v>1.1216820000000001</v>
      </c>
      <c r="L1336">
        <v>367.79700000000003</v>
      </c>
      <c r="M1336">
        <v>0.99980000000000002</v>
      </c>
      <c r="N1336">
        <v>-1.9132300000000001E-2</v>
      </c>
      <c r="O1336">
        <v>-5.8439039999999996E-3</v>
      </c>
      <c r="P1336">
        <v>0.97884369999999998</v>
      </c>
      <c r="Q1336">
        <v>-0.1104763</v>
      </c>
      <c r="R1336">
        <v>-0.17222229999999999</v>
      </c>
      <c r="S1336">
        <v>2.762146</v>
      </c>
      <c r="T1336">
        <v>-0.30373739999999999</v>
      </c>
      <c r="U1336">
        <v>-1.5633539999999999</v>
      </c>
      <c r="V1336">
        <v>0.1664764</v>
      </c>
      <c r="W1336">
        <v>-9.1748709999999997E-2</v>
      </c>
      <c r="X1336">
        <v>0.98176770000000002</v>
      </c>
      <c r="Y1336">
        <v>0.48479660000000002</v>
      </c>
      <c r="Z1336">
        <v>-2.9226140000000001E-2</v>
      </c>
      <c r="AA1336">
        <v>0.87413850000000004</v>
      </c>
      <c r="AB1336">
        <v>23</v>
      </c>
      <c r="AC1336">
        <v>9.9760000000000009</v>
      </c>
      <c r="AD1336">
        <v>-1.121685407545</v>
      </c>
      <c r="AE1336">
        <v>-5.7718999999999596</v>
      </c>
      <c r="AF1336">
        <v>5.6598831920250801</v>
      </c>
      <c r="AG1336">
        <v>-1.121685407545</v>
      </c>
      <c r="AH1336">
        <v>9.9156480689769406</v>
      </c>
      <c r="AI1336">
        <v>95.610989718115505</v>
      </c>
      <c r="AJ1336">
        <v>60.2821391358884</v>
      </c>
      <c r="AK1336">
        <v>11.4722505433185</v>
      </c>
      <c r="AL1336">
        <v>95.264217003469099</v>
      </c>
      <c r="AM1336">
        <v>80.376012111494802</v>
      </c>
      <c r="AN1336">
        <v>1.00000001715345</v>
      </c>
    </row>
    <row r="1337" spans="1:40" x14ac:dyDescent="0.25">
      <c r="A1337" t="str">
        <f>"20190303154752822"</f>
        <v>20190303154752822</v>
      </c>
      <c r="B1337" t="str">
        <f>"1551599272811669"</f>
        <v>1551599272811669</v>
      </c>
      <c r="C1337" t="s">
        <v>40</v>
      </c>
      <c r="D1337">
        <v>5.1465930000000002</v>
      </c>
      <c r="E1337">
        <v>0.63419740000000002</v>
      </c>
      <c r="F1337" t="s">
        <v>46</v>
      </c>
      <c r="G1337">
        <v>-202.6405</v>
      </c>
      <c r="H1337" s="1">
        <v>-3.4248849999999998E-6</v>
      </c>
      <c r="I1337">
        <v>362.14170000000001</v>
      </c>
      <c r="J1337">
        <v>-212.37260000000001</v>
      </c>
      <c r="K1337">
        <v>1.1216729999999999</v>
      </c>
      <c r="L1337">
        <v>367.79599999999999</v>
      </c>
      <c r="M1337">
        <v>0.99979249999999997</v>
      </c>
      <c r="N1337">
        <v>-1.9482010000000001E-2</v>
      </c>
      <c r="O1337">
        <v>-5.9509019999999897E-3</v>
      </c>
      <c r="P1337">
        <v>0.97829900000000003</v>
      </c>
      <c r="Q1337">
        <v>-0.1105462</v>
      </c>
      <c r="R1337">
        <v>-0.17524479999999901</v>
      </c>
      <c r="S1337">
        <v>2.7526549999999999</v>
      </c>
      <c r="T1337">
        <v>-0.3121874</v>
      </c>
      <c r="U1337">
        <v>-1.5740050000000001</v>
      </c>
      <c r="V1337">
        <v>0.1693915</v>
      </c>
      <c r="W1337">
        <v>-9.1496400000000006E-2</v>
      </c>
      <c r="X1337">
        <v>0.98129250000000001</v>
      </c>
      <c r="Y1337">
        <v>0.48836629999999998</v>
      </c>
      <c r="Z1337">
        <v>-3.0261610000000001E-2</v>
      </c>
      <c r="AA1337">
        <v>0.8721139</v>
      </c>
      <c r="AB1337">
        <v>23</v>
      </c>
      <c r="AC1337">
        <v>9.7321000000000009</v>
      </c>
      <c r="AD1337">
        <v>-1.121676424885</v>
      </c>
      <c r="AE1337">
        <v>-5.6542999999999699</v>
      </c>
      <c r="AF1337">
        <v>5.54124179565604</v>
      </c>
      <c r="AG1337">
        <v>-1.121676424885</v>
      </c>
      <c r="AH1337">
        <v>9.6695500293711696</v>
      </c>
      <c r="AI1337">
        <v>95.747244717193396</v>
      </c>
      <c r="AJ1337">
        <v>60.184661052153103</v>
      </c>
      <c r="AK1337">
        <v>11.2010587182899</v>
      </c>
      <c r="AL1337">
        <v>95.249699622380305</v>
      </c>
      <c r="AM1337">
        <v>80.2060749377316</v>
      </c>
      <c r="AN1337">
        <v>1.0000000210207201</v>
      </c>
    </row>
    <row r="1338" spans="1:40" x14ac:dyDescent="0.25">
      <c r="A1338" t="str">
        <f>"20190303154752838"</f>
        <v>20190303154752838</v>
      </c>
      <c r="B1338" t="str">
        <f>"1551599272832169"</f>
        <v>1551599272832169</v>
      </c>
      <c r="C1338" t="s">
        <v>40</v>
      </c>
      <c r="D1338">
        <v>5.1692479999999996</v>
      </c>
      <c r="E1338">
        <v>0.63360240000000001</v>
      </c>
      <c r="F1338" t="s">
        <v>46</v>
      </c>
      <c r="G1338">
        <v>-202.58539999999999</v>
      </c>
      <c r="H1338" s="1">
        <v>-3.3909119999999999E-6</v>
      </c>
      <c r="I1338">
        <v>362.16989999999998</v>
      </c>
      <c r="J1338">
        <v>-212.19399999999999</v>
      </c>
      <c r="K1338">
        <v>1.1216539999999999</v>
      </c>
      <c r="L1338">
        <v>367.79469999999998</v>
      </c>
      <c r="M1338">
        <v>0.99978489999999998</v>
      </c>
      <c r="N1338">
        <v>-1.9823819999999999E-2</v>
      </c>
      <c r="O1338">
        <v>-6.1176779999999997E-3</v>
      </c>
      <c r="P1338">
        <v>0.97684579999999999</v>
      </c>
      <c r="Q1338">
        <v>-0.1092817</v>
      </c>
      <c r="R1338">
        <v>-0.18393019999999999</v>
      </c>
      <c r="S1338">
        <v>2.7479710000000002</v>
      </c>
      <c r="T1338">
        <v>-0.31493529999999997</v>
      </c>
      <c r="U1338">
        <v>-1.5796509999999999</v>
      </c>
      <c r="V1338">
        <v>0.1779155</v>
      </c>
      <c r="W1338">
        <v>-8.9940499999999896E-2</v>
      </c>
      <c r="X1338">
        <v>0.97992690000000005</v>
      </c>
      <c r="Y1338">
        <v>0.49013820000000002</v>
      </c>
      <c r="Z1338">
        <v>-3.0699359999999998E-2</v>
      </c>
      <c r="AA1338">
        <v>0.87110390000000004</v>
      </c>
      <c r="AB1338">
        <v>23</v>
      </c>
      <c r="AC1338">
        <v>9.6086000000000205</v>
      </c>
      <c r="AD1338">
        <v>-1.121657390912</v>
      </c>
      <c r="AE1338">
        <v>-5.6247999999999898</v>
      </c>
      <c r="AF1338">
        <v>5.5099796485646397</v>
      </c>
      <c r="AG1338">
        <v>-1.121657390912</v>
      </c>
      <c r="AH1338">
        <v>9.5459550027248792</v>
      </c>
      <c r="AI1338">
        <v>95.810704248993702</v>
      </c>
      <c r="AJ1338">
        <v>60.006212751471303</v>
      </c>
      <c r="AK1338">
        <v>11.0789551828785</v>
      </c>
      <c r="AL1338">
        <v>95.160184244372203</v>
      </c>
      <c r="AM1338">
        <v>79.709475125715002</v>
      </c>
      <c r="AN1338">
        <v>0.99999997401205398</v>
      </c>
    </row>
    <row r="1339" spans="1:40" x14ac:dyDescent="0.25">
      <c r="A1339" t="str">
        <f>"20190303154752851"</f>
        <v>20190303154752851</v>
      </c>
      <c r="B1339" t="str">
        <f>"1551599272841925"</f>
        <v>1551599272841925</v>
      </c>
      <c r="C1339" t="s">
        <v>40</v>
      </c>
      <c r="D1339">
        <v>5.191325</v>
      </c>
      <c r="E1339">
        <v>0.63329340000000001</v>
      </c>
      <c r="F1339" t="s">
        <v>46</v>
      </c>
      <c r="G1339">
        <v>-202.45529999999999</v>
      </c>
      <c r="H1339" s="1">
        <v>-3.3411000000000001E-6</v>
      </c>
      <c r="I1339">
        <v>362.0994</v>
      </c>
      <c r="J1339">
        <v>-212.0746</v>
      </c>
      <c r="K1339">
        <v>1.121626</v>
      </c>
      <c r="L1339">
        <v>367.79379999999998</v>
      </c>
      <c r="M1339">
        <v>0.99978009999999995</v>
      </c>
      <c r="N1339">
        <v>-2.0014669999999998E-2</v>
      </c>
      <c r="O1339">
        <v>-6.2631419999999898E-3</v>
      </c>
      <c r="P1339">
        <v>0.9760934</v>
      </c>
      <c r="Q1339">
        <v>-0.10781689999999999</v>
      </c>
      <c r="R1339">
        <v>-0.18872549999999999</v>
      </c>
      <c r="S1339">
        <v>2.7347410000000001</v>
      </c>
      <c r="T1339">
        <v>-0.3149769</v>
      </c>
      <c r="U1339">
        <v>-1.599335</v>
      </c>
      <c r="V1339">
        <v>0.1825686</v>
      </c>
      <c r="W1339">
        <v>-8.8315669999999999E-2</v>
      </c>
      <c r="X1339">
        <v>0.97921860000000005</v>
      </c>
      <c r="Y1339">
        <v>0.49644830000000001</v>
      </c>
      <c r="Z1339">
        <v>-3.1218829999999999E-2</v>
      </c>
      <c r="AA1339">
        <v>0.86750479999999996</v>
      </c>
      <c r="AB1339">
        <v>23</v>
      </c>
      <c r="AC1339">
        <v>9.6193000000000097</v>
      </c>
      <c r="AD1339">
        <v>-1.1216293411</v>
      </c>
      <c r="AE1339">
        <v>-5.6943999999999697</v>
      </c>
      <c r="AF1339">
        <v>5.5778718543942496</v>
      </c>
      <c r="AG1339">
        <v>-1.1216293411</v>
      </c>
      <c r="AH1339">
        <v>9.5585489834110309</v>
      </c>
      <c r="AI1339">
        <v>95.787108831267503</v>
      </c>
      <c r="AJ1339">
        <v>59.734388156120197</v>
      </c>
      <c r="AK1339">
        <v>11.1236938770863</v>
      </c>
      <c r="AL1339">
        <v>95.066716166455393</v>
      </c>
      <c r="AM1339">
        <v>79.438852447933897</v>
      </c>
      <c r="AN1339">
        <v>1.0000000089297301</v>
      </c>
    </row>
    <row r="1340" spans="1:40" x14ac:dyDescent="0.25">
      <c r="A1340" t="str">
        <f>"20190303154752873"</f>
        <v>20190303154752873</v>
      </c>
      <c r="B1340" t="str">
        <f>"1551599272861954"</f>
        <v>1551599272861954</v>
      </c>
      <c r="C1340" t="s">
        <v>40</v>
      </c>
      <c r="D1340">
        <v>5.183414</v>
      </c>
      <c r="E1340">
        <v>0.63273219999999997</v>
      </c>
      <c r="F1340" t="s">
        <v>46</v>
      </c>
      <c r="G1340">
        <v>-202.2722</v>
      </c>
      <c r="H1340" s="1">
        <v>-3.2693819999999999E-6</v>
      </c>
      <c r="I1340">
        <v>362.00709999999998</v>
      </c>
      <c r="J1340">
        <v>-211.85429999999999</v>
      </c>
      <c r="K1340">
        <v>1.121561</v>
      </c>
      <c r="L1340">
        <v>367.7921</v>
      </c>
      <c r="M1340">
        <v>0.99977210000000005</v>
      </c>
      <c r="N1340">
        <v>-2.0306640000000001E-2</v>
      </c>
      <c r="O1340">
        <v>-6.5897809999999899E-3</v>
      </c>
      <c r="P1340">
        <v>0.9755779</v>
      </c>
      <c r="Q1340">
        <v>-0.1066563</v>
      </c>
      <c r="R1340">
        <v>-0.19202169999999999</v>
      </c>
      <c r="S1340">
        <v>2.7276310000000001</v>
      </c>
      <c r="T1340">
        <v>-0.31210769999999999</v>
      </c>
      <c r="U1340">
        <v>-1.6101989999999999</v>
      </c>
      <c r="V1340">
        <v>0.18553819999999999</v>
      </c>
      <c r="W1340">
        <v>-8.6903449999999993E-2</v>
      </c>
      <c r="X1340">
        <v>0.97878670000000001</v>
      </c>
      <c r="Y1340">
        <v>0.49972929999999999</v>
      </c>
      <c r="Z1340">
        <v>-3.1285100000000003E-2</v>
      </c>
      <c r="AA1340">
        <v>0.86561639999999995</v>
      </c>
      <c r="AB1340">
        <v>23</v>
      </c>
      <c r="AC1340">
        <v>9.5820999999999898</v>
      </c>
      <c r="AD1340">
        <v>-1.121564269382</v>
      </c>
      <c r="AE1340">
        <v>-5.7850000000000197</v>
      </c>
      <c r="AF1340">
        <v>5.6648393853209003</v>
      </c>
      <c r="AG1340">
        <v>-1.121564269382</v>
      </c>
      <c r="AH1340">
        <v>9.5243916609522898</v>
      </c>
      <c r="AI1340">
        <v>95.779143128708</v>
      </c>
      <c r="AJ1340">
        <v>59.257012565805198</v>
      </c>
      <c r="AK1340">
        <v>11.138327889905799</v>
      </c>
      <c r="AL1340">
        <v>94.985489540609805</v>
      </c>
      <c r="AM1340">
        <v>79.266400931234003</v>
      </c>
      <c r="AN1340">
        <v>1.0000000186890099</v>
      </c>
    </row>
    <row r="1341" spans="1:40" x14ac:dyDescent="0.25">
      <c r="A1341" t="str">
        <f>"20190303154752896"</f>
        <v>20190303154752896</v>
      </c>
      <c r="B1341" t="str">
        <f>"1551599272892210"</f>
        <v>1551599272892210</v>
      </c>
      <c r="C1341" t="s">
        <v>40</v>
      </c>
      <c r="D1341">
        <v>5.1668459999999996</v>
      </c>
      <c r="E1341">
        <v>0.63234480000000004</v>
      </c>
      <c r="F1341" t="s">
        <v>46</v>
      </c>
      <c r="G1341">
        <v>-201.97579999999999</v>
      </c>
      <c r="H1341" s="1">
        <v>-3.13647E-6</v>
      </c>
      <c r="I1341">
        <v>361.93380000000002</v>
      </c>
      <c r="J1341">
        <v>-211.6267</v>
      </c>
      <c r="K1341">
        <v>1.1214580000000001</v>
      </c>
      <c r="L1341">
        <v>367.79</v>
      </c>
      <c r="M1341">
        <v>0.99976509999999996</v>
      </c>
      <c r="N1341">
        <v>-2.0502260000000001E-2</v>
      </c>
      <c r="O1341">
        <v>-7.0296500000000001E-3</v>
      </c>
      <c r="P1341">
        <v>0.97498640000000003</v>
      </c>
      <c r="Q1341">
        <v>-0.1074657</v>
      </c>
      <c r="R1341">
        <v>-0.19455749999999999</v>
      </c>
      <c r="S1341">
        <v>2.7234039999999999</v>
      </c>
      <c r="T1341">
        <v>-0.30920409999999998</v>
      </c>
      <c r="U1341">
        <v>-1.615051</v>
      </c>
      <c r="V1341">
        <v>0.187634</v>
      </c>
      <c r="W1341">
        <v>-8.7562470000000003E-2</v>
      </c>
      <c r="X1341">
        <v>0.97832830000000004</v>
      </c>
      <c r="Y1341">
        <v>0.50111070000000002</v>
      </c>
      <c r="Z1341">
        <v>-3.117704E-2</v>
      </c>
      <c r="AA1341">
        <v>0.86482139999999996</v>
      </c>
      <c r="AB1341">
        <v>23</v>
      </c>
      <c r="AC1341">
        <v>9.6509</v>
      </c>
      <c r="AD1341">
        <v>-1.12146113647</v>
      </c>
      <c r="AE1341">
        <v>-5.8562000000000003</v>
      </c>
      <c r="AF1341">
        <v>5.7316321727348098</v>
      </c>
      <c r="AG1341">
        <v>-1.12146113647</v>
      </c>
      <c r="AH1341">
        <v>9.5971216660762799</v>
      </c>
      <c r="AI1341">
        <v>95.728975464681696</v>
      </c>
      <c r="AJ1341">
        <v>59.153334062985202</v>
      </c>
      <c r="AK1341">
        <v>11.234501623018801</v>
      </c>
      <c r="AL1341">
        <v>95.023393273870596</v>
      </c>
      <c r="AM1341">
        <v>79.143055981001297</v>
      </c>
      <c r="AN1341">
        <v>0.99999998334469498</v>
      </c>
    </row>
    <row r="1342" spans="1:40" x14ac:dyDescent="0.25">
      <c r="A1342" t="str">
        <f>"20190303154752918"</f>
        <v>20190303154752918</v>
      </c>
      <c r="B1342" t="str">
        <f>"1551599272911729"</f>
        <v>1551599272911729</v>
      </c>
      <c r="C1342" t="s">
        <v>40</v>
      </c>
      <c r="D1342">
        <v>5.1811930000000004</v>
      </c>
      <c r="E1342">
        <v>0.63179510000000005</v>
      </c>
      <c r="F1342" t="s">
        <v>46</v>
      </c>
      <c r="G1342">
        <v>-201.50640000000001</v>
      </c>
      <c r="H1342" s="1">
        <v>-2.9372879999999999E-6</v>
      </c>
      <c r="I1342">
        <v>361.76679999999999</v>
      </c>
      <c r="J1342">
        <v>-211.40440000000001</v>
      </c>
      <c r="K1342">
        <v>1.1213310000000001</v>
      </c>
      <c r="L1342">
        <v>367.78789999999998</v>
      </c>
      <c r="M1342">
        <v>0.99975939999999996</v>
      </c>
      <c r="N1342">
        <v>-2.0595220000000001E-2</v>
      </c>
      <c r="O1342">
        <v>-7.5690289999999997E-3</v>
      </c>
      <c r="P1342">
        <v>0.9741187</v>
      </c>
      <c r="Q1342">
        <v>-0.109928399999999</v>
      </c>
      <c r="R1342">
        <v>-0.19750680000000001</v>
      </c>
      <c r="S1342">
        <v>2.720612</v>
      </c>
      <c r="T1342">
        <v>-0.30147760000000001</v>
      </c>
      <c r="U1342">
        <v>-1.619202</v>
      </c>
      <c r="V1342">
        <v>0.1900452</v>
      </c>
      <c r="W1342">
        <v>-8.9984359999999999E-2</v>
      </c>
      <c r="X1342">
        <v>0.97764289999999998</v>
      </c>
      <c r="Y1342">
        <v>0.50212939999999995</v>
      </c>
      <c r="Z1342">
        <v>-3.060175E-2</v>
      </c>
      <c r="AA1342">
        <v>0.86425090000000004</v>
      </c>
      <c r="AB1342">
        <v>22</v>
      </c>
      <c r="AC1342">
        <v>9.8979999999999908</v>
      </c>
      <c r="AD1342">
        <v>-1.12133393728799</v>
      </c>
      <c r="AE1342">
        <v>-6.0210999999999899</v>
      </c>
      <c r="AF1342">
        <v>5.8908091438834003</v>
      </c>
      <c r="AG1342">
        <v>-1.12133393728799</v>
      </c>
      <c r="AH1342">
        <v>9.8510171082560003</v>
      </c>
      <c r="AI1342">
        <v>95.579765084721998</v>
      </c>
      <c r="AJ1342">
        <v>59.121000826222897</v>
      </c>
      <c r="AK1342">
        <v>11.53263023927</v>
      </c>
      <c r="AL1342">
        <v>95.162707326280497</v>
      </c>
      <c r="AM1342">
        <v>78.999397392482294</v>
      </c>
      <c r="AN1342">
        <v>1.00000000150402</v>
      </c>
    </row>
    <row r="1343" spans="1:40" x14ac:dyDescent="0.25">
      <c r="A1343" t="str">
        <f>"20190303154752940"</f>
        <v>20190303154752940</v>
      </c>
      <c r="B1343" t="str">
        <f>"1551599272932228"</f>
        <v>1551599272932228</v>
      </c>
      <c r="C1343" t="s">
        <v>40</v>
      </c>
      <c r="D1343">
        <v>5.2035309999999999</v>
      </c>
      <c r="E1343">
        <v>0.631243</v>
      </c>
      <c r="F1343" t="s">
        <v>46</v>
      </c>
      <c r="G1343">
        <v>-201.69280000000001</v>
      </c>
      <c r="H1343" s="1">
        <v>-2.983295E-6</v>
      </c>
      <c r="I1343">
        <v>361.98250000000002</v>
      </c>
      <c r="J1343">
        <v>-211.19229999999999</v>
      </c>
      <c r="K1343">
        <v>1.1211949999999999</v>
      </c>
      <c r="L1343">
        <v>367.78550000000001</v>
      </c>
      <c r="M1343">
        <v>0.99975440000000004</v>
      </c>
      <c r="N1343">
        <v>-2.0593670000000001E-2</v>
      </c>
      <c r="O1343">
        <v>-8.2029930000000004E-3</v>
      </c>
      <c r="P1343">
        <v>0.97330150000000004</v>
      </c>
      <c r="Q1343">
        <v>-0.1123788</v>
      </c>
      <c r="R1343">
        <v>-0.2001395</v>
      </c>
      <c r="S1343">
        <v>2.7152560000000001</v>
      </c>
      <c r="T1343">
        <v>-0.31351479999999998</v>
      </c>
      <c r="U1343">
        <v>-1.623138</v>
      </c>
      <c r="V1343">
        <v>0.1920463</v>
      </c>
      <c r="W1343">
        <v>-9.2487009999999995E-2</v>
      </c>
      <c r="X1343">
        <v>0.9770181</v>
      </c>
      <c r="Y1343">
        <v>0.50304090000000001</v>
      </c>
      <c r="Z1343">
        <v>-3.1631670000000001E-2</v>
      </c>
      <c r="AA1343">
        <v>0.863683599999999</v>
      </c>
      <c r="AB1343">
        <v>22</v>
      </c>
      <c r="AC1343">
        <v>9.4994999999999798</v>
      </c>
      <c r="AD1343">
        <v>-1.1211979832950001</v>
      </c>
      <c r="AE1343">
        <v>-5.8029999999999902</v>
      </c>
      <c r="AF1343">
        <v>5.6673699962837398</v>
      </c>
      <c r="AG1343">
        <v>-1.1211979832950001</v>
      </c>
      <c r="AH1343">
        <v>9.4509155121487503</v>
      </c>
      <c r="AI1343">
        <v>95.809438868404698</v>
      </c>
      <c r="AJ1343">
        <v>59.050417953540702</v>
      </c>
      <c r="AK1343">
        <v>11.076821367626</v>
      </c>
      <c r="AL1343">
        <v>95.306699208642499</v>
      </c>
      <c r="AM1343">
        <v>78.879504577919903</v>
      </c>
      <c r="AN1343">
        <v>0.99999999804502004</v>
      </c>
    </row>
    <row r="1344" spans="1:40" x14ac:dyDescent="0.25">
      <c r="A1344" t="str">
        <f>"20190303154752963"</f>
        <v>20190303154752963</v>
      </c>
      <c r="B1344" t="str">
        <f>"1551599272951746"</f>
        <v>1551599272951746</v>
      </c>
      <c r="C1344" t="s">
        <v>40</v>
      </c>
      <c r="D1344">
        <v>5.5582469999999997</v>
      </c>
      <c r="E1344">
        <v>0.63116680000000003</v>
      </c>
      <c r="F1344" t="s">
        <v>46</v>
      </c>
      <c r="G1344">
        <v>-201.92420000000001</v>
      </c>
      <c r="H1344" s="1">
        <v>-3.0457560000000002E-6</v>
      </c>
      <c r="I1344">
        <v>362.22579999999999</v>
      </c>
      <c r="J1344">
        <v>-210.9666</v>
      </c>
      <c r="K1344">
        <v>1.121049</v>
      </c>
      <c r="L1344">
        <v>367.78269999999998</v>
      </c>
      <c r="M1344">
        <v>0.99974940000000001</v>
      </c>
      <c r="N1344">
        <v>-2.0490009999999999E-2</v>
      </c>
      <c r="O1344">
        <v>-9.0319330000000007E-3</v>
      </c>
      <c r="P1344">
        <v>0.97297250000000002</v>
      </c>
      <c r="Q1344">
        <v>-0.1129349</v>
      </c>
      <c r="R1344">
        <v>-0.2014213</v>
      </c>
      <c r="S1344">
        <v>2.7101289999999998</v>
      </c>
      <c r="T1344">
        <v>-0.3278548</v>
      </c>
      <c r="U1344">
        <v>-1.625732</v>
      </c>
      <c r="V1344">
        <v>0.1925019</v>
      </c>
      <c r="W1344">
        <v>-9.3189809999999998E-2</v>
      </c>
      <c r="X1344">
        <v>0.97686170000000005</v>
      </c>
      <c r="Y1344">
        <v>0.50339719999999999</v>
      </c>
      <c r="Z1344">
        <v>-3.2768449999999998E-2</v>
      </c>
      <c r="AA1344">
        <v>0.86343349999999996</v>
      </c>
      <c r="AB1344">
        <v>22</v>
      </c>
      <c r="AC1344">
        <v>9.0423999999999793</v>
      </c>
      <c r="AD1344">
        <v>-1.121052045756</v>
      </c>
      <c r="AE1344">
        <v>-5.5568999999999802</v>
      </c>
      <c r="AF1344">
        <v>5.4145759542541798</v>
      </c>
      <c r="AG1344">
        <v>-1.121052045756</v>
      </c>
      <c r="AH1344">
        <v>8.9919093966271593</v>
      </c>
      <c r="AI1344">
        <v>96.096343081382599</v>
      </c>
      <c r="AJ1344">
        <v>58.945294561590302</v>
      </c>
      <c r="AK1344">
        <v>10.5559852714388</v>
      </c>
      <c r="AL1344">
        <v>95.347141058395195</v>
      </c>
      <c r="AM1344">
        <v>78.852042906442705</v>
      </c>
      <c r="AN1344">
        <v>1.0000000515591601</v>
      </c>
    </row>
    <row r="1345" spans="1:40" x14ac:dyDescent="0.25">
      <c r="A1345" t="str">
        <f>"20190303154752984"</f>
        <v>20190303154752984</v>
      </c>
      <c r="B1345" t="str">
        <f>"1551599272982001"</f>
        <v>1551599272982001</v>
      </c>
      <c r="C1345" t="s">
        <v>40</v>
      </c>
      <c r="D1345">
        <v>5.1469230000000001</v>
      </c>
      <c r="E1345">
        <v>0.58297730000000003</v>
      </c>
      <c r="F1345" t="s">
        <v>46</v>
      </c>
      <c r="G1345">
        <v>-201.83150000000001</v>
      </c>
      <c r="H1345" s="1">
        <v>-2.9854249999999999E-6</v>
      </c>
      <c r="I1345">
        <v>362.2876</v>
      </c>
      <c r="J1345">
        <v>-210.7551</v>
      </c>
      <c r="K1345">
        <v>1.1209169999999999</v>
      </c>
      <c r="L1345">
        <v>367.77969999999999</v>
      </c>
      <c r="M1345">
        <v>0.99974439999999998</v>
      </c>
      <c r="N1345">
        <v>-2.030305E-2</v>
      </c>
      <c r="O1345">
        <v>-9.9548320000000003E-3</v>
      </c>
      <c r="P1345">
        <v>0.97279780000000005</v>
      </c>
      <c r="Q1345">
        <v>-0.1123025</v>
      </c>
      <c r="R1345">
        <v>-0.2026152</v>
      </c>
      <c r="S1345">
        <v>2.7075960000000001</v>
      </c>
      <c r="T1345">
        <v>-0.33227410000000002</v>
      </c>
      <c r="U1345">
        <v>-1.6287229999999999</v>
      </c>
      <c r="V1345">
        <v>0.19277839999999999</v>
      </c>
      <c r="W1345">
        <v>-9.2781569999999994E-2</v>
      </c>
      <c r="X1345">
        <v>0.97684599999999999</v>
      </c>
      <c r="Y1345">
        <v>0.50358380000000003</v>
      </c>
      <c r="Z1345">
        <v>-3.3020910000000001E-2</v>
      </c>
      <c r="AA1345">
        <v>0.8633151</v>
      </c>
      <c r="AB1345">
        <v>22</v>
      </c>
      <c r="AC1345">
        <v>8.9235999999999898</v>
      </c>
      <c r="AD1345">
        <v>-1.120919985425</v>
      </c>
      <c r="AE1345">
        <v>-5.49209999999999</v>
      </c>
      <c r="AF1345">
        <v>5.34184533370426</v>
      </c>
      <c r="AG1345">
        <v>-1.120919985425</v>
      </c>
      <c r="AH1345">
        <v>8.8762633957386008</v>
      </c>
      <c r="AI1345">
        <v>96.175382262677999</v>
      </c>
      <c r="AJ1345">
        <v>58.959949671006598</v>
      </c>
      <c r="AK1345">
        <v>10.420164348678499</v>
      </c>
      <c r="AL1345">
        <v>95.323649020418202</v>
      </c>
      <c r="AM1345">
        <v>78.836257537637593</v>
      </c>
      <c r="AN1345">
        <v>1.0000000194771099</v>
      </c>
    </row>
    <row r="1346" spans="1:40" x14ac:dyDescent="0.25">
      <c r="A1346" t="str">
        <f>"20190303154753006"</f>
        <v>20190303154753006</v>
      </c>
      <c r="B1346" t="str">
        <f>"1551599273001521"</f>
        <v>1551599273001521</v>
      </c>
      <c r="C1346" t="s">
        <v>40</v>
      </c>
      <c r="D1346">
        <v>5.2028670000000004</v>
      </c>
      <c r="E1346">
        <v>0.52390209999999904</v>
      </c>
      <c r="F1346" t="s">
        <v>46</v>
      </c>
      <c r="G1346">
        <v>-200.6849</v>
      </c>
      <c r="H1346" s="1">
        <v>-2.097145E-6</v>
      </c>
      <c r="I1346">
        <v>363.238</v>
      </c>
      <c r="J1346">
        <v>-210.5377</v>
      </c>
      <c r="K1346">
        <v>1.120779</v>
      </c>
      <c r="L1346">
        <v>367.77640000000002</v>
      </c>
      <c r="M1346">
        <v>0.99973820000000002</v>
      </c>
      <c r="N1346">
        <v>-2.004939E-2</v>
      </c>
      <c r="O1346">
        <v>-1.1027530000000001E-2</v>
      </c>
      <c r="P1346">
        <v>0.97250170000000002</v>
      </c>
      <c r="Q1346">
        <v>-0.11147170000000001</v>
      </c>
      <c r="R1346">
        <v>-0.204486</v>
      </c>
      <c r="S1346">
        <v>2.786362</v>
      </c>
      <c r="T1346">
        <v>-0.31015340000000002</v>
      </c>
      <c r="U1346">
        <v>-1.256683</v>
      </c>
      <c r="V1346">
        <v>0.1935887</v>
      </c>
      <c r="W1346">
        <v>-9.2240260000000004E-2</v>
      </c>
      <c r="X1346">
        <v>0.97673699999999997</v>
      </c>
      <c r="Y1346">
        <v>0.3986169</v>
      </c>
      <c r="Z1346">
        <v>-2.433981E-2</v>
      </c>
      <c r="AA1346">
        <v>0.91679449999999996</v>
      </c>
      <c r="AB1346">
        <v>22</v>
      </c>
      <c r="AC1346">
        <v>9.8528000000000002</v>
      </c>
      <c r="AD1346">
        <v>-1.1207810971450001</v>
      </c>
      <c r="AE1346">
        <v>-4.5383999999999602</v>
      </c>
      <c r="AF1346">
        <v>4.3826661096930204</v>
      </c>
      <c r="AG1346">
        <v>-1.1207810971450001</v>
      </c>
      <c r="AH1346">
        <v>9.7976702307518693</v>
      </c>
      <c r="AI1346">
        <v>95.961315872974495</v>
      </c>
      <c r="AJ1346">
        <v>65.900212371948498</v>
      </c>
      <c r="AK1346">
        <v>10.791582573808601</v>
      </c>
      <c r="AL1346">
        <v>95.292500724756707</v>
      </c>
      <c r="AM1346">
        <v>78.789299902084906</v>
      </c>
      <c r="AN1346">
        <v>1.0000000087507701</v>
      </c>
    </row>
    <row r="1347" spans="1:40" x14ac:dyDescent="0.25">
      <c r="A1347" t="str">
        <f>"20190303154753028"</f>
        <v>20190303154753028</v>
      </c>
      <c r="B1347" t="str">
        <f>"1551599273022021"</f>
        <v>1551599273022021</v>
      </c>
      <c r="C1347" t="s">
        <v>40</v>
      </c>
      <c r="D1347">
        <v>5.1815920000000002</v>
      </c>
      <c r="E1347">
        <v>0.52268820000000005</v>
      </c>
      <c r="F1347" t="s">
        <v>46</v>
      </c>
      <c r="G1347">
        <v>-198.78469999999999</v>
      </c>
      <c r="H1347" s="1">
        <v>-9.2129249999999995E-6</v>
      </c>
      <c r="I1347">
        <v>364.50990000000002</v>
      </c>
      <c r="J1347">
        <v>-210.32599999999999</v>
      </c>
      <c r="K1347">
        <v>1.1206609999999999</v>
      </c>
      <c r="L1347">
        <v>367.77269999999999</v>
      </c>
      <c r="M1347">
        <v>0.99973009999999995</v>
      </c>
      <c r="N1347">
        <v>-1.9779930000000001E-2</v>
      </c>
      <c r="O1347">
        <v>-1.219252E-2</v>
      </c>
      <c r="P1347">
        <v>0.9720316</v>
      </c>
      <c r="Q1347">
        <v>-0.1106753</v>
      </c>
      <c r="R1347">
        <v>-0.20713799999999999</v>
      </c>
      <c r="S1347">
        <v>2.8847049999999999</v>
      </c>
      <c r="T1347">
        <v>-0.27509280000000003</v>
      </c>
      <c r="U1347">
        <v>-0.80172730000000003</v>
      </c>
      <c r="V1347">
        <v>0.1950953</v>
      </c>
      <c r="W1347">
        <v>-9.1747960000000003E-2</v>
      </c>
      <c r="X1347">
        <v>0.97648360000000001</v>
      </c>
      <c r="Y1347">
        <v>0.2547276</v>
      </c>
      <c r="Z1347">
        <v>-1.356543E-2</v>
      </c>
      <c r="AA1347">
        <v>0.96691769999999999</v>
      </c>
      <c r="AB1347">
        <v>22</v>
      </c>
      <c r="AC1347">
        <v>11.5413</v>
      </c>
      <c r="AD1347">
        <v>-1.1206702129249999</v>
      </c>
      <c r="AE1347">
        <v>-3.2627999999999702</v>
      </c>
      <c r="AF1347">
        <v>3.0947923467213299</v>
      </c>
      <c r="AG1347">
        <v>-1.1206702129249999</v>
      </c>
      <c r="AH1347">
        <v>11.4800018573905</v>
      </c>
      <c r="AI1347">
        <v>95.384476317014901</v>
      </c>
      <c r="AJ1347">
        <v>74.912793828904697</v>
      </c>
      <c r="AK1347">
        <v>11.942532563956</v>
      </c>
      <c r="AL1347">
        <v>95.264173714984693</v>
      </c>
      <c r="AM1347">
        <v>78.701431864265402</v>
      </c>
      <c r="AN1347">
        <v>1.0000000426575999</v>
      </c>
    </row>
    <row r="1348" spans="1:40" x14ac:dyDescent="0.25">
      <c r="A1348" t="str">
        <f>"20190303154753051"</f>
        <v>20190303154753051</v>
      </c>
      <c r="B1348" t="str">
        <f>"1551599273041538"</f>
        <v>1551599273041538</v>
      </c>
      <c r="C1348" t="s">
        <v>40</v>
      </c>
      <c r="D1348">
        <v>5.152736</v>
      </c>
      <c r="E1348">
        <v>0.52241280000000001</v>
      </c>
      <c r="F1348" t="s">
        <v>46</v>
      </c>
      <c r="G1348">
        <v>-198.86779999999999</v>
      </c>
      <c r="H1348" s="1">
        <v>-9.2311670000000004E-6</v>
      </c>
      <c r="I1348">
        <v>364.5933</v>
      </c>
      <c r="J1348">
        <v>-210.1061</v>
      </c>
      <c r="K1348">
        <v>1.120547</v>
      </c>
      <c r="L1348">
        <v>367.76839999999999</v>
      </c>
      <c r="M1348">
        <v>0.99971860000000001</v>
      </c>
      <c r="N1348">
        <v>-1.9480529999999999E-2</v>
      </c>
      <c r="O1348">
        <v>-1.3540989999999999E-2</v>
      </c>
      <c r="P1348">
        <v>0.97148809999999997</v>
      </c>
      <c r="Q1348">
        <v>-0.10939260000000001</v>
      </c>
      <c r="R1348">
        <v>-0.2103428</v>
      </c>
      <c r="S1348">
        <v>2.883667</v>
      </c>
      <c r="T1348">
        <v>-0.2820376</v>
      </c>
      <c r="U1348">
        <v>-0.80014039999999997</v>
      </c>
      <c r="V1348">
        <v>0.19697890000000001</v>
      </c>
      <c r="W1348">
        <v>-9.0800329999999999E-2</v>
      </c>
      <c r="X1348">
        <v>0.97619400000000001</v>
      </c>
      <c r="Y1348">
        <v>0.2529769</v>
      </c>
      <c r="Z1348">
        <v>-1.359344E-2</v>
      </c>
      <c r="AA1348">
        <v>0.96737680000000004</v>
      </c>
      <c r="AB1348">
        <v>22</v>
      </c>
      <c r="AC1348">
        <v>11.238300000000001</v>
      </c>
      <c r="AD1348">
        <v>-1.1205562311670001</v>
      </c>
      <c r="AE1348">
        <v>-3.17509999999998</v>
      </c>
      <c r="AF1348">
        <v>2.9950272158390301</v>
      </c>
      <c r="AG1348">
        <v>-1.1205562311670001</v>
      </c>
      <c r="AH1348">
        <v>11.177362271851299</v>
      </c>
      <c r="AI1348">
        <v>95.531056897273601</v>
      </c>
      <c r="AJ1348">
        <v>74.999703371326802</v>
      </c>
      <c r="AK1348">
        <v>11.6258015485828</v>
      </c>
      <c r="AL1348">
        <v>95.209650855543003</v>
      </c>
      <c r="AM1348">
        <v>78.591897683853702</v>
      </c>
      <c r="AN1348">
        <v>1.0000000563046501</v>
      </c>
    </row>
    <row r="1349" spans="1:40" x14ac:dyDescent="0.25">
      <c r="A1349" t="str">
        <f>"20190303154753074"</f>
        <v>20190303154753074</v>
      </c>
      <c r="B1349" t="str">
        <f>"1551599273062033"</f>
        <v>1551599273062033</v>
      </c>
      <c r="C1349" t="s">
        <v>40</v>
      </c>
      <c r="D1349">
        <v>5.1834749999999996</v>
      </c>
      <c r="E1349">
        <v>0.52189390000000002</v>
      </c>
      <c r="F1349" t="s">
        <v>46</v>
      </c>
      <c r="G1349">
        <v>-198.39089999999999</v>
      </c>
      <c r="H1349" s="1">
        <v>-9.0731889999999997E-6</v>
      </c>
      <c r="I1349">
        <v>364.48590000000002</v>
      </c>
      <c r="J1349">
        <v>-209.8895</v>
      </c>
      <c r="K1349">
        <v>1.120441</v>
      </c>
      <c r="L1349">
        <v>367.7638</v>
      </c>
      <c r="M1349">
        <v>0.99970369999999997</v>
      </c>
      <c r="N1349">
        <v>-1.9167170000000001E-2</v>
      </c>
      <c r="O1349">
        <v>-1.5007899999999999E-2</v>
      </c>
      <c r="P1349">
        <v>0.97056690000000001</v>
      </c>
      <c r="Q1349">
        <v>-0.1089668</v>
      </c>
      <c r="R1349">
        <v>-0.21476999999999999</v>
      </c>
      <c r="S1349">
        <v>2.8821409999999998</v>
      </c>
      <c r="T1349">
        <v>-0.27567730000000001</v>
      </c>
      <c r="U1349">
        <v>-0.80755619999999995</v>
      </c>
      <c r="V1349">
        <v>0.1999734</v>
      </c>
      <c r="W1349">
        <v>-9.073386E-2</v>
      </c>
      <c r="X1349">
        <v>0.97559110000000004</v>
      </c>
      <c r="Y1349">
        <v>0.25405430000000001</v>
      </c>
      <c r="Z1349">
        <v>-1.325955E-2</v>
      </c>
      <c r="AA1349">
        <v>0.96709909999999999</v>
      </c>
      <c r="AB1349">
        <v>22</v>
      </c>
      <c r="AC1349">
        <v>11.4986</v>
      </c>
      <c r="AD1349">
        <v>-1.1204500731889999</v>
      </c>
      <c r="AE1349">
        <v>-3.2778999999999798</v>
      </c>
      <c r="AF1349">
        <v>3.0779009155307899</v>
      </c>
      <c r="AG1349">
        <v>-1.1204500731889999</v>
      </c>
      <c r="AH1349">
        <v>11.4459962102001</v>
      </c>
      <c r="AI1349">
        <v>95.400233798642205</v>
      </c>
      <c r="AJ1349">
        <v>74.948845510249001</v>
      </c>
      <c r="AK1349">
        <v>11.9054488221255</v>
      </c>
      <c r="AL1349">
        <v>95.205826943461304</v>
      </c>
      <c r="AM1349">
        <v>78.416157425007498</v>
      </c>
      <c r="AN1349">
        <v>0.99999999422863395</v>
      </c>
    </row>
    <row r="1350" spans="1:40" x14ac:dyDescent="0.25">
      <c r="A1350" t="str">
        <f>"20190303154753097"</f>
        <v>20190303154753097</v>
      </c>
      <c r="B1350" t="str">
        <f>"1551599273092291"</f>
        <v>1551599273092291</v>
      </c>
      <c r="C1350" t="s">
        <v>40</v>
      </c>
      <c r="D1350">
        <v>5.2291049999999997</v>
      </c>
      <c r="E1350">
        <v>0.52134170000000002</v>
      </c>
      <c r="F1350" t="s">
        <v>46</v>
      </c>
      <c r="G1350">
        <v>-198.3707</v>
      </c>
      <c r="H1350" s="1">
        <v>-9.0640990000000008E-6</v>
      </c>
      <c r="I1350">
        <v>364.49790000000002</v>
      </c>
      <c r="J1350">
        <v>-209.67179999999999</v>
      </c>
      <c r="K1350">
        <v>1.120322</v>
      </c>
      <c r="L1350">
        <v>367.75869999999998</v>
      </c>
      <c r="M1350">
        <v>0.99968420000000002</v>
      </c>
      <c r="N1350">
        <v>-1.8849709999999999E-2</v>
      </c>
      <c r="O1350">
        <v>-1.6618589999999999E-2</v>
      </c>
      <c r="P1350">
        <v>0.96967729999999996</v>
      </c>
      <c r="Q1350">
        <v>-0.1082664</v>
      </c>
      <c r="R1350">
        <v>-0.21909919999999999</v>
      </c>
      <c r="S1350">
        <v>2.8789060000000002</v>
      </c>
      <c r="T1350">
        <v>-0.28003499999999998</v>
      </c>
      <c r="U1350">
        <v>-0.81625369999999997</v>
      </c>
      <c r="V1350">
        <v>0.20273079999999999</v>
      </c>
      <c r="W1350">
        <v>-9.0398870000000006E-2</v>
      </c>
      <c r="X1350">
        <v>0.97505299999999995</v>
      </c>
      <c r="Y1350">
        <v>0.25544919999999999</v>
      </c>
      <c r="Z1350">
        <v>-1.3343509999999999E-2</v>
      </c>
      <c r="AA1350">
        <v>0.96673039999999999</v>
      </c>
      <c r="AB1350">
        <v>21</v>
      </c>
      <c r="AC1350">
        <v>11.3010999999999</v>
      </c>
      <c r="AD1350">
        <v>-1.1203310640989901</v>
      </c>
      <c r="AE1350">
        <v>-3.2607999999999602</v>
      </c>
      <c r="AF1350">
        <v>3.0448834885680198</v>
      </c>
      <c r="AG1350">
        <v>-1.1203310640989901</v>
      </c>
      <c r="AH1350">
        <v>11.251659066445701</v>
      </c>
      <c r="AI1350">
        <v>95.490013511564598</v>
      </c>
      <c r="AJ1350">
        <v>74.857512464014803</v>
      </c>
      <c r="AK1350">
        <v>11.7100934624651</v>
      </c>
      <c r="AL1350">
        <v>95.186553974293204</v>
      </c>
      <c r="AM1350">
        <v>78.254535108605594</v>
      </c>
      <c r="AN1350">
        <v>1.00000004288745</v>
      </c>
    </row>
    <row r="1351" spans="1:40" x14ac:dyDescent="0.25">
      <c r="A1351" t="str">
        <f>"20190303154753119"</f>
        <v>20190303154753119</v>
      </c>
      <c r="B1351" t="str">
        <f>"1551599273111810"</f>
        <v>1551599273111810</v>
      </c>
      <c r="C1351" t="s">
        <v>40</v>
      </c>
      <c r="D1351">
        <v>5.2214919999999996</v>
      </c>
      <c r="E1351">
        <v>0.52119229999999905</v>
      </c>
      <c r="F1351" t="s">
        <v>46</v>
      </c>
      <c r="G1351">
        <v>-198.334</v>
      </c>
      <c r="H1351" s="1">
        <v>-9.0495709999999996E-6</v>
      </c>
      <c r="I1351">
        <v>364.50630000000001</v>
      </c>
      <c r="J1351">
        <v>-209.46360000000001</v>
      </c>
      <c r="K1351">
        <v>1.1202179999999999</v>
      </c>
      <c r="L1351">
        <v>367.75330000000002</v>
      </c>
      <c r="M1351">
        <v>0.99966060000000001</v>
      </c>
      <c r="N1351">
        <v>-1.855238E-2</v>
      </c>
      <c r="O1351">
        <v>-1.828755E-2</v>
      </c>
      <c r="P1351">
        <v>0.96860000000000002</v>
      </c>
      <c r="Q1351">
        <v>-0.1086136</v>
      </c>
      <c r="R1351">
        <v>-0.2236455</v>
      </c>
      <c r="S1351">
        <v>2.8756560000000002</v>
      </c>
      <c r="T1351">
        <v>-0.28415620000000003</v>
      </c>
      <c r="U1351">
        <v>-0.82492069999999995</v>
      </c>
      <c r="V1351">
        <v>0.2056518</v>
      </c>
      <c r="W1351">
        <v>-9.1095750000000003E-2</v>
      </c>
      <c r="X1351">
        <v>0.97437609999999997</v>
      </c>
      <c r="Y1351">
        <v>0.25678230000000002</v>
      </c>
      <c r="Z1351">
        <v>-1.340946E-2</v>
      </c>
      <c r="AA1351">
        <v>0.96637620000000002</v>
      </c>
      <c r="AB1351">
        <v>21</v>
      </c>
      <c r="AC1351">
        <v>11.1296</v>
      </c>
      <c r="AD1351">
        <v>-1.1202270495709901</v>
      </c>
      <c r="AE1351">
        <v>-3.2470000000000101</v>
      </c>
      <c r="AF1351">
        <v>3.0147419582269799</v>
      </c>
      <c r="AG1351">
        <v>-1.1202270495709901</v>
      </c>
      <c r="AH1351">
        <v>11.0836471936181</v>
      </c>
      <c r="AI1351">
        <v>95.570265555101201</v>
      </c>
      <c r="AJ1351">
        <v>74.783721798439998</v>
      </c>
      <c r="AK1351">
        <v>11.540832414946699</v>
      </c>
      <c r="AL1351">
        <v>95.226648216867801</v>
      </c>
      <c r="AM1351">
        <v>78.082066100763996</v>
      </c>
      <c r="AN1351">
        <v>0.99999994138125403</v>
      </c>
    </row>
    <row r="1352" spans="1:40" x14ac:dyDescent="0.25">
      <c r="A1352" t="str">
        <f>"20190303154753141"</f>
        <v>20190303154753141</v>
      </c>
      <c r="B1352" t="str">
        <f>"1551599273132306"</f>
        <v>1551599273132306</v>
      </c>
      <c r="C1352" t="s">
        <v>40</v>
      </c>
      <c r="D1352">
        <v>5.2252260000000001</v>
      </c>
      <c r="E1352">
        <v>0.52109329999999998</v>
      </c>
      <c r="F1352" t="s">
        <v>46</v>
      </c>
      <c r="G1352">
        <v>-198.28809999999999</v>
      </c>
      <c r="H1352" s="1">
        <v>-9.0343469999999994E-6</v>
      </c>
      <c r="I1352">
        <v>364.49599999999998</v>
      </c>
      <c r="J1352">
        <v>-209.25579999999999</v>
      </c>
      <c r="K1352">
        <v>1.12012</v>
      </c>
      <c r="L1352">
        <v>367.74740000000003</v>
      </c>
      <c r="M1352">
        <v>0.99963150000000001</v>
      </c>
      <c r="N1352">
        <v>-1.8267990000000001E-2</v>
      </c>
      <c r="O1352">
        <v>-2.0082579999999999E-2</v>
      </c>
      <c r="P1352">
        <v>0.96742329999999999</v>
      </c>
      <c r="Q1352">
        <v>-0.1088234</v>
      </c>
      <c r="R1352">
        <v>-0.2285816</v>
      </c>
      <c r="S1352">
        <v>2.8717350000000001</v>
      </c>
      <c r="T1352">
        <v>-0.2878616</v>
      </c>
      <c r="U1352">
        <v>-0.83700560000000002</v>
      </c>
      <c r="V1352">
        <v>0.20884520000000001</v>
      </c>
      <c r="W1352">
        <v>-9.1643799999999997E-2</v>
      </c>
      <c r="X1352">
        <v>0.97364530000000005</v>
      </c>
      <c r="Y1352">
        <v>0.25911279999999998</v>
      </c>
      <c r="Z1352">
        <v>-1.350692E-2</v>
      </c>
      <c r="AA1352">
        <v>0.96575259999999996</v>
      </c>
      <c r="AB1352">
        <v>21</v>
      </c>
      <c r="AC1352">
        <v>10.967700000000001</v>
      </c>
      <c r="AD1352">
        <v>-1.1201290343470001</v>
      </c>
      <c r="AE1352">
        <v>-3.2514000000000398</v>
      </c>
      <c r="AF1352">
        <v>3.0016679776826201</v>
      </c>
      <c r="AG1352">
        <v>-1.1201290343470001</v>
      </c>
      <c r="AH1352">
        <v>10.926037250938499</v>
      </c>
      <c r="AI1352">
        <v>95.645718064742795</v>
      </c>
      <c r="AJ1352">
        <v>74.638337891886493</v>
      </c>
      <c r="AK1352">
        <v>11.3860875506352</v>
      </c>
      <c r="AL1352">
        <v>95.258180568157997</v>
      </c>
      <c r="AM1352">
        <v>77.893601377919794</v>
      </c>
      <c r="AN1352">
        <v>1.0000000369267801</v>
      </c>
    </row>
    <row r="1353" spans="1:40" x14ac:dyDescent="0.25">
      <c r="A1353" t="str">
        <f>"20190303154753163"</f>
        <v>20190303154753163</v>
      </c>
      <c r="B1353" t="str">
        <f>"1551599273151829"</f>
        <v>1551599273151829</v>
      </c>
      <c r="C1353" t="s">
        <v>40</v>
      </c>
      <c r="D1353">
        <v>5.2463559999999996</v>
      </c>
      <c r="E1353">
        <v>0.52098449999999996</v>
      </c>
      <c r="F1353" t="s">
        <v>46</v>
      </c>
      <c r="G1353">
        <v>-198.18639999999999</v>
      </c>
      <c r="H1353" s="1">
        <v>-9.0020589999999993E-6</v>
      </c>
      <c r="I1353">
        <v>364.46339999999998</v>
      </c>
      <c r="J1353">
        <v>-209.04220000000001</v>
      </c>
      <c r="K1353">
        <v>1.120036</v>
      </c>
      <c r="L1353">
        <v>367.74079999999998</v>
      </c>
      <c r="M1353">
        <v>0.9995946</v>
      </c>
      <c r="N1353">
        <v>-1.799773E-2</v>
      </c>
      <c r="O1353">
        <v>-2.2068569999999999E-2</v>
      </c>
      <c r="P1353">
        <v>0.96610839999999998</v>
      </c>
      <c r="Q1353">
        <v>-0.1094976</v>
      </c>
      <c r="R1353">
        <v>-0.2337629</v>
      </c>
      <c r="S1353">
        <v>2.8673860000000002</v>
      </c>
      <c r="T1353">
        <v>-0.29015459999999998</v>
      </c>
      <c r="U1353">
        <v>-0.85067749999999998</v>
      </c>
      <c r="V1353">
        <v>0.2121043</v>
      </c>
      <c r="W1353">
        <v>-9.2641490000000007E-2</v>
      </c>
      <c r="X1353">
        <v>0.97284599999999999</v>
      </c>
      <c r="Y1353">
        <v>0.2617989</v>
      </c>
      <c r="Z1353">
        <v>-1.3557410000000001E-2</v>
      </c>
      <c r="AA1353">
        <v>0.96502719999999997</v>
      </c>
      <c r="AB1353">
        <v>21</v>
      </c>
      <c r="AC1353">
        <v>10.8558</v>
      </c>
      <c r="AD1353">
        <v>-1.120045002059</v>
      </c>
      <c r="AE1353">
        <v>-3.2774000000000001</v>
      </c>
      <c r="AF1353">
        <v>3.00764867043224</v>
      </c>
      <c r="AG1353">
        <v>-1.120045002059</v>
      </c>
      <c r="AH1353">
        <v>10.8199369936205</v>
      </c>
      <c r="AI1353">
        <v>95.695573853860097</v>
      </c>
      <c r="AJ1353">
        <v>74.465513599815594</v>
      </c>
      <c r="AK1353">
        <v>11.285897743525201</v>
      </c>
      <c r="AL1353">
        <v>95.315588362336101</v>
      </c>
      <c r="AM1353">
        <v>77.700586453813102</v>
      </c>
      <c r="AN1353">
        <v>1.0000000097319499</v>
      </c>
    </row>
    <row r="1354" spans="1:40" x14ac:dyDescent="0.25">
      <c r="A1354" t="str">
        <f>"20190303154753185"</f>
        <v>20190303154753185</v>
      </c>
      <c r="B1354" t="str">
        <f>"1551599273182081"</f>
        <v>1551599273182081</v>
      </c>
      <c r="C1354" t="s">
        <v>40</v>
      </c>
      <c r="D1354">
        <v>5.2794339999999904</v>
      </c>
      <c r="E1354">
        <v>0.52081789999999994</v>
      </c>
      <c r="F1354" t="s">
        <v>46</v>
      </c>
      <c r="G1354">
        <v>-198.15459999999999</v>
      </c>
      <c r="H1354" s="1">
        <v>-8.9922800000000006E-6</v>
      </c>
      <c r="I1354">
        <v>364.4511</v>
      </c>
      <c r="J1354">
        <v>-208.83189999999999</v>
      </c>
      <c r="K1354">
        <v>1.1199749999999999</v>
      </c>
      <c r="L1354">
        <v>367.7337</v>
      </c>
      <c r="M1354">
        <v>0.99955119999999997</v>
      </c>
      <c r="N1354">
        <v>-1.774711E-2</v>
      </c>
      <c r="O1354">
        <v>-2.4130849999999999E-2</v>
      </c>
      <c r="P1354">
        <v>0.96470400000000001</v>
      </c>
      <c r="Q1354">
        <v>-0.1095267</v>
      </c>
      <c r="R1354">
        <v>-0.23947889999999999</v>
      </c>
      <c r="S1354">
        <v>2.8625790000000002</v>
      </c>
      <c r="T1354">
        <v>-0.29448459999999899</v>
      </c>
      <c r="U1354">
        <v>-0.86492919999999995</v>
      </c>
      <c r="V1354">
        <v>0.21583569999999999</v>
      </c>
      <c r="W1354">
        <v>-9.2968809999999999E-2</v>
      </c>
      <c r="X1354">
        <v>0.97199369999999996</v>
      </c>
      <c r="Y1354">
        <v>0.26461259999999998</v>
      </c>
      <c r="Z1354">
        <v>-1.368567E-2</v>
      </c>
      <c r="AA1354">
        <v>0.9642577</v>
      </c>
      <c r="AB1354">
        <v>21</v>
      </c>
      <c r="AC1354">
        <v>10.677300000000001</v>
      </c>
      <c r="AD1354">
        <v>-1.1199839922799999</v>
      </c>
      <c r="AE1354">
        <v>-3.2826</v>
      </c>
      <c r="AF1354">
        <v>2.9938549111439898</v>
      </c>
      <c r="AG1354">
        <v>-1.1199839922799999</v>
      </c>
      <c r="AH1354">
        <v>10.6463904971598</v>
      </c>
      <c r="AI1354">
        <v>95.7826577509407</v>
      </c>
      <c r="AJ1354">
        <v>74.293568618628697</v>
      </c>
      <c r="AK1354">
        <v>11.1158968144707</v>
      </c>
      <c r="AL1354">
        <v>95.334423751746399</v>
      </c>
      <c r="AM1354">
        <v>77.480343147869704</v>
      </c>
      <c r="AN1354">
        <v>1.00000000093349</v>
      </c>
    </row>
    <row r="1355" spans="1:40" x14ac:dyDescent="0.25">
      <c r="A1355" t="str">
        <f>"20190303154753208"</f>
        <v>20190303154753208</v>
      </c>
      <c r="B1355" t="str">
        <f>"1551599273201602"</f>
        <v>1551599273201602</v>
      </c>
      <c r="C1355" t="s">
        <v>40</v>
      </c>
      <c r="D1355">
        <v>5.2890579999999998</v>
      </c>
      <c r="E1355">
        <v>0.52076849999999997</v>
      </c>
      <c r="F1355" t="s">
        <v>46</v>
      </c>
      <c r="G1355">
        <v>-198.07480000000001</v>
      </c>
      <c r="H1355" s="1">
        <v>-8.9680219999999997E-6</v>
      </c>
      <c r="I1355">
        <v>364.4178</v>
      </c>
      <c r="J1355">
        <v>-208.62090000000001</v>
      </c>
      <c r="K1355">
        <v>1.119936</v>
      </c>
      <c r="L1355">
        <v>367.726</v>
      </c>
      <c r="M1355">
        <v>0.99950090000000003</v>
      </c>
      <c r="N1355">
        <v>-1.7512090000000001E-2</v>
      </c>
      <c r="O1355">
        <v>-2.629884E-2</v>
      </c>
      <c r="P1355">
        <v>0.96312949999999997</v>
      </c>
      <c r="Q1355">
        <v>-0.1084688</v>
      </c>
      <c r="R1355">
        <v>-0.2462046</v>
      </c>
      <c r="S1355">
        <v>2.857361</v>
      </c>
      <c r="T1355">
        <v>-0.29749579999999998</v>
      </c>
      <c r="U1355">
        <v>-0.88076779999999999</v>
      </c>
      <c r="V1355">
        <v>0.22048880000000001</v>
      </c>
      <c r="W1355">
        <v>-9.2192689999999994E-2</v>
      </c>
      <c r="X1355">
        <v>0.97102279999999996</v>
      </c>
      <c r="Y1355">
        <v>0.26786019999999999</v>
      </c>
      <c r="Z1355">
        <v>-1.378247E-2</v>
      </c>
      <c r="AA1355">
        <v>0.96335919999999997</v>
      </c>
      <c r="AB1355">
        <v>21</v>
      </c>
      <c r="AC1355">
        <v>10.5460999999999</v>
      </c>
      <c r="AD1355">
        <v>-1.1199449680219999</v>
      </c>
      <c r="AE1355">
        <v>-3.3081999999999998</v>
      </c>
      <c r="AF1355">
        <v>2.9988729527668201</v>
      </c>
      <c r="AG1355">
        <v>-1.1199449680219999</v>
      </c>
      <c r="AH1355">
        <v>10.5214415012281</v>
      </c>
      <c r="AI1355">
        <v>95.844845402085198</v>
      </c>
      <c r="AJ1355">
        <v>74.091127878490894</v>
      </c>
      <c r="AK1355">
        <v>10.997647338499201</v>
      </c>
      <c r="AL1355">
        <v>95.289763332410303</v>
      </c>
      <c r="AM1355">
        <v>77.206854928206795</v>
      </c>
      <c r="AN1355">
        <v>1.0000000405673499</v>
      </c>
    </row>
    <row r="1356" spans="1:40" x14ac:dyDescent="0.25">
      <c r="A1356" t="str">
        <f>"20190303154753230"</f>
        <v>20190303154753230</v>
      </c>
      <c r="B1356" t="str">
        <f>"1551599273222098"</f>
        <v>1551599273222098</v>
      </c>
      <c r="C1356" t="s">
        <v>40</v>
      </c>
      <c r="D1356">
        <v>5.2907199999999897</v>
      </c>
      <c r="E1356">
        <v>0.52064880000000002</v>
      </c>
      <c r="F1356" t="s">
        <v>46</v>
      </c>
      <c r="G1356">
        <v>-197.8074</v>
      </c>
      <c r="H1356" s="1">
        <v>-8.8860019999999998E-6</v>
      </c>
      <c r="I1356">
        <v>364.31209999999999</v>
      </c>
      <c r="J1356">
        <v>-208.41399999999999</v>
      </c>
      <c r="K1356">
        <v>1.1198939999999999</v>
      </c>
      <c r="L1356">
        <v>367.71800000000002</v>
      </c>
      <c r="M1356">
        <v>0.99944359999999999</v>
      </c>
      <c r="N1356">
        <v>-1.730286E-2</v>
      </c>
      <c r="O1356">
        <v>-2.8518109999999999E-2</v>
      </c>
      <c r="P1356">
        <v>0.96152159999999998</v>
      </c>
      <c r="Q1356">
        <v>-0.1053265</v>
      </c>
      <c r="R1356">
        <v>-0.2537375</v>
      </c>
      <c r="S1356">
        <v>2.8514710000000001</v>
      </c>
      <c r="T1356">
        <v>-0.29532580000000003</v>
      </c>
      <c r="U1356">
        <v>-0.90023799999999898</v>
      </c>
      <c r="V1356">
        <v>0.22591339999999999</v>
      </c>
      <c r="W1356">
        <v>-8.9307449999999997E-2</v>
      </c>
      <c r="X1356">
        <v>0.97004500000000005</v>
      </c>
      <c r="Y1356">
        <v>0.2722753</v>
      </c>
      <c r="Z1356">
        <v>-1.375766E-2</v>
      </c>
      <c r="AA1356">
        <v>0.96212109999999995</v>
      </c>
      <c r="AB1356">
        <v>21</v>
      </c>
      <c r="AC1356">
        <v>10.6066</v>
      </c>
      <c r="AD1356">
        <v>-1.1199028860019999</v>
      </c>
      <c r="AE1356">
        <v>-3.4059000000000301</v>
      </c>
      <c r="AF1356">
        <v>3.0709531632674101</v>
      </c>
      <c r="AG1356">
        <v>-1.1199028860019999</v>
      </c>
      <c r="AH1356">
        <v>10.592380243014601</v>
      </c>
      <c r="AI1356">
        <v>95.798261855540702</v>
      </c>
      <c r="AJ1356">
        <v>73.832017844871402</v>
      </c>
      <c r="AK1356">
        <v>11.0852810076093</v>
      </c>
      <c r="AL1356">
        <v>95.123766493082599</v>
      </c>
      <c r="AM1356">
        <v>76.890090933344993</v>
      </c>
      <c r="AN1356">
        <v>0.99999999347503099</v>
      </c>
    </row>
    <row r="1357" spans="1:40" x14ac:dyDescent="0.25">
      <c r="A1357" t="str">
        <f>"20190303154753253"</f>
        <v>20190303154753253</v>
      </c>
      <c r="B1357" t="str">
        <f>"1551599273241621"</f>
        <v>1551599273241621</v>
      </c>
      <c r="C1357" t="s">
        <v>40</v>
      </c>
      <c r="D1357">
        <v>5.2823760000000002</v>
      </c>
      <c r="E1357">
        <v>0.52054860000000003</v>
      </c>
      <c r="F1357" t="s">
        <v>46</v>
      </c>
      <c r="G1357">
        <v>-197.34190000000001</v>
      </c>
      <c r="H1357" s="1">
        <v>-8.7425499999999998E-6</v>
      </c>
      <c r="I1357">
        <v>364.13229999999999</v>
      </c>
      <c r="J1357">
        <v>-208.20249999999999</v>
      </c>
      <c r="K1357">
        <v>1.119842</v>
      </c>
      <c r="L1357">
        <v>367.70920000000001</v>
      </c>
      <c r="M1357">
        <v>0.9993765</v>
      </c>
      <c r="N1357">
        <v>-1.7113030000000001E-2</v>
      </c>
      <c r="O1357">
        <v>-3.0883259999999999E-2</v>
      </c>
      <c r="P1357">
        <v>0.9594857</v>
      </c>
      <c r="Q1357">
        <v>-0.1044022</v>
      </c>
      <c r="R1357">
        <v>-0.26170179999999998</v>
      </c>
      <c r="S1357">
        <v>2.8453369999999998</v>
      </c>
      <c r="T1357">
        <v>-0.28779510000000003</v>
      </c>
      <c r="U1357">
        <v>-0.92144780000000004</v>
      </c>
      <c r="V1357">
        <v>0.23163810000000001</v>
      </c>
      <c r="W1357">
        <v>-8.8631180000000004E-2</v>
      </c>
      <c r="X1357">
        <v>0.96875610000000001</v>
      </c>
      <c r="Y1357">
        <v>0.27714529999999998</v>
      </c>
      <c r="Z1357">
        <v>-1.3552089999999999E-2</v>
      </c>
      <c r="AA1357">
        <v>0.96073249999999999</v>
      </c>
      <c r="AB1357">
        <v>21</v>
      </c>
      <c r="AC1357">
        <v>10.8605999999999</v>
      </c>
      <c r="AD1357">
        <v>-1.1198507425499999</v>
      </c>
      <c r="AE1357">
        <v>-3.5769000000000202</v>
      </c>
      <c r="AF1357">
        <v>3.2089545910767101</v>
      </c>
      <c r="AG1357">
        <v>-1.1198507425499999</v>
      </c>
      <c r="AH1357">
        <v>10.8617196768664</v>
      </c>
      <c r="AI1357">
        <v>95.646814874032998</v>
      </c>
      <c r="AJ1357">
        <v>73.540906295490998</v>
      </c>
      <c r="AK1357">
        <v>11.381054854098901</v>
      </c>
      <c r="AL1357">
        <v>95.084864576599799</v>
      </c>
      <c r="AM1357">
        <v>76.552557965534206</v>
      </c>
      <c r="AN1357">
        <v>1.0000000383634999</v>
      </c>
    </row>
    <row r="1358" spans="1:40" x14ac:dyDescent="0.25">
      <c r="A1358" t="str">
        <f>"20190303154753274"</f>
        <v>20190303154753274</v>
      </c>
      <c r="B1358" t="str">
        <f>"1551599273271874"</f>
        <v>1551599273271874</v>
      </c>
      <c r="C1358" t="s">
        <v>40</v>
      </c>
      <c r="D1358">
        <v>5.1383710000000002</v>
      </c>
      <c r="E1358">
        <v>0.53108610000000001</v>
      </c>
      <c r="F1358" t="s">
        <v>46</v>
      </c>
      <c r="G1358">
        <v>-197.10640000000001</v>
      </c>
      <c r="H1358" s="1">
        <v>-8.673259E-6</v>
      </c>
      <c r="I1358">
        <v>364.01859999999999</v>
      </c>
      <c r="J1358">
        <v>-207.99870000000001</v>
      </c>
      <c r="K1358">
        <v>1.119793</v>
      </c>
      <c r="L1358">
        <v>367.70010000000002</v>
      </c>
      <c r="M1358">
        <v>0.99930319999999995</v>
      </c>
      <c r="N1358">
        <v>-1.6951399999999998E-2</v>
      </c>
      <c r="O1358">
        <v>-3.3254560000000002E-2</v>
      </c>
      <c r="P1358">
        <v>0.95692109999999997</v>
      </c>
      <c r="Q1358">
        <v>-0.1066549</v>
      </c>
      <c r="R1358">
        <v>-0.2700497</v>
      </c>
      <c r="S1358">
        <v>2.8380580000000002</v>
      </c>
      <c r="T1358">
        <v>-0.2864256</v>
      </c>
      <c r="U1358">
        <v>-0.94393919999999998</v>
      </c>
      <c r="V1358">
        <v>0.2377524</v>
      </c>
      <c r="W1358">
        <v>-9.1117900000000002E-2</v>
      </c>
      <c r="X1358">
        <v>0.96704259999999997</v>
      </c>
      <c r="Y1358">
        <v>0.2824469</v>
      </c>
      <c r="Z1358">
        <v>-1.3602909999999999E-2</v>
      </c>
      <c r="AA1358">
        <v>0.95918650000000005</v>
      </c>
      <c r="AB1358">
        <v>21</v>
      </c>
      <c r="AC1358">
        <v>10.892300000000001</v>
      </c>
      <c r="AD1358">
        <v>-1.1198016732589999</v>
      </c>
      <c r="AE1358">
        <v>-3.6815000000000202</v>
      </c>
      <c r="AF1358">
        <v>3.2860226343335301</v>
      </c>
      <c r="AG1358">
        <v>-1.1198016732589999</v>
      </c>
      <c r="AH1358">
        <v>10.905274998250199</v>
      </c>
      <c r="AI1358">
        <v>95.615155368624997</v>
      </c>
      <c r="AJ1358">
        <v>73.231177708180795</v>
      </c>
      <c r="AK1358">
        <v>11.4445149887728</v>
      </c>
      <c r="AL1358">
        <v>95.227922139220397</v>
      </c>
      <c r="AM1358">
        <v>76.187486643115093</v>
      </c>
      <c r="AN1358">
        <v>1.0000000328104599</v>
      </c>
    </row>
    <row r="1359" spans="1:40" x14ac:dyDescent="0.25">
      <c r="A1359" t="str">
        <f>"20190303154753298"</f>
        <v>20190303154753298</v>
      </c>
      <c r="B1359" t="str">
        <f>"1551599273291394"</f>
        <v>1551599273291394</v>
      </c>
      <c r="C1359" t="s">
        <v>40</v>
      </c>
      <c r="D1359">
        <v>5.148479</v>
      </c>
      <c r="E1359">
        <v>0.52946309999999996</v>
      </c>
      <c r="F1359" t="s">
        <v>46</v>
      </c>
      <c r="G1359">
        <v>-190.8356</v>
      </c>
      <c r="H1359" s="1">
        <v>-6.8792369999999997E-6</v>
      </c>
      <c r="I1359">
        <v>361.28949999999998</v>
      </c>
      <c r="J1359">
        <v>-207.78489999999999</v>
      </c>
      <c r="K1359">
        <v>1.1197280000000001</v>
      </c>
      <c r="L1359">
        <v>367.68990000000002</v>
      </c>
      <c r="M1359">
        <v>0.99921629999999995</v>
      </c>
      <c r="N1359">
        <v>-1.6801070000000001E-2</v>
      </c>
      <c r="O1359">
        <v>-3.5844519999999998E-2</v>
      </c>
      <c r="P1359">
        <v>0.95441730000000002</v>
      </c>
      <c r="Q1359">
        <v>-0.10751090000000001</v>
      </c>
      <c r="R1359">
        <v>-0.27844099999999999</v>
      </c>
      <c r="S1359">
        <v>2.8175810000000001</v>
      </c>
      <c r="T1359">
        <v>-0.183832</v>
      </c>
      <c r="U1359">
        <v>-1.0523990000000001</v>
      </c>
      <c r="V1359">
        <v>0.2437086</v>
      </c>
      <c r="W1359">
        <v>-9.2201179999999994E-2</v>
      </c>
      <c r="X1359">
        <v>0.96545590000000003</v>
      </c>
      <c r="Y1359">
        <v>0.31537349999999997</v>
      </c>
      <c r="Z1359">
        <v>-1.100917E-2</v>
      </c>
      <c r="AA1359">
        <v>0.94890379999999996</v>
      </c>
      <c r="AB1359">
        <v>21</v>
      </c>
      <c r="AC1359">
        <v>16.949299999999901</v>
      </c>
      <c r="AD1359">
        <v>-1.1197348792370001</v>
      </c>
      <c r="AE1359">
        <v>-6.4004000000000403</v>
      </c>
      <c r="AF1359">
        <v>5.7666335767461803</v>
      </c>
      <c r="AG1359">
        <v>-1.1197348792370001</v>
      </c>
      <c r="AH1359">
        <v>17.102529352563501</v>
      </c>
      <c r="AI1359">
        <v>93.550086830706107</v>
      </c>
      <c r="AJ1359">
        <v>71.3669144082359</v>
      </c>
      <c r="AK1359">
        <v>18.083262406533098</v>
      </c>
      <c r="AL1359">
        <v>95.290251978903697</v>
      </c>
      <c r="AM1359">
        <v>75.832872761758097</v>
      </c>
      <c r="AN1359">
        <v>1.0000000170760801</v>
      </c>
    </row>
    <row r="1360" spans="1:40" x14ac:dyDescent="0.25">
      <c r="A1360" t="str">
        <f>"20190303154753320"</f>
        <v>20190303154753320</v>
      </c>
      <c r="B1360" t="str">
        <f>"1551599273311890"</f>
        <v>1551599273311890</v>
      </c>
      <c r="C1360" t="s">
        <v>40</v>
      </c>
      <c r="D1360">
        <v>5.1605689999999997</v>
      </c>
      <c r="E1360">
        <v>0.52764100000000003</v>
      </c>
      <c r="F1360" t="s">
        <v>46</v>
      </c>
      <c r="G1360">
        <v>-189.56469999999999</v>
      </c>
      <c r="H1360" s="1">
        <v>-5.7456800000000002E-6</v>
      </c>
      <c r="I1360">
        <v>360.79169999999999</v>
      </c>
      <c r="J1360">
        <v>-207.5822</v>
      </c>
      <c r="K1360">
        <v>1.1196759999999999</v>
      </c>
      <c r="L1360">
        <v>367.67959999999999</v>
      </c>
      <c r="M1360">
        <v>0.99912290000000004</v>
      </c>
      <c r="N1360">
        <v>-1.667563E-2</v>
      </c>
      <c r="O1360">
        <v>-3.8413460000000003E-2</v>
      </c>
      <c r="P1360">
        <v>0.95206760000000001</v>
      </c>
      <c r="Q1360">
        <v>-0.1074425</v>
      </c>
      <c r="R1360">
        <v>-0.28639870000000001</v>
      </c>
      <c r="S1360">
        <v>2.8130799999999998</v>
      </c>
      <c r="T1360">
        <v>-0.17287920000000001</v>
      </c>
      <c r="U1360">
        <v>-1.0650329999999999</v>
      </c>
      <c r="V1360">
        <v>0.24925800000000001</v>
      </c>
      <c r="W1360">
        <v>-9.2334920000000001E-2</v>
      </c>
      <c r="X1360">
        <v>0.96402529999999997</v>
      </c>
      <c r="Y1360">
        <v>0.3172354</v>
      </c>
      <c r="Z1360">
        <v>-1.0494969999999999E-2</v>
      </c>
      <c r="AA1360">
        <v>0.94828869999999998</v>
      </c>
      <c r="AB1360">
        <v>21</v>
      </c>
      <c r="AC1360">
        <v>18.017499999999998</v>
      </c>
      <c r="AD1360">
        <v>-1.1196817456799999</v>
      </c>
      <c r="AE1360">
        <v>-6.8879000000000001</v>
      </c>
      <c r="AF1360">
        <v>6.1698152015931997</v>
      </c>
      <c r="AG1360">
        <v>-1.1196817456799999</v>
      </c>
      <c r="AH1360">
        <v>18.207473593886601</v>
      </c>
      <c r="AI1360">
        <v>93.333292332989799</v>
      </c>
      <c r="AJ1360">
        <v>71.280449382499896</v>
      </c>
      <c r="AK1360">
        <v>19.257009152656501</v>
      </c>
      <c r="AL1360">
        <v>95.297947456623902</v>
      </c>
      <c r="AM1360">
        <v>75.503113804557302</v>
      </c>
      <c r="AN1360">
        <v>1.0000000335277399</v>
      </c>
    </row>
    <row r="1361" spans="1:40" x14ac:dyDescent="0.25">
      <c r="A1361" t="str">
        <f>"20190303154753342"</f>
        <v>20190303154753342</v>
      </c>
      <c r="B1361" t="str">
        <f>"1551599273331410"</f>
        <v>1551599273331410</v>
      </c>
      <c r="C1361" t="s">
        <v>40</v>
      </c>
      <c r="D1361">
        <v>5.4042859999999999</v>
      </c>
      <c r="E1361">
        <v>0.52816619999999903</v>
      </c>
      <c r="F1361" t="s">
        <v>46</v>
      </c>
      <c r="G1361">
        <v>-191.31489999999999</v>
      </c>
      <c r="H1361" s="1">
        <v>-7.0215259999999999E-6</v>
      </c>
      <c r="I1361">
        <v>361.4556</v>
      </c>
      <c r="J1361">
        <v>-207.37739999999999</v>
      </c>
      <c r="K1361">
        <v>1.119613</v>
      </c>
      <c r="L1361">
        <v>367.66849999999999</v>
      </c>
      <c r="M1361">
        <v>0.99901600000000002</v>
      </c>
      <c r="N1361">
        <v>-1.6565699999999999E-2</v>
      </c>
      <c r="O1361">
        <v>-4.1141610000000002E-2</v>
      </c>
      <c r="P1361">
        <v>0.95069769999999998</v>
      </c>
      <c r="Q1361">
        <v>-0.105770699999999</v>
      </c>
      <c r="R1361">
        <v>-0.29152440000000002</v>
      </c>
      <c r="S1361">
        <v>2.8062589999999998</v>
      </c>
      <c r="T1361">
        <v>-0.1931554</v>
      </c>
      <c r="U1361">
        <v>-1.0737000000000001</v>
      </c>
      <c r="V1361">
        <v>0.25179820000000003</v>
      </c>
      <c r="W1361">
        <v>-9.0827900000000003E-2</v>
      </c>
      <c r="X1361">
        <v>0.96350809999999998</v>
      </c>
      <c r="Y1361">
        <v>0.31783149999999999</v>
      </c>
      <c r="Z1361">
        <v>-1.1212420000000001E-2</v>
      </c>
      <c r="AA1361">
        <v>0.9480809</v>
      </c>
      <c r="AB1361">
        <v>21</v>
      </c>
      <c r="AC1361">
        <v>16.0625</v>
      </c>
      <c r="AD1361">
        <v>-1.1196200215259999</v>
      </c>
      <c r="AE1361">
        <v>-6.2128999999999897</v>
      </c>
      <c r="AF1361">
        <v>5.5233668387569104</v>
      </c>
      <c r="AG1361">
        <v>-1.1196200215259999</v>
      </c>
      <c r="AH1361">
        <v>16.2359218436562</v>
      </c>
      <c r="AI1361">
        <v>93.735257095447906</v>
      </c>
      <c r="AJ1361">
        <v>71.211992253826097</v>
      </c>
      <c r="AK1361">
        <v>17.186223795278401</v>
      </c>
      <c r="AL1361">
        <v>95.211237610765394</v>
      </c>
      <c r="AM1361">
        <v>75.354171105222903</v>
      </c>
      <c r="AN1361">
        <v>0.99999994985362795</v>
      </c>
    </row>
    <row r="1362" spans="1:40" x14ac:dyDescent="0.25">
      <c r="A1362" t="str">
        <f>"20190303154753364"</f>
        <v>20190303154753364</v>
      </c>
      <c r="B1362" t="str">
        <f>"1551599273361666"</f>
        <v>1551599273361666</v>
      </c>
      <c r="C1362" t="s">
        <v>40</v>
      </c>
      <c r="D1362">
        <v>5.6662080000000001</v>
      </c>
      <c r="E1362">
        <v>0.57453089999999996</v>
      </c>
      <c r="F1362" t="s">
        <v>46</v>
      </c>
      <c r="G1362">
        <v>-191.86959999999999</v>
      </c>
      <c r="H1362" s="1">
        <v>-7.1914960000000004E-6</v>
      </c>
      <c r="I1362">
        <v>361.61399999999998</v>
      </c>
      <c r="J1362">
        <v>-207.1746</v>
      </c>
      <c r="K1362">
        <v>1.1195440000000001</v>
      </c>
      <c r="L1362">
        <v>367.65679999999998</v>
      </c>
      <c r="M1362">
        <v>0.99889640000000002</v>
      </c>
      <c r="N1362">
        <v>-1.6471590000000001E-2</v>
      </c>
      <c r="O1362">
        <v>-4.3985969999999999E-2</v>
      </c>
      <c r="P1362">
        <v>0.94850579999999995</v>
      </c>
      <c r="Q1362">
        <v>-0.1042177</v>
      </c>
      <c r="R1362">
        <v>-0.29912529999999998</v>
      </c>
      <c r="S1362">
        <v>2.7981410000000002</v>
      </c>
      <c r="T1362">
        <v>-0.20201839999999999</v>
      </c>
      <c r="U1362">
        <v>-1.092438</v>
      </c>
      <c r="V1362">
        <v>0.2567391</v>
      </c>
      <c r="W1362">
        <v>-8.9447559999999995E-2</v>
      </c>
      <c r="X1362">
        <v>0.96233270000000004</v>
      </c>
      <c r="Y1362">
        <v>0.32149899999999998</v>
      </c>
      <c r="Z1362">
        <v>-1.1574320000000001E-2</v>
      </c>
      <c r="AA1362">
        <v>0.94683919999999999</v>
      </c>
      <c r="AB1362">
        <v>21</v>
      </c>
      <c r="AC1362">
        <v>15.305</v>
      </c>
      <c r="AD1362">
        <v>-1.1195511914959999</v>
      </c>
      <c r="AE1362">
        <v>-6.0427999999999402</v>
      </c>
      <c r="AF1362">
        <v>5.33893829043559</v>
      </c>
      <c r="AG1362">
        <v>-1.1195511914959999</v>
      </c>
      <c r="AH1362">
        <v>15.484337404426199</v>
      </c>
      <c r="AI1362">
        <v>93.910266631328497</v>
      </c>
      <c r="AJ1362">
        <v>70.976009127519404</v>
      </c>
      <c r="AK1362">
        <v>16.417136223884199</v>
      </c>
      <c r="AL1362">
        <v>95.131826282149703</v>
      </c>
      <c r="AM1362">
        <v>75.062076901210304</v>
      </c>
      <c r="AN1362">
        <v>1.00000002847402</v>
      </c>
    </row>
    <row r="1363" spans="1:40" x14ac:dyDescent="0.25">
      <c r="A1363" t="str">
        <f>"20190303154753376"</f>
        <v>20190303154753376</v>
      </c>
      <c r="B1363" t="str">
        <f>"1551599273371425"</f>
        <v>1551599273371425</v>
      </c>
      <c r="C1363" t="s">
        <v>40</v>
      </c>
      <c r="D1363">
        <v>5.5213409999999996</v>
      </c>
      <c r="E1363">
        <v>0.62460199999999999</v>
      </c>
      <c r="F1363" t="s">
        <v>46</v>
      </c>
      <c r="G1363">
        <v>-193.5924</v>
      </c>
      <c r="H1363" s="1">
        <v>-8.0151769999999995E-6</v>
      </c>
      <c r="I1363">
        <v>360.21199999999999</v>
      </c>
      <c r="J1363">
        <v>-207.05770000000001</v>
      </c>
      <c r="K1363">
        <v>1.119505</v>
      </c>
      <c r="L1363">
        <v>367.6497</v>
      </c>
      <c r="M1363">
        <v>0.99882110000000002</v>
      </c>
      <c r="N1363">
        <v>-1.6422929999999999E-2</v>
      </c>
      <c r="O1363">
        <v>-4.5679310000000001E-2</v>
      </c>
      <c r="P1363">
        <v>0.9472893</v>
      </c>
      <c r="Q1363">
        <v>-0.10349360000000001</v>
      </c>
      <c r="R1363">
        <v>-0.30320340000000001</v>
      </c>
      <c r="S1363">
        <v>2.676056</v>
      </c>
      <c r="T1363">
        <v>-0.2205809</v>
      </c>
      <c r="U1363">
        <v>-1.4668270000000001</v>
      </c>
      <c r="V1363">
        <v>0.25923429999999997</v>
      </c>
      <c r="W1363">
        <v>-8.8813550000000005E-2</v>
      </c>
      <c r="X1363">
        <v>0.96172230000000003</v>
      </c>
      <c r="Y1363">
        <v>0.43875209999999998</v>
      </c>
      <c r="Z1363">
        <v>-1.7919040000000001E-2</v>
      </c>
      <c r="AA1363">
        <v>0.89842949999999999</v>
      </c>
      <c r="AB1363">
        <v>20</v>
      </c>
      <c r="AC1363">
        <v>13.465299999999999</v>
      </c>
      <c r="AD1363">
        <v>-1.1195130151770001</v>
      </c>
      <c r="AE1363">
        <v>-7.4377000000000004</v>
      </c>
      <c r="AF1363">
        <v>6.7788618509267096</v>
      </c>
      <c r="AG1363">
        <v>-1.1195130151770001</v>
      </c>
      <c r="AH1363">
        <v>13.7183772008504</v>
      </c>
      <c r="AI1363">
        <v>94.184412992069994</v>
      </c>
      <c r="AJ1363">
        <v>63.703969253430003</v>
      </c>
      <c r="AK1363">
        <v>15.3427556328683</v>
      </c>
      <c r="AL1363">
        <v>95.095355042527203</v>
      </c>
      <c r="AM1363">
        <v>74.914344739825793</v>
      </c>
      <c r="AN1363">
        <v>1.0000000256386901</v>
      </c>
    </row>
    <row r="1364" spans="1:40" x14ac:dyDescent="0.25">
      <c r="A1364" t="str">
        <f>"20190303154753388"</f>
        <v>20190303154753388</v>
      </c>
      <c r="B1364" t="str">
        <f>"1551599273382162"</f>
        <v>1551599273382162</v>
      </c>
      <c r="C1364" t="s">
        <v>40</v>
      </c>
      <c r="D1364">
        <v>5.4682789999999999</v>
      </c>
      <c r="E1364">
        <v>0.63608999999999905</v>
      </c>
      <c r="F1364" t="s">
        <v>46</v>
      </c>
      <c r="G1364">
        <v>-197.42580000000001</v>
      </c>
      <c r="H1364" s="1">
        <v>-9.2983720000000007E-6</v>
      </c>
      <c r="I1364">
        <v>360.61130000000003</v>
      </c>
      <c r="J1364">
        <v>-206.95099999999999</v>
      </c>
      <c r="K1364">
        <v>1.1194759999999999</v>
      </c>
      <c r="L1364">
        <v>367.64299999999997</v>
      </c>
      <c r="M1364">
        <v>0.99874819999999997</v>
      </c>
      <c r="N1364">
        <v>-1.638204E-2</v>
      </c>
      <c r="O1364">
        <v>-4.7262449999999998E-2</v>
      </c>
      <c r="P1364">
        <v>0.94591519999999996</v>
      </c>
      <c r="Q1364">
        <v>-0.1034384</v>
      </c>
      <c r="R1364">
        <v>-0.30748239999999999</v>
      </c>
      <c r="S1364">
        <v>2.5404819999999999</v>
      </c>
      <c r="T1364">
        <v>-0.29528120000000002</v>
      </c>
      <c r="U1364">
        <v>-1.8564449999999999</v>
      </c>
      <c r="V1364">
        <v>0.26204450000000001</v>
      </c>
      <c r="W1364">
        <v>-8.8841809999999993E-2</v>
      </c>
      <c r="X1364">
        <v>0.96095779999999997</v>
      </c>
      <c r="Y1364">
        <v>0.54846719999999904</v>
      </c>
      <c r="Z1364">
        <v>-2.9210030000000001E-2</v>
      </c>
      <c r="AA1364">
        <v>0.83566169999999995</v>
      </c>
      <c r="AB1364">
        <v>20</v>
      </c>
      <c r="AC1364">
        <v>9.5251999999999803</v>
      </c>
      <c r="AD1364">
        <v>-1.1194852983719901</v>
      </c>
      <c r="AE1364">
        <v>-7.0316999999999998</v>
      </c>
      <c r="AF1364">
        <v>6.5153439747571698</v>
      </c>
      <c r="AG1364">
        <v>-1.1194852983719901</v>
      </c>
      <c r="AH1364">
        <v>9.7596750134832408</v>
      </c>
      <c r="AI1364">
        <v>95.449544053869204</v>
      </c>
      <c r="AJ1364">
        <v>56.2737998748064</v>
      </c>
      <c r="AK1364">
        <v>11.787884068461301</v>
      </c>
      <c r="AL1364">
        <v>95.096980572378797</v>
      </c>
      <c r="AM1364">
        <v>74.746818119188703</v>
      </c>
      <c r="AN1364">
        <v>1.0000000402825799</v>
      </c>
    </row>
    <row r="1365" spans="1:40" x14ac:dyDescent="0.25">
      <c r="A1365" t="str">
        <f>"20190303154753400"</f>
        <v>20190303154753400</v>
      </c>
      <c r="B1365" t="str">
        <f>"1551599273391923"</f>
        <v>1551599273391923</v>
      </c>
      <c r="C1365" t="s">
        <v>40</v>
      </c>
      <c r="D1365">
        <v>5.5046650000000001</v>
      </c>
      <c r="E1365">
        <v>0.64526589999999995</v>
      </c>
      <c r="F1365" t="s">
        <v>46</v>
      </c>
      <c r="G1365">
        <v>-197.78550000000001</v>
      </c>
      <c r="H1365" s="1">
        <v>-9.4443789999999998E-6</v>
      </c>
      <c r="I1365">
        <v>360.48480000000001</v>
      </c>
      <c r="J1365">
        <v>-206.8391</v>
      </c>
      <c r="K1365">
        <v>1.119445</v>
      </c>
      <c r="L1365">
        <v>367.63580000000002</v>
      </c>
      <c r="M1365">
        <v>0.99866790000000005</v>
      </c>
      <c r="N1365">
        <v>-1.6340879999999999E-2</v>
      </c>
      <c r="O1365">
        <v>-4.8943460000000001E-2</v>
      </c>
      <c r="P1365">
        <v>0.94445100000000004</v>
      </c>
      <c r="Q1365">
        <v>-0.103438</v>
      </c>
      <c r="R1365">
        <v>-0.31195009999999901</v>
      </c>
      <c r="S1365">
        <v>2.5027469999999998</v>
      </c>
      <c r="T1365">
        <v>-0.30568790000000001</v>
      </c>
      <c r="U1365">
        <v>-1.95462</v>
      </c>
      <c r="V1365">
        <v>0.26495649999999998</v>
      </c>
      <c r="W1365">
        <v>-8.8927039999999999E-2</v>
      </c>
      <c r="X1365">
        <v>0.96015110000000004</v>
      </c>
      <c r="Y1365">
        <v>0.57322949999999995</v>
      </c>
      <c r="Z1365">
        <v>-3.1506550000000001E-2</v>
      </c>
      <c r="AA1365">
        <v>0.81878890000000004</v>
      </c>
      <c r="AB1365">
        <v>20</v>
      </c>
      <c r="AC1365">
        <v>9.0535999999999799</v>
      </c>
      <c r="AD1365">
        <v>-1.119454444379</v>
      </c>
      <c r="AE1365">
        <v>-7.1510000000000096</v>
      </c>
      <c r="AF1365">
        <v>6.6367687708130498</v>
      </c>
      <c r="AG1365">
        <v>-1.119454444379</v>
      </c>
      <c r="AH1365">
        <v>9.3051799863889997</v>
      </c>
      <c r="AI1365">
        <v>95.593961551229299</v>
      </c>
      <c r="AJ1365">
        <v>54.502251196707697</v>
      </c>
      <c r="AK1365">
        <v>11.484174003792001</v>
      </c>
      <c r="AL1365">
        <v>95.101883246580897</v>
      </c>
      <c r="AM1365">
        <v>74.573001511019996</v>
      </c>
      <c r="AN1365">
        <v>1.0000000500833</v>
      </c>
    </row>
    <row r="1366" spans="1:40" x14ac:dyDescent="0.25">
      <c r="A1366" t="str">
        <f>"20190303154753413"</f>
        <v>20190303154753413</v>
      </c>
      <c r="B1366" t="str">
        <f>"1551599273401682"</f>
        <v>1551599273401682</v>
      </c>
      <c r="C1366" t="s">
        <v>40</v>
      </c>
      <c r="D1366">
        <v>5.4969979999999996</v>
      </c>
      <c r="E1366">
        <v>0.65150710000000001</v>
      </c>
      <c r="F1366" t="s">
        <v>46</v>
      </c>
      <c r="G1366">
        <v>-198.0866</v>
      </c>
      <c r="H1366" s="1">
        <v>-9.5601720000000005E-6</v>
      </c>
      <c r="I1366">
        <v>360.42020000000002</v>
      </c>
      <c r="J1366">
        <v>-206.72030000000001</v>
      </c>
      <c r="K1366">
        <v>1.1194109999999999</v>
      </c>
      <c r="L1366">
        <v>367.62779999999998</v>
      </c>
      <c r="M1366">
        <v>0.99857549999999995</v>
      </c>
      <c r="N1366">
        <v>-1.6302440000000001E-2</v>
      </c>
      <c r="O1366">
        <v>-5.0804849999999999E-2</v>
      </c>
      <c r="P1366">
        <v>0.9430693</v>
      </c>
      <c r="Q1366">
        <v>-0.103157399999999</v>
      </c>
      <c r="R1366">
        <v>-0.31619429999999998</v>
      </c>
      <c r="S1366">
        <v>2.469452</v>
      </c>
      <c r="T1366">
        <v>-0.31584570000000001</v>
      </c>
      <c r="U1366">
        <v>-2.035828</v>
      </c>
      <c r="V1366">
        <v>0.26747149999999997</v>
      </c>
      <c r="W1366">
        <v>-8.8728769999999998E-2</v>
      </c>
      <c r="X1366">
        <v>0.95947190000000004</v>
      </c>
      <c r="Y1366">
        <v>0.59286799999999995</v>
      </c>
      <c r="Z1366">
        <v>-3.3512790000000001E-2</v>
      </c>
      <c r="AA1366">
        <v>0.80460209999999999</v>
      </c>
      <c r="AB1366">
        <v>20</v>
      </c>
      <c r="AC1366">
        <v>8.6336999999999993</v>
      </c>
      <c r="AD1366">
        <v>-1.119420560172</v>
      </c>
      <c r="AE1366">
        <v>-7.2075999999999496</v>
      </c>
      <c r="AF1366">
        <v>6.6932890094162003</v>
      </c>
      <c r="AG1366">
        <v>-1.119420560172</v>
      </c>
      <c r="AH1366">
        <v>8.9006015165918697</v>
      </c>
      <c r="AI1366">
        <v>95.740004980247505</v>
      </c>
      <c r="AJ1366">
        <v>53.056683352860603</v>
      </c>
      <c r="AK1366">
        <v>11.192583594115501</v>
      </c>
      <c r="AL1366">
        <v>95.090478065433899</v>
      </c>
      <c r="AM1366">
        <v>74.423151416860307</v>
      </c>
      <c r="AN1366">
        <v>1.0000000624137799</v>
      </c>
    </row>
    <row r="1367" spans="1:40" x14ac:dyDescent="0.25">
      <c r="A1367" t="str">
        <f>"20190303154753425"</f>
        <v>20190303154753425</v>
      </c>
      <c r="B1367" t="str">
        <f>"1551599273422178"</f>
        <v>1551599273422178</v>
      </c>
      <c r="C1367" t="s">
        <v>40</v>
      </c>
      <c r="D1367">
        <v>5.4621250000000003</v>
      </c>
      <c r="E1367">
        <v>0.65819830000000001</v>
      </c>
      <c r="F1367" t="s">
        <v>46</v>
      </c>
      <c r="G1367">
        <v>-198.2697</v>
      </c>
      <c r="H1367" s="1">
        <v>-9.629536E-6</v>
      </c>
      <c r="I1367">
        <v>360.38760000000002</v>
      </c>
      <c r="J1367">
        <v>-206.62549999999999</v>
      </c>
      <c r="K1367">
        <v>1.119378</v>
      </c>
      <c r="L1367">
        <v>367.62130000000002</v>
      </c>
      <c r="M1367">
        <v>0.99849840000000001</v>
      </c>
      <c r="N1367">
        <v>-1.6273159999999998E-2</v>
      </c>
      <c r="O1367">
        <v>-5.2310589999999997E-2</v>
      </c>
      <c r="P1367">
        <v>0.94173750000000001</v>
      </c>
      <c r="Q1367">
        <v>-0.1028987</v>
      </c>
      <c r="R1367">
        <v>-0.32022279999999997</v>
      </c>
      <c r="S1367">
        <v>2.4437099999999998</v>
      </c>
      <c r="T1367">
        <v>-0.32371290000000003</v>
      </c>
      <c r="U1367">
        <v>-2.0937190000000001</v>
      </c>
      <c r="V1367">
        <v>0.27011390000000002</v>
      </c>
      <c r="W1367">
        <v>-8.8541040000000001E-2</v>
      </c>
      <c r="X1367">
        <v>0.95874859999999995</v>
      </c>
      <c r="Y1367">
        <v>0.60660839999999905</v>
      </c>
      <c r="Z1367">
        <v>-3.5014089999999998E-2</v>
      </c>
      <c r="AA1367">
        <v>0.79422930000000003</v>
      </c>
      <c r="AB1367">
        <v>20</v>
      </c>
      <c r="AC1367">
        <v>8.3557999999999808</v>
      </c>
      <c r="AD1367">
        <v>-1.1193876295359999</v>
      </c>
      <c r="AE1367">
        <v>-7.23369999999999</v>
      </c>
      <c r="AF1367">
        <v>6.7177252434361003</v>
      </c>
      <c r="AG1367">
        <v>-1.1193876295359999</v>
      </c>
      <c r="AH1367">
        <v>8.6342319424519705</v>
      </c>
      <c r="AI1367">
        <v>95.842348925847006</v>
      </c>
      <c r="AJ1367">
        <v>52.115873623627799</v>
      </c>
      <c r="AK1367">
        <v>10.9968551116905</v>
      </c>
      <c r="AL1367">
        <v>95.079679968014403</v>
      </c>
      <c r="AM1367">
        <v>74.265566165004799</v>
      </c>
      <c r="AN1367">
        <v>0.99999995636972405</v>
      </c>
    </row>
    <row r="1368" spans="1:40" x14ac:dyDescent="0.25">
      <c r="A1368" t="str">
        <f>"20190303154753436"</f>
        <v>20190303154753436</v>
      </c>
      <c r="B1368" t="str">
        <f>"1551599273431938"</f>
        <v>1551599273431938</v>
      </c>
      <c r="C1368" t="s">
        <v>40</v>
      </c>
      <c r="D1368">
        <v>5.4699559999999998</v>
      </c>
      <c r="E1368">
        <v>0.66046240000000001</v>
      </c>
      <c r="F1368" t="s">
        <v>46</v>
      </c>
      <c r="G1368">
        <v>-198.35919999999999</v>
      </c>
      <c r="H1368" s="1">
        <v>-9.6820210000000006E-6</v>
      </c>
      <c r="I1368">
        <v>360.2527</v>
      </c>
      <c r="J1368">
        <v>-206.51140000000001</v>
      </c>
      <c r="K1368">
        <v>1.1193409999999999</v>
      </c>
      <c r="L1368">
        <v>367.61329999999998</v>
      </c>
      <c r="M1368">
        <v>0.99839960000000005</v>
      </c>
      <c r="N1368">
        <v>-1.6240999999999998E-2</v>
      </c>
      <c r="O1368">
        <v>-5.4168979999999999E-2</v>
      </c>
      <c r="P1368">
        <v>0.94036379999999997</v>
      </c>
      <c r="Q1368">
        <v>-0.1026381</v>
      </c>
      <c r="R1368">
        <v>-0.32431749999999998</v>
      </c>
      <c r="S1368">
        <v>2.41716</v>
      </c>
      <c r="T1368">
        <v>-0.32732299999999998</v>
      </c>
      <c r="U1368">
        <v>-2.1546940000000001</v>
      </c>
      <c r="V1368">
        <v>0.272487799999999</v>
      </c>
      <c r="W1368">
        <v>-8.8357199999999997E-2</v>
      </c>
      <c r="X1368">
        <v>0.95809359999999999</v>
      </c>
      <c r="Y1368">
        <v>0.62048939999999997</v>
      </c>
      <c r="Z1368">
        <v>-3.6132409999999997E-2</v>
      </c>
      <c r="AA1368">
        <v>0.78338200000000002</v>
      </c>
      <c r="AB1368">
        <v>20</v>
      </c>
      <c r="AC1368">
        <v>8.1522000000000201</v>
      </c>
      <c r="AD1368">
        <v>-1.119350682021</v>
      </c>
      <c r="AE1368">
        <v>-7.3605999999999696</v>
      </c>
      <c r="AF1368">
        <v>6.8371244693478399</v>
      </c>
      <c r="AG1368">
        <v>-1.119350682021</v>
      </c>
      <c r="AH1368">
        <v>8.4512212293190991</v>
      </c>
      <c r="AI1368">
        <v>95.879065996543005</v>
      </c>
      <c r="AJ1368">
        <v>51.026786755692697</v>
      </c>
      <c r="AK1368">
        <v>10.9280536796627</v>
      </c>
      <c r="AL1368">
        <v>95.069105190836297</v>
      </c>
      <c r="AM1368">
        <v>74.123917157618294</v>
      </c>
      <c r="AN1368">
        <v>0.99999997115081896</v>
      </c>
    </row>
    <row r="1369" spans="1:40" x14ac:dyDescent="0.25">
      <c r="A1369" t="str">
        <f>"20190303154753448"</f>
        <v>20190303154753448</v>
      </c>
      <c r="B1369" t="str">
        <f>"1551599273441698"</f>
        <v>1551599273441698</v>
      </c>
      <c r="C1369" t="s">
        <v>40</v>
      </c>
      <c r="D1369">
        <v>5.4289769999999997</v>
      </c>
      <c r="E1369">
        <v>0.66240710000000003</v>
      </c>
      <c r="F1369" t="s">
        <v>46</v>
      </c>
      <c r="G1369">
        <v>-198.2647</v>
      </c>
      <c r="H1369" s="1">
        <v>-9.6693900000000003E-6</v>
      </c>
      <c r="I1369">
        <v>360.12110000000001</v>
      </c>
      <c r="J1369">
        <v>-206.404</v>
      </c>
      <c r="K1369">
        <v>1.1193010000000001</v>
      </c>
      <c r="L1369">
        <v>367.6053</v>
      </c>
      <c r="M1369">
        <v>0.99830090000000005</v>
      </c>
      <c r="N1369">
        <v>-1.6213680000000001E-2</v>
      </c>
      <c r="O1369">
        <v>-5.5969390000000001E-2</v>
      </c>
      <c r="P1369">
        <v>0.93904120000000002</v>
      </c>
      <c r="Q1369">
        <v>-0.1022523</v>
      </c>
      <c r="R1369">
        <v>-0.32824779999999998</v>
      </c>
      <c r="S1369">
        <v>2.4020389999999998</v>
      </c>
      <c r="T1369">
        <v>-0.32603480000000001</v>
      </c>
      <c r="U1369">
        <v>-2.1822509999999999</v>
      </c>
      <c r="V1369">
        <v>0.274754</v>
      </c>
      <c r="W1369">
        <v>-8.8043350000000006E-2</v>
      </c>
      <c r="X1369">
        <v>0.95747510000000002</v>
      </c>
      <c r="Y1369">
        <v>0.62644960000000005</v>
      </c>
      <c r="Z1369">
        <v>-3.6283780000000002E-2</v>
      </c>
      <c r="AA1369">
        <v>0.778617</v>
      </c>
      <c r="AB1369">
        <v>20</v>
      </c>
      <c r="AC1369">
        <v>8.1393000000000093</v>
      </c>
      <c r="AD1369">
        <v>-1.1193106693899999</v>
      </c>
      <c r="AE1369">
        <v>-7.48419999999998</v>
      </c>
      <c r="AF1369">
        <v>6.9456789762068798</v>
      </c>
      <c r="AG1369">
        <v>-1.1193106693899999</v>
      </c>
      <c r="AH1369">
        <v>8.45879901318939</v>
      </c>
      <c r="AI1369">
        <v>95.839141796880696</v>
      </c>
      <c r="AJ1369">
        <v>50.609938409348601</v>
      </c>
      <c r="AK1369">
        <v>11.002117685276099</v>
      </c>
      <c r="AL1369">
        <v>95.051052511834101</v>
      </c>
      <c r="AM1369">
        <v>73.988807280972793</v>
      </c>
      <c r="AN1369">
        <v>0.99999997955761599</v>
      </c>
    </row>
    <row r="1370" spans="1:40" x14ac:dyDescent="0.25">
      <c r="A1370" t="str">
        <f>"20190303154753460"</f>
        <v>20190303154753460</v>
      </c>
      <c r="B1370" t="str">
        <f>"1551599273451458"</f>
        <v>1551599273451458</v>
      </c>
      <c r="C1370" t="s">
        <v>40</v>
      </c>
      <c r="D1370">
        <v>5.4292009999999999</v>
      </c>
      <c r="E1370">
        <v>0.6639022</v>
      </c>
      <c r="F1370" t="s">
        <v>46</v>
      </c>
      <c r="G1370">
        <v>-198.09219999999999</v>
      </c>
      <c r="H1370" s="1">
        <v>-9.6395889999999999E-6</v>
      </c>
      <c r="I1370">
        <v>359.92419999999998</v>
      </c>
      <c r="J1370">
        <v>-206.29759999999999</v>
      </c>
      <c r="K1370">
        <v>1.1192610000000001</v>
      </c>
      <c r="L1370">
        <v>367.59739999999999</v>
      </c>
      <c r="M1370">
        <v>0.99819860000000005</v>
      </c>
      <c r="N1370">
        <v>-1.618787E-2</v>
      </c>
      <c r="O1370">
        <v>-5.7772940000000002E-2</v>
      </c>
      <c r="P1370">
        <v>0.93770810000000004</v>
      </c>
      <c r="Q1370">
        <v>-0.10230110000000001</v>
      </c>
      <c r="R1370">
        <v>-0.33202199999999998</v>
      </c>
      <c r="S1370">
        <v>2.3882750000000001</v>
      </c>
      <c r="T1370">
        <v>-0.32161719999999999</v>
      </c>
      <c r="U1370">
        <v>-2.2070620000000001</v>
      </c>
      <c r="V1370">
        <v>0.27686280000000002</v>
      </c>
      <c r="W1370">
        <v>-8.8163019999999995E-2</v>
      </c>
      <c r="X1370">
        <v>0.9568565</v>
      </c>
      <c r="Y1370">
        <v>0.63170349999999997</v>
      </c>
      <c r="Z1370">
        <v>-3.6097190000000001E-2</v>
      </c>
      <c r="AA1370">
        <v>0.77436919999999898</v>
      </c>
      <c r="AB1370">
        <v>20</v>
      </c>
      <c r="AC1370">
        <v>8.2053999999999903</v>
      </c>
      <c r="AD1370">
        <v>-1.119270639589</v>
      </c>
      <c r="AE1370">
        <v>-7.6731999999999996</v>
      </c>
      <c r="AF1370">
        <v>7.1156362413648404</v>
      </c>
      <c r="AG1370">
        <v>-1.119270639589</v>
      </c>
      <c r="AH1370">
        <v>8.5501808835415307</v>
      </c>
      <c r="AI1370">
        <v>95.745755763962705</v>
      </c>
      <c r="AJ1370">
        <v>50.232077038057902</v>
      </c>
      <c r="AK1370">
        <v>11.1799212441479</v>
      </c>
      <c r="AL1370">
        <v>95.057935533705106</v>
      </c>
      <c r="AM1370">
        <v>73.862400584575894</v>
      </c>
      <c r="AN1370">
        <v>1.0000000448558</v>
      </c>
    </row>
    <row r="1371" spans="1:40" x14ac:dyDescent="0.25">
      <c r="A1371" t="str">
        <f>"20190303154753471"</f>
        <v>20190303154753471</v>
      </c>
      <c r="B1371" t="str">
        <f>"1551599273462194"</f>
        <v>1551599273462194</v>
      </c>
      <c r="C1371" t="s">
        <v>40</v>
      </c>
      <c r="D1371">
        <v>5.4332669999999998</v>
      </c>
      <c r="E1371">
        <v>0.664941</v>
      </c>
      <c r="F1371" t="s">
        <v>46</v>
      </c>
      <c r="G1371">
        <v>-197.97569999999999</v>
      </c>
      <c r="H1371" s="1">
        <v>-9.6190470000000008E-6</v>
      </c>
      <c r="I1371">
        <v>359.79390000000001</v>
      </c>
      <c r="J1371">
        <v>-206.19470000000001</v>
      </c>
      <c r="K1371">
        <v>1.1192139999999999</v>
      </c>
      <c r="L1371">
        <v>367.58940000000001</v>
      </c>
      <c r="M1371">
        <v>0.99809210000000004</v>
      </c>
      <c r="N1371">
        <v>-1.6161990000000001E-2</v>
      </c>
      <c r="O1371">
        <v>-5.959006E-2</v>
      </c>
      <c r="P1371">
        <v>0.93625000000000003</v>
      </c>
      <c r="Q1371">
        <v>-0.10254149999999999</v>
      </c>
      <c r="R1371">
        <v>-0.33603810000000001</v>
      </c>
      <c r="S1371">
        <v>2.3756560000000002</v>
      </c>
      <c r="T1371">
        <v>-0.31951760000000001</v>
      </c>
      <c r="U1371">
        <v>-2.2276609999999999</v>
      </c>
      <c r="V1371">
        <v>0.27920859999999997</v>
      </c>
      <c r="W1371">
        <v>-8.8479840000000004E-2</v>
      </c>
      <c r="X1371">
        <v>0.95614529999999998</v>
      </c>
      <c r="Y1371">
        <v>0.63594030000000001</v>
      </c>
      <c r="Z1371">
        <v>-3.605183E-2</v>
      </c>
      <c r="AA1371">
        <v>0.77089569999999996</v>
      </c>
      <c r="AB1371">
        <v>20</v>
      </c>
      <c r="AC1371">
        <v>8.2190000000000207</v>
      </c>
      <c r="AD1371">
        <v>-1.119223619047</v>
      </c>
      <c r="AE1371">
        <v>-7.7954999999999997</v>
      </c>
      <c r="AF1371">
        <v>7.2213149865894204</v>
      </c>
      <c r="AG1371">
        <v>-1.119223619047</v>
      </c>
      <c r="AH1371">
        <v>8.5851780035948995</v>
      </c>
      <c r="AI1371">
        <v>95.697358594230096</v>
      </c>
      <c r="AJ1371">
        <v>49.931551074810102</v>
      </c>
      <c r="AK1371">
        <v>11.2741000970535</v>
      </c>
      <c r="AL1371">
        <v>95.076159531774096</v>
      </c>
      <c r="AM1371">
        <v>73.721413068474504</v>
      </c>
      <c r="AN1371">
        <v>0.99999997955623698</v>
      </c>
    </row>
    <row r="1372" spans="1:40" x14ac:dyDescent="0.25">
      <c r="A1372" t="str">
        <f>"20190303154753483"</f>
        <v>20190303154753483</v>
      </c>
      <c r="B1372" t="str">
        <f>"1551599273481714"</f>
        <v>1551599273481714</v>
      </c>
      <c r="C1372" t="s">
        <v>40</v>
      </c>
      <c r="D1372">
        <v>5.4265290000000004</v>
      </c>
      <c r="E1372">
        <v>0.66648669999999899</v>
      </c>
      <c r="F1372" t="s">
        <v>46</v>
      </c>
      <c r="G1372">
        <v>-197.9118</v>
      </c>
      <c r="H1372" s="1">
        <v>-9.6086949999999997E-6</v>
      </c>
      <c r="I1372">
        <v>359.7167</v>
      </c>
      <c r="J1372">
        <v>-206.0883</v>
      </c>
      <c r="K1372">
        <v>1.119164</v>
      </c>
      <c r="L1372">
        <v>367.58089999999999</v>
      </c>
      <c r="M1372">
        <v>0.99797740000000001</v>
      </c>
      <c r="N1372">
        <v>-1.6134679999999998E-2</v>
      </c>
      <c r="O1372">
        <v>-6.1490070000000001E-2</v>
      </c>
      <c r="P1372">
        <v>0.93471000000000004</v>
      </c>
      <c r="Q1372">
        <v>-0.10242279999999999</v>
      </c>
      <c r="R1372">
        <v>-0.34033419999999998</v>
      </c>
      <c r="S1372">
        <v>2.3631289999999998</v>
      </c>
      <c r="T1372">
        <v>-0.31931900000000002</v>
      </c>
      <c r="U1372">
        <v>-2.2460939999999998</v>
      </c>
      <c r="V1372">
        <v>0.28176420000000002</v>
      </c>
      <c r="W1372">
        <v>-8.8442590000000001E-2</v>
      </c>
      <c r="X1372">
        <v>0.95539879999999999</v>
      </c>
      <c r="Y1372">
        <v>0.63965899999999998</v>
      </c>
      <c r="Z1372">
        <v>-3.6141659999999999E-2</v>
      </c>
      <c r="AA1372">
        <v>0.76780869999999901</v>
      </c>
      <c r="AB1372">
        <v>20</v>
      </c>
      <c r="AC1372">
        <v>8.1765000000000008</v>
      </c>
      <c r="AD1372">
        <v>-1.1191736086949999</v>
      </c>
      <c r="AE1372">
        <v>-7.8641999999999799</v>
      </c>
      <c r="AF1372">
        <v>7.2756670289897896</v>
      </c>
      <c r="AG1372">
        <v>-1.1191736086949999</v>
      </c>
      <c r="AH1372">
        <v>8.5613355038802208</v>
      </c>
      <c r="AI1372">
        <v>95.688600106502804</v>
      </c>
      <c r="AJ1372">
        <v>49.641168075029299</v>
      </c>
      <c r="AK1372">
        <v>11.290896593855001</v>
      </c>
      <c r="AL1372">
        <v>95.074016700937094</v>
      </c>
      <c r="AM1372">
        <v>73.568268692019402</v>
      </c>
      <c r="AN1372">
        <v>1.00000001158449</v>
      </c>
    </row>
    <row r="1373" spans="1:40" x14ac:dyDescent="0.25">
      <c r="A1373" t="str">
        <f>"20190303154753496"</f>
        <v>20190303154753496</v>
      </c>
      <c r="B1373" t="str">
        <f>"1551599273491474"</f>
        <v>1551599273491474</v>
      </c>
      <c r="C1373" t="s">
        <v>40</v>
      </c>
      <c r="D1373">
        <v>5.4146720000000004</v>
      </c>
      <c r="E1373">
        <v>0.66714549999999995</v>
      </c>
      <c r="F1373" t="s">
        <v>46</v>
      </c>
      <c r="G1373">
        <v>-197.83529999999999</v>
      </c>
      <c r="H1373" s="1">
        <v>-9.5983969999999996E-6</v>
      </c>
      <c r="I1373">
        <v>359.61070000000001</v>
      </c>
      <c r="J1373">
        <v>-205.97819999999999</v>
      </c>
      <c r="K1373">
        <v>1.1191139999999999</v>
      </c>
      <c r="L1373">
        <v>367.5718</v>
      </c>
      <c r="M1373">
        <v>0.99785100000000004</v>
      </c>
      <c r="N1373">
        <v>-1.6105189999999998E-2</v>
      </c>
      <c r="O1373">
        <v>-6.3514520000000005E-2</v>
      </c>
      <c r="P1373">
        <v>0.93307359999999995</v>
      </c>
      <c r="Q1373">
        <v>-0.10282520000000001</v>
      </c>
      <c r="R1373">
        <v>-0.34467490000000001</v>
      </c>
      <c r="S1373">
        <v>2.3487550000000001</v>
      </c>
      <c r="T1373">
        <v>-0.31851180000000001</v>
      </c>
      <c r="U1373">
        <v>-2.2682799999999999</v>
      </c>
      <c r="V1373">
        <v>0.28425149999999999</v>
      </c>
      <c r="W1373">
        <v>-8.893247E-2</v>
      </c>
      <c r="X1373">
        <v>0.95461620000000003</v>
      </c>
      <c r="Y1373">
        <v>0.64419630000000005</v>
      </c>
      <c r="Z1373">
        <v>-3.6221540000000003E-2</v>
      </c>
      <c r="AA1373">
        <v>0.76400199999999996</v>
      </c>
      <c r="AB1373">
        <v>20</v>
      </c>
      <c r="AC1373">
        <v>8.1428999999999903</v>
      </c>
      <c r="AD1373">
        <v>-1.119123598397</v>
      </c>
      <c r="AE1373">
        <v>-7.9610999999999796</v>
      </c>
      <c r="AF1373">
        <v>7.3567150041320604</v>
      </c>
      <c r="AG1373">
        <v>-1.119123598397</v>
      </c>
      <c r="AH1373">
        <v>8.5495980706354704</v>
      </c>
      <c r="AI1373">
        <v>95.666425187580799</v>
      </c>
      <c r="AJ1373">
        <v>49.288829471726601</v>
      </c>
      <c r="AK1373">
        <v>11.3344307510313</v>
      </c>
      <c r="AL1373">
        <v>95.102195885148703</v>
      </c>
      <c r="AM1373">
        <v>73.418299120355599</v>
      </c>
      <c r="AN1373">
        <v>0.99999999438749498</v>
      </c>
    </row>
    <row r="1374" spans="1:40" x14ac:dyDescent="0.25">
      <c r="A1374" t="str">
        <f>"20190303154753510"</f>
        <v>20190303154753510</v>
      </c>
      <c r="B1374" t="str">
        <f>"1551599273502210"</f>
        <v>1551599273502210</v>
      </c>
      <c r="C1374" t="s">
        <v>40</v>
      </c>
      <c r="D1374">
        <v>5.036835</v>
      </c>
      <c r="E1374">
        <v>0.66811709999999902</v>
      </c>
      <c r="F1374" t="s">
        <v>46</v>
      </c>
      <c r="G1374">
        <v>-197.75980000000001</v>
      </c>
      <c r="H1374" s="1">
        <v>-6.4779599999999901E-6</v>
      </c>
      <c r="I1374">
        <v>359.53680000000003</v>
      </c>
      <c r="J1374">
        <v>-205.85400000000001</v>
      </c>
      <c r="K1374">
        <v>1.119057</v>
      </c>
      <c r="L1374">
        <v>367.56119999999999</v>
      </c>
      <c r="M1374">
        <v>0.99769960000000002</v>
      </c>
      <c r="N1374">
        <v>-1.606923E-2</v>
      </c>
      <c r="O1374">
        <v>-6.5858150000000004E-2</v>
      </c>
      <c r="P1374">
        <v>0.9302319</v>
      </c>
      <c r="Q1374">
        <v>-0.1026673</v>
      </c>
      <c r="R1374">
        <v>-0.35231820000000003</v>
      </c>
      <c r="S1374">
        <v>2.336319</v>
      </c>
      <c r="T1374">
        <v>-0.3181406</v>
      </c>
      <c r="U1374">
        <v>-2.2841800000000001</v>
      </c>
      <c r="V1374">
        <v>0.28981469999999998</v>
      </c>
      <c r="W1374">
        <v>-8.8903159999999995E-2</v>
      </c>
      <c r="X1374">
        <v>0.95294480000000004</v>
      </c>
      <c r="Y1374">
        <v>0.64708969999999999</v>
      </c>
      <c r="Z1374">
        <v>-3.619965E-2</v>
      </c>
      <c r="AA1374">
        <v>0.76155410000000001</v>
      </c>
      <c r="AB1374">
        <v>20</v>
      </c>
      <c r="AC1374">
        <v>8.0942000000000007</v>
      </c>
      <c r="AD1374">
        <v>-1.1190634779599999</v>
      </c>
      <c r="AE1374">
        <v>-8.0243999999999502</v>
      </c>
      <c r="AF1374">
        <v>7.4024767979117598</v>
      </c>
      <c r="AG1374">
        <v>-1.1190634779599999</v>
      </c>
      <c r="AH1374">
        <v>8.5230016271486804</v>
      </c>
      <c r="AI1374">
        <v>95.661232110102603</v>
      </c>
      <c r="AJ1374">
        <v>49.024727567726899</v>
      </c>
      <c r="AK1374">
        <v>11.3441845254608</v>
      </c>
      <c r="AL1374">
        <v>95.100509521591405</v>
      </c>
      <c r="AM1374">
        <v>73.0841523711875</v>
      </c>
      <c r="AN1374">
        <v>1.00000006202055</v>
      </c>
    </row>
    <row r="1375" spans="1:40" x14ac:dyDescent="0.25">
      <c r="A1375" t="str">
        <f>"20190303154753525"</f>
        <v>20190303154753525</v>
      </c>
      <c r="B1375" t="str">
        <f>"1551599273521730"</f>
        <v>1551599273521730</v>
      </c>
      <c r="C1375" t="s">
        <v>40</v>
      </c>
      <c r="D1375">
        <v>5.4117739999999896</v>
      </c>
      <c r="E1375">
        <v>0.66939680000000001</v>
      </c>
      <c r="F1375" t="s">
        <v>46</v>
      </c>
      <c r="G1375">
        <v>-196.93</v>
      </c>
      <c r="H1375" s="1">
        <v>-6.05560399999999E-6</v>
      </c>
      <c r="I1375">
        <v>358.66230000000002</v>
      </c>
      <c r="J1375">
        <v>-205.7227</v>
      </c>
      <c r="K1375">
        <v>1.119</v>
      </c>
      <c r="L1375">
        <v>367.54969999999997</v>
      </c>
      <c r="M1375">
        <v>0.99752969999999996</v>
      </c>
      <c r="N1375">
        <v>-1.6027690000000001E-2</v>
      </c>
      <c r="O1375">
        <v>-6.8394060000000007E-2</v>
      </c>
      <c r="P1375">
        <v>0.92837840000000005</v>
      </c>
      <c r="Q1375">
        <v>-0.1024651</v>
      </c>
      <c r="R1375">
        <v>-0.35723189999999999</v>
      </c>
      <c r="S1375">
        <v>2.317612</v>
      </c>
      <c r="T1375">
        <v>-0.29062519999999997</v>
      </c>
      <c r="U1375">
        <v>-2.311096</v>
      </c>
      <c r="V1375">
        <v>0.29241260000000002</v>
      </c>
      <c r="W1375">
        <v>-8.8807339999999999E-2</v>
      </c>
      <c r="X1375">
        <v>0.95215970000000005</v>
      </c>
      <c r="Y1375">
        <v>0.65313669999999902</v>
      </c>
      <c r="Z1375">
        <v>-3.3892449999999998E-2</v>
      </c>
      <c r="AA1375">
        <v>0.75648119999999996</v>
      </c>
      <c r="AB1375">
        <v>20</v>
      </c>
      <c r="AC1375">
        <v>8.7926999999999893</v>
      </c>
      <c r="AD1375">
        <v>-1.119006055604</v>
      </c>
      <c r="AE1375">
        <v>-8.8873999999999498</v>
      </c>
      <c r="AF1375">
        <v>8.1994483601657304</v>
      </c>
      <c r="AG1375">
        <v>-1.119006055604</v>
      </c>
      <c r="AH1375">
        <v>9.3054783098257801</v>
      </c>
      <c r="AI1375">
        <v>95.155494141193003</v>
      </c>
      <c r="AJ1375">
        <v>48.615366169401597</v>
      </c>
      <c r="AK1375">
        <v>12.452913495971099</v>
      </c>
      <c r="AL1375">
        <v>95.094998040548901</v>
      </c>
      <c r="AM1375">
        <v>72.928038315472605</v>
      </c>
      <c r="AN1375">
        <v>0.99999998329036199</v>
      </c>
    </row>
    <row r="1376" spans="1:40" x14ac:dyDescent="0.25">
      <c r="A1376" t="str">
        <f>"20190303154753544"</f>
        <v>20190303154753544</v>
      </c>
      <c r="B1376" t="str">
        <f>"1551599273542226"</f>
        <v>1551599273542226</v>
      </c>
      <c r="C1376" t="s">
        <v>40</v>
      </c>
      <c r="D1376">
        <v>5.4166850000000002</v>
      </c>
      <c r="E1376">
        <v>0.66964729999999995</v>
      </c>
      <c r="F1376" t="s">
        <v>46</v>
      </c>
      <c r="G1376">
        <v>-196.1249</v>
      </c>
      <c r="H1376" s="1">
        <v>-5.6503290000000001E-6</v>
      </c>
      <c r="I1376">
        <v>357.8272</v>
      </c>
      <c r="J1376">
        <v>-205.5479</v>
      </c>
      <c r="K1376">
        <v>1.118922</v>
      </c>
      <c r="L1376">
        <v>367.53359999999998</v>
      </c>
      <c r="M1376">
        <v>0.99728510000000004</v>
      </c>
      <c r="N1376">
        <v>-1.5962710000000001E-2</v>
      </c>
      <c r="O1376">
        <v>-7.1886759999999994E-2</v>
      </c>
      <c r="P1376">
        <v>0.92536350000000001</v>
      </c>
      <c r="Q1376">
        <v>-9.9963860000000002E-2</v>
      </c>
      <c r="R1376">
        <v>-0.36566349999999997</v>
      </c>
      <c r="S1376">
        <v>2.3038020000000001</v>
      </c>
      <c r="T1376">
        <v>-0.26860079999999997</v>
      </c>
      <c r="U1376">
        <v>-2.3337400000000001</v>
      </c>
      <c r="V1376">
        <v>0.29770629999999998</v>
      </c>
      <c r="W1376">
        <v>-8.647167E-2</v>
      </c>
      <c r="X1376">
        <v>0.95073319999999995</v>
      </c>
      <c r="Y1376">
        <v>0.65680319999999903</v>
      </c>
      <c r="Z1376">
        <v>-3.1814469999999997E-2</v>
      </c>
      <c r="AA1376">
        <v>0.75339069999999997</v>
      </c>
      <c r="AB1376">
        <v>20</v>
      </c>
      <c r="AC1376">
        <v>9.423</v>
      </c>
      <c r="AD1376">
        <v>-1.118927650329</v>
      </c>
      <c r="AE1376">
        <v>-9.7063999999999702</v>
      </c>
      <c r="AF1376">
        <v>8.9426271425630599</v>
      </c>
      <c r="AG1376">
        <v>-1.118927650329</v>
      </c>
      <c r="AH1376">
        <v>10.0278619318238</v>
      </c>
      <c r="AI1376">
        <v>94.7604791880253</v>
      </c>
      <c r="AJ1376">
        <v>48.274121021975802</v>
      </c>
      <c r="AK1376">
        <v>13.4826033918267</v>
      </c>
      <c r="AL1376">
        <v>94.960656960036502</v>
      </c>
      <c r="AM1376">
        <v>72.612919996579294</v>
      </c>
      <c r="AN1376">
        <v>1.0000000041772501</v>
      </c>
    </row>
    <row r="1377" spans="1:40" x14ac:dyDescent="0.25">
      <c r="A1377" t="str">
        <f>"20190303154753554"</f>
        <v>20190303154753554</v>
      </c>
      <c r="B1377" t="str">
        <f>"1551599273551987"</f>
        <v>1551599273551987</v>
      </c>
      <c r="C1377" t="s">
        <v>40</v>
      </c>
      <c r="D1377">
        <v>5.3561249999999996</v>
      </c>
      <c r="E1377">
        <v>0.66973340000000003</v>
      </c>
      <c r="F1377" t="s">
        <v>46</v>
      </c>
      <c r="G1377">
        <v>-196.01089999999999</v>
      </c>
      <c r="H1377" s="1">
        <v>-5.5850629999999997E-6</v>
      </c>
      <c r="I1377">
        <v>357.68540000000002</v>
      </c>
      <c r="J1377">
        <v>-205.44630000000001</v>
      </c>
      <c r="K1377">
        <v>1.118878</v>
      </c>
      <c r="L1377">
        <v>367.52390000000003</v>
      </c>
      <c r="M1377">
        <v>0.99713269999999998</v>
      </c>
      <c r="N1377">
        <v>-1.591886E-2</v>
      </c>
      <c r="O1377">
        <v>-7.3979359999999994E-2</v>
      </c>
      <c r="P1377">
        <v>0.92377430000000005</v>
      </c>
      <c r="Q1377">
        <v>-9.8619579999999998E-2</v>
      </c>
      <c r="R1377">
        <v>-0.37002109999999999</v>
      </c>
      <c r="S1377">
        <v>2.2819370000000001</v>
      </c>
      <c r="T1377">
        <v>-0.267727299999999</v>
      </c>
      <c r="U1377">
        <v>-2.3563839999999998</v>
      </c>
      <c r="V1377">
        <v>0.300176</v>
      </c>
      <c r="W1377">
        <v>-8.5221859999999997E-2</v>
      </c>
      <c r="X1377">
        <v>0.95006919999999995</v>
      </c>
      <c r="Y1377">
        <v>0.6624196</v>
      </c>
      <c r="Z1377">
        <v>-3.1980660000000001E-2</v>
      </c>
      <c r="AA1377">
        <v>0.74845019999999995</v>
      </c>
      <c r="AB1377">
        <v>20</v>
      </c>
      <c r="AC1377">
        <v>9.4354000000000102</v>
      </c>
      <c r="AD1377">
        <v>-1.1188835850629999</v>
      </c>
      <c r="AE1377">
        <v>-9.8384999999999998</v>
      </c>
      <c r="AF1377">
        <v>9.0524332861929508</v>
      </c>
      <c r="AG1377">
        <v>-1.1188835850629999</v>
      </c>
      <c r="AH1377">
        <v>10.0696366900562</v>
      </c>
      <c r="AI1377">
        <v>94.723766972185899</v>
      </c>
      <c r="AJ1377">
        <v>48.044993636471702</v>
      </c>
      <c r="AK1377">
        <v>13.58661223218</v>
      </c>
      <c r="AL1377">
        <v>94.888783094812993</v>
      </c>
      <c r="AM1377">
        <v>72.465978838471003</v>
      </c>
      <c r="AN1377">
        <v>0.99999994059324704</v>
      </c>
    </row>
    <row r="1378" spans="1:40" x14ac:dyDescent="0.25">
      <c r="A1378" t="str">
        <f>"20190303154753567"</f>
        <v>20190303154753567</v>
      </c>
      <c r="B1378" t="str">
        <f>"1551599273561746"</f>
        <v>1551599273561746</v>
      </c>
      <c r="C1378" t="s">
        <v>40</v>
      </c>
      <c r="D1378">
        <v>5.3612469999999997</v>
      </c>
      <c r="E1378">
        <v>0.66977209999999998</v>
      </c>
      <c r="F1378" t="s">
        <v>46</v>
      </c>
      <c r="G1378">
        <v>-195.87520000000001</v>
      </c>
      <c r="H1378" s="1">
        <v>-5.5172149999999997E-6</v>
      </c>
      <c r="I1378">
        <v>357.54610000000002</v>
      </c>
      <c r="J1378">
        <v>-205.3408</v>
      </c>
      <c r="K1378">
        <v>1.118835</v>
      </c>
      <c r="L1378">
        <v>367.51350000000002</v>
      </c>
      <c r="M1378">
        <v>0.99696680000000004</v>
      </c>
      <c r="N1378">
        <v>-1.5868739999999999E-2</v>
      </c>
      <c r="O1378">
        <v>-7.6194059999999994E-2</v>
      </c>
      <c r="P1378">
        <v>0.92206750000000004</v>
      </c>
      <c r="Q1378">
        <v>-9.7384020000000002E-2</v>
      </c>
      <c r="R1378">
        <v>-0.3745772</v>
      </c>
      <c r="S1378">
        <v>2.2709350000000001</v>
      </c>
      <c r="T1378">
        <v>-0.26547659999999901</v>
      </c>
      <c r="U1378">
        <v>-2.367432</v>
      </c>
      <c r="V1378">
        <v>0.30274010000000001</v>
      </c>
      <c r="W1378">
        <v>-8.4087770000000006E-2</v>
      </c>
      <c r="X1378">
        <v>0.94935639999999999</v>
      </c>
      <c r="Y1378">
        <v>0.66434490000000002</v>
      </c>
      <c r="Z1378">
        <v>-3.1739509999999999E-2</v>
      </c>
      <c r="AA1378">
        <v>0.74675190000000002</v>
      </c>
      <c r="AB1378">
        <v>20</v>
      </c>
      <c r="AC1378">
        <v>9.4655999999999896</v>
      </c>
      <c r="AD1378">
        <v>-1.118840517215</v>
      </c>
      <c r="AE1378">
        <v>-9.9673999999999907</v>
      </c>
      <c r="AF1378">
        <v>9.1564412699738291</v>
      </c>
      <c r="AG1378">
        <v>-1.118840517215</v>
      </c>
      <c r="AH1378">
        <v>10.130512497499399</v>
      </c>
      <c r="AI1378">
        <v>94.684033406170201</v>
      </c>
      <c r="AJ1378">
        <v>47.891218195792497</v>
      </c>
      <c r="AK1378">
        <v>13.7010767567894</v>
      </c>
      <c r="AL1378">
        <v>94.823570390892797</v>
      </c>
      <c r="AM1378">
        <v>72.313046625474897</v>
      </c>
      <c r="AN1378">
        <v>0.99999994771626999</v>
      </c>
    </row>
    <row r="1379" spans="1:40" x14ac:dyDescent="0.25">
      <c r="A1379" t="str">
        <f>"20190303154753582"</f>
        <v>20190303154753582</v>
      </c>
      <c r="B1379" t="str">
        <f>"1551599273571506"</f>
        <v>1551599273571506</v>
      </c>
      <c r="C1379" t="s">
        <v>40</v>
      </c>
      <c r="D1379">
        <v>5.3671889999999998</v>
      </c>
      <c r="E1379">
        <v>0.66993349999999996</v>
      </c>
      <c r="F1379" t="s">
        <v>46</v>
      </c>
      <c r="G1379">
        <v>-195.74170000000001</v>
      </c>
      <c r="H1379" s="1">
        <v>-5.4495190000000004E-6</v>
      </c>
      <c r="I1379">
        <v>357.40609999999998</v>
      </c>
      <c r="J1379">
        <v>-205.21340000000001</v>
      </c>
      <c r="K1379">
        <v>1.118784</v>
      </c>
      <c r="L1379">
        <v>367.50069999999999</v>
      </c>
      <c r="M1379">
        <v>0.99675630000000004</v>
      </c>
      <c r="N1379">
        <v>-1.580343E-2</v>
      </c>
      <c r="O1379">
        <v>-7.8913220000000006E-2</v>
      </c>
      <c r="P1379">
        <v>0.92002059999999997</v>
      </c>
      <c r="Q1379">
        <v>-9.6475740000000004E-2</v>
      </c>
      <c r="R1379">
        <v>-0.3798088</v>
      </c>
      <c r="S1379">
        <v>2.2593230000000002</v>
      </c>
      <c r="T1379">
        <v>-0.26333990000000002</v>
      </c>
      <c r="U1379">
        <v>-2.3789669999999998</v>
      </c>
      <c r="V1379">
        <v>0.30552600000000002</v>
      </c>
      <c r="W1379">
        <v>-8.3303290000000002E-2</v>
      </c>
      <c r="X1379">
        <v>0.94853279999999995</v>
      </c>
      <c r="Y1379">
        <v>0.66606589999999999</v>
      </c>
      <c r="Z1379">
        <v>-3.1453750000000003E-2</v>
      </c>
      <c r="AA1379">
        <v>0.74522949999999999</v>
      </c>
      <c r="AB1379">
        <v>20</v>
      </c>
      <c r="AC1379">
        <v>9.4716999999999896</v>
      </c>
      <c r="AD1379">
        <v>-1.1187894495190001</v>
      </c>
      <c r="AE1379">
        <v>-10.0946</v>
      </c>
      <c r="AF1379">
        <v>9.2551187086235291</v>
      </c>
      <c r="AG1379">
        <v>-1.1187894495190001</v>
      </c>
      <c r="AH1379">
        <v>10.1724021540313</v>
      </c>
      <c r="AI1379">
        <v>94.6508222725152</v>
      </c>
      <c r="AJ1379">
        <v>47.7032510998175</v>
      </c>
      <c r="AK1379">
        <v>13.798067898311301</v>
      </c>
      <c r="AL1379">
        <v>94.778464371234904</v>
      </c>
      <c r="AM1379">
        <v>72.146054078672194</v>
      </c>
      <c r="AN1379">
        <v>1.00000002373833</v>
      </c>
    </row>
    <row r="1380" spans="1:40" x14ac:dyDescent="0.25">
      <c r="A1380" t="str">
        <f>"20190303154753599"</f>
        <v>20190303154753599</v>
      </c>
      <c r="B1380" t="str">
        <f>"1551599273592002"</f>
        <v>1551599273592002</v>
      </c>
      <c r="C1380" t="s">
        <v>40</v>
      </c>
      <c r="D1380">
        <v>5.3239809999999999</v>
      </c>
      <c r="E1380">
        <v>0.66998630000000003</v>
      </c>
      <c r="F1380" t="s">
        <v>46</v>
      </c>
      <c r="G1380">
        <v>-195.5813</v>
      </c>
      <c r="H1380" s="1">
        <v>-5.3679599999999897E-6</v>
      </c>
      <c r="I1380">
        <v>357.2373</v>
      </c>
      <c r="J1380">
        <v>-205.05699999999999</v>
      </c>
      <c r="K1380">
        <v>1.118716</v>
      </c>
      <c r="L1380">
        <v>367.48430000000002</v>
      </c>
      <c r="M1380">
        <v>0.99647850000000004</v>
      </c>
      <c r="N1380">
        <v>-1.5713919999999999E-2</v>
      </c>
      <c r="O1380">
        <v>-8.2364409999999999E-2</v>
      </c>
      <c r="P1380">
        <v>0.91638819999999999</v>
      </c>
      <c r="Q1380">
        <v>-9.4884250000000003E-2</v>
      </c>
      <c r="R1380">
        <v>-0.38888319999999998</v>
      </c>
      <c r="S1380">
        <v>2.2456209999999999</v>
      </c>
      <c r="T1380">
        <v>-0.26083460000000003</v>
      </c>
      <c r="U1380">
        <v>-2.3928219999999998</v>
      </c>
      <c r="V1380">
        <v>0.31158439999999998</v>
      </c>
      <c r="W1380">
        <v>-8.1904939999999996E-2</v>
      </c>
      <c r="X1380">
        <v>0.94668200000000002</v>
      </c>
      <c r="Y1380">
        <v>0.66794889999999996</v>
      </c>
      <c r="Z1380">
        <v>-3.1085089999999999E-2</v>
      </c>
      <c r="AA1380">
        <v>0.74355760000000004</v>
      </c>
      <c r="AB1380">
        <v>20</v>
      </c>
      <c r="AC1380">
        <v>9.4757000000000104</v>
      </c>
      <c r="AD1380">
        <v>-1.1187213679600001</v>
      </c>
      <c r="AE1380">
        <v>-10.247</v>
      </c>
      <c r="AF1380">
        <v>9.3714063436150905</v>
      </c>
      <c r="AG1380">
        <v>-1.1187213679600001</v>
      </c>
      <c r="AH1380">
        <v>10.221912064030301</v>
      </c>
      <c r="AI1380">
        <v>94.612148957979699</v>
      </c>
      <c r="AJ1380">
        <v>47.485531803867097</v>
      </c>
      <c r="AK1380">
        <v>13.912666193115101</v>
      </c>
      <c r="AL1380">
        <v>94.698070015673807</v>
      </c>
      <c r="AM1380">
        <v>71.781912466048297</v>
      </c>
      <c r="AN1380">
        <v>1.0000000333218799</v>
      </c>
    </row>
    <row r="1381" spans="1:40" x14ac:dyDescent="0.25">
      <c r="A1381" t="str">
        <f>"20190303154753613"</f>
        <v>20190303154753613</v>
      </c>
      <c r="B1381" t="str">
        <f>"1551599273601762"</f>
        <v>1551599273601762</v>
      </c>
      <c r="C1381" t="s">
        <v>40</v>
      </c>
      <c r="D1381">
        <v>5.3528449999999896</v>
      </c>
      <c r="E1381">
        <v>0.66997530000000005</v>
      </c>
      <c r="F1381" t="s">
        <v>46</v>
      </c>
      <c r="G1381">
        <v>-195.45429999999999</v>
      </c>
      <c r="H1381" s="1">
        <v>-5.2840409999999901E-6</v>
      </c>
      <c r="I1381">
        <v>357.04579999999999</v>
      </c>
      <c r="J1381">
        <v>-204.93379999999999</v>
      </c>
      <c r="K1381">
        <v>1.1186560000000001</v>
      </c>
      <c r="L1381">
        <v>367.47089999999997</v>
      </c>
      <c r="M1381">
        <v>0.99624369999999995</v>
      </c>
      <c r="N1381">
        <v>-1.563697E-2</v>
      </c>
      <c r="O1381">
        <v>-8.5170609999999994E-2</v>
      </c>
      <c r="P1381">
        <v>0.91410290000000005</v>
      </c>
      <c r="Q1381">
        <v>-9.4390290000000002E-2</v>
      </c>
      <c r="R1381">
        <v>-0.39434340000000001</v>
      </c>
      <c r="S1381">
        <v>2.2219540000000002</v>
      </c>
      <c r="T1381">
        <v>-0.25885940000000002</v>
      </c>
      <c r="U1381">
        <v>-2.4153440000000002</v>
      </c>
      <c r="V1381">
        <v>0.31454870000000001</v>
      </c>
      <c r="W1381">
        <v>-8.1553790000000001E-2</v>
      </c>
      <c r="X1381">
        <v>0.94573149999999995</v>
      </c>
      <c r="Y1381">
        <v>0.67325019999999902</v>
      </c>
      <c r="Z1381">
        <v>-3.1067649999999999E-2</v>
      </c>
      <c r="AA1381">
        <v>0.73876180000000002</v>
      </c>
      <c r="AB1381">
        <v>20</v>
      </c>
      <c r="AC1381">
        <v>9.4794999999999998</v>
      </c>
      <c r="AD1381">
        <v>-1.118661284041</v>
      </c>
      <c r="AE1381">
        <v>-10.425099999999899</v>
      </c>
      <c r="AF1381">
        <v>9.5197343400158996</v>
      </c>
      <c r="AG1381">
        <v>-1.118661284041</v>
      </c>
      <c r="AH1381">
        <v>10.268346866373699</v>
      </c>
      <c r="AI1381">
        <v>94.567731399279694</v>
      </c>
      <c r="AJ1381">
        <v>47.166551296589603</v>
      </c>
      <c r="AK1381">
        <v>14.0469104197705</v>
      </c>
      <c r="AL1381">
        <v>94.677883282862197</v>
      </c>
      <c r="AM1381">
        <v>71.602961816865999</v>
      </c>
      <c r="AN1381">
        <v>0.99999998771365195</v>
      </c>
    </row>
    <row r="1382" spans="1:40" x14ac:dyDescent="0.25">
      <c r="A1382" t="str">
        <f>"20190303154753627"</f>
        <v>20190303154753627</v>
      </c>
      <c r="B1382" t="str">
        <f>"1551599273622259"</f>
        <v>1551599273622259</v>
      </c>
      <c r="C1382" t="s">
        <v>40</v>
      </c>
      <c r="D1382">
        <v>5.312875</v>
      </c>
      <c r="E1382">
        <v>0.66992839999999998</v>
      </c>
      <c r="F1382" t="s">
        <v>46</v>
      </c>
      <c r="G1382">
        <v>-195.37260000000001</v>
      </c>
      <c r="H1382" s="1">
        <v>-5.2402369999999998E-6</v>
      </c>
      <c r="I1382">
        <v>356.95310000000001</v>
      </c>
      <c r="J1382">
        <v>-204.8133</v>
      </c>
      <c r="K1382">
        <v>1.118587</v>
      </c>
      <c r="L1382">
        <v>367.45740000000001</v>
      </c>
      <c r="M1382">
        <v>0.99600120000000003</v>
      </c>
      <c r="N1382">
        <v>-1.555819E-2</v>
      </c>
      <c r="O1382">
        <v>-8.7974070000000001E-2</v>
      </c>
      <c r="P1382">
        <v>0.91169040000000001</v>
      </c>
      <c r="Q1382">
        <v>-9.3638460000000007E-2</v>
      </c>
      <c r="R1382">
        <v>-0.40006520000000001</v>
      </c>
      <c r="S1382">
        <v>2.207611</v>
      </c>
      <c r="T1382">
        <v>-0.25829010000000002</v>
      </c>
      <c r="U1382">
        <v>-2.4284669999999999</v>
      </c>
      <c r="V1382">
        <v>0.3177953</v>
      </c>
      <c r="W1382">
        <v>-8.0953750000000005E-2</v>
      </c>
      <c r="X1382">
        <v>0.94469709999999996</v>
      </c>
      <c r="Y1382">
        <v>0.67554969999999903</v>
      </c>
      <c r="Z1382">
        <v>-3.0960959999999999E-2</v>
      </c>
      <c r="AA1382">
        <v>0.73666409999999904</v>
      </c>
      <c r="AB1382">
        <v>20</v>
      </c>
      <c r="AC1382">
        <v>9.4406999999999908</v>
      </c>
      <c r="AD1382">
        <v>-1.1185922402369901</v>
      </c>
      <c r="AE1382">
        <v>-10.504300000000001</v>
      </c>
      <c r="AF1382">
        <v>9.5728748637517995</v>
      </c>
      <c r="AG1382">
        <v>-1.1185922402369901</v>
      </c>
      <c r="AH1382">
        <v>10.263920123052699</v>
      </c>
      <c r="AI1382">
        <v>94.556774632605894</v>
      </c>
      <c r="AJ1382">
        <v>46.995179746136799</v>
      </c>
      <c r="AK1382">
        <v>14.079745667069901</v>
      </c>
      <c r="AL1382">
        <v>94.643389472134402</v>
      </c>
      <c r="AM1382">
        <v>71.407104407048905</v>
      </c>
      <c r="AN1382">
        <v>0.99999998654478095</v>
      </c>
    </row>
    <row r="1383" spans="1:40" x14ac:dyDescent="0.25">
      <c r="A1383" t="str">
        <f>"20190303154753639"</f>
        <v>20190303154753639</v>
      </c>
      <c r="B1383" t="str">
        <f>"1551599273632018"</f>
        <v>1551599273632018</v>
      </c>
      <c r="C1383" t="s">
        <v>40</v>
      </c>
      <c r="D1383">
        <v>5.3066139999999997</v>
      </c>
      <c r="E1383">
        <v>0.66991309999999904</v>
      </c>
      <c r="F1383" t="s">
        <v>46</v>
      </c>
      <c r="G1383">
        <v>-195.32759999999999</v>
      </c>
      <c r="H1383" s="1">
        <v>-5.207073E-6</v>
      </c>
      <c r="I1383">
        <v>356.89229999999998</v>
      </c>
      <c r="J1383">
        <v>-204.69839999999999</v>
      </c>
      <c r="K1383">
        <v>1.1185210000000001</v>
      </c>
      <c r="L1383">
        <v>367.44420000000002</v>
      </c>
      <c r="M1383">
        <v>0.99575749999999996</v>
      </c>
      <c r="N1383">
        <v>-1.547978E-2</v>
      </c>
      <c r="O1383">
        <v>-9.0704320000000005E-2</v>
      </c>
      <c r="P1383">
        <v>0.90926549999999995</v>
      </c>
      <c r="Q1383">
        <v>-9.2714710000000006E-2</v>
      </c>
      <c r="R1383">
        <v>-0.40575919999999999</v>
      </c>
      <c r="S1383">
        <v>2.1924739999999998</v>
      </c>
      <c r="T1383">
        <v>-0.25854460000000001</v>
      </c>
      <c r="U1383">
        <v>-2.4419559999999998</v>
      </c>
      <c r="V1383">
        <v>0.3210923</v>
      </c>
      <c r="W1383">
        <v>-8.0185320000000004E-2</v>
      </c>
      <c r="X1383">
        <v>0.94364720000000002</v>
      </c>
      <c r="Y1383">
        <v>0.678068</v>
      </c>
      <c r="Z1383">
        <v>-3.0951300000000001E-2</v>
      </c>
      <c r="AA1383">
        <v>0.73434719999999998</v>
      </c>
      <c r="AB1383">
        <v>20</v>
      </c>
      <c r="AC1383">
        <v>9.3707999999999991</v>
      </c>
      <c r="AD1383">
        <v>-1.11852620707299</v>
      </c>
      <c r="AE1383">
        <v>-10.5519</v>
      </c>
      <c r="AF1383">
        <v>9.5980238909190696</v>
      </c>
      <c r="AG1383">
        <v>-1.11852620707299</v>
      </c>
      <c r="AH1383">
        <v>10.225145691486899</v>
      </c>
      <c r="AI1383">
        <v>94.560107969655604</v>
      </c>
      <c r="AJ1383">
        <v>46.811993407335997</v>
      </c>
      <c r="AK1383">
        <v>14.068644849405199</v>
      </c>
      <c r="AL1383">
        <v>94.599218036890306</v>
      </c>
      <c r="AM1383">
        <v>71.208238890391101</v>
      </c>
      <c r="AN1383">
        <v>0.99999999436531595</v>
      </c>
    </row>
    <row r="1384" spans="1:40" x14ac:dyDescent="0.25">
      <c r="A1384" t="str">
        <f>"20190303154753654"</f>
        <v>20190303154753654</v>
      </c>
      <c r="B1384" t="str">
        <f>"1551599273651538"</f>
        <v>1551599273651538</v>
      </c>
      <c r="C1384" t="s">
        <v>40</v>
      </c>
      <c r="D1384">
        <v>5.3239859999999997</v>
      </c>
      <c r="E1384">
        <v>0.6697651</v>
      </c>
      <c r="F1384" t="s">
        <v>46</v>
      </c>
      <c r="G1384">
        <v>-195.2045</v>
      </c>
      <c r="H1384" s="1">
        <v>-5.108081E-6</v>
      </c>
      <c r="I1384">
        <v>356.73829999999998</v>
      </c>
      <c r="J1384">
        <v>-204.57490000000001</v>
      </c>
      <c r="K1384">
        <v>1.118436</v>
      </c>
      <c r="L1384">
        <v>367.42939999999999</v>
      </c>
      <c r="M1384">
        <v>0.9954769</v>
      </c>
      <c r="N1384">
        <v>-1.538283E-2</v>
      </c>
      <c r="O1384">
        <v>-9.3751619999999994E-2</v>
      </c>
      <c r="P1384">
        <v>0.90679480000000001</v>
      </c>
      <c r="Q1384">
        <v>-9.1646630000000007E-2</v>
      </c>
      <c r="R1384">
        <v>-0.41149010000000003</v>
      </c>
      <c r="S1384">
        <v>2.17746</v>
      </c>
      <c r="T1384">
        <v>-0.25653959999999998</v>
      </c>
      <c r="U1384">
        <v>-2.455444</v>
      </c>
      <c r="V1384">
        <v>0.3241367</v>
      </c>
      <c r="W1384">
        <v>-7.9299270000000005E-2</v>
      </c>
      <c r="X1384">
        <v>0.94268079999999999</v>
      </c>
      <c r="Y1384">
        <v>0.68036370000000002</v>
      </c>
      <c r="Z1384">
        <v>-3.068856E-2</v>
      </c>
      <c r="AA1384">
        <v>0.73223179999999999</v>
      </c>
      <c r="AB1384">
        <v>20</v>
      </c>
      <c r="AC1384">
        <v>9.3704000000000107</v>
      </c>
      <c r="AD1384">
        <v>-1.1184411080809999</v>
      </c>
      <c r="AE1384">
        <v>-10.6911</v>
      </c>
      <c r="AF1384">
        <v>9.7053365340887794</v>
      </c>
      <c r="AG1384">
        <v>-1.1184411080809999</v>
      </c>
      <c r="AH1384">
        <v>10.2679927052954</v>
      </c>
      <c r="AI1384">
        <v>94.526091734444293</v>
      </c>
      <c r="AJ1384">
        <v>46.613616835836197</v>
      </c>
      <c r="AK1384">
        <v>14.173078068936301</v>
      </c>
      <c r="AL1384">
        <v>94.548288752092304</v>
      </c>
      <c r="AM1384">
        <v>71.024690727490196</v>
      </c>
      <c r="AN1384">
        <v>1.0000000325990299</v>
      </c>
    </row>
    <row r="1385" spans="1:40" x14ac:dyDescent="0.25">
      <c r="A1385" t="str">
        <f>"20190303154753666"</f>
        <v>20190303154753666</v>
      </c>
      <c r="B1385" t="str">
        <f>"1551599273662275"</f>
        <v>1551599273662275</v>
      </c>
      <c r="C1385" t="s">
        <v>40</v>
      </c>
      <c r="D1385">
        <v>5.3417529999999998</v>
      </c>
      <c r="E1385">
        <v>0.66964099999999904</v>
      </c>
      <c r="F1385" t="s">
        <v>46</v>
      </c>
      <c r="G1385">
        <v>-195.14949999999999</v>
      </c>
      <c r="H1385" s="1">
        <v>-5.0652670000000002E-6</v>
      </c>
      <c r="I1385">
        <v>356.67259999999999</v>
      </c>
      <c r="J1385">
        <v>-204.46610000000001</v>
      </c>
      <c r="K1385">
        <v>1.1183620000000001</v>
      </c>
      <c r="L1385">
        <v>367.416</v>
      </c>
      <c r="M1385">
        <v>0.99521599999999999</v>
      </c>
      <c r="N1385">
        <v>-1.5293670000000001E-2</v>
      </c>
      <c r="O1385">
        <v>-9.6494969999999999E-2</v>
      </c>
      <c r="P1385">
        <v>0.90430410000000006</v>
      </c>
      <c r="Q1385">
        <v>-9.0277869999999996E-2</v>
      </c>
      <c r="R1385">
        <v>-0.4172341</v>
      </c>
      <c r="S1385">
        <v>2.162506</v>
      </c>
      <c r="T1385">
        <v>-0.25660680000000002</v>
      </c>
      <c r="U1385">
        <v>-2.4679570000000002</v>
      </c>
      <c r="V1385">
        <v>0.3274936</v>
      </c>
      <c r="W1385">
        <v>-7.8107049999999997E-2</v>
      </c>
      <c r="X1385">
        <v>0.94161950000000005</v>
      </c>
      <c r="Y1385">
        <v>0.68268649999999997</v>
      </c>
      <c r="Z1385">
        <v>-3.064356E-2</v>
      </c>
      <c r="AA1385">
        <v>0.73006850000000001</v>
      </c>
      <c r="AB1385">
        <v>20</v>
      </c>
      <c r="AC1385">
        <v>9.3166000000000206</v>
      </c>
      <c r="AD1385">
        <v>-1.1183670652669999</v>
      </c>
      <c r="AE1385">
        <v>-10.743399999999999</v>
      </c>
      <c r="AF1385">
        <v>9.7339385178433009</v>
      </c>
      <c r="AG1385">
        <v>-1.1183670652669999</v>
      </c>
      <c r="AH1385">
        <v>10.246543232519899</v>
      </c>
      <c r="AI1385">
        <v>94.524484703093904</v>
      </c>
      <c r="AJ1385">
        <v>46.469616493288299</v>
      </c>
      <c r="AK1385">
        <v>14.177163051108799</v>
      </c>
      <c r="AL1385">
        <v>94.479767057524796</v>
      </c>
      <c r="AM1385">
        <v>70.822415565791204</v>
      </c>
      <c r="AN1385">
        <v>1.00000002604045</v>
      </c>
    </row>
    <row r="1386" spans="1:40" x14ac:dyDescent="0.25">
      <c r="A1386" t="str">
        <f>"20190303154753678"</f>
        <v>20190303154753678</v>
      </c>
      <c r="B1386" t="str">
        <f>"1551599273672034"</f>
        <v>1551599273672034</v>
      </c>
      <c r="C1386" t="s">
        <v>40</v>
      </c>
      <c r="D1386">
        <v>5.3546839999999998</v>
      </c>
      <c r="E1386">
        <v>0.66950080000000001</v>
      </c>
      <c r="F1386" t="s">
        <v>46</v>
      </c>
      <c r="G1386">
        <v>-195.0087</v>
      </c>
      <c r="H1386" s="1">
        <v>-4.9499489999999997E-6</v>
      </c>
      <c r="I1386">
        <v>356.49209999999999</v>
      </c>
      <c r="J1386">
        <v>-204.35669999999999</v>
      </c>
      <c r="K1386">
        <v>1.118276</v>
      </c>
      <c r="L1386">
        <v>367.40230000000003</v>
      </c>
      <c r="M1386">
        <v>0.99493960000000004</v>
      </c>
      <c r="N1386">
        <v>-1.520023E-2</v>
      </c>
      <c r="O1386">
        <v>-9.9318429999999999E-2</v>
      </c>
      <c r="P1386">
        <v>0.90160019999999996</v>
      </c>
      <c r="Q1386">
        <v>-8.9359160000000007E-2</v>
      </c>
      <c r="R1386">
        <v>-0.42324000000000001</v>
      </c>
      <c r="S1386">
        <v>2.1475979999999999</v>
      </c>
      <c r="T1386">
        <v>-0.2539593</v>
      </c>
      <c r="U1386">
        <v>-2.4806210000000002</v>
      </c>
      <c r="V1386">
        <v>0.33106059999999998</v>
      </c>
      <c r="W1386">
        <v>-7.7378240000000001E-2</v>
      </c>
      <c r="X1386">
        <v>0.94043149999999998</v>
      </c>
      <c r="Y1386">
        <v>0.68500249999999996</v>
      </c>
      <c r="Z1386">
        <v>-3.034423E-2</v>
      </c>
      <c r="AA1386">
        <v>0.72790859999999902</v>
      </c>
      <c r="AB1386">
        <v>20</v>
      </c>
      <c r="AC1386">
        <v>9.3479999999999794</v>
      </c>
      <c r="AD1386">
        <v>-1.1182809499490001</v>
      </c>
      <c r="AE1386">
        <v>-10.9102</v>
      </c>
      <c r="AF1386">
        <v>9.8679248069440906</v>
      </c>
      <c r="AG1386">
        <v>-1.1182809499490001</v>
      </c>
      <c r="AH1386">
        <v>10.3229390268987</v>
      </c>
      <c r="AI1386">
        <v>94.477525406847306</v>
      </c>
      <c r="AJ1386">
        <v>46.290979061114399</v>
      </c>
      <c r="AK1386">
        <v>14.3244393409162</v>
      </c>
      <c r="AL1386">
        <v>94.437882851200001</v>
      </c>
      <c r="AM1386">
        <v>70.6063750737422</v>
      </c>
      <c r="AN1386">
        <v>0.99999995954505205</v>
      </c>
    </row>
    <row r="1387" spans="1:40" x14ac:dyDescent="0.25">
      <c r="A1387" t="str">
        <f>"20190303154753690"</f>
        <v>20190303154753690</v>
      </c>
      <c r="B1387" t="str">
        <f>"1551599273681794"</f>
        <v>1551599273681794</v>
      </c>
      <c r="C1387" t="s">
        <v>40</v>
      </c>
      <c r="D1387">
        <v>5.31142</v>
      </c>
      <c r="E1387">
        <v>0.66934039999999995</v>
      </c>
      <c r="F1387" t="s">
        <v>46</v>
      </c>
      <c r="G1387">
        <v>-194.91120000000001</v>
      </c>
      <c r="H1387" s="1">
        <v>-4.8630179999999999E-6</v>
      </c>
      <c r="I1387">
        <v>356.3519</v>
      </c>
      <c r="J1387">
        <v>-204.25360000000001</v>
      </c>
      <c r="K1387">
        <v>1.1181920000000001</v>
      </c>
      <c r="L1387">
        <v>367.3888</v>
      </c>
      <c r="M1387">
        <v>0.99466200000000005</v>
      </c>
      <c r="N1387">
        <v>-1.5115679999999999E-2</v>
      </c>
      <c r="O1387">
        <v>-0.10207339999999999</v>
      </c>
      <c r="P1387">
        <v>0.89891769999999904</v>
      </c>
      <c r="Q1387">
        <v>-8.8455110000000003E-2</v>
      </c>
      <c r="R1387">
        <v>-0.42909530000000001</v>
      </c>
      <c r="S1387">
        <v>2.1316830000000002</v>
      </c>
      <c r="T1387">
        <v>-0.25237690000000002</v>
      </c>
      <c r="U1387">
        <v>-2.4938959999999999</v>
      </c>
      <c r="V1387">
        <v>0.33454879999999998</v>
      </c>
      <c r="W1387">
        <v>-7.6655829999999994E-2</v>
      </c>
      <c r="X1387">
        <v>0.93925550000000002</v>
      </c>
      <c r="Y1387">
        <v>0.68759950000000003</v>
      </c>
      <c r="Z1387">
        <v>-3.017152E-2</v>
      </c>
      <c r="AA1387">
        <v>0.72546309999999903</v>
      </c>
      <c r="AB1387">
        <v>20</v>
      </c>
      <c r="AC1387">
        <v>9.3423999999999907</v>
      </c>
      <c r="AD1387">
        <v>-1.1181968630179999</v>
      </c>
      <c r="AE1387">
        <v>-11.036899999999999</v>
      </c>
      <c r="AF1387">
        <v>9.9659246204784893</v>
      </c>
      <c r="AG1387">
        <v>-1.1181968630179999</v>
      </c>
      <c r="AH1387">
        <v>10.3583527220225</v>
      </c>
      <c r="AI1387">
        <v>94.448218057004496</v>
      </c>
      <c r="AJ1387">
        <v>46.106149068212503</v>
      </c>
      <c r="AK1387">
        <v>14.4175410136178</v>
      </c>
      <c r="AL1387">
        <v>94.396368517354404</v>
      </c>
      <c r="AM1387">
        <v>70.3948592798844</v>
      </c>
      <c r="AN1387">
        <v>0.99999995506733796</v>
      </c>
    </row>
    <row r="1388" spans="1:40" x14ac:dyDescent="0.25">
      <c r="A1388" t="str">
        <f>"20190303154753704"</f>
        <v>20190303154753704</v>
      </c>
      <c r="B1388" t="str">
        <f>"1551599273691554"</f>
        <v>1551599273691554</v>
      </c>
      <c r="C1388" t="s">
        <v>40</v>
      </c>
      <c r="D1388">
        <v>5.3340199999999998</v>
      </c>
      <c r="E1388">
        <v>0.66915639999999998</v>
      </c>
      <c r="F1388" t="s">
        <v>46</v>
      </c>
      <c r="G1388">
        <v>-194.8399</v>
      </c>
      <c r="H1388" s="1">
        <v>-4.7940339999999998E-6</v>
      </c>
      <c r="I1388">
        <v>356.23770000000002</v>
      </c>
      <c r="J1388">
        <v>-204.13939999999999</v>
      </c>
      <c r="K1388">
        <v>1.1181000000000001</v>
      </c>
      <c r="L1388">
        <v>367.37360000000001</v>
      </c>
      <c r="M1388">
        <v>0.99433990000000005</v>
      </c>
      <c r="N1388">
        <v>-1.502479E-2</v>
      </c>
      <c r="O1388">
        <v>-0.1051771</v>
      </c>
      <c r="P1388">
        <v>0.89580689999999996</v>
      </c>
      <c r="Q1388">
        <v>-8.8031170000000006E-2</v>
      </c>
      <c r="R1388">
        <v>-0.43563800000000003</v>
      </c>
      <c r="S1388">
        <v>2.1160739999999998</v>
      </c>
      <c r="T1388">
        <v>-0.25135580000000002</v>
      </c>
      <c r="U1388">
        <v>-2.5066220000000001</v>
      </c>
      <c r="V1388">
        <v>0.33844010000000002</v>
      </c>
      <c r="W1388">
        <v>-7.6434840000000004E-2</v>
      </c>
      <c r="X1388">
        <v>0.9378784</v>
      </c>
      <c r="Y1388">
        <v>0.6897993</v>
      </c>
      <c r="Z1388">
        <v>-2.999493E-2</v>
      </c>
      <c r="AA1388">
        <v>0.72337910000000005</v>
      </c>
      <c r="AB1388">
        <v>20</v>
      </c>
      <c r="AC1388">
        <v>9.2994999999999894</v>
      </c>
      <c r="AD1388">
        <v>-1.1181047940340001</v>
      </c>
      <c r="AE1388">
        <v>-11.1358999999999</v>
      </c>
      <c r="AF1388">
        <v>10.0363071594041</v>
      </c>
      <c r="AG1388">
        <v>-1.1181047940340001</v>
      </c>
      <c r="AH1388">
        <v>10.3577647743074</v>
      </c>
      <c r="AI1388">
        <v>94.432966617611697</v>
      </c>
      <c r="AJ1388">
        <v>45.903038862499002</v>
      </c>
      <c r="AK1388">
        <v>14.465853270658901</v>
      </c>
      <c r="AL1388">
        <v>94.383669532563204</v>
      </c>
      <c r="AM1388">
        <v>70.157660437519297</v>
      </c>
      <c r="AN1388">
        <v>0.99999993962019595</v>
      </c>
    </row>
    <row r="1389" spans="1:40" x14ac:dyDescent="0.25">
      <c r="A1389" t="str">
        <f>"20190303154753717"</f>
        <v>20190303154753717</v>
      </c>
      <c r="B1389" t="str">
        <f>"1551599273712050"</f>
        <v>1551599273712050</v>
      </c>
      <c r="C1389" t="s">
        <v>40</v>
      </c>
      <c r="D1389">
        <v>5.2428619999999997</v>
      </c>
      <c r="E1389">
        <v>0.66905609999999904</v>
      </c>
      <c r="F1389" t="s">
        <v>46</v>
      </c>
      <c r="G1389">
        <v>-194.8295</v>
      </c>
      <c r="H1389" s="1">
        <v>-4.769876E-6</v>
      </c>
      <c r="I1389">
        <v>356.19080000000002</v>
      </c>
      <c r="J1389">
        <v>-204.01439999999999</v>
      </c>
      <c r="K1389">
        <v>1.1179920000000001</v>
      </c>
      <c r="L1389">
        <v>367.35640000000001</v>
      </c>
      <c r="M1389">
        <v>0.99396280000000004</v>
      </c>
      <c r="N1389">
        <v>-1.49342E-2</v>
      </c>
      <c r="O1389">
        <v>-0.10869669999999999</v>
      </c>
      <c r="P1389">
        <v>0.89248479999999997</v>
      </c>
      <c r="Q1389">
        <v>-8.7258340000000004E-2</v>
      </c>
      <c r="R1389">
        <v>-0.44255739999999999</v>
      </c>
      <c r="S1389">
        <v>2.0983890000000001</v>
      </c>
      <c r="T1389">
        <v>-0.25201370000000001</v>
      </c>
      <c r="U1389">
        <v>-2.5205380000000002</v>
      </c>
      <c r="V1389">
        <v>0.3423484</v>
      </c>
      <c r="W1389">
        <v>-7.5876879999999994E-2</v>
      </c>
      <c r="X1389">
        <v>0.93650429999999996</v>
      </c>
      <c r="Y1389">
        <v>0.69218299999999999</v>
      </c>
      <c r="Z1389">
        <v>-2.9955849999999999E-2</v>
      </c>
      <c r="AA1389">
        <v>0.72110010000000002</v>
      </c>
      <c r="AB1389">
        <v>20</v>
      </c>
      <c r="AC1389">
        <v>9.1849000000000007</v>
      </c>
      <c r="AD1389">
        <v>-1.1179967698760001</v>
      </c>
      <c r="AE1389">
        <v>-11.1655999999999</v>
      </c>
      <c r="AF1389">
        <v>10.0409091327169</v>
      </c>
      <c r="AG1389">
        <v>-1.1179967698760001</v>
      </c>
      <c r="AH1389">
        <v>10.282780065271099</v>
      </c>
      <c r="AI1389">
        <v>94.448065388883194</v>
      </c>
      <c r="AJ1389">
        <v>45.6818412389323</v>
      </c>
      <c r="AK1389">
        <v>14.4154548613517</v>
      </c>
      <c r="AL1389">
        <v>94.351607334397301</v>
      </c>
      <c r="AM1389">
        <v>69.919615439505094</v>
      </c>
      <c r="AN1389">
        <v>1.0000000159097899</v>
      </c>
    </row>
    <row r="1390" spans="1:40" x14ac:dyDescent="0.25">
      <c r="A1390" t="str">
        <f>"20190303154753732"</f>
        <v>20190303154753732</v>
      </c>
      <c r="B1390" t="str">
        <f>"1551599273721811"</f>
        <v>1551599273721811</v>
      </c>
      <c r="C1390" t="s">
        <v>40</v>
      </c>
      <c r="D1390">
        <v>5.2378869999999997</v>
      </c>
      <c r="E1390">
        <v>0.66912490000000002</v>
      </c>
      <c r="F1390" t="s">
        <v>46</v>
      </c>
      <c r="G1390">
        <v>-194.78</v>
      </c>
      <c r="H1390" s="1">
        <v>-4.7137299999999998E-6</v>
      </c>
      <c r="I1390">
        <v>356.09379999999999</v>
      </c>
      <c r="J1390">
        <v>-203.89150000000001</v>
      </c>
      <c r="K1390">
        <v>1.117882</v>
      </c>
      <c r="L1390">
        <v>367.33870000000002</v>
      </c>
      <c r="M1390">
        <v>0.99356500000000003</v>
      </c>
      <c r="N1390">
        <v>-1.4853649999999999E-2</v>
      </c>
      <c r="O1390">
        <v>-0.112285</v>
      </c>
      <c r="P1390">
        <v>0.88904570000000005</v>
      </c>
      <c r="Q1390">
        <v>-8.7345210000000006E-2</v>
      </c>
      <c r="R1390">
        <v>-0.44940920000000001</v>
      </c>
      <c r="S1390">
        <v>2.079269</v>
      </c>
      <c r="T1390">
        <v>-0.2517356</v>
      </c>
      <c r="U1390">
        <v>-2.5359500000000001</v>
      </c>
      <c r="V1390">
        <v>0.34614460000000002</v>
      </c>
      <c r="W1390">
        <v>-7.6170299999999996E-2</v>
      </c>
      <c r="X1390">
        <v>0.93508400000000003</v>
      </c>
      <c r="Y1390">
        <v>0.69497369999999903</v>
      </c>
      <c r="Z1390">
        <v>-2.9860680000000001E-2</v>
      </c>
      <c r="AA1390">
        <v>0.71841480000000002</v>
      </c>
      <c r="AB1390">
        <v>20</v>
      </c>
      <c r="AC1390">
        <v>9.1114999999999995</v>
      </c>
      <c r="AD1390">
        <v>-1.1178867137299999</v>
      </c>
      <c r="AE1390">
        <v>-11.244899999999999</v>
      </c>
      <c r="AF1390">
        <v>10.0903756465153</v>
      </c>
      <c r="AG1390">
        <v>-1.1178867137299999</v>
      </c>
      <c r="AH1390">
        <v>10.255455912816799</v>
      </c>
      <c r="AI1390">
        <v>94.442976006200198</v>
      </c>
      <c r="AJ1390">
        <v>45.464871389712499</v>
      </c>
      <c r="AK1390">
        <v>14.430513759816501</v>
      </c>
      <c r="AL1390">
        <v>94.368467737774793</v>
      </c>
      <c r="AM1390">
        <v>69.686713855593595</v>
      </c>
      <c r="AN1390">
        <v>1.00000004288362</v>
      </c>
    </row>
    <row r="1391" spans="1:40" x14ac:dyDescent="0.25">
      <c r="A1391" t="str">
        <f>"20190303154753746"</f>
        <v>20190303154753746</v>
      </c>
      <c r="B1391" t="str">
        <f>"1551599273742307"</f>
        <v>1551599273742307</v>
      </c>
      <c r="C1391" t="s">
        <v>40</v>
      </c>
      <c r="D1391">
        <v>3.2837580000000002</v>
      </c>
      <c r="E1391">
        <v>0.66912490000000002</v>
      </c>
      <c r="F1391" t="s">
        <v>46</v>
      </c>
      <c r="G1391">
        <v>-194.76750000000001</v>
      </c>
      <c r="H1391" s="1">
        <v>-4.6811550000000004E-6</v>
      </c>
      <c r="I1391">
        <v>356.0299</v>
      </c>
      <c r="J1391">
        <v>-203.77010000000001</v>
      </c>
      <c r="K1391">
        <v>1.1177760000000001</v>
      </c>
      <c r="L1391">
        <v>367.32089999999999</v>
      </c>
      <c r="M1391">
        <v>0.99314769999999997</v>
      </c>
      <c r="N1391">
        <v>-1.477904E-2</v>
      </c>
      <c r="O1391">
        <v>-0.11592810000000001</v>
      </c>
      <c r="P1391">
        <v>0.88359599999999905</v>
      </c>
      <c r="Q1391">
        <v>-8.7116910000000006E-2</v>
      </c>
      <c r="R1391">
        <v>-0.46007530000000002</v>
      </c>
      <c r="S1391">
        <v>2.0593569999999999</v>
      </c>
      <c r="T1391">
        <v>-0.2523146</v>
      </c>
      <c r="U1391">
        <v>-2.5524900000000001</v>
      </c>
      <c r="V1391">
        <v>0.35392570000000001</v>
      </c>
      <c r="W1391">
        <v>-7.6200370000000003E-2</v>
      </c>
      <c r="X1391">
        <v>0.9321642</v>
      </c>
      <c r="Y1391">
        <v>0.69798950000000004</v>
      </c>
      <c r="Z1391">
        <v>-2.9852879999999998E-2</v>
      </c>
      <c r="AA1391">
        <v>0.7154855</v>
      </c>
      <c r="AB1391">
        <v>20</v>
      </c>
      <c r="AC1391">
        <v>9.0025999999999993</v>
      </c>
      <c r="AD1391">
        <v>-1.117780681155</v>
      </c>
      <c r="AE1391">
        <v>-11.290999999999899</v>
      </c>
      <c r="AF1391">
        <v>10.1105093405827</v>
      </c>
      <c r="AG1391">
        <v>-1.117780681155</v>
      </c>
      <c r="AH1391">
        <v>10.189921554893999</v>
      </c>
      <c r="AI1391">
        <v>94.452563905168503</v>
      </c>
      <c r="AJ1391">
        <v>45.2241312776396</v>
      </c>
      <c r="AK1391">
        <v>14.3981364791444</v>
      </c>
      <c r="AL1391">
        <v>94.370195846156093</v>
      </c>
      <c r="AM1391">
        <v>69.209146111067994</v>
      </c>
      <c r="AN1391">
        <v>0.99999999663513295</v>
      </c>
    </row>
    <row r="1392" spans="1:40" x14ac:dyDescent="0.25">
      <c r="A1392" t="str">
        <f>"20190303154753766"</f>
        <v>20190303154753766</v>
      </c>
      <c r="B1392" t="str">
        <f>"1551599273761910"</f>
        <v>1551599273761910</v>
      </c>
      <c r="C1392" t="s">
        <v>40</v>
      </c>
      <c r="D1392">
        <v>3.2809499999999998</v>
      </c>
      <c r="E1392">
        <v>0.66885559999999999</v>
      </c>
      <c r="F1392" t="s">
        <v>46</v>
      </c>
      <c r="G1392">
        <v>-194.78489999999999</v>
      </c>
      <c r="H1392" s="1">
        <v>-4.6282489999999999E-6</v>
      </c>
      <c r="I1392">
        <v>355.90800000000002</v>
      </c>
      <c r="J1392">
        <v>-203.5847</v>
      </c>
      <c r="K1392">
        <v>1.117613</v>
      </c>
      <c r="L1392">
        <v>367.29239999999999</v>
      </c>
      <c r="M1392">
        <v>0.99245269999999997</v>
      </c>
      <c r="N1392">
        <v>-1.467687E-2</v>
      </c>
      <c r="O1392">
        <v>-0.1217462</v>
      </c>
      <c r="P1392">
        <v>0.87713779999999997</v>
      </c>
      <c r="Q1392">
        <v>-8.6685810000000002E-2</v>
      </c>
      <c r="R1392">
        <v>-0.4723502</v>
      </c>
      <c r="S1392">
        <v>2.0286409999999999</v>
      </c>
      <c r="T1392">
        <v>-0.25236999999999998</v>
      </c>
      <c r="U1392">
        <v>-2.5767820000000001</v>
      </c>
      <c r="V1392">
        <v>0.36140660000000002</v>
      </c>
      <c r="W1392">
        <v>-7.6107750000000002E-2</v>
      </c>
      <c r="X1392">
        <v>0.92929700000000004</v>
      </c>
      <c r="Y1392">
        <v>0.70232039999999996</v>
      </c>
      <c r="Z1392">
        <v>-2.9739660000000001E-2</v>
      </c>
      <c r="AA1392">
        <v>0.71123950000000002</v>
      </c>
      <c r="AB1392">
        <v>20</v>
      </c>
      <c r="AC1392">
        <v>8.7997999999999994</v>
      </c>
      <c r="AD1392">
        <v>-1.117617628249</v>
      </c>
      <c r="AE1392">
        <v>-11.3843999999999</v>
      </c>
      <c r="AF1392">
        <v>10.1669020088786</v>
      </c>
      <c r="AG1392">
        <v>-1.117617628249</v>
      </c>
      <c r="AH1392">
        <v>10.059792983055701</v>
      </c>
      <c r="AI1392">
        <v>94.468052420504094</v>
      </c>
      <c r="AJ1392">
        <v>44.696597107530401</v>
      </c>
      <c r="AK1392">
        <v>14.346232971865801</v>
      </c>
      <c r="AL1392">
        <v>94.364873565921201</v>
      </c>
      <c r="AM1392">
        <v>68.748781017725406</v>
      </c>
      <c r="AN1392">
        <v>1.0000000171713099</v>
      </c>
    </row>
    <row r="1393" spans="1:40" x14ac:dyDescent="0.25">
      <c r="A1393" t="str">
        <f>"20190303154753778"</f>
        <v>20190303154753778</v>
      </c>
      <c r="B1393" t="str">
        <f>"1551599273771667"</f>
        <v>1551599273771667</v>
      </c>
      <c r="C1393" t="s">
        <v>40</v>
      </c>
      <c r="D1393">
        <v>5.3694670000000002</v>
      </c>
      <c r="E1393">
        <v>0.66851539999999998</v>
      </c>
      <c r="F1393" t="s">
        <v>46</v>
      </c>
      <c r="G1393">
        <v>-194.83179999999999</v>
      </c>
      <c r="H1393" s="1">
        <v>-4.616193E-6</v>
      </c>
      <c r="I1393">
        <v>355.85980000000001</v>
      </c>
      <c r="J1393">
        <v>-203.48140000000001</v>
      </c>
      <c r="K1393">
        <v>1.117515</v>
      </c>
      <c r="L1393">
        <v>367.27609999999999</v>
      </c>
      <c r="M1393">
        <v>0.99203680000000005</v>
      </c>
      <c r="N1393">
        <v>-1.462454E-2</v>
      </c>
      <c r="O1393">
        <v>-0.125095699999999</v>
      </c>
      <c r="P1393">
        <v>0.87368069999999898</v>
      </c>
      <c r="Q1393">
        <v>-8.5946939999999999E-2</v>
      </c>
      <c r="R1393">
        <v>-0.47884759999999998</v>
      </c>
      <c r="S1393">
        <v>1.993134</v>
      </c>
      <c r="T1393">
        <v>-0.25449549999999999</v>
      </c>
      <c r="U1393">
        <v>-2.6033629999999999</v>
      </c>
      <c r="V1393">
        <v>0.36513909999999999</v>
      </c>
      <c r="W1393">
        <v>-7.5551850000000004E-2</v>
      </c>
      <c r="X1393">
        <v>0.92788219999999999</v>
      </c>
      <c r="Y1393">
        <v>0.70943730000000005</v>
      </c>
      <c r="Z1393">
        <v>-3.0214890000000001E-2</v>
      </c>
      <c r="AA1393">
        <v>0.70412059999999999</v>
      </c>
      <c r="AB1393">
        <v>20</v>
      </c>
      <c r="AC1393">
        <v>8.6496000000000102</v>
      </c>
      <c r="AD1393">
        <v>-1.1175196161929899</v>
      </c>
      <c r="AE1393">
        <v>-11.4162999999999</v>
      </c>
      <c r="AF1393">
        <v>10.182471910816</v>
      </c>
      <c r="AG1393">
        <v>-1.1175196161929899</v>
      </c>
      <c r="AH1393">
        <v>9.9493555128532591</v>
      </c>
      <c r="AI1393">
        <v>94.488392384377406</v>
      </c>
      <c r="AJ1393">
        <v>44.336573449880497</v>
      </c>
      <c r="AK1393">
        <v>14.280100119686701</v>
      </c>
      <c r="AL1393">
        <v>94.332930899995702</v>
      </c>
      <c r="AM1393">
        <v>68.519429019039706</v>
      </c>
      <c r="AN1393">
        <v>1.0000000107320299</v>
      </c>
    </row>
    <row r="1394" spans="1:40" x14ac:dyDescent="0.25">
      <c r="A1394" t="str">
        <f>"20190303154753789"</f>
        <v>20190303154753789</v>
      </c>
      <c r="B1394" t="str">
        <f>"1551599273782403"</f>
        <v>1551599273782403</v>
      </c>
      <c r="C1394" t="s">
        <v>40</v>
      </c>
      <c r="D1394">
        <v>5.3273429999999999</v>
      </c>
      <c r="E1394">
        <v>0.66816200000000003</v>
      </c>
      <c r="F1394" t="s">
        <v>46</v>
      </c>
      <c r="G1394">
        <v>-194.80950000000001</v>
      </c>
      <c r="H1394" s="1">
        <v>-4.5814790000000002E-6</v>
      </c>
      <c r="I1394">
        <v>355.79590000000002</v>
      </c>
      <c r="J1394">
        <v>-203.38829999999999</v>
      </c>
      <c r="K1394">
        <v>1.117429</v>
      </c>
      <c r="L1394">
        <v>367.26069999999999</v>
      </c>
      <c r="M1394">
        <v>0.99163829999999997</v>
      </c>
      <c r="N1394">
        <v>-1.458333E-2</v>
      </c>
      <c r="O1394">
        <v>-0.1282219</v>
      </c>
      <c r="P1394">
        <v>0.87040039999999996</v>
      </c>
      <c r="Q1394">
        <v>-8.5385039999999995E-2</v>
      </c>
      <c r="R1394">
        <v>-0.48488419999999999</v>
      </c>
      <c r="S1394">
        <v>1.975403</v>
      </c>
      <c r="T1394">
        <v>-0.25456430000000002</v>
      </c>
      <c r="U1394">
        <v>-2.6151119999999999</v>
      </c>
      <c r="V1394">
        <v>0.36861260000000001</v>
      </c>
      <c r="W1394">
        <v>-7.5152670000000005E-2</v>
      </c>
      <c r="X1394">
        <v>0.92654029999999998</v>
      </c>
      <c r="Y1394">
        <v>0.71176689999999998</v>
      </c>
      <c r="Z1394">
        <v>-3.0173729999999999E-2</v>
      </c>
      <c r="AA1394">
        <v>0.70176740000000004</v>
      </c>
      <c r="AB1394">
        <v>20</v>
      </c>
      <c r="AC1394">
        <v>8.5787999999999691</v>
      </c>
      <c r="AD1394">
        <v>-1.117433581479</v>
      </c>
      <c r="AE1394">
        <v>-11.464799999999901</v>
      </c>
      <c r="AF1394">
        <v>10.207871713811</v>
      </c>
      <c r="AG1394">
        <v>-1.117433581479</v>
      </c>
      <c r="AH1394">
        <v>9.9177677281223602</v>
      </c>
      <c r="AI1394">
        <v>94.489257814623898</v>
      </c>
      <c r="AJ1394">
        <v>44.174158766049899</v>
      </c>
      <c r="AK1394">
        <v>14.276253690783999</v>
      </c>
      <c r="AL1394">
        <v>94.309994191696703</v>
      </c>
      <c r="AM1394">
        <v>68.305475684917496</v>
      </c>
      <c r="AN1394">
        <v>1.00000005010548</v>
      </c>
    </row>
    <row r="1395" spans="1:40" x14ac:dyDescent="0.25">
      <c r="A1395" t="str">
        <f>"20190303154753801"</f>
        <v>20190303154753801</v>
      </c>
      <c r="B1395" t="str">
        <f>"1551599273792163"</f>
        <v>1551599273792163</v>
      </c>
      <c r="C1395" t="s">
        <v>40</v>
      </c>
      <c r="D1395">
        <v>5.2109940000000003</v>
      </c>
      <c r="E1395">
        <v>0.66826280000000005</v>
      </c>
      <c r="F1395" t="s">
        <v>46</v>
      </c>
      <c r="G1395">
        <v>-194.8125</v>
      </c>
      <c r="H1395" s="1">
        <v>-4.5653049999999997E-6</v>
      </c>
      <c r="I1395">
        <v>355.75970000000001</v>
      </c>
      <c r="J1395">
        <v>-203.2868</v>
      </c>
      <c r="K1395">
        <v>1.1173360000000001</v>
      </c>
      <c r="L1395">
        <v>367.24380000000002</v>
      </c>
      <c r="M1395">
        <v>0.99118799999999996</v>
      </c>
      <c r="N1395">
        <v>-1.453954E-2</v>
      </c>
      <c r="O1395">
        <v>-0.13166340000000001</v>
      </c>
      <c r="P1395">
        <v>0.86697190000000002</v>
      </c>
      <c r="Q1395">
        <v>-8.4482160000000001E-2</v>
      </c>
      <c r="R1395">
        <v>-0.49114469999999999</v>
      </c>
      <c r="S1395">
        <v>1.9584809999999999</v>
      </c>
      <c r="T1395">
        <v>-0.25519229999999998</v>
      </c>
      <c r="U1395">
        <v>-2.6265260000000001</v>
      </c>
      <c r="V1395">
        <v>0.3720464</v>
      </c>
      <c r="W1395">
        <v>-7.4422589999999997E-2</v>
      </c>
      <c r="X1395">
        <v>0.92522579999999999</v>
      </c>
      <c r="Y1395">
        <v>0.71368259999999994</v>
      </c>
      <c r="Z1395">
        <v>-3.0123649999999998E-2</v>
      </c>
      <c r="AA1395">
        <v>0.69982129999999998</v>
      </c>
      <c r="AB1395">
        <v>19</v>
      </c>
      <c r="AC1395">
        <v>8.4742999999999995</v>
      </c>
      <c r="AD1395">
        <v>-1.1173405653049999</v>
      </c>
      <c r="AE1395">
        <v>-11.4841</v>
      </c>
      <c r="AF1395">
        <v>10.2056810513656</v>
      </c>
      <c r="AG1395">
        <v>-1.1173405653049999</v>
      </c>
      <c r="AH1395">
        <v>9.85232239005148</v>
      </c>
      <c r="AI1395">
        <v>94.503730119334506</v>
      </c>
      <c r="AJ1395">
        <v>43.990733752174599</v>
      </c>
      <c r="AK1395">
        <v>14.2292878296346</v>
      </c>
      <c r="AL1395">
        <v>94.268046371446204</v>
      </c>
      <c r="AM1395">
        <v>68.094241933039001</v>
      </c>
      <c r="AN1395">
        <v>1.0000000133204501</v>
      </c>
    </row>
    <row r="1396" spans="1:40" x14ac:dyDescent="0.25">
      <c r="A1396" t="str">
        <f>"20190303154753814"</f>
        <v>20190303154753814</v>
      </c>
      <c r="B1396" t="str">
        <f>"1551599273801923"</f>
        <v>1551599273801923</v>
      </c>
      <c r="C1396" t="s">
        <v>40</v>
      </c>
      <c r="D1396">
        <v>5.374269</v>
      </c>
      <c r="E1396">
        <v>0.66789350000000003</v>
      </c>
      <c r="F1396" t="s">
        <v>46</v>
      </c>
      <c r="G1396">
        <v>-194.5951</v>
      </c>
      <c r="H1396" s="1">
        <v>-4.353242E-6</v>
      </c>
      <c r="I1396">
        <v>355.40800000000002</v>
      </c>
      <c r="J1396">
        <v>-203.173</v>
      </c>
      <c r="K1396">
        <v>1.117227</v>
      </c>
      <c r="L1396">
        <v>367.22399999999999</v>
      </c>
      <c r="M1396">
        <v>0.99064459999999999</v>
      </c>
      <c r="N1396">
        <v>-1.449921E-2</v>
      </c>
      <c r="O1396">
        <v>-0.13569500000000001</v>
      </c>
      <c r="P1396">
        <v>0.86324069999999997</v>
      </c>
      <c r="Q1396">
        <v>-8.3745890000000003E-2</v>
      </c>
      <c r="R1396">
        <v>-0.49779790000000002</v>
      </c>
      <c r="S1396">
        <v>1.9396819999999999</v>
      </c>
      <c r="T1396">
        <v>-0.2493523</v>
      </c>
      <c r="U1396">
        <v>-2.6413570000000002</v>
      </c>
      <c r="V1396">
        <v>0.37536799999999998</v>
      </c>
      <c r="W1396">
        <v>-7.3872309999999997E-2</v>
      </c>
      <c r="X1396">
        <v>0.92392739999999995</v>
      </c>
      <c r="Y1396">
        <v>0.71603260000000002</v>
      </c>
      <c r="Z1396">
        <v>-2.949854E-2</v>
      </c>
      <c r="AA1396">
        <v>0.69744340000000005</v>
      </c>
      <c r="AB1396">
        <v>19</v>
      </c>
      <c r="AC1396">
        <v>8.5778999999999996</v>
      </c>
      <c r="AD1396">
        <v>-1.117231353242</v>
      </c>
      <c r="AE1396">
        <v>-11.815999999999899</v>
      </c>
      <c r="AF1396">
        <v>10.481222110588099</v>
      </c>
      <c r="AG1396">
        <v>-1.117231353242</v>
      </c>
      <c r="AH1396">
        <v>10.0432837907302</v>
      </c>
      <c r="AI1396">
        <v>94.401025476802104</v>
      </c>
      <c r="AJ1396">
        <v>43.777646068841698</v>
      </c>
      <c r="AK1396">
        <v>14.5592503972318</v>
      </c>
      <c r="AL1396">
        <v>94.236430477780601</v>
      </c>
      <c r="AM1396">
        <v>67.889354357645502</v>
      </c>
      <c r="AN1396">
        <v>1.0000000470397401</v>
      </c>
    </row>
    <row r="1397" spans="1:40" x14ac:dyDescent="0.25">
      <c r="A1397" t="str">
        <f>"20190303154753829"</f>
        <v>20190303154753829</v>
      </c>
      <c r="B1397" t="str">
        <f>"1551599273821443"</f>
        <v>1551599273821443</v>
      </c>
      <c r="C1397" t="s">
        <v>40</v>
      </c>
      <c r="D1397">
        <v>5.3801750000000004</v>
      </c>
      <c r="E1397">
        <v>0.66748509999999905</v>
      </c>
      <c r="F1397" t="s">
        <v>46</v>
      </c>
      <c r="G1397">
        <v>-194.55420000000001</v>
      </c>
      <c r="H1397" s="1">
        <v>-4.301559E-6</v>
      </c>
      <c r="I1397">
        <v>355.31650000000002</v>
      </c>
      <c r="J1397">
        <v>-203.0395</v>
      </c>
      <c r="K1397">
        <v>1.117094</v>
      </c>
      <c r="L1397">
        <v>367.20010000000002</v>
      </c>
      <c r="M1397">
        <v>0.98996870000000003</v>
      </c>
      <c r="N1397">
        <v>-1.445723E-2</v>
      </c>
      <c r="O1397">
        <v>-0.14054630000000001</v>
      </c>
      <c r="P1397">
        <v>0.85931440000000003</v>
      </c>
      <c r="Q1397">
        <v>-8.2923730000000001E-2</v>
      </c>
      <c r="R1397">
        <v>-0.50468059999999904</v>
      </c>
      <c r="S1397">
        <v>1.9208069999999999</v>
      </c>
      <c r="T1397">
        <v>-0.2489893</v>
      </c>
      <c r="U1397">
        <v>-2.6537480000000002</v>
      </c>
      <c r="V1397">
        <v>0.37819340000000001</v>
      </c>
      <c r="W1397">
        <v>-7.3250319999999994E-2</v>
      </c>
      <c r="X1397">
        <v>0.92282399999999998</v>
      </c>
      <c r="Y1397">
        <v>0.71742550000000005</v>
      </c>
      <c r="Z1397">
        <v>-2.9232350000000001E-2</v>
      </c>
      <c r="AA1397">
        <v>0.69602159999999902</v>
      </c>
      <c r="AB1397">
        <v>19</v>
      </c>
      <c r="AC1397">
        <v>8.4852999999999899</v>
      </c>
      <c r="AD1397">
        <v>-1.1170983015589999</v>
      </c>
      <c r="AE1397">
        <v>-11.883599999999999</v>
      </c>
      <c r="AF1397">
        <v>10.511398139060301</v>
      </c>
      <c r="AG1397">
        <v>-1.1170983015589999</v>
      </c>
      <c r="AH1397">
        <v>10.012826676151001</v>
      </c>
      <c r="AI1397">
        <v>94.400268149337606</v>
      </c>
      <c r="AJ1397">
        <v>43.608452988036703</v>
      </c>
      <c r="AK1397">
        <v>14.560017084462</v>
      </c>
      <c r="AL1397">
        <v>94.200696476588703</v>
      </c>
      <c r="AM1397">
        <v>67.715111784675699</v>
      </c>
      <c r="AN1397">
        <v>0.99999999607983103</v>
      </c>
    </row>
    <row r="1398" spans="1:40" x14ac:dyDescent="0.25">
      <c r="A1398" t="str">
        <f>"20190303154753842"</f>
        <v>20190303154753842</v>
      </c>
      <c r="B1398" t="str">
        <f>"1551599273832179"</f>
        <v>1551599273832179</v>
      </c>
      <c r="C1398" t="s">
        <v>40</v>
      </c>
      <c r="D1398">
        <v>5.4178839999999999</v>
      </c>
      <c r="E1398">
        <v>0.66708330000000005</v>
      </c>
      <c r="F1398" t="s">
        <v>46</v>
      </c>
      <c r="G1398">
        <v>-194.11490000000001</v>
      </c>
      <c r="H1398" s="1">
        <v>-3.9140930000000004E-6</v>
      </c>
      <c r="I1398">
        <v>354.69380000000001</v>
      </c>
      <c r="J1398">
        <v>-202.93369999999999</v>
      </c>
      <c r="K1398">
        <v>1.116989</v>
      </c>
      <c r="L1398">
        <v>367.18079999999998</v>
      </c>
      <c r="M1398">
        <v>0.98940249999999996</v>
      </c>
      <c r="N1398">
        <v>-1.442745E-2</v>
      </c>
      <c r="O1398">
        <v>-0.14447969999999999</v>
      </c>
      <c r="P1398">
        <v>0.85577700000000001</v>
      </c>
      <c r="Q1398">
        <v>-8.2196409999999998E-2</v>
      </c>
      <c r="R1398">
        <v>-0.51077349999999999</v>
      </c>
      <c r="S1398">
        <v>1.9024509999999999</v>
      </c>
      <c r="T1398">
        <v>-0.23813019999999999</v>
      </c>
      <c r="U1398">
        <v>-2.6659549999999999</v>
      </c>
      <c r="V1398">
        <v>0.38105529999999999</v>
      </c>
      <c r="W1398">
        <v>-7.2690480000000002E-2</v>
      </c>
      <c r="X1398">
        <v>0.92169029999999996</v>
      </c>
      <c r="Y1398">
        <v>0.71949739999999995</v>
      </c>
      <c r="Z1398">
        <v>-2.8200220000000002E-2</v>
      </c>
      <c r="AA1398">
        <v>0.69392240000000005</v>
      </c>
      <c r="AB1398">
        <v>19</v>
      </c>
      <c r="AC1398">
        <v>8.81879999999998</v>
      </c>
      <c r="AD1398">
        <v>-1.1169929140929999</v>
      </c>
      <c r="AE1398">
        <v>-12.486999999999901</v>
      </c>
      <c r="AF1398">
        <v>11.0228362909903</v>
      </c>
      <c r="AG1398">
        <v>-1.1169929140929999</v>
      </c>
      <c r="AH1398">
        <v>10.4746349990296</v>
      </c>
      <c r="AI1398">
        <v>94.2012659545736</v>
      </c>
      <c r="AJ1398">
        <v>43.5392321656104</v>
      </c>
      <c r="AK1398">
        <v>15.2469200637704</v>
      </c>
      <c r="AL1398">
        <v>94.1685341311522</v>
      </c>
      <c r="AM1398">
        <v>67.538284056273</v>
      </c>
      <c r="AN1398">
        <v>1.0000000283274</v>
      </c>
    </row>
    <row r="1399" spans="1:40" x14ac:dyDescent="0.25">
      <c r="A1399" t="str">
        <f>"20190303154753856"</f>
        <v>20190303154753856</v>
      </c>
      <c r="B1399" t="str">
        <f>"1551599273851699"</f>
        <v>1551599273851699</v>
      </c>
      <c r="C1399" t="s">
        <v>40</v>
      </c>
      <c r="D1399">
        <v>5.4009839999999896</v>
      </c>
      <c r="E1399">
        <v>0.66626260000000004</v>
      </c>
      <c r="F1399" t="s">
        <v>46</v>
      </c>
      <c r="G1399">
        <v>-194.12459999999999</v>
      </c>
      <c r="H1399" s="1">
        <v>-3.90528E-6</v>
      </c>
      <c r="I1399">
        <v>354.6703</v>
      </c>
      <c r="J1399">
        <v>-202.80539999999999</v>
      </c>
      <c r="K1399">
        <v>1.1168689999999999</v>
      </c>
      <c r="L1399">
        <v>367.15620000000001</v>
      </c>
      <c r="M1399">
        <v>0.9886665</v>
      </c>
      <c r="N1399">
        <v>-1.439933E-2</v>
      </c>
      <c r="O1399">
        <v>-0.1494365</v>
      </c>
      <c r="P1399">
        <v>0.85029069999999995</v>
      </c>
      <c r="Q1399">
        <v>-8.1022739999999996E-2</v>
      </c>
      <c r="R1399">
        <v>-0.52003959999999905</v>
      </c>
      <c r="S1399">
        <v>1.8849180000000001</v>
      </c>
      <c r="T1399">
        <v>-0.239007</v>
      </c>
      <c r="U1399">
        <v>-2.6769099999999999</v>
      </c>
      <c r="V1399">
        <v>0.38640740000000001</v>
      </c>
      <c r="W1399">
        <v>-7.1746939999999995E-2</v>
      </c>
      <c r="X1399">
        <v>0.91953339999999995</v>
      </c>
      <c r="Y1399">
        <v>0.72038719999999901</v>
      </c>
      <c r="Z1399">
        <v>-2.8013070000000001E-2</v>
      </c>
      <c r="AA1399">
        <v>0.69300629999999996</v>
      </c>
      <c r="AB1399">
        <v>19</v>
      </c>
      <c r="AC1399">
        <v>8.6807999999999996</v>
      </c>
      <c r="AD1399">
        <v>-1.1168729052799999</v>
      </c>
      <c r="AE1399">
        <v>-12.485900000000001</v>
      </c>
      <c r="AF1399">
        <v>10.989031972486</v>
      </c>
      <c r="AG1399">
        <v>-1.1168729052799999</v>
      </c>
      <c r="AH1399">
        <v>10.3932860649694</v>
      </c>
      <c r="AI1399">
        <v>94.223092931253802</v>
      </c>
      <c r="AJ1399">
        <v>43.404059939141703</v>
      </c>
      <c r="AK1399">
        <v>15.166628630224899</v>
      </c>
      <c r="AL1399">
        <v>94.114331905063295</v>
      </c>
      <c r="AM1399">
        <v>67.206823246078002</v>
      </c>
      <c r="AN1399">
        <v>0.99999998794484102</v>
      </c>
    </row>
    <row r="1400" spans="1:40" x14ac:dyDescent="0.25">
      <c r="A1400" t="str">
        <f>"20190303154753868"</f>
        <v>20190303154753868</v>
      </c>
      <c r="B1400" t="str">
        <f>"1551599273861458"</f>
        <v>1551599273861458</v>
      </c>
      <c r="C1400" t="s">
        <v>40</v>
      </c>
      <c r="D1400">
        <v>5.4201860000000002</v>
      </c>
      <c r="E1400">
        <v>0.66587700000000005</v>
      </c>
      <c r="F1400" t="s">
        <v>46</v>
      </c>
      <c r="G1400">
        <v>-194.16810000000001</v>
      </c>
      <c r="H1400" s="1">
        <v>-3.9078799999999998E-6</v>
      </c>
      <c r="I1400">
        <v>354.65519999999998</v>
      </c>
      <c r="J1400">
        <v>-202.70400000000001</v>
      </c>
      <c r="K1400">
        <v>1.116771</v>
      </c>
      <c r="L1400">
        <v>367.13630000000001</v>
      </c>
      <c r="M1400">
        <v>0.98804919999999996</v>
      </c>
      <c r="N1400">
        <v>-1.438101E-2</v>
      </c>
      <c r="O1400">
        <v>-0.15346679999999999</v>
      </c>
      <c r="P1400">
        <v>0.84665140000000005</v>
      </c>
      <c r="Q1400">
        <v>-8.0475229999999995E-2</v>
      </c>
      <c r="R1400">
        <v>-0.52602789999999999</v>
      </c>
      <c r="S1400">
        <v>1.8593900000000001</v>
      </c>
      <c r="T1400">
        <v>-0.24043410000000001</v>
      </c>
      <c r="U1400">
        <v>-2.6911619999999998</v>
      </c>
      <c r="V1400">
        <v>0.38912259999999999</v>
      </c>
      <c r="W1400">
        <v>-7.135495E-2</v>
      </c>
      <c r="X1400">
        <v>0.91841819999999996</v>
      </c>
      <c r="Y1400">
        <v>0.72368209999999999</v>
      </c>
      <c r="Z1400">
        <v>-2.8122100000000001E-2</v>
      </c>
      <c r="AA1400">
        <v>0.68956030000000001</v>
      </c>
      <c r="AB1400">
        <v>19</v>
      </c>
      <c r="AC1400">
        <v>8.5358999999999892</v>
      </c>
      <c r="AD1400">
        <v>-1.11677490787999</v>
      </c>
      <c r="AE1400">
        <v>-12.4811</v>
      </c>
      <c r="AF1400">
        <v>10.963300227395299</v>
      </c>
      <c r="AG1400">
        <v>-1.11677490787999</v>
      </c>
      <c r="AH1400">
        <v>10.294240323338601</v>
      </c>
      <c r="AI1400">
        <v>94.246966705924905</v>
      </c>
      <c r="AJ1400">
        <v>43.197267552320099</v>
      </c>
      <c r="AK1400">
        <v>15.080202979586399</v>
      </c>
      <c r="AL1400">
        <v>94.091814940612906</v>
      </c>
      <c r="AM1400">
        <v>67.038218473023505</v>
      </c>
      <c r="AN1400">
        <v>0.99999995840574996</v>
      </c>
    </row>
    <row r="1401" spans="1:40" x14ac:dyDescent="0.25">
      <c r="A1401" t="str">
        <f>"20190303154753880"</f>
        <v>20190303154753880</v>
      </c>
      <c r="B1401" t="str">
        <f>"1551599273872196"</f>
        <v>1551599273872196</v>
      </c>
      <c r="C1401" t="s">
        <v>40</v>
      </c>
      <c r="D1401">
        <v>5.4630229999999997</v>
      </c>
      <c r="E1401">
        <v>0.66549320000000001</v>
      </c>
      <c r="F1401" t="s">
        <v>46</v>
      </c>
      <c r="G1401">
        <v>-194.17949999999999</v>
      </c>
      <c r="H1401" s="1">
        <v>-3.8995139999999996E-6</v>
      </c>
      <c r="I1401">
        <v>354.6318</v>
      </c>
      <c r="J1401">
        <v>-202.59739999999999</v>
      </c>
      <c r="K1401">
        <v>1.116668</v>
      </c>
      <c r="L1401">
        <v>367.11489999999998</v>
      </c>
      <c r="M1401">
        <v>0.98737319999999995</v>
      </c>
      <c r="N1401">
        <v>-1.436344E-2</v>
      </c>
      <c r="O1401">
        <v>-0.15775939999999999</v>
      </c>
      <c r="P1401">
        <v>0.84274660000000001</v>
      </c>
      <c r="Q1401">
        <v>-8.0161609999999994E-2</v>
      </c>
      <c r="R1401">
        <v>-0.53230840000000001</v>
      </c>
      <c r="S1401">
        <v>1.8418270000000001</v>
      </c>
      <c r="T1401">
        <v>-0.24129320000000001</v>
      </c>
      <c r="U1401">
        <v>-2.7017519999999999</v>
      </c>
      <c r="V1401">
        <v>0.39193509999999998</v>
      </c>
      <c r="W1401">
        <v>-7.1203870000000002E-2</v>
      </c>
      <c r="X1401">
        <v>0.91723330000000003</v>
      </c>
      <c r="Y1401">
        <v>0.72499099999999905</v>
      </c>
      <c r="Z1401">
        <v>-2.8007399999999998E-2</v>
      </c>
      <c r="AA1401">
        <v>0.68818859999999904</v>
      </c>
      <c r="AB1401">
        <v>19</v>
      </c>
      <c r="AC1401">
        <v>8.4178999999999995</v>
      </c>
      <c r="AD1401">
        <v>-1.1166718995139999</v>
      </c>
      <c r="AE1401">
        <v>-12.483099999999901</v>
      </c>
      <c r="AF1401">
        <v>10.9384396957514</v>
      </c>
      <c r="AG1401">
        <v>-1.1166718995139999</v>
      </c>
      <c r="AH1401">
        <v>10.2257458618179</v>
      </c>
      <c r="AI1401">
        <v>94.264934765844103</v>
      </c>
      <c r="AJ1401">
        <v>43.071320810842501</v>
      </c>
      <c r="AK1401">
        <v>15.015402010577001</v>
      </c>
      <c r="AL1401">
        <v>94.0831363669636</v>
      </c>
      <c r="AM1401">
        <v>66.862912132889804</v>
      </c>
      <c r="AN1401">
        <v>1.0000000201719299</v>
      </c>
    </row>
    <row r="1402" spans="1:40" x14ac:dyDescent="0.25">
      <c r="A1402" t="str">
        <f>"20190303154753891"</f>
        <v>20190303154753891</v>
      </c>
      <c r="B1402" t="str">
        <f>"1551599273881956"</f>
        <v>1551599273881956</v>
      </c>
      <c r="C1402" t="s">
        <v>40</v>
      </c>
      <c r="D1402">
        <v>5.471317</v>
      </c>
      <c r="E1402">
        <v>0.66507479999999997</v>
      </c>
      <c r="F1402" t="s">
        <v>46</v>
      </c>
      <c r="G1402">
        <v>-194.22989999999999</v>
      </c>
      <c r="H1402" s="1">
        <v>-3.9246770000000003E-6</v>
      </c>
      <c r="I1402">
        <v>354.66180000000003</v>
      </c>
      <c r="J1402">
        <v>-202.49969999999999</v>
      </c>
      <c r="K1402">
        <v>1.1165659999999999</v>
      </c>
      <c r="L1402">
        <v>367.09449999999998</v>
      </c>
      <c r="M1402">
        <v>0.98671010000000003</v>
      </c>
      <c r="N1402">
        <v>-1.435295E-2</v>
      </c>
      <c r="O1402">
        <v>-0.16185649999999999</v>
      </c>
      <c r="P1402">
        <v>0.83900110000000006</v>
      </c>
      <c r="Q1402">
        <v>-7.9931050000000003E-2</v>
      </c>
      <c r="R1402">
        <v>-0.53822720000000002</v>
      </c>
      <c r="S1402">
        <v>1.8229519999999999</v>
      </c>
      <c r="T1402">
        <v>-0.24328079999999999</v>
      </c>
      <c r="U1402">
        <v>-2.7130740000000002</v>
      </c>
      <c r="V1402">
        <v>0.394561</v>
      </c>
      <c r="W1402">
        <v>-7.1120069999999994E-2</v>
      </c>
      <c r="X1402">
        <v>0.91611330000000002</v>
      </c>
      <c r="Y1402">
        <v>0.72672930000000002</v>
      </c>
      <c r="Z1402">
        <v>-2.8030329999999999E-2</v>
      </c>
      <c r="AA1402">
        <v>0.68635190000000001</v>
      </c>
      <c r="AB1402">
        <v>19</v>
      </c>
      <c r="AC1402">
        <v>8.2698</v>
      </c>
      <c r="AD1402">
        <v>-1.116569924677</v>
      </c>
      <c r="AE1402">
        <v>-12.432699999999899</v>
      </c>
      <c r="AF1402">
        <v>10.869296183897299</v>
      </c>
      <c r="AG1402">
        <v>-1.116569924677</v>
      </c>
      <c r="AH1402">
        <v>10.116685428155099</v>
      </c>
      <c r="AI1402">
        <v>94.300298600049203</v>
      </c>
      <c r="AJ1402">
        <v>42.946107620968498</v>
      </c>
      <c r="AK1402">
        <v>14.8907908447545</v>
      </c>
      <c r="AL1402">
        <v>94.078322807485407</v>
      </c>
      <c r="AM1402">
        <v>66.698930041221601</v>
      </c>
      <c r="AN1402">
        <v>1.0000000127573401</v>
      </c>
    </row>
    <row r="1403" spans="1:40" x14ac:dyDescent="0.25">
      <c r="A1403" t="str">
        <f>"20190303154753905"</f>
        <v>20190303154753905</v>
      </c>
      <c r="B1403" t="str">
        <f>"1551599273902451"</f>
        <v>1551599273902451</v>
      </c>
      <c r="C1403" t="s">
        <v>40</v>
      </c>
      <c r="D1403">
        <v>5.5406279999999999</v>
      </c>
      <c r="E1403">
        <v>0.66415139999999995</v>
      </c>
      <c r="F1403" t="s">
        <v>46</v>
      </c>
      <c r="G1403">
        <v>-194.30090000000001</v>
      </c>
      <c r="H1403" s="1">
        <v>-3.9737620000000002E-6</v>
      </c>
      <c r="I1403">
        <v>354.73340000000002</v>
      </c>
      <c r="J1403">
        <v>-202.39240000000001</v>
      </c>
      <c r="K1403">
        <v>1.1164639999999999</v>
      </c>
      <c r="L1403">
        <v>367.07170000000002</v>
      </c>
      <c r="M1403">
        <v>0.98595200000000005</v>
      </c>
      <c r="N1403">
        <v>-1.4342590000000001E-2</v>
      </c>
      <c r="O1403">
        <v>-0.16641239999999999</v>
      </c>
      <c r="P1403">
        <v>0.83516119999999905</v>
      </c>
      <c r="Q1403">
        <v>-7.9208899999999999E-2</v>
      </c>
      <c r="R1403">
        <v>-0.54427209999999904</v>
      </c>
      <c r="S1403">
        <v>1.8057559999999999</v>
      </c>
      <c r="T1403">
        <v>-0.24591950000000001</v>
      </c>
      <c r="U1403">
        <v>-2.7224729999999999</v>
      </c>
      <c r="V1403">
        <v>0.39691929999999997</v>
      </c>
      <c r="W1403">
        <v>-7.0548410000000006E-2</v>
      </c>
      <c r="X1403">
        <v>0.91513820000000001</v>
      </c>
      <c r="Y1403">
        <v>0.72762519999999997</v>
      </c>
      <c r="Z1403">
        <v>-2.8008789999999999E-2</v>
      </c>
      <c r="AA1403">
        <v>0.68540290000000004</v>
      </c>
      <c r="AB1403">
        <v>19</v>
      </c>
      <c r="AC1403">
        <v>8.0914999999999893</v>
      </c>
      <c r="AD1403">
        <v>-1.11646797376199</v>
      </c>
      <c r="AE1403">
        <v>-12.3383</v>
      </c>
      <c r="AF1403">
        <v>10.7579618132341</v>
      </c>
      <c r="AG1403">
        <v>-1.11646797376199</v>
      </c>
      <c r="AH1403">
        <v>9.9749949347131608</v>
      </c>
      <c r="AI1403">
        <v>94.351879937402302</v>
      </c>
      <c r="AJ1403">
        <v>42.837289180248398</v>
      </c>
      <c r="AK1403">
        <v>14.713285393106201</v>
      </c>
      <c r="AL1403">
        <v>94.045486806419504</v>
      </c>
      <c r="AM1403">
        <v>66.552364891781806</v>
      </c>
      <c r="AN1403">
        <v>0.99999996698262805</v>
      </c>
    </row>
    <row r="1404" spans="1:40" x14ac:dyDescent="0.25">
      <c r="A1404" t="str">
        <f>"20190303154753920"</f>
        <v>20190303154753920</v>
      </c>
      <c r="B1404" t="str">
        <f>"1551599273912211"</f>
        <v>1551599273912211</v>
      </c>
      <c r="C1404" t="s">
        <v>40</v>
      </c>
      <c r="D1404">
        <v>5.5404900000000001</v>
      </c>
      <c r="E1404">
        <v>0.66374609999999901</v>
      </c>
      <c r="F1404" t="s">
        <v>46</v>
      </c>
      <c r="G1404">
        <v>-194.4452</v>
      </c>
      <c r="H1404" s="1">
        <v>-4.1073309999999901E-6</v>
      </c>
      <c r="I1404">
        <v>354.95139999999998</v>
      </c>
      <c r="J1404">
        <v>-202.26130000000001</v>
      </c>
      <c r="K1404">
        <v>1.1163430000000001</v>
      </c>
      <c r="L1404">
        <v>367.04300000000001</v>
      </c>
      <c r="M1404">
        <v>0.98497109999999999</v>
      </c>
      <c r="N1404">
        <v>-1.433399E-2</v>
      </c>
      <c r="O1404">
        <v>-0.17212339999999901</v>
      </c>
      <c r="P1404">
        <v>0.83052359999999903</v>
      </c>
      <c r="Q1404">
        <v>-7.8618240000000006E-2</v>
      </c>
      <c r="R1404">
        <v>-0.55140719999999899</v>
      </c>
      <c r="S1404">
        <v>1.789612</v>
      </c>
      <c r="T1404">
        <v>-0.25141289999999999</v>
      </c>
      <c r="U1404">
        <v>-2.7293090000000002</v>
      </c>
      <c r="V1404">
        <v>0.39942709999999998</v>
      </c>
      <c r="W1404">
        <v>-7.0129860000000002E-2</v>
      </c>
      <c r="X1404">
        <v>0.91407870000000002</v>
      </c>
      <c r="Y1404">
        <v>0.72720560000000001</v>
      </c>
      <c r="Z1404">
        <v>-2.802928E-2</v>
      </c>
      <c r="AA1404">
        <v>0.68584709999999904</v>
      </c>
      <c r="AB1404">
        <v>19</v>
      </c>
      <c r="AC1404">
        <v>7.8160999999999996</v>
      </c>
      <c r="AD1404">
        <v>-1.1163471073310001</v>
      </c>
      <c r="AE1404">
        <v>-12.0916</v>
      </c>
      <c r="AF1404">
        <v>10.502489708580899</v>
      </c>
      <c r="AG1404">
        <v>-1.1163471073310001</v>
      </c>
      <c r="AH1404">
        <v>9.7224356688772993</v>
      </c>
      <c r="AI1404">
        <v>94.460142120041795</v>
      </c>
      <c r="AJ1404">
        <v>42.791256997590601</v>
      </c>
      <c r="AK1404">
        <v>14.3552873979712</v>
      </c>
      <c r="AL1404">
        <v>94.021445826792998</v>
      </c>
      <c r="AM1404">
        <v>66.396003267734898</v>
      </c>
      <c r="AN1404">
        <v>1.00000003763585</v>
      </c>
    </row>
    <row r="1405" spans="1:40" x14ac:dyDescent="0.25">
      <c r="A1405" t="str">
        <f>"20190303154753936"</f>
        <v>20190303154753936</v>
      </c>
      <c r="B1405" t="str">
        <f>"1551599273931731"</f>
        <v>1551599273931731</v>
      </c>
      <c r="C1405" t="s">
        <v>40</v>
      </c>
      <c r="D1405">
        <v>5.191865</v>
      </c>
      <c r="E1405">
        <v>0.66301569999999899</v>
      </c>
      <c r="F1405" t="s">
        <v>46</v>
      </c>
      <c r="G1405">
        <v>-194.47210000000001</v>
      </c>
      <c r="H1405" s="1">
        <v>-4.1173649999999998E-6</v>
      </c>
      <c r="I1405">
        <v>354.96010000000001</v>
      </c>
      <c r="J1405">
        <v>-202.12530000000001</v>
      </c>
      <c r="K1405">
        <v>1.1162299999999901</v>
      </c>
      <c r="L1405">
        <v>367.01190000000003</v>
      </c>
      <c r="M1405">
        <v>0.98387979999999997</v>
      </c>
      <c r="N1405">
        <v>-1.433092E-2</v>
      </c>
      <c r="O1405">
        <v>-0.1782562</v>
      </c>
      <c r="P1405">
        <v>0.82449089999999903</v>
      </c>
      <c r="Q1405">
        <v>-7.6893009999999998E-2</v>
      </c>
      <c r="R1405">
        <v>-0.56062719999999999</v>
      </c>
      <c r="S1405">
        <v>1.7676540000000001</v>
      </c>
      <c r="T1405">
        <v>-0.25334250000000003</v>
      </c>
      <c r="U1405">
        <v>-2.7420650000000002</v>
      </c>
      <c r="V1405">
        <v>0.4038775</v>
      </c>
      <c r="W1405">
        <v>-6.8607429999999997E-2</v>
      </c>
      <c r="X1405">
        <v>0.91223679999999996</v>
      </c>
      <c r="Y1405">
        <v>0.72824390000000006</v>
      </c>
      <c r="Z1405">
        <v>-2.7834089999999999E-2</v>
      </c>
      <c r="AA1405">
        <v>0.68475249999999999</v>
      </c>
      <c r="AB1405">
        <v>19</v>
      </c>
      <c r="AC1405">
        <v>7.6531999999999902</v>
      </c>
      <c r="AD1405">
        <v>-1.1162341173649999</v>
      </c>
      <c r="AE1405">
        <v>-12.0518</v>
      </c>
      <c r="AF1405">
        <v>10.4306048549832</v>
      </c>
      <c r="AG1405">
        <v>-1.1162341173649999</v>
      </c>
      <c r="AH1405">
        <v>9.6203193595339105</v>
      </c>
      <c r="AI1405">
        <v>94.497909983403602</v>
      </c>
      <c r="AJ1405">
        <v>42.685857723533204</v>
      </c>
      <c r="AK1405">
        <v>14.233553345001001</v>
      </c>
      <c r="AL1405">
        <v>93.934006535132397</v>
      </c>
      <c r="AM1405">
        <v>66.119438295959</v>
      </c>
      <c r="AN1405">
        <v>0.99999999686584695</v>
      </c>
    </row>
    <row r="1406" spans="1:40" x14ac:dyDescent="0.25">
      <c r="A1406" t="str">
        <f>"20190303154753957"</f>
        <v>20190303154753957</v>
      </c>
      <c r="B1406" t="str">
        <f>"1551599273952227"</f>
        <v>1551599273952227</v>
      </c>
      <c r="C1406" t="s">
        <v>40</v>
      </c>
      <c r="D1406">
        <v>5.6273999999999997</v>
      </c>
      <c r="E1406">
        <v>0.66221790000000003</v>
      </c>
      <c r="F1406" t="s">
        <v>46</v>
      </c>
      <c r="G1406">
        <v>-194.27369999999999</v>
      </c>
      <c r="H1406" s="1">
        <v>-3.8970189999999996E-6</v>
      </c>
      <c r="I1406">
        <v>354.5829</v>
      </c>
      <c r="J1406">
        <v>-201.94220000000001</v>
      </c>
      <c r="K1406">
        <v>1.1160760000000001</v>
      </c>
      <c r="L1406">
        <v>366.96850000000001</v>
      </c>
      <c r="M1406">
        <v>0.98229929999999999</v>
      </c>
      <c r="N1406">
        <v>-1.433274E-2</v>
      </c>
      <c r="O1406">
        <v>-0.18676960000000001</v>
      </c>
      <c r="P1406">
        <v>0.81735249999999904</v>
      </c>
      <c r="Q1406">
        <v>-7.4789820000000007E-2</v>
      </c>
      <c r="R1406">
        <v>-0.57126350000000004</v>
      </c>
      <c r="S1406">
        <v>1.7412719999999999</v>
      </c>
      <c r="T1406">
        <v>-0.2475504</v>
      </c>
      <c r="U1406">
        <v>-2.7564090000000001</v>
      </c>
      <c r="V1406">
        <v>0.40775070000000002</v>
      </c>
      <c r="W1406">
        <v>-6.6739160000000006E-2</v>
      </c>
      <c r="X1406">
        <v>0.91065099999999999</v>
      </c>
      <c r="Y1406">
        <v>0.72870619999999997</v>
      </c>
      <c r="Z1406">
        <v>-2.6858050000000001E-2</v>
      </c>
      <c r="AA1406">
        <v>0.68429960000000001</v>
      </c>
      <c r="AB1406">
        <v>19</v>
      </c>
      <c r="AC1406">
        <v>7.6685000000000203</v>
      </c>
      <c r="AD1406">
        <v>-1.116079897019</v>
      </c>
      <c r="AE1406">
        <v>-12.3856</v>
      </c>
      <c r="AF1406">
        <v>10.6725786240375</v>
      </c>
      <c r="AG1406">
        <v>-1.116079897019</v>
      </c>
      <c r="AH1406">
        <v>9.78956286451041</v>
      </c>
      <c r="AI1406">
        <v>94.406768955221196</v>
      </c>
      <c r="AJ1406">
        <v>42.529012008887698</v>
      </c>
      <c r="AK1406">
        <v>14.525326498946299</v>
      </c>
      <c r="AL1406">
        <v>93.826716576568799</v>
      </c>
      <c r="AM1406">
        <v>65.879199219811994</v>
      </c>
      <c r="AN1406">
        <v>0.99999999631449699</v>
      </c>
    </row>
    <row r="1407" spans="1:40" x14ac:dyDescent="0.25">
      <c r="A1407" t="str">
        <f>"20190303154753969"</f>
        <v>20190303154753969</v>
      </c>
      <c r="B1407" t="str">
        <f>"1551599273961987"</f>
        <v>1551599273961987</v>
      </c>
      <c r="C1407" t="s">
        <v>40</v>
      </c>
      <c r="D1407">
        <v>5.5991920000000004</v>
      </c>
      <c r="E1407">
        <v>0.66176250000000003</v>
      </c>
      <c r="F1407" t="s">
        <v>46</v>
      </c>
      <c r="G1407">
        <v>-194.1944</v>
      </c>
      <c r="H1407" s="1">
        <v>-3.785861E-6</v>
      </c>
      <c r="I1407">
        <v>354.39699999999999</v>
      </c>
      <c r="J1407">
        <v>-201.8415</v>
      </c>
      <c r="K1407">
        <v>1.115993</v>
      </c>
      <c r="L1407">
        <v>366.94369999999998</v>
      </c>
      <c r="M1407">
        <v>0.98136650000000003</v>
      </c>
      <c r="N1407">
        <v>-1.4337880000000001E-2</v>
      </c>
      <c r="O1407">
        <v>-0.1916099</v>
      </c>
      <c r="P1407">
        <v>0.81352800000000003</v>
      </c>
      <c r="Q1407">
        <v>-7.4077379999999998E-2</v>
      </c>
      <c r="R1407">
        <v>-0.57678869999999904</v>
      </c>
      <c r="S1407">
        <v>1.7093509999999901</v>
      </c>
      <c r="T1407">
        <v>-0.24623419999999999</v>
      </c>
      <c r="U1407">
        <v>-2.77359</v>
      </c>
      <c r="V1407">
        <v>0.40941040000000001</v>
      </c>
      <c r="W1407">
        <v>-6.6145319999999994E-2</v>
      </c>
      <c r="X1407">
        <v>0.90994940000000002</v>
      </c>
      <c r="Y1407">
        <v>0.73291899999999999</v>
      </c>
      <c r="Z1407">
        <v>-2.676949E-2</v>
      </c>
      <c r="AA1407">
        <v>0.67978899999999998</v>
      </c>
      <c r="AB1407">
        <v>19</v>
      </c>
      <c r="AC1407">
        <v>7.6470999999999902</v>
      </c>
      <c r="AD1407">
        <v>-1.115996785861</v>
      </c>
      <c r="AE1407">
        <v>-12.5466999999999</v>
      </c>
      <c r="AF1407">
        <v>10.7865411618882</v>
      </c>
      <c r="AG1407">
        <v>-1.115996785861</v>
      </c>
      <c r="AH1407">
        <v>9.8528595169374604</v>
      </c>
      <c r="AI1407">
        <v>94.368344936632596</v>
      </c>
      <c r="AJ1407">
        <v>42.409829348523402</v>
      </c>
      <c r="AK1407">
        <v>14.651749374175999</v>
      </c>
      <c r="AL1407">
        <v>93.792616704658798</v>
      </c>
      <c r="AM1407">
        <v>65.775754163540796</v>
      </c>
      <c r="AN1407">
        <v>0.999999994773211</v>
      </c>
    </row>
    <row r="1408" spans="1:40" x14ac:dyDescent="0.25">
      <c r="A1408" t="str">
        <f>"20190303154753983"</f>
        <v>20190303154753983</v>
      </c>
      <c r="B1408" t="str">
        <f>"1551599273971747"</f>
        <v>1551599273971747</v>
      </c>
      <c r="C1408" t="s">
        <v>40</v>
      </c>
      <c r="D1408">
        <v>5.603523</v>
      </c>
      <c r="E1408">
        <v>0.66128339999999997</v>
      </c>
      <c r="F1408" t="s">
        <v>46</v>
      </c>
      <c r="G1408">
        <v>-194.22120000000001</v>
      </c>
      <c r="H1408" s="1">
        <v>-3.8018199999999999E-6</v>
      </c>
      <c r="I1408">
        <v>354.4169</v>
      </c>
      <c r="J1408">
        <v>-201.72479999999999</v>
      </c>
      <c r="K1408">
        <v>1.1158980000000001</v>
      </c>
      <c r="L1408">
        <v>366.91430000000003</v>
      </c>
      <c r="M1408">
        <v>0.98023640000000001</v>
      </c>
      <c r="N1408">
        <v>-1.4345470000000001E-2</v>
      </c>
      <c r="O1408">
        <v>-0.19730880000000001</v>
      </c>
      <c r="P1408">
        <v>0.80914750000000002</v>
      </c>
      <c r="Q1408">
        <v>-7.3223339999999998E-2</v>
      </c>
      <c r="R1408">
        <v>-0.58302569999999998</v>
      </c>
      <c r="S1408">
        <v>1.6925049999999999</v>
      </c>
      <c r="T1408">
        <v>-0.24786540000000001</v>
      </c>
      <c r="U1408">
        <v>-2.7822269999999998</v>
      </c>
      <c r="V1408">
        <v>0.41109390000000001</v>
      </c>
      <c r="W1408">
        <v>-6.5423469999999997E-2</v>
      </c>
      <c r="X1408">
        <v>0.90924229999999995</v>
      </c>
      <c r="Y1408">
        <v>0.73289899999999997</v>
      </c>
      <c r="Z1408">
        <v>-2.6502189999999998E-2</v>
      </c>
      <c r="AA1408">
        <v>0.67982100000000001</v>
      </c>
      <c r="AB1408">
        <v>19</v>
      </c>
      <c r="AC1408">
        <v>7.5035999999999703</v>
      </c>
      <c r="AD1408">
        <v>-1.11590180182</v>
      </c>
      <c r="AE1408">
        <v>-12.497400000000001</v>
      </c>
      <c r="AF1408">
        <v>10.7082358268195</v>
      </c>
      <c r="AG1408">
        <v>-1.11590180182</v>
      </c>
      <c r="AH1408">
        <v>9.7649349144942494</v>
      </c>
      <c r="AI1408">
        <v>94.403133720555999</v>
      </c>
      <c r="AJ1408">
        <v>42.361963871078899</v>
      </c>
      <c r="AK1408">
        <v>14.534975240377699</v>
      </c>
      <c r="AL1408">
        <v>93.751167969582298</v>
      </c>
      <c r="AM1408">
        <v>65.670942324122905</v>
      </c>
      <c r="AN1408">
        <v>0.99999999257667005</v>
      </c>
    </row>
    <row r="1409" spans="1:40" x14ac:dyDescent="0.25">
      <c r="A1409" t="str">
        <f>"20190303154753995"</f>
        <v>20190303154753995</v>
      </c>
      <c r="B1409" t="str">
        <f>"1551599273992243"</f>
        <v>1551599273992243</v>
      </c>
      <c r="C1409" t="s">
        <v>40</v>
      </c>
      <c r="D1409">
        <v>5.6067309999999999</v>
      </c>
      <c r="E1409">
        <v>0.66037319999999999</v>
      </c>
      <c r="F1409" t="s">
        <v>46</v>
      </c>
      <c r="G1409">
        <v>-194.23070000000001</v>
      </c>
      <c r="H1409" s="1">
        <v>-3.801447E-6</v>
      </c>
      <c r="I1409">
        <v>354.41199999999998</v>
      </c>
      <c r="J1409">
        <v>-201.6191</v>
      </c>
      <c r="K1409">
        <v>1.1158140000000001</v>
      </c>
      <c r="L1409">
        <v>366.88679999999999</v>
      </c>
      <c r="M1409">
        <v>0.97915399999999997</v>
      </c>
      <c r="N1409">
        <v>-1.4355949999999999E-2</v>
      </c>
      <c r="O1409">
        <v>-0.20261129999999999</v>
      </c>
      <c r="P1409">
        <v>0.8051701</v>
      </c>
      <c r="Q1409">
        <v>-7.2459709999999997E-2</v>
      </c>
      <c r="R1409">
        <v>-0.58860049999999997</v>
      </c>
      <c r="S1409">
        <v>1.6734469999999999</v>
      </c>
      <c r="T1409">
        <v>-0.24918319999999999</v>
      </c>
      <c r="U1409">
        <v>-2.7918090000000002</v>
      </c>
      <c r="V1409">
        <v>0.41243180000000002</v>
      </c>
      <c r="W1409">
        <v>-6.4772739999999995E-2</v>
      </c>
      <c r="X1409">
        <v>0.90868280000000001</v>
      </c>
      <c r="Y1409">
        <v>0.733649199999999</v>
      </c>
      <c r="Z1409">
        <v>-2.629654E-2</v>
      </c>
      <c r="AA1409">
        <v>0.67901940000000005</v>
      </c>
      <c r="AB1409">
        <v>19</v>
      </c>
      <c r="AC1409">
        <v>7.3883999999999901</v>
      </c>
      <c r="AD1409">
        <v>-1.1158178014469999</v>
      </c>
      <c r="AE1409">
        <v>-12.4748</v>
      </c>
      <c r="AF1409">
        <v>10.6557685067803</v>
      </c>
      <c r="AG1409">
        <v>-1.1158178014469999</v>
      </c>
      <c r="AH1409">
        <v>9.7054385741158793</v>
      </c>
      <c r="AI1409">
        <v>94.426795915984201</v>
      </c>
      <c r="AJ1409">
        <v>42.3277415524541</v>
      </c>
      <c r="AK1409">
        <v>14.456347732122801</v>
      </c>
      <c r="AL1409">
        <v>93.713804738814403</v>
      </c>
      <c r="AM1409">
        <v>65.587712241593906</v>
      </c>
      <c r="AN1409">
        <v>0.99999996425709303</v>
      </c>
    </row>
    <row r="1410" spans="1:40" x14ac:dyDescent="0.25">
      <c r="A1410" t="str">
        <f>"20190303154754007"</f>
        <v>20190303154754007</v>
      </c>
      <c r="B1410" t="str">
        <f>"1551599274002002"</f>
        <v>1551599274002002</v>
      </c>
      <c r="C1410" t="s">
        <v>40</v>
      </c>
      <c r="D1410">
        <v>5.9046510000000003</v>
      </c>
      <c r="E1410">
        <v>0.65991719999999998</v>
      </c>
      <c r="F1410" t="s">
        <v>46</v>
      </c>
      <c r="G1410">
        <v>-194.33269999999999</v>
      </c>
      <c r="H1410" s="1">
        <v>-3.9143010000000002E-6</v>
      </c>
      <c r="I1410">
        <v>354.59120000000001</v>
      </c>
      <c r="J1410">
        <v>-201.5154</v>
      </c>
      <c r="K1410">
        <v>1.1157319999999999</v>
      </c>
      <c r="L1410">
        <v>366.85899999999998</v>
      </c>
      <c r="M1410">
        <v>0.97804270000000004</v>
      </c>
      <c r="N1410">
        <v>-1.4367609999999999E-2</v>
      </c>
      <c r="O1410">
        <v>-0.20790819999999999</v>
      </c>
      <c r="P1410">
        <v>0.80113859999999903</v>
      </c>
      <c r="Q1410">
        <v>-7.1976490000000004E-2</v>
      </c>
      <c r="R1410">
        <v>-0.59413499999999997</v>
      </c>
      <c r="S1410">
        <v>1.657913</v>
      </c>
      <c r="T1410">
        <v>-0.25388820000000001</v>
      </c>
      <c r="U1410">
        <v>-2.7976679999999998</v>
      </c>
      <c r="V1410">
        <v>0.41375580000000001</v>
      </c>
      <c r="W1410">
        <v>-6.4396439999999999E-2</v>
      </c>
      <c r="X1410">
        <v>0.90810749999999996</v>
      </c>
      <c r="Y1410">
        <v>0.73333099999999996</v>
      </c>
      <c r="Z1410">
        <v>-2.6237409999999999E-2</v>
      </c>
      <c r="AA1410">
        <v>0.67936540000000001</v>
      </c>
      <c r="AB1410">
        <v>19</v>
      </c>
      <c r="AC1410">
        <v>7.1827000000000103</v>
      </c>
      <c r="AD1410">
        <v>-1.1157359143009999</v>
      </c>
      <c r="AE1410">
        <v>-12.267799999999999</v>
      </c>
      <c r="AF1410">
        <v>10.441854262007899</v>
      </c>
      <c r="AG1410">
        <v>-1.1157359143009999</v>
      </c>
      <c r="AH1410">
        <v>9.5179230885085992</v>
      </c>
      <c r="AI1410">
        <v>94.515212816508793</v>
      </c>
      <c r="AJ1410">
        <v>42.349690118302703</v>
      </c>
      <c r="AK1410">
        <v>14.1727924904811</v>
      </c>
      <c r="AL1410">
        <v>93.692199105826802</v>
      </c>
      <c r="AM1410">
        <v>65.504839520810705</v>
      </c>
      <c r="AN1410">
        <v>0.99999999753728097</v>
      </c>
    </row>
    <row r="1411" spans="1:40" x14ac:dyDescent="0.25">
      <c r="A1411" t="str">
        <f>"20190303154754018"</f>
        <v>20190303154754018</v>
      </c>
      <c r="B1411" t="str">
        <f>"1551599274011763"</f>
        <v>1551599274011763</v>
      </c>
      <c r="C1411" t="s">
        <v>40</v>
      </c>
      <c r="D1411">
        <v>5.9261790000000003</v>
      </c>
      <c r="E1411">
        <v>0.65946419999999994</v>
      </c>
      <c r="F1411" t="s">
        <v>46</v>
      </c>
      <c r="G1411">
        <v>-194.4699</v>
      </c>
      <c r="H1411" s="1">
        <v>-4.0486069999999996E-6</v>
      </c>
      <c r="I1411">
        <v>354.81360000000001</v>
      </c>
      <c r="J1411">
        <v>-201.41669999999999</v>
      </c>
      <c r="K1411">
        <v>1.1156549999999901</v>
      </c>
      <c r="L1411">
        <v>366.8322</v>
      </c>
      <c r="M1411">
        <v>0.97694360000000002</v>
      </c>
      <c r="N1411">
        <v>-1.4379390000000001E-2</v>
      </c>
      <c r="O1411">
        <v>-0.21301310000000001</v>
      </c>
      <c r="P1411">
        <v>0.79730179999999995</v>
      </c>
      <c r="Q1411">
        <v>-7.1230210000000002E-2</v>
      </c>
      <c r="R1411">
        <v>-0.59936339999999999</v>
      </c>
      <c r="S1411">
        <v>1.640854</v>
      </c>
      <c r="T1411">
        <v>-0.25984689999999999</v>
      </c>
      <c r="U1411">
        <v>-2.8052980000000001</v>
      </c>
      <c r="V1411">
        <v>0.4149349</v>
      </c>
      <c r="W1411">
        <v>-6.3747390000000001E-2</v>
      </c>
      <c r="X1411">
        <v>0.90761519999999996</v>
      </c>
      <c r="Y1411">
        <v>0.73358880000000004</v>
      </c>
      <c r="Z1411">
        <v>-2.6298220000000001E-2</v>
      </c>
      <c r="AA1411">
        <v>0.67908459999999904</v>
      </c>
      <c r="AB1411">
        <v>19</v>
      </c>
      <c r="AC1411">
        <v>6.9467999999999899</v>
      </c>
      <c r="AD1411">
        <v>-1.1156590486069999</v>
      </c>
      <c r="AE1411">
        <v>-12.0185999999999</v>
      </c>
      <c r="AF1411">
        <v>10.196932481807799</v>
      </c>
      <c r="AG1411">
        <v>-1.1156590486069999</v>
      </c>
      <c r="AH1411">
        <v>9.2877266666346792</v>
      </c>
      <c r="AI1411">
        <v>94.624443905080497</v>
      </c>
      <c r="AJ1411">
        <v>42.328365088847399</v>
      </c>
      <c r="AK1411">
        <v>13.837774162971501</v>
      </c>
      <c r="AL1411">
        <v>93.654934607017097</v>
      </c>
      <c r="AM1411">
        <v>65.4315183749965</v>
      </c>
      <c r="AN1411">
        <v>1.00000002612043</v>
      </c>
    </row>
    <row r="1412" spans="1:40" x14ac:dyDescent="0.25">
      <c r="A1412" t="str">
        <f>"20190303154754030"</f>
        <v>20190303154754030</v>
      </c>
      <c r="B1412" t="str">
        <f>"1551599274021523"</f>
        <v>1551599274021523</v>
      </c>
      <c r="C1412" t="s">
        <v>40</v>
      </c>
      <c r="D1412">
        <v>5.6406199999999904</v>
      </c>
      <c r="E1412">
        <v>0.6590357</v>
      </c>
      <c r="F1412" t="s">
        <v>46</v>
      </c>
      <c r="G1412">
        <v>-194.57990000000001</v>
      </c>
      <c r="H1412" s="1">
        <v>-4.15546E-6</v>
      </c>
      <c r="I1412">
        <v>354.99059999999997</v>
      </c>
      <c r="J1412">
        <v>-201.3289</v>
      </c>
      <c r="K1412">
        <v>1.1155839999999999</v>
      </c>
      <c r="L1412">
        <v>366.80739999999997</v>
      </c>
      <c r="M1412">
        <v>0.97591499999999998</v>
      </c>
      <c r="N1412">
        <v>-1.439175E-2</v>
      </c>
      <c r="O1412">
        <v>-0.21767610000000001</v>
      </c>
      <c r="P1412">
        <v>0.79353890000000005</v>
      </c>
      <c r="Q1412">
        <v>-7.1532109999999996E-2</v>
      </c>
      <c r="R1412">
        <v>-0.60430090000000003</v>
      </c>
      <c r="S1412">
        <v>1.6242219999999901</v>
      </c>
      <c r="T1412">
        <v>-0.26504919999999998</v>
      </c>
      <c r="U1412">
        <v>-2.8132320000000002</v>
      </c>
      <c r="V1412">
        <v>0.41622310000000001</v>
      </c>
      <c r="W1412">
        <v>-6.4137760000000002E-2</v>
      </c>
      <c r="X1412">
        <v>0.90699759999999996</v>
      </c>
      <c r="Y1412">
        <v>0.73411759999999904</v>
      </c>
      <c r="Z1412">
        <v>-2.6343169999999999E-2</v>
      </c>
      <c r="AA1412">
        <v>0.67851119999999898</v>
      </c>
      <c r="AB1412">
        <v>19</v>
      </c>
      <c r="AC1412">
        <v>6.7489999999999899</v>
      </c>
      <c r="AD1412">
        <v>-1.11558815546</v>
      </c>
      <c r="AE1412">
        <v>-11.816800000000001</v>
      </c>
      <c r="AF1412">
        <v>9.9969538942618303</v>
      </c>
      <c r="AG1412">
        <v>-1.11558815546</v>
      </c>
      <c r="AH1412">
        <v>9.0984872862574999</v>
      </c>
      <c r="AI1412">
        <v>94.717897712058701</v>
      </c>
      <c r="AJ1412">
        <v>42.306142002942202</v>
      </c>
      <c r="AK1412">
        <v>13.5634101536003</v>
      </c>
      <c r="AL1412">
        <v>93.677347181024999</v>
      </c>
      <c r="AM1412">
        <v>65.349510562687996</v>
      </c>
      <c r="AN1412">
        <v>0.99999998381859301</v>
      </c>
    </row>
    <row r="1413" spans="1:40" x14ac:dyDescent="0.25">
      <c r="A1413" t="str">
        <f>"20190303154754041"</f>
        <v>20190303154754041</v>
      </c>
      <c r="B1413" t="str">
        <f>"1551599274032259"</f>
        <v>1551599274032259</v>
      </c>
      <c r="C1413" t="s">
        <v>40</v>
      </c>
      <c r="D1413">
        <v>5.657095</v>
      </c>
      <c r="E1413">
        <v>0.65861550000000002</v>
      </c>
      <c r="F1413" t="s">
        <v>46</v>
      </c>
      <c r="G1413">
        <v>-194.67920000000001</v>
      </c>
      <c r="H1413" s="1">
        <v>-4.250301E-6</v>
      </c>
      <c r="I1413">
        <v>355.14690000000002</v>
      </c>
      <c r="J1413">
        <v>-201.23849999999999</v>
      </c>
      <c r="K1413">
        <v>1.1155109999999999</v>
      </c>
      <c r="L1413">
        <v>366.78179999999998</v>
      </c>
      <c r="M1413">
        <v>0.97482860000000005</v>
      </c>
      <c r="N1413">
        <v>-1.440399E-2</v>
      </c>
      <c r="O1413">
        <v>-0.2224903</v>
      </c>
      <c r="P1413">
        <v>0.78947529999999999</v>
      </c>
      <c r="Q1413">
        <v>-7.2100880000000006E-2</v>
      </c>
      <c r="R1413">
        <v>-0.60953329999999994</v>
      </c>
      <c r="S1413">
        <v>1.608414</v>
      </c>
      <c r="T1413">
        <v>-0.2698354</v>
      </c>
      <c r="U1413">
        <v>-2.8204039999999999</v>
      </c>
      <c r="V1413">
        <v>0.41773169999999998</v>
      </c>
      <c r="W1413">
        <v>-6.4802390000000001E-2</v>
      </c>
      <c r="X1413">
        <v>0.90625650000000002</v>
      </c>
      <c r="Y1413">
        <v>0.73432059999999999</v>
      </c>
      <c r="Z1413">
        <v>-2.6307589999999999E-2</v>
      </c>
      <c r="AA1413">
        <v>0.67829289999999998</v>
      </c>
      <c r="AB1413">
        <v>19</v>
      </c>
      <c r="AC1413">
        <v>6.5592999999999702</v>
      </c>
      <c r="AD1413">
        <v>-1.115515250301</v>
      </c>
      <c r="AE1413">
        <v>-11.634899999999901</v>
      </c>
      <c r="AF1413">
        <v>9.8152121977002693</v>
      </c>
      <c r="AG1413">
        <v>-1.115515250301</v>
      </c>
      <c r="AH1413">
        <v>8.9215455672944799</v>
      </c>
      <c r="AI1413">
        <v>94.807335943191902</v>
      </c>
      <c r="AJ1413">
        <v>42.2692953447674</v>
      </c>
      <c r="AK1413">
        <v>13.3107753368784</v>
      </c>
      <c r="AL1413">
        <v>93.715507064249607</v>
      </c>
      <c r="AM1413">
        <v>65.253038283228307</v>
      </c>
      <c r="AN1413">
        <v>0.99999998336342499</v>
      </c>
    </row>
    <row r="1414" spans="1:40" x14ac:dyDescent="0.25">
      <c r="A1414" t="str">
        <f>"20190303154754057"</f>
        <v>20190303154754057</v>
      </c>
      <c r="B1414" t="str">
        <f>"1551599274051784"</f>
        <v>1551599274051784</v>
      </c>
      <c r="C1414" t="s">
        <v>40</v>
      </c>
      <c r="D1414">
        <v>5.6882479999999997</v>
      </c>
      <c r="E1414">
        <v>0.65808109999999997</v>
      </c>
      <c r="F1414" t="s">
        <v>46</v>
      </c>
      <c r="G1414">
        <v>-194.79939999999999</v>
      </c>
      <c r="H1414" s="1">
        <v>-4.3654669999999997E-6</v>
      </c>
      <c r="I1414">
        <v>355.33699999999999</v>
      </c>
      <c r="J1414">
        <v>-201.09309999999999</v>
      </c>
      <c r="K1414">
        <v>1.1153879999999901</v>
      </c>
      <c r="L1414">
        <v>366.73880000000003</v>
      </c>
      <c r="M1414">
        <v>0.97297080000000002</v>
      </c>
      <c r="N1414">
        <v>-1.4427560000000001E-2</v>
      </c>
      <c r="O1414">
        <v>-0.23047680000000001</v>
      </c>
      <c r="P1414">
        <v>0.78204459999999998</v>
      </c>
      <c r="Q1414">
        <v>-7.121487E-2</v>
      </c>
      <c r="R1414">
        <v>-0.61914049999999998</v>
      </c>
      <c r="S1414">
        <v>1.591232</v>
      </c>
      <c r="T1414">
        <v>-0.27566429999999997</v>
      </c>
      <c r="U1414">
        <v>-2.828217</v>
      </c>
      <c r="V1414">
        <v>0.42134820000000001</v>
      </c>
      <c r="W1414">
        <v>-6.4091229999999999E-2</v>
      </c>
      <c r="X1414">
        <v>0.90463139999999997</v>
      </c>
      <c r="Y1414">
        <v>0.73263409999999995</v>
      </c>
      <c r="Z1414">
        <v>-2.5910519999999999E-2</v>
      </c>
      <c r="AA1414">
        <v>0.68012930000000005</v>
      </c>
      <c r="AB1414">
        <v>19</v>
      </c>
      <c r="AC1414">
        <v>6.2937000000000003</v>
      </c>
      <c r="AD1414">
        <v>-1.1153923654669899</v>
      </c>
      <c r="AE1414">
        <v>-11.4018</v>
      </c>
      <c r="AF1414">
        <v>9.57384688422332</v>
      </c>
      <c r="AG1414">
        <v>-1.1153923654669899</v>
      </c>
      <c r="AH1414">
        <v>8.6886172425745691</v>
      </c>
      <c r="AI1414">
        <v>94.930855647729203</v>
      </c>
      <c r="AJ1414">
        <v>42.224895055202602</v>
      </c>
      <c r="AK1414">
        <v>12.976698882206399</v>
      </c>
      <c r="AL1414">
        <v>93.674675723655398</v>
      </c>
      <c r="AM1414">
        <v>65.025411074940095</v>
      </c>
      <c r="AN1414">
        <v>0.999999980636056</v>
      </c>
    </row>
    <row r="1415" spans="1:40" x14ac:dyDescent="0.25">
      <c r="A1415" t="str">
        <f>"20190303154754070"</f>
        <v>20190303154754070</v>
      </c>
      <c r="B1415" t="str">
        <f>"1551599274061539"</f>
        <v>1551599274061539</v>
      </c>
      <c r="C1415" t="s">
        <v>40</v>
      </c>
      <c r="D1415">
        <v>5.7153510000000001</v>
      </c>
      <c r="E1415">
        <v>0.65818599999999905</v>
      </c>
      <c r="F1415" t="s">
        <v>46</v>
      </c>
      <c r="G1415">
        <v>-194.85570000000001</v>
      </c>
      <c r="H1415" s="1">
        <v>-4.3907269999999998E-6</v>
      </c>
      <c r="I1415">
        <v>355.36439999999999</v>
      </c>
      <c r="J1415">
        <v>-200.9966</v>
      </c>
      <c r="K1415">
        <v>1.1153150000000001</v>
      </c>
      <c r="L1415">
        <v>366.70940000000002</v>
      </c>
      <c r="M1415">
        <v>0.97167179999999997</v>
      </c>
      <c r="N1415">
        <v>-1.444527E-2</v>
      </c>
      <c r="O1415">
        <v>-0.23589270000000001</v>
      </c>
      <c r="P1415">
        <v>0.77750319999999995</v>
      </c>
      <c r="Q1415">
        <v>-7.0005730000000002E-2</v>
      </c>
      <c r="R1415">
        <v>-0.62497060000000004</v>
      </c>
      <c r="S1415">
        <v>1.559372</v>
      </c>
      <c r="T1415">
        <v>-0.27885330000000003</v>
      </c>
      <c r="U1415">
        <v>-2.843658</v>
      </c>
      <c r="V1415">
        <v>0.42304989999999998</v>
      </c>
      <c r="W1415">
        <v>-6.2978770000000003E-2</v>
      </c>
      <c r="X1415">
        <v>0.90391500000000002</v>
      </c>
      <c r="Y1415">
        <v>0.73618989999999995</v>
      </c>
      <c r="Z1415">
        <v>-2.5983329999999999E-2</v>
      </c>
      <c r="AA1415">
        <v>0.67627599999999999</v>
      </c>
      <c r="AB1415">
        <v>19</v>
      </c>
      <c r="AC1415">
        <v>6.1408999999999798</v>
      </c>
      <c r="AD1415">
        <v>-1.115319390727</v>
      </c>
      <c r="AE1415">
        <v>-11.345000000000001</v>
      </c>
      <c r="AF1415">
        <v>9.5049748223036694</v>
      </c>
      <c r="AG1415">
        <v>-1.115319390727</v>
      </c>
      <c r="AH1415">
        <v>8.5799111594219699</v>
      </c>
      <c r="AI1415">
        <v>94.978046850285693</v>
      </c>
      <c r="AJ1415">
        <v>42.071804028888103</v>
      </c>
      <c r="AK1415">
        <v>12.8531458880513</v>
      </c>
      <c r="AL1415">
        <v>93.610807581311704</v>
      </c>
      <c r="AM1415">
        <v>64.919486668836797</v>
      </c>
      <c r="AN1415">
        <v>0.99999993529285902</v>
      </c>
    </row>
    <row r="1416" spans="1:40" x14ac:dyDescent="0.25">
      <c r="A1416" t="str">
        <f>"20190303154754083"</f>
        <v>20190303154754083</v>
      </c>
      <c r="B1416" t="str">
        <f>"1551599274072276"</f>
        <v>1551599274072276</v>
      </c>
      <c r="C1416" t="s">
        <v>40</v>
      </c>
      <c r="D1416">
        <v>5.2530960000000002</v>
      </c>
      <c r="E1416">
        <v>0.65818599999999905</v>
      </c>
      <c r="F1416" t="s">
        <v>46</v>
      </c>
      <c r="G1416">
        <v>-194.81710000000001</v>
      </c>
      <c r="H1416" s="1">
        <v>-4.3215229999999996E-6</v>
      </c>
      <c r="I1416">
        <v>355.23419999999999</v>
      </c>
      <c r="J1416">
        <v>-200.8895</v>
      </c>
      <c r="K1416">
        <v>1.1152340000000001</v>
      </c>
      <c r="L1416">
        <v>366.67619999999999</v>
      </c>
      <c r="M1416">
        <v>0.97017770000000003</v>
      </c>
      <c r="N1416">
        <v>-1.4465449999999999E-2</v>
      </c>
      <c r="O1416">
        <v>-0.24196290000000001</v>
      </c>
      <c r="P1416">
        <v>0.77227679999999999</v>
      </c>
      <c r="Q1416">
        <v>-6.8371950000000001E-2</v>
      </c>
      <c r="R1416">
        <v>-0.63159659999999995</v>
      </c>
      <c r="S1416">
        <v>1.5379179999999999</v>
      </c>
      <c r="T1416">
        <v>-0.277572599999999</v>
      </c>
      <c r="U1416">
        <v>-2.8558650000000001</v>
      </c>
      <c r="V1416">
        <v>0.42510029999999999</v>
      </c>
      <c r="W1416">
        <v>-6.1454679999999998E-2</v>
      </c>
      <c r="X1416">
        <v>0.90305760000000002</v>
      </c>
      <c r="Y1416">
        <v>0.73714009999999996</v>
      </c>
      <c r="Z1416">
        <v>-2.5503040000000001E-2</v>
      </c>
      <c r="AA1416">
        <v>0.67525849999999998</v>
      </c>
      <c r="AB1416">
        <v>19</v>
      </c>
      <c r="AC1416">
        <v>6.0723999999999796</v>
      </c>
      <c r="AD1416">
        <v>-1.115238321523</v>
      </c>
      <c r="AE1416">
        <v>-11.442</v>
      </c>
      <c r="AF1416">
        <v>9.5616105218814802</v>
      </c>
      <c r="AG1416">
        <v>-1.115238321523</v>
      </c>
      <c r="AH1416">
        <v>8.5970276193949999</v>
      </c>
      <c r="AI1416">
        <v>94.957065804733503</v>
      </c>
      <c r="AJ1416">
        <v>41.959318499505201</v>
      </c>
      <c r="AK1416">
        <v>12.9064726464897</v>
      </c>
      <c r="AL1416">
        <v>93.523313959863003</v>
      </c>
      <c r="AM1416">
        <v>64.792019296191398</v>
      </c>
      <c r="AN1416">
        <v>0.99999998583587602</v>
      </c>
    </row>
    <row r="1417" spans="1:40" x14ac:dyDescent="0.25">
      <c r="A1417" t="str">
        <f>"20190303154754094"</f>
        <v>20190303154754094</v>
      </c>
      <c r="B1417" t="str">
        <f>"1551599274091795"</f>
        <v>1551599274091795</v>
      </c>
      <c r="C1417" t="s">
        <v>40</v>
      </c>
      <c r="D1417">
        <v>5.671475</v>
      </c>
      <c r="E1417">
        <v>0.65887499999999999</v>
      </c>
      <c r="F1417" t="s">
        <v>46</v>
      </c>
      <c r="G1417">
        <v>-194.70410000000001</v>
      </c>
      <c r="H1417" s="1">
        <v>-4.1666850000000001E-6</v>
      </c>
      <c r="I1417">
        <v>354.9556</v>
      </c>
      <c r="J1417">
        <v>-200.7834</v>
      </c>
      <c r="K1417">
        <v>1.115154</v>
      </c>
      <c r="L1417">
        <v>366.64229999999998</v>
      </c>
      <c r="M1417">
        <v>0.96862139999999997</v>
      </c>
      <c r="N1417">
        <v>-1.448807E-2</v>
      </c>
      <c r="O1417">
        <v>-0.2481187</v>
      </c>
      <c r="P1417">
        <v>0.76725889999999997</v>
      </c>
      <c r="Q1417">
        <v>-6.7335980000000004E-2</v>
      </c>
      <c r="R1417">
        <v>-0.63779319999999995</v>
      </c>
      <c r="S1417">
        <v>1.514084</v>
      </c>
      <c r="T1417">
        <v>-0.27299000000000001</v>
      </c>
      <c r="U1417">
        <v>-2.8689879999999999</v>
      </c>
      <c r="V1417">
        <v>0.42661389999999999</v>
      </c>
      <c r="W1417">
        <v>-6.0514829999999999E-2</v>
      </c>
      <c r="X1417">
        <v>0.90240710000000002</v>
      </c>
      <c r="Y1417">
        <v>0.73859069999999905</v>
      </c>
      <c r="Z1417">
        <v>-2.4881589999999999E-2</v>
      </c>
      <c r="AA1417">
        <v>0.67369489999999999</v>
      </c>
      <c r="AB1417">
        <v>19</v>
      </c>
      <c r="AC1417">
        <v>6.0792999999999804</v>
      </c>
      <c r="AD1417">
        <v>-1.1151581666849999</v>
      </c>
      <c r="AE1417">
        <v>-11.686699999999901</v>
      </c>
      <c r="AF1417">
        <v>9.7428108859516698</v>
      </c>
      <c r="AG1417">
        <v>-1.1151581666849999</v>
      </c>
      <c r="AH1417">
        <v>8.7266148923408409</v>
      </c>
      <c r="AI1417">
        <v>94.873212210492696</v>
      </c>
      <c r="AJ1417">
        <v>41.8507361201195</v>
      </c>
      <c r="AK1417">
        <v>13.1270617114176</v>
      </c>
      <c r="AL1417">
        <v>93.469363985723305</v>
      </c>
      <c r="AM1417">
        <v>64.697508093200994</v>
      </c>
      <c r="AN1417">
        <v>1.00000001922677</v>
      </c>
    </row>
    <row r="1418" spans="1:40" x14ac:dyDescent="0.25">
      <c r="A1418" t="str">
        <f>"20190303154754109"</f>
        <v>20190303154754109</v>
      </c>
      <c r="B1418" t="str">
        <f>"1551599274101555"</f>
        <v>1551599274101555</v>
      </c>
      <c r="C1418" t="s">
        <v>40</v>
      </c>
      <c r="D1418">
        <v>5.7228859999999999</v>
      </c>
      <c r="E1418">
        <v>0.65900380000000003</v>
      </c>
      <c r="F1418" t="s">
        <v>46</v>
      </c>
      <c r="G1418">
        <v>-194.58029999999999</v>
      </c>
      <c r="H1418" s="1">
        <v>-3.979646E-6</v>
      </c>
      <c r="I1418">
        <v>354.613</v>
      </c>
      <c r="J1418">
        <v>-200.6721</v>
      </c>
      <c r="K1418">
        <v>1.115067</v>
      </c>
      <c r="L1418">
        <v>366.60570000000001</v>
      </c>
      <c r="M1418">
        <v>0.96691780000000005</v>
      </c>
      <c r="N1418">
        <v>-1.451261E-2</v>
      </c>
      <c r="O1418">
        <v>-0.25467509999999999</v>
      </c>
      <c r="P1418">
        <v>0.76183780000000001</v>
      </c>
      <c r="Q1418">
        <v>-6.6447270000000003E-2</v>
      </c>
      <c r="R1418">
        <v>-0.64435109999999995</v>
      </c>
      <c r="S1418">
        <v>1.487946</v>
      </c>
      <c r="T1418">
        <v>-0.26749600000000001</v>
      </c>
      <c r="U1418">
        <v>-2.8854980000000001</v>
      </c>
      <c r="V1418">
        <v>0.42821969999999998</v>
      </c>
      <c r="W1418">
        <v>-5.9724340000000001E-2</v>
      </c>
      <c r="X1418">
        <v>0.90169889999999997</v>
      </c>
      <c r="Y1418">
        <v>0.74050769999999899</v>
      </c>
      <c r="Z1418">
        <v>-2.422477E-2</v>
      </c>
      <c r="AA1418">
        <v>0.67161110000000002</v>
      </c>
      <c r="AB1418">
        <v>19</v>
      </c>
      <c r="AC1418">
        <v>6.0918000000000001</v>
      </c>
      <c r="AD1418">
        <v>-1.1150709796459899</v>
      </c>
      <c r="AE1418">
        <v>-11.9926999999999</v>
      </c>
      <c r="AF1418">
        <v>9.9770209665883094</v>
      </c>
      <c r="AG1418">
        <v>-1.1150709796459899</v>
      </c>
      <c r="AH1418">
        <v>8.8844002204641406</v>
      </c>
      <c r="AI1418">
        <v>94.771256301653594</v>
      </c>
      <c r="AJ1418">
        <v>41.684625662761597</v>
      </c>
      <c r="AK1418">
        <v>13.405853122228899</v>
      </c>
      <c r="AL1418">
        <v>93.423990212701497</v>
      </c>
      <c r="AM1418">
        <v>64.596806927379205</v>
      </c>
      <c r="AN1418">
        <v>1.00000000725886</v>
      </c>
    </row>
    <row r="1419" spans="1:40" x14ac:dyDescent="0.25">
      <c r="A1419" t="str">
        <f>"20190303154754123"</f>
        <v>20190303154754123</v>
      </c>
      <c r="B1419" t="str">
        <f>"1551599274112291"</f>
        <v>1551599274112291</v>
      </c>
      <c r="C1419" t="s">
        <v>40</v>
      </c>
      <c r="D1419">
        <v>5.6900909999999998</v>
      </c>
      <c r="E1419">
        <v>0.65913180000000005</v>
      </c>
      <c r="F1419" t="s">
        <v>46</v>
      </c>
      <c r="G1419">
        <v>-194.5334</v>
      </c>
      <c r="H1419" s="1">
        <v>-3.8811230000000004E-6</v>
      </c>
      <c r="I1419">
        <v>354.43699999999899</v>
      </c>
      <c r="J1419">
        <v>-200.55860000000001</v>
      </c>
      <c r="K1419">
        <v>1.1149819999999999</v>
      </c>
      <c r="L1419">
        <v>366.5677</v>
      </c>
      <c r="M1419">
        <v>0.96510879999999999</v>
      </c>
      <c r="N1419">
        <v>-1.453804E-2</v>
      </c>
      <c r="O1419">
        <v>-0.2614455</v>
      </c>
      <c r="P1419">
        <v>0.75596430000000003</v>
      </c>
      <c r="Q1419">
        <v>-6.6447930000000002E-2</v>
      </c>
      <c r="R1419">
        <v>-0.65123149999999996</v>
      </c>
      <c r="S1419">
        <v>1.4625549999999901</v>
      </c>
      <c r="T1419">
        <v>-0.2656676</v>
      </c>
      <c r="U1419">
        <v>-2.8992309999999999</v>
      </c>
      <c r="V1419">
        <v>0.43006070000000002</v>
      </c>
      <c r="W1419">
        <v>-5.9828619999999999E-2</v>
      </c>
      <c r="X1419">
        <v>0.90081540000000004</v>
      </c>
      <c r="Y1419">
        <v>0.74180669999999904</v>
      </c>
      <c r="Z1419">
        <v>-2.3716330000000001E-2</v>
      </c>
      <c r="AA1419">
        <v>0.67019419999999996</v>
      </c>
      <c r="AB1419">
        <v>19</v>
      </c>
      <c r="AC1419">
        <v>6.0252000000000097</v>
      </c>
      <c r="AD1419">
        <v>-1.114985881123</v>
      </c>
      <c r="AE1419">
        <v>-12.130699999999999</v>
      </c>
      <c r="AF1419">
        <v>10.0650486223124</v>
      </c>
      <c r="AG1419">
        <v>-1.114985881123</v>
      </c>
      <c r="AH1419">
        <v>8.9269464964997898</v>
      </c>
      <c r="AI1419">
        <v>94.737689870593002</v>
      </c>
      <c r="AJ1419">
        <v>41.5706309296745</v>
      </c>
      <c r="AK1419">
        <v>13.4995841060377</v>
      </c>
      <c r="AL1419">
        <v>93.429975651543998</v>
      </c>
      <c r="AM1419">
        <v>64.479598625186597</v>
      </c>
      <c r="AN1419">
        <v>1.00000002716637</v>
      </c>
    </row>
    <row r="1420" spans="1:40" x14ac:dyDescent="0.25">
      <c r="A1420" t="str">
        <f>"20190303154754137"</f>
        <v>20190303154754137</v>
      </c>
      <c r="B1420" t="str">
        <f>"1551599274131811"</f>
        <v>1551599274131811</v>
      </c>
      <c r="C1420" t="s">
        <v>40</v>
      </c>
      <c r="D1420">
        <v>5.8426859999999996</v>
      </c>
      <c r="E1420">
        <v>0.65943839999999998</v>
      </c>
      <c r="F1420" t="s">
        <v>46</v>
      </c>
      <c r="G1420">
        <v>-194.5428</v>
      </c>
      <c r="H1420" s="1">
        <v>-3.8451989999999998E-6</v>
      </c>
      <c r="I1420">
        <v>354.3614</v>
      </c>
      <c r="J1420">
        <v>-200.43889999999999</v>
      </c>
      <c r="K1420">
        <v>1.114892</v>
      </c>
      <c r="L1420">
        <v>366.52629999999999</v>
      </c>
      <c r="M1420">
        <v>0.96310410000000002</v>
      </c>
      <c r="N1420">
        <v>-1.456591E-2</v>
      </c>
      <c r="O1420">
        <v>-0.26873439999999998</v>
      </c>
      <c r="P1420">
        <v>0.74835750000000001</v>
      </c>
      <c r="Q1420">
        <v>-6.7091890000000001E-2</v>
      </c>
      <c r="R1420">
        <v>-0.65989399999999998</v>
      </c>
      <c r="S1420">
        <v>1.4356230000000001</v>
      </c>
      <c r="T1420">
        <v>-0.26608490000000001</v>
      </c>
      <c r="U1420">
        <v>-2.9129640000000001</v>
      </c>
      <c r="V1420">
        <v>0.43360989999999999</v>
      </c>
      <c r="W1420">
        <v>-6.0616000000000003E-2</v>
      </c>
      <c r="X1420">
        <v>0.89905959999999996</v>
      </c>
      <c r="Y1420">
        <v>0.74298640000000005</v>
      </c>
      <c r="Z1420">
        <v>-2.3276930000000001E-2</v>
      </c>
      <c r="AA1420">
        <v>0.66890169999999904</v>
      </c>
      <c r="AB1420">
        <v>19</v>
      </c>
      <c r="AC1420">
        <v>5.8960999999999899</v>
      </c>
      <c r="AD1420">
        <v>-1.1148958451989901</v>
      </c>
      <c r="AE1420">
        <v>-12.1648999999999</v>
      </c>
      <c r="AF1420">
        <v>10.0642027292623</v>
      </c>
      <c r="AG1420">
        <v>-1.1148958451989901</v>
      </c>
      <c r="AH1420">
        <v>8.8881809315076996</v>
      </c>
      <c r="AI1420">
        <v>94.746554646130306</v>
      </c>
      <c r="AJ1420">
        <v>41.4492696406598</v>
      </c>
      <c r="AK1420">
        <v>13.4733414412516</v>
      </c>
      <c r="AL1420">
        <v>93.475171311363795</v>
      </c>
      <c r="AM1420">
        <v>64.252325090344698</v>
      </c>
      <c r="AN1420">
        <v>1.0000000045930799</v>
      </c>
    </row>
    <row r="1421" spans="1:40" x14ac:dyDescent="0.25">
      <c r="A1421" t="str">
        <f>"20190303154754153"</f>
        <v>20190303154754153</v>
      </c>
      <c r="B1421" t="str">
        <f>"1551599274141572"</f>
        <v>1551599274141572</v>
      </c>
      <c r="C1421" t="s">
        <v>40</v>
      </c>
      <c r="D1421">
        <v>5.710877</v>
      </c>
      <c r="E1421">
        <v>0.65958319999999904</v>
      </c>
      <c r="F1421" t="s">
        <v>46</v>
      </c>
      <c r="G1421">
        <v>-194.65389999999999</v>
      </c>
      <c r="H1421" s="1">
        <v>-3.8964980000000002E-6</v>
      </c>
      <c r="I1421">
        <v>354.4144</v>
      </c>
      <c r="J1421">
        <v>-200.31039999999999</v>
      </c>
      <c r="K1421">
        <v>1.114803</v>
      </c>
      <c r="L1421">
        <v>366.48039999999997</v>
      </c>
      <c r="M1421">
        <v>0.9608449</v>
      </c>
      <c r="N1421">
        <v>-1.4596430000000001E-2</v>
      </c>
      <c r="O1421">
        <v>-0.276702</v>
      </c>
      <c r="P1421">
        <v>0.74152309999999999</v>
      </c>
      <c r="Q1421">
        <v>-6.7383769999999996E-2</v>
      </c>
      <c r="R1421">
        <v>-0.66753509999999905</v>
      </c>
      <c r="S1421">
        <v>1.3999790000000001</v>
      </c>
      <c r="T1421">
        <v>-0.26980599999999999</v>
      </c>
      <c r="U1421">
        <v>-2.9310909999999999</v>
      </c>
      <c r="V1421">
        <v>0.43537290000000001</v>
      </c>
      <c r="W1421">
        <v>-6.1010109999999999E-2</v>
      </c>
      <c r="X1421">
        <v>0.89818050000000005</v>
      </c>
      <c r="Y1421">
        <v>0.74563190000000001</v>
      </c>
      <c r="Z1421">
        <v>-2.3057830000000001E-2</v>
      </c>
      <c r="AA1421">
        <v>0.66595909999999903</v>
      </c>
      <c r="AB1421">
        <v>19</v>
      </c>
      <c r="AC1421">
        <v>5.6564999999999896</v>
      </c>
      <c r="AD1421">
        <v>-1.114806896498</v>
      </c>
      <c r="AE1421">
        <v>-12.065999999999899</v>
      </c>
      <c r="AF1421">
        <v>9.9597566085256908</v>
      </c>
      <c r="AG1421">
        <v>-1.114806896498</v>
      </c>
      <c r="AH1421">
        <v>8.7136593245415792</v>
      </c>
      <c r="AI1421">
        <v>94.815312659494893</v>
      </c>
      <c r="AJ1421">
        <v>41.182250681066499</v>
      </c>
      <c r="AK1421">
        <v>13.280339037152601</v>
      </c>
      <c r="AL1421">
        <v>93.497794027090805</v>
      </c>
      <c r="AM1421">
        <v>64.139250240342307</v>
      </c>
      <c r="AN1421">
        <v>1.00000000307843</v>
      </c>
    </row>
    <row r="1422" spans="1:40" x14ac:dyDescent="0.25">
      <c r="A1422" t="str">
        <f>"20190303154754165"</f>
        <v>20190303154754165</v>
      </c>
      <c r="B1422" t="str">
        <f>"1551599274162067"</f>
        <v>1551599274162067</v>
      </c>
      <c r="C1422" t="s">
        <v>40</v>
      </c>
      <c r="D1422">
        <v>5.7174909999999999</v>
      </c>
      <c r="E1422">
        <v>0.65978499999999995</v>
      </c>
      <c r="F1422" t="s">
        <v>46</v>
      </c>
      <c r="G1422">
        <v>-194.67920000000001</v>
      </c>
      <c r="H1422" s="1">
        <v>-3.8760499999999999E-6</v>
      </c>
      <c r="I1422">
        <v>354.36259999999999</v>
      </c>
      <c r="J1422">
        <v>-200.20490000000001</v>
      </c>
      <c r="K1422">
        <v>1.1147389999999999</v>
      </c>
      <c r="L1422">
        <v>366.44189999999998</v>
      </c>
      <c r="M1422">
        <v>0.95890949999999997</v>
      </c>
      <c r="N1422">
        <v>-1.4621729999999999E-2</v>
      </c>
      <c r="O1422">
        <v>-0.28333469999999999</v>
      </c>
      <c r="P1422">
        <v>0.7355334</v>
      </c>
      <c r="Q1422">
        <v>-6.7998840000000005E-2</v>
      </c>
      <c r="R1422">
        <v>-0.67406759999999999</v>
      </c>
      <c r="S1422">
        <v>1.3690340000000001</v>
      </c>
      <c r="T1422">
        <v>-0.27102739999999997</v>
      </c>
      <c r="U1422">
        <v>-2.9460449999999998</v>
      </c>
      <c r="V1422">
        <v>0.43710460000000001</v>
      </c>
      <c r="W1422">
        <v>-6.171372E-2</v>
      </c>
      <c r="X1422">
        <v>0.8972909</v>
      </c>
      <c r="Y1422">
        <v>0.74805889999999997</v>
      </c>
      <c r="Z1422">
        <v>-2.2797040000000001E-2</v>
      </c>
      <c r="AA1422">
        <v>0.66324069999999902</v>
      </c>
      <c r="AB1422">
        <v>19</v>
      </c>
      <c r="AC1422">
        <v>5.5256999999999996</v>
      </c>
      <c r="AD1422">
        <v>-1.11474287605</v>
      </c>
      <c r="AE1422">
        <v>-12.0792999999999</v>
      </c>
      <c r="AF1422">
        <v>9.9483409169245398</v>
      </c>
      <c r="AG1422">
        <v>-1.11474287605</v>
      </c>
      <c r="AH1422">
        <v>8.6610663008484998</v>
      </c>
      <c r="AI1422">
        <v>94.830726622481507</v>
      </c>
      <c r="AJ1422">
        <v>41.042963664440599</v>
      </c>
      <c r="AK1422">
        <v>13.2373036584779</v>
      </c>
      <c r="AL1422">
        <v>93.538184080176194</v>
      </c>
      <c r="AM1422">
        <v>64.027521704512694</v>
      </c>
      <c r="AN1422">
        <v>0.99999998690010405</v>
      </c>
    </row>
    <row r="1423" spans="1:40" x14ac:dyDescent="0.25">
      <c r="A1423" t="str">
        <f>"20190303154754180"</f>
        <v>20190303154754180</v>
      </c>
      <c r="B1423" t="str">
        <f>"1551599274171827"</f>
        <v>1551599274171827</v>
      </c>
      <c r="C1423" t="s">
        <v>40</v>
      </c>
      <c r="D1423">
        <v>5.7244279999999996</v>
      </c>
      <c r="E1423">
        <v>0.65986210000000001</v>
      </c>
      <c r="F1423" t="s">
        <v>46</v>
      </c>
      <c r="G1423">
        <v>-194.75540000000001</v>
      </c>
      <c r="H1423" s="1">
        <v>-3.9223370000000001E-6</v>
      </c>
      <c r="I1423">
        <v>354.42099999999999</v>
      </c>
      <c r="J1423">
        <v>-200.08670000000001</v>
      </c>
      <c r="K1423">
        <v>1.11466</v>
      </c>
      <c r="L1423">
        <v>366.39780000000002</v>
      </c>
      <c r="M1423">
        <v>0.95665500000000003</v>
      </c>
      <c r="N1423">
        <v>-1.465032E-2</v>
      </c>
      <c r="O1423">
        <v>-0.29085509999999998</v>
      </c>
      <c r="P1423">
        <v>0.72801369999999999</v>
      </c>
      <c r="Q1423">
        <v>-6.8405430000000003E-2</v>
      </c>
      <c r="R1423">
        <v>-0.68214160000000001</v>
      </c>
      <c r="S1423">
        <v>1.3414759999999999</v>
      </c>
      <c r="T1423">
        <v>-0.27441169999999998</v>
      </c>
      <c r="U1423">
        <v>-2.9591370000000001</v>
      </c>
      <c r="V1423">
        <v>0.43994719999999998</v>
      </c>
      <c r="W1423">
        <v>-6.2238399999999999E-2</v>
      </c>
      <c r="X1423">
        <v>0.89586429999999995</v>
      </c>
      <c r="Y1423">
        <v>0.7490502</v>
      </c>
      <c r="Z1423">
        <v>-2.2429669999999999E-2</v>
      </c>
      <c r="AA1423">
        <v>0.66213339999999998</v>
      </c>
      <c r="AB1423">
        <v>19</v>
      </c>
      <c r="AC1423">
        <v>5.3312999999999899</v>
      </c>
      <c r="AD1423">
        <v>-1.1146639223370001</v>
      </c>
      <c r="AE1423">
        <v>-11.976800000000001</v>
      </c>
      <c r="AF1423">
        <v>9.8369780836413998</v>
      </c>
      <c r="AG1423">
        <v>-1.1146639223370001</v>
      </c>
      <c r="AH1423">
        <v>8.5230333855739602</v>
      </c>
      <c r="AI1423">
        <v>94.894867504894805</v>
      </c>
      <c r="AJ1423">
        <v>40.906573663573198</v>
      </c>
      <c r="AK1423">
        <v>13.063334626710301</v>
      </c>
      <c r="AL1423">
        <v>93.568303882812998</v>
      </c>
      <c r="AM1423">
        <v>63.8449511409084</v>
      </c>
      <c r="AN1423">
        <v>1.00000000061844</v>
      </c>
    </row>
    <row r="1424" spans="1:40" x14ac:dyDescent="0.25">
      <c r="A1424" t="str">
        <f>"20190303154754194"</f>
        <v>20190303154754194</v>
      </c>
      <c r="B1424" t="str">
        <f>"1551599274182564"</f>
        <v>1551599274182564</v>
      </c>
      <c r="C1424" t="s">
        <v>40</v>
      </c>
      <c r="D1424">
        <v>5.7451420000000004</v>
      </c>
      <c r="E1424">
        <v>0.6599064</v>
      </c>
      <c r="F1424" t="s">
        <v>46</v>
      </c>
      <c r="G1424">
        <v>-194.804</v>
      </c>
      <c r="H1424" s="1">
        <v>-3.9148019999999998E-6</v>
      </c>
      <c r="I1424">
        <v>354.38459999999998</v>
      </c>
      <c r="J1424">
        <v>-199.97839999999999</v>
      </c>
      <c r="K1424">
        <v>1.1145969999999901</v>
      </c>
      <c r="L1424">
        <v>366.35590000000002</v>
      </c>
      <c r="M1424">
        <v>0.95448710000000003</v>
      </c>
      <c r="N1424">
        <v>-1.467767E-2</v>
      </c>
      <c r="O1424">
        <v>-0.2978905</v>
      </c>
      <c r="P1424">
        <v>0.72190459999999901</v>
      </c>
      <c r="Q1424">
        <v>-6.8688429999999995E-2</v>
      </c>
      <c r="R1424">
        <v>-0.68857559999999995</v>
      </c>
      <c r="S1424">
        <v>1.3079379999999901</v>
      </c>
      <c r="T1424">
        <v>-0.27597929999999998</v>
      </c>
      <c r="U1424">
        <v>-2.974335</v>
      </c>
      <c r="V1424">
        <v>0.44129429999999997</v>
      </c>
      <c r="W1424">
        <v>-6.2593609999999994E-2</v>
      </c>
      <c r="X1424">
        <v>0.89517669999999905</v>
      </c>
      <c r="Y1424">
        <v>0.75165719999999903</v>
      </c>
      <c r="Z1424">
        <v>-2.2150699999999999E-2</v>
      </c>
      <c r="AA1424">
        <v>0.65918189999999999</v>
      </c>
      <c r="AB1424">
        <v>19</v>
      </c>
      <c r="AC1424">
        <v>5.1743999999999897</v>
      </c>
      <c r="AD1424">
        <v>-1.11460091480199</v>
      </c>
      <c r="AE1424">
        <v>-11.971299999999999</v>
      </c>
      <c r="AF1424">
        <v>9.8144267763914694</v>
      </c>
      <c r="AG1424">
        <v>-1.11460091480199</v>
      </c>
      <c r="AH1424">
        <v>8.4442735363467492</v>
      </c>
      <c r="AI1424">
        <v>94.9203766250005</v>
      </c>
      <c r="AJ1424">
        <v>40.708504107576204</v>
      </c>
      <c r="AK1424">
        <v>12.995039965505001</v>
      </c>
      <c r="AL1424">
        <v>93.588695780082702</v>
      </c>
      <c r="AM1424">
        <v>63.758134849451501</v>
      </c>
      <c r="AN1424">
        <v>0.99999997172410504</v>
      </c>
    </row>
    <row r="1425" spans="1:40" x14ac:dyDescent="0.25">
      <c r="A1425" t="str">
        <f>"20190303154754206"</f>
        <v>20190303154754206</v>
      </c>
      <c r="B1425" t="str">
        <f>"1551599274202083"</f>
        <v>1551599274202083</v>
      </c>
      <c r="C1425" t="s">
        <v>40</v>
      </c>
      <c r="D1425">
        <v>6.058065</v>
      </c>
      <c r="E1425">
        <v>0.65997189999999994</v>
      </c>
      <c r="F1425" t="s">
        <v>46</v>
      </c>
      <c r="G1425">
        <v>-194.85310000000001</v>
      </c>
      <c r="H1425" s="1">
        <v>-3.9385679999999998E-6</v>
      </c>
      <c r="I1425">
        <v>354.41019999999997</v>
      </c>
      <c r="J1425">
        <v>-199.88079999999999</v>
      </c>
      <c r="K1425">
        <v>1.114549</v>
      </c>
      <c r="L1425">
        <v>366.31740000000002</v>
      </c>
      <c r="M1425">
        <v>0.95246819999999999</v>
      </c>
      <c r="N1425">
        <v>-1.4701870000000001E-2</v>
      </c>
      <c r="O1425">
        <v>-0.30428309999999997</v>
      </c>
      <c r="P1425">
        <v>0.71630139999999998</v>
      </c>
      <c r="Q1425">
        <v>-6.9022239999999999E-2</v>
      </c>
      <c r="R1425">
        <v>-0.69436900000000001</v>
      </c>
      <c r="S1425">
        <v>1.2811129999999999</v>
      </c>
      <c r="T1425">
        <v>-0.27860459999999998</v>
      </c>
      <c r="U1425">
        <v>-2.9859309999999999</v>
      </c>
      <c r="V1425">
        <v>0.4424998</v>
      </c>
      <c r="W1425">
        <v>-6.2989210000000004E-2</v>
      </c>
      <c r="X1425">
        <v>0.89455370000000001</v>
      </c>
      <c r="Y1425">
        <v>0.75314019999999904</v>
      </c>
      <c r="Z1425">
        <v>-2.1861080000000001E-2</v>
      </c>
      <c r="AA1425">
        <v>0.65749679999999999</v>
      </c>
      <c r="AB1425">
        <v>19</v>
      </c>
      <c r="AC1425">
        <v>5.0276999999999799</v>
      </c>
      <c r="AD1425">
        <v>-1.114552938568</v>
      </c>
      <c r="AE1425">
        <v>-11.9072</v>
      </c>
      <c r="AF1425">
        <v>9.7400202117664403</v>
      </c>
      <c r="AG1425">
        <v>-1.114552938568</v>
      </c>
      <c r="AH1425">
        <v>8.3506986405671597</v>
      </c>
      <c r="AI1425">
        <v>94.964969721068798</v>
      </c>
      <c r="AJ1425">
        <v>40.608448708139598</v>
      </c>
      <c r="AK1425">
        <v>12.878058462519</v>
      </c>
      <c r="AL1425">
        <v>93.611406640639899</v>
      </c>
      <c r="AM1425">
        <v>63.6802456935145</v>
      </c>
      <c r="AN1425">
        <v>1.0000000178800701</v>
      </c>
    </row>
    <row r="1426" spans="1:40" x14ac:dyDescent="0.25">
      <c r="A1426" t="str">
        <f>"20190303154754217"</f>
        <v>20190303154754217</v>
      </c>
      <c r="B1426" t="str">
        <f>"1551599274211843"</f>
        <v>1551599274211843</v>
      </c>
      <c r="C1426" t="s">
        <v>40</v>
      </c>
      <c r="D1426">
        <v>5.791906</v>
      </c>
      <c r="E1426">
        <v>0.65995239999999999</v>
      </c>
      <c r="F1426" t="s">
        <v>46</v>
      </c>
      <c r="G1426">
        <v>-194.92699999999999</v>
      </c>
      <c r="H1426" s="1">
        <v>-4.0010060000000001E-6</v>
      </c>
      <c r="I1426">
        <v>354.50170000000003</v>
      </c>
      <c r="J1426">
        <v>-199.78200000000001</v>
      </c>
      <c r="K1426">
        <v>1.1145020000000001</v>
      </c>
      <c r="L1426">
        <v>366.27769999999998</v>
      </c>
      <c r="M1426">
        <v>0.95035650000000005</v>
      </c>
      <c r="N1426">
        <v>-1.4726100000000001E-2</v>
      </c>
      <c r="O1426">
        <v>-0.31081429999999999</v>
      </c>
      <c r="P1426">
        <v>0.71064320000000003</v>
      </c>
      <c r="Q1426">
        <v>-6.8757410000000005E-2</v>
      </c>
      <c r="R1426">
        <v>-0.70018499999999995</v>
      </c>
      <c r="S1426">
        <v>1.2562709999999999</v>
      </c>
      <c r="T1426">
        <v>-0.282645599999999</v>
      </c>
      <c r="U1426">
        <v>-2.9963989999999998</v>
      </c>
      <c r="V1426">
        <v>0.44363819999999998</v>
      </c>
      <c r="W1426">
        <v>-6.2780130000000003E-2</v>
      </c>
      <c r="X1426">
        <v>0.89400429999999997</v>
      </c>
      <c r="Y1426">
        <v>0.75404259999999901</v>
      </c>
      <c r="Z1426">
        <v>-2.154936E-2</v>
      </c>
      <c r="AA1426">
        <v>0.65647200000000006</v>
      </c>
      <c r="AB1426">
        <v>19</v>
      </c>
      <c r="AC1426">
        <v>4.8549999999999898</v>
      </c>
      <c r="AD1426">
        <v>-1.1145060010059999</v>
      </c>
      <c r="AE1426">
        <v>-11.7759999999999</v>
      </c>
      <c r="AF1426">
        <v>9.6098737234258493</v>
      </c>
      <c r="AG1426">
        <v>-1.1145060010059999</v>
      </c>
      <c r="AH1426">
        <v>8.21215689222206</v>
      </c>
      <c r="AI1426">
        <v>95.038598837490397</v>
      </c>
      <c r="AJ1426">
        <v>40.515679936755198</v>
      </c>
      <c r="AK1426">
        <v>12.6898115600248</v>
      </c>
      <c r="AL1426">
        <v>93.599403753134595</v>
      </c>
      <c r="AM1426">
        <v>63.607681850001804</v>
      </c>
      <c r="AN1426">
        <v>0.99999994282027105</v>
      </c>
    </row>
    <row r="1427" spans="1:40" x14ac:dyDescent="0.25">
      <c r="A1427" t="str">
        <f>"20190303154754230"</f>
        <v>20190303154754230</v>
      </c>
      <c r="B1427" t="str">
        <f>"1551599274221604"</f>
        <v>1551599274221604</v>
      </c>
      <c r="C1427" t="s">
        <v>40</v>
      </c>
      <c r="D1427">
        <v>5.7805660000000003</v>
      </c>
      <c r="E1427">
        <v>0.65989509999999996</v>
      </c>
      <c r="F1427" t="s">
        <v>46</v>
      </c>
      <c r="G1427">
        <v>-194.9307</v>
      </c>
      <c r="H1427" s="1">
        <v>-3.9681119999999997E-6</v>
      </c>
      <c r="I1427">
        <v>354.43470000000002</v>
      </c>
      <c r="J1427">
        <v>-199.68690000000001</v>
      </c>
      <c r="K1427">
        <v>1.114457</v>
      </c>
      <c r="L1427">
        <v>366.23840000000001</v>
      </c>
      <c r="M1427">
        <v>0.94824649999999999</v>
      </c>
      <c r="N1427">
        <v>-1.474897E-2</v>
      </c>
      <c r="O1427">
        <v>-0.31719259999999999</v>
      </c>
      <c r="P1427">
        <v>0.7050478</v>
      </c>
      <c r="Q1427">
        <v>-6.8999350000000001E-2</v>
      </c>
      <c r="R1427">
        <v>-0.7057949</v>
      </c>
      <c r="S1427">
        <v>1.2316739999999999</v>
      </c>
      <c r="T1427">
        <v>-0.2829546</v>
      </c>
      <c r="U1427">
        <v>-3.0067439999999999</v>
      </c>
      <c r="V1427">
        <v>0.44471300000000002</v>
      </c>
      <c r="W1427">
        <v>-6.3071080000000002E-2</v>
      </c>
      <c r="X1427">
        <v>0.89344969999999901</v>
      </c>
      <c r="Y1427">
        <v>0.75503310000000001</v>
      </c>
      <c r="Z1427">
        <v>-2.1106280000000002E-2</v>
      </c>
      <c r="AA1427">
        <v>0.65534689999999995</v>
      </c>
      <c r="AB1427">
        <v>19</v>
      </c>
      <c r="AC1427">
        <v>4.7561999999999998</v>
      </c>
      <c r="AD1427">
        <v>-1.1144609681119999</v>
      </c>
      <c r="AE1427">
        <v>-11.8036999999999</v>
      </c>
      <c r="AF1427">
        <v>9.6115257018976106</v>
      </c>
      <c r="AG1427">
        <v>-1.1144609681119999</v>
      </c>
      <c r="AH1427">
        <v>8.1921661351123394</v>
      </c>
      <c r="AI1427">
        <v>95.043048221110098</v>
      </c>
      <c r="AJ1427">
        <v>40.4418623851248</v>
      </c>
      <c r="AK1427">
        <v>12.678132179188101</v>
      </c>
      <c r="AL1427">
        <v>93.616106892770702</v>
      </c>
      <c r="AM1427">
        <v>63.538255641883701</v>
      </c>
      <c r="AN1427">
        <v>0.99999998996572803</v>
      </c>
    </row>
    <row r="1428" spans="1:40" x14ac:dyDescent="0.25">
      <c r="A1428" t="str">
        <f>"20190303154754243"</f>
        <v>20190303154754243</v>
      </c>
      <c r="B1428" t="str">
        <f>"1551599274232341"</f>
        <v>1551599274232341</v>
      </c>
      <c r="C1428" t="s">
        <v>40</v>
      </c>
      <c r="D1428">
        <v>5.8084470000000001</v>
      </c>
      <c r="E1428">
        <v>0.6598387</v>
      </c>
      <c r="F1428" t="s">
        <v>46</v>
      </c>
      <c r="G1428">
        <v>-194.94300000000001</v>
      </c>
      <c r="H1428" s="1">
        <v>-3.9495489999999999E-6</v>
      </c>
      <c r="I1428">
        <v>354.39240000000001</v>
      </c>
      <c r="J1428">
        <v>-199.58439999999999</v>
      </c>
      <c r="K1428">
        <v>1.1144149999999999</v>
      </c>
      <c r="L1428">
        <v>366.19540000000001</v>
      </c>
      <c r="M1428">
        <v>0.94590490000000005</v>
      </c>
      <c r="N1428">
        <v>-1.477302E-2</v>
      </c>
      <c r="O1428">
        <v>-0.32410800000000001</v>
      </c>
      <c r="P1428">
        <v>0.69902549999999997</v>
      </c>
      <c r="Q1428">
        <v>-6.9420250000000003E-2</v>
      </c>
      <c r="R1428">
        <v>-0.71171960000000001</v>
      </c>
      <c r="S1428">
        <v>1.2079009999999999</v>
      </c>
      <c r="T1428">
        <v>-0.28376499999999999</v>
      </c>
      <c r="U1428">
        <v>-3.016235</v>
      </c>
      <c r="V1428">
        <v>0.4457274</v>
      </c>
      <c r="W1428">
        <v>-6.3540089999999994E-2</v>
      </c>
      <c r="X1428">
        <v>0.8929108</v>
      </c>
      <c r="Y1428">
        <v>0.75542089999999995</v>
      </c>
      <c r="Z1428">
        <v>-2.0576980000000002E-2</v>
      </c>
      <c r="AA1428">
        <v>0.65491669999999902</v>
      </c>
      <c r="AB1428">
        <v>19</v>
      </c>
      <c r="AC1428">
        <v>4.6414</v>
      </c>
      <c r="AD1428">
        <v>-1.114418949549</v>
      </c>
      <c r="AE1428">
        <v>-11.8029999999999</v>
      </c>
      <c r="AF1428">
        <v>9.5872315816717695</v>
      </c>
      <c r="AG1428">
        <v>-1.114418949549</v>
      </c>
      <c r="AH1428">
        <v>8.1537112671691698</v>
      </c>
      <c r="AI1428">
        <v>95.060169340663805</v>
      </c>
      <c r="AJ1428">
        <v>40.380369237774502</v>
      </c>
      <c r="AK1428">
        <v>12.6348702575087</v>
      </c>
      <c r="AL1428">
        <v>93.643033241542497</v>
      </c>
      <c r="AM1428">
        <v>63.472332112795101</v>
      </c>
      <c r="AN1428">
        <v>0.99999997745230296</v>
      </c>
    </row>
    <row r="1429" spans="1:40" x14ac:dyDescent="0.25">
      <c r="A1429" t="str">
        <f>"20190303154754259"</f>
        <v>20190303154754259</v>
      </c>
      <c r="B1429" t="str">
        <f>"1551599274251858"</f>
        <v>1551599274251858</v>
      </c>
      <c r="C1429" t="s">
        <v>40</v>
      </c>
      <c r="D1429">
        <v>5.7999340000000004</v>
      </c>
      <c r="E1429">
        <v>0.65963340000000004</v>
      </c>
      <c r="F1429" t="s">
        <v>46</v>
      </c>
      <c r="G1429">
        <v>-194.95419999999999</v>
      </c>
      <c r="H1429" s="1">
        <v>-3.9309050000000003E-6</v>
      </c>
      <c r="I1429">
        <v>354.35039999999998</v>
      </c>
      <c r="J1429">
        <v>-199.4554</v>
      </c>
      <c r="K1429">
        <v>1.114363</v>
      </c>
      <c r="L1429">
        <v>366.13990000000001</v>
      </c>
      <c r="M1429">
        <v>0.94283879999999998</v>
      </c>
      <c r="N1429">
        <v>-1.480251E-2</v>
      </c>
      <c r="O1429">
        <v>-0.33291999999999999</v>
      </c>
      <c r="P1429">
        <v>0.69053909999999996</v>
      </c>
      <c r="Q1429">
        <v>-7.1326050000000002E-2</v>
      </c>
      <c r="R1429">
        <v>-0.71976949999999995</v>
      </c>
      <c r="S1429">
        <v>1.182755</v>
      </c>
      <c r="T1429">
        <v>-0.28467320000000002</v>
      </c>
      <c r="U1429">
        <v>-3.025757</v>
      </c>
      <c r="V1429">
        <v>0.4477624</v>
      </c>
      <c r="W1429">
        <v>-6.552239E-2</v>
      </c>
      <c r="X1429">
        <v>0.89174869999999995</v>
      </c>
      <c r="Y1429">
        <v>0.75475219999999998</v>
      </c>
      <c r="Z1429">
        <v>-1.9785629999999998E-2</v>
      </c>
      <c r="AA1429">
        <v>0.65571159999999995</v>
      </c>
      <c r="AB1429">
        <v>19</v>
      </c>
      <c r="AC1429">
        <v>4.5012000000000096</v>
      </c>
      <c r="AD1429">
        <v>-1.1143669309049999</v>
      </c>
      <c r="AE1429">
        <v>-11.7895</v>
      </c>
      <c r="AF1429">
        <v>9.5436938708072407</v>
      </c>
      <c r="AG1429">
        <v>-1.1143669309049999</v>
      </c>
      <c r="AH1429">
        <v>8.1065493623919203</v>
      </c>
      <c r="AI1429">
        <v>95.085546942958402</v>
      </c>
      <c r="AJ1429">
        <v>40.345046319823197</v>
      </c>
      <c r="AK1429">
        <v>12.571398049591499</v>
      </c>
      <c r="AL1429">
        <v>93.7568476497067</v>
      </c>
      <c r="AM1429">
        <v>63.337983697450397</v>
      </c>
      <c r="AN1429">
        <v>1.0000000471983701</v>
      </c>
    </row>
    <row r="1430" spans="1:40" x14ac:dyDescent="0.25">
      <c r="A1430" t="str">
        <f>"20190303154754272"</f>
        <v>20190303154754272</v>
      </c>
      <c r="B1430" t="str">
        <f>"1551599274261619"</f>
        <v>1551599274261619</v>
      </c>
      <c r="C1430" t="s">
        <v>40</v>
      </c>
      <c r="D1430">
        <v>6.094049</v>
      </c>
      <c r="E1430">
        <v>0.65951169999999903</v>
      </c>
      <c r="F1430" t="s">
        <v>46</v>
      </c>
      <c r="G1430">
        <v>-195.07060000000001</v>
      </c>
      <c r="H1430" s="1">
        <v>-4.0489089999999999E-6</v>
      </c>
      <c r="I1430">
        <v>354.53370000000001</v>
      </c>
      <c r="J1430">
        <v>-199.35830000000001</v>
      </c>
      <c r="K1430">
        <v>1.1143270000000001</v>
      </c>
      <c r="L1430">
        <v>366.0967</v>
      </c>
      <c r="M1430">
        <v>0.94043810000000005</v>
      </c>
      <c r="N1430">
        <v>-1.4824199999999999E-2</v>
      </c>
      <c r="O1430">
        <v>-0.33964169999999999</v>
      </c>
      <c r="P1430">
        <v>0.68443900000000002</v>
      </c>
      <c r="Q1430">
        <v>-7.247149E-2</v>
      </c>
      <c r="R1430">
        <v>-0.72545930000000003</v>
      </c>
      <c r="S1430">
        <v>1.147705</v>
      </c>
      <c r="T1430">
        <v>-0.29168060000000001</v>
      </c>
      <c r="U1430">
        <v>-3.0378720000000001</v>
      </c>
      <c r="V1430">
        <v>0.44879209999999897</v>
      </c>
      <c r="W1430">
        <v>-6.6707799999999998E-2</v>
      </c>
      <c r="X1430">
        <v>0.89114300000000002</v>
      </c>
      <c r="Y1430">
        <v>0.75745899999999999</v>
      </c>
      <c r="Z1430">
        <v>-1.9642099999999999E-2</v>
      </c>
      <c r="AA1430">
        <v>0.65258719999999903</v>
      </c>
      <c r="AB1430">
        <v>19</v>
      </c>
      <c r="AC1430">
        <v>4.2877000000000001</v>
      </c>
      <c r="AD1430">
        <v>-1.1143310489089999</v>
      </c>
      <c r="AE1430">
        <v>-11.562999999999899</v>
      </c>
      <c r="AF1430">
        <v>9.3427587775679299</v>
      </c>
      <c r="AG1430">
        <v>-1.1143310489089999</v>
      </c>
      <c r="AH1430">
        <v>7.8960001518428298</v>
      </c>
      <c r="AI1430">
        <v>95.205048134467503</v>
      </c>
      <c r="AJ1430">
        <v>40.202707671047001</v>
      </c>
      <c r="AK1430">
        <v>12.283146732832201</v>
      </c>
      <c r="AL1430">
        <v>93.824915512278096</v>
      </c>
      <c r="AM1430">
        <v>63.269534376132903</v>
      </c>
      <c r="AN1430">
        <v>1.0000000630261201</v>
      </c>
    </row>
    <row r="1431" spans="1:40" x14ac:dyDescent="0.25">
      <c r="A1431" t="str">
        <f>"20190303154754285"</f>
        <v>20190303154754285</v>
      </c>
      <c r="B1431" t="str">
        <f>"1551599274282116"</f>
        <v>1551599274282116</v>
      </c>
      <c r="C1431" t="s">
        <v>40</v>
      </c>
      <c r="D1431">
        <v>5.8045540000000004</v>
      </c>
      <c r="E1431">
        <v>0.65921960000000002</v>
      </c>
      <c r="F1431" t="s">
        <v>46</v>
      </c>
      <c r="G1431">
        <v>-195.12379999999999</v>
      </c>
      <c r="H1431" s="1">
        <v>-4.0968859999999997E-6</v>
      </c>
      <c r="I1431">
        <v>354.60599999999999</v>
      </c>
      <c r="J1431">
        <v>-199.25579999999999</v>
      </c>
      <c r="K1431">
        <v>1.1142909999999999</v>
      </c>
      <c r="L1431">
        <v>366.0505</v>
      </c>
      <c r="M1431">
        <v>0.93782960000000004</v>
      </c>
      <c r="N1431">
        <v>-1.484663E-2</v>
      </c>
      <c r="O1431">
        <v>-0.34677859999999899</v>
      </c>
      <c r="P1431">
        <v>0.67775129999999995</v>
      </c>
      <c r="Q1431">
        <v>-7.3766209999999999E-2</v>
      </c>
      <c r="R1431">
        <v>-0.73158179999999995</v>
      </c>
      <c r="S1431">
        <v>1.1226959999999999</v>
      </c>
      <c r="T1431">
        <v>-0.2954445</v>
      </c>
      <c r="U1431">
        <v>-3.04657</v>
      </c>
      <c r="V1431">
        <v>0.4500497</v>
      </c>
      <c r="W1431">
        <v>-6.8047839999999998E-2</v>
      </c>
      <c r="X1431">
        <v>0.89040710000000001</v>
      </c>
      <c r="Y1431">
        <v>0.75779430000000003</v>
      </c>
      <c r="Z1431">
        <v>-1.9127559999999998E-2</v>
      </c>
      <c r="AA1431">
        <v>0.65221319999999905</v>
      </c>
      <c r="AB1431">
        <v>19</v>
      </c>
      <c r="AC1431">
        <v>4.1319999999999997</v>
      </c>
      <c r="AD1431">
        <v>-1.1142950968859999</v>
      </c>
      <c r="AE1431">
        <v>-11.4445</v>
      </c>
      <c r="AF1431">
        <v>9.2237688530039499</v>
      </c>
      <c r="AG1431">
        <v>-1.1142950968859999</v>
      </c>
      <c r="AH1431">
        <v>7.7794395525858198</v>
      </c>
      <c r="AI1431">
        <v>95.276133103060701</v>
      </c>
      <c r="AJ1431">
        <v>40.144693318163199</v>
      </c>
      <c r="AK1431">
        <v>12.1177244220574</v>
      </c>
      <c r="AL1431">
        <v>93.901869182891403</v>
      </c>
      <c r="AM1431">
        <v>63.186020867383903</v>
      </c>
      <c r="AN1431">
        <v>1.00000002236458</v>
      </c>
    </row>
    <row r="1432" spans="1:40" x14ac:dyDescent="0.25">
      <c r="A1432" t="str">
        <f>"20190303154754296"</f>
        <v>20190303154754296</v>
      </c>
      <c r="B1432" t="str">
        <f>"1551599274291876"</f>
        <v>1551599274291876</v>
      </c>
      <c r="C1432" t="s">
        <v>40</v>
      </c>
      <c r="D1432">
        <v>5.7767900000000001</v>
      </c>
      <c r="E1432">
        <v>0.65904280000000004</v>
      </c>
      <c r="F1432" t="s">
        <v>46</v>
      </c>
      <c r="G1432">
        <v>-195.2056</v>
      </c>
      <c r="H1432" s="1">
        <v>-4.1885239999999996E-6</v>
      </c>
      <c r="I1432">
        <v>354.7638</v>
      </c>
      <c r="J1432">
        <v>-199.1609</v>
      </c>
      <c r="K1432">
        <v>1.1142570000000001</v>
      </c>
      <c r="L1432">
        <v>366.0068</v>
      </c>
      <c r="M1432">
        <v>0.93533880000000003</v>
      </c>
      <c r="N1432">
        <v>-1.486701E-2</v>
      </c>
      <c r="O1432">
        <v>-0.35344120000000001</v>
      </c>
      <c r="P1432">
        <v>0.67151830000000001</v>
      </c>
      <c r="Q1432">
        <v>-7.5017029999999998E-2</v>
      </c>
      <c r="R1432">
        <v>-0.73718149999999905</v>
      </c>
      <c r="S1432">
        <v>1.0961909999999999</v>
      </c>
      <c r="T1432">
        <v>-0.30158639999999998</v>
      </c>
      <c r="U1432">
        <v>-3.0547789999999999</v>
      </c>
      <c r="V1432">
        <v>0.45112720000000001</v>
      </c>
      <c r="W1432">
        <v>-6.9336889999999998E-2</v>
      </c>
      <c r="X1432">
        <v>0.88976219999999995</v>
      </c>
      <c r="Y1432">
        <v>0.75865969999999905</v>
      </c>
      <c r="Z1432">
        <v>-1.8742020000000002E-2</v>
      </c>
      <c r="AA1432">
        <v>0.65121759999999995</v>
      </c>
      <c r="AB1432">
        <v>19</v>
      </c>
      <c r="AC1432">
        <v>3.95529999999999</v>
      </c>
      <c r="AD1432">
        <v>-1.1142611885239999</v>
      </c>
      <c r="AE1432">
        <v>-11.242999999999901</v>
      </c>
      <c r="AF1432">
        <v>9.0400401132185806</v>
      </c>
      <c r="AG1432">
        <v>-1.1142611885239999</v>
      </c>
      <c r="AH1432">
        <v>7.6076373761748997</v>
      </c>
      <c r="AI1432">
        <v>95.387492918231302</v>
      </c>
      <c r="AJ1432">
        <v>40.082257192642899</v>
      </c>
      <c r="AK1432">
        <v>11.867605052925599</v>
      </c>
      <c r="AL1432">
        <v>93.975901018076001</v>
      </c>
      <c r="AM1432">
        <v>63.114081658216698</v>
      </c>
      <c r="AN1432">
        <v>1.0000000637217701</v>
      </c>
    </row>
    <row r="1433" spans="1:40" x14ac:dyDescent="0.25">
      <c r="A1433" t="str">
        <f>"20190303154754309"</f>
        <v>20190303154754309</v>
      </c>
      <c r="B1433" t="str">
        <f>"1551599274301635"</f>
        <v>1551599274301635</v>
      </c>
      <c r="C1433" t="s">
        <v>40</v>
      </c>
      <c r="D1433">
        <v>5.3535750000000002</v>
      </c>
      <c r="E1433">
        <v>0.65904280000000004</v>
      </c>
      <c r="F1433" t="s">
        <v>46</v>
      </c>
      <c r="G1433">
        <v>-195.2603</v>
      </c>
      <c r="H1433" s="1">
        <v>-4.2424320000000003E-6</v>
      </c>
      <c r="I1433">
        <v>354.85340000000002</v>
      </c>
      <c r="J1433">
        <v>-199.06950000000001</v>
      </c>
      <c r="K1433">
        <v>1.114228</v>
      </c>
      <c r="L1433">
        <v>365.96370000000002</v>
      </c>
      <c r="M1433">
        <v>0.93286619999999998</v>
      </c>
      <c r="N1433">
        <v>-1.4886079999999999E-2</v>
      </c>
      <c r="O1433">
        <v>-0.3599154</v>
      </c>
      <c r="P1433">
        <v>0.66556499999999996</v>
      </c>
      <c r="Q1433">
        <v>-7.6399120000000001E-2</v>
      </c>
      <c r="R1433">
        <v>-0.74241950000000001</v>
      </c>
      <c r="S1433">
        <v>1.071091</v>
      </c>
      <c r="T1433">
        <v>-0.305979</v>
      </c>
      <c r="U1433">
        <v>-3.0627439999999999</v>
      </c>
      <c r="V1433">
        <v>0.45195960000000002</v>
      </c>
      <c r="W1433">
        <v>-7.0748420000000006E-2</v>
      </c>
      <c r="X1433">
        <v>0.88922839999999903</v>
      </c>
      <c r="Y1433">
        <v>0.75938919999999999</v>
      </c>
      <c r="Z1433">
        <v>-1.829308E-2</v>
      </c>
      <c r="AA1433">
        <v>0.6503795</v>
      </c>
      <c r="AB1433">
        <v>19</v>
      </c>
      <c r="AC1433">
        <v>3.8092000000000001</v>
      </c>
      <c r="AD1433">
        <v>-1.1142322424319999</v>
      </c>
      <c r="AE1433">
        <v>-11.110299999999899</v>
      </c>
      <c r="AF1433">
        <v>8.9142038577984604</v>
      </c>
      <c r="AG1433">
        <v>-1.1142322424319999</v>
      </c>
      <c r="AH1433">
        <v>7.4857087674746303</v>
      </c>
      <c r="AI1433">
        <v>95.467758786170407</v>
      </c>
      <c r="AJ1433">
        <v>40.021882962345899</v>
      </c>
      <c r="AK1433">
        <v>11.693604220252601</v>
      </c>
      <c r="AL1433">
        <v>94.056975176311994</v>
      </c>
      <c r="AM1433">
        <v>63.057571457027798</v>
      </c>
      <c r="AN1433">
        <v>0.99999998316560801</v>
      </c>
    </row>
    <row r="1434" spans="1:40" x14ac:dyDescent="0.25">
      <c r="A1434" t="str">
        <f>"20190303154754323"</f>
        <v>20190303154754323</v>
      </c>
      <c r="B1434" t="str">
        <f>"1551599274312371"</f>
        <v>1551599274312371</v>
      </c>
      <c r="C1434" t="s">
        <v>40</v>
      </c>
      <c r="D1434">
        <v>5.7442760000000002</v>
      </c>
      <c r="E1434">
        <v>0.65886829999999996</v>
      </c>
      <c r="F1434" t="s">
        <v>46</v>
      </c>
      <c r="G1434">
        <v>-195.30080000000001</v>
      </c>
      <c r="H1434" s="1">
        <v>-4.2760859999999996E-6</v>
      </c>
      <c r="I1434">
        <v>354.90640000000002</v>
      </c>
      <c r="J1434">
        <v>-198.96520000000001</v>
      </c>
      <c r="K1434">
        <v>1.1141970000000001</v>
      </c>
      <c r="L1434">
        <v>365.91379999999998</v>
      </c>
      <c r="M1434">
        <v>0.92997019999999997</v>
      </c>
      <c r="N1434">
        <v>-1.490725E-2</v>
      </c>
      <c r="O1434">
        <v>-0.36733250000000001</v>
      </c>
      <c r="P1434">
        <v>0.65883649999999905</v>
      </c>
      <c r="Q1434">
        <v>-7.7397759999999996E-2</v>
      </c>
      <c r="R1434">
        <v>-0.74829419999999902</v>
      </c>
      <c r="S1434">
        <v>1.046616</v>
      </c>
      <c r="T1434">
        <v>-0.30943379999999998</v>
      </c>
      <c r="U1434">
        <v>-3.0707089999999999</v>
      </c>
      <c r="V1434">
        <v>0.45278740000000001</v>
      </c>
      <c r="W1434">
        <v>-7.1775800000000001E-2</v>
      </c>
      <c r="X1434">
        <v>0.88872479999999998</v>
      </c>
      <c r="Y1434">
        <v>0.75935410000000003</v>
      </c>
      <c r="Z1434">
        <v>-1.7637239999999998E-2</v>
      </c>
      <c r="AA1434">
        <v>0.65043859999999998</v>
      </c>
      <c r="AB1434">
        <v>19</v>
      </c>
      <c r="AC1434">
        <v>3.6644000000000001</v>
      </c>
      <c r="AD1434">
        <v>-1.1142012760859901</v>
      </c>
      <c r="AE1434">
        <v>-11.007399999999899</v>
      </c>
      <c r="AF1434">
        <v>8.8102247336394104</v>
      </c>
      <c r="AG1434">
        <v>-1.1142012760859901</v>
      </c>
      <c r="AH1434">
        <v>7.38387894855674</v>
      </c>
      <c r="AI1434">
        <v>95.536199885173502</v>
      </c>
      <c r="AJ1434">
        <v>39.966486380326003</v>
      </c>
      <c r="AK1434">
        <v>11.549163288645699</v>
      </c>
      <c r="AL1434">
        <v>94.115989757488094</v>
      </c>
      <c r="AM1434">
        <v>63.002073072115401</v>
      </c>
      <c r="AN1434">
        <v>0.99999998259971901</v>
      </c>
    </row>
    <row r="1435" spans="1:40" x14ac:dyDescent="0.25">
      <c r="A1435" t="str">
        <f>"20190303154754338"</f>
        <v>20190303154754338</v>
      </c>
      <c r="B1435" t="str">
        <f>"1551599274331891"</f>
        <v>1551599274331891</v>
      </c>
      <c r="C1435" t="s">
        <v>40</v>
      </c>
      <c r="D1435">
        <v>5.7835919999999996</v>
      </c>
      <c r="E1435">
        <v>0.65843649999999998</v>
      </c>
      <c r="F1435" t="s">
        <v>46</v>
      </c>
      <c r="G1435">
        <v>-195.3321</v>
      </c>
      <c r="H1435" s="1">
        <v>-4.3011610000000004E-6</v>
      </c>
      <c r="I1435">
        <v>354.94529999999997</v>
      </c>
      <c r="J1435">
        <v>-198.83760000000001</v>
      </c>
      <c r="K1435">
        <v>1.1141639999999999</v>
      </c>
      <c r="L1435">
        <v>365.85109999999997</v>
      </c>
      <c r="M1435">
        <v>0.92629470000000003</v>
      </c>
      <c r="N1435">
        <v>-1.493193E-2</v>
      </c>
      <c r="O1435">
        <v>-0.37650410000000001</v>
      </c>
      <c r="P1435">
        <v>0.65041139999999997</v>
      </c>
      <c r="Q1435">
        <v>-7.9695249999999995E-2</v>
      </c>
      <c r="R1435">
        <v>-0.75538989999999995</v>
      </c>
      <c r="S1435">
        <v>1.0198210000000001</v>
      </c>
      <c r="T1435">
        <v>-0.31275750000000002</v>
      </c>
      <c r="U1435">
        <v>-3.0788570000000002</v>
      </c>
      <c r="V1435">
        <v>0.45369609999999999</v>
      </c>
      <c r="W1435">
        <v>-7.4106420000000006E-2</v>
      </c>
      <c r="X1435">
        <v>0.88806989999999997</v>
      </c>
      <c r="Y1435">
        <v>0.75854049999999995</v>
      </c>
      <c r="Z1435">
        <v>-1.6706410000000001E-2</v>
      </c>
      <c r="AA1435">
        <v>0.65141169999999904</v>
      </c>
      <c r="AB1435">
        <v>19</v>
      </c>
      <c r="AC1435">
        <v>3.5055000000000098</v>
      </c>
      <c r="AD1435">
        <v>-1.114168301161</v>
      </c>
      <c r="AE1435">
        <v>-10.905799999999999</v>
      </c>
      <c r="AF1435">
        <v>8.7008194842943301</v>
      </c>
      <c r="AG1435">
        <v>-1.114168301161</v>
      </c>
      <c r="AH1435">
        <v>7.2851075925802</v>
      </c>
      <c r="AI1435">
        <v>95.607438221354698</v>
      </c>
      <c r="AJ1435">
        <v>39.939095341223599</v>
      </c>
      <c r="AK1435">
        <v>11.402562139144701</v>
      </c>
      <c r="AL1435">
        <v>94.249880931911406</v>
      </c>
      <c r="AM1435">
        <v>62.938473484974203</v>
      </c>
      <c r="AN1435">
        <v>1.0000000299632099</v>
      </c>
    </row>
    <row r="1436" spans="1:40" x14ac:dyDescent="0.25">
      <c r="A1436" t="str">
        <f>"20190303154754361"</f>
        <v>20190303154754361</v>
      </c>
      <c r="B1436" t="str">
        <f>"1551599274352387"</f>
        <v>1551599274352387</v>
      </c>
      <c r="C1436" t="s">
        <v>40</v>
      </c>
      <c r="D1436">
        <v>5.7860100000000001</v>
      </c>
      <c r="E1436">
        <v>0.6579834</v>
      </c>
      <c r="F1436" t="s">
        <v>46</v>
      </c>
      <c r="G1436">
        <v>-195.3999</v>
      </c>
      <c r="H1436" s="1">
        <v>-4.3924870000000001E-6</v>
      </c>
      <c r="I1436">
        <v>355.10910000000001</v>
      </c>
      <c r="J1436">
        <v>-198.67490000000001</v>
      </c>
      <c r="K1436">
        <v>1.11412</v>
      </c>
      <c r="L1436">
        <v>365.76870000000002</v>
      </c>
      <c r="M1436">
        <v>0.92140770000000005</v>
      </c>
      <c r="N1436">
        <v>-1.496168E-2</v>
      </c>
      <c r="O1436">
        <v>-0.38830959999999998</v>
      </c>
      <c r="P1436">
        <v>0.63964370000000004</v>
      </c>
      <c r="Q1436">
        <v>-8.1872429999999996E-2</v>
      </c>
      <c r="R1436">
        <v>-0.76429939999999996</v>
      </c>
      <c r="S1436">
        <v>0.98793030000000004</v>
      </c>
      <c r="T1436">
        <v>-0.32018839999999998</v>
      </c>
      <c r="U1436">
        <v>-3.0870060000000001</v>
      </c>
      <c r="V1436">
        <v>0.45467489999999999</v>
      </c>
      <c r="W1436">
        <v>-7.6315610000000006E-2</v>
      </c>
      <c r="X1436">
        <v>0.88738189999999995</v>
      </c>
      <c r="Y1436">
        <v>0.75678100000000004</v>
      </c>
      <c r="Z1436">
        <v>-1.5429740000000001E-2</v>
      </c>
      <c r="AA1436">
        <v>0.65348640000000002</v>
      </c>
      <c r="AB1436">
        <v>19</v>
      </c>
      <c r="AC1436">
        <v>3.2749999999999999</v>
      </c>
      <c r="AD1436">
        <v>-1.1141243924869999</v>
      </c>
      <c r="AE1436">
        <v>-10.659599999999999</v>
      </c>
      <c r="AF1436">
        <v>8.4665670172045093</v>
      </c>
      <c r="AG1436">
        <v>-1.1141243924869999</v>
      </c>
      <c r="AH1436">
        <v>7.0868946563998598</v>
      </c>
      <c r="AI1436">
        <v>95.762019684935595</v>
      </c>
      <c r="AJ1436">
        <v>39.930836476448697</v>
      </c>
      <c r="AK1436">
        <v>11.0972116357965</v>
      </c>
      <c r="AL1436">
        <v>94.376817937845004</v>
      </c>
      <c r="AM1436">
        <v>62.870399897953597</v>
      </c>
      <c r="AN1436">
        <v>0.99999998673364499</v>
      </c>
    </row>
    <row r="1437" spans="1:40" x14ac:dyDescent="0.25">
      <c r="A1437" t="str">
        <f>"20190303154754372"</f>
        <v>20190303154754372</v>
      </c>
      <c r="B1437" t="str">
        <f>"1551599274362147"</f>
        <v>1551599274362147</v>
      </c>
      <c r="C1437" t="s">
        <v>40</v>
      </c>
      <c r="D1437">
        <v>5.775836</v>
      </c>
      <c r="E1437">
        <v>0.65772229999999998</v>
      </c>
      <c r="F1437" t="s">
        <v>46</v>
      </c>
      <c r="G1437">
        <v>-195.4546</v>
      </c>
      <c r="H1437" s="1">
        <v>-4.4593730000000003E-6</v>
      </c>
      <c r="I1437">
        <v>355.22669999999999</v>
      </c>
      <c r="J1437">
        <v>-198.57669999999999</v>
      </c>
      <c r="K1437">
        <v>1.1140969999999999</v>
      </c>
      <c r="L1437">
        <v>365.71719999999999</v>
      </c>
      <c r="M1437">
        <v>0.91833379999999998</v>
      </c>
      <c r="N1437">
        <v>-1.497912E-2</v>
      </c>
      <c r="O1437">
        <v>-0.39552379999999998</v>
      </c>
      <c r="P1437">
        <v>0.63292720000000002</v>
      </c>
      <c r="Q1437">
        <v>-8.2542409999999997E-2</v>
      </c>
      <c r="R1437">
        <v>-0.76979889999999995</v>
      </c>
      <c r="S1437">
        <v>0.94639589999999996</v>
      </c>
      <c r="T1437">
        <v>-0.3274165</v>
      </c>
      <c r="U1437">
        <v>-3.0980530000000002</v>
      </c>
      <c r="V1437">
        <v>0.45540380000000003</v>
      </c>
      <c r="W1437">
        <v>-7.700825E-2</v>
      </c>
      <c r="X1437">
        <v>0.88694819999999996</v>
      </c>
      <c r="Y1437">
        <v>0.76021369999999999</v>
      </c>
      <c r="Z1437">
        <v>-1.5076310000000001E-2</v>
      </c>
      <c r="AA1437">
        <v>0.64949809999999997</v>
      </c>
      <c r="AB1437">
        <v>19</v>
      </c>
      <c r="AC1437">
        <v>3.1220999999999801</v>
      </c>
      <c r="AD1437">
        <v>-1.1141014593730001</v>
      </c>
      <c r="AE1437">
        <v>-10.4904999999999</v>
      </c>
      <c r="AF1437">
        <v>8.3137185038845693</v>
      </c>
      <c r="AG1437">
        <v>-1.1141014593730001</v>
      </c>
      <c r="AH1437">
        <v>6.9451993299685899</v>
      </c>
      <c r="AI1437">
        <v>95.871847865400198</v>
      </c>
      <c r="AJ1437">
        <v>39.875052949586298</v>
      </c>
      <c r="AK1437">
        <v>10.890129988049001</v>
      </c>
      <c r="AL1437">
        <v>94.416620359727503</v>
      </c>
      <c r="AM1437">
        <v>62.821756069147298</v>
      </c>
      <c r="AN1437">
        <v>1.00000000055287</v>
      </c>
    </row>
    <row r="1438" spans="1:40" x14ac:dyDescent="0.25">
      <c r="A1438" t="str">
        <f>"20190303154754386"</f>
        <v>20190303154754386</v>
      </c>
      <c r="B1438" t="str">
        <f>"1551599274381667"</f>
        <v>1551599274381667</v>
      </c>
      <c r="C1438" t="s">
        <v>40</v>
      </c>
      <c r="D1438">
        <v>5.7946939999999998</v>
      </c>
      <c r="E1438">
        <v>0.65716909999999995</v>
      </c>
      <c r="F1438" t="s">
        <v>46</v>
      </c>
      <c r="G1438">
        <v>-195.46610000000001</v>
      </c>
      <c r="H1438" s="1">
        <v>-4.463512E-6</v>
      </c>
      <c r="I1438">
        <v>355.23009999999999</v>
      </c>
      <c r="J1438">
        <v>-198.4864</v>
      </c>
      <c r="K1438">
        <v>1.114079</v>
      </c>
      <c r="L1438">
        <v>365.66930000000002</v>
      </c>
      <c r="M1438">
        <v>0.91543770000000002</v>
      </c>
      <c r="N1438">
        <v>-1.4994749999999999E-2</v>
      </c>
      <c r="O1438">
        <v>-0.40218029999999999</v>
      </c>
      <c r="P1438">
        <v>0.62685249999999904</v>
      </c>
      <c r="Q1438">
        <v>-8.3137849999999999E-2</v>
      </c>
      <c r="R1438">
        <v>-0.77468990000000004</v>
      </c>
      <c r="S1438">
        <v>0.92089840000000001</v>
      </c>
      <c r="T1438">
        <v>-0.32982610000000001</v>
      </c>
      <c r="U1438">
        <v>-3.1046749999999999</v>
      </c>
      <c r="V1438">
        <v>0.45586919999999997</v>
      </c>
      <c r="W1438">
        <v>-7.7618290000000006E-2</v>
      </c>
      <c r="X1438">
        <v>0.88665590000000005</v>
      </c>
      <c r="Y1438">
        <v>0.76077069999999902</v>
      </c>
      <c r="Z1438">
        <v>-1.4432399999999901E-2</v>
      </c>
      <c r="AA1438">
        <v>0.64886029999999995</v>
      </c>
      <c r="AB1438">
        <v>19</v>
      </c>
      <c r="AC1438">
        <v>3.02029999999999</v>
      </c>
      <c r="AD1438">
        <v>-1.114083463512</v>
      </c>
      <c r="AE1438">
        <v>-10.4392</v>
      </c>
      <c r="AF1438">
        <v>8.2559031762207091</v>
      </c>
      <c r="AG1438">
        <v>-1.114083463512</v>
      </c>
      <c r="AH1438">
        <v>6.8916906132713098</v>
      </c>
      <c r="AI1438">
        <v>95.914405840620503</v>
      </c>
      <c r="AJ1438">
        <v>39.8537492952183</v>
      </c>
      <c r="AK1438">
        <v>10.8118693447458</v>
      </c>
      <c r="AL1438">
        <v>94.451677987331706</v>
      </c>
      <c r="AM1438">
        <v>62.7902902037658</v>
      </c>
      <c r="AN1438">
        <v>1.0000000057279801</v>
      </c>
    </row>
    <row r="1439" spans="1:40" x14ac:dyDescent="0.25">
      <c r="A1439" t="str">
        <f>"20190303154754398"</f>
        <v>20190303154754398</v>
      </c>
      <c r="B1439" t="str">
        <f>"1551599274392404"</f>
        <v>1551599274392404</v>
      </c>
      <c r="C1439" t="s">
        <v>40</v>
      </c>
      <c r="D1439">
        <v>5.789758</v>
      </c>
      <c r="E1439">
        <v>0.65716909999999995</v>
      </c>
      <c r="F1439" t="s">
        <v>46</v>
      </c>
      <c r="G1439">
        <v>-195.47319999999999</v>
      </c>
      <c r="H1439" s="1">
        <v>-4.4804910000000001E-6</v>
      </c>
      <c r="I1439">
        <v>355.26319999999998</v>
      </c>
      <c r="J1439">
        <v>-198.39160000000001</v>
      </c>
      <c r="K1439">
        <v>1.1140639999999999</v>
      </c>
      <c r="L1439">
        <v>365.61810000000003</v>
      </c>
      <c r="M1439">
        <v>0.91232170000000001</v>
      </c>
      <c r="N1439">
        <v>-1.501071E-2</v>
      </c>
      <c r="O1439">
        <v>-0.40919879999999997</v>
      </c>
      <c r="P1439">
        <v>0.62021649999999995</v>
      </c>
      <c r="Q1439">
        <v>-8.3747409999999994E-2</v>
      </c>
      <c r="R1439">
        <v>-0.77994750000000002</v>
      </c>
      <c r="S1439">
        <v>0.90010069999999998</v>
      </c>
      <c r="T1439">
        <v>-0.33279900000000001</v>
      </c>
      <c r="U1439">
        <v>-3.1085210000000001</v>
      </c>
      <c r="V1439">
        <v>0.4565553</v>
      </c>
      <c r="W1439">
        <v>-7.8246239999999995E-2</v>
      </c>
      <c r="X1439">
        <v>0.88624760000000002</v>
      </c>
      <c r="Y1439">
        <v>0.76000330000000005</v>
      </c>
      <c r="Z1439">
        <v>-1.3602960000000001E-2</v>
      </c>
      <c r="AA1439">
        <v>0.64977689999999999</v>
      </c>
      <c r="AB1439">
        <v>18</v>
      </c>
      <c r="AC1439">
        <v>2.9184000000000201</v>
      </c>
      <c r="AD1439">
        <v>-1.1140684804909999</v>
      </c>
      <c r="AE1439">
        <v>-10.354900000000001</v>
      </c>
      <c r="AF1439">
        <v>8.1661549286637296</v>
      </c>
      <c r="AG1439">
        <v>-1.1140684804909999</v>
      </c>
      <c r="AH1439">
        <v>6.8272977170401496</v>
      </c>
      <c r="AI1439">
        <v>95.975095675494302</v>
      </c>
      <c r="AJ1439">
        <v>39.897243013715503</v>
      </c>
      <c r="AK1439">
        <v>10.7023001740403</v>
      </c>
      <c r="AL1439">
        <v>94.4877666010334</v>
      </c>
      <c r="AM1439">
        <v>62.744492496452601</v>
      </c>
      <c r="AN1439">
        <v>1.00000001226899</v>
      </c>
    </row>
    <row r="1440" spans="1:40" x14ac:dyDescent="0.25">
      <c r="A1440" t="str">
        <f>"20190303154754413"</f>
        <v>20190303154754413</v>
      </c>
      <c r="B1440" t="str">
        <f>"1551599274402164"</f>
        <v>1551599274402164</v>
      </c>
      <c r="C1440" t="s">
        <v>40</v>
      </c>
      <c r="D1440">
        <v>5.7657530000000001</v>
      </c>
      <c r="E1440">
        <v>0.62662109999999904</v>
      </c>
      <c r="F1440" t="s">
        <v>46</v>
      </c>
      <c r="G1440">
        <v>-195.476</v>
      </c>
      <c r="H1440" s="1">
        <v>-4.4597480000000003E-6</v>
      </c>
      <c r="I1440">
        <v>355.21730000000002</v>
      </c>
      <c r="J1440">
        <v>-198.2826</v>
      </c>
      <c r="K1440">
        <v>1.114044</v>
      </c>
      <c r="L1440">
        <v>365.55770000000001</v>
      </c>
      <c r="M1440">
        <v>0.90862449999999995</v>
      </c>
      <c r="N1440">
        <v>-1.502857E-2</v>
      </c>
      <c r="O1440">
        <v>-0.41734399999999999</v>
      </c>
      <c r="P1440">
        <v>0.61249430000000005</v>
      </c>
      <c r="Q1440">
        <v>-8.378468E-2</v>
      </c>
      <c r="R1440">
        <v>-0.78602260000000002</v>
      </c>
      <c r="S1440">
        <v>0.87347410000000003</v>
      </c>
      <c r="T1440">
        <v>-0.33376460000000002</v>
      </c>
      <c r="U1440">
        <v>-3.1159970000000001</v>
      </c>
      <c r="V1440">
        <v>0.45735910000000002</v>
      </c>
      <c r="W1440">
        <v>-7.8304840000000001E-2</v>
      </c>
      <c r="X1440">
        <v>0.8858279</v>
      </c>
      <c r="Y1440">
        <v>0.75977130000000004</v>
      </c>
      <c r="Z1440">
        <v>-1.267941E-2</v>
      </c>
      <c r="AA1440">
        <v>0.6500669</v>
      </c>
      <c r="AB1440">
        <v>18</v>
      </c>
      <c r="AC1440">
        <v>2.8066</v>
      </c>
      <c r="AD1440">
        <v>-1.114048459748</v>
      </c>
      <c r="AE1440">
        <v>-10.340399999999899</v>
      </c>
      <c r="AF1440">
        <v>8.1371800965385095</v>
      </c>
      <c r="AG1440">
        <v>-1.114048459748</v>
      </c>
      <c r="AH1440">
        <v>6.7929851928123304</v>
      </c>
      <c r="AI1440">
        <v>95.999742083146799</v>
      </c>
      <c r="AJ1440">
        <v>39.855408101781698</v>
      </c>
      <c r="AK1440">
        <v>10.6583043550058</v>
      </c>
      <c r="AL1440">
        <v>94.491134381125306</v>
      </c>
      <c r="AM1440">
        <v>62.692378830014299</v>
      </c>
      <c r="AN1440">
        <v>1.00000003136932</v>
      </c>
    </row>
    <row r="1441" spans="1:40" x14ac:dyDescent="0.25">
      <c r="A1441" t="str">
        <f>"20190303154754428"</f>
        <v>20190303154754428</v>
      </c>
      <c r="B1441" t="str">
        <f>"1551599274421683"</f>
        <v>1551599274421683</v>
      </c>
      <c r="C1441" t="s">
        <v>40</v>
      </c>
      <c r="D1441">
        <v>5.8156910000000002</v>
      </c>
      <c r="E1441">
        <v>0.62464940000000002</v>
      </c>
      <c r="F1441" t="s">
        <v>46</v>
      </c>
      <c r="G1441">
        <v>-195.64189999999999</v>
      </c>
      <c r="H1441" s="1">
        <v>-5.6070690000000003E-6</v>
      </c>
      <c r="I1441">
        <v>357.92329999999998</v>
      </c>
      <c r="J1441">
        <v>-198.16929999999999</v>
      </c>
      <c r="K1441">
        <v>1.1140380000000001</v>
      </c>
      <c r="L1441">
        <v>365.49369999999999</v>
      </c>
      <c r="M1441">
        <v>0.90466340000000001</v>
      </c>
      <c r="N1441">
        <v>-1.5046749999999999E-2</v>
      </c>
      <c r="O1441">
        <v>-0.4258614</v>
      </c>
      <c r="P1441">
        <v>0.60401070000000001</v>
      </c>
      <c r="Q1441">
        <v>-8.3513710000000005E-2</v>
      </c>
      <c r="R1441">
        <v>-0.79258859999999998</v>
      </c>
      <c r="S1441">
        <v>1.027298</v>
      </c>
      <c r="T1441">
        <v>-0.43338840000000001</v>
      </c>
      <c r="U1441">
        <v>-2.9699399999999998</v>
      </c>
      <c r="V1441">
        <v>0.45858339999999997</v>
      </c>
      <c r="W1441">
        <v>-7.8067170000000005E-2</v>
      </c>
      <c r="X1441">
        <v>0.88521569999999905</v>
      </c>
      <c r="Y1441">
        <v>0.71212959999999903</v>
      </c>
      <c r="Z1441">
        <v>-5.6068790000000004E-3</v>
      </c>
      <c r="AA1441">
        <v>0.70202569999999997</v>
      </c>
      <c r="AB1441">
        <v>18</v>
      </c>
      <c r="AC1441">
        <v>2.5274000000000001</v>
      </c>
      <c r="AD1441">
        <v>-1.1140436070690001</v>
      </c>
      <c r="AE1441">
        <v>-7.5704000000000002</v>
      </c>
      <c r="AF1441">
        <v>5.6626644186095998</v>
      </c>
      <c r="AG1441">
        <v>-1.1140436070690001</v>
      </c>
      <c r="AH1441">
        <v>5.40568739528997</v>
      </c>
      <c r="AI1441">
        <v>98.099043004213897</v>
      </c>
      <c r="AJ1441">
        <v>43.669986786975699</v>
      </c>
      <c r="AK1441">
        <v>7.9074849156881299</v>
      </c>
      <c r="AL1441">
        <v>94.477475100741302</v>
      </c>
      <c r="AM1441">
        <v>62.6137170325756</v>
      </c>
      <c r="AN1441">
        <v>1.00000002665692</v>
      </c>
    </row>
    <row r="1442" spans="1:40" x14ac:dyDescent="0.25">
      <c r="A1442" t="str">
        <f>"20190303154754441"</f>
        <v>20190303154754441</v>
      </c>
      <c r="B1442" t="str">
        <f>"1551599274432419"</f>
        <v>1551599274432419</v>
      </c>
      <c r="C1442" t="s">
        <v>40</v>
      </c>
      <c r="D1442">
        <v>5.791461</v>
      </c>
      <c r="E1442">
        <v>0.62357640000000003</v>
      </c>
      <c r="F1442" t="s">
        <v>46</v>
      </c>
      <c r="G1442">
        <v>-195.59649999999999</v>
      </c>
      <c r="H1442" s="1">
        <v>-5.5951370000000004E-6</v>
      </c>
      <c r="I1442">
        <v>357.90890000000002</v>
      </c>
      <c r="J1442">
        <v>-198.077</v>
      </c>
      <c r="K1442">
        <v>1.114026</v>
      </c>
      <c r="L1442">
        <v>365.44069999999999</v>
      </c>
      <c r="M1442">
        <v>0.90134939999999997</v>
      </c>
      <c r="N1442">
        <v>-1.506128E-2</v>
      </c>
      <c r="O1442">
        <v>-0.43283100000000002</v>
      </c>
      <c r="P1442">
        <v>0.5974701</v>
      </c>
      <c r="Q1442">
        <v>-8.3397139999999995E-2</v>
      </c>
      <c r="R1442">
        <v>-0.79754329999999996</v>
      </c>
      <c r="S1442">
        <v>1.0078129999999901</v>
      </c>
      <c r="T1442">
        <v>-0.43638589999999999</v>
      </c>
      <c r="U1442">
        <v>-2.971069</v>
      </c>
      <c r="V1442">
        <v>0.45904299999999998</v>
      </c>
      <c r="W1442">
        <v>-7.7965919999999994E-2</v>
      </c>
      <c r="X1442">
        <v>0.88498639999999995</v>
      </c>
      <c r="Y1442">
        <v>0.71093189999999995</v>
      </c>
      <c r="Z1442">
        <v>-4.3493550000000001E-3</v>
      </c>
      <c r="AA1442">
        <v>0.70324750000000003</v>
      </c>
      <c r="AB1442">
        <v>18</v>
      </c>
      <c r="AC1442">
        <v>2.4805000000000001</v>
      </c>
      <c r="AD1442">
        <v>-1.1140315951369999</v>
      </c>
      <c r="AE1442">
        <v>-7.5317999999999703</v>
      </c>
      <c r="AF1442">
        <v>5.6051657770528998</v>
      </c>
      <c r="AG1442">
        <v>-1.1140315951369999</v>
      </c>
      <c r="AH1442">
        <v>5.3900345175661002</v>
      </c>
      <c r="AI1442">
        <v>98.152745534291498</v>
      </c>
      <c r="AJ1442">
        <v>43.879098122411698</v>
      </c>
      <c r="AK1442">
        <v>7.8556617724901203</v>
      </c>
      <c r="AL1442">
        <v>94.471656088171898</v>
      </c>
      <c r="AM1442">
        <v>62.584202045687498</v>
      </c>
      <c r="AN1442">
        <v>1.0000000443577</v>
      </c>
    </row>
    <row r="1443" spans="1:40" x14ac:dyDescent="0.25">
      <c r="A1443" t="str">
        <f>"20190303154754453"</f>
        <v>20190303154754453</v>
      </c>
      <c r="B1443" t="str">
        <f>"1551599274442179"</f>
        <v>1551599274442179</v>
      </c>
      <c r="C1443" t="s">
        <v>40</v>
      </c>
      <c r="D1443">
        <v>5.7954919999999897</v>
      </c>
      <c r="E1443">
        <v>0.62273109999999998</v>
      </c>
      <c r="F1443" t="s">
        <v>46</v>
      </c>
      <c r="G1443">
        <v>-195.56870000000001</v>
      </c>
      <c r="H1443" s="1">
        <v>-5.5897120000000004E-6</v>
      </c>
      <c r="I1443">
        <v>357.90559999999999</v>
      </c>
      <c r="J1443">
        <v>-197.9836</v>
      </c>
      <c r="K1443">
        <v>1.114015</v>
      </c>
      <c r="L1443">
        <v>365.38549999999998</v>
      </c>
      <c r="M1443">
        <v>0.89788969999999901</v>
      </c>
      <c r="N1443">
        <v>-1.5076000000000001E-2</v>
      </c>
      <c r="O1443">
        <v>-0.43996220000000003</v>
      </c>
      <c r="P1443">
        <v>0.59108680000000002</v>
      </c>
      <c r="Q1443">
        <v>-8.3565559999999997E-2</v>
      </c>
      <c r="R1443">
        <v>-0.80226799999999998</v>
      </c>
      <c r="S1443">
        <v>0.99000549999999998</v>
      </c>
      <c r="T1443">
        <v>-0.43969920000000001</v>
      </c>
      <c r="U1443">
        <v>-2.97403</v>
      </c>
      <c r="V1443">
        <v>0.45906839999999999</v>
      </c>
      <c r="W1443">
        <v>-7.8138609999999997E-2</v>
      </c>
      <c r="X1443">
        <v>0.88495800000000002</v>
      </c>
      <c r="Y1443">
        <v>0.70937759999999905</v>
      </c>
      <c r="Z1443">
        <v>-3.0012279999999999E-3</v>
      </c>
      <c r="AA1443">
        <v>0.70482230000000001</v>
      </c>
      <c r="AB1443">
        <v>18</v>
      </c>
      <c r="AC1443">
        <v>2.4148999999999798</v>
      </c>
      <c r="AD1443">
        <v>-1.1140205897119999</v>
      </c>
      <c r="AE1443">
        <v>-7.4798999999999802</v>
      </c>
      <c r="AF1443">
        <v>5.5429570117052798</v>
      </c>
      <c r="AG1443">
        <v>-1.1140205897119999</v>
      </c>
      <c r="AH1443">
        <v>5.3522916100071702</v>
      </c>
      <c r="AI1443">
        <v>98.226749120187606</v>
      </c>
      <c r="AJ1443">
        <v>43.997433814843802</v>
      </c>
      <c r="AK1443">
        <v>7.7853991411146097</v>
      </c>
      <c r="AL1443">
        <v>94.481580748084795</v>
      </c>
      <c r="AM1443">
        <v>62.582154686162603</v>
      </c>
      <c r="AN1443">
        <v>1.00000005000764</v>
      </c>
    </row>
    <row r="1444" spans="1:40" x14ac:dyDescent="0.25">
      <c r="A1444" t="str">
        <f>"20190303154754465"</f>
        <v>20190303154754465</v>
      </c>
      <c r="B1444" t="str">
        <f>"1551599274462004"</f>
        <v>1551599274462004</v>
      </c>
      <c r="C1444" t="s">
        <v>40</v>
      </c>
      <c r="D1444">
        <v>5.8385420000000003</v>
      </c>
      <c r="E1444">
        <v>0.62260369999999998</v>
      </c>
      <c r="F1444" t="s">
        <v>46</v>
      </c>
      <c r="G1444">
        <v>-195.54419999999999</v>
      </c>
      <c r="H1444" s="1">
        <v>-5.58637399999999E-6</v>
      </c>
      <c r="I1444">
        <v>357.90710000000001</v>
      </c>
      <c r="J1444">
        <v>-197.89609999999999</v>
      </c>
      <c r="K1444">
        <v>1.1140060000000001</v>
      </c>
      <c r="L1444">
        <v>365.33319999999998</v>
      </c>
      <c r="M1444">
        <v>0.89457909999999996</v>
      </c>
      <c r="N1444">
        <v>-1.5089440000000001E-2</v>
      </c>
      <c r="O1444">
        <v>-0.44665470000000002</v>
      </c>
      <c r="P1444">
        <v>0.58548049999999996</v>
      </c>
      <c r="Q1444">
        <v>-8.4093210000000002E-2</v>
      </c>
      <c r="R1444">
        <v>-0.80631330000000001</v>
      </c>
      <c r="S1444">
        <v>0.97126769999999996</v>
      </c>
      <c r="T1444">
        <v>-0.44355909999999898</v>
      </c>
      <c r="U1444">
        <v>-2.9775999999999998</v>
      </c>
      <c r="V1444">
        <v>0.4585687</v>
      </c>
      <c r="W1444">
        <v>-7.8656710000000005E-2</v>
      </c>
      <c r="X1444">
        <v>0.88517109999999999</v>
      </c>
      <c r="Y1444">
        <v>0.70837749999999999</v>
      </c>
      <c r="Z1444">
        <v>-1.7488789999999901E-3</v>
      </c>
      <c r="AA1444">
        <v>0.7058316</v>
      </c>
      <c r="AB1444">
        <v>18</v>
      </c>
      <c r="AC1444">
        <v>2.3519000000000001</v>
      </c>
      <c r="AD1444">
        <v>-1.1140115863740001</v>
      </c>
      <c r="AE1444">
        <v>-7.42609999999996</v>
      </c>
      <c r="AF1444">
        <v>5.48127825658527</v>
      </c>
      <c r="AG1444">
        <v>-1.1140115863740001</v>
      </c>
      <c r="AH1444">
        <v>5.3128204370463399</v>
      </c>
      <c r="AI1444">
        <v>98.302961313940699</v>
      </c>
      <c r="AJ1444">
        <v>44.105887498338099</v>
      </c>
      <c r="AK1444">
        <v>7.7143693285314798</v>
      </c>
      <c r="AL1444">
        <v>94.511357548090899</v>
      </c>
      <c r="AM1444">
        <v>62.6132881095809</v>
      </c>
      <c r="AN1444">
        <v>1.00000000346146</v>
      </c>
    </row>
    <row r="1445" spans="1:40" x14ac:dyDescent="0.25">
      <c r="A1445" t="str">
        <f>"20190303154754478"</f>
        <v>20190303154754478</v>
      </c>
      <c r="B1445" t="str">
        <f>"1551599274471764"</f>
        <v>1551599274471764</v>
      </c>
      <c r="C1445" t="s">
        <v>40</v>
      </c>
      <c r="D1445">
        <v>5.8142690000000004</v>
      </c>
      <c r="E1445">
        <v>0.62213580000000002</v>
      </c>
      <c r="F1445" t="s">
        <v>46</v>
      </c>
      <c r="G1445">
        <v>-195.4452</v>
      </c>
      <c r="H1445" s="1">
        <v>-5.4852179999999997E-6</v>
      </c>
      <c r="I1445">
        <v>357.65109999999999</v>
      </c>
      <c r="J1445">
        <v>-197.797</v>
      </c>
      <c r="K1445">
        <v>1.1139969999999999</v>
      </c>
      <c r="L1445">
        <v>365.27280000000002</v>
      </c>
      <c r="M1445">
        <v>0.89073690000000005</v>
      </c>
      <c r="N1445">
        <v>-1.510425E-2</v>
      </c>
      <c r="O1445">
        <v>-0.45426840000000002</v>
      </c>
      <c r="P1445">
        <v>0.57928780000000002</v>
      </c>
      <c r="Q1445">
        <v>-8.4400429999999999E-2</v>
      </c>
      <c r="R1445">
        <v>-0.81074199999999996</v>
      </c>
      <c r="S1445">
        <v>0.95205689999999998</v>
      </c>
      <c r="T1445">
        <v>-0.43274309999999999</v>
      </c>
      <c r="U1445">
        <v>-2.9841310000000001</v>
      </c>
      <c r="V1445">
        <v>0.4577637</v>
      </c>
      <c r="W1445">
        <v>-7.8944769999999997E-2</v>
      </c>
      <c r="X1445">
        <v>0.88556209999999902</v>
      </c>
      <c r="Y1445">
        <v>0.70714690000000002</v>
      </c>
      <c r="Z1445">
        <v>-7.0234020000000004E-4</v>
      </c>
      <c r="AA1445">
        <v>0.70706639999999998</v>
      </c>
      <c r="AB1445">
        <v>18</v>
      </c>
      <c r="AC1445">
        <v>2.3517999999999901</v>
      </c>
      <c r="AD1445">
        <v>-1.1140024852179999</v>
      </c>
      <c r="AE1445">
        <v>-7.6217000000000299</v>
      </c>
      <c r="AF1445">
        <v>5.6117696368135102</v>
      </c>
      <c r="AG1445">
        <v>-1.1140024852179999</v>
      </c>
      <c r="AH1445">
        <v>5.45143009455703</v>
      </c>
      <c r="AI1445">
        <v>98.103784239535599</v>
      </c>
      <c r="AJ1445">
        <v>44.1696673529243</v>
      </c>
      <c r="AK1445">
        <v>7.9025976785849403</v>
      </c>
      <c r="AL1445">
        <v>94.527913408899494</v>
      </c>
      <c r="AM1445">
        <v>62.664707396741399</v>
      </c>
      <c r="AN1445">
        <v>1.0000000573522201</v>
      </c>
    </row>
    <row r="1446" spans="1:40" x14ac:dyDescent="0.25">
      <c r="A1446" t="str">
        <f>"20190303154754499"</f>
        <v>20190303154754499</v>
      </c>
      <c r="B1446" t="str">
        <f>"1551599274492260"</f>
        <v>1551599274492260</v>
      </c>
      <c r="C1446" t="s">
        <v>40</v>
      </c>
      <c r="D1446">
        <v>5.8397560000000004</v>
      </c>
      <c r="E1446">
        <v>0.62144519999999903</v>
      </c>
      <c r="F1446" t="s">
        <v>46</v>
      </c>
      <c r="G1446">
        <v>-195.36670000000001</v>
      </c>
      <c r="H1446" s="1">
        <v>-5.4166050000000003E-6</v>
      </c>
      <c r="I1446">
        <v>357.48270000000002</v>
      </c>
      <c r="J1446">
        <v>-197.65530000000001</v>
      </c>
      <c r="K1446">
        <v>1.1139939999999999</v>
      </c>
      <c r="L1446">
        <v>365.18419999999998</v>
      </c>
      <c r="M1446">
        <v>0.88506209999999996</v>
      </c>
      <c r="N1446">
        <v>-1.5123009999999999E-2</v>
      </c>
      <c r="O1446">
        <v>-0.46522750000000002</v>
      </c>
      <c r="P1446">
        <v>0.57164289999999995</v>
      </c>
      <c r="Q1446">
        <v>-8.4274829999999995E-2</v>
      </c>
      <c r="R1446">
        <v>-0.81616309999999903</v>
      </c>
      <c r="S1446">
        <v>0.93260189999999998</v>
      </c>
      <c r="T1446">
        <v>-0.42749500000000001</v>
      </c>
      <c r="U1446">
        <v>-2.9894099999999999</v>
      </c>
      <c r="V1446">
        <v>0.45517069999999998</v>
      </c>
      <c r="W1446">
        <v>-7.8745889999999999E-2</v>
      </c>
      <c r="X1446">
        <v>0.88691529999999996</v>
      </c>
      <c r="Y1446">
        <v>0.70314989999999999</v>
      </c>
      <c r="Z1446">
        <v>1.2660029999999999E-3</v>
      </c>
      <c r="AA1446">
        <v>0.71104049999999996</v>
      </c>
      <c r="AB1446">
        <v>18</v>
      </c>
      <c r="AC1446">
        <v>2.2886000000000002</v>
      </c>
      <c r="AD1446">
        <v>-1.113999416605</v>
      </c>
      <c r="AE1446">
        <v>-7.7014999999999496</v>
      </c>
      <c r="AF1446">
        <v>5.6437417654834201</v>
      </c>
      <c r="AG1446">
        <v>-1.113999416605</v>
      </c>
      <c r="AH1446">
        <v>5.5033412380521698</v>
      </c>
      <c r="AI1446">
        <v>98.043785393385406</v>
      </c>
      <c r="AJ1446">
        <v>44.278382307437496</v>
      </c>
      <c r="AK1446">
        <v>7.9611293544385902</v>
      </c>
      <c r="AL1446">
        <v>94.516483030046203</v>
      </c>
      <c r="AM1446">
        <v>62.832810436446898</v>
      </c>
      <c r="AN1446">
        <v>1.0000000153522299</v>
      </c>
    </row>
    <row r="1447" spans="1:40" x14ac:dyDescent="0.25">
      <c r="A1447" t="str">
        <f>"20190303154754512"</f>
        <v>20190303154754512</v>
      </c>
      <c r="B1447" t="str">
        <f>"1551599274502020"</f>
        <v>1551599274502020</v>
      </c>
      <c r="C1447" t="s">
        <v>40</v>
      </c>
      <c r="D1447">
        <v>5.8603459999999998</v>
      </c>
      <c r="E1447">
        <v>0.62084479999999997</v>
      </c>
      <c r="F1447" t="s">
        <v>46</v>
      </c>
      <c r="G1447">
        <v>-195.22569999999999</v>
      </c>
      <c r="H1447" s="1">
        <v>-5.2942250000000001E-6</v>
      </c>
      <c r="I1447">
        <v>357.18299999999999</v>
      </c>
      <c r="J1447">
        <v>-197.5592</v>
      </c>
      <c r="K1447">
        <v>1.113999</v>
      </c>
      <c r="L1447">
        <v>365.12240000000003</v>
      </c>
      <c r="M1447">
        <v>0.88109110000000002</v>
      </c>
      <c r="N1447">
        <v>-1.5132970000000001E-2</v>
      </c>
      <c r="O1447">
        <v>-0.47270469999999998</v>
      </c>
      <c r="P1447">
        <v>0.56566549999999904</v>
      </c>
      <c r="Q1447">
        <v>-8.3793729999999997E-2</v>
      </c>
      <c r="R1447">
        <v>-0.82036669999999901</v>
      </c>
      <c r="S1447">
        <v>0.90963749999999999</v>
      </c>
      <c r="T1447">
        <v>-0.41707050000000001</v>
      </c>
      <c r="U1447">
        <v>-2.9955750000000001</v>
      </c>
      <c r="V1447">
        <v>0.45419399999999999</v>
      </c>
      <c r="W1447">
        <v>-7.822556E-2</v>
      </c>
      <c r="X1447">
        <v>0.88746179999999997</v>
      </c>
      <c r="Y1447">
        <v>0.70270779999999999</v>
      </c>
      <c r="Z1447">
        <v>2.09567E-3</v>
      </c>
      <c r="AA1447">
        <v>0.71147550000000004</v>
      </c>
      <c r="AB1447">
        <v>18</v>
      </c>
      <c r="AC1447">
        <v>2.3335000000000101</v>
      </c>
      <c r="AD1447">
        <v>-1.1140042942249999</v>
      </c>
      <c r="AE1447">
        <v>-7.9393999999999698</v>
      </c>
      <c r="AF1447">
        <v>5.7880590605339197</v>
      </c>
      <c r="AG1447">
        <v>-1.1140042942249999</v>
      </c>
      <c r="AH1447">
        <v>5.7062712388529402</v>
      </c>
      <c r="AI1447">
        <v>97.804270006364305</v>
      </c>
      <c r="AJ1447">
        <v>44.592319187619097</v>
      </c>
      <c r="AK1447">
        <v>8.20391154920266</v>
      </c>
      <c r="AL1447">
        <v>94.4865784190103</v>
      </c>
      <c r="AM1447">
        <v>62.897091277085998</v>
      </c>
      <c r="AN1447">
        <v>0.999999937166274</v>
      </c>
    </row>
    <row r="1448" spans="1:40" x14ac:dyDescent="0.25">
      <c r="A1448" t="str">
        <f>"20190303154754531"</f>
        <v>20190303154754531</v>
      </c>
      <c r="B1448" t="str">
        <f>"1551599274521540"</f>
        <v>1551599274521540</v>
      </c>
      <c r="C1448" t="s">
        <v>40</v>
      </c>
      <c r="D1448">
        <v>5.8708929999999997</v>
      </c>
      <c r="E1448">
        <v>0.61976119999999901</v>
      </c>
      <c r="F1448" t="s">
        <v>46</v>
      </c>
      <c r="G1448">
        <v>-195.1645</v>
      </c>
      <c r="H1448" s="1">
        <v>-5.2462289999999898E-6</v>
      </c>
      <c r="I1448">
        <v>357.06810000000002</v>
      </c>
      <c r="J1448">
        <v>-197.4315</v>
      </c>
      <c r="K1448">
        <v>1.11402</v>
      </c>
      <c r="L1448">
        <v>365.03879999999998</v>
      </c>
      <c r="M1448">
        <v>0.87567969999999895</v>
      </c>
      <c r="N1448">
        <v>-1.514303E-2</v>
      </c>
      <c r="O1448">
        <v>-0.48265479999999999</v>
      </c>
      <c r="P1448">
        <v>0.55875359999999996</v>
      </c>
      <c r="Q1448">
        <v>-8.0887020000000004E-2</v>
      </c>
      <c r="R1448">
        <v>-0.825379999999999</v>
      </c>
      <c r="S1448">
        <v>0.89183040000000002</v>
      </c>
      <c r="T1448">
        <v>-0.41487429999999997</v>
      </c>
      <c r="U1448">
        <v>-2.9995419999999999</v>
      </c>
      <c r="V1448">
        <v>0.4519068</v>
      </c>
      <c r="W1448">
        <v>-7.5228180000000006E-2</v>
      </c>
      <c r="X1448">
        <v>0.88888750000000005</v>
      </c>
      <c r="Y1448">
        <v>0.69890649999999999</v>
      </c>
      <c r="Z1448">
        <v>3.9085930000000001E-3</v>
      </c>
      <c r="AA1448">
        <v>0.71520229999999996</v>
      </c>
      <c r="AB1448">
        <v>18</v>
      </c>
      <c r="AC1448">
        <v>2.2669999999999901</v>
      </c>
      <c r="AD1448">
        <v>-1.1140252462289999</v>
      </c>
      <c r="AE1448">
        <v>-7.9706999999999599</v>
      </c>
      <c r="AF1448">
        <v>5.7817865306029299</v>
      </c>
      <c r="AG1448">
        <v>-1.1140252462289999</v>
      </c>
      <c r="AH1448">
        <v>5.7293881146437498</v>
      </c>
      <c r="AI1448">
        <v>97.793250291625895</v>
      </c>
      <c r="AJ1448">
        <v>44.739193657918101</v>
      </c>
      <c r="AK1448">
        <v>8.2155946773753499</v>
      </c>
      <c r="AL1448">
        <v>94.314333045490898</v>
      </c>
      <c r="AM1448">
        <v>63.051400928277097</v>
      </c>
      <c r="AN1448">
        <v>1.0000000113042999</v>
      </c>
    </row>
    <row r="1449" spans="1:40" x14ac:dyDescent="0.25">
      <c r="A1449" t="str">
        <f>"20190303154754554"</f>
        <v>20190303154754554</v>
      </c>
      <c r="B1449" t="str">
        <f>"1551599274542036"</f>
        <v>1551599274542036</v>
      </c>
      <c r="C1449" t="s">
        <v>40</v>
      </c>
      <c r="D1449">
        <v>5.886234</v>
      </c>
      <c r="E1449">
        <v>0.61872079999999996</v>
      </c>
      <c r="F1449" t="s">
        <v>46</v>
      </c>
      <c r="G1449">
        <v>-195.0342</v>
      </c>
      <c r="H1449" s="1">
        <v>-5.100289E-6</v>
      </c>
      <c r="I1449">
        <v>356.80270000000002</v>
      </c>
      <c r="J1449">
        <v>-197.26990000000001</v>
      </c>
      <c r="K1449">
        <v>1.1140650000000001</v>
      </c>
      <c r="L1449">
        <v>364.92989999999998</v>
      </c>
      <c r="M1449">
        <v>0.86860919999999897</v>
      </c>
      <c r="N1449">
        <v>-1.514941E-2</v>
      </c>
      <c r="O1449">
        <v>-0.49526619999999999</v>
      </c>
      <c r="P1449">
        <v>0.548842099999999</v>
      </c>
      <c r="Q1449">
        <v>-7.8727480000000002E-2</v>
      </c>
      <c r="R1449">
        <v>-0.83221049999999996</v>
      </c>
      <c r="S1449">
        <v>0.87411499999999998</v>
      </c>
      <c r="T1449">
        <v>-0.4062018</v>
      </c>
      <c r="U1449">
        <v>-3.003082</v>
      </c>
      <c r="V1449">
        <v>0.44991209999999998</v>
      </c>
      <c r="W1449">
        <v>-7.2958880000000004E-2</v>
      </c>
      <c r="X1449">
        <v>0.89008770000000004</v>
      </c>
      <c r="Y1449">
        <v>0.69289109999999998</v>
      </c>
      <c r="Z1449">
        <v>6.0361210000000002E-3</v>
      </c>
      <c r="AA1449">
        <v>0.72101700000000002</v>
      </c>
      <c r="AB1449">
        <v>18</v>
      </c>
      <c r="AC1449">
        <v>2.2357</v>
      </c>
      <c r="AD1449">
        <v>-1.1140701002890001</v>
      </c>
      <c r="AE1449">
        <v>-8.1271999999999593</v>
      </c>
      <c r="AF1449">
        <v>5.85057461324892</v>
      </c>
      <c r="AG1449">
        <v>-1.1140701002890001</v>
      </c>
      <c r="AH1449">
        <v>5.8653020640408604</v>
      </c>
      <c r="AI1449">
        <v>97.659092537473299</v>
      </c>
      <c r="AJ1449">
        <v>45.072023660895901</v>
      </c>
      <c r="AK1449">
        <v>8.3589559034602292</v>
      </c>
      <c r="AL1449">
        <v>94.183953358139306</v>
      </c>
      <c r="AM1449">
        <v>63.184798632546801</v>
      </c>
      <c r="AN1449">
        <v>1.0000000047942701</v>
      </c>
    </row>
    <row r="1450" spans="1:40" x14ac:dyDescent="0.25">
      <c r="A1450" t="str">
        <f>"20190303154754577"</f>
        <v>20190303154754577</v>
      </c>
      <c r="B1450" t="str">
        <f>"1551599274571824"</f>
        <v>1551599274571824</v>
      </c>
      <c r="C1450" t="s">
        <v>40</v>
      </c>
      <c r="D1450">
        <v>5.8998939999999997</v>
      </c>
      <c r="E1450">
        <v>0.61740810000000002</v>
      </c>
      <c r="F1450" t="s">
        <v>46</v>
      </c>
      <c r="G1450">
        <v>-194.91470000000001</v>
      </c>
      <c r="H1450" s="1">
        <v>-4.9540079999999997E-6</v>
      </c>
      <c r="I1450">
        <v>356.5455</v>
      </c>
      <c r="J1450">
        <v>-197.1028</v>
      </c>
      <c r="K1450">
        <v>1.114133</v>
      </c>
      <c r="L1450">
        <v>364.81380000000001</v>
      </c>
      <c r="M1450">
        <v>0.86104419999999904</v>
      </c>
      <c r="N1450">
        <v>-1.514862E-2</v>
      </c>
      <c r="O1450">
        <v>-0.50830439999999999</v>
      </c>
      <c r="P1450">
        <v>0.53926439999999998</v>
      </c>
      <c r="Q1450">
        <v>-7.835346E-2</v>
      </c>
      <c r="R1450">
        <v>-0.83848400000000001</v>
      </c>
      <c r="S1450">
        <v>0.84538269999999904</v>
      </c>
      <c r="T1450">
        <v>-0.39988509999999999</v>
      </c>
      <c r="U1450">
        <v>-3.0094910000000001</v>
      </c>
      <c r="V1450">
        <v>0.44675049999999999</v>
      </c>
      <c r="W1450">
        <v>-7.2425660000000003E-2</v>
      </c>
      <c r="X1450">
        <v>0.89172229999999997</v>
      </c>
      <c r="Y1450">
        <v>0.68896800000000002</v>
      </c>
      <c r="Z1450">
        <v>8.0414819999999904E-3</v>
      </c>
      <c r="AA1450">
        <v>0.72474719999999904</v>
      </c>
      <c r="AB1450">
        <v>18</v>
      </c>
      <c r="AC1450">
        <v>2.1880999999999902</v>
      </c>
      <c r="AD1450">
        <v>-1.1141379540080001</v>
      </c>
      <c r="AE1450">
        <v>-8.2683</v>
      </c>
      <c r="AF1450">
        <v>5.9075962266358104</v>
      </c>
      <c r="AG1450">
        <v>-1.1141379540080001</v>
      </c>
      <c r="AH1450">
        <v>5.9859883477491103</v>
      </c>
      <c r="AI1450">
        <v>97.546280993128505</v>
      </c>
      <c r="AJ1450">
        <v>45.377638265284403</v>
      </c>
      <c r="AK1450">
        <v>8.4836933617918397</v>
      </c>
      <c r="AL1450">
        <v>94.153320778746306</v>
      </c>
      <c r="AM1450">
        <v>63.389252380753497</v>
      </c>
      <c r="AN1450">
        <v>1.00000007289698</v>
      </c>
    </row>
    <row r="1451" spans="1:40" x14ac:dyDescent="0.25">
      <c r="A1451" t="str">
        <f>"20190303154754598"</f>
        <v>20190303154754598</v>
      </c>
      <c r="B1451" t="str">
        <f>"1551599274592321"</f>
        <v>1551599274592321</v>
      </c>
      <c r="C1451" t="s">
        <v>40</v>
      </c>
      <c r="D1451">
        <v>5.95052</v>
      </c>
      <c r="E1451">
        <v>0.61655939999999998</v>
      </c>
      <c r="F1451" t="s">
        <v>46</v>
      </c>
      <c r="G1451">
        <v>-194.75890000000001</v>
      </c>
      <c r="H1451" s="1">
        <v>-4.7576449999999997E-6</v>
      </c>
      <c r="I1451">
        <v>356.19819999999999</v>
      </c>
      <c r="J1451">
        <v>-196.96700000000001</v>
      </c>
      <c r="K1451">
        <v>1.1141920000000001</v>
      </c>
      <c r="L1451">
        <v>364.7167</v>
      </c>
      <c r="M1451">
        <v>0.85471810000000004</v>
      </c>
      <c r="N1451">
        <v>-1.5141689999999999E-2</v>
      </c>
      <c r="O1451">
        <v>-0.51887170000000005</v>
      </c>
      <c r="P1451">
        <v>0.53240240000000005</v>
      </c>
      <c r="Q1451">
        <v>-7.9496079999999997E-2</v>
      </c>
      <c r="R1451">
        <v>-0.84275049999999996</v>
      </c>
      <c r="S1451">
        <v>0.8199921</v>
      </c>
      <c r="T1451">
        <v>-0.38976440000000001</v>
      </c>
      <c r="U1451">
        <v>-3.0140690000000001</v>
      </c>
      <c r="V1451">
        <v>0.44295010000000001</v>
      </c>
      <c r="W1451">
        <v>-7.3397610000000002E-2</v>
      </c>
      <c r="X1451">
        <v>0.89353680000000002</v>
      </c>
      <c r="Y1451">
        <v>0.68617709999999998</v>
      </c>
      <c r="Z1451">
        <v>9.3076640000000002E-3</v>
      </c>
      <c r="AA1451">
        <v>0.72737499999999999</v>
      </c>
      <c r="AB1451">
        <v>18</v>
      </c>
      <c r="AC1451">
        <v>2.2081</v>
      </c>
      <c r="AD1451">
        <v>-1.114196757645</v>
      </c>
      <c r="AE1451">
        <v>-8.5185000000000102</v>
      </c>
      <c r="AF1451">
        <v>6.0390870940488002</v>
      </c>
      <c r="AG1451">
        <v>-1.114196757645</v>
      </c>
      <c r="AH1451">
        <v>6.2085069577634204</v>
      </c>
      <c r="AI1451">
        <v>97.330413941851205</v>
      </c>
      <c r="AJ1451">
        <v>45.7925168029684</v>
      </c>
      <c r="AK1451">
        <v>8.7325578148014706</v>
      </c>
      <c r="AL1451">
        <v>94.209158305518699</v>
      </c>
      <c r="AM1451">
        <v>63.6311544684051</v>
      </c>
      <c r="AN1451">
        <v>1.00000000659898</v>
      </c>
    </row>
    <row r="1452" spans="1:40" x14ac:dyDescent="0.25">
      <c r="A1452" t="str">
        <f>"20190303154754619"</f>
        <v>20190303154754619</v>
      </c>
      <c r="B1452" t="str">
        <f>"1551599274611840"</f>
        <v>1551599274611840</v>
      </c>
      <c r="C1452" t="s">
        <v>40</v>
      </c>
      <c r="D1452">
        <v>5.9696860000000003</v>
      </c>
      <c r="E1452">
        <v>0.61536569999999902</v>
      </c>
      <c r="F1452" t="s">
        <v>46</v>
      </c>
      <c r="G1452">
        <v>-194.64869999999999</v>
      </c>
      <c r="H1452" s="1">
        <v>-4.6339179999999999E-6</v>
      </c>
      <c r="I1452">
        <v>355.98500000000001</v>
      </c>
      <c r="J1452">
        <v>-196.8203</v>
      </c>
      <c r="K1452">
        <v>1.114276</v>
      </c>
      <c r="L1452">
        <v>364.60899999999998</v>
      </c>
      <c r="M1452">
        <v>0.84772029999999998</v>
      </c>
      <c r="N1452">
        <v>-1.512787E-2</v>
      </c>
      <c r="O1452">
        <v>-0.53022809999999998</v>
      </c>
      <c r="P1452">
        <v>0.52361840000000004</v>
      </c>
      <c r="Q1452">
        <v>-8.3483950000000001E-2</v>
      </c>
      <c r="R1452">
        <v>-0.84785309999999903</v>
      </c>
      <c r="S1452">
        <v>0.80113219999999996</v>
      </c>
      <c r="T1452">
        <v>-0.38502429999999999</v>
      </c>
      <c r="U1452">
        <v>-3.017334</v>
      </c>
      <c r="V1452">
        <v>0.4399419</v>
      </c>
      <c r="W1452">
        <v>-7.7221419999999999E-2</v>
      </c>
      <c r="X1452">
        <v>0.89469989999999999</v>
      </c>
      <c r="Y1452">
        <v>0.68104430000000005</v>
      </c>
      <c r="Z1452">
        <v>1.1144960000000001E-2</v>
      </c>
      <c r="AA1452">
        <v>0.73215739999999996</v>
      </c>
      <c r="AB1452">
        <v>18</v>
      </c>
      <c r="AC1452">
        <v>2.17160000000001</v>
      </c>
      <c r="AD1452">
        <v>-1.114280633918</v>
      </c>
      <c r="AE1452">
        <v>-8.6240000000000201</v>
      </c>
      <c r="AF1452">
        <v>6.0647891110784196</v>
      </c>
      <c r="AG1452">
        <v>-1.114280633918</v>
      </c>
      <c r="AH1452">
        <v>6.3151871786639298</v>
      </c>
      <c r="AI1452">
        <v>97.252626262802593</v>
      </c>
      <c r="AJ1452">
        <v>46.158709534546702</v>
      </c>
      <c r="AK1452">
        <v>8.8263739663885392</v>
      </c>
      <c r="AL1452">
        <v>94.428870728135195</v>
      </c>
      <c r="AM1452">
        <v>63.815728270463801</v>
      </c>
      <c r="AN1452">
        <v>0.99999996707121697</v>
      </c>
    </row>
    <row r="1453" spans="1:40" x14ac:dyDescent="0.25">
      <c r="A1453" t="str">
        <f>"20190303154754636"</f>
        <v>20190303154754636</v>
      </c>
      <c r="B1453" t="str">
        <f>"1551599274632336"</f>
        <v>1551599274632336</v>
      </c>
      <c r="C1453" t="s">
        <v>40</v>
      </c>
      <c r="D1453">
        <v>6.0562310000000004</v>
      </c>
      <c r="E1453">
        <v>0.6152396</v>
      </c>
      <c r="F1453" t="s">
        <v>46</v>
      </c>
      <c r="G1453">
        <v>-194.64490000000001</v>
      </c>
      <c r="H1453" s="1">
        <v>-4.7123139999999997E-6</v>
      </c>
      <c r="I1453">
        <v>356.1551</v>
      </c>
      <c r="J1453">
        <v>-196.71549999999999</v>
      </c>
      <c r="K1453">
        <v>1.11435</v>
      </c>
      <c r="L1453">
        <v>364.5301</v>
      </c>
      <c r="M1453">
        <v>0.84262780000000004</v>
      </c>
      <c r="N1453">
        <v>-1.511269E-2</v>
      </c>
      <c r="O1453">
        <v>-0.5382844</v>
      </c>
      <c r="P1453">
        <v>0.51590729999999996</v>
      </c>
      <c r="Q1453">
        <v>-8.5635799999999998E-2</v>
      </c>
      <c r="R1453">
        <v>-0.85235360000000004</v>
      </c>
      <c r="S1453">
        <v>0.77694700000000005</v>
      </c>
      <c r="T1453">
        <v>-0.39797480000000002</v>
      </c>
      <c r="U1453">
        <v>-3.0193789999999998</v>
      </c>
      <c r="V1453">
        <v>0.43932909999999997</v>
      </c>
      <c r="W1453">
        <v>-7.9285880000000003E-2</v>
      </c>
      <c r="X1453">
        <v>0.89482050000000002</v>
      </c>
      <c r="Y1453">
        <v>0.67961130000000003</v>
      </c>
      <c r="Z1453">
        <v>1.3321589999999999E-2</v>
      </c>
      <c r="AA1453">
        <v>0.73345139999999998</v>
      </c>
      <c r="AB1453">
        <v>18</v>
      </c>
      <c r="AC1453">
        <v>2.0705999999999798</v>
      </c>
      <c r="AD1453">
        <v>-1.1143547123140001</v>
      </c>
      <c r="AE1453">
        <v>-8.375</v>
      </c>
      <c r="AF1453">
        <v>5.8455845273950198</v>
      </c>
      <c r="AG1453">
        <v>-1.1143547123140001</v>
      </c>
      <c r="AH1453">
        <v>6.1509656953726299</v>
      </c>
      <c r="AI1453">
        <v>97.481452504258399</v>
      </c>
      <c r="AJ1453">
        <v>46.458192053286197</v>
      </c>
      <c r="AK1453">
        <v>8.5584475156086199</v>
      </c>
      <c r="AL1453">
        <v>94.547519204728005</v>
      </c>
      <c r="AM1453">
        <v>63.8503942110585</v>
      </c>
      <c r="AN1453">
        <v>1.0000000180472099</v>
      </c>
    </row>
    <row r="1454" spans="1:40" x14ac:dyDescent="0.25">
      <c r="A1454" t="str">
        <f>"20190303154754651"</f>
        <v>20190303154754651</v>
      </c>
      <c r="B1454" t="str">
        <f>"1551599274642096"</f>
        <v>1551599274642096</v>
      </c>
      <c r="C1454" t="s">
        <v>40</v>
      </c>
      <c r="D1454">
        <v>6.0329100000000002</v>
      </c>
      <c r="E1454">
        <v>0.62924559999999996</v>
      </c>
      <c r="F1454" t="s">
        <v>46</v>
      </c>
      <c r="G1454">
        <v>-194.65770000000001</v>
      </c>
      <c r="H1454" s="1">
        <v>-4.7483650000000002E-6</v>
      </c>
      <c r="I1454">
        <v>356.22640000000001</v>
      </c>
      <c r="J1454">
        <v>-196.60849999999999</v>
      </c>
      <c r="K1454">
        <v>1.1144130000000001</v>
      </c>
      <c r="L1454">
        <v>364.44810000000001</v>
      </c>
      <c r="M1454">
        <v>0.83735439999999906</v>
      </c>
      <c r="N1454">
        <v>-1.509403E-2</v>
      </c>
      <c r="O1454">
        <v>-0.54645219999999906</v>
      </c>
      <c r="P1454">
        <v>0.50749929999999999</v>
      </c>
      <c r="Q1454">
        <v>-8.8760519999999996E-2</v>
      </c>
      <c r="R1454">
        <v>-0.85706839999999995</v>
      </c>
      <c r="S1454">
        <v>0.749679599999999</v>
      </c>
      <c r="T1454">
        <v>-0.40597559999999999</v>
      </c>
      <c r="U1454">
        <v>-3.0251459999999999</v>
      </c>
      <c r="V1454">
        <v>0.43912990000000002</v>
      </c>
      <c r="W1454">
        <v>-8.233058E-2</v>
      </c>
      <c r="X1454">
        <v>0.89464330000000003</v>
      </c>
      <c r="Y1454">
        <v>0.67901020000000001</v>
      </c>
      <c r="Z1454">
        <v>1.516702E-2</v>
      </c>
      <c r="AA1454">
        <v>0.73397209999999902</v>
      </c>
      <c r="AB1454">
        <v>18</v>
      </c>
      <c r="AC1454">
        <v>1.9507999999999801</v>
      </c>
      <c r="AD1454">
        <v>-1.114417748365</v>
      </c>
      <c r="AE1454">
        <v>-8.2216999999999896</v>
      </c>
      <c r="AF1454">
        <v>5.7196357555757897</v>
      </c>
      <c r="AG1454">
        <v>-1.114417748365</v>
      </c>
      <c r="AH1454">
        <v>6.0222269825948302</v>
      </c>
      <c r="AI1454">
        <v>97.642198035605205</v>
      </c>
      <c r="AJ1454">
        <v>46.476202219092997</v>
      </c>
      <c r="AK1454">
        <v>8.3799390167366496</v>
      </c>
      <c r="AL1454">
        <v>94.722540126998197</v>
      </c>
      <c r="AM1454">
        <v>63.856184481017003</v>
      </c>
      <c r="AN1454">
        <v>1.0000000138560099</v>
      </c>
    </row>
    <row r="1455" spans="1:40" x14ac:dyDescent="0.25">
      <c r="A1455" t="str">
        <f>"20190303154754665"</f>
        <v>20190303154754665</v>
      </c>
      <c r="B1455" t="str">
        <f>"1551599274662076"</f>
        <v>1551599274662076</v>
      </c>
      <c r="C1455" t="s">
        <v>40</v>
      </c>
      <c r="D1455">
        <v>5.5282980000000004</v>
      </c>
      <c r="E1455">
        <v>0.62912630000000003</v>
      </c>
      <c r="F1455" t="s">
        <v>46</v>
      </c>
      <c r="G1455">
        <v>-195.20179999999999</v>
      </c>
      <c r="H1455" s="1">
        <v>-5.3717639999999998E-6</v>
      </c>
      <c r="I1455">
        <v>357.42579999999998</v>
      </c>
      <c r="J1455">
        <v>-196.51570000000001</v>
      </c>
      <c r="K1455">
        <v>1.1144810000000001</v>
      </c>
      <c r="L1455">
        <v>364.37580000000003</v>
      </c>
      <c r="M1455">
        <v>0.83271879999999998</v>
      </c>
      <c r="N1455">
        <v>-1.507581E-2</v>
      </c>
      <c r="O1455">
        <v>-0.55349090000000001</v>
      </c>
      <c r="P1455">
        <v>0.49974560000000001</v>
      </c>
      <c r="Q1455">
        <v>-9.031525E-2</v>
      </c>
      <c r="R1455">
        <v>-0.86145119999999897</v>
      </c>
      <c r="S1455">
        <v>0.61775210000000003</v>
      </c>
      <c r="T1455">
        <v>-0.48939260000000001</v>
      </c>
      <c r="U1455">
        <v>-3.0838320000000001</v>
      </c>
      <c r="V1455">
        <v>0.43951699999999999</v>
      </c>
      <c r="W1455">
        <v>-8.3826970000000001E-2</v>
      </c>
      <c r="X1455">
        <v>0.89431419999999995</v>
      </c>
      <c r="Y1455">
        <v>0.70455369999999995</v>
      </c>
      <c r="Z1455">
        <v>1.903256E-2</v>
      </c>
      <c r="AA1455">
        <v>0.70939540000000001</v>
      </c>
      <c r="AB1455">
        <v>18</v>
      </c>
      <c r="AC1455">
        <v>1.3139000000000101</v>
      </c>
      <c r="AD1455">
        <v>-1.1144863717639999</v>
      </c>
      <c r="AE1455">
        <v>-6.9500000000000401</v>
      </c>
      <c r="AF1455">
        <v>4.9381384119121696</v>
      </c>
      <c r="AG1455">
        <v>-1.1144863717639999</v>
      </c>
      <c r="AH1455">
        <v>4.8217221748989001</v>
      </c>
      <c r="AI1455">
        <v>99.172866474642305</v>
      </c>
      <c r="AJ1455">
        <v>44.316604712248299</v>
      </c>
      <c r="AK1455">
        <v>6.9911583861304401</v>
      </c>
      <c r="AL1455">
        <v>94.808574351761095</v>
      </c>
      <c r="AM1455">
        <v>63.827866289550499</v>
      </c>
      <c r="AN1455">
        <v>1.00000002125501</v>
      </c>
    </row>
    <row r="1456" spans="1:40" x14ac:dyDescent="0.25">
      <c r="A1456" t="str">
        <f>"20190303154754678"</f>
        <v>20190303154754678</v>
      </c>
      <c r="B1456" t="str">
        <f>"1551599274671836"</f>
        <v>1551599274671836</v>
      </c>
      <c r="C1456" t="s">
        <v>40</v>
      </c>
      <c r="D1456">
        <v>6.0375360000000002</v>
      </c>
      <c r="E1456">
        <v>0.62878990000000001</v>
      </c>
      <c r="F1456" t="s">
        <v>46</v>
      </c>
      <c r="G1456">
        <v>-195.172</v>
      </c>
      <c r="H1456" s="1">
        <v>-5.3436129999999997E-6</v>
      </c>
      <c r="I1456">
        <v>357.35550000000001</v>
      </c>
      <c r="J1456">
        <v>-196.42670000000001</v>
      </c>
      <c r="K1456">
        <v>1.114544</v>
      </c>
      <c r="L1456">
        <v>364.30549999999999</v>
      </c>
      <c r="M1456">
        <v>0.82822569999999995</v>
      </c>
      <c r="N1456">
        <v>-1.5056709999999999E-2</v>
      </c>
      <c r="O1456">
        <v>-0.56019269999999999</v>
      </c>
      <c r="P1456">
        <v>0.49238789999999999</v>
      </c>
      <c r="Q1456">
        <v>-9.1829460000000002E-2</v>
      </c>
      <c r="R1456">
        <v>-0.86551849999999997</v>
      </c>
      <c r="S1456">
        <v>0.59104919999999905</v>
      </c>
      <c r="T1456">
        <v>-0.49025479999999999</v>
      </c>
      <c r="U1456">
        <v>-3.088165</v>
      </c>
      <c r="V1456">
        <v>0.43977899999999998</v>
      </c>
      <c r="W1456">
        <v>-8.5284180000000001E-2</v>
      </c>
      <c r="X1456">
        <v>0.89404760000000005</v>
      </c>
      <c r="Y1456">
        <v>0.70496510000000001</v>
      </c>
      <c r="Z1456">
        <v>2.0319139999999999E-2</v>
      </c>
      <c r="AA1456">
        <v>0.70895090000000005</v>
      </c>
      <c r="AB1456">
        <v>18</v>
      </c>
      <c r="AC1456">
        <v>1.2547000000000099</v>
      </c>
      <c r="AD1456">
        <v>-1.1145493436130001</v>
      </c>
      <c r="AE1456">
        <v>-6.9499999999999797</v>
      </c>
      <c r="AF1456">
        <v>4.9310549814678097</v>
      </c>
      <c r="AG1456">
        <v>-1.1145493436130001</v>
      </c>
      <c r="AH1456">
        <v>4.8131959006562202</v>
      </c>
      <c r="AI1456">
        <v>99.187802588892197</v>
      </c>
      <c r="AJ1456">
        <v>44.3070274239697</v>
      </c>
      <c r="AK1456">
        <v>6.9802849689465001</v>
      </c>
      <c r="AL1456">
        <v>94.892366349034802</v>
      </c>
      <c r="AM1456">
        <v>63.807582619592097</v>
      </c>
      <c r="AN1456">
        <v>1.0000000356325101</v>
      </c>
    </row>
    <row r="1457" spans="1:40" x14ac:dyDescent="0.25">
      <c r="A1457" t="str">
        <f>"20190303154754698"</f>
        <v>20190303154754698</v>
      </c>
      <c r="B1457" t="str">
        <f>"1551599274692331"</f>
        <v>1551599274692331</v>
      </c>
      <c r="C1457" t="s">
        <v>40</v>
      </c>
      <c r="D1457">
        <v>6.0627069999999996</v>
      </c>
      <c r="E1457">
        <v>0.6281757</v>
      </c>
      <c r="F1457" t="s">
        <v>46</v>
      </c>
      <c r="G1457">
        <v>-195.1337</v>
      </c>
      <c r="H1457" s="1">
        <v>-5.3058110000000002E-6</v>
      </c>
      <c r="I1457">
        <v>357.26049999999998</v>
      </c>
      <c r="J1457">
        <v>-196.30520000000001</v>
      </c>
      <c r="K1457">
        <v>1.1146199999999999</v>
      </c>
      <c r="L1457">
        <v>364.20740000000001</v>
      </c>
      <c r="M1457">
        <v>0.82199759999999999</v>
      </c>
      <c r="N1457">
        <v>-1.502908E-2</v>
      </c>
      <c r="O1457">
        <v>-0.56929280000000004</v>
      </c>
      <c r="P1457">
        <v>0.48270229999999997</v>
      </c>
      <c r="Q1457">
        <v>-9.4936069999999997E-2</v>
      </c>
      <c r="R1457">
        <v>-0.87062419999999996</v>
      </c>
      <c r="S1457">
        <v>0.56741330000000001</v>
      </c>
      <c r="T1457">
        <v>-0.48908590000000002</v>
      </c>
      <c r="U1457">
        <v>-3.0914920000000001</v>
      </c>
      <c r="V1457">
        <v>0.43958999999999998</v>
      </c>
      <c r="W1457">
        <v>-8.8311609999999999E-2</v>
      </c>
      <c r="X1457">
        <v>0.89384660000000005</v>
      </c>
      <c r="Y1457">
        <v>0.70262899999999995</v>
      </c>
      <c r="Z1457">
        <v>2.224804E-2</v>
      </c>
      <c r="AA1457">
        <v>0.71120850000000002</v>
      </c>
      <c r="AB1457">
        <v>18</v>
      </c>
      <c r="AC1457">
        <v>1.1715</v>
      </c>
      <c r="AD1457">
        <v>-1.1146253058110001</v>
      </c>
      <c r="AE1457">
        <v>-6.9469000000000198</v>
      </c>
      <c r="AF1457">
        <v>4.9207997300484596</v>
      </c>
      <c r="AG1457">
        <v>-1.1146253058110001</v>
      </c>
      <c r="AH1457">
        <v>4.7982353288447603</v>
      </c>
      <c r="AI1457">
        <v>99.211791421322602</v>
      </c>
      <c r="AJ1457">
        <v>44.277495076518797</v>
      </c>
      <c r="AK1457">
        <v>6.9627380983757599</v>
      </c>
      <c r="AL1457">
        <v>95.066482544132995</v>
      </c>
      <c r="AM1457">
        <v>63.812234537629003</v>
      </c>
      <c r="AN1457">
        <v>1.0000000264461699</v>
      </c>
    </row>
    <row r="1458" spans="1:40" x14ac:dyDescent="0.25">
      <c r="A1458" t="str">
        <f>"20190303154754710"</f>
        <v>20190303154754710</v>
      </c>
      <c r="B1458" t="str">
        <f>"1551599274702092"</f>
        <v>1551599274702092</v>
      </c>
      <c r="C1458" t="s">
        <v>40</v>
      </c>
      <c r="D1458">
        <v>6.0226350000000002</v>
      </c>
      <c r="E1458">
        <v>0.62733749999999999</v>
      </c>
      <c r="F1458" t="s">
        <v>46</v>
      </c>
      <c r="G1458">
        <v>-195.12020000000001</v>
      </c>
      <c r="H1458" s="1">
        <v>-5.3400139999999997E-6</v>
      </c>
      <c r="I1458">
        <v>357.36900000000003</v>
      </c>
      <c r="J1458">
        <v>-196.22329999999999</v>
      </c>
      <c r="K1458">
        <v>1.1146670000000001</v>
      </c>
      <c r="L1458">
        <v>364.14</v>
      </c>
      <c r="M1458">
        <v>0.81774530000000001</v>
      </c>
      <c r="N1458">
        <v>-1.501073E-2</v>
      </c>
      <c r="O1458">
        <v>-0.57538489999999998</v>
      </c>
      <c r="P1458">
        <v>0.47683720000000002</v>
      </c>
      <c r="Q1458">
        <v>-9.6042069999999993E-2</v>
      </c>
      <c r="R1458">
        <v>-0.87372919999999998</v>
      </c>
      <c r="S1458">
        <v>0.53607179999999999</v>
      </c>
      <c r="T1458">
        <v>-0.50424599999999997</v>
      </c>
      <c r="U1458">
        <v>-3.0936279999999998</v>
      </c>
      <c r="V1458">
        <v>0.43885610000000003</v>
      </c>
      <c r="W1458">
        <v>-8.9358010000000002E-2</v>
      </c>
      <c r="X1458">
        <v>0.89410319999999899</v>
      </c>
      <c r="Y1458">
        <v>0.7042775</v>
      </c>
      <c r="Z1458">
        <v>2.439266E-2</v>
      </c>
      <c r="AA1458">
        <v>0.70950559999999996</v>
      </c>
      <c r="AB1458">
        <v>18</v>
      </c>
      <c r="AC1458">
        <v>1.10309999999998</v>
      </c>
      <c r="AD1458">
        <v>-1.114672340014</v>
      </c>
      <c r="AE1458">
        <v>-6.7709999999999502</v>
      </c>
      <c r="AF1458">
        <v>4.7766904767493097</v>
      </c>
      <c r="AG1458">
        <v>-1.114672340014</v>
      </c>
      <c r="AH1458">
        <v>4.6751004379881502</v>
      </c>
      <c r="AI1458">
        <v>99.468191902506504</v>
      </c>
      <c r="AJ1458">
        <v>44.384195398954397</v>
      </c>
      <c r="AK1458">
        <v>6.77612207988735</v>
      </c>
      <c r="AL1458">
        <v>95.126674801663896</v>
      </c>
      <c r="AM1458">
        <v>63.856633515380203</v>
      </c>
      <c r="AN1458">
        <v>1.0000000313543</v>
      </c>
    </row>
    <row r="1459" spans="1:40" x14ac:dyDescent="0.25">
      <c r="A1459" t="str">
        <f>"20190303154754725"</f>
        <v>20190303154754725</v>
      </c>
      <c r="B1459" t="str">
        <f>"1551599274722587"</f>
        <v>1551599274722587</v>
      </c>
      <c r="C1459" t="s">
        <v>40</v>
      </c>
      <c r="D1459">
        <v>5.606757</v>
      </c>
      <c r="E1459">
        <v>0.62892099999999995</v>
      </c>
      <c r="F1459" t="s">
        <v>46</v>
      </c>
      <c r="G1459">
        <v>-195.0812</v>
      </c>
      <c r="H1459" s="1">
        <v>-5.3297500000000001E-6</v>
      </c>
      <c r="I1459">
        <v>357.35649999999998</v>
      </c>
      <c r="J1459">
        <v>-196.12960000000001</v>
      </c>
      <c r="K1459">
        <v>1.1147229999999999</v>
      </c>
      <c r="L1459">
        <v>364.06189999999998</v>
      </c>
      <c r="M1459">
        <v>0.81280920000000001</v>
      </c>
      <c r="N1459">
        <v>-1.499062E-2</v>
      </c>
      <c r="O1459">
        <v>-0.58233729999999995</v>
      </c>
      <c r="P1459">
        <v>0.47055390000000002</v>
      </c>
      <c r="Q1459">
        <v>-9.6458240000000001E-2</v>
      </c>
      <c r="R1459">
        <v>-0.87708349999999902</v>
      </c>
      <c r="S1459">
        <v>0.52084350000000001</v>
      </c>
      <c r="T1459">
        <v>-0.50831700000000002</v>
      </c>
      <c r="U1459">
        <v>-3.093445</v>
      </c>
      <c r="V1459">
        <v>0.43761949999999999</v>
      </c>
      <c r="W1459">
        <v>-8.9703080000000004E-2</v>
      </c>
      <c r="X1459">
        <v>0.89467450000000004</v>
      </c>
      <c r="Y1459">
        <v>0.70165069999999996</v>
      </c>
      <c r="Z1459">
        <v>2.6425750000000001E-2</v>
      </c>
      <c r="AA1459">
        <v>0.71203090000000002</v>
      </c>
      <c r="AB1459">
        <v>18</v>
      </c>
      <c r="AC1459">
        <v>1.04840000000001</v>
      </c>
      <c r="AD1459">
        <v>-1.1147283297499999</v>
      </c>
      <c r="AE1459">
        <v>-6.7053999999999903</v>
      </c>
      <c r="AF1459">
        <v>4.7130850014785999</v>
      </c>
      <c r="AG1459">
        <v>-1.1147283297499999</v>
      </c>
      <c r="AH1459">
        <v>4.63251460426617</v>
      </c>
      <c r="AI1459">
        <v>99.574461213764295</v>
      </c>
      <c r="AJ1459">
        <v>44.506053164758796</v>
      </c>
      <c r="AK1459">
        <v>6.7019386030498103</v>
      </c>
      <c r="AL1459">
        <v>95.146525916617307</v>
      </c>
      <c r="AM1459">
        <v>63.934975586554998</v>
      </c>
      <c r="AN1459">
        <v>0.99999996514599199</v>
      </c>
    </row>
    <row r="1460" spans="1:40" x14ac:dyDescent="0.25">
      <c r="A1460" t="str">
        <f>"20190303154754744"</f>
        <v>20190303154754744</v>
      </c>
      <c r="B1460" t="str">
        <f>"1551599274732347"</f>
        <v>1551599274732347</v>
      </c>
      <c r="C1460" t="s">
        <v>40</v>
      </c>
      <c r="D1460">
        <v>6.0368559999999896</v>
      </c>
      <c r="E1460">
        <v>0.62810809999999995</v>
      </c>
      <c r="F1460" t="s">
        <v>46</v>
      </c>
      <c r="G1460">
        <v>-194.87629999999999</v>
      </c>
      <c r="H1460" s="1">
        <v>-4.7674780000000003E-6</v>
      </c>
      <c r="I1460">
        <v>356.16340000000002</v>
      </c>
      <c r="J1460">
        <v>-196.01320000000001</v>
      </c>
      <c r="K1460">
        <v>1.1147720000000001</v>
      </c>
      <c r="L1460">
        <v>363.9631</v>
      </c>
      <c r="M1460">
        <v>0.80658260000000004</v>
      </c>
      <c r="N1460">
        <v>-1.4967309999999999E-2</v>
      </c>
      <c r="O1460">
        <v>-0.59093169999999995</v>
      </c>
      <c r="P1460">
        <v>0.46377810000000003</v>
      </c>
      <c r="Q1460">
        <v>-9.582222E-2</v>
      </c>
      <c r="R1460">
        <v>-0.88075419999999904</v>
      </c>
      <c r="S1460">
        <v>0.49310300000000001</v>
      </c>
      <c r="T1460">
        <v>-0.43858550000000002</v>
      </c>
      <c r="U1460">
        <v>-3.1076350000000001</v>
      </c>
      <c r="V1460">
        <v>0.4351003</v>
      </c>
      <c r="W1460">
        <v>-8.8972090000000004E-2</v>
      </c>
      <c r="X1460">
        <v>0.89597519999999997</v>
      </c>
      <c r="Y1460">
        <v>0.70154799999999995</v>
      </c>
      <c r="Z1460">
        <v>2.2359400000000001E-2</v>
      </c>
      <c r="AA1460">
        <v>0.71227130000000005</v>
      </c>
      <c r="AB1460">
        <v>18</v>
      </c>
      <c r="AC1460">
        <v>1.13690000000002</v>
      </c>
      <c r="AD1460">
        <v>-1.11477676747799</v>
      </c>
      <c r="AE1460">
        <v>-7.7996999999999703</v>
      </c>
      <c r="AF1460">
        <v>5.5096932395061202</v>
      </c>
      <c r="AG1460">
        <v>-1.11477676747799</v>
      </c>
      <c r="AH1460">
        <v>5.4183319495553697</v>
      </c>
      <c r="AI1460">
        <v>98.2088592189846</v>
      </c>
      <c r="AJ1460">
        <v>44.521002717034101</v>
      </c>
      <c r="AK1460">
        <v>7.8075455778586802</v>
      </c>
      <c r="AL1460">
        <v>95.104475300707307</v>
      </c>
      <c r="AM1460">
        <v>64.098027516545997</v>
      </c>
      <c r="AN1460">
        <v>0.99999993143704602</v>
      </c>
    </row>
    <row r="1461" spans="1:40" x14ac:dyDescent="0.25">
      <c r="A1461" t="str">
        <f>"20190303154754764"</f>
        <v>20190303154754764</v>
      </c>
      <c r="B1461" t="str">
        <f>"1551599274761627"</f>
        <v>1551599274761627</v>
      </c>
      <c r="C1461" t="s">
        <v>40</v>
      </c>
      <c r="D1461">
        <v>6.0724239999999998</v>
      </c>
      <c r="E1461">
        <v>0.62619290000000005</v>
      </c>
      <c r="F1461" t="s">
        <v>46</v>
      </c>
      <c r="G1461">
        <v>-194.81039999999999</v>
      </c>
      <c r="H1461" s="1">
        <v>-4.7161550000000001E-6</v>
      </c>
      <c r="I1461">
        <v>356.08460000000002</v>
      </c>
      <c r="J1461">
        <v>-195.88499999999999</v>
      </c>
      <c r="K1461">
        <v>1.1148089999999999</v>
      </c>
      <c r="L1461">
        <v>363.85169999999999</v>
      </c>
      <c r="M1461">
        <v>0.79957400000000001</v>
      </c>
      <c r="N1461">
        <v>-1.494443E-2</v>
      </c>
      <c r="O1461">
        <v>-0.60038169999999902</v>
      </c>
      <c r="P1461">
        <v>0.45581850000000002</v>
      </c>
      <c r="Q1461">
        <v>-9.4762949999999999E-2</v>
      </c>
      <c r="R1461">
        <v>-0.88501409999999903</v>
      </c>
      <c r="S1461">
        <v>0.47456359999999997</v>
      </c>
      <c r="T1461">
        <v>-0.43982880000000002</v>
      </c>
      <c r="U1461">
        <v>-3.1084290000000001</v>
      </c>
      <c r="V1461">
        <v>0.4327531</v>
      </c>
      <c r="W1461">
        <v>-8.7840360000000006E-2</v>
      </c>
      <c r="X1461">
        <v>0.89722279999999999</v>
      </c>
      <c r="Y1461">
        <v>0.69740970000000002</v>
      </c>
      <c r="Z1461">
        <v>2.453516E-2</v>
      </c>
      <c r="AA1461">
        <v>0.71625260000000002</v>
      </c>
      <c r="AB1461">
        <v>18</v>
      </c>
      <c r="AC1461">
        <v>1.0746</v>
      </c>
      <c r="AD1461">
        <v>-1.114813716155</v>
      </c>
      <c r="AE1461">
        <v>-7.7670999999999699</v>
      </c>
      <c r="AF1461">
        <v>5.4555439303131497</v>
      </c>
      <c r="AG1461">
        <v>-1.114813716155</v>
      </c>
      <c r="AH1461">
        <v>5.41363224233457</v>
      </c>
      <c r="AI1461">
        <v>98.253187596526004</v>
      </c>
      <c r="AJ1461">
        <v>44.779067806650701</v>
      </c>
      <c r="AK1461">
        <v>7.7661562727354596</v>
      </c>
      <c r="AL1461">
        <v>95.039376885556806</v>
      </c>
      <c r="AM1461">
        <v>64.250818774020104</v>
      </c>
      <c r="AN1461">
        <v>0.99999996362218901</v>
      </c>
    </row>
    <row r="1462" spans="1:40" x14ac:dyDescent="0.25">
      <c r="A1462" t="str">
        <f>"20190303154754777"</f>
        <v>20190303154754777</v>
      </c>
      <c r="B1462" t="str">
        <f>"1551599274772364"</f>
        <v>1551599274772364</v>
      </c>
      <c r="C1462" t="s">
        <v>40</v>
      </c>
      <c r="D1462">
        <v>6.0640109999999998</v>
      </c>
      <c r="E1462">
        <v>0.62546159999999995</v>
      </c>
      <c r="F1462" t="s">
        <v>46</v>
      </c>
      <c r="G1462">
        <v>-194.73140000000001</v>
      </c>
      <c r="H1462" s="1">
        <v>-4.6850440000000004E-6</v>
      </c>
      <c r="I1462">
        <v>356.05540000000002</v>
      </c>
      <c r="J1462">
        <v>-195.8015</v>
      </c>
      <c r="K1462">
        <v>1.1148199999999999</v>
      </c>
      <c r="L1462">
        <v>363.77780000000001</v>
      </c>
      <c r="M1462">
        <v>0.79492369999999901</v>
      </c>
      <c r="N1462">
        <v>-1.4931349999999999E-2</v>
      </c>
      <c r="O1462">
        <v>-0.6065258</v>
      </c>
      <c r="P1462">
        <v>0.45045990000000002</v>
      </c>
      <c r="Q1462">
        <v>-9.4202999999999995E-2</v>
      </c>
      <c r="R1462">
        <v>-0.88781309999999902</v>
      </c>
      <c r="S1462">
        <v>0.45951839999999999</v>
      </c>
      <c r="T1462">
        <v>-0.44408059999999999</v>
      </c>
      <c r="U1462">
        <v>-3.1056210000000002</v>
      </c>
      <c r="V1462">
        <v>0.43132310000000001</v>
      </c>
      <c r="W1462">
        <v>-8.7246190000000001E-2</v>
      </c>
      <c r="X1462">
        <v>0.89796909999999897</v>
      </c>
      <c r="Y1462">
        <v>0.69519540000000002</v>
      </c>
      <c r="Z1462">
        <v>2.6262440000000001E-2</v>
      </c>
      <c r="AA1462">
        <v>0.7183408</v>
      </c>
      <c r="AB1462">
        <v>18</v>
      </c>
      <c r="AC1462">
        <v>1.0700999999999901</v>
      </c>
      <c r="AD1462">
        <v>-1.114824685044</v>
      </c>
      <c r="AE1462">
        <v>-7.7223999999999897</v>
      </c>
      <c r="AF1462">
        <v>5.3802719101355096</v>
      </c>
      <c r="AG1462">
        <v>-1.114824685044</v>
      </c>
      <c r="AH1462">
        <v>5.4241861161663998</v>
      </c>
      <c r="AI1462">
        <v>98.302010520931205</v>
      </c>
      <c r="AJ1462">
        <v>45.232874689792197</v>
      </c>
      <c r="AK1462">
        <v>7.7208778599450101</v>
      </c>
      <c r="AL1462">
        <v>95.005202014619002</v>
      </c>
      <c r="AM1462">
        <v>64.343546048028202</v>
      </c>
      <c r="AN1462">
        <v>1.0000000094089601</v>
      </c>
    </row>
    <row r="1463" spans="1:40" x14ac:dyDescent="0.25">
      <c r="A1463" t="str">
        <f>"20190303154754789"</f>
        <v>20190303154754789</v>
      </c>
      <c r="B1463" t="str">
        <f>"1551599274782123"</f>
        <v>1551599274782123</v>
      </c>
      <c r="C1463" t="s">
        <v>40</v>
      </c>
      <c r="D1463">
        <v>6.0866230000000003</v>
      </c>
      <c r="E1463">
        <v>0.62479379999999995</v>
      </c>
      <c r="F1463" t="s">
        <v>46</v>
      </c>
      <c r="G1463">
        <v>-194.68940000000001</v>
      </c>
      <c r="H1463" s="1">
        <v>-4.663587E-6</v>
      </c>
      <c r="I1463">
        <v>356.02929999999998</v>
      </c>
      <c r="J1463">
        <v>-195.72540000000001</v>
      </c>
      <c r="K1463">
        <v>1.1148290000000001</v>
      </c>
      <c r="L1463">
        <v>363.70929999999998</v>
      </c>
      <c r="M1463">
        <v>0.79060569999999997</v>
      </c>
      <c r="N1463">
        <v>-1.492108E-2</v>
      </c>
      <c r="O1463">
        <v>-0.61214389999999996</v>
      </c>
      <c r="P1463">
        <v>0.44525300000000001</v>
      </c>
      <c r="Q1463">
        <v>-9.3956529999999996E-2</v>
      </c>
      <c r="R1463">
        <v>-0.89046199999999998</v>
      </c>
      <c r="S1463">
        <v>0.44573970000000002</v>
      </c>
      <c r="T1463">
        <v>-0.44681100000000001</v>
      </c>
      <c r="U1463">
        <v>-3.1055299999999999</v>
      </c>
      <c r="V1463">
        <v>0.43024479999999998</v>
      </c>
      <c r="W1463">
        <v>-8.6980409999999994E-2</v>
      </c>
      <c r="X1463">
        <v>0.89851199999999998</v>
      </c>
      <c r="Y1463">
        <v>0.69324300000000005</v>
      </c>
      <c r="Z1463">
        <v>2.772111E-2</v>
      </c>
      <c r="AA1463">
        <v>0.72017059999999999</v>
      </c>
      <c r="AB1463">
        <v>18</v>
      </c>
      <c r="AC1463">
        <v>1.036</v>
      </c>
      <c r="AD1463">
        <v>-1.114833663587</v>
      </c>
      <c r="AE1463">
        <v>-7.68</v>
      </c>
      <c r="AF1463">
        <v>5.3280123182804404</v>
      </c>
      <c r="AG1463">
        <v>-1.114833663587</v>
      </c>
      <c r="AH1463">
        <v>5.4090072836457397</v>
      </c>
      <c r="AI1463">
        <v>98.353321328038305</v>
      </c>
      <c r="AJ1463">
        <v>45.432203891480498</v>
      </c>
      <c r="AK1463">
        <v>7.6738470896772304</v>
      </c>
      <c r="AL1463">
        <v>94.989915893230801</v>
      </c>
      <c r="AM1463">
        <v>64.412967935475507</v>
      </c>
      <c r="AN1463">
        <v>0.99999999689740404</v>
      </c>
    </row>
    <row r="1464" spans="1:40" x14ac:dyDescent="0.25">
      <c r="A1464" t="str">
        <f>"20190303154754809"</f>
        <v>20190303154754809</v>
      </c>
      <c r="B1464" t="str">
        <f>"1551599274802619"</f>
        <v>1551599274802619</v>
      </c>
      <c r="C1464" t="s">
        <v>40</v>
      </c>
      <c r="D1464">
        <v>6.0806909999999998</v>
      </c>
      <c r="E1464">
        <v>0.62370590000000004</v>
      </c>
      <c r="F1464" t="s">
        <v>46</v>
      </c>
      <c r="G1464">
        <v>-194.6559</v>
      </c>
      <c r="H1464" s="1">
        <v>-4.6532060000000004E-6</v>
      </c>
      <c r="I1464">
        <v>356.02289999999999</v>
      </c>
      <c r="J1464">
        <v>-195.6105</v>
      </c>
      <c r="K1464">
        <v>1.1148260000000001</v>
      </c>
      <c r="L1464">
        <v>363.60410000000002</v>
      </c>
      <c r="M1464">
        <v>0.78395519999999996</v>
      </c>
      <c r="N1464">
        <v>-1.4907979999999999E-2</v>
      </c>
      <c r="O1464">
        <v>-0.62063849999999998</v>
      </c>
      <c r="P1464">
        <v>0.43814999999999998</v>
      </c>
      <c r="Q1464">
        <v>-9.4648819999999995E-2</v>
      </c>
      <c r="R1464">
        <v>-0.89390539999999996</v>
      </c>
      <c r="S1464">
        <v>0.43211359999999899</v>
      </c>
      <c r="T1464">
        <v>-0.45042260000000001</v>
      </c>
      <c r="U1464">
        <v>-3.1054689999999998</v>
      </c>
      <c r="V1464">
        <v>0.4276375</v>
      </c>
      <c r="W1464">
        <v>-8.7630520000000003E-2</v>
      </c>
      <c r="X1464">
        <v>0.89969279999999996</v>
      </c>
      <c r="Y1464">
        <v>0.6886101</v>
      </c>
      <c r="Z1464">
        <v>3.005787E-2</v>
      </c>
      <c r="AA1464">
        <v>0.7245085</v>
      </c>
      <c r="AB1464">
        <v>18</v>
      </c>
      <c r="AC1464">
        <v>0.954599999999999</v>
      </c>
      <c r="AD1464">
        <v>-1.1148306532059999</v>
      </c>
      <c r="AE1464">
        <v>-7.5812000000000204</v>
      </c>
      <c r="AF1464">
        <v>5.2399130286765097</v>
      </c>
      <c r="AG1464">
        <v>-1.1148306532059999</v>
      </c>
      <c r="AH1464">
        <v>5.3404724272246202</v>
      </c>
      <c r="AI1464">
        <v>98.475040232615399</v>
      </c>
      <c r="AJ1464">
        <v>45.544541186501299</v>
      </c>
      <c r="AK1464">
        <v>7.5644022684788501</v>
      </c>
      <c r="AL1464">
        <v>95.027307027118994</v>
      </c>
      <c r="AM1464">
        <v>64.577557130480201</v>
      </c>
      <c r="AN1464">
        <v>1.0000000369067701</v>
      </c>
    </row>
    <row r="1465" spans="1:40" x14ac:dyDescent="0.25">
      <c r="A1465" t="str">
        <f>"20190303154754827"</f>
        <v>20190303154754827</v>
      </c>
      <c r="B1465" t="str">
        <f>"1551599274822139"</f>
        <v>1551599274822139</v>
      </c>
      <c r="C1465" t="s">
        <v>40</v>
      </c>
      <c r="D1465">
        <v>6.1259319999999997</v>
      </c>
      <c r="E1465">
        <v>0.62274909999999895</v>
      </c>
      <c r="F1465" t="s">
        <v>46</v>
      </c>
      <c r="G1465">
        <v>-194.59469999999999</v>
      </c>
      <c r="H1465" s="1">
        <v>-4.6306699999999898E-6</v>
      </c>
      <c r="I1465">
        <v>356.00380000000001</v>
      </c>
      <c r="J1465">
        <v>-195.5033</v>
      </c>
      <c r="K1465">
        <v>1.1148180000000001</v>
      </c>
      <c r="L1465">
        <v>363.50389999999999</v>
      </c>
      <c r="M1465">
        <v>0.77759239999999996</v>
      </c>
      <c r="N1465">
        <v>-1.489883E-2</v>
      </c>
      <c r="O1465">
        <v>-0.62859240000000005</v>
      </c>
      <c r="P1465">
        <v>0.42976180000000003</v>
      </c>
      <c r="Q1465">
        <v>-9.5320600000000005E-2</v>
      </c>
      <c r="R1465">
        <v>-0.89789719999999995</v>
      </c>
      <c r="S1465">
        <v>0.41493229999999998</v>
      </c>
      <c r="T1465">
        <v>-0.45536729999999997</v>
      </c>
      <c r="U1465">
        <v>-3.1044619999999998</v>
      </c>
      <c r="V1465">
        <v>0.42682920000000002</v>
      </c>
      <c r="W1465">
        <v>-8.8304800000000003E-2</v>
      </c>
      <c r="X1465">
        <v>0.90001059999999999</v>
      </c>
      <c r="Y1465">
        <v>0.68515499999999996</v>
      </c>
      <c r="Z1465">
        <v>3.2364039999999997E-2</v>
      </c>
      <c r="AA1465">
        <v>0.72767799999999905</v>
      </c>
      <c r="AB1465">
        <v>18</v>
      </c>
      <c r="AC1465">
        <v>0.90860000000000696</v>
      </c>
      <c r="AD1465">
        <v>-1.11482263067</v>
      </c>
      <c r="AE1465">
        <v>-7.5000999999999696</v>
      </c>
      <c r="AF1465">
        <v>5.1493400762345196</v>
      </c>
      <c r="AG1465">
        <v>-1.11482263067</v>
      </c>
      <c r="AH1465">
        <v>5.3060892868920204</v>
      </c>
      <c r="AI1465">
        <v>98.574202627751703</v>
      </c>
      <c r="AJ1465">
        <v>45.858921725502903</v>
      </c>
      <c r="AK1465">
        <v>7.4775073546630004</v>
      </c>
      <c r="AL1465">
        <v>95.066091005035901</v>
      </c>
      <c r="AM1465">
        <v>64.627396224615893</v>
      </c>
      <c r="AN1465">
        <v>0.999999991894019</v>
      </c>
    </row>
    <row r="1466" spans="1:40" x14ac:dyDescent="0.25">
      <c r="A1466" t="str">
        <f>"20190303154754842"</f>
        <v>20190303154754842</v>
      </c>
      <c r="B1466" t="str">
        <f>"1551599274831900"</f>
        <v>1551599274831900</v>
      </c>
      <c r="C1466" t="s">
        <v>40</v>
      </c>
      <c r="D1466">
        <v>6.1283949999999896</v>
      </c>
      <c r="E1466">
        <v>0.62229769999999995</v>
      </c>
      <c r="F1466" t="s">
        <v>46</v>
      </c>
      <c r="G1466">
        <v>-194.55549999999999</v>
      </c>
      <c r="H1466" s="1">
        <v>-4.6246380000000004E-6</v>
      </c>
      <c r="I1466">
        <v>356.00940000000003</v>
      </c>
      <c r="J1466">
        <v>-195.4144</v>
      </c>
      <c r="K1466">
        <v>1.1148039999999999</v>
      </c>
      <c r="L1466">
        <v>363.41930000000002</v>
      </c>
      <c r="M1466">
        <v>0.77219359999999904</v>
      </c>
      <c r="N1466">
        <v>-1.489321E-2</v>
      </c>
      <c r="O1466">
        <v>-0.63521280000000002</v>
      </c>
      <c r="P1466">
        <v>0.42311110000000002</v>
      </c>
      <c r="Q1466">
        <v>-9.6015589999999998E-2</v>
      </c>
      <c r="R1466">
        <v>-0.9009762</v>
      </c>
      <c r="S1466">
        <v>0.39257809999999999</v>
      </c>
      <c r="T1466">
        <v>-0.46176460000000003</v>
      </c>
      <c r="U1466">
        <v>-3.1042480000000001</v>
      </c>
      <c r="V1466">
        <v>0.42572559999999898</v>
      </c>
      <c r="W1466">
        <v>-8.8994900000000002E-2</v>
      </c>
      <c r="X1466">
        <v>0.90046519999999997</v>
      </c>
      <c r="Y1466">
        <v>0.68407200000000001</v>
      </c>
      <c r="Z1466">
        <v>3.4380620000000001E-2</v>
      </c>
      <c r="AA1466">
        <v>0.72860380000000002</v>
      </c>
      <c r="AB1466">
        <v>18</v>
      </c>
      <c r="AC1466">
        <v>0.85890000000000499</v>
      </c>
      <c r="AD1466">
        <v>-1.114808624638</v>
      </c>
      <c r="AE1466">
        <v>-7.4098999999999897</v>
      </c>
      <c r="AF1466">
        <v>5.0637694092995202</v>
      </c>
      <c r="AG1466">
        <v>-1.114808624638</v>
      </c>
      <c r="AH1466">
        <v>5.2533636997077497</v>
      </c>
      <c r="AI1466">
        <v>98.686803205119404</v>
      </c>
      <c r="AJ1466">
        <v>46.052785689867001</v>
      </c>
      <c r="AK1466">
        <v>7.3812186704860601</v>
      </c>
      <c r="AL1466">
        <v>95.105787186432707</v>
      </c>
      <c r="AM1466">
        <v>64.695961699242901</v>
      </c>
      <c r="AN1466">
        <v>0.99999997756620396</v>
      </c>
    </row>
    <row r="1467" spans="1:40" x14ac:dyDescent="0.25">
      <c r="A1467" t="str">
        <f>"20190303154754855"</f>
        <v>20190303154754855</v>
      </c>
      <c r="B1467" t="str">
        <f>"1551599274852396"</f>
        <v>1551599274852396</v>
      </c>
      <c r="C1467" t="s">
        <v>40</v>
      </c>
      <c r="D1467">
        <v>6.1104310000000002</v>
      </c>
      <c r="E1467">
        <v>0.62137699999999996</v>
      </c>
      <c r="F1467" t="s">
        <v>46</v>
      </c>
      <c r="G1467">
        <v>-194.52670000000001</v>
      </c>
      <c r="H1467" s="1">
        <v>-4.6257389999999996E-6</v>
      </c>
      <c r="I1467">
        <v>356.02550000000002</v>
      </c>
      <c r="J1467">
        <v>-195.3339</v>
      </c>
      <c r="K1467">
        <v>1.114789</v>
      </c>
      <c r="L1467">
        <v>363.34120000000001</v>
      </c>
      <c r="M1467">
        <v>0.76719119999999996</v>
      </c>
      <c r="N1467">
        <v>-1.4890199999999999E-2</v>
      </c>
      <c r="O1467">
        <v>-0.64124569999999903</v>
      </c>
      <c r="P1467">
        <v>0.41627429999999899</v>
      </c>
      <c r="Q1467">
        <v>-9.6475119999999998E-2</v>
      </c>
      <c r="R1467">
        <v>-0.90410670000000004</v>
      </c>
      <c r="S1467">
        <v>0.37275700000000001</v>
      </c>
      <c r="T1467">
        <v>-0.46812769999999998</v>
      </c>
      <c r="U1467">
        <v>-3.104797</v>
      </c>
      <c r="V1467">
        <v>0.42544169999999998</v>
      </c>
      <c r="W1467">
        <v>-8.946643E-2</v>
      </c>
      <c r="X1467">
        <v>0.90055269999999998</v>
      </c>
      <c r="Y1467">
        <v>0.682946099999999</v>
      </c>
      <c r="Z1467">
        <v>3.6311309999999999E-2</v>
      </c>
      <c r="AA1467">
        <v>0.72956580000000004</v>
      </c>
      <c r="AB1467">
        <v>18</v>
      </c>
      <c r="AC1467">
        <v>0.80719999999999403</v>
      </c>
      <c r="AD1467">
        <v>-1.1147936257390001</v>
      </c>
      <c r="AE1467">
        <v>-7.3156999999999899</v>
      </c>
      <c r="AF1467">
        <v>4.9812152374999998</v>
      </c>
      <c r="AG1467">
        <v>-1.1147936257390001</v>
      </c>
      <c r="AH1467">
        <v>5.1919160993598998</v>
      </c>
      <c r="AI1467">
        <v>98.807338788895294</v>
      </c>
      <c r="AJ1467">
        <v>46.186512192677696</v>
      </c>
      <c r="AK1467">
        <v>7.2808833841150697</v>
      </c>
      <c r="AL1467">
        <v>95.132911829550693</v>
      </c>
      <c r="AM1467">
        <v>64.712877925501999</v>
      </c>
      <c r="AN1467">
        <v>1.0000000238365601</v>
      </c>
    </row>
    <row r="1468" spans="1:40" x14ac:dyDescent="0.25">
      <c r="A1468" t="str">
        <f>"20190303154754868"</f>
        <v>20190303154754868</v>
      </c>
      <c r="B1468" t="str">
        <f>"1551599274862156"</f>
        <v>1551599274862156</v>
      </c>
      <c r="C1468" t="s">
        <v>40</v>
      </c>
      <c r="D1468">
        <v>6.1396839999999999</v>
      </c>
      <c r="E1468">
        <v>0.62075669999999905</v>
      </c>
      <c r="F1468" t="s">
        <v>46</v>
      </c>
      <c r="G1468">
        <v>-194.49010000000001</v>
      </c>
      <c r="H1468" s="1">
        <v>-4.5991510000000001E-6</v>
      </c>
      <c r="I1468">
        <v>355.98579999999998</v>
      </c>
      <c r="J1468">
        <v>-195.2595</v>
      </c>
      <c r="K1468">
        <v>1.114776</v>
      </c>
      <c r="L1468">
        <v>363.2679</v>
      </c>
      <c r="M1468">
        <v>0.76247119999999902</v>
      </c>
      <c r="N1468">
        <v>-1.4888490000000001E-2</v>
      </c>
      <c r="O1468">
        <v>-0.64685099999999995</v>
      </c>
      <c r="P1468">
        <v>0.4096708</v>
      </c>
      <c r="Q1468">
        <v>-9.5751729999999993E-2</v>
      </c>
      <c r="R1468">
        <v>-0.90719450000000001</v>
      </c>
      <c r="S1468">
        <v>0.35609439999999998</v>
      </c>
      <c r="T1468">
        <v>-0.4704525</v>
      </c>
      <c r="U1468">
        <v>-3.104034</v>
      </c>
      <c r="V1468">
        <v>0.42547449999999998</v>
      </c>
      <c r="W1468">
        <v>-8.8758619999999996E-2</v>
      </c>
      <c r="X1468">
        <v>0.90060720000000005</v>
      </c>
      <c r="Y1468">
        <v>0.68145840000000002</v>
      </c>
      <c r="Z1468">
        <v>3.7808899999999999E-2</v>
      </c>
      <c r="AA1468">
        <v>0.73087950000000002</v>
      </c>
      <c r="AB1468">
        <v>18</v>
      </c>
      <c r="AC1468">
        <v>0.76939999999998998</v>
      </c>
      <c r="AD1468">
        <v>-1.114780599151</v>
      </c>
      <c r="AE1468">
        <v>-7.2821000000000096</v>
      </c>
      <c r="AF1468">
        <v>4.9407556757616797</v>
      </c>
      <c r="AG1468">
        <v>-1.114780599151</v>
      </c>
      <c r="AH1468">
        <v>5.1776664429735604</v>
      </c>
      <c r="AI1468">
        <v>98.853585488989395</v>
      </c>
      <c r="AJ1468">
        <v>46.341267174901198</v>
      </c>
      <c r="AK1468">
        <v>7.2430678739405101</v>
      </c>
      <c r="AL1468">
        <v>95.092195510492502</v>
      </c>
      <c r="AM1468">
        <v>64.712511095096104</v>
      </c>
      <c r="AN1468">
        <v>0.99999998573319704</v>
      </c>
    </row>
    <row r="1469" spans="1:40" x14ac:dyDescent="0.25">
      <c r="A1469" t="str">
        <f>"20190303154754888"</f>
        <v>20190303154754888</v>
      </c>
      <c r="B1469" t="str">
        <f>"1551599274881675"</f>
        <v>1551599274881675</v>
      </c>
      <c r="C1469" t="s">
        <v>40</v>
      </c>
      <c r="D1469">
        <v>6.1625889999999997</v>
      </c>
      <c r="E1469">
        <v>0.619683599999999</v>
      </c>
      <c r="F1469" t="s">
        <v>46</v>
      </c>
      <c r="G1469">
        <v>-194.459</v>
      </c>
      <c r="H1469" s="1">
        <v>-4.5576280000000001E-6</v>
      </c>
      <c r="I1469">
        <v>355.91149999999999</v>
      </c>
      <c r="J1469">
        <v>-195.1437</v>
      </c>
      <c r="K1469">
        <v>1.114749</v>
      </c>
      <c r="L1469">
        <v>363.15170000000001</v>
      </c>
      <c r="M1469">
        <v>0.75494779999999995</v>
      </c>
      <c r="N1469">
        <v>-1.4887910000000001E-2</v>
      </c>
      <c r="O1469">
        <v>-0.65561630000000004</v>
      </c>
      <c r="P1469">
        <v>0.39868779999999998</v>
      </c>
      <c r="Q1469">
        <v>-9.5311270000000003E-2</v>
      </c>
      <c r="R1469">
        <v>-0.91212110000000002</v>
      </c>
      <c r="S1469">
        <v>0.33782960000000001</v>
      </c>
      <c r="T1469">
        <v>-0.47048139999999999</v>
      </c>
      <c r="U1469">
        <v>-3.1046749999999999</v>
      </c>
      <c r="V1469">
        <v>0.42597950000000001</v>
      </c>
      <c r="W1469">
        <v>-8.8354970000000005E-2</v>
      </c>
      <c r="X1469">
        <v>0.90040819999999999</v>
      </c>
      <c r="Y1469">
        <v>0.67734249999999996</v>
      </c>
      <c r="Z1469">
        <v>3.9900520000000002E-2</v>
      </c>
      <c r="AA1469">
        <v>0.73458500000000004</v>
      </c>
      <c r="AB1469">
        <v>18</v>
      </c>
      <c r="AC1469">
        <v>0.68469999999999198</v>
      </c>
      <c r="AD1469">
        <v>-1.1147535576280001</v>
      </c>
      <c r="AE1469">
        <v>-7.2402000000000104</v>
      </c>
      <c r="AF1469">
        <v>4.9024406194082797</v>
      </c>
      <c r="AG1469">
        <v>-1.1147535576280001</v>
      </c>
      <c r="AH1469">
        <v>5.1434387616704296</v>
      </c>
      <c r="AI1469">
        <v>98.9161623405017</v>
      </c>
      <c r="AJ1469">
        <v>46.374247878831099</v>
      </c>
      <c r="AK1469">
        <v>7.1924656284282902</v>
      </c>
      <c r="AL1469">
        <v>95.068976615982606</v>
      </c>
      <c r="AM1469">
        <v>64.681357071948597</v>
      </c>
      <c r="AN1469">
        <v>1.0000000308855901</v>
      </c>
    </row>
    <row r="1470" spans="1:40" x14ac:dyDescent="0.25">
      <c r="A1470" t="str">
        <f>"20190303154754902"</f>
        <v>20190303154754902</v>
      </c>
      <c r="B1470" t="str">
        <f>"1551599274892411"</f>
        <v>1551599274892411</v>
      </c>
      <c r="C1470" t="s">
        <v>40</v>
      </c>
      <c r="D1470">
        <v>6.1253729999999997</v>
      </c>
      <c r="E1470">
        <v>0.61954019999999899</v>
      </c>
      <c r="F1470" t="s">
        <v>46</v>
      </c>
      <c r="G1470">
        <v>-194.4171</v>
      </c>
      <c r="H1470" s="1">
        <v>-4.511387E-6</v>
      </c>
      <c r="I1470">
        <v>355.8322</v>
      </c>
      <c r="J1470">
        <v>-195.06780000000001</v>
      </c>
      <c r="K1470">
        <v>1.1147309999999999</v>
      </c>
      <c r="L1470">
        <v>363.07420000000002</v>
      </c>
      <c r="M1470">
        <v>0.74989759999999905</v>
      </c>
      <c r="N1470">
        <v>-1.488856E-2</v>
      </c>
      <c r="O1470">
        <v>-0.66138640000000004</v>
      </c>
      <c r="P1470">
        <v>0.39137729999999998</v>
      </c>
      <c r="Q1470">
        <v>-9.5241969999999995E-2</v>
      </c>
      <c r="R1470">
        <v>-0.9152884</v>
      </c>
      <c r="S1470">
        <v>0.30824279999999998</v>
      </c>
      <c r="T1470">
        <v>-0.47288249999999998</v>
      </c>
      <c r="U1470">
        <v>-3.1049500000000001</v>
      </c>
      <c r="V1470">
        <v>0.4262801</v>
      </c>
      <c r="W1470">
        <v>-8.8311230000000004E-2</v>
      </c>
      <c r="X1470">
        <v>0.90027019999999902</v>
      </c>
      <c r="Y1470">
        <v>0.67863079999999998</v>
      </c>
      <c r="Z1470">
        <v>4.1200689999999998E-2</v>
      </c>
      <c r="AA1470">
        <v>0.73332310000000001</v>
      </c>
      <c r="AB1470">
        <v>18</v>
      </c>
      <c r="AC1470">
        <v>0.65069999999999995</v>
      </c>
      <c r="AD1470">
        <v>-1.1147355113870001</v>
      </c>
      <c r="AE1470">
        <v>-7.2420000000000098</v>
      </c>
      <c r="AF1470">
        <v>4.8861073124315704</v>
      </c>
      <c r="AG1470">
        <v>-1.1147355113870001</v>
      </c>
      <c r="AH1470">
        <v>5.1570932875043001</v>
      </c>
      <c r="AI1470">
        <v>98.917691500712706</v>
      </c>
      <c r="AJ1470">
        <v>46.545581638569601</v>
      </c>
      <c r="AK1470">
        <v>7.1911258579562096</v>
      </c>
      <c r="AL1470">
        <v>95.066460744459604</v>
      </c>
      <c r="AM1470">
        <v>64.662332657108607</v>
      </c>
      <c r="AN1470">
        <v>1.00000001500408</v>
      </c>
    </row>
    <row r="1471" spans="1:40" x14ac:dyDescent="0.25">
      <c r="A1471" t="str">
        <f>"20190303154754921"</f>
        <v>20190303154754921</v>
      </c>
      <c r="B1471" t="str">
        <f>"1551599274911931"</f>
        <v>1551599274911931</v>
      </c>
      <c r="C1471" t="s">
        <v>40</v>
      </c>
      <c r="D1471">
        <v>6.1922249999999996</v>
      </c>
      <c r="E1471">
        <v>0.62014329999999995</v>
      </c>
      <c r="F1471" t="s">
        <v>46</v>
      </c>
      <c r="G1471">
        <v>-194.39660000000001</v>
      </c>
      <c r="H1471" s="1">
        <v>-4.466187E-6</v>
      </c>
      <c r="I1471">
        <v>355.74489999999997</v>
      </c>
      <c r="J1471">
        <v>-194.9547</v>
      </c>
      <c r="K1471">
        <v>1.11469</v>
      </c>
      <c r="L1471">
        <v>362.95609999999999</v>
      </c>
      <c r="M1471">
        <v>0.74215140000000002</v>
      </c>
      <c r="N1471">
        <v>-1.4892270000000001E-2</v>
      </c>
      <c r="O1471">
        <v>-0.67006669999999902</v>
      </c>
      <c r="P1471">
        <v>0.38025710000000001</v>
      </c>
      <c r="Q1471">
        <v>-9.630764E-2</v>
      </c>
      <c r="R1471">
        <v>-0.91985329999999998</v>
      </c>
      <c r="S1471">
        <v>0.28451539999999997</v>
      </c>
      <c r="T1471">
        <v>-0.47252680000000002</v>
      </c>
      <c r="U1471">
        <v>-3.1068419999999999</v>
      </c>
      <c r="V1471">
        <v>0.42660870000000001</v>
      </c>
      <c r="W1471">
        <v>-8.9416300000000004E-2</v>
      </c>
      <c r="X1471">
        <v>0.90000539999999996</v>
      </c>
      <c r="Y1471">
        <v>0.67574840000000003</v>
      </c>
      <c r="Z1471">
        <v>4.311164E-2</v>
      </c>
      <c r="AA1471">
        <v>0.73587060000000004</v>
      </c>
      <c r="AB1471">
        <v>18</v>
      </c>
      <c r="AC1471">
        <v>0.55809999999999504</v>
      </c>
      <c r="AD1471">
        <v>-1.114694466187</v>
      </c>
      <c r="AE1471">
        <v>-7.2112000000000096</v>
      </c>
      <c r="AF1471">
        <v>4.8628863371193596</v>
      </c>
      <c r="AG1471">
        <v>-1.114694466187</v>
      </c>
      <c r="AH1471">
        <v>5.1250313406205699</v>
      </c>
      <c r="AI1471">
        <v>98.9660988112864</v>
      </c>
      <c r="AJ1471">
        <v>46.503452007227203</v>
      </c>
      <c r="AK1471">
        <v>7.1523530060416602</v>
      </c>
      <c r="AL1471">
        <v>95.130028214288998</v>
      </c>
      <c r="AM1471">
        <v>64.638729027210204</v>
      </c>
      <c r="AN1471">
        <v>0.99999998882526997</v>
      </c>
    </row>
    <row r="1472" spans="1:40" x14ac:dyDescent="0.25">
      <c r="A1472" t="str">
        <f>"20190303154754946"</f>
        <v>20190303154754946</v>
      </c>
      <c r="B1472" t="str">
        <f>"1551599274942188"</f>
        <v>1551599274942188</v>
      </c>
      <c r="C1472" t="s">
        <v>40</v>
      </c>
      <c r="D1472">
        <v>6.1398929999999998</v>
      </c>
      <c r="E1472">
        <v>0.62069980000000002</v>
      </c>
      <c r="F1472" t="s">
        <v>46</v>
      </c>
      <c r="G1472">
        <v>-194.38669999999999</v>
      </c>
      <c r="H1472" s="1">
        <v>-4.4272940000000002E-6</v>
      </c>
      <c r="I1472">
        <v>355.66609999999997</v>
      </c>
      <c r="J1472">
        <v>-194.82130000000001</v>
      </c>
      <c r="K1472">
        <v>1.1146419999999999</v>
      </c>
      <c r="L1472">
        <v>362.81270000000001</v>
      </c>
      <c r="M1472">
        <v>0.73267099999999996</v>
      </c>
      <c r="N1472">
        <v>-1.4900299999999899E-2</v>
      </c>
      <c r="O1472">
        <v>-0.68042000000000002</v>
      </c>
      <c r="P1472">
        <v>0.36731239999999998</v>
      </c>
      <c r="Q1472">
        <v>-9.7904019999999994E-2</v>
      </c>
      <c r="R1472">
        <v>-0.92493069999999999</v>
      </c>
      <c r="S1472">
        <v>0.2424316</v>
      </c>
      <c r="T1472">
        <v>-0.47574620000000001</v>
      </c>
      <c r="U1472">
        <v>-3.1113279999999999</v>
      </c>
      <c r="V1472">
        <v>0.42644549999999998</v>
      </c>
      <c r="W1472">
        <v>-9.1049370000000004E-2</v>
      </c>
      <c r="X1472">
        <v>0.89991900000000002</v>
      </c>
      <c r="Y1472">
        <v>0.67541260000000003</v>
      </c>
      <c r="Z1472">
        <v>4.5524830000000002E-2</v>
      </c>
      <c r="AA1472">
        <v>0.73603350000000001</v>
      </c>
      <c r="AB1472">
        <v>18</v>
      </c>
      <c r="AC1472">
        <v>0.43460000000001697</v>
      </c>
      <c r="AD1472">
        <v>-1.114646427294</v>
      </c>
      <c r="AE1472">
        <v>-7.1466000000000296</v>
      </c>
      <c r="AF1472">
        <v>4.8240259671927896</v>
      </c>
      <c r="AG1472">
        <v>-1.114646427294</v>
      </c>
      <c r="AH1472">
        <v>5.05906838647853</v>
      </c>
      <c r="AI1472">
        <v>99.059791870674502</v>
      </c>
      <c r="AJ1472">
        <v>46.362366892444101</v>
      </c>
      <c r="AK1472">
        <v>7.0786888707652702</v>
      </c>
      <c r="AL1472">
        <v>95.223979549812199</v>
      </c>
      <c r="AM1472">
        <v>64.6450845682498</v>
      </c>
      <c r="AN1472">
        <v>0.99999997940432295</v>
      </c>
    </row>
    <row r="1473" spans="1:40" x14ac:dyDescent="0.25">
      <c r="A1473" t="str">
        <f>"20190303154754966"</f>
        <v>20190303154754966</v>
      </c>
      <c r="B1473" t="str">
        <f>"1551599274961707"</f>
        <v>1551599274961707</v>
      </c>
      <c r="C1473" t="s">
        <v>40</v>
      </c>
      <c r="D1473">
        <v>6.1219340000000004</v>
      </c>
      <c r="E1473">
        <v>0.62068400000000001</v>
      </c>
      <c r="F1473" t="s">
        <v>46</v>
      </c>
      <c r="G1473">
        <v>-194.37190000000001</v>
      </c>
      <c r="H1473" s="1">
        <v>-4.3976610000000002E-6</v>
      </c>
      <c r="I1473">
        <v>355.6096</v>
      </c>
      <c r="J1473">
        <v>-194.7062</v>
      </c>
      <c r="K1473">
        <v>1.1146039999999999</v>
      </c>
      <c r="L1473">
        <v>362.6859</v>
      </c>
      <c r="M1473">
        <v>0.72420580000000001</v>
      </c>
      <c r="N1473">
        <v>-1.4909149999999999E-2</v>
      </c>
      <c r="O1473">
        <v>-0.6894228</v>
      </c>
      <c r="P1473">
        <v>0.35588229999999998</v>
      </c>
      <c r="Q1473">
        <v>-9.9382760000000001E-2</v>
      </c>
      <c r="R1473">
        <v>-0.92923169999999999</v>
      </c>
      <c r="S1473">
        <v>0.19433590000000001</v>
      </c>
      <c r="T1473">
        <v>-0.48207100000000003</v>
      </c>
      <c r="U1473">
        <v>-3.1152950000000001</v>
      </c>
      <c r="V1473">
        <v>0.42627290000000001</v>
      </c>
      <c r="W1473">
        <v>-9.2558050000000003E-2</v>
      </c>
      <c r="X1473">
        <v>0.89984690000000001</v>
      </c>
      <c r="Y1473">
        <v>0.67765739999999997</v>
      </c>
      <c r="Z1473">
        <v>4.7870349999999999E-2</v>
      </c>
      <c r="AA1473">
        <v>0.73381809999999903</v>
      </c>
      <c r="AB1473">
        <v>18</v>
      </c>
      <c r="AC1473">
        <v>0.334299999999984</v>
      </c>
      <c r="AD1473">
        <v>-1.1146083976609999</v>
      </c>
      <c r="AE1473">
        <v>-7.0762999999999998</v>
      </c>
      <c r="AF1473">
        <v>4.7765240731752403</v>
      </c>
      <c r="AG1473">
        <v>-1.1146083976609999</v>
      </c>
      <c r="AH1473">
        <v>4.9975195722292902</v>
      </c>
      <c r="AI1473">
        <v>99.159106878930004</v>
      </c>
      <c r="AJ1473">
        <v>46.295262508355599</v>
      </c>
      <c r="AK1473">
        <v>7.0023378936305098</v>
      </c>
      <c r="AL1473">
        <v>95.310786967962301</v>
      </c>
      <c r="AM1473">
        <v>64.652283109280901</v>
      </c>
      <c r="AN1473">
        <v>1.00000001066691</v>
      </c>
    </row>
    <row r="1474" spans="1:40" x14ac:dyDescent="0.25">
      <c r="A1474" t="str">
        <f>"20190303154754990"</f>
        <v>20190303154754990</v>
      </c>
      <c r="B1474" t="str">
        <f>"1551599274982204"</f>
        <v>1551599274982204</v>
      </c>
      <c r="C1474" t="s">
        <v>40</v>
      </c>
      <c r="D1474">
        <v>6.1108479999999998</v>
      </c>
      <c r="E1474">
        <v>0.62060669999999996</v>
      </c>
      <c r="F1474" t="s">
        <v>46</v>
      </c>
      <c r="G1474">
        <v>-194.34829999999999</v>
      </c>
      <c r="H1474" s="1">
        <v>-4.353865E-6</v>
      </c>
      <c r="I1474">
        <v>355.52679999999998</v>
      </c>
      <c r="J1474">
        <v>-194.57759999999999</v>
      </c>
      <c r="K1474">
        <v>1.1145719999999999</v>
      </c>
      <c r="L1474">
        <v>362.53989999999999</v>
      </c>
      <c r="M1474">
        <v>0.71438939999999995</v>
      </c>
      <c r="N1474">
        <v>-1.492019E-2</v>
      </c>
      <c r="O1474">
        <v>-0.69958929999999997</v>
      </c>
      <c r="P1474">
        <v>0.34270790000000001</v>
      </c>
      <c r="Q1474">
        <v>-9.9723039999999999E-2</v>
      </c>
      <c r="R1474">
        <v>-0.93413420000000003</v>
      </c>
      <c r="S1474">
        <v>0.1558533</v>
      </c>
      <c r="T1474">
        <v>-0.48527409999999999</v>
      </c>
      <c r="U1474">
        <v>-3.1168819999999999</v>
      </c>
      <c r="V1474">
        <v>0.42623840000000002</v>
      </c>
      <c r="W1474">
        <v>-9.2929020000000001E-2</v>
      </c>
      <c r="X1474">
        <v>0.89982499999999999</v>
      </c>
      <c r="Y1474">
        <v>0.67635579999999995</v>
      </c>
      <c r="Z1474">
        <v>5.0461060000000002E-2</v>
      </c>
      <c r="AA1474">
        <v>0.73484459999999996</v>
      </c>
      <c r="AB1474">
        <v>18</v>
      </c>
      <c r="AC1474">
        <v>0.22929999999999401</v>
      </c>
      <c r="AD1474">
        <v>-1.114576353865</v>
      </c>
      <c r="AE1474">
        <v>-7.0130999999999997</v>
      </c>
      <c r="AF1474">
        <v>4.7308440947930102</v>
      </c>
      <c r="AG1474">
        <v>-1.114576353865</v>
      </c>
      <c r="AH1474">
        <v>4.9458739353984598</v>
      </c>
      <c r="AI1474">
        <v>99.249459924067494</v>
      </c>
      <c r="AJ1474">
        <v>46.2729806761118</v>
      </c>
      <c r="AK1474">
        <v>6.9343229866142497</v>
      </c>
      <c r="AL1474">
        <v>95.332134026471394</v>
      </c>
      <c r="AM1474">
        <v>64.653537754613694</v>
      </c>
      <c r="AN1474">
        <v>1.0000000035088601</v>
      </c>
    </row>
    <row r="1475" spans="1:40" x14ac:dyDescent="0.25">
      <c r="A1475" t="str">
        <f>"20190303154755011"</f>
        <v>20190303154755011</v>
      </c>
      <c r="B1475" t="str">
        <f>"1551599275001723"</f>
        <v>1551599275001723</v>
      </c>
      <c r="C1475" t="s">
        <v>40</v>
      </c>
      <c r="D1475">
        <v>6.2885799999999996</v>
      </c>
      <c r="E1475">
        <v>0.62048479999999995</v>
      </c>
      <c r="F1475" t="s">
        <v>46</v>
      </c>
      <c r="G1475">
        <v>-194.31899999999999</v>
      </c>
      <c r="H1475" s="1">
        <v>-4.2686220000000003E-6</v>
      </c>
      <c r="I1475">
        <v>355.3578</v>
      </c>
      <c r="J1475">
        <v>-194.46729999999999</v>
      </c>
      <c r="K1475">
        <v>1.1145590000000001</v>
      </c>
      <c r="L1475">
        <v>362.41140000000001</v>
      </c>
      <c r="M1475">
        <v>0.70567749999999996</v>
      </c>
      <c r="N1475">
        <v>-1.4929909999999999E-2</v>
      </c>
      <c r="O1475">
        <v>-0.7083758</v>
      </c>
      <c r="P1475">
        <v>0.33122020000000002</v>
      </c>
      <c r="Q1475">
        <v>-9.8741519999999999E-2</v>
      </c>
      <c r="R1475">
        <v>-0.93837309999999996</v>
      </c>
      <c r="S1475">
        <v>0.1122894</v>
      </c>
      <c r="T1475">
        <v>-0.4839774</v>
      </c>
      <c r="U1475">
        <v>-3.1186829999999999</v>
      </c>
      <c r="V1475">
        <v>0.42622700000000002</v>
      </c>
      <c r="W1475">
        <v>-9.1965980000000003E-2</v>
      </c>
      <c r="X1475">
        <v>0.89992929999999904</v>
      </c>
      <c r="Y1475">
        <v>0.67754840000000005</v>
      </c>
      <c r="Z1475">
        <v>5.1959089999999999E-2</v>
      </c>
      <c r="AA1475">
        <v>0.73364059999999998</v>
      </c>
      <c r="AB1475">
        <v>18</v>
      </c>
      <c r="AC1475">
        <v>0.14829999999997701</v>
      </c>
      <c r="AD1475">
        <v>-1.1145632686219999</v>
      </c>
      <c r="AE1475">
        <v>-7.0536000000000101</v>
      </c>
      <c r="AF1475">
        <v>4.7544014892836604</v>
      </c>
      <c r="AG1475">
        <v>-1.1145632686219999</v>
      </c>
      <c r="AH1475">
        <v>4.9775935803364098</v>
      </c>
      <c r="AI1475">
        <v>99.197572608286094</v>
      </c>
      <c r="AJ1475">
        <v>46.3137823706248</v>
      </c>
      <c r="AK1475">
        <v>6.97302105633349</v>
      </c>
      <c r="AL1475">
        <v>95.276718755675702</v>
      </c>
      <c r="AM1475">
        <v>64.656699698800296</v>
      </c>
      <c r="AN1475">
        <v>0.99999997100242399</v>
      </c>
    </row>
    <row r="1476" spans="1:40" x14ac:dyDescent="0.25">
      <c r="A1476" t="str">
        <f>"20190303154755032"</f>
        <v>20190303154755032</v>
      </c>
      <c r="B1476" t="str">
        <f>"1551599275022223"</f>
        <v>1551599275022223</v>
      </c>
      <c r="C1476" t="s">
        <v>40</v>
      </c>
      <c r="D1476">
        <v>6.134684</v>
      </c>
      <c r="E1476">
        <v>0.6201255</v>
      </c>
      <c r="F1476" t="s">
        <v>46</v>
      </c>
      <c r="G1476">
        <v>-194.29329999999999</v>
      </c>
      <c r="H1476" s="1">
        <v>-4.174675E-6</v>
      </c>
      <c r="I1476">
        <v>355.16829999999999</v>
      </c>
      <c r="J1476">
        <v>-194.35650000000001</v>
      </c>
      <c r="K1476">
        <v>1.114549</v>
      </c>
      <c r="L1476">
        <v>362.27870000000001</v>
      </c>
      <c r="M1476">
        <v>0.69662230000000003</v>
      </c>
      <c r="N1476">
        <v>-1.4939559999999999E-2</v>
      </c>
      <c r="O1476">
        <v>-0.71728269999999905</v>
      </c>
      <c r="P1476">
        <v>0.32029999999999997</v>
      </c>
      <c r="Q1476">
        <v>-9.7937759999999999E-2</v>
      </c>
      <c r="R1476">
        <v>-0.94224010000000002</v>
      </c>
      <c r="S1476">
        <v>7.4981690000000004E-2</v>
      </c>
      <c r="T1476">
        <v>-0.48010900000000001</v>
      </c>
      <c r="U1476">
        <v>-3.1200260000000002</v>
      </c>
      <c r="V1476">
        <v>0.42531479999999999</v>
      </c>
      <c r="W1476">
        <v>-9.1152469999999999E-2</v>
      </c>
      <c r="X1476">
        <v>0.90044349999999995</v>
      </c>
      <c r="Y1476">
        <v>0.67705360000000003</v>
      </c>
      <c r="Z1476">
        <v>5.3278770000000003E-2</v>
      </c>
      <c r="AA1476">
        <v>0.73400259999999995</v>
      </c>
      <c r="AB1476">
        <v>18</v>
      </c>
      <c r="AC1476">
        <v>6.3200000000023196E-2</v>
      </c>
      <c r="AD1476">
        <v>-1.1145531746749999</v>
      </c>
      <c r="AE1476">
        <v>-7.1104000000000198</v>
      </c>
      <c r="AF1476">
        <v>4.7907756874682601</v>
      </c>
      <c r="AG1476">
        <v>-1.1145531746749999</v>
      </c>
      <c r="AH1476">
        <v>5.0213984642995104</v>
      </c>
      <c r="AI1476">
        <v>99.123484939846605</v>
      </c>
      <c r="AJ1476">
        <v>46.346417131996198</v>
      </c>
      <c r="AK1476">
        <v>7.0290968839591699</v>
      </c>
      <c r="AL1476">
        <v>95.229911438297705</v>
      </c>
      <c r="AM1476">
        <v>64.716795790510403</v>
      </c>
      <c r="AN1476">
        <v>0.99999997428919496</v>
      </c>
    </row>
    <row r="1477" spans="1:40" x14ac:dyDescent="0.25">
      <c r="A1477" t="str">
        <f>"20190303154755046"</f>
        <v>20190303154755046</v>
      </c>
      <c r="B1477" t="str">
        <f>"1551599275041740"</f>
        <v>1551599275041740</v>
      </c>
      <c r="C1477" t="s">
        <v>40</v>
      </c>
      <c r="D1477">
        <v>6.1185660000000004</v>
      </c>
      <c r="E1477">
        <v>0.61965319999999902</v>
      </c>
      <c r="F1477" t="s">
        <v>46</v>
      </c>
      <c r="G1477">
        <v>-194.2602</v>
      </c>
      <c r="H1477" s="1">
        <v>-4.0838270000000003E-6</v>
      </c>
      <c r="I1477">
        <v>354.98899999999998</v>
      </c>
      <c r="J1477">
        <v>-194.28380000000001</v>
      </c>
      <c r="K1477">
        <v>1.1145449999999999</v>
      </c>
      <c r="L1477">
        <v>362.18970000000002</v>
      </c>
      <c r="M1477">
        <v>0.69051719999999905</v>
      </c>
      <c r="N1477">
        <v>-1.494566E-2</v>
      </c>
      <c r="O1477">
        <v>-0.72316150000000001</v>
      </c>
      <c r="P1477">
        <v>0.31266749999999999</v>
      </c>
      <c r="Q1477">
        <v>-9.7406549999999995E-2</v>
      </c>
      <c r="R1477">
        <v>-0.94485520000000001</v>
      </c>
      <c r="S1477">
        <v>4.1213989999999999E-2</v>
      </c>
      <c r="T1477">
        <v>-0.47707250000000001</v>
      </c>
      <c r="U1477">
        <v>-3.1202700000000001</v>
      </c>
      <c r="V1477">
        <v>0.42501119999999998</v>
      </c>
      <c r="W1477">
        <v>-9.0617100000000006E-2</v>
      </c>
      <c r="X1477">
        <v>0.90064089999999997</v>
      </c>
      <c r="Y1477">
        <v>0.67878909999999903</v>
      </c>
      <c r="Z1477">
        <v>5.3897979999999998E-2</v>
      </c>
      <c r="AA1477">
        <v>0.73235260000000002</v>
      </c>
      <c r="AB1477">
        <v>18</v>
      </c>
      <c r="AC1477">
        <v>2.3600000000016001E-2</v>
      </c>
      <c r="AD1477">
        <v>-1.114549083827</v>
      </c>
      <c r="AE1477">
        <v>-7.2006999999999799</v>
      </c>
      <c r="AF1477">
        <v>4.8397453285634402</v>
      </c>
      <c r="AG1477">
        <v>-1.114549083827</v>
      </c>
      <c r="AH1477">
        <v>5.1019188869657102</v>
      </c>
      <c r="AI1477">
        <v>99.005946539470401</v>
      </c>
      <c r="AJ1477">
        <v>46.510608018327403</v>
      </c>
      <c r="AK1477">
        <v>7.1200372776263396</v>
      </c>
      <c r="AL1477">
        <v>95.199109359952203</v>
      </c>
      <c r="AM1477">
        <v>64.737439917634603</v>
      </c>
      <c r="AN1477">
        <v>1.0000000048453299</v>
      </c>
    </row>
    <row r="1478" spans="1:40" x14ac:dyDescent="0.25">
      <c r="A1478" t="str">
        <f>"20190303154755070"</f>
        <v>20190303154755070</v>
      </c>
      <c r="B1478" t="str">
        <f>"1551599275062236"</f>
        <v>1551599275062236</v>
      </c>
      <c r="C1478" t="s">
        <v>40</v>
      </c>
      <c r="D1478">
        <v>6.1211200000000003</v>
      </c>
      <c r="E1478">
        <v>0.61934149999999999</v>
      </c>
      <c r="F1478" t="s">
        <v>46</v>
      </c>
      <c r="G1478">
        <v>-194.2381</v>
      </c>
      <c r="H1478" s="1">
        <v>-4.0230689999999999E-6</v>
      </c>
      <c r="I1478">
        <v>354.8691</v>
      </c>
      <c r="J1478">
        <v>-194.17060000000001</v>
      </c>
      <c r="K1478">
        <v>1.1145510000000001</v>
      </c>
      <c r="L1478">
        <v>362.0478</v>
      </c>
      <c r="M1478">
        <v>0.68073169999999905</v>
      </c>
      <c r="N1478">
        <v>-1.495471E-2</v>
      </c>
      <c r="O1478">
        <v>-0.73238049999999999</v>
      </c>
      <c r="P1478">
        <v>0.30120469999999999</v>
      </c>
      <c r="Q1478">
        <v>-9.6766179999999993E-2</v>
      </c>
      <c r="R1478">
        <v>-0.94863710000000001</v>
      </c>
      <c r="S1478">
        <v>1.9500730000000001E-2</v>
      </c>
      <c r="T1478">
        <v>-0.47496939999999999</v>
      </c>
      <c r="U1478">
        <v>-3.1196899999999999</v>
      </c>
      <c r="V1478">
        <v>0.4238613</v>
      </c>
      <c r="W1478">
        <v>-8.9948699999999895E-2</v>
      </c>
      <c r="X1478">
        <v>0.90124959999999998</v>
      </c>
      <c r="Y1478">
        <v>0.67408400000000002</v>
      </c>
      <c r="Z1478">
        <v>5.5906619999999997E-2</v>
      </c>
      <c r="AA1478">
        <v>0.73653590000000002</v>
      </c>
      <c r="AB1478">
        <v>18</v>
      </c>
      <c r="AC1478">
        <v>-6.7499999999995397E-2</v>
      </c>
      <c r="AD1478">
        <v>-1.114555023069</v>
      </c>
      <c r="AE1478">
        <v>-7.1786999999999903</v>
      </c>
      <c r="AF1478">
        <v>4.8205646189702902</v>
      </c>
      <c r="AG1478">
        <v>-1.114555023069</v>
      </c>
      <c r="AH1478">
        <v>5.0894993555488703</v>
      </c>
      <c r="AI1478">
        <v>99.0340562426004</v>
      </c>
      <c r="AJ1478">
        <v>46.554484864221997</v>
      </c>
      <c r="AK1478">
        <v>7.09810396058334</v>
      </c>
      <c r="AL1478">
        <v>95.160655816906498</v>
      </c>
      <c r="AM1478">
        <v>64.812210265658393</v>
      </c>
      <c r="AN1478">
        <v>1.00000000588477</v>
      </c>
    </row>
    <row r="1479" spans="1:40" x14ac:dyDescent="0.25">
      <c r="A1479" t="str">
        <f>"20190303154755089"</f>
        <v>20190303154755089</v>
      </c>
      <c r="B1479" t="str">
        <f>"1551599275081756"</f>
        <v>1551599275081756</v>
      </c>
      <c r="C1479" t="s">
        <v>40</v>
      </c>
      <c r="D1479">
        <v>6.0861289999999997</v>
      </c>
      <c r="E1479">
        <v>0.61876919999999902</v>
      </c>
      <c r="F1479" t="s">
        <v>46</v>
      </c>
      <c r="G1479">
        <v>-194.208</v>
      </c>
      <c r="H1479" s="1">
        <v>-3.9400390000000004E-6</v>
      </c>
      <c r="I1479">
        <v>354.70519999999999</v>
      </c>
      <c r="J1479">
        <v>-194.071</v>
      </c>
      <c r="K1479">
        <v>1.114557</v>
      </c>
      <c r="L1479">
        <v>361.91950000000003</v>
      </c>
      <c r="M1479">
        <v>0.67183300000000001</v>
      </c>
      <c r="N1479">
        <v>-1.4962069999999999E-2</v>
      </c>
      <c r="O1479">
        <v>-0.74055170000000003</v>
      </c>
      <c r="P1479">
        <v>0.29117100000000001</v>
      </c>
      <c r="Q1479">
        <v>-9.6061480000000005E-2</v>
      </c>
      <c r="R1479">
        <v>-0.95183620000000002</v>
      </c>
      <c r="S1479">
        <v>-1.586914E-2</v>
      </c>
      <c r="T1479">
        <v>-0.47346199999999999</v>
      </c>
      <c r="U1479">
        <v>-3.1191409999999999</v>
      </c>
      <c r="V1479">
        <v>0.42254940000000002</v>
      </c>
      <c r="W1479">
        <v>-8.9207320000000007E-2</v>
      </c>
      <c r="X1479">
        <v>0.90193909999999999</v>
      </c>
      <c r="Y1479">
        <v>0.67355659999999995</v>
      </c>
      <c r="Z1479">
        <v>5.7410129999999997E-2</v>
      </c>
      <c r="AA1479">
        <v>0.73690269999999902</v>
      </c>
      <c r="AB1479">
        <v>17</v>
      </c>
      <c r="AC1479">
        <v>-0.13700000000000001</v>
      </c>
      <c r="AD1479">
        <v>-1.114560940039</v>
      </c>
      <c r="AE1479">
        <v>-7.2143000000000299</v>
      </c>
      <c r="AF1479">
        <v>4.8334887288045296</v>
      </c>
      <c r="AG1479">
        <v>-1.114560940039</v>
      </c>
      <c r="AH1479">
        <v>5.1287386049220904</v>
      </c>
      <c r="AI1479">
        <v>98.986947209817401</v>
      </c>
      <c r="AJ1479">
        <v>46.697574344278202</v>
      </c>
      <c r="AK1479">
        <v>7.1350416297425499</v>
      </c>
      <c r="AL1479">
        <v>95.118006233497596</v>
      </c>
      <c r="AM1479">
        <v>64.897382197831007</v>
      </c>
      <c r="AN1479">
        <v>1.00000004074537</v>
      </c>
    </row>
    <row r="1480" spans="1:40" x14ac:dyDescent="0.25">
      <c r="A1480" t="str">
        <f>"20190303154755104"</f>
        <v>20190303154755104</v>
      </c>
      <c r="B1480" t="str">
        <f>"1551599275102252"</f>
        <v>1551599275102252</v>
      </c>
      <c r="C1480" t="s">
        <v>40</v>
      </c>
      <c r="D1480">
        <v>6.1174819999999999</v>
      </c>
      <c r="E1480">
        <v>0.61822290000000002</v>
      </c>
      <c r="F1480" t="s">
        <v>46</v>
      </c>
      <c r="G1480">
        <v>-194.17580000000001</v>
      </c>
      <c r="H1480" s="1">
        <v>-3.8548580000000003E-6</v>
      </c>
      <c r="I1480">
        <v>354.54230000000001</v>
      </c>
      <c r="J1480">
        <v>-194.0001</v>
      </c>
      <c r="K1480">
        <v>1.114557</v>
      </c>
      <c r="L1480">
        <v>361.82639999999998</v>
      </c>
      <c r="M1480">
        <v>0.66534490000000002</v>
      </c>
      <c r="N1480">
        <v>-1.4967050000000001E-2</v>
      </c>
      <c r="O1480">
        <v>-0.74638609999999905</v>
      </c>
      <c r="P1480">
        <v>0.28390209999999999</v>
      </c>
      <c r="Q1480">
        <v>-9.5667740000000001E-2</v>
      </c>
      <c r="R1480">
        <v>-0.9540689</v>
      </c>
      <c r="S1480">
        <v>-4.4326780000000003E-2</v>
      </c>
      <c r="T1480">
        <v>-0.47104109999999999</v>
      </c>
      <c r="U1480">
        <v>-3.1177980000000001</v>
      </c>
      <c r="V1480">
        <v>0.42159259999999898</v>
      </c>
      <c r="W1480">
        <v>-8.8784929999999998E-2</v>
      </c>
      <c r="X1480">
        <v>0.90242829999999996</v>
      </c>
      <c r="Y1480">
        <v>0.6738693</v>
      </c>
      <c r="Z1480">
        <v>5.8235799999999997E-2</v>
      </c>
      <c r="AA1480">
        <v>0.73655190000000004</v>
      </c>
      <c r="AB1480">
        <v>17</v>
      </c>
      <c r="AC1480">
        <v>-0.17570000000000599</v>
      </c>
      <c r="AD1480">
        <v>-1.1145608548579999</v>
      </c>
      <c r="AE1480">
        <v>-7.2840999999999596</v>
      </c>
      <c r="AF1480">
        <v>4.8643146552693501</v>
      </c>
      <c r="AG1480">
        <v>-1.1145608548579999</v>
      </c>
      <c r="AH1480">
        <v>5.1987973891713102</v>
      </c>
      <c r="AI1480">
        <v>98.897309100078999</v>
      </c>
      <c r="AJ1480">
        <v>46.903724806906901</v>
      </c>
      <c r="AK1480">
        <v>7.20633729839955</v>
      </c>
      <c r="AL1480">
        <v>95.093709066847694</v>
      </c>
      <c r="AM1480">
        <v>64.959160033763595</v>
      </c>
      <c r="AN1480">
        <v>0.99999996040537598</v>
      </c>
    </row>
    <row r="1481" spans="1:40" x14ac:dyDescent="0.25">
      <c r="A1481" t="str">
        <f>"20190303154755122"</f>
        <v>20190303154755122</v>
      </c>
      <c r="B1481" t="str">
        <f>"1551599275112015"</f>
        <v>1551599275112015</v>
      </c>
      <c r="C1481" t="s">
        <v>40</v>
      </c>
      <c r="D1481">
        <v>6.1461870000000003</v>
      </c>
      <c r="E1481">
        <v>0.61791430000000003</v>
      </c>
      <c r="F1481" t="s">
        <v>46</v>
      </c>
      <c r="G1481">
        <v>-194.1515</v>
      </c>
      <c r="H1481" s="1">
        <v>-3.791873E-6</v>
      </c>
      <c r="I1481">
        <v>354.42779999999999</v>
      </c>
      <c r="J1481">
        <v>-193.91040000000001</v>
      </c>
      <c r="K1481">
        <v>1.114547</v>
      </c>
      <c r="L1481">
        <v>361.70589999999999</v>
      </c>
      <c r="M1481">
        <v>0.65692450000000002</v>
      </c>
      <c r="N1481">
        <v>-1.49729999999999E-2</v>
      </c>
      <c r="O1481">
        <v>-0.75380780000000003</v>
      </c>
      <c r="P1481">
        <v>0.2756903</v>
      </c>
      <c r="Q1481">
        <v>-9.6314739999999996E-2</v>
      </c>
      <c r="R1481">
        <v>-0.95640950000000002</v>
      </c>
      <c r="S1481">
        <v>-6.3797000000000006E-2</v>
      </c>
      <c r="T1481">
        <v>-0.46946169999999998</v>
      </c>
      <c r="U1481">
        <v>-3.116333</v>
      </c>
      <c r="V1481">
        <v>0.4191706</v>
      </c>
      <c r="W1481">
        <v>-8.9368660000000003E-2</v>
      </c>
      <c r="X1481">
        <v>0.90349840000000003</v>
      </c>
      <c r="Y1481">
        <v>0.67023409999999894</v>
      </c>
      <c r="Z1481">
        <v>5.9846740000000002E-2</v>
      </c>
      <c r="AA1481">
        <v>0.73973279999999997</v>
      </c>
      <c r="AB1481">
        <v>17</v>
      </c>
      <c r="AC1481">
        <v>-0.24109999999998799</v>
      </c>
      <c r="AD1481">
        <v>-1.114550791873</v>
      </c>
      <c r="AE1481">
        <v>-7.2780999999999896</v>
      </c>
      <c r="AF1481">
        <v>4.84985140671529</v>
      </c>
      <c r="AG1481">
        <v>-1.114550791873</v>
      </c>
      <c r="AH1481">
        <v>5.2065356052292397</v>
      </c>
      <c r="AI1481">
        <v>98.902414354012294</v>
      </c>
      <c r="AJ1481">
        <v>47.031339472612103</v>
      </c>
      <c r="AK1481">
        <v>7.2021729459519896</v>
      </c>
      <c r="AL1481">
        <v>95.127287336185006</v>
      </c>
      <c r="AM1481">
        <v>65.111447667426603</v>
      </c>
      <c r="AN1481">
        <v>1.0000000540485501</v>
      </c>
    </row>
    <row r="1482" spans="1:40" x14ac:dyDescent="0.25">
      <c r="A1482" t="str">
        <f>"20190303154755147"</f>
        <v>20190303154755147</v>
      </c>
      <c r="B1482" t="str">
        <f>"1551599275142267"</f>
        <v>1551599275142267</v>
      </c>
      <c r="C1482" t="s">
        <v>40</v>
      </c>
      <c r="D1482">
        <v>6.1118649999999999</v>
      </c>
      <c r="E1482">
        <v>0.6016939</v>
      </c>
      <c r="F1482" t="s">
        <v>46</v>
      </c>
      <c r="G1482">
        <v>-194.1198</v>
      </c>
      <c r="H1482" s="1">
        <v>-3.7313639999999998E-6</v>
      </c>
      <c r="I1482">
        <v>354.32159999999999</v>
      </c>
      <c r="J1482">
        <v>-193.79820000000001</v>
      </c>
      <c r="K1482">
        <v>1.114538</v>
      </c>
      <c r="L1482">
        <v>361.55059999999997</v>
      </c>
      <c r="M1482">
        <v>0.64601600000000003</v>
      </c>
      <c r="N1482">
        <v>-1.4979599999999999E-2</v>
      </c>
      <c r="O1482">
        <v>-0.76317699999999999</v>
      </c>
      <c r="P1482">
        <v>0.26496710000000001</v>
      </c>
      <c r="Q1482">
        <v>-9.8179920000000004E-2</v>
      </c>
      <c r="R1482">
        <v>-0.9592465</v>
      </c>
      <c r="S1482">
        <v>-8.8302610000000004E-2</v>
      </c>
      <c r="T1482">
        <v>-0.47013870000000002</v>
      </c>
      <c r="U1482">
        <v>-3.114868</v>
      </c>
      <c r="V1482">
        <v>0.41614380000000001</v>
      </c>
      <c r="W1482">
        <v>-9.1156009999999996E-2</v>
      </c>
      <c r="X1482">
        <v>0.90471820000000003</v>
      </c>
      <c r="Y1482">
        <v>0.66542939999999995</v>
      </c>
      <c r="Z1482">
        <v>6.2305190000000003E-2</v>
      </c>
      <c r="AA1482">
        <v>0.74385599999999996</v>
      </c>
      <c r="AB1482">
        <v>17</v>
      </c>
      <c r="AC1482">
        <v>-0.32159999999998901</v>
      </c>
      <c r="AD1482">
        <v>-1.114541731364</v>
      </c>
      <c r="AE1482">
        <v>-7.2289999999999797</v>
      </c>
      <c r="AF1482">
        <v>4.8021158181115799</v>
      </c>
      <c r="AG1482">
        <v>-1.114541731364</v>
      </c>
      <c r="AH1482">
        <v>5.18679446692071</v>
      </c>
      <c r="AI1482">
        <v>98.960516501641294</v>
      </c>
      <c r="AJ1482">
        <v>47.205403421923499</v>
      </c>
      <c r="AK1482">
        <v>7.1557918110848204</v>
      </c>
      <c r="AL1482">
        <v>95.230114711377098</v>
      </c>
      <c r="AM1482">
        <v>65.298958698290903</v>
      </c>
      <c r="AN1482">
        <v>1.00000005092439</v>
      </c>
    </row>
    <row r="1483" spans="1:40" x14ac:dyDescent="0.25">
      <c r="A1483" t="str">
        <f>"20190303154755169"</f>
        <v>20190303154755169</v>
      </c>
      <c r="B1483" t="str">
        <f>"1551599275161788"</f>
        <v>1551599275161788</v>
      </c>
      <c r="C1483" t="s">
        <v>40</v>
      </c>
      <c r="D1483">
        <v>6.1359690000000002</v>
      </c>
      <c r="E1483">
        <v>0.60053250000000002</v>
      </c>
      <c r="F1483" t="s">
        <v>46</v>
      </c>
      <c r="G1483">
        <v>-193.7928</v>
      </c>
      <c r="H1483" s="1">
        <v>-3.555153E-6</v>
      </c>
      <c r="I1483">
        <v>354.11540000000002</v>
      </c>
      <c r="J1483">
        <v>-193.69239999999999</v>
      </c>
      <c r="K1483">
        <v>1.1145389999999999</v>
      </c>
      <c r="L1483">
        <v>361.3997</v>
      </c>
      <c r="M1483">
        <v>0.63537940000000004</v>
      </c>
      <c r="N1483">
        <v>-1.4984849999999999E-2</v>
      </c>
      <c r="O1483">
        <v>-0.77205480000000004</v>
      </c>
      <c r="P1483">
        <v>0.25467919999999999</v>
      </c>
      <c r="Q1483">
        <v>-0.1002123</v>
      </c>
      <c r="R1483">
        <v>-0.96181939999999999</v>
      </c>
      <c r="S1483">
        <v>2.212524E-3</v>
      </c>
      <c r="T1483">
        <v>-0.46163870000000001</v>
      </c>
      <c r="U1483">
        <v>-3.07959</v>
      </c>
      <c r="V1483">
        <v>0.41313670000000002</v>
      </c>
      <c r="W1483">
        <v>-9.3109789999999998E-2</v>
      </c>
      <c r="X1483">
        <v>0.90589660000000005</v>
      </c>
      <c r="Y1483">
        <v>0.63312299999999999</v>
      </c>
      <c r="Z1483">
        <v>6.6157149999999998E-2</v>
      </c>
      <c r="AA1483">
        <v>0.77121879999999998</v>
      </c>
      <c r="AB1483">
        <v>17</v>
      </c>
      <c r="AC1483">
        <v>-0.100400000000007</v>
      </c>
      <c r="AD1483">
        <v>-1.1145425551529999</v>
      </c>
      <c r="AE1483">
        <v>-7.2842999999999698</v>
      </c>
      <c r="AF1483">
        <v>4.5986974677091199</v>
      </c>
      <c r="AG1483">
        <v>-1.1145425551529999</v>
      </c>
      <c r="AH1483">
        <v>5.4335310840046001</v>
      </c>
      <c r="AI1483">
        <v>98.898700588252694</v>
      </c>
      <c r="AJ1483">
        <v>49.756918123578302</v>
      </c>
      <c r="AK1483">
        <v>7.20510121702711</v>
      </c>
      <c r="AL1483">
        <v>95.342536463045803</v>
      </c>
      <c r="AM1483">
        <v>65.484508793806896</v>
      </c>
      <c r="AN1483">
        <v>1.00000000788614</v>
      </c>
    </row>
    <row r="1484" spans="1:40" x14ac:dyDescent="0.25">
      <c r="A1484" t="str">
        <f>"20190303154755189"</f>
        <v>20190303154755189</v>
      </c>
      <c r="B1484" t="str">
        <f>"1551599275182284"</f>
        <v>1551599275182284</v>
      </c>
      <c r="C1484" t="s">
        <v>40</v>
      </c>
      <c r="D1484">
        <v>5.9858580000000003</v>
      </c>
      <c r="E1484">
        <v>0.59275100000000003</v>
      </c>
      <c r="F1484" t="s">
        <v>46</v>
      </c>
      <c r="G1484">
        <v>-193.74510000000001</v>
      </c>
      <c r="H1484" s="1">
        <v>-3.544006E-6</v>
      </c>
      <c r="I1484">
        <v>354.11430000000001</v>
      </c>
      <c r="J1484">
        <v>-193.6019</v>
      </c>
      <c r="K1484">
        <v>1.114544</v>
      </c>
      <c r="L1484">
        <v>361.26710000000003</v>
      </c>
      <c r="M1484">
        <v>0.62598889999999996</v>
      </c>
      <c r="N1484">
        <v>-1.498797E-2</v>
      </c>
      <c r="O1484">
        <v>-0.77968819999999905</v>
      </c>
      <c r="P1484">
        <v>0.24570620000000001</v>
      </c>
      <c r="Q1484">
        <v>-0.1007654</v>
      </c>
      <c r="R1484">
        <v>-0.96409310000000004</v>
      </c>
      <c r="S1484">
        <v>-2.2247309999999999E-2</v>
      </c>
      <c r="T1484">
        <v>-0.4705664</v>
      </c>
      <c r="U1484">
        <v>-3.0759280000000002</v>
      </c>
      <c r="V1484">
        <v>0.41057480000000002</v>
      </c>
      <c r="W1484">
        <v>-9.3590709999999994E-2</v>
      </c>
      <c r="X1484">
        <v>0.90701109999999896</v>
      </c>
      <c r="Y1484">
        <v>0.6298724</v>
      </c>
      <c r="Z1484">
        <v>6.9632100000000002E-2</v>
      </c>
      <c r="AA1484">
        <v>0.77357109999999996</v>
      </c>
      <c r="AB1484">
        <v>17</v>
      </c>
      <c r="AC1484">
        <v>-0.14320000000000699</v>
      </c>
      <c r="AD1484">
        <v>-1.114547544006</v>
      </c>
      <c r="AE1484">
        <v>-7.1528000000000098</v>
      </c>
      <c r="AF1484">
        <v>4.4809854861775502</v>
      </c>
      <c r="AG1484">
        <v>-1.114547544006</v>
      </c>
      <c r="AH1484">
        <v>5.3578910172603296</v>
      </c>
      <c r="AI1484">
        <v>99.066227180454504</v>
      </c>
      <c r="AJ1484">
        <v>50.093120190679699</v>
      </c>
      <c r="AK1484">
        <v>7.0730787715126198</v>
      </c>
      <c r="AL1484">
        <v>95.370211980037396</v>
      </c>
      <c r="AM1484">
        <v>65.645264182952999</v>
      </c>
      <c r="AN1484">
        <v>1.0000000114582701</v>
      </c>
    </row>
    <row r="1485" spans="1:40" x14ac:dyDescent="0.25">
      <c r="A1485" t="str">
        <f>"20190303154755212"</f>
        <v>20190303154755212</v>
      </c>
      <c r="B1485" t="str">
        <f>"1551599275201807"</f>
        <v>1551599275201807</v>
      </c>
      <c r="C1485" t="s">
        <v>40</v>
      </c>
      <c r="D1485">
        <v>5.9167550000000002</v>
      </c>
      <c r="E1485">
        <v>0.58490969999999998</v>
      </c>
      <c r="F1485" t="s">
        <v>46</v>
      </c>
      <c r="G1485">
        <v>-193.5737</v>
      </c>
      <c r="H1485" s="1">
        <v>-3.1909260000000001E-6</v>
      </c>
      <c r="I1485">
        <v>353.48820000000001</v>
      </c>
      <c r="J1485">
        <v>-193.50120000000001</v>
      </c>
      <c r="K1485">
        <v>1.1145640000000001</v>
      </c>
      <c r="L1485">
        <v>361.11529999999999</v>
      </c>
      <c r="M1485">
        <v>0.61521320000000002</v>
      </c>
      <c r="N1485">
        <v>-1.498934E-2</v>
      </c>
      <c r="O1485">
        <v>-0.78821859999999999</v>
      </c>
      <c r="P1485">
        <v>0.2344368</v>
      </c>
      <c r="Q1485">
        <v>-0.1013829</v>
      </c>
      <c r="R1485">
        <v>-0.96683079999999999</v>
      </c>
      <c r="S1485">
        <v>1.107788E-2</v>
      </c>
      <c r="T1485">
        <v>-0.43887110000000001</v>
      </c>
      <c r="U1485">
        <v>-3.0630489999999999</v>
      </c>
      <c r="V1485">
        <v>0.40865249999999997</v>
      </c>
      <c r="W1485">
        <v>-9.4143939999999995E-2</v>
      </c>
      <c r="X1485">
        <v>0.90782160000000001</v>
      </c>
      <c r="Y1485">
        <v>0.61090559999999905</v>
      </c>
      <c r="Z1485">
        <v>6.7335210000000006E-2</v>
      </c>
      <c r="AA1485">
        <v>0.78883479999999995</v>
      </c>
      <c r="AB1485">
        <v>17</v>
      </c>
      <c r="AC1485">
        <v>-7.2499999999990905E-2</v>
      </c>
      <c r="AD1485">
        <v>-1.114567190926</v>
      </c>
      <c r="AE1485">
        <v>-7.62709999999998</v>
      </c>
      <c r="AF1485">
        <v>4.6506662020982397</v>
      </c>
      <c r="AG1485">
        <v>-1.114567190926</v>
      </c>
      <c r="AH1485">
        <v>5.8431211666337504</v>
      </c>
      <c r="AI1485">
        <v>98.488515738148294</v>
      </c>
      <c r="AJ1485">
        <v>51.482961180762402</v>
      </c>
      <c r="AK1485">
        <v>7.5506967303945496</v>
      </c>
      <c r="AL1485">
        <v>95.402050348997093</v>
      </c>
      <c r="AM1485">
        <v>65.765286075771897</v>
      </c>
      <c r="AN1485">
        <v>1.00000000231076</v>
      </c>
    </row>
    <row r="1486" spans="1:40" x14ac:dyDescent="0.25">
      <c r="A1486" t="str">
        <f>"20190303154755234"</f>
        <v>20190303154755234</v>
      </c>
      <c r="B1486" t="str">
        <f>"1551599275232060"</f>
        <v>1551599275232060</v>
      </c>
      <c r="C1486" t="s">
        <v>40</v>
      </c>
      <c r="D1486">
        <v>5.9058270000000004</v>
      </c>
      <c r="E1486">
        <v>0.57758030000000005</v>
      </c>
      <c r="F1486" t="s">
        <v>46</v>
      </c>
      <c r="G1486">
        <v>-193.39689999999999</v>
      </c>
      <c r="H1486" s="1">
        <v>-2.7959350000000001E-6</v>
      </c>
      <c r="I1486">
        <v>352.79919999999998</v>
      </c>
      <c r="J1486">
        <v>-193.4024</v>
      </c>
      <c r="K1486">
        <v>1.1145890000000001</v>
      </c>
      <c r="L1486">
        <v>360.96170000000001</v>
      </c>
      <c r="M1486">
        <v>0.6042883</v>
      </c>
      <c r="N1486">
        <v>-1.498846E-2</v>
      </c>
      <c r="O1486">
        <v>-0.79662469999999996</v>
      </c>
      <c r="P1486">
        <v>0.22193969999999999</v>
      </c>
      <c r="Q1486">
        <v>-0.1021225</v>
      </c>
      <c r="R1486">
        <v>-0.96969810000000001</v>
      </c>
      <c r="S1486">
        <v>3.8253780000000001E-2</v>
      </c>
      <c r="T1486">
        <v>-0.40888049999999998</v>
      </c>
      <c r="U1486">
        <v>-3.050751</v>
      </c>
      <c r="V1486">
        <v>0.40780270000000002</v>
      </c>
      <c r="W1486">
        <v>-9.4838409999999998E-2</v>
      </c>
      <c r="X1486">
        <v>0.90813140000000003</v>
      </c>
      <c r="Y1486">
        <v>0.59303589999999995</v>
      </c>
      <c r="Z1486">
        <v>6.4741759999999995E-2</v>
      </c>
      <c r="AA1486">
        <v>0.80256890000000003</v>
      </c>
      <c r="AB1486">
        <v>17</v>
      </c>
      <c r="AC1486">
        <v>5.5000000000120499E-3</v>
      </c>
      <c r="AD1486">
        <v>-1.114591795935</v>
      </c>
      <c r="AE1486">
        <v>-8.1625000000000192</v>
      </c>
      <c r="AF1486">
        <v>4.8384579085999198</v>
      </c>
      <c r="AG1486">
        <v>-1.114591795935</v>
      </c>
      <c r="AH1486">
        <v>6.38740448472032</v>
      </c>
      <c r="AI1486">
        <v>97.918825662162106</v>
      </c>
      <c r="AJ1486">
        <v>52.856076856087498</v>
      </c>
      <c r="AK1486">
        <v>8.0902364524335209</v>
      </c>
      <c r="AL1486">
        <v>95.442019379982796</v>
      </c>
      <c r="AM1486">
        <v>65.817205120684605</v>
      </c>
      <c r="AN1486">
        <v>1.00000000290228</v>
      </c>
    </row>
    <row r="1487" spans="1:40" x14ac:dyDescent="0.25">
      <c r="A1487" t="str">
        <f>"20190303154755258"</f>
        <v>20190303154755258</v>
      </c>
      <c r="B1487" t="str">
        <f>"1551599275251579"</f>
        <v>1551599275251579</v>
      </c>
      <c r="C1487" t="s">
        <v>40</v>
      </c>
      <c r="D1487">
        <v>5.902927</v>
      </c>
      <c r="E1487">
        <v>0.57397069999999994</v>
      </c>
      <c r="F1487" t="s">
        <v>46</v>
      </c>
      <c r="G1487">
        <v>-193.23480000000001</v>
      </c>
      <c r="H1487" s="1">
        <v>-2.3439889999999998E-6</v>
      </c>
      <c r="I1487">
        <v>352.10860000000002</v>
      </c>
      <c r="J1487">
        <v>-193.3056</v>
      </c>
      <c r="K1487">
        <v>1.114622</v>
      </c>
      <c r="L1487">
        <v>360.80680000000001</v>
      </c>
      <c r="M1487">
        <v>0.59323630000000005</v>
      </c>
      <c r="N1487">
        <v>-1.498563E-2</v>
      </c>
      <c r="O1487">
        <v>-0.80488879999999996</v>
      </c>
      <c r="P1487">
        <v>0.2090784</v>
      </c>
      <c r="Q1487">
        <v>-0.102533</v>
      </c>
      <c r="R1487">
        <v>-0.97250879999999995</v>
      </c>
      <c r="S1487">
        <v>5.755615E-2</v>
      </c>
      <c r="T1487">
        <v>-0.38276450000000001</v>
      </c>
      <c r="U1487">
        <v>-3.0402830000000001</v>
      </c>
      <c r="V1487">
        <v>0.40727229999999998</v>
      </c>
      <c r="W1487">
        <v>-9.5206760000000001E-2</v>
      </c>
      <c r="X1487">
        <v>0.90833090000000005</v>
      </c>
      <c r="Y1487">
        <v>0.57686079999999995</v>
      </c>
      <c r="Z1487">
        <v>6.229465E-2</v>
      </c>
      <c r="AA1487">
        <v>0.81446359999999995</v>
      </c>
      <c r="AB1487">
        <v>17</v>
      </c>
      <c r="AC1487">
        <v>7.07999999999913E-2</v>
      </c>
      <c r="AD1487">
        <v>-1.114624343989</v>
      </c>
      <c r="AE1487">
        <v>-8.6981999999999804</v>
      </c>
      <c r="AF1487">
        <v>5.0212274575482896</v>
      </c>
      <c r="AG1487">
        <v>-1.114624343989</v>
      </c>
      <c r="AH1487">
        <v>6.9300853134468401</v>
      </c>
      <c r="AI1487">
        <v>97.420662333600205</v>
      </c>
      <c r="AJ1487">
        <v>54.074606657350202</v>
      </c>
      <c r="AK1487">
        <v>8.6302488411575595</v>
      </c>
      <c r="AL1487">
        <v>95.463220015570599</v>
      </c>
      <c r="AM1487">
        <v>65.849758270064598</v>
      </c>
      <c r="AN1487">
        <v>1.00000003869589</v>
      </c>
    </row>
    <row r="1488" spans="1:40" x14ac:dyDescent="0.25">
      <c r="A1488" t="str">
        <f>"20190303154755279"</f>
        <v>20190303154755279</v>
      </c>
      <c r="B1488" t="str">
        <f>"1551599275272076"</f>
        <v>1551599275272076</v>
      </c>
      <c r="C1488" t="s">
        <v>40</v>
      </c>
      <c r="D1488">
        <v>5.8890250000000002</v>
      </c>
      <c r="E1488">
        <v>0.57117969999999996</v>
      </c>
      <c r="F1488" t="s">
        <v>46</v>
      </c>
      <c r="G1488">
        <v>-193.16839999999999</v>
      </c>
      <c r="H1488" s="1">
        <v>-2.1350220000000001E-6</v>
      </c>
      <c r="I1488">
        <v>351.78539999999998</v>
      </c>
      <c r="J1488">
        <v>-193.2166</v>
      </c>
      <c r="K1488">
        <v>1.1146590000000001</v>
      </c>
      <c r="L1488">
        <v>360.65989999999999</v>
      </c>
      <c r="M1488">
        <v>0.58274589999999904</v>
      </c>
      <c r="N1488">
        <v>-1.49815E-2</v>
      </c>
      <c r="O1488">
        <v>-0.81251629999999997</v>
      </c>
      <c r="P1488">
        <v>0.19726759999999999</v>
      </c>
      <c r="Q1488">
        <v>-0.1027124</v>
      </c>
      <c r="R1488">
        <v>-0.9749544</v>
      </c>
      <c r="S1488">
        <v>4.6157839999999999E-2</v>
      </c>
      <c r="T1488">
        <v>-0.37502089999999999</v>
      </c>
      <c r="U1488">
        <v>-3.0353089999999998</v>
      </c>
      <c r="V1488">
        <v>0.40650219999999998</v>
      </c>
      <c r="W1488">
        <v>-9.533896E-2</v>
      </c>
      <c r="X1488">
        <v>0.90866190000000002</v>
      </c>
      <c r="Y1488">
        <v>0.56934340000000005</v>
      </c>
      <c r="Z1488">
        <v>6.2565309999999999E-2</v>
      </c>
      <c r="AA1488">
        <v>0.81971559999999899</v>
      </c>
      <c r="AB1488">
        <v>17</v>
      </c>
      <c r="AC1488">
        <v>4.8200000000008403E-2</v>
      </c>
      <c r="AD1488">
        <v>-1.1146611350219999</v>
      </c>
      <c r="AE1488">
        <v>-8.87450000000001</v>
      </c>
      <c r="AF1488">
        <v>5.0532730846134397</v>
      </c>
      <c r="AG1488">
        <v>-1.1146611350219999</v>
      </c>
      <c r="AH1488">
        <v>7.1271421214462496</v>
      </c>
      <c r="AI1488">
        <v>97.2706467047296</v>
      </c>
      <c r="AJ1488">
        <v>54.662667368354498</v>
      </c>
      <c r="AK1488">
        <v>8.8076213095761897</v>
      </c>
      <c r="AL1488">
        <v>95.470829329950107</v>
      </c>
      <c r="AM1488">
        <v>65.897998748607307</v>
      </c>
      <c r="AN1488">
        <v>1.0000000022051601</v>
      </c>
    </row>
    <row r="1489" spans="1:40" x14ac:dyDescent="0.25">
      <c r="A1489" t="str">
        <f>"20190303154755302"</f>
        <v>20190303154755302</v>
      </c>
      <c r="B1489" t="str">
        <f>"1551599275291599"</f>
        <v>1551599275291599</v>
      </c>
      <c r="C1489" t="s">
        <v>40</v>
      </c>
      <c r="D1489">
        <v>5.9184939999999999</v>
      </c>
      <c r="E1489">
        <v>0.56872060000000002</v>
      </c>
      <c r="F1489" t="s">
        <v>46</v>
      </c>
      <c r="G1489">
        <v>-193.1198</v>
      </c>
      <c r="H1489" s="1">
        <v>-1.919445E-6</v>
      </c>
      <c r="I1489">
        <v>351.44310000000002</v>
      </c>
      <c r="J1489">
        <v>-193.12700000000001</v>
      </c>
      <c r="K1489">
        <v>1.114684</v>
      </c>
      <c r="L1489">
        <v>360.50740000000002</v>
      </c>
      <c r="M1489">
        <v>0.57183680000000003</v>
      </c>
      <c r="N1489">
        <v>-1.497603E-2</v>
      </c>
      <c r="O1489">
        <v>-0.82023080000000004</v>
      </c>
      <c r="P1489">
        <v>0.18654119999999999</v>
      </c>
      <c r="Q1489">
        <v>-0.1031871</v>
      </c>
      <c r="R1489">
        <v>-0.97701329999999997</v>
      </c>
      <c r="S1489">
        <v>3.1860350000000003E-2</v>
      </c>
      <c r="T1489">
        <v>-0.36668250000000002</v>
      </c>
      <c r="U1489">
        <v>-3.0320130000000001</v>
      </c>
      <c r="V1489">
        <v>0.40432129999999999</v>
      </c>
      <c r="W1489">
        <v>-9.5736360000000006E-2</v>
      </c>
      <c r="X1489">
        <v>0.90959259999999997</v>
      </c>
      <c r="Y1489">
        <v>0.56225630000000004</v>
      </c>
      <c r="Z1489">
        <v>6.2587409999999996E-2</v>
      </c>
      <c r="AA1489">
        <v>0.82459119999999997</v>
      </c>
      <c r="AB1489">
        <v>17</v>
      </c>
      <c r="AC1489">
        <v>7.2000000000116398E-3</v>
      </c>
      <c r="AD1489">
        <v>-1.1146859194450001</v>
      </c>
      <c r="AE1489">
        <v>-9.0642999999999994</v>
      </c>
      <c r="AF1489">
        <v>5.1008352689583498</v>
      </c>
      <c r="AG1489">
        <v>-1.1146859194450001</v>
      </c>
      <c r="AH1489">
        <v>7.3289339466726204</v>
      </c>
      <c r="AI1489">
        <v>97.115714021561203</v>
      </c>
      <c r="AJ1489">
        <v>55.162624377295501</v>
      </c>
      <c r="AK1489">
        <v>8.9985731054844909</v>
      </c>
      <c r="AL1489">
        <v>95.493703694326001</v>
      </c>
      <c r="AM1489">
        <v>66.034464365708601</v>
      </c>
      <c r="AN1489">
        <v>0.99999993111724705</v>
      </c>
    </row>
    <row r="1490" spans="1:40" x14ac:dyDescent="0.25">
      <c r="A1490" t="str">
        <f>"20190303154755324"</f>
        <v>20190303154755324</v>
      </c>
      <c r="B1490" t="str">
        <f>"1551599275321852"</f>
        <v>1551599275321852</v>
      </c>
      <c r="C1490" t="s">
        <v>40</v>
      </c>
      <c r="D1490">
        <v>5.8690449999999998</v>
      </c>
      <c r="E1490">
        <v>0.56550140000000004</v>
      </c>
      <c r="F1490" t="s">
        <v>46</v>
      </c>
      <c r="G1490">
        <v>-193.07169999999999</v>
      </c>
      <c r="H1490" s="1">
        <v>-1.7609820000000001E-6</v>
      </c>
      <c r="I1490">
        <v>351.19699999999898</v>
      </c>
      <c r="J1490">
        <v>-193.03790000000001</v>
      </c>
      <c r="K1490">
        <v>1.114716</v>
      </c>
      <c r="L1490">
        <v>360.35079999999999</v>
      </c>
      <c r="M1490">
        <v>0.56063399999999997</v>
      </c>
      <c r="N1490">
        <v>-1.496949E-2</v>
      </c>
      <c r="O1490">
        <v>-0.82792840000000001</v>
      </c>
      <c r="P1490">
        <v>0.17424410000000001</v>
      </c>
      <c r="Q1490">
        <v>-0.1034788</v>
      </c>
      <c r="R1490">
        <v>-0.97925039999999997</v>
      </c>
      <c r="S1490">
        <v>1.800537E-2</v>
      </c>
      <c r="T1490">
        <v>-0.3626239</v>
      </c>
      <c r="U1490">
        <v>-3.0288089999999999</v>
      </c>
      <c r="V1490">
        <v>0.40337879999999998</v>
      </c>
      <c r="W1490">
        <v>-9.5980700000000002E-2</v>
      </c>
      <c r="X1490">
        <v>0.9099853</v>
      </c>
      <c r="Y1490">
        <v>0.55480580000000002</v>
      </c>
      <c r="Z1490">
        <v>6.3457139999999995E-2</v>
      </c>
      <c r="AA1490">
        <v>0.82955630000000002</v>
      </c>
      <c r="AB1490">
        <v>17</v>
      </c>
      <c r="AC1490">
        <v>-3.3799999999985099E-2</v>
      </c>
      <c r="AD1490">
        <v>-1.114717760982</v>
      </c>
      <c r="AE1490">
        <v>-9.1538000000000395</v>
      </c>
      <c r="AF1490">
        <v>5.0850853783490102</v>
      </c>
      <c r="AG1490">
        <v>-1.114717760982</v>
      </c>
      <c r="AH1490">
        <v>7.45010869759433</v>
      </c>
      <c r="AI1490">
        <v>97.044980060054996</v>
      </c>
      <c r="AJ1490">
        <v>55.684437318826298</v>
      </c>
      <c r="AK1490">
        <v>9.0887187544624997</v>
      </c>
      <c r="AL1490">
        <v>95.507767740157306</v>
      </c>
      <c r="AM1490">
        <v>66.093220692562397</v>
      </c>
      <c r="AN1490">
        <v>0.99999999863901001</v>
      </c>
    </row>
    <row r="1491" spans="1:40" x14ac:dyDescent="0.25">
      <c r="A1491" t="str">
        <f>"20190303154755349"</f>
        <v>20190303154755349</v>
      </c>
      <c r="B1491" t="str">
        <f>"1551599275342347"</f>
        <v>1551599275342347</v>
      </c>
      <c r="C1491" t="s">
        <v>40</v>
      </c>
      <c r="D1491">
        <v>5.8761760000000001</v>
      </c>
      <c r="E1491">
        <v>0.56313359999999901</v>
      </c>
      <c r="F1491" t="s">
        <v>46</v>
      </c>
      <c r="G1491">
        <v>-193.02099999999999</v>
      </c>
      <c r="H1491" s="1">
        <v>-1.5913210000000001E-6</v>
      </c>
      <c r="I1491">
        <v>350.93310000000002</v>
      </c>
      <c r="J1491">
        <v>-192.9477</v>
      </c>
      <c r="K1491">
        <v>1.1147469999999999</v>
      </c>
      <c r="L1491">
        <v>360.18699999999899</v>
      </c>
      <c r="M1491">
        <v>0.54889829999999995</v>
      </c>
      <c r="N1491">
        <v>-1.496219E-2</v>
      </c>
      <c r="O1491">
        <v>-0.83575529999999998</v>
      </c>
      <c r="P1491">
        <v>0.1618996</v>
      </c>
      <c r="Q1491">
        <v>-0.1035856</v>
      </c>
      <c r="R1491">
        <v>-0.98135550000000005</v>
      </c>
      <c r="S1491">
        <v>5.4473880000000001E-3</v>
      </c>
      <c r="T1491">
        <v>-0.3580238</v>
      </c>
      <c r="U1491">
        <v>-3.02475</v>
      </c>
      <c r="V1491">
        <v>0.402001</v>
      </c>
      <c r="W1491">
        <v>-9.6033469999999996E-2</v>
      </c>
      <c r="X1491">
        <v>0.91058919999999999</v>
      </c>
      <c r="Y1491">
        <v>0.54653169999999995</v>
      </c>
      <c r="Z1491">
        <v>6.4250349999999998E-2</v>
      </c>
      <c r="AA1491">
        <v>0.83497009999999905</v>
      </c>
      <c r="AB1491">
        <v>17</v>
      </c>
      <c r="AC1491">
        <v>-7.3299999999988999E-2</v>
      </c>
      <c r="AD1491">
        <v>-1.114748591321</v>
      </c>
      <c r="AE1491">
        <v>-9.2538999999999305</v>
      </c>
      <c r="AF1491">
        <v>5.0677513191577699</v>
      </c>
      <c r="AG1491">
        <v>-1.114748591321</v>
      </c>
      <c r="AH1491">
        <v>7.5845680358217002</v>
      </c>
      <c r="AI1491">
        <v>96.967379820697403</v>
      </c>
      <c r="AJ1491">
        <v>56.250496252955998</v>
      </c>
      <c r="AK1491">
        <v>9.1896920592958793</v>
      </c>
      <c r="AL1491">
        <v>95.510805476489494</v>
      </c>
      <c r="AM1491">
        <v>66.179812326454993</v>
      </c>
      <c r="AN1491">
        <v>0.99999996125893897</v>
      </c>
    </row>
    <row r="1492" spans="1:40" x14ac:dyDescent="0.25">
      <c r="A1492" t="str">
        <f>"20190303154755372"</f>
        <v>20190303154755372</v>
      </c>
      <c r="B1492" t="str">
        <f>"1551599275361868"</f>
        <v>1551599275361868</v>
      </c>
      <c r="C1492" t="s">
        <v>40</v>
      </c>
      <c r="D1492">
        <v>5.8727269999999896</v>
      </c>
      <c r="E1492">
        <v>0.5615135</v>
      </c>
      <c r="F1492" t="s">
        <v>46</v>
      </c>
      <c r="G1492">
        <v>-192.99090000000001</v>
      </c>
      <c r="H1492" s="1">
        <v>-1.308222E-6</v>
      </c>
      <c r="I1492">
        <v>350.46839999999997</v>
      </c>
      <c r="J1492">
        <v>-192.85939999999999</v>
      </c>
      <c r="K1492">
        <v>1.114778</v>
      </c>
      <c r="L1492">
        <v>360.02140000000003</v>
      </c>
      <c r="M1492">
        <v>0.53701199999999905</v>
      </c>
      <c r="N1492">
        <v>-1.495497E-2</v>
      </c>
      <c r="O1492">
        <v>-0.84344219999999903</v>
      </c>
      <c r="P1492">
        <v>0.14963460000000001</v>
      </c>
      <c r="Q1492">
        <v>-0.1037293</v>
      </c>
      <c r="R1492">
        <v>-0.98328519999999997</v>
      </c>
      <c r="S1492">
        <v>-1.345825E-2</v>
      </c>
      <c r="T1492">
        <v>-0.34669899999999998</v>
      </c>
      <c r="U1492">
        <v>-3.0226139999999999</v>
      </c>
      <c r="V1492">
        <v>0.40047700000000003</v>
      </c>
      <c r="W1492">
        <v>-9.6125070000000007E-2</v>
      </c>
      <c r="X1492">
        <v>0.91125089999999997</v>
      </c>
      <c r="Y1492">
        <v>0.53994889999999995</v>
      </c>
      <c r="Z1492">
        <v>6.3342410000000002E-2</v>
      </c>
      <c r="AA1492">
        <v>0.83931100000000003</v>
      </c>
      <c r="AB1492">
        <v>17</v>
      </c>
      <c r="AC1492">
        <v>-0.13150000000001599</v>
      </c>
      <c r="AD1492">
        <v>-1.1147793082220001</v>
      </c>
      <c r="AE1492">
        <v>-9.5530000000000506</v>
      </c>
      <c r="AF1492">
        <v>5.1711685295569296</v>
      </c>
      <c r="AG1492">
        <v>-1.1147793082220001</v>
      </c>
      <c r="AH1492">
        <v>7.8803873438548999</v>
      </c>
      <c r="AI1492">
        <v>96.745137206850004</v>
      </c>
      <c r="AJ1492">
        <v>56.726817908009401</v>
      </c>
      <c r="AK1492">
        <v>9.4912708082905599</v>
      </c>
      <c r="AL1492">
        <v>95.516077784614097</v>
      </c>
      <c r="AM1492">
        <v>66.275447639873903</v>
      </c>
      <c r="AN1492">
        <v>1.00000002968115</v>
      </c>
    </row>
    <row r="1493" spans="1:40" x14ac:dyDescent="0.25">
      <c r="A1493" t="str">
        <f>"20190303154755393"</f>
        <v>20190303154755393</v>
      </c>
      <c r="B1493" t="str">
        <f>"1551599275382364"</f>
        <v>1551599275382364</v>
      </c>
      <c r="C1493" t="s">
        <v>40</v>
      </c>
      <c r="D1493">
        <v>5.757498</v>
      </c>
      <c r="E1493">
        <v>0.54033050000000005</v>
      </c>
      <c r="F1493" t="s">
        <v>46</v>
      </c>
      <c r="G1493">
        <v>-192.98269999999999</v>
      </c>
      <c r="H1493" s="1">
        <v>-1.2072839999999901E-6</v>
      </c>
      <c r="I1493">
        <v>350.30149999999998</v>
      </c>
      <c r="J1493">
        <v>-192.78569999999999</v>
      </c>
      <c r="K1493">
        <v>1.114798</v>
      </c>
      <c r="L1493">
        <v>359.87869999999998</v>
      </c>
      <c r="M1493">
        <v>0.52674580000000004</v>
      </c>
      <c r="N1493">
        <v>-1.4949499999999999E-2</v>
      </c>
      <c r="O1493">
        <v>-0.84989139999999996</v>
      </c>
      <c r="P1493">
        <v>0.14066149999999999</v>
      </c>
      <c r="Q1493">
        <v>-0.1046858</v>
      </c>
      <c r="R1493">
        <v>-0.98450769999999999</v>
      </c>
      <c r="S1493">
        <v>-3.8314819999999999E-2</v>
      </c>
      <c r="T1493">
        <v>-0.3464025</v>
      </c>
      <c r="U1493">
        <v>-3.0203250000000001</v>
      </c>
      <c r="V1493">
        <v>0.3976769</v>
      </c>
      <c r="W1493">
        <v>-9.7012340000000002E-2</v>
      </c>
      <c r="X1493">
        <v>0.91238240000000004</v>
      </c>
      <c r="Y1493">
        <v>0.53666729999999996</v>
      </c>
      <c r="Z1493">
        <v>6.4503450000000004E-2</v>
      </c>
      <c r="AA1493">
        <v>0.84132489999999904</v>
      </c>
      <c r="AB1493">
        <v>17</v>
      </c>
      <c r="AC1493">
        <v>-0.19700000000000201</v>
      </c>
      <c r="AD1493">
        <v>-1.1147992072840001</v>
      </c>
      <c r="AE1493">
        <v>-9.5771999999999995</v>
      </c>
      <c r="AF1493">
        <v>5.1431050692018703</v>
      </c>
      <c r="AG1493">
        <v>-1.1147992072840001</v>
      </c>
      <c r="AH1493">
        <v>7.9293179237686697</v>
      </c>
      <c r="AI1493">
        <v>96.727120787688406</v>
      </c>
      <c r="AJ1493">
        <v>57.0317978515234</v>
      </c>
      <c r="AK1493">
        <v>9.5167426024669801</v>
      </c>
      <c r="AL1493">
        <v>95.567153613933698</v>
      </c>
      <c r="AM1493">
        <v>66.449227060705297</v>
      </c>
      <c r="AN1493">
        <v>0.99999997736782198</v>
      </c>
    </row>
    <row r="1494" spans="1:40" x14ac:dyDescent="0.25">
      <c r="A1494" t="str">
        <f>"20190303154755416"</f>
        <v>20190303154755416</v>
      </c>
      <c r="B1494" t="str">
        <f>"1551599275411644"</f>
        <v>1551599275411644</v>
      </c>
      <c r="C1494" t="s">
        <v>40</v>
      </c>
      <c r="D1494">
        <v>5.7640560000000001</v>
      </c>
      <c r="E1494">
        <v>0.54172670000000001</v>
      </c>
      <c r="F1494" t="s">
        <v>41</v>
      </c>
      <c r="G1494">
        <v>-192.17740000000001</v>
      </c>
      <c r="H1494" s="1">
        <v>-2.102062E-6</v>
      </c>
      <c r="I1494">
        <v>343.1386</v>
      </c>
      <c r="J1494">
        <v>-192.70179999999999</v>
      </c>
      <c r="K1494">
        <v>1.1148070000000001</v>
      </c>
      <c r="L1494">
        <v>359.71109999999999</v>
      </c>
      <c r="M1494">
        <v>0.51463829999999999</v>
      </c>
      <c r="N1494">
        <v>-1.494507E-2</v>
      </c>
      <c r="O1494">
        <v>-0.85727710000000001</v>
      </c>
      <c r="P1494">
        <v>0.1311512</v>
      </c>
      <c r="Q1494">
        <v>-0.1052167</v>
      </c>
      <c r="R1494">
        <v>-0.9857631</v>
      </c>
      <c r="S1494">
        <v>0.109375</v>
      </c>
      <c r="T1494">
        <v>-0.20046600000000001</v>
      </c>
      <c r="U1494">
        <v>-3.0102540000000002</v>
      </c>
      <c r="V1494">
        <v>0.39351180000000002</v>
      </c>
      <c r="W1494">
        <v>-9.7450170000000003E-2</v>
      </c>
      <c r="X1494">
        <v>0.91413999999999995</v>
      </c>
      <c r="Y1494">
        <v>0.48285869999999997</v>
      </c>
      <c r="Z1494">
        <v>3.3373899999999998E-2</v>
      </c>
      <c r="AA1494">
        <v>0.87506209999999995</v>
      </c>
      <c r="AB1494">
        <v>17</v>
      </c>
      <c r="AC1494">
        <v>0.52439999999998499</v>
      </c>
      <c r="AD1494">
        <v>-1.1148091020619999</v>
      </c>
      <c r="AE1494">
        <v>-16.572499999999899</v>
      </c>
      <c r="AF1494">
        <v>8.0438272548394991</v>
      </c>
      <c r="AG1494">
        <v>-1.1148091020619999</v>
      </c>
      <c r="AH1494">
        <v>14.413561301502201</v>
      </c>
      <c r="AI1494">
        <v>93.863826130983298</v>
      </c>
      <c r="AJ1494">
        <v>60.835269562272103</v>
      </c>
      <c r="AK1494">
        <v>16.5437814792115</v>
      </c>
      <c r="AL1494">
        <v>95.592358692356797</v>
      </c>
      <c r="AM1494">
        <v>66.709468905325494</v>
      </c>
      <c r="AN1494">
        <v>1.00000000598613</v>
      </c>
    </row>
    <row r="1495" spans="1:40" x14ac:dyDescent="0.25">
      <c r="A1495" t="str">
        <f>"20190303154755437"</f>
        <v>20190303154755437</v>
      </c>
      <c r="B1495" t="str">
        <f>"1551599275432140"</f>
        <v>1551599275432140</v>
      </c>
      <c r="C1495" t="s">
        <v>40</v>
      </c>
      <c r="D1495">
        <v>5.8510600000000004</v>
      </c>
      <c r="E1495">
        <v>0.53998119999999905</v>
      </c>
      <c r="F1495" t="s">
        <v>41</v>
      </c>
      <c r="G1495">
        <v>-192.40389999999999</v>
      </c>
      <c r="H1495" s="1">
        <v>-3.5114439999999999E-6</v>
      </c>
      <c r="I1495">
        <v>346.28339999999997</v>
      </c>
      <c r="J1495">
        <v>-192.63220000000001</v>
      </c>
      <c r="K1495">
        <v>1.114811</v>
      </c>
      <c r="L1495">
        <v>359.56699999999898</v>
      </c>
      <c r="M1495">
        <v>0.50419269999999905</v>
      </c>
      <c r="N1495">
        <v>-1.494356E-2</v>
      </c>
      <c r="O1495">
        <v>-0.86346209999999901</v>
      </c>
      <c r="P1495">
        <v>0.12538089999999999</v>
      </c>
      <c r="Q1495">
        <v>-0.10520359999999999</v>
      </c>
      <c r="R1495">
        <v>-0.98651520000000004</v>
      </c>
      <c r="S1495">
        <v>6.6726679999999997E-2</v>
      </c>
      <c r="T1495">
        <v>-0.2497163</v>
      </c>
      <c r="U1495">
        <v>-3.0077820000000002</v>
      </c>
      <c r="V1495">
        <v>0.38776549999999999</v>
      </c>
      <c r="W1495">
        <v>-9.731708E-2</v>
      </c>
      <c r="X1495">
        <v>0.91660640000000004</v>
      </c>
      <c r="Y1495">
        <v>0.48450490000000002</v>
      </c>
      <c r="Z1495">
        <v>4.5858309999999999E-2</v>
      </c>
      <c r="AA1495">
        <v>0.87358570000000002</v>
      </c>
      <c r="AB1495">
        <v>17</v>
      </c>
      <c r="AC1495">
        <v>0.22830000000001799</v>
      </c>
      <c r="AD1495">
        <v>-1.114814511444</v>
      </c>
      <c r="AE1495">
        <v>-13.2835999999999</v>
      </c>
      <c r="AF1495">
        <v>6.4556351318967096</v>
      </c>
      <c r="AG1495">
        <v>-1.114814511444</v>
      </c>
      <c r="AH1495">
        <v>11.505273154606099</v>
      </c>
      <c r="AI1495">
        <v>94.830165584838696</v>
      </c>
      <c r="AJ1495">
        <v>60.7031171972232</v>
      </c>
      <c r="AK1495">
        <v>13.2396883163164</v>
      </c>
      <c r="AL1495">
        <v>95.584696842159204</v>
      </c>
      <c r="AM1495">
        <v>67.069464444380202</v>
      </c>
      <c r="AN1495">
        <v>0.99999999478546797</v>
      </c>
    </row>
    <row r="1496" spans="1:40" x14ac:dyDescent="0.25">
      <c r="A1496" t="str">
        <f>"20190303154755459"</f>
        <v>20190303154755459</v>
      </c>
      <c r="B1496" t="str">
        <f>"1551599275451660"</f>
        <v>1551599275451660</v>
      </c>
      <c r="C1496" t="s">
        <v>40</v>
      </c>
      <c r="D1496">
        <v>5.6512859999999998</v>
      </c>
      <c r="E1496">
        <v>0.53796140000000003</v>
      </c>
      <c r="F1496" t="s">
        <v>41</v>
      </c>
      <c r="G1496">
        <v>-192.36439999999999</v>
      </c>
      <c r="H1496" s="1">
        <v>-3.6696820000000001E-6</v>
      </c>
      <c r="I1496">
        <v>346.67680000000001</v>
      </c>
      <c r="J1496">
        <v>-192.55629999999999</v>
      </c>
      <c r="K1496">
        <v>1.114814</v>
      </c>
      <c r="L1496">
        <v>359.40469999999999</v>
      </c>
      <c r="M1496">
        <v>0.49236659999999999</v>
      </c>
      <c r="N1496">
        <v>-1.494415E-2</v>
      </c>
      <c r="O1496">
        <v>-0.87025980000000003</v>
      </c>
      <c r="P1496">
        <v>0.1191767</v>
      </c>
      <c r="Q1496">
        <v>-0.1046435</v>
      </c>
      <c r="R1496">
        <v>-0.98734350000000004</v>
      </c>
      <c r="S1496">
        <v>6.2438960000000002E-2</v>
      </c>
      <c r="T1496">
        <v>-0.25991789999999998</v>
      </c>
      <c r="U1496">
        <v>-3.005341</v>
      </c>
      <c r="V1496">
        <v>0.38106069999999997</v>
      </c>
      <c r="W1496">
        <v>-9.6621479999999996E-2</v>
      </c>
      <c r="X1496">
        <v>0.91948739999999995</v>
      </c>
      <c r="Y1496">
        <v>0.47376790000000002</v>
      </c>
      <c r="Z1496">
        <v>4.9493189999999999E-2</v>
      </c>
      <c r="AA1496">
        <v>0.87925789999999904</v>
      </c>
      <c r="AB1496">
        <v>17</v>
      </c>
      <c r="AC1496">
        <v>0.19190000000000401</v>
      </c>
      <c r="AD1496">
        <v>-1.114817669682</v>
      </c>
      <c r="AE1496">
        <v>-12.727899999999901</v>
      </c>
      <c r="AF1496">
        <v>6.0540358030931802</v>
      </c>
      <c r="AG1496">
        <v>-1.114817669682</v>
      </c>
      <c r="AH1496">
        <v>11.0872713155293</v>
      </c>
      <c r="AI1496">
        <v>95.043302725346805</v>
      </c>
      <c r="AJ1496">
        <v>61.363924451388399</v>
      </c>
      <c r="AK1496">
        <v>12.681551686048801</v>
      </c>
      <c r="AL1496">
        <v>95.5446530285503</v>
      </c>
      <c r="AM1496">
        <v>67.489546916357</v>
      </c>
      <c r="AN1496">
        <v>1.0000000231203101</v>
      </c>
    </row>
    <row r="1497" spans="1:40" x14ac:dyDescent="0.25">
      <c r="A1497" t="str">
        <f>"20190303154755481"</f>
        <v>20190303154755481</v>
      </c>
      <c r="B1497" t="str">
        <f>"1551599275472156"</f>
        <v>1551599275472156</v>
      </c>
      <c r="C1497" t="s">
        <v>40</v>
      </c>
      <c r="D1497">
        <v>5.8203319999999996</v>
      </c>
      <c r="E1497">
        <v>0.53633690000000001</v>
      </c>
      <c r="F1497" t="s">
        <v>41</v>
      </c>
      <c r="G1497">
        <v>-192.27670000000001</v>
      </c>
      <c r="H1497" s="1">
        <v>-3.1412320000000001E-6</v>
      </c>
      <c r="I1497">
        <v>345.49930000000001</v>
      </c>
      <c r="J1497">
        <v>-192.48660000000001</v>
      </c>
      <c r="K1497">
        <v>1.1148180000000001</v>
      </c>
      <c r="L1497">
        <v>359.24990000000003</v>
      </c>
      <c r="M1497">
        <v>0.48103059999999997</v>
      </c>
      <c r="N1497">
        <v>-1.494616E-2</v>
      </c>
      <c r="O1497">
        <v>-0.87657659999999904</v>
      </c>
      <c r="P1497">
        <v>0.1143054</v>
      </c>
      <c r="Q1497">
        <v>-0.10234939999999999</v>
      </c>
      <c r="R1497">
        <v>-0.98815969999999997</v>
      </c>
      <c r="S1497">
        <v>6.0440059999999997E-2</v>
      </c>
      <c r="T1497">
        <v>-0.24096600000000001</v>
      </c>
      <c r="U1497">
        <v>-3.0056150000000001</v>
      </c>
      <c r="V1497">
        <v>0.37381059999999999</v>
      </c>
      <c r="W1497">
        <v>-9.4178509999999993E-2</v>
      </c>
      <c r="X1497">
        <v>0.92271130000000001</v>
      </c>
      <c r="Y1497">
        <v>0.46294439999999998</v>
      </c>
      <c r="Z1497">
        <v>4.5796770000000001E-2</v>
      </c>
      <c r="AA1497">
        <v>0.88520339999999997</v>
      </c>
      <c r="AB1497">
        <v>17</v>
      </c>
      <c r="AC1497">
        <v>0.209900000000004</v>
      </c>
      <c r="AD1497">
        <v>-1.1148211412319999</v>
      </c>
      <c r="AE1497">
        <v>-13.7506</v>
      </c>
      <c r="AF1497">
        <v>6.3891964019172596</v>
      </c>
      <c r="AG1497">
        <v>-1.1148211412319999</v>
      </c>
      <c r="AH1497">
        <v>12.076417688777299</v>
      </c>
      <c r="AI1497">
        <v>94.664865496732801</v>
      </c>
      <c r="AJ1497">
        <v>62.11829995982</v>
      </c>
      <c r="AK1497">
        <v>13.7078269989457</v>
      </c>
      <c r="AL1497">
        <v>95.404039646453697</v>
      </c>
      <c r="AM1497">
        <v>67.946050214445506</v>
      </c>
      <c r="AN1497">
        <v>1.00000004978293</v>
      </c>
    </row>
    <row r="1498" spans="1:40" x14ac:dyDescent="0.25">
      <c r="A1498" t="str">
        <f>"20190303154755504"</f>
        <v>20190303154755504</v>
      </c>
      <c r="B1498" t="str">
        <f>"1551599275502412"</f>
        <v>1551599275502412</v>
      </c>
      <c r="C1498" t="s">
        <v>40</v>
      </c>
      <c r="D1498">
        <v>5.7040730000000002</v>
      </c>
      <c r="E1498">
        <v>0.53713949999999999</v>
      </c>
      <c r="F1498" t="s">
        <v>41</v>
      </c>
      <c r="G1498">
        <v>-192.1902</v>
      </c>
      <c r="H1498" s="1">
        <v>-2.555033E-6</v>
      </c>
      <c r="I1498">
        <v>344.18650000000002</v>
      </c>
      <c r="J1498">
        <v>-192.4162</v>
      </c>
      <c r="K1498">
        <v>1.1148290000000001</v>
      </c>
      <c r="L1498">
        <v>359.08749999999998</v>
      </c>
      <c r="M1498">
        <v>0.46908739999999999</v>
      </c>
      <c r="N1498">
        <v>-1.4948110000000001E-2</v>
      </c>
      <c r="O1498">
        <v>-0.88302539999999996</v>
      </c>
      <c r="P1498">
        <v>0.1087895</v>
      </c>
      <c r="Q1498">
        <v>-0.1005665</v>
      </c>
      <c r="R1498">
        <v>-0.98896459999999997</v>
      </c>
      <c r="S1498">
        <v>5.9143069999999999E-2</v>
      </c>
      <c r="T1498">
        <v>-0.22247120000000001</v>
      </c>
      <c r="U1498">
        <v>-3.0060120000000001</v>
      </c>
      <c r="V1498">
        <v>0.36654609999999999</v>
      </c>
      <c r="W1498">
        <v>-9.2243930000000002E-2</v>
      </c>
      <c r="X1498">
        <v>0.92581590000000002</v>
      </c>
      <c r="Y1498">
        <v>0.45130740000000003</v>
      </c>
      <c r="Z1498">
        <v>4.208054E-2</v>
      </c>
      <c r="AA1498">
        <v>0.89137579999999905</v>
      </c>
      <c r="AB1498">
        <v>17</v>
      </c>
      <c r="AC1498">
        <v>0.22599999999999901</v>
      </c>
      <c r="AD1498">
        <v>-1.1148315550329999</v>
      </c>
      <c r="AE1498">
        <v>-14.9009999999999</v>
      </c>
      <c r="AF1498">
        <v>6.7532731824302399</v>
      </c>
      <c r="AG1498">
        <v>-1.1148315550329999</v>
      </c>
      <c r="AH1498">
        <v>13.191633347142</v>
      </c>
      <c r="AI1498">
        <v>94.302024760429006</v>
      </c>
      <c r="AJ1498">
        <v>62.890454928066603</v>
      </c>
      <c r="AK1498">
        <v>14.8616532875067</v>
      </c>
      <c r="AL1498">
        <v>95.292711769916707</v>
      </c>
      <c r="AM1498">
        <v>68.400553504129803</v>
      </c>
      <c r="AN1498">
        <v>1.0000000333699299</v>
      </c>
    </row>
    <row r="1499" spans="1:40" x14ac:dyDescent="0.25">
      <c r="A1499" t="str">
        <f>"20190303154755525"</f>
        <v>20190303154755525</v>
      </c>
      <c r="B1499" t="str">
        <f>"1551599275521932"</f>
        <v>1551599275521932</v>
      </c>
      <c r="C1499" t="s">
        <v>40</v>
      </c>
      <c r="D1499">
        <v>5.6069329999999997</v>
      </c>
      <c r="E1499">
        <v>0.53643529999999995</v>
      </c>
      <c r="F1499" t="s">
        <v>41</v>
      </c>
      <c r="G1499">
        <v>-192.22040000000001</v>
      </c>
      <c r="H1499" s="1">
        <v>-2.032454E-6</v>
      </c>
      <c r="I1499">
        <v>342.94959999999998</v>
      </c>
      <c r="J1499">
        <v>-192.35140000000001</v>
      </c>
      <c r="K1499">
        <v>1.1148260000000001</v>
      </c>
      <c r="L1499">
        <v>358.9323</v>
      </c>
      <c r="M1499">
        <v>0.45762940000000002</v>
      </c>
      <c r="N1499">
        <v>-1.494905E-2</v>
      </c>
      <c r="O1499">
        <v>-0.88901730000000001</v>
      </c>
      <c r="P1499">
        <v>0.1020568</v>
      </c>
      <c r="Q1499">
        <v>-0.1010892</v>
      </c>
      <c r="R1499">
        <v>-0.98962899999999998</v>
      </c>
      <c r="S1499">
        <v>3.649902E-2</v>
      </c>
      <c r="T1499">
        <v>-0.20781920000000001</v>
      </c>
      <c r="U1499">
        <v>-3.0083009999999999</v>
      </c>
      <c r="V1499">
        <v>0.36084549999999999</v>
      </c>
      <c r="W1499">
        <v>-9.2644770000000001E-2</v>
      </c>
      <c r="X1499">
        <v>0.92801270000000002</v>
      </c>
      <c r="Y1499">
        <v>0.44651580000000002</v>
      </c>
      <c r="Z1499">
        <v>3.8970360000000002E-2</v>
      </c>
      <c r="AA1499">
        <v>0.89392669999999996</v>
      </c>
      <c r="AB1499">
        <v>17</v>
      </c>
      <c r="AC1499">
        <v>0.13100000000000001</v>
      </c>
      <c r="AD1499">
        <v>-1.1148280324539901</v>
      </c>
      <c r="AE1499">
        <v>-15.982699999999999</v>
      </c>
      <c r="AF1499">
        <v>7.1636454714809696</v>
      </c>
      <c r="AG1499">
        <v>-1.1148280324539901</v>
      </c>
      <c r="AH1499">
        <v>14.2013514577803</v>
      </c>
      <c r="AI1499">
        <v>94.009256736623797</v>
      </c>
      <c r="AJ1499">
        <v>63.232066853194802</v>
      </c>
      <c r="AK1499">
        <v>15.9448750766638</v>
      </c>
      <c r="AL1499">
        <v>95.315776890486205</v>
      </c>
      <c r="AM1499">
        <v>68.752086339840403</v>
      </c>
      <c r="AN1499">
        <v>1.00000004981994</v>
      </c>
    </row>
    <row r="1500" spans="1:40" x14ac:dyDescent="0.25">
      <c r="A1500" t="str">
        <f>"20190303154755551"</f>
        <v>20190303154755551</v>
      </c>
      <c r="B1500" t="str">
        <f>"1551599275542428"</f>
        <v>1551599275542428</v>
      </c>
      <c r="C1500" t="s">
        <v>40</v>
      </c>
      <c r="D1500">
        <v>5.6946130000000004</v>
      </c>
      <c r="E1500">
        <v>0.53679529999999998</v>
      </c>
      <c r="F1500" t="s">
        <v>41</v>
      </c>
      <c r="G1500">
        <v>-192.22919999999999</v>
      </c>
      <c r="H1500" s="1">
        <v>-1.7054570000000001E-6</v>
      </c>
      <c r="I1500">
        <v>342.18189999999998</v>
      </c>
      <c r="J1500">
        <v>-192.27979999999999</v>
      </c>
      <c r="K1500">
        <v>1.1148359999999999</v>
      </c>
      <c r="L1500">
        <v>358.75400000000002</v>
      </c>
      <c r="M1500">
        <v>0.44442579999999998</v>
      </c>
      <c r="N1500">
        <v>-1.494786E-2</v>
      </c>
      <c r="O1500">
        <v>-0.89569089999999996</v>
      </c>
      <c r="P1500">
        <v>9.29122E-2</v>
      </c>
      <c r="Q1500">
        <v>-0.104296</v>
      </c>
      <c r="R1500">
        <v>-0.99019690000000005</v>
      </c>
      <c r="S1500">
        <v>2.1942139999999999E-2</v>
      </c>
      <c r="T1500">
        <v>-0.2002476</v>
      </c>
      <c r="U1500">
        <v>-3.0087280000000001</v>
      </c>
      <c r="V1500">
        <v>0.35549740000000002</v>
      </c>
      <c r="W1500">
        <v>-9.5731330000000003E-2</v>
      </c>
      <c r="X1500">
        <v>0.92976179999999997</v>
      </c>
      <c r="Y1500">
        <v>0.43760599999999999</v>
      </c>
      <c r="Z1500">
        <v>3.7796530000000002E-2</v>
      </c>
      <c r="AA1500">
        <v>0.89837210000000001</v>
      </c>
      <c r="AB1500">
        <v>17</v>
      </c>
      <c r="AC1500">
        <v>5.0600000000002802E-2</v>
      </c>
      <c r="AD1500">
        <v>-1.114837705457</v>
      </c>
      <c r="AE1500">
        <v>-16.572099999999999</v>
      </c>
      <c r="AF1500">
        <v>7.2875852485839303</v>
      </c>
      <c r="AG1500">
        <v>-1.114837705457</v>
      </c>
      <c r="AH1500">
        <v>14.8006488435748</v>
      </c>
      <c r="AI1500">
        <v>93.865947023432994</v>
      </c>
      <c r="AJ1500">
        <v>63.7851572246879</v>
      </c>
      <c r="AK1500">
        <v>16.535143424104302</v>
      </c>
      <c r="AL1500">
        <v>95.493414080061697</v>
      </c>
      <c r="AM1500">
        <v>69.075485288428794</v>
      </c>
      <c r="AN1500">
        <v>0.99999994684478299</v>
      </c>
    </row>
    <row r="1501" spans="1:40" x14ac:dyDescent="0.25">
      <c r="A1501" t="str">
        <f>"20190303154755573"</f>
        <v>20190303154755573</v>
      </c>
      <c r="B1501" t="str">
        <f>"1551599275561948"</f>
        <v>1551599275561948</v>
      </c>
      <c r="C1501" t="s">
        <v>40</v>
      </c>
      <c r="D1501">
        <v>5.6987610000000002</v>
      </c>
      <c r="E1501">
        <v>0.53708669999999903</v>
      </c>
      <c r="F1501" t="s">
        <v>41</v>
      </c>
      <c r="G1501">
        <v>-192.32679999999999</v>
      </c>
      <c r="H1501" s="1">
        <v>-1.9714599999999998E-6</v>
      </c>
      <c r="I1501">
        <v>342.74149999999997</v>
      </c>
      <c r="J1501">
        <v>-192.2159</v>
      </c>
      <c r="K1501">
        <v>1.1148530000000001</v>
      </c>
      <c r="L1501">
        <v>358.58780000000002</v>
      </c>
      <c r="M1501">
        <v>0.43209419999999998</v>
      </c>
      <c r="N1501">
        <v>-1.494416E-2</v>
      </c>
      <c r="O1501">
        <v>-0.90170479999999997</v>
      </c>
      <c r="P1501">
        <v>8.5600679999999998E-2</v>
      </c>
      <c r="Q1501">
        <v>-0.1072171</v>
      </c>
      <c r="R1501">
        <v>-0.99054410000000004</v>
      </c>
      <c r="S1501">
        <v>-8.8195800000000005E-3</v>
      </c>
      <c r="T1501">
        <v>-0.2094579</v>
      </c>
      <c r="U1501">
        <v>-3.0084529999999998</v>
      </c>
      <c r="V1501">
        <v>0.34943469999999999</v>
      </c>
      <c r="W1501">
        <v>-9.8509869999999999E-2</v>
      </c>
      <c r="X1501">
        <v>0.93176780000000003</v>
      </c>
      <c r="Y1501">
        <v>0.43444100000000002</v>
      </c>
      <c r="Z1501">
        <v>4.0856919999999998E-2</v>
      </c>
      <c r="AA1501">
        <v>0.89977320000000005</v>
      </c>
      <c r="AB1501">
        <v>17</v>
      </c>
      <c r="AC1501">
        <v>-0.110899999999986</v>
      </c>
      <c r="AD1501">
        <v>-1.11485497146</v>
      </c>
      <c r="AE1501">
        <v>-15.846299999999999</v>
      </c>
      <c r="AF1501">
        <v>6.91364932727405</v>
      </c>
      <c r="AG1501">
        <v>-1.11485497146</v>
      </c>
      <c r="AH1501">
        <v>14.172208944943399</v>
      </c>
      <c r="AI1501">
        <v>94.044125927023899</v>
      </c>
      <c r="AJ1501">
        <v>63.995424060664803</v>
      </c>
      <c r="AK1501">
        <v>15.8080028785119</v>
      </c>
      <c r="AL1501">
        <v>95.653368517353798</v>
      </c>
      <c r="AM1501">
        <v>69.442780891843398</v>
      </c>
      <c r="AN1501">
        <v>1.00000001858417</v>
      </c>
    </row>
    <row r="1502" spans="1:40" x14ac:dyDescent="0.25">
      <c r="A1502" t="str">
        <f>"20190303154755597"</f>
        <v>20190303154755597</v>
      </c>
      <c r="B1502" t="str">
        <f>"1551599275592205"</f>
        <v>1551599275592205</v>
      </c>
      <c r="C1502" t="s">
        <v>40</v>
      </c>
      <c r="D1502">
        <v>5.7021050000000004</v>
      </c>
      <c r="E1502">
        <v>0.537991199999999</v>
      </c>
      <c r="F1502" t="s">
        <v>41</v>
      </c>
      <c r="G1502">
        <v>-192.3879</v>
      </c>
      <c r="H1502" s="1">
        <v>-2.1615360000000001E-6</v>
      </c>
      <c r="I1502">
        <v>343.14670000000001</v>
      </c>
      <c r="J1502">
        <v>-192.155</v>
      </c>
      <c r="K1502">
        <v>1.114889</v>
      </c>
      <c r="L1502">
        <v>358.42340000000002</v>
      </c>
      <c r="M1502">
        <v>0.41988419999999999</v>
      </c>
      <c r="N1502">
        <v>-1.493761E-2</v>
      </c>
      <c r="O1502">
        <v>-0.90745500000000001</v>
      </c>
      <c r="P1502">
        <v>7.8987459999999995E-2</v>
      </c>
      <c r="Q1502">
        <v>-0.10800899999999999</v>
      </c>
      <c r="R1502">
        <v>-0.99100759999999999</v>
      </c>
      <c r="S1502">
        <v>-3.3508299999999998E-2</v>
      </c>
      <c r="T1502">
        <v>-0.2171786</v>
      </c>
      <c r="U1502">
        <v>-3.0079959999999999</v>
      </c>
      <c r="V1502">
        <v>0.34304259999999998</v>
      </c>
      <c r="W1502">
        <v>-9.9143229999999999E-2</v>
      </c>
      <c r="X1502">
        <v>0.93407300000000004</v>
      </c>
      <c r="Y1502">
        <v>0.4296567</v>
      </c>
      <c r="Z1502">
        <v>4.3589959999999997E-2</v>
      </c>
      <c r="AA1502">
        <v>0.90193959999999995</v>
      </c>
      <c r="AB1502">
        <v>17</v>
      </c>
      <c r="AC1502">
        <v>-0.2329</v>
      </c>
      <c r="AD1502">
        <v>-1.114891161536</v>
      </c>
      <c r="AE1502">
        <v>-15.2767</v>
      </c>
      <c r="AF1502">
        <v>6.5914308898470004</v>
      </c>
      <c r="AG1502">
        <v>-1.114891161536</v>
      </c>
      <c r="AH1502">
        <v>13.6937429306358</v>
      </c>
      <c r="AI1502">
        <v>94.195698073927602</v>
      </c>
      <c r="AJ1502">
        <v>64.296339685321698</v>
      </c>
      <c r="AK1502">
        <v>15.2383902997672</v>
      </c>
      <c r="AL1502">
        <v>95.689836069910399</v>
      </c>
      <c r="AM1502">
        <v>69.834008623001495</v>
      </c>
      <c r="AN1502">
        <v>0.99999998739929596</v>
      </c>
    </row>
    <row r="1503" spans="1:40" x14ac:dyDescent="0.25">
      <c r="A1503" t="str">
        <f>"20190303154755618"</f>
        <v>20190303154755618</v>
      </c>
      <c r="B1503" t="str">
        <f>"1551599275611725"</f>
        <v>1551599275611725</v>
      </c>
      <c r="C1503" t="s">
        <v>40</v>
      </c>
      <c r="D1503">
        <v>5.6803710000000001</v>
      </c>
      <c r="E1503">
        <v>0.5382538</v>
      </c>
      <c r="F1503" t="s">
        <v>41</v>
      </c>
      <c r="G1503">
        <v>-192.47069999999999</v>
      </c>
      <c r="H1503" s="1">
        <v>-1.9836299999999999E-6</v>
      </c>
      <c r="I1503">
        <v>342.68060000000003</v>
      </c>
      <c r="J1503">
        <v>-192.0959</v>
      </c>
      <c r="K1503">
        <v>1.1149370000000001</v>
      </c>
      <c r="L1503">
        <v>358.25670000000002</v>
      </c>
      <c r="M1503">
        <v>0.40752500000000003</v>
      </c>
      <c r="N1503">
        <v>-1.4927650000000001E-2</v>
      </c>
      <c r="O1503">
        <v>-0.91307199999999999</v>
      </c>
      <c r="P1503">
        <v>7.1482870000000004E-2</v>
      </c>
      <c r="Q1503">
        <v>-0.1088942</v>
      </c>
      <c r="R1503">
        <v>-0.99148000000000003</v>
      </c>
      <c r="S1503">
        <v>-6.0333249999999998E-2</v>
      </c>
      <c r="T1503">
        <v>-0.21308260000000001</v>
      </c>
      <c r="U1503">
        <v>-3.0088200000000001</v>
      </c>
      <c r="V1503">
        <v>0.33739570000000002</v>
      </c>
      <c r="W1503">
        <v>-9.9881259999999999E-2</v>
      </c>
      <c r="X1503">
        <v>0.93604909999999997</v>
      </c>
      <c r="Y1503">
        <v>0.42544310000000002</v>
      </c>
      <c r="Z1503">
        <v>4.3113100000000001E-2</v>
      </c>
      <c r="AA1503">
        <v>0.90395769999999998</v>
      </c>
      <c r="AB1503">
        <v>17</v>
      </c>
      <c r="AC1503">
        <v>-0.37479999999999303</v>
      </c>
      <c r="AD1503">
        <v>-1.1149389836299901</v>
      </c>
      <c r="AE1503">
        <v>-15.576099999999901</v>
      </c>
      <c r="AF1503">
        <v>6.6565288358671797</v>
      </c>
      <c r="AG1503">
        <v>-1.1149389836299901</v>
      </c>
      <c r="AH1503">
        <v>13.999242097723499</v>
      </c>
      <c r="AI1503">
        <v>94.113962316846894</v>
      </c>
      <c r="AJ1503">
        <v>64.5692821090352</v>
      </c>
      <c r="AK1503">
        <v>15.5412755071977</v>
      </c>
      <c r="AL1503">
        <v>95.732332822585803</v>
      </c>
      <c r="AM1503">
        <v>70.178475183959506</v>
      </c>
      <c r="AN1503">
        <v>1.0000000210442399</v>
      </c>
    </row>
    <row r="1504" spans="1:40" x14ac:dyDescent="0.25">
      <c r="A1504" t="str">
        <f>"20190303154755641"</f>
        <v>20190303154755641</v>
      </c>
      <c r="B1504" t="str">
        <f>"1551599275632220"</f>
        <v>1551599275632220</v>
      </c>
      <c r="C1504" t="s">
        <v>40</v>
      </c>
      <c r="D1504">
        <v>5.6890150000000004</v>
      </c>
      <c r="E1504">
        <v>0.53878440000000005</v>
      </c>
      <c r="F1504" t="s">
        <v>41</v>
      </c>
      <c r="G1504">
        <v>-192.54140000000001</v>
      </c>
      <c r="H1504" s="1">
        <v>-1.9209210000000001E-6</v>
      </c>
      <c r="I1504">
        <v>342.49059999999997</v>
      </c>
      <c r="J1504">
        <v>-192.04239999999999</v>
      </c>
      <c r="K1504">
        <v>1.114987</v>
      </c>
      <c r="L1504">
        <v>358.09960000000001</v>
      </c>
      <c r="M1504">
        <v>0.39590639999999999</v>
      </c>
      <c r="N1504">
        <v>-1.491528E-2</v>
      </c>
      <c r="O1504">
        <v>-0.91816969999999998</v>
      </c>
      <c r="P1504">
        <v>6.4408229999999997E-2</v>
      </c>
      <c r="Q1504">
        <v>-0.1110237</v>
      </c>
      <c r="R1504">
        <v>-0.99172859999999996</v>
      </c>
      <c r="S1504">
        <v>-8.5006709999999999E-2</v>
      </c>
      <c r="T1504">
        <v>-0.21275720000000001</v>
      </c>
      <c r="U1504">
        <v>-3.0085449999999998</v>
      </c>
      <c r="V1504">
        <v>0.33208880000000002</v>
      </c>
      <c r="W1504">
        <v>-0.1018738</v>
      </c>
      <c r="X1504">
        <v>0.93773059999999997</v>
      </c>
      <c r="Y1504">
        <v>0.421373</v>
      </c>
      <c r="Z1504">
        <v>4.3615590000000003E-2</v>
      </c>
      <c r="AA1504">
        <v>0.90583800000000003</v>
      </c>
      <c r="AB1504">
        <v>17</v>
      </c>
      <c r="AC1504">
        <v>-0.49900000000002298</v>
      </c>
      <c r="AD1504">
        <v>-1.114988920921</v>
      </c>
      <c r="AE1504">
        <v>-15.609</v>
      </c>
      <c r="AF1504">
        <v>6.6049404300281003</v>
      </c>
      <c r="AG1504">
        <v>-1.114988920921</v>
      </c>
      <c r="AH1504">
        <v>14.0640366233572</v>
      </c>
      <c r="AI1504">
        <v>94.104503491123296</v>
      </c>
      <c r="AJ1504">
        <v>64.843685151505099</v>
      </c>
      <c r="AK1504">
        <v>15.577726551751001</v>
      </c>
      <c r="AL1504">
        <v>95.847082683679105</v>
      </c>
      <c r="AM1504">
        <v>70.4988610380327</v>
      </c>
      <c r="AN1504">
        <v>0.99999996019411896</v>
      </c>
    </row>
    <row r="1505" spans="1:40" x14ac:dyDescent="0.25">
      <c r="A1505" t="str">
        <f>"20190303154755662"</f>
        <v>20190303154755662</v>
      </c>
      <c r="B1505" t="str">
        <f>"1551599275651740"</f>
        <v>1551599275651740</v>
      </c>
      <c r="C1505" t="s">
        <v>40</v>
      </c>
      <c r="D1505">
        <v>5.6028070000000003</v>
      </c>
      <c r="E1505">
        <v>0.53797640000000002</v>
      </c>
      <c r="F1505" t="s">
        <v>41</v>
      </c>
      <c r="G1505">
        <v>-192.6173</v>
      </c>
      <c r="H1505" s="1">
        <v>-1.9136039999999999E-6</v>
      </c>
      <c r="I1505">
        <v>342.42649999999998</v>
      </c>
      <c r="J1505">
        <v>-191.99080000000001</v>
      </c>
      <c r="K1505">
        <v>1.1150439999999999</v>
      </c>
      <c r="L1505">
        <v>357.94139999999999</v>
      </c>
      <c r="M1505">
        <v>0.3842373</v>
      </c>
      <c r="N1505">
        <v>-1.490001E-2</v>
      </c>
      <c r="O1505">
        <v>-0.9231144</v>
      </c>
      <c r="P1505">
        <v>5.7868570000000001E-2</v>
      </c>
      <c r="Q1505">
        <v>-0.1119208</v>
      </c>
      <c r="R1505">
        <v>-0.992031</v>
      </c>
      <c r="S1505">
        <v>-0.1103363</v>
      </c>
      <c r="T1505">
        <v>-0.21400669999999999</v>
      </c>
      <c r="U1505">
        <v>-3.0082399999999998</v>
      </c>
      <c r="V1505">
        <v>0.3263528</v>
      </c>
      <c r="W1505">
        <v>-0.1026256</v>
      </c>
      <c r="X1505">
        <v>0.93966050000000001</v>
      </c>
      <c r="Y1505">
        <v>0.41749999999999998</v>
      </c>
      <c r="Z1505">
        <v>4.4535379999999999E-2</v>
      </c>
      <c r="AA1505">
        <v>0.90758490000000003</v>
      </c>
      <c r="AB1505">
        <v>17</v>
      </c>
      <c r="AC1505">
        <v>-0.62649999999999295</v>
      </c>
      <c r="AD1505">
        <v>-1.1150459136040001</v>
      </c>
      <c r="AE1505">
        <v>-15.514900000000001</v>
      </c>
      <c r="AF1505">
        <v>6.5069040815142296</v>
      </c>
      <c r="AG1505">
        <v>-1.1150459136040001</v>
      </c>
      <c r="AH1505">
        <v>14.010612838378201</v>
      </c>
      <c r="AI1505">
        <v>94.128515142154797</v>
      </c>
      <c r="AJ1505">
        <v>65.088581457171102</v>
      </c>
      <c r="AK1505">
        <v>15.488072837587</v>
      </c>
      <c r="AL1505">
        <v>95.890384317347497</v>
      </c>
      <c r="AM1505">
        <v>70.847411927384698</v>
      </c>
      <c r="AN1505">
        <v>1.0000000095517201</v>
      </c>
    </row>
    <row r="1506" spans="1:40" x14ac:dyDescent="0.25">
      <c r="A1506" t="str">
        <f>"20190303154755683"</f>
        <v>20190303154755683</v>
      </c>
      <c r="B1506" t="str">
        <f>"1551599275672236"</f>
        <v>1551599275672236</v>
      </c>
      <c r="C1506" t="s">
        <v>40</v>
      </c>
      <c r="D1506">
        <v>5.734273</v>
      </c>
      <c r="E1506">
        <v>0.53838339999999996</v>
      </c>
      <c r="F1506" t="s">
        <v>41</v>
      </c>
      <c r="G1506">
        <v>-192.66290000000001</v>
      </c>
      <c r="H1506" s="1">
        <v>-1.5477729999999999E-6</v>
      </c>
      <c r="I1506">
        <v>341.54539999999997</v>
      </c>
      <c r="J1506">
        <v>-191.9417</v>
      </c>
      <c r="K1506">
        <v>1.1151070000000001</v>
      </c>
      <c r="L1506">
        <v>357.78429999999997</v>
      </c>
      <c r="M1506">
        <v>0.37268879999999999</v>
      </c>
      <c r="N1506">
        <v>-1.4883189999999999E-2</v>
      </c>
      <c r="O1506">
        <v>-0.92783709999999997</v>
      </c>
      <c r="P1506">
        <v>5.241465E-2</v>
      </c>
      <c r="Q1506">
        <v>-0.11134529999999999</v>
      </c>
      <c r="R1506">
        <v>-0.99239840000000001</v>
      </c>
      <c r="S1506">
        <v>-0.12330629999999999</v>
      </c>
      <c r="T1506">
        <v>-0.20458029999999999</v>
      </c>
      <c r="U1506">
        <v>-3.0082089999999999</v>
      </c>
      <c r="V1506">
        <v>0.3198435</v>
      </c>
      <c r="W1506">
        <v>-0.10189189999999999</v>
      </c>
      <c r="X1506">
        <v>0.94197569999999997</v>
      </c>
      <c r="Y1506">
        <v>0.41008289999999997</v>
      </c>
      <c r="Z1506">
        <v>4.2520849999999999E-2</v>
      </c>
      <c r="AA1506">
        <v>0.91105650000000005</v>
      </c>
      <c r="AB1506">
        <v>17</v>
      </c>
      <c r="AC1506">
        <v>-0.72120000000001006</v>
      </c>
      <c r="AD1506">
        <v>-1.1151085477730001</v>
      </c>
      <c r="AE1506">
        <v>-16.238900000000001</v>
      </c>
      <c r="AF1506">
        <v>6.6904700234669798</v>
      </c>
      <c r="AG1506">
        <v>-1.1151085477730001</v>
      </c>
      <c r="AH1506">
        <v>14.730584701969301</v>
      </c>
      <c r="AI1506">
        <v>93.942829939179902</v>
      </c>
      <c r="AJ1506">
        <v>65.572972111493698</v>
      </c>
      <c r="AK1506">
        <v>16.2171508555023</v>
      </c>
      <c r="AL1506">
        <v>95.848124801697395</v>
      </c>
      <c r="AM1506">
        <v>71.245318546363094</v>
      </c>
      <c r="AN1506">
        <v>1.00000002158417</v>
      </c>
    </row>
    <row r="1507" spans="1:40" x14ac:dyDescent="0.25">
      <c r="A1507" t="str">
        <f>"20190303154755705"</f>
        <v>20190303154755705</v>
      </c>
      <c r="B1507" t="str">
        <f>"1551599275702492"</f>
        <v>1551599275702492</v>
      </c>
      <c r="C1507" t="s">
        <v>40</v>
      </c>
      <c r="D1507">
        <v>5.6988079999999997</v>
      </c>
      <c r="E1507">
        <v>0.5385025</v>
      </c>
      <c r="F1507" t="s">
        <v>41</v>
      </c>
      <c r="G1507">
        <v>-192.7413</v>
      </c>
      <c r="H1507" s="1">
        <v>-1.3350689999999999E-6</v>
      </c>
      <c r="I1507">
        <v>341.00099999999998</v>
      </c>
      <c r="J1507">
        <v>-191.89330000000001</v>
      </c>
      <c r="K1507">
        <v>1.1151690000000001</v>
      </c>
      <c r="L1507">
        <v>357.6223</v>
      </c>
      <c r="M1507">
        <v>0.36081449999999998</v>
      </c>
      <c r="N1507">
        <v>-1.4865639999999999E-2</v>
      </c>
      <c r="O1507">
        <v>-0.93251919999999999</v>
      </c>
      <c r="P1507">
        <v>4.6945460000000001E-2</v>
      </c>
      <c r="Q1507">
        <v>-0.1109849</v>
      </c>
      <c r="R1507">
        <v>-0.99271319999999996</v>
      </c>
      <c r="S1507">
        <v>-0.14331050000000001</v>
      </c>
      <c r="T1507">
        <v>-0.19986180000000001</v>
      </c>
      <c r="U1507">
        <v>-3.0080870000000002</v>
      </c>
      <c r="V1507">
        <v>0.3130463</v>
      </c>
      <c r="W1507">
        <v>-0.1013747</v>
      </c>
      <c r="X1507">
        <v>0.94431200000000004</v>
      </c>
      <c r="Y1507">
        <v>0.4044973</v>
      </c>
      <c r="Z1507">
        <v>4.1742790000000002E-2</v>
      </c>
      <c r="AA1507">
        <v>0.91358609999999896</v>
      </c>
      <c r="AB1507">
        <v>17</v>
      </c>
      <c r="AC1507">
        <v>-0.84799999999998399</v>
      </c>
      <c r="AD1507">
        <v>-1.1151703350689901</v>
      </c>
      <c r="AE1507">
        <v>-16.621300000000002</v>
      </c>
      <c r="AF1507">
        <v>6.7583884114621</v>
      </c>
      <c r="AG1507">
        <v>-1.1151703350689901</v>
      </c>
      <c r="AH1507">
        <v>15.1274698736609</v>
      </c>
      <c r="AI1507">
        <v>93.850572975599206</v>
      </c>
      <c r="AJ1507">
        <v>65.926692497246194</v>
      </c>
      <c r="AK1507">
        <v>16.606015885061701</v>
      </c>
      <c r="AL1507">
        <v>95.818337398713396</v>
      </c>
      <c r="AM1507">
        <v>71.659265480145706</v>
      </c>
      <c r="AN1507">
        <v>0.99999998454388905</v>
      </c>
    </row>
    <row r="1508" spans="1:40" x14ac:dyDescent="0.25">
      <c r="A1508" t="str">
        <f>"20190303154755728"</f>
        <v>20190303154755728</v>
      </c>
      <c r="B1508" t="str">
        <f>"1551599275722012"</f>
        <v>1551599275722012</v>
      </c>
      <c r="C1508" t="s">
        <v>40</v>
      </c>
      <c r="D1508">
        <v>5.923686</v>
      </c>
      <c r="E1508">
        <v>0.53874089999999997</v>
      </c>
      <c r="F1508" t="s">
        <v>41</v>
      </c>
      <c r="G1508">
        <v>-192.8023</v>
      </c>
      <c r="H1508" s="1">
        <v>-1.194839E-6</v>
      </c>
      <c r="I1508">
        <v>340.63619999999997</v>
      </c>
      <c r="J1508">
        <v>-191.84479999999999</v>
      </c>
      <c r="K1508">
        <v>1.115218</v>
      </c>
      <c r="L1508">
        <v>357.45209999999997</v>
      </c>
      <c r="M1508">
        <v>0.34836790000000001</v>
      </c>
      <c r="N1508">
        <v>-1.484738E-2</v>
      </c>
      <c r="O1508">
        <v>-0.93724050000000003</v>
      </c>
      <c r="P1508">
        <v>4.1504579999999999E-2</v>
      </c>
      <c r="Q1508">
        <v>-0.1103576</v>
      </c>
      <c r="R1508">
        <v>-0.99302539999999995</v>
      </c>
      <c r="S1508">
        <v>-0.1609497</v>
      </c>
      <c r="T1508">
        <v>-0.19745299999999999</v>
      </c>
      <c r="U1508">
        <v>-3.007568</v>
      </c>
      <c r="V1508">
        <v>0.30569829999999998</v>
      </c>
      <c r="W1508">
        <v>-0.10058599999999999</v>
      </c>
      <c r="X1508">
        <v>0.94680039999999999</v>
      </c>
      <c r="Y1508">
        <v>0.39767469999999999</v>
      </c>
      <c r="Z1508">
        <v>4.1631210000000002E-2</v>
      </c>
      <c r="AA1508">
        <v>0.91658150000000005</v>
      </c>
      <c r="AB1508">
        <v>17</v>
      </c>
      <c r="AC1508">
        <v>-0.95750000000001001</v>
      </c>
      <c r="AD1508">
        <v>-1.115219194839</v>
      </c>
      <c r="AE1508">
        <v>-16.815899999999999</v>
      </c>
      <c r="AF1508">
        <v>6.7267804815903904</v>
      </c>
      <c r="AG1508">
        <v>-1.115219194839</v>
      </c>
      <c r="AH1508">
        <v>15.3613332131289</v>
      </c>
      <c r="AI1508">
        <v>93.804702072746906</v>
      </c>
      <c r="AJ1508">
        <v>66.351223906878701</v>
      </c>
      <c r="AK1508">
        <v>16.806660810072302</v>
      </c>
      <c r="AL1508">
        <v>95.772915975802206</v>
      </c>
      <c r="AM1508">
        <v>72.106022370900703</v>
      </c>
      <c r="AN1508">
        <v>0.99999999572952403</v>
      </c>
    </row>
    <row r="1509" spans="1:40" x14ac:dyDescent="0.25">
      <c r="A1509" t="str">
        <f>"20190303154755751"</f>
        <v>20190303154755751</v>
      </c>
      <c r="B1509" t="str">
        <f>"1551599275741533"</f>
        <v>1551599275741533</v>
      </c>
      <c r="C1509" t="s">
        <v>40</v>
      </c>
      <c r="D1509">
        <v>5.6365350000000003</v>
      </c>
      <c r="E1509">
        <v>0.52046359999999903</v>
      </c>
      <c r="F1509" t="s">
        <v>41</v>
      </c>
      <c r="G1509">
        <v>-192.87469999999999</v>
      </c>
      <c r="H1509" s="1">
        <v>-1.0226580000000001E-6</v>
      </c>
      <c r="I1509">
        <v>340.19</v>
      </c>
      <c r="J1509">
        <v>-191.8004</v>
      </c>
      <c r="K1509">
        <v>1.115265</v>
      </c>
      <c r="L1509">
        <v>357.28890000000001</v>
      </c>
      <c r="M1509">
        <v>0.33646609999999899</v>
      </c>
      <c r="N1509">
        <v>-1.4830039999999999E-2</v>
      </c>
      <c r="O1509">
        <v>-0.94157900000000005</v>
      </c>
      <c r="P1509">
        <v>3.6367249999999997E-2</v>
      </c>
      <c r="Q1509">
        <v>-0.1097225</v>
      </c>
      <c r="R1509">
        <v>-0.99329730000000005</v>
      </c>
      <c r="S1509">
        <v>-0.17941279999999901</v>
      </c>
      <c r="T1509">
        <v>-0.1942662</v>
      </c>
      <c r="U1509">
        <v>-3.0069889999999999</v>
      </c>
      <c r="V1509">
        <v>0.29864780000000002</v>
      </c>
      <c r="W1509">
        <v>-9.9801810000000005E-2</v>
      </c>
      <c r="X1509">
        <v>0.94913069999999999</v>
      </c>
      <c r="Y1509">
        <v>0.39167419999999997</v>
      </c>
      <c r="Z1509">
        <v>4.1230320000000001E-2</v>
      </c>
      <c r="AA1509">
        <v>0.91917969999999904</v>
      </c>
      <c r="AB1509">
        <v>17</v>
      </c>
      <c r="AC1509">
        <v>-1.07429999999999</v>
      </c>
      <c r="AD1509">
        <v>-1.115266022658</v>
      </c>
      <c r="AE1509">
        <v>-17.0989</v>
      </c>
      <c r="AF1509">
        <v>6.7369334895774804</v>
      </c>
      <c r="AG1509">
        <v>-1.115266022658</v>
      </c>
      <c r="AH1509">
        <v>15.673809856707599</v>
      </c>
      <c r="AI1509">
        <v>93.740213303495494</v>
      </c>
      <c r="AJ1509">
        <v>66.740948624851697</v>
      </c>
      <c r="AK1509">
        <v>17.096736722793398</v>
      </c>
      <c r="AL1509">
        <v>95.727757947420301</v>
      </c>
      <c r="AM1509">
        <v>72.533607720253698</v>
      </c>
      <c r="AN1509">
        <v>0.99999999770330295</v>
      </c>
    </row>
    <row r="1510" spans="1:40" x14ac:dyDescent="0.25">
      <c r="A1510" t="str">
        <f>"20190303154755775"</f>
        <v>20190303154755775</v>
      </c>
      <c r="B1510" t="str">
        <f>"1551599275771788"</f>
        <v>1551599275771788</v>
      </c>
      <c r="C1510" t="s">
        <v>40</v>
      </c>
      <c r="D1510">
        <v>6.0324819999999999</v>
      </c>
      <c r="E1510">
        <v>0.52588389999999996</v>
      </c>
      <c r="F1510" t="s">
        <v>41</v>
      </c>
      <c r="G1510">
        <v>-192.36150000000001</v>
      </c>
      <c r="H1510" s="1">
        <v>-9.8025019999999994E-7</v>
      </c>
      <c r="I1510">
        <v>320.40940000000001</v>
      </c>
      <c r="J1510">
        <v>-191.75380000000001</v>
      </c>
      <c r="K1510">
        <v>1.1153200000000001</v>
      </c>
      <c r="L1510">
        <v>357.10820000000001</v>
      </c>
      <c r="M1510">
        <v>0.3233066</v>
      </c>
      <c r="N1510">
        <v>-1.4810500000000001E-2</v>
      </c>
      <c r="O1510">
        <v>-0.94617839999999998</v>
      </c>
      <c r="P1510">
        <v>2.867604E-2</v>
      </c>
      <c r="Q1510">
        <v>-0.10961460000000001</v>
      </c>
      <c r="R1510">
        <v>-0.99356060000000002</v>
      </c>
      <c r="S1510">
        <v>-4.5822139999999997E-2</v>
      </c>
      <c r="T1510">
        <v>-9.1081380000000003E-2</v>
      </c>
      <c r="U1510">
        <v>-3.0118710000000002</v>
      </c>
      <c r="V1510">
        <v>0.29278470000000001</v>
      </c>
      <c r="W1510">
        <v>-9.9570290000000006E-2</v>
      </c>
      <c r="X1510">
        <v>0.95097989999999999</v>
      </c>
      <c r="Y1510">
        <v>0.33757939999999997</v>
      </c>
      <c r="Z1510">
        <v>1.205668E-2</v>
      </c>
      <c r="AA1510">
        <v>0.9412199</v>
      </c>
      <c r="AB1510">
        <v>17</v>
      </c>
      <c r="AC1510">
        <v>-0.60769999999999402</v>
      </c>
      <c r="AD1510">
        <v>-1.1153209802502</v>
      </c>
      <c r="AE1510">
        <v>-36.698799999999999</v>
      </c>
      <c r="AF1510">
        <v>12.4298436170446</v>
      </c>
      <c r="AG1510">
        <v>-1.1153209802502</v>
      </c>
      <c r="AH1510">
        <v>34.4990690922643</v>
      </c>
      <c r="AI1510">
        <v>91.742120018831102</v>
      </c>
      <c r="AJ1510">
        <v>70.186159775966303</v>
      </c>
      <c r="AK1510">
        <v>36.686928482308197</v>
      </c>
      <c r="AL1510">
        <v>95.714426715767502</v>
      </c>
      <c r="AM1510">
        <v>72.8876122823945</v>
      </c>
      <c r="AN1510">
        <v>0.99999994670438996</v>
      </c>
    </row>
    <row r="1511" spans="1:40" x14ac:dyDescent="0.25">
      <c r="A1511" t="str">
        <f>"20190303154755797"</f>
        <v>20190303154755797</v>
      </c>
      <c r="B1511" t="str">
        <f>"1551599275792284"</f>
        <v>1551599275792284</v>
      </c>
      <c r="C1511" t="s">
        <v>40</v>
      </c>
      <c r="D1511">
        <v>5.7128990000000002</v>
      </c>
      <c r="E1511">
        <v>0.52884089999999995</v>
      </c>
      <c r="F1511" t="s">
        <v>41</v>
      </c>
      <c r="G1511">
        <v>-192.608</v>
      </c>
      <c r="H1511" s="1">
        <v>-2.8939860000000002E-6</v>
      </c>
      <c r="I1511">
        <v>334.71749999999997</v>
      </c>
      <c r="J1511">
        <v>-191.7149</v>
      </c>
      <c r="K1511">
        <v>1.1153500000000001</v>
      </c>
      <c r="L1511">
        <v>356.94920000000002</v>
      </c>
      <c r="M1511">
        <v>0.31175710000000001</v>
      </c>
      <c r="N1511">
        <v>-1.4793000000000001E-2</v>
      </c>
      <c r="O1511">
        <v>-0.95004670000000002</v>
      </c>
      <c r="P1511">
        <v>2.1976539999999999E-2</v>
      </c>
      <c r="Q1511">
        <v>-0.111179399999999</v>
      </c>
      <c r="R1511">
        <v>-0.99355749999999998</v>
      </c>
      <c r="S1511">
        <v>-0.1146851</v>
      </c>
      <c r="T1511">
        <v>-0.14974470000000001</v>
      </c>
      <c r="U1511">
        <v>-3.006195</v>
      </c>
      <c r="V1511">
        <v>0.2875509</v>
      </c>
      <c r="W1511">
        <v>-0.1010302</v>
      </c>
      <c r="X1511">
        <v>0.95242179999999999</v>
      </c>
      <c r="Y1511">
        <v>0.34758719999999999</v>
      </c>
      <c r="Z1511">
        <v>2.9586970000000001E-2</v>
      </c>
      <c r="AA1511">
        <v>0.93718069999999998</v>
      </c>
      <c r="AB1511">
        <v>17</v>
      </c>
      <c r="AC1511">
        <v>-0.893100000000004</v>
      </c>
      <c r="AD1511">
        <v>-1.115352893986</v>
      </c>
      <c r="AE1511">
        <v>-22.2317</v>
      </c>
      <c r="AF1511">
        <v>7.7607260511327496</v>
      </c>
      <c r="AG1511">
        <v>-1.115352893986</v>
      </c>
      <c r="AH1511">
        <v>20.7927527396768</v>
      </c>
      <c r="AI1511">
        <v>92.876980173235594</v>
      </c>
      <c r="AJ1511">
        <v>69.532319696599004</v>
      </c>
      <c r="AK1511">
        <v>22.221868675073001</v>
      </c>
      <c r="AL1511">
        <v>95.798497321467096</v>
      </c>
      <c r="AM1511">
        <v>73.200121009068596</v>
      </c>
      <c r="AN1511">
        <v>0.99999995325904301</v>
      </c>
    </row>
    <row r="1512" spans="1:40" x14ac:dyDescent="0.25">
      <c r="A1512" t="str">
        <f>"20190303154755819"</f>
        <v>20190303154755819</v>
      </c>
      <c r="B1512" t="str">
        <f>"1551599275812780"</f>
        <v>1551599275812780</v>
      </c>
      <c r="C1512" t="s">
        <v>40</v>
      </c>
      <c r="D1512">
        <v>5.7141950000000001</v>
      </c>
      <c r="E1512">
        <v>0.52802459999999996</v>
      </c>
      <c r="F1512" t="s">
        <v>41</v>
      </c>
      <c r="G1512">
        <v>-192.768</v>
      </c>
      <c r="H1512" s="1">
        <v>-3.9263099999999999E-6</v>
      </c>
      <c r="I1512">
        <v>337.08159999999998</v>
      </c>
      <c r="J1512">
        <v>-191.67590000000001</v>
      </c>
      <c r="K1512">
        <v>1.1153820000000001</v>
      </c>
      <c r="L1512">
        <v>356.78089999999997</v>
      </c>
      <c r="M1512">
        <v>0.29955470000000001</v>
      </c>
      <c r="N1512">
        <v>-1.477467E-2</v>
      </c>
      <c r="O1512">
        <v>-0.95396499999999995</v>
      </c>
      <c r="P1512">
        <v>1.2655909999999999E-2</v>
      </c>
      <c r="Q1512">
        <v>-0.1131938</v>
      </c>
      <c r="R1512">
        <v>-0.99349259999999995</v>
      </c>
      <c r="S1512">
        <v>-0.15922549999999999</v>
      </c>
      <c r="T1512">
        <v>-0.16864660000000001</v>
      </c>
      <c r="U1512">
        <v>-3.0040589999999998</v>
      </c>
      <c r="V1512">
        <v>0.284196</v>
      </c>
      <c r="W1512">
        <v>-0.1029755</v>
      </c>
      <c r="X1512">
        <v>0.95322019999999996</v>
      </c>
      <c r="Y1512">
        <v>0.34942970000000001</v>
      </c>
      <c r="Z1512">
        <v>3.5501629999999999E-2</v>
      </c>
      <c r="AA1512">
        <v>0.93628979999999995</v>
      </c>
      <c r="AB1512">
        <v>16</v>
      </c>
      <c r="AC1512">
        <v>-1.0920999999999801</v>
      </c>
      <c r="AD1512">
        <v>-1.1153859263100001</v>
      </c>
      <c r="AE1512">
        <v>-19.699299999999901</v>
      </c>
      <c r="AF1512">
        <v>6.9214776272081497</v>
      </c>
      <c r="AG1512">
        <v>-1.1153859263100001</v>
      </c>
      <c r="AH1512">
        <v>18.408475133603901</v>
      </c>
      <c r="AI1512">
        <v>93.246022037959605</v>
      </c>
      <c r="AJ1512">
        <v>69.3940366863375</v>
      </c>
      <c r="AK1512">
        <v>19.698296755127501</v>
      </c>
      <c r="AL1512">
        <v>95.9105387395863</v>
      </c>
      <c r="AM1512">
        <v>73.398414812816</v>
      </c>
      <c r="AN1512">
        <v>1.0000000348521401</v>
      </c>
    </row>
    <row r="1513" spans="1:40" x14ac:dyDescent="0.25">
      <c r="A1513" t="str">
        <f>"20190303154755840"</f>
        <v>20190303154755840</v>
      </c>
      <c r="B1513" t="str">
        <f>"1551599275832300"</f>
        <v>1551599275832300</v>
      </c>
      <c r="C1513" t="s">
        <v>40</v>
      </c>
      <c r="D1513">
        <v>5.7468839999999997</v>
      </c>
      <c r="E1513">
        <v>0.49387409999999998</v>
      </c>
      <c r="F1513" t="s">
        <v>41</v>
      </c>
      <c r="G1513">
        <v>-192.73410000000001</v>
      </c>
      <c r="H1513" s="1">
        <v>-4.6686179999999997E-6</v>
      </c>
      <c r="I1513">
        <v>339.28059999999999</v>
      </c>
      <c r="J1513">
        <v>-191.6421</v>
      </c>
      <c r="K1513">
        <v>1.1154139999999999</v>
      </c>
      <c r="L1513">
        <v>356.6266</v>
      </c>
      <c r="M1513">
        <v>0.2883829</v>
      </c>
      <c r="N1513">
        <v>-1.475857E-2</v>
      </c>
      <c r="O1513">
        <v>-0.95740159999999996</v>
      </c>
      <c r="P1513">
        <v>9.0137919999999996E-3</v>
      </c>
      <c r="Q1513">
        <v>-0.11486200000000001</v>
      </c>
      <c r="R1513">
        <v>-0.99334089999999997</v>
      </c>
      <c r="S1513">
        <v>-0.18141170000000001</v>
      </c>
      <c r="T1513">
        <v>-0.19121730000000001</v>
      </c>
      <c r="U1513">
        <v>-3.0001829999999998</v>
      </c>
      <c r="V1513">
        <v>0.27648349999999999</v>
      </c>
      <c r="W1513">
        <v>-0.1044988</v>
      </c>
      <c r="X1513">
        <v>0.95532030000000001</v>
      </c>
      <c r="Y1513">
        <v>0.34540199999999999</v>
      </c>
      <c r="Z1513">
        <v>4.2665700000000001E-2</v>
      </c>
      <c r="AA1513">
        <v>0.9374844</v>
      </c>
      <c r="AB1513">
        <v>16</v>
      </c>
      <c r="AC1513">
        <v>-1.0920000000000101</v>
      </c>
      <c r="AD1513">
        <v>-1.1154186686180001</v>
      </c>
      <c r="AE1513">
        <v>-17.346</v>
      </c>
      <c r="AF1513">
        <v>6.0236206312390497</v>
      </c>
      <c r="AG1513">
        <v>-1.1154186686180001</v>
      </c>
      <c r="AH1513">
        <v>16.227111443831902</v>
      </c>
      <c r="AI1513">
        <v>93.687119968054901</v>
      </c>
      <c r="AJ1513">
        <v>69.634711465173496</v>
      </c>
      <c r="AK1513">
        <v>17.344950565681302</v>
      </c>
      <c r="AL1513">
        <v>95.998291059170199</v>
      </c>
      <c r="AM1513">
        <v>73.858792693687803</v>
      </c>
      <c r="AN1513">
        <v>1.0000000002828899</v>
      </c>
    </row>
    <row r="1514" spans="1:40" x14ac:dyDescent="0.25">
      <c r="A1514" t="str">
        <f>"20190303154755864"</f>
        <v>20190303154755864</v>
      </c>
      <c r="B1514" t="str">
        <f>"1551599275861580"</f>
        <v>1551599275861580</v>
      </c>
      <c r="C1514" t="s">
        <v>40</v>
      </c>
      <c r="D1514">
        <v>5.6751809999999896</v>
      </c>
      <c r="E1514">
        <v>0.49292599999999998</v>
      </c>
      <c r="F1514" t="s">
        <v>41</v>
      </c>
      <c r="G1514">
        <v>-191.3794</v>
      </c>
      <c r="H1514" s="1">
        <v>-3.2760620000000001E-6</v>
      </c>
      <c r="I1514">
        <v>346.37009999999998</v>
      </c>
      <c r="J1514">
        <v>-191.60589999999999</v>
      </c>
      <c r="K1514">
        <v>1.1154679999999999</v>
      </c>
      <c r="L1514">
        <v>356.4502</v>
      </c>
      <c r="M1514">
        <v>0.27562910000000002</v>
      </c>
      <c r="N1514">
        <v>-1.474074E-2</v>
      </c>
      <c r="O1514">
        <v>-0.96115119999999998</v>
      </c>
      <c r="P1514">
        <v>4.3107939999999997E-3</v>
      </c>
      <c r="Q1514">
        <v>-0.11524719999999999</v>
      </c>
      <c r="R1514">
        <v>-0.99332790000000004</v>
      </c>
      <c r="S1514">
        <v>7.6385499999999995E-2</v>
      </c>
      <c r="T1514">
        <v>-0.32428990000000002</v>
      </c>
      <c r="U1514">
        <v>-2.981903</v>
      </c>
      <c r="V1514">
        <v>0.2683026</v>
      </c>
      <c r="W1514">
        <v>-0.104731</v>
      </c>
      <c r="X1514">
        <v>0.9576247</v>
      </c>
      <c r="Y1514">
        <v>0.25079230000000002</v>
      </c>
      <c r="Z1514">
        <v>8.5495349999999998E-2</v>
      </c>
      <c r="AA1514">
        <v>0.96425810000000001</v>
      </c>
      <c r="AB1514">
        <v>16</v>
      </c>
      <c r="AC1514">
        <v>0.22649999999998699</v>
      </c>
      <c r="AD1514">
        <v>-1.115471276062</v>
      </c>
      <c r="AE1514">
        <v>-10.0801</v>
      </c>
      <c r="AF1514">
        <v>2.5299799934528</v>
      </c>
      <c r="AG1514">
        <v>-1.115471276062</v>
      </c>
      <c r="AH1514">
        <v>9.6340708521884793</v>
      </c>
      <c r="AI1514">
        <v>96.389754754996204</v>
      </c>
      <c r="AJ1514">
        <v>75.285929937368905</v>
      </c>
      <c r="AK1514">
        <v>10.0229933712428</v>
      </c>
      <c r="AL1514">
        <v>96.011668746142703</v>
      </c>
      <c r="AM1514">
        <v>74.348450622695694</v>
      </c>
      <c r="AN1514">
        <v>0.999999966788924</v>
      </c>
    </row>
    <row r="1515" spans="1:40" x14ac:dyDescent="0.25">
      <c r="A1515" t="str">
        <f>"20190303154755885"</f>
        <v>20190303154755885</v>
      </c>
      <c r="B1515" t="str">
        <f>"1551599275882076"</f>
        <v>1551599275882076</v>
      </c>
      <c r="C1515" t="s">
        <v>40</v>
      </c>
      <c r="D1515">
        <v>5.7014370000000003</v>
      </c>
      <c r="E1515">
        <v>0.49249910000000002</v>
      </c>
      <c r="F1515" t="s">
        <v>41</v>
      </c>
      <c r="G1515">
        <v>-191.3647</v>
      </c>
      <c r="H1515" s="1">
        <v>-3.1841300000000001E-6</v>
      </c>
      <c r="I1515">
        <v>346.16500000000002</v>
      </c>
      <c r="J1515">
        <v>-191.57480000000001</v>
      </c>
      <c r="K1515">
        <v>1.1155120000000001</v>
      </c>
      <c r="L1515">
        <v>356.28899999999999</v>
      </c>
      <c r="M1515">
        <v>0.26399830000000002</v>
      </c>
      <c r="N1515">
        <v>-1.4724910000000001E-2</v>
      </c>
      <c r="O1515">
        <v>-0.96441080000000001</v>
      </c>
      <c r="P1515">
        <v>9.9015069999999999E-4</v>
      </c>
      <c r="Q1515">
        <v>-0.11451840000000001</v>
      </c>
      <c r="R1515">
        <v>-0.99342050000000004</v>
      </c>
      <c r="S1515">
        <v>6.9931030000000005E-2</v>
      </c>
      <c r="T1515">
        <v>-0.3234417</v>
      </c>
      <c r="U1515">
        <v>-2.9823</v>
      </c>
      <c r="V1515">
        <v>0.25998060000000001</v>
      </c>
      <c r="W1515">
        <v>-0.1038496</v>
      </c>
      <c r="X1515">
        <v>0.96001320000000001</v>
      </c>
      <c r="Y1515">
        <v>0.24118890000000001</v>
      </c>
      <c r="Z1515">
        <v>8.5890649999999999E-2</v>
      </c>
      <c r="AA1515">
        <v>0.96666989999999997</v>
      </c>
      <c r="AB1515">
        <v>16</v>
      </c>
      <c r="AC1515">
        <v>0.210100000000011</v>
      </c>
      <c r="AD1515">
        <v>-1.1155151841299999</v>
      </c>
      <c r="AE1515">
        <v>-10.123999999999899</v>
      </c>
      <c r="AF1515">
        <v>2.4407439797448802</v>
      </c>
      <c r="AG1515">
        <v>-1.1155151841299999</v>
      </c>
      <c r="AH1515">
        <v>9.7024800961877595</v>
      </c>
      <c r="AI1515">
        <v>96.362108725910005</v>
      </c>
      <c r="AJ1515">
        <v>75.879729937772396</v>
      </c>
      <c r="AK1515">
        <v>10.066763398312499</v>
      </c>
      <c r="AL1515">
        <v>95.960891161740804</v>
      </c>
      <c r="AM1515">
        <v>74.847209452687693</v>
      </c>
      <c r="AN1515">
        <v>0.99999999798537997</v>
      </c>
    </row>
    <row r="1516" spans="1:40" x14ac:dyDescent="0.25">
      <c r="A1516" t="str">
        <f>"20190303154755906"</f>
        <v>20190303154755906</v>
      </c>
      <c r="B1516" t="str">
        <f>"1551599275901596"</f>
        <v>1551599275901596</v>
      </c>
      <c r="C1516" t="s">
        <v>40</v>
      </c>
      <c r="D1516">
        <v>5.7121320000000004</v>
      </c>
      <c r="E1516">
        <v>0.49210399999999999</v>
      </c>
      <c r="F1516" t="s">
        <v>41</v>
      </c>
      <c r="G1516">
        <v>-191.3518</v>
      </c>
      <c r="H1516" s="1">
        <v>-3.024215E-6</v>
      </c>
      <c r="I1516">
        <v>345.80020000000002</v>
      </c>
      <c r="J1516">
        <v>-191.54679999999999</v>
      </c>
      <c r="K1516">
        <v>1.1155489999999999</v>
      </c>
      <c r="L1516">
        <v>356.13440000000003</v>
      </c>
      <c r="M1516">
        <v>0.25284909999999999</v>
      </c>
      <c r="N1516">
        <v>-1.471016E-2</v>
      </c>
      <c r="O1516">
        <v>-0.96739419999999998</v>
      </c>
      <c r="P1516">
        <v>-7.5839419999999998E-4</v>
      </c>
      <c r="Q1516">
        <v>-0.1140665</v>
      </c>
      <c r="R1516">
        <v>-0.9934731</v>
      </c>
      <c r="S1516">
        <v>6.3430790000000001E-2</v>
      </c>
      <c r="T1516">
        <v>-0.31727699999999998</v>
      </c>
      <c r="U1516">
        <v>-2.9832459999999998</v>
      </c>
      <c r="V1516">
        <v>0.25061990000000001</v>
      </c>
      <c r="W1516">
        <v>-0.1032323</v>
      </c>
      <c r="X1516">
        <v>0.96256569999999997</v>
      </c>
      <c r="Y1516">
        <v>0.23210239999999999</v>
      </c>
      <c r="Z1516">
        <v>8.4561440000000002E-2</v>
      </c>
      <c r="AA1516">
        <v>0.96900869999999995</v>
      </c>
      <c r="AB1516">
        <v>16</v>
      </c>
      <c r="AC1516">
        <v>0.19499999999999301</v>
      </c>
      <c r="AD1516">
        <v>-1.1155520242150001</v>
      </c>
      <c r="AE1516">
        <v>-10.334199999999999</v>
      </c>
      <c r="AF1516">
        <v>2.3966949372387001</v>
      </c>
      <c r="AG1516">
        <v>-1.1155520242150001</v>
      </c>
      <c r="AH1516">
        <v>9.9319423038647496</v>
      </c>
      <c r="AI1516">
        <v>96.231189967866598</v>
      </c>
      <c r="AJ1516">
        <v>76.433220428311301</v>
      </c>
      <c r="AK1516">
        <v>10.2777468770258</v>
      </c>
      <c r="AL1516">
        <v>95.925331429828702</v>
      </c>
      <c r="AM1516">
        <v>75.406114197075397</v>
      </c>
      <c r="AN1516">
        <v>0.99999998442789395</v>
      </c>
    </row>
    <row r="1517" spans="1:40" x14ac:dyDescent="0.25">
      <c r="A1517" t="str">
        <f>"20190303154755929"</f>
        <v>20190303154755929</v>
      </c>
      <c r="B1517" t="str">
        <f>"1551599275922092"</f>
        <v>1551599275922092</v>
      </c>
      <c r="C1517" t="s">
        <v>40</v>
      </c>
      <c r="D1517">
        <v>5.7631860000000001</v>
      </c>
      <c r="E1517">
        <v>0.49066530000000003</v>
      </c>
      <c r="F1517" t="s">
        <v>41</v>
      </c>
      <c r="G1517">
        <v>-191.32910000000001</v>
      </c>
      <c r="H1517" s="1">
        <v>-2.9071340000000002E-6</v>
      </c>
      <c r="I1517">
        <v>345.54140000000001</v>
      </c>
      <c r="J1517">
        <v>-191.518</v>
      </c>
      <c r="K1517">
        <v>1.115583</v>
      </c>
      <c r="L1517">
        <v>355.96370000000002</v>
      </c>
      <c r="M1517">
        <v>0.240564</v>
      </c>
      <c r="N1517">
        <v>-1.469375E-2</v>
      </c>
      <c r="O1517">
        <v>-0.97052229999999995</v>
      </c>
      <c r="P1517">
        <v>-1.777451E-3</v>
      </c>
      <c r="Q1517">
        <v>-0.1136187</v>
      </c>
      <c r="R1517">
        <v>-0.99352309999999999</v>
      </c>
      <c r="S1517">
        <v>6.1309809999999999E-2</v>
      </c>
      <c r="T1517">
        <v>-0.31420360000000003</v>
      </c>
      <c r="U1517">
        <v>-2.9836119999999999</v>
      </c>
      <c r="V1517">
        <v>0.2394326</v>
      </c>
      <c r="W1517">
        <v>-0.1025905</v>
      </c>
      <c r="X1517">
        <v>0.96547769999999999</v>
      </c>
      <c r="Y1517">
        <v>0.2204603</v>
      </c>
      <c r="Z1517">
        <v>8.4242919999999999E-2</v>
      </c>
      <c r="AA1517">
        <v>0.97175120000000004</v>
      </c>
      <c r="AB1517">
        <v>16</v>
      </c>
      <c r="AC1517">
        <v>0.18889999999998899</v>
      </c>
      <c r="AD1517">
        <v>-1.115585907134</v>
      </c>
      <c r="AE1517">
        <v>-10.4223</v>
      </c>
      <c r="AF1517">
        <v>2.2978307846829802</v>
      </c>
      <c r="AG1517">
        <v>-1.115585907134</v>
      </c>
      <c r="AH1517">
        <v>10.0465441362969</v>
      </c>
      <c r="AI1517">
        <v>96.178014968798294</v>
      </c>
      <c r="AJ1517">
        <v>77.116988995406203</v>
      </c>
      <c r="AK1517">
        <v>10.3661761182123</v>
      </c>
      <c r="AL1517">
        <v>95.888362710002397</v>
      </c>
      <c r="AM1517">
        <v>76.0719862074193</v>
      </c>
      <c r="AN1517">
        <v>0.99999998491514897</v>
      </c>
    </row>
    <row r="1518" spans="1:40" x14ac:dyDescent="0.25">
      <c r="A1518" t="str">
        <f>"20190303154755952"</f>
        <v>20190303154755952</v>
      </c>
      <c r="B1518" t="str">
        <f>"1551599275941612"</f>
        <v>1551599275941612</v>
      </c>
      <c r="C1518" t="s">
        <v>40</v>
      </c>
      <c r="D1518">
        <v>5.6491530000000001</v>
      </c>
      <c r="E1518">
        <v>0.49061549999999998</v>
      </c>
      <c r="F1518" t="s">
        <v>42</v>
      </c>
      <c r="G1518">
        <v>-191.49870000000001</v>
      </c>
      <c r="H1518">
        <v>1.026316</v>
      </c>
      <c r="I1518">
        <v>355.13600000000002</v>
      </c>
      <c r="J1518">
        <v>-191.49270000000001</v>
      </c>
      <c r="K1518">
        <v>1.1156239999999999</v>
      </c>
      <c r="L1518">
        <v>355.80189999999999</v>
      </c>
      <c r="M1518">
        <v>0.22895950000000001</v>
      </c>
      <c r="N1518">
        <v>-1.467712E-2</v>
      </c>
      <c r="O1518">
        <v>-0.97332540000000001</v>
      </c>
      <c r="P1518">
        <v>-1.0082750000000001E-3</v>
      </c>
      <c r="Q1518">
        <v>-0.1130347</v>
      </c>
      <c r="R1518">
        <v>-0.9935908</v>
      </c>
      <c r="S1518">
        <v>6.9610599999999995E-2</v>
      </c>
      <c r="T1518">
        <v>-0.32171129999999998</v>
      </c>
      <c r="U1518">
        <v>-2.98291</v>
      </c>
      <c r="V1518">
        <v>0.22719259999999999</v>
      </c>
      <c r="W1518">
        <v>-0.10179530000000001</v>
      </c>
      <c r="X1518">
        <v>0.96851500000000001</v>
      </c>
      <c r="Y1518">
        <v>0.20610149999999999</v>
      </c>
      <c r="Z1518">
        <v>8.7239479999999994E-2</v>
      </c>
      <c r="AA1518">
        <v>0.974634</v>
      </c>
      <c r="AB1518">
        <v>16</v>
      </c>
      <c r="AC1518">
        <v>-6.0000000000002196E-3</v>
      </c>
      <c r="AD1518">
        <v>-8.9307999999999901E-2</v>
      </c>
      <c r="AE1518">
        <v>-0.66590000000002103</v>
      </c>
      <c r="AF1518">
        <v>0.15552391368790799</v>
      </c>
      <c r="AG1518">
        <v>-8.9307999999999901E-2</v>
      </c>
      <c r="AH1518">
        <v>0.63540502738846705</v>
      </c>
      <c r="AI1518">
        <v>97.774122506020902</v>
      </c>
      <c r="AJ1518">
        <v>76.246486962458405</v>
      </c>
      <c r="AK1518">
        <v>0.66022962325492696</v>
      </c>
      <c r="AL1518">
        <v>95.842561034213901</v>
      </c>
      <c r="AM1518">
        <v>76.798348217736404</v>
      </c>
      <c r="AN1518">
        <v>1.00000003291092</v>
      </c>
    </row>
    <row r="1519" spans="1:40" x14ac:dyDescent="0.25">
      <c r="A1519" t="str">
        <f>"20190303154755976"</f>
        <v>20190303154755976</v>
      </c>
      <c r="B1519" t="str">
        <f>"1551599275971869"</f>
        <v>1551599275971869</v>
      </c>
      <c r="C1519" t="s">
        <v>40</v>
      </c>
      <c r="D1519">
        <v>5.7998909999999997</v>
      </c>
      <c r="E1519">
        <v>0.49021389999999998</v>
      </c>
      <c r="F1519" t="s">
        <v>42</v>
      </c>
      <c r="G1519">
        <v>-191.47309999999999</v>
      </c>
      <c r="H1519">
        <v>1.028875</v>
      </c>
      <c r="I1519">
        <v>354.99079999999998</v>
      </c>
      <c r="J1519">
        <v>-191.46629999999999</v>
      </c>
      <c r="K1519">
        <v>1.115686</v>
      </c>
      <c r="L1519">
        <v>355.61860000000001</v>
      </c>
      <c r="M1519">
        <v>0.21588769999999999</v>
      </c>
      <c r="N1519">
        <v>-1.4654550000000001E-2</v>
      </c>
      <c r="O1519">
        <v>-0.97630819999999996</v>
      </c>
      <c r="P1519">
        <v>-1.809862E-3</v>
      </c>
      <c r="Q1519">
        <v>-0.11198710000000001</v>
      </c>
      <c r="R1519">
        <v>-0.99370829999999999</v>
      </c>
      <c r="S1519">
        <v>7.2296139999999995E-2</v>
      </c>
      <c r="T1519">
        <v>-0.31875679999999901</v>
      </c>
      <c r="U1519">
        <v>-2.9831850000000002</v>
      </c>
      <c r="V1519">
        <v>0.21504499999999999</v>
      </c>
      <c r="W1519">
        <v>-0.1005345</v>
      </c>
      <c r="X1519">
        <v>0.97141569999999999</v>
      </c>
      <c r="Y1519">
        <v>0.19210150000000001</v>
      </c>
      <c r="Z1519">
        <v>8.6949819999999997E-2</v>
      </c>
      <c r="AA1519">
        <v>0.97751560000000004</v>
      </c>
      <c r="AB1519">
        <v>16</v>
      </c>
      <c r="AC1519">
        <v>-6.7999999999983603E-3</v>
      </c>
      <c r="AD1519">
        <v>-8.6810999999999902E-2</v>
      </c>
      <c r="AE1519">
        <v>-0.627800000000036</v>
      </c>
      <c r="AF1519">
        <v>0.139521019944021</v>
      </c>
      <c r="AG1519">
        <v>-8.6810999999999902E-2</v>
      </c>
      <c r="AH1519">
        <v>0.60005178630530398</v>
      </c>
      <c r="AI1519">
        <v>98.020939260102494</v>
      </c>
      <c r="AJ1519">
        <v>76.910453767494602</v>
      </c>
      <c r="AK1519">
        <v>0.62214500799685502</v>
      </c>
      <c r="AL1519">
        <v>95.769950185090295</v>
      </c>
      <c r="AM1519">
        <v>77.517579417144901</v>
      </c>
      <c r="AN1519">
        <v>0.99999999996086997</v>
      </c>
    </row>
    <row r="1520" spans="1:40" x14ac:dyDescent="0.25">
      <c r="A1520" t="str">
        <f>"20190303154755999"</f>
        <v>20190303154755999</v>
      </c>
      <c r="B1520" t="str">
        <f>"1551599275992364"</f>
        <v>1551599275992364</v>
      </c>
      <c r="C1520" t="s">
        <v>40</v>
      </c>
      <c r="D1520">
        <v>5.7988330000000001</v>
      </c>
      <c r="E1520">
        <v>0.49009370000000002</v>
      </c>
      <c r="F1520" t="s">
        <v>42</v>
      </c>
      <c r="G1520">
        <v>-191.44739999999999</v>
      </c>
      <c r="H1520">
        <v>1.0333139999999901</v>
      </c>
      <c r="I1520">
        <v>354.84379999999999</v>
      </c>
      <c r="J1520">
        <v>-191.4435</v>
      </c>
      <c r="K1520">
        <v>1.1157979999999901</v>
      </c>
      <c r="L1520">
        <v>355.44540000000001</v>
      </c>
      <c r="M1520">
        <v>0.20364280000000001</v>
      </c>
      <c r="N1520">
        <v>-1.462722E-2</v>
      </c>
      <c r="O1520">
        <v>-0.97893609999999998</v>
      </c>
      <c r="P1520">
        <v>-1.668335E-3</v>
      </c>
      <c r="Q1520">
        <v>-0.1094053</v>
      </c>
      <c r="R1520">
        <v>-0.99399590000000004</v>
      </c>
      <c r="S1520">
        <v>7.2921749999999994E-2</v>
      </c>
      <c r="T1520">
        <v>-0.31728699999999999</v>
      </c>
      <c r="U1520">
        <v>-2.983368</v>
      </c>
      <c r="V1520">
        <v>0.2028567</v>
      </c>
      <c r="W1520">
        <v>-9.7734219999999997E-2</v>
      </c>
      <c r="X1520">
        <v>0.97431880000000004</v>
      </c>
      <c r="Y1520">
        <v>0.17960580000000001</v>
      </c>
      <c r="Z1520">
        <v>8.7045540000000005E-2</v>
      </c>
      <c r="AA1520">
        <v>0.97987999999999997</v>
      </c>
      <c r="AB1520">
        <v>16</v>
      </c>
      <c r="AC1520">
        <v>-3.8999999999873498E-3</v>
      </c>
      <c r="AD1520">
        <v>-8.2484000000000002E-2</v>
      </c>
      <c r="AE1520">
        <v>-0.60160000000001901</v>
      </c>
      <c r="AF1520">
        <v>0.124011721653878</v>
      </c>
      <c r="AG1520">
        <v>-8.2484000000000002E-2</v>
      </c>
      <c r="AH1520">
        <v>0.57734385281371003</v>
      </c>
      <c r="AI1520">
        <v>97.951744982432203</v>
      </c>
      <c r="AJ1520">
        <v>77.877238005462402</v>
      </c>
      <c r="AK1520">
        <v>0.59624528656026998</v>
      </c>
      <c r="AL1520">
        <v>95.608711814743302</v>
      </c>
      <c r="AM1520">
        <v>78.238834193754499</v>
      </c>
      <c r="AN1520">
        <v>0.99999997126366802</v>
      </c>
    </row>
    <row r="1521" spans="1:40" x14ac:dyDescent="0.25">
      <c r="A1521" t="str">
        <f>"20190303154756019"</f>
        <v>20190303154756019</v>
      </c>
      <c r="B1521" t="str">
        <f>"1551599276011884"</f>
        <v>1551599276011884</v>
      </c>
      <c r="C1521" t="s">
        <v>40</v>
      </c>
      <c r="D1521">
        <v>5.7654069999999997</v>
      </c>
      <c r="E1521">
        <v>0.48981039999999998</v>
      </c>
      <c r="F1521" t="s">
        <v>42</v>
      </c>
      <c r="G1521">
        <v>-191.42490000000001</v>
      </c>
      <c r="H1521">
        <v>1.0362739999999999</v>
      </c>
      <c r="I1521">
        <v>354.69639999999998</v>
      </c>
      <c r="J1521">
        <v>-191.42509999999999</v>
      </c>
      <c r="K1521">
        <v>1.1159349999999999</v>
      </c>
      <c r="L1521">
        <v>355.29329999999999</v>
      </c>
      <c r="M1521">
        <v>0.19305059999999999</v>
      </c>
      <c r="N1521">
        <v>-1.4595479999999999E-2</v>
      </c>
      <c r="O1521">
        <v>-0.98108039999999996</v>
      </c>
      <c r="P1521">
        <v>-9.4983120000000001E-4</v>
      </c>
      <c r="Q1521">
        <v>-0.1054126</v>
      </c>
      <c r="R1521">
        <v>-0.99442819999999998</v>
      </c>
      <c r="S1521">
        <v>7.4279789999999998E-2</v>
      </c>
      <c r="T1521">
        <v>-0.31648809999999999</v>
      </c>
      <c r="U1521">
        <v>-2.983368</v>
      </c>
      <c r="V1521">
        <v>0.19178729999999999</v>
      </c>
      <c r="W1521">
        <v>-9.3537640000000005E-2</v>
      </c>
      <c r="X1521">
        <v>0.97696890000000003</v>
      </c>
      <c r="Y1521">
        <v>0.16852909999999999</v>
      </c>
      <c r="Z1521">
        <v>8.7263380000000002E-2</v>
      </c>
      <c r="AA1521">
        <v>0.98182639999999999</v>
      </c>
      <c r="AB1521">
        <v>16</v>
      </c>
      <c r="AC1521">
        <v>1.9999999997821701E-4</v>
      </c>
      <c r="AD1521">
        <v>-7.9661000000000204E-2</v>
      </c>
      <c r="AE1521">
        <v>-0.59690000000000498</v>
      </c>
      <c r="AF1521">
        <v>0.113034663515222</v>
      </c>
      <c r="AG1521">
        <v>-7.9661000000000204E-2</v>
      </c>
      <c r="AH1521">
        <v>0.57545831057308905</v>
      </c>
      <c r="AI1521">
        <v>97.735421247110807</v>
      </c>
      <c r="AJ1521">
        <v>78.887131098561596</v>
      </c>
      <c r="AK1521">
        <v>0.59184033090406496</v>
      </c>
      <c r="AL1521">
        <v>95.367158253006494</v>
      </c>
      <c r="AM1521">
        <v>78.893583579540305</v>
      </c>
      <c r="AN1521">
        <v>0.99999994505263301</v>
      </c>
    </row>
    <row r="1522" spans="1:40" x14ac:dyDescent="0.25">
      <c r="A1522" t="str">
        <f>"20190303154756042"</f>
        <v>20190303154756042</v>
      </c>
      <c r="B1522" t="str">
        <f>"1551599276032380"</f>
        <v>1551599276032380</v>
      </c>
      <c r="C1522" t="s">
        <v>40</v>
      </c>
      <c r="D1522">
        <v>5.7118260000000003</v>
      </c>
      <c r="E1522">
        <v>0.49018339999999999</v>
      </c>
      <c r="F1522" t="s">
        <v>42</v>
      </c>
      <c r="G1522">
        <v>-191.40559999999999</v>
      </c>
      <c r="H1522">
        <v>1.0388869999999999</v>
      </c>
      <c r="I1522">
        <v>354.54860000000002</v>
      </c>
      <c r="J1522">
        <v>-191.4075</v>
      </c>
      <c r="K1522">
        <v>1.116115</v>
      </c>
      <c r="L1522">
        <v>355.1343</v>
      </c>
      <c r="M1522">
        <v>0.18217159999999999</v>
      </c>
      <c r="N1522">
        <v>-1.4554009999999999E-2</v>
      </c>
      <c r="O1522">
        <v>-0.98315920000000001</v>
      </c>
      <c r="P1522">
        <v>-8.4021369999999897E-4</v>
      </c>
      <c r="Q1522">
        <v>-0.101032</v>
      </c>
      <c r="R1522">
        <v>-0.99488310000000002</v>
      </c>
      <c r="S1522">
        <v>7.8506469999999995E-2</v>
      </c>
      <c r="T1522">
        <v>-0.30855490000000002</v>
      </c>
      <c r="U1522">
        <v>-2.9841920000000002</v>
      </c>
      <c r="V1522">
        <v>0.18103420000000001</v>
      </c>
      <c r="W1522">
        <v>-8.8956889999999997E-2</v>
      </c>
      <c r="X1522">
        <v>0.97944540000000002</v>
      </c>
      <c r="Y1522">
        <v>0.15622610000000001</v>
      </c>
      <c r="Z1522">
        <v>8.5172090000000006E-2</v>
      </c>
      <c r="AA1522">
        <v>0.98404219999999998</v>
      </c>
      <c r="AB1522">
        <v>16</v>
      </c>
      <c r="AC1522">
        <v>1.90000000000623E-3</v>
      </c>
      <c r="AD1522">
        <v>-7.7227999999999797E-2</v>
      </c>
      <c r="AE1522">
        <v>-0.58569999999997402</v>
      </c>
      <c r="AF1522">
        <v>0.103049395257337</v>
      </c>
      <c r="AG1522">
        <v>-7.7227999999999797E-2</v>
      </c>
      <c r="AH1522">
        <v>0.566396161554241</v>
      </c>
      <c r="AI1522">
        <v>97.640478311378999</v>
      </c>
      <c r="AJ1522">
        <v>79.688468090845006</v>
      </c>
      <c r="AK1522">
        <v>0.58085105979956797</v>
      </c>
      <c r="AL1522">
        <v>95.103600583269994</v>
      </c>
      <c r="AM1522">
        <v>79.528013048292607</v>
      </c>
      <c r="AN1522">
        <v>1.0000000007146299</v>
      </c>
    </row>
    <row r="1523" spans="1:40" x14ac:dyDescent="0.25">
      <c r="A1523" t="str">
        <f>"20190303154756063"</f>
        <v>20190303154756063</v>
      </c>
      <c r="B1523" t="str">
        <f>"1551599276051904"</f>
        <v>1551599276051904</v>
      </c>
      <c r="C1523" t="s">
        <v>40</v>
      </c>
      <c r="D1523">
        <v>5.6973070000000003</v>
      </c>
      <c r="E1523">
        <v>0.49050359999999998</v>
      </c>
      <c r="F1523" t="s">
        <v>42</v>
      </c>
      <c r="G1523">
        <v>-191.3853</v>
      </c>
      <c r="H1523">
        <v>1.0297689999999999</v>
      </c>
      <c r="I1523">
        <v>354.25819999999999</v>
      </c>
      <c r="J1523">
        <v>-191.39080000000001</v>
      </c>
      <c r="K1523">
        <v>1.11632</v>
      </c>
      <c r="L1523">
        <v>354.96960000000001</v>
      </c>
      <c r="M1523">
        <v>0.171154799999999</v>
      </c>
      <c r="N1523">
        <v>-1.4503149999999999E-2</v>
      </c>
      <c r="O1523">
        <v>-0.9851375</v>
      </c>
      <c r="P1523">
        <v>-2.2602210000000002E-3</v>
      </c>
      <c r="Q1523">
        <v>-9.8654329999999998E-2</v>
      </c>
      <c r="R1523">
        <v>-0.99511930000000004</v>
      </c>
      <c r="S1523">
        <v>7.5836180000000003E-2</v>
      </c>
      <c r="T1523">
        <v>-0.29407319999999998</v>
      </c>
      <c r="U1523">
        <v>-2.9856259999999999</v>
      </c>
      <c r="V1523">
        <v>0.17158309999999999</v>
      </c>
      <c r="W1523">
        <v>-8.6406609999999995E-2</v>
      </c>
      <c r="X1523">
        <v>0.9813731</v>
      </c>
      <c r="Y1523">
        <v>0.14606</v>
      </c>
      <c r="Z1523">
        <v>8.0904599999999993E-2</v>
      </c>
      <c r="AA1523">
        <v>0.98596189999999995</v>
      </c>
      <c r="AB1523">
        <v>16</v>
      </c>
      <c r="AC1523">
        <v>5.5000000000120499E-3</v>
      </c>
      <c r="AD1523">
        <v>-8.6550999999999795E-2</v>
      </c>
      <c r="AE1523">
        <v>-0.71140000000002501</v>
      </c>
      <c r="AF1523">
        <v>0.11465646622914</v>
      </c>
      <c r="AG1523">
        <v>-8.6550999999999795E-2</v>
      </c>
      <c r="AH1523">
        <v>0.69160547599603295</v>
      </c>
      <c r="AI1523">
        <v>97.038119603947706</v>
      </c>
      <c r="AJ1523">
        <v>80.5869439515089</v>
      </c>
      <c r="AK1523">
        <v>0.70636769127477395</v>
      </c>
      <c r="AL1523">
        <v>94.956915253542803</v>
      </c>
      <c r="AM1523">
        <v>80.082659442408598</v>
      </c>
      <c r="AN1523">
        <v>1.00000001193045</v>
      </c>
    </row>
    <row r="1524" spans="1:40" x14ac:dyDescent="0.25">
      <c r="A1524" t="str">
        <f>"20190303154756086"</f>
        <v>20190303154756086</v>
      </c>
      <c r="B1524" t="str">
        <f>"1551599276082156"</f>
        <v>1551599276082156</v>
      </c>
      <c r="C1524" t="s">
        <v>40</v>
      </c>
      <c r="D1524">
        <v>5.662744</v>
      </c>
      <c r="E1524">
        <v>0.49107840000000003</v>
      </c>
      <c r="F1524" t="s">
        <v>42</v>
      </c>
      <c r="G1524">
        <v>-191.37090000000001</v>
      </c>
      <c r="H1524">
        <v>1.0338940000000001</v>
      </c>
      <c r="I1524">
        <v>354.10939999999999</v>
      </c>
      <c r="J1524">
        <v>-191.37549999999999</v>
      </c>
      <c r="K1524">
        <v>1.1165039999999999</v>
      </c>
      <c r="L1524">
        <v>354.8021</v>
      </c>
      <c r="M1524">
        <v>0.16018669999999999</v>
      </c>
      <c r="N1524">
        <v>-1.4449679999999999E-2</v>
      </c>
      <c r="O1524">
        <v>-0.9869812</v>
      </c>
      <c r="P1524">
        <v>-3.9107830000000001E-3</v>
      </c>
      <c r="Q1524">
        <v>-9.8216709999999999E-2</v>
      </c>
      <c r="R1524">
        <v>-0.99515770000000003</v>
      </c>
      <c r="S1524">
        <v>6.9183350000000005E-2</v>
      </c>
      <c r="T1524">
        <v>-0.28588140000000001</v>
      </c>
      <c r="U1524">
        <v>-2.9865110000000001</v>
      </c>
      <c r="V1524">
        <v>0.162351</v>
      </c>
      <c r="W1524">
        <v>-8.5817840000000006E-2</v>
      </c>
      <c r="X1524">
        <v>0.98299409999999998</v>
      </c>
      <c r="Y1524">
        <v>0.13725999999999999</v>
      </c>
      <c r="Z1524">
        <v>7.8616480000000002E-2</v>
      </c>
      <c r="AA1524">
        <v>0.98741029999999996</v>
      </c>
      <c r="AB1524">
        <v>16</v>
      </c>
      <c r="AC1524">
        <v>4.5999999999821696E-3</v>
      </c>
      <c r="AD1524">
        <v>-8.2610000000000003E-2</v>
      </c>
      <c r="AE1524">
        <v>-0.69270000000000198</v>
      </c>
      <c r="AF1524">
        <v>0.10493986307473099</v>
      </c>
      <c r="AG1524">
        <v>-8.2610000000000003E-2</v>
      </c>
      <c r="AH1524">
        <v>0.67489183818283205</v>
      </c>
      <c r="AI1524">
        <v>96.896503422725701</v>
      </c>
      <c r="AJ1524">
        <v>81.161775607491094</v>
      </c>
      <c r="AK1524">
        <v>0.68797949112451395</v>
      </c>
      <c r="AL1524">
        <v>94.923055626657899</v>
      </c>
      <c r="AM1524">
        <v>80.621708110918306</v>
      </c>
      <c r="AN1524">
        <v>0.99999997474903701</v>
      </c>
    </row>
    <row r="1525" spans="1:40" x14ac:dyDescent="0.25">
      <c r="A1525" t="str">
        <f>"20190303154756107"</f>
        <v>20190303154756107</v>
      </c>
      <c r="B1525" t="str">
        <f>"1551599276101677"</f>
        <v>1551599276101677</v>
      </c>
      <c r="C1525" t="s">
        <v>40</v>
      </c>
      <c r="D1525">
        <v>5.7322829999999998</v>
      </c>
      <c r="E1525">
        <v>0.4914057</v>
      </c>
      <c r="F1525" t="s">
        <v>42</v>
      </c>
      <c r="G1525">
        <v>-191.3588</v>
      </c>
      <c r="H1525">
        <v>1.035954</v>
      </c>
      <c r="I1525">
        <v>353.96179999999998</v>
      </c>
      <c r="J1525">
        <v>-191.3623</v>
      </c>
      <c r="K1525">
        <v>1.1166499999999999</v>
      </c>
      <c r="L1525">
        <v>354.64319999999998</v>
      </c>
      <c r="M1525">
        <v>0.1500099</v>
      </c>
      <c r="N1525">
        <v>-1.439972E-2</v>
      </c>
      <c r="O1525">
        <v>-0.98857969999999895</v>
      </c>
      <c r="P1525">
        <v>-4.2883449999999998E-3</v>
      </c>
      <c r="Q1525">
        <v>-9.7153210000000004E-2</v>
      </c>
      <c r="R1525">
        <v>-0.99526029999999999</v>
      </c>
      <c r="S1525">
        <v>5.937195E-2</v>
      </c>
      <c r="T1525">
        <v>-0.28621449999999998</v>
      </c>
      <c r="U1525">
        <v>-2.9865719999999998</v>
      </c>
      <c r="V1525">
        <v>0.15266179999999999</v>
      </c>
      <c r="W1525">
        <v>-8.4613670000000002E-2</v>
      </c>
      <c r="X1525">
        <v>0.98464969999999996</v>
      </c>
      <c r="Y1525">
        <v>0.13030129999999901</v>
      </c>
      <c r="Z1525">
        <v>7.9042509999999996E-2</v>
      </c>
      <c r="AA1525">
        <v>0.98831869999999999</v>
      </c>
      <c r="AB1525">
        <v>16</v>
      </c>
      <c r="AC1525">
        <v>3.5000000000024998E-3</v>
      </c>
      <c r="AD1525">
        <v>-8.0695999999999796E-2</v>
      </c>
      <c r="AE1525">
        <v>-0.68139999999999601</v>
      </c>
      <c r="AF1525">
        <v>9.7400947565748505E-2</v>
      </c>
      <c r="AG1525">
        <v>-8.0695999999999796E-2</v>
      </c>
      <c r="AH1525">
        <v>0.66488835030927096</v>
      </c>
      <c r="AI1525">
        <v>96.847634466518997</v>
      </c>
      <c r="AJ1525">
        <v>81.665895175372199</v>
      </c>
      <c r="AK1525">
        <v>0.67681260876234395</v>
      </c>
      <c r="AL1525">
        <v>94.853809442707799</v>
      </c>
      <c r="AM1525">
        <v>81.186931769219896</v>
      </c>
      <c r="AN1525">
        <v>1.00000006502009</v>
      </c>
    </row>
    <row r="1526" spans="1:40" x14ac:dyDescent="0.25">
      <c r="A1526" t="str">
        <f>"20190303154756131"</f>
        <v>20190303154756131</v>
      </c>
      <c r="B1526" t="str">
        <f>"1551599276122172"</f>
        <v>1551599276122172</v>
      </c>
      <c r="C1526" t="s">
        <v>40</v>
      </c>
      <c r="D1526">
        <v>5.7249650000000001</v>
      </c>
      <c r="E1526">
        <v>0.49180109999999999</v>
      </c>
      <c r="F1526" t="s">
        <v>42</v>
      </c>
      <c r="G1526">
        <v>-191.3468</v>
      </c>
      <c r="H1526">
        <v>1.037922</v>
      </c>
      <c r="I1526">
        <v>353.81420000000003</v>
      </c>
      <c r="J1526">
        <v>-191.3493</v>
      </c>
      <c r="K1526">
        <v>1.1168020000000001</v>
      </c>
      <c r="L1526">
        <v>354.46820000000002</v>
      </c>
      <c r="M1526">
        <v>0.139098</v>
      </c>
      <c r="N1526">
        <v>-1.434439E-2</v>
      </c>
      <c r="O1526">
        <v>-0.99017489999999997</v>
      </c>
      <c r="P1526">
        <v>-4.8858219999999997E-3</v>
      </c>
      <c r="Q1526">
        <v>-9.4603290000000007E-2</v>
      </c>
      <c r="R1526">
        <v>-0.99550340000000004</v>
      </c>
      <c r="S1526">
        <v>5.5923460000000001E-2</v>
      </c>
      <c r="T1526">
        <v>-0.28338560000000002</v>
      </c>
      <c r="U1526">
        <v>-2.986847</v>
      </c>
      <c r="V1526">
        <v>0.14249139999999999</v>
      </c>
      <c r="W1526">
        <v>-8.1929520000000006E-2</v>
      </c>
      <c r="X1526">
        <v>0.98639940000000004</v>
      </c>
      <c r="Y1526">
        <v>0.1205114</v>
      </c>
      <c r="Z1526">
        <v>7.8455460000000005E-2</v>
      </c>
      <c r="AA1526">
        <v>0.98960689999999996</v>
      </c>
      <c r="AB1526">
        <v>16</v>
      </c>
      <c r="AC1526">
        <v>2.4999999999977202E-3</v>
      </c>
      <c r="AD1526">
        <v>-7.8880000000000006E-2</v>
      </c>
      <c r="AE1526">
        <v>-0.65399999999999603</v>
      </c>
      <c r="AF1526">
        <v>8.7234745635473301E-2</v>
      </c>
      <c r="AG1526">
        <v>-7.8880000000000006E-2</v>
      </c>
      <c r="AH1526">
        <v>0.63869758379105601</v>
      </c>
      <c r="AI1526">
        <v>96.976331328752096</v>
      </c>
      <c r="AJ1526">
        <v>82.222538019879494</v>
      </c>
      <c r="AK1526">
        <v>0.64943556938823299</v>
      </c>
      <c r="AL1526">
        <v>94.699483201035406</v>
      </c>
      <c r="AM1526">
        <v>81.780137176505505</v>
      </c>
      <c r="AN1526">
        <v>1.00000001082087</v>
      </c>
    </row>
    <row r="1527" spans="1:40" x14ac:dyDescent="0.25">
      <c r="A1527" t="str">
        <f>"20190303154756153"</f>
        <v>20190303154756153</v>
      </c>
      <c r="B1527" t="str">
        <f>"1551599276142668"</f>
        <v>1551599276142668</v>
      </c>
      <c r="C1527" t="s">
        <v>40</v>
      </c>
      <c r="D1527">
        <v>5.5427650000000002</v>
      </c>
      <c r="E1527">
        <v>0.49198449999999999</v>
      </c>
      <c r="F1527" t="s">
        <v>42</v>
      </c>
      <c r="G1527">
        <v>-191.3357</v>
      </c>
      <c r="H1527">
        <v>1.04247</v>
      </c>
      <c r="I1527">
        <v>353.66559999999998</v>
      </c>
      <c r="J1527">
        <v>-191.33850000000001</v>
      </c>
      <c r="K1527">
        <v>1.1169469999999999</v>
      </c>
      <c r="L1527">
        <v>354.30309999999997</v>
      </c>
      <c r="M1527">
        <v>0.12909010000000001</v>
      </c>
      <c r="N1527">
        <v>-1.4289609999999999E-2</v>
      </c>
      <c r="O1527">
        <v>-0.99152989999999996</v>
      </c>
      <c r="P1527">
        <v>-5.6938129999999998E-3</v>
      </c>
      <c r="Q1527">
        <v>-9.2279929999999996E-2</v>
      </c>
      <c r="R1527">
        <v>-0.99571690000000002</v>
      </c>
      <c r="S1527">
        <v>5.0811769999999999E-2</v>
      </c>
      <c r="T1527">
        <v>-0.2767886</v>
      </c>
      <c r="U1527">
        <v>-2.987457</v>
      </c>
      <c r="V1527">
        <v>0.13341449999999999</v>
      </c>
      <c r="W1527">
        <v>-7.9498979999999997E-2</v>
      </c>
      <c r="X1527">
        <v>0.98786660000000004</v>
      </c>
      <c r="Y1527">
        <v>0.1121838</v>
      </c>
      <c r="Z1527">
        <v>7.6579199999999903E-2</v>
      </c>
      <c r="AA1527">
        <v>0.99073230000000001</v>
      </c>
      <c r="AB1527">
        <v>16</v>
      </c>
      <c r="AC1527">
        <v>2.80000000000768E-3</v>
      </c>
      <c r="AD1527">
        <v>-7.4476999999999904E-2</v>
      </c>
      <c r="AE1527">
        <v>-0.63749999999998797</v>
      </c>
      <c r="AF1527">
        <v>7.8455991671402797E-2</v>
      </c>
      <c r="AG1527">
        <v>-7.4476999999999904E-2</v>
      </c>
      <c r="AH1527">
        <v>0.62400973498954304</v>
      </c>
      <c r="AI1527">
        <v>96.753514498982</v>
      </c>
      <c r="AJ1527">
        <v>82.833872915659299</v>
      </c>
      <c r="AK1527">
        <v>0.63331691554849801</v>
      </c>
      <c r="AL1527">
        <v>94.559767826568702</v>
      </c>
      <c r="AM1527">
        <v>82.3085612655793</v>
      </c>
      <c r="AN1527">
        <v>0.99999996801342395</v>
      </c>
    </row>
    <row r="1528" spans="1:40" x14ac:dyDescent="0.25">
      <c r="A1528" t="str">
        <f>"20190303154756178"</f>
        <v>20190303154756178</v>
      </c>
      <c r="B1528" t="str">
        <f>"1551599276171948"</f>
        <v>1551599276171948</v>
      </c>
      <c r="C1528" t="s">
        <v>40</v>
      </c>
      <c r="D1528">
        <v>5.8322129999999897</v>
      </c>
      <c r="E1528">
        <v>0.49195870000000003</v>
      </c>
      <c r="F1528" t="s">
        <v>42</v>
      </c>
      <c r="G1528">
        <v>-191.3262</v>
      </c>
      <c r="H1528">
        <v>1.045725</v>
      </c>
      <c r="I1528">
        <v>353.51729999999998</v>
      </c>
      <c r="J1528">
        <v>-191.32830000000001</v>
      </c>
      <c r="K1528">
        <v>1.117108</v>
      </c>
      <c r="L1528">
        <v>354.12470000000002</v>
      </c>
      <c r="M1528">
        <v>0.1185775</v>
      </c>
      <c r="N1528">
        <v>-1.422794E-2</v>
      </c>
      <c r="O1528">
        <v>-0.99284300000000003</v>
      </c>
      <c r="P1528">
        <v>-7.7824900000000004E-3</v>
      </c>
      <c r="Q1528">
        <v>-9.2083230000000002E-2</v>
      </c>
      <c r="R1528">
        <v>-0.99572119999999997</v>
      </c>
      <c r="S1528">
        <v>4.6981809999999999E-2</v>
      </c>
      <c r="T1528">
        <v>-0.27068589999999998</v>
      </c>
      <c r="U1528">
        <v>-2.9881289999999998</v>
      </c>
      <c r="V1528">
        <v>0.12506019999999901</v>
      </c>
      <c r="W1528">
        <v>-7.9215599999999997E-2</v>
      </c>
      <c r="X1528">
        <v>0.98898169999999996</v>
      </c>
      <c r="Y1528">
        <v>0.1029312</v>
      </c>
      <c r="Z1528">
        <v>7.4853669999999997E-2</v>
      </c>
      <c r="AA1528">
        <v>0.99186799999999997</v>
      </c>
      <c r="AB1528">
        <v>16</v>
      </c>
      <c r="AC1528">
        <v>2.1000000000128598E-3</v>
      </c>
      <c r="AD1528">
        <v>-7.1382999999999905E-2</v>
      </c>
      <c r="AE1528">
        <v>-0.60740000000004102</v>
      </c>
      <c r="AF1528">
        <v>6.8993187298048902E-2</v>
      </c>
      <c r="AG1528">
        <v>-7.1382999999999905E-2</v>
      </c>
      <c r="AH1528">
        <v>0.59514313466595903</v>
      </c>
      <c r="AI1528">
        <v>96.794456258840995</v>
      </c>
      <c r="AJ1528">
        <v>83.387386427968394</v>
      </c>
      <c r="AK1528">
        <v>0.60336634255033395</v>
      </c>
      <c r="AL1528">
        <v>94.543479907558194</v>
      </c>
      <c r="AM1528">
        <v>82.793000031323402</v>
      </c>
      <c r="AN1528">
        <v>0.99999998392114398</v>
      </c>
    </row>
    <row r="1529" spans="1:40" x14ac:dyDescent="0.25">
      <c r="A1529" t="str">
        <f>"20190303154756201"</f>
        <v>20190303154756201</v>
      </c>
      <c r="B1529" t="str">
        <f>"1551599276192445"</f>
        <v>1551599276192445</v>
      </c>
      <c r="C1529" t="s">
        <v>40</v>
      </c>
      <c r="D1529">
        <v>5.6688169999999998</v>
      </c>
      <c r="E1529">
        <v>0.49245889999999998</v>
      </c>
      <c r="F1529" t="s">
        <v>42</v>
      </c>
      <c r="G1529">
        <v>-191.31800000000001</v>
      </c>
      <c r="H1529">
        <v>1.0473509999999999</v>
      </c>
      <c r="I1529">
        <v>353.36989999999997</v>
      </c>
      <c r="J1529">
        <v>-191.3203</v>
      </c>
      <c r="K1529">
        <v>1.1172690000000001</v>
      </c>
      <c r="L1529">
        <v>353.96080000000001</v>
      </c>
      <c r="M1529">
        <v>0.1091978</v>
      </c>
      <c r="N1529">
        <v>-1.417041E-2</v>
      </c>
      <c r="O1529">
        <v>-0.9939192</v>
      </c>
      <c r="P1529">
        <v>-1.0172230000000001E-2</v>
      </c>
      <c r="Q1529">
        <v>-9.3680760000000002E-2</v>
      </c>
      <c r="R1529">
        <v>-0.99555039999999995</v>
      </c>
      <c r="S1529">
        <v>4.0756229999999997E-2</v>
      </c>
      <c r="T1529">
        <v>-0.27624559999999998</v>
      </c>
      <c r="U1529">
        <v>-2.9876100000000001</v>
      </c>
      <c r="V1529">
        <v>0.11810080000000001</v>
      </c>
      <c r="W1529">
        <v>-8.0747399999999997E-2</v>
      </c>
      <c r="X1529">
        <v>0.98971310000000001</v>
      </c>
      <c r="Y1529">
        <v>9.5607029999999996E-2</v>
      </c>
      <c r="Z1529">
        <v>7.6922489999999996E-2</v>
      </c>
      <c r="AA1529">
        <v>0.99244250000000001</v>
      </c>
      <c r="AB1529">
        <v>16</v>
      </c>
      <c r="AC1529">
        <v>2.3000000000195E-3</v>
      </c>
      <c r="AD1529">
        <v>-6.9918000000000105E-2</v>
      </c>
      <c r="AE1529">
        <v>-0.59090000000003295</v>
      </c>
      <c r="AF1529">
        <v>6.1385773839755797E-2</v>
      </c>
      <c r="AG1529">
        <v>-6.9918000000000105E-2</v>
      </c>
      <c r="AH1529">
        <v>0.57950357360120097</v>
      </c>
      <c r="AI1529">
        <v>96.841659786588906</v>
      </c>
      <c r="AJ1529">
        <v>83.953309798579596</v>
      </c>
      <c r="AK1529">
        <v>0.58692515005788204</v>
      </c>
      <c r="AL1529">
        <v>94.631527681048297</v>
      </c>
      <c r="AM1529">
        <v>83.195167802682107</v>
      </c>
      <c r="AN1529">
        <v>0.99999998093950404</v>
      </c>
    </row>
    <row r="1530" spans="1:40" x14ac:dyDescent="0.25">
      <c r="A1530" t="str">
        <f>"20190303154756220"</f>
        <v>20190303154756220</v>
      </c>
      <c r="B1530" t="str">
        <f>"1551599276211965"</f>
        <v>1551599276211965</v>
      </c>
      <c r="C1530" t="s">
        <v>40</v>
      </c>
      <c r="D1530">
        <v>5.7224430000000002</v>
      </c>
      <c r="E1530">
        <v>0.49257980000000001</v>
      </c>
      <c r="F1530" t="s">
        <v>42</v>
      </c>
      <c r="G1530">
        <v>-191.31299999999999</v>
      </c>
      <c r="H1530">
        <v>1.047347</v>
      </c>
      <c r="I1530">
        <v>353.22390000000001</v>
      </c>
      <c r="J1530">
        <v>-191.3142</v>
      </c>
      <c r="K1530">
        <v>1.1174299999999999</v>
      </c>
      <c r="L1530">
        <v>353.81400000000002</v>
      </c>
      <c r="M1530">
        <v>0.1010625</v>
      </c>
      <c r="N1530">
        <v>-1.4112660000000001E-2</v>
      </c>
      <c r="O1530">
        <v>-0.99478009999999994</v>
      </c>
      <c r="P1530">
        <v>-1.082907E-2</v>
      </c>
      <c r="Q1530">
        <v>-9.4108449999999996E-2</v>
      </c>
      <c r="R1530">
        <v>-0.99550340000000004</v>
      </c>
      <c r="S1530">
        <v>2.964783E-2</v>
      </c>
      <c r="T1530">
        <v>-0.28323029999999999</v>
      </c>
      <c r="U1530">
        <v>-2.9870299999999999</v>
      </c>
      <c r="V1530">
        <v>0.11068600000000001</v>
      </c>
      <c r="W1530">
        <v>-8.1109120000000007E-2</v>
      </c>
      <c r="X1530">
        <v>0.99054019999999998</v>
      </c>
      <c r="Y1530">
        <v>9.1153830000000005E-2</v>
      </c>
      <c r="Z1530">
        <v>7.9422110000000004E-2</v>
      </c>
      <c r="AA1530">
        <v>0.99266460000000001</v>
      </c>
      <c r="AB1530">
        <v>16</v>
      </c>
      <c r="AC1530">
        <v>1.20000000001141E-3</v>
      </c>
      <c r="AD1530">
        <v>-7.0082999999999895E-2</v>
      </c>
      <c r="AE1530">
        <v>-0.59010000000000595</v>
      </c>
      <c r="AF1530">
        <v>5.7636103037564002E-2</v>
      </c>
      <c r="AG1530">
        <v>-7.0082999999999895E-2</v>
      </c>
      <c r="AH1530">
        <v>0.57903218396788902</v>
      </c>
      <c r="AI1530">
        <v>96.867598361532103</v>
      </c>
      <c r="AJ1530">
        <v>84.315577675991506</v>
      </c>
      <c r="AK1530">
        <v>0.58609881191909896</v>
      </c>
      <c r="AL1530">
        <v>94.652320900501394</v>
      </c>
      <c r="AM1530">
        <v>83.624043896308095</v>
      </c>
      <c r="AN1530">
        <v>0.99999998387960698</v>
      </c>
    </row>
    <row r="1531" spans="1:40" x14ac:dyDescent="0.25">
      <c r="A1531" t="str">
        <f>"20190303154756243"</f>
        <v>20190303154756243</v>
      </c>
      <c r="B1531" t="str">
        <f>"1551599276232461"</f>
        <v>1551599276232461</v>
      </c>
      <c r="C1531" t="s">
        <v>40</v>
      </c>
      <c r="D1531">
        <v>5.729565</v>
      </c>
      <c r="E1531">
        <v>0.49270979999999998</v>
      </c>
      <c r="F1531" t="s">
        <v>42</v>
      </c>
      <c r="G1531">
        <v>-191.30770000000001</v>
      </c>
      <c r="H1531">
        <v>1.0462499999999999</v>
      </c>
      <c r="I1531">
        <v>353.07909999999998</v>
      </c>
      <c r="J1531">
        <v>-191.3083</v>
      </c>
      <c r="K1531">
        <v>1.1176029999999999</v>
      </c>
      <c r="L1531">
        <v>353.65</v>
      </c>
      <c r="M1531">
        <v>9.2291880000000007E-2</v>
      </c>
      <c r="N1531">
        <v>-1.398217E-2</v>
      </c>
      <c r="O1531">
        <v>-0.99563380000000001</v>
      </c>
      <c r="P1531">
        <v>-1.1697010000000001E-2</v>
      </c>
      <c r="Q1531">
        <v>-9.5392669999999999E-2</v>
      </c>
      <c r="R1531">
        <v>-0.99537109999999995</v>
      </c>
      <c r="S1531">
        <v>2.6641850000000002E-2</v>
      </c>
      <c r="T1531">
        <v>-0.28911399999999998</v>
      </c>
      <c r="U1531">
        <v>-2.9865110000000001</v>
      </c>
      <c r="V1531">
        <v>0.1028413</v>
      </c>
      <c r="W1531">
        <v>-8.2395689999999994E-2</v>
      </c>
      <c r="X1531">
        <v>0.99127929999999997</v>
      </c>
      <c r="Y1531">
        <v>8.3379529999999993E-2</v>
      </c>
      <c r="Z1531">
        <v>8.1649879999999994E-2</v>
      </c>
      <c r="AA1531">
        <v>0.99316720000000003</v>
      </c>
      <c r="AB1531">
        <v>16</v>
      </c>
      <c r="AC1531">
        <v>5.9999999999149601E-4</v>
      </c>
      <c r="AD1531">
        <v>-7.1353000000000194E-2</v>
      </c>
      <c r="AE1531">
        <v>-0.57089999999999397</v>
      </c>
      <c r="AF1531">
        <v>5.1295864320883899E-2</v>
      </c>
      <c r="AG1531">
        <v>-7.1353000000000194E-2</v>
      </c>
      <c r="AH1531">
        <v>0.55977416663827295</v>
      </c>
      <c r="AI1531">
        <v>97.234187569096505</v>
      </c>
      <c r="AJ1531">
        <v>84.764225889379901</v>
      </c>
      <c r="AK1531">
        <v>0.56663006798174698</v>
      </c>
      <c r="AL1531">
        <v>94.726283359966303</v>
      </c>
      <c r="AM1531">
        <v>84.076979523871302</v>
      </c>
      <c r="AN1531">
        <v>1.0000000166623699</v>
      </c>
    </row>
    <row r="1532" spans="1:40" x14ac:dyDescent="0.25">
      <c r="A1532" t="str">
        <f>"20190303154756265"</f>
        <v>20190303154756265</v>
      </c>
      <c r="B1532" t="str">
        <f>"1551599276261741"</f>
        <v>1551599276261741</v>
      </c>
      <c r="C1532" t="s">
        <v>40</v>
      </c>
      <c r="D1532">
        <v>5.7559050000000003</v>
      </c>
      <c r="E1532">
        <v>0.49296970000000001</v>
      </c>
      <c r="F1532" t="s">
        <v>42</v>
      </c>
      <c r="G1532">
        <v>-191.30170000000001</v>
      </c>
      <c r="H1532">
        <v>1.032505</v>
      </c>
      <c r="I1532">
        <v>352.7937</v>
      </c>
      <c r="J1532">
        <v>-191.30340000000001</v>
      </c>
      <c r="K1532">
        <v>1.1177549999999901</v>
      </c>
      <c r="L1532">
        <v>353.48259999999999</v>
      </c>
      <c r="M1532">
        <v>8.3684999999999996E-2</v>
      </c>
      <c r="N1532">
        <v>-1.3737930000000001E-2</v>
      </c>
      <c r="O1532">
        <v>-0.99639759999999999</v>
      </c>
      <c r="P1532">
        <v>-1.3366380000000001E-2</v>
      </c>
      <c r="Q1532">
        <v>-9.2501440000000004E-2</v>
      </c>
      <c r="R1532">
        <v>-0.99562309999999998</v>
      </c>
      <c r="S1532">
        <v>2.2995000000000002E-2</v>
      </c>
      <c r="T1532">
        <v>-0.29680759999999901</v>
      </c>
      <c r="U1532">
        <v>-2.985779</v>
      </c>
      <c r="V1532">
        <v>9.6024780000000004E-2</v>
      </c>
      <c r="W1532">
        <v>-7.9633380000000004E-2</v>
      </c>
      <c r="X1532">
        <v>0.99218839999999997</v>
      </c>
      <c r="Y1532">
        <v>7.5984239999999995E-2</v>
      </c>
      <c r="Z1532">
        <v>8.4580089999999997E-2</v>
      </c>
      <c r="AA1532">
        <v>0.99351529999999999</v>
      </c>
      <c r="AB1532">
        <v>16</v>
      </c>
      <c r="AC1532">
        <v>1.6999999999995901E-3</v>
      </c>
      <c r="AD1532">
        <v>-8.5249999999999798E-2</v>
      </c>
      <c r="AE1532">
        <v>-0.68889999999998897</v>
      </c>
      <c r="AF1532">
        <v>5.5117951870142602E-2</v>
      </c>
      <c r="AG1532">
        <v>-8.5249999999999798E-2</v>
      </c>
      <c r="AH1532">
        <v>0.67626930463035895</v>
      </c>
      <c r="AI1532">
        <v>97.161267200311997</v>
      </c>
      <c r="AJ1532">
        <v>85.340523230242795</v>
      </c>
      <c r="AK1532">
        <v>0.68384627183570201</v>
      </c>
      <c r="AL1532">
        <v>94.567492599634207</v>
      </c>
      <c r="AM1532">
        <v>84.472085245198002</v>
      </c>
      <c r="AN1532">
        <v>1.0000000273394101</v>
      </c>
    </row>
    <row r="1533" spans="1:40" x14ac:dyDescent="0.25">
      <c r="A1533" t="str">
        <f>"20190303154756289"</f>
        <v>20190303154756289</v>
      </c>
      <c r="B1533" t="str">
        <f>"1551599276282233"</f>
        <v>1551599276282233</v>
      </c>
      <c r="C1533" t="s">
        <v>40</v>
      </c>
      <c r="D1533">
        <v>5.7067740000000002</v>
      </c>
      <c r="E1533">
        <v>0.49325020000000003</v>
      </c>
      <c r="F1533" t="s">
        <v>42</v>
      </c>
      <c r="G1533">
        <v>-191.29910000000001</v>
      </c>
      <c r="H1533">
        <v>1.03552</v>
      </c>
      <c r="I1533">
        <v>352.64589999999998</v>
      </c>
      <c r="J1533">
        <v>-191.29949999999999</v>
      </c>
      <c r="K1533">
        <v>1.1178729999999999</v>
      </c>
      <c r="L1533">
        <v>353.31330000000003</v>
      </c>
      <c r="M1533">
        <v>7.5295570000000006E-2</v>
      </c>
      <c r="N1533">
        <v>-1.343479E-2</v>
      </c>
      <c r="O1533">
        <v>-0.99707080000000003</v>
      </c>
      <c r="P1533">
        <v>-1.6629350000000001E-2</v>
      </c>
      <c r="Q1533">
        <v>-9.0039579999999994E-2</v>
      </c>
      <c r="R1533">
        <v>-0.99579949999999995</v>
      </c>
      <c r="S1533">
        <v>1.58844E-2</v>
      </c>
      <c r="T1533">
        <v>-0.29332229999999998</v>
      </c>
      <c r="U1533">
        <v>-2.9861759999999999</v>
      </c>
      <c r="V1533">
        <v>9.0993610000000003E-2</v>
      </c>
      <c r="W1533">
        <v>-7.7388659999999998E-2</v>
      </c>
      <c r="X1533">
        <v>0.9928399</v>
      </c>
      <c r="Y1533">
        <v>6.9963049999999999E-2</v>
      </c>
      <c r="Z1533">
        <v>8.3843680000000004E-2</v>
      </c>
      <c r="AA1533">
        <v>0.99401980000000001</v>
      </c>
      <c r="AB1533">
        <v>16</v>
      </c>
      <c r="AC1533">
        <v>3.9999999998485599E-4</v>
      </c>
      <c r="AD1533">
        <v>-8.2352999999999899E-2</v>
      </c>
      <c r="AE1533">
        <v>-0.66740000000004296</v>
      </c>
      <c r="AF1533">
        <v>4.9110180011814601E-2</v>
      </c>
      <c r="AG1533">
        <v>-8.2352999999999899E-2</v>
      </c>
      <c r="AH1533">
        <v>0.65555373135486095</v>
      </c>
      <c r="AI1533">
        <v>97.1403909795159</v>
      </c>
      <c r="AJ1533">
        <v>85.715744163303</v>
      </c>
      <c r="AK1533">
        <v>0.66252888320666803</v>
      </c>
      <c r="AL1533">
        <v>94.438481691763897</v>
      </c>
      <c r="AM1533">
        <v>84.763480454761705</v>
      </c>
      <c r="AN1533">
        <v>0.99999995439471701</v>
      </c>
    </row>
    <row r="1534" spans="1:40" x14ac:dyDescent="0.25">
      <c r="A1534" t="str">
        <f>"20190303154756310"</f>
        <v>20190303154756310</v>
      </c>
      <c r="B1534" t="str">
        <f>"1551599276301752"</f>
        <v>1551599276301752</v>
      </c>
      <c r="C1534" t="s">
        <v>40</v>
      </c>
      <c r="D1534">
        <v>5.7214879999999999</v>
      </c>
      <c r="E1534">
        <v>0.493703</v>
      </c>
      <c r="F1534" t="s">
        <v>42</v>
      </c>
      <c r="G1534">
        <v>-191.29839999999999</v>
      </c>
      <c r="H1534">
        <v>1.039317</v>
      </c>
      <c r="I1534">
        <v>352.4975</v>
      </c>
      <c r="J1534">
        <v>-191.29669999999999</v>
      </c>
      <c r="K1534">
        <v>1.117955</v>
      </c>
      <c r="L1534">
        <v>353.15980000000002</v>
      </c>
      <c r="M1534">
        <v>6.7976720000000004E-2</v>
      </c>
      <c r="N1534">
        <v>-1.3129129999999999E-2</v>
      </c>
      <c r="O1534">
        <v>-0.99760059999999995</v>
      </c>
      <c r="P1534">
        <v>-2.015815E-2</v>
      </c>
      <c r="Q1534">
        <v>-8.9040540000000001E-2</v>
      </c>
      <c r="R1534">
        <v>-0.99582400000000004</v>
      </c>
      <c r="S1534">
        <v>3.7231450000000002E-3</v>
      </c>
      <c r="T1534">
        <v>-0.28756809999999899</v>
      </c>
      <c r="U1534">
        <v>-2.9867249999999999</v>
      </c>
      <c r="V1534">
        <v>8.7264270000000005E-2</v>
      </c>
      <c r="W1534">
        <v>-7.663296E-2</v>
      </c>
      <c r="X1534">
        <v>0.99323329999999999</v>
      </c>
      <c r="Y1534">
        <v>6.6694859999999995E-2</v>
      </c>
      <c r="Z1534">
        <v>8.2323720000000003E-2</v>
      </c>
      <c r="AA1534">
        <v>0.99437149999999996</v>
      </c>
      <c r="AB1534">
        <v>16</v>
      </c>
      <c r="AC1534">
        <v>-1.6999999999995901E-3</v>
      </c>
      <c r="AD1534">
        <v>-7.8637999999999902E-2</v>
      </c>
      <c r="AE1534">
        <v>-0.66230000000001599</v>
      </c>
      <c r="AF1534">
        <v>4.6071418278473997E-2</v>
      </c>
      <c r="AG1534">
        <v>-7.8637999999999902E-2</v>
      </c>
      <c r="AH1534">
        <v>0.65146791454384101</v>
      </c>
      <c r="AI1534">
        <v>96.8658294759922</v>
      </c>
      <c r="AJ1534">
        <v>85.954811677916993</v>
      </c>
      <c r="AK1534">
        <v>0.65781224852254805</v>
      </c>
      <c r="AL1534">
        <v>94.395053985530296</v>
      </c>
      <c r="AM1534">
        <v>84.978955420202695</v>
      </c>
      <c r="AN1534">
        <v>1.00000002580294</v>
      </c>
    </row>
    <row r="1535" spans="1:40" x14ac:dyDescent="0.25">
      <c r="A1535" t="str">
        <f>"20190303154756331"</f>
        <v>20190303154756331</v>
      </c>
      <c r="B1535" t="str">
        <f>"1551599276322248"</f>
        <v>1551599276322248</v>
      </c>
      <c r="C1535" t="s">
        <v>40</v>
      </c>
      <c r="D1535">
        <v>5.764246</v>
      </c>
      <c r="E1535">
        <v>0.49392570000000002</v>
      </c>
      <c r="F1535" t="s">
        <v>42</v>
      </c>
      <c r="G1535">
        <v>-191.2996</v>
      </c>
      <c r="H1535">
        <v>1.040446</v>
      </c>
      <c r="I1535">
        <v>352.34989999999999</v>
      </c>
      <c r="J1535">
        <v>-191.2946</v>
      </c>
      <c r="K1535">
        <v>1.1180129999999999</v>
      </c>
      <c r="L1535">
        <v>353.00020000000001</v>
      </c>
      <c r="M1535">
        <v>6.0679589999999999E-2</v>
      </c>
      <c r="N1535">
        <v>-1.277618E-2</v>
      </c>
      <c r="O1535">
        <v>-0.99807559999999995</v>
      </c>
      <c r="P1535">
        <v>-2.1281169999999999E-2</v>
      </c>
      <c r="Q1535">
        <v>-9.0749659999999996E-2</v>
      </c>
      <c r="R1535">
        <v>-0.99564649999999999</v>
      </c>
      <c r="S1535">
        <v>-1.036072E-2</v>
      </c>
      <c r="T1535">
        <v>-0.28582039999999997</v>
      </c>
      <c r="U1535">
        <v>-2.9868160000000001</v>
      </c>
      <c r="V1535">
        <v>8.1126169999999997E-2</v>
      </c>
      <c r="W1535">
        <v>-7.8618649999999998E-2</v>
      </c>
      <c r="X1535">
        <v>0.99359830000000005</v>
      </c>
      <c r="Y1535">
        <v>6.4090159999999993E-2</v>
      </c>
      <c r="Z1535">
        <v>8.2170480000000004E-2</v>
      </c>
      <c r="AA1535">
        <v>0.99455539999999998</v>
      </c>
      <c r="AB1535">
        <v>16</v>
      </c>
      <c r="AC1535">
        <v>-4.9999999999954499E-3</v>
      </c>
      <c r="AD1535">
        <v>-7.75669999999999E-2</v>
      </c>
      <c r="AE1535">
        <v>-0.65030000000001498</v>
      </c>
      <c r="AF1535">
        <v>4.3830383503781802E-2</v>
      </c>
      <c r="AG1535">
        <v>-7.75669999999999E-2</v>
      </c>
      <c r="AH1535">
        <v>0.63969735929153904</v>
      </c>
      <c r="AI1535">
        <v>96.897676431978795</v>
      </c>
      <c r="AJ1535">
        <v>86.080369699246205</v>
      </c>
      <c r="AK1535">
        <v>0.6458718553178</v>
      </c>
      <c r="AL1535">
        <v>94.509170272025798</v>
      </c>
      <c r="AM1535">
        <v>85.332219101306606</v>
      </c>
      <c r="AN1535">
        <v>0.99999996467479002</v>
      </c>
    </row>
    <row r="1536" spans="1:40" x14ac:dyDescent="0.25">
      <c r="A1536" t="str">
        <f>"20190303154756366"</f>
        <v>20190303154756366</v>
      </c>
      <c r="B1536" t="str">
        <f>"1551599276362263"</f>
        <v>1551599276362263</v>
      </c>
      <c r="C1536" t="s">
        <v>40</v>
      </c>
      <c r="D1536">
        <v>5.7110580000000004</v>
      </c>
      <c r="E1536">
        <v>0.49452590000000002</v>
      </c>
      <c r="F1536" t="s">
        <v>42</v>
      </c>
      <c r="G1536">
        <v>-191.2988</v>
      </c>
      <c r="H1536">
        <v>1.039496</v>
      </c>
      <c r="I1536">
        <v>352.2029</v>
      </c>
      <c r="J1536">
        <v>-191.2929</v>
      </c>
      <c r="K1536">
        <v>1.118125</v>
      </c>
      <c r="L1536">
        <v>352.74520000000001</v>
      </c>
      <c r="M1536">
        <v>4.9725329999999998E-2</v>
      </c>
      <c r="N1536">
        <v>-1.2178420000000001E-2</v>
      </c>
      <c r="O1536">
        <v>-0.99868880000000004</v>
      </c>
      <c r="P1536">
        <v>-2.656244E-2</v>
      </c>
      <c r="Q1536">
        <v>-9.6394900000000006E-2</v>
      </c>
      <c r="R1536">
        <v>-0.9949886</v>
      </c>
      <c r="S1536">
        <v>-1.548767E-2</v>
      </c>
      <c r="T1536">
        <v>-0.2939736</v>
      </c>
      <c r="U1536">
        <v>-2.985992</v>
      </c>
      <c r="V1536">
        <v>7.5477290000000002E-2</v>
      </c>
      <c r="W1536">
        <v>-8.477817E-2</v>
      </c>
      <c r="X1536">
        <v>0.993537</v>
      </c>
      <c r="Y1536">
        <v>5.4852480000000002E-2</v>
      </c>
      <c r="Z1536">
        <v>8.5592580000000001E-2</v>
      </c>
      <c r="AA1536">
        <v>0.99481920000000001</v>
      </c>
      <c r="AB1536">
        <v>16</v>
      </c>
      <c r="AC1536">
        <v>-5.8999999999968999E-3</v>
      </c>
      <c r="AD1536">
        <v>-7.8629000000000004E-2</v>
      </c>
      <c r="AE1536">
        <v>-0.542300000000011</v>
      </c>
      <c r="AF1536">
        <v>3.2184227491694098E-2</v>
      </c>
      <c r="AG1536">
        <v>-7.8629000000000004E-2</v>
      </c>
      <c r="AH1536">
        <v>0.53019096658131404</v>
      </c>
      <c r="AI1536">
        <v>98.420383155321602</v>
      </c>
      <c r="AJ1536">
        <v>86.526232010101396</v>
      </c>
      <c r="AK1536">
        <v>0.53695512399516698</v>
      </c>
      <c r="AL1536">
        <v>94.863269074122002</v>
      </c>
      <c r="AM1536">
        <v>85.655683036436699</v>
      </c>
      <c r="AN1536">
        <v>0.999999964891645</v>
      </c>
    </row>
    <row r="1537" spans="1:40" x14ac:dyDescent="0.25">
      <c r="A1537" t="str">
        <f>"20190303154756389"</f>
        <v>20190303154756389</v>
      </c>
      <c r="B1537" t="str">
        <f>"1551599276382291"</f>
        <v>1551599276382291</v>
      </c>
      <c r="C1537" t="s">
        <v>40</v>
      </c>
      <c r="D1537">
        <v>5.8276820000000003</v>
      </c>
      <c r="E1537">
        <v>0.49461699999999997</v>
      </c>
      <c r="F1537" t="s">
        <v>42</v>
      </c>
      <c r="G1537">
        <v>-191.303</v>
      </c>
      <c r="H1537">
        <v>1.0303310000000001</v>
      </c>
      <c r="I1537">
        <v>351.91129999999998</v>
      </c>
      <c r="J1537">
        <v>-191.2927</v>
      </c>
      <c r="K1537">
        <v>1.1182259999999999</v>
      </c>
      <c r="L1537">
        <v>352.57199999999898</v>
      </c>
      <c r="M1537">
        <v>4.2784250000000003E-2</v>
      </c>
      <c r="N1537">
        <v>-1.179905E-2</v>
      </c>
      <c r="O1537">
        <v>-0.99901490000000004</v>
      </c>
      <c r="P1537">
        <v>-2.9851809999999999E-2</v>
      </c>
      <c r="Q1537">
        <v>-0.10000970000000001</v>
      </c>
      <c r="R1537">
        <v>-0.9945389</v>
      </c>
      <c r="S1537">
        <v>-3.6392210000000001E-2</v>
      </c>
      <c r="T1537">
        <v>-0.31429309999999899</v>
      </c>
      <c r="U1537">
        <v>-2.9837340000000001</v>
      </c>
      <c r="V1537">
        <v>7.1855580000000002E-2</v>
      </c>
      <c r="W1537">
        <v>-8.8719580000000006E-2</v>
      </c>
      <c r="X1537">
        <v>0.99346140000000005</v>
      </c>
      <c r="Y1537">
        <v>5.4878110000000001E-2</v>
      </c>
      <c r="Z1537">
        <v>9.2784989999999998E-2</v>
      </c>
      <c r="AA1537">
        <v>0.99417270000000002</v>
      </c>
      <c r="AB1537">
        <v>16</v>
      </c>
      <c r="AC1537">
        <v>-1.03000000000008E-2</v>
      </c>
      <c r="AD1537">
        <v>-8.7895000000000001E-2</v>
      </c>
      <c r="AE1537">
        <v>-0.66069999999996298</v>
      </c>
      <c r="AF1537">
        <v>3.7889680656501903E-2</v>
      </c>
      <c r="AG1537">
        <v>-8.7895000000000001E-2</v>
      </c>
      <c r="AH1537">
        <v>0.64818554503520798</v>
      </c>
      <c r="AI1537">
        <v>97.709296126660107</v>
      </c>
      <c r="AJ1537">
        <v>86.654582632988294</v>
      </c>
      <c r="AK1537">
        <v>0.65521420903231498</v>
      </c>
      <c r="AL1537">
        <v>95.089949900135295</v>
      </c>
      <c r="AM1537">
        <v>85.863085732915906</v>
      </c>
      <c r="AN1537">
        <v>0.99999997077123604</v>
      </c>
    </row>
    <row r="1538" spans="1:40" x14ac:dyDescent="0.25">
      <c r="A1538" t="str">
        <f>"20190303154756411"</f>
        <v>20190303154756411</v>
      </c>
      <c r="B1538" t="str">
        <f>"1551599276401810"</f>
        <v>1551599276401810</v>
      </c>
      <c r="C1538" t="s">
        <v>40</v>
      </c>
      <c r="D1538">
        <v>5.7986769999999996</v>
      </c>
      <c r="E1538">
        <v>0.49468489999999998</v>
      </c>
      <c r="F1538" t="s">
        <v>42</v>
      </c>
      <c r="G1538">
        <v>-191.30549999999999</v>
      </c>
      <c r="H1538">
        <v>1.0292950000000001</v>
      </c>
      <c r="I1538">
        <v>351.76319999999998</v>
      </c>
      <c r="J1538">
        <v>-191.29320000000001</v>
      </c>
      <c r="K1538">
        <v>1.118322</v>
      </c>
      <c r="L1538">
        <v>352.40210000000002</v>
      </c>
      <c r="M1538">
        <v>3.6290849999999999E-2</v>
      </c>
      <c r="N1538">
        <v>-1.145878E-2</v>
      </c>
      <c r="O1538">
        <v>-0.99927560000000004</v>
      </c>
      <c r="P1538">
        <v>-3.2477199999999998E-2</v>
      </c>
      <c r="Q1538">
        <v>-0.1017001</v>
      </c>
      <c r="R1538">
        <v>-0.99428479999999997</v>
      </c>
      <c r="S1538">
        <v>-4.6829219999999998E-2</v>
      </c>
      <c r="T1538">
        <v>-0.32776939999999999</v>
      </c>
      <c r="U1538">
        <v>-2.9820859999999998</v>
      </c>
      <c r="V1538">
        <v>6.8036899999999997E-2</v>
      </c>
      <c r="W1538">
        <v>-9.0701939999999995E-2</v>
      </c>
      <c r="X1538">
        <v>0.99355130000000003</v>
      </c>
      <c r="Y1538">
        <v>5.1868690000000002E-2</v>
      </c>
      <c r="Z1538">
        <v>9.7666210000000003E-2</v>
      </c>
      <c r="AA1538">
        <v>0.99386669999999999</v>
      </c>
      <c r="AB1538">
        <v>16</v>
      </c>
      <c r="AC1538">
        <v>-1.22999999999819E-2</v>
      </c>
      <c r="AD1538">
        <v>-8.9026999999999898E-2</v>
      </c>
      <c r="AE1538">
        <v>-0.638900000000035</v>
      </c>
      <c r="AF1538">
        <v>3.4804108260361503E-2</v>
      </c>
      <c r="AG1538">
        <v>-8.9026999999999898E-2</v>
      </c>
      <c r="AH1538">
        <v>0.62588450254610295</v>
      </c>
      <c r="AI1538">
        <v>98.083230943278195</v>
      </c>
      <c r="AJ1538">
        <v>86.817181330674998</v>
      </c>
      <c r="AK1538">
        <v>0.63314180339650805</v>
      </c>
      <c r="AL1538">
        <v>95.203990335965102</v>
      </c>
      <c r="AM1538">
        <v>86.082586794383104</v>
      </c>
      <c r="AN1538">
        <v>1.0000000237065301</v>
      </c>
    </row>
    <row r="1539" spans="1:40" x14ac:dyDescent="0.25">
      <c r="A1539" t="str">
        <f>"20190303154756433"</f>
        <v>20190303154756433</v>
      </c>
      <c r="B1539" t="str">
        <f>"1551599276422307"</f>
        <v>1551599276422307</v>
      </c>
      <c r="C1539" t="s">
        <v>40</v>
      </c>
      <c r="D1539">
        <v>5.7269119999999996</v>
      </c>
      <c r="E1539">
        <v>0.4947896</v>
      </c>
      <c r="F1539" t="s">
        <v>42</v>
      </c>
      <c r="G1539">
        <v>-191.30779999999999</v>
      </c>
      <c r="H1539">
        <v>1.029747</v>
      </c>
      <c r="I1539">
        <v>351.61410000000001</v>
      </c>
      <c r="J1539">
        <v>-191.29419999999999</v>
      </c>
      <c r="K1539">
        <v>1.118414</v>
      </c>
      <c r="L1539">
        <v>352.24720000000002</v>
      </c>
      <c r="M1539">
        <v>3.0657489999999999E-2</v>
      </c>
      <c r="N1539">
        <v>-1.1155979999999999E-2</v>
      </c>
      <c r="O1539">
        <v>-0.99946769999999996</v>
      </c>
      <c r="P1539">
        <v>-3.4182909999999997E-2</v>
      </c>
      <c r="Q1539">
        <v>-0.1000892</v>
      </c>
      <c r="R1539">
        <v>-0.99439100000000002</v>
      </c>
      <c r="S1539">
        <v>-5.528259E-2</v>
      </c>
      <c r="T1539">
        <v>-0.33506989999999998</v>
      </c>
      <c r="U1539">
        <v>-2.9811709999999998</v>
      </c>
      <c r="V1539">
        <v>6.4179509999999995E-2</v>
      </c>
      <c r="W1539">
        <v>-8.9349460000000006E-2</v>
      </c>
      <c r="X1539">
        <v>0.99393039999999999</v>
      </c>
      <c r="Y1539">
        <v>4.905843E-2</v>
      </c>
      <c r="Z1539">
        <v>0.1004405</v>
      </c>
      <c r="AA1539">
        <v>0.99373290000000003</v>
      </c>
      <c r="AB1539">
        <v>16</v>
      </c>
      <c r="AC1539">
        <v>-1.35999999999967E-2</v>
      </c>
      <c r="AD1539">
        <v>-8.8666999999999996E-2</v>
      </c>
      <c r="AE1539">
        <v>-0.63310000000001299</v>
      </c>
      <c r="AF1539">
        <v>3.2369450244607599E-2</v>
      </c>
      <c r="AG1539">
        <v>-8.8666999999999996E-2</v>
      </c>
      <c r="AH1539">
        <v>0.62022554251900797</v>
      </c>
      <c r="AI1539">
        <v>98.124927757154097</v>
      </c>
      <c r="AJ1539">
        <v>87.012454928640295</v>
      </c>
      <c r="AK1539">
        <v>0.62736699131460205</v>
      </c>
      <c r="AL1539">
        <v>95.126183179349795</v>
      </c>
      <c r="AM1539">
        <v>86.305458488482003</v>
      </c>
      <c r="AN1539">
        <v>0.99999998777514498</v>
      </c>
    </row>
    <row r="1540" spans="1:40" x14ac:dyDescent="0.25">
      <c r="A1540" t="str">
        <f>"20190303154756458"</f>
        <v>20190303154756458</v>
      </c>
      <c r="B1540" t="str">
        <f>"1551599276452562"</f>
        <v>1551599276452562</v>
      </c>
      <c r="C1540" t="s">
        <v>40</v>
      </c>
      <c r="D1540">
        <v>5.8528120000000001</v>
      </c>
      <c r="E1540">
        <v>0.4950078</v>
      </c>
      <c r="F1540" t="s">
        <v>42</v>
      </c>
      <c r="G1540">
        <v>-191.31039999999999</v>
      </c>
      <c r="H1540">
        <v>1.0312680000000001</v>
      </c>
      <c r="I1540">
        <v>351.46390000000002</v>
      </c>
      <c r="J1540">
        <v>-191.2962</v>
      </c>
      <c r="K1540">
        <v>1.118501</v>
      </c>
      <c r="L1540">
        <v>352.06299999999999</v>
      </c>
      <c r="M1540">
        <v>2.431411E-2</v>
      </c>
      <c r="N1540">
        <v>-1.0785110000000001E-2</v>
      </c>
      <c r="O1540">
        <v>-0.99964640000000005</v>
      </c>
      <c r="P1540">
        <v>-3.6567179999999998E-2</v>
      </c>
      <c r="Q1540">
        <v>-9.6327419999999997E-2</v>
      </c>
      <c r="R1540">
        <v>-0.99467799999999995</v>
      </c>
      <c r="S1540">
        <v>-6.1172490000000003E-2</v>
      </c>
      <c r="T1540">
        <v>-0.33168160000000002</v>
      </c>
      <c r="U1540">
        <v>-2.9814759999999998</v>
      </c>
      <c r="V1540">
        <v>6.030787E-2</v>
      </c>
      <c r="W1540">
        <v>-8.5913600000000007E-2</v>
      </c>
      <c r="X1540">
        <v>0.99447569999999996</v>
      </c>
      <c r="Y1540">
        <v>4.4685780000000001E-2</v>
      </c>
      <c r="Z1540">
        <v>9.9721599999999994E-2</v>
      </c>
      <c r="AA1540">
        <v>0.99401150000000005</v>
      </c>
      <c r="AB1540">
        <v>16</v>
      </c>
      <c r="AC1540">
        <v>-1.4199999999988199E-2</v>
      </c>
      <c r="AD1540">
        <v>-8.7232999999999894E-2</v>
      </c>
      <c r="AE1540">
        <v>-0.59910000000002095</v>
      </c>
      <c r="AF1540">
        <v>2.8166399388440601E-2</v>
      </c>
      <c r="AG1540">
        <v>-8.7232999999999894E-2</v>
      </c>
      <c r="AH1540">
        <v>0.58615725413867104</v>
      </c>
      <c r="AI1540">
        <v>98.455121154083898</v>
      </c>
      <c r="AJ1540">
        <v>87.248903113288193</v>
      </c>
      <c r="AK1540">
        <v>0.59328177868774601</v>
      </c>
      <c r="AL1540">
        <v>94.928562228447106</v>
      </c>
      <c r="AM1540">
        <v>86.529668901151098</v>
      </c>
      <c r="AN1540">
        <v>1.0000000518696901</v>
      </c>
    </row>
    <row r="1541" spans="1:40" x14ac:dyDescent="0.25">
      <c r="A1541" t="str">
        <f>"20190303154756478"</f>
        <v>20190303154756478</v>
      </c>
      <c r="B1541" t="str">
        <f>"1551599276472083"</f>
        <v>1551599276472083</v>
      </c>
      <c r="C1541" t="s">
        <v>40</v>
      </c>
      <c r="D1541">
        <v>5.8292210000000004</v>
      </c>
      <c r="E1541">
        <v>0.49505700000000002</v>
      </c>
      <c r="F1541" t="s">
        <v>42</v>
      </c>
      <c r="G1541">
        <v>-191.31389999999999</v>
      </c>
      <c r="H1541">
        <v>1.037342</v>
      </c>
      <c r="I1541">
        <v>351.31099999999998</v>
      </c>
      <c r="J1541">
        <v>-191.29839999999999</v>
      </c>
      <c r="K1541">
        <v>1.118571</v>
      </c>
      <c r="L1541">
        <v>351.90449999999998</v>
      </c>
      <c r="M1541">
        <v>1.9152909999999999E-2</v>
      </c>
      <c r="N1541">
        <v>-1.0456399999999999E-2</v>
      </c>
      <c r="O1541">
        <v>-0.99976209999999999</v>
      </c>
      <c r="P1541">
        <v>-3.9236720000000003E-2</v>
      </c>
      <c r="Q1541">
        <v>-9.3557570000000007E-2</v>
      </c>
      <c r="R1541">
        <v>-0.99484059999999996</v>
      </c>
      <c r="S1541">
        <v>-7.0205690000000001E-2</v>
      </c>
      <c r="T1541">
        <v>-0.3218744</v>
      </c>
      <c r="U1541">
        <v>-2.9823</v>
      </c>
      <c r="V1541">
        <v>5.7878480000000003E-2</v>
      </c>
      <c r="W1541">
        <v>-8.344298E-2</v>
      </c>
      <c r="X1541">
        <v>0.99483029999999995</v>
      </c>
      <c r="Y1541">
        <v>4.2541669999999997E-2</v>
      </c>
      <c r="Z1541">
        <v>9.6808080000000005E-2</v>
      </c>
      <c r="AA1541">
        <v>0.99439350000000004</v>
      </c>
      <c r="AB1541">
        <v>16</v>
      </c>
      <c r="AC1541">
        <v>-1.55000000000029E-2</v>
      </c>
      <c r="AD1541">
        <v>-8.1228999999999996E-2</v>
      </c>
      <c r="AE1541">
        <v>-0.59350000000000502</v>
      </c>
      <c r="AF1541">
        <v>2.6371379466536699E-2</v>
      </c>
      <c r="AG1541">
        <v>-8.1228999999999996E-2</v>
      </c>
      <c r="AH1541">
        <v>0.582196055526356</v>
      </c>
      <c r="AI1541">
        <v>97.934700357173696</v>
      </c>
      <c r="AJ1541">
        <v>87.406480830446995</v>
      </c>
      <c r="AK1541">
        <v>0.58842658604656495</v>
      </c>
      <c r="AL1541">
        <v>94.786496154832903</v>
      </c>
      <c r="AM1541">
        <v>86.670327962697002</v>
      </c>
      <c r="AN1541">
        <v>0.99999998757824005</v>
      </c>
    </row>
    <row r="1542" spans="1:40" x14ac:dyDescent="0.25">
      <c r="A1542" t="str">
        <f>"20190303154756500"</f>
        <v>20190303154756500</v>
      </c>
      <c r="B1542" t="str">
        <f>"1551599276492579"</f>
        <v>1551599276492579</v>
      </c>
      <c r="C1542" t="s">
        <v>40</v>
      </c>
      <c r="D1542">
        <v>5.7729850000000003</v>
      </c>
      <c r="E1542">
        <v>0.49506410000000001</v>
      </c>
      <c r="F1542" t="s">
        <v>42</v>
      </c>
      <c r="G1542">
        <v>-191.31819999999999</v>
      </c>
      <c r="H1542">
        <v>1.0398449999999999</v>
      </c>
      <c r="I1542">
        <v>351.15910000000002</v>
      </c>
      <c r="J1542">
        <v>-191.3015</v>
      </c>
      <c r="K1542">
        <v>1.11863</v>
      </c>
      <c r="L1542">
        <v>351.73399999999998</v>
      </c>
      <c r="M1542">
        <v>1.385657E-2</v>
      </c>
      <c r="N1542">
        <v>-1.0095679999999999E-2</v>
      </c>
      <c r="O1542">
        <v>-0.99985329999999994</v>
      </c>
      <c r="P1542">
        <v>-4.2319280000000001E-2</v>
      </c>
      <c r="Q1542">
        <v>-9.0796009999999996E-2</v>
      </c>
      <c r="R1542">
        <v>-0.99497020000000003</v>
      </c>
      <c r="S1542">
        <v>-7.8384399999999896E-2</v>
      </c>
      <c r="T1542">
        <v>-0.31491390000000002</v>
      </c>
      <c r="U1542">
        <v>-2.9828489999999999</v>
      </c>
      <c r="V1542">
        <v>5.5723389999999998E-2</v>
      </c>
      <c r="W1542">
        <v>-8.1015619999999997E-2</v>
      </c>
      <c r="X1542">
        <v>0.99515399999999998</v>
      </c>
      <c r="Y1542">
        <v>3.9977390000000002E-2</v>
      </c>
      <c r="Z1542">
        <v>9.4869289999999995E-2</v>
      </c>
      <c r="AA1542">
        <v>0.99468670000000003</v>
      </c>
      <c r="AB1542">
        <v>17</v>
      </c>
      <c r="AC1542">
        <v>-1.66999999999859E-2</v>
      </c>
      <c r="AD1542">
        <v>-7.87849999999998E-2</v>
      </c>
      <c r="AE1542">
        <v>-0.57490000000001296</v>
      </c>
      <c r="AF1542">
        <v>2.4210642705708101E-2</v>
      </c>
      <c r="AG1542">
        <v>-7.87849999999998E-2</v>
      </c>
      <c r="AH1542">
        <v>0.56402966948261102</v>
      </c>
      <c r="AI1542">
        <v>97.944538475717295</v>
      </c>
      <c r="AJ1542">
        <v>87.542121084438307</v>
      </c>
      <c r="AK1542">
        <v>0.57001991149598097</v>
      </c>
      <c r="AL1542">
        <v>94.646945723982299</v>
      </c>
      <c r="AM1542">
        <v>86.795084473441307</v>
      </c>
      <c r="AN1542">
        <v>1.00000005529653</v>
      </c>
    </row>
    <row r="1543" spans="1:40" x14ac:dyDescent="0.25">
      <c r="A1543" t="str">
        <f>"20190303154756523"</f>
        <v>20190303154756523</v>
      </c>
      <c r="B1543" t="str">
        <f>"1551599276512099"</f>
        <v>1551599276512099</v>
      </c>
      <c r="C1543" t="s">
        <v>40</v>
      </c>
      <c r="D1543">
        <v>5.7639079999999998</v>
      </c>
      <c r="E1543">
        <v>0.49507709999999999</v>
      </c>
      <c r="F1543" t="s">
        <v>42</v>
      </c>
      <c r="G1543">
        <v>-191.32300000000001</v>
      </c>
      <c r="H1543">
        <v>1.0433920000000001</v>
      </c>
      <c r="I1543">
        <v>351.0061</v>
      </c>
      <c r="J1543">
        <v>-191.30520000000001</v>
      </c>
      <c r="K1543">
        <v>1.11866</v>
      </c>
      <c r="L1543">
        <v>351.56220000000002</v>
      </c>
      <c r="M1543">
        <v>8.7737119999999995E-3</v>
      </c>
      <c r="N1543">
        <v>-9.7229080000000006E-3</v>
      </c>
      <c r="O1543">
        <v>-0.99991439999999998</v>
      </c>
      <c r="P1543">
        <v>-4.4787420000000001E-2</v>
      </c>
      <c r="Q1543">
        <v>-8.9698600000000003E-2</v>
      </c>
      <c r="R1543">
        <v>-0.99496150000000005</v>
      </c>
      <c r="S1543">
        <v>-8.7600709999999998E-2</v>
      </c>
      <c r="T1543">
        <v>-0.30830970000000002</v>
      </c>
      <c r="U1543">
        <v>-2.9833069999999999</v>
      </c>
      <c r="V1543">
        <v>5.315218E-2</v>
      </c>
      <c r="W1543">
        <v>-8.0266470000000006E-2</v>
      </c>
      <c r="X1543">
        <v>0.99535530000000005</v>
      </c>
      <c r="Y1543">
        <v>3.7971930000000001E-2</v>
      </c>
      <c r="Z1543">
        <v>9.3055020000000002E-2</v>
      </c>
      <c r="AA1543">
        <v>0.99493659999999995</v>
      </c>
      <c r="AB1543">
        <v>17</v>
      </c>
      <c r="AC1543">
        <v>-1.77999999999656E-2</v>
      </c>
      <c r="AD1543">
        <v>-7.5267999999999793E-2</v>
      </c>
      <c r="AE1543">
        <v>-0.55610000000001403</v>
      </c>
      <c r="AF1543">
        <v>2.2271028137021899E-2</v>
      </c>
      <c r="AG1543">
        <v>-7.5267999999999793E-2</v>
      </c>
      <c r="AH1543">
        <v>0.54593142887864099</v>
      </c>
      <c r="AI1543">
        <v>97.843483700455096</v>
      </c>
      <c r="AJ1543">
        <v>87.663939648025007</v>
      </c>
      <c r="AK1543">
        <v>0.55154546100548596</v>
      </c>
      <c r="AL1543">
        <v>94.603882521052597</v>
      </c>
      <c r="AM1543">
        <v>86.943296733702297</v>
      </c>
      <c r="AN1543">
        <v>1.0000000168415499</v>
      </c>
    </row>
    <row r="1544" spans="1:40" x14ac:dyDescent="0.25">
      <c r="A1544" t="str">
        <f>"20190303154756546"</f>
        <v>20190303154756546</v>
      </c>
      <c r="B1544" t="str">
        <f>"1551599276542355"</f>
        <v>1551599276542355</v>
      </c>
      <c r="C1544" t="s">
        <v>40</v>
      </c>
      <c r="D1544">
        <v>5.7381190000000002</v>
      </c>
      <c r="E1544">
        <v>0.50229009999999996</v>
      </c>
      <c r="F1544" t="s">
        <v>42</v>
      </c>
      <c r="G1544">
        <v>-191.33240000000001</v>
      </c>
      <c r="H1544">
        <v>1.030735</v>
      </c>
      <c r="I1544">
        <v>350.70749999999998</v>
      </c>
      <c r="J1544">
        <v>-191.30950000000001</v>
      </c>
      <c r="K1544">
        <v>1.1186720000000001</v>
      </c>
      <c r="L1544">
        <v>351.38979999999998</v>
      </c>
      <c r="M1544">
        <v>3.866965E-3</v>
      </c>
      <c r="N1544">
        <v>-9.3490840000000006E-3</v>
      </c>
      <c r="O1544">
        <v>-0.99994879999999997</v>
      </c>
      <c r="P1544">
        <v>-4.4863720000000003E-2</v>
      </c>
      <c r="Q1544">
        <v>-8.7676909999999997E-2</v>
      </c>
      <c r="R1544">
        <v>-0.99513819999999997</v>
      </c>
      <c r="S1544">
        <v>-9.5123289999999999E-2</v>
      </c>
      <c r="T1544">
        <v>-0.30691970000000002</v>
      </c>
      <c r="U1544">
        <v>-2.983215</v>
      </c>
      <c r="V1544">
        <v>4.8364629999999999E-2</v>
      </c>
      <c r="W1544">
        <v>-7.8585840000000004E-2</v>
      </c>
      <c r="X1544">
        <v>0.99573339999999999</v>
      </c>
      <c r="Y1544">
        <v>3.5578150000000003E-2</v>
      </c>
      <c r="Z1544">
        <v>9.297764E-2</v>
      </c>
      <c r="AA1544">
        <v>0.99503229999999998</v>
      </c>
      <c r="AB1544">
        <v>17</v>
      </c>
      <c r="AC1544">
        <v>-2.2899999999992801E-2</v>
      </c>
      <c r="AD1544">
        <v>-8.7936999999999904E-2</v>
      </c>
      <c r="AE1544">
        <v>-0.68229999999999702</v>
      </c>
      <c r="AF1544">
        <v>2.5121552878336902E-2</v>
      </c>
      <c r="AG1544">
        <v>-8.7936999999999904E-2</v>
      </c>
      <c r="AH1544">
        <v>0.67107179290799501</v>
      </c>
      <c r="AI1544">
        <v>97.460314236023905</v>
      </c>
      <c r="AJ1544">
        <v>87.856135255278502</v>
      </c>
      <c r="AK1544">
        <v>0.67727495127516002</v>
      </c>
      <c r="AL1544">
        <v>94.507284684633106</v>
      </c>
      <c r="AM1544">
        <v>87.2192224871566</v>
      </c>
      <c r="AN1544">
        <v>0.99999993777954899</v>
      </c>
    </row>
    <row r="1545" spans="1:40" x14ac:dyDescent="0.25">
      <c r="A1545" t="str">
        <f>"20190303154756568"</f>
        <v>20190303154756568</v>
      </c>
      <c r="B1545" t="str">
        <f>"1551599276561875"</f>
        <v>1551599276561875</v>
      </c>
      <c r="C1545" t="s">
        <v>40</v>
      </c>
      <c r="D1545">
        <v>5.7256130000000001</v>
      </c>
      <c r="E1545">
        <v>0.50215659999999995</v>
      </c>
      <c r="F1545" t="s">
        <v>41</v>
      </c>
      <c r="G1545">
        <v>-192.17740000000001</v>
      </c>
      <c r="H1545" s="1">
        <v>-2.6406900000000001E-6</v>
      </c>
      <c r="I1545">
        <v>334.39420000000001</v>
      </c>
      <c r="J1545">
        <v>-191.3143</v>
      </c>
      <c r="K1545">
        <v>1.1186609999999999</v>
      </c>
      <c r="L1545">
        <v>351.22089999999997</v>
      </c>
      <c r="M1545">
        <v>-7.9573269999999997E-4</v>
      </c>
      <c r="N1545">
        <v>-8.9971659999999992E-3</v>
      </c>
      <c r="O1545">
        <v>-0.9999593</v>
      </c>
      <c r="P1545">
        <v>-4.3714360000000001E-2</v>
      </c>
      <c r="Q1545">
        <v>-8.4698540000000003E-2</v>
      </c>
      <c r="R1545">
        <v>-0.99544730000000003</v>
      </c>
      <c r="S1545">
        <v>-0.15270999999999901</v>
      </c>
      <c r="T1545">
        <v>-0.1968327</v>
      </c>
      <c r="U1545">
        <v>-2.9904169999999999</v>
      </c>
      <c r="V1545">
        <v>4.25899E-2</v>
      </c>
      <c r="W1545">
        <v>-7.5925969999999995E-2</v>
      </c>
      <c r="X1545">
        <v>0.99620350000000002</v>
      </c>
      <c r="Y1545">
        <v>5.0106589999999999E-2</v>
      </c>
      <c r="Z1545">
        <v>5.6614949999999997E-2</v>
      </c>
      <c r="AA1545">
        <v>0.99713799999999997</v>
      </c>
      <c r="AB1545">
        <v>17</v>
      </c>
      <c r="AC1545">
        <v>-0.86310000000000198</v>
      </c>
      <c r="AD1545">
        <v>-1.1186636406899999</v>
      </c>
      <c r="AE1545">
        <v>-16.826699999999899</v>
      </c>
      <c r="AF1545">
        <v>0.84598039084765297</v>
      </c>
      <c r="AG1545">
        <v>-1.1186636406899999</v>
      </c>
      <c r="AH1545">
        <v>16.753528809930401</v>
      </c>
      <c r="AI1545">
        <v>93.815226507186097</v>
      </c>
      <c r="AJ1545">
        <v>87.109267425306797</v>
      </c>
      <c r="AK1545">
        <v>16.812133081434599</v>
      </c>
      <c r="AL1545">
        <v>94.354428046843196</v>
      </c>
      <c r="AM1545">
        <v>87.551969610532495</v>
      </c>
      <c r="AN1545">
        <v>1.00000003295735</v>
      </c>
    </row>
    <row r="1546" spans="1:40" x14ac:dyDescent="0.25">
      <c r="A1546" t="str">
        <f>"20190303154756591"</f>
        <v>20190303154756591</v>
      </c>
      <c r="B1546" t="str">
        <f>"1551599276581902"</f>
        <v>1551599276581902</v>
      </c>
      <c r="C1546" t="s">
        <v>40</v>
      </c>
      <c r="D1546">
        <v>5.7139119999999997</v>
      </c>
      <c r="E1546">
        <v>0.50178179999999994</v>
      </c>
      <c r="F1546" t="s">
        <v>41</v>
      </c>
      <c r="G1546">
        <v>-192.1977</v>
      </c>
      <c r="H1546" s="1">
        <v>-2.181653E-6</v>
      </c>
      <c r="I1546">
        <v>333.3116</v>
      </c>
      <c r="J1546">
        <v>-191.3203</v>
      </c>
      <c r="K1546">
        <v>1.1186069999999999</v>
      </c>
      <c r="L1546">
        <v>351.0342</v>
      </c>
      <c r="M1546">
        <v>-5.8007450000000004E-3</v>
      </c>
      <c r="N1546">
        <v>-8.6106619999999998E-3</v>
      </c>
      <c r="O1546">
        <v>-0.99994609999999995</v>
      </c>
      <c r="P1546">
        <v>-4.3284419999999997E-2</v>
      </c>
      <c r="Q1546">
        <v>-8.2517939999999998E-2</v>
      </c>
      <c r="R1546">
        <v>-0.99564929999999996</v>
      </c>
      <c r="S1546">
        <v>-0.1475525</v>
      </c>
      <c r="T1546">
        <v>-0.18684580000000001</v>
      </c>
      <c r="U1546">
        <v>-2.991333</v>
      </c>
      <c r="V1546">
        <v>3.718308E-2</v>
      </c>
      <c r="W1546">
        <v>-7.4103589999999997E-2</v>
      </c>
      <c r="X1546">
        <v>0.99655709999999997</v>
      </c>
      <c r="Y1546">
        <v>4.3387729999999999E-2</v>
      </c>
      <c r="Z1546">
        <v>5.3677250000000003E-2</v>
      </c>
      <c r="AA1546">
        <v>0.99761529999999998</v>
      </c>
      <c r="AB1546">
        <v>17</v>
      </c>
      <c r="AC1546">
        <v>-0.87739999999999396</v>
      </c>
      <c r="AD1546">
        <v>-1.1186091816529999</v>
      </c>
      <c r="AE1546">
        <v>-17.7226</v>
      </c>
      <c r="AF1546">
        <v>0.77151108034436</v>
      </c>
      <c r="AG1546">
        <v>-1.1186091816529999</v>
      </c>
      <c r="AH1546">
        <v>17.6572200168637</v>
      </c>
      <c r="AI1546">
        <v>93.621476113703693</v>
      </c>
      <c r="AJ1546">
        <v>87.498120881148793</v>
      </c>
      <c r="AK1546">
        <v>17.7094306676501</v>
      </c>
      <c r="AL1546">
        <v>94.2497185142239</v>
      </c>
      <c r="AM1546">
        <v>87.863197452648095</v>
      </c>
      <c r="AN1546">
        <v>0.99999998852479199</v>
      </c>
    </row>
    <row r="1547" spans="1:40" x14ac:dyDescent="0.25">
      <c r="A1547" t="str">
        <f>"20190303154756617"</f>
        <v>20190303154756617</v>
      </c>
      <c r="B1547" t="str">
        <f>"1551599276612158"</f>
        <v>1551599276612158</v>
      </c>
      <c r="C1547" t="s">
        <v>40</v>
      </c>
      <c r="D1547">
        <v>5.7411750000000001</v>
      </c>
      <c r="E1547">
        <v>0.50172380000000005</v>
      </c>
      <c r="F1547" t="s">
        <v>41</v>
      </c>
      <c r="G1547">
        <v>-192.18899999999999</v>
      </c>
      <c r="H1547" s="1">
        <v>-1.9993890000000002E-6</v>
      </c>
      <c r="I1547">
        <v>332.89210000000003</v>
      </c>
      <c r="J1547">
        <v>-191.3272</v>
      </c>
      <c r="K1547">
        <v>1.11853799999999</v>
      </c>
      <c r="L1547">
        <v>350.84469999999999</v>
      </c>
      <c r="M1547">
        <v>-1.0703519999999999E-2</v>
      </c>
      <c r="N1547">
        <v>-8.1971960000000003E-3</v>
      </c>
      <c r="O1547">
        <v>-0.9999093</v>
      </c>
      <c r="P1547">
        <v>-4.2996399999999997E-2</v>
      </c>
      <c r="Q1547">
        <v>-8.368457E-2</v>
      </c>
      <c r="R1547">
        <v>-0.99556460000000002</v>
      </c>
      <c r="S1547">
        <v>-0.1432495</v>
      </c>
      <c r="T1547">
        <v>-0.18445629999999999</v>
      </c>
      <c r="U1547">
        <v>-2.9916079999999998</v>
      </c>
      <c r="V1547">
        <v>3.2006300000000001E-2</v>
      </c>
      <c r="W1547">
        <v>-7.5658600000000006E-2</v>
      </c>
      <c r="X1547">
        <v>0.99661999999999995</v>
      </c>
      <c r="Y1547">
        <v>3.7056039999999998E-2</v>
      </c>
      <c r="Z1547">
        <v>5.329793E-2</v>
      </c>
      <c r="AA1547">
        <v>0.99789090000000003</v>
      </c>
      <c r="AB1547">
        <v>17</v>
      </c>
      <c r="AC1547">
        <v>-0.861800000000016</v>
      </c>
      <c r="AD1547">
        <v>-1.11853999938899</v>
      </c>
      <c r="AE1547">
        <v>-17.952599999999901</v>
      </c>
      <c r="AF1547">
        <v>0.66700487805834496</v>
      </c>
      <c r="AG1547">
        <v>-1.11853999938899</v>
      </c>
      <c r="AH1547">
        <v>17.891502152265598</v>
      </c>
      <c r="AI1547">
        <v>93.574881766215796</v>
      </c>
      <c r="AJ1547">
        <v>87.864971096442005</v>
      </c>
      <c r="AK1547">
        <v>17.938837100049401</v>
      </c>
      <c r="AL1547">
        <v>94.339064715553505</v>
      </c>
      <c r="AM1547">
        <v>88.160586933179403</v>
      </c>
      <c r="AN1547">
        <v>1.00000002569682</v>
      </c>
    </row>
    <row r="1548" spans="1:40" x14ac:dyDescent="0.25">
      <c r="A1548" t="str">
        <f>"20190303154756637"</f>
        <v>20190303154756637</v>
      </c>
      <c r="B1548" t="str">
        <f>"1551599276632654"</f>
        <v>1551599276632654</v>
      </c>
      <c r="C1548" t="s">
        <v>40</v>
      </c>
      <c r="D1548">
        <v>5.7038909999999996</v>
      </c>
      <c r="E1548">
        <v>0.50162989999999996</v>
      </c>
      <c r="F1548" t="s">
        <v>41</v>
      </c>
      <c r="G1548">
        <v>-192.13829999999999</v>
      </c>
      <c r="H1548" s="1">
        <v>-2.358132E-6</v>
      </c>
      <c r="I1548">
        <v>333.75970000000001</v>
      </c>
      <c r="J1548">
        <v>-191.3338</v>
      </c>
      <c r="K1548">
        <v>1.1184799999999999</v>
      </c>
      <c r="L1548">
        <v>350.67590000000001</v>
      </c>
      <c r="M1548">
        <v>-1.486176E-2</v>
      </c>
      <c r="N1548">
        <v>-7.8021540000000004E-3</v>
      </c>
      <c r="O1548">
        <v>-0.99985919999999895</v>
      </c>
      <c r="P1548">
        <v>-4.1904009999999998E-2</v>
      </c>
      <c r="Q1548">
        <v>-8.6867420000000001E-2</v>
      </c>
      <c r="R1548">
        <v>-0.99533850000000001</v>
      </c>
      <c r="S1548">
        <v>-0.14199829999999999</v>
      </c>
      <c r="T1548">
        <v>-0.19580690000000001</v>
      </c>
      <c r="U1548">
        <v>-2.9908139999999999</v>
      </c>
      <c r="V1548">
        <v>2.676721E-2</v>
      </c>
      <c r="W1548">
        <v>-7.9210420000000004E-2</v>
      </c>
      <c r="X1548">
        <v>0.99649849999999995</v>
      </c>
      <c r="Y1548">
        <v>3.2486300000000003E-2</v>
      </c>
      <c r="Z1548">
        <v>5.7480179999999999E-2</v>
      </c>
      <c r="AA1548">
        <v>0.99781790000000004</v>
      </c>
      <c r="AB1548">
        <v>17</v>
      </c>
      <c r="AC1548">
        <v>-0.80449999999999</v>
      </c>
      <c r="AD1548">
        <v>-1.11848235813199</v>
      </c>
      <c r="AE1548">
        <v>-16.9162</v>
      </c>
      <c r="AF1548">
        <v>0.55059738052104301</v>
      </c>
      <c r="AG1548">
        <v>-1.11848235813199</v>
      </c>
      <c r="AH1548">
        <v>16.852778852258599</v>
      </c>
      <c r="AI1548">
        <v>93.795009240198993</v>
      </c>
      <c r="AJ1548">
        <v>88.128754359399494</v>
      </c>
      <c r="AK1548">
        <v>16.8988258557813</v>
      </c>
      <c r="AL1548">
        <v>94.543182027745402</v>
      </c>
      <c r="AM1548">
        <v>88.461332891640893</v>
      </c>
      <c r="AN1548">
        <v>1.0000000173350001</v>
      </c>
    </row>
    <row r="1549" spans="1:40" x14ac:dyDescent="0.25">
      <c r="A1549" t="str">
        <f>"20190303154756659"</f>
        <v>20190303154756659</v>
      </c>
      <c r="B1549" t="str">
        <f>"1551599276652175"</f>
        <v>1551599276652175</v>
      </c>
      <c r="C1549" t="s">
        <v>40</v>
      </c>
      <c r="D1549">
        <v>5.7170160000000001</v>
      </c>
      <c r="E1549">
        <v>0.5017952</v>
      </c>
      <c r="F1549" t="s">
        <v>41</v>
      </c>
      <c r="G1549">
        <v>-192.07769999999999</v>
      </c>
      <c r="H1549" s="1">
        <v>-2.6814729999999898E-6</v>
      </c>
      <c r="I1549">
        <v>334.55110000000002</v>
      </c>
      <c r="J1549">
        <v>-191.3409</v>
      </c>
      <c r="K1549">
        <v>1.118492</v>
      </c>
      <c r="L1549">
        <v>350.50869999999998</v>
      </c>
      <c r="M1549">
        <v>-1.8721080000000001E-2</v>
      </c>
      <c r="N1549">
        <v>-7.3921409999999996E-3</v>
      </c>
      <c r="O1549">
        <v>-0.99979739999999995</v>
      </c>
      <c r="P1549">
        <v>-4.0946450000000002E-2</v>
      </c>
      <c r="Q1549">
        <v>-9.046498E-2</v>
      </c>
      <c r="R1549">
        <v>-0.99505759999999999</v>
      </c>
      <c r="S1549">
        <v>-0.13793949999999999</v>
      </c>
      <c r="T1549">
        <v>-0.2074057</v>
      </c>
      <c r="U1549">
        <v>-2.9901119999999999</v>
      </c>
      <c r="V1549">
        <v>2.1973739999999999E-2</v>
      </c>
      <c r="W1549">
        <v>-8.3192150000000006E-2</v>
      </c>
      <c r="X1549">
        <v>0.99629120000000004</v>
      </c>
      <c r="Y1549">
        <v>2.7277369999999999E-2</v>
      </c>
      <c r="Z1549">
        <v>6.1756829999999999E-2</v>
      </c>
      <c r="AA1549">
        <v>0.99771840000000001</v>
      </c>
      <c r="AB1549">
        <v>17</v>
      </c>
      <c r="AC1549">
        <v>-0.73679999999998802</v>
      </c>
      <c r="AD1549">
        <v>-1.1184946814729999</v>
      </c>
      <c r="AE1549">
        <v>-15.9575999999999</v>
      </c>
      <c r="AF1549">
        <v>0.43578281390664603</v>
      </c>
      <c r="AG1549">
        <v>-1.1184946814729999</v>
      </c>
      <c r="AH1549">
        <v>15.890694894024</v>
      </c>
      <c r="AI1549">
        <v>94.024716398654505</v>
      </c>
      <c r="AJ1549">
        <v>88.429127252852993</v>
      </c>
      <c r="AK1549">
        <v>15.9359694160204</v>
      </c>
      <c r="AL1549">
        <v>94.772074608648097</v>
      </c>
      <c r="AM1549">
        <v>88.736515512987296</v>
      </c>
      <c r="AN1549">
        <v>0.99999996713432404</v>
      </c>
    </row>
    <row r="1550" spans="1:40" x14ac:dyDescent="0.25">
      <c r="A1550" t="str">
        <f>"20190303154756680"</f>
        <v>20190303154756680</v>
      </c>
      <c r="B1550" t="str">
        <f>"1551599276672202"</f>
        <v>1551599276672202</v>
      </c>
      <c r="C1550" t="s">
        <v>40</v>
      </c>
      <c r="D1550">
        <v>5.762791</v>
      </c>
      <c r="E1550">
        <v>0.50201169999999995</v>
      </c>
      <c r="F1550" t="s">
        <v>41</v>
      </c>
      <c r="G1550">
        <v>-192.02979999999999</v>
      </c>
      <c r="H1550" s="1">
        <v>-3.0391639999999999E-6</v>
      </c>
      <c r="I1550">
        <v>335.41460000000001</v>
      </c>
      <c r="J1550">
        <v>-191.3486</v>
      </c>
      <c r="K1550">
        <v>1.118592</v>
      </c>
      <c r="L1550">
        <v>350.33179999999999</v>
      </c>
      <c r="M1550">
        <v>-2.2450689999999999E-2</v>
      </c>
      <c r="N1550">
        <v>-6.9541799999999999E-3</v>
      </c>
      <c r="O1550">
        <v>-0.99972399999999995</v>
      </c>
      <c r="P1550">
        <v>-4.1156850000000002E-2</v>
      </c>
      <c r="Q1550">
        <v>-9.2363130000000002E-2</v>
      </c>
      <c r="R1550">
        <v>-0.99487479999999995</v>
      </c>
      <c r="S1550">
        <v>-0.13642879999999999</v>
      </c>
      <c r="T1550">
        <v>-0.2214962</v>
      </c>
      <c r="U1550">
        <v>-2.9891049999999999</v>
      </c>
      <c r="V1550">
        <v>1.8500450000000002E-2</v>
      </c>
      <c r="W1550">
        <v>-8.5505310000000001E-2</v>
      </c>
      <c r="X1550">
        <v>0.99616590000000005</v>
      </c>
      <c r="Y1550">
        <v>2.3046560000000001E-2</v>
      </c>
      <c r="Z1550">
        <v>6.6889260000000006E-2</v>
      </c>
      <c r="AA1550">
        <v>0.9974942</v>
      </c>
      <c r="AB1550">
        <v>17</v>
      </c>
      <c r="AC1550">
        <v>-0.68119999999998904</v>
      </c>
      <c r="AD1550">
        <v>-1.118595039164</v>
      </c>
      <c r="AE1550">
        <v>-14.9171999999999</v>
      </c>
      <c r="AF1550">
        <v>0.34418749146927002</v>
      </c>
      <c r="AG1550">
        <v>-1.118595039164</v>
      </c>
      <c r="AH1550">
        <v>14.8454310033288</v>
      </c>
      <c r="AI1550">
        <v>94.307909436338903</v>
      </c>
      <c r="AJ1550">
        <v>88.671850060101406</v>
      </c>
      <c r="AK1550">
        <v>14.8914922544896</v>
      </c>
      <c r="AL1550">
        <v>94.905082973911206</v>
      </c>
      <c r="AM1550">
        <v>88.936044826825295</v>
      </c>
      <c r="AN1550">
        <v>0.99999996250560297</v>
      </c>
    </row>
    <row r="1551" spans="1:40" x14ac:dyDescent="0.25">
      <c r="A1551" t="str">
        <f>"20190303154756702"</f>
        <v>20190303154756702</v>
      </c>
      <c r="B1551" t="str">
        <f>"1551599276691722"</f>
        <v>1551599276691722</v>
      </c>
      <c r="C1551" t="s">
        <v>40</v>
      </c>
      <c r="D1551">
        <v>5.7294409999999996</v>
      </c>
      <c r="E1551">
        <v>0.50214639999999999</v>
      </c>
      <c r="F1551" t="s">
        <v>41</v>
      </c>
      <c r="G1551">
        <v>-192.03030000000001</v>
      </c>
      <c r="H1551" s="1">
        <v>-3.1485969999999999E-6</v>
      </c>
      <c r="I1551">
        <v>335.66930000000002</v>
      </c>
      <c r="J1551">
        <v>-191.3562</v>
      </c>
      <c r="K1551">
        <v>1.118744</v>
      </c>
      <c r="L1551">
        <v>350.16289999999998</v>
      </c>
      <c r="M1551">
        <v>-2.5583430000000001E-2</v>
      </c>
      <c r="N1551">
        <v>-6.5387559999999997E-3</v>
      </c>
      <c r="O1551">
        <v>-0.99965139999999997</v>
      </c>
      <c r="P1551">
        <v>-4.2516690000000003E-2</v>
      </c>
      <c r="Q1551">
        <v>-9.3957750000000007E-2</v>
      </c>
      <c r="R1551">
        <v>-0.9946682</v>
      </c>
      <c r="S1551">
        <v>-0.1389465</v>
      </c>
      <c r="T1551">
        <v>-0.22799520000000001</v>
      </c>
      <c r="U1551">
        <v>-2.988556</v>
      </c>
      <c r="V1551">
        <v>1.6785680000000001E-2</v>
      </c>
      <c r="W1551">
        <v>-8.7499019999999997E-2</v>
      </c>
      <c r="X1551">
        <v>0.9960232</v>
      </c>
      <c r="Y1551">
        <v>2.0753279999999999E-2</v>
      </c>
      <c r="Z1551">
        <v>6.946455E-2</v>
      </c>
      <c r="AA1551">
        <v>0.99736849999999999</v>
      </c>
      <c r="AB1551">
        <v>18</v>
      </c>
      <c r="AC1551">
        <v>-0.67410000000000903</v>
      </c>
      <c r="AD1551">
        <v>-1.118747148597</v>
      </c>
      <c r="AE1551">
        <v>-14.493599999999899</v>
      </c>
      <c r="AF1551">
        <v>0.30128423667738602</v>
      </c>
      <c r="AG1551">
        <v>-1.118747148597</v>
      </c>
      <c r="AH1551">
        <v>14.4203688178498</v>
      </c>
      <c r="AI1551">
        <v>94.435215920455903</v>
      </c>
      <c r="AJ1551">
        <v>88.8030955163036</v>
      </c>
      <c r="AK1551">
        <v>14.4668380863469</v>
      </c>
      <c r="AL1551">
        <v>95.019743633538695</v>
      </c>
      <c r="AM1551">
        <v>89.034502824925596</v>
      </c>
      <c r="AN1551">
        <v>1.0000000262461299</v>
      </c>
    </row>
    <row r="1552" spans="1:40" x14ac:dyDescent="0.25">
      <c r="A1552" t="str">
        <f>"20190303154756722"</f>
        <v>20190303154756722</v>
      </c>
      <c r="B1552" t="str">
        <f>"1551599276712220"</f>
        <v>1551599276712220</v>
      </c>
      <c r="C1552" t="s">
        <v>40</v>
      </c>
      <c r="D1552">
        <v>5.6988430000000001</v>
      </c>
      <c r="E1552">
        <v>0.50237600000000004</v>
      </c>
      <c r="F1552" t="s">
        <v>42</v>
      </c>
      <c r="G1552">
        <v>-191.39920000000001</v>
      </c>
      <c r="H1552">
        <v>1.0494479999999999</v>
      </c>
      <c r="I1552">
        <v>349.27499999999998</v>
      </c>
      <c r="J1552">
        <v>-191.364</v>
      </c>
      <c r="K1552">
        <v>1.1189439999999999</v>
      </c>
      <c r="L1552">
        <v>349.98849999999999</v>
      </c>
      <c r="M1552">
        <v>-2.8341720000000001E-2</v>
      </c>
      <c r="N1552">
        <v>-6.1163719999999897E-3</v>
      </c>
      <c r="O1552">
        <v>-0.99957980000000002</v>
      </c>
      <c r="P1552">
        <v>-4.331774E-2</v>
      </c>
      <c r="Q1552">
        <v>-9.4152340000000001E-2</v>
      </c>
      <c r="R1552">
        <v>-0.99461509999999997</v>
      </c>
      <c r="S1552">
        <v>-0.14390559999999999</v>
      </c>
      <c r="T1552">
        <v>-0.2333528</v>
      </c>
      <c r="U1552">
        <v>-2.9878849999999999</v>
      </c>
      <c r="V1552">
        <v>1.489597E-2</v>
      </c>
      <c r="W1552">
        <v>-8.8098670000000004E-2</v>
      </c>
      <c r="X1552">
        <v>0.99600029999999995</v>
      </c>
      <c r="Y1552">
        <v>1.9649710000000001E-2</v>
      </c>
      <c r="Z1552">
        <v>7.1668339999999997E-2</v>
      </c>
      <c r="AA1552">
        <v>0.99723490000000004</v>
      </c>
      <c r="AB1552">
        <v>18</v>
      </c>
      <c r="AC1552">
        <v>-3.5200000000003201E-2</v>
      </c>
      <c r="AD1552">
        <v>-6.9496000000000197E-2</v>
      </c>
      <c r="AE1552">
        <v>-0.71350000000001002</v>
      </c>
      <c r="AF1552">
        <v>1.4823379497816799E-2</v>
      </c>
      <c r="AG1552">
        <v>-6.9496000000000197E-2</v>
      </c>
      <c r="AH1552">
        <v>0.70751507711082395</v>
      </c>
      <c r="AI1552">
        <v>95.608686053749395</v>
      </c>
      <c r="AJ1552">
        <v>88.799753005973301</v>
      </c>
      <c r="AK1552">
        <v>0.71107454667908898</v>
      </c>
      <c r="AL1552">
        <v>95.054234721989005</v>
      </c>
      <c r="AM1552">
        <v>89.143160310942307</v>
      </c>
      <c r="AN1552">
        <v>0.99999993158904699</v>
      </c>
    </row>
    <row r="1553" spans="1:40" x14ac:dyDescent="0.25">
      <c r="A1553" t="str">
        <f>"20190303154756746"</f>
        <v>20190303154756746</v>
      </c>
      <c r="B1553" t="str">
        <f>"1551599276742474"</f>
        <v>1551599276742474</v>
      </c>
      <c r="C1553" t="s">
        <v>40</v>
      </c>
      <c r="D1553">
        <v>5.7017559999999996</v>
      </c>
      <c r="E1553">
        <v>0.50246519999999995</v>
      </c>
      <c r="F1553" t="s">
        <v>42</v>
      </c>
      <c r="G1553">
        <v>-191.4075</v>
      </c>
      <c r="H1553">
        <v>1.0501529999999999</v>
      </c>
      <c r="I1553">
        <v>349.11070000000001</v>
      </c>
      <c r="J1553">
        <v>-191.3725</v>
      </c>
      <c r="K1553">
        <v>1.119159</v>
      </c>
      <c r="L1553">
        <v>349.7989</v>
      </c>
      <c r="M1553">
        <v>-3.0842069999999999E-2</v>
      </c>
      <c r="N1553">
        <v>-5.6748830000000004E-3</v>
      </c>
      <c r="O1553">
        <v>-0.99950839999999996</v>
      </c>
      <c r="P1553">
        <v>-4.3494829999999998E-2</v>
      </c>
      <c r="Q1553">
        <v>-9.2964850000000002E-2</v>
      </c>
      <c r="R1553">
        <v>-0.99471929999999997</v>
      </c>
      <c r="S1553">
        <v>-0.1480408</v>
      </c>
      <c r="T1553">
        <v>-0.23411390000000001</v>
      </c>
      <c r="U1553">
        <v>-2.9876710000000002</v>
      </c>
      <c r="V1553">
        <v>1.2637799999999999E-2</v>
      </c>
      <c r="W1553">
        <v>-8.7336349999999993E-2</v>
      </c>
      <c r="X1553">
        <v>0.9960987</v>
      </c>
      <c r="Y1553">
        <v>1.8527330000000002E-2</v>
      </c>
      <c r="Z1553">
        <v>7.2356190000000001E-2</v>
      </c>
      <c r="AA1553">
        <v>0.9972067</v>
      </c>
      <c r="AB1553">
        <v>18</v>
      </c>
      <c r="AC1553">
        <v>-3.4999999999996499E-2</v>
      </c>
      <c r="AD1553">
        <v>-6.9005999999999901E-2</v>
      </c>
      <c r="AE1553">
        <v>-0.68819999999999404</v>
      </c>
      <c r="AF1553">
        <v>1.36209066232036E-2</v>
      </c>
      <c r="AG1553">
        <v>-6.9005999999999901E-2</v>
      </c>
      <c r="AH1553">
        <v>0.68211173616448495</v>
      </c>
      <c r="AI1553">
        <v>95.775544402896202</v>
      </c>
      <c r="AJ1553">
        <v>88.856027956807296</v>
      </c>
      <c r="AK1553">
        <v>0.68572864731361904</v>
      </c>
      <c r="AL1553">
        <v>95.010387713472099</v>
      </c>
      <c r="AM1553">
        <v>89.273110431436706</v>
      </c>
      <c r="AN1553">
        <v>0.999999986080926</v>
      </c>
    </row>
    <row r="1554" spans="1:40" x14ac:dyDescent="0.25">
      <c r="A1554" t="str">
        <f>"20190303154756766"</f>
        <v>20190303154756766</v>
      </c>
      <c r="B1554" t="str">
        <f>"1551599276761994"</f>
        <v>1551599276761994</v>
      </c>
      <c r="C1554" t="s">
        <v>40</v>
      </c>
      <c r="D1554">
        <v>5.7139030000000002</v>
      </c>
      <c r="E1554">
        <v>0.50249829999999995</v>
      </c>
      <c r="F1554" t="s">
        <v>41</v>
      </c>
      <c r="G1554">
        <v>-192.1044</v>
      </c>
      <c r="H1554" s="1">
        <v>-2.945194E-6</v>
      </c>
      <c r="I1554">
        <v>335.14920000000001</v>
      </c>
      <c r="J1554">
        <v>-191.3802</v>
      </c>
      <c r="K1554">
        <v>1.119346</v>
      </c>
      <c r="L1554">
        <v>349.62540000000001</v>
      </c>
      <c r="M1554">
        <v>-3.2688740000000001E-2</v>
      </c>
      <c r="N1554">
        <v>-5.2896280000000002E-3</v>
      </c>
      <c r="O1554">
        <v>-0.9994516</v>
      </c>
      <c r="P1554">
        <v>-4.2653400000000001E-2</v>
      </c>
      <c r="Q1554">
        <v>-9.1330919999999996E-2</v>
      </c>
      <c r="R1554">
        <v>-0.99490670000000003</v>
      </c>
      <c r="S1554">
        <v>-0.14929200000000001</v>
      </c>
      <c r="T1554">
        <v>-0.2282757</v>
      </c>
      <c r="U1554">
        <v>-2.9880979999999999</v>
      </c>
      <c r="V1554">
        <v>9.9997539999999996E-3</v>
      </c>
      <c r="W1554">
        <v>-8.607505E-2</v>
      </c>
      <c r="X1554">
        <v>0.99623850000000003</v>
      </c>
      <c r="Y1554">
        <v>1.7095880000000001E-2</v>
      </c>
      <c r="Z1554">
        <v>7.0788340000000005E-2</v>
      </c>
      <c r="AA1554">
        <v>0.99734489999999998</v>
      </c>
      <c r="AB1554">
        <v>18</v>
      </c>
      <c r="AC1554">
        <v>-0.72419999999999596</v>
      </c>
      <c r="AD1554">
        <v>-1.119348945194</v>
      </c>
      <c r="AE1554">
        <v>-14.4762</v>
      </c>
      <c r="AF1554">
        <v>0.24911191344452399</v>
      </c>
      <c r="AG1554">
        <v>-1.119348945194</v>
      </c>
      <c r="AH1554">
        <v>14.4062185127774</v>
      </c>
      <c r="AI1554">
        <v>94.442237579494702</v>
      </c>
      <c r="AJ1554">
        <v>89.009341771226701</v>
      </c>
      <c r="AK1554">
        <v>14.451786417063399</v>
      </c>
      <c r="AL1554">
        <v>94.937847138656394</v>
      </c>
      <c r="AM1554">
        <v>89.424912347931098</v>
      </c>
      <c r="AN1554">
        <v>1.0000000290974</v>
      </c>
    </row>
    <row r="1555" spans="1:40" x14ac:dyDescent="0.25">
      <c r="A1555" t="str">
        <f>"20190303154756793"</f>
        <v>20190303154756793</v>
      </c>
      <c r="B1555" t="str">
        <f>"1551599276782490"</f>
        <v>1551599276782490</v>
      </c>
      <c r="C1555" t="s">
        <v>40</v>
      </c>
      <c r="D1555">
        <v>5.6863669999999997</v>
      </c>
      <c r="E1555">
        <v>0.50256400000000001</v>
      </c>
      <c r="F1555" t="s">
        <v>41</v>
      </c>
      <c r="G1555">
        <v>-192.1233</v>
      </c>
      <c r="H1555" s="1">
        <v>-2.6789969999999998E-6</v>
      </c>
      <c r="I1555">
        <v>334.517</v>
      </c>
      <c r="J1555">
        <v>-191.3895</v>
      </c>
      <c r="K1555">
        <v>1.1195539999999999</v>
      </c>
      <c r="L1555">
        <v>349.41050000000001</v>
      </c>
      <c r="M1555">
        <v>-3.4358159999999999E-2</v>
      </c>
      <c r="N1555">
        <v>-4.831236E-3</v>
      </c>
      <c r="O1555">
        <v>-0.99939809999999996</v>
      </c>
      <c r="P1555">
        <v>-4.1262790000000001E-2</v>
      </c>
      <c r="Q1555">
        <v>-9.1281959999999995E-2</v>
      </c>
      <c r="R1555">
        <v>-0.99497029999999997</v>
      </c>
      <c r="S1555">
        <v>-0.1470032</v>
      </c>
      <c r="T1555">
        <v>-0.22143109999999999</v>
      </c>
      <c r="U1555">
        <v>-2.9887700000000001</v>
      </c>
      <c r="V1555">
        <v>6.9983679999999996E-3</v>
      </c>
      <c r="W1555">
        <v>-8.6474369999999995E-2</v>
      </c>
      <c r="X1555">
        <v>0.99622949999999999</v>
      </c>
      <c r="Y1555">
        <v>1.465991E-2</v>
      </c>
      <c r="Z1555">
        <v>6.8956790000000004E-2</v>
      </c>
      <c r="AA1555">
        <v>0.99751190000000001</v>
      </c>
      <c r="AB1555">
        <v>18</v>
      </c>
      <c r="AC1555">
        <v>-0.73380000000000201</v>
      </c>
      <c r="AD1555">
        <v>-1.119556678997</v>
      </c>
      <c r="AE1555">
        <v>-14.8935</v>
      </c>
      <c r="AF1555">
        <v>0.220405196469837</v>
      </c>
      <c r="AG1555">
        <v>-1.119556678997</v>
      </c>
      <c r="AH1555">
        <v>14.8263431088512</v>
      </c>
      <c r="AI1555">
        <v>94.317809323460807</v>
      </c>
      <c r="AJ1555">
        <v>89.1483161206353</v>
      </c>
      <c r="AK1555">
        <v>14.870186131635901</v>
      </c>
      <c r="AL1555">
        <v>94.960812234975805</v>
      </c>
      <c r="AM1555">
        <v>89.597512065049003</v>
      </c>
      <c r="AN1555">
        <v>1.0000000052458999</v>
      </c>
    </row>
    <row r="1556" spans="1:40" x14ac:dyDescent="0.25">
      <c r="A1556" t="str">
        <f>"20190303154756815"</f>
        <v>20190303154756815</v>
      </c>
      <c r="B1556" t="str">
        <f>"1551599276811770"</f>
        <v>1551599276811770</v>
      </c>
      <c r="C1556" t="s">
        <v>40</v>
      </c>
      <c r="D1556">
        <v>5.7183630000000001</v>
      </c>
      <c r="E1556">
        <v>0.50264799999999998</v>
      </c>
      <c r="F1556" t="s">
        <v>41</v>
      </c>
      <c r="G1556">
        <v>-192.11789999999999</v>
      </c>
      <c r="H1556" s="1">
        <v>-2.5396900000000002E-6</v>
      </c>
      <c r="I1556">
        <v>334.19560000000001</v>
      </c>
      <c r="J1556">
        <v>-191.3973</v>
      </c>
      <c r="K1556">
        <v>1.119734</v>
      </c>
      <c r="L1556">
        <v>349.22329999999999</v>
      </c>
      <c r="M1556">
        <v>-3.5267140000000002E-2</v>
      </c>
      <c r="N1556">
        <v>-4.4446930000000004E-3</v>
      </c>
      <c r="O1556">
        <v>-0.99936820000000004</v>
      </c>
      <c r="P1556">
        <v>-3.8533680000000001E-2</v>
      </c>
      <c r="Q1556">
        <v>-9.2526559999999994E-2</v>
      </c>
      <c r="R1556">
        <v>-0.99496470000000004</v>
      </c>
      <c r="S1556">
        <v>-0.14311219999999999</v>
      </c>
      <c r="T1556">
        <v>-0.2199421</v>
      </c>
      <c r="U1556">
        <v>-2.9890439999999998</v>
      </c>
      <c r="V1556">
        <v>3.4133229999999998E-3</v>
      </c>
      <c r="W1556">
        <v>-8.8100289999999998E-2</v>
      </c>
      <c r="X1556">
        <v>0.99610580000000004</v>
      </c>
      <c r="Y1556">
        <v>1.2451540000000001E-2</v>
      </c>
      <c r="Z1556">
        <v>6.8841739999999998E-2</v>
      </c>
      <c r="AA1556">
        <v>0.99754989999999999</v>
      </c>
      <c r="AB1556">
        <v>19</v>
      </c>
      <c r="AC1556">
        <v>-0.72059999999999003</v>
      </c>
      <c r="AD1556">
        <v>-1.1197365396899901</v>
      </c>
      <c r="AE1556">
        <v>-15.0276999999999</v>
      </c>
      <c r="AF1556">
        <v>0.18911502137203701</v>
      </c>
      <c r="AG1556">
        <v>-1.1197365396899901</v>
      </c>
      <c r="AH1556">
        <v>14.9608933527985</v>
      </c>
      <c r="AI1556">
        <v>94.279937519960697</v>
      </c>
      <c r="AJ1556">
        <v>89.275784189536395</v>
      </c>
      <c r="AK1556">
        <v>15.0039296293816</v>
      </c>
      <c r="AL1556">
        <v>95.054327362555696</v>
      </c>
      <c r="AM1556">
        <v>89.803667204266702</v>
      </c>
      <c r="AN1556">
        <v>1.00000003833281</v>
      </c>
    </row>
    <row r="1557" spans="1:40" x14ac:dyDescent="0.25">
      <c r="A1557" t="str">
        <f>"20190303154756840"</f>
        <v>20190303154756840</v>
      </c>
      <c r="B1557" t="str">
        <f>"1551599276832266"</f>
        <v>1551599276832266</v>
      </c>
      <c r="C1557" t="s">
        <v>40</v>
      </c>
      <c r="D1557">
        <v>5.7110940000000001</v>
      </c>
      <c r="E1557">
        <v>0.50274870000000005</v>
      </c>
      <c r="F1557" t="s">
        <v>41</v>
      </c>
      <c r="G1557">
        <v>-192.0778</v>
      </c>
      <c r="H1557" s="1">
        <v>-2.5328769999999999E-6</v>
      </c>
      <c r="I1557">
        <v>334.20460000000003</v>
      </c>
      <c r="J1557">
        <v>-191.4057</v>
      </c>
      <c r="K1557">
        <v>1.1199479999999999</v>
      </c>
      <c r="L1557">
        <v>349.01350000000002</v>
      </c>
      <c r="M1557">
        <v>-3.5722129999999998E-2</v>
      </c>
      <c r="N1557">
        <v>-4.0308569999999997E-3</v>
      </c>
      <c r="O1557">
        <v>-0.99935359999999995</v>
      </c>
      <c r="P1557">
        <v>-3.4981070000000003E-2</v>
      </c>
      <c r="Q1557">
        <v>-9.1906489999999993E-2</v>
      </c>
      <c r="R1557">
        <v>-0.99515319999999996</v>
      </c>
      <c r="S1557">
        <v>-0.1354523</v>
      </c>
      <c r="T1557">
        <v>-0.22286059999999999</v>
      </c>
      <c r="U1557">
        <v>-2.989166</v>
      </c>
      <c r="V1557">
        <v>-5.3941630000000002E-4</v>
      </c>
      <c r="W1557">
        <v>-8.7892289999999998E-2</v>
      </c>
      <c r="X1557">
        <v>0.99612979999999995</v>
      </c>
      <c r="Y1557">
        <v>9.4399259999999995E-3</v>
      </c>
      <c r="Z1557">
        <v>7.0222140000000002E-2</v>
      </c>
      <c r="AA1557">
        <v>0.99748669999999995</v>
      </c>
      <c r="AB1557">
        <v>19</v>
      </c>
      <c r="AC1557">
        <v>-0.67210000000000003</v>
      </c>
      <c r="AD1557">
        <v>-1.1199505328770001</v>
      </c>
      <c r="AE1557">
        <v>-14.8088999999999</v>
      </c>
      <c r="AF1557">
        <v>0.14185162561852099</v>
      </c>
      <c r="AG1557">
        <v>-1.1199505328770001</v>
      </c>
      <c r="AH1557">
        <v>14.7393301151183</v>
      </c>
      <c r="AI1557">
        <v>94.345001901871598</v>
      </c>
      <c r="AJ1557">
        <v>89.448601226267002</v>
      </c>
      <c r="AK1557">
        <v>14.782498548020101</v>
      </c>
      <c r="AL1557">
        <v>95.042363816142498</v>
      </c>
      <c r="AM1557">
        <v>90.031026352559294</v>
      </c>
      <c r="AN1557">
        <v>0.99999996202971297</v>
      </c>
    </row>
    <row r="1558" spans="1:40" x14ac:dyDescent="0.25">
      <c r="A1558" t="str">
        <f>"20190303154756859"</f>
        <v>20190303154756859</v>
      </c>
      <c r="B1558" t="str">
        <f>"1551599276851786"</f>
        <v>1551599276851786</v>
      </c>
      <c r="C1558" t="s">
        <v>40</v>
      </c>
      <c r="D1558">
        <v>5.7054839999999896</v>
      </c>
      <c r="E1558">
        <v>0.50272519999999998</v>
      </c>
      <c r="F1558" t="s">
        <v>41</v>
      </c>
      <c r="G1558">
        <v>-192.0427</v>
      </c>
      <c r="H1558" s="1">
        <v>-2.3616E-6</v>
      </c>
      <c r="I1558">
        <v>333.82709999999997</v>
      </c>
      <c r="J1558">
        <v>-191.41200000000001</v>
      </c>
      <c r="K1558">
        <v>1.1201410000000001</v>
      </c>
      <c r="L1558">
        <v>348.84280000000001</v>
      </c>
      <c r="M1558">
        <v>-3.5637580000000002E-2</v>
      </c>
      <c r="N1558">
        <v>-3.7175149999999998E-3</v>
      </c>
      <c r="O1558">
        <v>-0.99935790000000002</v>
      </c>
      <c r="P1558">
        <v>-3.111409E-2</v>
      </c>
      <c r="Q1558">
        <v>-9.0164439999999998E-2</v>
      </c>
      <c r="R1558">
        <v>-0.99544080000000001</v>
      </c>
      <c r="S1558">
        <v>-0.12542719999999999</v>
      </c>
      <c r="T1558">
        <v>-0.22049440000000001</v>
      </c>
      <c r="U1558">
        <v>-2.989868</v>
      </c>
      <c r="V1558">
        <v>-4.28335E-3</v>
      </c>
      <c r="W1558">
        <v>-8.6466390000000004E-2</v>
      </c>
      <c r="X1558">
        <v>0.99624559999999995</v>
      </c>
      <c r="Y1558">
        <v>6.1777430000000003E-3</v>
      </c>
      <c r="Z1558">
        <v>6.9739519999999999E-2</v>
      </c>
      <c r="AA1558">
        <v>0.99754609999999999</v>
      </c>
      <c r="AB1558">
        <v>19</v>
      </c>
      <c r="AC1558">
        <v>-0.63069999999999005</v>
      </c>
      <c r="AD1558">
        <v>-1.1201433616000001</v>
      </c>
      <c r="AE1558">
        <v>-15.015700000000001</v>
      </c>
      <c r="AF1558">
        <v>9.46467016044448E-2</v>
      </c>
      <c r="AG1558">
        <v>-1.1201433616000001</v>
      </c>
      <c r="AH1558">
        <v>14.945614243354701</v>
      </c>
      <c r="AI1558">
        <v>94.286102940689801</v>
      </c>
      <c r="AJ1558">
        <v>89.637165527747399</v>
      </c>
      <c r="AK1558">
        <v>14.987830538801401</v>
      </c>
      <c r="AL1558">
        <v>94.960353124813807</v>
      </c>
      <c r="AM1558">
        <v>90.246341228467401</v>
      </c>
      <c r="AN1558">
        <v>1.0000000396030999</v>
      </c>
    </row>
    <row r="1559" spans="1:40" x14ac:dyDescent="0.25">
      <c r="A1559" t="str">
        <f>"20190303154756882"</f>
        <v>20190303154756882</v>
      </c>
      <c r="B1559" t="str">
        <f>"1551599276872283"</f>
        <v>1551599276872283</v>
      </c>
      <c r="C1559" t="s">
        <v>40</v>
      </c>
      <c r="D1559">
        <v>5.7091979999999998</v>
      </c>
      <c r="E1559">
        <v>0.50270130000000002</v>
      </c>
      <c r="F1559" t="s">
        <v>41</v>
      </c>
      <c r="G1559">
        <v>-192.0078</v>
      </c>
      <c r="H1559" s="1">
        <v>-2.0751190000000001E-6</v>
      </c>
      <c r="I1559">
        <v>333.18099999999998</v>
      </c>
      <c r="J1559">
        <v>-191.41849999999999</v>
      </c>
      <c r="K1559">
        <v>1.120355</v>
      </c>
      <c r="L1559">
        <v>348.65620000000001</v>
      </c>
      <c r="M1559">
        <v>-3.513314E-2</v>
      </c>
      <c r="N1559">
        <v>-3.4015550000000001E-3</v>
      </c>
      <c r="O1559">
        <v>-0.99937699999999996</v>
      </c>
      <c r="P1559">
        <v>-2.7764299999999999E-2</v>
      </c>
      <c r="Q1559">
        <v>-8.9636679999999996E-2</v>
      </c>
      <c r="R1559">
        <v>-0.99558780000000002</v>
      </c>
      <c r="S1559">
        <v>-0.1137695</v>
      </c>
      <c r="T1559">
        <v>-0.2139065</v>
      </c>
      <c r="U1559">
        <v>-2.9908450000000002</v>
      </c>
      <c r="V1559">
        <v>-7.0805319999999996E-3</v>
      </c>
      <c r="W1559">
        <v>-8.6260920000000005E-2</v>
      </c>
      <c r="X1559">
        <v>0.99624740000000001</v>
      </c>
      <c r="Y1559">
        <v>2.7923240000000001E-3</v>
      </c>
      <c r="Z1559">
        <v>6.7855479999999996E-2</v>
      </c>
      <c r="AA1559">
        <v>0.99769129999999995</v>
      </c>
      <c r="AB1559">
        <v>19</v>
      </c>
      <c r="AC1559">
        <v>-0.58930000000000804</v>
      </c>
      <c r="AD1559">
        <v>-1.120357075119</v>
      </c>
      <c r="AE1559">
        <v>-15.475199999999999</v>
      </c>
      <c r="AF1559">
        <v>4.5005208031265502E-2</v>
      </c>
      <c r="AG1559">
        <v>-1.120357075119</v>
      </c>
      <c r="AH1559">
        <v>15.4057208723421</v>
      </c>
      <c r="AI1559">
        <v>94.159406376844601</v>
      </c>
      <c r="AJ1559">
        <v>89.832620546466202</v>
      </c>
      <c r="AK1559">
        <v>15.4464708280253</v>
      </c>
      <c r="AL1559">
        <v>94.948536700492795</v>
      </c>
      <c r="AM1559">
        <v>90.407205850497803</v>
      </c>
      <c r="AN1559">
        <v>0.99999998112970401</v>
      </c>
    </row>
    <row r="1560" spans="1:40" x14ac:dyDescent="0.25">
      <c r="A1560" t="str">
        <f>"20190303154756902"</f>
        <v>20190303154756902</v>
      </c>
      <c r="B1560" t="str">
        <f>"1551599276891803"</f>
        <v>1551599276891803</v>
      </c>
      <c r="C1560" t="s">
        <v>40</v>
      </c>
      <c r="D1560">
        <v>5.7286250000000001</v>
      </c>
      <c r="E1560">
        <v>0.50273840000000003</v>
      </c>
      <c r="F1560" t="s">
        <v>41</v>
      </c>
      <c r="G1560">
        <v>-191.96680000000001</v>
      </c>
      <c r="H1560" s="1">
        <v>-1.904426E-6</v>
      </c>
      <c r="I1560">
        <v>332.80849999999998</v>
      </c>
      <c r="J1560">
        <v>-191.42449999999999</v>
      </c>
      <c r="K1560">
        <v>1.1205719999999999</v>
      </c>
      <c r="L1560">
        <v>348.46429999999998</v>
      </c>
      <c r="M1560">
        <v>-3.4167759999999998E-2</v>
      </c>
      <c r="N1560">
        <v>-3.1102479999999999E-3</v>
      </c>
      <c r="O1560">
        <v>-0.99941139999999995</v>
      </c>
      <c r="P1560">
        <v>-2.422204E-2</v>
      </c>
      <c r="Q1560">
        <v>-9.0065870000000006E-2</v>
      </c>
      <c r="R1560">
        <v>-0.99564140000000001</v>
      </c>
      <c r="S1560">
        <v>-0.1034851</v>
      </c>
      <c r="T1560">
        <v>-0.21147550000000001</v>
      </c>
      <c r="U1560">
        <v>-2.9913639999999999</v>
      </c>
      <c r="V1560">
        <v>-9.6061970000000003E-3</v>
      </c>
      <c r="W1560">
        <v>-8.699084E-2</v>
      </c>
      <c r="X1560">
        <v>0.99616280000000001</v>
      </c>
      <c r="Y1560">
        <v>3.2770189999999999E-4</v>
      </c>
      <c r="Z1560">
        <v>6.7335729999999996E-2</v>
      </c>
      <c r="AA1560">
        <v>0.99773029999999996</v>
      </c>
      <c r="AB1560">
        <v>19</v>
      </c>
      <c r="AC1560">
        <v>-0.542300000000011</v>
      </c>
      <c r="AD1560">
        <v>-1.1205739044259999</v>
      </c>
      <c r="AE1560">
        <v>-15.655799999999999</v>
      </c>
      <c r="AF1560">
        <v>7.0212909704651097E-3</v>
      </c>
      <c r="AG1560">
        <v>-1.1205739044259999</v>
      </c>
      <c r="AH1560">
        <v>15.5854382994722</v>
      </c>
      <c r="AI1560">
        <v>94.112419329232395</v>
      </c>
      <c r="AJ1560">
        <v>89.974188065526505</v>
      </c>
      <c r="AK1560">
        <v>15.625671894688599</v>
      </c>
      <c r="AL1560">
        <v>94.990515723016301</v>
      </c>
      <c r="AM1560">
        <v>90.552497529106205</v>
      </c>
      <c r="AN1560">
        <v>1.0000000046842701</v>
      </c>
    </row>
    <row r="1561" spans="1:40" x14ac:dyDescent="0.25">
      <c r="A1561" t="str">
        <f>"20190303154756924"</f>
        <v>20190303154756924</v>
      </c>
      <c r="B1561" t="str">
        <f>"1551599276912298"</f>
        <v>1551599276912298</v>
      </c>
      <c r="C1561" t="s">
        <v>40</v>
      </c>
      <c r="D1561">
        <v>5.7138429999999998</v>
      </c>
      <c r="E1561">
        <v>0.50282590000000005</v>
      </c>
      <c r="F1561" t="s">
        <v>41</v>
      </c>
      <c r="G1561">
        <v>-191.91560000000001</v>
      </c>
      <c r="H1561" s="1">
        <v>-1.8375289999999999E-6</v>
      </c>
      <c r="I1561">
        <v>332.68430000000001</v>
      </c>
      <c r="J1561">
        <v>-191.4299</v>
      </c>
      <c r="K1561">
        <v>1.120744</v>
      </c>
      <c r="L1561">
        <v>348.27330000000001</v>
      </c>
      <c r="M1561">
        <v>-3.2882290000000002E-2</v>
      </c>
      <c r="N1561">
        <v>-2.8479220000000001E-3</v>
      </c>
      <c r="O1561">
        <v>-0.99945530000000005</v>
      </c>
      <c r="P1561">
        <v>-1.968576E-2</v>
      </c>
      <c r="Q1561">
        <v>-8.9503230000000003E-2</v>
      </c>
      <c r="R1561">
        <v>-0.99579200000000001</v>
      </c>
      <c r="S1561">
        <v>-9.3109129999999998E-2</v>
      </c>
      <c r="T1561">
        <v>-0.21244279999999999</v>
      </c>
      <c r="U1561">
        <v>-2.991638</v>
      </c>
      <c r="V1561">
        <v>-1.2822739999999999E-2</v>
      </c>
      <c r="W1561">
        <v>-8.67034E-2</v>
      </c>
      <c r="X1561">
        <v>0.99615160000000003</v>
      </c>
      <c r="Y1561">
        <v>-1.846952E-3</v>
      </c>
      <c r="Z1561">
        <v>6.7919750000000001E-2</v>
      </c>
      <c r="AA1561">
        <v>0.9976891</v>
      </c>
      <c r="AB1561">
        <v>20</v>
      </c>
      <c r="AC1561">
        <v>-0.48570000000000801</v>
      </c>
      <c r="AD1561">
        <v>-1.120745837529</v>
      </c>
      <c r="AE1561">
        <v>-15.589</v>
      </c>
      <c r="AF1561">
        <v>-2.7027127849104798E-2</v>
      </c>
      <c r="AG1561">
        <v>-1.120745837529</v>
      </c>
      <c r="AH1561">
        <v>15.5164195990289</v>
      </c>
      <c r="AI1561">
        <v>94.1312743904858</v>
      </c>
      <c r="AJ1561">
        <v>90.099800007478393</v>
      </c>
      <c r="AK1561">
        <v>15.5568659720107</v>
      </c>
      <c r="AL1561">
        <v>94.973984403894207</v>
      </c>
      <c r="AM1561">
        <v>90.737486452469</v>
      </c>
      <c r="AN1561">
        <v>0.99999995620761195</v>
      </c>
    </row>
    <row r="1562" spans="1:40" x14ac:dyDescent="0.25">
      <c r="A1562" t="str">
        <f>"20190303154756947"</f>
        <v>20190303154756947</v>
      </c>
      <c r="B1562" t="str">
        <f>"1551599276942554"</f>
        <v>1551599276942554</v>
      </c>
      <c r="C1562" t="s">
        <v>40</v>
      </c>
      <c r="D1562">
        <v>5.723516</v>
      </c>
      <c r="E1562">
        <v>0.50288159999999904</v>
      </c>
      <c r="F1562" t="s">
        <v>41</v>
      </c>
      <c r="G1562">
        <v>-191.858</v>
      </c>
      <c r="H1562" s="1">
        <v>-1.6679379999999999E-6</v>
      </c>
      <c r="I1562">
        <v>332.32470000000001</v>
      </c>
      <c r="J1562">
        <v>-191.435</v>
      </c>
      <c r="K1562">
        <v>1.120878</v>
      </c>
      <c r="L1562">
        <v>348.0677</v>
      </c>
      <c r="M1562">
        <v>-3.1203829999999998E-2</v>
      </c>
      <c r="N1562">
        <v>-2.594706E-3</v>
      </c>
      <c r="O1562">
        <v>-0.99950989999999995</v>
      </c>
      <c r="P1562">
        <v>-1.534202E-2</v>
      </c>
      <c r="Q1562">
        <v>-8.8483790000000007E-2</v>
      </c>
      <c r="R1562">
        <v>-0.99595959999999994</v>
      </c>
      <c r="S1562">
        <v>-8.0322270000000001E-2</v>
      </c>
      <c r="T1562">
        <v>-0.21026639999999999</v>
      </c>
      <c r="U1562">
        <v>-2.9921570000000002</v>
      </c>
      <c r="V1562">
        <v>-1.546662E-2</v>
      </c>
      <c r="W1562">
        <v>-8.5949570000000003E-2</v>
      </c>
      <c r="X1562">
        <v>0.99617940000000005</v>
      </c>
      <c r="Y1562">
        <v>-4.4318819999999998E-3</v>
      </c>
      <c r="Z1562">
        <v>6.7448149999999998E-2</v>
      </c>
      <c r="AA1562">
        <v>0.99771290000000001</v>
      </c>
      <c r="AB1562">
        <v>20</v>
      </c>
      <c r="AC1562">
        <v>-0.42300000000000099</v>
      </c>
      <c r="AD1562">
        <v>-1.120879667938</v>
      </c>
      <c r="AE1562">
        <v>-15.742999999999901</v>
      </c>
      <c r="AF1562">
        <v>-6.8104434180336001E-2</v>
      </c>
      <c r="AG1562">
        <v>-1.120879667938</v>
      </c>
      <c r="AH1562">
        <v>15.669159580111</v>
      </c>
      <c r="AI1562">
        <v>94.091595467716004</v>
      </c>
      <c r="AJ1562">
        <v>90.249028804208393</v>
      </c>
      <c r="AK1562">
        <v>15.7093466252081</v>
      </c>
      <c r="AL1562">
        <v>94.930631209094003</v>
      </c>
      <c r="AM1562">
        <v>90.889499275229198</v>
      </c>
      <c r="AN1562">
        <v>0.999999970950884</v>
      </c>
    </row>
    <row r="1563" spans="1:40" x14ac:dyDescent="0.25">
      <c r="A1563" t="str">
        <f>"20190303154756970"</f>
        <v>20190303154756970</v>
      </c>
      <c r="B1563" t="str">
        <f>"1551599276962075"</f>
        <v>1551599276962075</v>
      </c>
      <c r="C1563" t="s">
        <v>40</v>
      </c>
      <c r="D1563">
        <v>5.7550819999999998</v>
      </c>
      <c r="E1563">
        <v>0.5029595</v>
      </c>
      <c r="F1563" t="s">
        <v>41</v>
      </c>
      <c r="G1563">
        <v>-191.80330000000001</v>
      </c>
      <c r="H1563" s="1">
        <v>-1.4226430000000001E-6</v>
      </c>
      <c r="I1563">
        <v>331.7869</v>
      </c>
      <c r="J1563">
        <v>-191.43950000000001</v>
      </c>
      <c r="K1563">
        <v>1.1209659999999999</v>
      </c>
      <c r="L1563">
        <v>347.85610000000003</v>
      </c>
      <c r="M1563">
        <v>-2.923831E-2</v>
      </c>
      <c r="N1563">
        <v>-2.3632050000000002E-3</v>
      </c>
      <c r="O1563">
        <v>-0.99956979999999995</v>
      </c>
      <c r="P1563">
        <v>-1.1621869999999999E-2</v>
      </c>
      <c r="Q1563">
        <v>-8.7805830000000001E-2</v>
      </c>
      <c r="R1563">
        <v>-0.99607009999999996</v>
      </c>
      <c r="S1563">
        <v>-6.7703250000000006E-2</v>
      </c>
      <c r="T1563">
        <v>-0.2060466</v>
      </c>
      <c r="U1563">
        <v>-2.9928279999999998</v>
      </c>
      <c r="V1563">
        <v>-1.7209599999999999E-2</v>
      </c>
      <c r="W1563">
        <v>-8.5512149999999995E-2</v>
      </c>
      <c r="X1563">
        <v>0.99618850000000003</v>
      </c>
      <c r="Y1563">
        <v>-6.6737239999999998E-3</v>
      </c>
      <c r="Z1563">
        <v>6.6273680000000001E-2</v>
      </c>
      <c r="AA1563">
        <v>0.99777919999999998</v>
      </c>
      <c r="AB1563">
        <v>20</v>
      </c>
      <c r="AC1563">
        <v>-0.36379999999999701</v>
      </c>
      <c r="AD1563">
        <v>-1.120967422643</v>
      </c>
      <c r="AE1563">
        <v>-16.069199999999999</v>
      </c>
      <c r="AF1563">
        <v>-0.10567904034891901</v>
      </c>
      <c r="AG1563">
        <v>-1.120967422643</v>
      </c>
      <c r="AH1563">
        <v>15.995169644706801</v>
      </c>
      <c r="AI1563">
        <v>94.008739462628697</v>
      </c>
      <c r="AJ1563">
        <v>90.378543962263294</v>
      </c>
      <c r="AK1563">
        <v>16.034749389533602</v>
      </c>
      <c r="AL1563">
        <v>94.905476070235395</v>
      </c>
      <c r="AM1563">
        <v>90.989711659320804</v>
      </c>
      <c r="AN1563">
        <v>1.00000001283101</v>
      </c>
    </row>
    <row r="1564" spans="1:40" x14ac:dyDescent="0.25">
      <c r="A1564" t="str">
        <f>"20190303154757015"</f>
        <v>20190303154757015</v>
      </c>
      <c r="B1564" t="str">
        <f>"1551599277011851"</f>
        <v>1551599277011851</v>
      </c>
      <c r="C1564" t="s">
        <v>40</v>
      </c>
      <c r="D1564">
        <v>5.7745550000000003</v>
      </c>
      <c r="E1564">
        <v>0.50713969999999997</v>
      </c>
      <c r="F1564" t="s">
        <v>41</v>
      </c>
      <c r="G1564">
        <v>-191.7552</v>
      </c>
      <c r="H1564" s="1">
        <v>-1.2214399999999999E-6</v>
      </c>
      <c r="I1564">
        <v>331.34769999999997</v>
      </c>
      <c r="J1564">
        <v>-191.44649999999999</v>
      </c>
      <c r="K1564">
        <v>1.1210039999999999</v>
      </c>
      <c r="L1564">
        <v>347.44760000000002</v>
      </c>
      <c r="M1564">
        <v>-2.5013770000000001E-2</v>
      </c>
      <c r="N1564">
        <v>-1.9917170000000001E-3</v>
      </c>
      <c r="O1564">
        <v>-0.99968520000000005</v>
      </c>
      <c r="P1564">
        <v>-7.0452079999999999E-3</v>
      </c>
      <c r="Q1564">
        <v>-8.6865949999999997E-2</v>
      </c>
      <c r="R1564">
        <v>-0.99619519999999995</v>
      </c>
      <c r="S1564">
        <v>-5.725098E-2</v>
      </c>
      <c r="T1564">
        <v>-0.2032505</v>
      </c>
      <c r="U1564">
        <v>-2.9932560000000001</v>
      </c>
      <c r="V1564">
        <v>-1.7563869999999999E-2</v>
      </c>
      <c r="W1564">
        <v>-8.4946949999999993E-2</v>
      </c>
      <c r="X1564">
        <v>0.99623070000000002</v>
      </c>
      <c r="Y1564">
        <v>-5.9330190000000003E-3</v>
      </c>
      <c r="Z1564">
        <v>6.5721509999999997E-2</v>
      </c>
      <c r="AA1564">
        <v>0.99782040000000005</v>
      </c>
      <c r="AB1564">
        <v>20</v>
      </c>
      <c r="AC1564">
        <v>-0.30870000000001602</v>
      </c>
      <c r="AD1564">
        <v>-1.1210052214399999</v>
      </c>
      <c r="AE1564">
        <v>-16.099900000000002</v>
      </c>
      <c r="AF1564">
        <v>-9.3662637601675702E-2</v>
      </c>
      <c r="AG1564">
        <v>-1.1210052214399999</v>
      </c>
      <c r="AH1564">
        <v>16.024922794074499</v>
      </c>
      <c r="AI1564">
        <v>94.001474125605696</v>
      </c>
      <c r="AJ1564">
        <v>90.334879162499902</v>
      </c>
      <c r="AK1564">
        <v>16.064357315256299</v>
      </c>
      <c r="AL1564">
        <v>94.872974096262496</v>
      </c>
      <c r="AM1564">
        <v>91.010038514659101</v>
      </c>
      <c r="AN1564">
        <v>1.00000004073308</v>
      </c>
    </row>
    <row r="1565" spans="1:40" x14ac:dyDescent="0.25">
      <c r="A1565" t="str">
        <f>"20190303154757038"</f>
        <v>20190303154757038</v>
      </c>
      <c r="B1565" t="str">
        <f>"1551599277032346"</f>
        <v>1551599277032346</v>
      </c>
      <c r="C1565" t="s">
        <v>40</v>
      </c>
      <c r="D1565">
        <v>5.8045220000000004</v>
      </c>
      <c r="E1565">
        <v>0.506714</v>
      </c>
      <c r="F1565" t="s">
        <v>41</v>
      </c>
      <c r="G1565">
        <v>-191.92339999999999</v>
      </c>
      <c r="H1565" s="1">
        <v>-4.3124460000000004E-6</v>
      </c>
      <c r="I1565">
        <v>328.65649999999999</v>
      </c>
      <c r="J1565">
        <v>-191.44929999999999</v>
      </c>
      <c r="K1565">
        <v>1.1209849999999999</v>
      </c>
      <c r="L1565">
        <v>347.23649999999998</v>
      </c>
      <c r="M1565">
        <v>-2.2715599999999999E-2</v>
      </c>
      <c r="N1565">
        <v>-1.838194E-3</v>
      </c>
      <c r="O1565">
        <v>-0.99974030000000003</v>
      </c>
      <c r="P1565">
        <v>-6.4716399999999999E-3</v>
      </c>
      <c r="Q1565">
        <v>-8.6908620000000006E-2</v>
      </c>
      <c r="R1565">
        <v>-0.99619539999999995</v>
      </c>
      <c r="S1565">
        <v>-7.6019290000000003E-2</v>
      </c>
      <c r="T1565">
        <v>-0.17868919999999999</v>
      </c>
      <c r="U1565">
        <v>-2.9952999999999999</v>
      </c>
      <c r="V1565">
        <v>-1.5845370000000001E-2</v>
      </c>
      <c r="W1565">
        <v>-8.5136450000000002E-2</v>
      </c>
      <c r="X1565">
        <v>0.99624330000000005</v>
      </c>
      <c r="Y1565">
        <v>2.6140759999999999E-3</v>
      </c>
      <c r="Z1565">
        <v>5.7683489999999997E-2</v>
      </c>
      <c r="AA1565">
        <v>0.99833150000000004</v>
      </c>
      <c r="AB1565">
        <v>21</v>
      </c>
      <c r="AC1565">
        <v>-0.47409999999999197</v>
      </c>
      <c r="AD1565">
        <v>-1.120989312446</v>
      </c>
      <c r="AE1565">
        <v>-18.579999999999899</v>
      </c>
      <c r="AF1565">
        <v>5.1732925070555297E-2</v>
      </c>
      <c r="AG1565">
        <v>-1.120989312446</v>
      </c>
      <c r="AH1565">
        <v>18.518609771597902</v>
      </c>
      <c r="AI1565">
        <v>93.464052124033401</v>
      </c>
      <c r="AJ1565">
        <v>89.8399409785914</v>
      </c>
      <c r="AK1565">
        <v>18.552579368025299</v>
      </c>
      <c r="AL1565">
        <v>94.883871312141693</v>
      </c>
      <c r="AM1565">
        <v>90.911219459855403</v>
      </c>
      <c r="AN1565">
        <v>1.0000000018319599</v>
      </c>
    </row>
    <row r="1566" spans="1:40" x14ac:dyDescent="0.25">
      <c r="A1566" t="str">
        <f>"20190303154757058"</f>
        <v>20190303154757058</v>
      </c>
      <c r="B1566" t="str">
        <f>"1551599277051867"</f>
        <v>1551599277051867</v>
      </c>
      <c r="C1566" t="s">
        <v>40</v>
      </c>
      <c r="D1566">
        <v>5.8818999999999999</v>
      </c>
      <c r="E1566">
        <v>0.50695709999999905</v>
      </c>
      <c r="F1566" t="s">
        <v>41</v>
      </c>
      <c r="G1566">
        <v>-191.89019999999999</v>
      </c>
      <c r="H1566" s="1">
        <v>-4.2919819999999997E-6</v>
      </c>
      <c r="I1566">
        <v>328.61369999999999</v>
      </c>
      <c r="J1566">
        <v>-191.4513</v>
      </c>
      <c r="K1566">
        <v>1.120965</v>
      </c>
      <c r="L1566">
        <v>347.04570000000001</v>
      </c>
      <c r="M1566">
        <v>-2.0617920000000001E-2</v>
      </c>
      <c r="N1566">
        <v>-1.72414799999999E-3</v>
      </c>
      <c r="O1566">
        <v>-0.99978599999999995</v>
      </c>
      <c r="P1566">
        <v>-6.6561459999999999E-3</v>
      </c>
      <c r="Q1566">
        <v>-8.6932549999999997E-2</v>
      </c>
      <c r="R1566">
        <v>-0.99619210000000002</v>
      </c>
      <c r="S1566">
        <v>-7.0922849999999996E-2</v>
      </c>
      <c r="T1566">
        <v>-0.18029899999999999</v>
      </c>
      <c r="U1566">
        <v>-2.9952700000000001</v>
      </c>
      <c r="V1566">
        <v>-1.357208E-2</v>
      </c>
      <c r="W1566">
        <v>-8.526533E-2</v>
      </c>
      <c r="X1566">
        <v>0.99626579999999998</v>
      </c>
      <c r="Y1566">
        <v>3.0139630000000001E-3</v>
      </c>
      <c r="Z1566">
        <v>5.8337489999999999E-2</v>
      </c>
      <c r="AA1566">
        <v>0.99829239999999997</v>
      </c>
      <c r="AB1566">
        <v>21</v>
      </c>
      <c r="AC1566">
        <v>-0.43889999999998902</v>
      </c>
      <c r="AD1566">
        <v>-1.120969291982</v>
      </c>
      <c r="AE1566">
        <v>-18.431999999999999</v>
      </c>
      <c r="AF1566">
        <v>5.8560187346869401E-2</v>
      </c>
      <c r="AG1566">
        <v>-1.120969291982</v>
      </c>
      <c r="AH1566">
        <v>18.369228350122899</v>
      </c>
      <c r="AI1566">
        <v>93.492086578094501</v>
      </c>
      <c r="AJ1566">
        <v>89.817344520298604</v>
      </c>
      <c r="AK1566">
        <v>18.403492919227698</v>
      </c>
      <c r="AL1566">
        <v>94.8912827409073</v>
      </c>
      <c r="AM1566">
        <v>90.780489306744798</v>
      </c>
      <c r="AN1566">
        <v>0.99999996105258604</v>
      </c>
    </row>
    <row r="1567" spans="1:40" x14ac:dyDescent="0.25">
      <c r="A1567" t="str">
        <f>"20190303154757080"</f>
        <v>20190303154757080</v>
      </c>
      <c r="B1567" t="str">
        <f>"1551599277072362"</f>
        <v>1551599277072362</v>
      </c>
      <c r="C1567" t="s">
        <v>40</v>
      </c>
      <c r="D1567">
        <v>5.8504459999999998</v>
      </c>
      <c r="E1567">
        <v>0.50700869999999998</v>
      </c>
      <c r="F1567" t="s">
        <v>41</v>
      </c>
      <c r="G1567">
        <v>-191.90039999999999</v>
      </c>
      <c r="H1567" s="1">
        <v>-4.3416460000000001E-6</v>
      </c>
      <c r="I1567">
        <v>328.7543</v>
      </c>
      <c r="J1567">
        <v>-191.45310000000001</v>
      </c>
      <c r="K1567">
        <v>1.1209340000000001</v>
      </c>
      <c r="L1567">
        <v>346.83420000000001</v>
      </c>
      <c r="M1567">
        <v>-1.8296010000000001E-2</v>
      </c>
      <c r="N1567">
        <v>-1.621316E-3</v>
      </c>
      <c r="O1567">
        <v>-0.99983140000000004</v>
      </c>
      <c r="P1567">
        <v>-7.3168719999999899E-3</v>
      </c>
      <c r="Q1567">
        <v>-8.7311410000000006E-2</v>
      </c>
      <c r="R1567">
        <v>-0.9961544</v>
      </c>
      <c r="S1567">
        <v>-7.3532100000000003E-2</v>
      </c>
      <c r="T1567">
        <v>-0.1835415</v>
      </c>
      <c r="U1567">
        <v>-2.9949340000000002</v>
      </c>
      <c r="V1567">
        <v>-1.059917E-2</v>
      </c>
      <c r="W1567">
        <v>-8.5735309999999995E-2</v>
      </c>
      <c r="X1567">
        <v>0.99626159999999997</v>
      </c>
      <c r="Y1567">
        <v>6.2062840000000003E-3</v>
      </c>
      <c r="Z1567">
        <v>5.952615E-2</v>
      </c>
      <c r="AA1567">
        <v>0.99820739999999997</v>
      </c>
      <c r="AB1567">
        <v>21</v>
      </c>
      <c r="AC1567">
        <v>-0.44729999999998399</v>
      </c>
      <c r="AD1567">
        <v>-1.1209383416459999</v>
      </c>
      <c r="AE1567">
        <v>-18.079899999999999</v>
      </c>
      <c r="AF1567">
        <v>0.115989118203111</v>
      </c>
      <c r="AG1567">
        <v>-1.1209383416459999</v>
      </c>
      <c r="AH1567">
        <v>18.015848833826201</v>
      </c>
      <c r="AI1567">
        <v>93.560255481688003</v>
      </c>
      <c r="AJ1567">
        <v>89.6311250618988</v>
      </c>
      <c r="AK1567">
        <v>18.0510599534927</v>
      </c>
      <c r="AL1567">
        <v>94.918309237656501</v>
      </c>
      <c r="AM1567">
        <v>90.609543513992094</v>
      </c>
      <c r="AN1567">
        <v>1.0000000307100201</v>
      </c>
    </row>
    <row r="1568" spans="1:40" x14ac:dyDescent="0.25">
      <c r="A1568" t="str">
        <f>"20190303154757101"</f>
        <v>20190303154757101</v>
      </c>
      <c r="B1568" t="str">
        <f>"1551599277091883"</f>
        <v>1551599277091883</v>
      </c>
      <c r="C1568" t="s">
        <v>40</v>
      </c>
      <c r="D1568">
        <v>5.8887869999999998</v>
      </c>
      <c r="E1568">
        <v>0.50700909999999999</v>
      </c>
      <c r="F1568" t="s">
        <v>41</v>
      </c>
      <c r="G1568">
        <v>-191.90719999999999</v>
      </c>
      <c r="H1568" s="1">
        <v>-4.4068529999999999E-6</v>
      </c>
      <c r="I1568">
        <v>328.94240000000002</v>
      </c>
      <c r="J1568">
        <v>-191.45429999999999</v>
      </c>
      <c r="K1568">
        <v>1.1208990000000001</v>
      </c>
      <c r="L1568">
        <v>346.63699999999898</v>
      </c>
      <c r="M1568">
        <v>-1.614523E-2</v>
      </c>
      <c r="N1568">
        <v>-1.545612E-3</v>
      </c>
      <c r="O1568">
        <v>-0.99986839999999999</v>
      </c>
      <c r="P1568">
        <v>-8.1311130000000006E-3</v>
      </c>
      <c r="Q1568">
        <v>-8.8715489999999994E-2</v>
      </c>
      <c r="R1568">
        <v>-0.99602409999999997</v>
      </c>
      <c r="S1568">
        <v>-7.5988769999999997E-2</v>
      </c>
      <c r="T1568">
        <v>-0.1876129</v>
      </c>
      <c r="U1568">
        <v>-2.9945680000000001</v>
      </c>
      <c r="V1568">
        <v>-7.6390319999999996E-3</v>
      </c>
      <c r="W1568">
        <v>-8.7203820000000001E-2</v>
      </c>
      <c r="X1568">
        <v>0.99616119999999997</v>
      </c>
      <c r="Y1568">
        <v>9.1763620000000004E-3</v>
      </c>
      <c r="Z1568">
        <v>6.0962589999999997E-2</v>
      </c>
      <c r="AA1568">
        <v>0.99809789999999998</v>
      </c>
      <c r="AB1568">
        <v>21</v>
      </c>
      <c r="AC1568">
        <v>-0.45289999999999903</v>
      </c>
      <c r="AD1568">
        <v>-1.1209034068529999</v>
      </c>
      <c r="AE1568">
        <v>-17.694599999999902</v>
      </c>
      <c r="AF1568">
        <v>0.166489558510344</v>
      </c>
      <c r="AG1568">
        <v>-1.1209034068529999</v>
      </c>
      <c r="AH1568">
        <v>17.628909642278</v>
      </c>
      <c r="AI1568">
        <v>93.637992657407295</v>
      </c>
      <c r="AJ1568">
        <v>89.458907803094704</v>
      </c>
      <c r="AK1568">
        <v>17.665293611944001</v>
      </c>
      <c r="AL1568">
        <v>95.002765158178505</v>
      </c>
      <c r="AM1568">
        <v>90.4393623382079</v>
      </c>
      <c r="AN1568">
        <v>0.99999999870896406</v>
      </c>
    </row>
    <row r="1569" spans="1:40" x14ac:dyDescent="0.25">
      <c r="A1569" t="str">
        <f>"20190303154757123"</f>
        <v>20190303154757123</v>
      </c>
      <c r="B1569" t="str">
        <f>"1551599277112378"</f>
        <v>1551599277112378</v>
      </c>
      <c r="C1569" t="s">
        <v>40</v>
      </c>
      <c r="D1569">
        <v>5.8879409999999996</v>
      </c>
      <c r="E1569">
        <v>0.50672070000000002</v>
      </c>
      <c r="F1569" t="s">
        <v>41</v>
      </c>
      <c r="G1569">
        <v>-191.90889999999999</v>
      </c>
      <c r="H1569" s="1">
        <v>-4.5162879999999999E-6</v>
      </c>
      <c r="I1569">
        <v>329.26310000000001</v>
      </c>
      <c r="J1569">
        <v>-191.45519999999999</v>
      </c>
      <c r="K1569">
        <v>1.120865</v>
      </c>
      <c r="L1569">
        <v>346.4212</v>
      </c>
      <c r="M1569">
        <v>-1.3810569999999999E-2</v>
      </c>
      <c r="N1569">
        <v>-1.4788220000000001E-3</v>
      </c>
      <c r="O1569">
        <v>-0.99990369999999995</v>
      </c>
      <c r="P1569">
        <v>-8.2840399999999995E-3</v>
      </c>
      <c r="Q1569">
        <v>-9.0197410000000006E-2</v>
      </c>
      <c r="R1569">
        <v>-0.99588960000000004</v>
      </c>
      <c r="S1569">
        <v>-7.8338619999999998E-2</v>
      </c>
      <c r="T1569">
        <v>-0.19317519999999999</v>
      </c>
      <c r="U1569">
        <v>-2.994202</v>
      </c>
      <c r="V1569">
        <v>-5.1578229999999997E-3</v>
      </c>
      <c r="W1569">
        <v>-8.8743249999999996E-2</v>
      </c>
      <c r="X1569">
        <v>0.99604119999999996</v>
      </c>
      <c r="Y1569">
        <v>1.2293770000000001E-2</v>
      </c>
      <c r="Z1569">
        <v>6.2884430000000005E-2</v>
      </c>
      <c r="AA1569">
        <v>0.99794510000000003</v>
      </c>
      <c r="AB1569">
        <v>22</v>
      </c>
      <c r="AC1569">
        <v>-0.45369999999999699</v>
      </c>
      <c r="AD1569">
        <v>-1.120869516288</v>
      </c>
      <c r="AE1569">
        <v>-17.158099999999902</v>
      </c>
      <c r="AF1569">
        <v>0.215773204027397</v>
      </c>
      <c r="AG1569">
        <v>-1.120869516288</v>
      </c>
      <c r="AH1569">
        <v>17.089849808254201</v>
      </c>
      <c r="AI1569">
        <v>93.752177394054499</v>
      </c>
      <c r="AJ1569">
        <v>89.276632785141302</v>
      </c>
      <c r="AK1569">
        <v>17.127926699306201</v>
      </c>
      <c r="AL1569">
        <v>95.091311211412602</v>
      </c>
      <c r="AM1569">
        <v>90.296693397768706</v>
      </c>
      <c r="AN1569">
        <v>1.0000000198280501</v>
      </c>
    </row>
    <row r="1570" spans="1:40" x14ac:dyDescent="0.25">
      <c r="A1570" t="str">
        <f>"20190303154757146"</f>
        <v>20190303154757146</v>
      </c>
      <c r="B1570" t="str">
        <f>"1551599277141659"</f>
        <v>1551599277141659</v>
      </c>
      <c r="C1570" t="s">
        <v>40</v>
      </c>
      <c r="D1570">
        <v>5.9307919999999896</v>
      </c>
      <c r="E1570">
        <v>0.50702079999999905</v>
      </c>
      <c r="F1570" t="s">
        <v>41</v>
      </c>
      <c r="G1570">
        <v>-191.8897</v>
      </c>
      <c r="H1570" s="1">
        <v>-4.5710799999999996E-6</v>
      </c>
      <c r="I1570">
        <v>329.4341</v>
      </c>
      <c r="J1570">
        <v>-191.4556</v>
      </c>
      <c r="K1570">
        <v>1.1208320000000001</v>
      </c>
      <c r="L1570">
        <v>346.19220000000001</v>
      </c>
      <c r="M1570">
        <v>-1.135649E-2</v>
      </c>
      <c r="N1570">
        <v>-1.4202310000000001E-3</v>
      </c>
      <c r="O1570">
        <v>-0.99993469999999995</v>
      </c>
      <c r="P1570">
        <v>-6.7151449999999996E-3</v>
      </c>
      <c r="Q1570">
        <v>-9.0989230000000004E-2</v>
      </c>
      <c r="R1570">
        <v>-0.99582969999999904</v>
      </c>
      <c r="S1570">
        <v>-7.6583860000000004E-2</v>
      </c>
      <c r="T1570">
        <v>-0.197548</v>
      </c>
      <c r="U1570">
        <v>-2.9938959999999999</v>
      </c>
      <c r="V1570">
        <v>-4.283589E-3</v>
      </c>
      <c r="W1570">
        <v>-8.9590230000000007E-2</v>
      </c>
      <c r="X1570">
        <v>0.99596949999999995</v>
      </c>
      <c r="Y1570">
        <v>1.4163429999999999E-2</v>
      </c>
      <c r="Z1570">
        <v>6.440303E-2</v>
      </c>
      <c r="AA1570">
        <v>0.99782349999999997</v>
      </c>
      <c r="AB1570">
        <v>22</v>
      </c>
      <c r="AC1570">
        <v>-0.43409999999999999</v>
      </c>
      <c r="AD1570">
        <v>-1.1208365710799999</v>
      </c>
      <c r="AE1570">
        <v>-16.758099999999999</v>
      </c>
      <c r="AF1570">
        <v>0.24267381401981999</v>
      </c>
      <c r="AG1570">
        <v>-1.1208365710799999</v>
      </c>
      <c r="AH1570">
        <v>16.687350502214599</v>
      </c>
      <c r="AI1570">
        <v>93.842199761002604</v>
      </c>
      <c r="AJ1570">
        <v>89.166841656028296</v>
      </c>
      <c r="AK1570">
        <v>16.7267101362714</v>
      </c>
      <c r="AL1570">
        <v>95.140033760287807</v>
      </c>
      <c r="AM1570">
        <v>90.246423266534507</v>
      </c>
      <c r="AN1570">
        <v>1.00000000168821</v>
      </c>
    </row>
    <row r="1571" spans="1:40" x14ac:dyDescent="0.25">
      <c r="A1571" t="str">
        <f>"20190303154757168"</f>
        <v>20190303154757168</v>
      </c>
      <c r="B1571" t="str">
        <f>"1551599277162155"</f>
        <v>1551599277162155</v>
      </c>
      <c r="C1571" t="s">
        <v>40</v>
      </c>
      <c r="D1571">
        <v>5.9441059999999997</v>
      </c>
      <c r="E1571">
        <v>0.51764449999999995</v>
      </c>
      <c r="F1571" t="s">
        <v>41</v>
      </c>
      <c r="G1571">
        <v>-191.875</v>
      </c>
      <c r="H1571" s="1">
        <v>-4.5154220000000002E-6</v>
      </c>
      <c r="I1571">
        <v>329.2783</v>
      </c>
      <c r="J1571">
        <v>-191.4555</v>
      </c>
      <c r="K1571">
        <v>1.1208089999999999</v>
      </c>
      <c r="L1571">
        <v>345.97320000000002</v>
      </c>
      <c r="M1571">
        <v>-9.030494E-3</v>
      </c>
      <c r="N1571">
        <v>-1.3735079999999901E-3</v>
      </c>
      <c r="O1571">
        <v>-0.99995849999999997</v>
      </c>
      <c r="P1571">
        <v>-4.9599809999999996E-3</v>
      </c>
      <c r="Q1571">
        <v>-9.0561150000000007E-2</v>
      </c>
      <c r="R1571">
        <v>-0.99587879999999995</v>
      </c>
      <c r="S1571">
        <v>-7.4234010000000003E-2</v>
      </c>
      <c r="T1571">
        <v>-0.19839680000000001</v>
      </c>
      <c r="U1571">
        <v>-2.9938959999999999</v>
      </c>
      <c r="V1571">
        <v>-3.7275899999999998E-3</v>
      </c>
      <c r="W1571">
        <v>-8.9206519999999997E-2</v>
      </c>
      <c r="X1571">
        <v>0.99600619999999995</v>
      </c>
      <c r="Y1571">
        <v>1.5706040000000001E-2</v>
      </c>
      <c r="Z1571">
        <v>6.4733440000000003E-2</v>
      </c>
      <c r="AA1571">
        <v>0.99777899999999997</v>
      </c>
      <c r="AB1571">
        <v>22</v>
      </c>
      <c r="AC1571">
        <v>-0.41949999999999898</v>
      </c>
      <c r="AD1571">
        <v>-1.120813515422</v>
      </c>
      <c r="AE1571">
        <v>-16.694900000000001</v>
      </c>
      <c r="AF1571">
        <v>0.267514631464352</v>
      </c>
      <c r="AG1571">
        <v>-1.120813515422</v>
      </c>
      <c r="AH1571">
        <v>16.623132377969601</v>
      </c>
      <c r="AI1571">
        <v>93.856827744034604</v>
      </c>
      <c r="AJ1571">
        <v>89.078023562587703</v>
      </c>
      <c r="AK1571">
        <v>16.6630224470203</v>
      </c>
      <c r="AL1571">
        <v>95.117960297851596</v>
      </c>
      <c r="AM1571">
        <v>90.214430570422905</v>
      </c>
      <c r="AN1571">
        <v>1.00000002428807</v>
      </c>
    </row>
    <row r="1572" spans="1:40" x14ac:dyDescent="0.25">
      <c r="A1572" t="str">
        <f>"20190303154757192"</f>
        <v>20190303154757192</v>
      </c>
      <c r="B1572" t="str">
        <f>"1551599277181675"</f>
        <v>1551599277181675</v>
      </c>
      <c r="C1572" t="s">
        <v>40</v>
      </c>
      <c r="D1572">
        <v>5.8996729999999999</v>
      </c>
      <c r="E1572">
        <v>0.51788540000000005</v>
      </c>
      <c r="F1572" t="s">
        <v>41</v>
      </c>
      <c r="G1572">
        <v>-192.7912</v>
      </c>
      <c r="H1572" s="1">
        <v>-7.5595699999999897E-7</v>
      </c>
      <c r="I1572">
        <v>319.62009999999998</v>
      </c>
      <c r="J1572">
        <v>-191.45490000000001</v>
      </c>
      <c r="K1572">
        <v>1.1208</v>
      </c>
      <c r="L1572">
        <v>345.75069999999999</v>
      </c>
      <c r="M1572">
        <v>-6.6858450000000002E-3</v>
      </c>
      <c r="N1572">
        <v>-1.3340470000000001E-3</v>
      </c>
      <c r="O1572">
        <v>-0.999977</v>
      </c>
      <c r="P1572">
        <v>-3.21785E-3</v>
      </c>
      <c r="Q1572">
        <v>-8.9968790000000007E-2</v>
      </c>
      <c r="R1572">
        <v>-0.99593960000000004</v>
      </c>
      <c r="S1572">
        <v>-0.15205379999999999</v>
      </c>
      <c r="T1572">
        <v>-0.12759280000000001</v>
      </c>
      <c r="U1572">
        <v>-3.0000309999999999</v>
      </c>
      <c r="V1572">
        <v>-3.1383549999999998E-3</v>
      </c>
      <c r="W1572">
        <v>-8.865133E-2</v>
      </c>
      <c r="X1572">
        <v>0.99605770000000005</v>
      </c>
      <c r="Y1572">
        <v>4.3896650000000002E-2</v>
      </c>
      <c r="Z1572">
        <v>4.1110349999999997E-2</v>
      </c>
      <c r="AA1572">
        <v>0.99818989999999996</v>
      </c>
      <c r="AB1572">
        <v>22</v>
      </c>
      <c r="AC1572">
        <v>-1.3362999999999901</v>
      </c>
      <c r="AD1572">
        <v>-1.1208007559569999</v>
      </c>
      <c r="AE1572">
        <v>-26.130600000000001</v>
      </c>
      <c r="AF1572">
        <v>1.1594373708174901</v>
      </c>
      <c r="AG1572">
        <v>-1.1208007559569999</v>
      </c>
      <c r="AH1572">
        <v>26.091074501410699</v>
      </c>
      <c r="AI1572">
        <v>92.4573346036141</v>
      </c>
      <c r="AJ1572">
        <v>87.455559305521604</v>
      </c>
      <c r="AK1572">
        <v>26.140861844812299</v>
      </c>
      <c r="AL1572">
        <v>95.086024228908698</v>
      </c>
      <c r="AM1572">
        <v>90.180525587109699</v>
      </c>
      <c r="AN1572">
        <v>0.99999992465607901</v>
      </c>
    </row>
    <row r="1573" spans="1:40" x14ac:dyDescent="0.25">
      <c r="A1573" t="str">
        <f>"20190303154757215"</f>
        <v>20190303154757215</v>
      </c>
      <c r="B1573" t="str">
        <f>"1551599277211931"</f>
        <v>1551599277211931</v>
      </c>
      <c r="C1573" t="s">
        <v>40</v>
      </c>
      <c r="D1573">
        <v>5.9036390000000001</v>
      </c>
      <c r="E1573">
        <v>0.51794870000000004</v>
      </c>
      <c r="F1573" t="s">
        <v>41</v>
      </c>
      <c r="G1573">
        <v>-192.77500000000001</v>
      </c>
      <c r="H1573" s="1">
        <v>-5.022699E-6</v>
      </c>
      <c r="I1573">
        <v>319.08370000000002</v>
      </c>
      <c r="J1573">
        <v>-191.4537</v>
      </c>
      <c r="K1573">
        <v>1.120784</v>
      </c>
      <c r="L1573">
        <v>345.51139999999998</v>
      </c>
      <c r="M1573">
        <v>-4.1827720000000004E-3</v>
      </c>
      <c r="N1573">
        <v>-1.3007089999999999E-3</v>
      </c>
      <c r="O1573">
        <v>-0.99999059999999995</v>
      </c>
      <c r="P1573">
        <v>-7.5066300000000005E-4</v>
      </c>
      <c r="Q1573">
        <v>-8.8946330000000004E-2</v>
      </c>
      <c r="R1573">
        <v>-0.99603640000000004</v>
      </c>
      <c r="S1573">
        <v>-0.1485291</v>
      </c>
      <c r="T1573">
        <v>-0.12610299999999999</v>
      </c>
      <c r="U1573">
        <v>-3.0003359999999999</v>
      </c>
      <c r="V1573">
        <v>-3.1163060000000001E-3</v>
      </c>
      <c r="W1573">
        <v>-8.7661879999999998E-2</v>
      </c>
      <c r="X1573">
        <v>0.99614539999999996</v>
      </c>
      <c r="Y1573">
        <v>4.5223390000000002E-2</v>
      </c>
      <c r="Z1573">
        <v>4.0645439999999998E-2</v>
      </c>
      <c r="AA1573">
        <v>0.99814970000000003</v>
      </c>
      <c r="AB1573">
        <v>22</v>
      </c>
      <c r="AC1573">
        <v>-1.3212999999999999</v>
      </c>
      <c r="AD1573">
        <v>-1.120789022699</v>
      </c>
      <c r="AE1573">
        <v>-26.427699999999898</v>
      </c>
      <c r="AF1573">
        <v>1.2085790235984</v>
      </c>
      <c r="AG1573">
        <v>-1.120789022699</v>
      </c>
      <c r="AH1573">
        <v>26.385657213032999</v>
      </c>
      <c r="AI1573">
        <v>92.429758035857006</v>
      </c>
      <c r="AJ1573">
        <v>87.377434633438895</v>
      </c>
      <c r="AK1573">
        <v>26.437090192632098</v>
      </c>
      <c r="AL1573">
        <v>95.0291110144274</v>
      </c>
      <c r="AM1573">
        <v>90.179241503299806</v>
      </c>
      <c r="AN1573">
        <v>0.99999998725468897</v>
      </c>
    </row>
    <row r="1574" spans="1:40" x14ac:dyDescent="0.25">
      <c r="A1574" t="str">
        <f>"20190303154757237"</f>
        <v>20190303154757237</v>
      </c>
      <c r="B1574" t="str">
        <f>"1551599277232428"</f>
        <v>1551599277232428</v>
      </c>
      <c r="C1574" t="s">
        <v>40</v>
      </c>
      <c r="D1574">
        <v>5.8959999999999999</v>
      </c>
      <c r="E1574">
        <v>0.51803869999999996</v>
      </c>
      <c r="F1574" t="s">
        <v>41</v>
      </c>
      <c r="G1574">
        <v>-192.7397</v>
      </c>
      <c r="H1574" s="1">
        <v>-4.6984749999999999E-6</v>
      </c>
      <c r="I1574">
        <v>318.25569999999999</v>
      </c>
      <c r="J1574">
        <v>-191.4521</v>
      </c>
      <c r="K1574">
        <v>1.120771</v>
      </c>
      <c r="L1574">
        <v>345.28530000000001</v>
      </c>
      <c r="M1574">
        <v>-1.84665E-3</v>
      </c>
      <c r="N1574">
        <v>-1.278703E-3</v>
      </c>
      <c r="O1574">
        <v>-0.99999769999999999</v>
      </c>
      <c r="P1574">
        <v>1.76457E-3</v>
      </c>
      <c r="Q1574">
        <v>-8.9164850000000004E-2</v>
      </c>
      <c r="R1574">
        <v>-0.99601569999999995</v>
      </c>
      <c r="S1574">
        <v>-0.141586299999999</v>
      </c>
      <c r="T1574">
        <v>-0.1233978</v>
      </c>
      <c r="U1574">
        <v>-3.0008240000000002</v>
      </c>
      <c r="V1574">
        <v>-3.30386E-3</v>
      </c>
      <c r="W1574">
        <v>-8.790299E-2</v>
      </c>
      <c r="X1574">
        <v>0.9961236</v>
      </c>
      <c r="Y1574">
        <v>4.5246870000000002E-2</v>
      </c>
      <c r="Z1574">
        <v>3.9765059999999998E-2</v>
      </c>
      <c r="AA1574">
        <v>0.99818410000000002</v>
      </c>
      <c r="AB1574">
        <v>22</v>
      </c>
      <c r="AC1574">
        <v>-1.2875999999999901</v>
      </c>
      <c r="AD1574">
        <v>-1.1207756984749999</v>
      </c>
      <c r="AE1574">
        <v>-27.029599999999999</v>
      </c>
      <c r="AF1574">
        <v>1.23556403667387</v>
      </c>
      <c r="AG1574">
        <v>-1.1207756984749999</v>
      </c>
      <c r="AH1574">
        <v>26.9856396034486</v>
      </c>
      <c r="AI1574">
        <v>92.375772654113007</v>
      </c>
      <c r="AJ1574">
        <v>87.378487263997201</v>
      </c>
      <c r="AK1574">
        <v>27.037150394637099</v>
      </c>
      <c r="AL1574">
        <v>95.042978874885407</v>
      </c>
      <c r="AM1574">
        <v>90.190033184615004</v>
      </c>
      <c r="AN1574">
        <v>1.0000000388093899</v>
      </c>
    </row>
    <row r="1575" spans="1:40" x14ac:dyDescent="0.25">
      <c r="A1575" t="str">
        <f>"20190303154757258"</f>
        <v>20190303154757258</v>
      </c>
      <c r="B1575" t="str">
        <f>"1551599277251947"</f>
        <v>1551599277251947</v>
      </c>
      <c r="C1575" t="s">
        <v>40</v>
      </c>
      <c r="D1575">
        <v>5.9057919999999999</v>
      </c>
      <c r="E1575">
        <v>0.51815630000000001</v>
      </c>
      <c r="F1575" t="s">
        <v>41</v>
      </c>
      <c r="G1575">
        <v>-192.6696</v>
      </c>
      <c r="H1575" s="1">
        <v>-4.6470489999999996E-6</v>
      </c>
      <c r="I1575">
        <v>318.1542</v>
      </c>
      <c r="J1575">
        <v>-191.4502</v>
      </c>
      <c r="K1575">
        <v>1.120746</v>
      </c>
      <c r="L1575">
        <v>345.07139999999998</v>
      </c>
      <c r="M1575">
        <v>3.153257E-4</v>
      </c>
      <c r="N1575">
        <v>-1.264245E-3</v>
      </c>
      <c r="O1575">
        <v>-0.99999930000000004</v>
      </c>
      <c r="P1575">
        <v>3.3627549999999998E-3</v>
      </c>
      <c r="Q1575">
        <v>-8.9693019999999998E-2</v>
      </c>
      <c r="R1575">
        <v>-0.99596390000000001</v>
      </c>
      <c r="S1575">
        <v>-0.13467409999999999</v>
      </c>
      <c r="T1575">
        <v>-0.1239753</v>
      </c>
      <c r="U1575">
        <v>-3.0011290000000002</v>
      </c>
      <c r="V1575">
        <v>-2.7494149999999998E-3</v>
      </c>
      <c r="W1575">
        <v>-8.8443640000000004E-2</v>
      </c>
      <c r="X1575">
        <v>0.9960774</v>
      </c>
      <c r="Y1575">
        <v>4.5107330000000001E-2</v>
      </c>
      <c r="Z1575">
        <v>3.9969409999999997E-2</v>
      </c>
      <c r="AA1575">
        <v>0.99818220000000002</v>
      </c>
      <c r="AB1575">
        <v>23</v>
      </c>
      <c r="AC1575">
        <v>-1.2194</v>
      </c>
      <c r="AD1575">
        <v>-1.1207506470490001</v>
      </c>
      <c r="AE1575">
        <v>-26.917199999999902</v>
      </c>
      <c r="AF1575">
        <v>1.2257669467668799</v>
      </c>
      <c r="AG1575">
        <v>-1.1207506470490001</v>
      </c>
      <c r="AH1575">
        <v>26.870326160141602</v>
      </c>
      <c r="AI1575">
        <v>92.385921478398799</v>
      </c>
      <c r="AJ1575">
        <v>87.388099564439997</v>
      </c>
      <c r="AK1575">
        <v>26.921608692146101</v>
      </c>
      <c r="AL1575">
        <v>95.074077097269395</v>
      </c>
      <c r="AM1575">
        <v>90.158149834100897</v>
      </c>
      <c r="AN1575">
        <v>1.0000000117650201</v>
      </c>
    </row>
    <row r="1576" spans="1:40" x14ac:dyDescent="0.25">
      <c r="A1576" t="str">
        <f>"20190303154757281"</f>
        <v>20190303154757281</v>
      </c>
      <c r="B1576" t="str">
        <f>"1551599277272443"</f>
        <v>1551599277272443</v>
      </c>
      <c r="C1576" t="s">
        <v>40</v>
      </c>
      <c r="D1576">
        <v>5.8928159999999998</v>
      </c>
      <c r="E1576">
        <v>0.51841389999999998</v>
      </c>
      <c r="F1576" t="s">
        <v>41</v>
      </c>
      <c r="G1576">
        <v>-192.61490000000001</v>
      </c>
      <c r="H1576" s="1">
        <v>-4.7311159999999999E-6</v>
      </c>
      <c r="I1576">
        <v>318.39830000000001</v>
      </c>
      <c r="J1576">
        <v>-191.4477</v>
      </c>
      <c r="K1576">
        <v>1.1206940000000001</v>
      </c>
      <c r="L1576">
        <v>344.84800000000001</v>
      </c>
      <c r="M1576">
        <v>2.4916000000000001E-3</v>
      </c>
      <c r="N1576">
        <v>-1.2555579999999999E-3</v>
      </c>
      <c r="O1576">
        <v>-0.9999962</v>
      </c>
      <c r="P1576">
        <v>4.0114540000000002E-3</v>
      </c>
      <c r="Q1576">
        <v>-9.0359839999999997E-2</v>
      </c>
      <c r="R1576">
        <v>-0.99590120000000004</v>
      </c>
      <c r="S1576">
        <v>-0.1310577</v>
      </c>
      <c r="T1576">
        <v>-0.12610669999999999</v>
      </c>
      <c r="U1576">
        <v>-3.0012509999999999</v>
      </c>
      <c r="V1576">
        <v>-1.2356190000000001E-3</v>
      </c>
      <c r="W1576">
        <v>-8.9113949999999997E-2</v>
      </c>
      <c r="X1576">
        <v>0.99602069999999998</v>
      </c>
      <c r="Y1576">
        <v>4.6077849999999997E-2</v>
      </c>
      <c r="Z1576">
        <v>4.0684020000000001E-2</v>
      </c>
      <c r="AA1576">
        <v>0.99810900000000002</v>
      </c>
      <c r="AB1576">
        <v>23</v>
      </c>
      <c r="AC1576">
        <v>-1.1672</v>
      </c>
      <c r="AD1576">
        <v>-1.1206987311159999</v>
      </c>
      <c r="AE1576">
        <v>-26.4497</v>
      </c>
      <c r="AF1576">
        <v>1.2308929720927</v>
      </c>
      <c r="AG1576">
        <v>-1.1206987311159999</v>
      </c>
      <c r="AH1576">
        <v>26.3994070460292</v>
      </c>
      <c r="AI1576">
        <v>92.428206761177407</v>
      </c>
      <c r="AJ1576">
        <v>87.330472895420101</v>
      </c>
      <c r="AK1576">
        <v>26.451838415063101</v>
      </c>
      <c r="AL1576">
        <v>95.112635196153093</v>
      </c>
      <c r="AM1576">
        <v>90.071078560383796</v>
      </c>
      <c r="AN1576">
        <v>1.0000000288337001</v>
      </c>
    </row>
    <row r="1577" spans="1:40" x14ac:dyDescent="0.25">
      <c r="A1577" t="str">
        <f>"20190303154757302"</f>
        <v>20190303154757302</v>
      </c>
      <c r="B1577" t="str">
        <f>"1551599277291963"</f>
        <v>1551599277291963</v>
      </c>
      <c r="C1577" t="s">
        <v>40</v>
      </c>
      <c r="D1577">
        <v>5.8530980000000001</v>
      </c>
      <c r="E1577">
        <v>0.51850750000000001</v>
      </c>
      <c r="F1577" t="s">
        <v>41</v>
      </c>
      <c r="G1577">
        <v>-192.5915</v>
      </c>
      <c r="H1577" s="1">
        <v>-4.8651850000000002E-6</v>
      </c>
      <c r="I1577">
        <v>318.75830000000002</v>
      </c>
      <c r="J1577">
        <v>-191.44479999999999</v>
      </c>
      <c r="K1577">
        <v>1.1206160000000001</v>
      </c>
      <c r="L1577">
        <v>344.61829999999998</v>
      </c>
      <c r="M1577">
        <v>4.594725E-3</v>
      </c>
      <c r="N1577">
        <v>-1.2535370000000001E-3</v>
      </c>
      <c r="O1577">
        <v>-0.99998869999999895</v>
      </c>
      <c r="P1577">
        <v>4.1600639999999998E-3</v>
      </c>
      <c r="Q1577">
        <v>-9.0309550000000002E-2</v>
      </c>
      <c r="R1577">
        <v>-0.99590520000000005</v>
      </c>
      <c r="S1577">
        <v>-0.13157650000000001</v>
      </c>
      <c r="T1577">
        <v>-0.12892039999999999</v>
      </c>
      <c r="U1577">
        <v>-3.0012509999999999</v>
      </c>
      <c r="V1577">
        <v>6.9645079999999999E-4</v>
      </c>
      <c r="W1577">
        <v>-8.9059310000000003E-2</v>
      </c>
      <c r="X1577">
        <v>0.99602610000000003</v>
      </c>
      <c r="Y1577">
        <v>4.8349059999999999E-2</v>
      </c>
      <c r="Z1577">
        <v>4.1617120000000001E-2</v>
      </c>
      <c r="AA1577">
        <v>0.99796309999999999</v>
      </c>
      <c r="AB1577">
        <v>23</v>
      </c>
      <c r="AC1577">
        <v>-1.1467000000000001</v>
      </c>
      <c r="AD1577">
        <v>-1.120620865185</v>
      </c>
      <c r="AE1577">
        <v>-25.8599999999999</v>
      </c>
      <c r="AF1577">
        <v>1.2631402423632601</v>
      </c>
      <c r="AG1577">
        <v>-1.120620865185</v>
      </c>
      <c r="AH1577">
        <v>25.806093436219001</v>
      </c>
      <c r="AI1577">
        <v>92.483518124035697</v>
      </c>
      <c r="AJ1577">
        <v>87.197759121954306</v>
      </c>
      <c r="AK1577">
        <v>25.861279412168098</v>
      </c>
      <c r="AL1577">
        <v>95.109492108704103</v>
      </c>
      <c r="AM1577">
        <v>89.959937109102597</v>
      </c>
      <c r="AN1577">
        <v>1.0000000188113001</v>
      </c>
    </row>
    <row r="1578" spans="1:40" x14ac:dyDescent="0.25">
      <c r="A1578" t="str">
        <f>"20190303154757324"</f>
        <v>20190303154757324</v>
      </c>
      <c r="B1578" t="str">
        <f>"1551599277312458"</f>
        <v>1551599277312458</v>
      </c>
      <c r="C1578" t="s">
        <v>40</v>
      </c>
      <c r="D1578">
        <v>5.851388</v>
      </c>
      <c r="E1578">
        <v>0.52074799999999999</v>
      </c>
      <c r="F1578" t="s">
        <v>41</v>
      </c>
      <c r="G1578">
        <v>-192.589</v>
      </c>
      <c r="H1578" s="1">
        <v>-4.79545E-6</v>
      </c>
      <c r="I1578">
        <v>318.5779</v>
      </c>
      <c r="J1578">
        <v>-191.44149999999999</v>
      </c>
      <c r="K1578">
        <v>1.120522</v>
      </c>
      <c r="L1578">
        <v>344.3895</v>
      </c>
      <c r="M1578">
        <v>6.5298750000000001E-3</v>
      </c>
      <c r="N1578">
        <v>-1.2589879999999999E-3</v>
      </c>
      <c r="O1578">
        <v>-0.99997809999999998</v>
      </c>
      <c r="P1578">
        <v>4.0161210000000001E-3</v>
      </c>
      <c r="Q1578">
        <v>-9.0937260000000006E-2</v>
      </c>
      <c r="R1578">
        <v>-0.99584899999999998</v>
      </c>
      <c r="S1578">
        <v>-0.1318665</v>
      </c>
      <c r="T1578">
        <v>-0.12915160000000001</v>
      </c>
      <c r="U1578">
        <v>-3.00116</v>
      </c>
      <c r="V1578">
        <v>2.7495929999999998E-3</v>
      </c>
      <c r="W1578">
        <v>-8.9675759999999993E-2</v>
      </c>
      <c r="X1578">
        <v>0.99596719999999905</v>
      </c>
      <c r="Y1578">
        <v>5.0379239999999999E-2</v>
      </c>
      <c r="Z1578">
        <v>4.1686710000000002E-2</v>
      </c>
      <c r="AA1578">
        <v>0.99785979999999996</v>
      </c>
      <c r="AB1578">
        <v>23</v>
      </c>
      <c r="AC1578">
        <v>-1.1475000000000299</v>
      </c>
      <c r="AD1578">
        <v>-1.12052679545</v>
      </c>
      <c r="AE1578">
        <v>-25.811599999999999</v>
      </c>
      <c r="AF1578">
        <v>1.3135515443566701</v>
      </c>
      <c r="AG1578">
        <v>-1.12052679545</v>
      </c>
      <c r="AH1578">
        <v>25.755114823069</v>
      </c>
      <c r="AI1578">
        <v>92.487964630809202</v>
      </c>
      <c r="AJ1578">
        <v>87.080354463905806</v>
      </c>
      <c r="AK1578">
        <v>25.812921909549001</v>
      </c>
      <c r="AL1578">
        <v>95.144954170503098</v>
      </c>
      <c r="AM1578">
        <v>89.841822427441201</v>
      </c>
      <c r="AN1578">
        <v>0.99999998283454095</v>
      </c>
    </row>
    <row r="1579" spans="1:40" x14ac:dyDescent="0.25">
      <c r="A1579" t="str">
        <f>"20190303154757347"</f>
        <v>20190303154757347</v>
      </c>
      <c r="B1579" t="str">
        <f>"1551599277341739"</f>
        <v>1551599277341739</v>
      </c>
      <c r="C1579" t="s">
        <v>40</v>
      </c>
      <c r="D1579">
        <v>5.8355519999999999</v>
      </c>
      <c r="E1579">
        <v>0.52072969999999996</v>
      </c>
      <c r="F1579" t="s">
        <v>41</v>
      </c>
      <c r="G1579">
        <v>-192.745</v>
      </c>
      <c r="H1579" s="1">
        <v>-4.7426889999999901E-6</v>
      </c>
      <c r="I1579">
        <v>318.36840000000001</v>
      </c>
      <c r="J1579">
        <v>-191.43770000000001</v>
      </c>
      <c r="K1579">
        <v>1.120406</v>
      </c>
      <c r="L1579">
        <v>344.1438</v>
      </c>
      <c r="M1579">
        <v>8.4368310000000005E-3</v>
      </c>
      <c r="N1579">
        <v>-1.2718180000000001E-3</v>
      </c>
      <c r="O1579">
        <v>-0.99996379999999996</v>
      </c>
      <c r="P1579">
        <v>2.256704E-3</v>
      </c>
      <c r="Q1579">
        <v>-9.3381539999999999E-2</v>
      </c>
      <c r="R1579">
        <v>-0.99562790000000001</v>
      </c>
      <c r="S1579">
        <v>-0.150344799999999</v>
      </c>
      <c r="T1579">
        <v>-0.12924179999999999</v>
      </c>
      <c r="U1579">
        <v>-3.0012819999999998</v>
      </c>
      <c r="V1579">
        <v>6.389863E-3</v>
      </c>
      <c r="W1579">
        <v>-9.2098459999999993E-2</v>
      </c>
      <c r="X1579">
        <v>0.99572939999999999</v>
      </c>
      <c r="Y1579">
        <v>5.8410169999999997E-2</v>
      </c>
      <c r="Z1579">
        <v>4.1685489999999999E-2</v>
      </c>
      <c r="AA1579">
        <v>0.99742200000000003</v>
      </c>
      <c r="AB1579">
        <v>23</v>
      </c>
      <c r="AC1579">
        <v>-1.3072999999999899</v>
      </c>
      <c r="AD1579">
        <v>-1.120410742689</v>
      </c>
      <c r="AE1579">
        <v>-25.775399999999902</v>
      </c>
      <c r="AF1579">
        <v>1.5218481655380001</v>
      </c>
      <c r="AG1579">
        <v>-1.120410742689</v>
      </c>
      <c r="AH1579">
        <v>25.7149897107934</v>
      </c>
      <c r="AI1579">
        <v>92.490466431356694</v>
      </c>
      <c r="AJ1579">
        <v>86.6131080540749</v>
      </c>
      <c r="AK1579">
        <v>25.784337065309501</v>
      </c>
      <c r="AL1579">
        <v>95.284341512473603</v>
      </c>
      <c r="AM1579">
        <v>89.632322641042805</v>
      </c>
      <c r="AN1579">
        <v>0.99999999735394496</v>
      </c>
    </row>
    <row r="1580" spans="1:40" x14ac:dyDescent="0.25">
      <c r="A1580" t="str">
        <f>"20190303154757370"</f>
        <v>20190303154757370</v>
      </c>
      <c r="B1580" t="str">
        <f>"1551599277362235"</f>
        <v>1551599277362235</v>
      </c>
      <c r="C1580" t="s">
        <v>40</v>
      </c>
      <c r="D1580">
        <v>5.8499800000000004</v>
      </c>
      <c r="E1580">
        <v>0.52091679999999996</v>
      </c>
      <c r="F1580" t="s">
        <v>41</v>
      </c>
      <c r="G1580">
        <v>-192.72579999999999</v>
      </c>
      <c r="H1580" s="1">
        <v>-5.0983090000000004E-6</v>
      </c>
      <c r="I1580">
        <v>319.30329999999998</v>
      </c>
      <c r="J1580">
        <v>-191.43389999999999</v>
      </c>
      <c r="K1580">
        <v>1.120282</v>
      </c>
      <c r="L1580">
        <v>343.91030000000001</v>
      </c>
      <c r="M1580">
        <v>1.006725E-2</v>
      </c>
      <c r="N1580">
        <v>-1.2875650000000001E-3</v>
      </c>
      <c r="O1580">
        <v>-0.99994859999999997</v>
      </c>
      <c r="P1580" s="1">
        <v>8.6063580000000006E-5</v>
      </c>
      <c r="Q1580">
        <v>-9.6217670000000005E-2</v>
      </c>
      <c r="R1580">
        <v>-0.99536029999999998</v>
      </c>
      <c r="S1580">
        <v>-0.1556091</v>
      </c>
      <c r="T1580">
        <v>-0.13535239999999901</v>
      </c>
      <c r="U1580">
        <v>-3.0008849999999998</v>
      </c>
      <c r="V1580">
        <v>1.016384E-2</v>
      </c>
      <c r="W1580">
        <v>-9.4911789999999996E-2</v>
      </c>
      <c r="X1580">
        <v>0.99543380000000004</v>
      </c>
      <c r="Y1580">
        <v>6.1784659999999998E-2</v>
      </c>
      <c r="Z1580">
        <v>4.3695089999999999E-2</v>
      </c>
      <c r="AA1580">
        <v>0.99713260000000004</v>
      </c>
      <c r="AB1580">
        <v>24</v>
      </c>
      <c r="AC1580">
        <v>-1.2918999999999901</v>
      </c>
      <c r="AD1580">
        <v>-1.1202870983090001</v>
      </c>
      <c r="AE1580">
        <v>-24.606999999999999</v>
      </c>
      <c r="AF1580">
        <v>1.5363837867122101</v>
      </c>
      <c r="AG1580">
        <v>-1.1202870983090001</v>
      </c>
      <c r="AH1580">
        <v>24.542018138910301</v>
      </c>
      <c r="AI1580">
        <v>92.608507856945906</v>
      </c>
      <c r="AJ1580">
        <v>86.417834076623393</v>
      </c>
      <c r="AK1580">
        <v>24.615567689031899</v>
      </c>
      <c r="AL1580">
        <v>95.446242806513695</v>
      </c>
      <c r="AM1580">
        <v>89.415003891038694</v>
      </c>
      <c r="AN1580">
        <v>1.0000000008534899</v>
      </c>
    </row>
    <row r="1581" spans="1:40" x14ac:dyDescent="0.25">
      <c r="A1581" t="str">
        <f>"20190303154757391"</f>
        <v>20190303154757391</v>
      </c>
      <c r="B1581" t="str">
        <f>"1551599277382731"</f>
        <v>1551599277382731</v>
      </c>
      <c r="C1581" t="s">
        <v>40</v>
      </c>
      <c r="D1581">
        <v>5.8547449999999897</v>
      </c>
      <c r="E1581">
        <v>0.52088239999999997</v>
      </c>
      <c r="F1581" t="s">
        <v>41</v>
      </c>
      <c r="G1581">
        <v>-192.72730000000001</v>
      </c>
      <c r="H1581" s="1">
        <v>-9.9560110000000001E-7</v>
      </c>
      <c r="I1581">
        <v>320.21839999999997</v>
      </c>
      <c r="J1581">
        <v>-191.43</v>
      </c>
      <c r="K1581">
        <v>1.12016</v>
      </c>
      <c r="L1581">
        <v>343.67910000000001</v>
      </c>
      <c r="M1581">
        <v>1.14737E-2</v>
      </c>
      <c r="N1581">
        <v>-1.30608E-3</v>
      </c>
      <c r="O1581">
        <v>-0.99993339999999997</v>
      </c>
      <c r="P1581">
        <v>-6.6862880000000005E-4</v>
      </c>
      <c r="Q1581">
        <v>-9.5979320000000007E-2</v>
      </c>
      <c r="R1581">
        <v>-0.99538309999999997</v>
      </c>
      <c r="S1581">
        <v>-0.16378779999999901</v>
      </c>
      <c r="T1581">
        <v>-0.1418693</v>
      </c>
      <c r="U1581">
        <v>-3.0002749999999998</v>
      </c>
      <c r="V1581">
        <v>1.229063E-2</v>
      </c>
      <c r="W1581">
        <v>-9.4653379999999995E-2</v>
      </c>
      <c r="X1581">
        <v>0.99543440000000005</v>
      </c>
      <c r="Y1581">
        <v>6.5903450000000002E-2</v>
      </c>
      <c r="Z1581">
        <v>4.5836559999999998E-2</v>
      </c>
      <c r="AA1581">
        <v>0.99677260000000001</v>
      </c>
      <c r="AB1581">
        <v>24</v>
      </c>
      <c r="AC1581">
        <v>-1.2972999999999999</v>
      </c>
      <c r="AD1581">
        <v>-1.1201609956011001</v>
      </c>
      <c r="AE1581">
        <v>-23.460699999999999</v>
      </c>
      <c r="AF1581">
        <v>1.5628438825862701</v>
      </c>
      <c r="AG1581">
        <v>-1.1201609956011001</v>
      </c>
      <c r="AH1581">
        <v>23.3911085439155</v>
      </c>
      <c r="AI1581">
        <v>92.735614445357498</v>
      </c>
      <c r="AJ1581">
        <v>86.177544538761595</v>
      </c>
      <c r="AK1581">
        <v>23.470006403293599</v>
      </c>
      <c r="AL1581">
        <v>95.431370142419894</v>
      </c>
      <c r="AM1581">
        <v>89.292604871766798</v>
      </c>
      <c r="AN1581">
        <v>0.99999998331729001</v>
      </c>
    </row>
    <row r="1582" spans="1:40" x14ac:dyDescent="0.25">
      <c r="A1582" t="str">
        <f>"20190303154757416"</f>
        <v>20190303154757416</v>
      </c>
      <c r="B1582" t="str">
        <f>"1551599277412010"</f>
        <v>1551599277412010</v>
      </c>
      <c r="C1582" t="s">
        <v>40</v>
      </c>
      <c r="D1582">
        <v>5.8503569999999998</v>
      </c>
      <c r="E1582">
        <v>0.52101759999999997</v>
      </c>
      <c r="F1582" t="s">
        <v>41</v>
      </c>
      <c r="G1582">
        <v>-192.7646</v>
      </c>
      <c r="H1582" s="1">
        <v>-5.2170969999999997E-6</v>
      </c>
      <c r="I1582">
        <v>319.59469999999999</v>
      </c>
      <c r="J1582">
        <v>-191.42519999999999</v>
      </c>
      <c r="K1582">
        <v>1.1200049999999999</v>
      </c>
      <c r="L1582">
        <v>343.40640000000002</v>
      </c>
      <c r="M1582">
        <v>1.2837019999999999E-2</v>
      </c>
      <c r="N1582">
        <v>-1.335492E-3</v>
      </c>
      <c r="O1582">
        <v>-0.9999169</v>
      </c>
      <c r="P1582">
        <v>1.918593E-4</v>
      </c>
      <c r="Q1582">
        <v>-9.2559130000000003E-2</v>
      </c>
      <c r="R1582">
        <v>-0.99570729999999996</v>
      </c>
      <c r="S1582">
        <v>-0.16625980000000001</v>
      </c>
      <c r="T1582">
        <v>-0.13954449999999999</v>
      </c>
      <c r="U1582">
        <v>-3.000305</v>
      </c>
      <c r="V1582">
        <v>1.2747629999999999E-2</v>
      </c>
      <c r="W1582">
        <v>-9.1207540000000004E-2</v>
      </c>
      <c r="X1582">
        <v>0.99575029999999998</v>
      </c>
      <c r="Y1582">
        <v>6.8083889999999994E-2</v>
      </c>
      <c r="Z1582">
        <v>4.5030170000000001E-2</v>
      </c>
      <c r="AA1582">
        <v>0.99666290000000002</v>
      </c>
      <c r="AB1582">
        <v>24</v>
      </c>
      <c r="AC1582">
        <v>-1.3394000000000099</v>
      </c>
      <c r="AD1582">
        <v>-1.1200102170970001</v>
      </c>
      <c r="AE1582">
        <v>-23.811699999999998</v>
      </c>
      <c r="AF1582">
        <v>1.6413412736726301</v>
      </c>
      <c r="AG1582">
        <v>-1.1200102170970001</v>
      </c>
      <c r="AH1582">
        <v>23.740186973745502</v>
      </c>
      <c r="AI1582">
        <v>92.694663982058401</v>
      </c>
      <c r="AJ1582">
        <v>86.044996805896005</v>
      </c>
      <c r="AK1582">
        <v>23.823200910277698</v>
      </c>
      <c r="AL1582">
        <v>95.233079839925693</v>
      </c>
      <c r="AM1582">
        <v>89.266537504178203</v>
      </c>
      <c r="AN1582">
        <v>0.99999998868677897</v>
      </c>
    </row>
    <row r="1583" spans="1:40" x14ac:dyDescent="0.25">
      <c r="A1583" t="str">
        <f>"20190303154757437"</f>
        <v>20190303154757437</v>
      </c>
      <c r="B1583" t="str">
        <f>"1551599277432507"</f>
        <v>1551599277432507</v>
      </c>
      <c r="C1583" t="s">
        <v>40</v>
      </c>
      <c r="D1583">
        <v>5.8062189999999996</v>
      </c>
      <c r="E1583">
        <v>0.5209838</v>
      </c>
      <c r="F1583" t="s">
        <v>41</v>
      </c>
      <c r="G1583">
        <v>-192.87370000000001</v>
      </c>
      <c r="H1583" s="1">
        <v>-4.2115290000000004E-6</v>
      </c>
      <c r="I1583">
        <v>316.92579999999998</v>
      </c>
      <c r="J1583">
        <v>-191.4211</v>
      </c>
      <c r="K1583">
        <v>1.1198650000000001</v>
      </c>
      <c r="L1583">
        <v>343.17559999999997</v>
      </c>
      <c r="M1583">
        <v>1.371033E-2</v>
      </c>
      <c r="N1583">
        <v>-1.3676090000000001E-3</v>
      </c>
      <c r="O1583">
        <v>-0.9999053</v>
      </c>
      <c r="P1583">
        <v>1.812496E-3</v>
      </c>
      <c r="Q1583">
        <v>-8.7956279999999998E-2</v>
      </c>
      <c r="R1583">
        <v>-0.99612279999999997</v>
      </c>
      <c r="S1583">
        <v>-0.16416929999999999</v>
      </c>
      <c r="T1583">
        <v>-0.12693499999999999</v>
      </c>
      <c r="U1583">
        <v>-3.00116</v>
      </c>
      <c r="V1583">
        <v>1.196057E-2</v>
      </c>
      <c r="W1583">
        <v>-8.6578089999999996E-2</v>
      </c>
      <c r="X1583">
        <v>0.99617330000000004</v>
      </c>
      <c r="Y1583">
        <v>6.8257490000000004E-2</v>
      </c>
      <c r="Z1583">
        <v>4.0803890000000002E-2</v>
      </c>
      <c r="AA1583">
        <v>0.99683299999999997</v>
      </c>
      <c r="AB1583">
        <v>24</v>
      </c>
      <c r="AC1583">
        <v>-1.4526000000000101</v>
      </c>
      <c r="AD1583">
        <v>-1.1198692115290001</v>
      </c>
      <c r="AE1583">
        <v>-26.2498</v>
      </c>
      <c r="AF1583">
        <v>1.8090745951857099</v>
      </c>
      <c r="AG1583">
        <v>-1.1198692115290001</v>
      </c>
      <c r="AH1583">
        <v>26.179913904079999</v>
      </c>
      <c r="AI1583">
        <v>92.443564936285597</v>
      </c>
      <c r="AJ1583">
        <v>86.047052354421794</v>
      </c>
      <c r="AK1583">
        <v>26.266228316355601</v>
      </c>
      <c r="AL1583">
        <v>94.966777190283807</v>
      </c>
      <c r="AM1583">
        <v>89.312110398099193</v>
      </c>
      <c r="AN1583">
        <v>1.00000003226783</v>
      </c>
    </row>
    <row r="1584" spans="1:40" x14ac:dyDescent="0.25">
      <c r="A1584" t="str">
        <f>"20190303154757459"</f>
        <v>20190303154757459</v>
      </c>
      <c r="B1584" t="str">
        <f>"1551599277452027"</f>
        <v>1551599277452027</v>
      </c>
      <c r="C1584" t="s">
        <v>40</v>
      </c>
      <c r="D1584">
        <v>5.821415</v>
      </c>
      <c r="E1584">
        <v>0.52104129999999904</v>
      </c>
      <c r="F1584" t="s">
        <v>41</v>
      </c>
      <c r="G1584">
        <v>-192.99940000000001</v>
      </c>
      <c r="H1584" s="1">
        <v>-2.52244E-6</v>
      </c>
      <c r="I1584">
        <v>313.23950000000002</v>
      </c>
      <c r="J1584">
        <v>-191.4169</v>
      </c>
      <c r="K1584">
        <v>1.119677</v>
      </c>
      <c r="L1584">
        <v>342.93090000000001</v>
      </c>
      <c r="M1584">
        <v>1.4343949999999999E-2</v>
      </c>
      <c r="N1584">
        <v>-1.408117E-3</v>
      </c>
      <c r="O1584">
        <v>-0.99989620000000001</v>
      </c>
      <c r="P1584">
        <v>2.6102040000000001E-3</v>
      </c>
      <c r="Q1584">
        <v>-8.5739209999999996E-2</v>
      </c>
      <c r="R1584">
        <v>-0.99631429999999999</v>
      </c>
      <c r="S1584">
        <v>-0.15826419999999999</v>
      </c>
      <c r="T1584">
        <v>-0.1123012</v>
      </c>
      <c r="U1584">
        <v>-3.002014</v>
      </c>
      <c r="V1584">
        <v>1.175431E-2</v>
      </c>
      <c r="W1584">
        <v>-8.4326129999999999E-2</v>
      </c>
      <c r="X1584">
        <v>0.9963689</v>
      </c>
      <c r="Y1584">
        <v>6.6929100000000005E-2</v>
      </c>
      <c r="Z1584">
        <v>3.5901229999999999E-2</v>
      </c>
      <c r="AA1584">
        <v>0.99711159999999999</v>
      </c>
      <c r="AB1584">
        <v>24</v>
      </c>
      <c r="AC1584">
        <v>-1.58250000000001</v>
      </c>
      <c r="AD1584">
        <v>-1.11967952244</v>
      </c>
      <c r="AE1584">
        <v>-29.691399999999899</v>
      </c>
      <c r="AF1584">
        <v>2.0053857869437302</v>
      </c>
      <c r="AG1584">
        <v>-1.11967952244</v>
      </c>
      <c r="AH1584">
        <v>29.6236379755732</v>
      </c>
      <c r="AI1584">
        <v>92.159630207007694</v>
      </c>
      <c r="AJ1584">
        <v>86.127244522405903</v>
      </c>
      <c r="AK1584">
        <v>29.712542491265701</v>
      </c>
      <c r="AL1584">
        <v>94.837275730013204</v>
      </c>
      <c r="AM1584">
        <v>89.324104642652401</v>
      </c>
      <c r="AN1584">
        <v>1.0000000224457799</v>
      </c>
    </row>
    <row r="1585" spans="1:40" x14ac:dyDescent="0.25">
      <c r="A1585" t="str">
        <f>"20190303154757483"</f>
        <v>20190303154757483</v>
      </c>
      <c r="B1585" t="str">
        <f>"1551599277472523"</f>
        <v>1551599277472523</v>
      </c>
      <c r="C1585" t="s">
        <v>40</v>
      </c>
      <c r="D1585">
        <v>5.8019660000000002</v>
      </c>
      <c r="E1585">
        <v>0.52109039999999995</v>
      </c>
      <c r="F1585" t="s">
        <v>41</v>
      </c>
      <c r="G1585">
        <v>-193.09460000000001</v>
      </c>
      <c r="H1585" s="1">
        <v>-1.3305779999999901E-6</v>
      </c>
      <c r="I1585">
        <v>310.66460000000001</v>
      </c>
      <c r="J1585">
        <v>-191.4128</v>
      </c>
      <c r="K1585">
        <v>1.1194599999999999</v>
      </c>
      <c r="L1585">
        <v>342.68200000000002</v>
      </c>
      <c r="M1585">
        <v>1.4640800000000001E-2</v>
      </c>
      <c r="N1585">
        <v>-1.4580350000000001E-3</v>
      </c>
      <c r="O1585">
        <v>-0.99989209999999995</v>
      </c>
      <c r="P1585">
        <v>1.9296109999999999E-3</v>
      </c>
      <c r="Q1585">
        <v>-8.5709770000000005E-2</v>
      </c>
      <c r="R1585">
        <v>-0.9963187</v>
      </c>
      <c r="S1585">
        <v>-0.15611269999999999</v>
      </c>
      <c r="T1585">
        <v>-0.1041903</v>
      </c>
      <c r="U1585">
        <v>-3.0025019999999998</v>
      </c>
      <c r="V1585">
        <v>1.2686289999999999E-2</v>
      </c>
      <c r="W1585">
        <v>-8.4252800000000003E-2</v>
      </c>
      <c r="X1585">
        <v>0.99636360000000002</v>
      </c>
      <c r="Y1585">
        <v>6.6509250000000006E-2</v>
      </c>
      <c r="Z1585">
        <v>3.3155230000000001E-2</v>
      </c>
      <c r="AA1585">
        <v>0.99723479999999998</v>
      </c>
      <c r="AB1585">
        <v>25</v>
      </c>
      <c r="AC1585">
        <v>-1.6818</v>
      </c>
      <c r="AD1585">
        <v>-1.1194613305779999</v>
      </c>
      <c r="AE1585">
        <v>-32.017399999999903</v>
      </c>
      <c r="AF1585">
        <v>2.1477620293675601</v>
      </c>
      <c r="AG1585">
        <v>-1.1194613305779999</v>
      </c>
      <c r="AH1585">
        <v>31.950393751825299</v>
      </c>
      <c r="AI1585">
        <v>92.002164067529606</v>
      </c>
      <c r="AJ1585">
        <v>86.154261971369195</v>
      </c>
      <c r="AK1585">
        <v>32.042061985804402</v>
      </c>
      <c r="AL1585">
        <v>94.833059577141199</v>
      </c>
      <c r="AM1585">
        <v>89.270515704636793</v>
      </c>
      <c r="AN1585">
        <v>0.99999994983338003</v>
      </c>
    </row>
    <row r="1586" spans="1:40" x14ac:dyDescent="0.25">
      <c r="A1586" t="str">
        <f>"20190303154757506"</f>
        <v>20190303154757506</v>
      </c>
      <c r="B1586" t="str">
        <f>"1551599277502779"</f>
        <v>1551599277502779</v>
      </c>
      <c r="C1586" t="s">
        <v>40</v>
      </c>
      <c r="D1586">
        <v>5.7696759999999996</v>
      </c>
      <c r="E1586">
        <v>0.52116779999999996</v>
      </c>
      <c r="F1586" t="s">
        <v>41</v>
      </c>
      <c r="G1586">
        <v>-193.10429999999999</v>
      </c>
      <c r="H1586" s="1">
        <v>-1.3858959999999901E-6</v>
      </c>
      <c r="I1586">
        <v>310.77620000000002</v>
      </c>
      <c r="J1586">
        <v>-191.40880000000001</v>
      </c>
      <c r="K1586">
        <v>1.11921</v>
      </c>
      <c r="L1586">
        <v>342.41640000000001</v>
      </c>
      <c r="M1586">
        <v>1.456498E-2</v>
      </c>
      <c r="N1586">
        <v>-1.521363E-3</v>
      </c>
      <c r="O1586">
        <v>-0.99989300000000003</v>
      </c>
      <c r="P1586">
        <v>7.3151629999999997E-4</v>
      </c>
      <c r="Q1586">
        <v>-8.7638049999999995E-2</v>
      </c>
      <c r="R1586">
        <v>-0.99615220000000004</v>
      </c>
      <c r="S1586">
        <v>-0.15916440000000001</v>
      </c>
      <c r="T1586">
        <v>-0.1053405</v>
      </c>
      <c r="U1586">
        <v>-3.002319</v>
      </c>
      <c r="V1586">
        <v>1.3755959999999999E-2</v>
      </c>
      <c r="W1586">
        <v>-8.6126049999999996E-2</v>
      </c>
      <c r="X1586">
        <v>0.99618930000000006</v>
      </c>
      <c r="Y1586">
        <v>6.7446889999999995E-2</v>
      </c>
      <c r="Z1586">
        <v>3.347369E-2</v>
      </c>
      <c r="AA1586">
        <v>0.99716119999999997</v>
      </c>
      <c r="AB1586">
        <v>25</v>
      </c>
      <c r="AC1586">
        <v>-1.69549999999998</v>
      </c>
      <c r="AD1586">
        <v>-1.119211385896</v>
      </c>
      <c r="AE1586">
        <v>-31.6402</v>
      </c>
      <c r="AF1586">
        <v>2.1534726281923602</v>
      </c>
      <c r="AG1586">
        <v>-1.119211385896</v>
      </c>
      <c r="AH1586">
        <v>31.572756365567599</v>
      </c>
      <c r="AI1586">
        <v>92.025505481118998</v>
      </c>
      <c r="AJ1586">
        <v>86.098088847337905</v>
      </c>
      <c r="AK1586">
        <v>31.665896845126401</v>
      </c>
      <c r="AL1586">
        <v>94.940780149339403</v>
      </c>
      <c r="AM1586">
        <v>89.2088769048747</v>
      </c>
      <c r="AN1586">
        <v>1.0000000221793</v>
      </c>
    </row>
    <row r="1587" spans="1:40" x14ac:dyDescent="0.25">
      <c r="A1587" t="str">
        <f>"20190303154757526"</f>
        <v>20190303154757526</v>
      </c>
      <c r="B1587" t="str">
        <f>"1551599277522299"</f>
        <v>1551599277522299</v>
      </c>
      <c r="C1587" t="s">
        <v>40</v>
      </c>
      <c r="D1587">
        <v>5.776027</v>
      </c>
      <c r="E1587">
        <v>0.52118220000000004</v>
      </c>
      <c r="F1587" t="s">
        <v>41</v>
      </c>
      <c r="G1587">
        <v>-193.03100000000001</v>
      </c>
      <c r="H1587" s="1">
        <v>-2.273157E-6</v>
      </c>
      <c r="I1587">
        <v>312.69439999999997</v>
      </c>
      <c r="J1587">
        <v>-191.4057</v>
      </c>
      <c r="K1587">
        <v>1.1190070000000001</v>
      </c>
      <c r="L1587">
        <v>342.19330000000002</v>
      </c>
      <c r="M1587">
        <v>1.425479E-2</v>
      </c>
      <c r="N1587">
        <v>-1.578374E-3</v>
      </c>
      <c r="O1587">
        <v>-0.99989749999999999</v>
      </c>
      <c r="P1587">
        <v>-4.9399839999999997E-4</v>
      </c>
      <c r="Q1587">
        <v>-9.0266949999999999E-2</v>
      </c>
      <c r="R1587">
        <v>-0.99591770000000002</v>
      </c>
      <c r="S1587">
        <v>-0.1638336</v>
      </c>
      <c r="T1587">
        <v>-0.11303580000000001</v>
      </c>
      <c r="U1587">
        <v>-3.0018009999999999</v>
      </c>
      <c r="V1587">
        <v>1.4627390000000001E-2</v>
      </c>
      <c r="W1587">
        <v>-8.8705499999999896E-2</v>
      </c>
      <c r="X1587">
        <v>0.99595049999999996</v>
      </c>
      <c r="Y1587">
        <v>6.8688040000000006E-2</v>
      </c>
      <c r="Z1587">
        <v>3.5973339999999999E-2</v>
      </c>
      <c r="AA1587">
        <v>0.99698940000000003</v>
      </c>
      <c r="AB1587">
        <v>25</v>
      </c>
      <c r="AC1587">
        <v>-1.62529999999998</v>
      </c>
      <c r="AD1587">
        <v>-1.1190092731569901</v>
      </c>
      <c r="AE1587">
        <v>-29.498899999999999</v>
      </c>
      <c r="AF1587">
        <v>2.04270534021436</v>
      </c>
      <c r="AG1587">
        <v>-1.1190092731569901</v>
      </c>
      <c r="AH1587">
        <v>29.430512595629502</v>
      </c>
      <c r="AI1587">
        <v>92.1722347672533</v>
      </c>
      <c r="AJ1587">
        <v>86.029597031707098</v>
      </c>
      <c r="AK1587">
        <v>29.522532047604901</v>
      </c>
      <c r="AL1587">
        <v>95.089139770042394</v>
      </c>
      <c r="AM1587">
        <v>89.158565149102103</v>
      </c>
      <c r="AN1587">
        <v>1.00000001235935</v>
      </c>
    </row>
    <row r="1588" spans="1:40" x14ac:dyDescent="0.25">
      <c r="A1588" t="str">
        <f>"20190303154757548"</f>
        <v>20190303154757548</v>
      </c>
      <c r="B1588" t="str">
        <f>"1551599277541820"</f>
        <v>1551599277541820</v>
      </c>
      <c r="C1588" t="s">
        <v>40</v>
      </c>
      <c r="D1588">
        <v>5.7830159999999999</v>
      </c>
      <c r="E1588">
        <v>0.52126530000000004</v>
      </c>
      <c r="F1588" t="s">
        <v>41</v>
      </c>
      <c r="G1588">
        <v>-192.94149999999999</v>
      </c>
      <c r="H1588" s="1">
        <v>-3.194772E-6</v>
      </c>
      <c r="I1588">
        <v>314.69439999999997</v>
      </c>
      <c r="J1588">
        <v>-191.4024</v>
      </c>
      <c r="K1588">
        <v>1.1187860000000001</v>
      </c>
      <c r="L1588">
        <v>341.92610000000002</v>
      </c>
      <c r="M1588">
        <v>1.356811E-2</v>
      </c>
      <c r="N1588">
        <v>-1.652686E-3</v>
      </c>
      <c r="O1588">
        <v>-0.99990659999999998</v>
      </c>
      <c r="P1588">
        <v>-2.5357930000000002E-3</v>
      </c>
      <c r="Q1588">
        <v>-9.2221609999999996E-2</v>
      </c>
      <c r="R1588">
        <v>-0.99573520000000004</v>
      </c>
      <c r="S1588">
        <v>-0.16761779999999901</v>
      </c>
      <c r="T1588">
        <v>-0.1221247</v>
      </c>
      <c r="U1588">
        <v>-3.0011290000000002</v>
      </c>
      <c r="V1588">
        <v>1.5934029999999998E-2</v>
      </c>
      <c r="W1588">
        <v>-9.0595809999999999E-2</v>
      </c>
      <c r="X1588">
        <v>0.99576030000000004</v>
      </c>
      <c r="Y1588">
        <v>6.9261859999999995E-2</v>
      </c>
      <c r="Z1588">
        <v>3.8921249999999998E-2</v>
      </c>
      <c r="AA1588">
        <v>0.99683900000000003</v>
      </c>
      <c r="AB1588">
        <v>25</v>
      </c>
      <c r="AC1588">
        <v>-1.5390999999999899</v>
      </c>
      <c r="AD1588">
        <v>-1.1187891947719999</v>
      </c>
      <c r="AE1588">
        <v>-27.2317</v>
      </c>
      <c r="AF1588">
        <v>1.9052359132390699</v>
      </c>
      <c r="AG1588">
        <v>-1.1187891947719999</v>
      </c>
      <c r="AH1588">
        <v>27.1626087691842</v>
      </c>
      <c r="AI1588">
        <v>92.352824240268802</v>
      </c>
      <c r="AJ1588">
        <v>85.987738768293596</v>
      </c>
      <c r="AK1588">
        <v>27.252319686500002</v>
      </c>
      <c r="AL1588">
        <v>95.197884339690106</v>
      </c>
      <c r="AM1588">
        <v>89.083238447979895</v>
      </c>
      <c r="AN1588">
        <v>1.00000003457884</v>
      </c>
    </row>
    <row r="1589" spans="1:40" x14ac:dyDescent="0.25">
      <c r="A1589" t="str">
        <f>"20190303154757570"</f>
        <v>20190303154757570</v>
      </c>
      <c r="B1589" t="str">
        <f>"1551599277562314"</f>
        <v>1551599277562314</v>
      </c>
      <c r="C1589" t="s">
        <v>40</v>
      </c>
      <c r="D1589">
        <v>5.7948199999999996</v>
      </c>
      <c r="E1589">
        <v>0.52132840000000003</v>
      </c>
      <c r="F1589" t="s">
        <v>41</v>
      </c>
      <c r="G1589">
        <v>-192.9212</v>
      </c>
      <c r="H1589" s="1">
        <v>-3.7182639999999999E-6</v>
      </c>
      <c r="I1589">
        <v>315.81330000000003</v>
      </c>
      <c r="J1589">
        <v>-191.3999</v>
      </c>
      <c r="K1589">
        <v>1.1185860000000001</v>
      </c>
      <c r="L1589">
        <v>341.68279999999999</v>
      </c>
      <c r="M1589">
        <v>1.265559E-2</v>
      </c>
      <c r="N1589">
        <v>-1.72996E-3</v>
      </c>
      <c r="O1589">
        <v>-0.99991850000000004</v>
      </c>
      <c r="P1589">
        <v>-5.5566610000000001E-3</v>
      </c>
      <c r="Q1589">
        <v>-9.3847589999999995E-2</v>
      </c>
      <c r="R1589">
        <v>-0.99557110000000004</v>
      </c>
      <c r="S1589">
        <v>-0.1745148</v>
      </c>
      <c r="T1589">
        <v>-0.12855430000000001</v>
      </c>
      <c r="U1589">
        <v>-3.0004879999999998</v>
      </c>
      <c r="V1589">
        <v>1.7999169999999998E-2</v>
      </c>
      <c r="W1589">
        <v>-9.2156150000000006E-2</v>
      </c>
      <c r="X1589">
        <v>0.99558190000000002</v>
      </c>
      <c r="Y1589">
        <v>7.0642079999999996E-2</v>
      </c>
      <c r="Z1589">
        <v>4.0981490000000002E-2</v>
      </c>
      <c r="AA1589">
        <v>0.99665950000000003</v>
      </c>
      <c r="AB1589">
        <v>25</v>
      </c>
      <c r="AC1589">
        <v>-1.5212999999999901</v>
      </c>
      <c r="AD1589">
        <v>-1.1185897182639899</v>
      </c>
      <c r="AE1589">
        <v>-25.869499999999899</v>
      </c>
      <c r="AF1589">
        <v>1.8451345062711</v>
      </c>
      <c r="AG1589">
        <v>-1.1185897182639899</v>
      </c>
      <c r="AH1589">
        <v>25.80010374786</v>
      </c>
      <c r="AI1589">
        <v>92.476245456462294</v>
      </c>
      <c r="AJ1589">
        <v>85.909367824991307</v>
      </c>
      <c r="AK1589">
        <v>25.890174153612399</v>
      </c>
      <c r="AL1589">
        <v>95.287660887867403</v>
      </c>
      <c r="AM1589">
        <v>88.964259856920293</v>
      </c>
      <c r="AN1589">
        <v>1.0000000228555599</v>
      </c>
    </row>
    <row r="1590" spans="1:40" x14ac:dyDescent="0.25">
      <c r="A1590" t="str">
        <f>"20190303154757596"</f>
        <v>20190303154757596</v>
      </c>
      <c r="B1590" t="str">
        <f>"1551599277592105"</f>
        <v>1551599277592105</v>
      </c>
      <c r="C1590" t="s">
        <v>40</v>
      </c>
      <c r="D1590">
        <v>5.796564</v>
      </c>
      <c r="E1590">
        <v>0.52132299999999998</v>
      </c>
      <c r="F1590" t="s">
        <v>41</v>
      </c>
      <c r="G1590">
        <v>-192.93680000000001</v>
      </c>
      <c r="H1590" s="1">
        <v>-4.1235600000000004E-6</v>
      </c>
      <c r="I1590">
        <v>316.66750000000002</v>
      </c>
      <c r="J1590">
        <v>-191.39750000000001</v>
      </c>
      <c r="K1590">
        <v>1.118366</v>
      </c>
      <c r="L1590">
        <v>341.39479999999998</v>
      </c>
      <c r="M1590">
        <v>1.124764E-2</v>
      </c>
      <c r="N1590">
        <v>-1.8378439999999999E-3</v>
      </c>
      <c r="O1590">
        <v>-0.99993500000000002</v>
      </c>
      <c r="P1590">
        <v>-8.5587249999999997E-3</v>
      </c>
      <c r="Q1590">
        <v>-9.6226119999999998E-2</v>
      </c>
      <c r="R1590">
        <v>-0.9953225</v>
      </c>
      <c r="S1590">
        <v>-0.18429570000000001</v>
      </c>
      <c r="T1590">
        <v>-0.13413239999999901</v>
      </c>
      <c r="U1590">
        <v>-2.9996339999999999</v>
      </c>
      <c r="V1590">
        <v>1.9541920000000001E-2</v>
      </c>
      <c r="W1590">
        <v>-9.4441010000000006E-2</v>
      </c>
      <c r="X1590">
        <v>0.99533859999999996</v>
      </c>
      <c r="Y1590">
        <v>7.2487259999999998E-2</v>
      </c>
      <c r="Z1590">
        <v>4.2729959999999997E-2</v>
      </c>
      <c r="AA1590">
        <v>0.99645360000000005</v>
      </c>
      <c r="AB1590">
        <v>25</v>
      </c>
      <c r="AC1590">
        <v>-1.5392999999999899</v>
      </c>
      <c r="AD1590">
        <v>-1.1183701235600001</v>
      </c>
      <c r="AE1590">
        <v>-24.7272999999999</v>
      </c>
      <c r="AF1590">
        <v>1.81363126472495</v>
      </c>
      <c r="AG1590">
        <v>-1.1183701235600001</v>
      </c>
      <c r="AH1590">
        <v>24.658176598428501</v>
      </c>
      <c r="AI1590">
        <v>92.589880706755295</v>
      </c>
      <c r="AJ1590">
        <v>85.793418011517502</v>
      </c>
      <c r="AK1590">
        <v>24.750064308137599</v>
      </c>
      <c r="AL1590">
        <v>95.419147612309501</v>
      </c>
      <c r="AM1590">
        <v>88.875231297385398</v>
      </c>
      <c r="AN1590">
        <v>0.99999995982853196</v>
      </c>
    </row>
    <row r="1591" spans="1:40" x14ac:dyDescent="0.25">
      <c r="A1591" t="str">
        <f>"20190303154757619"</f>
        <v>20190303154757619</v>
      </c>
      <c r="B1591" t="str">
        <f>"1551599277612600"</f>
        <v>1551599277612600</v>
      </c>
      <c r="C1591" t="s">
        <v>40</v>
      </c>
      <c r="D1591">
        <v>5.7913269999999999</v>
      </c>
      <c r="E1591">
        <v>0.5213565</v>
      </c>
      <c r="F1591" t="s">
        <v>41</v>
      </c>
      <c r="G1591">
        <v>-192.9299</v>
      </c>
      <c r="H1591" s="1">
        <v>-4.4857579999999996E-6</v>
      </c>
      <c r="I1591">
        <v>317.6139</v>
      </c>
      <c r="J1591">
        <v>-191.39599999999999</v>
      </c>
      <c r="K1591">
        <v>1.11818</v>
      </c>
      <c r="L1591">
        <v>341.12610000000001</v>
      </c>
      <c r="M1591">
        <v>9.661279E-3</v>
      </c>
      <c r="N1591">
        <v>-1.9613130000000001E-3</v>
      </c>
      <c r="O1591">
        <v>-0.99995149999999999</v>
      </c>
      <c r="P1591">
        <v>-1.1165E-2</v>
      </c>
      <c r="Q1591">
        <v>-9.7280850000000002E-2</v>
      </c>
      <c r="R1591">
        <v>-0.99519460000000004</v>
      </c>
      <c r="S1591">
        <v>-0.1932373</v>
      </c>
      <c r="T1591">
        <v>-0.14102979999999901</v>
      </c>
      <c r="U1591">
        <v>-2.99884</v>
      </c>
      <c r="V1591">
        <v>2.0521480000000002E-2</v>
      </c>
      <c r="W1591">
        <v>-9.5384919999999998E-2</v>
      </c>
      <c r="X1591">
        <v>0.99522889999999997</v>
      </c>
      <c r="Y1591">
        <v>7.387386E-2</v>
      </c>
      <c r="Z1591">
        <v>4.4900389999999998E-2</v>
      </c>
      <c r="AA1591">
        <v>0.99625629999999998</v>
      </c>
      <c r="AB1591">
        <v>26</v>
      </c>
      <c r="AC1591">
        <v>-1.53390000000001</v>
      </c>
      <c r="AD1591">
        <v>-1.1181844857579999</v>
      </c>
      <c r="AE1591">
        <v>-23.5122</v>
      </c>
      <c r="AF1591">
        <v>1.7570296684470399</v>
      </c>
      <c r="AG1591">
        <v>-1.1181844857579999</v>
      </c>
      <c r="AH1591">
        <v>23.4434851124768</v>
      </c>
      <c r="AI1591">
        <v>92.7231427626309</v>
      </c>
      <c r="AJ1591">
        <v>85.713840150928505</v>
      </c>
      <c r="AK1591">
        <v>23.535812797074001</v>
      </c>
      <c r="AL1591">
        <v>95.473474773677395</v>
      </c>
      <c r="AM1591">
        <v>88.818736478596307</v>
      </c>
      <c r="AN1591">
        <v>0.99999998875000295</v>
      </c>
    </row>
    <row r="1592" spans="1:40" x14ac:dyDescent="0.25">
      <c r="A1592" t="str">
        <f>"20190303154757644"</f>
        <v>20190303154757644</v>
      </c>
      <c r="B1592" t="str">
        <f>"1551599277632119"</f>
        <v>1551599277632119</v>
      </c>
      <c r="C1592" t="s">
        <v>40</v>
      </c>
      <c r="D1592">
        <v>5.7958369999999997</v>
      </c>
      <c r="E1592">
        <v>0.52133409999999902</v>
      </c>
      <c r="F1592" t="s">
        <v>41</v>
      </c>
      <c r="G1592">
        <v>-192.9657</v>
      </c>
      <c r="H1592" s="1">
        <v>-4.5445920000000003E-6</v>
      </c>
      <c r="I1592">
        <v>317.75060000000002</v>
      </c>
      <c r="J1592">
        <v>-191.39510000000001</v>
      </c>
      <c r="K1592">
        <v>1.118044</v>
      </c>
      <c r="L1592">
        <v>340.84350000000001</v>
      </c>
      <c r="M1592">
        <v>7.773818E-3</v>
      </c>
      <c r="N1592">
        <v>-2.1284419999999999E-3</v>
      </c>
      <c r="O1592">
        <v>-0.99996759999999996</v>
      </c>
      <c r="P1592">
        <v>-1.351042E-2</v>
      </c>
      <c r="Q1592">
        <v>-9.7037010000000007E-2</v>
      </c>
      <c r="R1592">
        <v>-0.9951894</v>
      </c>
      <c r="S1592">
        <v>-0.20133970000000001</v>
      </c>
      <c r="T1592">
        <v>-0.14341960000000001</v>
      </c>
      <c r="U1592">
        <v>-2.9981689999999999</v>
      </c>
      <c r="V1592">
        <v>2.0951540000000001E-2</v>
      </c>
      <c r="W1592">
        <v>-9.4984399999999997E-2</v>
      </c>
      <c r="X1592">
        <v>0.99525830000000004</v>
      </c>
      <c r="Y1592">
        <v>7.4684189999999998E-2</v>
      </c>
      <c r="Z1592">
        <v>4.553198E-2</v>
      </c>
      <c r="AA1592">
        <v>0.99616720000000003</v>
      </c>
      <c r="AB1592">
        <v>26</v>
      </c>
      <c r="AC1592">
        <v>-1.57059999999998</v>
      </c>
      <c r="AD1592">
        <v>-1.1180485445919901</v>
      </c>
      <c r="AE1592">
        <v>-23.092899999999901</v>
      </c>
      <c r="AF1592">
        <v>1.74599909389154</v>
      </c>
      <c r="AG1592">
        <v>-1.1180485445919901</v>
      </c>
      <c r="AH1592">
        <v>23.026266731453401</v>
      </c>
      <c r="AI1592">
        <v>92.771888857246097</v>
      </c>
      <c r="AJ1592">
        <v>85.6637647502411</v>
      </c>
      <c r="AK1592">
        <v>23.1194183528041</v>
      </c>
      <c r="AL1592">
        <v>95.450421700299202</v>
      </c>
      <c r="AM1592">
        <v>88.794024088707204</v>
      </c>
      <c r="AN1592">
        <v>1.0000000434953</v>
      </c>
    </row>
    <row r="1593" spans="1:40" x14ac:dyDescent="0.25">
      <c r="A1593" t="str">
        <f>"20190303154757662"</f>
        <v>20190303154757662</v>
      </c>
      <c r="B1593" t="str">
        <f>"1551599277651639"</f>
        <v>1551599277651639</v>
      </c>
      <c r="C1593" t="s">
        <v>40</v>
      </c>
      <c r="D1593">
        <v>5.8119459999999998</v>
      </c>
      <c r="E1593">
        <v>0.52134380000000002</v>
      </c>
      <c r="F1593" t="s">
        <v>41</v>
      </c>
      <c r="G1593">
        <v>-193.02680000000001</v>
      </c>
      <c r="H1593" s="1">
        <v>-4.4027360000000004E-6</v>
      </c>
      <c r="I1593">
        <v>317.35300000000001</v>
      </c>
      <c r="J1593">
        <v>-191.39490000000001</v>
      </c>
      <c r="K1593">
        <v>1.1179859999999999</v>
      </c>
      <c r="L1593">
        <v>340.61779999999999</v>
      </c>
      <c r="M1593">
        <v>6.1650759999999898E-3</v>
      </c>
      <c r="N1593">
        <v>-2.2879369999999999E-3</v>
      </c>
      <c r="O1593">
        <v>-0.9999787</v>
      </c>
      <c r="P1593">
        <v>-1.525059E-2</v>
      </c>
      <c r="Q1593">
        <v>-9.6041509999999997E-2</v>
      </c>
      <c r="R1593">
        <v>-0.99526079999999995</v>
      </c>
      <c r="S1593">
        <v>-0.2082367</v>
      </c>
      <c r="T1593">
        <v>-0.1426809</v>
      </c>
      <c r="U1593">
        <v>-2.9977719999999999</v>
      </c>
      <c r="V1593">
        <v>2.1073160000000001E-2</v>
      </c>
      <c r="W1593">
        <v>-9.383524E-2</v>
      </c>
      <c r="X1593">
        <v>0.99536469999999999</v>
      </c>
      <c r="Y1593">
        <v>7.5370889999999996E-2</v>
      </c>
      <c r="Z1593">
        <v>4.5129879999999997E-2</v>
      </c>
      <c r="AA1593">
        <v>0.99613379999999996</v>
      </c>
      <c r="AB1593">
        <v>26</v>
      </c>
      <c r="AC1593">
        <v>-1.6318999999999999</v>
      </c>
      <c r="AD1593">
        <v>-1.1179904027359999</v>
      </c>
      <c r="AE1593">
        <v>-23.264799999999902</v>
      </c>
      <c r="AF1593">
        <v>1.7712283321440601</v>
      </c>
      <c r="AG1593">
        <v>-1.1179904027359999</v>
      </c>
      <c r="AH1593">
        <v>23.200981707346799</v>
      </c>
      <c r="AI1593">
        <v>92.7507971994972</v>
      </c>
      <c r="AJ1593">
        <v>85.634346908063407</v>
      </c>
      <c r="AK1593">
        <v>23.295336540386</v>
      </c>
      <c r="AL1593">
        <v>95.384284463944198</v>
      </c>
      <c r="AM1593">
        <v>88.787155319131799</v>
      </c>
      <c r="AN1593">
        <v>1.0000000081721601</v>
      </c>
    </row>
    <row r="1594" spans="1:40" x14ac:dyDescent="0.25">
      <c r="A1594" t="str">
        <f>"20190303154757682"</f>
        <v>20190303154757682</v>
      </c>
      <c r="B1594" t="str">
        <f>"1551599277672135"</f>
        <v>1551599277672135</v>
      </c>
      <c r="C1594" t="s">
        <v>40</v>
      </c>
      <c r="D1594">
        <v>5.7956969999999997</v>
      </c>
      <c r="E1594">
        <v>0.52140050000000004</v>
      </c>
      <c r="F1594" t="s">
        <v>41</v>
      </c>
      <c r="G1594">
        <v>-193.107</v>
      </c>
      <c r="H1594" s="1">
        <v>-4.1298510000000002E-6</v>
      </c>
      <c r="I1594">
        <v>316.6053</v>
      </c>
      <c r="J1594">
        <v>-191.39519999999999</v>
      </c>
      <c r="K1594">
        <v>1.117961</v>
      </c>
      <c r="L1594">
        <v>340.37310000000002</v>
      </c>
      <c r="M1594">
        <v>4.3554079999999998E-3</v>
      </c>
      <c r="N1594">
        <v>-2.4719199999999998E-3</v>
      </c>
      <c r="O1594">
        <v>-0.99998750000000003</v>
      </c>
      <c r="P1594">
        <v>-1.7015369999999998E-2</v>
      </c>
      <c r="Q1594">
        <v>-9.5819370000000001E-2</v>
      </c>
      <c r="R1594">
        <v>-0.99525330000000001</v>
      </c>
      <c r="S1594">
        <v>-0.2137299</v>
      </c>
      <c r="T1594">
        <v>-0.13956360000000001</v>
      </c>
      <c r="U1594">
        <v>-2.9975890000000001</v>
      </c>
      <c r="V1594">
        <v>2.1024270000000001E-2</v>
      </c>
      <c r="W1594">
        <v>-9.3433000000000002E-2</v>
      </c>
      <c r="X1594">
        <v>0.99540360000000006</v>
      </c>
      <c r="Y1594">
        <v>7.5390589999999993E-2</v>
      </c>
      <c r="Z1594">
        <v>4.3912859999999998E-2</v>
      </c>
      <c r="AA1594">
        <v>0.99618669999999998</v>
      </c>
      <c r="AB1594">
        <v>26</v>
      </c>
      <c r="AC1594">
        <v>-1.71180000000001</v>
      </c>
      <c r="AD1594">
        <v>-1.1179651298510001</v>
      </c>
      <c r="AE1594">
        <v>-23.767800000000001</v>
      </c>
      <c r="AF1594">
        <v>1.8113157299232501</v>
      </c>
      <c r="AG1594">
        <v>-1.1179651298510001</v>
      </c>
      <c r="AH1594">
        <v>23.707936395708401</v>
      </c>
      <c r="AI1594">
        <v>92.691990773090495</v>
      </c>
      <c r="AJ1594">
        <v>85.631019025539203</v>
      </c>
      <c r="AK1594">
        <v>23.803297226392498</v>
      </c>
      <c r="AL1594">
        <v>95.361135960927299</v>
      </c>
      <c r="AM1594">
        <v>88.790015570224895</v>
      </c>
      <c r="AN1594">
        <v>1.0000000361554899</v>
      </c>
    </row>
    <row r="1595" spans="1:40" x14ac:dyDescent="0.25">
      <c r="A1595" t="str">
        <f>"20190303154757707"</f>
        <v>20190303154757707</v>
      </c>
      <c r="B1595" t="str">
        <f>"1551599277702392"</f>
        <v>1551599277702392</v>
      </c>
      <c r="C1595" t="s">
        <v>40</v>
      </c>
      <c r="D1595">
        <v>5.7504999999999997</v>
      </c>
      <c r="E1595">
        <v>0.5351224</v>
      </c>
      <c r="F1595" t="s">
        <v>41</v>
      </c>
      <c r="G1595">
        <v>-193.16800000000001</v>
      </c>
      <c r="H1595" s="1">
        <v>-3.9563889999999998E-6</v>
      </c>
      <c r="I1595">
        <v>316.17809999999997</v>
      </c>
      <c r="J1595">
        <v>-191.3963</v>
      </c>
      <c r="K1595">
        <v>1.1179809999999999</v>
      </c>
      <c r="L1595">
        <v>340.08780000000002</v>
      </c>
      <c r="M1595">
        <v>2.2158519999999999E-3</v>
      </c>
      <c r="N1595">
        <v>-2.69608E-3</v>
      </c>
      <c r="O1595">
        <v>-0.99999420000000006</v>
      </c>
      <c r="P1595">
        <v>-1.9042480000000001E-2</v>
      </c>
      <c r="Q1595">
        <v>-9.4646880000000003E-2</v>
      </c>
      <c r="R1595">
        <v>-0.99532900000000002</v>
      </c>
      <c r="S1595">
        <v>-0.21960450000000001</v>
      </c>
      <c r="T1595">
        <v>-0.1384908</v>
      </c>
      <c r="U1595">
        <v>-2.997223</v>
      </c>
      <c r="V1595">
        <v>2.0921760000000001E-2</v>
      </c>
      <c r="W1595">
        <v>-9.2037919999999995E-2</v>
      </c>
      <c r="X1595">
        <v>0.99553570000000002</v>
      </c>
      <c r="Y1595">
        <v>7.5209600000000001E-2</v>
      </c>
      <c r="Z1595">
        <v>4.3336430000000002E-2</v>
      </c>
      <c r="AA1595">
        <v>0.99622560000000004</v>
      </c>
      <c r="AB1595">
        <v>26</v>
      </c>
      <c r="AC1595">
        <v>-1.7717000000000001</v>
      </c>
      <c r="AD1595">
        <v>-1.1179849563890001</v>
      </c>
      <c r="AE1595">
        <v>-23.909700000000001</v>
      </c>
      <c r="AF1595">
        <v>1.8207171608227699</v>
      </c>
      <c r="AG1595">
        <v>-1.1179849563890001</v>
      </c>
      <c r="AH1595">
        <v>23.8538469245619</v>
      </c>
      <c r="AI1595">
        <v>92.675610486718</v>
      </c>
      <c r="AJ1595">
        <v>85.635189268687697</v>
      </c>
      <c r="AK1595">
        <v>23.949340584718801</v>
      </c>
      <c r="AL1595">
        <v>95.280857940496304</v>
      </c>
      <c r="AM1595">
        <v>88.796073189462007</v>
      </c>
      <c r="AN1595">
        <v>1.0000000143669501</v>
      </c>
    </row>
    <row r="1596" spans="1:40" x14ac:dyDescent="0.25">
      <c r="A1596" t="str">
        <f>"20190303154757794"</f>
        <v>20190303154757794</v>
      </c>
      <c r="B1596" t="str">
        <f>"1551599277782423"</f>
        <v>1551599277782423</v>
      </c>
      <c r="C1596" t="s">
        <v>40</v>
      </c>
      <c r="D1596">
        <v>3.8346439999999999</v>
      </c>
      <c r="E1596">
        <v>0.52721010000000001</v>
      </c>
      <c r="F1596" t="s">
        <v>47</v>
      </c>
      <c r="G1596">
        <v>-199.12270000000001</v>
      </c>
      <c r="H1596" s="1">
        <v>5.213057E-6</v>
      </c>
      <c r="I1596">
        <v>270.5813</v>
      </c>
      <c r="J1596">
        <v>-191.40469999999999</v>
      </c>
      <c r="K1596">
        <v>1.118193</v>
      </c>
      <c r="L1596">
        <v>339.04149999999998</v>
      </c>
      <c r="M1596">
        <v>-5.1931260000000002E-3</v>
      </c>
      <c r="N1596">
        <v>-3.6152889999999998E-3</v>
      </c>
      <c r="O1596">
        <v>-0.99998019999999999</v>
      </c>
      <c r="P1596">
        <v>-2.8148059999999999E-2</v>
      </c>
      <c r="Q1596">
        <v>-9.5215259999999996E-2</v>
      </c>
      <c r="R1596">
        <v>-0.99505880000000002</v>
      </c>
      <c r="S1596">
        <v>-0.33383180000000001</v>
      </c>
      <c r="T1596">
        <v>-4.8303480000000003E-2</v>
      </c>
      <c r="U1596">
        <v>-3.0031129999999999</v>
      </c>
      <c r="V1596">
        <v>2.2682839999999999E-2</v>
      </c>
      <c r="W1596">
        <v>-9.1690809999999998E-2</v>
      </c>
      <c r="X1596">
        <v>0.9955292</v>
      </c>
      <c r="Y1596">
        <v>0.105306399999999</v>
      </c>
      <c r="Z1596">
        <v>1.237425E-2</v>
      </c>
      <c r="AA1596">
        <v>0.99436279999999999</v>
      </c>
      <c r="AB1596">
        <v>27</v>
      </c>
      <c r="AC1596">
        <v>-7.7180000000000097</v>
      </c>
      <c r="AD1596">
        <v>-1.1181877869429999</v>
      </c>
      <c r="AE1596">
        <v>-68.460199999999901</v>
      </c>
      <c r="AF1596">
        <v>7.3604322643981499</v>
      </c>
      <c r="AG1596">
        <v>-1.1181877869429999</v>
      </c>
      <c r="AH1596">
        <v>68.481317487776195</v>
      </c>
      <c r="AI1596">
        <v>90.930107148049203</v>
      </c>
      <c r="AJ1596">
        <v>83.865349644401306</v>
      </c>
      <c r="AK1596">
        <v>68.884810748867295</v>
      </c>
      <c r="AL1596">
        <v>95.2608853516507</v>
      </c>
      <c r="AM1596">
        <v>88.694758354287799</v>
      </c>
      <c r="AN1596">
        <v>1.0000000519607699</v>
      </c>
    </row>
    <row r="1597" spans="1:40" x14ac:dyDescent="0.25">
      <c r="A1597" t="str">
        <f>"20190303154757819"</f>
        <v>20190303154757819</v>
      </c>
      <c r="B1597" t="str">
        <f>"1551599277811704"</f>
        <v>1551599277811704</v>
      </c>
      <c r="C1597" t="s">
        <v>40</v>
      </c>
      <c r="D1597">
        <v>10.86135</v>
      </c>
      <c r="E1597">
        <v>0.52721010000000001</v>
      </c>
      <c r="F1597" t="s">
        <v>48</v>
      </c>
      <c r="G1597">
        <v>-214.61089999999999</v>
      </c>
      <c r="H1597">
        <v>26.575199999999999</v>
      </c>
      <c r="I1597">
        <v>98.375470000000007</v>
      </c>
      <c r="J1597">
        <v>-191.4084</v>
      </c>
      <c r="K1597">
        <v>1.1182799999999999</v>
      </c>
      <c r="L1597">
        <v>338.73509999999999</v>
      </c>
      <c r="M1597">
        <v>-7.1105350000000003E-3</v>
      </c>
      <c r="N1597">
        <v>-3.9141080000000003E-3</v>
      </c>
      <c r="O1597">
        <v>-0.99996700000000005</v>
      </c>
      <c r="P1597">
        <v>-2.973073E-2</v>
      </c>
      <c r="Q1597">
        <v>-9.8086350000000003E-2</v>
      </c>
      <c r="R1597">
        <v>-0.99473370000000005</v>
      </c>
      <c r="S1597">
        <v>-0.2928772</v>
      </c>
      <c r="T1597">
        <v>0.32128319999999999</v>
      </c>
      <c r="U1597">
        <v>-3.0373540000000001</v>
      </c>
      <c r="V1597">
        <v>2.236581E-2</v>
      </c>
      <c r="W1597">
        <v>-9.4260910000000003E-2</v>
      </c>
      <c r="X1597">
        <v>0.99529619999999996</v>
      </c>
      <c r="Y1597">
        <v>8.834939E-2</v>
      </c>
      <c r="Z1597">
        <v>-0.10863109999999999</v>
      </c>
      <c r="AA1597">
        <v>0.99014829999999998</v>
      </c>
      <c r="AB1597">
        <v>27</v>
      </c>
      <c r="AC1597">
        <v>-23.202499999999901</v>
      </c>
      <c r="AD1597">
        <v>25.45692</v>
      </c>
      <c r="AE1597">
        <v>-240.35963000000001</v>
      </c>
      <c r="AF1597">
        <v>21.256574525810802</v>
      </c>
      <c r="AG1597">
        <v>25.45692</v>
      </c>
      <c r="AH1597">
        <v>237.87485656253301</v>
      </c>
      <c r="AI1597">
        <v>83.915623762137301</v>
      </c>
      <c r="AJ1597">
        <v>84.8935936980522</v>
      </c>
      <c r="AK1597">
        <v>240.175652640111</v>
      </c>
      <c r="AL1597">
        <v>95.408782525670802</v>
      </c>
      <c r="AM1597">
        <v>88.712693885995506</v>
      </c>
      <c r="AN1597">
        <v>0.99999993717270996</v>
      </c>
    </row>
    <row r="1598" spans="1:40" x14ac:dyDescent="0.25">
      <c r="A1598" t="str">
        <f>"20190303154757894"</f>
        <v>20190303154757894</v>
      </c>
      <c r="B1598" t="str">
        <f>"1551599277891736"</f>
        <v>1551599277891736</v>
      </c>
      <c r="C1598" t="s">
        <v>40</v>
      </c>
      <c r="D1598">
        <v>6.6220910000000002</v>
      </c>
      <c r="E1598">
        <v>0.53041559999999999</v>
      </c>
      <c r="F1598" t="s">
        <v>48</v>
      </c>
      <c r="G1598">
        <v>-214.9572</v>
      </c>
      <c r="H1598">
        <v>25.847280000000001</v>
      </c>
      <c r="I1598">
        <v>98.375470000000007</v>
      </c>
      <c r="J1598">
        <v>-191.4221</v>
      </c>
      <c r="K1598">
        <v>1.118687</v>
      </c>
      <c r="L1598">
        <v>337.81060000000002</v>
      </c>
      <c r="M1598">
        <v>-1.2031480000000001E-2</v>
      </c>
      <c r="N1598">
        <v>-5.067752E-3</v>
      </c>
      <c r="O1598">
        <v>-0.99991490000000005</v>
      </c>
      <c r="P1598">
        <v>-3.2449730000000003E-2</v>
      </c>
      <c r="Q1598">
        <v>-9.6949300000000002E-2</v>
      </c>
      <c r="R1598">
        <v>-0.99476019999999998</v>
      </c>
      <c r="S1598">
        <v>-0.29762270000000002</v>
      </c>
      <c r="T1598">
        <v>0.31253730000000002</v>
      </c>
      <c r="U1598">
        <v>-3.0377809999999998</v>
      </c>
      <c r="V1598">
        <v>2.0246989999999999E-2</v>
      </c>
      <c r="W1598">
        <v>-9.1956590000000005E-2</v>
      </c>
      <c r="X1598">
        <v>0.99555709999999997</v>
      </c>
      <c r="Y1598">
        <v>8.4987389999999996E-2</v>
      </c>
      <c r="Z1598">
        <v>-0.1069427</v>
      </c>
      <c r="AA1598">
        <v>0.99062629999999996</v>
      </c>
      <c r="AB1598">
        <v>27</v>
      </c>
      <c r="AC1598">
        <v>-23.5351</v>
      </c>
      <c r="AD1598">
        <v>24.728593</v>
      </c>
      <c r="AE1598">
        <v>-239.43512999999999</v>
      </c>
      <c r="AF1598">
        <v>20.436698237601099</v>
      </c>
      <c r="AG1598">
        <v>24.728593</v>
      </c>
      <c r="AH1598">
        <v>237.19512709627199</v>
      </c>
      <c r="AI1598">
        <v>84.069987060359296</v>
      </c>
      <c r="AJ1598">
        <v>85.075565347755997</v>
      </c>
      <c r="AK1598">
        <v>239.35473729348001</v>
      </c>
      <c r="AL1598">
        <v>95.276178584745907</v>
      </c>
      <c r="AM1598">
        <v>88.834916473425494</v>
      </c>
      <c r="AN1598">
        <v>0.99999994720444696</v>
      </c>
    </row>
    <row r="1599" spans="1:40" x14ac:dyDescent="0.25">
      <c r="A1599" t="str">
        <f>"20190303154757918"</f>
        <v>20190303154757918</v>
      </c>
      <c r="B1599" t="str">
        <f>"1551599277912231"</f>
        <v>1551599277912231</v>
      </c>
      <c r="C1599" t="s">
        <v>40</v>
      </c>
      <c r="D1599">
        <v>5.6917350000000004</v>
      </c>
      <c r="E1599">
        <v>0.5301922</v>
      </c>
      <c r="F1599" t="s">
        <v>48</v>
      </c>
      <c r="G1599">
        <v>-218.04490000000001</v>
      </c>
      <c r="H1599">
        <v>15.166460000000001</v>
      </c>
      <c r="I1599">
        <v>97.150019999999998</v>
      </c>
      <c r="J1599">
        <v>-191.42689999999999</v>
      </c>
      <c r="K1599">
        <v>1.1188229999999999</v>
      </c>
      <c r="L1599">
        <v>337.5283</v>
      </c>
      <c r="M1599">
        <v>-1.331305E-2</v>
      </c>
      <c r="N1599">
        <v>-5.5288790000000004E-3</v>
      </c>
      <c r="O1599">
        <v>-0.99989629999999996</v>
      </c>
      <c r="P1599">
        <v>-3.3926900000000003E-2</v>
      </c>
      <c r="Q1599">
        <v>-9.6783969999999997E-2</v>
      </c>
      <c r="R1599">
        <v>-0.99472729999999998</v>
      </c>
      <c r="S1599">
        <v>-0.33432009999999901</v>
      </c>
      <c r="T1599">
        <v>0.17640699999999901</v>
      </c>
      <c r="U1599">
        <v>-3.022125</v>
      </c>
      <c r="V1599">
        <v>2.046531E-2</v>
      </c>
      <c r="W1599">
        <v>-9.1329309999999997E-2</v>
      </c>
      <c r="X1599">
        <v>0.99561040000000001</v>
      </c>
      <c r="Y1599">
        <v>9.6503510000000001E-2</v>
      </c>
      <c r="Z1599">
        <v>-6.3467380000000004E-2</v>
      </c>
      <c r="AA1599">
        <v>0.9933071</v>
      </c>
      <c r="AB1599">
        <v>27</v>
      </c>
      <c r="AC1599">
        <v>-26.617999999999999</v>
      </c>
      <c r="AD1599">
        <v>14.047637</v>
      </c>
      <c r="AE1599">
        <v>-240.37827999999999</v>
      </c>
      <c r="AF1599">
        <v>23.336690641098699</v>
      </c>
      <c r="AG1599">
        <v>14.047637</v>
      </c>
      <c r="AH1599">
        <v>239.90196011562099</v>
      </c>
      <c r="AI1599">
        <v>86.664537958350806</v>
      </c>
      <c r="AJ1599">
        <v>84.443979535829897</v>
      </c>
      <c r="AK1599">
        <v>241.44334263482801</v>
      </c>
      <c r="AL1599">
        <v>95.240086085681199</v>
      </c>
      <c r="AM1599">
        <v>88.822420113642494</v>
      </c>
      <c r="AN1599">
        <v>0.99999997018331499</v>
      </c>
    </row>
    <row r="1600" spans="1:40" x14ac:dyDescent="0.25">
      <c r="A1600" t="str">
        <f>"20190303154757939"</f>
        <v>20190303154757939</v>
      </c>
      <c r="B1600" t="str">
        <f>"1551599277931751"</f>
        <v>1551599277931751</v>
      </c>
      <c r="C1600" t="s">
        <v>40</v>
      </c>
      <c r="D1600">
        <v>5.8071590000000004</v>
      </c>
      <c r="E1600">
        <v>0.52820389999999995</v>
      </c>
      <c r="F1600" t="s">
        <v>48</v>
      </c>
      <c r="G1600">
        <v>-218.2758</v>
      </c>
      <c r="H1600">
        <v>13.292439999999999</v>
      </c>
      <c r="I1600">
        <v>97.150019999999998</v>
      </c>
      <c r="J1600">
        <v>-191.43170000000001</v>
      </c>
      <c r="K1600">
        <v>1.118965</v>
      </c>
      <c r="L1600">
        <v>337.25920000000002</v>
      </c>
      <c r="M1600">
        <v>-1.4437409999999999E-2</v>
      </c>
      <c r="N1600">
        <v>-6.0384050000000002E-3</v>
      </c>
      <c r="O1600">
        <v>-0.99987760000000003</v>
      </c>
      <c r="P1600">
        <v>-3.5476069999999998E-2</v>
      </c>
      <c r="Q1600">
        <v>-9.8024929999999996E-2</v>
      </c>
      <c r="R1600">
        <v>-0.99455170000000004</v>
      </c>
      <c r="S1600">
        <v>-0.33723449999999999</v>
      </c>
      <c r="T1600">
        <v>0.15290629999999999</v>
      </c>
      <c r="U1600">
        <v>-3.0192570000000001</v>
      </c>
      <c r="V1600">
        <v>2.0909980000000002E-2</v>
      </c>
      <c r="W1600">
        <v>-9.2061599999999993E-2</v>
      </c>
      <c r="X1600">
        <v>0.99553380000000002</v>
      </c>
      <c r="Y1600">
        <v>9.6480949999999996E-2</v>
      </c>
      <c r="Z1600">
        <v>-5.6321969999999999E-2</v>
      </c>
      <c r="AA1600">
        <v>0.99373999999999996</v>
      </c>
      <c r="AB1600">
        <v>27</v>
      </c>
      <c r="AC1600">
        <v>-26.844100000000001</v>
      </c>
      <c r="AD1600">
        <v>12.173475</v>
      </c>
      <c r="AE1600">
        <v>-240.10918000000001</v>
      </c>
      <c r="AF1600">
        <v>23.315492601234599</v>
      </c>
      <c r="AG1600">
        <v>12.173475</v>
      </c>
      <c r="AH1600">
        <v>239.86277265381</v>
      </c>
      <c r="AI1600">
        <v>87.108233083510498</v>
      </c>
      <c r="AJ1600">
        <v>84.448093621314499</v>
      </c>
      <c r="AK1600">
        <v>241.30054992475101</v>
      </c>
      <c r="AL1600">
        <v>95.282220267760593</v>
      </c>
      <c r="AM1600">
        <v>88.796748565527494</v>
      </c>
      <c r="AN1600">
        <v>1.00000005620029</v>
      </c>
    </row>
    <row r="1601" spans="1:40" x14ac:dyDescent="0.25">
      <c r="A1601" t="str">
        <f>"20190303154757962"</f>
        <v>20190303154757962</v>
      </c>
      <c r="B1601" t="str">
        <f>"1551599277952248"</f>
        <v>1551599277952248</v>
      </c>
      <c r="C1601" t="s">
        <v>40</v>
      </c>
      <c r="D1601">
        <v>5.7465919999999997</v>
      </c>
      <c r="E1601">
        <v>0.52614490000000003</v>
      </c>
      <c r="F1601" t="s">
        <v>48</v>
      </c>
      <c r="G1601">
        <v>-217.39959999999999</v>
      </c>
      <c r="H1601">
        <v>10.549160000000001</v>
      </c>
      <c r="I1601">
        <v>97.150019999999998</v>
      </c>
      <c r="J1601">
        <v>-191.43690000000001</v>
      </c>
      <c r="K1601">
        <v>1.1191150000000001</v>
      </c>
      <c r="L1601">
        <v>336.9855</v>
      </c>
      <c r="M1601">
        <v>-1.549619E-2</v>
      </c>
      <c r="N1601">
        <v>-6.6100760000000003E-3</v>
      </c>
      <c r="O1601">
        <v>-0.99985800000000002</v>
      </c>
      <c r="P1601">
        <v>-3.6670580000000001E-2</v>
      </c>
      <c r="Q1601">
        <v>-9.8512500000000003E-2</v>
      </c>
      <c r="R1601">
        <v>-0.99445989999999995</v>
      </c>
      <c r="S1601">
        <v>-0.32623289999999999</v>
      </c>
      <c r="T1601">
        <v>0.1184714</v>
      </c>
      <c r="U1601">
        <v>-3.0164789999999999</v>
      </c>
      <c r="V1601">
        <v>2.1064940000000001E-2</v>
      </c>
      <c r="W1601">
        <v>-9.1977779999999995E-2</v>
      </c>
      <c r="X1601">
        <v>0.99553820000000004</v>
      </c>
      <c r="Y1601">
        <v>9.2001449999999999E-2</v>
      </c>
      <c r="Z1601">
        <v>-4.5639180000000001E-2</v>
      </c>
      <c r="AA1601">
        <v>0.99471240000000005</v>
      </c>
      <c r="AB1601">
        <v>27</v>
      </c>
      <c r="AC1601">
        <v>-25.962699999999899</v>
      </c>
      <c r="AD1601">
        <v>9.4300449999999998</v>
      </c>
      <c r="AE1601">
        <v>-239.83547999999999</v>
      </c>
      <c r="AF1601">
        <v>22.209028017970301</v>
      </c>
      <c r="AG1601">
        <v>9.4300449999999998</v>
      </c>
      <c r="AH1601">
        <v>239.84251845409801</v>
      </c>
      <c r="AI1601">
        <v>87.758005722549896</v>
      </c>
      <c r="AJ1601">
        <v>84.709590172513103</v>
      </c>
      <c r="AK1601">
        <v>241.053106871929</v>
      </c>
      <c r="AL1601">
        <v>95.277397698845903</v>
      </c>
      <c r="AM1601">
        <v>88.787839497972001</v>
      </c>
      <c r="AN1601">
        <v>0.99999997568508503</v>
      </c>
    </row>
    <row r="1602" spans="1:40" x14ac:dyDescent="0.25">
      <c r="A1602" t="str">
        <f>"20190303154757984"</f>
        <v>20190303154757984</v>
      </c>
      <c r="B1602" t="str">
        <f>"1551599277971768"</f>
        <v>1551599277971768</v>
      </c>
      <c r="C1602" t="s">
        <v>40</v>
      </c>
      <c r="D1602">
        <v>5.7129640000000004</v>
      </c>
      <c r="E1602">
        <v>0.52431399999999995</v>
      </c>
      <c r="F1602" t="s">
        <v>48</v>
      </c>
      <c r="G1602">
        <v>-216.39750000000001</v>
      </c>
      <c r="H1602">
        <v>7.8528739999999999</v>
      </c>
      <c r="I1602">
        <v>97.150030000000001</v>
      </c>
      <c r="J1602">
        <v>-191.44229999999999</v>
      </c>
      <c r="K1602">
        <v>1.1192660000000001</v>
      </c>
      <c r="L1602">
        <v>336.71370000000002</v>
      </c>
      <c r="M1602">
        <v>-1.6475839999999999E-2</v>
      </c>
      <c r="N1602">
        <v>-7.2237219999999897E-3</v>
      </c>
      <c r="O1602">
        <v>-0.99983849999999996</v>
      </c>
      <c r="P1602">
        <v>-3.809937E-2</v>
      </c>
      <c r="Q1602">
        <v>-9.7826479999999993E-2</v>
      </c>
      <c r="R1602">
        <v>-0.99447439999999998</v>
      </c>
      <c r="S1602">
        <v>-0.3136292</v>
      </c>
      <c r="T1602">
        <v>8.4609630000000005E-2</v>
      </c>
      <c r="U1602">
        <v>-3.0135190000000001</v>
      </c>
      <c r="V1602">
        <v>2.1532300000000001E-2</v>
      </c>
      <c r="W1602">
        <v>-9.0678700000000001E-2</v>
      </c>
      <c r="X1602">
        <v>0.99564739999999996</v>
      </c>
      <c r="Y1602">
        <v>8.7055679999999996E-2</v>
      </c>
      <c r="Z1602">
        <v>-3.5145250000000003E-2</v>
      </c>
      <c r="AA1602">
        <v>0.99558329999999995</v>
      </c>
      <c r="AB1602">
        <v>27</v>
      </c>
      <c r="AC1602">
        <v>-24.955200000000001</v>
      </c>
      <c r="AD1602">
        <v>6.7336080000000003</v>
      </c>
      <c r="AE1602">
        <v>-239.56367</v>
      </c>
      <c r="AF1602">
        <v>20.988294364298</v>
      </c>
      <c r="AG1602">
        <v>6.7336080000000003</v>
      </c>
      <c r="AH1602">
        <v>239.75493475377101</v>
      </c>
      <c r="AI1602">
        <v>88.397375077202398</v>
      </c>
      <c r="AJ1602">
        <v>84.997046041136898</v>
      </c>
      <c r="AK1602">
        <v>240.76602483698801</v>
      </c>
      <c r="AL1602">
        <v>95.202653365379206</v>
      </c>
      <c r="AM1602">
        <v>88.761089889100504</v>
      </c>
      <c r="AN1602">
        <v>1.0000000058518601</v>
      </c>
    </row>
    <row r="1603" spans="1:40" x14ac:dyDescent="0.25">
      <c r="A1603" t="str">
        <f>"20190303154758007"</f>
        <v>20190303154758007</v>
      </c>
      <c r="B1603" t="str">
        <f>"1551599278002024"</f>
        <v>1551599278002024</v>
      </c>
      <c r="C1603" t="s">
        <v>40</v>
      </c>
      <c r="D1603">
        <v>5.7413860000000003</v>
      </c>
      <c r="E1603">
        <v>0.52246700000000001</v>
      </c>
      <c r="F1603" t="s">
        <v>49</v>
      </c>
      <c r="G1603">
        <v>-213.74119999999999</v>
      </c>
      <c r="H1603">
        <v>5.188015</v>
      </c>
      <c r="I1603">
        <v>115.6223</v>
      </c>
      <c r="J1603">
        <v>-191.44820000000001</v>
      </c>
      <c r="K1603">
        <v>1.119407</v>
      </c>
      <c r="L1603">
        <v>336.42770000000002</v>
      </c>
      <c r="M1603">
        <v>-1.745884E-2</v>
      </c>
      <c r="N1603">
        <v>-7.8779130000000003E-3</v>
      </c>
      <c r="O1603">
        <v>-0.99981679999999995</v>
      </c>
      <c r="P1603">
        <v>-3.8937069999999997E-2</v>
      </c>
      <c r="Q1603">
        <v>-9.7316059999999996E-2</v>
      </c>
      <c r="R1603">
        <v>-0.99449200000000004</v>
      </c>
      <c r="S1603">
        <v>-0.30363459999999998</v>
      </c>
      <c r="T1603">
        <v>5.5402640000000003E-2</v>
      </c>
      <c r="U1603">
        <v>-3.0104980000000001</v>
      </c>
      <c r="V1603">
        <v>2.140309E-2</v>
      </c>
      <c r="W1603">
        <v>-8.9513930000000005E-2</v>
      </c>
      <c r="X1603">
        <v>0.99575559999999996</v>
      </c>
      <c r="Y1603">
        <v>8.2931959999999999E-2</v>
      </c>
      <c r="Z1603">
        <v>-2.618678E-2</v>
      </c>
      <c r="AA1603">
        <v>0.99621110000000002</v>
      </c>
      <c r="AB1603">
        <v>27</v>
      </c>
      <c r="AC1603">
        <v>-22.2929999999999</v>
      </c>
      <c r="AD1603">
        <v>4.0686080000000002</v>
      </c>
      <c r="AE1603">
        <v>-220.80539999999999</v>
      </c>
      <c r="AF1603">
        <v>18.4282834157252</v>
      </c>
      <c r="AG1603">
        <v>4.0686080000000002</v>
      </c>
      <c r="AH1603">
        <v>221.08665819052999</v>
      </c>
      <c r="AI1603">
        <v>88.949360329076598</v>
      </c>
      <c r="AJ1603">
        <v>85.235227118659097</v>
      </c>
      <c r="AK1603">
        <v>221.89066143162501</v>
      </c>
      <c r="AL1603">
        <v>95.1356443344648</v>
      </c>
      <c r="AM1603">
        <v>88.768655758240101</v>
      </c>
      <c r="AN1603">
        <v>1.00000002542847</v>
      </c>
    </row>
    <row r="1604" spans="1:40" x14ac:dyDescent="0.25">
      <c r="A1604" t="str">
        <f>"20190303154758030"</f>
        <v>20190303154758030</v>
      </c>
      <c r="B1604" t="str">
        <f>"1551599278022520"</f>
        <v>1551599278022520</v>
      </c>
      <c r="C1604" t="s">
        <v>40</v>
      </c>
      <c r="D1604">
        <v>5.7307079999999999</v>
      </c>
      <c r="E1604">
        <v>0.52123909999999996</v>
      </c>
      <c r="F1604" t="s">
        <v>49</v>
      </c>
      <c r="G1604">
        <v>-213.07050000000001</v>
      </c>
      <c r="H1604">
        <v>2.9262239999999999</v>
      </c>
      <c r="I1604">
        <v>113.5273</v>
      </c>
      <c r="J1604">
        <v>-191.45419999999999</v>
      </c>
      <c r="K1604">
        <v>1.119523</v>
      </c>
      <c r="L1604">
        <v>336.14850000000001</v>
      </c>
      <c r="M1604">
        <v>-1.838996E-2</v>
      </c>
      <c r="N1604">
        <v>-8.5298570000000001E-3</v>
      </c>
      <c r="O1604">
        <v>-0.99979470000000004</v>
      </c>
      <c r="P1604">
        <v>-3.9913079999999997E-2</v>
      </c>
      <c r="Q1604">
        <v>-9.7422990000000001E-2</v>
      </c>
      <c r="R1604">
        <v>-0.99444290000000002</v>
      </c>
      <c r="S1604">
        <v>-0.29174800000000001</v>
      </c>
      <c r="T1604">
        <v>2.437949E-2</v>
      </c>
      <c r="U1604">
        <v>-3.007568</v>
      </c>
      <c r="V1604">
        <v>2.146116E-2</v>
      </c>
      <c r="W1604">
        <v>-8.8970099999999996E-2</v>
      </c>
      <c r="X1604">
        <v>0.99580310000000005</v>
      </c>
      <c r="Y1604">
        <v>7.8216930000000004E-2</v>
      </c>
      <c r="Z1604">
        <v>-1.6594060000000001E-2</v>
      </c>
      <c r="AA1604">
        <v>0.99679830000000003</v>
      </c>
      <c r="AB1604">
        <v>27</v>
      </c>
      <c r="AC1604">
        <v>-21.616299999999999</v>
      </c>
      <c r="AD1604">
        <v>1.8067009999999999</v>
      </c>
      <c r="AE1604">
        <v>-222.62119999999999</v>
      </c>
      <c r="AF1604">
        <v>17.517358140178601</v>
      </c>
      <c r="AG1604">
        <v>1.8067009999999999</v>
      </c>
      <c r="AH1604">
        <v>222.96653915059301</v>
      </c>
      <c r="AI1604">
        <v>89.537167799552407</v>
      </c>
      <c r="AJ1604">
        <v>85.507786635599302</v>
      </c>
      <c r="AK1604">
        <v>223.66090312235499</v>
      </c>
      <c r="AL1604">
        <v>95.104360287728895</v>
      </c>
      <c r="AM1604">
        <v>88.765374833941493</v>
      </c>
      <c r="AN1604">
        <v>1.00000003702608</v>
      </c>
    </row>
    <row r="1605" spans="1:40" x14ac:dyDescent="0.25">
      <c r="A1605" t="str">
        <f>"20190303154758053"</f>
        <v>20190303154758053</v>
      </c>
      <c r="B1605" t="str">
        <f>"1551599278042040"</f>
        <v>1551599278042040</v>
      </c>
      <c r="C1605" t="s">
        <v>40</v>
      </c>
      <c r="D1605">
        <v>5.7307810000000003</v>
      </c>
      <c r="E1605">
        <v>0.52045589999999997</v>
      </c>
      <c r="F1605" t="s">
        <v>48</v>
      </c>
      <c r="G1605">
        <v>-213.99080000000001</v>
      </c>
      <c r="H1605">
        <v>1.8707290000000001</v>
      </c>
      <c r="I1605">
        <v>98.375470000000007</v>
      </c>
      <c r="J1605">
        <v>-191.46039999999999</v>
      </c>
      <c r="K1605">
        <v>1.119623</v>
      </c>
      <c r="L1605">
        <v>335.86720000000003</v>
      </c>
      <c r="M1605">
        <v>-1.9314520000000002E-2</v>
      </c>
      <c r="N1605">
        <v>-9.1749729999999995E-3</v>
      </c>
      <c r="O1605">
        <v>-0.99977150000000004</v>
      </c>
      <c r="P1605">
        <v>-4.0662669999999998E-2</v>
      </c>
      <c r="Q1605">
        <v>-9.7781759999999995E-2</v>
      </c>
      <c r="R1605">
        <v>-0.99437710000000001</v>
      </c>
      <c r="S1605">
        <v>-0.28494259999999999</v>
      </c>
      <c r="T1605">
        <v>9.4982390000000003E-3</v>
      </c>
      <c r="U1605">
        <v>-3.0062869999999999</v>
      </c>
      <c r="V1605">
        <v>2.1297099999999999E-2</v>
      </c>
      <c r="W1605">
        <v>-8.8685230000000004E-2</v>
      </c>
      <c r="X1605">
        <v>0.99583200000000005</v>
      </c>
      <c r="Y1605">
        <v>7.5103359999999994E-2</v>
      </c>
      <c r="Z1605">
        <v>-1.231346E-2</v>
      </c>
      <c r="AA1605">
        <v>0.99709970000000003</v>
      </c>
      <c r="AB1605">
        <v>27</v>
      </c>
      <c r="AC1605">
        <v>-22.5304</v>
      </c>
      <c r="AD1605">
        <v>0.75110600000000005</v>
      </c>
      <c r="AE1605">
        <v>-237.49172999999999</v>
      </c>
      <c r="AF1605">
        <v>17.938787733123199</v>
      </c>
      <c r="AG1605">
        <v>0.75110600000000005</v>
      </c>
      <c r="AH1605">
        <v>237.880247884413</v>
      </c>
      <c r="AI1605">
        <v>89.819601605933698</v>
      </c>
      <c r="AJ1605">
        <v>85.687430458427997</v>
      </c>
      <c r="AK1605">
        <v>238.55686240204301</v>
      </c>
      <c r="AL1605">
        <v>95.087973830068904</v>
      </c>
      <c r="AM1605">
        <v>88.774845592803004</v>
      </c>
      <c r="AN1605">
        <v>1.00000000435628</v>
      </c>
    </row>
    <row r="1606" spans="1:40" x14ac:dyDescent="0.25">
      <c r="A1606" t="str">
        <f>"20190303154758073"</f>
        <v>20190303154758073</v>
      </c>
      <c r="B1606" t="str">
        <f>"1551599278062536"</f>
        <v>1551599278062536</v>
      </c>
      <c r="C1606" t="s">
        <v>40</v>
      </c>
      <c r="D1606">
        <v>5.7258889999999996</v>
      </c>
      <c r="E1606">
        <v>0.51990000000000003</v>
      </c>
      <c r="F1606" t="s">
        <v>50</v>
      </c>
      <c r="G1606">
        <v>-211.74680000000001</v>
      </c>
      <c r="H1606">
        <v>0.91351499999999997</v>
      </c>
      <c r="I1606">
        <v>118.8673</v>
      </c>
      <c r="J1606">
        <v>-191.46610000000001</v>
      </c>
      <c r="K1606">
        <v>1.119693</v>
      </c>
      <c r="L1606">
        <v>335.62279999999998</v>
      </c>
      <c r="M1606">
        <v>-2.0115299999999999E-2</v>
      </c>
      <c r="N1606">
        <v>-9.6974620000000004E-3</v>
      </c>
      <c r="O1606">
        <v>-0.9997509</v>
      </c>
      <c r="P1606">
        <v>-4.0542010000000003E-2</v>
      </c>
      <c r="Q1606">
        <v>-9.7874219999999998E-2</v>
      </c>
      <c r="R1606">
        <v>-0.99437299999999995</v>
      </c>
      <c r="S1606">
        <v>-0.28094479999999999</v>
      </c>
      <c r="T1606">
        <v>-2.8539899999999998E-3</v>
      </c>
      <c r="U1606">
        <v>-3.0052189999999999</v>
      </c>
      <c r="V1606">
        <v>2.0382750000000002E-2</v>
      </c>
      <c r="W1606">
        <v>-8.8255089999999994E-2</v>
      </c>
      <c r="X1606">
        <v>0.99588940000000004</v>
      </c>
      <c r="Y1606">
        <v>7.3024740000000005E-2</v>
      </c>
      <c r="Z1606">
        <v>-8.7423459999999998E-3</v>
      </c>
      <c r="AA1606">
        <v>0.99729179999999995</v>
      </c>
      <c r="AB1606">
        <v>27</v>
      </c>
      <c r="AC1606">
        <v>-20.2807</v>
      </c>
      <c r="AD1606">
        <v>-0.206178</v>
      </c>
      <c r="AE1606">
        <v>-216.75550000000001</v>
      </c>
      <c r="AF1606">
        <v>15.916276097365699</v>
      </c>
      <c r="AG1606">
        <v>-0.206178</v>
      </c>
      <c r="AH1606">
        <v>217.11941578152599</v>
      </c>
      <c r="AI1606">
        <v>90.054262821337005</v>
      </c>
      <c r="AJ1606">
        <v>85.807343371167093</v>
      </c>
      <c r="AK1606">
        <v>217.70211543181301</v>
      </c>
      <c r="AL1606">
        <v>95.0632313364884</v>
      </c>
      <c r="AM1606">
        <v>88.827497789098402</v>
      </c>
      <c r="AN1606">
        <v>1.00000005722041</v>
      </c>
    </row>
    <row r="1607" spans="1:40" x14ac:dyDescent="0.25">
      <c r="A1607" t="str">
        <f>"20190303154758096"</f>
        <v>20190303154758096</v>
      </c>
      <c r="B1607" t="str">
        <f>"1551599278091875"</f>
        <v>1551599278091875</v>
      </c>
      <c r="C1607" t="s">
        <v>40</v>
      </c>
      <c r="D1607">
        <v>5.7360550000000003</v>
      </c>
      <c r="E1607">
        <v>0.51915279999999997</v>
      </c>
      <c r="F1607" t="s">
        <v>50</v>
      </c>
      <c r="G1607">
        <v>-211.29300000000001</v>
      </c>
      <c r="H1607">
        <v>0.273256099999999</v>
      </c>
      <c r="I1607">
        <v>119.91719999999999</v>
      </c>
      <c r="J1607">
        <v>-191.47280000000001</v>
      </c>
      <c r="K1607">
        <v>1.1197539999999999</v>
      </c>
      <c r="L1607">
        <v>335.34300000000002</v>
      </c>
      <c r="M1607">
        <v>-2.103201E-2</v>
      </c>
      <c r="N1607">
        <v>-1.0241719999999999E-2</v>
      </c>
      <c r="O1607">
        <v>-0.99972649999999996</v>
      </c>
      <c r="P1607">
        <v>-4.0395559999999997E-2</v>
      </c>
      <c r="Q1607">
        <v>-9.7948179999999996E-2</v>
      </c>
      <c r="R1607">
        <v>-0.99437169999999997</v>
      </c>
      <c r="S1607">
        <v>-0.27616879999999999</v>
      </c>
      <c r="T1607">
        <v>-1.1789559999999999E-2</v>
      </c>
      <c r="U1607">
        <v>-3.0045470000000001</v>
      </c>
      <c r="V1607">
        <v>1.9325869999999998E-2</v>
      </c>
      <c r="W1607">
        <v>-8.7784790000000001E-2</v>
      </c>
      <c r="X1607">
        <v>0.99595199999999995</v>
      </c>
      <c r="Y1607">
        <v>7.0559109999999994E-2</v>
      </c>
      <c r="Z1607">
        <v>-6.3225299999999998E-3</v>
      </c>
      <c r="AA1607">
        <v>0.99748749999999997</v>
      </c>
      <c r="AB1607">
        <v>27</v>
      </c>
      <c r="AC1607">
        <v>-19.8202</v>
      </c>
      <c r="AD1607">
        <v>-0.84649790000000003</v>
      </c>
      <c r="AE1607">
        <v>-215.42580000000001</v>
      </c>
      <c r="AF1607">
        <v>15.2845068367739</v>
      </c>
      <c r="AG1607">
        <v>-0.84649790000000003</v>
      </c>
      <c r="AH1607">
        <v>215.791719952271</v>
      </c>
      <c r="AI1607">
        <v>90.224194444863898</v>
      </c>
      <c r="AJ1607">
        <v>85.948511660079006</v>
      </c>
      <c r="AK1607">
        <v>216.33399896432701</v>
      </c>
      <c r="AL1607">
        <v>95.036180314753395</v>
      </c>
      <c r="AM1607">
        <v>88.888348192287793</v>
      </c>
      <c r="AN1607">
        <v>1.0000000224553001</v>
      </c>
    </row>
    <row r="1608" spans="1:40" x14ac:dyDescent="0.25">
      <c r="A1608" t="str">
        <f>"20190303154758118"</f>
        <v>20190303154758118</v>
      </c>
      <c r="B1608" t="str">
        <f>"1551599278112371"</f>
        <v>1551599278112371</v>
      </c>
      <c r="C1608" t="s">
        <v>40</v>
      </c>
      <c r="D1608">
        <v>5.7373079999999996</v>
      </c>
      <c r="E1608">
        <v>0.51866639999999997</v>
      </c>
      <c r="F1608" t="s">
        <v>47</v>
      </c>
      <c r="G1608">
        <v>-203.43539999999999</v>
      </c>
      <c r="H1608">
        <v>8.0001959999999997E-2</v>
      </c>
      <c r="I1608">
        <v>202.25810000000001</v>
      </c>
      <c r="J1608">
        <v>-191.47929999999999</v>
      </c>
      <c r="K1608">
        <v>1.1197919999999999</v>
      </c>
      <c r="L1608">
        <v>335.08069999999998</v>
      </c>
      <c r="M1608">
        <v>-2.1893820000000001E-2</v>
      </c>
      <c r="N1608">
        <v>-1.0701250000000001E-2</v>
      </c>
      <c r="O1608">
        <v>-0.99970320000000001</v>
      </c>
      <c r="P1608">
        <v>-4.0825920000000002E-2</v>
      </c>
      <c r="Q1608">
        <v>-9.8718840000000002E-2</v>
      </c>
      <c r="R1608">
        <v>-0.99427770000000004</v>
      </c>
      <c r="S1608">
        <v>-0.26998899999999998</v>
      </c>
      <c r="T1608">
        <v>-2.346647E-2</v>
      </c>
      <c r="U1608">
        <v>-3.0036320000000001</v>
      </c>
      <c r="V1608">
        <v>1.8899929999999999E-2</v>
      </c>
      <c r="W1608">
        <v>-8.8097700000000001E-2</v>
      </c>
      <c r="X1608">
        <v>0.9959325</v>
      </c>
      <c r="Y1608">
        <v>6.7690920000000002E-2</v>
      </c>
      <c r="Z1608">
        <v>-2.9058690000000002E-3</v>
      </c>
      <c r="AA1608">
        <v>0.99770210000000004</v>
      </c>
      <c r="AB1608">
        <v>27</v>
      </c>
      <c r="AC1608">
        <v>-11.9560999999999</v>
      </c>
      <c r="AD1608">
        <v>-1.03979004</v>
      </c>
      <c r="AE1608">
        <v>-132.822599999999</v>
      </c>
      <c r="AF1608">
        <v>9.04452386776053</v>
      </c>
      <c r="AG1608">
        <v>-1.03979004</v>
      </c>
      <c r="AH1608">
        <v>133.04445067901699</v>
      </c>
      <c r="AI1608">
        <v>90.446746847917794</v>
      </c>
      <c r="AJ1608">
        <v>86.110946746737099</v>
      </c>
      <c r="AK1608">
        <v>133.35557893017901</v>
      </c>
      <c r="AL1608">
        <v>95.054178691300606</v>
      </c>
      <c r="AM1608">
        <v>88.912821645523906</v>
      </c>
      <c r="AN1608">
        <v>0.99999997832777199</v>
      </c>
    </row>
    <row r="1609" spans="1:40" x14ac:dyDescent="0.25">
      <c r="A1609" t="str">
        <f>"20190303154758141"</f>
        <v>20190303154758141</v>
      </c>
      <c r="B1609" t="str">
        <f>"1551599278131890"</f>
        <v>1551599278131890</v>
      </c>
      <c r="C1609" t="s">
        <v>40</v>
      </c>
      <c r="D1609">
        <v>5.7480969999999996</v>
      </c>
      <c r="E1609">
        <v>0.51820650000000001</v>
      </c>
      <c r="F1609" t="s">
        <v>41</v>
      </c>
      <c r="G1609">
        <v>-200.18199999999999</v>
      </c>
      <c r="H1609">
        <v>7.9985689999999998E-2</v>
      </c>
      <c r="I1609">
        <v>237.34610000000001</v>
      </c>
      <c r="J1609">
        <v>-191.48650000000001</v>
      </c>
      <c r="K1609">
        <v>1.1198159999999999</v>
      </c>
      <c r="L1609">
        <v>334.8</v>
      </c>
      <c r="M1609">
        <v>-2.2821620000000001E-2</v>
      </c>
      <c r="N1609">
        <v>-1.1142839999999999E-2</v>
      </c>
      <c r="O1609">
        <v>-0.9996777</v>
      </c>
      <c r="P1609">
        <v>-4.1478950000000001E-2</v>
      </c>
      <c r="Q1609">
        <v>-9.9446300000000001E-2</v>
      </c>
      <c r="R1609">
        <v>-0.99417820000000001</v>
      </c>
      <c r="S1609">
        <v>-0.26741029999999999</v>
      </c>
      <c r="T1609">
        <v>-3.1950350000000002E-2</v>
      </c>
      <c r="U1609">
        <v>-3.0031129999999999</v>
      </c>
      <c r="V1609">
        <v>1.8630910000000001E-2</v>
      </c>
      <c r="W1609">
        <v>-8.8385630000000007E-2</v>
      </c>
      <c r="X1609">
        <v>0.99591209999999997</v>
      </c>
      <c r="Y1609">
        <v>6.5929269999999998E-2</v>
      </c>
      <c r="Z1609">
        <v>-5.2978979999999997E-4</v>
      </c>
      <c r="AA1609">
        <v>0.99782409999999999</v>
      </c>
      <c r="AB1609">
        <v>27</v>
      </c>
      <c r="AC1609">
        <v>-8.6955000000000098</v>
      </c>
      <c r="AD1609">
        <v>-1.0398303099999999</v>
      </c>
      <c r="AE1609">
        <v>-97.453900000000004</v>
      </c>
      <c r="AF1609">
        <v>6.4683110022960904</v>
      </c>
      <c r="AG1609">
        <v>-1.0398303099999999</v>
      </c>
      <c r="AH1609">
        <v>97.615947316064606</v>
      </c>
      <c r="AI1609">
        <v>90.608971015063602</v>
      </c>
      <c r="AJ1609">
        <v>86.208960321874102</v>
      </c>
      <c r="AK1609">
        <v>97.835542951980003</v>
      </c>
      <c r="AL1609">
        <v>95.070740256204502</v>
      </c>
      <c r="AM1609">
        <v>88.928270867286201</v>
      </c>
      <c r="AN1609">
        <v>1.00000002066216</v>
      </c>
    </row>
    <row r="1610" spans="1:40" x14ac:dyDescent="0.25">
      <c r="A1610" t="str">
        <f>"20190303154758163"</f>
        <v>20190303154758163</v>
      </c>
      <c r="B1610" t="str">
        <f>"1551599278152386"</f>
        <v>1551599278152386</v>
      </c>
      <c r="C1610" t="s">
        <v>40</v>
      </c>
      <c r="D1610">
        <v>5.7585670000000002</v>
      </c>
      <c r="E1610">
        <v>0.51789849999999904</v>
      </c>
      <c r="F1610" t="s">
        <v>41</v>
      </c>
      <c r="G1610">
        <v>-198.89359999999999</v>
      </c>
      <c r="H1610" s="1">
        <v>-2.9912210000000002E-6</v>
      </c>
      <c r="I1610">
        <v>251.14089999999999</v>
      </c>
      <c r="J1610">
        <v>-191.49350000000001</v>
      </c>
      <c r="K1610">
        <v>1.1198360000000001</v>
      </c>
      <c r="L1610">
        <v>334.53820000000002</v>
      </c>
      <c r="M1610">
        <v>-2.3694529999999998E-2</v>
      </c>
      <c r="N1610">
        <v>-1.1505649999999999E-2</v>
      </c>
      <c r="O1610">
        <v>-0.99965329999999997</v>
      </c>
      <c r="P1610">
        <v>-4.2262389999999997E-2</v>
      </c>
      <c r="Q1610">
        <v>-9.9966760000000002E-2</v>
      </c>
      <c r="R1610">
        <v>-0.99409329999999996</v>
      </c>
      <c r="S1610">
        <v>-0.26583859999999998</v>
      </c>
      <c r="T1610">
        <v>-4.018998E-2</v>
      </c>
      <c r="U1610">
        <v>-3.0025019999999998</v>
      </c>
      <c r="V1610">
        <v>1.8547029999999999E-2</v>
      </c>
      <c r="W1610">
        <v>-8.8545139999999994E-2</v>
      </c>
      <c r="X1610">
        <v>0.99589950000000005</v>
      </c>
      <c r="Y1610">
        <v>6.4556139999999998E-2</v>
      </c>
      <c r="Z1610">
        <v>1.845157E-3</v>
      </c>
      <c r="AA1610">
        <v>0.99791229999999997</v>
      </c>
      <c r="AB1610">
        <v>27</v>
      </c>
      <c r="AC1610">
        <v>-7.4000999999999797</v>
      </c>
      <c r="AD1610">
        <v>-1.1198389912210001</v>
      </c>
      <c r="AE1610">
        <v>-83.397300000000001</v>
      </c>
      <c r="AF1610">
        <v>5.4208622303358203</v>
      </c>
      <c r="AG1610">
        <v>-1.1198389912210001</v>
      </c>
      <c r="AH1610">
        <v>83.534292204551306</v>
      </c>
      <c r="AI1610">
        <v>90.766434387651799</v>
      </c>
      <c r="AJ1610">
        <v>86.287062152629005</v>
      </c>
      <c r="AK1610">
        <v>83.717487783628002</v>
      </c>
      <c r="AL1610">
        <v>95.079915461944793</v>
      </c>
      <c r="AM1610">
        <v>88.933081388350701</v>
      </c>
      <c r="AN1610">
        <v>1.0000000241198399</v>
      </c>
    </row>
    <row r="1611" spans="1:40" x14ac:dyDescent="0.25">
      <c r="A1611" t="str">
        <f>"20190303154758185"</f>
        <v>20190303154758185</v>
      </c>
      <c r="B1611" t="str">
        <f>"1551599278182343"</f>
        <v>1551599278182343</v>
      </c>
      <c r="C1611" t="s">
        <v>40</v>
      </c>
      <c r="D1611">
        <v>5.7289450000000004</v>
      </c>
      <c r="E1611">
        <v>0.5173835</v>
      </c>
      <c r="F1611" t="s">
        <v>41</v>
      </c>
      <c r="G1611">
        <v>-197.8997</v>
      </c>
      <c r="H1611" s="1">
        <v>-3.1576149999999998E-6</v>
      </c>
      <c r="I1611">
        <v>262.14789999999999</v>
      </c>
      <c r="J1611">
        <v>-191.5009</v>
      </c>
      <c r="K1611">
        <v>1.1198539999999999</v>
      </c>
      <c r="L1611">
        <v>334.26929999999999</v>
      </c>
      <c r="M1611">
        <v>-2.4597560000000001E-2</v>
      </c>
      <c r="N1611">
        <v>-1.183442E-2</v>
      </c>
      <c r="O1611">
        <v>-0.9996275</v>
      </c>
      <c r="P1611">
        <v>-4.2591660000000003E-2</v>
      </c>
      <c r="Q1611">
        <v>-0.1009343</v>
      </c>
      <c r="R1611">
        <v>-0.99398140000000001</v>
      </c>
      <c r="S1611">
        <v>-0.26565549999999999</v>
      </c>
      <c r="T1611">
        <v>-4.6437619999999999E-2</v>
      </c>
      <c r="U1611">
        <v>-3.0018919999999998</v>
      </c>
      <c r="V1611">
        <v>1.79793E-2</v>
      </c>
      <c r="W1611">
        <v>-8.9185219999999996E-2</v>
      </c>
      <c r="X1611">
        <v>0.99585279999999998</v>
      </c>
      <c r="Y1611">
        <v>6.3610520000000004E-2</v>
      </c>
      <c r="Z1611">
        <v>3.5935699999999999E-3</v>
      </c>
      <c r="AA1611">
        <v>0.99796830000000003</v>
      </c>
      <c r="AB1611">
        <v>27</v>
      </c>
      <c r="AC1611">
        <v>-6.3987999999999898</v>
      </c>
      <c r="AD1611">
        <v>-1.119857157615</v>
      </c>
      <c r="AE1611">
        <v>-72.121399999999994</v>
      </c>
      <c r="AF1611">
        <v>4.6216236023864399</v>
      </c>
      <c r="AG1611">
        <v>-1.119857157615</v>
      </c>
      <c r="AH1611">
        <v>72.239700402722306</v>
      </c>
      <c r="AI1611">
        <v>90.886314231160696</v>
      </c>
      <c r="AJ1611">
        <v>86.339420859244697</v>
      </c>
      <c r="AK1611">
        <v>72.396048228136607</v>
      </c>
      <c r="AL1611">
        <v>95.116734989845895</v>
      </c>
      <c r="AM1611">
        <v>88.965684381378793</v>
      </c>
      <c r="AN1611">
        <v>1.00000002898138</v>
      </c>
    </row>
    <row r="1612" spans="1:40" x14ac:dyDescent="0.25">
      <c r="A1612" t="str">
        <f>"20190303154758207"</f>
        <v>20190303154758207</v>
      </c>
      <c r="B1612" t="str">
        <f>"1551599278201863"</f>
        <v>1551599278201863</v>
      </c>
      <c r="C1612" t="s">
        <v>40</v>
      </c>
      <c r="D1612">
        <v>5.7082660000000001</v>
      </c>
      <c r="E1612">
        <v>0.5170998</v>
      </c>
      <c r="F1612" t="s">
        <v>47</v>
      </c>
      <c r="G1612">
        <v>-196.75280000000001</v>
      </c>
      <c r="H1612" s="1">
        <v>4.7865510000000002E-6</v>
      </c>
      <c r="I1612">
        <v>274.17630000000003</v>
      </c>
      <c r="J1612">
        <v>-191.5086</v>
      </c>
      <c r="K1612">
        <v>1.1198729999999999</v>
      </c>
      <c r="L1612">
        <v>333.99770000000001</v>
      </c>
      <c r="M1612">
        <v>-2.551281E-2</v>
      </c>
      <c r="N1612">
        <v>-1.212538E-2</v>
      </c>
      <c r="O1612">
        <v>-0.99960110000000002</v>
      </c>
      <c r="P1612">
        <v>-4.3243869999999997E-2</v>
      </c>
      <c r="Q1612">
        <v>-0.1014294</v>
      </c>
      <c r="R1612">
        <v>-0.99390270000000003</v>
      </c>
      <c r="S1612">
        <v>-0.26229859999999999</v>
      </c>
      <c r="T1612">
        <v>-5.5929180000000002E-2</v>
      </c>
      <c r="U1612">
        <v>-3.0012509999999999</v>
      </c>
      <c r="V1612">
        <v>1.7722370000000001E-2</v>
      </c>
      <c r="W1612">
        <v>-8.9390570000000003E-2</v>
      </c>
      <c r="X1612">
        <v>0.99583889999999997</v>
      </c>
      <c r="Y1612">
        <v>6.1605140000000003E-2</v>
      </c>
      <c r="Z1612">
        <v>6.4587239999999999E-3</v>
      </c>
      <c r="AA1612">
        <v>0.99807970000000001</v>
      </c>
      <c r="AB1612">
        <v>27</v>
      </c>
      <c r="AC1612">
        <v>-5.2442000000000002</v>
      </c>
      <c r="AD1612">
        <v>-1.1198682134489999</v>
      </c>
      <c r="AE1612">
        <v>-59.821399999999898</v>
      </c>
      <c r="AF1612">
        <v>3.7148768030466699</v>
      </c>
      <c r="AG1612">
        <v>-1.1198682134489999</v>
      </c>
      <c r="AH1612">
        <v>59.914892306772899</v>
      </c>
      <c r="AI1612">
        <v>91.068737902702694</v>
      </c>
      <c r="AJ1612">
        <v>86.452056721563494</v>
      </c>
      <c r="AK1612">
        <v>60.040392525444901</v>
      </c>
      <c r="AL1612">
        <v>95.128548340418007</v>
      </c>
      <c r="AM1612">
        <v>88.980447715125706</v>
      </c>
      <c r="AN1612">
        <v>0.99999993557827305</v>
      </c>
    </row>
    <row r="1613" spans="1:40" x14ac:dyDescent="0.25">
      <c r="A1613" t="str">
        <f>"20190303154758232"</f>
        <v>20190303154758232</v>
      </c>
      <c r="B1613" t="str">
        <f>"1551599278222358"</f>
        <v>1551599278222358</v>
      </c>
      <c r="C1613" t="s">
        <v>40</v>
      </c>
      <c r="D1613">
        <v>5.7256</v>
      </c>
      <c r="E1613">
        <v>0.51692890000000002</v>
      </c>
      <c r="F1613" t="s">
        <v>47</v>
      </c>
      <c r="G1613">
        <v>-196.34649999999999</v>
      </c>
      <c r="H1613" s="1">
        <v>3.537125E-6</v>
      </c>
      <c r="I1613">
        <v>278.63</v>
      </c>
      <c r="J1613">
        <v>-191.5171</v>
      </c>
      <c r="K1613">
        <v>1.1198980000000001</v>
      </c>
      <c r="L1613">
        <v>333.7088</v>
      </c>
      <c r="M1613">
        <v>-2.6487699999999999E-2</v>
      </c>
      <c r="N1613">
        <v>-1.2394840000000001E-2</v>
      </c>
      <c r="O1613">
        <v>-0.99957249999999997</v>
      </c>
      <c r="P1613">
        <v>-4.4627390000000003E-2</v>
      </c>
      <c r="Q1613">
        <v>-0.1014446</v>
      </c>
      <c r="R1613">
        <v>-0.99383999999999995</v>
      </c>
      <c r="S1613">
        <v>-0.26220700000000002</v>
      </c>
      <c r="T1613">
        <v>-6.0694810000000002E-2</v>
      </c>
      <c r="U1613">
        <v>-3.0008240000000002</v>
      </c>
      <c r="V1613">
        <v>1.8137589999999999E-2</v>
      </c>
      <c r="W1613">
        <v>-8.9138159999999994E-2</v>
      </c>
      <c r="X1613">
        <v>0.99585409999999996</v>
      </c>
      <c r="Y1613">
        <v>6.061213E-2</v>
      </c>
      <c r="Z1613">
        <v>7.7747519999999898E-3</v>
      </c>
      <c r="AA1613">
        <v>0.99813110000000005</v>
      </c>
      <c r="AB1613">
        <v>27</v>
      </c>
      <c r="AC1613">
        <v>-4.8293999999999899</v>
      </c>
      <c r="AD1613">
        <v>-1.1198944628749901</v>
      </c>
      <c r="AE1613">
        <v>-55.078800000000001</v>
      </c>
      <c r="AF1613">
        <v>3.3673013148009301</v>
      </c>
      <c r="AG1613">
        <v>-1.1198944628749901</v>
      </c>
      <c r="AH1613">
        <v>55.164769655957002</v>
      </c>
      <c r="AI1613">
        <v>91.160836109305095</v>
      </c>
      <c r="AJ1613">
        <v>86.506954188176707</v>
      </c>
      <c r="AK1613">
        <v>55.2787906248629</v>
      </c>
      <c r="AL1613">
        <v>95.114028088337193</v>
      </c>
      <c r="AM1613">
        <v>88.956581618912907</v>
      </c>
      <c r="AN1613">
        <v>0.999999986113001</v>
      </c>
    </row>
    <row r="1614" spans="1:40" x14ac:dyDescent="0.25">
      <c r="A1614" t="str">
        <f>"20190303154758254"</f>
        <v>20190303154758254</v>
      </c>
      <c r="B1614" t="str">
        <f>"1551599278242855"</f>
        <v>1551599278242855</v>
      </c>
      <c r="C1614" t="s">
        <v>40</v>
      </c>
      <c r="D1614">
        <v>5.689781</v>
      </c>
      <c r="E1614">
        <v>0.51670260000000001</v>
      </c>
      <c r="F1614" t="s">
        <v>47</v>
      </c>
      <c r="G1614">
        <v>-196.16720000000001</v>
      </c>
      <c r="H1614" s="1">
        <v>3.1786060000000001E-6</v>
      </c>
      <c r="I1614">
        <v>281.09359999999998</v>
      </c>
      <c r="J1614">
        <v>-191.52539999999999</v>
      </c>
      <c r="K1614">
        <v>1.119912</v>
      </c>
      <c r="L1614">
        <v>333.43669999999997</v>
      </c>
      <c r="M1614">
        <v>-2.7405659999999998E-2</v>
      </c>
      <c r="N1614">
        <v>-1.261528E-2</v>
      </c>
      <c r="O1614">
        <v>-0.99954469999999995</v>
      </c>
      <c r="P1614">
        <v>-4.5696899999999999E-2</v>
      </c>
      <c r="Q1614">
        <v>-0.10140929999999999</v>
      </c>
      <c r="R1614">
        <v>-0.99379470000000003</v>
      </c>
      <c r="S1614">
        <v>-0.265152</v>
      </c>
      <c r="T1614">
        <v>-6.3857079999999997E-2</v>
      </c>
      <c r="U1614">
        <v>-3.0001530000000001</v>
      </c>
      <c r="V1614">
        <v>1.829509E-2</v>
      </c>
      <c r="W1614">
        <v>-8.8883500000000004E-2</v>
      </c>
      <c r="X1614">
        <v>0.99587400000000004</v>
      </c>
      <c r="Y1614">
        <v>6.0685669999999997E-2</v>
      </c>
      <c r="Z1614">
        <v>8.6079980000000004E-3</v>
      </c>
      <c r="AA1614">
        <v>0.9981198</v>
      </c>
      <c r="AB1614">
        <v>27</v>
      </c>
      <c r="AC1614">
        <v>-4.6418000000000097</v>
      </c>
      <c r="AD1614">
        <v>-1.1199088213940001</v>
      </c>
      <c r="AE1614">
        <v>-52.3430999999999</v>
      </c>
      <c r="AF1614">
        <v>3.2039895034161501</v>
      </c>
      <c r="AG1614">
        <v>-1.1199088213940001</v>
      </c>
      <c r="AH1614">
        <v>52.426846104812803</v>
      </c>
      <c r="AI1614">
        <v>91.221451599892006</v>
      </c>
      <c r="AJ1614">
        <v>86.502802324508707</v>
      </c>
      <c r="AK1614">
        <v>52.536596168803698</v>
      </c>
      <c r="AL1614">
        <v>95.099378899107705</v>
      </c>
      <c r="AM1614">
        <v>88.947544022332494</v>
      </c>
      <c r="AN1614">
        <v>1.0000000053831699</v>
      </c>
    </row>
    <row r="1615" spans="1:40" x14ac:dyDescent="0.25">
      <c r="A1615" t="str">
        <f>"20190303154758275"</f>
        <v>20190303154758275</v>
      </c>
      <c r="B1615" t="str">
        <f>"1551599278262374"</f>
        <v>1551599278262374</v>
      </c>
      <c r="C1615" t="s">
        <v>40</v>
      </c>
      <c r="D1615">
        <v>5.7112220000000002</v>
      </c>
      <c r="E1615">
        <v>0.51654149999999999</v>
      </c>
      <c r="F1615" t="s">
        <v>47</v>
      </c>
      <c r="G1615">
        <v>-196.0367</v>
      </c>
      <c r="H1615" s="1">
        <v>3.0669659999999999E-6</v>
      </c>
      <c r="I1615">
        <v>282.63549999999998</v>
      </c>
      <c r="J1615">
        <v>-191.53319999999999</v>
      </c>
      <c r="K1615">
        <v>1.119923</v>
      </c>
      <c r="L1615">
        <v>333.18470000000002</v>
      </c>
      <c r="M1615">
        <v>-2.8255280000000001E-2</v>
      </c>
      <c r="N1615">
        <v>-1.2792960000000001E-2</v>
      </c>
      <c r="O1615">
        <v>-0.99951900000000005</v>
      </c>
      <c r="P1615">
        <v>-4.65835E-2</v>
      </c>
      <c r="Q1615">
        <v>-0.1009779</v>
      </c>
      <c r="R1615">
        <v>-0.99379759999999995</v>
      </c>
      <c r="S1615">
        <v>-0.26638790000000001</v>
      </c>
      <c r="T1615">
        <v>-6.612933E-2</v>
      </c>
      <c r="U1615">
        <v>-2.9997560000000001</v>
      </c>
      <c r="V1615">
        <v>1.8336970000000001E-2</v>
      </c>
      <c r="W1615">
        <v>-8.8274619999999998E-2</v>
      </c>
      <c r="X1615">
        <v>0.99592740000000002</v>
      </c>
      <c r="Y1615">
        <v>6.025585E-2</v>
      </c>
      <c r="Z1615">
        <v>9.1874829999999998E-3</v>
      </c>
      <c r="AA1615">
        <v>0.99814069999999999</v>
      </c>
      <c r="AB1615">
        <v>27</v>
      </c>
      <c r="AC1615">
        <v>-4.5034999999999998</v>
      </c>
      <c r="AD1615">
        <v>-1.1199199330339999</v>
      </c>
      <c r="AE1615">
        <v>-50.549199999999999</v>
      </c>
      <c r="AF1615">
        <v>3.0718072165889598</v>
      </c>
      <c r="AG1615">
        <v>-1.1199199330339999</v>
      </c>
      <c r="AH1615">
        <v>50.631615845798599</v>
      </c>
      <c r="AI1615">
        <v>91.264793007354797</v>
      </c>
      <c r="AJ1615">
        <v>86.528135268027796</v>
      </c>
      <c r="AK1615">
        <v>50.737074643585999</v>
      </c>
      <c r="AL1615">
        <v>95.064354898804893</v>
      </c>
      <c r="AM1615">
        <v>88.945191895640306</v>
      </c>
      <c r="AN1615">
        <v>1.00000001953784</v>
      </c>
    </row>
    <row r="1616" spans="1:40" x14ac:dyDescent="0.25">
      <c r="A1616" t="str">
        <f>"20190303154758297"</f>
        <v>20190303154758297</v>
      </c>
      <c r="B1616" t="str">
        <f>"1551599278292631"</f>
        <v>1551599278292631</v>
      </c>
      <c r="C1616" t="s">
        <v>40</v>
      </c>
      <c r="D1616">
        <v>5.678013</v>
      </c>
      <c r="E1616">
        <v>0.51625370000000004</v>
      </c>
      <c r="F1616" t="s">
        <v>47</v>
      </c>
      <c r="G1616">
        <v>-195.97290000000001</v>
      </c>
      <c r="H1616" s="1">
        <v>3.007231E-6</v>
      </c>
      <c r="I1616">
        <v>283.44819999999999</v>
      </c>
      <c r="J1616">
        <v>-191.542</v>
      </c>
      <c r="K1616">
        <v>1.119937</v>
      </c>
      <c r="L1616">
        <v>332.91199999999998</v>
      </c>
      <c r="M1616">
        <v>-2.9173899999999999E-2</v>
      </c>
      <c r="N1616">
        <v>-1.2960559999999999E-2</v>
      </c>
      <c r="O1616">
        <v>-0.9994904</v>
      </c>
      <c r="P1616">
        <v>-4.7706760000000001E-2</v>
      </c>
      <c r="Q1616">
        <v>-0.10026939999999999</v>
      </c>
      <c r="R1616">
        <v>-0.99381609999999998</v>
      </c>
      <c r="S1616">
        <v>-0.26773069999999999</v>
      </c>
      <c r="T1616">
        <v>-6.7535999999999999E-2</v>
      </c>
      <c r="U1616">
        <v>-2.9993289999999999</v>
      </c>
      <c r="V1616">
        <v>1.8546670000000001E-2</v>
      </c>
      <c r="W1616">
        <v>-8.7398699999999996E-2</v>
      </c>
      <c r="X1616">
        <v>0.99600080000000002</v>
      </c>
      <c r="Y1616">
        <v>5.9793699999999998E-2</v>
      </c>
      <c r="Z1616">
        <v>9.4899100000000007E-3</v>
      </c>
      <c r="AA1616">
        <v>0.99816570000000004</v>
      </c>
      <c r="AB1616">
        <v>27</v>
      </c>
      <c r="AC1616">
        <v>-4.4309000000000003</v>
      </c>
      <c r="AD1616">
        <v>-1.119933992769</v>
      </c>
      <c r="AE1616">
        <v>-49.4637999999999</v>
      </c>
      <c r="AF1616">
        <v>2.9843229210339102</v>
      </c>
      <c r="AG1616">
        <v>-1.119933992769</v>
      </c>
      <c r="AH1616">
        <v>49.546822399955701</v>
      </c>
      <c r="AI1616">
        <v>91.292525741384296</v>
      </c>
      <c r="AJ1616">
        <v>86.553103319568606</v>
      </c>
      <c r="AK1616">
        <v>49.649250199554103</v>
      </c>
      <c r="AL1616">
        <v>95.013973483406204</v>
      </c>
      <c r="AM1616">
        <v>88.933210578214201</v>
      </c>
      <c r="AN1616">
        <v>1.0000000526652</v>
      </c>
    </row>
    <row r="1617" spans="1:40" x14ac:dyDescent="0.25">
      <c r="A1617" t="str">
        <f>"20190303154758319"</f>
        <v>20190303154758319</v>
      </c>
      <c r="B1617" t="str">
        <f>"1551599278312151"</f>
        <v>1551599278312151</v>
      </c>
      <c r="C1617" t="s">
        <v>40</v>
      </c>
      <c r="D1617">
        <v>5.8431509999999998</v>
      </c>
      <c r="E1617">
        <v>0.51790029999999998</v>
      </c>
      <c r="F1617" t="s">
        <v>47</v>
      </c>
      <c r="G1617">
        <v>-195.99549999999999</v>
      </c>
      <c r="H1617" s="1">
        <v>3.0217569999999999E-6</v>
      </c>
      <c r="I1617">
        <v>283.23610000000002</v>
      </c>
      <c r="J1617">
        <v>-191.55070000000001</v>
      </c>
      <c r="K1617">
        <v>1.1199460000000001</v>
      </c>
      <c r="L1617">
        <v>332.64830000000001</v>
      </c>
      <c r="M1617">
        <v>-3.0062330000000002E-2</v>
      </c>
      <c r="N1617">
        <v>-1.3100840000000001E-2</v>
      </c>
      <c r="O1617">
        <v>-0.99946219999999997</v>
      </c>
      <c r="P1617">
        <v>-4.8638899999999999E-2</v>
      </c>
      <c r="Q1617">
        <v>-9.9608559999999999E-2</v>
      </c>
      <c r="R1617">
        <v>-0.99383710000000003</v>
      </c>
      <c r="S1617">
        <v>-0.26885989999999999</v>
      </c>
      <c r="T1617">
        <v>-6.7610260000000005E-2</v>
      </c>
      <c r="U1617">
        <v>-2.9989319999999999</v>
      </c>
      <c r="V1617">
        <v>1.859508E-2</v>
      </c>
      <c r="W1617">
        <v>-8.6597289999999993E-2</v>
      </c>
      <c r="X1617">
        <v>0.99606980000000001</v>
      </c>
      <c r="Y1617">
        <v>5.9290870000000002E-2</v>
      </c>
      <c r="Z1617">
        <v>9.377102E-3</v>
      </c>
      <c r="AA1617">
        <v>0.99819669999999905</v>
      </c>
      <c r="AB1617">
        <v>27</v>
      </c>
      <c r="AC1617">
        <v>-4.4447999999999803</v>
      </c>
      <c r="AD1617">
        <v>-1.1199429782429999</v>
      </c>
      <c r="AE1617">
        <v>-49.412199999999899</v>
      </c>
      <c r="AF1617">
        <v>2.9557112059383699</v>
      </c>
      <c r="AG1617">
        <v>-1.1199429782429999</v>
      </c>
      <c r="AH1617">
        <v>49.498271674888201</v>
      </c>
      <c r="AI1617">
        <v>91.293843580464298</v>
      </c>
      <c r="AJ1617">
        <v>86.582730704011894</v>
      </c>
      <c r="AK1617">
        <v>49.599086683208803</v>
      </c>
      <c r="AL1617">
        <v>94.967881791024297</v>
      </c>
      <c r="AM1617">
        <v>88.9305007948103</v>
      </c>
      <c r="AN1617">
        <v>0.99999995705379396</v>
      </c>
    </row>
    <row r="1618" spans="1:40" x14ac:dyDescent="0.25">
      <c r="A1618" t="str">
        <f>"20190303154758342"</f>
        <v>20190303154758342</v>
      </c>
      <c r="B1618" t="str">
        <f>"1551599278332647"</f>
        <v>1551599278332647</v>
      </c>
      <c r="C1618" t="s">
        <v>40</v>
      </c>
      <c r="D1618">
        <v>5.808459</v>
      </c>
      <c r="E1618">
        <v>0.52450399999999997</v>
      </c>
      <c r="F1618" t="s">
        <v>41</v>
      </c>
      <c r="G1618">
        <v>-193.18369999999999</v>
      </c>
      <c r="H1618" s="1">
        <v>-3.7170370000000001E-6</v>
      </c>
      <c r="I1618">
        <v>315.66289999999998</v>
      </c>
      <c r="J1618">
        <v>-191.55940000000001</v>
      </c>
      <c r="K1618">
        <v>1.1199669999999999</v>
      </c>
      <c r="L1618">
        <v>332.39210000000003</v>
      </c>
      <c r="M1618">
        <v>-3.0925930000000001E-2</v>
      </c>
      <c r="N1618">
        <v>-1.32189E-2</v>
      </c>
      <c r="O1618">
        <v>-0.9994343</v>
      </c>
      <c r="P1618">
        <v>-4.9096029999999999E-2</v>
      </c>
      <c r="Q1618">
        <v>-9.9487539999999999E-2</v>
      </c>
      <c r="R1618">
        <v>-0.99382700000000002</v>
      </c>
      <c r="S1618">
        <v>-0.28695680000000001</v>
      </c>
      <c r="T1618">
        <v>-0.19680819999999999</v>
      </c>
      <c r="U1618">
        <v>-2.9848330000000001</v>
      </c>
      <c r="V1618">
        <v>1.819341E-2</v>
      </c>
      <c r="W1618">
        <v>-8.6357680000000006E-2</v>
      </c>
      <c r="X1618">
        <v>0.99609800000000004</v>
      </c>
      <c r="Y1618">
        <v>6.4699720000000002E-2</v>
      </c>
      <c r="Z1618">
        <v>5.2350260000000003E-2</v>
      </c>
      <c r="AA1618">
        <v>0.99653069999999999</v>
      </c>
      <c r="AB1618">
        <v>27</v>
      </c>
      <c r="AC1618">
        <v>-1.6242999999999701</v>
      </c>
      <c r="AD1618">
        <v>-1.1199707170369999</v>
      </c>
      <c r="AE1618">
        <v>-16.729199999999999</v>
      </c>
      <c r="AF1618">
        <v>1.1012221870261301</v>
      </c>
      <c r="AG1618">
        <v>-1.1199707170369999</v>
      </c>
      <c r="AH1618">
        <v>16.697297193624301</v>
      </c>
      <c r="AI1618">
        <v>93.829071017091806</v>
      </c>
      <c r="AJ1618">
        <v>86.226686314849601</v>
      </c>
      <c r="AK1618">
        <v>16.771009459315</v>
      </c>
      <c r="AL1618">
        <v>94.954101623050306</v>
      </c>
      <c r="AM1618">
        <v>88.953627337703907</v>
      </c>
      <c r="AN1618">
        <v>0.99999993733320303</v>
      </c>
    </row>
    <row r="1619" spans="1:40" x14ac:dyDescent="0.25">
      <c r="A1619" t="str">
        <f>"20190303154758365"</f>
        <v>20190303154758365</v>
      </c>
      <c r="B1619" t="str">
        <f>"1551599278361927"</f>
        <v>1551599278361927</v>
      </c>
      <c r="C1619" t="s">
        <v>40</v>
      </c>
      <c r="D1619">
        <v>5.7958460000000001</v>
      </c>
      <c r="E1619">
        <v>0.5262329</v>
      </c>
      <c r="F1619" t="s">
        <v>41</v>
      </c>
      <c r="G1619">
        <v>-193.55070000000001</v>
      </c>
      <c r="H1619" s="1">
        <v>-3.484982E-6</v>
      </c>
      <c r="I1619">
        <v>314.96550000000002</v>
      </c>
      <c r="J1619">
        <v>-191.56960000000001</v>
      </c>
      <c r="K1619">
        <v>1.1199870000000001</v>
      </c>
      <c r="L1619">
        <v>332.10079999999999</v>
      </c>
      <c r="M1619">
        <v>-3.1907690000000002E-2</v>
      </c>
      <c r="N1619">
        <v>-1.3332989999999999E-2</v>
      </c>
      <c r="O1619">
        <v>-0.99940189999999995</v>
      </c>
      <c r="P1619">
        <v>-5.0087130000000001E-2</v>
      </c>
      <c r="Q1619">
        <v>-9.9746580000000001E-2</v>
      </c>
      <c r="R1619">
        <v>-0.99375159999999996</v>
      </c>
      <c r="S1619">
        <v>-0.34080510000000003</v>
      </c>
      <c r="T1619">
        <v>-0.1916851</v>
      </c>
      <c r="U1619">
        <v>-2.982605</v>
      </c>
      <c r="V1619">
        <v>1.8209260000000001E-2</v>
      </c>
      <c r="W1619">
        <v>-8.6503330000000003E-2</v>
      </c>
      <c r="X1619">
        <v>0.99608509999999995</v>
      </c>
      <c r="Y1619">
        <v>8.1576850000000006E-2</v>
      </c>
      <c r="Z1619">
        <v>5.0485809999999999E-2</v>
      </c>
      <c r="AA1619">
        <v>0.99538760000000004</v>
      </c>
      <c r="AB1619">
        <v>27</v>
      </c>
      <c r="AC1619">
        <v>-1.9810999999999901</v>
      </c>
      <c r="AD1619">
        <v>-1.1199904849819999</v>
      </c>
      <c r="AE1619">
        <v>-17.135299999999901</v>
      </c>
      <c r="AF1619">
        <v>1.4272775507946101</v>
      </c>
      <c r="AG1619">
        <v>-1.1199904849819999</v>
      </c>
      <c r="AH1619">
        <v>17.117627189186098</v>
      </c>
      <c r="AI1619">
        <v>93.730565120224298</v>
      </c>
      <c r="AJ1619">
        <v>85.2336703947134</v>
      </c>
      <c r="AK1619">
        <v>17.213502272385298</v>
      </c>
      <c r="AL1619">
        <v>94.962477962757006</v>
      </c>
      <c r="AM1619">
        <v>88.952702386424804</v>
      </c>
      <c r="AN1619">
        <v>0.99999996484642195</v>
      </c>
    </row>
    <row r="1620" spans="1:40" x14ac:dyDescent="0.25">
      <c r="A1620" t="str">
        <f>"20190303154758385"</f>
        <v>20190303154758385</v>
      </c>
      <c r="B1620" t="str">
        <f>"1551599278382690"</f>
        <v>1551599278382690</v>
      </c>
      <c r="C1620" t="s">
        <v>40</v>
      </c>
      <c r="D1620">
        <v>5.7866660000000003</v>
      </c>
      <c r="E1620">
        <v>0.52675989999999995</v>
      </c>
      <c r="F1620" t="s">
        <v>41</v>
      </c>
      <c r="G1620">
        <v>-193.65119999999999</v>
      </c>
      <c r="H1620" s="1">
        <v>-3.4085909999999998E-6</v>
      </c>
      <c r="I1620">
        <v>314.7473</v>
      </c>
      <c r="J1620">
        <v>-191.578</v>
      </c>
      <c r="K1620">
        <v>1.120001</v>
      </c>
      <c r="L1620">
        <v>331.86410000000001</v>
      </c>
      <c r="M1620">
        <v>-3.2705690000000003E-2</v>
      </c>
      <c r="N1620">
        <v>-1.3413700000000001E-2</v>
      </c>
      <c r="O1620">
        <v>-0.99937520000000002</v>
      </c>
      <c r="P1620">
        <v>-5.0853370000000002E-2</v>
      </c>
      <c r="Q1620">
        <v>-9.9700209999999997E-2</v>
      </c>
      <c r="R1620">
        <v>-0.99371750000000003</v>
      </c>
      <c r="S1620">
        <v>-0.3576355</v>
      </c>
      <c r="T1620">
        <v>-0.19242570000000001</v>
      </c>
      <c r="U1620">
        <v>-2.981506</v>
      </c>
      <c r="V1620">
        <v>1.818237E-2</v>
      </c>
      <c r="W1620">
        <v>-8.6376359999999999E-2</v>
      </c>
      <c r="X1620">
        <v>0.99609669999999895</v>
      </c>
      <c r="Y1620">
        <v>8.6360430000000002E-2</v>
      </c>
      <c r="Z1620">
        <v>5.063985E-2</v>
      </c>
      <c r="AA1620">
        <v>0.99497610000000003</v>
      </c>
      <c r="AB1620">
        <v>27</v>
      </c>
      <c r="AC1620">
        <v>-2.0731999999999799</v>
      </c>
      <c r="AD1620">
        <v>-1.1200044085909999</v>
      </c>
      <c r="AE1620">
        <v>-17.116800000000001</v>
      </c>
      <c r="AF1620">
        <v>1.5058695347442701</v>
      </c>
      <c r="AG1620">
        <v>-1.1200044085909999</v>
      </c>
      <c r="AH1620">
        <v>17.103284130793899</v>
      </c>
      <c r="AI1620">
        <v>93.7322534857378</v>
      </c>
      <c r="AJ1620">
        <v>84.968331752240601</v>
      </c>
      <c r="AK1620">
        <v>17.205940282053799</v>
      </c>
      <c r="AL1620">
        <v>94.955175338258996</v>
      </c>
      <c r="AM1620">
        <v>88.954260784843498</v>
      </c>
      <c r="AN1620">
        <v>1.0000000549482699</v>
      </c>
    </row>
    <row r="1621" spans="1:40" x14ac:dyDescent="0.25">
      <c r="A1621" t="str">
        <f>"20190303154758410"</f>
        <v>20190303154758410</v>
      </c>
      <c r="B1621" t="str">
        <f>"1551599278402210"</f>
        <v>1551599278402210</v>
      </c>
      <c r="C1621" t="s">
        <v>40</v>
      </c>
      <c r="D1621">
        <v>5.7514329999999996</v>
      </c>
      <c r="E1621">
        <v>0.52712569999999903</v>
      </c>
      <c r="F1621" t="s">
        <v>41</v>
      </c>
      <c r="G1621">
        <v>-193.6729</v>
      </c>
      <c r="H1621" s="1">
        <v>-3.3998960000000002E-6</v>
      </c>
      <c r="I1621">
        <v>314.71660000000003</v>
      </c>
      <c r="J1621">
        <v>-191.58869999999999</v>
      </c>
      <c r="K1621">
        <v>1.1200079999999999</v>
      </c>
      <c r="L1621">
        <v>331.57279999999997</v>
      </c>
      <c r="M1621">
        <v>-3.368757E-2</v>
      </c>
      <c r="N1621">
        <v>-1.3498899999999999E-2</v>
      </c>
      <c r="O1621">
        <v>-0.99934149999999999</v>
      </c>
      <c r="P1621">
        <v>-5.2121590000000002E-2</v>
      </c>
      <c r="Q1621">
        <v>-9.9592059999999996E-2</v>
      </c>
      <c r="R1621">
        <v>-0.99366270000000001</v>
      </c>
      <c r="S1621">
        <v>-0.3641663</v>
      </c>
      <c r="T1621">
        <v>-0.1946957</v>
      </c>
      <c r="U1621">
        <v>-2.9808349999999999</v>
      </c>
      <c r="V1621">
        <v>1.8474939999999999E-2</v>
      </c>
      <c r="W1621">
        <v>-8.6183650000000001E-2</v>
      </c>
      <c r="X1621">
        <v>0.99610790000000005</v>
      </c>
      <c r="Y1621">
        <v>8.7550879999999998E-2</v>
      </c>
      <c r="Z1621">
        <v>5.1308100000000002E-2</v>
      </c>
      <c r="AA1621">
        <v>0.99483779999999999</v>
      </c>
      <c r="AB1621">
        <v>27</v>
      </c>
      <c r="AC1621">
        <v>-2.0842000000000098</v>
      </c>
      <c r="AD1621">
        <v>-1.120011399896</v>
      </c>
      <c r="AE1621">
        <v>-16.856199999999902</v>
      </c>
      <c r="AF1621">
        <v>1.5085608757009701</v>
      </c>
      <c r="AG1621">
        <v>-1.120011399896</v>
      </c>
      <c r="AH1621">
        <v>16.843605053790501</v>
      </c>
      <c r="AI1621">
        <v>93.789146007936907</v>
      </c>
      <c r="AJ1621">
        <v>84.882083351250103</v>
      </c>
      <c r="AK1621">
        <v>16.9480740103314</v>
      </c>
      <c r="AL1621">
        <v>94.944093077202496</v>
      </c>
      <c r="AM1621">
        <v>88.937449711588002</v>
      </c>
      <c r="AN1621">
        <v>0.99999994668886605</v>
      </c>
    </row>
    <row r="1622" spans="1:40" x14ac:dyDescent="0.25">
      <c r="A1622" t="str">
        <f>"20190303154758433"</f>
        <v>20190303154758433</v>
      </c>
      <c r="B1622" t="str">
        <f>"1551599278422706"</f>
        <v>1551599278422706</v>
      </c>
      <c r="C1622" t="s">
        <v>40</v>
      </c>
      <c r="D1622">
        <v>5.7595409999999996</v>
      </c>
      <c r="E1622">
        <v>0.52727740000000001</v>
      </c>
      <c r="F1622" t="s">
        <v>41</v>
      </c>
      <c r="G1622">
        <v>-193.72229999999999</v>
      </c>
      <c r="H1622" s="1">
        <v>-3.2781640000000001E-6</v>
      </c>
      <c r="I1622">
        <v>314.43130000000002</v>
      </c>
      <c r="J1622">
        <v>-191.59889999999999</v>
      </c>
      <c r="K1622">
        <v>1.1200270000000001</v>
      </c>
      <c r="L1622">
        <v>331.3021</v>
      </c>
      <c r="M1622">
        <v>-3.4600409999999998E-2</v>
      </c>
      <c r="N1622">
        <v>-1.356663E-2</v>
      </c>
      <c r="O1622">
        <v>-0.99930940000000001</v>
      </c>
      <c r="P1622">
        <v>-5.3057960000000001E-2</v>
      </c>
      <c r="Q1622">
        <v>-9.9049689999999996E-2</v>
      </c>
      <c r="R1622">
        <v>-0.99366719999999997</v>
      </c>
      <c r="S1622">
        <v>-0.37094120000000003</v>
      </c>
      <c r="T1622">
        <v>-0.19472100000000001</v>
      </c>
      <c r="U1622">
        <v>-2.9801639999999998</v>
      </c>
      <c r="V1622">
        <v>1.850313E-2</v>
      </c>
      <c r="W1622">
        <v>-8.5573140000000006E-2</v>
      </c>
      <c r="X1622">
        <v>0.99616009999999999</v>
      </c>
      <c r="Y1622">
        <v>8.8894920000000002E-2</v>
      </c>
      <c r="Z1622">
        <v>5.1248849999999999E-2</v>
      </c>
      <c r="AA1622">
        <v>0.99472169999999904</v>
      </c>
      <c r="AB1622">
        <v>27</v>
      </c>
      <c r="AC1622">
        <v>-2.1234000000000002</v>
      </c>
      <c r="AD1622">
        <v>-1.1200302781639999</v>
      </c>
      <c r="AE1622">
        <v>-16.8707999999999</v>
      </c>
      <c r="AF1622">
        <v>1.53169256335841</v>
      </c>
      <c r="AG1622">
        <v>-1.1200302781639999</v>
      </c>
      <c r="AH1622">
        <v>16.8610182632179</v>
      </c>
      <c r="AI1622">
        <v>93.784875731544702</v>
      </c>
      <c r="AJ1622">
        <v>84.809370346111294</v>
      </c>
      <c r="AK1622">
        <v>16.967453751379999</v>
      </c>
      <c r="AL1622">
        <v>94.908983279518907</v>
      </c>
      <c r="AM1622">
        <v>88.935884542088601</v>
      </c>
      <c r="AN1622">
        <v>1.0000000364706301</v>
      </c>
    </row>
    <row r="1623" spans="1:40" x14ac:dyDescent="0.25">
      <c r="A1623" t="str">
        <f>"20190303154758455"</f>
        <v>20190303154758455</v>
      </c>
      <c r="B1623" t="str">
        <f>"1551599278451986"</f>
        <v>1551599278451986</v>
      </c>
      <c r="C1623" t="s">
        <v>40</v>
      </c>
      <c r="D1623">
        <v>5.7023619999999999</v>
      </c>
      <c r="E1623">
        <v>0.52790159999999997</v>
      </c>
      <c r="F1623" t="s">
        <v>41</v>
      </c>
      <c r="G1623">
        <v>-193.76159999999999</v>
      </c>
      <c r="H1623" s="1">
        <v>-3.1376580000000002E-6</v>
      </c>
      <c r="I1623">
        <v>314.11200000000002</v>
      </c>
      <c r="J1623">
        <v>-191.6095</v>
      </c>
      <c r="K1623">
        <v>1.1200460000000001</v>
      </c>
      <c r="L1623">
        <v>331.0283</v>
      </c>
      <c r="M1623">
        <v>-3.5523659999999999E-2</v>
      </c>
      <c r="N1623">
        <v>-1.362524E-2</v>
      </c>
      <c r="O1623">
        <v>-0.99927600000000005</v>
      </c>
      <c r="P1623">
        <v>-5.3978060000000001E-2</v>
      </c>
      <c r="Q1623">
        <v>-9.9376800000000001E-2</v>
      </c>
      <c r="R1623">
        <v>-0.99358460000000004</v>
      </c>
      <c r="S1623">
        <v>-0.37487789999999999</v>
      </c>
      <c r="T1623">
        <v>-0.19414400000000001</v>
      </c>
      <c r="U1623">
        <v>-2.9797060000000002</v>
      </c>
      <c r="V1623">
        <v>1.8506249999999998E-2</v>
      </c>
      <c r="W1623">
        <v>-8.5842180000000004E-2</v>
      </c>
      <c r="X1623">
        <v>0.99613680000000004</v>
      </c>
      <c r="Y1623">
        <v>8.9288569999999998E-2</v>
      </c>
      <c r="Z1623">
        <v>5.100056E-2</v>
      </c>
      <c r="AA1623">
        <v>0.99469920000000001</v>
      </c>
      <c r="AB1623">
        <v>27</v>
      </c>
      <c r="AC1623">
        <v>-2.1520999999999799</v>
      </c>
      <c r="AD1623">
        <v>-1.120049137658</v>
      </c>
      <c r="AE1623">
        <v>-16.9162999999999</v>
      </c>
      <c r="AF1623">
        <v>1.5430996795137599</v>
      </c>
      <c r="AG1623">
        <v>-1.120049137658</v>
      </c>
      <c r="AH1623">
        <v>16.909130867830999</v>
      </c>
      <c r="AI1623">
        <v>93.774059511822699</v>
      </c>
      <c r="AJ1623">
        <v>84.785723674695902</v>
      </c>
      <c r="AK1623">
        <v>17.016297288103502</v>
      </c>
      <c r="AL1623">
        <v>94.924455529350197</v>
      </c>
      <c r="AM1623">
        <v>88.935680263565899</v>
      </c>
      <c r="AN1623">
        <v>0.99999994273522497</v>
      </c>
    </row>
    <row r="1624" spans="1:40" x14ac:dyDescent="0.25">
      <c r="A1624" t="str">
        <f>"20190303154758476"</f>
        <v>20190303154758476</v>
      </c>
      <c r="B1624" t="str">
        <f>"1551599278472483"</f>
        <v>1551599278472483</v>
      </c>
      <c r="C1624" t="s">
        <v>40</v>
      </c>
      <c r="D1624">
        <v>5.7425240000000004</v>
      </c>
      <c r="E1624">
        <v>0.52814810000000001</v>
      </c>
      <c r="F1624" t="s">
        <v>41</v>
      </c>
      <c r="G1624">
        <v>-193.8175</v>
      </c>
      <c r="H1624" s="1">
        <v>-3.0250849999999999E-6</v>
      </c>
      <c r="I1624">
        <v>313.84230000000002</v>
      </c>
      <c r="J1624">
        <v>-191.61930000000001</v>
      </c>
      <c r="K1624">
        <v>1.1200600000000001</v>
      </c>
      <c r="L1624">
        <v>330.77760000000001</v>
      </c>
      <c r="M1624">
        <v>-3.6369409999999998E-2</v>
      </c>
      <c r="N1624">
        <v>-1.367122E-2</v>
      </c>
      <c r="O1624">
        <v>-0.99924500000000005</v>
      </c>
      <c r="P1624">
        <v>-5.4588249999999998E-2</v>
      </c>
      <c r="Q1624">
        <v>-9.9113900000000005E-2</v>
      </c>
      <c r="R1624">
        <v>-0.99357779999999996</v>
      </c>
      <c r="S1624">
        <v>-0.38276670000000002</v>
      </c>
      <c r="T1624">
        <v>-0.19415830000000001</v>
      </c>
      <c r="U1624">
        <v>-2.9791560000000001</v>
      </c>
      <c r="V1624">
        <v>1.8275030000000001E-2</v>
      </c>
      <c r="W1624">
        <v>-8.5532639999999993E-2</v>
      </c>
      <c r="X1624">
        <v>0.99616780000000005</v>
      </c>
      <c r="Y1624">
        <v>9.1059360000000006E-2</v>
      </c>
      <c r="Z1624">
        <v>5.0953789999999999E-2</v>
      </c>
      <c r="AA1624">
        <v>0.99454100000000001</v>
      </c>
      <c r="AB1624">
        <v>27</v>
      </c>
      <c r="AC1624">
        <v>-2.1981999999999799</v>
      </c>
      <c r="AD1624">
        <v>-1.1200630250849899</v>
      </c>
      <c r="AE1624">
        <v>-16.935299999999899</v>
      </c>
      <c r="AF1624">
        <v>1.5739901777362699</v>
      </c>
      <c r="AG1624">
        <v>-1.1200630250849899</v>
      </c>
      <c r="AH1624">
        <v>16.9312149480307</v>
      </c>
      <c r="AI1624">
        <v>93.768612265559796</v>
      </c>
      <c r="AJ1624">
        <v>84.688831363250401</v>
      </c>
      <c r="AK1624">
        <v>17.041068800876101</v>
      </c>
      <c r="AL1624">
        <v>94.906654207282799</v>
      </c>
      <c r="AM1624">
        <v>88.9490077398642</v>
      </c>
      <c r="AN1624">
        <v>1.00000004749185</v>
      </c>
    </row>
    <row r="1625" spans="1:40" x14ac:dyDescent="0.25">
      <c r="A1625" t="str">
        <f>"20190303154758497"</f>
        <v>20190303154758497</v>
      </c>
      <c r="B1625" t="str">
        <f>"1551599278492509"</f>
        <v>1551599278492509</v>
      </c>
      <c r="C1625" t="s">
        <v>40</v>
      </c>
      <c r="D1625">
        <v>5.7252549999999998</v>
      </c>
      <c r="E1625">
        <v>0.52825549999999999</v>
      </c>
      <c r="F1625" t="s">
        <v>41</v>
      </c>
      <c r="G1625">
        <v>-193.84729999999999</v>
      </c>
      <c r="H1625" s="1">
        <v>-2.9206430000000002E-6</v>
      </c>
      <c r="I1625">
        <v>313.6046</v>
      </c>
      <c r="J1625">
        <v>-191.6292</v>
      </c>
      <c r="K1625">
        <v>1.1200779999999999</v>
      </c>
      <c r="L1625">
        <v>330.53140000000002</v>
      </c>
      <c r="M1625">
        <v>-3.7200749999999998E-2</v>
      </c>
      <c r="N1625">
        <v>-1.371006E-2</v>
      </c>
      <c r="O1625">
        <v>-0.99921400000000005</v>
      </c>
      <c r="P1625">
        <v>-5.4419769999999999E-2</v>
      </c>
      <c r="Q1625">
        <v>-9.877669E-2</v>
      </c>
      <c r="R1625">
        <v>-0.99362090000000003</v>
      </c>
      <c r="S1625">
        <v>-0.38645940000000001</v>
      </c>
      <c r="T1625">
        <v>-0.19428599999999999</v>
      </c>
      <c r="U1625">
        <v>-2.9788209999999999</v>
      </c>
      <c r="V1625">
        <v>1.727824E-2</v>
      </c>
      <c r="W1625">
        <v>-8.5154350000000004E-2</v>
      </c>
      <c r="X1625">
        <v>0.99621800000000005</v>
      </c>
      <c r="Y1625">
        <v>9.1457250000000004E-2</v>
      </c>
      <c r="Z1625">
        <v>5.0956389999999997E-2</v>
      </c>
      <c r="AA1625">
        <v>0.99450439999999996</v>
      </c>
      <c r="AB1625">
        <v>27</v>
      </c>
      <c r="AC1625">
        <v>-2.21809999999999</v>
      </c>
      <c r="AD1625">
        <v>-1.120080920643</v>
      </c>
      <c r="AE1625">
        <v>-16.9268</v>
      </c>
      <c r="AF1625">
        <v>1.5800140053643701</v>
      </c>
      <c r="AG1625">
        <v>-1.120080920643</v>
      </c>
      <c r="AH1625">
        <v>16.9247460479965</v>
      </c>
      <c r="AI1625">
        <v>93.769972688271196</v>
      </c>
      <c r="AJ1625">
        <v>84.666595874068705</v>
      </c>
      <c r="AK1625">
        <v>17.035200448339602</v>
      </c>
      <c r="AL1625">
        <v>94.884900397873196</v>
      </c>
      <c r="AM1625">
        <v>89.0063711120698</v>
      </c>
      <c r="AN1625">
        <v>1.0000000522126999</v>
      </c>
    </row>
    <row r="1626" spans="1:40" x14ac:dyDescent="0.25">
      <c r="A1626" t="str">
        <f>"20190303154758521"</f>
        <v>20190303154758521</v>
      </c>
      <c r="B1626" t="str">
        <f>"1551599278512029"</f>
        <v>1551599278512029</v>
      </c>
      <c r="C1626" t="s">
        <v>40</v>
      </c>
      <c r="D1626">
        <v>5.6872730000000002</v>
      </c>
      <c r="E1626">
        <v>0.52844919999999995</v>
      </c>
      <c r="F1626" t="s">
        <v>41</v>
      </c>
      <c r="G1626">
        <v>-193.84180000000001</v>
      </c>
      <c r="H1626" s="1">
        <v>-2.8642219999999998E-6</v>
      </c>
      <c r="I1626">
        <v>313.48840000000001</v>
      </c>
      <c r="J1626">
        <v>-191.64070000000001</v>
      </c>
      <c r="K1626">
        <v>1.1200920000000001</v>
      </c>
      <c r="L1626">
        <v>330.25150000000002</v>
      </c>
      <c r="M1626">
        <v>-3.8144919999999999E-2</v>
      </c>
      <c r="N1626">
        <v>-1.374834E-2</v>
      </c>
      <c r="O1626">
        <v>-0.9991778</v>
      </c>
      <c r="P1626">
        <v>-5.4054850000000002E-2</v>
      </c>
      <c r="Q1626">
        <v>-9.8228949999999995E-2</v>
      </c>
      <c r="R1626">
        <v>-0.99369470000000004</v>
      </c>
      <c r="S1626">
        <v>-0.38668819999999998</v>
      </c>
      <c r="T1626">
        <v>-0.19575680000000001</v>
      </c>
      <c r="U1626">
        <v>-2.9786069999999998</v>
      </c>
      <c r="V1626">
        <v>1.5971900000000001E-2</v>
      </c>
      <c r="W1626">
        <v>-8.4565340000000003E-2</v>
      </c>
      <c r="X1626">
        <v>0.99628989999999995</v>
      </c>
      <c r="Y1626">
        <v>9.0597469999999999E-2</v>
      </c>
      <c r="Z1626">
        <v>5.1409950000000003E-2</v>
      </c>
      <c r="AA1626">
        <v>0.99455979999999999</v>
      </c>
      <c r="AB1626">
        <v>27</v>
      </c>
      <c r="AC1626">
        <v>-2.2010999999999901</v>
      </c>
      <c r="AD1626">
        <v>-1.1200948642219899</v>
      </c>
      <c r="AE1626">
        <v>-16.763100000000001</v>
      </c>
      <c r="AF1626">
        <v>1.5531931892850199</v>
      </c>
      <c r="AG1626">
        <v>-1.1200948642219899</v>
      </c>
      <c r="AH1626">
        <v>16.761299248345399</v>
      </c>
      <c r="AI1626">
        <v>93.806916468959997</v>
      </c>
      <c r="AJ1626">
        <v>84.705780387191695</v>
      </c>
      <c r="AK1626">
        <v>16.870334142532101</v>
      </c>
      <c r="AL1626">
        <v>94.851030783113004</v>
      </c>
      <c r="AM1626">
        <v>89.081548376781598</v>
      </c>
      <c r="AN1626">
        <v>0.99999998158046699</v>
      </c>
    </row>
    <row r="1627" spans="1:40" x14ac:dyDescent="0.25">
      <c r="A1627" t="str">
        <f>"20190303154758543"</f>
        <v>20190303154758543</v>
      </c>
      <c r="B1627" t="str">
        <f>"1551599278532526"</f>
        <v>1551599278532526</v>
      </c>
      <c r="C1627" t="s">
        <v>40</v>
      </c>
      <c r="D1627">
        <v>5.6921559999999998</v>
      </c>
      <c r="E1627">
        <v>0.5284894</v>
      </c>
      <c r="F1627" t="s">
        <v>41</v>
      </c>
      <c r="G1627">
        <v>-193.8655</v>
      </c>
      <c r="H1627" s="1">
        <v>-2.7067899999999998E-6</v>
      </c>
      <c r="I1627">
        <v>313.142</v>
      </c>
      <c r="J1627">
        <v>-191.6516</v>
      </c>
      <c r="K1627">
        <v>1.120107</v>
      </c>
      <c r="L1627">
        <v>329.99259999999998</v>
      </c>
      <c r="M1627">
        <v>-3.9015130000000002E-2</v>
      </c>
      <c r="N1627">
        <v>-1.377831E-2</v>
      </c>
      <c r="O1627">
        <v>-0.99914389999999997</v>
      </c>
      <c r="P1627">
        <v>-5.3415940000000002E-2</v>
      </c>
      <c r="Q1627">
        <v>-9.7579289999999999E-2</v>
      </c>
      <c r="R1627">
        <v>-0.99379360000000005</v>
      </c>
      <c r="S1627">
        <v>-0.38732909999999998</v>
      </c>
      <c r="T1627">
        <v>-0.19500429999999999</v>
      </c>
      <c r="U1627">
        <v>-2.9786990000000002</v>
      </c>
      <c r="V1627">
        <v>1.446474E-2</v>
      </c>
      <c r="W1627">
        <v>-8.3882129999999999E-2</v>
      </c>
      <c r="X1627">
        <v>0.99637070000000005</v>
      </c>
      <c r="Y1627">
        <v>8.9938870000000004E-2</v>
      </c>
      <c r="Z1627">
        <v>5.112734E-2</v>
      </c>
      <c r="AA1627">
        <v>0.99463409999999997</v>
      </c>
      <c r="AB1627">
        <v>26</v>
      </c>
      <c r="AC1627">
        <v>-2.21389999999999</v>
      </c>
      <c r="AD1627">
        <v>-1.1201097067900001</v>
      </c>
      <c r="AE1627">
        <v>-16.850599999999901</v>
      </c>
      <c r="AF1627">
        <v>1.5479994700351201</v>
      </c>
      <c r="AG1627">
        <v>-1.1201097067900001</v>
      </c>
      <c r="AH1627">
        <v>16.850956496777901</v>
      </c>
      <c r="AI1627">
        <v>93.787047283589601</v>
      </c>
      <c r="AJ1627">
        <v>84.751301182961996</v>
      </c>
      <c r="AK1627">
        <v>16.958941092260901</v>
      </c>
      <c r="AL1627">
        <v>94.811746030231603</v>
      </c>
      <c r="AM1627">
        <v>89.168271067641101</v>
      </c>
      <c r="AN1627">
        <v>1.00000000612754</v>
      </c>
    </row>
    <row r="1628" spans="1:40" x14ac:dyDescent="0.25">
      <c r="A1628" t="str">
        <f>"20190303154758566"</f>
        <v>20190303154758566</v>
      </c>
      <c r="B1628" t="str">
        <f>"1551599278561805"</f>
        <v>1551599278561805</v>
      </c>
      <c r="C1628" t="s">
        <v>40</v>
      </c>
      <c r="D1628">
        <v>5.6327980000000002</v>
      </c>
      <c r="E1628">
        <v>0.5286978</v>
      </c>
      <c r="F1628" t="s">
        <v>41</v>
      </c>
      <c r="G1628">
        <v>-193.86410000000001</v>
      </c>
      <c r="H1628" s="1">
        <v>-2.5987100000000001E-6</v>
      </c>
      <c r="I1628">
        <v>312.91419999999999</v>
      </c>
      <c r="J1628">
        <v>-191.66380000000001</v>
      </c>
      <c r="K1628">
        <v>1.12012</v>
      </c>
      <c r="L1628">
        <v>329.709</v>
      </c>
      <c r="M1628">
        <v>-3.9962570000000003E-2</v>
      </c>
      <c r="N1628">
        <v>-1.38058E-2</v>
      </c>
      <c r="O1628">
        <v>-0.99910589999999999</v>
      </c>
      <c r="P1628">
        <v>-5.2579149999999998E-2</v>
      </c>
      <c r="Q1628">
        <v>-9.6899349999999995E-2</v>
      </c>
      <c r="R1628">
        <v>-0.99390449999999997</v>
      </c>
      <c r="S1628">
        <v>-0.38589479999999998</v>
      </c>
      <c r="T1628">
        <v>-0.19536729999999999</v>
      </c>
      <c r="U1628">
        <v>-2.97879</v>
      </c>
      <c r="V1628">
        <v>1.2682769999999999E-2</v>
      </c>
      <c r="W1628">
        <v>-8.3170620000000001E-2</v>
      </c>
      <c r="X1628">
        <v>0.99645459999999997</v>
      </c>
      <c r="Y1628">
        <v>8.8519410000000007E-2</v>
      </c>
      <c r="Z1628">
        <v>5.122148E-2</v>
      </c>
      <c r="AA1628">
        <v>0.99475659999999999</v>
      </c>
      <c r="AB1628">
        <v>26</v>
      </c>
      <c r="AC1628">
        <v>-2.2002999999999902</v>
      </c>
      <c r="AD1628">
        <v>-1.1201225987100001</v>
      </c>
      <c r="AE1628">
        <v>-16.794799999999999</v>
      </c>
      <c r="AF1628">
        <v>1.52066470738211</v>
      </c>
      <c r="AG1628">
        <v>-1.1201225987100001</v>
      </c>
      <c r="AH1628">
        <v>16.795869186947002</v>
      </c>
      <c r="AI1628">
        <v>93.7999298120844</v>
      </c>
      <c r="AJ1628">
        <v>84.826658436596702</v>
      </c>
      <c r="AK1628">
        <v>16.901725282747101</v>
      </c>
      <c r="AL1628">
        <v>94.770836644243801</v>
      </c>
      <c r="AM1628">
        <v>89.270784682637498</v>
      </c>
      <c r="AN1628">
        <v>0.99999998727360795</v>
      </c>
    </row>
    <row r="1629" spans="1:40" x14ac:dyDescent="0.25">
      <c r="A1629" t="str">
        <f>"20190303154758587"</f>
        <v>20190303154758587</v>
      </c>
      <c r="B1629" t="str">
        <f>"1551599278581833"</f>
        <v>1551599278581833</v>
      </c>
      <c r="C1629" t="s">
        <v>40</v>
      </c>
      <c r="D1629">
        <v>5.5952210000000004</v>
      </c>
      <c r="E1629">
        <v>0.52892539999999999</v>
      </c>
      <c r="F1629" t="s">
        <v>41</v>
      </c>
      <c r="G1629">
        <v>-193.8896</v>
      </c>
      <c r="H1629" s="1">
        <v>-2.4033750000000001E-6</v>
      </c>
      <c r="I1629">
        <v>312.48660000000001</v>
      </c>
      <c r="J1629">
        <v>-191.6748</v>
      </c>
      <c r="K1629">
        <v>1.120142</v>
      </c>
      <c r="L1629">
        <v>329.45800000000003</v>
      </c>
      <c r="M1629">
        <v>-4.0789249999999999E-2</v>
      </c>
      <c r="N1629">
        <v>-1.3826659999999999E-2</v>
      </c>
      <c r="O1629">
        <v>-0.99907230000000002</v>
      </c>
      <c r="P1629">
        <v>-5.2414349999999998E-2</v>
      </c>
      <c r="Q1629">
        <v>-9.5904660000000003E-2</v>
      </c>
      <c r="R1629">
        <v>-0.9940097</v>
      </c>
      <c r="S1629">
        <v>-0.38500980000000001</v>
      </c>
      <c r="T1629">
        <v>-0.19375600000000001</v>
      </c>
      <c r="U1629">
        <v>-2.979095</v>
      </c>
      <c r="V1629">
        <v>1.169366E-2</v>
      </c>
      <c r="W1629">
        <v>-8.2151929999999998E-2</v>
      </c>
      <c r="X1629">
        <v>0.99655119999999997</v>
      </c>
      <c r="Y1629">
        <v>8.7396059999999998E-2</v>
      </c>
      <c r="Z1629">
        <v>5.0661980000000002E-2</v>
      </c>
      <c r="AA1629">
        <v>0.99488460000000001</v>
      </c>
      <c r="AB1629">
        <v>26</v>
      </c>
      <c r="AC1629">
        <v>-2.2147999999999901</v>
      </c>
      <c r="AD1629">
        <v>-1.1201444033750001</v>
      </c>
      <c r="AE1629">
        <v>-16.971399999999999</v>
      </c>
      <c r="AF1629">
        <v>1.5141541325711501</v>
      </c>
      <c r="AG1629">
        <v>-1.1201444033750001</v>
      </c>
      <c r="AH1629">
        <v>16.974913218627901</v>
      </c>
      <c r="AI1629">
        <v>93.760485768280702</v>
      </c>
      <c r="AJ1629">
        <v>84.902734223477296</v>
      </c>
      <c r="AK1629">
        <v>17.079082674474801</v>
      </c>
      <c r="AL1629">
        <v>94.712269566943107</v>
      </c>
      <c r="AM1629">
        <v>89.327714805816697</v>
      </c>
      <c r="AN1629">
        <v>0.99999998775417998</v>
      </c>
    </row>
    <row r="1630" spans="1:40" x14ac:dyDescent="0.25">
      <c r="A1630" t="str">
        <f>"20190303154758611"</f>
        <v>20190303154758611</v>
      </c>
      <c r="B1630" t="str">
        <f>"1551599278602328"</f>
        <v>1551599278602328</v>
      </c>
      <c r="C1630" t="s">
        <v>40</v>
      </c>
      <c r="D1630">
        <v>5.5887330000000004</v>
      </c>
      <c r="E1630">
        <v>0.52923730000000002</v>
      </c>
      <c r="F1630" t="s">
        <v>41</v>
      </c>
      <c r="G1630">
        <v>-193.9451</v>
      </c>
      <c r="H1630" s="1">
        <v>-2.1670749999999999E-6</v>
      </c>
      <c r="I1630">
        <v>311.9554</v>
      </c>
      <c r="J1630">
        <v>-191.68680000000001</v>
      </c>
      <c r="K1630">
        <v>1.1201749999999999</v>
      </c>
      <c r="L1630">
        <v>329.18799999999999</v>
      </c>
      <c r="M1630">
        <v>-4.1654549999999999E-2</v>
      </c>
      <c r="N1630">
        <v>-1.3845680000000001E-2</v>
      </c>
      <c r="O1630">
        <v>-0.99903649999999999</v>
      </c>
      <c r="P1630">
        <v>-5.3374650000000003E-2</v>
      </c>
      <c r="Q1630">
        <v>-9.5289639999999995E-2</v>
      </c>
      <c r="R1630">
        <v>-0.99401810000000002</v>
      </c>
      <c r="S1630">
        <v>-0.38645940000000001</v>
      </c>
      <c r="T1630">
        <v>-0.19067039999999999</v>
      </c>
      <c r="U1630">
        <v>-2.979279</v>
      </c>
      <c r="V1630">
        <v>1.179506E-2</v>
      </c>
      <c r="W1630">
        <v>-8.1516850000000002E-2</v>
      </c>
      <c r="X1630">
        <v>0.99660219999999999</v>
      </c>
      <c r="Y1630">
        <v>8.7009089999999997E-2</v>
      </c>
      <c r="Z1630">
        <v>4.9613110000000002E-2</v>
      </c>
      <c r="AA1630">
        <v>0.9949713</v>
      </c>
      <c r="AB1630">
        <v>26</v>
      </c>
      <c r="AC1630">
        <v>-2.25829999999999</v>
      </c>
      <c r="AD1630">
        <v>-1.12017716707499</v>
      </c>
      <c r="AE1630">
        <v>-17.232600000000001</v>
      </c>
      <c r="AF1630">
        <v>1.5320903825827299</v>
      </c>
      <c r="AG1630">
        <v>-1.12017716707499</v>
      </c>
      <c r="AH1630">
        <v>17.240100881943398</v>
      </c>
      <c r="AI1630">
        <v>93.703020253326599</v>
      </c>
      <c r="AJ1630">
        <v>84.921589175821893</v>
      </c>
      <c r="AK1630">
        <v>17.3442548483821</v>
      </c>
      <c r="AL1630">
        <v>94.675759495567902</v>
      </c>
      <c r="AM1630">
        <v>89.321920415704696</v>
      </c>
      <c r="AN1630">
        <v>1.0000000326595799</v>
      </c>
    </row>
    <row r="1631" spans="1:40" x14ac:dyDescent="0.25">
      <c r="A1631" t="str">
        <f>"20190303154758635"</f>
        <v>20190303154758635</v>
      </c>
      <c r="B1631" t="str">
        <f>"1551599278632584"</f>
        <v>1551599278632584</v>
      </c>
      <c r="C1631" t="s">
        <v>40</v>
      </c>
      <c r="D1631">
        <v>5.5853000000000002</v>
      </c>
      <c r="E1631">
        <v>0.52941939999999998</v>
      </c>
      <c r="F1631" t="s">
        <v>41</v>
      </c>
      <c r="G1631">
        <v>-194.01830000000001</v>
      </c>
      <c r="H1631" s="1">
        <v>-1.9521930000000001E-6</v>
      </c>
      <c r="I1631">
        <v>311.4597</v>
      </c>
      <c r="J1631">
        <v>-191.69980000000001</v>
      </c>
      <c r="K1631">
        <v>1.120215</v>
      </c>
      <c r="L1631">
        <v>328.90159999999997</v>
      </c>
      <c r="M1631">
        <v>-4.25291E-2</v>
      </c>
      <c r="N1631">
        <v>-1.3862269999999999E-2</v>
      </c>
      <c r="O1631">
        <v>-0.99899919999999998</v>
      </c>
      <c r="P1631">
        <v>-5.5107669999999997E-2</v>
      </c>
      <c r="Q1631">
        <v>-9.5265249999999996E-2</v>
      </c>
      <c r="R1631">
        <v>-0.99392559999999996</v>
      </c>
      <c r="S1631">
        <v>-0.39176939999999999</v>
      </c>
      <c r="T1631">
        <v>-0.1882306</v>
      </c>
      <c r="U1631">
        <v>-2.9790040000000002</v>
      </c>
      <c r="V1631">
        <v>1.266493E-2</v>
      </c>
      <c r="W1631">
        <v>-8.1476450000000006E-2</v>
      </c>
      <c r="X1631">
        <v>0.9965948</v>
      </c>
      <c r="Y1631">
        <v>8.7897729999999993E-2</v>
      </c>
      <c r="Z1631">
        <v>4.8781850000000002E-2</v>
      </c>
      <c r="AA1631">
        <v>0.99493430000000005</v>
      </c>
      <c r="AB1631">
        <v>26</v>
      </c>
      <c r="AC1631">
        <v>-2.3184999999999998</v>
      </c>
      <c r="AD1631">
        <v>-1.1202169521930001</v>
      </c>
      <c r="AE1631">
        <v>-17.441899999999901</v>
      </c>
      <c r="AF1631">
        <v>1.5681860547295501</v>
      </c>
      <c r="AG1631">
        <v>-1.1202169521930001</v>
      </c>
      <c r="AH1631">
        <v>17.453982800344601</v>
      </c>
      <c r="AI1631">
        <v>93.657580177404796</v>
      </c>
      <c r="AJ1631">
        <v>84.865937689633</v>
      </c>
      <c r="AK1631">
        <v>17.560057207109399</v>
      </c>
      <c r="AL1631">
        <v>94.673437155544505</v>
      </c>
      <c r="AM1631">
        <v>89.271912740273194</v>
      </c>
      <c r="AN1631">
        <v>1.00000000387177</v>
      </c>
    </row>
    <row r="1632" spans="1:40" x14ac:dyDescent="0.25">
      <c r="A1632" t="str">
        <f>"20190303154758658"</f>
        <v>20190303154758658</v>
      </c>
      <c r="B1632" t="str">
        <f>"1551599278652104"</f>
        <v>1551599278652104</v>
      </c>
      <c r="C1632" t="s">
        <v>40</v>
      </c>
      <c r="D1632">
        <v>5.567132</v>
      </c>
      <c r="E1632">
        <v>0.52960640000000003</v>
      </c>
      <c r="F1632" t="s">
        <v>41</v>
      </c>
      <c r="G1632">
        <v>-194.0652</v>
      </c>
      <c r="H1632" s="1">
        <v>-1.852707E-6</v>
      </c>
      <c r="I1632">
        <v>311.22280000000001</v>
      </c>
      <c r="J1632">
        <v>-191.71199999999999</v>
      </c>
      <c r="K1632">
        <v>1.1202589999999999</v>
      </c>
      <c r="L1632">
        <v>328.63580000000002</v>
      </c>
      <c r="M1632">
        <v>-4.328568E-2</v>
      </c>
      <c r="N1632">
        <v>-1.3874910000000001E-2</v>
      </c>
      <c r="O1632">
        <v>-0.99896640000000003</v>
      </c>
      <c r="P1632">
        <v>-5.7375929999999999E-2</v>
      </c>
      <c r="Q1632">
        <v>-9.5350050000000006E-2</v>
      </c>
      <c r="R1632">
        <v>-0.99378900000000003</v>
      </c>
      <c r="S1632">
        <v>-0.39846799999999999</v>
      </c>
      <c r="T1632">
        <v>-0.18870999999999999</v>
      </c>
      <c r="U1632">
        <v>-2.9781490000000002</v>
      </c>
      <c r="V1632">
        <v>1.419078E-2</v>
      </c>
      <c r="W1632">
        <v>-8.1549899999999995E-2</v>
      </c>
      <c r="X1632">
        <v>0.99656820000000002</v>
      </c>
      <c r="Y1632">
        <v>8.9377380000000006E-2</v>
      </c>
      <c r="Z1632">
        <v>4.893086E-2</v>
      </c>
      <c r="AA1632">
        <v>0.99479519999999999</v>
      </c>
      <c r="AB1632">
        <v>26</v>
      </c>
      <c r="AC1632">
        <v>-2.3531999999999802</v>
      </c>
      <c r="AD1632">
        <v>-1.1202608527069999</v>
      </c>
      <c r="AE1632">
        <v>-17.413</v>
      </c>
      <c r="AF1632">
        <v>1.59072206067795</v>
      </c>
      <c r="AG1632">
        <v>-1.1202608527069999</v>
      </c>
      <c r="AH1632">
        <v>17.4277071007402</v>
      </c>
      <c r="AI1632">
        <v>93.662754100397393</v>
      </c>
      <c r="AJ1632">
        <v>84.784752183578803</v>
      </c>
      <c r="AK1632">
        <v>17.535973193456499</v>
      </c>
      <c r="AL1632">
        <v>94.677659736512396</v>
      </c>
      <c r="AM1632">
        <v>89.184183426863697</v>
      </c>
      <c r="AN1632">
        <v>0.99999997083912795</v>
      </c>
    </row>
    <row r="1633" spans="1:40" x14ac:dyDescent="0.25">
      <c r="A1633" t="str">
        <f>"20190303154758677"</f>
        <v>20190303154758677</v>
      </c>
      <c r="B1633" t="str">
        <f>"1551599278672600"</f>
        <v>1551599278672600</v>
      </c>
      <c r="C1633" t="s">
        <v>40</v>
      </c>
      <c r="D1633">
        <v>5.5871329999999997</v>
      </c>
      <c r="E1633">
        <v>0.52970059999999997</v>
      </c>
      <c r="F1633" t="s">
        <v>41</v>
      </c>
      <c r="G1633">
        <v>-194.1249</v>
      </c>
      <c r="H1633" s="1">
        <v>-1.755653E-6</v>
      </c>
      <c r="I1633">
        <v>310.98390000000001</v>
      </c>
      <c r="J1633">
        <v>-191.72290000000001</v>
      </c>
      <c r="K1633">
        <v>1.1203069999999999</v>
      </c>
      <c r="L1633">
        <v>328.40190000000001</v>
      </c>
      <c r="M1633">
        <v>-4.3889619999999997E-2</v>
      </c>
      <c r="N1633">
        <v>-1.38841E-2</v>
      </c>
      <c r="O1633">
        <v>-0.9989401</v>
      </c>
      <c r="P1633">
        <v>-5.9383569999999997E-2</v>
      </c>
      <c r="Q1633">
        <v>-9.5438149999999999E-2</v>
      </c>
      <c r="R1633">
        <v>-0.99366270000000001</v>
      </c>
      <c r="S1633">
        <v>-0.40695189999999998</v>
      </c>
      <c r="T1633">
        <v>-0.1889393</v>
      </c>
      <c r="U1633">
        <v>-2.977112</v>
      </c>
      <c r="V1633">
        <v>1.560918E-2</v>
      </c>
      <c r="W1633">
        <v>-8.1629430000000003E-2</v>
      </c>
      <c r="X1633">
        <v>0.99654050000000005</v>
      </c>
      <c r="Y1633">
        <v>9.1602790000000003E-2</v>
      </c>
      <c r="Z1633">
        <v>4.9000019999999998E-2</v>
      </c>
      <c r="AA1633">
        <v>0.99458930000000001</v>
      </c>
      <c r="AB1633">
        <v>26</v>
      </c>
      <c r="AC1633">
        <v>-2.4019999999999802</v>
      </c>
      <c r="AD1633">
        <v>-1.120308755653</v>
      </c>
      <c r="AE1633">
        <v>-17.417999999999999</v>
      </c>
      <c r="AF1633">
        <v>1.62853061201724</v>
      </c>
      <c r="AG1633">
        <v>-1.120308755653</v>
      </c>
      <c r="AH1633">
        <v>17.435860641538302</v>
      </c>
      <c r="AI1633">
        <v>93.660491497956002</v>
      </c>
      <c r="AJ1633">
        <v>84.6639852555858</v>
      </c>
      <c r="AK1633">
        <v>17.547547976096599</v>
      </c>
      <c r="AL1633">
        <v>94.682231626580503</v>
      </c>
      <c r="AM1633">
        <v>89.1026285364552</v>
      </c>
      <c r="AN1633">
        <v>0.99999998924132305</v>
      </c>
    </row>
    <row r="1634" spans="1:40" x14ac:dyDescent="0.25">
      <c r="A1634" t="str">
        <f>"20190303154758700"</f>
        <v>20190303154758700</v>
      </c>
      <c r="B1634" t="str">
        <f>"1551599278692627"</f>
        <v>1551599278692627</v>
      </c>
      <c r="C1634" t="s">
        <v>40</v>
      </c>
      <c r="D1634">
        <v>5.4902220000000002</v>
      </c>
      <c r="E1634">
        <v>0.51702219999999999</v>
      </c>
      <c r="F1634" t="s">
        <v>41</v>
      </c>
      <c r="G1634">
        <v>-194.1644</v>
      </c>
      <c r="H1634" s="1">
        <v>-1.694906E-6</v>
      </c>
      <c r="I1634">
        <v>310.83319999999998</v>
      </c>
      <c r="J1634">
        <v>-191.73490000000001</v>
      </c>
      <c r="K1634">
        <v>1.120368</v>
      </c>
      <c r="L1634">
        <v>328.14510000000001</v>
      </c>
      <c r="M1634">
        <v>-4.4474420000000001E-2</v>
      </c>
      <c r="N1634">
        <v>-1.3892359999999999E-2</v>
      </c>
      <c r="O1634">
        <v>-0.99891419999999997</v>
      </c>
      <c r="P1634">
        <v>-6.1833180000000001E-2</v>
      </c>
      <c r="Q1634">
        <v>-9.5535819999999994E-2</v>
      </c>
      <c r="R1634">
        <v>-0.9935041</v>
      </c>
      <c r="S1634">
        <v>-0.4135895</v>
      </c>
      <c r="T1634">
        <v>-0.1897836</v>
      </c>
      <c r="U1634">
        <v>-2.9761959999999998</v>
      </c>
      <c r="V1634">
        <v>1.749264E-2</v>
      </c>
      <c r="W1634">
        <v>-8.1719159999999999E-2</v>
      </c>
      <c r="X1634">
        <v>0.99650190000000005</v>
      </c>
      <c r="Y1634">
        <v>9.3234609999999996E-2</v>
      </c>
      <c r="Z1634">
        <v>4.9275239999999998E-2</v>
      </c>
      <c r="AA1634">
        <v>0.99442410000000003</v>
      </c>
      <c r="AB1634">
        <v>26</v>
      </c>
      <c r="AC1634">
        <v>-2.4294999999999898</v>
      </c>
      <c r="AD1634">
        <v>-1.120369694906</v>
      </c>
      <c r="AE1634">
        <v>-17.311900000000001</v>
      </c>
      <c r="AF1634">
        <v>1.65030638675736</v>
      </c>
      <c r="AG1634">
        <v>-1.120369694906</v>
      </c>
      <c r="AH1634">
        <v>17.331640630602202</v>
      </c>
      <c r="AI1634">
        <v>93.682018337018306</v>
      </c>
      <c r="AJ1634">
        <v>84.560736168014401</v>
      </c>
      <c r="AK1634">
        <v>17.446045579780399</v>
      </c>
      <c r="AL1634">
        <v>94.6873898420926</v>
      </c>
      <c r="AM1634">
        <v>88.994330550534102</v>
      </c>
      <c r="AN1634">
        <v>1.0000000251344401</v>
      </c>
    </row>
    <row r="1635" spans="1:40" x14ac:dyDescent="0.25">
      <c r="A1635" t="str">
        <f>"20190303154758722"</f>
        <v>20190303154758722</v>
      </c>
      <c r="B1635" t="str">
        <f>"1551599278712147"</f>
        <v>1551599278712147</v>
      </c>
      <c r="C1635" t="s">
        <v>40</v>
      </c>
      <c r="D1635">
        <v>5.4540949999999997</v>
      </c>
      <c r="E1635">
        <v>0.50748159999999998</v>
      </c>
      <c r="F1635" t="s">
        <v>47</v>
      </c>
      <c r="G1635">
        <v>-195.09710000000001</v>
      </c>
      <c r="H1635" s="1">
        <v>5.8566949999999996E-7</v>
      </c>
      <c r="I1635">
        <v>296.67009999999999</v>
      </c>
      <c r="J1635">
        <v>-191.74709999999999</v>
      </c>
      <c r="K1635">
        <v>1.1204449999999999</v>
      </c>
      <c r="L1635">
        <v>327.88709999999998</v>
      </c>
      <c r="M1635">
        <v>-4.4962139999999998E-2</v>
      </c>
      <c r="N1635">
        <v>-1.38989E-2</v>
      </c>
      <c r="O1635">
        <v>-0.99889209999999995</v>
      </c>
      <c r="P1635">
        <v>-6.4110260000000002E-2</v>
      </c>
      <c r="Q1635">
        <v>-9.5663789999999999E-2</v>
      </c>
      <c r="R1635">
        <v>-0.99334730000000004</v>
      </c>
      <c r="S1635">
        <v>-0.31933590000000001</v>
      </c>
      <c r="T1635">
        <v>-0.1064126</v>
      </c>
      <c r="U1635">
        <v>-2.9895019999999999</v>
      </c>
      <c r="V1635">
        <v>1.9302400000000001E-2</v>
      </c>
      <c r="W1635">
        <v>-8.1839899999999993E-2</v>
      </c>
      <c r="X1635">
        <v>0.99645850000000002</v>
      </c>
      <c r="Y1635">
        <v>6.1349720000000003E-2</v>
      </c>
      <c r="Z1635">
        <v>2.1524649999999999E-2</v>
      </c>
      <c r="AA1635">
        <v>0.9978842</v>
      </c>
      <c r="AB1635">
        <v>26</v>
      </c>
      <c r="AC1635">
        <v>-3.3500000000000201</v>
      </c>
      <c r="AD1635">
        <v>-1.1204444143304999</v>
      </c>
      <c r="AE1635">
        <v>-31.216999999999899</v>
      </c>
      <c r="AF1635">
        <v>1.9404216100698599</v>
      </c>
      <c r="AG1635">
        <v>-1.1204444143304999</v>
      </c>
      <c r="AH1635">
        <v>31.296203443934601</v>
      </c>
      <c r="AI1635">
        <v>92.046460622115205</v>
      </c>
      <c r="AJ1635">
        <v>86.452098983026303</v>
      </c>
      <c r="AK1635">
        <v>31.376312430153</v>
      </c>
      <c r="AL1635">
        <v>94.694331351457393</v>
      </c>
      <c r="AM1635">
        <v>88.890262107805796</v>
      </c>
      <c r="AN1635">
        <v>0.99999994705000805</v>
      </c>
    </row>
    <row r="1636" spans="1:40" x14ac:dyDescent="0.25">
      <c r="A1636" t="str">
        <f>"20190303154758743"</f>
        <v>20190303154758743</v>
      </c>
      <c r="B1636" t="str">
        <f>"1551599278732645"</f>
        <v>1551599278732645</v>
      </c>
      <c r="C1636" t="s">
        <v>40</v>
      </c>
      <c r="D1636">
        <v>5.4245380000000001</v>
      </c>
      <c r="E1636">
        <v>0.50376270000000001</v>
      </c>
      <c r="F1636" t="s">
        <v>47</v>
      </c>
      <c r="G1636">
        <v>-194.1705</v>
      </c>
      <c r="H1636" s="1">
        <v>1.2177899999999999E-7</v>
      </c>
      <c r="I1636">
        <v>298.92489999999998</v>
      </c>
      <c r="J1636">
        <v>-191.75890000000001</v>
      </c>
      <c r="K1636">
        <v>1.1205240000000001</v>
      </c>
      <c r="L1636">
        <v>327.63479999999998</v>
      </c>
      <c r="M1636">
        <v>-4.5335050000000002E-2</v>
      </c>
      <c r="N1636">
        <v>-1.3904339999999999E-2</v>
      </c>
      <c r="O1636">
        <v>-0.99887510000000002</v>
      </c>
      <c r="P1636">
        <v>-6.5655019999999994E-2</v>
      </c>
      <c r="Q1636">
        <v>-9.5044809999999993E-2</v>
      </c>
      <c r="R1636">
        <v>-0.99330549999999995</v>
      </c>
      <c r="S1636">
        <v>-0.25042720000000002</v>
      </c>
      <c r="T1636">
        <v>-0.115779199999999</v>
      </c>
      <c r="U1636">
        <v>-2.9927670000000002</v>
      </c>
      <c r="V1636">
        <v>2.0491180000000001E-2</v>
      </c>
      <c r="W1636">
        <v>-8.121246E-2</v>
      </c>
      <c r="X1636">
        <v>0.99648610000000004</v>
      </c>
      <c r="Y1636">
        <v>3.807957E-2</v>
      </c>
      <c r="Z1636">
        <v>2.4645210000000001E-2</v>
      </c>
      <c r="AA1636">
        <v>0.99897069999999999</v>
      </c>
      <c r="AB1636">
        <v>26</v>
      </c>
      <c r="AC1636">
        <v>-2.4115999999999902</v>
      </c>
      <c r="AD1636">
        <v>-1.1205238782210001</v>
      </c>
      <c r="AE1636">
        <v>-28.709900000000001</v>
      </c>
      <c r="AF1636">
        <v>1.10575688696623</v>
      </c>
      <c r="AG1636">
        <v>-1.1205238782210001</v>
      </c>
      <c r="AH1636">
        <v>28.746234759411902</v>
      </c>
      <c r="AI1636">
        <v>92.230602714407794</v>
      </c>
      <c r="AJ1636">
        <v>87.7971381884294</v>
      </c>
      <c r="AK1636">
        <v>28.7893085171902</v>
      </c>
      <c r="AL1636">
        <v>94.658261603259703</v>
      </c>
      <c r="AM1636">
        <v>88.821967824965398</v>
      </c>
      <c r="AN1636">
        <v>0.99999994980512497</v>
      </c>
    </row>
    <row r="1637" spans="1:40" x14ac:dyDescent="0.25">
      <c r="A1637" t="str">
        <f>"20190303154758766"</f>
        <v>20190303154758766</v>
      </c>
      <c r="B1637" t="str">
        <f>"1551599278761924"</f>
        <v>1551599278761924</v>
      </c>
      <c r="C1637" t="s">
        <v>40</v>
      </c>
      <c r="D1637">
        <v>5.4597069999999999</v>
      </c>
      <c r="E1637">
        <v>0.50153879999999995</v>
      </c>
      <c r="F1637" t="s">
        <v>47</v>
      </c>
      <c r="G1637">
        <v>-193.88339999999999</v>
      </c>
      <c r="H1637" s="1">
        <v>2.8879599999999999E-8</v>
      </c>
      <c r="I1637">
        <v>299.45240000000001</v>
      </c>
      <c r="J1637">
        <v>-191.77160000000001</v>
      </c>
      <c r="K1637">
        <v>1.1206020000000001</v>
      </c>
      <c r="L1637">
        <v>327.36450000000002</v>
      </c>
      <c r="M1637">
        <v>-4.5637759999999999E-2</v>
      </c>
      <c r="N1637">
        <v>-1.390884E-2</v>
      </c>
      <c r="O1637">
        <v>-0.99886129999999995</v>
      </c>
      <c r="P1637">
        <v>-6.6589590000000004E-2</v>
      </c>
      <c r="Q1637">
        <v>-9.4620060000000006E-2</v>
      </c>
      <c r="R1637">
        <v>-0.9932839</v>
      </c>
      <c r="S1637">
        <v>-0.2256927</v>
      </c>
      <c r="T1637">
        <v>-0.1190364</v>
      </c>
      <c r="U1637">
        <v>-2.9938959999999999</v>
      </c>
      <c r="V1637">
        <v>2.1138980000000002E-2</v>
      </c>
      <c r="W1637">
        <v>-8.0779569999999995E-2</v>
      </c>
      <c r="X1637">
        <v>0.99650780000000005</v>
      </c>
      <c r="Y1637">
        <v>2.9543730000000001E-2</v>
      </c>
      <c r="Z1637">
        <v>2.5723650000000001E-2</v>
      </c>
      <c r="AA1637">
        <v>0.99923240000000002</v>
      </c>
      <c r="AB1637">
        <v>26</v>
      </c>
      <c r="AC1637">
        <v>-2.1117999999999801</v>
      </c>
      <c r="AD1637">
        <v>-1.1206019711203901</v>
      </c>
      <c r="AE1637">
        <v>-27.912099999999999</v>
      </c>
      <c r="AF1637">
        <v>0.83429325882191196</v>
      </c>
      <c r="AG1637">
        <v>-1.1206019711203901</v>
      </c>
      <c r="AH1637">
        <v>27.934629182364301</v>
      </c>
      <c r="AI1637">
        <v>92.296174612975094</v>
      </c>
      <c r="AJ1637">
        <v>88.289317629589107</v>
      </c>
      <c r="AK1637">
        <v>27.969542391243898</v>
      </c>
      <c r="AL1637">
        <v>94.633376859954396</v>
      </c>
      <c r="AM1637">
        <v>88.784763438330401</v>
      </c>
      <c r="AN1637">
        <v>0.99999999543283202</v>
      </c>
    </row>
    <row r="1638" spans="1:40" x14ac:dyDescent="0.25">
      <c r="A1638" t="str">
        <f>"20190303154758788"</f>
        <v>20190303154758788</v>
      </c>
      <c r="B1638" t="str">
        <f>"1551599278781951"</f>
        <v>1551599278781951</v>
      </c>
      <c r="C1638" t="s">
        <v>40</v>
      </c>
      <c r="D1638">
        <v>5.4367190000000001</v>
      </c>
      <c r="E1638">
        <v>0.50053479999999995</v>
      </c>
      <c r="F1638" t="s">
        <v>47</v>
      </c>
      <c r="G1638">
        <v>-193.7302</v>
      </c>
      <c r="H1638" s="1">
        <v>1.15955E-8</v>
      </c>
      <c r="I1638">
        <v>299.5505</v>
      </c>
      <c r="J1638">
        <v>-191.78360000000001</v>
      </c>
      <c r="K1638">
        <v>1.1206849999999999</v>
      </c>
      <c r="L1638">
        <v>327.10789999999997</v>
      </c>
      <c r="M1638">
        <v>-4.5833100000000002E-2</v>
      </c>
      <c r="N1638">
        <v>-1.39121E-2</v>
      </c>
      <c r="O1638">
        <v>-0.99885239999999997</v>
      </c>
      <c r="P1638">
        <v>-6.7131549999999998E-2</v>
      </c>
      <c r="Q1638">
        <v>-9.39884E-2</v>
      </c>
      <c r="R1638">
        <v>-0.99330750000000001</v>
      </c>
      <c r="S1638">
        <v>-0.21087649999999999</v>
      </c>
      <c r="T1638">
        <v>-0.12065339999999999</v>
      </c>
      <c r="U1638">
        <v>-2.9946899999999999</v>
      </c>
      <c r="V1638">
        <v>2.1497780000000001E-2</v>
      </c>
      <c r="W1638">
        <v>-8.0140729999999993E-2</v>
      </c>
      <c r="X1638">
        <v>0.99655170000000004</v>
      </c>
      <c r="Y1638">
        <v>2.44113E-2</v>
      </c>
      <c r="Z1638">
        <v>2.62551E-2</v>
      </c>
      <c r="AA1638">
        <v>0.99935719999999995</v>
      </c>
      <c r="AB1638">
        <v>26</v>
      </c>
      <c r="AC1638">
        <v>-1.9465999999999799</v>
      </c>
      <c r="AD1638">
        <v>-1.1206849884045</v>
      </c>
      <c r="AE1638">
        <v>-27.557399999999902</v>
      </c>
      <c r="AF1638">
        <v>0.68027137407028904</v>
      </c>
      <c r="AG1638">
        <v>-1.1206849884045</v>
      </c>
      <c r="AH1638">
        <v>27.572288520924701</v>
      </c>
      <c r="AI1638">
        <v>92.326817862541404</v>
      </c>
      <c r="AJ1638">
        <v>88.586668898890807</v>
      </c>
      <c r="AK1638">
        <v>27.603438160249699</v>
      </c>
      <c r="AL1638">
        <v>94.596654985197404</v>
      </c>
      <c r="AM1638">
        <v>88.764197531738802</v>
      </c>
      <c r="AN1638">
        <v>0.99999999096137504</v>
      </c>
    </row>
    <row r="1639" spans="1:40" x14ac:dyDescent="0.25">
      <c r="A1639" t="str">
        <f>"20190303154758811"</f>
        <v>20190303154758811</v>
      </c>
      <c r="B1639" t="str">
        <f>"1551599278802447"</f>
        <v>1551599278802447</v>
      </c>
      <c r="C1639" t="s">
        <v>40</v>
      </c>
      <c r="D1639">
        <v>5.4510129999999997</v>
      </c>
      <c r="E1639">
        <v>0.499496</v>
      </c>
      <c r="F1639" t="s">
        <v>47</v>
      </c>
      <c r="G1639">
        <v>-193.68029999999999</v>
      </c>
      <c r="H1639" s="1">
        <v>5.411517E-8</v>
      </c>
      <c r="I1639">
        <v>299.3091</v>
      </c>
      <c r="J1639">
        <v>-191.7955</v>
      </c>
      <c r="K1639">
        <v>1.120754</v>
      </c>
      <c r="L1639">
        <v>326.85379999999998</v>
      </c>
      <c r="M1639">
        <v>-4.5938529999999998E-2</v>
      </c>
      <c r="N1639">
        <v>-1.391452E-2</v>
      </c>
      <c r="O1639">
        <v>-0.99884740000000005</v>
      </c>
      <c r="P1639">
        <v>-6.7322729999999997E-2</v>
      </c>
      <c r="Q1639">
        <v>-9.3499589999999994E-2</v>
      </c>
      <c r="R1639">
        <v>-0.99334060000000002</v>
      </c>
      <c r="S1639">
        <v>-0.20434569999999999</v>
      </c>
      <c r="T1639">
        <v>-0.12073929999999999</v>
      </c>
      <c r="U1639">
        <v>-2.9949650000000001</v>
      </c>
      <c r="V1639">
        <v>2.159436E-2</v>
      </c>
      <c r="W1639">
        <v>-7.9645759999999996E-2</v>
      </c>
      <c r="X1639">
        <v>0.99658930000000001</v>
      </c>
      <c r="Y1639">
        <v>2.2131339999999999E-2</v>
      </c>
      <c r="Z1639">
        <v>2.628072E-2</v>
      </c>
      <c r="AA1639">
        <v>0.99940960000000001</v>
      </c>
      <c r="AB1639">
        <v>26</v>
      </c>
      <c r="AC1639">
        <v>-1.88479999999998</v>
      </c>
      <c r="AD1639">
        <v>-1.1207539458848299</v>
      </c>
      <c r="AE1639">
        <v>-27.544699999999899</v>
      </c>
      <c r="AF1639">
        <v>0.61630870857921705</v>
      </c>
      <c r="AG1639">
        <v>-1.1207539458848299</v>
      </c>
      <c r="AH1639">
        <v>27.556798612851399</v>
      </c>
      <c r="AI1639">
        <v>92.328393577435605</v>
      </c>
      <c r="AJ1639">
        <v>88.718791593510602</v>
      </c>
      <c r="AK1639">
        <v>27.586465442690098</v>
      </c>
      <c r="AL1639">
        <v>94.568204315070005</v>
      </c>
      <c r="AM1639">
        <v>88.758694172110694</v>
      </c>
      <c r="AN1639">
        <v>0.99999999817213803</v>
      </c>
    </row>
    <row r="1640" spans="1:40" x14ac:dyDescent="0.25">
      <c r="A1640" t="str">
        <f>"20190303154758836"</f>
        <v>20190303154758836</v>
      </c>
      <c r="B1640" t="str">
        <f>"1551599278832703"</f>
        <v>1551599278832703</v>
      </c>
      <c r="C1640" t="s">
        <v>40</v>
      </c>
      <c r="D1640">
        <v>5.4704269999999999</v>
      </c>
      <c r="E1640">
        <v>0.49862499999999998</v>
      </c>
      <c r="F1640" t="s">
        <v>41</v>
      </c>
      <c r="G1640">
        <v>-193.57980000000001</v>
      </c>
      <c r="H1640" s="1">
        <v>-9.9566930000000008E-7</v>
      </c>
      <c r="I1640">
        <v>299.68970000000002</v>
      </c>
      <c r="J1640">
        <v>-191.8092</v>
      </c>
      <c r="K1640">
        <v>1.1208279999999999</v>
      </c>
      <c r="L1640">
        <v>326.55900000000003</v>
      </c>
      <c r="M1640">
        <v>-4.5971339999999999E-2</v>
      </c>
      <c r="N1640">
        <v>-1.391657E-2</v>
      </c>
      <c r="O1640">
        <v>-0.99884589999999995</v>
      </c>
      <c r="P1640">
        <v>-6.7470080000000002E-2</v>
      </c>
      <c r="Q1640">
        <v>-9.3732449999999995E-2</v>
      </c>
      <c r="R1640">
        <v>-0.99330879999999999</v>
      </c>
      <c r="S1640">
        <v>-0.1967468</v>
      </c>
      <c r="T1640">
        <v>-0.1235762</v>
      </c>
      <c r="U1640">
        <v>-2.9951479999999999</v>
      </c>
      <c r="V1640">
        <v>2.172294E-2</v>
      </c>
      <c r="W1640">
        <v>-7.9873470000000002E-2</v>
      </c>
      <c r="X1640">
        <v>0.99656829999999996</v>
      </c>
      <c r="Y1640">
        <v>1.956921E-2</v>
      </c>
      <c r="Z1640">
        <v>2.7222440000000001E-2</v>
      </c>
      <c r="AA1640">
        <v>0.99943780000000004</v>
      </c>
      <c r="AB1640">
        <v>26</v>
      </c>
      <c r="AC1640">
        <v>-1.7706</v>
      </c>
      <c r="AD1640">
        <v>-1.1208289956693001</v>
      </c>
      <c r="AE1640">
        <v>-26.869299999999999</v>
      </c>
      <c r="AF1640">
        <v>0.53246790978338998</v>
      </c>
      <c r="AG1640">
        <v>-1.1208289956693001</v>
      </c>
      <c r="AH1640">
        <v>26.8757285299024</v>
      </c>
      <c r="AI1640">
        <v>92.387619040868401</v>
      </c>
      <c r="AJ1640">
        <v>88.864991766372995</v>
      </c>
      <c r="AK1640">
        <v>26.90435956728</v>
      </c>
      <c r="AL1640">
        <v>94.581292749235601</v>
      </c>
      <c r="AM1640">
        <v>88.751279053141502</v>
      </c>
      <c r="AN1640">
        <v>1.00000001694848</v>
      </c>
    </row>
    <row r="1641" spans="1:40" x14ac:dyDescent="0.25">
      <c r="A1641" t="str">
        <f>"20190303154758858"</f>
        <v>20190303154758858</v>
      </c>
      <c r="B1641" t="str">
        <f>"1551599278852222"</f>
        <v>1551599278852222</v>
      </c>
      <c r="C1641" t="s">
        <v>40</v>
      </c>
      <c r="D1641">
        <v>5.4808469999999998</v>
      </c>
      <c r="E1641">
        <v>0.49817119999999998</v>
      </c>
      <c r="F1641" t="s">
        <v>41</v>
      </c>
      <c r="G1641">
        <v>-193.4177</v>
      </c>
      <c r="H1641" s="1">
        <v>-1.630518E-6</v>
      </c>
      <c r="I1641">
        <v>301.27010000000001</v>
      </c>
      <c r="J1641">
        <v>-191.82040000000001</v>
      </c>
      <c r="K1641">
        <v>1.1208830000000001</v>
      </c>
      <c r="L1641">
        <v>326.31420000000003</v>
      </c>
      <c r="M1641">
        <v>-4.5930180000000001E-2</v>
      </c>
      <c r="N1641">
        <v>-1.3917580000000001E-2</v>
      </c>
      <c r="O1641">
        <v>-0.99884790000000001</v>
      </c>
      <c r="P1641">
        <v>-6.7291799999999999E-2</v>
      </c>
      <c r="Q1641">
        <v>-9.4077709999999995E-2</v>
      </c>
      <c r="R1641">
        <v>-0.99328850000000002</v>
      </c>
      <c r="S1641">
        <v>-0.19049070000000001</v>
      </c>
      <c r="T1641">
        <v>-0.13273180000000001</v>
      </c>
      <c r="U1641">
        <v>-2.9947810000000001</v>
      </c>
      <c r="V1641">
        <v>2.1596509999999999E-2</v>
      </c>
      <c r="W1641">
        <v>-8.0215430000000004E-2</v>
      </c>
      <c r="X1641">
        <v>0.99654359999999997</v>
      </c>
      <c r="Y1641">
        <v>1.7534060000000001E-2</v>
      </c>
      <c r="Z1641">
        <v>3.0271650000000001E-2</v>
      </c>
      <c r="AA1641">
        <v>0.9993879</v>
      </c>
      <c r="AB1641">
        <v>26</v>
      </c>
      <c r="AC1641">
        <v>-1.59729999999999</v>
      </c>
      <c r="AD1641">
        <v>-1.120884630518</v>
      </c>
      <c r="AE1641">
        <v>-25.0441</v>
      </c>
      <c r="AF1641">
        <v>0.44433629947525199</v>
      </c>
      <c r="AG1641">
        <v>-1.120884630518</v>
      </c>
      <c r="AH1641">
        <v>25.041078495663498</v>
      </c>
      <c r="AI1641">
        <v>92.562550575008203</v>
      </c>
      <c r="AJ1641">
        <v>88.983433433633195</v>
      </c>
      <c r="AK1641">
        <v>25.070090333462002</v>
      </c>
      <c r="AL1641">
        <v>94.600948597958606</v>
      </c>
      <c r="AM1641">
        <v>88.758513710331997</v>
      </c>
      <c r="AN1641">
        <v>1.00000003557761</v>
      </c>
    </row>
    <row r="1642" spans="1:40" x14ac:dyDescent="0.25">
      <c r="A1642" t="str">
        <f>"20190303154758878"</f>
        <v>20190303154758878</v>
      </c>
      <c r="B1642" t="str">
        <f>"1551599278872719"</f>
        <v>1551599278872719</v>
      </c>
      <c r="C1642" t="s">
        <v>40</v>
      </c>
      <c r="D1642">
        <v>5.4801640000000003</v>
      </c>
      <c r="E1642">
        <v>0.49776389999999998</v>
      </c>
      <c r="F1642" t="s">
        <v>41</v>
      </c>
      <c r="G1642">
        <v>-193.33619999999999</v>
      </c>
      <c r="H1642" s="1">
        <v>-1.8978249999999999E-6</v>
      </c>
      <c r="I1642">
        <v>301.94380000000001</v>
      </c>
      <c r="J1642">
        <v>-191.83150000000001</v>
      </c>
      <c r="K1642">
        <v>1.120935</v>
      </c>
      <c r="L1642">
        <v>326.0718</v>
      </c>
      <c r="M1642">
        <v>-4.5829689999999999E-2</v>
      </c>
      <c r="N1642">
        <v>-1.3918079999999999E-2</v>
      </c>
      <c r="O1642">
        <v>-0.99885250000000003</v>
      </c>
      <c r="P1642">
        <v>-6.6450239999999994E-2</v>
      </c>
      <c r="Q1642">
        <v>-9.2595570000000002E-2</v>
      </c>
      <c r="R1642">
        <v>-0.99348420000000004</v>
      </c>
      <c r="S1642">
        <v>-0.18624879999999999</v>
      </c>
      <c r="T1642">
        <v>-0.13773270000000001</v>
      </c>
      <c r="U1642">
        <v>-2.9945979999999999</v>
      </c>
      <c r="V1642">
        <v>2.0856059999999999E-2</v>
      </c>
      <c r="W1642">
        <v>-7.8728400000000004E-2</v>
      </c>
      <c r="X1642">
        <v>0.99667790000000001</v>
      </c>
      <c r="Y1642">
        <v>1.622554E-2</v>
      </c>
      <c r="Z1642">
        <v>3.1937550000000002E-2</v>
      </c>
      <c r="AA1642">
        <v>0.99935819999999997</v>
      </c>
      <c r="AB1642">
        <v>26</v>
      </c>
      <c r="AC1642">
        <v>-1.5046999999999799</v>
      </c>
      <c r="AD1642">
        <v>-1.1209368978250001</v>
      </c>
      <c r="AE1642">
        <v>-24.127999999999901</v>
      </c>
      <c r="AF1642">
        <v>0.39638078561113099</v>
      </c>
      <c r="AG1642">
        <v>-1.1209368978250001</v>
      </c>
      <c r="AH1642">
        <v>24.1197527033789</v>
      </c>
      <c r="AI1642">
        <v>92.660480134677698</v>
      </c>
      <c r="AJ1642">
        <v>89.058493585061001</v>
      </c>
      <c r="AK1642">
        <v>24.149039064282899</v>
      </c>
      <c r="AL1642">
        <v>94.515477937633193</v>
      </c>
      <c r="AM1642">
        <v>88.801227714392496</v>
      </c>
      <c r="AN1642">
        <v>0.99999998627684605</v>
      </c>
    </row>
    <row r="1643" spans="1:40" x14ac:dyDescent="0.25">
      <c r="A1643" t="str">
        <f>"20190303154758911"</f>
        <v>20190303154758911</v>
      </c>
      <c r="B1643" t="str">
        <f>"1551599278902506"</f>
        <v>1551599278902506</v>
      </c>
      <c r="C1643" t="s">
        <v>40</v>
      </c>
      <c r="D1643">
        <v>5.4523010000000003</v>
      </c>
      <c r="E1643">
        <v>0.49716929999999998</v>
      </c>
      <c r="F1643" t="s">
        <v>41</v>
      </c>
      <c r="G1643">
        <v>-193.3021</v>
      </c>
      <c r="H1643" s="1">
        <v>-1.773589E-6</v>
      </c>
      <c r="I1643">
        <v>301.67529999999999</v>
      </c>
      <c r="J1643">
        <v>-191.8485</v>
      </c>
      <c r="K1643">
        <v>1.121014</v>
      </c>
      <c r="L1643">
        <v>325.69619999999998</v>
      </c>
      <c r="M1643">
        <v>-4.557224E-2</v>
      </c>
      <c r="N1643">
        <v>-1.391801E-2</v>
      </c>
      <c r="O1643">
        <v>-0.99886419999999998</v>
      </c>
      <c r="P1643">
        <v>-6.2893539999999998E-2</v>
      </c>
      <c r="Q1643">
        <v>-8.9924859999999995E-2</v>
      </c>
      <c r="R1643">
        <v>-0.99396099999999998</v>
      </c>
      <c r="S1643">
        <v>-0.18052670000000001</v>
      </c>
      <c r="T1643">
        <v>-0.13760020000000001</v>
      </c>
      <c r="U1643">
        <v>-2.9947810000000001</v>
      </c>
      <c r="V1643">
        <v>1.7549329999999998E-2</v>
      </c>
      <c r="W1643">
        <v>-7.6051450000000007E-2</v>
      </c>
      <c r="X1643">
        <v>0.99694939999999999</v>
      </c>
      <c r="Y1643">
        <v>1.4577909999999999E-2</v>
      </c>
      <c r="Z1643">
        <v>3.189413E-2</v>
      </c>
      <c r="AA1643">
        <v>0.99938490000000002</v>
      </c>
      <c r="AB1643">
        <v>26</v>
      </c>
      <c r="AC1643">
        <v>-1.45359999999999</v>
      </c>
      <c r="AD1643">
        <v>-1.1210157735890001</v>
      </c>
      <c r="AE1643">
        <v>-24.020899999999902</v>
      </c>
      <c r="AF1643">
        <v>0.35652369574732901</v>
      </c>
      <c r="AG1643">
        <v>-1.1210157735890001</v>
      </c>
      <c r="AH1643">
        <v>24.0100871553826</v>
      </c>
      <c r="AI1643">
        <v>92.672868178240293</v>
      </c>
      <c r="AJ1643">
        <v>89.149282474946403</v>
      </c>
      <c r="AK1643">
        <v>24.038886636434199</v>
      </c>
      <c r="AL1643">
        <v>94.361638713016603</v>
      </c>
      <c r="AM1643">
        <v>88.991524841331298</v>
      </c>
      <c r="AN1643">
        <v>0.99999995409545395</v>
      </c>
    </row>
    <row r="1644" spans="1:40" x14ac:dyDescent="0.25">
      <c r="A1644" t="str">
        <f>"20190303154758932"</f>
        <v>20190303154758932</v>
      </c>
      <c r="B1644" t="str">
        <f>"1551599278922026"</f>
        <v>1551599278922026</v>
      </c>
      <c r="C1644" t="s">
        <v>40</v>
      </c>
      <c r="D1644">
        <v>5.4864610000000003</v>
      </c>
      <c r="E1644">
        <v>0.49684089999999997</v>
      </c>
      <c r="F1644" t="s">
        <v>41</v>
      </c>
      <c r="G1644">
        <v>-193.21430000000001</v>
      </c>
      <c r="H1644" s="1">
        <v>-1.4032669999999999E-6</v>
      </c>
      <c r="I1644">
        <v>300.86649999999997</v>
      </c>
      <c r="J1644">
        <v>-191.86</v>
      </c>
      <c r="K1644">
        <v>1.1210439999999999</v>
      </c>
      <c r="L1644">
        <v>325.43970000000002</v>
      </c>
      <c r="M1644">
        <v>-4.5350090000000003E-2</v>
      </c>
      <c r="N1644">
        <v>-1.391767E-2</v>
      </c>
      <c r="O1644">
        <v>-0.9988745</v>
      </c>
      <c r="P1644">
        <v>-6.0060790000000003E-2</v>
      </c>
      <c r="Q1644">
        <v>-8.9531520000000003E-2</v>
      </c>
      <c r="R1644">
        <v>-0.9941719</v>
      </c>
      <c r="S1644">
        <v>-0.1647797</v>
      </c>
      <c r="T1644">
        <v>-0.1352448</v>
      </c>
      <c r="U1644">
        <v>-2.9955750000000001</v>
      </c>
      <c r="V1644">
        <v>1.493705E-2</v>
      </c>
      <c r="W1644">
        <v>-7.5657039999999995E-2</v>
      </c>
      <c r="X1644">
        <v>0.99702199999999996</v>
      </c>
      <c r="Y1644">
        <v>9.5515900000000004E-3</v>
      </c>
      <c r="Z1644">
        <v>3.110719E-2</v>
      </c>
      <c r="AA1644">
        <v>0.99947039999999998</v>
      </c>
      <c r="AB1644">
        <v>26</v>
      </c>
      <c r="AC1644">
        <v>-1.3542999999999901</v>
      </c>
      <c r="AD1644">
        <v>-1.1210454032670001</v>
      </c>
      <c r="AE1644">
        <v>-24.5732</v>
      </c>
      <c r="AF1644">
        <v>0.23790827715604701</v>
      </c>
      <c r="AG1644">
        <v>-1.1210454032670001</v>
      </c>
      <c r="AH1644">
        <v>24.558379470257901</v>
      </c>
      <c r="AI1644">
        <v>92.613511388793</v>
      </c>
      <c r="AJ1644">
        <v>89.444966887183796</v>
      </c>
      <c r="AK1644">
        <v>24.5851041354254</v>
      </c>
      <c r="AL1644">
        <v>94.338975250560097</v>
      </c>
      <c r="AM1644">
        <v>89.141678015560004</v>
      </c>
      <c r="AN1644">
        <v>0.99999998582413097</v>
      </c>
    </row>
    <row r="1645" spans="1:40" x14ac:dyDescent="0.25">
      <c r="A1645" t="str">
        <f>"20190303154758956"</f>
        <v>20190303154758956</v>
      </c>
      <c r="B1645" t="str">
        <f>"1551599278952282"</f>
        <v>1551599278952282</v>
      </c>
      <c r="C1645" t="s">
        <v>40</v>
      </c>
      <c r="D1645">
        <v>5.4618840000000004</v>
      </c>
      <c r="E1645">
        <v>0.49647520000000001</v>
      </c>
      <c r="F1645" t="s">
        <v>41</v>
      </c>
      <c r="G1645">
        <v>-193.1112</v>
      </c>
      <c r="H1645" s="1">
        <v>-1.4612009999999999E-6</v>
      </c>
      <c r="I1645">
        <v>301.06560000000002</v>
      </c>
      <c r="J1645">
        <v>-191.87139999999999</v>
      </c>
      <c r="K1645">
        <v>1.121065</v>
      </c>
      <c r="L1645">
        <v>325.18119999999999</v>
      </c>
      <c r="M1645">
        <v>-4.5102700000000003E-2</v>
      </c>
      <c r="N1645">
        <v>-1.3916980000000001E-2</v>
      </c>
      <c r="O1645">
        <v>-0.99888549999999998</v>
      </c>
      <c r="P1645">
        <v>-5.838993E-2</v>
      </c>
      <c r="Q1645">
        <v>-9.1053960000000003E-2</v>
      </c>
      <c r="R1645">
        <v>-0.99413289999999999</v>
      </c>
      <c r="S1645">
        <v>-0.15379329999999999</v>
      </c>
      <c r="T1645">
        <v>-0.13779189999999999</v>
      </c>
      <c r="U1645">
        <v>-2.995911</v>
      </c>
      <c r="V1645">
        <v>1.3520330000000001E-2</v>
      </c>
      <c r="W1645">
        <v>-7.7181589999999994E-2</v>
      </c>
      <c r="X1645">
        <v>0.99692539999999996</v>
      </c>
      <c r="Y1645">
        <v>6.138208E-3</v>
      </c>
      <c r="Z1645">
        <v>3.1953469999999998E-2</v>
      </c>
      <c r="AA1645">
        <v>0.99947050000000004</v>
      </c>
      <c r="AB1645">
        <v>26</v>
      </c>
      <c r="AC1645">
        <v>-1.2398</v>
      </c>
      <c r="AD1645">
        <v>-1.121066461201</v>
      </c>
      <c r="AE1645">
        <v>-24.115599999999901</v>
      </c>
      <c r="AF1645">
        <v>0.15042992632897201</v>
      </c>
      <c r="AG1645">
        <v>-1.121066461201</v>
      </c>
      <c r="AH1645">
        <v>24.095044333584401</v>
      </c>
      <c r="AI1645">
        <v>92.663819081351207</v>
      </c>
      <c r="AJ1645">
        <v>89.642296241820603</v>
      </c>
      <c r="AK1645">
        <v>24.121579148359299</v>
      </c>
      <c r="AL1645">
        <v>94.426581548241302</v>
      </c>
      <c r="AM1645">
        <v>89.223000679936405</v>
      </c>
      <c r="AN1645">
        <v>1.0000000251616901</v>
      </c>
    </row>
    <row r="1646" spans="1:40" x14ac:dyDescent="0.25">
      <c r="A1646" t="str">
        <f>"20190303154758978"</f>
        <v>20190303154758978</v>
      </c>
      <c r="B1646" t="str">
        <f>"1551599278971802"</f>
        <v>1551599278971802</v>
      </c>
      <c r="C1646" t="s">
        <v>40</v>
      </c>
      <c r="D1646">
        <v>5.5203509999999998</v>
      </c>
      <c r="E1646">
        <v>0.49632670000000001</v>
      </c>
      <c r="F1646" t="s">
        <v>41</v>
      </c>
      <c r="G1646">
        <v>-192.98240000000001</v>
      </c>
      <c r="H1646" s="1">
        <v>-1.9589329999999999E-6</v>
      </c>
      <c r="I1646">
        <v>302.3057</v>
      </c>
      <c r="J1646">
        <v>-191.88300000000001</v>
      </c>
      <c r="K1646">
        <v>1.1210659999999999</v>
      </c>
      <c r="L1646">
        <v>324.9171</v>
      </c>
      <c r="M1646">
        <v>-4.4836229999999998E-2</v>
      </c>
      <c r="N1646">
        <v>-1.3916049999999999E-2</v>
      </c>
      <c r="O1646">
        <v>-0.99889749999999999</v>
      </c>
      <c r="P1646">
        <v>-5.765725E-2</v>
      </c>
      <c r="Q1646">
        <v>-9.2712390000000006E-2</v>
      </c>
      <c r="R1646">
        <v>-0.99402239999999997</v>
      </c>
      <c r="S1646">
        <v>-0.1454926</v>
      </c>
      <c r="T1646">
        <v>-0.1468121</v>
      </c>
      <c r="U1646">
        <v>-2.9957280000000002</v>
      </c>
      <c r="V1646">
        <v>1.306098E-2</v>
      </c>
      <c r="W1646">
        <v>-7.8842819999999994E-2</v>
      </c>
      <c r="X1646">
        <v>0.99680150000000001</v>
      </c>
      <c r="Y1646">
        <v>3.6416579999999999E-3</v>
      </c>
      <c r="Z1646">
        <v>3.4956760000000003E-2</v>
      </c>
      <c r="AA1646">
        <v>0.9993822</v>
      </c>
      <c r="AB1646">
        <v>26</v>
      </c>
      <c r="AC1646">
        <v>-1.0994000000000299</v>
      </c>
      <c r="AD1646">
        <v>-1.1210679589329999</v>
      </c>
      <c r="AE1646">
        <v>-22.6114</v>
      </c>
      <c r="AF1646">
        <v>8.4179706507221605E-2</v>
      </c>
      <c r="AG1646">
        <v>-1.1210679589329999</v>
      </c>
      <c r="AH1646">
        <v>22.582573669368401</v>
      </c>
      <c r="AI1646">
        <v>92.841984741126694</v>
      </c>
      <c r="AJ1646">
        <v>89.786422945646194</v>
      </c>
      <c r="AK1646">
        <v>22.610539868034699</v>
      </c>
      <c r="AL1646">
        <v>94.522054077929795</v>
      </c>
      <c r="AM1646">
        <v>89.249302686300297</v>
      </c>
      <c r="AN1646">
        <v>1.0000000049331801</v>
      </c>
    </row>
    <row r="1647" spans="1:40" x14ac:dyDescent="0.25">
      <c r="A1647" t="str">
        <f>"20190303154759000"</f>
        <v>20190303154759000</v>
      </c>
      <c r="B1647" t="str">
        <f>"1551599278991829"</f>
        <v>1551599278991829</v>
      </c>
      <c r="C1647" t="s">
        <v>40</v>
      </c>
      <c r="D1647">
        <v>5.4934589999999996</v>
      </c>
      <c r="E1647">
        <v>0.49619020000000003</v>
      </c>
      <c r="F1647" t="s">
        <v>41</v>
      </c>
      <c r="G1647">
        <v>-192.92080000000001</v>
      </c>
      <c r="H1647" s="1">
        <v>-2.277867E-6</v>
      </c>
      <c r="I1647">
        <v>303.08730000000003</v>
      </c>
      <c r="J1647">
        <v>-191.89400000000001</v>
      </c>
      <c r="K1647">
        <v>1.121068</v>
      </c>
      <c r="L1647">
        <v>324.666</v>
      </c>
      <c r="M1647">
        <v>-4.4579439999999998E-2</v>
      </c>
      <c r="N1647">
        <v>-1.391498E-2</v>
      </c>
      <c r="O1647">
        <v>-0.99890889999999999</v>
      </c>
      <c r="P1647">
        <v>-5.7650949999999999E-2</v>
      </c>
      <c r="Q1647">
        <v>-9.2865890000000006E-2</v>
      </c>
      <c r="R1647">
        <v>-0.99400829999999996</v>
      </c>
      <c r="S1647">
        <v>-0.14239499999999999</v>
      </c>
      <c r="T1647">
        <v>-0.15383039999999901</v>
      </c>
      <c r="U1647">
        <v>-2.995422</v>
      </c>
      <c r="V1647">
        <v>1.331104E-2</v>
      </c>
      <c r="W1647">
        <v>-7.8997570000000003E-2</v>
      </c>
      <c r="X1647">
        <v>0.9967859</v>
      </c>
      <c r="Y1647">
        <v>2.8688559999999999E-3</v>
      </c>
      <c r="Z1647">
        <v>3.7295300000000003E-2</v>
      </c>
      <c r="AA1647">
        <v>0.99930019999999997</v>
      </c>
      <c r="AB1647">
        <v>26</v>
      </c>
      <c r="AC1647">
        <v>-1.0267999999999999</v>
      </c>
      <c r="AD1647">
        <v>-1.1210702778670001</v>
      </c>
      <c r="AE1647">
        <v>-21.578699999999898</v>
      </c>
      <c r="AF1647">
        <v>6.3548333283738601E-2</v>
      </c>
      <c r="AG1647">
        <v>-1.1210702778670001</v>
      </c>
      <c r="AH1647">
        <v>21.5450015934696</v>
      </c>
      <c r="AI1647">
        <v>92.978623141368203</v>
      </c>
      <c r="AJ1647">
        <v>89.831002995402102</v>
      </c>
      <c r="AK1647">
        <v>21.5742422954131</v>
      </c>
      <c r="AL1647">
        <v>94.530948522195402</v>
      </c>
      <c r="AM1647">
        <v>89.234919873179294</v>
      </c>
      <c r="AN1647">
        <v>0.99999996514529699</v>
      </c>
    </row>
    <row r="1648" spans="1:40" x14ac:dyDescent="0.25">
      <c r="A1648" t="str">
        <f>"20190303154759023"</f>
        <v>20190303154759023</v>
      </c>
      <c r="B1648" t="str">
        <f>"1551599279012325"</f>
        <v>1551599279012325</v>
      </c>
      <c r="C1648" t="s">
        <v>40</v>
      </c>
      <c r="D1648">
        <v>5.5165639999999998</v>
      </c>
      <c r="E1648">
        <v>0.49610910000000003</v>
      </c>
      <c r="F1648" t="s">
        <v>41</v>
      </c>
      <c r="G1648">
        <v>-192.90610000000001</v>
      </c>
      <c r="H1648" s="1">
        <v>-2.3298920000000001E-6</v>
      </c>
      <c r="I1648">
        <v>303.21769999999998</v>
      </c>
      <c r="J1648">
        <v>-191.9051</v>
      </c>
      <c r="K1648">
        <v>1.1210719999999901</v>
      </c>
      <c r="L1648">
        <v>324.4119</v>
      </c>
      <c r="M1648">
        <v>-4.4324549999999997E-2</v>
      </c>
      <c r="N1648">
        <v>-1.391385E-2</v>
      </c>
      <c r="O1648">
        <v>-0.99892060000000005</v>
      </c>
      <c r="P1648">
        <v>-5.9039399999999999E-2</v>
      </c>
      <c r="Q1648">
        <v>-9.1474940000000005E-2</v>
      </c>
      <c r="R1648">
        <v>-0.99405619999999995</v>
      </c>
      <c r="S1648">
        <v>-0.1413422</v>
      </c>
      <c r="T1648">
        <v>-0.1565597</v>
      </c>
      <c r="U1648">
        <v>-2.9952999999999999</v>
      </c>
      <c r="V1648">
        <v>1.494851E-2</v>
      </c>
      <c r="W1648">
        <v>-7.7605880000000002E-2</v>
      </c>
      <c r="X1648">
        <v>0.99687210000000004</v>
      </c>
      <c r="Y1648">
        <v>2.7739000000000002E-3</v>
      </c>
      <c r="Z1648">
        <v>3.8205900000000001E-2</v>
      </c>
      <c r="AA1648">
        <v>0.99926599999999999</v>
      </c>
      <c r="AB1648">
        <v>26</v>
      </c>
      <c r="AC1648">
        <v>-1.0009999999999999</v>
      </c>
      <c r="AD1648">
        <v>-1.1210743298919901</v>
      </c>
      <c r="AE1648">
        <v>-21.194199999999999</v>
      </c>
      <c r="AF1648">
        <v>6.0333548261907601E-2</v>
      </c>
      <c r="AG1648">
        <v>-1.1210743298919901</v>
      </c>
      <c r="AH1648">
        <v>21.158670704992499</v>
      </c>
      <c r="AI1648">
        <v>93.032920251440004</v>
      </c>
      <c r="AJ1648">
        <v>89.836622614079701</v>
      </c>
      <c r="AK1648">
        <v>21.188435378585499</v>
      </c>
      <c r="AL1648">
        <v>94.450964566079406</v>
      </c>
      <c r="AM1648">
        <v>89.140890446778201</v>
      </c>
      <c r="AN1648">
        <v>1.0000000571601</v>
      </c>
    </row>
    <row r="1649" spans="1:40" x14ac:dyDescent="0.25">
      <c r="A1649" t="str">
        <f>"20190303154759047"</f>
        <v>20190303154759047</v>
      </c>
      <c r="B1649" t="str">
        <f>"1551599279042581"</f>
        <v>1551599279042581</v>
      </c>
      <c r="C1649" t="s">
        <v>40</v>
      </c>
      <c r="D1649">
        <v>5.4587309999999896</v>
      </c>
      <c r="E1649">
        <v>0.49583129999999997</v>
      </c>
      <c r="F1649" t="s">
        <v>41</v>
      </c>
      <c r="G1649">
        <v>-192.9597</v>
      </c>
      <c r="H1649" s="1">
        <v>-2.0809799999999999E-6</v>
      </c>
      <c r="I1649">
        <v>302.60419999999999</v>
      </c>
      <c r="J1649">
        <v>-191.91749999999999</v>
      </c>
      <c r="K1649">
        <v>1.121075</v>
      </c>
      <c r="L1649">
        <v>324.1241</v>
      </c>
      <c r="M1649">
        <v>-4.4047200000000002E-2</v>
      </c>
      <c r="N1649">
        <v>-1.391209E-2</v>
      </c>
      <c r="O1649">
        <v>-0.99893299999999996</v>
      </c>
      <c r="P1649">
        <v>-6.0491160000000002E-2</v>
      </c>
      <c r="Q1649">
        <v>-9.0255569999999993E-2</v>
      </c>
      <c r="R1649">
        <v>-0.99408030000000003</v>
      </c>
      <c r="S1649">
        <v>-0.1448517</v>
      </c>
      <c r="T1649">
        <v>-0.15397759999999999</v>
      </c>
      <c r="U1649">
        <v>-2.9952390000000002</v>
      </c>
      <c r="V1649">
        <v>1.6672550000000001E-2</v>
      </c>
      <c r="W1649">
        <v>-7.6386709999999997E-2</v>
      </c>
      <c r="X1649">
        <v>0.99693889999999996</v>
      </c>
      <c r="Y1649">
        <v>4.2216040000000003E-3</v>
      </c>
      <c r="Z1649">
        <v>3.7350969999999997E-2</v>
      </c>
      <c r="AA1649">
        <v>0.99929330000000005</v>
      </c>
      <c r="AB1649">
        <v>26</v>
      </c>
      <c r="AC1649">
        <v>-1.0422</v>
      </c>
      <c r="AD1649">
        <v>-1.1210770809799999</v>
      </c>
      <c r="AE1649">
        <v>-21.5199</v>
      </c>
      <c r="AF1649">
        <v>9.29539389391454E-2</v>
      </c>
      <c r="AG1649">
        <v>-1.1210770809799999</v>
      </c>
      <c r="AH1649">
        <v>21.486744300171399</v>
      </c>
      <c r="AI1649">
        <v>92.986687682086199</v>
      </c>
      <c r="AJ1649">
        <v>89.752133916082798</v>
      </c>
      <c r="AK1649">
        <v>21.516171473503601</v>
      </c>
      <c r="AL1649">
        <v>94.380903373864399</v>
      </c>
      <c r="AM1649">
        <v>89.041889421520807</v>
      </c>
      <c r="AN1649">
        <v>1.0000000368606601</v>
      </c>
    </row>
    <row r="1650" spans="1:40" x14ac:dyDescent="0.25">
      <c r="A1650" t="str">
        <f>"20190303154759067"</f>
        <v>20190303154759067</v>
      </c>
      <c r="B1650" t="str">
        <f>"1551599279062102"</f>
        <v>1551599279062102</v>
      </c>
      <c r="C1650" t="s">
        <v>40</v>
      </c>
      <c r="D1650">
        <v>5.5512050000000004</v>
      </c>
      <c r="E1650">
        <v>0.49571769999999998</v>
      </c>
      <c r="F1650" t="s">
        <v>41</v>
      </c>
      <c r="G1650">
        <v>-192.999</v>
      </c>
      <c r="H1650" s="1">
        <v>-1.869881E-6</v>
      </c>
      <c r="I1650">
        <v>302.08780000000002</v>
      </c>
      <c r="J1650">
        <v>-191.92779999999999</v>
      </c>
      <c r="K1650">
        <v>1.1210770000000001</v>
      </c>
      <c r="L1650">
        <v>323.88490000000002</v>
      </c>
      <c r="M1650">
        <v>-4.3824710000000003E-2</v>
      </c>
      <c r="N1650">
        <v>-1.39106E-2</v>
      </c>
      <c r="O1650">
        <v>-0.99894269999999996</v>
      </c>
      <c r="P1650">
        <v>-6.2364780000000002E-2</v>
      </c>
      <c r="Q1650">
        <v>-8.9552690000000004E-2</v>
      </c>
      <c r="R1650">
        <v>-0.99402820000000003</v>
      </c>
      <c r="S1650">
        <v>-0.14698789999999901</v>
      </c>
      <c r="T1650">
        <v>-0.152370899999999</v>
      </c>
      <c r="U1650">
        <v>-2.9950559999999999</v>
      </c>
      <c r="V1650">
        <v>1.8767220000000001E-2</v>
      </c>
      <c r="W1650">
        <v>-7.5684420000000002E-2</v>
      </c>
      <c r="X1650">
        <v>0.99695520000000004</v>
      </c>
      <c r="Y1650">
        <v>5.1588839999999999E-3</v>
      </c>
      <c r="Z1650">
        <v>3.6821880000000001E-2</v>
      </c>
      <c r="AA1650">
        <v>0.99930850000000004</v>
      </c>
      <c r="AB1650">
        <v>26</v>
      </c>
      <c r="AC1650">
        <v>-1.0712000000000299</v>
      </c>
      <c r="AD1650">
        <v>-1.1210788698809999</v>
      </c>
      <c r="AE1650">
        <v>-21.7971</v>
      </c>
      <c r="AF1650">
        <v>0.11452468594394</v>
      </c>
      <c r="AG1650">
        <v>-1.1210788698809999</v>
      </c>
      <c r="AH1650">
        <v>21.765665653413599</v>
      </c>
      <c r="AI1650">
        <v>92.948473522950195</v>
      </c>
      <c r="AJ1650">
        <v>89.698528834152199</v>
      </c>
      <c r="AK1650">
        <v>21.794818996090999</v>
      </c>
      <c r="AL1650">
        <v>94.340548434709902</v>
      </c>
      <c r="AM1650">
        <v>88.921560855814405</v>
      </c>
      <c r="AN1650">
        <v>1.0000000053921501</v>
      </c>
    </row>
    <row r="1651" spans="1:40" x14ac:dyDescent="0.25">
      <c r="A1651" t="str">
        <f>"20190303154759089"</f>
        <v>20190303154759089</v>
      </c>
      <c r="B1651" t="str">
        <f>"1551599279082128"</f>
        <v>1551599279082128</v>
      </c>
      <c r="C1651" t="s">
        <v>40</v>
      </c>
      <c r="D1651">
        <v>5.5650500000000003</v>
      </c>
      <c r="E1651">
        <v>0.49561280000000002</v>
      </c>
      <c r="F1651" t="s">
        <v>41</v>
      </c>
      <c r="G1651">
        <v>-193.0444</v>
      </c>
      <c r="H1651" s="1">
        <v>-1.765068E-6</v>
      </c>
      <c r="I1651">
        <v>301.81529999999998</v>
      </c>
      <c r="J1651">
        <v>-191.9385</v>
      </c>
      <c r="K1651">
        <v>1.121081</v>
      </c>
      <c r="L1651">
        <v>323.63490000000002</v>
      </c>
      <c r="M1651">
        <v>-4.359822E-2</v>
      </c>
      <c r="N1651">
        <v>-1.390893E-2</v>
      </c>
      <c r="O1651">
        <v>-0.99895250000000002</v>
      </c>
      <c r="P1651">
        <v>-6.4189650000000001E-2</v>
      </c>
      <c r="Q1651">
        <v>-8.9073689999999997E-2</v>
      </c>
      <c r="R1651">
        <v>-0.99395500000000003</v>
      </c>
      <c r="S1651">
        <v>-0.15151979999999901</v>
      </c>
      <c r="T1651">
        <v>-0.15212709999999999</v>
      </c>
      <c r="U1651">
        <v>-2.9947810000000001</v>
      </c>
      <c r="V1651">
        <v>2.081829E-2</v>
      </c>
      <c r="W1651">
        <v>-7.5206549999999997E-2</v>
      </c>
      <c r="X1651">
        <v>0.99695060000000002</v>
      </c>
      <c r="Y1651">
        <v>6.8979100000000002E-3</v>
      </c>
      <c r="Z1651">
        <v>3.6746180000000003E-2</v>
      </c>
      <c r="AA1651">
        <v>0.99930079999999999</v>
      </c>
      <c r="AB1651">
        <v>26</v>
      </c>
      <c r="AC1651">
        <v>-1.1058999999999899</v>
      </c>
      <c r="AD1651">
        <v>-1.121082765068</v>
      </c>
      <c r="AE1651">
        <v>-21.819600000000001</v>
      </c>
      <c r="AF1651">
        <v>0.15305764951895301</v>
      </c>
      <c r="AG1651">
        <v>-1.121082765068</v>
      </c>
      <c r="AH1651">
        <v>21.789694181144402</v>
      </c>
      <c r="AI1651">
        <v>92.945206211928195</v>
      </c>
      <c r="AJ1651">
        <v>89.597543084444794</v>
      </c>
      <c r="AK1651">
        <v>21.819051897779801</v>
      </c>
      <c r="AL1651">
        <v>94.3130904275218</v>
      </c>
      <c r="AM1651">
        <v>88.803725256884704</v>
      </c>
      <c r="AN1651">
        <v>0.99999996260089197</v>
      </c>
    </row>
    <row r="1652" spans="1:40" x14ac:dyDescent="0.25">
      <c r="A1652" t="str">
        <f>"20190303154759113"</f>
        <v>20190303154759113</v>
      </c>
      <c r="B1652" t="str">
        <f>"1551599279102623"</f>
        <v>1551599279102623</v>
      </c>
      <c r="C1652" t="s">
        <v>40</v>
      </c>
      <c r="D1652">
        <v>5.6520489999999999</v>
      </c>
      <c r="E1652">
        <v>0.49550559999999899</v>
      </c>
      <c r="F1652" t="s">
        <v>41</v>
      </c>
      <c r="G1652">
        <v>-193.0864</v>
      </c>
      <c r="H1652" s="1">
        <v>-1.684839E-6</v>
      </c>
      <c r="I1652">
        <v>301.60219999999998</v>
      </c>
      <c r="J1652">
        <v>-191.9494</v>
      </c>
      <c r="K1652">
        <v>1.1210910000000001</v>
      </c>
      <c r="L1652">
        <v>323.3777</v>
      </c>
      <c r="M1652">
        <v>-4.3368579999999997E-2</v>
      </c>
      <c r="N1652">
        <v>-1.390717E-2</v>
      </c>
      <c r="O1652">
        <v>-0.99896249999999998</v>
      </c>
      <c r="P1652">
        <v>-6.5588859999999999E-2</v>
      </c>
      <c r="Q1652">
        <v>-8.6892869999999997E-2</v>
      </c>
      <c r="R1652">
        <v>-0.99405619999999995</v>
      </c>
      <c r="S1652">
        <v>-0.1560211</v>
      </c>
      <c r="T1652">
        <v>-0.15237000000000001</v>
      </c>
      <c r="U1652">
        <v>-2.9945369999999998</v>
      </c>
      <c r="V1652">
        <v>2.243912E-2</v>
      </c>
      <c r="W1652">
        <v>-7.3025140000000002E-2</v>
      </c>
      <c r="X1652">
        <v>0.99707760000000001</v>
      </c>
      <c r="Y1652">
        <v>8.6291259999999904E-3</v>
      </c>
      <c r="Z1652">
        <v>3.6831559999999999E-2</v>
      </c>
      <c r="AA1652">
        <v>0.99928419999999896</v>
      </c>
      <c r="AB1652">
        <v>26</v>
      </c>
      <c r="AC1652">
        <v>-1.137</v>
      </c>
      <c r="AD1652">
        <v>-1.1210926848389999</v>
      </c>
      <c r="AE1652">
        <v>-21.775500000000001</v>
      </c>
      <c r="AF1652">
        <v>0.19096154527908199</v>
      </c>
      <c r="AG1652">
        <v>-1.1210926848389999</v>
      </c>
      <c r="AH1652">
        <v>21.746837411541499</v>
      </c>
      <c r="AI1652">
        <v>92.950985288341897</v>
      </c>
      <c r="AJ1652">
        <v>89.496891930569802</v>
      </c>
      <c r="AK1652">
        <v>21.776552815443399</v>
      </c>
      <c r="AL1652">
        <v>94.187760106582104</v>
      </c>
      <c r="AM1652">
        <v>88.710782503432</v>
      </c>
      <c r="AN1652">
        <v>0.99999996280007597</v>
      </c>
    </row>
    <row r="1653" spans="1:40" x14ac:dyDescent="0.25">
      <c r="A1653" t="str">
        <f>"20190303154759135"</f>
        <v>20190303154759135</v>
      </c>
      <c r="B1653" t="str">
        <f>"1551599279131904"</f>
        <v>1551599279131904</v>
      </c>
      <c r="C1653" t="s">
        <v>40</v>
      </c>
      <c r="D1653">
        <v>5.6100659999999998</v>
      </c>
      <c r="E1653">
        <v>0.49084159999999999</v>
      </c>
      <c r="F1653" t="s">
        <v>41</v>
      </c>
      <c r="G1653">
        <v>-193.16210000000001</v>
      </c>
      <c r="H1653" s="1">
        <v>-1.2817269999999901E-6</v>
      </c>
      <c r="I1653">
        <v>300.61559999999997</v>
      </c>
      <c r="J1653">
        <v>-191.96039999999999</v>
      </c>
      <c r="K1653">
        <v>1.1211169999999999</v>
      </c>
      <c r="L1653">
        <v>323.11799999999999</v>
      </c>
      <c r="M1653">
        <v>-4.3138009999999997E-2</v>
      </c>
      <c r="N1653">
        <v>-1.3905229999999999E-2</v>
      </c>
      <c r="O1653">
        <v>-0.99897250000000004</v>
      </c>
      <c r="P1653">
        <v>-6.547704E-2</v>
      </c>
      <c r="Q1653">
        <v>-8.4104330000000005E-2</v>
      </c>
      <c r="R1653">
        <v>-0.99430359999999995</v>
      </c>
      <c r="S1653">
        <v>-0.15954589999999999</v>
      </c>
      <c r="T1653">
        <v>-0.1474905</v>
      </c>
      <c r="U1653">
        <v>-2.9945680000000001</v>
      </c>
      <c r="V1653">
        <v>2.2544939999999999E-2</v>
      </c>
      <c r="W1653">
        <v>-7.0235679999999995E-2</v>
      </c>
      <c r="X1653">
        <v>0.99727569999999999</v>
      </c>
      <c r="Y1653">
        <v>1.0034939999999999E-2</v>
      </c>
      <c r="Z1653">
        <v>3.5211239999999998E-2</v>
      </c>
      <c r="AA1653">
        <v>0.99932949999999998</v>
      </c>
      <c r="AB1653">
        <v>26</v>
      </c>
      <c r="AC1653">
        <v>-1.20170000000001</v>
      </c>
      <c r="AD1653">
        <v>-1.121118281727</v>
      </c>
      <c r="AE1653">
        <v>-22.502400000000002</v>
      </c>
      <c r="AF1653">
        <v>0.229211336806043</v>
      </c>
      <c r="AG1653">
        <v>-1.121118281727</v>
      </c>
      <c r="AH1653">
        <v>22.4776564824815</v>
      </c>
      <c r="AI1653">
        <v>92.855227708254105</v>
      </c>
      <c r="AJ1653">
        <v>89.415758175298805</v>
      </c>
      <c r="AK1653">
        <v>22.506765315855201</v>
      </c>
      <c r="AL1653">
        <v>94.027523709031499</v>
      </c>
      <c r="AM1653">
        <v>88.704961997514303</v>
      </c>
      <c r="AN1653">
        <v>1.00000007343757</v>
      </c>
    </row>
    <row r="1654" spans="1:40" x14ac:dyDescent="0.25">
      <c r="A1654" t="str">
        <f>"20190303154759156"</f>
        <v>20190303154759156</v>
      </c>
      <c r="B1654" t="str">
        <f>"1551599279152399"</f>
        <v>1551599279152399</v>
      </c>
      <c r="C1654" t="s">
        <v>40</v>
      </c>
      <c r="D1654">
        <v>5.6850849999999999</v>
      </c>
      <c r="E1654">
        <v>0.48993940000000002</v>
      </c>
      <c r="F1654" t="s">
        <v>41</v>
      </c>
      <c r="G1654">
        <v>-192.6919</v>
      </c>
      <c r="H1654" s="1">
        <v>-3.1504439999999999E-6</v>
      </c>
      <c r="I1654">
        <v>305.26330000000002</v>
      </c>
      <c r="J1654">
        <v>-191.97020000000001</v>
      </c>
      <c r="K1654">
        <v>1.1211329999999999</v>
      </c>
      <c r="L1654">
        <v>322.88380000000001</v>
      </c>
      <c r="M1654">
        <v>-4.2930009999999998E-2</v>
      </c>
      <c r="N1654">
        <v>-1.390335E-2</v>
      </c>
      <c r="O1654">
        <v>-0.99898140000000002</v>
      </c>
      <c r="P1654">
        <v>-6.3628039999999997E-2</v>
      </c>
      <c r="Q1654">
        <v>-8.1190750000000006E-2</v>
      </c>
      <c r="R1654">
        <v>-0.99466560000000004</v>
      </c>
      <c r="S1654">
        <v>-0.12263490000000001</v>
      </c>
      <c r="T1654">
        <v>-0.187948</v>
      </c>
      <c r="U1654">
        <v>-2.9932249999999998</v>
      </c>
      <c r="V1654">
        <v>2.0888049999999998E-2</v>
      </c>
      <c r="W1654">
        <v>-6.7321110000000003E-2</v>
      </c>
      <c r="X1654">
        <v>0.99751270000000003</v>
      </c>
      <c r="Y1654">
        <v>-2.0469619999999998E-3</v>
      </c>
      <c r="Z1654">
        <v>4.8685039999999999E-2</v>
      </c>
      <c r="AA1654">
        <v>0.99881209999999998</v>
      </c>
      <c r="AB1654">
        <v>26</v>
      </c>
      <c r="AC1654">
        <v>-0.72169999999999801</v>
      </c>
      <c r="AD1654">
        <v>-1.1211361504439901</v>
      </c>
      <c r="AE1654">
        <v>-17.6204999999999</v>
      </c>
      <c r="AF1654">
        <v>-3.5343946839349001E-2</v>
      </c>
      <c r="AG1654">
        <v>-1.1211361504439901</v>
      </c>
      <c r="AH1654">
        <v>17.564250279560301</v>
      </c>
      <c r="AI1654">
        <v>93.652260214382096</v>
      </c>
      <c r="AJ1654">
        <v>90.115294203834694</v>
      </c>
      <c r="AK1654">
        <v>17.600030776832298</v>
      </c>
      <c r="AL1654">
        <v>93.860134945166493</v>
      </c>
      <c r="AM1654">
        <v>88.800393994262507</v>
      </c>
      <c r="AN1654">
        <v>1.00000001457286</v>
      </c>
    </row>
    <row r="1655" spans="1:40" x14ac:dyDescent="0.25">
      <c r="A1655" t="str">
        <f>"20190303154759179"</f>
        <v>20190303154759179</v>
      </c>
      <c r="B1655" t="str">
        <f>"1551599279171920"</f>
        <v>1551599279171920</v>
      </c>
      <c r="C1655" t="s">
        <v>40</v>
      </c>
      <c r="D1655">
        <v>5.6404370000000004</v>
      </c>
      <c r="E1655">
        <v>0.48971710000000002</v>
      </c>
      <c r="F1655" t="s">
        <v>41</v>
      </c>
      <c r="G1655">
        <v>-192.65530000000001</v>
      </c>
      <c r="H1655" s="1">
        <v>-2.6802089999999998E-6</v>
      </c>
      <c r="I1655">
        <v>304.18979999999999</v>
      </c>
      <c r="J1655">
        <v>-191.9812</v>
      </c>
      <c r="K1655">
        <v>1.12114</v>
      </c>
      <c r="L1655">
        <v>322.62279999999998</v>
      </c>
      <c r="M1655">
        <v>-4.2697869999999999E-2</v>
      </c>
      <c r="N1655">
        <v>-1.390107E-2</v>
      </c>
      <c r="O1655">
        <v>-0.99899130000000003</v>
      </c>
      <c r="P1655">
        <v>-6.0392639999999997E-2</v>
      </c>
      <c r="Q1655">
        <v>-7.945497E-2</v>
      </c>
      <c r="R1655">
        <v>-0.99500750000000004</v>
      </c>
      <c r="S1655">
        <v>-0.1097412</v>
      </c>
      <c r="T1655">
        <v>-0.17958270000000001</v>
      </c>
      <c r="U1655">
        <v>-2.9943849999999999</v>
      </c>
      <c r="V1655">
        <v>1.7871599999999901E-2</v>
      </c>
      <c r="W1655">
        <v>-6.5586190000000003E-2</v>
      </c>
      <c r="X1655">
        <v>0.99768690000000004</v>
      </c>
      <c r="Y1655">
        <v>-6.1178400000000003E-3</v>
      </c>
      <c r="Z1655">
        <v>4.589215E-2</v>
      </c>
      <c r="AA1655">
        <v>0.99892769999999997</v>
      </c>
      <c r="AB1655">
        <v>25</v>
      </c>
      <c r="AC1655">
        <v>-0.67410000000000903</v>
      </c>
      <c r="AD1655">
        <v>-1.1211426802089901</v>
      </c>
      <c r="AE1655">
        <v>-18.433</v>
      </c>
      <c r="AF1655">
        <v>-0.113222490489699</v>
      </c>
      <c r="AG1655">
        <v>-1.1211426802089901</v>
      </c>
      <c r="AH1655">
        <v>18.3770787034119</v>
      </c>
      <c r="AI1655">
        <v>93.491088693810994</v>
      </c>
      <c r="AJ1655">
        <v>90.352998911080903</v>
      </c>
      <c r="AK1655">
        <v>18.411594225192299</v>
      </c>
      <c r="AL1655">
        <v>93.760511003055797</v>
      </c>
      <c r="AM1655">
        <v>88.973768472074198</v>
      </c>
      <c r="AN1655">
        <v>1.00000004641844</v>
      </c>
    </row>
    <row r="1656" spans="1:40" x14ac:dyDescent="0.25">
      <c r="A1656" t="str">
        <f>"20190303154759201"</f>
        <v>20190303154759201</v>
      </c>
      <c r="B1656" t="str">
        <f>"1551599279192719"</f>
        <v>1551599279192719</v>
      </c>
      <c r="C1656" t="s">
        <v>40</v>
      </c>
      <c r="D1656">
        <v>5.7060649999999997</v>
      </c>
      <c r="E1656">
        <v>0.48980509999999999</v>
      </c>
      <c r="F1656" t="s">
        <v>41</v>
      </c>
      <c r="G1656">
        <v>-192.59119999999999</v>
      </c>
      <c r="H1656" s="1">
        <v>-2.5940059999999998E-6</v>
      </c>
      <c r="I1656">
        <v>304.02870000000001</v>
      </c>
      <c r="J1656">
        <v>-191.9913</v>
      </c>
      <c r="K1656">
        <v>1.121146</v>
      </c>
      <c r="L1656">
        <v>322.37880000000001</v>
      </c>
      <c r="M1656">
        <v>-4.248031E-2</v>
      </c>
      <c r="N1656">
        <v>-1.3899E-2</v>
      </c>
      <c r="O1656">
        <v>-0.99900060000000002</v>
      </c>
      <c r="P1656">
        <v>-5.7001040000000003E-2</v>
      </c>
      <c r="Q1656">
        <v>-7.9223500000000002E-2</v>
      </c>
      <c r="R1656">
        <v>-0.9952259</v>
      </c>
      <c r="S1656">
        <v>-9.8251340000000006E-2</v>
      </c>
      <c r="T1656">
        <v>-0.18056420000000001</v>
      </c>
      <c r="U1656">
        <v>-2.994659</v>
      </c>
      <c r="V1656">
        <v>1.469053E-2</v>
      </c>
      <c r="W1656">
        <v>-6.5356979999999995E-2</v>
      </c>
      <c r="X1656">
        <v>0.99775380000000002</v>
      </c>
      <c r="Y1656">
        <v>-9.7300400000000006E-3</v>
      </c>
      <c r="Z1656">
        <v>4.6217179999999997E-2</v>
      </c>
      <c r="AA1656">
        <v>0.99888399999999999</v>
      </c>
      <c r="AB1656">
        <v>25</v>
      </c>
      <c r="AC1656">
        <v>-0.599899999999991</v>
      </c>
      <c r="AD1656">
        <v>-1.121148594006</v>
      </c>
      <c r="AE1656">
        <v>-18.350100000000001</v>
      </c>
      <c r="AF1656">
        <v>-0.17956530181647401</v>
      </c>
      <c r="AG1656">
        <v>-1.121148594006</v>
      </c>
      <c r="AH1656">
        <v>18.290813266329501</v>
      </c>
      <c r="AI1656">
        <v>93.507429061864897</v>
      </c>
      <c r="AJ1656">
        <v>90.562468343352805</v>
      </c>
      <c r="AK1656">
        <v>18.326021603479301</v>
      </c>
      <c r="AL1656">
        <v>93.747350189570994</v>
      </c>
      <c r="AM1656">
        <v>89.156460689160895</v>
      </c>
      <c r="AN1656">
        <v>0.99999999596042</v>
      </c>
    </row>
    <row r="1657" spans="1:40" x14ac:dyDescent="0.25">
      <c r="A1657" t="str">
        <f>"20190303154759224"</f>
        <v>20190303154759224</v>
      </c>
      <c r="B1657" t="str">
        <f>"1551599279212239"</f>
        <v>1551599279212239</v>
      </c>
      <c r="C1657" t="s">
        <v>40</v>
      </c>
      <c r="D1657">
        <v>5.6708660000000002</v>
      </c>
      <c r="E1657">
        <v>0.48981269999999999</v>
      </c>
      <c r="F1657" t="s">
        <v>41</v>
      </c>
      <c r="G1657">
        <v>-192.52940000000001</v>
      </c>
      <c r="H1657" s="1">
        <v>-2.6627299999999902E-6</v>
      </c>
      <c r="I1657">
        <v>304.22719999999998</v>
      </c>
      <c r="J1657">
        <v>-192.00229999999999</v>
      </c>
      <c r="K1657">
        <v>1.12114</v>
      </c>
      <c r="L1657">
        <v>322.11329999999998</v>
      </c>
      <c r="M1657">
        <v>-4.2242740000000001E-2</v>
      </c>
      <c r="N1657">
        <v>-1.389669E-2</v>
      </c>
      <c r="O1657">
        <v>-0.99901090000000003</v>
      </c>
      <c r="P1657">
        <v>-5.4078899999999999E-2</v>
      </c>
      <c r="Q1657">
        <v>-7.9678120000000005E-2</v>
      </c>
      <c r="R1657">
        <v>-0.99535300000000004</v>
      </c>
      <c r="S1657">
        <v>-8.8775629999999994E-2</v>
      </c>
      <c r="T1657">
        <v>-0.1849635</v>
      </c>
      <c r="U1657">
        <v>-2.9945979999999999</v>
      </c>
      <c r="V1657">
        <v>1.200269E-2</v>
      </c>
      <c r="W1657">
        <v>-6.5814789999999998E-2</v>
      </c>
      <c r="X1657">
        <v>0.99775959999999997</v>
      </c>
      <c r="Y1657">
        <v>-1.2649580000000001E-2</v>
      </c>
      <c r="Z1657">
        <v>4.7682269999999999E-2</v>
      </c>
      <c r="AA1657">
        <v>0.99878250000000002</v>
      </c>
      <c r="AB1657">
        <v>25</v>
      </c>
      <c r="AC1657">
        <v>-0.527100000000018</v>
      </c>
      <c r="AD1657">
        <v>-1.1211426627299901</v>
      </c>
      <c r="AE1657">
        <v>-17.886099999999999</v>
      </c>
      <c r="AF1657">
        <v>-0.228105832669141</v>
      </c>
      <c r="AG1657">
        <v>-1.1211426627299901</v>
      </c>
      <c r="AH1657">
        <v>17.822434730772098</v>
      </c>
      <c r="AI1657">
        <v>93.599226031373902</v>
      </c>
      <c r="AJ1657">
        <v>90.733277362282394</v>
      </c>
      <c r="AK1657">
        <v>17.8591201595633</v>
      </c>
      <c r="AL1657">
        <v>93.773637598270895</v>
      </c>
      <c r="AM1657">
        <v>89.310785574360196</v>
      </c>
      <c r="AN1657">
        <v>0.99999993527106801</v>
      </c>
    </row>
    <row r="1658" spans="1:40" x14ac:dyDescent="0.25">
      <c r="A1658" t="str">
        <f>"20190303154759247"</f>
        <v>20190303154759247</v>
      </c>
      <c r="B1658" t="str">
        <f>"1551599279242496"</f>
        <v>1551599279242496</v>
      </c>
      <c r="C1658" t="s">
        <v>40</v>
      </c>
      <c r="D1658">
        <v>5.7013449999999999</v>
      </c>
      <c r="E1658">
        <v>0.49259140000000001</v>
      </c>
      <c r="F1658" t="s">
        <v>41</v>
      </c>
      <c r="G1658">
        <v>-192.46940000000001</v>
      </c>
      <c r="H1658" s="1">
        <v>-2.82101E-6</v>
      </c>
      <c r="I1658">
        <v>304.63339999999999</v>
      </c>
      <c r="J1658">
        <v>-192.0129</v>
      </c>
      <c r="K1658">
        <v>1.1211420000000001</v>
      </c>
      <c r="L1658">
        <v>321.85579999999999</v>
      </c>
      <c r="M1658">
        <v>-4.2011760000000002E-2</v>
      </c>
      <c r="N1658">
        <v>-1.3894419999999999E-2</v>
      </c>
      <c r="O1658">
        <v>-0.99902060000000004</v>
      </c>
      <c r="P1658">
        <v>-5.1764860000000003E-2</v>
      </c>
      <c r="Q1658">
        <v>-7.900604E-2</v>
      </c>
      <c r="R1658">
        <v>-0.99552960000000001</v>
      </c>
      <c r="S1658">
        <v>-8.0017089999999999E-2</v>
      </c>
      <c r="T1658">
        <v>-0.19205130000000001</v>
      </c>
      <c r="U1658">
        <v>-2.9942929999999999</v>
      </c>
      <c r="V1658">
        <v>9.9134180000000002E-3</v>
      </c>
      <c r="W1658">
        <v>-6.5144709999999995E-2</v>
      </c>
      <c r="X1658">
        <v>0.99782660000000001</v>
      </c>
      <c r="Y1658">
        <v>-1.5335949999999999E-2</v>
      </c>
      <c r="Z1658">
        <v>5.0043450000000003E-2</v>
      </c>
      <c r="AA1658">
        <v>0.99862930000000005</v>
      </c>
      <c r="AB1658">
        <v>25</v>
      </c>
      <c r="AC1658">
        <v>-0.45650000000000501</v>
      </c>
      <c r="AD1658">
        <v>-1.1211448210099999</v>
      </c>
      <c r="AE1658">
        <v>-17.222399999999901</v>
      </c>
      <c r="AF1658">
        <v>-0.26638813269926997</v>
      </c>
      <c r="AG1658">
        <v>-1.1211448210099999</v>
      </c>
      <c r="AH1658">
        <v>17.153729599983699</v>
      </c>
      <c r="AI1658">
        <v>93.7390073276419</v>
      </c>
      <c r="AJ1658">
        <v>90.889700915996201</v>
      </c>
      <c r="AK1658">
        <v>17.192392722837599</v>
      </c>
      <c r="AL1658">
        <v>93.735161963740197</v>
      </c>
      <c r="AM1658">
        <v>89.430784542009903</v>
      </c>
      <c r="AN1658">
        <v>1.00000001638249</v>
      </c>
    </row>
    <row r="1659" spans="1:40" x14ac:dyDescent="0.25">
      <c r="A1659" t="str">
        <f>"20190303154759268"</f>
        <v>20190303154759268</v>
      </c>
      <c r="B1659" t="str">
        <f>"1551599279262016"</f>
        <v>1551599279262016</v>
      </c>
      <c r="C1659" t="s">
        <v>40</v>
      </c>
      <c r="D1659">
        <v>5.6786649999999996</v>
      </c>
      <c r="E1659">
        <v>0.4931664</v>
      </c>
      <c r="F1659" t="s">
        <v>41</v>
      </c>
      <c r="G1659">
        <v>-192.48609999999999</v>
      </c>
      <c r="H1659" s="1">
        <v>-3.8882189999999998E-6</v>
      </c>
      <c r="I1659">
        <v>307.11660000000001</v>
      </c>
      <c r="J1659">
        <v>-192.0231</v>
      </c>
      <c r="K1659">
        <v>1.1211519999999999</v>
      </c>
      <c r="L1659">
        <v>321.60579999999999</v>
      </c>
      <c r="M1659">
        <v>-4.1787320000000003E-2</v>
      </c>
      <c r="N1659">
        <v>-1.389221E-2</v>
      </c>
      <c r="O1659">
        <v>-0.99902990000000003</v>
      </c>
      <c r="P1659">
        <v>-5.0982670000000001E-2</v>
      </c>
      <c r="Q1659">
        <v>-7.7579609999999993E-2</v>
      </c>
      <c r="R1659">
        <v>-0.99568179999999995</v>
      </c>
      <c r="S1659">
        <v>-9.6008300000000005E-2</v>
      </c>
      <c r="T1659">
        <v>-0.2274706</v>
      </c>
      <c r="U1659">
        <v>-2.9904480000000002</v>
      </c>
      <c r="V1659">
        <v>9.3489780000000008E-3</v>
      </c>
      <c r="W1659">
        <v>-6.3719189999999995E-2</v>
      </c>
      <c r="X1659">
        <v>0.99792409999999998</v>
      </c>
      <c r="Y1659">
        <v>-9.7648869999999999E-3</v>
      </c>
      <c r="Z1659">
        <v>6.1875960000000001E-2</v>
      </c>
      <c r="AA1659">
        <v>0.99803609999999998</v>
      </c>
      <c r="AB1659">
        <v>25</v>
      </c>
      <c r="AC1659">
        <v>-0.46299999999999297</v>
      </c>
      <c r="AD1659">
        <v>-1.121155888219</v>
      </c>
      <c r="AE1659">
        <v>-14.489199999999901</v>
      </c>
      <c r="AF1659">
        <v>-0.14207797254951099</v>
      </c>
      <c r="AG1659">
        <v>-1.121155888219</v>
      </c>
      <c r="AH1659">
        <v>14.409701434418199</v>
      </c>
      <c r="AI1659">
        <v>94.448755651695606</v>
      </c>
      <c r="AJ1659">
        <v>90.564911385790694</v>
      </c>
      <c r="AK1659">
        <v>14.453950051976999</v>
      </c>
      <c r="AL1659">
        <v>93.653315582425904</v>
      </c>
      <c r="AM1659">
        <v>89.463244437215593</v>
      </c>
      <c r="AN1659">
        <v>1.0000000239623501</v>
      </c>
    </row>
    <row r="1660" spans="1:40" x14ac:dyDescent="0.25">
      <c r="A1660" t="str">
        <f>"20190303154759291"</f>
        <v>20190303154759291</v>
      </c>
      <c r="B1660" t="str">
        <f>"1551599279281876"</f>
        <v>1551599279281876</v>
      </c>
      <c r="C1660" t="s">
        <v>40</v>
      </c>
      <c r="D1660">
        <v>5.7312690000000002</v>
      </c>
      <c r="E1660">
        <v>0.49390620000000002</v>
      </c>
      <c r="F1660" t="s">
        <v>41</v>
      </c>
      <c r="G1660">
        <v>-192.5198</v>
      </c>
      <c r="H1660" s="1">
        <v>-3.6249990000000002E-6</v>
      </c>
      <c r="I1660">
        <v>306.47629999999998</v>
      </c>
      <c r="J1660">
        <v>-192.0334</v>
      </c>
      <c r="K1660">
        <v>1.1211500000000001</v>
      </c>
      <c r="L1660">
        <v>321.35390000000001</v>
      </c>
      <c r="M1660">
        <v>-4.1560659999999999E-2</v>
      </c>
      <c r="N1660">
        <v>-1.388985E-2</v>
      </c>
      <c r="O1660">
        <v>-0.99903969999999997</v>
      </c>
      <c r="P1660">
        <v>-5.2041230000000001E-2</v>
      </c>
      <c r="Q1660">
        <v>-7.6564080000000007E-2</v>
      </c>
      <c r="R1660">
        <v>-0.99570630000000004</v>
      </c>
      <c r="S1660">
        <v>-9.817505E-2</v>
      </c>
      <c r="T1660">
        <v>-0.22162390000000001</v>
      </c>
      <c r="U1660">
        <v>-2.990723</v>
      </c>
      <c r="V1660">
        <v>1.0631450000000001E-2</v>
      </c>
      <c r="W1660">
        <v>-6.2704759999999998E-2</v>
      </c>
      <c r="X1660">
        <v>0.99797550000000002</v>
      </c>
      <c r="Y1660">
        <v>-8.8154649999999998E-3</v>
      </c>
      <c r="Z1660">
        <v>5.9934769999999998E-2</v>
      </c>
      <c r="AA1660">
        <v>0.99816329999999998</v>
      </c>
      <c r="AB1660">
        <v>25</v>
      </c>
      <c r="AC1660">
        <v>-0.486400000000003</v>
      </c>
      <c r="AD1660">
        <v>-1.121153624999</v>
      </c>
      <c r="AE1660">
        <v>-14.877599999999999</v>
      </c>
      <c r="AF1660">
        <v>-0.131655839658229</v>
      </c>
      <c r="AG1660">
        <v>-1.121153624999</v>
      </c>
      <c r="AH1660">
        <v>14.8009963828596</v>
      </c>
      <c r="AI1660">
        <v>94.331627588321098</v>
      </c>
      <c r="AJ1660">
        <v>90.509636299264301</v>
      </c>
      <c r="AK1660">
        <v>14.843982371196301</v>
      </c>
      <c r="AL1660">
        <v>93.595076615205599</v>
      </c>
      <c r="AM1660">
        <v>89.389650173107498</v>
      </c>
      <c r="AN1660">
        <v>1.0000000066279999</v>
      </c>
    </row>
    <row r="1661" spans="1:40" x14ac:dyDescent="0.25">
      <c r="A1661" t="str">
        <f>"20190303154759314"</f>
        <v>20190303154759314</v>
      </c>
      <c r="B1661" t="str">
        <f>"1551599279302371"</f>
        <v>1551599279302371</v>
      </c>
      <c r="C1661" t="s">
        <v>40</v>
      </c>
      <c r="D1661">
        <v>5.7434839999999996</v>
      </c>
      <c r="E1661">
        <v>0.51495519999999995</v>
      </c>
      <c r="F1661" t="s">
        <v>41</v>
      </c>
      <c r="G1661">
        <v>-192.57560000000001</v>
      </c>
      <c r="H1661" s="1">
        <v>-3.5412859999999999E-6</v>
      </c>
      <c r="I1661">
        <v>306.24650000000003</v>
      </c>
      <c r="J1661">
        <v>-192.0436</v>
      </c>
      <c r="K1661">
        <v>1.121149</v>
      </c>
      <c r="L1661">
        <v>321.10129999999998</v>
      </c>
      <c r="M1661">
        <v>-4.133146E-2</v>
      </c>
      <c r="N1661">
        <v>-1.3887450000000001E-2</v>
      </c>
      <c r="O1661">
        <v>-0.99904899999999996</v>
      </c>
      <c r="P1661">
        <v>-5.413888E-2</v>
      </c>
      <c r="Q1661">
        <v>-7.6275339999999997E-2</v>
      </c>
      <c r="R1661">
        <v>-0.99561630000000001</v>
      </c>
      <c r="S1661">
        <v>-0.1073151</v>
      </c>
      <c r="T1661">
        <v>-0.22191659999999999</v>
      </c>
      <c r="U1661">
        <v>-2.9902950000000001</v>
      </c>
      <c r="V1661">
        <v>1.2959709999999999E-2</v>
      </c>
      <c r="W1661">
        <v>-6.2417729999999998E-2</v>
      </c>
      <c r="X1661">
        <v>0.99796600000000002</v>
      </c>
      <c r="Y1661">
        <v>-5.5362290000000001E-3</v>
      </c>
      <c r="Z1661">
        <v>6.0043550000000001E-2</v>
      </c>
      <c r="AA1661">
        <v>0.99818039999999997</v>
      </c>
      <c r="AB1661">
        <v>25</v>
      </c>
      <c r="AC1661">
        <v>-0.53200000000001002</v>
      </c>
      <c r="AD1661">
        <v>-1.1211525412859999</v>
      </c>
      <c r="AE1661">
        <v>-14.8547999999999</v>
      </c>
      <c r="AF1661">
        <v>-8.2017853144420602E-2</v>
      </c>
      <c r="AG1661">
        <v>-1.1211525412859999</v>
      </c>
      <c r="AH1661">
        <v>14.7800103374922</v>
      </c>
      <c r="AI1661">
        <v>94.337854817476895</v>
      </c>
      <c r="AJ1661">
        <v>90.317944878714002</v>
      </c>
      <c r="AK1661">
        <v>14.822699333300999</v>
      </c>
      <c r="AL1661">
        <v>93.578598638198102</v>
      </c>
      <c r="AM1661">
        <v>89.255991736572199</v>
      </c>
      <c r="AN1661">
        <v>1.0000000321288101</v>
      </c>
    </row>
    <row r="1662" spans="1:40" x14ac:dyDescent="0.25">
      <c r="A1662" t="str">
        <f>"20190303154759335"</f>
        <v>20190303154759335</v>
      </c>
      <c r="B1662" t="str">
        <f>"1551599279332627"</f>
        <v>1551599279332627</v>
      </c>
      <c r="C1662" t="s">
        <v>40</v>
      </c>
      <c r="D1662">
        <v>5.7596339999999904</v>
      </c>
      <c r="E1662">
        <v>0.516791</v>
      </c>
      <c r="F1662" t="s">
        <v>41</v>
      </c>
      <c r="G1662">
        <v>-193.62479999999999</v>
      </c>
      <c r="H1662" s="1">
        <v>-2.9866049999999998E-6</v>
      </c>
      <c r="I1662">
        <v>304.30270000000002</v>
      </c>
      <c r="J1662">
        <v>-192.05340000000001</v>
      </c>
      <c r="K1662">
        <v>1.121164</v>
      </c>
      <c r="L1662">
        <v>320.85860000000002</v>
      </c>
      <c r="M1662">
        <v>-4.1105999999999997E-2</v>
      </c>
      <c r="N1662">
        <v>-1.388491E-2</v>
      </c>
      <c r="O1662">
        <v>-0.99905829999999995</v>
      </c>
      <c r="P1662">
        <v>-5.5288570000000002E-2</v>
      </c>
      <c r="Q1662">
        <v>-7.4381559999999999E-2</v>
      </c>
      <c r="R1662">
        <v>-0.99569589999999997</v>
      </c>
      <c r="S1662">
        <v>-0.2807617</v>
      </c>
      <c r="T1662">
        <v>-0.1990702</v>
      </c>
      <c r="U1662">
        <v>-2.9827270000000001</v>
      </c>
      <c r="V1662">
        <v>1.432986E-2</v>
      </c>
      <c r="W1662">
        <v>-6.0524399999999999E-2</v>
      </c>
      <c r="X1662">
        <v>0.9980639</v>
      </c>
      <c r="Y1662">
        <v>5.2548169999999998E-2</v>
      </c>
      <c r="Z1662">
        <v>5.2482830000000001E-2</v>
      </c>
      <c r="AA1662">
        <v>0.99723830000000002</v>
      </c>
      <c r="AB1662">
        <v>25</v>
      </c>
      <c r="AC1662">
        <v>-1.5713999999999799</v>
      </c>
      <c r="AD1662">
        <v>-1.121166986605</v>
      </c>
      <c r="AE1662">
        <v>-16.555900000000001</v>
      </c>
      <c r="AF1662">
        <v>0.88543478145334498</v>
      </c>
      <c r="AG1662">
        <v>-1.121166986605</v>
      </c>
      <c r="AH1662">
        <v>16.5313681696835</v>
      </c>
      <c r="AI1662">
        <v>93.874355232957598</v>
      </c>
      <c r="AJ1662">
        <v>86.934116623693399</v>
      </c>
      <c r="AK1662">
        <v>16.5929847744667</v>
      </c>
      <c r="AL1662">
        <v>93.469913212636598</v>
      </c>
      <c r="AM1662">
        <v>89.177423320369996</v>
      </c>
      <c r="AN1662">
        <v>1.00000004818309</v>
      </c>
    </row>
    <row r="1663" spans="1:40" x14ac:dyDescent="0.25">
      <c r="A1663" t="str">
        <f>"20190303154759358"</f>
        <v>20190303154759358</v>
      </c>
      <c r="B1663" t="str">
        <f>"1551599279352148"</f>
        <v>1551599279352148</v>
      </c>
      <c r="C1663" t="s">
        <v>40</v>
      </c>
      <c r="D1663">
        <v>5.8238050000000001</v>
      </c>
      <c r="E1663">
        <v>0.51717420000000003</v>
      </c>
      <c r="F1663" t="s">
        <v>41</v>
      </c>
      <c r="G1663">
        <v>-193.7407</v>
      </c>
      <c r="H1663" s="1">
        <v>-2.9003999999999998E-6</v>
      </c>
      <c r="I1663">
        <v>304.0299</v>
      </c>
      <c r="J1663">
        <v>-192.0634</v>
      </c>
      <c r="K1663">
        <v>1.121191</v>
      </c>
      <c r="L1663">
        <v>320.60890000000001</v>
      </c>
      <c r="M1663">
        <v>-4.0861349999999998E-2</v>
      </c>
      <c r="N1663">
        <v>-1.38822999999999E-2</v>
      </c>
      <c r="O1663">
        <v>-0.99906859999999997</v>
      </c>
      <c r="P1663">
        <v>-5.5657789999999999E-2</v>
      </c>
      <c r="Q1663">
        <v>-7.159008E-2</v>
      </c>
      <c r="R1663">
        <v>-0.99588019999999999</v>
      </c>
      <c r="S1663">
        <v>-0.2989349</v>
      </c>
      <c r="T1663">
        <v>-0.19863500000000001</v>
      </c>
      <c r="U1663">
        <v>-2.981506</v>
      </c>
      <c r="V1663">
        <v>1.493542E-2</v>
      </c>
      <c r="W1663">
        <v>-5.7732609999999997E-2</v>
      </c>
      <c r="X1663">
        <v>0.99822040000000001</v>
      </c>
      <c r="Y1663">
        <v>5.8848619999999997E-2</v>
      </c>
      <c r="Z1663">
        <v>5.2339370000000003E-2</v>
      </c>
      <c r="AA1663">
        <v>0.9968939</v>
      </c>
      <c r="AB1663">
        <v>25</v>
      </c>
      <c r="AC1663">
        <v>-1.6773</v>
      </c>
      <c r="AD1663">
        <v>-1.1211939004</v>
      </c>
      <c r="AE1663">
        <v>-16.579000000000001</v>
      </c>
      <c r="AF1663">
        <v>0.99389395330150898</v>
      </c>
      <c r="AG1663">
        <v>-1.1211939004</v>
      </c>
      <c r="AH1663">
        <v>16.558730926829501</v>
      </c>
      <c r="AI1663">
        <v>93.866654723827807</v>
      </c>
      <c r="AJ1663">
        <v>86.565093637395606</v>
      </c>
      <c r="AK1663">
        <v>16.6263787656797</v>
      </c>
      <c r="AL1663">
        <v>93.3096750412235</v>
      </c>
      <c r="AM1663">
        <v>89.142801846203</v>
      </c>
      <c r="AN1663">
        <v>1.00000004400207</v>
      </c>
    </row>
    <row r="1664" spans="1:40" x14ac:dyDescent="0.25">
      <c r="A1664" t="str">
        <f>"20190303154759379"</f>
        <v>20190303154759379</v>
      </c>
      <c r="B1664" t="str">
        <f>"1551599279371668"</f>
        <v>1551599279371668</v>
      </c>
      <c r="C1664" t="s">
        <v>40</v>
      </c>
      <c r="D1664">
        <v>5.8099429999999996</v>
      </c>
      <c r="E1664">
        <v>0.51751429999999998</v>
      </c>
      <c r="F1664" t="s">
        <v>41</v>
      </c>
      <c r="G1664">
        <v>-193.78960000000001</v>
      </c>
      <c r="H1664" s="1">
        <v>-2.7427480000000001E-6</v>
      </c>
      <c r="I1664">
        <v>303.63209999999998</v>
      </c>
      <c r="J1664">
        <v>-192.07339999999999</v>
      </c>
      <c r="K1664">
        <v>1.121216</v>
      </c>
      <c r="L1664">
        <v>320.35640000000001</v>
      </c>
      <c r="M1664">
        <v>-4.0593919999999999E-2</v>
      </c>
      <c r="N1664">
        <v>-1.3879860000000001E-2</v>
      </c>
      <c r="O1664">
        <v>-0.9990793</v>
      </c>
      <c r="P1664">
        <v>-5.6568239999999999E-2</v>
      </c>
      <c r="Q1664">
        <v>-6.9558369999999994E-2</v>
      </c>
      <c r="R1664">
        <v>-0.99597279999999999</v>
      </c>
      <c r="S1664">
        <v>-0.30314639999999998</v>
      </c>
      <c r="T1664">
        <v>-0.19689519999999999</v>
      </c>
      <c r="U1664">
        <v>-2.9813230000000002</v>
      </c>
      <c r="V1664">
        <v>1.610936E-2</v>
      </c>
      <c r="W1664">
        <v>-5.5700850000000003E-2</v>
      </c>
      <c r="X1664">
        <v>0.99831749999999997</v>
      </c>
      <c r="Y1664">
        <v>6.0518179999999998E-2</v>
      </c>
      <c r="Z1664">
        <v>5.1761660000000001E-2</v>
      </c>
      <c r="AA1664">
        <v>0.99682409999999999</v>
      </c>
      <c r="AB1664">
        <v>25</v>
      </c>
      <c r="AC1664">
        <v>-1.7162000000000099</v>
      </c>
      <c r="AD1664">
        <v>-1.121218742748</v>
      </c>
      <c r="AE1664">
        <v>-16.724299999999999</v>
      </c>
      <c r="AF1664">
        <v>1.03122820321195</v>
      </c>
      <c r="AG1664">
        <v>-1.121218742748</v>
      </c>
      <c r="AH1664">
        <v>16.705883199955899</v>
      </c>
      <c r="AI1664">
        <v>93.832386874195095</v>
      </c>
      <c r="AJ1664">
        <v>86.467702528383995</v>
      </c>
      <c r="AK1664">
        <v>16.775192892087901</v>
      </c>
      <c r="AL1664">
        <v>93.193076322327698</v>
      </c>
      <c r="AM1664">
        <v>89.075526334125598</v>
      </c>
      <c r="AN1664">
        <v>0.99999996348829001</v>
      </c>
    </row>
    <row r="1665" spans="1:40" x14ac:dyDescent="0.25">
      <c r="A1665" t="str">
        <f>"20190303154759402"</f>
        <v>20190303154759402</v>
      </c>
      <c r="B1665" t="str">
        <f>"1551599279392563"</f>
        <v>1551599279392563</v>
      </c>
      <c r="C1665" t="s">
        <v>40</v>
      </c>
      <c r="D1665">
        <v>5.7795459999999999</v>
      </c>
      <c r="E1665">
        <v>0.51764940000000004</v>
      </c>
      <c r="F1665" t="s">
        <v>41</v>
      </c>
      <c r="G1665">
        <v>-193.846</v>
      </c>
      <c r="H1665" s="1">
        <v>-2.5895049999999999E-6</v>
      </c>
      <c r="I1665">
        <v>303.24</v>
      </c>
      <c r="J1665">
        <v>-192.083</v>
      </c>
      <c r="K1665">
        <v>1.121243</v>
      </c>
      <c r="L1665">
        <v>320.11430000000001</v>
      </c>
      <c r="M1665">
        <v>-4.0310480000000003E-2</v>
      </c>
      <c r="N1665">
        <v>-1.387773E-2</v>
      </c>
      <c r="O1665">
        <v>-0.99909099999999995</v>
      </c>
      <c r="P1665">
        <v>-5.8277200000000001E-2</v>
      </c>
      <c r="Q1665">
        <v>-6.8710190000000004E-2</v>
      </c>
      <c r="R1665">
        <v>-0.99593330000000002</v>
      </c>
      <c r="S1665">
        <v>-0.30870059999999999</v>
      </c>
      <c r="T1665">
        <v>-0.19526879999999999</v>
      </c>
      <c r="U1665">
        <v>-2.9809570000000001</v>
      </c>
      <c r="V1665">
        <v>1.8103660000000001E-2</v>
      </c>
      <c r="W1665">
        <v>-5.4852930000000001E-2</v>
      </c>
      <c r="X1665">
        <v>0.9983303</v>
      </c>
      <c r="Y1665">
        <v>6.2653440000000005E-2</v>
      </c>
      <c r="Z1665">
        <v>5.1222770000000001E-2</v>
      </c>
      <c r="AA1665">
        <v>0.99672000000000005</v>
      </c>
      <c r="AB1665">
        <v>25</v>
      </c>
      <c r="AC1665">
        <v>-1.7629999999999699</v>
      </c>
      <c r="AD1665">
        <v>-1.121245589505</v>
      </c>
      <c r="AE1665">
        <v>-16.874300000000002</v>
      </c>
      <c r="AF1665">
        <v>1.07658821667676</v>
      </c>
      <c r="AG1665">
        <v>-1.121245589505</v>
      </c>
      <c r="AH1665">
        <v>16.858028383740901</v>
      </c>
      <c r="AI1665">
        <v>93.797486263669001</v>
      </c>
      <c r="AJ1665">
        <v>86.345936321926501</v>
      </c>
      <c r="AK1665">
        <v>16.929540892986001</v>
      </c>
      <c r="AL1665">
        <v>93.144419614297504</v>
      </c>
      <c r="AM1665">
        <v>88.961115738572005</v>
      </c>
      <c r="AN1665">
        <v>0.99999998716653504</v>
      </c>
    </row>
    <row r="1666" spans="1:40" x14ac:dyDescent="0.25">
      <c r="A1666" t="str">
        <f>"20190303154759424"</f>
        <v>20190303154759424</v>
      </c>
      <c r="B1666" t="str">
        <f>"1551599279421842"</f>
        <v>1551599279421842</v>
      </c>
      <c r="C1666" t="s">
        <v>40</v>
      </c>
      <c r="D1666">
        <v>5.7592949999999998</v>
      </c>
      <c r="E1666">
        <v>0.51765890000000003</v>
      </c>
      <c r="F1666" t="s">
        <v>41</v>
      </c>
      <c r="G1666">
        <v>-193.85720000000001</v>
      </c>
      <c r="H1666" s="1">
        <v>-2.6343330000000002E-6</v>
      </c>
      <c r="I1666">
        <v>303.33749999999998</v>
      </c>
      <c r="J1666">
        <v>-192.0925</v>
      </c>
      <c r="K1666">
        <v>1.1212679999999999</v>
      </c>
      <c r="L1666">
        <v>319.86810000000003</v>
      </c>
      <c r="M1666">
        <v>-3.9988589999999997E-2</v>
      </c>
      <c r="N1666">
        <v>-1.387558E-2</v>
      </c>
      <c r="O1666">
        <v>-0.99910399999999999</v>
      </c>
      <c r="P1666">
        <v>-5.7876980000000001E-2</v>
      </c>
      <c r="Q1666">
        <v>-6.8631079999999997E-2</v>
      </c>
      <c r="R1666">
        <v>-0.99596209999999996</v>
      </c>
      <c r="S1666">
        <v>-0.31515500000000002</v>
      </c>
      <c r="T1666">
        <v>-0.1991667</v>
      </c>
      <c r="U1666">
        <v>-2.9800719999999998</v>
      </c>
      <c r="V1666">
        <v>1.8027100000000001E-2</v>
      </c>
      <c r="W1666">
        <v>-5.4774860000000002E-2</v>
      </c>
      <c r="X1666">
        <v>0.998336</v>
      </c>
      <c r="Y1666">
        <v>6.5131430000000004E-2</v>
      </c>
      <c r="Z1666">
        <v>5.2527249999999998E-2</v>
      </c>
      <c r="AA1666">
        <v>0.99649319999999997</v>
      </c>
      <c r="AB1666">
        <v>25</v>
      </c>
      <c r="AC1666">
        <v>-1.7646999999999999</v>
      </c>
      <c r="AD1666">
        <v>-1.1212706343329999</v>
      </c>
      <c r="AE1666">
        <v>-16.5306</v>
      </c>
      <c r="AF1666">
        <v>1.09719809156324</v>
      </c>
      <c r="AG1666">
        <v>-1.1212706343329999</v>
      </c>
      <c r="AH1666">
        <v>16.512831906066001</v>
      </c>
      <c r="AI1666">
        <v>93.876070808987294</v>
      </c>
      <c r="AJ1666">
        <v>86.198559439654503</v>
      </c>
      <c r="AK1666">
        <v>16.587185085045</v>
      </c>
      <c r="AL1666">
        <v>93.139939709425903</v>
      </c>
      <c r="AM1666">
        <v>88.965514106780205</v>
      </c>
      <c r="AN1666">
        <v>1.0000000152592099</v>
      </c>
    </row>
    <row r="1667" spans="1:40" x14ac:dyDescent="0.25">
      <c r="A1667" t="str">
        <f>"20190303154759448"</f>
        <v>20190303154759448</v>
      </c>
      <c r="B1667" t="str">
        <f>"1551599279442338"</f>
        <v>1551599279442338</v>
      </c>
      <c r="C1667" t="s">
        <v>40</v>
      </c>
      <c r="D1667">
        <v>5.756818</v>
      </c>
      <c r="E1667">
        <v>0.51771429999999996</v>
      </c>
      <c r="F1667" t="s">
        <v>41</v>
      </c>
      <c r="G1667">
        <v>-193.8716</v>
      </c>
      <c r="H1667" s="1">
        <v>-2.4871720000000002E-6</v>
      </c>
      <c r="I1667">
        <v>302.9855</v>
      </c>
      <c r="J1667">
        <v>-192.10300000000001</v>
      </c>
      <c r="K1667">
        <v>1.121305</v>
      </c>
      <c r="L1667">
        <v>319.59500000000003</v>
      </c>
      <c r="M1667">
        <v>-3.9593740000000002E-2</v>
      </c>
      <c r="N1667">
        <v>-1.3873089999999999E-2</v>
      </c>
      <c r="O1667">
        <v>-0.99911950000000005</v>
      </c>
      <c r="P1667">
        <v>-5.7063870000000003E-2</v>
      </c>
      <c r="Q1667">
        <v>-6.7361820000000003E-2</v>
      </c>
      <c r="R1667">
        <v>-0.99609519999999996</v>
      </c>
      <c r="S1667">
        <v>-0.31405640000000001</v>
      </c>
      <c r="T1667">
        <v>-0.19793810000000001</v>
      </c>
      <c r="U1667">
        <v>-2.980286</v>
      </c>
      <c r="V1667">
        <v>1.760639E-2</v>
      </c>
      <c r="W1667">
        <v>-5.3505980000000002E-2</v>
      </c>
      <c r="X1667">
        <v>0.99841230000000003</v>
      </c>
      <c r="Y1667">
        <v>6.5157439999999997E-2</v>
      </c>
      <c r="Z1667">
        <v>5.211959E-2</v>
      </c>
      <c r="AA1667">
        <v>0.99651290000000003</v>
      </c>
      <c r="AB1667">
        <v>25</v>
      </c>
      <c r="AC1667">
        <v>-1.7686000000000199</v>
      </c>
      <c r="AD1667">
        <v>-1.1213074871719999</v>
      </c>
      <c r="AE1667">
        <v>-16.609500000000001</v>
      </c>
      <c r="AF1667">
        <v>1.1045397386531901</v>
      </c>
      <c r="AG1667">
        <v>-1.1213074871719999</v>
      </c>
      <c r="AH1667">
        <v>16.591734814287399</v>
      </c>
      <c r="AI1667">
        <v>93.857787920535401</v>
      </c>
      <c r="AJ1667">
        <v>86.191343185833503</v>
      </c>
      <c r="AK1667">
        <v>16.666223407319599</v>
      </c>
      <c r="AL1667">
        <v>93.067131504861095</v>
      </c>
      <c r="AM1667">
        <v>88.989728699768506</v>
      </c>
      <c r="AN1667">
        <v>0.99999999782794102</v>
      </c>
    </row>
    <row r="1668" spans="1:40" x14ac:dyDescent="0.25">
      <c r="A1668" t="str">
        <f>"20190303154759470"</f>
        <v>20190303154759470</v>
      </c>
      <c r="B1668" t="str">
        <f>"1551599279461858"</f>
        <v>1551599279461858</v>
      </c>
      <c r="C1668" t="s">
        <v>40</v>
      </c>
      <c r="D1668">
        <v>5.7151509999999996</v>
      </c>
      <c r="E1668">
        <v>0.51780859999999995</v>
      </c>
      <c r="F1668" t="s">
        <v>41</v>
      </c>
      <c r="G1668">
        <v>-193.88390000000001</v>
      </c>
      <c r="H1668" s="1">
        <v>-2.3212310000000001E-6</v>
      </c>
      <c r="I1668">
        <v>302.59109999999998</v>
      </c>
      <c r="J1668">
        <v>-192.11240000000001</v>
      </c>
      <c r="K1668">
        <v>1.121343</v>
      </c>
      <c r="L1668">
        <v>319.34809999999999</v>
      </c>
      <c r="M1668">
        <v>-3.9196670000000003E-2</v>
      </c>
      <c r="N1668">
        <v>-1.3870769999999999E-2</v>
      </c>
      <c r="O1668">
        <v>-0.99913529999999995</v>
      </c>
      <c r="P1668">
        <v>-5.5890809999999999E-2</v>
      </c>
      <c r="Q1668">
        <v>-6.5944320000000001E-2</v>
      </c>
      <c r="R1668">
        <v>-0.9962569</v>
      </c>
      <c r="S1668">
        <v>-0.31216430000000001</v>
      </c>
      <c r="T1668">
        <v>-0.19655059999999999</v>
      </c>
      <c r="U1668">
        <v>-2.9805600000000001</v>
      </c>
      <c r="V1668">
        <v>1.682672E-2</v>
      </c>
      <c r="W1668">
        <v>-5.2088849999999999E-2</v>
      </c>
      <c r="X1668">
        <v>0.99850070000000002</v>
      </c>
      <c r="Y1668">
        <v>6.4921590000000001E-2</v>
      </c>
      <c r="Z1668">
        <v>5.1659080000000003E-2</v>
      </c>
      <c r="AA1668">
        <v>0.99655229999999995</v>
      </c>
      <c r="AB1668">
        <v>25</v>
      </c>
      <c r="AC1668">
        <v>-1.7715000000000001</v>
      </c>
      <c r="AD1668">
        <v>-1.1213453212310001</v>
      </c>
      <c r="AE1668">
        <v>-16.757000000000001</v>
      </c>
      <c r="AF1668">
        <v>1.10834826308816</v>
      </c>
      <c r="AG1668">
        <v>-1.1213453212310001</v>
      </c>
      <c r="AH1668">
        <v>16.739432550684601</v>
      </c>
      <c r="AI1668">
        <v>93.824070100745203</v>
      </c>
      <c r="AJ1668">
        <v>86.2118715368767</v>
      </c>
      <c r="AK1668">
        <v>16.813519956292801</v>
      </c>
      <c r="AL1668">
        <v>92.985822465244397</v>
      </c>
      <c r="AM1668">
        <v>89.034543701518302</v>
      </c>
      <c r="AN1668">
        <v>1.00000001735038</v>
      </c>
    </row>
    <row r="1669" spans="1:40" x14ac:dyDescent="0.25">
      <c r="A1669" t="str">
        <f>"20190303154759491"</f>
        <v>20190303154759491</v>
      </c>
      <c r="B1669" t="str">
        <f>"1551599279482862"</f>
        <v>1551599279482862</v>
      </c>
      <c r="C1669" t="s">
        <v>40</v>
      </c>
      <c r="D1669">
        <v>5.613448</v>
      </c>
      <c r="E1669">
        <v>0.51764679999999996</v>
      </c>
      <c r="F1669" t="s">
        <v>41</v>
      </c>
      <c r="G1669">
        <v>-193.88570000000001</v>
      </c>
      <c r="H1669" s="1">
        <v>-2.1835590000000001E-6</v>
      </c>
      <c r="I1669">
        <v>302.26909999999998</v>
      </c>
      <c r="J1669">
        <v>-192.12119999999999</v>
      </c>
      <c r="K1669">
        <v>1.121378</v>
      </c>
      <c r="L1669">
        <v>319.11</v>
      </c>
      <c r="M1669">
        <v>-3.8765429999999997E-2</v>
      </c>
      <c r="N1669">
        <v>-1.386865E-2</v>
      </c>
      <c r="O1669">
        <v>-0.99915209999999999</v>
      </c>
      <c r="P1669">
        <v>-5.5121570000000002E-2</v>
      </c>
      <c r="Q1669">
        <v>-6.3813999999999996E-2</v>
      </c>
      <c r="R1669">
        <v>-0.99643839999999995</v>
      </c>
      <c r="S1669">
        <v>-0.30950929999999999</v>
      </c>
      <c r="T1669">
        <v>-0.19571859999999999</v>
      </c>
      <c r="U1669">
        <v>-2.9809570000000001</v>
      </c>
      <c r="V1669">
        <v>1.648382E-2</v>
      </c>
      <c r="W1669">
        <v>-4.9957889999999998E-2</v>
      </c>
      <c r="X1669">
        <v>0.99861529999999998</v>
      </c>
      <c r="Y1669">
        <v>6.4462350000000002E-2</v>
      </c>
      <c r="Z1669">
        <v>5.138144E-2</v>
      </c>
      <c r="AA1669">
        <v>0.9965965</v>
      </c>
      <c r="AB1669">
        <v>25</v>
      </c>
      <c r="AC1669">
        <v>-1.7645000000000199</v>
      </c>
      <c r="AD1669">
        <v>-1.121380183559</v>
      </c>
      <c r="AE1669">
        <v>-16.840900000000001</v>
      </c>
      <c r="AF1669">
        <v>1.1054179482997499</v>
      </c>
      <c r="AG1669">
        <v>-1.121380183559</v>
      </c>
      <c r="AH1669">
        <v>16.822867940190999</v>
      </c>
      <c r="AI1669">
        <v>93.8054031274539</v>
      </c>
      <c r="AJ1669">
        <v>86.240542123357201</v>
      </c>
      <c r="AK1669">
        <v>16.8963998558749</v>
      </c>
      <c r="AL1669">
        <v>92.863568203206796</v>
      </c>
      <c r="AM1669">
        <v>89.054322969259303</v>
      </c>
      <c r="AN1669">
        <v>1.00000001224456</v>
      </c>
    </row>
    <row r="1670" spans="1:40" x14ac:dyDescent="0.25">
      <c r="A1670" t="str">
        <f>"20190303154759514"</f>
        <v>20190303154759514</v>
      </c>
      <c r="B1670" t="str">
        <f>"1551599279502382"</f>
        <v>1551599279502382</v>
      </c>
      <c r="C1670" t="s">
        <v>40</v>
      </c>
      <c r="D1670">
        <v>5.6358629999999996</v>
      </c>
      <c r="E1670">
        <v>0.51757790000000004</v>
      </c>
      <c r="F1670" t="s">
        <v>41</v>
      </c>
      <c r="G1670">
        <v>-193.90029999999999</v>
      </c>
      <c r="H1670" s="1">
        <v>-1.9759040000000001E-6</v>
      </c>
      <c r="I1670">
        <v>301.77600000000001</v>
      </c>
      <c r="J1670">
        <v>-192.13030000000001</v>
      </c>
      <c r="K1670">
        <v>1.1214219999999999</v>
      </c>
      <c r="L1670">
        <v>318.86290000000002</v>
      </c>
      <c r="M1670">
        <v>-3.8255699999999997E-2</v>
      </c>
      <c r="N1670">
        <v>-1.386655E-2</v>
      </c>
      <c r="O1670">
        <v>-0.9991719</v>
      </c>
      <c r="P1670">
        <v>-5.388768E-2</v>
      </c>
      <c r="Q1670">
        <v>-6.2152319999999997E-2</v>
      </c>
      <c r="R1670">
        <v>-0.99661089999999997</v>
      </c>
      <c r="S1670">
        <v>-0.30598449999999999</v>
      </c>
      <c r="T1670">
        <v>-0.19287489999999999</v>
      </c>
      <c r="U1670">
        <v>-2.9814150000000001</v>
      </c>
      <c r="V1670">
        <v>1.5756820000000001E-2</v>
      </c>
      <c r="W1670">
        <v>-4.8295850000000001E-2</v>
      </c>
      <c r="X1670">
        <v>0.99870879999999995</v>
      </c>
      <c r="Y1670">
        <v>6.3795640000000001E-2</v>
      </c>
      <c r="Z1670">
        <v>5.0436080000000001E-2</v>
      </c>
      <c r="AA1670">
        <v>0.99668769999999995</v>
      </c>
      <c r="AB1670">
        <v>25</v>
      </c>
      <c r="AC1670">
        <v>-1.76999999999998</v>
      </c>
      <c r="AD1670">
        <v>-1.1214239759039999</v>
      </c>
      <c r="AE1670">
        <v>-17.0869</v>
      </c>
      <c r="AF1670">
        <v>1.1102385459136599</v>
      </c>
      <c r="AG1670">
        <v>-1.1214239759039999</v>
      </c>
      <c r="AH1670">
        <v>17.069365128332901</v>
      </c>
      <c r="AI1670">
        <v>93.750915958143395</v>
      </c>
      <c r="AJ1670">
        <v>86.278566619237097</v>
      </c>
      <c r="AK1670">
        <v>17.142154101714102</v>
      </c>
      <c r="AL1670">
        <v>92.768225180901496</v>
      </c>
      <c r="AM1670">
        <v>89.0961085077695</v>
      </c>
      <c r="AN1670">
        <v>1.00000001685058</v>
      </c>
    </row>
    <row r="1671" spans="1:40" x14ac:dyDescent="0.25">
      <c r="A1671" t="str">
        <f>"20190303154759536"</f>
        <v>20190303154759536</v>
      </c>
      <c r="B1671" t="str">
        <f>"1551599279532637"</f>
        <v>1551599279532637</v>
      </c>
      <c r="C1671" t="s">
        <v>40</v>
      </c>
      <c r="D1671">
        <v>5.553464</v>
      </c>
      <c r="E1671">
        <v>0.51762739999999996</v>
      </c>
      <c r="F1671" t="s">
        <v>41</v>
      </c>
      <c r="G1671">
        <v>-193.90309999999999</v>
      </c>
      <c r="H1671" s="1">
        <v>-1.7947270000000001E-6</v>
      </c>
      <c r="I1671">
        <v>301.3519</v>
      </c>
      <c r="J1671">
        <v>-192.13890000000001</v>
      </c>
      <c r="K1671">
        <v>1.1214770000000001</v>
      </c>
      <c r="L1671">
        <v>318.6216</v>
      </c>
      <c r="M1671">
        <v>-3.7687720000000001E-2</v>
      </c>
      <c r="N1671">
        <v>-1.3864639999999999E-2</v>
      </c>
      <c r="O1671">
        <v>-0.99919349999999996</v>
      </c>
      <c r="P1671">
        <v>-5.2171269999999999E-2</v>
      </c>
      <c r="Q1671">
        <v>-6.0244510000000001E-2</v>
      </c>
      <c r="R1671">
        <v>-0.99681940000000002</v>
      </c>
      <c r="S1671">
        <v>-0.30189510000000003</v>
      </c>
      <c r="T1671">
        <v>-0.19097049999999999</v>
      </c>
      <c r="U1671">
        <v>-2.981995</v>
      </c>
      <c r="V1671">
        <v>1.4605150000000001E-2</v>
      </c>
      <c r="W1671">
        <v>-4.6387400000000002E-2</v>
      </c>
      <c r="X1671">
        <v>0.9988167</v>
      </c>
      <c r="Y1671">
        <v>6.2994389999999997E-2</v>
      </c>
      <c r="Z1671">
        <v>4.980072E-2</v>
      </c>
      <c r="AA1671">
        <v>0.99677059999999995</v>
      </c>
      <c r="AB1671">
        <v>25</v>
      </c>
      <c r="AC1671">
        <v>-1.76419999999998</v>
      </c>
      <c r="AD1671">
        <v>-1.121478794727</v>
      </c>
      <c r="AE1671">
        <v>-17.2697</v>
      </c>
      <c r="AF1671">
        <v>1.10740650904706</v>
      </c>
      <c r="AG1671">
        <v>-1.121478794727</v>
      </c>
      <c r="AH1671">
        <v>17.251922250728601</v>
      </c>
      <c r="AI1671">
        <v>93.711719815218203</v>
      </c>
      <c r="AJ1671">
        <v>86.327204178393799</v>
      </c>
      <c r="AK1671">
        <v>17.3237664844712</v>
      </c>
      <c r="AL1671">
        <v>92.658756470227601</v>
      </c>
      <c r="AM1671">
        <v>89.162254875792001</v>
      </c>
      <c r="AN1671">
        <v>0.99999995074208503</v>
      </c>
    </row>
    <row r="1672" spans="1:40" x14ac:dyDescent="0.25">
      <c r="A1672" t="str">
        <f>"20190303154759558"</f>
        <v>20190303154759558</v>
      </c>
      <c r="B1672" t="str">
        <f>"1551599279552158"</f>
        <v>1551599279552158</v>
      </c>
      <c r="C1672" t="s">
        <v>40</v>
      </c>
      <c r="D1672">
        <v>5.4725409999999997</v>
      </c>
      <c r="E1672">
        <v>0.51758820000000005</v>
      </c>
      <c r="F1672" t="s">
        <v>41</v>
      </c>
      <c r="G1672">
        <v>-193.89580000000001</v>
      </c>
      <c r="H1672" s="1">
        <v>-1.6381630000000001E-6</v>
      </c>
      <c r="I1672">
        <v>300.9914</v>
      </c>
      <c r="J1672">
        <v>-192.14769999999999</v>
      </c>
      <c r="K1672">
        <v>1.1215599999999999</v>
      </c>
      <c r="L1672">
        <v>318.37009999999998</v>
      </c>
      <c r="M1672">
        <v>-3.701277E-2</v>
      </c>
      <c r="N1672">
        <v>-1.386279E-2</v>
      </c>
      <c r="O1672">
        <v>-0.99921879999999996</v>
      </c>
      <c r="P1672">
        <v>-5.0414710000000001E-2</v>
      </c>
      <c r="Q1672">
        <v>-5.739259E-2</v>
      </c>
      <c r="R1672">
        <v>-0.99707809999999997</v>
      </c>
      <c r="S1672">
        <v>-0.29722599999999999</v>
      </c>
      <c r="T1672">
        <v>-0.18972539999999999</v>
      </c>
      <c r="U1672">
        <v>-2.9825740000000001</v>
      </c>
      <c r="V1672">
        <v>1.351836E-2</v>
      </c>
      <c r="W1672">
        <v>-4.3534030000000001E-2</v>
      </c>
      <c r="X1672">
        <v>0.99896050000000003</v>
      </c>
      <c r="Y1672">
        <v>6.2106929999999998E-2</v>
      </c>
      <c r="Z1672">
        <v>4.9385129999999999E-2</v>
      </c>
      <c r="AA1672">
        <v>0.99684700000000004</v>
      </c>
      <c r="AB1672">
        <v>25</v>
      </c>
      <c r="AC1672">
        <v>-1.74810000000002</v>
      </c>
      <c r="AD1672">
        <v>-1.121561638163</v>
      </c>
      <c r="AE1672">
        <v>-17.378699999999899</v>
      </c>
      <c r="AF1672">
        <v>1.09907466515063</v>
      </c>
      <c r="AG1672">
        <v>-1.121561638163</v>
      </c>
      <c r="AH1672">
        <v>17.359918662571999</v>
      </c>
      <c r="AI1672">
        <v>93.689170192843306</v>
      </c>
      <c r="AJ1672">
        <v>86.377379090073603</v>
      </c>
      <c r="AK1672">
        <v>17.430795782146301</v>
      </c>
      <c r="AL1672">
        <v>92.495104685204296</v>
      </c>
      <c r="AM1672">
        <v>89.224696372670493</v>
      </c>
      <c r="AN1672">
        <v>1.0000000191926901</v>
      </c>
    </row>
    <row r="1673" spans="1:40" x14ac:dyDescent="0.25">
      <c r="A1673" t="str">
        <f>"20190303154759581"</f>
        <v>20190303154759581</v>
      </c>
      <c r="B1673" t="str">
        <f>"1551599279572654"</f>
        <v>1551599279572654</v>
      </c>
      <c r="C1673" t="s">
        <v>40</v>
      </c>
      <c r="D1673">
        <v>5.4656070000000003</v>
      </c>
      <c r="E1673">
        <v>0.51764779999999999</v>
      </c>
      <c r="F1673" t="s">
        <v>41</v>
      </c>
      <c r="G1673">
        <v>-193.92939999999999</v>
      </c>
      <c r="H1673" s="1">
        <v>-1.2867859999999999E-6</v>
      </c>
      <c r="I1673">
        <v>300.1515</v>
      </c>
      <c r="J1673">
        <v>-192.15610000000001</v>
      </c>
      <c r="K1673">
        <v>1.121648</v>
      </c>
      <c r="L1673">
        <v>318.12049999999999</v>
      </c>
      <c r="M1673">
        <v>-3.6247109999999999E-2</v>
      </c>
      <c r="N1673">
        <v>-1.3861129999999999E-2</v>
      </c>
      <c r="O1673">
        <v>-0.99924659999999998</v>
      </c>
      <c r="P1673">
        <v>-4.8798830000000001E-2</v>
      </c>
      <c r="Q1673">
        <v>-5.4183149999999999E-2</v>
      </c>
      <c r="R1673">
        <v>-0.99733769999999999</v>
      </c>
      <c r="S1673">
        <v>-0.291778599999999</v>
      </c>
      <c r="T1673">
        <v>-0.18366540000000001</v>
      </c>
      <c r="U1673">
        <v>-2.9834589999999999</v>
      </c>
      <c r="V1673">
        <v>1.266226E-2</v>
      </c>
      <c r="W1673">
        <v>-4.0322749999999997E-2</v>
      </c>
      <c r="X1673">
        <v>0.99910650000000001</v>
      </c>
      <c r="Y1673">
        <v>6.1050899999999998E-2</v>
      </c>
      <c r="Z1673">
        <v>4.7365280000000003E-2</v>
      </c>
      <c r="AA1673">
        <v>0.99701019999999896</v>
      </c>
      <c r="AB1673">
        <v>25</v>
      </c>
      <c r="AC1673">
        <v>-1.7732999999999699</v>
      </c>
      <c r="AD1673">
        <v>-1.121649286786</v>
      </c>
      <c r="AE1673">
        <v>-17.968999999999902</v>
      </c>
      <c r="AF1673">
        <v>1.11643932079181</v>
      </c>
      <c r="AG1673">
        <v>-1.121649286786</v>
      </c>
      <c r="AH1673">
        <v>17.952197991133598</v>
      </c>
      <c r="AI1673">
        <v>93.568304300422795</v>
      </c>
      <c r="AJ1673">
        <v>86.4413835740758</v>
      </c>
      <c r="AK1673">
        <v>18.021818626110399</v>
      </c>
      <c r="AL1673">
        <v>92.310949856341296</v>
      </c>
      <c r="AM1673">
        <v>89.273896008128901</v>
      </c>
      <c r="AN1673">
        <v>1.0000000276690499</v>
      </c>
    </row>
    <row r="1674" spans="1:40" x14ac:dyDescent="0.25">
      <c r="A1674" t="str">
        <f>"20190303154759604"</f>
        <v>20190303154759604</v>
      </c>
      <c r="B1674" t="str">
        <f>"1551599279591705"</f>
        <v>1551599279591705</v>
      </c>
      <c r="C1674" t="s">
        <v>40</v>
      </c>
      <c r="D1674">
        <v>5.7157169999999997</v>
      </c>
      <c r="E1674">
        <v>0.5446259</v>
      </c>
      <c r="F1674" t="s">
        <v>47</v>
      </c>
      <c r="G1674">
        <v>-193.99420000000001</v>
      </c>
      <c r="H1674" s="1">
        <v>1.0380200000000001E-7</v>
      </c>
      <c r="I1674">
        <v>299.02690000000001</v>
      </c>
      <c r="J1674">
        <v>-192.16419999999999</v>
      </c>
      <c r="K1674">
        <v>1.1217349999999999</v>
      </c>
      <c r="L1674">
        <v>317.87049999999999</v>
      </c>
      <c r="M1674">
        <v>-3.5375910000000003E-2</v>
      </c>
      <c r="N1674">
        <v>-1.385932E-2</v>
      </c>
      <c r="O1674">
        <v>-0.99927809999999995</v>
      </c>
      <c r="P1674">
        <v>-4.7559650000000002E-2</v>
      </c>
      <c r="Q1674">
        <v>-5.1804129999999997E-2</v>
      </c>
      <c r="R1674">
        <v>-0.99752430000000003</v>
      </c>
      <c r="S1674">
        <v>-0.2873077</v>
      </c>
      <c r="T1674">
        <v>-0.17531820000000001</v>
      </c>
      <c r="U1674">
        <v>-2.9844059999999999</v>
      </c>
      <c r="V1674">
        <v>1.229102E-2</v>
      </c>
      <c r="W1674">
        <v>-3.7942410000000003E-2</v>
      </c>
      <c r="X1674">
        <v>0.99920430000000005</v>
      </c>
      <c r="Y1674">
        <v>6.0424609999999997E-2</v>
      </c>
      <c r="Z1674">
        <v>4.4582940000000001E-2</v>
      </c>
      <c r="AA1674">
        <v>0.99717659999999997</v>
      </c>
      <c r="AB1674">
        <v>25</v>
      </c>
      <c r="AC1674">
        <v>-1.8300000000000101</v>
      </c>
      <c r="AD1674">
        <v>-1.1217348961979901</v>
      </c>
      <c r="AE1674">
        <v>-18.843599999999899</v>
      </c>
      <c r="AF1674">
        <v>1.1581152690902701</v>
      </c>
      <c r="AG1674">
        <v>-1.1217348961979901</v>
      </c>
      <c r="AH1674">
        <v>18.830441889539902</v>
      </c>
      <c r="AI1674">
        <v>93.402683361586597</v>
      </c>
      <c r="AJ1674">
        <v>86.480611372711806</v>
      </c>
      <c r="AK1674">
        <v>18.899340250632701</v>
      </c>
      <c r="AL1674">
        <v>92.174461983475496</v>
      </c>
      <c r="AM1674">
        <v>89.295251174884001</v>
      </c>
      <c r="AN1674">
        <v>0.99999996439386796</v>
      </c>
    </row>
    <row r="1675" spans="1:40" x14ac:dyDescent="0.25">
      <c r="A1675" t="str">
        <f>"20190303154759626"</f>
        <v>20190303154759626</v>
      </c>
      <c r="B1675" t="str">
        <f>"1551599279621961"</f>
        <v>1551599279621961</v>
      </c>
      <c r="C1675" t="s">
        <v>40</v>
      </c>
      <c r="D1675">
        <v>5.4747329999999996</v>
      </c>
      <c r="E1675">
        <v>0.56378059999999997</v>
      </c>
      <c r="F1675" t="s">
        <v>41</v>
      </c>
      <c r="G1675">
        <v>-195.1216</v>
      </c>
      <c r="H1675" s="1">
        <v>-1.6435550000000001E-6</v>
      </c>
      <c r="I1675">
        <v>300.24369999999999</v>
      </c>
      <c r="J1675">
        <v>-192.172</v>
      </c>
      <c r="K1675">
        <v>1.121801</v>
      </c>
      <c r="L1675">
        <v>317.61989999999997</v>
      </c>
      <c r="M1675">
        <v>-3.4422769999999998E-2</v>
      </c>
      <c r="N1675">
        <v>-1.3857680000000001E-2</v>
      </c>
      <c r="O1675">
        <v>-0.99931159999999997</v>
      </c>
      <c r="P1675">
        <v>-4.6990270000000001E-2</v>
      </c>
      <c r="Q1675">
        <v>-5.0688320000000002E-2</v>
      </c>
      <c r="R1675">
        <v>-0.99760910000000003</v>
      </c>
      <c r="S1675">
        <v>-0.49894709999999998</v>
      </c>
      <c r="T1675">
        <v>-0.18924669999999999</v>
      </c>
      <c r="U1675">
        <v>-2.9737849999999999</v>
      </c>
      <c r="V1675">
        <v>1.2674980000000001E-2</v>
      </c>
      <c r="W1675">
        <v>-3.6825339999999998E-2</v>
      </c>
      <c r="X1675">
        <v>0.99924139999999995</v>
      </c>
      <c r="Y1675">
        <v>0.13115199999999999</v>
      </c>
      <c r="Z1675">
        <v>4.8946139999999999E-2</v>
      </c>
      <c r="AA1675">
        <v>0.99015330000000001</v>
      </c>
      <c r="AB1675">
        <v>25</v>
      </c>
      <c r="AC1675">
        <v>-2.9496000000000002</v>
      </c>
      <c r="AD1675">
        <v>-1.1218026435549999</v>
      </c>
      <c r="AE1675">
        <v>-17.376199999999901</v>
      </c>
      <c r="AF1675">
        <v>2.3401768544774399</v>
      </c>
      <c r="AG1675">
        <v>-1.1218026435549999</v>
      </c>
      <c r="AH1675">
        <v>17.396964362282201</v>
      </c>
      <c r="AI1675">
        <v>93.656632759986806</v>
      </c>
      <c r="AJ1675">
        <v>82.338766793402101</v>
      </c>
      <c r="AK1675">
        <v>17.589463832187601</v>
      </c>
      <c r="AL1675">
        <v>92.110413591361393</v>
      </c>
      <c r="AM1675">
        <v>89.273264785038293</v>
      </c>
      <c r="AN1675">
        <v>1.00000006812903</v>
      </c>
    </row>
    <row r="1676" spans="1:40" x14ac:dyDescent="0.25">
      <c r="A1676" t="str">
        <f>"20190303154759651"</f>
        <v>20190303154759651</v>
      </c>
      <c r="B1676" t="str">
        <f>"1551599279642457"</f>
        <v>1551599279642457</v>
      </c>
      <c r="C1676" t="s">
        <v>40</v>
      </c>
      <c r="D1676">
        <v>5.4222799999999998</v>
      </c>
      <c r="E1676">
        <v>0.5682064</v>
      </c>
      <c r="F1676" t="s">
        <v>41</v>
      </c>
      <c r="G1676">
        <v>-195.72790000000001</v>
      </c>
      <c r="H1676" s="1">
        <v>-2.3010979999999998E-6</v>
      </c>
      <c r="I1676">
        <v>301.40050000000002</v>
      </c>
      <c r="J1676">
        <v>-192.1799</v>
      </c>
      <c r="K1676">
        <v>1.1218520000000001</v>
      </c>
      <c r="L1676">
        <v>317.35419999999999</v>
      </c>
      <c r="M1676">
        <v>-3.3333080000000001E-2</v>
      </c>
      <c r="N1676">
        <v>-1.385578E-2</v>
      </c>
      <c r="O1676">
        <v>-0.99934820000000002</v>
      </c>
      <c r="P1676">
        <v>-4.6548680000000002E-2</v>
      </c>
      <c r="Q1676">
        <v>-5.0024289999999999E-2</v>
      </c>
      <c r="R1676">
        <v>-0.99766299999999997</v>
      </c>
      <c r="S1676">
        <v>-0.65028379999999997</v>
      </c>
      <c r="T1676">
        <v>-0.2051518</v>
      </c>
      <c r="U1676">
        <v>-2.9661559999999998</v>
      </c>
      <c r="V1676">
        <v>1.332387E-2</v>
      </c>
      <c r="W1676">
        <v>-3.6160440000000002E-2</v>
      </c>
      <c r="X1676">
        <v>0.99925710000000001</v>
      </c>
      <c r="Y1676">
        <v>0.18105589999999999</v>
      </c>
      <c r="Z1676">
        <v>5.3793349999999997E-2</v>
      </c>
      <c r="AA1676">
        <v>0.98200050000000005</v>
      </c>
      <c r="AB1676">
        <v>25</v>
      </c>
      <c r="AC1676">
        <v>-3.548</v>
      </c>
      <c r="AD1676">
        <v>-1.121854301098</v>
      </c>
      <c r="AE1676">
        <v>-15.9536999999999</v>
      </c>
      <c r="AF1676">
        <v>3.0000553643813701</v>
      </c>
      <c r="AG1676">
        <v>-1.121854301098</v>
      </c>
      <c r="AH1676">
        <v>15.987779094126701</v>
      </c>
      <c r="AI1676">
        <v>93.945202666980705</v>
      </c>
      <c r="AJ1676">
        <v>79.372220344433899</v>
      </c>
      <c r="AK1676">
        <v>16.3054582770568</v>
      </c>
      <c r="AL1676">
        <v>92.072292529029596</v>
      </c>
      <c r="AM1676">
        <v>89.236076200012604</v>
      </c>
      <c r="AN1676">
        <v>0.99999992741658705</v>
      </c>
    </row>
    <row r="1677" spans="1:40" x14ac:dyDescent="0.25">
      <c r="A1677" t="str">
        <f>"20190303154759671"</f>
        <v>20190303154759671</v>
      </c>
      <c r="B1677" t="str">
        <f>"1551599279661977"</f>
        <v>1551599279661977</v>
      </c>
      <c r="C1677" t="s">
        <v>40</v>
      </c>
      <c r="D1677">
        <v>5.3826869999999998</v>
      </c>
      <c r="E1677">
        <v>0.57115070000000001</v>
      </c>
      <c r="F1677" t="s">
        <v>41</v>
      </c>
      <c r="G1677">
        <v>-195.8212</v>
      </c>
      <c r="H1677" s="1">
        <v>-2.4014730000000001E-6</v>
      </c>
      <c r="I1677">
        <v>301.57650000000001</v>
      </c>
      <c r="J1677">
        <v>-192.1867</v>
      </c>
      <c r="K1677">
        <v>1.1218859999999999</v>
      </c>
      <c r="L1677">
        <v>317.1173</v>
      </c>
      <c r="M1677">
        <v>-3.230069E-2</v>
      </c>
      <c r="N1677">
        <v>-1.385408E-2</v>
      </c>
      <c r="O1677">
        <v>-0.99938229999999995</v>
      </c>
      <c r="P1677">
        <v>-4.6025530000000002E-2</v>
      </c>
      <c r="Q1677">
        <v>-4.9623710000000001E-2</v>
      </c>
      <c r="R1677">
        <v>-0.99770720000000002</v>
      </c>
      <c r="S1677">
        <v>-0.68417359999999905</v>
      </c>
      <c r="T1677">
        <v>-0.21078820000000001</v>
      </c>
      <c r="U1677">
        <v>-2.9645079999999999</v>
      </c>
      <c r="V1677">
        <v>1.383355E-2</v>
      </c>
      <c r="W1677">
        <v>-3.575942E-2</v>
      </c>
      <c r="X1677">
        <v>0.99926470000000001</v>
      </c>
      <c r="Y1677">
        <v>0.1928272</v>
      </c>
      <c r="Z1677">
        <v>5.5522170000000003E-2</v>
      </c>
      <c r="AA1677">
        <v>0.97966059999999999</v>
      </c>
      <c r="AB1677">
        <v>25</v>
      </c>
      <c r="AC1677">
        <v>-3.6345000000000001</v>
      </c>
      <c r="AD1677">
        <v>-1.121888401473</v>
      </c>
      <c r="AE1677">
        <v>-15.5407999999999</v>
      </c>
      <c r="AF1677">
        <v>3.1151839440619402</v>
      </c>
      <c r="AG1677">
        <v>-1.121888401473</v>
      </c>
      <c r="AH1677">
        <v>15.5731484213706</v>
      </c>
      <c r="AI1677">
        <v>94.040688719890795</v>
      </c>
      <c r="AJ1677">
        <v>78.688106771260607</v>
      </c>
      <c r="AK1677">
        <v>15.921242299039999</v>
      </c>
      <c r="AL1677">
        <v>92.049300709669595</v>
      </c>
      <c r="AM1677">
        <v>89.206863404037406</v>
      </c>
      <c r="AN1677">
        <v>1.0000000219452101</v>
      </c>
    </row>
    <row r="1678" spans="1:40" x14ac:dyDescent="0.25">
      <c r="A1678" t="str">
        <f>"20190303154759695"</f>
        <v>20190303154759695</v>
      </c>
      <c r="B1678" t="str">
        <f>"1551599279692233"</f>
        <v>1551599279692233</v>
      </c>
      <c r="C1678" t="s">
        <v>40</v>
      </c>
      <c r="D1678">
        <v>5.3836199999999996</v>
      </c>
      <c r="E1678">
        <v>0.57392310000000002</v>
      </c>
      <c r="F1678" t="s">
        <v>41</v>
      </c>
      <c r="G1678">
        <v>-195.95099999999999</v>
      </c>
      <c r="H1678" s="1">
        <v>-2.3241989999999999E-6</v>
      </c>
      <c r="I1678">
        <v>301.3159</v>
      </c>
      <c r="J1678">
        <v>-192.1934</v>
      </c>
      <c r="K1678">
        <v>1.12192</v>
      </c>
      <c r="L1678">
        <v>316.8723</v>
      </c>
      <c r="M1678">
        <v>-3.118131E-2</v>
      </c>
      <c r="N1678">
        <v>-1.385233E-2</v>
      </c>
      <c r="O1678">
        <v>-0.99941789999999997</v>
      </c>
      <c r="P1678">
        <v>-4.5233200000000001E-2</v>
      </c>
      <c r="Q1678">
        <v>-4.944867E-2</v>
      </c>
      <c r="R1678">
        <v>-0.99775230000000004</v>
      </c>
      <c r="S1678">
        <v>-0.70606990000000003</v>
      </c>
      <c r="T1678">
        <v>-0.2104346</v>
      </c>
      <c r="U1678">
        <v>-2.9638979999999999</v>
      </c>
      <c r="V1678">
        <v>1.4161190000000001E-2</v>
      </c>
      <c r="W1678">
        <v>-3.558443E-2</v>
      </c>
      <c r="X1678">
        <v>0.99926630000000005</v>
      </c>
      <c r="Y1678">
        <v>0.20082240000000001</v>
      </c>
      <c r="Z1678">
        <v>5.5312060000000003E-2</v>
      </c>
      <c r="AA1678">
        <v>0.97806490000000001</v>
      </c>
      <c r="AB1678">
        <v>25</v>
      </c>
      <c r="AC1678">
        <v>-3.7575999999999898</v>
      </c>
      <c r="AD1678">
        <v>-1.121922324199</v>
      </c>
      <c r="AE1678">
        <v>-15.556399999999901</v>
      </c>
      <c r="AF1678">
        <v>3.2546620263768098</v>
      </c>
      <c r="AG1678">
        <v>-1.121922324199</v>
      </c>
      <c r="AH1678">
        <v>15.5893980439125</v>
      </c>
      <c r="AI1678">
        <v>94.029720356730607</v>
      </c>
      <c r="AJ1678">
        <v>78.207511462197104</v>
      </c>
      <c r="AK1678">
        <v>15.964988755994201</v>
      </c>
      <c r="AL1678">
        <v>92.039268253146204</v>
      </c>
      <c r="AM1678">
        <v>89.188082186769506</v>
      </c>
      <c r="AN1678">
        <v>0.99999996463816399</v>
      </c>
    </row>
    <row r="1679" spans="1:40" x14ac:dyDescent="0.25">
      <c r="A1679" t="str">
        <f>"20190303154759714"</f>
        <v>20190303154759714</v>
      </c>
      <c r="B1679" t="str">
        <f>"1551599279712729"</f>
        <v>1551599279712729</v>
      </c>
      <c r="C1679" t="s">
        <v>40</v>
      </c>
      <c r="D1679">
        <v>5.3232799999999996</v>
      </c>
      <c r="E1679">
        <v>0.57555509999999999</v>
      </c>
      <c r="F1679" t="s">
        <v>41</v>
      </c>
      <c r="G1679">
        <v>-196.09989999999999</v>
      </c>
      <c r="H1679" s="1">
        <v>-2.1950850000000002E-6</v>
      </c>
      <c r="I1679">
        <v>300.92259999999999</v>
      </c>
      <c r="J1679">
        <v>-192.19909999999999</v>
      </c>
      <c r="K1679">
        <v>1.1219490000000001</v>
      </c>
      <c r="L1679">
        <v>316.65159999999997</v>
      </c>
      <c r="M1679">
        <v>-3.013764E-2</v>
      </c>
      <c r="N1679">
        <v>-1.3850690000000001E-2</v>
      </c>
      <c r="O1679">
        <v>-0.99944999999999995</v>
      </c>
      <c r="P1679">
        <v>-4.4228400000000001E-2</v>
      </c>
      <c r="Q1679">
        <v>-4.9248119999999999E-2</v>
      </c>
      <c r="R1679">
        <v>-0.99780740000000001</v>
      </c>
      <c r="S1679">
        <v>-0.72584530000000003</v>
      </c>
      <c r="T1679">
        <v>-0.2084569</v>
      </c>
      <c r="U1679">
        <v>-2.9635009999999999</v>
      </c>
      <c r="V1679">
        <v>1.4199959999999999E-2</v>
      </c>
      <c r="W1679">
        <v>-3.5384440000000003E-2</v>
      </c>
      <c r="X1679">
        <v>0.99927290000000002</v>
      </c>
      <c r="Y1679">
        <v>0.20804249999999999</v>
      </c>
      <c r="Z1679">
        <v>5.4574030000000003E-2</v>
      </c>
      <c r="AA1679">
        <v>0.97659609999999997</v>
      </c>
      <c r="AB1679">
        <v>25</v>
      </c>
      <c r="AC1679">
        <v>-3.9007999999999998</v>
      </c>
      <c r="AD1679">
        <v>-1.1219511950849901</v>
      </c>
      <c r="AE1679">
        <v>-15.7289999999999</v>
      </c>
      <c r="AF1679">
        <v>3.4086093513134998</v>
      </c>
      <c r="AG1679">
        <v>-1.1219511950849901</v>
      </c>
      <c r="AH1679">
        <v>15.7638669297609</v>
      </c>
      <c r="AI1679">
        <v>93.979350641540506</v>
      </c>
      <c r="AJ1679">
        <v>77.798817054475194</v>
      </c>
      <c r="AK1679">
        <v>16.1671547519414</v>
      </c>
      <c r="AL1679">
        <v>92.027802350703297</v>
      </c>
      <c r="AM1679">
        <v>89.185865022488301</v>
      </c>
      <c r="AN1679">
        <v>1.0000000130662601</v>
      </c>
    </row>
    <row r="1680" spans="1:40" x14ac:dyDescent="0.25">
      <c r="A1680" t="str">
        <f>"20190303154759737"</f>
        <v>20190303154759737</v>
      </c>
      <c r="B1680" t="str">
        <f>"1551599279732249"</f>
        <v>1551599279732249</v>
      </c>
      <c r="C1680" t="s">
        <v>40</v>
      </c>
      <c r="D1680">
        <v>5.3861179999999997</v>
      </c>
      <c r="E1680">
        <v>0.57668719999999996</v>
      </c>
      <c r="F1680" t="s">
        <v>41</v>
      </c>
      <c r="G1680">
        <v>-196.12370000000001</v>
      </c>
      <c r="H1680" s="1">
        <v>-2.1667439999999999E-6</v>
      </c>
      <c r="I1680">
        <v>300.84179999999998</v>
      </c>
      <c r="J1680">
        <v>-192.2054</v>
      </c>
      <c r="K1680">
        <v>1.1219790000000001</v>
      </c>
      <c r="L1680">
        <v>316.39690000000002</v>
      </c>
      <c r="M1680">
        <v>-2.8898799999999999E-2</v>
      </c>
      <c r="N1680">
        <v>-1.3848620000000001E-2</v>
      </c>
      <c r="O1680">
        <v>-0.9994866</v>
      </c>
      <c r="P1680">
        <v>-4.2823519999999997E-2</v>
      </c>
      <c r="Q1680">
        <v>-4.9277719999999997E-2</v>
      </c>
      <c r="R1680">
        <v>-0.9978667</v>
      </c>
      <c r="S1680">
        <v>-0.73567199999999999</v>
      </c>
      <c r="T1680">
        <v>-0.21031250000000001</v>
      </c>
      <c r="U1680">
        <v>-2.9635929999999999</v>
      </c>
      <c r="V1680">
        <v>1.403428E-2</v>
      </c>
      <c r="W1680">
        <v>-3.5415460000000003E-2</v>
      </c>
      <c r="X1680">
        <v>0.99927410000000005</v>
      </c>
      <c r="Y1680">
        <v>0.2122879</v>
      </c>
      <c r="Z1680">
        <v>5.5123749999999999E-2</v>
      </c>
      <c r="AA1680">
        <v>0.97565119999999905</v>
      </c>
      <c r="AB1680">
        <v>25</v>
      </c>
      <c r="AC1680">
        <v>-3.9183000000000101</v>
      </c>
      <c r="AD1680">
        <v>-1.1219811667440001</v>
      </c>
      <c r="AE1680">
        <v>-15.555099999999999</v>
      </c>
      <c r="AF1680">
        <v>3.4502171554522798</v>
      </c>
      <c r="AG1680">
        <v>-1.1219811667440001</v>
      </c>
      <c r="AH1680">
        <v>15.585598636901301</v>
      </c>
      <c r="AI1680">
        <v>94.020519383577593</v>
      </c>
      <c r="AJ1680">
        <v>77.517615296912197</v>
      </c>
      <c r="AK1680">
        <v>16.002303741301901</v>
      </c>
      <c r="AL1680">
        <v>92.029580865083503</v>
      </c>
      <c r="AM1680">
        <v>89.195363764970097</v>
      </c>
      <c r="AN1680">
        <v>0.99999997137646901</v>
      </c>
    </row>
    <row r="1681" spans="1:40" x14ac:dyDescent="0.25">
      <c r="A1681" t="str">
        <f>"20190303154759759"</f>
        <v>20190303154759759</v>
      </c>
      <c r="B1681" t="str">
        <f>"1551599279751769"</f>
        <v>1551599279751769</v>
      </c>
      <c r="C1681" t="s">
        <v>40</v>
      </c>
      <c r="D1681">
        <v>5.3222829999999997</v>
      </c>
      <c r="E1681">
        <v>0.57765330000000004</v>
      </c>
      <c r="F1681" t="s">
        <v>41</v>
      </c>
      <c r="G1681">
        <v>-196.1729</v>
      </c>
      <c r="H1681" s="1">
        <v>-2.038898E-6</v>
      </c>
      <c r="I1681">
        <v>300.51319999999998</v>
      </c>
      <c r="J1681">
        <v>-192.21100000000001</v>
      </c>
      <c r="K1681">
        <v>1.1219969999999999</v>
      </c>
      <c r="L1681">
        <v>316.15710000000001</v>
      </c>
      <c r="M1681">
        <v>-2.769893E-2</v>
      </c>
      <c r="N1681">
        <v>-1.3846880000000001E-2</v>
      </c>
      <c r="O1681">
        <v>-0.99952050000000003</v>
      </c>
      <c r="P1681">
        <v>-4.0425299999999997E-2</v>
      </c>
      <c r="Q1681">
        <v>-4.9563610000000001E-2</v>
      </c>
      <c r="R1681">
        <v>-0.99795250000000002</v>
      </c>
      <c r="S1681">
        <v>-0.74043269999999906</v>
      </c>
      <c r="T1681">
        <v>-0.20938999999999999</v>
      </c>
      <c r="U1681">
        <v>-2.9642940000000002</v>
      </c>
      <c r="V1681">
        <v>1.283604E-2</v>
      </c>
      <c r="W1681">
        <v>-3.5704659999999999E-2</v>
      </c>
      <c r="X1681">
        <v>0.99927999999999995</v>
      </c>
      <c r="Y1681">
        <v>0.2148852</v>
      </c>
      <c r="Z1681">
        <v>5.477783E-2</v>
      </c>
      <c r="AA1681">
        <v>0.97510189999999997</v>
      </c>
      <c r="AB1681">
        <v>25</v>
      </c>
      <c r="AC1681">
        <v>-3.9619000000000102</v>
      </c>
      <c r="AD1681">
        <v>-1.1219990388979999</v>
      </c>
      <c r="AE1681">
        <v>-15.6439</v>
      </c>
      <c r="AF1681">
        <v>3.51005156850449</v>
      </c>
      <c r="AG1681">
        <v>-1.1219990388979999</v>
      </c>
      <c r="AH1681">
        <v>15.671891144889999</v>
      </c>
      <c r="AI1681">
        <v>93.9963201155104</v>
      </c>
      <c r="AJ1681">
        <v>77.375736836924006</v>
      </c>
      <c r="AK1681">
        <v>16.099301721321002</v>
      </c>
      <c r="AL1681">
        <v>92.046161125357898</v>
      </c>
      <c r="AM1681">
        <v>89.264059651437094</v>
      </c>
      <c r="AN1681">
        <v>1.00000005253429</v>
      </c>
    </row>
    <row r="1682" spans="1:40" x14ac:dyDescent="0.25">
      <c r="A1682" t="str">
        <f>"20190303154759781"</f>
        <v>20190303154759781</v>
      </c>
      <c r="B1682" t="str">
        <f>"1551599279772265"</f>
        <v>1551599279772265</v>
      </c>
      <c r="C1682" t="s">
        <v>40</v>
      </c>
      <c r="D1682">
        <v>5.3281679999999998</v>
      </c>
      <c r="E1682">
        <v>0.57857709999999996</v>
      </c>
      <c r="F1682" t="s">
        <v>41</v>
      </c>
      <c r="G1682">
        <v>-196.22620000000001</v>
      </c>
      <c r="H1682" s="1">
        <v>-1.8699300000000001E-6</v>
      </c>
      <c r="I1682">
        <v>300.08629999999999</v>
      </c>
      <c r="J1682">
        <v>-192.21610000000001</v>
      </c>
      <c r="K1682">
        <v>1.122007</v>
      </c>
      <c r="L1682">
        <v>315.92419999999998</v>
      </c>
      <c r="M1682">
        <v>-2.6500659999999999E-2</v>
      </c>
      <c r="N1682">
        <v>-1.3845049999999999E-2</v>
      </c>
      <c r="O1682">
        <v>-0.99955300000000002</v>
      </c>
      <c r="P1682">
        <v>-3.7500470000000001E-2</v>
      </c>
      <c r="Q1682">
        <v>-5.0042589999999998E-2</v>
      </c>
      <c r="R1682">
        <v>-0.99804300000000001</v>
      </c>
      <c r="S1682">
        <v>-0.74101260000000002</v>
      </c>
      <c r="T1682">
        <v>-0.20706649999999999</v>
      </c>
      <c r="U1682">
        <v>-2.965881</v>
      </c>
      <c r="V1682">
        <v>1.1109829999999999E-2</v>
      </c>
      <c r="W1682">
        <v>-3.6188350000000001E-2</v>
      </c>
      <c r="X1682">
        <v>0.99928329999999999</v>
      </c>
      <c r="Y1682">
        <v>0.2161236</v>
      </c>
      <c r="Z1682">
        <v>5.3977200000000003E-2</v>
      </c>
      <c r="AA1682">
        <v>0.97487279999999998</v>
      </c>
      <c r="AB1682">
        <v>25</v>
      </c>
      <c r="AC1682">
        <v>-4.0100999999999898</v>
      </c>
      <c r="AD1682">
        <v>-1.1220088699299999</v>
      </c>
      <c r="AE1682">
        <v>-15.8378999999999</v>
      </c>
      <c r="AF1682">
        <v>3.5720889327543199</v>
      </c>
      <c r="AG1682">
        <v>-1.1220088699299999</v>
      </c>
      <c r="AH1682">
        <v>15.863796910849</v>
      </c>
      <c r="AI1682">
        <v>93.947153986587495</v>
      </c>
      <c r="AJ1682">
        <v>77.310216029897802</v>
      </c>
      <c r="AK1682">
        <v>16.299655691957799</v>
      </c>
      <c r="AL1682">
        <v>92.073892407238304</v>
      </c>
      <c r="AM1682">
        <v>89.363023333634203</v>
      </c>
      <c r="AN1682">
        <v>1.00000006932861</v>
      </c>
    </row>
    <row r="1683" spans="1:40" x14ac:dyDescent="0.25">
      <c r="A1683" t="str">
        <f>"20190303154759803"</f>
        <v>20190303154759803</v>
      </c>
      <c r="B1683" t="str">
        <f>"1551599279791788"</f>
        <v>1551599279791788</v>
      </c>
      <c r="C1683" t="s">
        <v>40</v>
      </c>
      <c r="D1683">
        <v>5.3565610000000001</v>
      </c>
      <c r="E1683">
        <v>0.57944459999999998</v>
      </c>
      <c r="F1683" t="s">
        <v>41</v>
      </c>
      <c r="G1683">
        <v>-196.25890000000001</v>
      </c>
      <c r="H1683" s="1">
        <v>-1.7115400000000001E-6</v>
      </c>
      <c r="I1683">
        <v>299.6968</v>
      </c>
      <c r="J1683">
        <v>-192.22120000000001</v>
      </c>
      <c r="K1683">
        <v>1.122023</v>
      </c>
      <c r="L1683">
        <v>315.67270000000002</v>
      </c>
      <c r="M1683">
        <v>-2.5161059999999999E-2</v>
      </c>
      <c r="N1683">
        <v>-1.3843080000000001E-2</v>
      </c>
      <c r="O1683">
        <v>-0.99958749999999996</v>
      </c>
      <c r="P1683">
        <v>-3.4949880000000003E-2</v>
      </c>
      <c r="Q1683">
        <v>-5.1051539999999999E-2</v>
      </c>
      <c r="R1683">
        <v>-0.99808419999999998</v>
      </c>
      <c r="S1683">
        <v>-0.73937989999999998</v>
      </c>
      <c r="T1683">
        <v>-0.20520269999999999</v>
      </c>
      <c r="U1683">
        <v>-2.9678040000000001</v>
      </c>
      <c r="V1683">
        <v>9.9015519999999992E-3</v>
      </c>
      <c r="W1683">
        <v>-3.7201619999999998E-2</v>
      </c>
      <c r="X1683">
        <v>0.99925870000000006</v>
      </c>
      <c r="Y1683">
        <v>0.21678739999999999</v>
      </c>
      <c r="Z1683">
        <v>5.3330089999999997E-2</v>
      </c>
      <c r="AA1683">
        <v>0.97476110000000005</v>
      </c>
      <c r="AB1683">
        <v>24</v>
      </c>
      <c r="AC1683">
        <v>-4.0377000000000001</v>
      </c>
      <c r="AD1683">
        <v>-1.1220247115399999</v>
      </c>
      <c r="AE1683">
        <v>-15.975899999999999</v>
      </c>
      <c r="AF1683">
        <v>3.6176394262356801</v>
      </c>
      <c r="AG1683">
        <v>-1.1220247115399999</v>
      </c>
      <c r="AH1683">
        <v>15.998269015146301</v>
      </c>
      <c r="AI1683">
        <v>93.913335511130995</v>
      </c>
      <c r="AJ1683">
        <v>77.258174398816806</v>
      </c>
      <c r="AK1683">
        <v>16.440525111825099</v>
      </c>
      <c r="AL1683">
        <v>92.131987826990695</v>
      </c>
      <c r="AM1683">
        <v>89.432280575848395</v>
      </c>
      <c r="AN1683">
        <v>0.99999997539416097</v>
      </c>
    </row>
    <row r="1684" spans="1:40" x14ac:dyDescent="0.25">
      <c r="A1684" t="str">
        <f>"20190303154759827"</f>
        <v>20190303154759827</v>
      </c>
      <c r="B1684" t="str">
        <f>"1551599279822041"</f>
        <v>1551599279822041</v>
      </c>
      <c r="C1684" t="s">
        <v>40</v>
      </c>
      <c r="D1684">
        <v>5.3439750000000004</v>
      </c>
      <c r="E1684">
        <v>0.58066830000000003</v>
      </c>
      <c r="F1684" t="s">
        <v>41</v>
      </c>
      <c r="G1684">
        <v>-196.19130000000001</v>
      </c>
      <c r="H1684" s="1">
        <v>-1.700153E-6</v>
      </c>
      <c r="I1684">
        <v>299.7122</v>
      </c>
      <c r="J1684">
        <v>-192.226</v>
      </c>
      <c r="K1684">
        <v>1.1220490000000001</v>
      </c>
      <c r="L1684">
        <v>315.41480000000001</v>
      </c>
      <c r="M1684">
        <v>-2.374909E-2</v>
      </c>
      <c r="N1684">
        <v>-1.3841060000000001E-2</v>
      </c>
      <c r="O1684">
        <v>-0.99962240000000002</v>
      </c>
      <c r="P1684">
        <v>-3.1785609999999999E-2</v>
      </c>
      <c r="Q1684">
        <v>-5.0865580000000001E-2</v>
      </c>
      <c r="R1684">
        <v>-0.99819990000000003</v>
      </c>
      <c r="S1684">
        <v>-0.73858639999999998</v>
      </c>
      <c r="T1684">
        <v>-0.2087359</v>
      </c>
      <c r="U1684">
        <v>-2.9692080000000001</v>
      </c>
      <c r="V1684">
        <v>8.1477110000000002E-3</v>
      </c>
      <c r="W1684">
        <v>-3.7020570000000003E-2</v>
      </c>
      <c r="X1684">
        <v>0.99928130000000004</v>
      </c>
      <c r="Y1684">
        <v>0.21779599999999999</v>
      </c>
      <c r="Z1684">
        <v>5.4447410000000002E-2</v>
      </c>
      <c r="AA1684">
        <v>0.97447439999999996</v>
      </c>
      <c r="AB1684">
        <v>24</v>
      </c>
      <c r="AC1684">
        <v>-3.9653000000000098</v>
      </c>
      <c r="AD1684">
        <v>-1.122050700153</v>
      </c>
      <c r="AE1684">
        <v>-15.7026</v>
      </c>
      <c r="AF1684">
        <v>3.57406802701452</v>
      </c>
      <c r="AG1684">
        <v>-1.122050700153</v>
      </c>
      <c r="AH1684">
        <v>15.7169114967125</v>
      </c>
      <c r="AI1684">
        <v>93.9821665141843</v>
      </c>
      <c r="AJ1684">
        <v>77.188653293353894</v>
      </c>
      <c r="AK1684">
        <v>16.157173856554699</v>
      </c>
      <c r="AL1684">
        <v>92.121607197109697</v>
      </c>
      <c r="AM1684">
        <v>89.532845147455106</v>
      </c>
      <c r="AN1684">
        <v>1.0000000121636701</v>
      </c>
    </row>
    <row r="1685" spans="1:40" x14ac:dyDescent="0.25">
      <c r="A1685" t="str">
        <f>"20190303154759851"</f>
        <v>20190303154759851</v>
      </c>
      <c r="B1685" t="str">
        <f>"1551599279842537"</f>
        <v>1551599279842537</v>
      </c>
      <c r="C1685" t="s">
        <v>40</v>
      </c>
      <c r="D1685">
        <v>5.3736689999999996</v>
      </c>
      <c r="E1685">
        <v>0.58129109999999995</v>
      </c>
      <c r="F1685" t="s">
        <v>47</v>
      </c>
      <c r="G1685">
        <v>-196.21199999999999</v>
      </c>
      <c r="H1685" s="1">
        <v>4.0258069999999998E-8</v>
      </c>
      <c r="I1685">
        <v>299.38780000000003</v>
      </c>
      <c r="J1685">
        <v>-192.2304</v>
      </c>
      <c r="K1685">
        <v>1.1220889999999999</v>
      </c>
      <c r="L1685">
        <v>315.16309999999999</v>
      </c>
      <c r="M1685">
        <v>-2.2327670000000001E-2</v>
      </c>
      <c r="N1685">
        <v>-1.3839290000000001E-2</v>
      </c>
      <c r="O1685">
        <v>-0.99965519999999997</v>
      </c>
      <c r="P1685">
        <v>-2.9669500000000001E-2</v>
      </c>
      <c r="Q1685">
        <v>-4.8999439999999998E-2</v>
      </c>
      <c r="R1685">
        <v>-0.99835839999999998</v>
      </c>
      <c r="S1685">
        <v>-0.73896790000000001</v>
      </c>
      <c r="T1685">
        <v>-0.20801819999999999</v>
      </c>
      <c r="U1685">
        <v>-2.9712830000000001</v>
      </c>
      <c r="V1685">
        <v>7.4466719999999997E-3</v>
      </c>
      <c r="W1685">
        <v>-3.5156079999999999E-2</v>
      </c>
      <c r="X1685">
        <v>0.99935410000000002</v>
      </c>
      <c r="Y1685">
        <v>0.21914520000000001</v>
      </c>
      <c r="Z1685">
        <v>5.4159119999999998E-2</v>
      </c>
      <c r="AA1685">
        <v>0.97418800000000005</v>
      </c>
      <c r="AB1685">
        <v>24</v>
      </c>
      <c r="AC1685">
        <v>-3.98160000000001</v>
      </c>
      <c r="AD1685">
        <v>-1.1220889597419299</v>
      </c>
      <c r="AE1685">
        <v>-15.7752999999999</v>
      </c>
      <c r="AF1685">
        <v>3.6111716968568999</v>
      </c>
      <c r="AG1685">
        <v>-1.1220889597419299</v>
      </c>
      <c r="AH1685">
        <v>15.7851941145088</v>
      </c>
      <c r="AI1685">
        <v>93.963959414061193</v>
      </c>
      <c r="AJ1685">
        <v>77.114211194181195</v>
      </c>
      <c r="AK1685">
        <v>16.231820535308898</v>
      </c>
      <c r="AL1685">
        <v>92.014710146912904</v>
      </c>
      <c r="AM1685">
        <v>89.573069264922594</v>
      </c>
      <c r="AN1685">
        <v>1.00000001003582</v>
      </c>
    </row>
    <row r="1686" spans="1:40" x14ac:dyDescent="0.25">
      <c r="A1686" t="str">
        <f>"20190303154759872"</f>
        <v>20190303154759872</v>
      </c>
      <c r="B1686" t="str">
        <f>"1551599279862057"</f>
        <v>1551599279862057</v>
      </c>
      <c r="C1686" t="s">
        <v>40</v>
      </c>
      <c r="D1686">
        <v>5.3657079999999997</v>
      </c>
      <c r="E1686">
        <v>0.58205130000000005</v>
      </c>
      <c r="F1686" t="s">
        <v>47</v>
      </c>
      <c r="G1686">
        <v>-196.3236</v>
      </c>
      <c r="H1686" s="1">
        <v>1.67869299999999E-7</v>
      </c>
      <c r="I1686">
        <v>298.66309999999999</v>
      </c>
      <c r="J1686">
        <v>-192.23410000000001</v>
      </c>
      <c r="K1686">
        <v>1.1221380000000001</v>
      </c>
      <c r="L1686">
        <v>314.92619999999999</v>
      </c>
      <c r="M1686">
        <v>-2.0937890000000001E-2</v>
      </c>
      <c r="N1686">
        <v>-1.3837739999999999E-2</v>
      </c>
      <c r="O1686">
        <v>-0.99968509999999999</v>
      </c>
      <c r="P1686">
        <v>-2.8476250000000002E-2</v>
      </c>
      <c r="Q1686">
        <v>-4.7258090000000003E-2</v>
      </c>
      <c r="R1686">
        <v>-0.99847699999999995</v>
      </c>
      <c r="S1686">
        <v>-0.73753359999999901</v>
      </c>
      <c r="T1686">
        <v>-0.202184</v>
      </c>
      <c r="U1686">
        <v>-2.9730530000000002</v>
      </c>
      <c r="V1686">
        <v>7.6382100000000003E-3</v>
      </c>
      <c r="W1686">
        <v>-3.3414350000000002E-2</v>
      </c>
      <c r="X1686">
        <v>0.99941239999999998</v>
      </c>
      <c r="Y1686">
        <v>0.21995020000000001</v>
      </c>
      <c r="Z1686">
        <v>5.2222600000000001E-2</v>
      </c>
      <c r="AA1686">
        <v>0.97411230000000004</v>
      </c>
      <c r="AB1686">
        <v>24</v>
      </c>
      <c r="AC1686">
        <v>-4.0894999999999797</v>
      </c>
      <c r="AD1686">
        <v>-1.1221378321306901</v>
      </c>
      <c r="AE1686">
        <v>-16.263100000000001</v>
      </c>
      <c r="AF1686">
        <v>3.7313477792491101</v>
      </c>
      <c r="AG1686">
        <v>-1.1221378321306901</v>
      </c>
      <c r="AH1686">
        <v>16.272304801070501</v>
      </c>
      <c r="AI1686">
        <v>93.845378842705998</v>
      </c>
      <c r="AJ1686">
        <v>77.084971043312393</v>
      </c>
      <c r="AK1686">
        <v>16.732305672051002</v>
      </c>
      <c r="AL1686">
        <v>91.914857666009894</v>
      </c>
      <c r="AM1686">
        <v>89.562114022790595</v>
      </c>
      <c r="AN1686">
        <v>1.00000000315584</v>
      </c>
    </row>
    <row r="1687" spans="1:40" x14ac:dyDescent="0.25">
      <c r="A1687" t="str">
        <f>"20190303154759893"</f>
        <v>20190303154759893</v>
      </c>
      <c r="B1687" t="str">
        <f>"1551599279882564"</f>
        <v>1551599279882564</v>
      </c>
      <c r="C1687" t="s">
        <v>40</v>
      </c>
      <c r="D1687">
        <v>5.3608060000000002</v>
      </c>
      <c r="E1687">
        <v>0.58272369999999996</v>
      </c>
      <c r="F1687" t="s">
        <v>47</v>
      </c>
      <c r="G1687">
        <v>-196.42500000000001</v>
      </c>
      <c r="H1687" s="1">
        <v>2.70506599999999E-7</v>
      </c>
      <c r="I1687">
        <v>298.0804</v>
      </c>
      <c r="J1687">
        <v>-192.2373</v>
      </c>
      <c r="K1687">
        <v>1.1221890000000001</v>
      </c>
      <c r="L1687">
        <v>314.69970000000001</v>
      </c>
      <c r="M1687">
        <v>-1.9552130000000001E-2</v>
      </c>
      <c r="N1687">
        <v>-1.3836340000000001E-2</v>
      </c>
      <c r="O1687">
        <v>-0.99971319999999997</v>
      </c>
      <c r="P1687">
        <v>-2.8927680000000001E-2</v>
      </c>
      <c r="Q1687">
        <v>-4.5494369999999999E-2</v>
      </c>
      <c r="R1687">
        <v>-0.99854589999999999</v>
      </c>
      <c r="S1687">
        <v>-0.73988339999999997</v>
      </c>
      <c r="T1687">
        <v>-0.19810810000000001</v>
      </c>
      <c r="U1687">
        <v>-2.9740600000000001</v>
      </c>
      <c r="V1687">
        <v>9.4714489999999998E-3</v>
      </c>
      <c r="W1687">
        <v>-3.1646309999999997E-2</v>
      </c>
      <c r="X1687">
        <v>0.99945430000000002</v>
      </c>
      <c r="Y1687">
        <v>0.22196769999999999</v>
      </c>
      <c r="Z1687">
        <v>5.0856440000000003E-2</v>
      </c>
      <c r="AA1687">
        <v>0.97372689999999995</v>
      </c>
      <c r="AB1687">
        <v>24</v>
      </c>
      <c r="AC1687">
        <v>-4.1877000000000004</v>
      </c>
      <c r="AD1687">
        <v>-1.1221887294934001</v>
      </c>
      <c r="AE1687">
        <v>-16.619299999999999</v>
      </c>
      <c r="AF1687">
        <v>3.84543944163656</v>
      </c>
      <c r="AG1687">
        <v>-1.1221887294934001</v>
      </c>
      <c r="AH1687">
        <v>16.626726939956999</v>
      </c>
      <c r="AI1687">
        <v>93.762197737378699</v>
      </c>
      <c r="AJ1687">
        <v>76.977568260443903</v>
      </c>
      <c r="AK1687">
        <v>17.102478205797802</v>
      </c>
      <c r="AL1687">
        <v>91.813502700361099</v>
      </c>
      <c r="AM1687">
        <v>89.457045900688399</v>
      </c>
      <c r="AN1687">
        <v>1.0000000475356301</v>
      </c>
    </row>
    <row r="1688" spans="1:40" x14ac:dyDescent="0.25">
      <c r="A1688" t="str">
        <f>"20190303154759915"</f>
        <v>20190303154759915</v>
      </c>
      <c r="B1688" t="str">
        <f>"1551599279911834"</f>
        <v>1551599279911834</v>
      </c>
      <c r="C1688" t="s">
        <v>40</v>
      </c>
      <c r="D1688">
        <v>5.3909789999999997</v>
      </c>
      <c r="E1688">
        <v>0.58369259999999901</v>
      </c>
      <c r="F1688" t="s">
        <v>47</v>
      </c>
      <c r="G1688">
        <v>-196.58170000000001</v>
      </c>
      <c r="H1688" s="1">
        <v>3.9128009999999999E-7</v>
      </c>
      <c r="I1688">
        <v>297.39460000000003</v>
      </c>
      <c r="J1688">
        <v>-192.24019999999999</v>
      </c>
      <c r="K1688">
        <v>1.1222379999999901</v>
      </c>
      <c r="L1688">
        <v>314.46039999999999</v>
      </c>
      <c r="M1688">
        <v>-1.8023890000000001E-2</v>
      </c>
      <c r="N1688">
        <v>-1.383508E-2</v>
      </c>
      <c r="O1688">
        <v>-0.99974180000000001</v>
      </c>
      <c r="P1688">
        <v>-2.8265519999999999E-2</v>
      </c>
      <c r="Q1688">
        <v>-4.4140989999999998E-2</v>
      </c>
      <c r="R1688">
        <v>-0.99862550000000005</v>
      </c>
      <c r="S1688">
        <v>-0.74661250000000001</v>
      </c>
      <c r="T1688">
        <v>-0.1928513</v>
      </c>
      <c r="U1688">
        <v>-2.973938</v>
      </c>
      <c r="V1688">
        <v>1.0334970000000001E-2</v>
      </c>
      <c r="W1688">
        <v>-3.0290460000000002E-2</v>
      </c>
      <c r="X1688">
        <v>0.99948769999999998</v>
      </c>
      <c r="Y1688">
        <v>0.2255616</v>
      </c>
      <c r="Z1688">
        <v>4.9107940000000003E-2</v>
      </c>
      <c r="AA1688">
        <v>0.97299049999999998</v>
      </c>
      <c r="AB1688">
        <v>24</v>
      </c>
      <c r="AC1688">
        <v>-4.3415000000000203</v>
      </c>
      <c r="AD1688">
        <v>-1.12223760871989</v>
      </c>
      <c r="AE1688">
        <v>-17.0657999999999</v>
      </c>
      <c r="AF1688">
        <v>4.01685877071532</v>
      </c>
      <c r="AG1688">
        <v>-1.12223760871989</v>
      </c>
      <c r="AH1688">
        <v>17.0719484982457</v>
      </c>
      <c r="AI1688">
        <v>93.661272614796403</v>
      </c>
      <c r="AJ1688">
        <v>76.759703605254302</v>
      </c>
      <c r="AK1688">
        <v>17.574014827609901</v>
      </c>
      <c r="AL1688">
        <v>91.735781031988495</v>
      </c>
      <c r="AM1688">
        <v>89.407567437504497</v>
      </c>
      <c r="AN1688">
        <v>0.99999999301160103</v>
      </c>
    </row>
    <row r="1689" spans="1:40" x14ac:dyDescent="0.25">
      <c r="A1689" t="str">
        <f>"20190303154759940"</f>
        <v>20190303154759940</v>
      </c>
      <c r="B1689" t="str">
        <f>"1551599279932329"</f>
        <v>1551599279932329</v>
      </c>
      <c r="C1689" t="s">
        <v>40</v>
      </c>
      <c r="D1689">
        <v>5.4078140000000001</v>
      </c>
      <c r="E1689">
        <v>0.58426339999999999</v>
      </c>
      <c r="F1689" t="s">
        <v>47</v>
      </c>
      <c r="G1689">
        <v>-196.73150000000001</v>
      </c>
      <c r="H1689" s="1">
        <v>5.1294300000000002E-7</v>
      </c>
      <c r="I1689">
        <v>296.7038</v>
      </c>
      <c r="J1689">
        <v>-192.24289999999999</v>
      </c>
      <c r="K1689">
        <v>1.1222859999999999</v>
      </c>
      <c r="L1689">
        <v>314.2002</v>
      </c>
      <c r="M1689">
        <v>-1.6287659999999999E-2</v>
      </c>
      <c r="N1689">
        <v>-1.383378E-2</v>
      </c>
      <c r="O1689">
        <v>-0.99977169999999904</v>
      </c>
      <c r="P1689">
        <v>-2.6621809999999999E-2</v>
      </c>
      <c r="Q1689">
        <v>-4.2247390000000003E-2</v>
      </c>
      <c r="R1689">
        <v>-0.99875270000000005</v>
      </c>
      <c r="S1689">
        <v>-0.75236510000000001</v>
      </c>
      <c r="T1689">
        <v>-0.18799260000000001</v>
      </c>
      <c r="U1689">
        <v>-2.9745180000000002</v>
      </c>
      <c r="V1689">
        <v>1.042305E-2</v>
      </c>
      <c r="W1689">
        <v>-2.8395730000000001E-2</v>
      </c>
      <c r="X1689">
        <v>0.99954240000000005</v>
      </c>
      <c r="Y1689">
        <v>0.22899649999999999</v>
      </c>
      <c r="Z1689">
        <v>4.7479059999999997E-2</v>
      </c>
      <c r="AA1689">
        <v>0.97226860000000004</v>
      </c>
      <c r="AB1689">
        <v>24</v>
      </c>
      <c r="AC1689">
        <v>-4.4886000000000204</v>
      </c>
      <c r="AD1689">
        <v>-1.122285487057</v>
      </c>
      <c r="AE1689">
        <v>-17.496399999999898</v>
      </c>
      <c r="AF1689">
        <v>4.1868390958640598</v>
      </c>
      <c r="AG1689">
        <v>-1.122285487057</v>
      </c>
      <c r="AH1689">
        <v>17.4996395335322</v>
      </c>
      <c r="AI1689">
        <v>93.569007537790398</v>
      </c>
      <c r="AJ1689">
        <v>76.544749203989596</v>
      </c>
      <c r="AK1689">
        <v>18.028492175794302</v>
      </c>
      <c r="AL1689">
        <v>91.627174231981598</v>
      </c>
      <c r="AM1689">
        <v>89.402551477776498</v>
      </c>
      <c r="AN1689">
        <v>0.999999983425647</v>
      </c>
    </row>
    <row r="1690" spans="1:40" x14ac:dyDescent="0.25">
      <c r="A1690" t="str">
        <f>"20190303154759972"</f>
        <v>20190303154759972</v>
      </c>
      <c r="B1690" t="str">
        <f>"1551599279962586"</f>
        <v>1551599279962586</v>
      </c>
      <c r="C1690" t="s">
        <v>40</v>
      </c>
      <c r="D1690">
        <v>5.4148290000000001</v>
      </c>
      <c r="E1690">
        <v>0.585157699999999</v>
      </c>
      <c r="F1690" t="s">
        <v>47</v>
      </c>
      <c r="G1690">
        <v>-196.90129999999999</v>
      </c>
      <c r="H1690" s="1">
        <v>7.4359619999999899E-7</v>
      </c>
      <c r="I1690">
        <v>295.77069999999998</v>
      </c>
      <c r="J1690">
        <v>-192.2456</v>
      </c>
      <c r="K1690">
        <v>1.1223270000000001</v>
      </c>
      <c r="L1690">
        <v>313.85500000000002</v>
      </c>
      <c r="M1690">
        <v>-1.3853209999999999E-2</v>
      </c>
      <c r="N1690">
        <v>-1.3832499999999999E-2</v>
      </c>
      <c r="O1690">
        <v>-0.99980849999999999</v>
      </c>
      <c r="P1690">
        <v>-2.4725270000000001E-2</v>
      </c>
      <c r="Q1690">
        <v>-4.4694400000000002E-2</v>
      </c>
      <c r="R1690">
        <v>-0.99869490000000005</v>
      </c>
      <c r="S1690">
        <v>-0.75224299999999999</v>
      </c>
      <c r="T1690">
        <v>-0.1812291</v>
      </c>
      <c r="U1690">
        <v>-2.9760439999999999</v>
      </c>
      <c r="V1690">
        <v>1.097105E-2</v>
      </c>
      <c r="W1690">
        <v>-3.08423E-2</v>
      </c>
      <c r="X1690">
        <v>0.99946400000000002</v>
      </c>
      <c r="Y1690">
        <v>0.23123779999999999</v>
      </c>
      <c r="Z1690">
        <v>4.5236829999999999E-2</v>
      </c>
      <c r="AA1690">
        <v>0.97184499999999996</v>
      </c>
      <c r="AB1690">
        <v>24</v>
      </c>
      <c r="AC1690">
        <v>-4.6556999999999897</v>
      </c>
      <c r="AD1690">
        <v>-1.1223262564037999</v>
      </c>
      <c r="AE1690">
        <v>-18.084299999999999</v>
      </c>
      <c r="AF1690">
        <v>4.3888504693654102</v>
      </c>
      <c r="AG1690">
        <v>-1.1223262564037999</v>
      </c>
      <c r="AH1690">
        <v>18.081753022648599</v>
      </c>
      <c r="AI1690">
        <v>93.451794682444302</v>
      </c>
      <c r="AJ1690">
        <v>76.356859404855598</v>
      </c>
      <c r="AK1690">
        <v>18.640585211852201</v>
      </c>
      <c r="AL1690">
        <v>91.767413993580405</v>
      </c>
      <c r="AM1690">
        <v>89.371093289459694</v>
      </c>
      <c r="AN1690">
        <v>0.99999994935169401</v>
      </c>
    </row>
    <row r="1691" spans="1:40" x14ac:dyDescent="0.25">
      <c r="A1691" t="str">
        <f>"20190303154759993"</f>
        <v>20190303154759993</v>
      </c>
      <c r="B1691" t="str">
        <f>"1551599279982105"</f>
        <v>1551599279982105</v>
      </c>
      <c r="C1691" t="s">
        <v>40</v>
      </c>
      <c r="D1691">
        <v>5.4308199999999998</v>
      </c>
      <c r="E1691">
        <v>0.58569499999999997</v>
      </c>
      <c r="F1691" t="s">
        <v>47</v>
      </c>
      <c r="G1691">
        <v>-196.71190000000001</v>
      </c>
      <c r="H1691" s="1">
        <v>6.0415269999999896E-7</v>
      </c>
      <c r="I1691">
        <v>296.21269999999998</v>
      </c>
      <c r="J1691">
        <v>-192.24690000000001</v>
      </c>
      <c r="K1691">
        <v>1.122339</v>
      </c>
      <c r="L1691">
        <v>313.62240000000003</v>
      </c>
      <c r="M1691">
        <v>-1.214966E-2</v>
      </c>
      <c r="N1691">
        <v>-1.3831420000000001E-2</v>
      </c>
      <c r="O1691">
        <v>-0.99983069999999996</v>
      </c>
      <c r="P1691">
        <v>-2.3470089999999999E-2</v>
      </c>
      <c r="Q1691">
        <v>-4.7668290000000002E-2</v>
      </c>
      <c r="R1691">
        <v>-0.99858760000000002</v>
      </c>
      <c r="S1691">
        <v>-0.75358579999999997</v>
      </c>
      <c r="T1691">
        <v>-0.1893688</v>
      </c>
      <c r="U1691">
        <v>-2.9767760000000001</v>
      </c>
      <c r="V1691">
        <v>1.1430060000000001E-2</v>
      </c>
      <c r="W1691">
        <v>-3.3816829999999999E-2</v>
      </c>
      <c r="X1691">
        <v>0.99936270000000005</v>
      </c>
      <c r="Y1691">
        <v>0.23321500000000001</v>
      </c>
      <c r="Z1691">
        <v>4.7847319999999999E-2</v>
      </c>
      <c r="AA1691">
        <v>0.97124730000000004</v>
      </c>
      <c r="AB1691">
        <v>24</v>
      </c>
      <c r="AC1691">
        <v>-4.4649999999999999</v>
      </c>
      <c r="AD1691">
        <v>-1.1223383958473001</v>
      </c>
      <c r="AE1691">
        <v>-17.409700000000001</v>
      </c>
      <c r="AF1691">
        <v>4.2366079449205403</v>
      </c>
      <c r="AG1691">
        <v>-1.1223383958473001</v>
      </c>
      <c r="AH1691">
        <v>17.394838448261801</v>
      </c>
      <c r="AI1691">
        <v>93.587109842021903</v>
      </c>
      <c r="AJ1691">
        <v>76.311804474489506</v>
      </c>
      <c r="AK1691">
        <v>17.938475269511699</v>
      </c>
      <c r="AL1691">
        <v>91.937931088341301</v>
      </c>
      <c r="AM1691">
        <v>89.344716744373301</v>
      </c>
      <c r="AN1691">
        <v>1.00000001520707</v>
      </c>
    </row>
    <row r="1692" spans="1:40" x14ac:dyDescent="0.25">
      <c r="A1692" t="str">
        <f>"20190303154800017"</f>
        <v>20190303154800017</v>
      </c>
      <c r="B1692" t="str">
        <f>"1551599280012361"</f>
        <v>1551599280012361</v>
      </c>
      <c r="C1692" t="s">
        <v>40</v>
      </c>
      <c r="D1692">
        <v>5.4513989999999897</v>
      </c>
      <c r="E1692">
        <v>0.58643089999999998</v>
      </c>
      <c r="F1692" t="s">
        <v>47</v>
      </c>
      <c r="G1692">
        <v>-196.48400000000001</v>
      </c>
      <c r="H1692" s="1">
        <v>4.7885939999999998E-7</v>
      </c>
      <c r="I1692">
        <v>296.89729999999997</v>
      </c>
      <c r="J1692">
        <v>-192.24780000000001</v>
      </c>
      <c r="K1692">
        <v>1.122349</v>
      </c>
      <c r="L1692">
        <v>313.36930000000001</v>
      </c>
      <c r="M1692">
        <v>-1.025212E-2</v>
      </c>
      <c r="N1692">
        <v>-1.383001E-2</v>
      </c>
      <c r="O1692">
        <v>-0.99985179999999996</v>
      </c>
      <c r="P1692">
        <v>-2.124643E-2</v>
      </c>
      <c r="Q1692">
        <v>-4.9537860000000003E-2</v>
      </c>
      <c r="R1692">
        <v>-0.99854600000000004</v>
      </c>
      <c r="S1692">
        <v>-0.75418090000000004</v>
      </c>
      <c r="T1692">
        <v>-0.199771</v>
      </c>
      <c r="U1692">
        <v>-2.9769899999999998</v>
      </c>
      <c r="V1692">
        <v>1.1109839999999999E-2</v>
      </c>
      <c r="W1692">
        <v>-3.5689129999999999E-2</v>
      </c>
      <c r="X1692">
        <v>0.9993012</v>
      </c>
      <c r="Y1692">
        <v>0.23517850000000001</v>
      </c>
      <c r="Z1692">
        <v>5.1200089999999997E-2</v>
      </c>
      <c r="AA1692">
        <v>0.97060270000000004</v>
      </c>
      <c r="AB1692">
        <v>24</v>
      </c>
      <c r="AC1692">
        <v>-4.2361999999999904</v>
      </c>
      <c r="AD1692">
        <v>-1.1223485211405999</v>
      </c>
      <c r="AE1692">
        <v>-16.472000000000001</v>
      </c>
      <c r="AF1692">
        <v>4.0494544765692497</v>
      </c>
      <c r="AG1692">
        <v>-1.1223485211405999</v>
      </c>
      <c r="AH1692">
        <v>16.4429657147294</v>
      </c>
      <c r="AI1692">
        <v>93.791834970944805</v>
      </c>
      <c r="AJ1692">
        <v>76.164925424324494</v>
      </c>
      <c r="AK1692">
        <v>16.971413295788899</v>
      </c>
      <c r="AL1692">
        <v>92.045270830396305</v>
      </c>
      <c r="AM1692">
        <v>89.363034169261994</v>
      </c>
      <c r="AN1692">
        <v>1.00000001543321</v>
      </c>
    </row>
    <row r="1693" spans="1:40" x14ac:dyDescent="0.25">
      <c r="A1693" t="str">
        <f>"20190303154800041"</f>
        <v>20190303154800041</v>
      </c>
      <c r="B1693" t="str">
        <f>"1551599280031882"</f>
        <v>1551599280031882</v>
      </c>
      <c r="C1693" t="s">
        <v>40</v>
      </c>
      <c r="D1693">
        <v>5.450177</v>
      </c>
      <c r="E1693">
        <v>0.58692290000000003</v>
      </c>
      <c r="F1693" t="s">
        <v>47</v>
      </c>
      <c r="G1693">
        <v>-196.3278</v>
      </c>
      <c r="H1693" s="1">
        <v>4.181063E-7</v>
      </c>
      <c r="I1693">
        <v>297.2423</v>
      </c>
      <c r="J1693">
        <v>-192.2482</v>
      </c>
      <c r="K1693">
        <v>1.1223669999999999</v>
      </c>
      <c r="L1693">
        <v>313.11160000000001</v>
      </c>
      <c r="M1693">
        <v>-8.2873459999999993E-3</v>
      </c>
      <c r="N1693">
        <v>-1.382832E-2</v>
      </c>
      <c r="O1693">
        <v>-0.99987020000000004</v>
      </c>
      <c r="P1693">
        <v>-1.7871689999999999E-2</v>
      </c>
      <c r="Q1693">
        <v>-5.0204579999999999E-2</v>
      </c>
      <c r="R1693">
        <v>-0.99857910000000005</v>
      </c>
      <c r="S1693">
        <v>-0.75343319999999903</v>
      </c>
      <c r="T1693">
        <v>-0.207258</v>
      </c>
      <c r="U1693">
        <v>-2.9780880000000001</v>
      </c>
      <c r="V1693">
        <v>9.7005709999999998E-3</v>
      </c>
      <c r="W1693">
        <v>-3.636147E-2</v>
      </c>
      <c r="X1693">
        <v>0.99929159999999995</v>
      </c>
      <c r="Y1693">
        <v>0.23673810000000001</v>
      </c>
      <c r="Z1693">
        <v>5.3591819999999998E-2</v>
      </c>
      <c r="AA1693">
        <v>0.97009429999999996</v>
      </c>
      <c r="AB1693">
        <v>24</v>
      </c>
      <c r="AC1693">
        <v>-4.0795999999999903</v>
      </c>
      <c r="AD1693">
        <v>-1.1223665818936901</v>
      </c>
      <c r="AE1693">
        <v>-15.869300000000001</v>
      </c>
      <c r="AF1693">
        <v>3.9294956197200901</v>
      </c>
      <c r="AG1693">
        <v>-1.1223665818936901</v>
      </c>
      <c r="AH1693">
        <v>15.8283003133277</v>
      </c>
      <c r="AI1693">
        <v>93.936877354678899</v>
      </c>
      <c r="AJ1693">
        <v>76.057755448564706</v>
      </c>
      <c r="AK1693">
        <v>16.347346371152799</v>
      </c>
      <c r="AL1693">
        <v>92.083818171284193</v>
      </c>
      <c r="AM1693">
        <v>89.443821683701898</v>
      </c>
      <c r="AN1693">
        <v>0.999999979704423</v>
      </c>
    </row>
    <row r="1694" spans="1:40" x14ac:dyDescent="0.25">
      <c r="A1694" t="str">
        <f>"20190303154800063"</f>
        <v>20190303154800063</v>
      </c>
      <c r="B1694" t="str">
        <f>"1551599280052378"</f>
        <v>1551599280052378</v>
      </c>
      <c r="C1694" t="s">
        <v>40</v>
      </c>
      <c r="D1694">
        <v>5.466399</v>
      </c>
      <c r="E1694">
        <v>0.5875068</v>
      </c>
      <c r="F1694" t="s">
        <v>47</v>
      </c>
      <c r="G1694">
        <v>-196.28020000000001</v>
      </c>
      <c r="H1694" s="1">
        <v>4.551094E-7</v>
      </c>
      <c r="I1694">
        <v>297.03219999999999</v>
      </c>
      <c r="J1694">
        <v>-192.24809999999999</v>
      </c>
      <c r="K1694">
        <v>1.12236</v>
      </c>
      <c r="L1694">
        <v>312.88119999999998</v>
      </c>
      <c r="M1694">
        <v>-6.5149810000000004E-3</v>
      </c>
      <c r="N1694">
        <v>-1.3826450000000001E-2</v>
      </c>
      <c r="O1694">
        <v>-0.99988330000000003</v>
      </c>
      <c r="P1694">
        <v>-1.4739479999999999E-2</v>
      </c>
      <c r="Q1694">
        <v>-5.0607680000000002E-2</v>
      </c>
      <c r="R1694">
        <v>-0.99861</v>
      </c>
      <c r="S1694">
        <v>-0.74734500000000004</v>
      </c>
      <c r="T1694">
        <v>-0.20803820000000001</v>
      </c>
      <c r="U1694">
        <v>-2.9804379999999999</v>
      </c>
      <c r="V1694">
        <v>8.3400139999999998E-3</v>
      </c>
      <c r="W1694">
        <v>-3.6770400000000002E-2</v>
      </c>
      <c r="X1694">
        <v>0.99928890000000004</v>
      </c>
      <c r="Y1694">
        <v>0.2364116</v>
      </c>
      <c r="Z1694">
        <v>5.3812310000000002E-2</v>
      </c>
      <c r="AA1694">
        <v>0.97016170000000002</v>
      </c>
      <c r="AB1694">
        <v>24</v>
      </c>
      <c r="AC1694">
        <v>-4.0321000000000096</v>
      </c>
      <c r="AD1694">
        <v>-1.1223595448906001</v>
      </c>
      <c r="AE1694">
        <v>-15.848999999999901</v>
      </c>
      <c r="AF1694">
        <v>3.9103308446588301</v>
      </c>
      <c r="AG1694">
        <v>-1.1223595448906001</v>
      </c>
      <c r="AH1694">
        <v>15.8005142516474</v>
      </c>
      <c r="AI1694">
        <v>93.9444668776258</v>
      </c>
      <c r="AJ1694">
        <v>76.0996621129446</v>
      </c>
      <c r="AK1694">
        <v>16.315839815320899</v>
      </c>
      <c r="AL1694">
        <v>92.107263852010604</v>
      </c>
      <c r="AM1694">
        <v>89.521823459721304</v>
      </c>
      <c r="AN1694">
        <v>0.99999996190644402</v>
      </c>
    </row>
    <row r="1695" spans="1:40" x14ac:dyDescent="0.25">
      <c r="A1695" t="str">
        <f>"20190303154800083"</f>
        <v>20190303154800083</v>
      </c>
      <c r="B1695" t="str">
        <f>"1551599280071897"</f>
        <v>1551599280071897</v>
      </c>
      <c r="C1695" t="s">
        <v>40</v>
      </c>
      <c r="D1695">
        <v>5.4833780000000001</v>
      </c>
      <c r="E1695">
        <v>0.60064510000000004</v>
      </c>
      <c r="F1695" t="s">
        <v>47</v>
      </c>
      <c r="G1695">
        <v>-196.25</v>
      </c>
      <c r="H1695" s="1">
        <v>4.9327429999999995E-7</v>
      </c>
      <c r="I1695">
        <v>296.81549999999999</v>
      </c>
      <c r="J1695">
        <v>-192.24760000000001</v>
      </c>
      <c r="K1695">
        <v>1.1223479999999999</v>
      </c>
      <c r="L1695">
        <v>312.65660000000003</v>
      </c>
      <c r="M1695">
        <v>-4.7855609999999998E-3</v>
      </c>
      <c r="N1695">
        <v>-1.3824670000000001E-2</v>
      </c>
      <c r="O1695">
        <v>-0.99989300000000003</v>
      </c>
      <c r="P1695">
        <v>-1.3141760000000001E-2</v>
      </c>
      <c r="Q1695">
        <v>-5.29033E-2</v>
      </c>
      <c r="R1695">
        <v>-0.9985134</v>
      </c>
      <c r="S1695">
        <v>-0.74296569999999995</v>
      </c>
      <c r="T1695">
        <v>-0.20837040000000001</v>
      </c>
      <c r="U1695">
        <v>-2.982666</v>
      </c>
      <c r="V1695">
        <v>8.4766919999999992E-3</v>
      </c>
      <c r="W1695">
        <v>-3.9068869999999999E-2</v>
      </c>
      <c r="X1695">
        <v>0.99920059999999999</v>
      </c>
      <c r="Y1695">
        <v>0.23657919999999999</v>
      </c>
      <c r="Z1695">
        <v>5.3881180000000001E-2</v>
      </c>
      <c r="AA1695">
        <v>0.97011700000000001</v>
      </c>
      <c r="AB1695">
        <v>24</v>
      </c>
      <c r="AC1695">
        <v>-4.00239999999999</v>
      </c>
      <c r="AD1695">
        <v>-1.1223475067256901</v>
      </c>
      <c r="AE1695">
        <v>-15.841100000000001</v>
      </c>
      <c r="AF1695">
        <v>3.9080977899067602</v>
      </c>
      <c r="AG1695">
        <v>-1.1223475067256901</v>
      </c>
      <c r="AH1695">
        <v>15.785588954435999</v>
      </c>
      <c r="AI1695">
        <v>93.948057435723697</v>
      </c>
      <c r="AJ1695">
        <v>76.094666486099797</v>
      </c>
      <c r="AK1695">
        <v>16.300850005436502</v>
      </c>
      <c r="AL1695">
        <v>92.239051135424205</v>
      </c>
      <c r="AM1695">
        <v>89.513944422157905</v>
      </c>
      <c r="AN1695">
        <v>1.00000003497534</v>
      </c>
    </row>
    <row r="1696" spans="1:40" x14ac:dyDescent="0.25">
      <c r="A1696" t="str">
        <f>"20190303154800104"</f>
        <v>20190303154800104</v>
      </c>
      <c r="B1696" t="str">
        <f>"1551599280102153"</f>
        <v>1551599280102153</v>
      </c>
      <c r="C1696" t="s">
        <v>40</v>
      </c>
      <c r="D1696">
        <v>5.5785530000000003</v>
      </c>
      <c r="E1696">
        <v>0.60004199999999996</v>
      </c>
      <c r="F1696" t="s">
        <v>47</v>
      </c>
      <c r="G1696">
        <v>-196.553</v>
      </c>
      <c r="H1696" s="1">
        <v>3.8626540000000002E-7</v>
      </c>
      <c r="I1696">
        <v>297.42309999999998</v>
      </c>
      <c r="J1696">
        <v>-192.2466</v>
      </c>
      <c r="K1696">
        <v>1.122339</v>
      </c>
      <c r="L1696">
        <v>312.4289</v>
      </c>
      <c r="M1696">
        <v>-3.0359760000000001E-3</v>
      </c>
      <c r="N1696">
        <v>-1.382269E-2</v>
      </c>
      <c r="O1696">
        <v>-0.99990009999999996</v>
      </c>
      <c r="P1696">
        <v>-1.2088109999999999E-2</v>
      </c>
      <c r="Q1696">
        <v>-5.5845880000000001E-2</v>
      </c>
      <c r="R1696">
        <v>-0.99836650000000005</v>
      </c>
      <c r="S1696">
        <v>-0.84272769999999997</v>
      </c>
      <c r="T1696">
        <v>-0.21968409999999999</v>
      </c>
      <c r="U1696">
        <v>-2.9817499999999999</v>
      </c>
      <c r="V1696">
        <v>9.1788370000000005E-3</v>
      </c>
      <c r="W1696">
        <v>-4.2013509999999997E-2</v>
      </c>
      <c r="X1696">
        <v>0.99907489999999999</v>
      </c>
      <c r="Y1696">
        <v>0.26845580000000002</v>
      </c>
      <c r="Z1696">
        <v>5.6962390000000002E-2</v>
      </c>
      <c r="AA1696">
        <v>0.96160630000000002</v>
      </c>
      <c r="AB1696">
        <v>24</v>
      </c>
      <c r="AC1696">
        <v>-4.3063999999999902</v>
      </c>
      <c r="AD1696">
        <v>-1.1223386137346001</v>
      </c>
      <c r="AE1696">
        <v>-15.005800000000001</v>
      </c>
      <c r="AF1696">
        <v>4.2389100707690401</v>
      </c>
      <c r="AG1696">
        <v>-1.1223386137346001</v>
      </c>
      <c r="AH1696">
        <v>14.9415817596685</v>
      </c>
      <c r="AI1696">
        <v>94.133199081813501</v>
      </c>
      <c r="AJ1696">
        <v>74.161419832109999</v>
      </c>
      <c r="AK1696">
        <v>15.571732981039901</v>
      </c>
      <c r="AL1696">
        <v>92.407905489409004</v>
      </c>
      <c r="AM1696">
        <v>89.473619220268105</v>
      </c>
      <c r="AN1696">
        <v>1.0000000209405999</v>
      </c>
    </row>
    <row r="1697" spans="1:40" x14ac:dyDescent="0.25">
      <c r="A1697" t="str">
        <f>"20190303154800127"</f>
        <v>20190303154800127</v>
      </c>
      <c r="B1697" t="str">
        <f>"1551599280122649"</f>
        <v>1551599280122649</v>
      </c>
      <c r="C1697" t="s">
        <v>40</v>
      </c>
      <c r="D1697">
        <v>5.4658049999999996</v>
      </c>
      <c r="E1697">
        <v>0.60133249999999905</v>
      </c>
      <c r="F1697" t="s">
        <v>47</v>
      </c>
      <c r="G1697">
        <v>-196.05350000000001</v>
      </c>
      <c r="H1697" s="1">
        <v>1.3690620000000001E-7</v>
      </c>
      <c r="I1697">
        <v>298.839</v>
      </c>
      <c r="J1697">
        <v>-192.24520000000001</v>
      </c>
      <c r="K1697">
        <v>1.1223270000000001</v>
      </c>
      <c r="L1697">
        <v>312.1848</v>
      </c>
      <c r="M1697">
        <v>-1.1679819999999999E-3</v>
      </c>
      <c r="N1697">
        <v>-1.382048E-2</v>
      </c>
      <c r="O1697">
        <v>-0.99990380000000001</v>
      </c>
      <c r="P1697">
        <v>-1.0861340000000001E-2</v>
      </c>
      <c r="Q1697">
        <v>-5.6610380000000002E-2</v>
      </c>
      <c r="R1697">
        <v>-0.99833749999999999</v>
      </c>
      <c r="S1697">
        <v>-0.83505249999999998</v>
      </c>
      <c r="T1697">
        <v>-0.24619350000000001</v>
      </c>
      <c r="U1697">
        <v>-2.9810490000000001</v>
      </c>
      <c r="V1697">
        <v>9.8187299999999995E-3</v>
      </c>
      <c r="W1697">
        <v>-4.2779129999999999E-2</v>
      </c>
      <c r="X1697">
        <v>0.99903629999999999</v>
      </c>
      <c r="Y1697">
        <v>0.26786349999999998</v>
      </c>
      <c r="Z1697">
        <v>6.5506159999999994E-2</v>
      </c>
      <c r="AA1697">
        <v>0.96122739999999995</v>
      </c>
      <c r="AB1697">
        <v>24</v>
      </c>
      <c r="AC1697">
        <v>-3.8083</v>
      </c>
      <c r="AD1697">
        <v>-1.1223268630937999</v>
      </c>
      <c r="AE1697">
        <v>-13.345799999999899</v>
      </c>
      <c r="AF1697">
        <v>3.7680665681079102</v>
      </c>
      <c r="AG1697">
        <v>-1.1223268630937999</v>
      </c>
      <c r="AH1697">
        <v>13.263501204095499</v>
      </c>
      <c r="AI1697">
        <v>94.6534289132574</v>
      </c>
      <c r="AJ1697">
        <v>74.140527994201804</v>
      </c>
      <c r="AK1697">
        <v>13.8339584877343</v>
      </c>
      <c r="AL1697">
        <v>92.451811825114305</v>
      </c>
      <c r="AM1697">
        <v>89.436903667436894</v>
      </c>
      <c r="AN1697">
        <v>0.99999999507002901</v>
      </c>
    </row>
    <row r="1698" spans="1:40" x14ac:dyDescent="0.25">
      <c r="A1698" t="str">
        <f>"20190303154800150"</f>
        <v>20190303154800150</v>
      </c>
      <c r="B1698" t="str">
        <f>"1551599280142169"</f>
        <v>1551599280142169</v>
      </c>
      <c r="C1698" t="s">
        <v>40</v>
      </c>
      <c r="D1698">
        <v>5.3214230000000002</v>
      </c>
      <c r="E1698">
        <v>0.60204480000000005</v>
      </c>
      <c r="F1698" t="s">
        <v>47</v>
      </c>
      <c r="G1698">
        <v>-196.15020000000001</v>
      </c>
      <c r="H1698" s="1">
        <v>2.2366799999999999E-7</v>
      </c>
      <c r="I1698">
        <v>298.34629999999999</v>
      </c>
      <c r="J1698">
        <v>-192.2433</v>
      </c>
      <c r="K1698">
        <v>1.1223240000000001</v>
      </c>
      <c r="L1698">
        <v>311.93610000000001</v>
      </c>
      <c r="M1698">
        <v>7.2764899999999905E-4</v>
      </c>
      <c r="N1698">
        <v>-1.3818199999999999E-2</v>
      </c>
      <c r="O1698">
        <v>-0.99990449999999997</v>
      </c>
      <c r="P1698">
        <v>-9.1289820000000008E-3</v>
      </c>
      <c r="Q1698">
        <v>-5.5178629999999999E-2</v>
      </c>
      <c r="R1698">
        <v>-0.99843510000000002</v>
      </c>
      <c r="S1698">
        <v>-0.84149169999999995</v>
      </c>
      <c r="T1698">
        <v>-0.24185490000000001</v>
      </c>
      <c r="U1698">
        <v>-2.9821170000000001</v>
      </c>
      <c r="V1698">
        <v>9.9741229999999997E-3</v>
      </c>
      <c r="W1698">
        <v>-4.1348459999999997E-2</v>
      </c>
      <c r="X1698">
        <v>0.99909499999999996</v>
      </c>
      <c r="Y1698">
        <v>0.27154820000000002</v>
      </c>
      <c r="Z1698">
        <v>6.4025219999999994E-2</v>
      </c>
      <c r="AA1698">
        <v>0.9602929</v>
      </c>
      <c r="AB1698">
        <v>24</v>
      </c>
      <c r="AC1698">
        <v>-3.9068999999999998</v>
      </c>
      <c r="AD1698">
        <v>-1.122323776332</v>
      </c>
      <c r="AE1698">
        <v>-13.5898</v>
      </c>
      <c r="AF1698">
        <v>3.8922682435907499</v>
      </c>
      <c r="AG1698">
        <v>-1.122323776332</v>
      </c>
      <c r="AH1698">
        <v>13.5018948857259</v>
      </c>
      <c r="AI1698">
        <v>94.566571413575303</v>
      </c>
      <c r="AJ1698">
        <v>73.919013784479404</v>
      </c>
      <c r="AK1698">
        <v>14.0964721914448</v>
      </c>
      <c r="AL1698">
        <v>92.369767841389901</v>
      </c>
      <c r="AM1698">
        <v>89.428026195386806</v>
      </c>
      <c r="AN1698">
        <v>0.99999999864949496</v>
      </c>
    </row>
    <row r="1699" spans="1:40" x14ac:dyDescent="0.25">
      <c r="A1699" t="str">
        <f>"20190303154800172"</f>
        <v>20190303154800172</v>
      </c>
      <c r="B1699" t="str">
        <f>"1551599280162665"</f>
        <v>1551599280162665</v>
      </c>
      <c r="C1699" t="s">
        <v>40</v>
      </c>
      <c r="D1699">
        <v>5.5861519999999896</v>
      </c>
      <c r="E1699">
        <v>0.60259019999999996</v>
      </c>
      <c r="F1699" t="s">
        <v>47</v>
      </c>
      <c r="G1699">
        <v>-196.8544</v>
      </c>
      <c r="H1699" s="1">
        <v>8.1580290000000002E-7</v>
      </c>
      <c r="I1699">
        <v>295.57819999999998</v>
      </c>
      <c r="J1699">
        <v>-192.24109999999999</v>
      </c>
      <c r="K1699">
        <v>1.122331</v>
      </c>
      <c r="L1699">
        <v>311.7079</v>
      </c>
      <c r="M1699">
        <v>2.4616299999999998E-3</v>
      </c>
      <c r="N1699">
        <v>-1.381598E-2</v>
      </c>
      <c r="O1699">
        <v>-0.9999015</v>
      </c>
      <c r="P1699">
        <v>-7.1288410000000003E-3</v>
      </c>
      <c r="Q1699">
        <v>-5.3350300000000003E-2</v>
      </c>
      <c r="R1699">
        <v>-0.99855020000000005</v>
      </c>
      <c r="S1699">
        <v>-0.84161379999999997</v>
      </c>
      <c r="T1699">
        <v>-0.204847</v>
      </c>
      <c r="U1699">
        <v>-2.9856569999999998</v>
      </c>
      <c r="V1699">
        <v>9.6996979999999997E-3</v>
      </c>
      <c r="W1699">
        <v>-3.9522090000000003E-2</v>
      </c>
      <c r="X1699">
        <v>0.99917160000000005</v>
      </c>
      <c r="Y1699">
        <v>0.27316499999999999</v>
      </c>
      <c r="Z1699">
        <v>5.2074469999999998E-2</v>
      </c>
      <c r="AA1699">
        <v>0.96055670000000004</v>
      </c>
      <c r="AB1699">
        <v>24</v>
      </c>
      <c r="AC1699">
        <v>-4.6132999999999997</v>
      </c>
      <c r="AD1699">
        <v>-1.1223301841971001</v>
      </c>
      <c r="AE1699">
        <v>-16.1297</v>
      </c>
      <c r="AF1699">
        <v>4.6322635241199102</v>
      </c>
      <c r="AG1699">
        <v>-1.1223301841971001</v>
      </c>
      <c r="AH1699">
        <v>16.046477977719402</v>
      </c>
      <c r="AI1699">
        <v>93.844410443144696</v>
      </c>
      <c r="AJ1699">
        <v>73.897740124986001</v>
      </c>
      <c r="AK1699">
        <v>16.7393830796922</v>
      </c>
      <c r="AL1699">
        <v>92.265038917712104</v>
      </c>
      <c r="AM1699">
        <v>89.443804947134396</v>
      </c>
      <c r="AN1699">
        <v>0.99999998299290904</v>
      </c>
    </row>
    <row r="1700" spans="1:40" x14ac:dyDescent="0.25">
      <c r="A1700" t="str">
        <f>"20190303154800194"</f>
        <v>20190303154800194</v>
      </c>
      <c r="B1700" t="str">
        <f>"1551599280191945"</f>
        <v>1551599280191945</v>
      </c>
      <c r="C1700" t="s">
        <v>40</v>
      </c>
      <c r="D1700">
        <v>5.5785679999999997</v>
      </c>
      <c r="E1700">
        <v>0.60371609999999998</v>
      </c>
      <c r="F1700" t="s">
        <v>47</v>
      </c>
      <c r="G1700">
        <v>-196.91069999999999</v>
      </c>
      <c r="H1700" s="1">
        <v>9.7944909999999991E-7</v>
      </c>
      <c r="I1700">
        <v>295.10109999999997</v>
      </c>
      <c r="J1700">
        <v>-192.23840000000001</v>
      </c>
      <c r="K1700">
        <v>1.1223179999999999</v>
      </c>
      <c r="L1700">
        <v>311.46839999999997</v>
      </c>
      <c r="M1700">
        <v>4.2761450000000003E-3</v>
      </c>
      <c r="N1700">
        <v>-1.3813600000000001E-2</v>
      </c>
      <c r="O1700">
        <v>-0.99989550000000005</v>
      </c>
      <c r="P1700">
        <v>-5.985504E-3</v>
      </c>
      <c r="Q1700">
        <v>-5.2616690000000001E-2</v>
      </c>
      <c r="R1700">
        <v>-0.99859690000000001</v>
      </c>
      <c r="S1700">
        <v>-0.84007259999999995</v>
      </c>
      <c r="T1700">
        <v>-0.20191110000000001</v>
      </c>
      <c r="U1700">
        <v>-2.9876100000000001</v>
      </c>
      <c r="V1700">
        <v>1.036578E-2</v>
      </c>
      <c r="W1700">
        <v>-3.8788780000000002E-2</v>
      </c>
      <c r="X1700">
        <v>0.99919369999999996</v>
      </c>
      <c r="Y1700">
        <v>0.2743022</v>
      </c>
      <c r="Z1700">
        <v>5.1085129999999999E-2</v>
      </c>
      <c r="AA1700">
        <v>0.96028570000000002</v>
      </c>
      <c r="AB1700">
        <v>24</v>
      </c>
      <c r="AC1700">
        <v>-4.6722999999999697</v>
      </c>
      <c r="AD1700">
        <v>-1.1223170205509001</v>
      </c>
      <c r="AE1700">
        <v>-16.3673</v>
      </c>
      <c r="AF1700">
        <v>4.7217245053391999</v>
      </c>
      <c r="AG1700">
        <v>-1.1223170205509001</v>
      </c>
      <c r="AH1700">
        <v>16.276404928466501</v>
      </c>
      <c r="AI1700">
        <v>93.788786813561998</v>
      </c>
      <c r="AJ1700">
        <v>73.822752672621505</v>
      </c>
      <c r="AK1700">
        <v>16.984570503676199</v>
      </c>
      <c r="AL1700">
        <v>92.222990988324796</v>
      </c>
      <c r="AM1700">
        <v>89.405626616300296</v>
      </c>
      <c r="AN1700">
        <v>1.0000000344842901</v>
      </c>
    </row>
    <row r="1701" spans="1:40" x14ac:dyDescent="0.25">
      <c r="A1701" t="str">
        <f>"20190303154800216"</f>
        <v>20190303154800216</v>
      </c>
      <c r="B1701" t="str">
        <f>"1551599280212442"</f>
        <v>1551599280212442</v>
      </c>
      <c r="C1701" t="s">
        <v>40</v>
      </c>
      <c r="D1701">
        <v>5.3718870000000001</v>
      </c>
      <c r="E1701">
        <v>0.60530810000000002</v>
      </c>
      <c r="F1701" t="s">
        <v>47</v>
      </c>
      <c r="G1701">
        <v>-196.94200000000001</v>
      </c>
      <c r="H1701" s="1">
        <v>1.0682049999999999E-6</v>
      </c>
      <c r="I1701">
        <v>294.84219999999999</v>
      </c>
      <c r="J1701">
        <v>-192.2354</v>
      </c>
      <c r="K1701">
        <v>1.1223080000000001</v>
      </c>
      <c r="L1701">
        <v>311.23439999999999</v>
      </c>
      <c r="M1701">
        <v>6.0471450000000003E-3</v>
      </c>
      <c r="N1701">
        <v>-1.3811199999999999E-2</v>
      </c>
      <c r="O1701">
        <v>-0.99988630000000001</v>
      </c>
      <c r="P1701">
        <v>-5.1105480000000003E-3</v>
      </c>
      <c r="Q1701">
        <v>-5.364708E-2</v>
      </c>
      <c r="R1701">
        <v>-0.99854690000000002</v>
      </c>
      <c r="S1701">
        <v>-0.84544370000000002</v>
      </c>
      <c r="T1701">
        <v>-0.20173360000000001</v>
      </c>
      <c r="U1701">
        <v>-2.9885250000000001</v>
      </c>
      <c r="V1701">
        <v>1.1261429999999999E-2</v>
      </c>
      <c r="W1701">
        <v>-3.981999E-2</v>
      </c>
      <c r="X1701">
        <v>0.99914340000000001</v>
      </c>
      <c r="Y1701">
        <v>0.27752579999999999</v>
      </c>
      <c r="Z1701">
        <v>5.0961260000000001E-2</v>
      </c>
      <c r="AA1701">
        <v>0.95936560000000004</v>
      </c>
      <c r="AB1701">
        <v>24</v>
      </c>
      <c r="AC1701">
        <v>-4.7065999999999999</v>
      </c>
      <c r="AD1701">
        <v>-1.1223069317950001</v>
      </c>
      <c r="AE1701">
        <v>-16.392199999999999</v>
      </c>
      <c r="AF1701">
        <v>4.7849279433144396</v>
      </c>
      <c r="AG1701">
        <v>-1.1223069317950001</v>
      </c>
      <c r="AH1701">
        <v>16.292878606809602</v>
      </c>
      <c r="AI1701">
        <v>93.781294962849401</v>
      </c>
      <c r="AJ1701">
        <v>73.633426830139996</v>
      </c>
      <c r="AK1701">
        <v>17.018019907383501</v>
      </c>
      <c r="AL1701">
        <v>92.282120755813295</v>
      </c>
      <c r="AM1701">
        <v>89.354241753994401</v>
      </c>
      <c r="AN1701">
        <v>0.99999999258640204</v>
      </c>
    </row>
    <row r="1702" spans="1:40" x14ac:dyDescent="0.25">
      <c r="A1702" t="str">
        <f>"20190303154800239"</f>
        <v>20190303154800239</v>
      </c>
      <c r="B1702" t="str">
        <f>"1551599280231961"</f>
        <v>1551599280231961</v>
      </c>
      <c r="C1702" t="s">
        <v>40</v>
      </c>
      <c r="D1702">
        <v>5.544632</v>
      </c>
      <c r="E1702">
        <v>0.60594989999999904</v>
      </c>
      <c r="F1702" t="s">
        <v>47</v>
      </c>
      <c r="G1702">
        <v>-197.1234</v>
      </c>
      <c r="H1702" s="1">
        <v>1.2132169999999999E-6</v>
      </c>
      <c r="I1702">
        <v>294.1549</v>
      </c>
      <c r="J1702">
        <v>-192.23179999999999</v>
      </c>
      <c r="K1702">
        <v>1.1223050000000001</v>
      </c>
      <c r="L1702">
        <v>310.99439999999998</v>
      </c>
      <c r="M1702">
        <v>7.8625829999999994E-3</v>
      </c>
      <c r="N1702">
        <v>-1.380875E-2</v>
      </c>
      <c r="O1702">
        <v>-0.99987380000000003</v>
      </c>
      <c r="P1702">
        <v>-3.4682139999999998E-3</v>
      </c>
      <c r="Q1702">
        <v>-5.3134559999999997E-2</v>
      </c>
      <c r="R1702">
        <v>-0.99858139999999995</v>
      </c>
      <c r="S1702">
        <v>-0.85556030000000005</v>
      </c>
      <c r="T1702">
        <v>-0.19643820000000001</v>
      </c>
      <c r="U1702">
        <v>-2.9894409999999998</v>
      </c>
      <c r="V1702">
        <v>1.1430310000000001E-2</v>
      </c>
      <c r="W1702">
        <v>-3.930931E-2</v>
      </c>
      <c r="X1702">
        <v>0.99916170000000004</v>
      </c>
      <c r="Y1702">
        <v>0.28221859999999999</v>
      </c>
      <c r="Z1702">
        <v>4.9173649999999999E-2</v>
      </c>
      <c r="AA1702">
        <v>0.95808910000000003</v>
      </c>
      <c r="AB1702">
        <v>24</v>
      </c>
      <c r="AC1702">
        <v>-4.8916000000000102</v>
      </c>
      <c r="AD1702">
        <v>-1.1223037867829999</v>
      </c>
      <c r="AE1702">
        <v>-16.839499999999902</v>
      </c>
      <c r="AF1702">
        <v>5.0033685774191197</v>
      </c>
      <c r="AG1702">
        <v>-1.1223037867829999</v>
      </c>
      <c r="AH1702">
        <v>16.731977656159302</v>
      </c>
      <c r="AI1702">
        <v>93.676981970557406</v>
      </c>
      <c r="AJ1702">
        <v>73.351740700016293</v>
      </c>
      <c r="AK1702">
        <v>17.500066834087999</v>
      </c>
      <c r="AL1702">
        <v>92.252838028260001</v>
      </c>
      <c r="AM1702">
        <v>89.344570599343498</v>
      </c>
      <c r="AN1702">
        <v>0.99999998829313097</v>
      </c>
    </row>
    <row r="1703" spans="1:40" x14ac:dyDescent="0.25">
      <c r="A1703" t="str">
        <f>"20190303154800262"</f>
        <v>20190303154800262</v>
      </c>
      <c r="B1703" t="str">
        <f>"1551599280252458"</f>
        <v>1551599280252458</v>
      </c>
      <c r="C1703" t="s">
        <v>40</v>
      </c>
      <c r="D1703">
        <v>5.7110580000000004</v>
      </c>
      <c r="E1703">
        <v>0.56861169999999905</v>
      </c>
      <c r="F1703" t="s">
        <v>47</v>
      </c>
      <c r="G1703">
        <v>-197.20089999999999</v>
      </c>
      <c r="H1703" s="1">
        <v>1.299506E-6</v>
      </c>
      <c r="I1703">
        <v>293.6259</v>
      </c>
      <c r="J1703">
        <v>-192.2278</v>
      </c>
      <c r="K1703">
        <v>1.122314</v>
      </c>
      <c r="L1703">
        <v>310.75310000000002</v>
      </c>
      <c r="M1703">
        <v>9.6885440000000003E-3</v>
      </c>
      <c r="N1703">
        <v>-1.380614E-2</v>
      </c>
      <c r="O1703">
        <v>-0.99985800000000002</v>
      </c>
      <c r="P1703">
        <v>-7.6141730000000001E-4</v>
      </c>
      <c r="Q1703">
        <v>-5.1150349999999997E-2</v>
      </c>
      <c r="R1703">
        <v>-0.99869110000000005</v>
      </c>
      <c r="S1703">
        <v>-0.8557129</v>
      </c>
      <c r="T1703">
        <v>-0.19326760000000001</v>
      </c>
      <c r="U1703">
        <v>-2.9909669999999999</v>
      </c>
      <c r="V1703">
        <v>1.054217E-2</v>
      </c>
      <c r="W1703">
        <v>-3.732895E-2</v>
      </c>
      <c r="X1703">
        <v>0.99924740000000001</v>
      </c>
      <c r="Y1703">
        <v>0.28390110000000002</v>
      </c>
      <c r="Z1703">
        <v>4.8111630000000002E-2</v>
      </c>
      <c r="AA1703">
        <v>0.95764579999999999</v>
      </c>
      <c r="AB1703">
        <v>24</v>
      </c>
      <c r="AC1703">
        <v>-4.9730999999999801</v>
      </c>
      <c r="AD1703">
        <v>-1.1223127004939999</v>
      </c>
      <c r="AE1703">
        <v>-17.127199999999998</v>
      </c>
      <c r="AF1703">
        <v>5.1185502026309404</v>
      </c>
      <c r="AG1703">
        <v>-1.1223127004939999</v>
      </c>
      <c r="AH1703">
        <v>17.010845397784799</v>
      </c>
      <c r="AI1703">
        <v>93.615038400010704</v>
      </c>
      <c r="AJ1703">
        <v>73.253499750238305</v>
      </c>
      <c r="AK1703">
        <v>17.799663005851599</v>
      </c>
      <c r="AL1703">
        <v>92.139288365960496</v>
      </c>
      <c r="AM1703">
        <v>89.3955456484303</v>
      </c>
      <c r="AN1703">
        <v>0.99999997713158495</v>
      </c>
    </row>
    <row r="1704" spans="1:40" x14ac:dyDescent="0.25">
      <c r="A1704" t="str">
        <f>"20190303154800285"</f>
        <v>20190303154800285</v>
      </c>
      <c r="B1704" t="str">
        <f>"1551599280271977"</f>
        <v>1551599280271977</v>
      </c>
      <c r="C1704" t="s">
        <v>40</v>
      </c>
      <c r="D1704">
        <v>5.5762090000000004</v>
      </c>
      <c r="E1704">
        <v>0.55224530000000005</v>
      </c>
      <c r="F1704" t="s">
        <v>47</v>
      </c>
      <c r="G1704">
        <v>-195.28809999999999</v>
      </c>
      <c r="H1704" s="1">
        <v>1.3856039999999901E-6</v>
      </c>
      <c r="I1704">
        <v>294.1003</v>
      </c>
      <c r="J1704">
        <v>-192.22329999999999</v>
      </c>
      <c r="K1704">
        <v>1.1223110000000001</v>
      </c>
      <c r="L1704">
        <v>310.51139999999998</v>
      </c>
      <c r="M1704">
        <v>1.151774E-2</v>
      </c>
      <c r="N1704">
        <v>-1.38037E-2</v>
      </c>
      <c r="O1704">
        <v>-0.99983869999999997</v>
      </c>
      <c r="P1704">
        <v>1.21115E-3</v>
      </c>
      <c r="Q1704">
        <v>-5.0054399999999999E-2</v>
      </c>
      <c r="R1704">
        <v>-0.99874609999999997</v>
      </c>
      <c r="S1704">
        <v>-0.55006409999999994</v>
      </c>
      <c r="T1704">
        <v>-0.2017244</v>
      </c>
      <c r="U1704">
        <v>-2.9931640000000002</v>
      </c>
      <c r="V1704">
        <v>1.0393889999999999E-2</v>
      </c>
      <c r="W1704">
        <v>-3.6235280000000002E-2</v>
      </c>
      <c r="X1704">
        <v>0.99928919999999999</v>
      </c>
      <c r="Y1704">
        <v>0.1917113</v>
      </c>
      <c r="Z1704">
        <v>5.2267929999999997E-2</v>
      </c>
      <c r="AA1704">
        <v>0.9800586</v>
      </c>
      <c r="AB1704">
        <v>24</v>
      </c>
      <c r="AC1704">
        <v>-3.0647999999999902</v>
      </c>
      <c r="AD1704">
        <v>-1.1223096143960001</v>
      </c>
      <c r="AE1704">
        <v>-16.411099999999902</v>
      </c>
      <c r="AF1704">
        <v>3.2389957327287102</v>
      </c>
      <c r="AG1704">
        <v>-1.1223096143960001</v>
      </c>
      <c r="AH1704">
        <v>16.3010406324168</v>
      </c>
      <c r="AI1704">
        <v>93.8632500970987</v>
      </c>
      <c r="AJ1704">
        <v>78.761776269278798</v>
      </c>
      <c r="AK1704">
        <v>16.657568787998599</v>
      </c>
      <c r="AL1704">
        <v>92.0765832755812</v>
      </c>
      <c r="AM1704">
        <v>89.404071859157497</v>
      </c>
      <c r="AN1704">
        <v>0.99999996685132397</v>
      </c>
    </row>
    <row r="1705" spans="1:40" x14ac:dyDescent="0.25">
      <c r="A1705" t="str">
        <f>"20190303154800307"</f>
        <v>20190303154800307</v>
      </c>
      <c r="B1705" t="str">
        <f>"1551599280302234"</f>
        <v>1551599280302234</v>
      </c>
      <c r="C1705" t="s">
        <v>40</v>
      </c>
      <c r="D1705">
        <v>5.574808</v>
      </c>
      <c r="E1705">
        <v>0.54503049999999997</v>
      </c>
      <c r="F1705" t="s">
        <v>47</v>
      </c>
      <c r="G1705">
        <v>-194.46299999999999</v>
      </c>
      <c r="H1705" s="1">
        <v>1.42201E-6</v>
      </c>
      <c r="I1705">
        <v>294.30919999999998</v>
      </c>
      <c r="J1705">
        <v>-192.21870000000001</v>
      </c>
      <c r="K1705">
        <v>1.122306</v>
      </c>
      <c r="L1705">
        <v>310.28460000000001</v>
      </c>
      <c r="M1705">
        <v>1.323526E-2</v>
      </c>
      <c r="N1705">
        <v>-1.380163E-2</v>
      </c>
      <c r="O1705">
        <v>-0.99981710000000001</v>
      </c>
      <c r="P1705">
        <v>2.2291239999999999E-3</v>
      </c>
      <c r="Q1705">
        <v>-5.1589469999999998E-2</v>
      </c>
      <c r="R1705">
        <v>-0.99866580000000005</v>
      </c>
      <c r="S1705">
        <v>-0.41384890000000002</v>
      </c>
      <c r="T1705">
        <v>-0.20738219999999999</v>
      </c>
      <c r="U1705">
        <v>-2.9938660000000001</v>
      </c>
      <c r="V1705">
        <v>1.1094420000000001E-2</v>
      </c>
      <c r="W1705">
        <v>-3.7771609999999997E-2</v>
      </c>
      <c r="X1705">
        <v>0.99922480000000002</v>
      </c>
      <c r="Y1705">
        <v>0.14974079999999901</v>
      </c>
      <c r="Z1705">
        <v>5.4593299999999997E-2</v>
      </c>
      <c r="AA1705">
        <v>0.98721689999999995</v>
      </c>
      <c r="AB1705">
        <v>24</v>
      </c>
      <c r="AC1705">
        <v>-2.24429999999998</v>
      </c>
      <c r="AD1705">
        <v>-1.1223045779900001</v>
      </c>
      <c r="AE1705">
        <v>-15.9754</v>
      </c>
      <c r="AF1705">
        <v>2.4437348444090099</v>
      </c>
      <c r="AG1705">
        <v>-1.1223045779900001</v>
      </c>
      <c r="AH1705">
        <v>15.867497707797</v>
      </c>
      <c r="AI1705">
        <v>93.998790555361694</v>
      </c>
      <c r="AJ1705">
        <v>81.244732501309002</v>
      </c>
      <c r="AK1705">
        <v>16.093753168931698</v>
      </c>
      <c r="AL1705">
        <v>92.164668786722103</v>
      </c>
      <c r="AM1705">
        <v>89.363869548535106</v>
      </c>
      <c r="AN1705">
        <v>0.99999999080608404</v>
      </c>
    </row>
    <row r="1706" spans="1:40" x14ac:dyDescent="0.25">
      <c r="A1706" t="str">
        <f>"20190303154800329"</f>
        <v>20190303154800329</v>
      </c>
      <c r="B1706" t="str">
        <f>"1551599280322729"</f>
        <v>1551599280322729</v>
      </c>
      <c r="C1706" t="s">
        <v>40</v>
      </c>
      <c r="D1706">
        <v>5.5551199999999996</v>
      </c>
      <c r="E1706">
        <v>0.54282189999999997</v>
      </c>
      <c r="F1706" t="s">
        <v>47</v>
      </c>
      <c r="G1706">
        <v>-194.03049999999999</v>
      </c>
      <c r="H1706" s="1">
        <v>1.2979239999999999E-6</v>
      </c>
      <c r="I1706">
        <v>294.92290000000003</v>
      </c>
      <c r="J1706">
        <v>-192.2133</v>
      </c>
      <c r="K1706">
        <v>1.122288</v>
      </c>
      <c r="L1706">
        <v>310.04050000000001</v>
      </c>
      <c r="M1706">
        <v>1.5084899999999899E-2</v>
      </c>
      <c r="N1706">
        <v>-1.379931E-2</v>
      </c>
      <c r="O1706">
        <v>-0.99979110000000004</v>
      </c>
      <c r="P1706">
        <v>2.0130030000000002E-3</v>
      </c>
      <c r="Q1706">
        <v>-5.3729800000000001E-2</v>
      </c>
      <c r="R1706">
        <v>-0.99855360000000004</v>
      </c>
      <c r="S1706">
        <v>-0.35305789999999998</v>
      </c>
      <c r="T1706">
        <v>-0.21870029999999999</v>
      </c>
      <c r="U1706">
        <v>-2.9935</v>
      </c>
      <c r="V1706">
        <v>1.3161809999999999E-2</v>
      </c>
      <c r="W1706">
        <v>-3.9910359999999999E-2</v>
      </c>
      <c r="X1706">
        <v>0.99911660000000002</v>
      </c>
      <c r="Y1706">
        <v>0.13181970000000001</v>
      </c>
      <c r="Z1706">
        <v>5.8502739999999998E-2</v>
      </c>
      <c r="AA1706">
        <v>0.98954589999999998</v>
      </c>
      <c r="AB1706">
        <v>24</v>
      </c>
      <c r="AC1706">
        <v>-1.8171999999999799</v>
      </c>
      <c r="AD1706">
        <v>-1.1222867020759999</v>
      </c>
      <c r="AE1706">
        <v>-15.1175999999999</v>
      </c>
      <c r="AF1706">
        <v>2.0340122921508801</v>
      </c>
      <c r="AG1706">
        <v>-1.1222867020759999</v>
      </c>
      <c r="AH1706">
        <v>15.0069372203504</v>
      </c>
      <c r="AI1706">
        <v>94.238267080955595</v>
      </c>
      <c r="AJ1706">
        <v>82.281273365389296</v>
      </c>
      <c r="AK1706">
        <v>15.185680695372699</v>
      </c>
      <c r="AL1706">
        <v>92.287302620016604</v>
      </c>
      <c r="AM1706">
        <v>89.245260718058802</v>
      </c>
      <c r="AN1706">
        <v>1.0000000252366801</v>
      </c>
    </row>
    <row r="1707" spans="1:40" x14ac:dyDescent="0.25">
      <c r="A1707" t="str">
        <f>"20190303154800351"</f>
        <v>20190303154800351</v>
      </c>
      <c r="B1707" t="str">
        <f>"1551599280342251"</f>
        <v>1551599280342251</v>
      </c>
      <c r="C1707" t="s">
        <v>40</v>
      </c>
      <c r="D1707">
        <v>5.5606049999999998</v>
      </c>
      <c r="E1707">
        <v>0.54131649999999998</v>
      </c>
      <c r="F1707" t="s">
        <v>47</v>
      </c>
      <c r="G1707">
        <v>-193.85939999999999</v>
      </c>
      <c r="H1707" s="1">
        <v>1.1520989999999999E-6</v>
      </c>
      <c r="I1707">
        <v>295.37830000000002</v>
      </c>
      <c r="J1707">
        <v>-192.208</v>
      </c>
      <c r="K1707">
        <v>1.122282</v>
      </c>
      <c r="L1707">
        <v>309.8177</v>
      </c>
      <c r="M1707">
        <v>1.6774029999999999E-2</v>
      </c>
      <c r="N1707">
        <v>-1.3797200000000001E-2</v>
      </c>
      <c r="O1707">
        <v>-0.99976410000000004</v>
      </c>
      <c r="P1707">
        <v>1.9644250000000001E-3</v>
      </c>
      <c r="Q1707">
        <v>-5.488059E-2</v>
      </c>
      <c r="R1707">
        <v>-0.99849089999999996</v>
      </c>
      <c r="S1707">
        <v>-0.33598329999999998</v>
      </c>
      <c r="T1707">
        <v>-0.22906770000000001</v>
      </c>
      <c r="U1707">
        <v>-2.9926759999999999</v>
      </c>
      <c r="V1707">
        <v>1.489911E-2</v>
      </c>
      <c r="W1707">
        <v>-4.1059659999999998E-2</v>
      </c>
      <c r="X1707">
        <v>0.99904559999999998</v>
      </c>
      <c r="Y1707">
        <v>0.12792899999999999</v>
      </c>
      <c r="Z1707">
        <v>6.1976000000000003E-2</v>
      </c>
      <c r="AA1707">
        <v>0.98984499999999997</v>
      </c>
      <c r="AB1707">
        <v>24</v>
      </c>
      <c r="AC1707">
        <v>-1.65139999999999</v>
      </c>
      <c r="AD1707">
        <v>-1.122280847901</v>
      </c>
      <c r="AE1707">
        <v>-14.4393999999999</v>
      </c>
      <c r="AF1707">
        <v>1.88217429200855</v>
      </c>
      <c r="AG1707">
        <v>-1.122280847901</v>
      </c>
      <c r="AH1707">
        <v>14.324250036155</v>
      </c>
      <c r="AI1707">
        <v>94.441849971973099</v>
      </c>
      <c r="AJ1707">
        <v>82.514347498893301</v>
      </c>
      <c r="AK1707">
        <v>14.490901747833099</v>
      </c>
      <c r="AL1707">
        <v>92.353206764267995</v>
      </c>
      <c r="AM1707">
        <v>89.145591709377996</v>
      </c>
      <c r="AN1707">
        <v>0.99999999501873305</v>
      </c>
    </row>
    <row r="1708" spans="1:40" x14ac:dyDescent="0.25">
      <c r="A1708" t="str">
        <f>"20190303154800372"</f>
        <v>20190303154800372</v>
      </c>
      <c r="B1708" t="str">
        <f>"1551599280362749"</f>
        <v>1551599280362749</v>
      </c>
      <c r="C1708" t="s">
        <v>40</v>
      </c>
      <c r="D1708">
        <v>5.498291</v>
      </c>
      <c r="E1708">
        <v>0.5402576</v>
      </c>
      <c r="F1708" t="s">
        <v>47</v>
      </c>
      <c r="G1708">
        <v>-193.75309999999999</v>
      </c>
      <c r="H1708" s="1">
        <v>1.098917E-6</v>
      </c>
      <c r="I1708">
        <v>295.55540000000002</v>
      </c>
      <c r="J1708">
        <v>-192.2021</v>
      </c>
      <c r="K1708">
        <v>1.1222799999999999</v>
      </c>
      <c r="L1708">
        <v>309.5874</v>
      </c>
      <c r="M1708">
        <v>1.8520979999999999E-2</v>
      </c>
      <c r="N1708">
        <v>-1.379499E-2</v>
      </c>
      <c r="O1708">
        <v>-0.99973330000000005</v>
      </c>
      <c r="P1708">
        <v>2.0654660000000002E-3</v>
      </c>
      <c r="Q1708">
        <v>-5.5041380000000001E-2</v>
      </c>
      <c r="R1708">
        <v>-0.99848199999999998</v>
      </c>
      <c r="S1708">
        <v>-0.32415769999999999</v>
      </c>
      <c r="T1708">
        <v>-0.23545279999999999</v>
      </c>
      <c r="U1708">
        <v>-2.9922179999999998</v>
      </c>
      <c r="V1708">
        <v>1.6542620000000001E-2</v>
      </c>
      <c r="W1708">
        <v>-4.1218730000000002E-2</v>
      </c>
      <c r="X1708">
        <v>0.99901320000000005</v>
      </c>
      <c r="Y1708">
        <v>0.1257984</v>
      </c>
      <c r="Z1708">
        <v>6.411377E-2</v>
      </c>
      <c r="AA1708">
        <v>0.98998189999999997</v>
      </c>
      <c r="AB1708">
        <v>24</v>
      </c>
      <c r="AC1708">
        <v>-1.55099999999998</v>
      </c>
      <c r="AD1708">
        <v>-1.1222789010830001</v>
      </c>
      <c r="AE1708">
        <v>-14.031999999999901</v>
      </c>
      <c r="AF1708">
        <v>1.79927436493693</v>
      </c>
      <c r="AG1708">
        <v>-1.1222789010830001</v>
      </c>
      <c r="AH1708">
        <v>13.912939876594001</v>
      </c>
      <c r="AI1708">
        <v>94.573818769729499</v>
      </c>
      <c r="AJ1708">
        <v>82.631190234547304</v>
      </c>
      <c r="AK1708">
        <v>14.073620507241699</v>
      </c>
      <c r="AL1708">
        <v>92.362328495834007</v>
      </c>
      <c r="AM1708">
        <v>89.051328158985299</v>
      </c>
      <c r="AN1708">
        <v>1.0000000078767499</v>
      </c>
    </row>
    <row r="1709" spans="1:40" x14ac:dyDescent="0.25">
      <c r="A1709" t="str">
        <f>"20190303154800394"</f>
        <v>20190303154800394</v>
      </c>
      <c r="B1709" t="str">
        <f>"1551599280392026"</f>
        <v>1551599280392026</v>
      </c>
      <c r="C1709" t="s">
        <v>40</v>
      </c>
      <c r="D1709">
        <v>5.5250300000000001</v>
      </c>
      <c r="E1709">
        <v>0.53949309999999995</v>
      </c>
      <c r="F1709" t="s">
        <v>47</v>
      </c>
      <c r="G1709">
        <v>-193.6885</v>
      </c>
      <c r="H1709" s="1">
        <v>1.127225E-6</v>
      </c>
      <c r="I1709">
        <v>295.49149999999997</v>
      </c>
      <c r="J1709">
        <v>-192.19569999999999</v>
      </c>
      <c r="K1709">
        <v>1.1222700000000001</v>
      </c>
      <c r="L1709">
        <v>309.35300000000001</v>
      </c>
      <c r="M1709">
        <v>2.0299319999999999E-2</v>
      </c>
      <c r="N1709">
        <v>-1.3792769999999999E-2</v>
      </c>
      <c r="O1709">
        <v>-0.99969889999999995</v>
      </c>
      <c r="P1709">
        <v>2.01352E-3</v>
      </c>
      <c r="Q1709">
        <v>-5.4783909999999998E-2</v>
      </c>
      <c r="R1709">
        <v>-0.9984963</v>
      </c>
      <c r="S1709">
        <v>-0.31550600000000001</v>
      </c>
      <c r="T1709">
        <v>-0.2382253</v>
      </c>
      <c r="U1709">
        <v>-2.9921259999999998</v>
      </c>
      <c r="V1709">
        <v>1.8369739999999999E-2</v>
      </c>
      <c r="W1709">
        <v>-4.0958870000000001E-2</v>
      </c>
      <c r="X1709">
        <v>0.99899199999999999</v>
      </c>
      <c r="Y1709">
        <v>0.1247296</v>
      </c>
      <c r="Z1709">
        <v>6.5043080000000003E-2</v>
      </c>
      <c r="AA1709">
        <v>0.99005650000000001</v>
      </c>
      <c r="AB1709">
        <v>24</v>
      </c>
      <c r="AC1709">
        <v>-1.4928000000000099</v>
      </c>
      <c r="AD1709">
        <v>-1.1222688727750001</v>
      </c>
      <c r="AE1709">
        <v>-13.861499999999999</v>
      </c>
      <c r="AF1709">
        <v>1.76247750994093</v>
      </c>
      <c r="AG1709">
        <v>-1.1222688727750001</v>
      </c>
      <c r="AH1709">
        <v>13.739308801039201</v>
      </c>
      <c r="AI1709">
        <v>94.631939405963294</v>
      </c>
      <c r="AJ1709">
        <v>82.690024235943596</v>
      </c>
      <c r="AK1709">
        <v>13.8972810551618</v>
      </c>
      <c r="AL1709">
        <v>92.347426940275298</v>
      </c>
      <c r="AM1709">
        <v>88.946548151498106</v>
      </c>
      <c r="AN1709">
        <v>1.00000004622167</v>
      </c>
    </row>
    <row r="1710" spans="1:40" x14ac:dyDescent="0.25">
      <c r="A1710" t="str">
        <f>"20190303154800417"</f>
        <v>20190303154800417</v>
      </c>
      <c r="B1710" t="str">
        <f>"1551599280412522"</f>
        <v>1551599280412522</v>
      </c>
      <c r="C1710" t="s">
        <v>40</v>
      </c>
      <c r="D1710">
        <v>5.5448779999999998</v>
      </c>
      <c r="E1710">
        <v>0.53903489999999998</v>
      </c>
      <c r="F1710" t="s">
        <v>47</v>
      </c>
      <c r="G1710">
        <v>-193.63650000000001</v>
      </c>
      <c r="H1710" s="1">
        <v>1.156904E-6</v>
      </c>
      <c r="I1710">
        <v>295.42059999999998</v>
      </c>
      <c r="J1710">
        <v>-192.18879999999999</v>
      </c>
      <c r="K1710">
        <v>1.1222620000000001</v>
      </c>
      <c r="L1710">
        <v>309.11399999999998</v>
      </c>
      <c r="M1710">
        <v>2.2113259999999999E-2</v>
      </c>
      <c r="N1710">
        <v>-1.3790419999999999E-2</v>
      </c>
      <c r="O1710">
        <v>-0.99966049999999995</v>
      </c>
      <c r="P1710">
        <v>2.602498E-3</v>
      </c>
      <c r="Q1710">
        <v>-5.5121450000000002E-2</v>
      </c>
      <c r="R1710">
        <v>-0.99847629999999998</v>
      </c>
      <c r="S1710">
        <v>-0.30940250000000002</v>
      </c>
      <c r="T1710">
        <v>-0.2410014</v>
      </c>
      <c r="U1710">
        <v>-2.9919129999999998</v>
      </c>
      <c r="V1710">
        <v>1.9592539999999999E-2</v>
      </c>
      <c r="W1710">
        <v>-4.1296079999999999E-2</v>
      </c>
      <c r="X1710">
        <v>0.99895480000000003</v>
      </c>
      <c r="Y1710">
        <v>0.1245324</v>
      </c>
      <c r="Z1710">
        <v>6.5968269999999996E-2</v>
      </c>
      <c r="AA1710">
        <v>0.99002020000000002</v>
      </c>
      <c r="AB1710">
        <v>24</v>
      </c>
      <c r="AC1710">
        <v>-1.44770000000002</v>
      </c>
      <c r="AD1710">
        <v>-1.1222608430959999</v>
      </c>
      <c r="AE1710">
        <v>-13.6934</v>
      </c>
      <c r="AF1710">
        <v>1.73863137445103</v>
      </c>
      <c r="AG1710">
        <v>-1.1222608430959999</v>
      </c>
      <c r="AH1710">
        <v>13.567908422714201</v>
      </c>
      <c r="AI1710">
        <v>94.690241521338393</v>
      </c>
      <c r="AJ1710">
        <v>82.697747245894703</v>
      </c>
      <c r="AK1710">
        <v>13.724811380246001</v>
      </c>
      <c r="AL1710">
        <v>92.366764206967801</v>
      </c>
      <c r="AM1710">
        <v>88.876399667921305</v>
      </c>
      <c r="AN1710">
        <v>0.99999996314502804</v>
      </c>
    </row>
    <row r="1711" spans="1:40" x14ac:dyDescent="0.25">
      <c r="A1711" t="str">
        <f>"20190303154800441"</f>
        <v>20190303154800441</v>
      </c>
      <c r="B1711" t="str">
        <f>"1551599280432042"</f>
        <v>1551599280432042</v>
      </c>
      <c r="C1711" t="s">
        <v>40</v>
      </c>
      <c r="D1711">
        <v>5.5063500000000003</v>
      </c>
      <c r="E1711">
        <v>0.53850940000000003</v>
      </c>
      <c r="F1711" t="s">
        <v>47</v>
      </c>
      <c r="G1711">
        <v>-193.58860000000001</v>
      </c>
      <c r="H1711" s="1">
        <v>1.1931169999999999E-6</v>
      </c>
      <c r="I1711">
        <v>295.33019999999999</v>
      </c>
      <c r="J1711">
        <v>-192.18119999999999</v>
      </c>
      <c r="K1711">
        <v>1.122252</v>
      </c>
      <c r="L1711">
        <v>308.86900000000003</v>
      </c>
      <c r="M1711">
        <v>2.3972940000000002E-2</v>
      </c>
      <c r="N1711">
        <v>-1.378806E-2</v>
      </c>
      <c r="O1711">
        <v>-0.9996178</v>
      </c>
      <c r="P1711">
        <v>3.9928890000000003E-3</v>
      </c>
      <c r="Q1711">
        <v>-5.6262449999999999E-2</v>
      </c>
      <c r="R1711">
        <v>-0.99840850000000003</v>
      </c>
      <c r="S1711">
        <v>-0.30383300000000002</v>
      </c>
      <c r="T1711">
        <v>-0.24359790000000001</v>
      </c>
      <c r="U1711">
        <v>-2.9919129999999998</v>
      </c>
      <c r="V1711">
        <v>2.006088E-2</v>
      </c>
      <c r="W1711">
        <v>-4.243918E-2</v>
      </c>
      <c r="X1711">
        <v>0.99889760000000005</v>
      </c>
      <c r="Y1711">
        <v>0.1245478</v>
      </c>
      <c r="Z1711">
        <v>6.6826259999999998E-2</v>
      </c>
      <c r="AA1711">
        <v>0.98996070000000003</v>
      </c>
      <c r="AB1711">
        <v>24</v>
      </c>
      <c r="AC1711">
        <v>-1.40740000000002</v>
      </c>
      <c r="AD1711">
        <v>-1.1222508068829999</v>
      </c>
      <c r="AE1711">
        <v>-13.5388</v>
      </c>
      <c r="AF1711">
        <v>1.7198999689276999</v>
      </c>
      <c r="AG1711">
        <v>-1.1222508068829999</v>
      </c>
      <c r="AH1711">
        <v>13.4100105571891</v>
      </c>
      <c r="AI1711">
        <v>94.745107659842503</v>
      </c>
      <c r="AJ1711">
        <v>82.691433178650797</v>
      </c>
      <c r="AK1711">
        <v>13.5663512382877</v>
      </c>
      <c r="AL1711">
        <v>92.432316482508796</v>
      </c>
      <c r="AM1711">
        <v>88.849482403479399</v>
      </c>
      <c r="AN1711">
        <v>0.99999996909560296</v>
      </c>
    </row>
    <row r="1712" spans="1:40" x14ac:dyDescent="0.25">
      <c r="A1712" t="str">
        <f>"20190303154800464"</f>
        <v>20190303154800464</v>
      </c>
      <c r="B1712" t="str">
        <f>"1551599280452538"</f>
        <v>1551599280452538</v>
      </c>
      <c r="C1712" t="s">
        <v>40</v>
      </c>
      <c r="D1712">
        <v>5.4620040000000003</v>
      </c>
      <c r="E1712">
        <v>0.53800409999999999</v>
      </c>
      <c r="F1712" t="s">
        <v>42</v>
      </c>
      <c r="G1712">
        <v>-192.274</v>
      </c>
      <c r="H1712">
        <v>1.0443659999999999</v>
      </c>
      <c r="I1712">
        <v>307.93119999999999</v>
      </c>
      <c r="J1712">
        <v>-192.17339999999999</v>
      </c>
      <c r="K1712">
        <v>1.122244</v>
      </c>
      <c r="L1712">
        <v>308.63220000000001</v>
      </c>
      <c r="M1712">
        <v>2.5770850000000001E-2</v>
      </c>
      <c r="N1712">
        <v>-1.3785449999999999E-2</v>
      </c>
      <c r="O1712">
        <v>-0.99957289999999999</v>
      </c>
      <c r="P1712">
        <v>6.4688239999999998E-3</v>
      </c>
      <c r="Q1712">
        <v>-5.6969119999999998E-2</v>
      </c>
      <c r="R1712">
        <v>-0.9983554</v>
      </c>
      <c r="S1712">
        <v>-0.29557800000000001</v>
      </c>
      <c r="T1712">
        <v>-0.2486517</v>
      </c>
      <c r="U1712">
        <v>-2.9919129999999998</v>
      </c>
      <c r="V1712">
        <v>1.9381410000000002E-2</v>
      </c>
      <c r="W1712">
        <v>-4.315078E-2</v>
      </c>
      <c r="X1712">
        <v>0.99888060000000001</v>
      </c>
      <c r="Y1712">
        <v>0.12361610000000001</v>
      </c>
      <c r="Z1712">
        <v>6.8501090000000001E-2</v>
      </c>
      <c r="AA1712">
        <v>0.98996289999999998</v>
      </c>
      <c r="AB1712">
        <v>23</v>
      </c>
      <c r="AC1712">
        <v>-0.100600000000014</v>
      </c>
      <c r="AD1712">
        <v>-7.78780000000001E-2</v>
      </c>
      <c r="AE1712">
        <v>-0.70100000000002105</v>
      </c>
      <c r="AF1712">
        <v>0.117216148488584</v>
      </c>
      <c r="AG1712">
        <v>-7.78780000000001E-2</v>
      </c>
      <c r="AH1712">
        <v>0.68983208706360999</v>
      </c>
      <c r="AI1712">
        <v>96.350815390938294</v>
      </c>
      <c r="AJ1712">
        <v>80.356419324735498</v>
      </c>
      <c r="AK1712">
        <v>0.70404042262716204</v>
      </c>
      <c r="AL1712">
        <v>92.473125369689996</v>
      </c>
      <c r="AM1712">
        <v>88.888422031632402</v>
      </c>
      <c r="AN1712">
        <v>1.00000004096227</v>
      </c>
    </row>
    <row r="1713" spans="1:40" x14ac:dyDescent="0.25">
      <c r="A1713" t="str">
        <f>"20190303154800484"</f>
        <v>20190303154800484</v>
      </c>
      <c r="B1713" t="str">
        <f>"1551599280472057"</f>
        <v>1551599280472057</v>
      </c>
      <c r="C1713" t="s">
        <v>40</v>
      </c>
      <c r="D1713">
        <v>5.4962429999999998</v>
      </c>
      <c r="E1713">
        <v>0.53760819999999998</v>
      </c>
      <c r="F1713" t="s">
        <v>42</v>
      </c>
      <c r="G1713">
        <v>-192.26</v>
      </c>
      <c r="H1713">
        <v>1.045755</v>
      </c>
      <c r="I1713">
        <v>307.72199999999998</v>
      </c>
      <c r="J1713">
        <v>-192.16569999999999</v>
      </c>
      <c r="K1713">
        <v>1.1222369999999999</v>
      </c>
      <c r="L1713">
        <v>308.41059999999999</v>
      </c>
      <c r="M1713">
        <v>2.745326E-2</v>
      </c>
      <c r="N1713">
        <v>-1.378308E-2</v>
      </c>
      <c r="O1713">
        <v>-0.99952819999999998</v>
      </c>
      <c r="P1713">
        <v>7.6892030000000004E-3</v>
      </c>
      <c r="Q1713">
        <v>-5.8207450000000001E-2</v>
      </c>
      <c r="R1713">
        <v>-0.99827529999999998</v>
      </c>
      <c r="S1713">
        <v>-0.28405760000000002</v>
      </c>
      <c r="T1713">
        <v>-0.251778</v>
      </c>
      <c r="U1713">
        <v>-2.9924010000000001</v>
      </c>
      <c r="V1713">
        <v>1.9842430000000001E-2</v>
      </c>
      <c r="W1713">
        <v>-4.4391340000000001E-2</v>
      </c>
      <c r="X1713">
        <v>0.99881710000000001</v>
      </c>
      <c r="Y1713">
        <v>0.1214881</v>
      </c>
      <c r="Z1713">
        <v>6.9538470000000005E-2</v>
      </c>
      <c r="AA1713">
        <v>0.99015399999999998</v>
      </c>
      <c r="AB1713">
        <v>23</v>
      </c>
      <c r="AC1713">
        <v>-9.4300000000004006E-2</v>
      </c>
      <c r="AD1713">
        <v>-7.6482000000000105E-2</v>
      </c>
      <c r="AE1713">
        <v>-0.68860000000000798</v>
      </c>
      <c r="AF1713">
        <v>0.11181655043828399</v>
      </c>
      <c r="AG1713">
        <v>-7.6482000000000105E-2</v>
      </c>
      <c r="AH1713">
        <v>0.67754677677434705</v>
      </c>
      <c r="AI1713">
        <v>96.355086716075803</v>
      </c>
      <c r="AJ1713">
        <v>80.628858789718294</v>
      </c>
      <c r="AK1713">
        <v>0.69095735902675204</v>
      </c>
      <c r="AL1713">
        <v>92.544272627653001</v>
      </c>
      <c r="AM1713">
        <v>88.861915790001504</v>
      </c>
      <c r="AN1713">
        <v>0.99999995617385395</v>
      </c>
    </row>
    <row r="1714" spans="1:40" x14ac:dyDescent="0.25">
      <c r="A1714" t="str">
        <f>"20190303154800507"</f>
        <v>20190303154800507</v>
      </c>
      <c r="B1714" t="str">
        <f>"1551599280502314"</f>
        <v>1551599280502314</v>
      </c>
      <c r="C1714" t="s">
        <v>40</v>
      </c>
      <c r="D1714">
        <v>5.4677540000000002</v>
      </c>
      <c r="E1714">
        <v>0.53724589999999905</v>
      </c>
      <c r="F1714" t="s">
        <v>42</v>
      </c>
      <c r="G1714">
        <v>-192.24879999999999</v>
      </c>
      <c r="H1714">
        <v>1.0454349999999999</v>
      </c>
      <c r="I1714">
        <v>307.51389999999998</v>
      </c>
      <c r="J1714">
        <v>-192.1575</v>
      </c>
      <c r="K1714">
        <v>1.122231</v>
      </c>
      <c r="L1714">
        <v>308.18349999999998</v>
      </c>
      <c r="M1714">
        <v>2.917848E-2</v>
      </c>
      <c r="N1714">
        <v>-1.3780479999999999E-2</v>
      </c>
      <c r="O1714">
        <v>-0.99947949999999997</v>
      </c>
      <c r="P1714">
        <v>8.9618730000000004E-3</v>
      </c>
      <c r="Q1714">
        <v>-5.885688E-2</v>
      </c>
      <c r="R1714">
        <v>-0.99822650000000002</v>
      </c>
      <c r="S1714">
        <v>-0.27717589999999998</v>
      </c>
      <c r="T1714">
        <v>-0.2563049</v>
      </c>
      <c r="U1714">
        <v>-2.9924010000000001</v>
      </c>
      <c r="V1714">
        <v>2.0293100000000001E-2</v>
      </c>
      <c r="W1714">
        <v>-4.504288E-2</v>
      </c>
      <c r="X1714">
        <v>0.99877890000000003</v>
      </c>
      <c r="Y1714">
        <v>0.120933399999999</v>
      </c>
      <c r="Z1714">
        <v>7.1034600000000003E-2</v>
      </c>
      <c r="AA1714">
        <v>0.99011579999999999</v>
      </c>
      <c r="AB1714">
        <v>23</v>
      </c>
      <c r="AC1714">
        <v>-9.1299999999989695E-2</v>
      </c>
      <c r="AD1714">
        <v>-7.6795999999999795E-2</v>
      </c>
      <c r="AE1714">
        <v>-0.66960000000000197</v>
      </c>
      <c r="AF1714">
        <v>0.10938828555727199</v>
      </c>
      <c r="AG1714">
        <v>-7.6795999999999795E-2</v>
      </c>
      <c r="AH1714">
        <v>0.658151508797852</v>
      </c>
      <c r="AI1714">
        <v>96.566154332288207</v>
      </c>
      <c r="AJ1714">
        <v>80.563398229623104</v>
      </c>
      <c r="AK1714">
        <v>0.67158531190463699</v>
      </c>
      <c r="AL1714">
        <v>92.581640437433805</v>
      </c>
      <c r="AM1714">
        <v>88.836029648477904</v>
      </c>
      <c r="AN1714">
        <v>0.99999998101575605</v>
      </c>
    </row>
    <row r="1715" spans="1:40" x14ac:dyDescent="0.25">
      <c r="A1715" t="str">
        <f>"20190303154800531"</f>
        <v>20190303154800531</v>
      </c>
      <c r="B1715" t="str">
        <f>"1551599280522811"</f>
        <v>1551599280522811</v>
      </c>
      <c r="C1715" t="s">
        <v>40</v>
      </c>
      <c r="D1715">
        <v>5.4238189999999999</v>
      </c>
      <c r="E1715">
        <v>0.53706929999999997</v>
      </c>
      <c r="F1715" t="s">
        <v>42</v>
      </c>
      <c r="G1715">
        <v>-192.2371</v>
      </c>
      <c r="H1715">
        <v>1.0463359999999999</v>
      </c>
      <c r="I1715">
        <v>307.30500000000001</v>
      </c>
      <c r="J1715">
        <v>-192.1481</v>
      </c>
      <c r="K1715">
        <v>1.1222270000000001</v>
      </c>
      <c r="L1715">
        <v>307.9359</v>
      </c>
      <c r="M1715">
        <v>3.1058970000000002E-2</v>
      </c>
      <c r="N1715">
        <v>-1.377775E-2</v>
      </c>
      <c r="O1715">
        <v>-0.99942249999999999</v>
      </c>
      <c r="P1715">
        <v>1.0693380000000001E-2</v>
      </c>
      <c r="Q1715">
        <v>-5.9787809999999997E-2</v>
      </c>
      <c r="R1715">
        <v>-0.99815390000000004</v>
      </c>
      <c r="S1715">
        <v>-0.27047729999999998</v>
      </c>
      <c r="T1715">
        <v>-0.25878790000000002</v>
      </c>
      <c r="U1715">
        <v>-2.9925540000000002</v>
      </c>
      <c r="V1715">
        <v>2.044021E-2</v>
      </c>
      <c r="W1715">
        <v>-4.5977030000000002E-2</v>
      </c>
      <c r="X1715">
        <v>0.99873330000000005</v>
      </c>
      <c r="Y1715">
        <v>0.1205928</v>
      </c>
      <c r="Z1715">
        <v>7.1851689999999996E-2</v>
      </c>
      <c r="AA1715">
        <v>0.99009840000000005</v>
      </c>
      <c r="AB1715">
        <v>23</v>
      </c>
      <c r="AC1715">
        <v>-8.8999999999998594E-2</v>
      </c>
      <c r="AD1715">
        <v>-7.5890999999999903E-2</v>
      </c>
      <c r="AE1715">
        <v>-0.63089999999999602</v>
      </c>
      <c r="AF1715">
        <v>0.10703546873884499</v>
      </c>
      <c r="AG1715">
        <v>-7.5890999999999903E-2</v>
      </c>
      <c r="AH1715">
        <v>0.61904838944699003</v>
      </c>
      <c r="AI1715">
        <v>96.887988952943999</v>
      </c>
      <c r="AJ1715">
        <v>80.190361838559696</v>
      </c>
      <c r="AK1715">
        <v>0.63280087225449999</v>
      </c>
      <c r="AL1715">
        <v>92.635218895885998</v>
      </c>
      <c r="AM1715">
        <v>88.827540554470204</v>
      </c>
      <c r="AN1715">
        <v>0.99999994700067596</v>
      </c>
    </row>
    <row r="1716" spans="1:40" x14ac:dyDescent="0.25">
      <c r="A1716" t="str">
        <f>"20190303154800551"</f>
        <v>20190303154800551</v>
      </c>
      <c r="B1716" t="str">
        <f>"1551599280542330"</f>
        <v>1551599280542330</v>
      </c>
      <c r="C1716" t="s">
        <v>40</v>
      </c>
      <c r="D1716">
        <v>5.4760109999999997</v>
      </c>
      <c r="E1716">
        <v>0.53705709999999995</v>
      </c>
      <c r="F1716" t="s">
        <v>42</v>
      </c>
      <c r="G1716">
        <v>-192.22229999999999</v>
      </c>
      <c r="H1716">
        <v>1.048807</v>
      </c>
      <c r="I1716">
        <v>307.09519999999998</v>
      </c>
      <c r="J1716">
        <v>-192.13929999999999</v>
      </c>
      <c r="K1716">
        <v>1.1222219999999901</v>
      </c>
      <c r="L1716">
        <v>307.71730000000002</v>
      </c>
      <c r="M1716">
        <v>3.2718299999999999E-2</v>
      </c>
      <c r="N1716">
        <v>-1.37753999999999E-2</v>
      </c>
      <c r="O1716">
        <v>-0.99936959999999997</v>
      </c>
      <c r="P1716">
        <v>1.1950529999999999E-2</v>
      </c>
      <c r="Q1716">
        <v>-5.9482109999999998E-2</v>
      </c>
      <c r="R1716">
        <v>-0.99815790000000004</v>
      </c>
      <c r="S1716">
        <v>-0.26376339999999998</v>
      </c>
      <c r="T1716">
        <v>-0.26155450000000002</v>
      </c>
      <c r="U1716">
        <v>-2.9927060000000001</v>
      </c>
      <c r="V1716">
        <v>2.0839719999999999E-2</v>
      </c>
      <c r="W1716">
        <v>-4.5672629999999999E-2</v>
      </c>
      <c r="X1716">
        <v>0.99873909999999999</v>
      </c>
      <c r="Y1716">
        <v>0.1200266</v>
      </c>
      <c r="Z1716">
        <v>7.2763079999999994E-2</v>
      </c>
      <c r="AA1716">
        <v>0.9901006</v>
      </c>
      <c r="AB1716">
        <v>23</v>
      </c>
      <c r="AC1716">
        <v>-8.2999999999998395E-2</v>
      </c>
      <c r="AD1716">
        <v>-7.3414999999999703E-2</v>
      </c>
      <c r="AE1716">
        <v>-0.62210000000004495</v>
      </c>
      <c r="AF1716">
        <v>0.101916995129945</v>
      </c>
      <c r="AG1716">
        <v>-7.3414999999999703E-2</v>
      </c>
      <c r="AH1716">
        <v>0.610694760150442</v>
      </c>
      <c r="AI1716">
        <v>96.762308526949397</v>
      </c>
      <c r="AJ1716">
        <v>80.5253971996095</v>
      </c>
      <c r="AK1716">
        <v>0.62347808798427196</v>
      </c>
      <c r="AL1716">
        <v>92.617759484221096</v>
      </c>
      <c r="AM1716">
        <v>88.804638010342003</v>
      </c>
      <c r="AN1716">
        <v>1.0000000364648001</v>
      </c>
    </row>
    <row r="1717" spans="1:40" x14ac:dyDescent="0.25">
      <c r="A1717" t="str">
        <f>"20190303154800573"</f>
        <v>20190303154800573</v>
      </c>
      <c r="B1717" t="str">
        <f>"1551599280562826"</f>
        <v>1551599280562826</v>
      </c>
      <c r="C1717" t="s">
        <v>40</v>
      </c>
      <c r="D1717">
        <v>5.4511900000000004</v>
      </c>
      <c r="E1717">
        <v>0.53707530000000003</v>
      </c>
      <c r="F1717" t="s">
        <v>42</v>
      </c>
      <c r="G1717">
        <v>-192.21170000000001</v>
      </c>
      <c r="H1717">
        <v>1.0502229999999999</v>
      </c>
      <c r="I1717">
        <v>306.88619999999997</v>
      </c>
      <c r="J1717">
        <v>-192.13</v>
      </c>
      <c r="K1717">
        <v>1.122214</v>
      </c>
      <c r="L1717">
        <v>307.49329999999998</v>
      </c>
      <c r="M1717">
        <v>3.4420390000000002E-2</v>
      </c>
      <c r="N1717">
        <v>-1.3773000000000001E-2</v>
      </c>
      <c r="O1717">
        <v>-0.99931250000000005</v>
      </c>
      <c r="P1717">
        <v>1.299405E-2</v>
      </c>
      <c r="Q1717">
        <v>-6.0404409999999999E-2</v>
      </c>
      <c r="R1717">
        <v>-0.99808960000000002</v>
      </c>
      <c r="S1717">
        <v>-0.25984190000000001</v>
      </c>
      <c r="T1717">
        <v>-0.25965389999999999</v>
      </c>
      <c r="U1717">
        <v>-2.9931950000000001</v>
      </c>
      <c r="V1717">
        <v>2.1496399999999999E-2</v>
      </c>
      <c r="W1717">
        <v>-4.659659E-2</v>
      </c>
      <c r="X1717">
        <v>0.99868239999999997</v>
      </c>
      <c r="Y1717">
        <v>0.12042020000000001</v>
      </c>
      <c r="Z1717">
        <v>7.2121660000000004E-2</v>
      </c>
      <c r="AA1717">
        <v>0.99009970000000003</v>
      </c>
      <c r="AB1717">
        <v>23</v>
      </c>
      <c r="AC1717">
        <v>-8.1700000000012096E-2</v>
      </c>
      <c r="AD1717">
        <v>-7.1991000000000097E-2</v>
      </c>
      <c r="AE1717">
        <v>-0.60710000000000197</v>
      </c>
      <c r="AF1717">
        <v>0.101153103585812</v>
      </c>
      <c r="AG1717">
        <v>-7.1991000000000097E-2</v>
      </c>
      <c r="AH1717">
        <v>0.59570025765468304</v>
      </c>
      <c r="AI1717">
        <v>96.794506612435896</v>
      </c>
      <c r="AJ1717">
        <v>80.362793197861706</v>
      </c>
      <c r="AK1717">
        <v>0.60850098719385703</v>
      </c>
      <c r="AL1717">
        <v>92.670755186999003</v>
      </c>
      <c r="AM1717">
        <v>88.766912450834198</v>
      </c>
      <c r="AN1717">
        <v>0.99999993674117105</v>
      </c>
    </row>
    <row r="1718" spans="1:40" x14ac:dyDescent="0.25">
      <c r="A1718" t="str">
        <f>"20190303154800597"</f>
        <v>20190303154800597</v>
      </c>
      <c r="B1718" t="str">
        <f>"1551599280592135"</f>
        <v>1551599280592135</v>
      </c>
      <c r="C1718" t="s">
        <v>40</v>
      </c>
      <c r="D1718">
        <v>5.5920439999999996</v>
      </c>
      <c r="E1718">
        <v>0.53696440000000001</v>
      </c>
      <c r="F1718" t="s">
        <v>42</v>
      </c>
      <c r="G1718">
        <v>-192.2</v>
      </c>
      <c r="H1718">
        <v>1.0510409999999999</v>
      </c>
      <c r="I1718">
        <v>306.67809999999997</v>
      </c>
      <c r="J1718">
        <v>-192.11940000000001</v>
      </c>
      <c r="K1718">
        <v>1.122206</v>
      </c>
      <c r="L1718">
        <v>307.2482</v>
      </c>
      <c r="M1718">
        <v>3.6282389999999998E-2</v>
      </c>
      <c r="N1718">
        <v>-1.377024E-2</v>
      </c>
      <c r="O1718">
        <v>-0.99924679999999999</v>
      </c>
      <c r="P1718">
        <v>1.455265E-2</v>
      </c>
      <c r="Q1718">
        <v>-6.1931350000000003E-2</v>
      </c>
      <c r="R1718">
        <v>-0.99797449999999999</v>
      </c>
      <c r="S1718">
        <v>-0.25683590000000001</v>
      </c>
      <c r="T1718">
        <v>-0.26150109999999999</v>
      </c>
      <c r="U1718">
        <v>-2.9932560000000001</v>
      </c>
      <c r="V1718">
        <v>2.1797839999999999E-2</v>
      </c>
      <c r="W1718">
        <v>-4.8126889999999999E-2</v>
      </c>
      <c r="X1718">
        <v>0.99860329999999997</v>
      </c>
      <c r="Y1718">
        <v>0.1212763</v>
      </c>
      <c r="Z1718">
        <v>7.2719359999999997E-2</v>
      </c>
      <c r="AA1718">
        <v>0.98995149999999998</v>
      </c>
      <c r="AB1718">
        <v>23</v>
      </c>
      <c r="AC1718">
        <v>-8.0599999999975497E-2</v>
      </c>
      <c r="AD1718">
        <v>-7.1165000000000103E-2</v>
      </c>
      <c r="AE1718">
        <v>-0.57010000000002403</v>
      </c>
      <c r="AF1718">
        <v>9.9710206149509498E-2</v>
      </c>
      <c r="AG1718">
        <v>-7.1165000000000103E-2</v>
      </c>
      <c r="AH1718">
        <v>0.55827125938414202</v>
      </c>
      <c r="AI1718">
        <v>97.152548302754894</v>
      </c>
      <c r="AJ1718">
        <v>79.873447599225798</v>
      </c>
      <c r="AK1718">
        <v>0.57155348086573099</v>
      </c>
      <c r="AL1718">
        <v>92.758533408541595</v>
      </c>
      <c r="AM1718">
        <v>88.749527534677796</v>
      </c>
      <c r="AN1718">
        <v>0.99999994707031203</v>
      </c>
    </row>
    <row r="1719" spans="1:40" x14ac:dyDescent="0.25">
      <c r="A1719" t="str">
        <f>"20190303154800620"</f>
        <v>20190303154800620</v>
      </c>
      <c r="B1719" t="str">
        <f>"1551599280612631"</f>
        <v>1551599280612631</v>
      </c>
      <c r="C1719" t="s">
        <v>40</v>
      </c>
      <c r="D1719">
        <v>5.6032400000000004</v>
      </c>
      <c r="E1719">
        <v>0.53664239999999996</v>
      </c>
      <c r="F1719" t="s">
        <v>42</v>
      </c>
      <c r="G1719">
        <v>-192.18539999999999</v>
      </c>
      <c r="H1719">
        <v>1.052451</v>
      </c>
      <c r="I1719">
        <v>306.46370000000002</v>
      </c>
      <c r="J1719">
        <v>-192.1086</v>
      </c>
      <c r="K1719">
        <v>1.1221969999999999</v>
      </c>
      <c r="L1719">
        <v>307.00799999999998</v>
      </c>
      <c r="M1719">
        <v>3.8108129999999997E-2</v>
      </c>
      <c r="N1719">
        <v>-1.376759E-2</v>
      </c>
      <c r="O1719">
        <v>-0.99917880000000003</v>
      </c>
      <c r="P1719">
        <v>1.642586E-2</v>
      </c>
      <c r="Q1719">
        <v>-6.2487439999999998E-2</v>
      </c>
      <c r="R1719">
        <v>-0.99791059999999998</v>
      </c>
      <c r="S1719">
        <v>-0.2512665</v>
      </c>
      <c r="T1719">
        <v>-0.26649440000000002</v>
      </c>
      <c r="U1719">
        <v>-2.9932859999999999</v>
      </c>
      <c r="V1719">
        <v>2.1747869999999999E-2</v>
      </c>
      <c r="W1719">
        <v>-4.8686340000000002E-2</v>
      </c>
      <c r="X1719">
        <v>0.9985773</v>
      </c>
      <c r="Y1719">
        <v>0.1212488</v>
      </c>
      <c r="Z1719">
        <v>7.435862E-2</v>
      </c>
      <c r="AA1719">
        <v>0.98983310000000002</v>
      </c>
      <c r="AB1719">
        <v>23</v>
      </c>
      <c r="AC1719">
        <v>-7.67999999999915E-2</v>
      </c>
      <c r="AD1719">
        <v>-6.9745999999999794E-2</v>
      </c>
      <c r="AE1719">
        <v>-0.54429999999996403</v>
      </c>
      <c r="AF1719">
        <v>9.5943818726244398E-2</v>
      </c>
      <c r="AG1719">
        <v>-6.9745999999999794E-2</v>
      </c>
      <c r="AH1719">
        <v>0.53240633255223802</v>
      </c>
      <c r="AI1719">
        <v>97.346321193525995</v>
      </c>
      <c r="AJ1719">
        <v>79.784489610616006</v>
      </c>
      <c r="AK1719">
        <v>0.54545964452881301</v>
      </c>
      <c r="AL1719">
        <v>92.790625072192</v>
      </c>
      <c r="AM1719">
        <v>88.752360773185003</v>
      </c>
      <c r="AN1719">
        <v>0.999999976813711</v>
      </c>
    </row>
    <row r="1720" spans="1:40" x14ac:dyDescent="0.25">
      <c r="A1720" t="str">
        <f>"20190303154800641"</f>
        <v>20190303154800641</v>
      </c>
      <c r="B1720" t="str">
        <f>"1551599280632151"</f>
        <v>1551599280632151</v>
      </c>
      <c r="C1720" t="s">
        <v>40</v>
      </c>
      <c r="D1720">
        <v>5.591774</v>
      </c>
      <c r="E1720">
        <v>0.53649690000000005</v>
      </c>
      <c r="F1720" t="s">
        <v>47</v>
      </c>
      <c r="G1720">
        <v>-193.11410000000001</v>
      </c>
      <c r="H1720" s="1">
        <v>1.4833019999999999E-6</v>
      </c>
      <c r="I1720">
        <v>294.62830000000002</v>
      </c>
      <c r="J1720">
        <v>-192.09800000000001</v>
      </c>
      <c r="K1720">
        <v>1.122185</v>
      </c>
      <c r="L1720">
        <v>306.78250000000003</v>
      </c>
      <c r="M1720">
        <v>3.9821469999999998E-2</v>
      </c>
      <c r="N1720">
        <v>-1.3765060000000001E-2</v>
      </c>
      <c r="O1720">
        <v>-0.999112</v>
      </c>
      <c r="P1720">
        <v>1.7846190000000001E-2</v>
      </c>
      <c r="Q1720">
        <v>-6.2735699999999894E-2</v>
      </c>
      <c r="R1720">
        <v>-0.9978707</v>
      </c>
      <c r="S1720">
        <v>-0.2431335</v>
      </c>
      <c r="T1720">
        <v>-0.27133429999999997</v>
      </c>
      <c r="U1720">
        <v>-2.9932560000000001</v>
      </c>
      <c r="V1720">
        <v>2.2038430000000001E-2</v>
      </c>
      <c r="W1720">
        <v>-4.8936800000000003E-2</v>
      </c>
      <c r="X1720">
        <v>0.99855870000000002</v>
      </c>
      <c r="Y1720">
        <v>0.12027</v>
      </c>
      <c r="Z1720">
        <v>7.5957070000000002E-2</v>
      </c>
      <c r="AA1720">
        <v>0.98983109999999996</v>
      </c>
      <c r="AB1720">
        <v>23</v>
      </c>
      <c r="AC1720">
        <v>-1.01610000000002</v>
      </c>
      <c r="AD1720">
        <v>-1.1221835166980001</v>
      </c>
      <c r="AE1720">
        <v>-12.154199999999999</v>
      </c>
      <c r="AF1720">
        <v>1.4867518252523999</v>
      </c>
      <c r="AG1720">
        <v>-1.1221835166980001</v>
      </c>
      <c r="AH1720">
        <v>12.002484680263301</v>
      </c>
      <c r="AI1720">
        <v>95.301113130045195</v>
      </c>
      <c r="AJ1720">
        <v>82.938721626350301</v>
      </c>
      <c r="AK1720">
        <v>12.1461666930351</v>
      </c>
      <c r="AL1720">
        <v>92.804992462194207</v>
      </c>
      <c r="AM1720">
        <v>88.7356736604102</v>
      </c>
      <c r="AN1720">
        <v>0.99999999006839702</v>
      </c>
    </row>
    <row r="1721" spans="1:40" x14ac:dyDescent="0.25">
      <c r="A1721" t="str">
        <f>"20190303154800666"</f>
        <v>20190303154800666</v>
      </c>
      <c r="B1721" t="str">
        <f>"1551599280662407"</f>
        <v>1551599280662407</v>
      </c>
      <c r="C1721" t="s">
        <v>40</v>
      </c>
      <c r="D1721">
        <v>5.5449989999999998</v>
      </c>
      <c r="E1721">
        <v>0.53627880000000006</v>
      </c>
      <c r="F1721" t="s">
        <v>42</v>
      </c>
      <c r="G1721">
        <v>-192.1712</v>
      </c>
      <c r="H1721">
        <v>1.037922</v>
      </c>
      <c r="I1721">
        <v>305.86009999999999</v>
      </c>
      <c r="J1721">
        <v>-192.08580000000001</v>
      </c>
      <c r="K1721">
        <v>1.12218</v>
      </c>
      <c r="L1721">
        <v>306.53440000000001</v>
      </c>
      <c r="M1721">
        <v>4.1707229999999998E-2</v>
      </c>
      <c r="N1721">
        <v>-1.376228E-2</v>
      </c>
      <c r="O1721">
        <v>-0.99903520000000001</v>
      </c>
      <c r="P1721">
        <v>1.8729780000000001E-2</v>
      </c>
      <c r="Q1721">
        <v>-6.3785019999999998E-2</v>
      </c>
      <c r="R1721">
        <v>-0.99778829999999996</v>
      </c>
      <c r="S1721">
        <v>-0.2375488</v>
      </c>
      <c r="T1721">
        <v>-0.27358070000000001</v>
      </c>
      <c r="U1721">
        <v>-2.9934080000000001</v>
      </c>
      <c r="V1721">
        <v>2.303784E-2</v>
      </c>
      <c r="W1721">
        <v>-4.9987530000000002E-2</v>
      </c>
      <c r="X1721">
        <v>0.99848409999999999</v>
      </c>
      <c r="Y1721">
        <v>0.1202997</v>
      </c>
      <c r="Z1721">
        <v>7.6688160000000005E-2</v>
      </c>
      <c r="AA1721">
        <v>0.98977110000000001</v>
      </c>
      <c r="AB1721">
        <v>23</v>
      </c>
      <c r="AC1721">
        <v>-8.5399999999992801E-2</v>
      </c>
      <c r="AD1721">
        <v>-8.4257999999999902E-2</v>
      </c>
      <c r="AE1721">
        <v>-0.674300000000016</v>
      </c>
      <c r="AF1721">
        <v>0.111734436605608</v>
      </c>
      <c r="AG1721">
        <v>-8.4257999999999902E-2</v>
      </c>
      <c r="AH1721">
        <v>0.660008307960536</v>
      </c>
      <c r="AI1721">
        <v>97.174150346116804</v>
      </c>
      <c r="AJ1721">
        <v>80.391359117855799</v>
      </c>
      <c r="AK1721">
        <v>0.67468137773655901</v>
      </c>
      <c r="AL1721">
        <v>92.865268619454298</v>
      </c>
      <c r="AM1721">
        <v>88.678259528718499</v>
      </c>
      <c r="AN1721">
        <v>0.99999999659008798</v>
      </c>
    </row>
    <row r="1722" spans="1:40" x14ac:dyDescent="0.25">
      <c r="A1722" t="str">
        <f>"20190303154800687"</f>
        <v>20190303154800687</v>
      </c>
      <c r="B1722" t="str">
        <f>"1551599280682826"</f>
        <v>1551599280682826</v>
      </c>
      <c r="C1722" t="s">
        <v>40</v>
      </c>
      <c r="D1722">
        <v>5.5530980000000003</v>
      </c>
      <c r="E1722">
        <v>0.53624169999999904</v>
      </c>
      <c r="F1722" t="s">
        <v>42</v>
      </c>
      <c r="G1722">
        <v>-192.15450000000001</v>
      </c>
      <c r="H1722">
        <v>1.0398639999999999</v>
      </c>
      <c r="I1722">
        <v>305.6533</v>
      </c>
      <c r="J1722">
        <v>-192.0745</v>
      </c>
      <c r="K1722">
        <v>1.122169</v>
      </c>
      <c r="L1722">
        <v>306.31049999999999</v>
      </c>
      <c r="M1722">
        <v>4.3407939999999999E-2</v>
      </c>
      <c r="N1722">
        <v>-1.3759749999999999E-2</v>
      </c>
      <c r="O1722">
        <v>-0.99896289999999999</v>
      </c>
      <c r="P1722">
        <v>1.9207849999999999E-2</v>
      </c>
      <c r="Q1722">
        <v>-6.5562350000000005E-2</v>
      </c>
      <c r="R1722">
        <v>-0.99766390000000005</v>
      </c>
      <c r="S1722">
        <v>-0.23312379999999999</v>
      </c>
      <c r="T1722">
        <v>-0.27974090000000001</v>
      </c>
      <c r="U1722">
        <v>-2.9931640000000002</v>
      </c>
      <c r="V1722">
        <v>2.4257529999999999E-2</v>
      </c>
      <c r="W1722">
        <v>-5.1766189999999997E-2</v>
      </c>
      <c r="X1722">
        <v>0.99836460000000005</v>
      </c>
      <c r="Y1722">
        <v>0.1205276</v>
      </c>
      <c r="Z1722">
        <v>7.8712729999999995E-2</v>
      </c>
      <c r="AA1722">
        <v>0.98958440000000003</v>
      </c>
      <c r="AB1722">
        <v>23</v>
      </c>
      <c r="AC1722">
        <v>-8.0000000000012506E-2</v>
      </c>
      <c r="AD1722">
        <v>-8.2305000000000003E-2</v>
      </c>
      <c r="AE1722">
        <v>-0.65719999999998802</v>
      </c>
      <c r="AF1722">
        <v>0.106804311382839</v>
      </c>
      <c r="AG1722">
        <v>-8.2305000000000003E-2</v>
      </c>
      <c r="AH1722">
        <v>0.64316730755421503</v>
      </c>
      <c r="AI1722">
        <v>97.194931806408405</v>
      </c>
      <c r="AJ1722">
        <v>80.571505593656497</v>
      </c>
      <c r="AK1722">
        <v>0.65714949551947499</v>
      </c>
      <c r="AL1722">
        <v>92.967310424934297</v>
      </c>
      <c r="AM1722">
        <v>88.608143073352807</v>
      </c>
      <c r="AN1722">
        <v>1.00000002036098</v>
      </c>
    </row>
    <row r="1723" spans="1:40" x14ac:dyDescent="0.25">
      <c r="A1723" t="str">
        <f>"20190303154800709"</f>
        <v>20190303154800709</v>
      </c>
      <c r="B1723" t="str">
        <f>"1551599280702346"</f>
        <v>1551599280702346</v>
      </c>
      <c r="C1723" t="s">
        <v>40</v>
      </c>
      <c r="D1723">
        <v>5.5572809999999997</v>
      </c>
      <c r="E1723">
        <v>0.53620239999999997</v>
      </c>
      <c r="F1723" t="s">
        <v>42</v>
      </c>
      <c r="G1723">
        <v>-192.1412</v>
      </c>
      <c r="H1723">
        <v>1.039779</v>
      </c>
      <c r="I1723">
        <v>305.44749999999999</v>
      </c>
      <c r="J1723">
        <v>-192.06319999999999</v>
      </c>
      <c r="K1723">
        <v>1.122158</v>
      </c>
      <c r="L1723">
        <v>306.09469999999999</v>
      </c>
      <c r="M1723">
        <v>4.5039709999999997E-2</v>
      </c>
      <c r="N1723">
        <v>-1.3757299999999899E-2</v>
      </c>
      <c r="O1723">
        <v>-0.99889079999999997</v>
      </c>
      <c r="P1723">
        <v>1.957269E-2</v>
      </c>
      <c r="Q1723">
        <v>-6.6527920000000004E-2</v>
      </c>
      <c r="R1723">
        <v>-0.9975929</v>
      </c>
      <c r="S1723">
        <v>-0.23139950000000001</v>
      </c>
      <c r="T1723">
        <v>-0.28573920000000003</v>
      </c>
      <c r="U1723">
        <v>-2.9926759999999999</v>
      </c>
      <c r="V1723">
        <v>2.5521080000000002E-2</v>
      </c>
      <c r="W1723">
        <v>-5.273249E-2</v>
      </c>
      <c r="X1723">
        <v>0.99828249999999996</v>
      </c>
      <c r="Y1723">
        <v>0.1215801</v>
      </c>
      <c r="Z1723">
        <v>8.0682329999999997E-2</v>
      </c>
      <c r="AA1723">
        <v>0.98929699999999998</v>
      </c>
      <c r="AB1723">
        <v>23</v>
      </c>
      <c r="AC1723">
        <v>-7.80000000000029E-2</v>
      </c>
      <c r="AD1723">
        <v>-8.2378999999999897E-2</v>
      </c>
      <c r="AE1723">
        <v>-0.647199999999997</v>
      </c>
      <c r="AF1723">
        <v>0.10539024266187599</v>
      </c>
      <c r="AG1723">
        <v>-8.2378999999999897E-2</v>
      </c>
      <c r="AH1723">
        <v>0.63292216996125195</v>
      </c>
      <c r="AI1723">
        <v>97.3161164166562</v>
      </c>
      <c r="AJ1723">
        <v>80.546202802139305</v>
      </c>
      <c r="AK1723">
        <v>0.64690329734651197</v>
      </c>
      <c r="AL1723">
        <v>93.022751141212197</v>
      </c>
      <c r="AM1723">
        <v>88.535553075196901</v>
      </c>
      <c r="AN1723">
        <v>0.99999999541610796</v>
      </c>
    </row>
    <row r="1724" spans="1:40" x14ac:dyDescent="0.25">
      <c r="A1724" t="str">
        <f>"20190303154800730"</f>
        <v>20190303154800730</v>
      </c>
      <c r="B1724" t="str">
        <f>"1551599280722843"</f>
        <v>1551599280722843</v>
      </c>
      <c r="C1724" t="s">
        <v>40</v>
      </c>
      <c r="D1724">
        <v>5.5131670000000002</v>
      </c>
      <c r="E1724">
        <v>0.53719839999999996</v>
      </c>
      <c r="F1724" t="s">
        <v>42</v>
      </c>
      <c r="G1724">
        <v>-192.12870000000001</v>
      </c>
      <c r="H1724">
        <v>1.03979</v>
      </c>
      <c r="I1724">
        <v>305.24200000000002</v>
      </c>
      <c r="J1724">
        <v>-192.05119999999999</v>
      </c>
      <c r="K1724">
        <v>1.1221380000000001</v>
      </c>
      <c r="L1724">
        <v>305.87119999999999</v>
      </c>
      <c r="M1724">
        <v>4.6711509999999998E-2</v>
      </c>
      <c r="N1724">
        <v>-1.375466E-2</v>
      </c>
      <c r="O1724">
        <v>-0.99881370000000003</v>
      </c>
      <c r="P1724">
        <v>2.0018680000000001E-2</v>
      </c>
      <c r="Q1724">
        <v>-6.7117930000000006E-2</v>
      </c>
      <c r="R1724">
        <v>-0.99754430000000005</v>
      </c>
      <c r="S1724">
        <v>-0.2299957</v>
      </c>
      <c r="T1724">
        <v>-0.289024</v>
      </c>
      <c r="U1724">
        <v>-2.9924620000000002</v>
      </c>
      <c r="V1724">
        <v>2.6742599999999998E-2</v>
      </c>
      <c r="W1724">
        <v>-5.332373E-2</v>
      </c>
      <c r="X1724">
        <v>0.99821910000000003</v>
      </c>
      <c r="Y1724">
        <v>0.12277680000000001</v>
      </c>
      <c r="Z1724">
        <v>8.1751270000000001E-2</v>
      </c>
      <c r="AA1724">
        <v>0.98906150000000004</v>
      </c>
      <c r="AB1724">
        <v>23</v>
      </c>
      <c r="AC1724">
        <v>-7.7500000000014696E-2</v>
      </c>
      <c r="AD1724">
        <v>-8.2347999999999796E-2</v>
      </c>
      <c r="AE1724">
        <v>-0.62919999999996801</v>
      </c>
      <c r="AF1724">
        <v>0.105036776642698</v>
      </c>
      <c r="AG1724">
        <v>-8.2347999999999796E-2</v>
      </c>
      <c r="AH1724">
        <v>0.61452377623466403</v>
      </c>
      <c r="AI1724">
        <v>97.524490913756097</v>
      </c>
      <c r="AJ1724">
        <v>80.300516006184694</v>
      </c>
      <c r="AK1724">
        <v>0.62885084806271796</v>
      </c>
      <c r="AL1724">
        <v>93.056674477485103</v>
      </c>
      <c r="AM1724">
        <v>88.465395324582005</v>
      </c>
      <c r="AN1724">
        <v>0.99999997922034101</v>
      </c>
    </row>
    <row r="1725" spans="1:40" x14ac:dyDescent="0.25">
      <c r="A1725" t="str">
        <f>"20190303154800754"</f>
        <v>20190303154800754</v>
      </c>
      <c r="B1725" t="str">
        <f>"1551599280742361"</f>
        <v>1551599280742361</v>
      </c>
      <c r="C1725" t="s">
        <v>40</v>
      </c>
      <c r="D1725">
        <v>5.1797430000000002</v>
      </c>
      <c r="E1725">
        <v>0.63265070000000001</v>
      </c>
      <c r="F1725" t="s">
        <v>42</v>
      </c>
      <c r="G1725">
        <v>-192.1173</v>
      </c>
      <c r="H1725">
        <v>1.0418559999999999</v>
      </c>
      <c r="I1725">
        <v>305.03539999999998</v>
      </c>
      <c r="J1725">
        <v>-192.03790000000001</v>
      </c>
      <c r="K1725">
        <v>1.1221110000000001</v>
      </c>
      <c r="L1725">
        <v>305.63279999999997</v>
      </c>
      <c r="M1725">
        <v>4.8462499999999999E-2</v>
      </c>
      <c r="N1725">
        <v>-1.375152E-2</v>
      </c>
      <c r="O1725">
        <v>-0.99873040000000002</v>
      </c>
      <c r="P1725">
        <v>1.9581390000000001E-2</v>
      </c>
      <c r="Q1725">
        <v>-6.8365640000000005E-2</v>
      </c>
      <c r="R1725">
        <v>-0.99746840000000003</v>
      </c>
      <c r="S1725">
        <v>-0.23661799999999999</v>
      </c>
      <c r="T1725">
        <v>-0.28746559999999999</v>
      </c>
      <c r="U1725">
        <v>-2.9927980000000001</v>
      </c>
      <c r="V1725">
        <v>2.8924169999999999E-2</v>
      </c>
      <c r="W1725">
        <v>-5.4572519999999999E-2</v>
      </c>
      <c r="X1725">
        <v>0.99809079999999994</v>
      </c>
      <c r="Y1725">
        <v>0.1266835</v>
      </c>
      <c r="Z1725">
        <v>8.1188010000000005E-2</v>
      </c>
      <c r="AA1725">
        <v>0.98861509999999997</v>
      </c>
      <c r="AB1725">
        <v>23</v>
      </c>
      <c r="AC1725">
        <v>-7.9399999999992504E-2</v>
      </c>
      <c r="AD1725">
        <v>-8.0255000000000104E-2</v>
      </c>
      <c r="AE1725">
        <v>-0.59739999999999305</v>
      </c>
      <c r="AF1725">
        <v>0.10637446634690199</v>
      </c>
      <c r="AG1725">
        <v>-8.0255000000000104E-2</v>
      </c>
      <c r="AH1725">
        <v>0.58251918840943495</v>
      </c>
      <c r="AI1725">
        <v>97.7183281301823</v>
      </c>
      <c r="AJ1725">
        <v>79.651182924040199</v>
      </c>
      <c r="AK1725">
        <v>0.59756589342161703</v>
      </c>
      <c r="AL1725">
        <v>93.128329143367907</v>
      </c>
      <c r="AM1725">
        <v>88.340061666144805</v>
      </c>
      <c r="AN1725">
        <v>1.00000000629698</v>
      </c>
    </row>
    <row r="1726" spans="1:40" x14ac:dyDescent="0.25">
      <c r="A1726" t="str">
        <f>"20190303154800774"</f>
        <v>20190303154800774</v>
      </c>
      <c r="B1726" t="str">
        <f>"1551599280772618"</f>
        <v>1551599280772618</v>
      </c>
      <c r="C1726" t="s">
        <v>40</v>
      </c>
      <c r="D1726">
        <v>5.5132450000000004</v>
      </c>
      <c r="E1726">
        <v>0.6414166</v>
      </c>
      <c r="F1726" t="s">
        <v>47</v>
      </c>
      <c r="G1726">
        <v>-203.34690000000001</v>
      </c>
      <c r="H1726">
        <v>8.0002190000000001E-2</v>
      </c>
      <c r="I1726">
        <v>271.43860000000001</v>
      </c>
      <c r="J1726">
        <v>-192.0257</v>
      </c>
      <c r="K1726">
        <v>1.1220619999999999</v>
      </c>
      <c r="L1726">
        <v>305.4178</v>
      </c>
      <c r="M1726">
        <v>4.9996579999999999E-2</v>
      </c>
      <c r="N1726">
        <v>-1.374832E-2</v>
      </c>
      <c r="O1726">
        <v>-0.99865490000000001</v>
      </c>
      <c r="P1726">
        <v>1.768836E-2</v>
      </c>
      <c r="Q1726">
        <v>-7.0267040000000003E-2</v>
      </c>
      <c r="R1726">
        <v>-0.99737160000000002</v>
      </c>
      <c r="S1726">
        <v>-0.99908450000000004</v>
      </c>
      <c r="T1726">
        <v>-9.2064740000000006E-2</v>
      </c>
      <c r="U1726">
        <v>-3.0208740000000001</v>
      </c>
      <c r="V1726">
        <v>3.2342009999999997E-2</v>
      </c>
      <c r="W1726">
        <v>-5.647419E-2</v>
      </c>
      <c r="X1726">
        <v>0.99788010000000005</v>
      </c>
      <c r="Y1726">
        <v>0.36094150000000003</v>
      </c>
      <c r="Z1726">
        <v>1.476035E-2</v>
      </c>
      <c r="AA1726">
        <v>0.93247159999999996</v>
      </c>
      <c r="AB1726">
        <v>23</v>
      </c>
      <c r="AC1726">
        <v>-11.321199999999999</v>
      </c>
      <c r="AD1726">
        <v>-1.04205981</v>
      </c>
      <c r="AE1726">
        <v>-33.979199999999899</v>
      </c>
      <c r="AF1726">
        <v>12.9950423673301</v>
      </c>
      <c r="AG1726">
        <v>-1.04205981</v>
      </c>
      <c r="AH1726">
        <v>33.342397233139003</v>
      </c>
      <c r="AI1726">
        <v>91.667969464727705</v>
      </c>
      <c r="AJ1726">
        <v>68.706884478901003</v>
      </c>
      <c r="AK1726">
        <v>35.800453461216897</v>
      </c>
      <c r="AL1726">
        <v>93.237455129120804</v>
      </c>
      <c r="AM1726">
        <v>88.143652498355195</v>
      </c>
      <c r="AN1726">
        <v>1.0000000168615</v>
      </c>
    </row>
    <row r="1727" spans="1:40" x14ac:dyDescent="0.25">
      <c r="A1727" t="str">
        <f>"20190303154800797"</f>
        <v>20190303154800797</v>
      </c>
      <c r="B1727" t="str">
        <f>"1551599280792138"</f>
        <v>1551599280792138</v>
      </c>
      <c r="C1727" t="s">
        <v>40</v>
      </c>
      <c r="D1727">
        <v>5.4998950000000004</v>
      </c>
      <c r="E1727">
        <v>0.64426830000000002</v>
      </c>
      <c r="F1727" t="s">
        <v>47</v>
      </c>
      <c r="G1727">
        <v>-198.03389999999999</v>
      </c>
      <c r="H1727" s="1">
        <v>2.1934879999999999E-6</v>
      </c>
      <c r="I1727">
        <v>288.5745</v>
      </c>
      <c r="J1727">
        <v>-192.01230000000001</v>
      </c>
      <c r="K1727">
        <v>1.1219980000000001</v>
      </c>
      <c r="L1727">
        <v>305.18799999999999</v>
      </c>
      <c r="M1727">
        <v>5.1568530000000001E-2</v>
      </c>
      <c r="N1727">
        <v>-1.374467E-2</v>
      </c>
      <c r="O1727">
        <v>-0.99857499999999999</v>
      </c>
      <c r="P1727">
        <v>1.5527859999999999E-2</v>
      </c>
      <c r="Q1727">
        <v>-7.1770840000000002E-2</v>
      </c>
      <c r="R1727">
        <v>-0.99730039999999998</v>
      </c>
      <c r="S1727">
        <v>-1.0747070000000001</v>
      </c>
      <c r="T1727">
        <v>-0.20070679999999999</v>
      </c>
      <c r="U1727">
        <v>-3.0128170000000001</v>
      </c>
      <c r="V1727">
        <v>3.6061950000000002E-2</v>
      </c>
      <c r="W1727">
        <v>-5.7979999999999997E-2</v>
      </c>
      <c r="X1727">
        <v>0.99766619999999995</v>
      </c>
      <c r="Y1727">
        <v>0.38351669999999999</v>
      </c>
      <c r="Z1727">
        <v>4.804953E-2</v>
      </c>
      <c r="AA1727">
        <v>0.92228310000000002</v>
      </c>
      <c r="AB1727">
        <v>23</v>
      </c>
      <c r="AC1727">
        <v>-6.0215999999999701</v>
      </c>
      <c r="AD1727">
        <v>-1.1219958065119999</v>
      </c>
      <c r="AE1727">
        <v>-16.613499999999899</v>
      </c>
      <c r="AF1727">
        <v>6.8428150325427</v>
      </c>
      <c r="AG1727">
        <v>-1.1219958065119999</v>
      </c>
      <c r="AH1727">
        <v>16.215465632555901</v>
      </c>
      <c r="AI1727">
        <v>93.647624276529498</v>
      </c>
      <c r="AJ1727">
        <v>67.120589511517196</v>
      </c>
      <c r="AK1727">
        <v>17.6358815441708</v>
      </c>
      <c r="AL1727">
        <v>93.323873387572505</v>
      </c>
      <c r="AM1727">
        <v>87.929870357972007</v>
      </c>
      <c r="AN1727">
        <v>0.99999999563012099</v>
      </c>
    </row>
    <row r="1728" spans="1:40" x14ac:dyDescent="0.25">
      <c r="A1728" t="str">
        <f>"20190303154800822"</f>
        <v>20190303154800822</v>
      </c>
      <c r="B1728" t="str">
        <f>"1551599280812634"</f>
        <v>1551599280812634</v>
      </c>
      <c r="C1728" t="s">
        <v>40</v>
      </c>
      <c r="D1728">
        <v>5.4335829999999996</v>
      </c>
      <c r="E1728">
        <v>0.64588210000000001</v>
      </c>
      <c r="F1728" t="s">
        <v>47</v>
      </c>
      <c r="G1728">
        <v>-197.49619999999999</v>
      </c>
      <c r="H1728" s="1">
        <v>1.977804E-6</v>
      </c>
      <c r="I1728">
        <v>290.23860000000002</v>
      </c>
      <c r="J1728">
        <v>-191.99760000000001</v>
      </c>
      <c r="K1728">
        <v>1.12192</v>
      </c>
      <c r="L1728">
        <v>304.93920000000003</v>
      </c>
      <c r="M1728">
        <v>5.3162139999999997E-2</v>
      </c>
      <c r="N1728">
        <v>-1.3740560000000001E-2</v>
      </c>
      <c r="O1728">
        <v>-0.99849169999999998</v>
      </c>
      <c r="P1728">
        <v>1.363601E-2</v>
      </c>
      <c r="Q1728">
        <v>-7.2289950000000006E-2</v>
      </c>
      <c r="R1728">
        <v>-0.99729080000000003</v>
      </c>
      <c r="S1728">
        <v>-1.1038059999999901</v>
      </c>
      <c r="T1728">
        <v>-0.22583810000000001</v>
      </c>
      <c r="U1728">
        <v>-3.0090330000000001</v>
      </c>
      <c r="V1728">
        <v>3.9532310000000001E-2</v>
      </c>
      <c r="W1728">
        <v>-5.8504319999999999E-2</v>
      </c>
      <c r="X1728">
        <v>0.9975041</v>
      </c>
      <c r="Y1728">
        <v>0.39305960000000001</v>
      </c>
      <c r="Z1728">
        <v>5.5581499999999999E-2</v>
      </c>
      <c r="AA1728">
        <v>0.91783159999999997</v>
      </c>
      <c r="AB1728">
        <v>23</v>
      </c>
      <c r="AC1728">
        <v>-5.4985999999999802</v>
      </c>
      <c r="AD1728">
        <v>-1.1219180221959999</v>
      </c>
      <c r="AE1728">
        <v>-14.7006</v>
      </c>
      <c r="AF1728">
        <v>6.2405254735865396</v>
      </c>
      <c r="AG1728">
        <v>-1.1219180221959999</v>
      </c>
      <c r="AH1728">
        <v>14.314323163469499</v>
      </c>
      <c r="AI1728">
        <v>94.109435027968999</v>
      </c>
      <c r="AJ1728">
        <v>66.444545337430498</v>
      </c>
      <c r="AK1728">
        <v>15.6557563171905</v>
      </c>
      <c r="AL1728">
        <v>93.353965798107595</v>
      </c>
      <c r="AM1728">
        <v>87.730485732442204</v>
      </c>
      <c r="AN1728">
        <v>0.99999999425470398</v>
      </c>
    </row>
    <row r="1729" spans="1:40" x14ac:dyDescent="0.25">
      <c r="A1729" t="str">
        <f>"20190303154800841"</f>
        <v>20190303154800841</v>
      </c>
      <c r="B1729" t="str">
        <f>"1551599280832158"</f>
        <v>1551599280832158</v>
      </c>
      <c r="C1729" t="s">
        <v>40</v>
      </c>
      <c r="D1729">
        <v>5.4863220000000004</v>
      </c>
      <c r="E1729">
        <v>0.64652919999999903</v>
      </c>
      <c r="F1729" t="s">
        <v>47</v>
      </c>
      <c r="G1729">
        <v>-197.36840000000001</v>
      </c>
      <c r="H1729" s="1">
        <v>1.8898760000000001E-6</v>
      </c>
      <c r="I1729">
        <v>290.55149999999998</v>
      </c>
      <c r="J1729">
        <v>-191.98509999999999</v>
      </c>
      <c r="K1729">
        <v>1.121845</v>
      </c>
      <c r="L1729">
        <v>304.73250000000002</v>
      </c>
      <c r="M1729">
        <v>5.4375640000000003E-2</v>
      </c>
      <c r="N1729">
        <v>-1.373681E-2</v>
      </c>
      <c r="O1729">
        <v>-0.99842609999999998</v>
      </c>
      <c r="P1729">
        <v>1.056062E-2</v>
      </c>
      <c r="Q1729">
        <v>-7.2740760000000002E-2</v>
      </c>
      <c r="R1729">
        <v>-0.99729489999999998</v>
      </c>
      <c r="S1729">
        <v>-1.1222840000000001</v>
      </c>
      <c r="T1729">
        <v>-0.23443530000000001</v>
      </c>
      <c r="U1729">
        <v>-3.0064389999999999</v>
      </c>
      <c r="V1729">
        <v>4.3804919999999997E-2</v>
      </c>
      <c r="W1729">
        <v>-5.8960449999999998E-2</v>
      </c>
      <c r="X1729">
        <v>0.99729880000000004</v>
      </c>
      <c r="Y1729">
        <v>0.3993234</v>
      </c>
      <c r="Z1729">
        <v>5.8085680000000001E-2</v>
      </c>
      <c r="AA1729">
        <v>0.91496829999999996</v>
      </c>
      <c r="AB1729">
        <v>23</v>
      </c>
      <c r="AC1729">
        <v>-5.38330000000001</v>
      </c>
      <c r="AD1729">
        <v>-1.1218431101240001</v>
      </c>
      <c r="AE1729">
        <v>-14.180999999999999</v>
      </c>
      <c r="AF1729">
        <v>6.11306961453099</v>
      </c>
      <c r="AG1729">
        <v>-1.1218431101240001</v>
      </c>
      <c r="AH1729">
        <v>13.7918272395721</v>
      </c>
      <c r="AI1729">
        <v>94.252899780001599</v>
      </c>
      <c r="AJ1729">
        <v>66.095232402033602</v>
      </c>
      <c r="AK1729">
        <v>15.127546089238599</v>
      </c>
      <c r="AL1729">
        <v>93.380145122129093</v>
      </c>
      <c r="AM1729">
        <v>87.484981587743405</v>
      </c>
      <c r="AN1729">
        <v>1.0000000510809199</v>
      </c>
    </row>
    <row r="1730" spans="1:40" x14ac:dyDescent="0.25">
      <c r="A1730" t="str">
        <f>"20190303154800867"</f>
        <v>20190303154800867</v>
      </c>
      <c r="B1730" t="str">
        <f>"1551599280862410"</f>
        <v>1551599280862410</v>
      </c>
      <c r="C1730" t="s">
        <v>40</v>
      </c>
      <c r="D1730">
        <v>5.5146259999999998</v>
      </c>
      <c r="E1730">
        <v>0.64738660000000003</v>
      </c>
      <c r="F1730" t="s">
        <v>47</v>
      </c>
      <c r="G1730">
        <v>-197.0891</v>
      </c>
      <c r="H1730" s="1">
        <v>1.727011E-6</v>
      </c>
      <c r="I1730">
        <v>291.25490000000002</v>
      </c>
      <c r="J1730">
        <v>-191.9699</v>
      </c>
      <c r="K1730">
        <v>1.1217520000000001</v>
      </c>
      <c r="L1730">
        <v>304.48329999999999</v>
      </c>
      <c r="M1730">
        <v>5.5709210000000002E-2</v>
      </c>
      <c r="N1730">
        <v>-1.373224E-2</v>
      </c>
      <c r="O1730">
        <v>-0.99835289999999999</v>
      </c>
      <c r="P1730">
        <v>7.5781980000000004E-3</v>
      </c>
      <c r="Q1730">
        <v>-7.3199819999999999E-2</v>
      </c>
      <c r="R1730">
        <v>-0.99728879999999998</v>
      </c>
      <c r="S1730">
        <v>-1.1368259999999999</v>
      </c>
      <c r="T1730">
        <v>-0.2498727</v>
      </c>
      <c r="U1730">
        <v>-3.0019230000000001</v>
      </c>
      <c r="V1730">
        <v>4.8100959999999998E-2</v>
      </c>
      <c r="W1730">
        <v>-5.9429370000000002E-2</v>
      </c>
      <c r="X1730">
        <v>0.99707290000000004</v>
      </c>
      <c r="Y1730">
        <v>0.40475630000000001</v>
      </c>
      <c r="Z1730">
        <v>6.2736620000000007E-2</v>
      </c>
      <c r="AA1730">
        <v>0.91226989999999997</v>
      </c>
      <c r="AB1730">
        <v>23</v>
      </c>
      <c r="AC1730">
        <v>-5.1192000000000002</v>
      </c>
      <c r="AD1730">
        <v>-1.1217502729889901</v>
      </c>
      <c r="AE1730">
        <v>-13.228399999999899</v>
      </c>
      <c r="AF1730">
        <v>5.8119127267993598</v>
      </c>
      <c r="AG1730">
        <v>-1.1217502729889901</v>
      </c>
      <c r="AH1730">
        <v>12.842321143707901</v>
      </c>
      <c r="AI1730">
        <v>94.549899148673006</v>
      </c>
      <c r="AJ1730">
        <v>65.650424836354802</v>
      </c>
      <c r="AK1730">
        <v>14.140787304001501</v>
      </c>
      <c r="AL1730">
        <v>93.407059763919605</v>
      </c>
      <c r="AM1730">
        <v>87.238068576818193</v>
      </c>
      <c r="AN1730">
        <v>0.999999960142963</v>
      </c>
    </row>
    <row r="1731" spans="1:40" x14ac:dyDescent="0.25">
      <c r="A1731" t="str">
        <f>"20190303154800888"</f>
        <v>20190303154800888</v>
      </c>
      <c r="B1731" t="str">
        <f>"1551599280881930"</f>
        <v>1551599280881930</v>
      </c>
      <c r="C1731" t="s">
        <v>40</v>
      </c>
      <c r="D1731">
        <v>5.525874</v>
      </c>
      <c r="E1731">
        <v>0.64780389999999999</v>
      </c>
      <c r="F1731" t="s">
        <v>47</v>
      </c>
      <c r="G1731">
        <v>-196.82149999999999</v>
      </c>
      <c r="H1731" s="1">
        <v>1.6429259999999901E-6</v>
      </c>
      <c r="I1731">
        <v>291.86700000000002</v>
      </c>
      <c r="J1731">
        <v>-191.95590000000001</v>
      </c>
      <c r="K1731">
        <v>1.1216569999999999</v>
      </c>
      <c r="L1731">
        <v>304.25740000000002</v>
      </c>
      <c r="M1731">
        <v>5.678101E-2</v>
      </c>
      <c r="N1731">
        <v>-1.372805E-2</v>
      </c>
      <c r="O1731">
        <v>-0.99829250000000003</v>
      </c>
      <c r="P1731">
        <v>3.9875739999999998E-3</v>
      </c>
      <c r="Q1731">
        <v>-7.347368E-2</v>
      </c>
      <c r="R1731">
        <v>-0.9972898</v>
      </c>
      <c r="S1731">
        <v>-1.1526339999999999</v>
      </c>
      <c r="T1731">
        <v>-0.26650359999999901</v>
      </c>
      <c r="U1731">
        <v>-2.9973450000000001</v>
      </c>
      <c r="V1731">
        <v>5.2742940000000002E-2</v>
      </c>
      <c r="W1731">
        <v>-5.9714049999999998E-2</v>
      </c>
      <c r="X1731">
        <v>0.99682119999999996</v>
      </c>
      <c r="Y1731">
        <v>0.4102537</v>
      </c>
      <c r="Z1731">
        <v>6.7731330000000006E-2</v>
      </c>
      <c r="AA1731">
        <v>0.90945279999999995</v>
      </c>
      <c r="AB1731">
        <v>23</v>
      </c>
      <c r="AC1731">
        <v>-4.8655999999999704</v>
      </c>
      <c r="AD1731">
        <v>-1.121655357074</v>
      </c>
      <c r="AE1731">
        <v>-12.3904</v>
      </c>
      <c r="AF1731">
        <v>5.5221463907723303</v>
      </c>
      <c r="AG1731">
        <v>-1.121655357074</v>
      </c>
      <c r="AH1731">
        <v>12.008842574260999</v>
      </c>
      <c r="AI1731">
        <v>94.850521176587705</v>
      </c>
      <c r="AJ1731">
        <v>65.305135656191894</v>
      </c>
      <c r="AK1731">
        <v>13.265161569862499</v>
      </c>
      <c r="AL1731">
        <v>93.423399455194996</v>
      </c>
      <c r="AM1731">
        <v>86.971239657692706</v>
      </c>
      <c r="AN1731">
        <v>1.00000004512834</v>
      </c>
    </row>
    <row r="1732" spans="1:40" x14ac:dyDescent="0.25">
      <c r="A1732" t="str">
        <f>"20190303154800910"</f>
        <v>20190303154800910</v>
      </c>
      <c r="B1732" t="str">
        <f>"1551599280902426"</f>
        <v>1551599280902426</v>
      </c>
      <c r="C1732" t="s">
        <v>40</v>
      </c>
      <c r="D1732">
        <v>5.5029599999999999</v>
      </c>
      <c r="E1732">
        <v>0.64802859999999995</v>
      </c>
      <c r="F1732" t="s">
        <v>47</v>
      </c>
      <c r="G1732">
        <v>-196.73390000000001</v>
      </c>
      <c r="H1732" s="1">
        <v>1.6270679999999901E-6</v>
      </c>
      <c r="I1732">
        <v>292.00119999999998</v>
      </c>
      <c r="J1732">
        <v>-191.94239999999999</v>
      </c>
      <c r="K1732">
        <v>1.1215539999999999</v>
      </c>
      <c r="L1732">
        <v>304.03930000000003</v>
      </c>
      <c r="M1732">
        <v>5.7660929999999999E-2</v>
      </c>
      <c r="N1732">
        <v>-1.3723870000000001E-2</v>
      </c>
      <c r="O1732">
        <v>-0.99824199999999996</v>
      </c>
      <c r="P1732">
        <v>-4.0595110000000002E-4</v>
      </c>
      <c r="Q1732">
        <v>-7.389946E-2</v>
      </c>
      <c r="R1732">
        <v>-0.99726570000000003</v>
      </c>
      <c r="S1732">
        <v>-1.1666559999999999</v>
      </c>
      <c r="T1732">
        <v>-0.2738816</v>
      </c>
      <c r="U1732">
        <v>-2.9926759999999999</v>
      </c>
      <c r="V1732">
        <v>5.7992009999999997E-2</v>
      </c>
      <c r="W1732">
        <v>-6.0154100000000002E-2</v>
      </c>
      <c r="X1732">
        <v>0.99650309999999998</v>
      </c>
      <c r="Y1732">
        <v>0.41516579999999897</v>
      </c>
      <c r="Z1732">
        <v>6.9923319999999997E-2</v>
      </c>
      <c r="AA1732">
        <v>0.90705460000000004</v>
      </c>
      <c r="AB1732">
        <v>23</v>
      </c>
      <c r="AC1732">
        <v>-4.7915000000000099</v>
      </c>
      <c r="AD1732">
        <v>-1.1215523729320001</v>
      </c>
      <c r="AE1732">
        <v>-12.0381</v>
      </c>
      <c r="AF1732">
        <v>5.4369806487109802</v>
      </c>
      <c r="AG1732">
        <v>-1.1215523729320001</v>
      </c>
      <c r="AH1732">
        <v>11.6544327096584</v>
      </c>
      <c r="AI1732">
        <v>94.984190789806505</v>
      </c>
      <c r="AJ1732">
        <v>64.990190391180704</v>
      </c>
      <c r="AK1732">
        <v>12.9090836267972</v>
      </c>
      <c r="AL1732">
        <v>93.448657994122698</v>
      </c>
      <c r="AM1732">
        <v>86.669399212715007</v>
      </c>
      <c r="AN1732">
        <v>1.0000000086401299</v>
      </c>
    </row>
    <row r="1733" spans="1:40" x14ac:dyDescent="0.25">
      <c r="A1733" t="str">
        <f>"20190303154800931"</f>
        <v>20190303154800931</v>
      </c>
      <c r="B1733" t="str">
        <f>"1551599280921949"</f>
        <v>1551599280921949</v>
      </c>
      <c r="C1733" t="s">
        <v>40</v>
      </c>
      <c r="D1733">
        <v>5.5357729999999998</v>
      </c>
      <c r="E1733">
        <v>0.64813980000000004</v>
      </c>
      <c r="F1733" t="s">
        <v>47</v>
      </c>
      <c r="G1733">
        <v>-196.6628</v>
      </c>
      <c r="H1733" s="1">
        <v>1.6146759999999999E-6</v>
      </c>
      <c r="I1733">
        <v>292.10739999999998</v>
      </c>
      <c r="J1733">
        <v>-191.92859999999999</v>
      </c>
      <c r="K1733">
        <v>1.1214390000000001</v>
      </c>
      <c r="L1733">
        <v>303.81799999999998</v>
      </c>
      <c r="M1733">
        <v>5.8368429999999999E-2</v>
      </c>
      <c r="N1733">
        <v>-1.371964E-2</v>
      </c>
      <c r="O1733">
        <v>-0.998201</v>
      </c>
      <c r="P1733">
        <v>-5.6712119999999897E-3</v>
      </c>
      <c r="Q1733">
        <v>-7.4000850000000007E-2</v>
      </c>
      <c r="R1733">
        <v>-0.99724230000000003</v>
      </c>
      <c r="S1733">
        <v>-1.1816409999999999</v>
      </c>
      <c r="T1733">
        <v>-0.28075460000000002</v>
      </c>
      <c r="U1733">
        <v>-2.9868769999999998</v>
      </c>
      <c r="V1733">
        <v>6.3935119999999998E-2</v>
      </c>
      <c r="W1733">
        <v>-6.0275700000000001E-2</v>
      </c>
      <c r="X1733">
        <v>0.99613209999999996</v>
      </c>
      <c r="Y1733">
        <v>0.42027619999999999</v>
      </c>
      <c r="Z1733">
        <v>7.1978029999999998E-2</v>
      </c>
      <c r="AA1733">
        <v>0.90453700000000004</v>
      </c>
      <c r="AB1733">
        <v>23</v>
      </c>
      <c r="AC1733">
        <v>-4.7342000000000102</v>
      </c>
      <c r="AD1733">
        <v>-1.1214373853239901</v>
      </c>
      <c r="AE1733">
        <v>-11.710599999999999</v>
      </c>
      <c r="AF1733">
        <v>5.3674133724283397</v>
      </c>
      <c r="AG1733">
        <v>-1.1214373853239901</v>
      </c>
      <c r="AH1733">
        <v>11.3250104328677</v>
      </c>
      <c r="AI1733">
        <v>95.113318420264903</v>
      </c>
      <c r="AJ1733">
        <v>64.641698660730697</v>
      </c>
      <c r="AK1733">
        <v>12.582631259966499</v>
      </c>
      <c r="AL1733">
        <v>93.455637821099998</v>
      </c>
      <c r="AM1733">
        <v>86.327600799958702</v>
      </c>
      <c r="AN1733">
        <v>1.0000000101151501</v>
      </c>
    </row>
    <row r="1734" spans="1:40" x14ac:dyDescent="0.25">
      <c r="A1734" t="str">
        <f>"20190303154800954"</f>
        <v>20190303154800954</v>
      </c>
      <c r="B1734" t="str">
        <f>"1551599280942442"</f>
        <v>1551599280942442</v>
      </c>
      <c r="C1734" t="s">
        <v>40</v>
      </c>
      <c r="D1734">
        <v>5.5383570000000004</v>
      </c>
      <c r="E1734">
        <v>0.64830269999999901</v>
      </c>
      <c r="F1734" t="s">
        <v>47</v>
      </c>
      <c r="G1734">
        <v>-196.65700000000001</v>
      </c>
      <c r="H1734" s="1">
        <v>1.6240189999999999E-6</v>
      </c>
      <c r="I1734">
        <v>292.05720000000002</v>
      </c>
      <c r="J1734">
        <v>-191.91460000000001</v>
      </c>
      <c r="K1734">
        <v>1.121291</v>
      </c>
      <c r="L1734">
        <v>303.59100000000001</v>
      </c>
      <c r="M1734">
        <v>5.8876680000000001E-2</v>
      </c>
      <c r="N1734">
        <v>-1.3715359999999999E-2</v>
      </c>
      <c r="O1734">
        <v>-0.99817089999999997</v>
      </c>
      <c r="P1734">
        <v>-1.1502E-2</v>
      </c>
      <c r="Q1734">
        <v>-7.3877559999999995E-2</v>
      </c>
      <c r="R1734">
        <v>-0.9972008</v>
      </c>
      <c r="S1734">
        <v>-1.1982729999999999</v>
      </c>
      <c r="T1734">
        <v>-0.28419670000000002</v>
      </c>
      <c r="U1734">
        <v>-2.9804379999999999</v>
      </c>
      <c r="V1734">
        <v>7.0238229999999999E-2</v>
      </c>
      <c r="W1734">
        <v>-6.0181480000000002E-2</v>
      </c>
      <c r="X1734">
        <v>0.99571319999999996</v>
      </c>
      <c r="Y1734">
        <v>0.42571710000000001</v>
      </c>
      <c r="Z1734">
        <v>7.299013E-2</v>
      </c>
      <c r="AA1734">
        <v>0.90190760000000003</v>
      </c>
      <c r="AB1734">
        <v>23</v>
      </c>
      <c r="AC1734">
        <v>-4.7423999999999999</v>
      </c>
      <c r="AD1734">
        <v>-1.1212893759810001</v>
      </c>
      <c r="AE1734">
        <v>-11.5337999999999</v>
      </c>
      <c r="AF1734">
        <v>5.3698946404708199</v>
      </c>
      <c r="AG1734">
        <v>-1.1212893759810001</v>
      </c>
      <c r="AH1734">
        <v>11.1444479551549</v>
      </c>
      <c r="AI1734">
        <v>95.179174524171401</v>
      </c>
      <c r="AJ1734">
        <v>64.273148168407303</v>
      </c>
      <c r="AK1734">
        <v>12.4214241751742</v>
      </c>
      <c r="AL1734">
        <v>93.450229636374701</v>
      </c>
      <c r="AM1734">
        <v>85.965003815204199</v>
      </c>
      <c r="AN1734">
        <v>0.99999999807138096</v>
      </c>
    </row>
    <row r="1735" spans="1:40" x14ac:dyDescent="0.25">
      <c r="A1735" t="str">
        <f>"20190303154800976"</f>
        <v>20190303154800976</v>
      </c>
      <c r="B1735" t="str">
        <f>"1551599280972699"</f>
        <v>1551599280972699</v>
      </c>
      <c r="C1735" t="s">
        <v>40</v>
      </c>
      <c r="D1735">
        <v>5.5675850000000002</v>
      </c>
      <c r="E1735">
        <v>0.648456699999999</v>
      </c>
      <c r="F1735" t="s">
        <v>47</v>
      </c>
      <c r="G1735">
        <v>-196.71639999999999</v>
      </c>
      <c r="H1735" s="1">
        <v>1.6536740000000001E-6</v>
      </c>
      <c r="I1735">
        <v>291.85890000000001</v>
      </c>
      <c r="J1735">
        <v>-191.90090000000001</v>
      </c>
      <c r="K1735">
        <v>1.1211169999999999</v>
      </c>
      <c r="L1735">
        <v>303.36630000000002</v>
      </c>
      <c r="M1735">
        <v>5.9149470000000003E-2</v>
      </c>
      <c r="N1735">
        <v>-1.3711620000000001E-2</v>
      </c>
      <c r="O1735">
        <v>-0.99815489999999996</v>
      </c>
      <c r="P1735">
        <v>-2.110209E-2</v>
      </c>
      <c r="Q1735">
        <v>-7.360042E-2</v>
      </c>
      <c r="R1735">
        <v>-0.99706470000000003</v>
      </c>
      <c r="S1735">
        <v>-1.216934</v>
      </c>
      <c r="T1735">
        <v>-0.28417609999999999</v>
      </c>
      <c r="U1735">
        <v>-2.973328</v>
      </c>
      <c r="V1735">
        <v>8.0060909999999999E-2</v>
      </c>
      <c r="W1735">
        <v>-5.9944020000000001E-2</v>
      </c>
      <c r="X1735">
        <v>0.99498589999999998</v>
      </c>
      <c r="Y1735">
        <v>0.43155710000000003</v>
      </c>
      <c r="Z1735">
        <v>7.2948429999999995E-2</v>
      </c>
      <c r="AA1735">
        <v>0.89913120000000002</v>
      </c>
      <c r="AB1735">
        <v>23</v>
      </c>
      <c r="AC1735">
        <v>-4.8154999999999797</v>
      </c>
      <c r="AD1735">
        <v>-1.121115346326</v>
      </c>
      <c r="AE1735">
        <v>-11.507400000000001</v>
      </c>
      <c r="AF1735">
        <v>5.4438165583137597</v>
      </c>
      <c r="AG1735">
        <v>-1.121115346326</v>
      </c>
      <c r="AH1735">
        <v>11.112627470682201</v>
      </c>
      <c r="AI1735">
        <v>95.176842140783606</v>
      </c>
      <c r="AJ1735">
        <v>63.900846017068901</v>
      </c>
      <c r="AK1735">
        <v>12.425076564854599</v>
      </c>
      <c r="AL1735">
        <v>93.436599607420604</v>
      </c>
      <c r="AM1735">
        <v>85.399642681154702</v>
      </c>
      <c r="AN1735">
        <v>0.99999998802129897</v>
      </c>
    </row>
    <row r="1736" spans="1:40" x14ac:dyDescent="0.25">
      <c r="A1736" t="str">
        <f>"20190303154801009"</f>
        <v>20190303154801009</v>
      </c>
      <c r="B1736" t="str">
        <f>"1551599281001978"</f>
        <v>1551599281001978</v>
      </c>
      <c r="C1736" t="s">
        <v>40</v>
      </c>
      <c r="D1736">
        <v>5.5083960000000003</v>
      </c>
      <c r="E1736">
        <v>0.64864889999999997</v>
      </c>
      <c r="F1736" t="s">
        <v>47</v>
      </c>
      <c r="G1736">
        <v>-196.83779999999999</v>
      </c>
      <c r="H1736" s="1">
        <v>1.68115E-6</v>
      </c>
      <c r="I1736">
        <v>291.64179999999999</v>
      </c>
      <c r="J1736">
        <v>-191.8809</v>
      </c>
      <c r="K1736">
        <v>1.1208320000000001</v>
      </c>
      <c r="L1736">
        <v>303.03019999999998</v>
      </c>
      <c r="M1736">
        <v>5.9054099999999901E-2</v>
      </c>
      <c r="N1736">
        <v>-1.3707240000000001E-2</v>
      </c>
      <c r="O1736">
        <v>-0.99816099999999996</v>
      </c>
      <c r="P1736">
        <v>-3.1889269999999997E-2</v>
      </c>
      <c r="Q1736">
        <v>-7.5681399999999996E-2</v>
      </c>
      <c r="R1736">
        <v>-0.99662229999999996</v>
      </c>
      <c r="S1736">
        <v>-1.247009</v>
      </c>
      <c r="T1736">
        <v>-0.28318349999999998</v>
      </c>
      <c r="U1736">
        <v>-2.9615170000000002</v>
      </c>
      <c r="V1736">
        <v>9.0667739999999997E-2</v>
      </c>
      <c r="W1736">
        <v>-6.2100969999999998E-2</v>
      </c>
      <c r="X1736">
        <v>0.99394309999999997</v>
      </c>
      <c r="Y1736">
        <v>0.44049319999999997</v>
      </c>
      <c r="Z1736">
        <v>7.2606470000000006E-2</v>
      </c>
      <c r="AA1736">
        <v>0.89481509999999997</v>
      </c>
      <c r="AB1736">
        <v>23</v>
      </c>
      <c r="AC1736">
        <v>-4.9568999999999903</v>
      </c>
      <c r="AD1736">
        <v>-1.12083031885</v>
      </c>
      <c r="AE1736">
        <v>-11.388399999999899</v>
      </c>
      <c r="AF1736">
        <v>5.5754389258351296</v>
      </c>
      <c r="AG1736">
        <v>-1.12083031885</v>
      </c>
      <c r="AH1736">
        <v>10.986302049753901</v>
      </c>
      <c r="AI1736">
        <v>95.198225497971805</v>
      </c>
      <c r="AJ1736">
        <v>63.092660019579398</v>
      </c>
      <c r="AK1736">
        <v>12.370958432869999</v>
      </c>
      <c r="AL1736">
        <v>93.560414365609205</v>
      </c>
      <c r="AM1736">
        <v>84.787889507745106</v>
      </c>
      <c r="AN1736">
        <v>1.0000000277946199</v>
      </c>
    </row>
    <row r="1737" spans="1:40" x14ac:dyDescent="0.25">
      <c r="A1737" t="str">
        <f>"20190303154801032"</f>
        <v>20190303154801032</v>
      </c>
      <c r="B1737" t="str">
        <f>"1551599281022474"</f>
        <v>1551599281022474</v>
      </c>
      <c r="C1737" t="s">
        <v>40</v>
      </c>
      <c r="D1737">
        <v>5.5756480000000002</v>
      </c>
      <c r="E1737">
        <v>0.64883869999999999</v>
      </c>
      <c r="F1737" t="s">
        <v>47</v>
      </c>
      <c r="G1737">
        <v>-196.88130000000001</v>
      </c>
      <c r="H1737" s="1">
        <v>1.698397E-6</v>
      </c>
      <c r="I1737">
        <v>291.52190000000002</v>
      </c>
      <c r="J1737">
        <v>-191.86799999999999</v>
      </c>
      <c r="K1737">
        <v>1.120638</v>
      </c>
      <c r="L1737">
        <v>302.80650000000003</v>
      </c>
      <c r="M1737">
        <v>5.8652559999999999E-2</v>
      </c>
      <c r="N1737">
        <v>-1.3705129999999999E-2</v>
      </c>
      <c r="O1737">
        <v>-0.99818439999999997</v>
      </c>
      <c r="P1737">
        <v>-3.9130600000000001E-2</v>
      </c>
      <c r="Q1737">
        <v>-7.627217E-2</v>
      </c>
      <c r="R1737">
        <v>-0.99631910000000001</v>
      </c>
      <c r="S1737">
        <v>-1.2806550000000001</v>
      </c>
      <c r="T1737">
        <v>-0.28705619999999998</v>
      </c>
      <c r="U1737">
        <v>-2.9473880000000001</v>
      </c>
      <c r="V1737">
        <v>9.7451430000000006E-2</v>
      </c>
      <c r="W1737">
        <v>-6.2749120000000005E-2</v>
      </c>
      <c r="X1737">
        <v>0.99326009999999998</v>
      </c>
      <c r="Y1737">
        <v>0.45022180000000001</v>
      </c>
      <c r="Z1737">
        <v>7.3753100000000002E-2</v>
      </c>
      <c r="AA1737">
        <v>0.88986559999999904</v>
      </c>
      <c r="AB1737">
        <v>23</v>
      </c>
      <c r="AC1737">
        <v>-5.0133000000000099</v>
      </c>
      <c r="AD1737">
        <v>-1.1206363016030001</v>
      </c>
      <c r="AE1737">
        <v>-11.284599999999999</v>
      </c>
      <c r="AF1737">
        <v>5.6203102992587999</v>
      </c>
      <c r="AG1737">
        <v>-1.1206363016030001</v>
      </c>
      <c r="AH1737">
        <v>10.8814763408784</v>
      </c>
      <c r="AI1737">
        <v>95.228078602965596</v>
      </c>
      <c r="AJ1737">
        <v>62.683531051587899</v>
      </c>
      <c r="AK1737">
        <v>12.2983836717481</v>
      </c>
      <c r="AL1737">
        <v>93.597623547932798</v>
      </c>
      <c r="AM1737">
        <v>84.396490447608997</v>
      </c>
      <c r="AN1737">
        <v>0.99999992976091201</v>
      </c>
    </row>
    <row r="1738" spans="1:40" x14ac:dyDescent="0.25">
      <c r="A1738" t="str">
        <f>"20190303154801053"</f>
        <v>20190303154801053</v>
      </c>
      <c r="B1738" t="str">
        <f>"1551599281041994"</f>
        <v>1551599281041994</v>
      </c>
      <c r="C1738" t="s">
        <v>40</v>
      </c>
      <c r="D1738">
        <v>5.637219</v>
      </c>
      <c r="E1738">
        <v>0.64886540000000004</v>
      </c>
      <c r="F1738" t="s">
        <v>47</v>
      </c>
      <c r="G1738">
        <v>-196.9016</v>
      </c>
      <c r="H1738" s="1">
        <v>1.706926E-6</v>
      </c>
      <c r="I1738">
        <v>291.4633</v>
      </c>
      <c r="J1738">
        <v>-191.85550000000001</v>
      </c>
      <c r="K1738">
        <v>1.120465</v>
      </c>
      <c r="L1738">
        <v>302.58420000000001</v>
      </c>
      <c r="M1738">
        <v>5.7984899999999999E-2</v>
      </c>
      <c r="N1738">
        <v>-1.370363E-2</v>
      </c>
      <c r="O1738">
        <v>-0.99822370000000005</v>
      </c>
      <c r="P1738">
        <v>-4.6600700000000002E-2</v>
      </c>
      <c r="Q1738">
        <v>-7.7368179999999995E-2</v>
      </c>
      <c r="R1738">
        <v>-0.9959133</v>
      </c>
      <c r="S1738">
        <v>-1.303604</v>
      </c>
      <c r="T1738">
        <v>-0.29022130000000002</v>
      </c>
      <c r="U1738">
        <v>-2.9376530000000001</v>
      </c>
      <c r="V1738">
        <v>0.1041936</v>
      </c>
      <c r="W1738">
        <v>-6.3907210000000006E-2</v>
      </c>
      <c r="X1738">
        <v>0.99250170000000004</v>
      </c>
      <c r="Y1738">
        <v>0.45647890000000002</v>
      </c>
      <c r="Z1738">
        <v>7.4702260000000006E-2</v>
      </c>
      <c r="AA1738">
        <v>0.88659270000000001</v>
      </c>
      <c r="AB1738">
        <v>23</v>
      </c>
      <c r="AC1738">
        <v>-5.0460999999999903</v>
      </c>
      <c r="AD1738">
        <v>-1.1204632930739999</v>
      </c>
      <c r="AE1738">
        <v>-11.120900000000001</v>
      </c>
      <c r="AF1738">
        <v>5.6350767771973498</v>
      </c>
      <c r="AG1738">
        <v>-1.1204632930739999</v>
      </c>
      <c r="AH1738">
        <v>10.719324996961699</v>
      </c>
      <c r="AI1738">
        <v>95.286067448812901</v>
      </c>
      <c r="AJ1738">
        <v>62.269398240975598</v>
      </c>
      <c r="AK1738">
        <v>12.161967631371301</v>
      </c>
      <c r="AL1738">
        <v>93.664110309533299</v>
      </c>
      <c r="AM1738">
        <v>84.006996418786002</v>
      </c>
      <c r="AN1738">
        <v>1.0000000311369099</v>
      </c>
    </row>
    <row r="1739" spans="1:40" x14ac:dyDescent="0.25">
      <c r="A1739" t="str">
        <f>"20190303154801079"</f>
        <v>20190303154801079</v>
      </c>
      <c r="B1739" t="str">
        <f>"1551599281072249"</f>
        <v>1551599281072249</v>
      </c>
      <c r="C1739" t="s">
        <v>40</v>
      </c>
      <c r="D1739">
        <v>5.3637990000000002</v>
      </c>
      <c r="E1739">
        <v>0.65011560000000002</v>
      </c>
      <c r="F1739" t="s">
        <v>47</v>
      </c>
      <c r="G1739">
        <v>-196.92250000000001</v>
      </c>
      <c r="H1739" s="1">
        <v>1.7166E-6</v>
      </c>
      <c r="I1739">
        <v>291.39789999999999</v>
      </c>
      <c r="J1739">
        <v>-191.84180000000001</v>
      </c>
      <c r="K1739">
        <v>1.120244</v>
      </c>
      <c r="L1739">
        <v>302.32900000000001</v>
      </c>
      <c r="M1739">
        <v>5.6854519999999999E-2</v>
      </c>
      <c r="N1739">
        <v>-1.370272E-2</v>
      </c>
      <c r="O1739">
        <v>-0.99828879999999998</v>
      </c>
      <c r="P1739">
        <v>-5.4022830000000001E-2</v>
      </c>
      <c r="Q1739">
        <v>-7.8004909999999997E-2</v>
      </c>
      <c r="R1739">
        <v>-0.99548879999999995</v>
      </c>
      <c r="S1739">
        <v>-1.3260350000000001</v>
      </c>
      <c r="T1739">
        <v>-0.29322989999999999</v>
      </c>
      <c r="U1739">
        <v>-2.927521</v>
      </c>
      <c r="V1739">
        <v>0.11042200000000001</v>
      </c>
      <c r="W1739">
        <v>-6.4620780000000003E-2</v>
      </c>
      <c r="X1739">
        <v>0.99178180000000005</v>
      </c>
      <c r="Y1739">
        <v>0.46221570000000001</v>
      </c>
      <c r="Z1739">
        <v>7.5629680000000005E-2</v>
      </c>
      <c r="AA1739">
        <v>0.88353660000000001</v>
      </c>
      <c r="AB1739">
        <v>23</v>
      </c>
      <c r="AC1739">
        <v>-5.0807000000000002</v>
      </c>
      <c r="AD1739">
        <v>-1.1202422834000001</v>
      </c>
      <c r="AE1739">
        <v>-10.931100000000001</v>
      </c>
      <c r="AF1739">
        <v>5.6452640636510596</v>
      </c>
      <c r="AG1739">
        <v>-1.1202422834000001</v>
      </c>
      <c r="AH1739">
        <v>10.533551788878</v>
      </c>
      <c r="AI1739">
        <v>95.355077134988306</v>
      </c>
      <c r="AJ1739">
        <v>61.811732723616402</v>
      </c>
      <c r="AK1739">
        <v>12.003318808181399</v>
      </c>
      <c r="AL1739">
        <v>93.705079656298693</v>
      </c>
      <c r="AM1739">
        <v>83.647024512254404</v>
      </c>
      <c r="AN1739">
        <v>1.00000000105152</v>
      </c>
    </row>
    <row r="1740" spans="1:40" x14ac:dyDescent="0.25">
      <c r="A1740" t="str">
        <f>"20190303154801102"</f>
        <v>20190303154801102</v>
      </c>
      <c r="B1740" t="str">
        <f>"1551599281092746"</f>
        <v>1551599281092746</v>
      </c>
      <c r="C1740" t="s">
        <v>40</v>
      </c>
      <c r="D1740">
        <v>5.3132510000000002</v>
      </c>
      <c r="E1740">
        <v>0.64997459999999996</v>
      </c>
      <c r="F1740" t="s">
        <v>47</v>
      </c>
      <c r="G1740">
        <v>-197.30459999999999</v>
      </c>
      <c r="H1740" s="1">
        <v>1.8883560000000001E-6</v>
      </c>
      <c r="I1740">
        <v>290.58780000000002</v>
      </c>
      <c r="J1740">
        <v>-191.83029999999999</v>
      </c>
      <c r="K1740">
        <v>1.120023</v>
      </c>
      <c r="L1740">
        <v>302.10379999999998</v>
      </c>
      <c r="M1740">
        <v>5.5487389999999998E-2</v>
      </c>
      <c r="N1740">
        <v>-1.370409E-2</v>
      </c>
      <c r="O1740">
        <v>-0.99836559999999996</v>
      </c>
      <c r="P1740">
        <v>-6.1007609999999997E-2</v>
      </c>
      <c r="Q1740">
        <v>-7.9581159999999998E-2</v>
      </c>
      <c r="R1740">
        <v>-0.99496010000000001</v>
      </c>
      <c r="S1740">
        <v>-1.3576969999999999</v>
      </c>
      <c r="T1740">
        <v>-0.27842139999999999</v>
      </c>
      <c r="U1740">
        <v>-2.9181210000000002</v>
      </c>
      <c r="V1740">
        <v>0.1159722</v>
      </c>
      <c r="W1740">
        <v>-6.6276890000000005E-2</v>
      </c>
      <c r="X1740">
        <v>0.99103869999999905</v>
      </c>
      <c r="Y1740">
        <v>0.47011890000000001</v>
      </c>
      <c r="Z1740">
        <v>7.1030650000000001E-2</v>
      </c>
      <c r="AA1740">
        <v>0.87974019999999997</v>
      </c>
      <c r="AB1740">
        <v>23</v>
      </c>
      <c r="AC1740">
        <v>-5.4743000000000004</v>
      </c>
      <c r="AD1740">
        <v>-1.120021111644</v>
      </c>
      <c r="AE1740">
        <v>-11.515999999999901</v>
      </c>
      <c r="AF1740">
        <v>6.0581749276977304</v>
      </c>
      <c r="AG1740">
        <v>-1.120021111644</v>
      </c>
      <c r="AH1740">
        <v>11.108761360823401</v>
      </c>
      <c r="AI1740">
        <v>95.058415951878303</v>
      </c>
      <c r="AJ1740">
        <v>61.394109658946803</v>
      </c>
      <c r="AK1740">
        <v>12.7027756697832</v>
      </c>
      <c r="AL1740">
        <v>93.800171893022494</v>
      </c>
      <c r="AM1740">
        <v>83.325554554779899</v>
      </c>
      <c r="AN1740">
        <v>0.99999994110929902</v>
      </c>
    </row>
    <row r="1741" spans="1:40" x14ac:dyDescent="0.25">
      <c r="A1741" t="str">
        <f>"20190303154801121"</f>
        <v>20190303154801121</v>
      </c>
      <c r="B1741" t="str">
        <f>"1551599281112266"</f>
        <v>1551599281112266</v>
      </c>
      <c r="C1741" t="s">
        <v>40</v>
      </c>
      <c r="D1741">
        <v>5.2710379999999999</v>
      </c>
      <c r="E1741">
        <v>0.67203449999999998</v>
      </c>
      <c r="F1741" t="s">
        <v>47</v>
      </c>
      <c r="G1741">
        <v>-197.26259999999999</v>
      </c>
      <c r="H1741" s="1">
        <v>1.880829E-6</v>
      </c>
      <c r="I1741">
        <v>290.6302</v>
      </c>
      <c r="J1741">
        <v>-191.82089999999999</v>
      </c>
      <c r="K1741">
        <v>1.119801</v>
      </c>
      <c r="L1741">
        <v>301.90699999999998</v>
      </c>
      <c r="M1741">
        <v>5.4007380000000001E-2</v>
      </c>
      <c r="N1741">
        <v>-1.370738E-2</v>
      </c>
      <c r="O1741">
        <v>-0.99844650000000001</v>
      </c>
      <c r="P1741">
        <v>-6.7228880000000005E-2</v>
      </c>
      <c r="Q1741">
        <v>-8.1727439999999998E-2</v>
      </c>
      <c r="R1741">
        <v>-0.99438470000000001</v>
      </c>
      <c r="S1741">
        <v>-1.3768309999999999</v>
      </c>
      <c r="T1741">
        <v>-0.28387519999999999</v>
      </c>
      <c r="U1741">
        <v>-2.9080509999999999</v>
      </c>
      <c r="V1741">
        <v>0.1206464</v>
      </c>
      <c r="W1741">
        <v>-6.8501010000000001E-2</v>
      </c>
      <c r="X1741">
        <v>0.99032929999999997</v>
      </c>
      <c r="Y1741">
        <v>0.47464840000000003</v>
      </c>
      <c r="Z1741">
        <v>7.2733779999999998E-2</v>
      </c>
      <c r="AA1741">
        <v>0.87716510000000003</v>
      </c>
      <c r="AB1741">
        <v>23</v>
      </c>
      <c r="AC1741">
        <v>-5.4416999999999902</v>
      </c>
      <c r="AD1741">
        <v>-1.1197991191709999</v>
      </c>
      <c r="AE1741">
        <v>-11.2767999999999</v>
      </c>
      <c r="AF1741">
        <v>5.9948955670710804</v>
      </c>
      <c r="AG1741">
        <v>-1.1197991191709999</v>
      </c>
      <c r="AH1741">
        <v>10.879403228619401</v>
      </c>
      <c r="AI1741">
        <v>95.151185509765696</v>
      </c>
      <c r="AJ1741">
        <v>61.143844468589997</v>
      </c>
      <c r="AK1741">
        <v>12.4721344419582</v>
      </c>
      <c r="AL1741">
        <v>93.927894600112296</v>
      </c>
      <c r="AM1741">
        <v>83.054195130303498</v>
      </c>
      <c r="AN1741">
        <v>1.0000000323212299</v>
      </c>
    </row>
    <row r="1742" spans="1:40" x14ac:dyDescent="0.25">
      <c r="A1742" t="str">
        <f>"20190303154801144"</f>
        <v>20190303154801144</v>
      </c>
      <c r="B1742" t="str">
        <f>"1551599281142522"</f>
        <v>1551599281142522</v>
      </c>
      <c r="C1742" t="s">
        <v>40</v>
      </c>
      <c r="D1742">
        <v>5.6471629999999999</v>
      </c>
      <c r="E1742">
        <v>0.66308789999999995</v>
      </c>
      <c r="F1742" t="s">
        <v>51</v>
      </c>
      <c r="G1742">
        <v>-247.5796</v>
      </c>
      <c r="H1742">
        <v>0.67915930000000002</v>
      </c>
      <c r="I1742">
        <v>198.56010000000001</v>
      </c>
      <c r="J1742">
        <v>-191.81039999999999</v>
      </c>
      <c r="K1742">
        <v>1.119556</v>
      </c>
      <c r="L1742">
        <v>301.66950000000003</v>
      </c>
      <c r="M1742">
        <v>5.1908040000000003E-2</v>
      </c>
      <c r="N1742">
        <v>-1.3712810000000001E-2</v>
      </c>
      <c r="O1742">
        <v>-0.9985579</v>
      </c>
      <c r="P1742">
        <v>-7.4042700000000003E-2</v>
      </c>
      <c r="Q1742">
        <v>-8.4931919999999994E-2</v>
      </c>
      <c r="R1742">
        <v>-0.99363239999999997</v>
      </c>
      <c r="S1742">
        <v>-1.5699160000000001</v>
      </c>
      <c r="T1742">
        <v>-1.240659E-2</v>
      </c>
      <c r="U1742">
        <v>-2.9097900000000001</v>
      </c>
      <c r="V1742">
        <v>0.12528329999999999</v>
      </c>
      <c r="W1742">
        <v>-7.1793209999999996E-2</v>
      </c>
      <c r="X1742">
        <v>0.98951999999999996</v>
      </c>
      <c r="Y1742">
        <v>0.51979240000000004</v>
      </c>
      <c r="Z1742">
        <v>-1.020128E-2</v>
      </c>
      <c r="AA1742">
        <v>0.85423169999999904</v>
      </c>
      <c r="AB1742">
        <v>22</v>
      </c>
      <c r="AC1742">
        <v>-55.769199999999998</v>
      </c>
      <c r="AD1742">
        <v>-0.44039669999999997</v>
      </c>
      <c r="AE1742">
        <v>-103.10939999999999</v>
      </c>
      <c r="AF1742">
        <v>61.0458492651318</v>
      </c>
      <c r="AG1742">
        <v>-0.44039669999999997</v>
      </c>
      <c r="AH1742">
        <v>100.073814927802</v>
      </c>
      <c r="AI1742">
        <v>90.215253251758398</v>
      </c>
      <c r="AJ1742">
        <v>58.6164658831282</v>
      </c>
      <c r="AK1742">
        <v>117.22439206905101</v>
      </c>
      <c r="AL1742">
        <v>94.116989783995905</v>
      </c>
      <c r="AM1742">
        <v>82.784164840954205</v>
      </c>
      <c r="AN1742">
        <v>1.0000000003304901</v>
      </c>
    </row>
    <row r="1743" spans="1:40" x14ac:dyDescent="0.25">
      <c r="A1743" t="str">
        <f>"20190303154801166"</f>
        <v>20190303154801166</v>
      </c>
      <c r="B1743" t="str">
        <f>"1551599281162042"</f>
        <v>1551599281162042</v>
      </c>
      <c r="C1743" t="s">
        <v>40</v>
      </c>
      <c r="D1743">
        <v>5.6415389999999999</v>
      </c>
      <c r="E1743">
        <v>0.65915869999999999</v>
      </c>
      <c r="F1743" t="s">
        <v>47</v>
      </c>
      <c r="G1743">
        <v>-204.57419999999999</v>
      </c>
      <c r="H1743">
        <v>8.0001349999999999E-2</v>
      </c>
      <c r="I1743">
        <v>277.33890000000002</v>
      </c>
      <c r="J1743">
        <v>-191.80119999999999</v>
      </c>
      <c r="K1743">
        <v>1.1193489999999999</v>
      </c>
      <c r="L1743">
        <v>301.44290000000001</v>
      </c>
      <c r="M1743">
        <v>4.9617149999999999E-2</v>
      </c>
      <c r="N1743">
        <v>-1.371754E-2</v>
      </c>
      <c r="O1743">
        <v>-0.99867430000000001</v>
      </c>
      <c r="P1743">
        <v>-8.0716469999999998E-2</v>
      </c>
      <c r="Q1743">
        <v>-8.8233060000000002E-2</v>
      </c>
      <c r="R1743">
        <v>-0.99282440000000005</v>
      </c>
      <c r="S1743">
        <v>-1.5189509999999999</v>
      </c>
      <c r="T1743">
        <v>-0.1237115</v>
      </c>
      <c r="U1743">
        <v>-2.8954469999999999</v>
      </c>
      <c r="V1743">
        <v>0.12959590000000001</v>
      </c>
      <c r="W1743">
        <v>-7.5174119999999997E-2</v>
      </c>
      <c r="X1743">
        <v>0.98871319999999996</v>
      </c>
      <c r="Y1743">
        <v>0.50762879999999999</v>
      </c>
      <c r="Z1743">
        <v>2.3371989999999999E-2</v>
      </c>
      <c r="AA1743">
        <v>0.86125890000000005</v>
      </c>
      <c r="AB1743">
        <v>22</v>
      </c>
      <c r="AC1743">
        <v>-12.7729999999999</v>
      </c>
      <c r="AD1743">
        <v>-1.0393476499999901</v>
      </c>
      <c r="AE1743">
        <v>-24.1039999999999</v>
      </c>
      <c r="AF1743">
        <v>13.933122845366199</v>
      </c>
      <c r="AG1743">
        <v>-1.0393476499999901</v>
      </c>
      <c r="AH1743">
        <v>23.406508517840599</v>
      </c>
      <c r="AI1743">
        <v>92.185102944964697</v>
      </c>
      <c r="AJ1743">
        <v>59.236056291174997</v>
      </c>
      <c r="AK1743">
        <v>27.2594350043681</v>
      </c>
      <c r="AL1743">
        <v>94.311226808012506</v>
      </c>
      <c r="AM1743">
        <v>82.532508798211794</v>
      </c>
      <c r="AN1743">
        <v>1.00000001873441</v>
      </c>
    </row>
    <row r="1744" spans="1:40" x14ac:dyDescent="0.25">
      <c r="A1744" t="str">
        <f>"20190303154801188"</f>
        <v>20190303154801188</v>
      </c>
      <c r="B1744" t="str">
        <f>"1551599281182701"</f>
        <v>1551599281182701</v>
      </c>
      <c r="C1744" t="s">
        <v>40</v>
      </c>
      <c r="D1744">
        <v>5.6263350000000001</v>
      </c>
      <c r="E1744">
        <v>0.65887030000000002</v>
      </c>
      <c r="F1744" t="s">
        <v>47</v>
      </c>
      <c r="G1744">
        <v>-201.483</v>
      </c>
      <c r="H1744" s="1">
        <v>3.023012E-6</v>
      </c>
      <c r="I1744">
        <v>282.91919999999999</v>
      </c>
      <c r="J1744">
        <v>-191.79310000000001</v>
      </c>
      <c r="K1744">
        <v>1.1191879999999901</v>
      </c>
      <c r="L1744">
        <v>301.2235</v>
      </c>
      <c r="M1744">
        <v>4.7120849999999999E-2</v>
      </c>
      <c r="N1744">
        <v>-1.3722079999999999E-2</v>
      </c>
      <c r="O1744">
        <v>-0.99879499999999999</v>
      </c>
      <c r="P1744">
        <v>-8.7172449999999999E-2</v>
      </c>
      <c r="Q1744">
        <v>-8.9922479999999999E-2</v>
      </c>
      <c r="R1744">
        <v>-0.99212650000000002</v>
      </c>
      <c r="S1744">
        <v>-1.507217</v>
      </c>
      <c r="T1744">
        <v>-0.17425360000000001</v>
      </c>
      <c r="U1744">
        <v>-2.883667</v>
      </c>
      <c r="V1744">
        <v>0.13350709999999999</v>
      </c>
      <c r="W1744">
        <v>-7.6934279999999994E-2</v>
      </c>
      <c r="X1744">
        <v>0.98805719999999997</v>
      </c>
      <c r="Y1744">
        <v>0.50389419999999996</v>
      </c>
      <c r="Z1744">
        <v>3.8871429999999998E-2</v>
      </c>
      <c r="AA1744">
        <v>0.8628903</v>
      </c>
      <c r="AB1744">
        <v>22</v>
      </c>
      <c r="AC1744">
        <v>-9.6898999999999909</v>
      </c>
      <c r="AD1744">
        <v>-1.11918497698799</v>
      </c>
      <c r="AE1744">
        <v>-18.304300000000001</v>
      </c>
      <c r="AF1744">
        <v>10.5110358950635</v>
      </c>
      <c r="AG1744">
        <v>-1.11918497698799</v>
      </c>
      <c r="AH1744">
        <v>17.775417447999601</v>
      </c>
      <c r="AI1744">
        <v>93.102180982688196</v>
      </c>
      <c r="AJ1744">
        <v>59.403144436903602</v>
      </c>
      <c r="AK1744">
        <v>20.680907041294802</v>
      </c>
      <c r="AL1744">
        <v>94.412369450739206</v>
      </c>
      <c r="AM1744">
        <v>82.304753714017096</v>
      </c>
      <c r="AN1744">
        <v>1.0000000298306799</v>
      </c>
    </row>
    <row r="1745" spans="1:40" x14ac:dyDescent="0.25">
      <c r="A1745" t="str">
        <f>"20190303154801255"</f>
        <v>20190303154801255</v>
      </c>
      <c r="B1745" t="str">
        <f>"1551599281251974"</f>
        <v>1551599281251974</v>
      </c>
      <c r="C1745" t="s">
        <v>40</v>
      </c>
      <c r="D1745">
        <v>5.9161320000000002</v>
      </c>
      <c r="E1745">
        <v>0.62772659999999902</v>
      </c>
      <c r="F1745" t="s">
        <v>47</v>
      </c>
      <c r="G1745">
        <v>-201.38409999999999</v>
      </c>
      <c r="H1745" s="1">
        <v>2.9605369999999998E-6</v>
      </c>
      <c r="I1745">
        <v>283.13220000000001</v>
      </c>
      <c r="J1745">
        <v>-191.77369999999999</v>
      </c>
      <c r="K1745">
        <v>1.1187100000000001</v>
      </c>
      <c r="L1745">
        <v>300.5523</v>
      </c>
      <c r="M1745">
        <v>3.7785230000000003E-2</v>
      </c>
      <c r="N1745">
        <v>-1.3745800000000001E-2</v>
      </c>
      <c r="O1745">
        <v>-0.99919139999999995</v>
      </c>
      <c r="P1745">
        <v>-0.1066975</v>
      </c>
      <c r="Q1745">
        <v>-9.2756889999999995E-2</v>
      </c>
      <c r="R1745">
        <v>-0.98995569999999999</v>
      </c>
      <c r="S1745">
        <v>-1.523544</v>
      </c>
      <c r="T1745">
        <v>-0.17778289999999999</v>
      </c>
      <c r="U1745">
        <v>-2.8738100000000002</v>
      </c>
      <c r="V1745">
        <v>0.1436016</v>
      </c>
      <c r="W1745">
        <v>-7.9980499999999996E-2</v>
      </c>
      <c r="X1745">
        <v>0.98639829999999995</v>
      </c>
      <c r="Y1745">
        <v>0.50084680000000004</v>
      </c>
      <c r="Z1745">
        <v>4.0125170000000002E-2</v>
      </c>
      <c r="AA1745">
        <v>0.86460539999999997</v>
      </c>
      <c r="AB1745">
        <v>22</v>
      </c>
      <c r="AC1745">
        <v>-9.6103999999999896</v>
      </c>
      <c r="AD1745">
        <v>-1.1187070394630001</v>
      </c>
      <c r="AE1745">
        <v>-17.420099999999898</v>
      </c>
      <c r="AF1745">
        <v>10.2294767610164</v>
      </c>
      <c r="AG1745">
        <v>-1.1187070394630001</v>
      </c>
      <c r="AH1745">
        <v>16.990770662142602</v>
      </c>
      <c r="AI1745">
        <v>93.228503944946894</v>
      </c>
      <c r="AJ1745">
        <v>58.9495029752145</v>
      </c>
      <c r="AK1745">
        <v>19.864037553776601</v>
      </c>
      <c r="AL1745">
        <v>94.587445092192098</v>
      </c>
      <c r="AM1745">
        <v>81.716969493940795</v>
      </c>
      <c r="AN1745">
        <v>0.99999995307284795</v>
      </c>
    </row>
    <row r="1746" spans="1:40" x14ac:dyDescent="0.25">
      <c r="A1746" t="str">
        <f>"20190303154801280"</f>
        <v>20190303154801280</v>
      </c>
      <c r="B1746" t="str">
        <f>"1551599281272470"</f>
        <v>1551599281272470</v>
      </c>
      <c r="C1746" t="s">
        <v>40</v>
      </c>
      <c r="D1746">
        <v>5.7018589999999998</v>
      </c>
      <c r="E1746">
        <v>0.55566590000000005</v>
      </c>
      <c r="F1746" t="s">
        <v>47</v>
      </c>
      <c r="G1746">
        <v>-196.9778</v>
      </c>
      <c r="H1746" s="1">
        <v>2.3099379999999999E-6</v>
      </c>
      <c r="I1746">
        <v>289.3854</v>
      </c>
      <c r="J1746">
        <v>-191.7689</v>
      </c>
      <c r="K1746">
        <v>1.1185020000000001</v>
      </c>
      <c r="L1746">
        <v>300.30700000000002</v>
      </c>
      <c r="M1746">
        <v>3.3756809999999998E-2</v>
      </c>
      <c r="N1746">
        <v>-1.375817E-2</v>
      </c>
      <c r="O1746">
        <v>-0.99933559999999999</v>
      </c>
      <c r="P1746">
        <v>-0.1130241</v>
      </c>
      <c r="Q1746">
        <v>-9.3354850000000003E-2</v>
      </c>
      <c r="R1746">
        <v>-0.98919729999999995</v>
      </c>
      <c r="S1746">
        <v>-1.3328249999999999</v>
      </c>
      <c r="T1746">
        <v>-0.2865143</v>
      </c>
      <c r="U1746">
        <v>-2.859985</v>
      </c>
      <c r="V1746">
        <v>0.1458835</v>
      </c>
      <c r="W1746">
        <v>-8.0655389999999993E-2</v>
      </c>
      <c r="X1746">
        <v>0.98600849999999995</v>
      </c>
      <c r="Y1746">
        <v>0.45123429999999998</v>
      </c>
      <c r="Z1746">
        <v>7.5842599999999996E-2</v>
      </c>
      <c r="AA1746">
        <v>0.88917679999999999</v>
      </c>
      <c r="AB1746">
        <v>22</v>
      </c>
      <c r="AC1746">
        <v>-5.2088999999999999</v>
      </c>
      <c r="AD1746">
        <v>-1.1184996900619999</v>
      </c>
      <c r="AE1746">
        <v>-10.9216</v>
      </c>
      <c r="AF1746">
        <v>5.52741468680723</v>
      </c>
      <c r="AG1746">
        <v>-1.1184996900619999</v>
      </c>
      <c r="AH1746">
        <v>10.6485349606518</v>
      </c>
      <c r="AI1746">
        <v>95.326094159222507</v>
      </c>
      <c r="AJ1746">
        <v>62.567190298615301</v>
      </c>
      <c r="AK1746">
        <v>12.049674331069101</v>
      </c>
      <c r="AL1746">
        <v>94.626238441840201</v>
      </c>
      <c r="AM1746">
        <v>81.583939089457004</v>
      </c>
      <c r="AN1746">
        <v>1.0000000247902701</v>
      </c>
    </row>
    <row r="1747" spans="1:40" x14ac:dyDescent="0.25">
      <c r="A1747" t="str">
        <f>"20190303154801304"</f>
        <v>20190303154801304</v>
      </c>
      <c r="B1747" t="str">
        <f>"1551599281292498"</f>
        <v>1551599281292498</v>
      </c>
      <c r="C1747" t="s">
        <v>40</v>
      </c>
      <c r="D1747">
        <v>5.7102139999999997</v>
      </c>
      <c r="E1747">
        <v>0.54699809999999904</v>
      </c>
      <c r="F1747" t="s">
        <v>47</v>
      </c>
      <c r="G1747">
        <v>-195.0984</v>
      </c>
      <c r="H1747" s="1">
        <v>2.777252E-6</v>
      </c>
      <c r="I1747">
        <v>287.85320000000002</v>
      </c>
      <c r="J1747">
        <v>-191.76589999999999</v>
      </c>
      <c r="K1747">
        <v>1.118296</v>
      </c>
      <c r="L1747">
        <v>300.07769999999999</v>
      </c>
      <c r="M1747">
        <v>2.962652E-2</v>
      </c>
      <c r="N1747">
        <v>-1.377189E-2</v>
      </c>
      <c r="O1747">
        <v>-0.99946619999999997</v>
      </c>
      <c r="P1747">
        <v>-0.11929530000000001</v>
      </c>
      <c r="Q1747">
        <v>-9.3254900000000002E-2</v>
      </c>
      <c r="R1747">
        <v>-0.98846979999999995</v>
      </c>
      <c r="S1747">
        <v>-0.78033450000000004</v>
      </c>
      <c r="T1747">
        <v>-0.26214520000000002</v>
      </c>
      <c r="U1747">
        <v>-2.9188230000000002</v>
      </c>
      <c r="V1747">
        <v>0.14802109999999999</v>
      </c>
      <c r="W1747">
        <v>-8.0630160000000006E-2</v>
      </c>
      <c r="X1747">
        <v>0.98569189999999995</v>
      </c>
      <c r="Y1747">
        <v>0.28591339999999998</v>
      </c>
      <c r="Z1747">
        <v>7.2247190000000003E-2</v>
      </c>
      <c r="AA1747">
        <v>0.95552809999999999</v>
      </c>
      <c r="AB1747">
        <v>22</v>
      </c>
      <c r="AC1747">
        <v>-3.3325000000000098</v>
      </c>
      <c r="AD1747">
        <v>-1.118293222748</v>
      </c>
      <c r="AE1747">
        <v>-12.2244999999999</v>
      </c>
      <c r="AF1747">
        <v>3.6646939630634998</v>
      </c>
      <c r="AG1747">
        <v>-1.118293222748</v>
      </c>
      <c r="AH1747">
        <v>12.026709412309099</v>
      </c>
      <c r="AI1747">
        <v>95.082879794936403</v>
      </c>
      <c r="AJ1747">
        <v>73.053342937850203</v>
      </c>
      <c r="AK1747">
        <v>12.622293803547899</v>
      </c>
      <c r="AL1747">
        <v>94.624788282821996</v>
      </c>
      <c r="AM1747">
        <v>81.459723039521293</v>
      </c>
      <c r="AN1747">
        <v>0.99999999523622196</v>
      </c>
    </row>
    <row r="1748" spans="1:40" x14ac:dyDescent="0.25">
      <c r="A1748" t="str">
        <f>"20190303154801322"</f>
        <v>20190303154801322</v>
      </c>
      <c r="B1748" t="str">
        <f>"1551599281312018"</f>
        <v>1551599281312018</v>
      </c>
      <c r="C1748" t="s">
        <v>40</v>
      </c>
      <c r="D1748">
        <v>5.6882219999999997</v>
      </c>
      <c r="E1748">
        <v>0.54275980000000001</v>
      </c>
      <c r="F1748" t="s">
        <v>47</v>
      </c>
      <c r="G1748">
        <v>-195.19409999999999</v>
      </c>
      <c r="H1748" s="1">
        <v>2.8917709999999998E-6</v>
      </c>
      <c r="I1748">
        <v>286.34910000000002</v>
      </c>
      <c r="J1748">
        <v>-191.76429999999999</v>
      </c>
      <c r="K1748">
        <v>1.118112</v>
      </c>
      <c r="L1748">
        <v>299.87810000000002</v>
      </c>
      <c r="M1748">
        <v>2.5755980000000001E-2</v>
      </c>
      <c r="N1748">
        <v>-1.378572E-2</v>
      </c>
      <c r="O1748">
        <v>-0.99957339999999995</v>
      </c>
      <c r="P1748">
        <v>-0.1248885</v>
      </c>
      <c r="Q1748">
        <v>-9.5676410000000003E-2</v>
      </c>
      <c r="R1748">
        <v>-0.98754710000000001</v>
      </c>
      <c r="S1748">
        <v>-0.73025509999999905</v>
      </c>
      <c r="T1748">
        <v>-0.2382118</v>
      </c>
      <c r="U1748">
        <v>-2.9243769999999998</v>
      </c>
      <c r="V1748">
        <v>0.1497242</v>
      </c>
      <c r="W1748">
        <v>-8.3119910000000005E-2</v>
      </c>
      <c r="X1748">
        <v>0.98522779999999999</v>
      </c>
      <c r="Y1748">
        <v>0.2665071</v>
      </c>
      <c r="Z1748">
        <v>6.4690220000000007E-2</v>
      </c>
      <c r="AA1748">
        <v>0.96165959999999995</v>
      </c>
      <c r="AB1748">
        <v>22</v>
      </c>
      <c r="AC1748">
        <v>-3.4298000000000002</v>
      </c>
      <c r="AD1748">
        <v>-1.118109108229</v>
      </c>
      <c r="AE1748">
        <v>-13.5289999999999</v>
      </c>
      <c r="AF1748">
        <v>3.7530613336676799</v>
      </c>
      <c r="AG1748">
        <v>-1.118109108229</v>
      </c>
      <c r="AH1748">
        <v>13.3504842352824</v>
      </c>
      <c r="AI1748">
        <v>94.609514493765005</v>
      </c>
      <c r="AJ1748">
        <v>74.298371432202103</v>
      </c>
      <c r="AK1748">
        <v>13.9129819474008</v>
      </c>
      <c r="AL1748">
        <v>94.767920843705099</v>
      </c>
      <c r="AM1748">
        <v>81.358926867308099</v>
      </c>
      <c r="AN1748">
        <v>1.0000000366984401</v>
      </c>
    </row>
    <row r="1749" spans="1:40" x14ac:dyDescent="0.25">
      <c r="A1749" t="str">
        <f>"20190303154801345"</f>
        <v>20190303154801345</v>
      </c>
      <c r="B1749" t="str">
        <f>"1551599281342274"</f>
        <v>1551599281342274</v>
      </c>
      <c r="C1749" t="s">
        <v>40</v>
      </c>
      <c r="D1749">
        <v>5.713762</v>
      </c>
      <c r="E1749">
        <v>0.53951700000000002</v>
      </c>
      <c r="F1749" t="s">
        <v>47</v>
      </c>
      <c r="G1749">
        <v>-194.98169999999999</v>
      </c>
      <c r="H1749" s="1">
        <v>2.8997080000000002E-6</v>
      </c>
      <c r="I1749">
        <v>286.6893</v>
      </c>
      <c r="J1749">
        <v>-191.7638</v>
      </c>
      <c r="K1749">
        <v>1.117929</v>
      </c>
      <c r="L1749">
        <v>299.65660000000003</v>
      </c>
      <c r="M1749">
        <v>2.1185200000000001E-2</v>
      </c>
      <c r="N1749">
        <v>-1.380238E-2</v>
      </c>
      <c r="O1749">
        <v>-0.99968040000000002</v>
      </c>
      <c r="P1749">
        <v>-0.13233110000000001</v>
      </c>
      <c r="Q1749">
        <v>-9.8940739999999999E-2</v>
      </c>
      <c r="R1749">
        <v>-0.98625560000000001</v>
      </c>
      <c r="S1749">
        <v>-0.71322629999999998</v>
      </c>
      <c r="T1749">
        <v>-0.24785889999999999</v>
      </c>
      <c r="U1749">
        <v>-2.923645</v>
      </c>
      <c r="V1749">
        <v>0.15257780000000001</v>
      </c>
      <c r="W1749">
        <v>-8.6462890000000001E-2</v>
      </c>
      <c r="X1749">
        <v>0.98450199999999999</v>
      </c>
      <c r="Y1749">
        <v>0.2568125</v>
      </c>
      <c r="Z1749">
        <v>6.8040710000000004E-2</v>
      </c>
      <c r="AA1749">
        <v>0.96406320000000001</v>
      </c>
      <c r="AB1749">
        <v>22</v>
      </c>
      <c r="AC1749">
        <v>-3.2178999999999802</v>
      </c>
      <c r="AD1749">
        <v>-1.117926100292</v>
      </c>
      <c r="AE1749">
        <v>-12.9673</v>
      </c>
      <c r="AF1749">
        <v>3.46764091773316</v>
      </c>
      <c r="AG1749">
        <v>-1.117926100292</v>
      </c>
      <c r="AH1749">
        <v>12.8065493106528</v>
      </c>
      <c r="AI1749">
        <v>94.816316269020206</v>
      </c>
      <c r="AJ1749">
        <v>74.849264566236698</v>
      </c>
      <c r="AK1749">
        <v>13.3147285945389</v>
      </c>
      <c r="AL1749">
        <v>94.960152021729996</v>
      </c>
      <c r="AM1749">
        <v>81.190404232459699</v>
      </c>
      <c r="AN1749">
        <v>1.0000000022019899</v>
      </c>
    </row>
    <row r="1750" spans="1:40" x14ac:dyDescent="0.25">
      <c r="A1750" t="str">
        <f>"20190303154801367"</f>
        <v>20190303154801367</v>
      </c>
      <c r="B1750" t="str">
        <f>"1551599281362770"</f>
        <v>1551599281362770</v>
      </c>
      <c r="C1750" t="s">
        <v>40</v>
      </c>
      <c r="D1750">
        <v>5.5673969999999997</v>
      </c>
      <c r="E1750">
        <v>0.53887119999999999</v>
      </c>
      <c r="F1750" t="s">
        <v>47</v>
      </c>
      <c r="G1750">
        <v>-194.90479999999999</v>
      </c>
      <c r="H1750" s="1">
        <v>2.9098099999999999E-6</v>
      </c>
      <c r="I1750">
        <v>286.72969999999998</v>
      </c>
      <c r="J1750">
        <v>-191.7646</v>
      </c>
      <c r="K1750">
        <v>1.1177699999999999</v>
      </c>
      <c r="L1750">
        <v>299.43400000000003</v>
      </c>
      <c r="M1750">
        <v>1.6310760000000001E-2</v>
      </c>
      <c r="N1750">
        <v>-1.381895E-2</v>
      </c>
      <c r="O1750">
        <v>-0.99977150000000004</v>
      </c>
      <c r="P1750">
        <v>-0.14018599999999901</v>
      </c>
      <c r="Q1750">
        <v>-0.10094160000000001</v>
      </c>
      <c r="R1750">
        <v>-0.98496620000000001</v>
      </c>
      <c r="S1750">
        <v>-0.7098236</v>
      </c>
      <c r="T1750">
        <v>-0.25263370000000002</v>
      </c>
      <c r="U1750">
        <v>-2.921265</v>
      </c>
      <c r="V1750">
        <v>0.15556610000000001</v>
      </c>
      <c r="W1750">
        <v>-8.8538829999999999E-2</v>
      </c>
      <c r="X1750">
        <v>0.98384959999999999</v>
      </c>
      <c r="Y1750">
        <v>0.25119079999999999</v>
      </c>
      <c r="Z1750">
        <v>6.9750610000000005E-2</v>
      </c>
      <c r="AA1750">
        <v>0.96542119999999998</v>
      </c>
      <c r="AB1750">
        <v>22</v>
      </c>
      <c r="AC1750">
        <v>-3.1401999999999899</v>
      </c>
      <c r="AD1750">
        <v>-1.1177670901899901</v>
      </c>
      <c r="AE1750">
        <v>-12.7043</v>
      </c>
      <c r="AF1750">
        <v>3.3227779063138501</v>
      </c>
      <c r="AG1750">
        <v>-1.1177670901899901</v>
      </c>
      <c r="AH1750">
        <v>12.559757797142399</v>
      </c>
      <c r="AI1750">
        <v>94.917388691542101</v>
      </c>
      <c r="AJ1750">
        <v>75.181466230721895</v>
      </c>
      <c r="AK1750">
        <v>13.039853227911699</v>
      </c>
      <c r="AL1750">
        <v>95.079552695937195</v>
      </c>
      <c r="AM1750">
        <v>81.014792431332097</v>
      </c>
      <c r="AN1750">
        <v>0.99999998565356896</v>
      </c>
    </row>
    <row r="1751" spans="1:40" x14ac:dyDescent="0.25">
      <c r="A1751" t="str">
        <f>"20190303154801390"</f>
        <v>20190303154801390</v>
      </c>
      <c r="B1751" t="str">
        <f>"1551599281382808"</f>
        <v>1551599281382808</v>
      </c>
      <c r="C1751" t="s">
        <v>40</v>
      </c>
      <c r="D1751">
        <v>5.5748360000000003</v>
      </c>
      <c r="E1751">
        <v>0.54740299999999997</v>
      </c>
      <c r="F1751" t="s">
        <v>47</v>
      </c>
      <c r="G1751">
        <v>-194.91300000000001</v>
      </c>
      <c r="H1751" s="1">
        <v>2.8999299999999999E-6</v>
      </c>
      <c r="I1751">
        <v>286.8261</v>
      </c>
      <c r="J1751">
        <v>-191.767</v>
      </c>
      <c r="K1751">
        <v>1.1176159999999999</v>
      </c>
      <c r="L1751">
        <v>299.20670000000001</v>
      </c>
      <c r="M1751">
        <v>1.1026029999999999E-2</v>
      </c>
      <c r="N1751">
        <v>-1.383616E-2</v>
      </c>
      <c r="O1751">
        <v>-0.99984340000000005</v>
      </c>
      <c r="P1751">
        <v>-0.14785770000000001</v>
      </c>
      <c r="Q1751">
        <v>-9.980812E-2</v>
      </c>
      <c r="R1751">
        <v>-0.98395960000000005</v>
      </c>
      <c r="S1751">
        <v>-0.72808839999999997</v>
      </c>
      <c r="T1751">
        <v>-0.25849460000000002</v>
      </c>
      <c r="U1751">
        <v>-2.91568</v>
      </c>
      <c r="V1751">
        <v>0.15800529999999999</v>
      </c>
      <c r="W1751">
        <v>-8.7472419999999995E-2</v>
      </c>
      <c r="X1751">
        <v>0.98355630000000005</v>
      </c>
      <c r="Y1751">
        <v>0.25216189999999999</v>
      </c>
      <c r="Z1751">
        <v>7.1761500000000006E-2</v>
      </c>
      <c r="AA1751">
        <v>0.96502049999999995</v>
      </c>
      <c r="AB1751">
        <v>22</v>
      </c>
      <c r="AC1751">
        <v>-3.1459999999999799</v>
      </c>
      <c r="AD1751">
        <v>-1.11761310007</v>
      </c>
      <c r="AE1751">
        <v>-12.380599999999999</v>
      </c>
      <c r="AF1751">
        <v>3.2573964496808498</v>
      </c>
      <c r="AG1751">
        <v>-1.11761310007</v>
      </c>
      <c r="AH1751">
        <v>12.251376085666999</v>
      </c>
      <c r="AI1751">
        <v>95.038201622365506</v>
      </c>
      <c r="AJ1751">
        <v>75.110668844139298</v>
      </c>
      <c r="AK1751">
        <v>12.726189793661501</v>
      </c>
      <c r="AL1751">
        <v>95.0182135944154</v>
      </c>
      <c r="AM1751">
        <v>80.873585590212301</v>
      </c>
      <c r="AN1751">
        <v>1.0000000471792101</v>
      </c>
    </row>
    <row r="1752" spans="1:40" x14ac:dyDescent="0.25">
      <c r="A1752" t="str">
        <f>"20190303154801413"</f>
        <v>20190303154801413</v>
      </c>
      <c r="B1752" t="str">
        <f>"1551599281402317"</f>
        <v>1551599281402317</v>
      </c>
      <c r="C1752" t="s">
        <v>40</v>
      </c>
      <c r="D1752">
        <v>5.6131330000000004</v>
      </c>
      <c r="E1752">
        <v>0.54681119999999905</v>
      </c>
      <c r="F1752" t="s">
        <v>47</v>
      </c>
      <c r="G1752">
        <v>-200.03550000000001</v>
      </c>
      <c r="H1752">
        <v>8.0002569999999995E-2</v>
      </c>
      <c r="I1752">
        <v>269.83030000000002</v>
      </c>
      <c r="J1752">
        <v>-191.77090000000001</v>
      </c>
      <c r="K1752">
        <v>1.117453</v>
      </c>
      <c r="L1752">
        <v>298.97489999999999</v>
      </c>
      <c r="M1752">
        <v>5.3015240000000002E-3</v>
      </c>
      <c r="N1752">
        <v>-1.385655E-2</v>
      </c>
      <c r="O1752">
        <v>-0.99988999999999995</v>
      </c>
      <c r="P1752">
        <v>-0.15572649999999999</v>
      </c>
      <c r="Q1752">
        <v>-9.7817249999999994E-2</v>
      </c>
      <c r="R1752">
        <v>-0.98294539999999997</v>
      </c>
      <c r="S1752">
        <v>-0.82052610000000004</v>
      </c>
      <c r="T1752">
        <v>-0.10296760000000001</v>
      </c>
      <c r="U1752">
        <v>-2.9151609999999999</v>
      </c>
      <c r="V1752">
        <v>0.1602218</v>
      </c>
      <c r="W1752">
        <v>-8.5550319999999999E-2</v>
      </c>
      <c r="X1752">
        <v>0.98336670000000004</v>
      </c>
      <c r="Y1752">
        <v>0.27589599999999997</v>
      </c>
      <c r="Z1752">
        <v>2.0093159999999999E-2</v>
      </c>
      <c r="AA1752">
        <v>0.96097739999999998</v>
      </c>
      <c r="AB1752">
        <v>22</v>
      </c>
      <c r="AC1752">
        <v>-8.2645999999999997</v>
      </c>
      <c r="AD1752">
        <v>-1.03745043</v>
      </c>
      <c r="AE1752">
        <v>-29.144599999999901</v>
      </c>
      <c r="AF1752">
        <v>8.4091471026161404</v>
      </c>
      <c r="AG1752">
        <v>-1.03745043</v>
      </c>
      <c r="AH1752">
        <v>29.066281866289</v>
      </c>
      <c r="AI1752">
        <v>91.963703418801799</v>
      </c>
      <c r="AJ1752">
        <v>73.864349294077698</v>
      </c>
      <c r="AK1752">
        <v>30.276043333280899</v>
      </c>
      <c r="AL1752">
        <v>94.907671282089495</v>
      </c>
      <c r="AM1752">
        <v>80.746006272038102</v>
      </c>
      <c r="AN1752">
        <v>0.99999997455811496</v>
      </c>
    </row>
    <row r="1753" spans="1:40" x14ac:dyDescent="0.25">
      <c r="A1753" t="str">
        <f>"20190303154801435"</f>
        <v>20190303154801435</v>
      </c>
      <c r="B1753" t="str">
        <f>"1551599281432572"</f>
        <v>1551599281432572</v>
      </c>
      <c r="C1753" t="s">
        <v>40</v>
      </c>
      <c r="D1753">
        <v>5.6709490000000002</v>
      </c>
      <c r="E1753">
        <v>0.53486089999999997</v>
      </c>
      <c r="F1753" t="s">
        <v>41</v>
      </c>
      <c r="G1753">
        <v>-201.67850000000001</v>
      </c>
      <c r="H1753">
        <v>7.9985420000000002E-2</v>
      </c>
      <c r="I1753">
        <v>264.60930000000002</v>
      </c>
      <c r="J1753">
        <v>-191.77600000000001</v>
      </c>
      <c r="K1753">
        <v>1.117283</v>
      </c>
      <c r="L1753">
        <v>298.76179999999999</v>
      </c>
      <c r="M1753">
        <v>-2.7469499999999998E-4</v>
      </c>
      <c r="N1753">
        <v>-1.387917E-2</v>
      </c>
      <c r="O1753">
        <v>-0.99990380000000001</v>
      </c>
      <c r="P1753">
        <v>-0.16346479999999999</v>
      </c>
      <c r="Q1753">
        <v>-9.701419E-2</v>
      </c>
      <c r="R1753">
        <v>-0.98176759999999996</v>
      </c>
      <c r="S1753">
        <v>-0.83906559999999897</v>
      </c>
      <c r="T1753">
        <v>-8.786178E-2</v>
      </c>
      <c r="U1753">
        <v>-2.9103699999999999</v>
      </c>
      <c r="V1753">
        <v>0.16245019999999999</v>
      </c>
      <c r="W1753">
        <v>-8.4820389999999996E-2</v>
      </c>
      <c r="X1753">
        <v>0.9830643</v>
      </c>
      <c r="Y1753">
        <v>0.27664290000000002</v>
      </c>
      <c r="Z1753">
        <v>1.512134E-2</v>
      </c>
      <c r="AA1753">
        <v>0.96085379999999998</v>
      </c>
      <c r="AB1753">
        <v>22</v>
      </c>
      <c r="AC1753">
        <v>-9.9025000000000301</v>
      </c>
      <c r="AD1753">
        <v>-1.0372975799999999</v>
      </c>
      <c r="AE1753">
        <v>-34.152499999999897</v>
      </c>
      <c r="AF1753">
        <v>9.8847058111924895</v>
      </c>
      <c r="AG1753">
        <v>-1.0372975799999999</v>
      </c>
      <c r="AH1753">
        <v>34.126179462489198</v>
      </c>
      <c r="AI1753">
        <v>91.672325246784794</v>
      </c>
      <c r="AJ1753">
        <v>73.8462508365659</v>
      </c>
      <c r="AK1753">
        <v>35.544050415636598</v>
      </c>
      <c r="AL1753">
        <v>94.865696714568102</v>
      </c>
      <c r="AM1753">
        <v>80.6167378473084</v>
      </c>
      <c r="AN1753">
        <v>0.99999999198714096</v>
      </c>
    </row>
    <row r="1754" spans="1:40" x14ac:dyDescent="0.25">
      <c r="A1754" t="str">
        <f>"20190303154801456"</f>
        <v>20190303154801456</v>
      </c>
      <c r="B1754" t="str">
        <f>"1551599281452093"</f>
        <v>1551599281452093</v>
      </c>
      <c r="C1754" t="s">
        <v>40</v>
      </c>
      <c r="D1754">
        <v>5.6786269999999996</v>
      </c>
      <c r="E1754">
        <v>0.53613049999999995</v>
      </c>
      <c r="F1754" t="s">
        <v>47</v>
      </c>
      <c r="G1754">
        <v>-197.6138</v>
      </c>
      <c r="H1754" s="1">
        <v>3.8533949999999999E-6</v>
      </c>
      <c r="I1754">
        <v>276.58679999999998</v>
      </c>
      <c r="J1754">
        <v>-191.78280000000001</v>
      </c>
      <c r="K1754">
        <v>1.1170850000000001</v>
      </c>
      <c r="L1754">
        <v>298.54430000000002</v>
      </c>
      <c r="M1754">
        <v>-6.2966419999999999E-3</v>
      </c>
      <c r="N1754">
        <v>-1.390575E-2</v>
      </c>
      <c r="O1754">
        <v>-0.99988350000000004</v>
      </c>
      <c r="P1754">
        <v>-0.1724627</v>
      </c>
      <c r="Q1754">
        <v>-9.6569940000000007E-2</v>
      </c>
      <c r="R1754">
        <v>-0.98027070000000005</v>
      </c>
      <c r="S1754">
        <v>-0.76701350000000001</v>
      </c>
      <c r="T1754">
        <v>-0.1467957</v>
      </c>
      <c r="U1754">
        <v>-2.913513</v>
      </c>
      <c r="V1754">
        <v>0.1655025</v>
      </c>
      <c r="W1754">
        <v>-8.4468039999999994E-2</v>
      </c>
      <c r="X1754">
        <v>0.98258540000000005</v>
      </c>
      <c r="Y1754">
        <v>0.2482309</v>
      </c>
      <c r="Z1754">
        <v>3.4821999999999999E-2</v>
      </c>
      <c r="AA1754">
        <v>0.96807480000000001</v>
      </c>
      <c r="AB1754">
        <v>22</v>
      </c>
      <c r="AC1754">
        <v>-5.83099999999998</v>
      </c>
      <c r="AD1754">
        <v>-1.1170811466049999</v>
      </c>
      <c r="AE1754">
        <v>-21.9575</v>
      </c>
      <c r="AF1754">
        <v>5.6788824776986697</v>
      </c>
      <c r="AG1754">
        <v>-1.1170811466049999</v>
      </c>
      <c r="AH1754">
        <v>21.940737053266801</v>
      </c>
      <c r="AI1754">
        <v>92.821786948372804</v>
      </c>
      <c r="AJ1754">
        <v>75.488687250093406</v>
      </c>
      <c r="AK1754">
        <v>22.691265256133399</v>
      </c>
      <c r="AL1754">
        <v>94.845435806741506</v>
      </c>
      <c r="AM1754">
        <v>80.439085149973295</v>
      </c>
      <c r="AN1754">
        <v>0.99999999779042503</v>
      </c>
    </row>
    <row r="1755" spans="1:40" x14ac:dyDescent="0.25">
      <c r="A1755" t="str">
        <f>"20190303154801482"</f>
        <v>20190303154801482</v>
      </c>
      <c r="B1755" t="str">
        <f>"1551599281472588"</f>
        <v>1551599281472588</v>
      </c>
      <c r="C1755" t="s">
        <v>40</v>
      </c>
      <c r="D1755">
        <v>5.6960179999999996</v>
      </c>
      <c r="E1755">
        <v>0.5377016</v>
      </c>
      <c r="F1755" t="s">
        <v>47</v>
      </c>
      <c r="G1755">
        <v>-198.5052</v>
      </c>
      <c r="H1755" s="1">
        <v>4.3797520000000003E-6</v>
      </c>
      <c r="I1755">
        <v>274.24520000000001</v>
      </c>
      <c r="J1755">
        <v>-191.79259999999999</v>
      </c>
      <c r="K1755">
        <v>1.1168450000000001</v>
      </c>
      <c r="L1755">
        <v>298.29919999999998</v>
      </c>
      <c r="M1755">
        <v>-1.349237E-2</v>
      </c>
      <c r="N1755">
        <v>-1.3939160000000001E-2</v>
      </c>
      <c r="O1755">
        <v>-0.99981209999999998</v>
      </c>
      <c r="P1755">
        <v>-0.18202309999999999</v>
      </c>
      <c r="Q1755">
        <v>-9.4835500000000003E-2</v>
      </c>
      <c r="R1755">
        <v>-0.97871059999999999</v>
      </c>
      <c r="S1755">
        <v>-0.803894</v>
      </c>
      <c r="T1755">
        <v>-0.13358519999999999</v>
      </c>
      <c r="U1755">
        <v>-2.9057919999999999</v>
      </c>
      <c r="V1755">
        <v>0.1679822</v>
      </c>
      <c r="W1755">
        <v>-8.2830639999999997E-2</v>
      </c>
      <c r="X1755">
        <v>0.98230399999999995</v>
      </c>
      <c r="Y1755">
        <v>0.25338290000000002</v>
      </c>
      <c r="Z1755">
        <v>3.04333E-2</v>
      </c>
      <c r="AA1755">
        <v>0.96688719999999995</v>
      </c>
      <c r="AB1755">
        <v>22</v>
      </c>
      <c r="AC1755">
        <v>-6.7126000000000001</v>
      </c>
      <c r="AD1755">
        <v>-1.1168406202479999</v>
      </c>
      <c r="AE1755">
        <v>-24.053999999999899</v>
      </c>
      <c r="AF1755">
        <v>6.3746623695063702</v>
      </c>
      <c r="AG1755">
        <v>-1.1168406202479999</v>
      </c>
      <c r="AH1755">
        <v>24.094198321028401</v>
      </c>
      <c r="AI1755">
        <v>92.565779340977599</v>
      </c>
      <c r="AJ1755">
        <v>75.180661902060507</v>
      </c>
      <c r="AK1755">
        <v>24.948227312362</v>
      </c>
      <c r="AL1755">
        <v>94.751289520320597</v>
      </c>
      <c r="AM1755">
        <v>80.295811852375806</v>
      </c>
      <c r="AN1755">
        <v>1.0000000414278201</v>
      </c>
    </row>
    <row r="1756" spans="1:40" x14ac:dyDescent="0.25">
      <c r="A1756" t="str">
        <f>"20190303154801504"</f>
        <v>20190303154801504</v>
      </c>
      <c r="B1756" t="str">
        <f>"1551599281492109"</f>
        <v>1551599281492109</v>
      </c>
      <c r="C1756" t="s">
        <v>40</v>
      </c>
      <c r="D1756">
        <v>5.7020470000000003</v>
      </c>
      <c r="E1756">
        <v>0.53804529999999995</v>
      </c>
      <c r="F1756" t="s">
        <v>47</v>
      </c>
      <c r="G1756">
        <v>-199.95769999999999</v>
      </c>
      <c r="H1756">
        <v>4.664802E-3</v>
      </c>
      <c r="I1756">
        <v>270.30239999999998</v>
      </c>
      <c r="J1756">
        <v>-191.80359999999999</v>
      </c>
      <c r="K1756">
        <v>1.1166180000000001</v>
      </c>
      <c r="L1756">
        <v>298.07569999999998</v>
      </c>
      <c r="M1756">
        <v>-2.0477990000000001E-2</v>
      </c>
      <c r="N1756">
        <v>-1.397292E-2</v>
      </c>
      <c r="O1756">
        <v>-0.99969269999999999</v>
      </c>
      <c r="P1756">
        <v>-0.18948709999999999</v>
      </c>
      <c r="Q1756">
        <v>-9.2962810000000007E-2</v>
      </c>
      <c r="R1756">
        <v>-0.97747269999999997</v>
      </c>
      <c r="S1756">
        <v>-0.84489439999999905</v>
      </c>
      <c r="T1756">
        <v>-0.11508309999999999</v>
      </c>
      <c r="U1756">
        <v>-2.896973</v>
      </c>
      <c r="V1756">
        <v>0.16858489999999901</v>
      </c>
      <c r="W1756">
        <v>-8.1023769999999995E-2</v>
      </c>
      <c r="X1756">
        <v>0.98235139999999999</v>
      </c>
      <c r="Y1756">
        <v>0.26008809999999999</v>
      </c>
      <c r="Z1756">
        <v>2.4278709999999998E-2</v>
      </c>
      <c r="AA1756">
        <v>0.96527960000000002</v>
      </c>
      <c r="AB1756">
        <v>22</v>
      </c>
      <c r="AC1756">
        <v>-8.1540999999999997</v>
      </c>
      <c r="AD1756">
        <v>-1.1119531979999999</v>
      </c>
      <c r="AE1756">
        <v>-27.773299999999999</v>
      </c>
      <c r="AF1756">
        <v>7.5724180192768102</v>
      </c>
      <c r="AG1756">
        <v>-1.1119531979999999</v>
      </c>
      <c r="AH1756">
        <v>27.893307592372501</v>
      </c>
      <c r="AI1756">
        <v>92.203197667786796</v>
      </c>
      <c r="AJ1756">
        <v>74.8115276143118</v>
      </c>
      <c r="AK1756">
        <v>28.924290190355801</v>
      </c>
      <c r="AL1756">
        <v>94.647414498852598</v>
      </c>
      <c r="AM1756">
        <v>80.2621208116459</v>
      </c>
      <c r="AN1756">
        <v>0.99999999644749105</v>
      </c>
    </row>
    <row r="1757" spans="1:40" x14ac:dyDescent="0.25">
      <c r="A1757" t="str">
        <f>"20190303154801525"</f>
        <v>20190303154801525</v>
      </c>
      <c r="B1757" t="str">
        <f>"1551599281522365"</f>
        <v>1551599281522365</v>
      </c>
      <c r="C1757" t="s">
        <v>40</v>
      </c>
      <c r="D1757">
        <v>5.7657189999999998</v>
      </c>
      <c r="E1757">
        <v>0.52949480000000004</v>
      </c>
      <c r="F1757" t="s">
        <v>41</v>
      </c>
      <c r="G1757">
        <v>-200.5771</v>
      </c>
      <c r="H1757">
        <v>7.9985570000000006E-2</v>
      </c>
      <c r="I1757">
        <v>268.91180000000003</v>
      </c>
      <c r="J1757">
        <v>-191.8152</v>
      </c>
      <c r="K1757">
        <v>1.11643799999999</v>
      </c>
      <c r="L1757">
        <v>297.87290000000002</v>
      </c>
      <c r="M1757">
        <v>-2.709112E-2</v>
      </c>
      <c r="N1757">
        <v>-1.40036E-2</v>
      </c>
      <c r="O1757">
        <v>-0.99953499999999995</v>
      </c>
      <c r="P1757">
        <v>-0.19861480000000001</v>
      </c>
      <c r="Q1757">
        <v>-9.3033580000000005E-2</v>
      </c>
      <c r="R1757">
        <v>-0.97565239999999998</v>
      </c>
      <c r="S1757">
        <v>-0.86964419999999898</v>
      </c>
      <c r="T1757">
        <v>-0.1027532</v>
      </c>
      <c r="U1757">
        <v>-2.8907780000000001</v>
      </c>
      <c r="V1757">
        <v>0.17122780000000001</v>
      </c>
      <c r="W1757">
        <v>-8.117444E-2</v>
      </c>
      <c r="X1757">
        <v>0.98188169999999997</v>
      </c>
      <c r="Y1757">
        <v>0.26188479999999997</v>
      </c>
      <c r="Z1757">
        <v>2.018609E-2</v>
      </c>
      <c r="AA1757">
        <v>0.96488799999999997</v>
      </c>
      <c r="AB1757">
        <v>22</v>
      </c>
      <c r="AC1757">
        <v>-8.76189999999999</v>
      </c>
      <c r="AD1757">
        <v>-1.03645242999999</v>
      </c>
      <c r="AE1757">
        <v>-28.961099999999899</v>
      </c>
      <c r="AF1757">
        <v>7.9646725359103003</v>
      </c>
      <c r="AG1757">
        <v>-1.03645242999999</v>
      </c>
      <c r="AH1757">
        <v>29.153653363343</v>
      </c>
      <c r="AI1757">
        <v>91.964165603349102</v>
      </c>
      <c r="AJ1757">
        <v>74.719867234654899</v>
      </c>
      <c r="AK1757">
        <v>30.239804011830099</v>
      </c>
      <c r="AL1757">
        <v>94.656075949313205</v>
      </c>
      <c r="AM1757">
        <v>80.107814266114502</v>
      </c>
      <c r="AN1757">
        <v>0.99999996099852095</v>
      </c>
    </row>
    <row r="1758" spans="1:40" x14ac:dyDescent="0.25">
      <c r="A1758" t="str">
        <f>"20190303154801547"</f>
        <v>20190303154801547</v>
      </c>
      <c r="B1758" t="str">
        <f>"1551599281541885"</f>
        <v>1551599281541885</v>
      </c>
      <c r="C1758" t="s">
        <v>40</v>
      </c>
      <c r="D1758">
        <v>5.7762440000000002</v>
      </c>
      <c r="E1758">
        <v>0.52869909999999998</v>
      </c>
      <c r="F1758" t="s">
        <v>47</v>
      </c>
      <c r="G1758">
        <v>-197.58619999999999</v>
      </c>
      <c r="H1758" s="1">
        <v>3.5521479999999999E-6</v>
      </c>
      <c r="I1758">
        <v>277.74290000000002</v>
      </c>
      <c r="J1758">
        <v>-191.83009999999999</v>
      </c>
      <c r="K1758">
        <v>1.11626</v>
      </c>
      <c r="L1758">
        <v>297.64920000000001</v>
      </c>
      <c r="M1758">
        <v>-3.472182E-2</v>
      </c>
      <c r="N1758">
        <v>-1.403659E-2</v>
      </c>
      <c r="O1758">
        <v>-0.99929840000000003</v>
      </c>
      <c r="P1758">
        <v>-0.2095648</v>
      </c>
      <c r="Q1758">
        <v>-9.3674190000000004E-2</v>
      </c>
      <c r="R1758">
        <v>-0.97329730000000003</v>
      </c>
      <c r="S1758">
        <v>-0.82876589999999895</v>
      </c>
      <c r="T1758">
        <v>-0.1603311</v>
      </c>
      <c r="U1758">
        <v>-2.8908689999999999</v>
      </c>
      <c r="V1758">
        <v>0.17471819999999999</v>
      </c>
      <c r="W1758">
        <v>-8.1906049999999994E-2</v>
      </c>
      <c r="X1758">
        <v>0.98120589999999996</v>
      </c>
      <c r="Y1758">
        <v>0.2417096</v>
      </c>
      <c r="Z1758">
        <v>3.947958E-2</v>
      </c>
      <c r="AA1758">
        <v>0.9695452</v>
      </c>
      <c r="AB1758">
        <v>22</v>
      </c>
      <c r="AC1758">
        <v>-5.7561</v>
      </c>
      <c r="AD1758">
        <v>-1.1162564478520001</v>
      </c>
      <c r="AE1758">
        <v>-19.906299999999899</v>
      </c>
      <c r="AF1758">
        <v>5.0467326065800604</v>
      </c>
      <c r="AG1758">
        <v>-1.1162564478520001</v>
      </c>
      <c r="AH1758">
        <v>20.036035173345599</v>
      </c>
      <c r="AI1758">
        <v>93.092397621131298</v>
      </c>
      <c r="AJ1758">
        <v>75.862270870903501</v>
      </c>
      <c r="AK1758">
        <v>20.6919850166007</v>
      </c>
      <c r="AL1758">
        <v>94.698133823708702</v>
      </c>
      <c r="AM1758">
        <v>79.903463294877994</v>
      </c>
      <c r="AN1758">
        <v>1.00000003431632</v>
      </c>
    </row>
    <row r="1759" spans="1:40" x14ac:dyDescent="0.25">
      <c r="A1759" t="str">
        <f>"20190303154801570"</f>
        <v>20190303154801570</v>
      </c>
      <c r="B1759" t="str">
        <f>"1551599281562381"</f>
        <v>1551599281562381</v>
      </c>
      <c r="C1759" t="s">
        <v>40</v>
      </c>
      <c r="D1759">
        <v>5.7623160000000002</v>
      </c>
      <c r="E1759">
        <v>0.52826090000000003</v>
      </c>
      <c r="F1759" t="s">
        <v>47</v>
      </c>
      <c r="G1759">
        <v>-197.41309999999999</v>
      </c>
      <c r="H1759" s="1">
        <v>3.2930200000000002E-6</v>
      </c>
      <c r="I1759">
        <v>278.8374</v>
      </c>
      <c r="J1759">
        <v>-191.84700000000001</v>
      </c>
      <c r="K1759">
        <v>1.1160890000000001</v>
      </c>
      <c r="L1759">
        <v>297.42540000000002</v>
      </c>
      <c r="M1759">
        <v>-4.2693109999999999E-2</v>
      </c>
      <c r="N1759">
        <v>-1.4069979999999999E-2</v>
      </c>
      <c r="O1759">
        <v>-0.99898929999999997</v>
      </c>
      <c r="P1759">
        <v>-0.22081490000000001</v>
      </c>
      <c r="Q1759">
        <v>-9.3474219999999997E-2</v>
      </c>
      <c r="R1759">
        <v>-0.97082619999999997</v>
      </c>
      <c r="S1759">
        <v>-0.85523989999999905</v>
      </c>
      <c r="T1759">
        <v>-0.170995799999999</v>
      </c>
      <c r="U1759">
        <v>-2.8817140000000001</v>
      </c>
      <c r="V1759">
        <v>0.17820859999999999</v>
      </c>
      <c r="W1759">
        <v>-8.1794690000000003E-2</v>
      </c>
      <c r="X1759">
        <v>0.98058719999999999</v>
      </c>
      <c r="Y1759">
        <v>0.24294170000000001</v>
      </c>
      <c r="Z1759">
        <v>4.3076009999999998E-2</v>
      </c>
      <c r="AA1759">
        <v>0.96908399999999995</v>
      </c>
      <c r="AB1759">
        <v>22</v>
      </c>
      <c r="AC1759">
        <v>-5.5660999999999703</v>
      </c>
      <c r="AD1759">
        <v>-1.1160857069800001</v>
      </c>
      <c r="AE1759">
        <v>-18.588000000000001</v>
      </c>
      <c r="AF1759">
        <v>4.7516450558955601</v>
      </c>
      <c r="AG1759">
        <v>-1.1160857069800001</v>
      </c>
      <c r="AH1759">
        <v>18.746682302361901</v>
      </c>
      <c r="AI1759">
        <v>93.302885483574997</v>
      </c>
      <c r="AJ1759">
        <v>75.777008289516701</v>
      </c>
      <c r="AK1759">
        <v>19.3716771444352</v>
      </c>
      <c r="AL1759">
        <v>94.691732203389506</v>
      </c>
      <c r="AM1759">
        <v>79.6996773924796</v>
      </c>
      <c r="AN1759">
        <v>0.99999996661499702</v>
      </c>
    </row>
    <row r="1760" spans="1:40" x14ac:dyDescent="0.25">
      <c r="A1760" t="str">
        <f>"20190303154801592"</f>
        <v>20190303154801592</v>
      </c>
      <c r="B1760" t="str">
        <f>"1551599281582877"</f>
        <v>1551599281582877</v>
      </c>
      <c r="C1760" t="s">
        <v>40</v>
      </c>
      <c r="D1760">
        <v>5.7943119999999997</v>
      </c>
      <c r="E1760">
        <v>0.52184269999999999</v>
      </c>
      <c r="F1760" t="s">
        <v>47</v>
      </c>
      <c r="G1760">
        <v>-197.52199999999999</v>
      </c>
      <c r="H1760" s="1">
        <v>3.2278240000000001E-6</v>
      </c>
      <c r="I1760">
        <v>279.01069999999999</v>
      </c>
      <c r="J1760">
        <v>-191.86529999999999</v>
      </c>
      <c r="K1760">
        <v>1.115936</v>
      </c>
      <c r="L1760">
        <v>297.21069999999997</v>
      </c>
      <c r="M1760">
        <v>-5.0655680000000002E-2</v>
      </c>
      <c r="N1760">
        <v>-1.410462E-2</v>
      </c>
      <c r="O1760">
        <v>-0.99861659999999997</v>
      </c>
      <c r="P1760">
        <v>-0.23179449999999999</v>
      </c>
      <c r="Q1760">
        <v>-9.2590420000000007E-2</v>
      </c>
      <c r="R1760">
        <v>-0.96834830000000005</v>
      </c>
      <c r="S1760">
        <v>-0.88508609999999899</v>
      </c>
      <c r="T1760">
        <v>-0.17406940000000001</v>
      </c>
      <c r="U1760">
        <v>-2.8720400000000001</v>
      </c>
      <c r="V1760">
        <v>0.18146519999999999</v>
      </c>
      <c r="W1760">
        <v>-8.0994399999999994E-2</v>
      </c>
      <c r="X1760">
        <v>0.98005629999999999</v>
      </c>
      <c r="Y1760">
        <v>0.24530560000000001</v>
      </c>
      <c r="Z1760">
        <v>4.4135109999999998E-2</v>
      </c>
      <c r="AA1760">
        <v>0.96844070000000004</v>
      </c>
      <c r="AB1760">
        <v>22</v>
      </c>
      <c r="AC1760">
        <v>-5.6567000000000203</v>
      </c>
      <c r="AD1760">
        <v>-1.115932772176</v>
      </c>
      <c r="AE1760">
        <v>-18.1999999999999</v>
      </c>
      <c r="AF1760">
        <v>4.7112594604862004</v>
      </c>
      <c r="AG1760">
        <v>-1.115932772176</v>
      </c>
      <c r="AH1760">
        <v>18.400120298492801</v>
      </c>
      <c r="AI1760">
        <v>93.362422415083898</v>
      </c>
      <c r="AJ1760">
        <v>75.638241826508207</v>
      </c>
      <c r="AK1760">
        <v>19.026447347180898</v>
      </c>
      <c r="AL1760">
        <v>94.645726010122999</v>
      </c>
      <c r="AM1760">
        <v>79.510032586810595</v>
      </c>
      <c r="AN1760">
        <v>1.00000003140604</v>
      </c>
    </row>
    <row r="1761" spans="1:40" x14ac:dyDescent="0.25">
      <c r="A1761" t="str">
        <f>"20190303154801615"</f>
        <v>20190303154801615</v>
      </c>
      <c r="B1761" t="str">
        <f>"1551599281612664"</f>
        <v>1551599281612664</v>
      </c>
      <c r="C1761" t="s">
        <v>40</v>
      </c>
      <c r="D1761">
        <v>6.0341550000000002</v>
      </c>
      <c r="E1761">
        <v>0.60290600000000005</v>
      </c>
      <c r="F1761" t="s">
        <v>47</v>
      </c>
      <c r="G1761">
        <v>-196.83439999999999</v>
      </c>
      <c r="H1761" s="1">
        <v>3.0897190000000001E-6</v>
      </c>
      <c r="I1761">
        <v>280.75659999999999</v>
      </c>
      <c r="J1761">
        <v>-191.88720000000001</v>
      </c>
      <c r="K1761">
        <v>1.1157629999999901</v>
      </c>
      <c r="L1761">
        <v>296.97910000000002</v>
      </c>
      <c r="M1761">
        <v>-5.957697E-2</v>
      </c>
      <c r="N1761">
        <v>-1.414529E-2</v>
      </c>
      <c r="O1761">
        <v>-0.99812339999999999</v>
      </c>
      <c r="P1761">
        <v>-0.24447379999999999</v>
      </c>
      <c r="Q1761">
        <v>-9.2030929999999997E-2</v>
      </c>
      <c r="R1761">
        <v>-0.96527859999999999</v>
      </c>
      <c r="S1761">
        <v>-0.86729429999999996</v>
      </c>
      <c r="T1761">
        <v>-0.19476959999999999</v>
      </c>
      <c r="U1761">
        <v>-2.871826</v>
      </c>
      <c r="V1761">
        <v>0.18552189999999999</v>
      </c>
      <c r="W1761">
        <v>-8.0537929999999994E-2</v>
      </c>
      <c r="X1761">
        <v>0.97933409999999999</v>
      </c>
      <c r="Y1761">
        <v>0.2310487</v>
      </c>
      <c r="Z1761">
        <v>5.1128029999999998E-2</v>
      </c>
      <c r="AA1761">
        <v>0.97159790000000001</v>
      </c>
      <c r="AB1761">
        <v>22</v>
      </c>
      <c r="AC1761">
        <v>-4.9471999999999801</v>
      </c>
      <c r="AD1761">
        <v>-1.1157599102810001</v>
      </c>
      <c r="AE1761">
        <v>-16.2225</v>
      </c>
      <c r="AF1761">
        <v>3.9547104860532998</v>
      </c>
      <c r="AG1761">
        <v>-1.1157599102810001</v>
      </c>
      <c r="AH1761">
        <v>16.417392908725599</v>
      </c>
      <c r="AI1761">
        <v>93.7801608952213</v>
      </c>
      <c r="AJ1761">
        <v>76.456308817362498</v>
      </c>
      <c r="AK1761">
        <v>16.923812960599701</v>
      </c>
      <c r="AL1761">
        <v>94.619486599097499</v>
      </c>
      <c r="AM1761">
        <v>79.273181804824901</v>
      </c>
      <c r="AN1761">
        <v>1.0000000064855501</v>
      </c>
    </row>
    <row r="1762" spans="1:40" x14ac:dyDescent="0.25">
      <c r="A1762" t="str">
        <f>"20190303154801638"</f>
        <v>20190303154801638</v>
      </c>
      <c r="B1762" t="str">
        <f>"1551599281632185"</f>
        <v>1551599281632185</v>
      </c>
      <c r="C1762" t="s">
        <v>40</v>
      </c>
      <c r="D1762">
        <v>5.9341790000000003</v>
      </c>
      <c r="E1762">
        <v>0.62546809999999997</v>
      </c>
      <c r="F1762" t="s">
        <v>47</v>
      </c>
      <c r="G1762">
        <v>-203.10249999999999</v>
      </c>
      <c r="H1762">
        <v>8.0001420000000004E-2</v>
      </c>
      <c r="I1762">
        <v>277.18520000000001</v>
      </c>
      <c r="J1762">
        <v>-191.9101</v>
      </c>
      <c r="K1762">
        <v>1.1155949999999999</v>
      </c>
      <c r="L1762">
        <v>296.762</v>
      </c>
      <c r="M1762">
        <v>-6.8262710000000004E-2</v>
      </c>
      <c r="N1762">
        <v>-1.418546E-2</v>
      </c>
      <c r="O1762">
        <v>-0.99756670000000003</v>
      </c>
      <c r="P1762">
        <v>-0.25783869999999998</v>
      </c>
      <c r="Q1762">
        <v>-9.1289969999999998E-2</v>
      </c>
      <c r="R1762">
        <v>-0.961866</v>
      </c>
      <c r="S1762">
        <v>-1.533264</v>
      </c>
      <c r="T1762">
        <v>-0.1416017</v>
      </c>
      <c r="U1762">
        <v>-2.7060849999999999</v>
      </c>
      <c r="V1762">
        <v>0.19054160000000001</v>
      </c>
      <c r="W1762">
        <v>-7.9918470000000005E-2</v>
      </c>
      <c r="X1762">
        <v>0.97842059999999997</v>
      </c>
      <c r="Y1762">
        <v>0.4319964</v>
      </c>
      <c r="Z1762">
        <v>3.2158359999999997E-2</v>
      </c>
      <c r="AA1762">
        <v>0.90130180000000004</v>
      </c>
      <c r="AB1762">
        <v>22</v>
      </c>
      <c r="AC1762">
        <v>-11.1923999999999</v>
      </c>
      <c r="AD1762">
        <v>-1.03559358</v>
      </c>
      <c r="AE1762">
        <v>-19.576799999999899</v>
      </c>
      <c r="AF1762">
        <v>9.8091003991191297</v>
      </c>
      <c r="AG1762">
        <v>-1.03559358</v>
      </c>
      <c r="AH1762">
        <v>20.2525140048451</v>
      </c>
      <c r="AI1762">
        <v>92.634912559607898</v>
      </c>
      <c r="AJ1762">
        <v>64.157241854893897</v>
      </c>
      <c r="AK1762">
        <v>22.526766927799098</v>
      </c>
      <c r="AL1762">
        <v>94.583879558204103</v>
      </c>
      <c r="AM1762">
        <v>78.979918776386498</v>
      </c>
      <c r="AN1762">
        <v>0.99999996684102899</v>
      </c>
    </row>
    <row r="1763" spans="1:40" x14ac:dyDescent="0.25">
      <c r="A1763" t="str">
        <f>"20190303154801660"</f>
        <v>20190303154801660</v>
      </c>
      <c r="B1763" t="str">
        <f>"1551599281652680"</f>
        <v>1551599281652680</v>
      </c>
      <c r="C1763" t="s">
        <v>40</v>
      </c>
      <c r="D1763">
        <v>5.9703759999999999</v>
      </c>
      <c r="E1763">
        <v>0.64050569999999996</v>
      </c>
      <c r="F1763" t="s">
        <v>47</v>
      </c>
      <c r="G1763">
        <v>-202.6337</v>
      </c>
      <c r="H1763" s="1">
        <v>3.7399750000000001E-6</v>
      </c>
      <c r="I1763">
        <v>280.55529999999999</v>
      </c>
      <c r="J1763">
        <v>-191.9358</v>
      </c>
      <c r="K1763">
        <v>1.1154120000000001</v>
      </c>
      <c r="L1763">
        <v>296.54059999999998</v>
      </c>
      <c r="M1763">
        <v>-7.7442440000000001E-2</v>
      </c>
      <c r="N1763">
        <v>-1.422821E-2</v>
      </c>
      <c r="O1763">
        <v>-0.99689539999999999</v>
      </c>
      <c r="P1763">
        <v>-0.27191219999999999</v>
      </c>
      <c r="Q1763">
        <v>-9.0413489999999999E-2</v>
      </c>
      <c r="R1763">
        <v>-0.95806550000000001</v>
      </c>
      <c r="S1763">
        <v>-1.743179</v>
      </c>
      <c r="T1763">
        <v>-0.18134500000000001</v>
      </c>
      <c r="U1763">
        <v>-2.6344910000000001</v>
      </c>
      <c r="V1763">
        <v>0.19583819999999999</v>
      </c>
      <c r="W1763">
        <v>-7.9174709999999995E-2</v>
      </c>
      <c r="X1763">
        <v>0.97743480000000005</v>
      </c>
      <c r="Y1763">
        <v>0.48480200000000001</v>
      </c>
      <c r="Z1763">
        <v>4.4407679999999998E-2</v>
      </c>
      <c r="AA1763">
        <v>0.87349589999999999</v>
      </c>
      <c r="AB1763">
        <v>22</v>
      </c>
      <c r="AC1763">
        <v>-10.697900000000001</v>
      </c>
      <c r="AD1763">
        <v>-1.1154082600249999</v>
      </c>
      <c r="AE1763">
        <v>-15.985299999999899</v>
      </c>
      <c r="AF1763">
        <v>9.3961031824380399</v>
      </c>
      <c r="AG1763">
        <v>-1.1154082600249999</v>
      </c>
      <c r="AH1763">
        <v>16.709648393928902</v>
      </c>
      <c r="AI1763">
        <v>93.329959681182004</v>
      </c>
      <c r="AJ1763">
        <v>60.650254177913297</v>
      </c>
      <c r="AK1763">
        <v>19.202688354766501</v>
      </c>
      <c r="AL1763">
        <v>94.541129574689904</v>
      </c>
      <c r="AM1763">
        <v>78.670271617566002</v>
      </c>
      <c r="AN1763">
        <v>1.0000000117669301</v>
      </c>
    </row>
    <row r="1764" spans="1:40" x14ac:dyDescent="0.25">
      <c r="A1764" t="str">
        <f>"20190303154801683"</f>
        <v>20190303154801683</v>
      </c>
      <c r="B1764" t="str">
        <f>"1551599281672200"</f>
        <v>1551599281672200</v>
      </c>
      <c r="C1764" t="s">
        <v>40</v>
      </c>
      <c r="D1764">
        <v>5.9895880000000004</v>
      </c>
      <c r="E1764">
        <v>0.64717860000000005</v>
      </c>
      <c r="F1764" t="s">
        <v>47</v>
      </c>
      <c r="G1764">
        <v>-202.1557</v>
      </c>
      <c r="H1764" s="1">
        <v>3.3431050000000002E-6</v>
      </c>
      <c r="I1764">
        <v>282.67020000000002</v>
      </c>
      <c r="J1764">
        <v>-191.9639</v>
      </c>
      <c r="K1764">
        <v>1.115237</v>
      </c>
      <c r="L1764">
        <v>296.32080000000002</v>
      </c>
      <c r="M1764">
        <v>-8.6918410000000002E-2</v>
      </c>
      <c r="N1764">
        <v>-1.427281E-2</v>
      </c>
      <c r="O1764">
        <v>-0.99611320000000003</v>
      </c>
      <c r="P1764">
        <v>-0.28539179999999997</v>
      </c>
      <c r="Q1764">
        <v>-8.8624399999999895E-2</v>
      </c>
      <c r="R1764">
        <v>-0.9543045</v>
      </c>
      <c r="S1764">
        <v>-1.896255</v>
      </c>
      <c r="T1764">
        <v>-0.20695759999999999</v>
      </c>
      <c r="U1764">
        <v>-2.5735779999999999</v>
      </c>
      <c r="V1764">
        <v>0.20029060000000001</v>
      </c>
      <c r="W1764">
        <v>-7.7504890000000007E-2</v>
      </c>
      <c r="X1764">
        <v>0.97666609999999998</v>
      </c>
      <c r="Y1764">
        <v>0.51989799999999997</v>
      </c>
      <c r="Z1764">
        <v>5.2092489999999998E-2</v>
      </c>
      <c r="AA1764">
        <v>0.85263849999999997</v>
      </c>
      <c r="AB1764">
        <v>22</v>
      </c>
      <c r="AC1764">
        <v>-10.191800000000001</v>
      </c>
      <c r="AD1764">
        <v>-1.1152336568950001</v>
      </c>
      <c r="AE1764">
        <v>-13.650599999999899</v>
      </c>
      <c r="AF1764">
        <v>8.9283474958179596</v>
      </c>
      <c r="AG1764">
        <v>-1.1152336568950001</v>
      </c>
      <c r="AH1764">
        <v>14.423060919064399</v>
      </c>
      <c r="AI1764">
        <v>93.761523260878405</v>
      </c>
      <c r="AJ1764">
        <v>58.241134585685202</v>
      </c>
      <c r="AK1764">
        <v>16.999524151887101</v>
      </c>
      <c r="AL1764">
        <v>94.445161032132106</v>
      </c>
      <c r="AM1764">
        <v>78.410704946618594</v>
      </c>
      <c r="AN1764">
        <v>1.00000000165574</v>
      </c>
    </row>
    <row r="1765" spans="1:40" x14ac:dyDescent="0.25">
      <c r="A1765" t="str">
        <f>"20190303154801704"</f>
        <v>20190303154801704</v>
      </c>
      <c r="B1765" t="str">
        <f>"1551599281701987"</f>
        <v>1551599281701987</v>
      </c>
      <c r="C1765" t="s">
        <v>40</v>
      </c>
      <c r="D1765">
        <v>5.9434500000000003</v>
      </c>
      <c r="E1765">
        <v>0.65317789999999998</v>
      </c>
      <c r="F1765" t="s">
        <v>47</v>
      </c>
      <c r="G1765">
        <v>-201.91909999999999</v>
      </c>
      <c r="H1765" s="1">
        <v>3.1554490000000002E-6</v>
      </c>
      <c r="I1765">
        <v>283.6164</v>
      </c>
      <c r="J1765">
        <v>-191.994</v>
      </c>
      <c r="K1765">
        <v>1.115084</v>
      </c>
      <c r="L1765">
        <v>296.1044</v>
      </c>
      <c r="M1765">
        <v>-9.6563919999999998E-2</v>
      </c>
      <c r="N1765">
        <v>-1.431816E-2</v>
      </c>
      <c r="O1765">
        <v>-0.99522379999999999</v>
      </c>
      <c r="P1765">
        <v>-0.29746089999999997</v>
      </c>
      <c r="Q1765">
        <v>-8.6166519999999996E-2</v>
      </c>
      <c r="R1765">
        <v>-0.95083770000000001</v>
      </c>
      <c r="S1765">
        <v>-1.9825900000000001</v>
      </c>
      <c r="T1765">
        <v>-0.2220992</v>
      </c>
      <c r="U1765">
        <v>-2.53009</v>
      </c>
      <c r="V1765">
        <v>0.2031819</v>
      </c>
      <c r="W1765">
        <v>-7.5134220000000002E-2</v>
      </c>
      <c r="X1765">
        <v>0.97625399999999996</v>
      </c>
      <c r="Y1765">
        <v>0.53662799999999999</v>
      </c>
      <c r="Z1765">
        <v>5.6731799999999999E-2</v>
      </c>
      <c r="AA1765">
        <v>0.84190959999999904</v>
      </c>
      <c r="AB1765">
        <v>22</v>
      </c>
      <c r="AC1765">
        <v>-9.9250999999999507</v>
      </c>
      <c r="AD1765">
        <v>-1.1150808445510001</v>
      </c>
      <c r="AE1765">
        <v>-12.488</v>
      </c>
      <c r="AF1765">
        <v>8.6305215314999302</v>
      </c>
      <c r="AG1765">
        <v>-1.1150808445510001</v>
      </c>
      <c r="AH1765">
        <v>13.3230308544821</v>
      </c>
      <c r="AI1765">
        <v>94.018142653513294</v>
      </c>
      <c r="AJ1765">
        <v>57.065251251115001</v>
      </c>
      <c r="AK1765">
        <v>15.913279308333999</v>
      </c>
      <c r="AL1765">
        <v>94.308934502276401</v>
      </c>
      <c r="AM1765">
        <v>78.243205846431906</v>
      </c>
      <c r="AN1765">
        <v>0.99999995400930797</v>
      </c>
    </row>
    <row r="1766" spans="1:40" x14ac:dyDescent="0.25">
      <c r="A1766" t="str">
        <f>"20190303154801727"</f>
        <v>20190303154801727</v>
      </c>
      <c r="B1766" t="str">
        <f>"1551599281722483"</f>
        <v>1551599281722483</v>
      </c>
      <c r="C1766" t="s">
        <v>40</v>
      </c>
      <c r="D1766">
        <v>5.9162739999999996</v>
      </c>
      <c r="E1766">
        <v>0.65547819999999901</v>
      </c>
      <c r="F1766" t="s">
        <v>47</v>
      </c>
      <c r="G1766">
        <v>-202.1978</v>
      </c>
      <c r="H1766" s="1">
        <v>3.265833E-6</v>
      </c>
      <c r="I1766">
        <v>283.76760000000002</v>
      </c>
      <c r="J1766">
        <v>-192.0257</v>
      </c>
      <c r="K1766">
        <v>1.1149519999999999</v>
      </c>
      <c r="L1766">
        <v>295.89339999999999</v>
      </c>
      <c r="M1766">
        <v>-0.1062261</v>
      </c>
      <c r="N1766">
        <v>-1.436073E-2</v>
      </c>
      <c r="O1766">
        <v>-0.99423830000000002</v>
      </c>
      <c r="P1766">
        <v>-0.30842550000000002</v>
      </c>
      <c r="Q1766">
        <v>-8.5212540000000003E-2</v>
      </c>
      <c r="R1766">
        <v>-0.9474245</v>
      </c>
      <c r="S1766">
        <v>-2.0598139999999998</v>
      </c>
      <c r="T1766">
        <v>-0.2250972</v>
      </c>
      <c r="U1766">
        <v>-2.4903870000000001</v>
      </c>
      <c r="V1766">
        <v>0.2049549</v>
      </c>
      <c r="W1766">
        <v>-7.4237849999999994E-2</v>
      </c>
      <c r="X1766">
        <v>0.97595200000000004</v>
      </c>
      <c r="Y1766">
        <v>0.55054259999999999</v>
      </c>
      <c r="Z1766">
        <v>5.7516079999999997E-2</v>
      </c>
      <c r="AA1766">
        <v>0.83282339999999999</v>
      </c>
      <c r="AB1766">
        <v>22</v>
      </c>
      <c r="AC1766">
        <v>-10.1721</v>
      </c>
      <c r="AD1766">
        <v>-1.1149487341669999</v>
      </c>
      <c r="AE1766">
        <v>-12.1257999999999</v>
      </c>
      <c r="AF1766">
        <v>8.7827417354904593</v>
      </c>
      <c r="AG1766">
        <v>-1.1149487341669999</v>
      </c>
      <c r="AH1766">
        <v>13.072958922548899</v>
      </c>
      <c r="AI1766">
        <v>94.049428717069205</v>
      </c>
      <c r="AJ1766">
        <v>56.105803927364498</v>
      </c>
      <c r="AK1766">
        <v>15.788664226678501</v>
      </c>
      <c r="AL1766">
        <v>94.257432082417793</v>
      </c>
      <c r="AM1766">
        <v>78.139940864259103</v>
      </c>
      <c r="AN1766">
        <v>1.00000003785531</v>
      </c>
    </row>
    <row r="1767" spans="1:40" x14ac:dyDescent="0.25">
      <c r="A1767" t="str">
        <f>"20190303154801750"</f>
        <v>20190303154801750</v>
      </c>
      <c r="B1767" t="str">
        <f>"1551599281742004"</f>
        <v>1551599281742004</v>
      </c>
      <c r="C1767" t="s">
        <v>40</v>
      </c>
      <c r="D1767">
        <v>5.9419320000000004</v>
      </c>
      <c r="E1767">
        <v>0.65705939999999996</v>
      </c>
      <c r="F1767" t="s">
        <v>47</v>
      </c>
      <c r="G1767">
        <v>-202.57910000000001</v>
      </c>
      <c r="H1767" s="1">
        <v>3.4531020000000001E-6</v>
      </c>
      <c r="I1767">
        <v>283.55939999999998</v>
      </c>
      <c r="J1767">
        <v>-192.0625</v>
      </c>
      <c r="K1767">
        <v>1.1148209999999901</v>
      </c>
      <c r="L1767">
        <v>295.66669999999999</v>
      </c>
      <c r="M1767">
        <v>-0.11687359999999999</v>
      </c>
      <c r="N1767">
        <v>-1.4402989999999999E-2</v>
      </c>
      <c r="O1767">
        <v>-0.99304230000000004</v>
      </c>
      <c r="P1767">
        <v>-0.3207393</v>
      </c>
      <c r="Q1767">
        <v>-8.7017999999999998E-2</v>
      </c>
      <c r="R1767">
        <v>-0.94316169999999999</v>
      </c>
      <c r="S1767">
        <v>-2.1057130000000002</v>
      </c>
      <c r="T1767">
        <v>-0.2224661</v>
      </c>
      <c r="U1767">
        <v>-2.4609990000000002</v>
      </c>
      <c r="V1767">
        <v>0.207176</v>
      </c>
      <c r="W1767">
        <v>-7.6106209999999994E-2</v>
      </c>
      <c r="X1767">
        <v>0.97533890000000001</v>
      </c>
      <c r="Y1767">
        <v>0.55553629999999998</v>
      </c>
      <c r="Z1767">
        <v>5.6724490000000002E-2</v>
      </c>
      <c r="AA1767">
        <v>0.82955519999999905</v>
      </c>
      <c r="AB1767">
        <v>22</v>
      </c>
      <c r="AC1767">
        <v>-10.5166</v>
      </c>
      <c r="AD1767">
        <v>-1.1148175468979999</v>
      </c>
      <c r="AE1767">
        <v>-12.1073</v>
      </c>
      <c r="AF1767">
        <v>8.9859186308333303</v>
      </c>
      <c r="AG1767">
        <v>-1.1148175468979999</v>
      </c>
      <c r="AH1767">
        <v>13.189811249482601</v>
      </c>
      <c r="AI1767">
        <v>93.9956909255243</v>
      </c>
      <c r="AJ1767">
        <v>55.734284972467997</v>
      </c>
      <c r="AK1767">
        <v>15.9987709715405</v>
      </c>
      <c r="AL1767">
        <v>94.3647851050616</v>
      </c>
      <c r="AM1767">
        <v>78.007794922570994</v>
      </c>
      <c r="AN1767">
        <v>1.00000001001488</v>
      </c>
    </row>
    <row r="1768" spans="1:40" x14ac:dyDescent="0.25">
      <c r="A1768" t="str">
        <f>"20190303154801772"</f>
        <v>20190303154801772</v>
      </c>
      <c r="B1768" t="str">
        <f>"1551599281762499"</f>
        <v>1551599281762499</v>
      </c>
      <c r="C1768" t="s">
        <v>40</v>
      </c>
      <c r="D1768">
        <v>5.7623410000000002</v>
      </c>
      <c r="E1768">
        <v>0.66093239999999998</v>
      </c>
      <c r="F1768" t="s">
        <v>47</v>
      </c>
      <c r="G1768">
        <v>-202.49930000000001</v>
      </c>
      <c r="H1768" s="1">
        <v>3.3902519999999999E-6</v>
      </c>
      <c r="I1768">
        <v>283.87360000000001</v>
      </c>
      <c r="J1768">
        <v>-192.09870000000001</v>
      </c>
      <c r="K1768">
        <v>1.1147</v>
      </c>
      <c r="L1768">
        <v>295.45839999999998</v>
      </c>
      <c r="M1768">
        <v>-0.12691259999999999</v>
      </c>
      <c r="N1768">
        <v>-1.44406E-2</v>
      </c>
      <c r="O1768">
        <v>-0.99180880000000005</v>
      </c>
      <c r="P1768">
        <v>-0.33279910000000001</v>
      </c>
      <c r="Q1768">
        <v>-8.9926649999999997E-2</v>
      </c>
      <c r="R1768">
        <v>-0.93870010000000004</v>
      </c>
      <c r="S1768">
        <v>-2.1493530000000001</v>
      </c>
      <c r="T1768">
        <v>-0.22958529999999999</v>
      </c>
      <c r="U1768">
        <v>-2.4286799999999999</v>
      </c>
      <c r="V1768">
        <v>0.20977589999999999</v>
      </c>
      <c r="W1768">
        <v>-7.908279E-2</v>
      </c>
      <c r="X1768">
        <v>0.97454600000000002</v>
      </c>
      <c r="Y1768">
        <v>0.56087779999999998</v>
      </c>
      <c r="Z1768">
        <v>5.9068549999999997E-2</v>
      </c>
      <c r="AA1768">
        <v>0.82578869999999904</v>
      </c>
      <c r="AB1768">
        <v>21</v>
      </c>
      <c r="AC1768">
        <v>-10.400599999999899</v>
      </c>
      <c r="AD1768">
        <v>-1.114696609748</v>
      </c>
      <c r="AE1768">
        <v>-11.5847999999999</v>
      </c>
      <c r="AF1768">
        <v>8.8009541282841397</v>
      </c>
      <c r="AG1768">
        <v>-1.114696609748</v>
      </c>
      <c r="AH1768">
        <v>12.74586837206</v>
      </c>
      <c r="AI1768">
        <v>94.116266438280206</v>
      </c>
      <c r="AJ1768">
        <v>55.375128094341598</v>
      </c>
      <c r="AK1768">
        <v>15.529214489401101</v>
      </c>
      <c r="AL1768">
        <v>94.535846611466496</v>
      </c>
      <c r="AM1768">
        <v>77.852155621699495</v>
      </c>
      <c r="AN1768">
        <v>0.99999996100549604</v>
      </c>
    </row>
    <row r="1769" spans="1:40" x14ac:dyDescent="0.25">
      <c r="A1769" t="str">
        <f>"20190303154801792"</f>
        <v>20190303154801792</v>
      </c>
      <c r="B1769" t="str">
        <f>"1551599281782022"</f>
        <v>1551599281782022</v>
      </c>
      <c r="C1769" t="s">
        <v>40</v>
      </c>
      <c r="D1769">
        <v>5.7439039999999997</v>
      </c>
      <c r="E1769">
        <v>0.66364339999999999</v>
      </c>
      <c r="F1769" t="s">
        <v>47</v>
      </c>
      <c r="G1769">
        <v>-203.68430000000001</v>
      </c>
      <c r="H1769" s="1">
        <v>3.9989720000000002E-6</v>
      </c>
      <c r="I1769">
        <v>282.92180000000002</v>
      </c>
      <c r="J1769">
        <v>-192.13579999999999</v>
      </c>
      <c r="K1769">
        <v>1.114595</v>
      </c>
      <c r="L1769">
        <v>295.25830000000002</v>
      </c>
      <c r="M1769">
        <v>-0.13678789999999999</v>
      </c>
      <c r="N1769">
        <v>-1.447882E-2</v>
      </c>
      <c r="O1769">
        <v>-0.99049469999999995</v>
      </c>
      <c r="P1769">
        <v>-0.34454370000000001</v>
      </c>
      <c r="Q1769">
        <v>-9.0322330000000006E-2</v>
      </c>
      <c r="R1769">
        <v>-0.9344152</v>
      </c>
      <c r="S1769">
        <v>-2.2104490000000001</v>
      </c>
      <c r="T1769">
        <v>-0.21267659999999999</v>
      </c>
      <c r="U1769">
        <v>-2.3919069999999998</v>
      </c>
      <c r="V1769">
        <v>0.21226159999999999</v>
      </c>
      <c r="W1769">
        <v>-7.9542999999999905E-2</v>
      </c>
      <c r="X1769">
        <v>0.97397020000000001</v>
      </c>
      <c r="Y1769">
        <v>0.57060119999999903</v>
      </c>
      <c r="Z1769">
        <v>5.3651690000000002E-2</v>
      </c>
      <c r="AA1769">
        <v>0.81947289999999995</v>
      </c>
      <c r="AB1769">
        <v>21</v>
      </c>
      <c r="AC1769">
        <v>-11.548500000000001</v>
      </c>
      <c r="AD1769">
        <v>-1.114591001028</v>
      </c>
      <c r="AE1769">
        <v>-12.336499999999999</v>
      </c>
      <c r="AF1769">
        <v>9.7100214919149401</v>
      </c>
      <c r="AG1769">
        <v>-1.114591001028</v>
      </c>
      <c r="AH1769">
        <v>13.740599018772</v>
      </c>
      <c r="AI1769">
        <v>93.790032254006604</v>
      </c>
      <c r="AJ1769">
        <v>54.752429988347203</v>
      </c>
      <c r="AK1769">
        <v>16.862114098407201</v>
      </c>
      <c r="AL1769">
        <v>94.562297793367307</v>
      </c>
      <c r="AM1769">
        <v>77.705517362587301</v>
      </c>
      <c r="AN1769">
        <v>1.0000000130858</v>
      </c>
    </row>
    <row r="1770" spans="1:40" x14ac:dyDescent="0.25">
      <c r="A1770" t="str">
        <f>"20190303154801817"</f>
        <v>20190303154801817</v>
      </c>
      <c r="B1770" t="str">
        <f>"1551599281812276"</f>
        <v>1551599281812276</v>
      </c>
      <c r="C1770" t="s">
        <v>40</v>
      </c>
      <c r="D1770">
        <v>5.9999440000000002</v>
      </c>
      <c r="E1770">
        <v>0.66554709999999995</v>
      </c>
      <c r="F1770" t="s">
        <v>47</v>
      </c>
      <c r="G1770">
        <v>-204.93</v>
      </c>
      <c r="H1770" s="1">
        <v>4.6391430000000003E-6</v>
      </c>
      <c r="I1770">
        <v>281.91800000000001</v>
      </c>
      <c r="J1770">
        <v>-192.18100000000001</v>
      </c>
      <c r="K1770">
        <v>1.1144639999999999</v>
      </c>
      <c r="L1770">
        <v>295.02980000000002</v>
      </c>
      <c r="M1770">
        <v>-0.14835390000000001</v>
      </c>
      <c r="N1770">
        <v>-1.4526590000000001E-2</v>
      </c>
      <c r="O1770">
        <v>-0.98882789999999998</v>
      </c>
      <c r="P1770">
        <v>-0.35721700000000001</v>
      </c>
      <c r="Q1770">
        <v>-8.8412229999999994E-2</v>
      </c>
      <c r="R1770">
        <v>-0.92982799999999999</v>
      </c>
      <c r="S1770">
        <v>-2.2612299999999999</v>
      </c>
      <c r="T1770">
        <v>-0.19699140000000001</v>
      </c>
      <c r="U1770">
        <v>-2.357758</v>
      </c>
      <c r="V1770">
        <v>0.21409600000000001</v>
      </c>
      <c r="W1770">
        <v>-7.7691990000000002E-2</v>
      </c>
      <c r="X1770">
        <v>0.97371799999999997</v>
      </c>
      <c r="Y1770">
        <v>0.57635749999999997</v>
      </c>
      <c r="Z1770">
        <v>4.870203E-2</v>
      </c>
      <c r="AA1770">
        <v>0.8157451</v>
      </c>
      <c r="AB1770">
        <v>21</v>
      </c>
      <c r="AC1770">
        <v>-12.749000000000001</v>
      </c>
      <c r="AD1770">
        <v>-1.1144593608569999</v>
      </c>
      <c r="AE1770">
        <v>-13.111800000000001</v>
      </c>
      <c r="AF1770">
        <v>10.6230533197983</v>
      </c>
      <c r="AG1770">
        <v>-1.1144593608569999</v>
      </c>
      <c r="AH1770">
        <v>14.8032688206311</v>
      </c>
      <c r="AI1770">
        <v>93.500146717290207</v>
      </c>
      <c r="AJ1770">
        <v>54.336196682447401</v>
      </c>
      <c r="AK1770">
        <v>18.2545350331952</v>
      </c>
      <c r="AL1770">
        <v>94.455913756211402</v>
      </c>
      <c r="AM1770">
        <v>77.599426753118806</v>
      </c>
      <c r="AN1770">
        <v>0.999999943025078</v>
      </c>
    </row>
    <row r="1771" spans="1:40" x14ac:dyDescent="0.25">
      <c r="A1771" t="str">
        <f>"20190303154801837"</f>
        <v>20190303154801837</v>
      </c>
      <c r="B1771" t="str">
        <f>"1551599281832771"</f>
        <v>1551599281832771</v>
      </c>
      <c r="C1771" t="s">
        <v>40</v>
      </c>
      <c r="D1771">
        <v>5.9776689999999997</v>
      </c>
      <c r="E1771">
        <v>0.66477790000000003</v>
      </c>
      <c r="F1771" t="s">
        <v>47</v>
      </c>
      <c r="G1771">
        <v>-206.43170000000001</v>
      </c>
      <c r="H1771" s="1">
        <v>5.412867E-6</v>
      </c>
      <c r="I1771">
        <v>280.68520000000001</v>
      </c>
      <c r="J1771">
        <v>-192.22329999999999</v>
      </c>
      <c r="K1771">
        <v>1.1143350000000001</v>
      </c>
      <c r="L1771">
        <v>294.82920000000001</v>
      </c>
      <c r="M1771">
        <v>-0.1587807</v>
      </c>
      <c r="N1771">
        <v>-1.4572079999999999E-2</v>
      </c>
      <c r="O1771">
        <v>-0.98720649999999999</v>
      </c>
      <c r="P1771">
        <v>-0.36850690000000003</v>
      </c>
      <c r="Q1771">
        <v>-8.6817199999999997E-2</v>
      </c>
      <c r="R1771">
        <v>-0.92556260000000001</v>
      </c>
      <c r="S1771">
        <v>-2.3075410000000001</v>
      </c>
      <c r="T1771">
        <v>-0.1804579</v>
      </c>
      <c r="U1771">
        <v>-2.3227540000000002</v>
      </c>
      <c r="V1771">
        <v>0.21564430000000001</v>
      </c>
      <c r="W1771">
        <v>-7.6154910000000006E-2</v>
      </c>
      <c r="X1771">
        <v>0.97349779999999997</v>
      </c>
      <c r="Y1771">
        <v>0.58227309999999999</v>
      </c>
      <c r="Z1771">
        <v>4.3519250000000002E-2</v>
      </c>
      <c r="AA1771">
        <v>0.81182769999999904</v>
      </c>
      <c r="AB1771">
        <v>21</v>
      </c>
      <c r="AC1771">
        <v>-14.208399999999999</v>
      </c>
      <c r="AD1771">
        <v>-1.1143295871329999</v>
      </c>
      <c r="AE1771">
        <v>-14.144</v>
      </c>
      <c r="AF1771">
        <v>11.745792115475901</v>
      </c>
      <c r="AG1771">
        <v>-1.1143295871329999</v>
      </c>
      <c r="AH1771">
        <v>16.1708297467476</v>
      </c>
      <c r="AI1771">
        <v>93.191174765013798</v>
      </c>
      <c r="AJ1771">
        <v>54.006965597946802</v>
      </c>
      <c r="AK1771">
        <v>20.017519765121602</v>
      </c>
      <c r="AL1771">
        <v>94.3675835724666</v>
      </c>
      <c r="AM1771">
        <v>77.509815709973594</v>
      </c>
      <c r="AN1771">
        <v>1.0000000005222101</v>
      </c>
    </row>
    <row r="1772" spans="1:40" x14ac:dyDescent="0.25">
      <c r="A1772" t="str">
        <f>"20190303154801861"</f>
        <v>20190303154801861</v>
      </c>
      <c r="B1772" t="str">
        <f>"1551599281852292"</f>
        <v>1551599281852292</v>
      </c>
      <c r="C1772" t="s">
        <v>40</v>
      </c>
      <c r="D1772">
        <v>6.0365070000000003</v>
      </c>
      <c r="E1772">
        <v>0.66409130000000005</v>
      </c>
      <c r="F1772" t="s">
        <v>47</v>
      </c>
      <c r="G1772">
        <v>-205.98929999999999</v>
      </c>
      <c r="H1772" s="1">
        <v>5.1665100000000003E-6</v>
      </c>
      <c r="I1772">
        <v>281.25920000000002</v>
      </c>
      <c r="J1772">
        <v>-192.27340000000001</v>
      </c>
      <c r="K1772">
        <v>1.1141719999999999</v>
      </c>
      <c r="L1772">
        <v>294.60520000000002</v>
      </c>
      <c r="M1772">
        <v>-0.17071739999999999</v>
      </c>
      <c r="N1772">
        <v>-1.462487E-2</v>
      </c>
      <c r="O1772">
        <v>-0.98521159999999997</v>
      </c>
      <c r="P1772">
        <v>-0.38142389999999998</v>
      </c>
      <c r="Q1772">
        <v>-8.6445099999999997E-2</v>
      </c>
      <c r="R1772">
        <v>-0.92034970000000005</v>
      </c>
      <c r="S1772">
        <v>-2.3293149999999998</v>
      </c>
      <c r="T1772">
        <v>-0.18855259999999999</v>
      </c>
      <c r="U1772">
        <v>-2.2961429999999998</v>
      </c>
      <c r="V1772">
        <v>0.21745229999999999</v>
      </c>
      <c r="W1772">
        <v>-7.5857419999999995E-2</v>
      </c>
      <c r="X1772">
        <v>0.97311879999999995</v>
      </c>
      <c r="Y1772">
        <v>0.58083180000000001</v>
      </c>
      <c r="Z1772">
        <v>4.6267559999999999E-2</v>
      </c>
      <c r="AA1772">
        <v>0.81270769999999903</v>
      </c>
      <c r="AB1772">
        <v>21</v>
      </c>
      <c r="AC1772">
        <v>-13.7158999999999</v>
      </c>
      <c r="AD1772">
        <v>-1.1141668334899999</v>
      </c>
      <c r="AE1772">
        <v>-13.346</v>
      </c>
      <c r="AF1772">
        <v>11.1979147474791</v>
      </c>
      <c r="AG1772">
        <v>-1.1141668334899999</v>
      </c>
      <c r="AH1772">
        <v>15.4395001412231</v>
      </c>
      <c r="AI1772">
        <v>93.343222396117298</v>
      </c>
      <c r="AJ1772">
        <v>54.047485612239797</v>
      </c>
      <c r="AK1772">
        <v>19.105308870455001</v>
      </c>
      <c r="AL1772">
        <v>94.350489096511296</v>
      </c>
      <c r="AM1772">
        <v>77.403674354298303</v>
      </c>
      <c r="AN1772">
        <v>1.0000000249288901</v>
      </c>
    </row>
    <row r="1773" spans="1:40" x14ac:dyDescent="0.25">
      <c r="A1773" t="str">
        <f>"20190303154801884"</f>
        <v>20190303154801884</v>
      </c>
      <c r="B1773" t="str">
        <f>"1551599281872788"</f>
        <v>1551599281872788</v>
      </c>
      <c r="C1773" t="s">
        <v>40</v>
      </c>
      <c r="D1773">
        <v>6.049893</v>
      </c>
      <c r="E1773">
        <v>0.66343619999999903</v>
      </c>
      <c r="F1773" t="s">
        <v>47</v>
      </c>
      <c r="G1773">
        <v>-205.32830000000001</v>
      </c>
      <c r="H1773" s="1">
        <v>4.8037240000000001E-6</v>
      </c>
      <c r="I1773">
        <v>282.05549999999999</v>
      </c>
      <c r="J1773">
        <v>-192.32570000000001</v>
      </c>
      <c r="K1773">
        <v>1.1140080000000001</v>
      </c>
      <c r="L1773">
        <v>294.38709999999998</v>
      </c>
      <c r="M1773">
        <v>-0.18270040000000001</v>
      </c>
      <c r="N1773">
        <v>-1.467891E-2</v>
      </c>
      <c r="O1773">
        <v>-0.98305900000000002</v>
      </c>
      <c r="P1773">
        <v>-0.39480520000000002</v>
      </c>
      <c r="Q1773">
        <v>-8.5130020000000001E-2</v>
      </c>
      <c r="R1773">
        <v>-0.91481230000000002</v>
      </c>
      <c r="S1773">
        <v>-2.3556819999999998</v>
      </c>
      <c r="T1773">
        <v>-0.20104610000000001</v>
      </c>
      <c r="U1773">
        <v>-2.264526</v>
      </c>
      <c r="V1773">
        <v>0.21976109999999999</v>
      </c>
      <c r="W1773">
        <v>-7.4625449999999996E-2</v>
      </c>
      <c r="X1773">
        <v>0.97269530000000004</v>
      </c>
      <c r="Y1773">
        <v>0.58097259999999995</v>
      </c>
      <c r="Z1773">
        <v>5.0427529999999998E-2</v>
      </c>
      <c r="AA1773">
        <v>0.81235950000000001</v>
      </c>
      <c r="AB1773">
        <v>21</v>
      </c>
      <c r="AC1773">
        <v>-13.002599999999999</v>
      </c>
      <c r="AD1773">
        <v>-1.114003196276</v>
      </c>
      <c r="AE1773">
        <v>-12.3315999999999</v>
      </c>
      <c r="AF1773">
        <v>10.4899323020338</v>
      </c>
      <c r="AG1773">
        <v>-1.114003196276</v>
      </c>
      <c r="AH1773">
        <v>14.444015814869701</v>
      </c>
      <c r="AI1773">
        <v>93.570893038582099</v>
      </c>
      <c r="AJ1773">
        <v>54.011060268781399</v>
      </c>
      <c r="AK1773">
        <v>17.8860078184812</v>
      </c>
      <c r="AL1773">
        <v>94.279701763913707</v>
      </c>
      <c r="AM1773">
        <v>77.268906268245701</v>
      </c>
      <c r="AN1773">
        <v>1.0000000227515</v>
      </c>
    </row>
    <row r="1774" spans="1:40" x14ac:dyDescent="0.25">
      <c r="A1774" t="str">
        <f>"20190303154801907"</f>
        <v>20190303154801907</v>
      </c>
      <c r="B1774" t="str">
        <f>"1551599281902067"</f>
        <v>1551599281902067</v>
      </c>
      <c r="C1774" t="s">
        <v>40</v>
      </c>
      <c r="D1774">
        <v>5.9159069999999998</v>
      </c>
      <c r="E1774">
        <v>0.66261579999999998</v>
      </c>
      <c r="F1774" t="s">
        <v>47</v>
      </c>
      <c r="G1774">
        <v>-204.90799999999999</v>
      </c>
      <c r="H1774" s="1">
        <v>4.5692009999999996E-6</v>
      </c>
      <c r="I1774">
        <v>282.60649999999998</v>
      </c>
      <c r="J1774">
        <v>-192.3811</v>
      </c>
      <c r="K1774">
        <v>1.1138729999999999</v>
      </c>
      <c r="L1774">
        <v>294.16890000000001</v>
      </c>
      <c r="M1774">
        <v>-0.19497439999999999</v>
      </c>
      <c r="N1774">
        <v>-1.4732469999999999E-2</v>
      </c>
      <c r="O1774">
        <v>-0.98069770000000001</v>
      </c>
      <c r="P1774">
        <v>-0.40891329999999998</v>
      </c>
      <c r="Q1774">
        <v>-8.3813289999999999E-2</v>
      </c>
      <c r="R1774">
        <v>-0.90871630000000003</v>
      </c>
      <c r="S1774">
        <v>-2.3830870000000002</v>
      </c>
      <c r="T1774">
        <v>-0.2109915</v>
      </c>
      <c r="U1774">
        <v>-2.2312319999999999</v>
      </c>
      <c r="V1774">
        <v>0.22262190000000001</v>
      </c>
      <c r="W1774">
        <v>-7.3393459999999994E-2</v>
      </c>
      <c r="X1774">
        <v>0.97213830000000001</v>
      </c>
      <c r="Y1774">
        <v>0.58136619999999894</v>
      </c>
      <c r="Z1774">
        <v>5.3794219999999997E-2</v>
      </c>
      <c r="AA1774">
        <v>0.81186169999999902</v>
      </c>
      <c r="AB1774">
        <v>21</v>
      </c>
      <c r="AC1774">
        <v>-12.5268999999999</v>
      </c>
      <c r="AD1774">
        <v>-1.1138684307990001</v>
      </c>
      <c r="AE1774">
        <v>-11.5624</v>
      </c>
      <c r="AF1774">
        <v>9.9891720623170492</v>
      </c>
      <c r="AG1774">
        <v>-1.1138684307990001</v>
      </c>
      <c r="AH1774">
        <v>13.724545669499101</v>
      </c>
      <c r="AI1774">
        <v>93.754287475355099</v>
      </c>
      <c r="AJ1774">
        <v>53.951650401532603</v>
      </c>
      <c r="AK1774">
        <v>17.0113907487269</v>
      </c>
      <c r="AL1774">
        <v>94.208919945164894</v>
      </c>
      <c r="AM1774">
        <v>77.101539630865005</v>
      </c>
      <c r="AN1774">
        <v>0.99999999232863501</v>
      </c>
    </row>
    <row r="1775" spans="1:40" x14ac:dyDescent="0.25">
      <c r="A1775" t="str">
        <f>"20190303154801927"</f>
        <v>20190303154801927</v>
      </c>
      <c r="B1775" t="str">
        <f>"1551599281922563"</f>
        <v>1551599281922563</v>
      </c>
      <c r="C1775" t="s">
        <v>40</v>
      </c>
      <c r="D1775">
        <v>5.9972079999999997</v>
      </c>
      <c r="E1775">
        <v>0.66214759999999995</v>
      </c>
      <c r="F1775" t="s">
        <v>47</v>
      </c>
      <c r="G1775">
        <v>-204.53809999999999</v>
      </c>
      <c r="H1775" s="1">
        <v>4.3625259999999996E-6</v>
      </c>
      <c r="I1775">
        <v>283.09429999999998</v>
      </c>
      <c r="J1775">
        <v>-192.4331</v>
      </c>
      <c r="K1775">
        <v>1.1137649999999999</v>
      </c>
      <c r="L1775">
        <v>293.97500000000002</v>
      </c>
      <c r="M1775">
        <v>-0.2061219</v>
      </c>
      <c r="N1775">
        <v>-1.4778370000000001E-2</v>
      </c>
      <c r="O1775">
        <v>-0.97841489999999998</v>
      </c>
      <c r="P1775">
        <v>-0.42230649999999997</v>
      </c>
      <c r="Q1775">
        <v>-8.1807759999999993E-2</v>
      </c>
      <c r="R1775">
        <v>-0.90275419999999995</v>
      </c>
      <c r="S1775">
        <v>-2.4107669999999999</v>
      </c>
      <c r="T1775">
        <v>-0.2208833</v>
      </c>
      <c r="U1775">
        <v>-2.1961360000000001</v>
      </c>
      <c r="V1775">
        <v>0.22590740000000001</v>
      </c>
      <c r="W1775">
        <v>-7.1471510000000002E-2</v>
      </c>
      <c r="X1775">
        <v>0.97152340000000004</v>
      </c>
      <c r="Y1775">
        <v>0.58305189999999996</v>
      </c>
      <c r="Z1775">
        <v>5.7165380000000002E-2</v>
      </c>
      <c r="AA1775">
        <v>0.81042119999999995</v>
      </c>
      <c r="AB1775">
        <v>21</v>
      </c>
      <c r="AC1775">
        <v>-12.104999999999899</v>
      </c>
      <c r="AD1775">
        <v>-1.1137606374739999</v>
      </c>
      <c r="AE1775">
        <v>-10.880699999999999</v>
      </c>
      <c r="AF1775">
        <v>9.5572578612352004</v>
      </c>
      <c r="AG1775">
        <v>-1.1137606374739999</v>
      </c>
      <c r="AH1775">
        <v>13.0811265187057</v>
      </c>
      <c r="AI1775">
        <v>93.932806377597998</v>
      </c>
      <c r="AJ1775">
        <v>53.847602317694601</v>
      </c>
      <c r="AK1775">
        <v>16.2387657037754</v>
      </c>
      <c r="AL1775">
        <v>94.098510164811202</v>
      </c>
      <c r="AM1775">
        <v>76.909688878943996</v>
      </c>
      <c r="AN1775">
        <v>1.0000000234319999</v>
      </c>
    </row>
    <row r="1776" spans="1:40" x14ac:dyDescent="0.25">
      <c r="A1776" t="str">
        <f>"20190303154801949"</f>
        <v>20190303154801949</v>
      </c>
      <c r="B1776" t="str">
        <f>"1551599281942084"</f>
        <v>1551599281942084</v>
      </c>
      <c r="C1776" t="s">
        <v>40</v>
      </c>
      <c r="D1776">
        <v>6.0578379999999896</v>
      </c>
      <c r="E1776">
        <v>0.66138969999999997</v>
      </c>
      <c r="F1776" t="s">
        <v>47</v>
      </c>
      <c r="G1776">
        <v>-204.4616</v>
      </c>
      <c r="H1776" s="1">
        <v>4.3093350000000003E-6</v>
      </c>
      <c r="I1776">
        <v>283.31470000000002</v>
      </c>
      <c r="J1776">
        <v>-192.49199999999999</v>
      </c>
      <c r="K1776">
        <v>1.1136629999999901</v>
      </c>
      <c r="L1776">
        <v>293.76620000000003</v>
      </c>
      <c r="M1776">
        <v>-0.21838199999999999</v>
      </c>
      <c r="N1776">
        <v>-1.48267E-2</v>
      </c>
      <c r="O1776">
        <v>-0.97575069999999997</v>
      </c>
      <c r="P1776">
        <v>-0.43696800000000002</v>
      </c>
      <c r="Q1776">
        <v>-8.1726309999999996E-2</v>
      </c>
      <c r="R1776">
        <v>-0.89575680000000002</v>
      </c>
      <c r="S1776">
        <v>-2.439133</v>
      </c>
      <c r="T1776">
        <v>-0.22584679999999999</v>
      </c>
      <c r="U1776">
        <v>-2.1616819999999999</v>
      </c>
      <c r="V1776">
        <v>0.22953129999999999</v>
      </c>
      <c r="W1776">
        <v>-7.1482329999999997E-2</v>
      </c>
      <c r="X1776">
        <v>0.9706728</v>
      </c>
      <c r="Y1776">
        <v>0.58386850000000001</v>
      </c>
      <c r="Z1776">
        <v>5.8942649999999999E-2</v>
      </c>
      <c r="AA1776">
        <v>0.80970569999999997</v>
      </c>
      <c r="AB1776">
        <v>21</v>
      </c>
      <c r="AC1776">
        <v>-11.9695999999999</v>
      </c>
      <c r="AD1776">
        <v>-1.1136586906649999</v>
      </c>
      <c r="AE1776">
        <v>-10.451499999999999</v>
      </c>
      <c r="AF1776">
        <v>9.3520247812454294</v>
      </c>
      <c r="AG1776">
        <v>-1.1136586906649999</v>
      </c>
      <c r="AH1776">
        <v>12.7507840415884</v>
      </c>
      <c r="AI1776">
        <v>94.028570839474497</v>
      </c>
      <c r="AJ1776">
        <v>53.741926009214097</v>
      </c>
      <c r="AK1776">
        <v>15.8519114577248</v>
      </c>
      <c r="AL1776">
        <v>94.099131738007102</v>
      </c>
      <c r="AM1776">
        <v>76.695864740424099</v>
      </c>
      <c r="AN1776">
        <v>1.0000000129208699</v>
      </c>
    </row>
    <row r="1777" spans="1:40" x14ac:dyDescent="0.25">
      <c r="A1777" t="str">
        <f>"20190303154802010"</f>
        <v>20190303154802010</v>
      </c>
      <c r="B1777" t="str">
        <f>"1551599282002596"</f>
        <v>1551599282002596</v>
      </c>
      <c r="C1777" t="s">
        <v>40</v>
      </c>
      <c r="D1777">
        <v>5.9126640000000004</v>
      </c>
      <c r="E1777">
        <v>0.64635030000000004</v>
      </c>
      <c r="F1777" t="s">
        <v>47</v>
      </c>
      <c r="G1777">
        <v>-203.95259999999999</v>
      </c>
      <c r="H1777" s="1">
        <v>4.0318899999999996E-6</v>
      </c>
      <c r="I1777">
        <v>283.90600000000001</v>
      </c>
      <c r="J1777">
        <v>-192.6602</v>
      </c>
      <c r="K1777">
        <v>1.113381</v>
      </c>
      <c r="L1777">
        <v>293.22280000000001</v>
      </c>
      <c r="M1777">
        <v>-0.251558</v>
      </c>
      <c r="N1777">
        <v>-1.496139E-2</v>
      </c>
      <c r="O1777">
        <v>-0.96772650000000004</v>
      </c>
      <c r="P1777">
        <v>-0.47109309999999899</v>
      </c>
      <c r="Q1777">
        <v>-8.2353380000000004E-2</v>
      </c>
      <c r="R1777">
        <v>-0.87823050000000003</v>
      </c>
      <c r="S1777">
        <v>-2.4679869999999999</v>
      </c>
      <c r="T1777">
        <v>-0.23982129999999999</v>
      </c>
      <c r="U1777">
        <v>-2.1233520000000001</v>
      </c>
      <c r="V1777">
        <v>0.23367969999999999</v>
      </c>
      <c r="W1777">
        <v>-7.2236250000000002E-2</v>
      </c>
      <c r="X1777">
        <v>0.96962660000000001</v>
      </c>
      <c r="Y1777">
        <v>0.56774069999999899</v>
      </c>
      <c r="Z1777">
        <v>6.3597169999999995E-2</v>
      </c>
      <c r="AA1777">
        <v>0.82074720000000001</v>
      </c>
      <c r="AB1777">
        <v>21</v>
      </c>
      <c r="AC1777">
        <v>-11.292399999999899</v>
      </c>
      <c r="AD1777">
        <v>-1.1133769681100001</v>
      </c>
      <c r="AE1777">
        <v>-9.3168000000000006</v>
      </c>
      <c r="AF1777">
        <v>8.53583046589136</v>
      </c>
      <c r="AG1777">
        <v>-1.1133769681100001</v>
      </c>
      <c r="AH1777">
        <v>11.789944286542401</v>
      </c>
      <c r="AI1777">
        <v>94.3741355473433</v>
      </c>
      <c r="AJ1777">
        <v>54.095745990502799</v>
      </c>
      <c r="AK1777">
        <v>14.598040837569</v>
      </c>
      <c r="AL1777">
        <v>94.142440143479305</v>
      </c>
      <c r="AM1777">
        <v>76.450121089338694</v>
      </c>
      <c r="AN1777">
        <v>1.0000000107168501</v>
      </c>
    </row>
    <row r="1778" spans="1:40" x14ac:dyDescent="0.25">
      <c r="A1778" t="str">
        <f>"20190303154802027"</f>
        <v>20190303154802027</v>
      </c>
      <c r="B1778" t="str">
        <f>"1551599282022115"</f>
        <v>1551599282022115</v>
      </c>
      <c r="C1778" t="s">
        <v>40</v>
      </c>
      <c r="D1778">
        <v>5.8059229999999999</v>
      </c>
      <c r="E1778">
        <v>0.64848499999999998</v>
      </c>
      <c r="F1778" t="s">
        <v>47</v>
      </c>
      <c r="G1778">
        <v>-199.8502</v>
      </c>
      <c r="H1778" s="1">
        <v>2.0004189999999998E-6</v>
      </c>
      <c r="I1778">
        <v>287.09750000000003</v>
      </c>
      <c r="J1778">
        <v>-192.71729999999999</v>
      </c>
      <c r="K1778">
        <v>1.1132979999999999</v>
      </c>
      <c r="L1778">
        <v>293.05349999999999</v>
      </c>
      <c r="M1778">
        <v>-0.26220749999999998</v>
      </c>
      <c r="N1778">
        <v>-1.5002359999999999E-2</v>
      </c>
      <c r="O1778">
        <v>-0.96489499999999995</v>
      </c>
      <c r="P1778">
        <v>-0.4938438</v>
      </c>
      <c r="Q1778">
        <v>-8.2645969999999999E-2</v>
      </c>
      <c r="R1778">
        <v>-0.86561449999999995</v>
      </c>
      <c r="S1778">
        <v>-2.435028</v>
      </c>
      <c r="T1778">
        <v>-0.3770657</v>
      </c>
      <c r="U1778">
        <v>-2.0744319999999998</v>
      </c>
      <c r="V1778">
        <v>0.2482327</v>
      </c>
      <c r="W1778">
        <v>-7.2864319999999996E-2</v>
      </c>
      <c r="X1778">
        <v>0.96595620000000004</v>
      </c>
      <c r="Y1778">
        <v>0.55947910000000001</v>
      </c>
      <c r="Z1778">
        <v>0.1092499</v>
      </c>
      <c r="AA1778">
        <v>0.82161280000000003</v>
      </c>
      <c r="AB1778">
        <v>21</v>
      </c>
      <c r="AC1778">
        <v>-7.1329000000000002</v>
      </c>
      <c r="AD1778">
        <v>-1.1132959995809999</v>
      </c>
      <c r="AE1778">
        <v>-5.9559999999999498</v>
      </c>
      <c r="AF1778">
        <v>5.2460919471205596</v>
      </c>
      <c r="AG1778">
        <v>-1.1132959995809999</v>
      </c>
      <c r="AH1778">
        <v>7.5102747989348204</v>
      </c>
      <c r="AI1778">
        <v>96.928854200462794</v>
      </c>
      <c r="AJ1778">
        <v>55.064854769462002</v>
      </c>
      <c r="AK1778">
        <v>9.2284958826366505</v>
      </c>
      <c r="AL1778">
        <v>94.178520899192407</v>
      </c>
      <c r="AM1778">
        <v>75.587908537358899</v>
      </c>
      <c r="AN1778">
        <v>1.0000000313983901</v>
      </c>
    </row>
    <row r="1779" spans="1:40" x14ac:dyDescent="0.25">
      <c r="A1779" t="str">
        <f>"20190303154802051"</f>
        <v>20190303154802051</v>
      </c>
      <c r="B1779" t="str">
        <f>"1551599282042611"</f>
        <v>1551599282042611</v>
      </c>
      <c r="C1779" t="s">
        <v>40</v>
      </c>
      <c r="D1779">
        <v>6.0878160000000001</v>
      </c>
      <c r="E1779">
        <v>0.64891960000000004</v>
      </c>
      <c r="F1779" t="s">
        <v>47</v>
      </c>
      <c r="G1779">
        <v>-201.01509999999999</v>
      </c>
      <c r="H1779" s="1">
        <v>2.5099380000000001E-6</v>
      </c>
      <c r="I1779">
        <v>286.4144</v>
      </c>
      <c r="J1779">
        <v>-192.79179999999999</v>
      </c>
      <c r="K1779">
        <v>1.1132249999999999</v>
      </c>
      <c r="L1779">
        <v>292.84190000000001</v>
      </c>
      <c r="M1779">
        <v>-0.2757038</v>
      </c>
      <c r="N1779">
        <v>-1.504833E-2</v>
      </c>
      <c r="O1779">
        <v>-0.96112509999999995</v>
      </c>
      <c r="P1779">
        <v>-0.51227670000000003</v>
      </c>
      <c r="Q1779">
        <v>-8.0799999999999997E-2</v>
      </c>
      <c r="R1779">
        <v>-0.85501119999999997</v>
      </c>
      <c r="S1779">
        <v>-2.5052029999999998</v>
      </c>
      <c r="T1779">
        <v>-0.33611770000000002</v>
      </c>
      <c r="U1779">
        <v>-2.0044249999999999</v>
      </c>
      <c r="V1779">
        <v>0.25534849999999998</v>
      </c>
      <c r="W1779">
        <v>-7.1185719999999994E-2</v>
      </c>
      <c r="X1779">
        <v>0.96422490000000005</v>
      </c>
      <c r="Y1779">
        <v>0.57422899999999999</v>
      </c>
      <c r="Z1779">
        <v>9.6196719999999999E-2</v>
      </c>
      <c r="AA1779">
        <v>0.81302359999999996</v>
      </c>
      <c r="AB1779">
        <v>21</v>
      </c>
      <c r="AC1779">
        <v>-8.2232999999999894</v>
      </c>
      <c r="AD1779">
        <v>-1.11322249006199</v>
      </c>
      <c r="AE1779">
        <v>-6.4275000000000002</v>
      </c>
      <c r="AF1779">
        <v>6.0632503388160401</v>
      </c>
      <c r="AG1779">
        <v>-1.11322249006199</v>
      </c>
      <c r="AH1779">
        <v>8.3507812474398708</v>
      </c>
      <c r="AI1779">
        <v>96.156822581413607</v>
      </c>
      <c r="AJ1779">
        <v>54.017730350281496</v>
      </c>
      <c r="AK1779">
        <v>10.379682867319501</v>
      </c>
      <c r="AL1779">
        <v>94.082094047081199</v>
      </c>
      <c r="AM1779">
        <v>75.167273179945497</v>
      </c>
      <c r="AN1779">
        <v>0.99999996048208795</v>
      </c>
    </row>
    <row r="1780" spans="1:40" x14ac:dyDescent="0.25">
      <c r="A1780" t="str">
        <f>"20190303154802071"</f>
        <v>20190303154802071</v>
      </c>
      <c r="B1780" t="str">
        <f>"1551599282063108"</f>
        <v>1551599282063108</v>
      </c>
      <c r="C1780" t="s">
        <v>40</v>
      </c>
      <c r="D1780">
        <v>5.6400949999999996</v>
      </c>
      <c r="E1780">
        <v>0.64860359999999995</v>
      </c>
      <c r="F1780" t="s">
        <v>47</v>
      </c>
      <c r="G1780">
        <v>-201.386</v>
      </c>
      <c r="H1780" s="1">
        <v>2.6866650000000001E-6</v>
      </c>
      <c r="I1780">
        <v>286.27449999999999</v>
      </c>
      <c r="J1780">
        <v>-192.86089999999999</v>
      </c>
      <c r="K1780">
        <v>1.1131549999999999</v>
      </c>
      <c r="L1780">
        <v>292.65429999999998</v>
      </c>
      <c r="M1780">
        <v>-0.2878945</v>
      </c>
      <c r="N1780">
        <v>-1.508807E-2</v>
      </c>
      <c r="O1780">
        <v>-0.95754329999999999</v>
      </c>
      <c r="P1780">
        <v>-0.53143809999999903</v>
      </c>
      <c r="Q1780">
        <v>-7.8787540000000003E-2</v>
      </c>
      <c r="R1780">
        <v>-0.843425599999999</v>
      </c>
      <c r="S1780">
        <v>-2.550751</v>
      </c>
      <c r="T1780">
        <v>-0.33040310000000001</v>
      </c>
      <c r="U1780">
        <v>-1.9491879999999999</v>
      </c>
      <c r="V1780">
        <v>0.26479829999999999</v>
      </c>
      <c r="W1780">
        <v>-6.9403709999999993E-2</v>
      </c>
      <c r="X1780">
        <v>0.96180299999999996</v>
      </c>
      <c r="Y1780">
        <v>0.58208570000000004</v>
      </c>
      <c r="Z1780">
        <v>9.4581100000000001E-2</v>
      </c>
      <c r="AA1780">
        <v>0.80760810000000005</v>
      </c>
      <c r="AB1780">
        <v>21</v>
      </c>
      <c r="AC1780">
        <v>-8.5251000000000001</v>
      </c>
      <c r="AD1780">
        <v>-1.1131523133350001</v>
      </c>
      <c r="AE1780">
        <v>-6.3797999999999799</v>
      </c>
      <c r="AF1780">
        <v>6.2587617900183199</v>
      </c>
      <c r="AG1780">
        <v>-1.1131523133350001</v>
      </c>
      <c r="AH1780">
        <v>8.4716530237871499</v>
      </c>
      <c r="AI1780">
        <v>96.0328435537687</v>
      </c>
      <c r="AJ1780">
        <v>53.543428862106602</v>
      </c>
      <c r="AK1780">
        <v>10.5915113261667</v>
      </c>
      <c r="AL1780">
        <v>93.979738970309796</v>
      </c>
      <c r="AM1780">
        <v>74.606998158691894</v>
      </c>
      <c r="AN1780">
        <v>1.00000001272682</v>
      </c>
    </row>
    <row r="1781" spans="1:40" x14ac:dyDescent="0.25">
      <c r="A1781" t="str">
        <f>"20190303154802108"</f>
        <v>20190303154802108</v>
      </c>
      <c r="B1781" t="str">
        <f>"1551599282102147"</f>
        <v>1551599282102147</v>
      </c>
      <c r="C1781" t="s">
        <v>40</v>
      </c>
      <c r="D1781">
        <v>6.1970650000000003</v>
      </c>
      <c r="E1781">
        <v>0.65638229999999997</v>
      </c>
      <c r="F1781" t="s">
        <v>47</v>
      </c>
      <c r="G1781">
        <v>-202.07570000000001</v>
      </c>
      <c r="H1781" s="1">
        <v>3.023079E-6</v>
      </c>
      <c r="I1781">
        <v>285.9248</v>
      </c>
      <c r="J1781">
        <v>-192.98990000000001</v>
      </c>
      <c r="K1781">
        <v>1.112986</v>
      </c>
      <c r="L1781">
        <v>292.32400000000001</v>
      </c>
      <c r="M1781">
        <v>-0.30990649999999997</v>
      </c>
      <c r="N1781">
        <v>-1.5171250000000001E-2</v>
      </c>
      <c r="O1781">
        <v>-0.95064610000000005</v>
      </c>
      <c r="P1781">
        <v>-0.55579480000000003</v>
      </c>
      <c r="Q1781">
        <v>-7.7755469999999993E-2</v>
      </c>
      <c r="R1781">
        <v>-0.8276753</v>
      </c>
      <c r="S1781">
        <v>-2.593124</v>
      </c>
      <c r="T1781">
        <v>-0.31325199999999997</v>
      </c>
      <c r="U1781">
        <v>-1.8937379999999999</v>
      </c>
      <c r="V1781">
        <v>0.27059440000000001</v>
      </c>
      <c r="W1781">
        <v>-6.8543870000000007E-2</v>
      </c>
      <c r="X1781">
        <v>0.96025020000000005</v>
      </c>
      <c r="Y1781">
        <v>0.5813566</v>
      </c>
      <c r="Z1781">
        <v>8.9158509999999996E-2</v>
      </c>
      <c r="AA1781">
        <v>0.80874919999999995</v>
      </c>
      <c r="AB1781">
        <v>21</v>
      </c>
      <c r="AC1781">
        <v>-9.0858000000000008</v>
      </c>
      <c r="AD1781">
        <v>-1.112982976921</v>
      </c>
      <c r="AE1781">
        <v>-6.3992000000000004</v>
      </c>
      <c r="AF1781">
        <v>6.5889045837358804</v>
      </c>
      <c r="AG1781">
        <v>-1.112982976921</v>
      </c>
      <c r="AH1781">
        <v>8.8117636086387101</v>
      </c>
      <c r="AI1781">
        <v>95.776098087946593</v>
      </c>
      <c r="AJ1781">
        <v>53.213079660294902</v>
      </c>
      <c r="AK1781">
        <v>11.0589137176768</v>
      </c>
      <c r="AL1781">
        <v>93.930356135060194</v>
      </c>
      <c r="AM1781">
        <v>74.262390650587704</v>
      </c>
      <c r="AN1781">
        <v>1.0000000190129801</v>
      </c>
    </row>
    <row r="1782" spans="1:40" x14ac:dyDescent="0.25">
      <c r="A1782" t="str">
        <f>"20190303154802129"</f>
        <v>20190303154802129</v>
      </c>
      <c r="B1782" t="str">
        <f>"1551599282122644"</f>
        <v>1551599282122644</v>
      </c>
      <c r="C1782" t="s">
        <v>40</v>
      </c>
      <c r="D1782">
        <v>5.9795239999999996</v>
      </c>
      <c r="E1782">
        <v>0.6481633</v>
      </c>
      <c r="F1782" t="s">
        <v>52</v>
      </c>
      <c r="G1782">
        <v>-219.25069999999999</v>
      </c>
      <c r="H1782">
        <v>8.0000219999999997E-2</v>
      </c>
      <c r="I1782">
        <v>274.9151</v>
      </c>
      <c r="J1782">
        <v>-193.0668</v>
      </c>
      <c r="K1782">
        <v>1.1128739999999999</v>
      </c>
      <c r="L1782">
        <v>292.1379</v>
      </c>
      <c r="M1782">
        <v>-0.32261570000000001</v>
      </c>
      <c r="N1782">
        <v>-1.522456E-2</v>
      </c>
      <c r="O1782">
        <v>-0.94640780000000002</v>
      </c>
      <c r="P1782">
        <v>-0.56840109999999999</v>
      </c>
      <c r="Q1782">
        <v>-7.7318529999999996E-2</v>
      </c>
      <c r="R1782">
        <v>-0.81911099999999903</v>
      </c>
      <c r="S1782">
        <v>-2.7087400000000001</v>
      </c>
      <c r="T1782">
        <v>-0.1065499</v>
      </c>
      <c r="U1782">
        <v>-1.79568499999999</v>
      </c>
      <c r="V1782">
        <v>0.27240409999999998</v>
      </c>
      <c r="W1782">
        <v>-6.8173999999999998E-2</v>
      </c>
      <c r="X1782">
        <v>0.95976470000000003</v>
      </c>
      <c r="Y1782">
        <v>0.61026069999999999</v>
      </c>
      <c r="Z1782">
        <v>2.1885410000000001E-2</v>
      </c>
      <c r="AA1782">
        <v>0.7918984</v>
      </c>
      <c r="AB1782">
        <v>21</v>
      </c>
      <c r="AC1782">
        <v>-26.183899999999898</v>
      </c>
      <c r="AD1782">
        <v>-1.0328737800000001</v>
      </c>
      <c r="AE1782">
        <v>-17.222799999999999</v>
      </c>
      <c r="AF1782">
        <v>19.205666014193898</v>
      </c>
      <c r="AG1782">
        <v>-1.0328737800000001</v>
      </c>
      <c r="AH1782">
        <v>24.7231403072471</v>
      </c>
      <c r="AI1782">
        <v>91.889640210438699</v>
      </c>
      <c r="AJ1782">
        <v>52.158883254954098</v>
      </c>
      <c r="AK1782">
        <v>31.3234433283763</v>
      </c>
      <c r="AL1782">
        <v>93.909114595047299</v>
      </c>
      <c r="AM1782">
        <v>74.1547940515146</v>
      </c>
      <c r="AN1782">
        <v>0.99999998366944898</v>
      </c>
    </row>
    <row r="1783" spans="1:40" x14ac:dyDescent="0.25">
      <c r="A1783" t="str">
        <f>"20190303154802151"</f>
        <v>20190303154802151</v>
      </c>
      <c r="B1783" t="str">
        <f>"1551599282142164"</f>
        <v>1551599282142164</v>
      </c>
      <c r="C1783" t="s">
        <v>40</v>
      </c>
      <c r="D1783">
        <v>6.0011489999999998</v>
      </c>
      <c r="E1783">
        <v>0.64472069999999904</v>
      </c>
      <c r="F1783" t="s">
        <v>47</v>
      </c>
      <c r="G1783">
        <v>-209.2619</v>
      </c>
      <c r="H1783" s="1">
        <v>6.6113429999999998E-6</v>
      </c>
      <c r="I1783">
        <v>281.33240000000001</v>
      </c>
      <c r="J1783">
        <v>-193.14930000000001</v>
      </c>
      <c r="K1783">
        <v>1.1127590000000001</v>
      </c>
      <c r="L1783">
        <v>291.94670000000002</v>
      </c>
      <c r="M1783">
        <v>-0.33589330000000001</v>
      </c>
      <c r="N1783">
        <v>-1.5278399999999999E-2</v>
      </c>
      <c r="O1783">
        <v>-0.94177630000000001</v>
      </c>
      <c r="P1783">
        <v>-0.58113990000000004</v>
      </c>
      <c r="Q1783">
        <v>-7.7244809999999997E-2</v>
      </c>
      <c r="R1783">
        <v>-0.81012980000000001</v>
      </c>
      <c r="S1783">
        <v>-2.6780240000000002</v>
      </c>
      <c r="T1783">
        <v>-0.18402450000000001</v>
      </c>
      <c r="U1783">
        <v>-1.7868040000000001</v>
      </c>
      <c r="V1783">
        <v>0.273893099999999</v>
      </c>
      <c r="W1783">
        <v>-6.8161490000000005E-2</v>
      </c>
      <c r="X1783">
        <v>0.95934169999999996</v>
      </c>
      <c r="Y1783">
        <v>0.59584780000000004</v>
      </c>
      <c r="Z1783">
        <v>4.7423220000000002E-2</v>
      </c>
      <c r="AA1783">
        <v>0.80169590000000002</v>
      </c>
      <c r="AB1783">
        <v>21</v>
      </c>
      <c r="AC1783">
        <v>-16.112599999999901</v>
      </c>
      <c r="AD1783">
        <v>-1.1127523886570001</v>
      </c>
      <c r="AE1783">
        <v>-10.6143</v>
      </c>
      <c r="AF1783">
        <v>11.572056605117</v>
      </c>
      <c r="AG1783">
        <v>-1.1127523886570001</v>
      </c>
      <c r="AH1783">
        <v>15.3591215232239</v>
      </c>
      <c r="AI1783">
        <v>93.311653133706699</v>
      </c>
      <c r="AJ1783">
        <v>53.004453461471698</v>
      </c>
      <c r="AK1783">
        <v>19.262744506317201</v>
      </c>
      <c r="AL1783">
        <v>93.9083962535328</v>
      </c>
      <c r="AM1783">
        <v>74.065898103621294</v>
      </c>
      <c r="AN1783">
        <v>0.99999995815275899</v>
      </c>
    </row>
    <row r="1784" spans="1:40" x14ac:dyDescent="0.25">
      <c r="A1784" t="str">
        <f>"20190303154802174"</f>
        <v>20190303154802174</v>
      </c>
      <c r="B1784" t="str">
        <f>"1551599282162660"</f>
        <v>1551599282162660</v>
      </c>
      <c r="C1784" t="s">
        <v>40</v>
      </c>
      <c r="D1784">
        <v>5.8995889999999997</v>
      </c>
      <c r="E1784">
        <v>0.64287759999999905</v>
      </c>
      <c r="F1784" t="s">
        <v>47</v>
      </c>
      <c r="G1784">
        <v>-207.33359999999999</v>
      </c>
      <c r="H1784" s="1">
        <v>5.6414239999999997E-6</v>
      </c>
      <c r="I1784">
        <v>282.6454</v>
      </c>
      <c r="J1784">
        <v>-193.23740000000001</v>
      </c>
      <c r="K1784">
        <v>1.112644</v>
      </c>
      <c r="L1784">
        <v>291.75060000000002</v>
      </c>
      <c r="M1784">
        <v>-0.34976659999999998</v>
      </c>
      <c r="N1784">
        <v>-1.533203E-2</v>
      </c>
      <c r="O1784">
        <v>-0.93671159999999998</v>
      </c>
      <c r="P1784">
        <v>-0.59373969999999998</v>
      </c>
      <c r="Q1784">
        <v>-7.7757129999999994E-2</v>
      </c>
      <c r="R1784">
        <v>-0.80089189999999999</v>
      </c>
      <c r="S1784">
        <v>-2.6822970000000002</v>
      </c>
      <c r="T1784">
        <v>-0.2104251</v>
      </c>
      <c r="U1784">
        <v>-1.7589109999999999</v>
      </c>
      <c r="V1784">
        <v>0.2747153</v>
      </c>
      <c r="W1784">
        <v>-6.8722370000000005E-2</v>
      </c>
      <c r="X1784">
        <v>0.95906659999999999</v>
      </c>
      <c r="Y1784">
        <v>0.58995200000000003</v>
      </c>
      <c r="Z1784">
        <v>5.6232409999999997E-2</v>
      </c>
      <c r="AA1784">
        <v>0.80547789999999997</v>
      </c>
      <c r="AB1784">
        <v>21</v>
      </c>
      <c r="AC1784">
        <v>-14.0961999999999</v>
      </c>
      <c r="AD1784">
        <v>-1.112638358576</v>
      </c>
      <c r="AE1784">
        <v>-9.1052000000000195</v>
      </c>
      <c r="AF1784">
        <v>9.9766970320948491</v>
      </c>
      <c r="AG1784">
        <v>-1.112638358576</v>
      </c>
      <c r="AH1784">
        <v>13.4019901844266</v>
      </c>
      <c r="AI1784">
        <v>93.809945511336807</v>
      </c>
      <c r="AJ1784">
        <v>53.335300064494703</v>
      </c>
      <c r="AK1784">
        <v>16.744724204675698</v>
      </c>
      <c r="AL1784">
        <v>93.940607673099194</v>
      </c>
      <c r="AM1784">
        <v>74.016154721984194</v>
      </c>
      <c r="AN1784">
        <v>1.00000000171403</v>
      </c>
    </row>
    <row r="1785" spans="1:40" x14ac:dyDescent="0.25">
      <c r="A1785" t="str">
        <f>"20190303154802196"</f>
        <v>20190303154802196</v>
      </c>
      <c r="B1785" t="str">
        <f>"1551599282191939"</f>
        <v>1551599282191939</v>
      </c>
      <c r="C1785" t="s">
        <v>40</v>
      </c>
      <c r="D1785">
        <v>6.0451709999999999</v>
      </c>
      <c r="E1785">
        <v>0.64161489999999999</v>
      </c>
      <c r="F1785" t="s">
        <v>47</v>
      </c>
      <c r="G1785">
        <v>-206.49109999999999</v>
      </c>
      <c r="H1785" s="1">
        <v>5.2126949999999997E-6</v>
      </c>
      <c r="I1785">
        <v>283.27589999999998</v>
      </c>
      <c r="J1785">
        <v>-193.33090000000001</v>
      </c>
      <c r="K1785">
        <v>1.112522</v>
      </c>
      <c r="L1785">
        <v>291.55130000000003</v>
      </c>
      <c r="M1785">
        <v>-0.36414590000000002</v>
      </c>
      <c r="N1785">
        <v>-1.5388509999999999E-2</v>
      </c>
      <c r="O1785">
        <v>-0.93121469999999995</v>
      </c>
      <c r="P1785">
        <v>-0.60588560000000002</v>
      </c>
      <c r="Q1785">
        <v>-7.8268959999999999E-2</v>
      </c>
      <c r="R1785">
        <v>-0.79169269999999903</v>
      </c>
      <c r="S1785">
        <v>-2.6969150000000002</v>
      </c>
      <c r="T1785">
        <v>-0.22640540000000001</v>
      </c>
      <c r="U1785">
        <v>-1.7244870000000001</v>
      </c>
      <c r="V1785">
        <v>0.27456639999999999</v>
      </c>
      <c r="W1785">
        <v>-6.925713E-2</v>
      </c>
      <c r="X1785">
        <v>0.95907070000000005</v>
      </c>
      <c r="Y1785">
        <v>0.58649719999999905</v>
      </c>
      <c r="Z1785">
        <v>6.1571050000000002E-2</v>
      </c>
      <c r="AA1785">
        <v>0.80760759999999998</v>
      </c>
      <c r="AB1785">
        <v>21</v>
      </c>
      <c r="AC1785">
        <v>-13.1601999999999</v>
      </c>
      <c r="AD1785">
        <v>-1.1125167873049999</v>
      </c>
      <c r="AE1785">
        <v>-8.2754000000000403</v>
      </c>
      <c r="AF1785">
        <v>9.1955202625448305</v>
      </c>
      <c r="AG1785">
        <v>-1.1125167873049999</v>
      </c>
      <c r="AH1785">
        <v>12.4361978142484</v>
      </c>
      <c r="AI1785">
        <v>94.114207667740502</v>
      </c>
      <c r="AJ1785">
        <v>53.520196035841003</v>
      </c>
      <c r="AK1785">
        <v>15.5065890051947</v>
      </c>
      <c r="AL1785">
        <v>93.9713206154278</v>
      </c>
      <c r="AM1785">
        <v>74.024440820412494</v>
      </c>
      <c r="AN1785">
        <v>0.99999993283164101</v>
      </c>
    </row>
    <row r="1786" spans="1:40" x14ac:dyDescent="0.25">
      <c r="A1786" t="str">
        <f>"20190303154802219"</f>
        <v>20190303154802219</v>
      </c>
      <c r="B1786" t="str">
        <f>"1551599282212436"</f>
        <v>1551599282212436</v>
      </c>
      <c r="C1786" t="s">
        <v>40</v>
      </c>
      <c r="D1786">
        <v>5.8501219999999998</v>
      </c>
      <c r="E1786">
        <v>0.64220569999999999</v>
      </c>
      <c r="F1786" t="s">
        <v>47</v>
      </c>
      <c r="G1786">
        <v>-206.3115</v>
      </c>
      <c r="H1786" s="1">
        <v>5.1154509999999997E-6</v>
      </c>
      <c r="I1786">
        <v>283.47750000000002</v>
      </c>
      <c r="J1786">
        <v>-193.42230000000001</v>
      </c>
      <c r="K1786">
        <v>1.1124160000000001</v>
      </c>
      <c r="L1786">
        <v>291.3648</v>
      </c>
      <c r="M1786">
        <v>-0.3778725</v>
      </c>
      <c r="N1786">
        <v>-1.544587E-2</v>
      </c>
      <c r="O1786">
        <v>-0.92572889999999997</v>
      </c>
      <c r="P1786">
        <v>-0.61765249999999905</v>
      </c>
      <c r="Q1786">
        <v>-7.8131210000000006E-2</v>
      </c>
      <c r="R1786">
        <v>-0.78256079999999995</v>
      </c>
      <c r="S1786">
        <v>-2.714874</v>
      </c>
      <c r="T1786">
        <v>-0.23268150000000001</v>
      </c>
      <c r="U1786">
        <v>-1.6886289999999999</v>
      </c>
      <c r="V1786">
        <v>0.27470450000000002</v>
      </c>
      <c r="W1786">
        <v>-6.9142460000000003E-2</v>
      </c>
      <c r="X1786">
        <v>0.95903950000000004</v>
      </c>
      <c r="Y1786">
        <v>0.58448459999999902</v>
      </c>
      <c r="Z1786">
        <v>6.3697260000000006E-2</v>
      </c>
      <c r="AA1786">
        <v>0.80890069999999903</v>
      </c>
      <c r="AB1786">
        <v>21</v>
      </c>
      <c r="AC1786">
        <v>-12.889199999999899</v>
      </c>
      <c r="AD1786">
        <v>-1.1124108845489999</v>
      </c>
      <c r="AE1786">
        <v>-7.8872999999999802</v>
      </c>
      <c r="AF1786">
        <v>8.9043227037641497</v>
      </c>
      <c r="AG1786">
        <v>-1.1124108845489999</v>
      </c>
      <c r="AH1786">
        <v>12.107810429492099</v>
      </c>
      <c r="AI1786">
        <v>94.2330362692054</v>
      </c>
      <c r="AJ1786">
        <v>53.668502825761799</v>
      </c>
      <c r="AK1786">
        <v>15.0706169145577</v>
      </c>
      <c r="AL1786">
        <v>93.964734444400307</v>
      </c>
      <c r="AM1786">
        <v>74.016322429202305</v>
      </c>
      <c r="AN1786">
        <v>1.0000000023276701</v>
      </c>
    </row>
    <row r="1787" spans="1:40" x14ac:dyDescent="0.25">
      <c r="A1787" t="str">
        <f>"20190303154802241"</f>
        <v>20190303154802241</v>
      </c>
      <c r="B1787" t="str">
        <f>"1551599282231956"</f>
        <v>1551599282231956</v>
      </c>
      <c r="C1787" t="s">
        <v>40</v>
      </c>
      <c r="D1787">
        <v>5.6783479999999997</v>
      </c>
      <c r="E1787">
        <v>0.64272280000000004</v>
      </c>
      <c r="F1787" t="s">
        <v>47</v>
      </c>
      <c r="G1787">
        <v>-207.1807</v>
      </c>
      <c r="H1787" s="1">
        <v>5.5328499999999999E-6</v>
      </c>
      <c r="I1787">
        <v>283.11189999999999</v>
      </c>
      <c r="J1787">
        <v>-193.5163</v>
      </c>
      <c r="K1787">
        <v>1.112309</v>
      </c>
      <c r="L1787">
        <v>291.18040000000002</v>
      </c>
      <c r="M1787">
        <v>-0.39170509999999997</v>
      </c>
      <c r="N1787">
        <v>-1.5505909999999999E-2</v>
      </c>
      <c r="O1787">
        <v>-0.91996029999999995</v>
      </c>
      <c r="P1787">
        <v>-0.62979259999999904</v>
      </c>
      <c r="Q1787">
        <v>-7.6741809999999994E-2</v>
      </c>
      <c r="R1787">
        <v>-0.77296359999999997</v>
      </c>
      <c r="S1787">
        <v>-2.743805</v>
      </c>
      <c r="T1787">
        <v>-0.22184470000000001</v>
      </c>
      <c r="U1787">
        <v>-1.6458440000000001</v>
      </c>
      <c r="V1787">
        <v>0.27525670000000002</v>
      </c>
      <c r="W1787">
        <v>-6.7782540000000002E-2</v>
      </c>
      <c r="X1787">
        <v>0.9589782</v>
      </c>
      <c r="Y1787">
        <v>0.58559150000000004</v>
      </c>
      <c r="Z1787">
        <v>6.0157889999999999E-2</v>
      </c>
      <c r="AA1787">
        <v>0.80837099999999995</v>
      </c>
      <c r="AB1787">
        <v>21</v>
      </c>
      <c r="AC1787">
        <v>-13.664400000000001</v>
      </c>
      <c r="AD1787">
        <v>-1.1123034671500001</v>
      </c>
      <c r="AE1787">
        <v>-8.0685000000000198</v>
      </c>
      <c r="AF1787">
        <v>9.3653494983495396</v>
      </c>
      <c r="AG1787">
        <v>-1.1123034671500001</v>
      </c>
      <c r="AH1787">
        <v>12.714182147137601</v>
      </c>
      <c r="AI1787">
        <v>94.029170390593805</v>
      </c>
      <c r="AJ1787">
        <v>53.624397355778498</v>
      </c>
      <c r="AK1787">
        <v>15.830269040665801</v>
      </c>
      <c r="AL1787">
        <v>93.8866336939506</v>
      </c>
      <c r="AM1787">
        <v>73.984867361138797</v>
      </c>
      <c r="AN1787">
        <v>0.99999995584948898</v>
      </c>
    </row>
    <row r="1788" spans="1:40" x14ac:dyDescent="0.25">
      <c r="A1788" t="str">
        <f>"20190303154802262"</f>
        <v>20190303154802262</v>
      </c>
      <c r="B1788" t="str">
        <f>"1551599282252452"</f>
        <v>1551599282252452</v>
      </c>
      <c r="C1788" t="s">
        <v>40</v>
      </c>
      <c r="D1788">
        <v>6.0416930000000004</v>
      </c>
      <c r="E1788">
        <v>0.64009989999999894</v>
      </c>
      <c r="F1788" t="s">
        <v>47</v>
      </c>
      <c r="G1788">
        <v>-208.68690000000001</v>
      </c>
      <c r="H1788" s="1">
        <v>6.2614900000000003E-6</v>
      </c>
      <c r="I1788">
        <v>282.41750000000002</v>
      </c>
      <c r="J1788">
        <v>-193.61269999999999</v>
      </c>
      <c r="K1788">
        <v>1.1122050000000001</v>
      </c>
      <c r="L1788">
        <v>290.99900000000002</v>
      </c>
      <c r="M1788">
        <v>-0.40558090000000002</v>
      </c>
      <c r="N1788">
        <v>-1.55668E-2</v>
      </c>
      <c r="O1788">
        <v>-0.91392649999999998</v>
      </c>
      <c r="P1788">
        <v>-0.64191599999999904</v>
      </c>
      <c r="Q1788">
        <v>-7.5844469999999997E-2</v>
      </c>
      <c r="R1788">
        <v>-0.76301490000000005</v>
      </c>
      <c r="S1788">
        <v>-2.7729189999999999</v>
      </c>
      <c r="T1788">
        <v>-0.20330880000000001</v>
      </c>
      <c r="U1788">
        <v>-1.601685</v>
      </c>
      <c r="V1788">
        <v>0.27584880000000001</v>
      </c>
      <c r="W1788">
        <v>-6.6915660000000002E-2</v>
      </c>
      <c r="X1788">
        <v>0.95886899999999997</v>
      </c>
      <c r="Y1788">
        <v>0.58700929999999996</v>
      </c>
      <c r="Z1788">
        <v>5.4116209999999998E-2</v>
      </c>
      <c r="AA1788">
        <v>0.80776949999999903</v>
      </c>
      <c r="AB1788">
        <v>21</v>
      </c>
      <c r="AC1788">
        <v>-15.074199999999999</v>
      </c>
      <c r="AD1788">
        <v>-1.1121987385099901</v>
      </c>
      <c r="AE1788">
        <v>-8.5815000000000001</v>
      </c>
      <c r="AF1788">
        <v>10.255304149922701</v>
      </c>
      <c r="AG1788">
        <v>-1.1121987385099901</v>
      </c>
      <c r="AH1788">
        <v>13.9012080885686</v>
      </c>
      <c r="AI1788">
        <v>93.683798043530203</v>
      </c>
      <c r="AJ1788">
        <v>53.582781854722803</v>
      </c>
      <c r="AK1788">
        <v>17.310454516362402</v>
      </c>
      <c r="AL1788">
        <v>93.836851876267005</v>
      </c>
      <c r="AM1788">
        <v>73.950455892677098</v>
      </c>
      <c r="AN1788">
        <v>1.0000000125878299</v>
      </c>
    </row>
    <row r="1789" spans="1:40" x14ac:dyDescent="0.25">
      <c r="A1789" t="str">
        <f>"20190303154802287"</f>
        <v>20190303154802287</v>
      </c>
      <c r="B1789" t="str">
        <f>"1551599282282707"</f>
        <v>1551599282282707</v>
      </c>
      <c r="C1789" t="s">
        <v>40</v>
      </c>
      <c r="D1789">
        <v>6.3468879999999999</v>
      </c>
      <c r="E1789">
        <v>0.63725379999999998</v>
      </c>
      <c r="F1789" t="s">
        <v>47</v>
      </c>
      <c r="G1789">
        <v>-207.81649999999999</v>
      </c>
      <c r="H1789" s="1">
        <v>5.8265290000000002E-6</v>
      </c>
      <c r="I1789">
        <v>282.97770000000003</v>
      </c>
      <c r="J1789">
        <v>-193.7261</v>
      </c>
      <c r="K1789">
        <v>1.112106</v>
      </c>
      <c r="L1789">
        <v>290.7946</v>
      </c>
      <c r="M1789">
        <v>-0.42148380000000002</v>
      </c>
      <c r="N1789">
        <v>-1.563345E-2</v>
      </c>
      <c r="O1789">
        <v>-0.90670130000000004</v>
      </c>
      <c r="P1789">
        <v>-0.65579259999999995</v>
      </c>
      <c r="Q1789">
        <v>-7.4351680000000003E-2</v>
      </c>
      <c r="R1789">
        <v>-0.75127119999999903</v>
      </c>
      <c r="S1789">
        <v>-2.7810060000000001</v>
      </c>
      <c r="T1789">
        <v>-0.21776180000000001</v>
      </c>
      <c r="U1789">
        <v>-1.5705260000000001</v>
      </c>
      <c r="V1789">
        <v>0.27662490000000001</v>
      </c>
      <c r="W1789">
        <v>-6.5450679999999997E-2</v>
      </c>
      <c r="X1789">
        <v>0.95874649999999995</v>
      </c>
      <c r="Y1789">
        <v>0.58044629999999997</v>
      </c>
      <c r="Z1789">
        <v>5.8845219999999997E-2</v>
      </c>
      <c r="AA1789">
        <v>0.81216949999999999</v>
      </c>
      <c r="AB1789">
        <v>21</v>
      </c>
      <c r="AC1789">
        <v>-14.090399999999899</v>
      </c>
      <c r="AD1789">
        <v>-1.1121001734710001</v>
      </c>
      <c r="AE1789">
        <v>-7.8168999999999702</v>
      </c>
      <c r="AF1789">
        <v>9.4372920000514604</v>
      </c>
      <c r="AG1789">
        <v>-1.1121001734710001</v>
      </c>
      <c r="AH1789">
        <v>12.9662965294425</v>
      </c>
      <c r="AI1789">
        <v>93.966861687477802</v>
      </c>
      <c r="AJ1789">
        <v>53.951655030307101</v>
      </c>
      <c r="AK1789">
        <v>16.075574415226999</v>
      </c>
      <c r="AL1789">
        <v>93.752730349679894</v>
      </c>
      <c r="AM1789">
        <v>73.905685378730297</v>
      </c>
      <c r="AN1789">
        <v>0.99999998903736098</v>
      </c>
    </row>
    <row r="1790" spans="1:40" x14ac:dyDescent="0.25">
      <c r="A1790" t="str">
        <f>"20190303154802311"</f>
        <v>20190303154802311</v>
      </c>
      <c r="B1790" t="str">
        <f>"1551599282302228"</f>
        <v>1551599282302228</v>
      </c>
      <c r="C1790" t="s">
        <v>40</v>
      </c>
      <c r="D1790">
        <v>6.1009719999999996</v>
      </c>
      <c r="E1790">
        <v>0.63641969999999903</v>
      </c>
      <c r="F1790" t="s">
        <v>47</v>
      </c>
      <c r="G1790">
        <v>-207.31049999999999</v>
      </c>
      <c r="H1790" s="1">
        <v>5.5710300000000001E-6</v>
      </c>
      <c r="I1790">
        <v>283.33350000000002</v>
      </c>
      <c r="J1790">
        <v>-193.84100000000001</v>
      </c>
      <c r="K1790">
        <v>1.1120209999999999</v>
      </c>
      <c r="L1790">
        <v>290.59609999999998</v>
      </c>
      <c r="M1790">
        <v>-0.43717470000000003</v>
      </c>
      <c r="N1790">
        <v>-1.5694670000000001E-2</v>
      </c>
      <c r="O1790">
        <v>-0.89923969999999898</v>
      </c>
      <c r="P1790">
        <v>-0.67011929999999997</v>
      </c>
      <c r="Q1790">
        <v>-7.3039430000000002E-2</v>
      </c>
      <c r="R1790">
        <v>-0.73865130000000001</v>
      </c>
      <c r="S1790">
        <v>-2.7919309999999999</v>
      </c>
      <c r="T1790">
        <v>-0.2285652</v>
      </c>
      <c r="U1790">
        <v>-1.533447</v>
      </c>
      <c r="V1790">
        <v>0.27835949999999998</v>
      </c>
      <c r="W1790">
        <v>-6.4185800000000001E-2</v>
      </c>
      <c r="X1790">
        <v>0.95832989999999996</v>
      </c>
      <c r="Y1790">
        <v>0.5756888</v>
      </c>
      <c r="Z1790">
        <v>6.2401100000000001E-2</v>
      </c>
      <c r="AA1790">
        <v>0.81528440000000002</v>
      </c>
      <c r="AB1790">
        <v>20</v>
      </c>
      <c r="AC1790">
        <v>-13.4695</v>
      </c>
      <c r="AD1790">
        <v>-1.1120154289699999</v>
      </c>
      <c r="AE1790">
        <v>-7.26259999999996</v>
      </c>
      <c r="AF1790">
        <v>8.8914324344497206</v>
      </c>
      <c r="AG1790">
        <v>-1.1120154289699999</v>
      </c>
      <c r="AH1790">
        <v>12.355626828904199</v>
      </c>
      <c r="AI1790">
        <v>94.178128379433204</v>
      </c>
      <c r="AJ1790">
        <v>54.260221398103504</v>
      </c>
      <c r="AK1790">
        <v>15.2628851592938</v>
      </c>
      <c r="AL1790">
        <v>93.6801052470786</v>
      </c>
      <c r="AM1790">
        <v>73.803367257938007</v>
      </c>
      <c r="AN1790">
        <v>1.00000001269794</v>
      </c>
    </row>
    <row r="1791" spans="1:40" x14ac:dyDescent="0.25">
      <c r="A1791" t="str">
        <f>"20190303154802333"</f>
        <v>20190303154802333</v>
      </c>
      <c r="B1791" t="str">
        <f>"1551599282322723"</f>
        <v>1551599282322723</v>
      </c>
      <c r="C1791" t="s">
        <v>40</v>
      </c>
      <c r="D1791">
        <v>6.1692239999999998</v>
      </c>
      <c r="E1791">
        <v>0.6366425</v>
      </c>
      <c r="F1791" t="s">
        <v>47</v>
      </c>
      <c r="G1791">
        <v>-207.43620000000001</v>
      </c>
      <c r="H1791" s="1">
        <v>5.6184189999999997E-6</v>
      </c>
      <c r="I1791">
        <v>283.42930000000001</v>
      </c>
      <c r="J1791">
        <v>-193.9453</v>
      </c>
      <c r="K1791">
        <v>1.1119460000000001</v>
      </c>
      <c r="L1791">
        <v>290.423</v>
      </c>
      <c r="M1791">
        <v>-0.45107740000000002</v>
      </c>
      <c r="N1791">
        <v>-1.5746530000000002E-2</v>
      </c>
      <c r="O1791">
        <v>-0.89234609999999903</v>
      </c>
      <c r="P1791">
        <v>-0.68425570000000002</v>
      </c>
      <c r="Q1791">
        <v>-7.117126E-2</v>
      </c>
      <c r="R1791">
        <v>-0.725761199999999</v>
      </c>
      <c r="S1791">
        <v>-2.8156129999999999</v>
      </c>
      <c r="T1791">
        <v>-0.23030200000000001</v>
      </c>
      <c r="U1791">
        <v>-1.484283</v>
      </c>
      <c r="V1791">
        <v>0.28193069999999998</v>
      </c>
      <c r="W1791">
        <v>-6.2411019999999998E-2</v>
      </c>
      <c r="X1791">
        <v>0.95740270000000005</v>
      </c>
      <c r="Y1791">
        <v>0.57692900000000003</v>
      </c>
      <c r="Z1791">
        <v>6.3014689999999998E-2</v>
      </c>
      <c r="AA1791">
        <v>0.81435990000000003</v>
      </c>
      <c r="AB1791">
        <v>20</v>
      </c>
      <c r="AC1791">
        <v>-13.4909</v>
      </c>
      <c r="AD1791">
        <v>-1.1119403815809901</v>
      </c>
      <c r="AE1791">
        <v>-6.9936999999999898</v>
      </c>
      <c r="AF1791">
        <v>8.8376321168133298</v>
      </c>
      <c r="AG1791">
        <v>-1.1119403815809901</v>
      </c>
      <c r="AH1791">
        <v>12.2621114828989</v>
      </c>
      <c r="AI1791">
        <v>94.207406439676703</v>
      </c>
      <c r="AJ1791">
        <v>54.218697677672203</v>
      </c>
      <c r="AK1791">
        <v>15.1558414765846</v>
      </c>
      <c r="AL1791">
        <v>93.578213574510897</v>
      </c>
      <c r="AM1791">
        <v>73.591642171122004</v>
      </c>
      <c r="AN1791">
        <v>0.99999999249361005</v>
      </c>
    </row>
    <row r="1792" spans="1:40" x14ac:dyDescent="0.25">
      <c r="A1792" t="str">
        <f>"20190303154802352"</f>
        <v>20190303154802352</v>
      </c>
      <c r="B1792" t="str">
        <f>"1551599282342244"</f>
        <v>1551599282342244</v>
      </c>
      <c r="C1792" t="s">
        <v>40</v>
      </c>
      <c r="D1792">
        <v>6.1452710000000002</v>
      </c>
      <c r="E1792">
        <v>0.63683789999999996</v>
      </c>
      <c r="F1792" t="s">
        <v>47</v>
      </c>
      <c r="G1792">
        <v>-207.63050000000001</v>
      </c>
      <c r="H1792" s="1">
        <v>5.6939860000000001E-6</v>
      </c>
      <c r="I1792">
        <v>283.55040000000002</v>
      </c>
      <c r="J1792">
        <v>-194.0412</v>
      </c>
      <c r="K1792">
        <v>1.111888</v>
      </c>
      <c r="L1792">
        <v>290.26940000000002</v>
      </c>
      <c r="M1792">
        <v>-0.4635957</v>
      </c>
      <c r="N1792">
        <v>-1.579355E-2</v>
      </c>
      <c r="O1792">
        <v>-0.88590619999999998</v>
      </c>
      <c r="P1792">
        <v>-0.69776199999999999</v>
      </c>
      <c r="Q1792">
        <v>-7.2104249999999995E-2</v>
      </c>
      <c r="R1792">
        <v>-0.71269169999999904</v>
      </c>
      <c r="S1792">
        <v>-2.844986</v>
      </c>
      <c r="T1792">
        <v>-0.23115830000000001</v>
      </c>
      <c r="U1792">
        <v>-1.428741</v>
      </c>
      <c r="V1792">
        <v>0.28643239999999998</v>
      </c>
      <c r="W1792">
        <v>-6.3466869999999995E-2</v>
      </c>
      <c r="X1792">
        <v>0.95599599999999996</v>
      </c>
      <c r="Y1792">
        <v>0.58148100000000003</v>
      </c>
      <c r="Z1792">
        <v>6.3353809999999997E-2</v>
      </c>
      <c r="AA1792">
        <v>0.81108950000000002</v>
      </c>
      <c r="AB1792">
        <v>20</v>
      </c>
      <c r="AC1792">
        <v>-13.5893</v>
      </c>
      <c r="AD1792">
        <v>-1.111882306014</v>
      </c>
      <c r="AE1792">
        <v>-6.7189999999999896</v>
      </c>
      <c r="AF1792">
        <v>8.8773025300223907</v>
      </c>
      <c r="AG1792">
        <v>-1.111882306014</v>
      </c>
      <c r="AH1792">
        <v>12.188305062993299</v>
      </c>
      <c r="AI1792">
        <v>94.217332907984201</v>
      </c>
      <c r="AJ1792">
        <v>53.932428925215</v>
      </c>
      <c r="AK1792">
        <v>15.119443203390601</v>
      </c>
      <c r="AL1792">
        <v>93.638829631851806</v>
      </c>
      <c r="AM1792">
        <v>73.320904201106103</v>
      </c>
      <c r="AN1792">
        <v>0.99999995768667704</v>
      </c>
    </row>
    <row r="1793" spans="1:40" x14ac:dyDescent="0.25">
      <c r="A1793" t="str">
        <f>"20190303154802398"</f>
        <v>20190303154802398</v>
      </c>
      <c r="B1793" t="str">
        <f>"1551599282392020"</f>
        <v>1551599282392020</v>
      </c>
      <c r="C1793" t="s">
        <v>40</v>
      </c>
      <c r="D1793">
        <v>6.0708460000000004</v>
      </c>
      <c r="E1793">
        <v>0.63759809999999995</v>
      </c>
      <c r="F1793" t="s">
        <v>47</v>
      </c>
      <c r="G1793">
        <v>-206.9787</v>
      </c>
      <c r="H1793" s="1">
        <v>5.3583379999999998E-6</v>
      </c>
      <c r="I1793">
        <v>284.08359999999999</v>
      </c>
      <c r="J1793">
        <v>-194.28290000000001</v>
      </c>
      <c r="K1793">
        <v>1.1117429999999999</v>
      </c>
      <c r="L1793">
        <v>289.90309999999999</v>
      </c>
      <c r="M1793">
        <v>-0.49407669999999998</v>
      </c>
      <c r="N1793">
        <v>-1.5910170000000001E-2</v>
      </c>
      <c r="O1793">
        <v>-0.86927269999999901</v>
      </c>
      <c r="P1793">
        <v>-0.72952220000000001</v>
      </c>
      <c r="Q1793">
        <v>-7.0562130000000001E-2</v>
      </c>
      <c r="R1793">
        <v>-0.68030760000000001</v>
      </c>
      <c r="S1793">
        <v>-2.8715060000000001</v>
      </c>
      <c r="T1793">
        <v>-0.24678369999999999</v>
      </c>
      <c r="U1793">
        <v>-1.3729549999999999</v>
      </c>
      <c r="V1793">
        <v>0.29672340000000003</v>
      </c>
      <c r="W1793">
        <v>-6.2204259999999997E-2</v>
      </c>
      <c r="X1793">
        <v>0.95293539999999999</v>
      </c>
      <c r="Y1793">
        <v>0.56861430000000002</v>
      </c>
      <c r="Z1793">
        <v>6.7829360000000005E-2</v>
      </c>
      <c r="AA1793">
        <v>0.81980309999999901</v>
      </c>
      <c r="AB1793">
        <v>20</v>
      </c>
      <c r="AC1793">
        <v>-12.695799999999901</v>
      </c>
      <c r="AD1793">
        <v>-1.111737641662</v>
      </c>
      <c r="AE1793">
        <v>-5.8194999999999997</v>
      </c>
      <c r="AF1793">
        <v>8.1104731691367906</v>
      </c>
      <c r="AG1793">
        <v>-1.111737641662</v>
      </c>
      <c r="AH1793">
        <v>11.261506126946299</v>
      </c>
      <c r="AI1793">
        <v>94.580036401881003</v>
      </c>
      <c r="AJ1793">
        <v>54.238779476358403</v>
      </c>
      <c r="AK1793">
        <v>13.922544877227899</v>
      </c>
      <c r="AL1793">
        <v>93.566343969179698</v>
      </c>
      <c r="AM1793">
        <v>72.704545135870902</v>
      </c>
      <c r="AN1793">
        <v>1.00000001132143</v>
      </c>
    </row>
    <row r="1794" spans="1:40" x14ac:dyDescent="0.25">
      <c r="A1794" t="str">
        <f>"20190303154802419"</f>
        <v>20190303154802419</v>
      </c>
      <c r="B1794" t="str">
        <f>"1551599282412516"</f>
        <v>1551599282412516</v>
      </c>
      <c r="C1794" t="s">
        <v>40</v>
      </c>
      <c r="D1794">
        <v>6.2284329999999999</v>
      </c>
      <c r="E1794">
        <v>0.6379129</v>
      </c>
      <c r="F1794" t="s">
        <v>47</v>
      </c>
      <c r="G1794">
        <v>-207.333</v>
      </c>
      <c r="H1794" s="1">
        <v>5.487201E-6</v>
      </c>
      <c r="I1794">
        <v>284.40660000000003</v>
      </c>
      <c r="J1794">
        <v>-194.39590000000001</v>
      </c>
      <c r="K1794">
        <v>1.11168</v>
      </c>
      <c r="L1794">
        <v>289.74169999999998</v>
      </c>
      <c r="M1794">
        <v>-0.50779589999999997</v>
      </c>
      <c r="N1794">
        <v>-1.5960459999999999E-2</v>
      </c>
      <c r="O1794">
        <v>-0.86132960000000003</v>
      </c>
      <c r="P1794">
        <v>-0.7450985</v>
      </c>
      <c r="Q1794">
        <v>-7.0907109999999995E-2</v>
      </c>
      <c r="R1794">
        <v>-0.6631745</v>
      </c>
      <c r="S1794">
        <v>-2.9352420000000001</v>
      </c>
      <c r="T1794">
        <v>-0.25005329999999998</v>
      </c>
      <c r="U1794">
        <v>-1.236267</v>
      </c>
      <c r="V1794">
        <v>0.30369380000000001</v>
      </c>
      <c r="W1794">
        <v>-6.2743779999999999E-2</v>
      </c>
      <c r="X1794">
        <v>0.95070149999999998</v>
      </c>
      <c r="Y1794">
        <v>0.59400759999999997</v>
      </c>
      <c r="Z1794">
        <v>6.952353E-2</v>
      </c>
      <c r="AA1794">
        <v>0.80144969999999904</v>
      </c>
      <c r="AB1794">
        <v>20</v>
      </c>
      <c r="AC1794">
        <v>-12.9370999999999</v>
      </c>
      <c r="AD1794">
        <v>-1.111674512799</v>
      </c>
      <c r="AE1794">
        <v>-5.33509999999995</v>
      </c>
      <c r="AF1794">
        <v>8.3821427857809301</v>
      </c>
      <c r="AG1794">
        <v>-1.111674512799</v>
      </c>
      <c r="AH1794">
        <v>11.096084505214099</v>
      </c>
      <c r="AI1794">
        <v>94.570546216962498</v>
      </c>
      <c r="AJ1794">
        <v>52.932073025749901</v>
      </c>
      <c r="AK1794">
        <v>13.950599601826401</v>
      </c>
      <c r="AL1794">
        <v>93.5973166445701</v>
      </c>
      <c r="AM1794">
        <v>72.284344693272601</v>
      </c>
      <c r="AN1794">
        <v>1.00000002409468</v>
      </c>
    </row>
    <row r="1795" spans="1:40" x14ac:dyDescent="0.25">
      <c r="A1795" t="str">
        <f>"20190303154802443"</f>
        <v>20190303154802443</v>
      </c>
      <c r="B1795" t="str">
        <f>"1551599282432035"</f>
        <v>1551599282432035</v>
      </c>
      <c r="C1795" t="s">
        <v>40</v>
      </c>
      <c r="D1795">
        <v>6.3705339999999904</v>
      </c>
      <c r="E1795">
        <v>0.63807789999999998</v>
      </c>
      <c r="F1795" t="s">
        <v>47</v>
      </c>
      <c r="G1795">
        <v>-207.3997</v>
      </c>
      <c r="H1795" s="1">
        <v>5.4975170000000001E-6</v>
      </c>
      <c r="I1795">
        <v>284.62670000000003</v>
      </c>
      <c r="J1795">
        <v>-194.523</v>
      </c>
      <c r="K1795">
        <v>1.1116189999999999</v>
      </c>
      <c r="L1795">
        <v>289.56689999999998</v>
      </c>
      <c r="M1795">
        <v>-0.52284969999999997</v>
      </c>
      <c r="N1795">
        <v>-1.6012140000000001E-2</v>
      </c>
      <c r="O1795">
        <v>-0.85227450000000005</v>
      </c>
      <c r="P1795">
        <v>-0.7613143</v>
      </c>
      <c r="Q1795">
        <v>-7.2838620000000007E-2</v>
      </c>
      <c r="R1795">
        <v>-0.64427900000000005</v>
      </c>
      <c r="S1795">
        <v>-2.9643709999999999</v>
      </c>
      <c r="T1795">
        <v>-0.25341960000000002</v>
      </c>
      <c r="U1795">
        <v>-1.1660159999999999</v>
      </c>
      <c r="V1795">
        <v>0.31060900000000002</v>
      </c>
      <c r="W1795">
        <v>-6.4870659999999997E-2</v>
      </c>
      <c r="X1795">
        <v>0.94832159999999999</v>
      </c>
      <c r="Y1795">
        <v>0.59892889999999999</v>
      </c>
      <c r="Z1795">
        <v>7.0628029999999994E-2</v>
      </c>
      <c r="AA1795">
        <v>0.79768159999999999</v>
      </c>
      <c r="AB1795">
        <v>20</v>
      </c>
      <c r="AC1795">
        <v>-12.8767</v>
      </c>
      <c r="AD1795">
        <v>-1.1116135024830001</v>
      </c>
      <c r="AE1795">
        <v>-4.9401999999999404</v>
      </c>
      <c r="AF1795">
        <v>8.3384084200649902</v>
      </c>
      <c r="AG1795">
        <v>-1.1116135024830001</v>
      </c>
      <c r="AH1795">
        <v>10.8737495759799</v>
      </c>
      <c r="AI1795">
        <v>94.637845427599601</v>
      </c>
      <c r="AJ1795">
        <v>52.517624884554301</v>
      </c>
      <c r="AK1795">
        <v>13.7478423543419</v>
      </c>
      <c r="AL1795">
        <v>93.719426813501499</v>
      </c>
      <c r="AM1795">
        <v>71.864541037697194</v>
      </c>
      <c r="AN1795">
        <v>1.0000000052181901</v>
      </c>
    </row>
    <row r="1796" spans="1:40" x14ac:dyDescent="0.25">
      <c r="A1796" t="str">
        <f>"20190303154802465"</f>
        <v>20190303154802465</v>
      </c>
      <c r="B1796" t="str">
        <f>"1551599282462291"</f>
        <v>1551599282462291</v>
      </c>
      <c r="C1796" t="s">
        <v>40</v>
      </c>
      <c r="D1796">
        <v>6.0447899999999999</v>
      </c>
      <c r="E1796">
        <v>0.6376136</v>
      </c>
      <c r="F1796" t="s">
        <v>47</v>
      </c>
      <c r="G1796">
        <v>-207.3</v>
      </c>
      <c r="H1796" s="1">
        <v>5.4283180000000003E-6</v>
      </c>
      <c r="I1796">
        <v>284.91309999999999</v>
      </c>
      <c r="J1796">
        <v>-194.6482</v>
      </c>
      <c r="K1796">
        <v>1.111567</v>
      </c>
      <c r="L1796">
        <v>289.40120000000002</v>
      </c>
      <c r="M1796">
        <v>-0.5373021</v>
      </c>
      <c r="N1796">
        <v>-1.6058900000000001E-2</v>
      </c>
      <c r="O1796">
        <v>-0.84323709999999996</v>
      </c>
      <c r="P1796">
        <v>-0.77597479999999996</v>
      </c>
      <c r="Q1796">
        <v>-7.4093850000000003E-2</v>
      </c>
      <c r="R1796">
        <v>-0.62639709999999904</v>
      </c>
      <c r="S1796">
        <v>-2.9930729999999999</v>
      </c>
      <c r="T1796">
        <v>-0.26039899999999999</v>
      </c>
      <c r="U1796">
        <v>-1.090179</v>
      </c>
      <c r="V1796">
        <v>0.31635049999999998</v>
      </c>
      <c r="W1796">
        <v>-6.6283410000000001E-2</v>
      </c>
      <c r="X1796">
        <v>0.9463239</v>
      </c>
      <c r="Y1796">
        <v>0.60539390000000004</v>
      </c>
      <c r="Z1796">
        <v>7.2949230000000004E-2</v>
      </c>
      <c r="AA1796">
        <v>0.7925759</v>
      </c>
      <c r="AB1796">
        <v>20</v>
      </c>
      <c r="AC1796">
        <v>-12.6518</v>
      </c>
      <c r="AD1796">
        <v>-1.111561571682</v>
      </c>
      <c r="AE1796">
        <v>-4.4881000000000304</v>
      </c>
      <c r="AF1796">
        <v>8.2018318189360109</v>
      </c>
      <c r="AG1796">
        <v>-1.111561571682</v>
      </c>
      <c r="AH1796">
        <v>10.5116642405258</v>
      </c>
      <c r="AI1796">
        <v>94.765732791700003</v>
      </c>
      <c r="AJ1796">
        <v>52.036506054431698</v>
      </c>
      <c r="AK1796">
        <v>13.3791142987606</v>
      </c>
      <c r="AL1796">
        <v>93.800545959781402</v>
      </c>
      <c r="AM1796">
        <v>71.515522184675106</v>
      </c>
      <c r="AN1796">
        <v>1.00000002650134</v>
      </c>
    </row>
    <row r="1797" spans="1:40" x14ac:dyDescent="0.25">
      <c r="A1797" t="str">
        <f>"20190303154802488"</f>
        <v>20190303154802488</v>
      </c>
      <c r="B1797" t="str">
        <f>"1551599282482789"</f>
        <v>1551599282482789</v>
      </c>
      <c r="C1797" t="s">
        <v>40</v>
      </c>
      <c r="D1797">
        <v>6.0464449999999896</v>
      </c>
      <c r="E1797">
        <v>0.63696549999999996</v>
      </c>
      <c r="F1797" t="s">
        <v>47</v>
      </c>
      <c r="G1797">
        <v>-207.06890000000001</v>
      </c>
      <c r="H1797" s="1">
        <v>5.3019419999999999E-6</v>
      </c>
      <c r="I1797">
        <v>285.18630000000002</v>
      </c>
      <c r="J1797">
        <v>-194.7818</v>
      </c>
      <c r="K1797">
        <v>1.111542</v>
      </c>
      <c r="L1797">
        <v>289.23099999999999</v>
      </c>
      <c r="M1797">
        <v>-0.5523055</v>
      </c>
      <c r="N1797">
        <v>-1.6103369999999999E-2</v>
      </c>
      <c r="O1797">
        <v>-0.83348630000000001</v>
      </c>
      <c r="P1797">
        <v>-0.79009289999999999</v>
      </c>
      <c r="Q1797">
        <v>-7.4422790000000003E-2</v>
      </c>
      <c r="R1797">
        <v>-0.60845280000000002</v>
      </c>
      <c r="S1797">
        <v>-3.0145719999999998</v>
      </c>
      <c r="T1797">
        <v>-0.26978089999999999</v>
      </c>
      <c r="U1797">
        <v>-1.02298</v>
      </c>
      <c r="V1797">
        <v>0.3210517</v>
      </c>
      <c r="W1797">
        <v>-6.6729289999999997E-2</v>
      </c>
      <c r="X1797">
        <v>0.94470790000000004</v>
      </c>
      <c r="Y1797">
        <v>0.60846669999999903</v>
      </c>
      <c r="Z1797">
        <v>7.5938130000000006E-2</v>
      </c>
      <c r="AA1797">
        <v>0.78993780000000002</v>
      </c>
      <c r="AB1797">
        <v>20</v>
      </c>
      <c r="AC1797">
        <v>-12.287100000000001</v>
      </c>
      <c r="AD1797">
        <v>-1.1115366980579999</v>
      </c>
      <c r="AE1797">
        <v>-4.0446999999999704</v>
      </c>
      <c r="AF1797">
        <v>7.9495611961857904</v>
      </c>
      <c r="AG1797">
        <v>-1.1115366980579999</v>
      </c>
      <c r="AH1797">
        <v>10.084293442842</v>
      </c>
      <c r="AI1797">
        <v>94.947320400799398</v>
      </c>
      <c r="AJ1797">
        <v>51.750892632547703</v>
      </c>
      <c r="AK1797">
        <v>12.888910399423899</v>
      </c>
      <c r="AL1797">
        <v>93.826149773282793</v>
      </c>
      <c r="AM1797">
        <v>71.230066738249505</v>
      </c>
      <c r="AN1797">
        <v>1.0000000042696</v>
      </c>
    </row>
    <row r="1798" spans="1:40" x14ac:dyDescent="0.25">
      <c r="A1798" t="str">
        <f>"20190303154802512"</f>
        <v>20190303154802512</v>
      </c>
      <c r="B1798" t="str">
        <f>"1551599282502308"</f>
        <v>1551599282502308</v>
      </c>
      <c r="C1798" t="s">
        <v>40</v>
      </c>
      <c r="D1798">
        <v>6.0299079999999998</v>
      </c>
      <c r="E1798">
        <v>0.63661709999999905</v>
      </c>
      <c r="F1798" t="s">
        <v>47</v>
      </c>
      <c r="G1798">
        <v>-207.06729999999999</v>
      </c>
      <c r="H1798" s="1">
        <v>5.286563E-6</v>
      </c>
      <c r="I1798">
        <v>285.35379999999998</v>
      </c>
      <c r="J1798">
        <v>-194.91970000000001</v>
      </c>
      <c r="K1798">
        <v>1.1115489999999999</v>
      </c>
      <c r="L1798">
        <v>289.06180000000001</v>
      </c>
      <c r="M1798">
        <v>-0.56736609999999998</v>
      </c>
      <c r="N1798">
        <v>-1.6142790000000001E-2</v>
      </c>
      <c r="O1798">
        <v>-0.82330759999999903</v>
      </c>
      <c r="P1798">
        <v>-0.80295280000000002</v>
      </c>
      <c r="Q1798">
        <v>-7.2986889999999999E-2</v>
      </c>
      <c r="R1798">
        <v>-0.59155749999999996</v>
      </c>
      <c r="S1798">
        <v>-3.0338289999999999</v>
      </c>
      <c r="T1798">
        <v>-0.27448729999999999</v>
      </c>
      <c r="U1798">
        <v>-0.95745849999999999</v>
      </c>
      <c r="V1798">
        <v>0.32405080000000003</v>
      </c>
      <c r="W1798">
        <v>-6.5351519999999996E-2</v>
      </c>
      <c r="X1798">
        <v>0.94377979999999995</v>
      </c>
      <c r="Y1798">
        <v>0.61087269999999905</v>
      </c>
      <c r="Z1798">
        <v>7.7382560000000003E-2</v>
      </c>
      <c r="AA1798">
        <v>0.78793809999999997</v>
      </c>
      <c r="AB1798">
        <v>20</v>
      </c>
      <c r="AC1798">
        <v>-12.147599999999899</v>
      </c>
      <c r="AD1798">
        <v>-1.1115437134370001</v>
      </c>
      <c r="AE1798">
        <v>-3.7080000000000202</v>
      </c>
      <c r="AF1798">
        <v>7.8384101426235704</v>
      </c>
      <c r="AG1798">
        <v>-1.1115437134370001</v>
      </c>
      <c r="AH1798">
        <v>9.8706544674160206</v>
      </c>
      <c r="AI1798">
        <v>95.039709496520004</v>
      </c>
      <c r="AJ1798">
        <v>51.546471470959901</v>
      </c>
      <c r="AK1798">
        <v>12.653300858115401</v>
      </c>
      <c r="AL1798">
        <v>93.747036569716897</v>
      </c>
      <c r="AM1798">
        <v>71.049873553726499</v>
      </c>
      <c r="AN1798">
        <v>1.00000002651749</v>
      </c>
    </row>
    <row r="1799" spans="1:40" x14ac:dyDescent="0.25">
      <c r="A1799" t="str">
        <f>"20190303154802534"</f>
        <v>20190303154802534</v>
      </c>
      <c r="B1799" t="str">
        <f>"1551599282522804"</f>
        <v>1551599282522804</v>
      </c>
      <c r="C1799" t="s">
        <v>40</v>
      </c>
      <c r="D1799">
        <v>6.0231490000000001</v>
      </c>
      <c r="E1799">
        <v>0.63572419999999996</v>
      </c>
      <c r="F1799" t="s">
        <v>47</v>
      </c>
      <c r="G1799">
        <v>-207.53120000000001</v>
      </c>
      <c r="H1799" s="1">
        <v>5.4913999999999996E-6</v>
      </c>
      <c r="I1799">
        <v>285.36380000000003</v>
      </c>
      <c r="J1799">
        <v>-195.05430000000001</v>
      </c>
      <c r="K1799">
        <v>1.1115489999999999</v>
      </c>
      <c r="L1799">
        <v>288.90269999999998</v>
      </c>
      <c r="M1799">
        <v>-0.58165659999999997</v>
      </c>
      <c r="N1799">
        <v>-1.6175970000000001E-2</v>
      </c>
      <c r="O1799">
        <v>-0.81327369999999899</v>
      </c>
      <c r="P1799">
        <v>-0.814612</v>
      </c>
      <c r="Q1799">
        <v>-7.1768200000000004E-2</v>
      </c>
      <c r="R1799">
        <v>-0.57554959999999999</v>
      </c>
      <c r="S1799">
        <v>-3.052368</v>
      </c>
      <c r="T1799">
        <v>-0.2690285</v>
      </c>
      <c r="U1799">
        <v>-0.89505000000000001</v>
      </c>
      <c r="V1799">
        <v>0.32636189999999998</v>
      </c>
      <c r="W1799">
        <v>-6.4170409999999997E-2</v>
      </c>
      <c r="X1799">
        <v>0.94306420000000002</v>
      </c>
      <c r="Y1799">
        <v>0.61334820000000001</v>
      </c>
      <c r="Z1799">
        <v>7.5551610000000005E-2</v>
      </c>
      <c r="AA1799">
        <v>0.78619069999999902</v>
      </c>
      <c r="AB1799">
        <v>20</v>
      </c>
      <c r="AC1799">
        <v>-12.476900000000001</v>
      </c>
      <c r="AD1799">
        <v>-1.1115435085999901</v>
      </c>
      <c r="AE1799">
        <v>-3.5388999999999502</v>
      </c>
      <c r="AF1799">
        <v>8.0307759176407991</v>
      </c>
      <c r="AG1799">
        <v>-1.1115435085999901</v>
      </c>
      <c r="AH1799">
        <v>10.0627724998508</v>
      </c>
      <c r="AI1799">
        <v>94.934499515968596</v>
      </c>
      <c r="AJ1799">
        <v>51.407755412594902</v>
      </c>
      <c r="AK1799">
        <v>12.922394561172601</v>
      </c>
      <c r="AL1799">
        <v>93.679221659638998</v>
      </c>
      <c r="AM1799">
        <v>70.911032911249904</v>
      </c>
      <c r="AN1799">
        <v>1.0000000083064</v>
      </c>
    </row>
    <row r="1800" spans="1:40" x14ac:dyDescent="0.25">
      <c r="A1800" t="str">
        <f>"20190303154802554"</f>
        <v>20190303154802554</v>
      </c>
      <c r="B1800" t="str">
        <f>"1551599282542324"</f>
        <v>1551599282542324</v>
      </c>
      <c r="C1800" t="s">
        <v>40</v>
      </c>
      <c r="D1800">
        <v>6.0752379999999997</v>
      </c>
      <c r="E1800">
        <v>0.63538409999999901</v>
      </c>
      <c r="F1800" t="s">
        <v>47</v>
      </c>
      <c r="G1800">
        <v>-207.78790000000001</v>
      </c>
      <c r="H1800" s="1">
        <v>5.6009939999999997E-6</v>
      </c>
      <c r="I1800">
        <v>285.4126</v>
      </c>
      <c r="J1800">
        <v>-195.1754</v>
      </c>
      <c r="K1800">
        <v>1.111548</v>
      </c>
      <c r="L1800">
        <v>288.76429999999999</v>
      </c>
      <c r="M1800">
        <v>-0.59419549999999999</v>
      </c>
      <c r="N1800">
        <v>-1.6203220000000001E-2</v>
      </c>
      <c r="O1800">
        <v>-0.80415729999999996</v>
      </c>
      <c r="P1800">
        <v>-0.82407839999999999</v>
      </c>
      <c r="Q1800">
        <v>-7.1235409999999999E-2</v>
      </c>
      <c r="R1800">
        <v>-0.56197909999999995</v>
      </c>
      <c r="S1800">
        <v>-3.0655359999999998</v>
      </c>
      <c r="T1800">
        <v>-0.267596</v>
      </c>
      <c r="U1800">
        <v>-0.84021000000000001</v>
      </c>
      <c r="V1800">
        <v>0.32740740000000002</v>
      </c>
      <c r="W1800">
        <v>-6.3643350000000001E-2</v>
      </c>
      <c r="X1800">
        <v>0.94273750000000001</v>
      </c>
      <c r="Y1800">
        <v>0.61509440000000004</v>
      </c>
      <c r="Z1800">
        <v>7.5032370000000001E-2</v>
      </c>
      <c r="AA1800">
        <v>0.7848752</v>
      </c>
      <c r="AB1800">
        <v>20</v>
      </c>
      <c r="AC1800">
        <v>-12.612500000000001</v>
      </c>
      <c r="AD1800">
        <v>-1.111542399006</v>
      </c>
      <c r="AE1800">
        <v>-3.3516999999999899</v>
      </c>
      <c r="AF1800">
        <v>8.0932266586754604</v>
      </c>
      <c r="AG1800">
        <v>-1.111542399006</v>
      </c>
      <c r="AH1800">
        <v>10.1175249159784</v>
      </c>
      <c r="AI1800">
        <v>94.903508655679303</v>
      </c>
      <c r="AJ1800">
        <v>51.342931076145902</v>
      </c>
      <c r="AK1800">
        <v>13.0038515324855</v>
      </c>
      <c r="AL1800">
        <v>93.648961382599296</v>
      </c>
      <c r="AM1800">
        <v>70.848175037417803</v>
      </c>
      <c r="AN1800">
        <v>1.0000000377401099</v>
      </c>
    </row>
    <row r="1801" spans="1:40" x14ac:dyDescent="0.25">
      <c r="A1801" t="str">
        <f>"20190303154802577"</f>
        <v>20190303154802577</v>
      </c>
      <c r="B1801" t="str">
        <f>"1551599282572580"</f>
        <v>1551599282572580</v>
      </c>
      <c r="C1801" t="s">
        <v>40</v>
      </c>
      <c r="D1801">
        <v>6.0421690000000003</v>
      </c>
      <c r="E1801">
        <v>0.67877719999999997</v>
      </c>
      <c r="F1801" t="s">
        <v>47</v>
      </c>
      <c r="G1801">
        <v>-208.0909</v>
      </c>
      <c r="H1801" s="1">
        <v>5.732685E-6</v>
      </c>
      <c r="I1801">
        <v>285.44319999999999</v>
      </c>
      <c r="J1801">
        <v>-195.3186</v>
      </c>
      <c r="K1801">
        <v>1.11155</v>
      </c>
      <c r="L1801">
        <v>288.60629999999998</v>
      </c>
      <c r="M1801">
        <v>-0.60862590000000005</v>
      </c>
      <c r="N1801">
        <v>-1.6233520000000001E-2</v>
      </c>
      <c r="O1801">
        <v>-0.79329159999999999</v>
      </c>
      <c r="P1801">
        <v>-0.83465119999999904</v>
      </c>
      <c r="Q1801">
        <v>-7.1270089999999994E-2</v>
      </c>
      <c r="R1801">
        <v>-0.54614910000000005</v>
      </c>
      <c r="S1801">
        <v>-3.0778050000000001</v>
      </c>
      <c r="T1801">
        <v>-0.26488469999999997</v>
      </c>
      <c r="U1801">
        <v>-0.79144289999999995</v>
      </c>
      <c r="V1801">
        <v>0.3283643</v>
      </c>
      <c r="W1801">
        <v>-6.3680520000000004E-2</v>
      </c>
      <c r="X1801">
        <v>0.94240210000000002</v>
      </c>
      <c r="Y1801">
        <v>0.6133826</v>
      </c>
      <c r="Z1801">
        <v>7.3871930000000002E-2</v>
      </c>
      <c r="AA1801">
        <v>0.78632349999999995</v>
      </c>
      <c r="AB1801">
        <v>20</v>
      </c>
      <c r="AC1801">
        <v>-12.7723</v>
      </c>
      <c r="AD1801">
        <v>-1.111544267315</v>
      </c>
      <c r="AE1801">
        <v>-3.16309999999998</v>
      </c>
      <c r="AF1801">
        <v>8.1499337969940893</v>
      </c>
      <c r="AG1801">
        <v>-1.111544267315</v>
      </c>
      <c r="AH1801">
        <v>10.2112960997844</v>
      </c>
      <c r="AI1801">
        <v>94.862932461474202</v>
      </c>
      <c r="AJ1801">
        <v>51.405609810631397</v>
      </c>
      <c r="AK1801">
        <v>13.1121134677465</v>
      </c>
      <c r="AL1801">
        <v>93.651095459887003</v>
      </c>
      <c r="AM1801">
        <v>70.789960468265207</v>
      </c>
      <c r="AN1801">
        <v>1.00000002011318</v>
      </c>
    </row>
    <row r="1802" spans="1:40" x14ac:dyDescent="0.25">
      <c r="A1802" t="str">
        <f>"20190303154802599"</f>
        <v>20190303154802599</v>
      </c>
      <c r="B1802" t="str">
        <f>"1551599282592100"</f>
        <v>1551599282592100</v>
      </c>
      <c r="C1802" t="s">
        <v>40</v>
      </c>
      <c r="D1802">
        <v>6.2928300000000004</v>
      </c>
      <c r="E1802">
        <v>0.67921919999999902</v>
      </c>
      <c r="F1802" t="s">
        <v>52</v>
      </c>
      <c r="G1802">
        <v>-213.6292</v>
      </c>
      <c r="H1802" s="1">
        <v>3.9449549999999997E-7</v>
      </c>
      <c r="I1802">
        <v>286.12040000000002</v>
      </c>
      <c r="J1802">
        <v>-195.46469999999999</v>
      </c>
      <c r="K1802">
        <v>1.111558</v>
      </c>
      <c r="L1802">
        <v>288.45089999999999</v>
      </c>
      <c r="M1802">
        <v>-0.62293999999999905</v>
      </c>
      <c r="N1802">
        <v>-1.6262289999999999E-2</v>
      </c>
      <c r="O1802">
        <v>-0.78210059999999904</v>
      </c>
      <c r="P1802">
        <v>-0.84420620000000002</v>
      </c>
      <c r="Q1802">
        <v>-6.8951419999999999E-2</v>
      </c>
      <c r="R1802">
        <v>-0.53156539999999997</v>
      </c>
      <c r="S1802">
        <v>-3.2854000000000001</v>
      </c>
      <c r="T1802">
        <v>-0.1994408</v>
      </c>
      <c r="U1802">
        <v>-0.44604490000000002</v>
      </c>
      <c r="V1802">
        <v>0.32781840000000001</v>
      </c>
      <c r="W1802">
        <v>-6.1320119999999999E-2</v>
      </c>
      <c r="X1802">
        <v>0.94274860000000005</v>
      </c>
      <c r="Y1802">
        <v>0.68938409999999894</v>
      </c>
      <c r="Z1802">
        <v>5.331806E-2</v>
      </c>
      <c r="AA1802">
        <v>0.72243109999999999</v>
      </c>
      <c r="AB1802">
        <v>20</v>
      </c>
      <c r="AC1802">
        <v>-18.1645</v>
      </c>
      <c r="AD1802">
        <v>-1.1115576055045</v>
      </c>
      <c r="AE1802">
        <v>-2.33049999999997</v>
      </c>
      <c r="AF1802">
        <v>12.709568453033899</v>
      </c>
      <c r="AG1802">
        <v>-1.1115576055045</v>
      </c>
      <c r="AH1802">
        <v>13.0915861710132</v>
      </c>
      <c r="AI1802">
        <v>93.486153195964704</v>
      </c>
      <c r="AJ1802">
        <v>45.848272257883302</v>
      </c>
      <c r="AK1802">
        <v>18.2799977857158</v>
      </c>
      <c r="AL1802">
        <v>93.515589651304396</v>
      </c>
      <c r="AM1802">
        <v>70.826096925207494</v>
      </c>
      <c r="AN1802">
        <v>0.99999999164866704</v>
      </c>
    </row>
    <row r="1803" spans="1:40" x14ac:dyDescent="0.25">
      <c r="A1803" t="str">
        <f>"20190303154802623"</f>
        <v>20190303154802623</v>
      </c>
      <c r="B1803" t="str">
        <f>"1551599282612596"</f>
        <v>1551599282612596</v>
      </c>
      <c r="C1803" t="s">
        <v>40</v>
      </c>
      <c r="D1803">
        <v>6.0084200000000001</v>
      </c>
      <c r="E1803">
        <v>0.67746619999999902</v>
      </c>
      <c r="F1803" t="s">
        <v>52</v>
      </c>
      <c r="G1803">
        <v>-213.7594</v>
      </c>
      <c r="H1803" s="1">
        <v>4.637683E-7</v>
      </c>
      <c r="I1803">
        <v>286.30930000000001</v>
      </c>
      <c r="J1803">
        <v>-195.60810000000001</v>
      </c>
      <c r="K1803">
        <v>1.111558</v>
      </c>
      <c r="L1803">
        <v>288.30399999999997</v>
      </c>
      <c r="M1803">
        <v>-0.63658380000000003</v>
      </c>
      <c r="N1803">
        <v>-1.6287530000000001E-2</v>
      </c>
      <c r="O1803">
        <v>-0.77103549999999998</v>
      </c>
      <c r="P1803">
        <v>-0.85303600000000002</v>
      </c>
      <c r="Q1803">
        <v>-6.6050680000000001E-2</v>
      </c>
      <c r="R1803">
        <v>-0.51765509999999904</v>
      </c>
      <c r="S1803">
        <v>-3.2944490000000002</v>
      </c>
      <c r="T1803">
        <v>-0.2001656</v>
      </c>
      <c r="U1803">
        <v>-0.38565060000000001</v>
      </c>
      <c r="V1803">
        <v>0.32695580000000002</v>
      </c>
      <c r="W1803">
        <v>-5.8371399999999997E-2</v>
      </c>
      <c r="X1803">
        <v>0.94323520000000005</v>
      </c>
      <c r="Y1803">
        <v>0.68996199999999996</v>
      </c>
      <c r="Z1803">
        <v>5.3458239999999997E-2</v>
      </c>
      <c r="AA1803">
        <v>0.72186879999999998</v>
      </c>
      <c r="AB1803">
        <v>20</v>
      </c>
      <c r="AC1803">
        <v>-18.1512999999999</v>
      </c>
      <c r="AD1803">
        <v>-1.1115575362316901</v>
      </c>
      <c r="AE1803">
        <v>-1.9947000000000199</v>
      </c>
      <c r="AF1803">
        <v>12.680206250964501</v>
      </c>
      <c r="AG1803">
        <v>-1.1115575362316901</v>
      </c>
      <c r="AH1803">
        <v>13.0462038957782</v>
      </c>
      <c r="AI1803">
        <v>93.496285761945899</v>
      </c>
      <c r="AJ1803">
        <v>45.815065361536703</v>
      </c>
      <c r="AK1803">
        <v>18.2270849785031</v>
      </c>
      <c r="AL1803">
        <v>93.346337056893006</v>
      </c>
      <c r="AM1803">
        <v>70.882030788564293</v>
      </c>
      <c r="AN1803">
        <v>0.99999997900531901</v>
      </c>
    </row>
    <row r="1804" spans="1:40" x14ac:dyDescent="0.25">
      <c r="A1804" t="str">
        <f>"20190303154802646"</f>
        <v>20190303154802646</v>
      </c>
      <c r="B1804" t="str">
        <f>"1551599282642853"</f>
        <v>1551599282642853</v>
      </c>
      <c r="C1804" t="s">
        <v>40</v>
      </c>
      <c r="D1804">
        <v>6.1249719999999996</v>
      </c>
      <c r="E1804">
        <v>0.67483470000000001</v>
      </c>
      <c r="F1804" t="s">
        <v>52</v>
      </c>
      <c r="G1804">
        <v>-214.7072</v>
      </c>
      <c r="H1804" s="1">
        <v>9.6817369999999999E-7</v>
      </c>
      <c r="I1804">
        <v>286.3134</v>
      </c>
      <c r="J1804">
        <v>-195.76519999999999</v>
      </c>
      <c r="K1804">
        <v>1.111542</v>
      </c>
      <c r="L1804">
        <v>288.14949999999999</v>
      </c>
      <c r="M1804">
        <v>-0.65109139999999999</v>
      </c>
      <c r="N1804">
        <v>-1.6311829999999999E-2</v>
      </c>
      <c r="O1804">
        <v>-0.7588241</v>
      </c>
      <c r="P1804">
        <v>-0.86246319999999999</v>
      </c>
      <c r="Q1804">
        <v>-6.5520850000000005E-2</v>
      </c>
      <c r="R1804">
        <v>-0.50186120000000001</v>
      </c>
      <c r="S1804">
        <v>-3.2936860000000001</v>
      </c>
      <c r="T1804">
        <v>-0.19169059999999999</v>
      </c>
      <c r="U1804">
        <v>-0.34329219999999999</v>
      </c>
      <c r="V1804">
        <v>0.3264784</v>
      </c>
      <c r="W1804">
        <v>-5.7808560000000002E-2</v>
      </c>
      <c r="X1804">
        <v>0.94343529999999998</v>
      </c>
      <c r="Y1804">
        <v>0.68556779999999995</v>
      </c>
      <c r="Z1804">
        <v>5.068189E-2</v>
      </c>
      <c r="AA1804">
        <v>0.72624250000000001</v>
      </c>
      <c r="AB1804">
        <v>20</v>
      </c>
      <c r="AC1804">
        <v>-18.942</v>
      </c>
      <c r="AD1804">
        <v>-1.1115410318262999</v>
      </c>
      <c r="AE1804">
        <v>-1.8360999999999801</v>
      </c>
      <c r="AF1804">
        <v>13.135120380542901</v>
      </c>
      <c r="AG1804">
        <v>-1.1115410318262999</v>
      </c>
      <c r="AH1804">
        <v>13.681402718284099</v>
      </c>
      <c r="AI1804">
        <v>93.354085072575003</v>
      </c>
      <c r="AJ1804">
        <v>46.167017205625498</v>
      </c>
      <c r="AK1804">
        <v>18.998623403201002</v>
      </c>
      <c r="AL1804">
        <v>93.314033848154097</v>
      </c>
      <c r="AM1804">
        <v>70.911679667397394</v>
      </c>
      <c r="AN1804">
        <v>1.0000000702809499</v>
      </c>
    </row>
    <row r="1805" spans="1:40" x14ac:dyDescent="0.25">
      <c r="A1805" t="str">
        <f>"20190303154802666"</f>
        <v>20190303154802666</v>
      </c>
      <c r="B1805" t="str">
        <f>"1551599282662373"</f>
        <v>1551599282662373</v>
      </c>
      <c r="C1805" t="s">
        <v>40</v>
      </c>
      <c r="D1805">
        <v>6.1850170000000002</v>
      </c>
      <c r="E1805">
        <v>0.67166099999999995</v>
      </c>
      <c r="F1805" t="s">
        <v>52</v>
      </c>
      <c r="G1805">
        <v>-213.7919</v>
      </c>
      <c r="H1805" s="1">
        <v>4.8104760000000001E-7</v>
      </c>
      <c r="I1805">
        <v>286.50380000000001</v>
      </c>
      <c r="J1805">
        <v>-195.9</v>
      </c>
      <c r="K1805">
        <v>1.1115120000000001</v>
      </c>
      <c r="L1805">
        <v>288.0213</v>
      </c>
      <c r="M1805">
        <v>-0.66319700000000004</v>
      </c>
      <c r="N1805">
        <v>-1.6330270000000001E-2</v>
      </c>
      <c r="O1805">
        <v>-0.74826669999999995</v>
      </c>
      <c r="P1805">
        <v>-0.87079649999999997</v>
      </c>
      <c r="Q1805">
        <v>-6.9054199999999996E-2</v>
      </c>
      <c r="R1805">
        <v>-0.48676999999999998</v>
      </c>
      <c r="S1805">
        <v>-3.2883149999999999</v>
      </c>
      <c r="T1805">
        <v>-0.2027612</v>
      </c>
      <c r="U1805">
        <v>-0.30020140000000001</v>
      </c>
      <c r="V1805">
        <v>0.3274591</v>
      </c>
      <c r="W1805">
        <v>-6.1357960000000003E-2</v>
      </c>
      <c r="X1805">
        <v>0.94287100000000001</v>
      </c>
      <c r="Y1805">
        <v>0.68295850000000002</v>
      </c>
      <c r="Z1805">
        <v>5.4037620000000001E-2</v>
      </c>
      <c r="AA1805">
        <v>0.72845569999999904</v>
      </c>
      <c r="AB1805">
        <v>20</v>
      </c>
      <c r="AC1805">
        <v>-17.8918999999999</v>
      </c>
      <c r="AD1805">
        <v>-1.1115115189523901</v>
      </c>
      <c r="AE1805">
        <v>-1.5174999999999801</v>
      </c>
      <c r="AF1805">
        <v>12.335894237247199</v>
      </c>
      <c r="AG1805">
        <v>-1.1115115189523901</v>
      </c>
      <c r="AH1805">
        <v>12.953448164790901</v>
      </c>
      <c r="AI1805">
        <v>93.555711998170295</v>
      </c>
      <c r="AJ1805">
        <v>46.3988581614841</v>
      </c>
      <c r="AK1805">
        <v>17.922097082853799</v>
      </c>
      <c r="AL1805">
        <v>93.517761812467796</v>
      </c>
      <c r="AM1805">
        <v>70.847885672200107</v>
      </c>
      <c r="AN1805">
        <v>0.99999999203458501</v>
      </c>
    </row>
    <row r="1806" spans="1:40" x14ac:dyDescent="0.25">
      <c r="A1806" t="str">
        <f>"20190303154802688"</f>
        <v>20190303154802688</v>
      </c>
      <c r="B1806" t="str">
        <f>"1551599282682868"</f>
        <v>1551599282682868</v>
      </c>
      <c r="C1806" t="s">
        <v>40</v>
      </c>
      <c r="D1806">
        <v>6.3578000000000001</v>
      </c>
      <c r="E1806">
        <v>0.67140359999999999</v>
      </c>
      <c r="F1806" t="s">
        <v>52</v>
      </c>
      <c r="G1806">
        <v>-211.33699999999999</v>
      </c>
      <c r="H1806" s="1">
        <v>-8.2529609999999905E-7</v>
      </c>
      <c r="I1806">
        <v>286.77839999999998</v>
      </c>
      <c r="J1806">
        <v>-196.04830000000001</v>
      </c>
      <c r="K1806">
        <v>1.111472</v>
      </c>
      <c r="L1806">
        <v>287.8852</v>
      </c>
      <c r="M1806">
        <v>-0.67615709999999996</v>
      </c>
      <c r="N1806">
        <v>-1.6347779999999999E-2</v>
      </c>
      <c r="O1806">
        <v>-0.73657629999999996</v>
      </c>
      <c r="P1806">
        <v>-0.87990840000000003</v>
      </c>
      <c r="Q1806">
        <v>-7.5087650000000006E-2</v>
      </c>
      <c r="R1806">
        <v>-0.46917310000000001</v>
      </c>
      <c r="S1806">
        <v>-3.2788390000000001</v>
      </c>
      <c r="T1806">
        <v>-0.2360865</v>
      </c>
      <c r="U1806">
        <v>-0.26400759999999901</v>
      </c>
      <c r="V1806">
        <v>0.3294397</v>
      </c>
      <c r="W1806">
        <v>-6.7436220000000005E-2</v>
      </c>
      <c r="X1806">
        <v>0.94176519999999997</v>
      </c>
      <c r="Y1806">
        <v>0.6772338</v>
      </c>
      <c r="Z1806">
        <v>6.4006560000000004E-2</v>
      </c>
      <c r="AA1806">
        <v>0.73297860000000004</v>
      </c>
      <c r="AB1806">
        <v>20</v>
      </c>
      <c r="AC1806">
        <v>-15.2887</v>
      </c>
      <c r="AD1806">
        <v>-1.1114728252960999</v>
      </c>
      <c r="AE1806">
        <v>-1.10680000000002</v>
      </c>
      <c r="AF1806">
        <v>10.4593359204174</v>
      </c>
      <c r="AG1806">
        <v>-1.1114728252960999</v>
      </c>
      <c r="AH1806">
        <v>11.095956555188</v>
      </c>
      <c r="AI1806">
        <v>94.168942034432106</v>
      </c>
      <c r="AJ1806">
        <v>46.691699405204403</v>
      </c>
      <c r="AK1806">
        <v>15.288993806399599</v>
      </c>
      <c r="AL1806">
        <v>93.866745628127205</v>
      </c>
      <c r="AM1806">
        <v>70.719608328653507</v>
      </c>
      <c r="AN1806">
        <v>0.99999992581750596</v>
      </c>
    </row>
    <row r="1807" spans="1:40" x14ac:dyDescent="0.25">
      <c r="A1807" t="str">
        <f>"20190303154802713"</f>
        <v>20190303154802713</v>
      </c>
      <c r="B1807" t="str">
        <f>"1551599282702387"</f>
        <v>1551599282702387</v>
      </c>
      <c r="C1807" t="s">
        <v>40</v>
      </c>
      <c r="D1807">
        <v>6.2313919999999996</v>
      </c>
      <c r="E1807">
        <v>0.66923769999999905</v>
      </c>
      <c r="F1807" t="s">
        <v>52</v>
      </c>
      <c r="G1807">
        <v>-210.3509</v>
      </c>
      <c r="H1807" s="1">
        <v>-1.3500559999999901E-6</v>
      </c>
      <c r="I1807">
        <v>287.01319999999998</v>
      </c>
      <c r="J1807">
        <v>-196.21729999999999</v>
      </c>
      <c r="K1807">
        <v>1.1114649999999999</v>
      </c>
      <c r="L1807">
        <v>287.73570000000001</v>
      </c>
      <c r="M1807">
        <v>-0.69047969999999903</v>
      </c>
      <c r="N1807">
        <v>-1.6364009999999998E-2</v>
      </c>
      <c r="O1807">
        <v>-0.7231668</v>
      </c>
      <c r="P1807">
        <v>-0.88981010000000005</v>
      </c>
      <c r="Q1807">
        <v>-7.9103010000000001E-2</v>
      </c>
      <c r="R1807">
        <v>-0.44942310000000002</v>
      </c>
      <c r="S1807">
        <v>-3.281021</v>
      </c>
      <c r="T1807">
        <v>-0.25497249999999999</v>
      </c>
      <c r="U1807">
        <v>-0.20004269999999999</v>
      </c>
      <c r="V1807">
        <v>0.33162700000000001</v>
      </c>
      <c r="W1807">
        <v>-7.1493050000000002E-2</v>
      </c>
      <c r="X1807">
        <v>0.94069769999999997</v>
      </c>
      <c r="Y1807">
        <v>0.67659329999999995</v>
      </c>
      <c r="Z1807">
        <v>6.9454199999999994E-2</v>
      </c>
      <c r="AA1807">
        <v>0.73307409999999995</v>
      </c>
      <c r="AB1807">
        <v>20</v>
      </c>
      <c r="AC1807">
        <v>-14.133599999999999</v>
      </c>
      <c r="AD1807">
        <v>-1.111466350056</v>
      </c>
      <c r="AE1807">
        <v>-0.72250000000002501</v>
      </c>
      <c r="AF1807">
        <v>9.6637721788653899</v>
      </c>
      <c r="AG1807">
        <v>-1.111466350056</v>
      </c>
      <c r="AH1807">
        <v>10.219790632417199</v>
      </c>
      <c r="AI1807">
        <v>94.518231366463993</v>
      </c>
      <c r="AJ1807">
        <v>46.601785909560199</v>
      </c>
      <c r="AK1807">
        <v>14.1091449330837</v>
      </c>
      <c r="AL1807">
        <v>94.099747811172705</v>
      </c>
      <c r="AM1807">
        <v>70.580763127474995</v>
      </c>
      <c r="AN1807">
        <v>0.99999994305629403</v>
      </c>
    </row>
    <row r="1808" spans="1:40" x14ac:dyDescent="0.25">
      <c r="A1808" t="str">
        <f>"20190303154802735"</f>
        <v>20190303154802735</v>
      </c>
      <c r="B1808" t="str">
        <f>"1551599282732645"</f>
        <v>1551599282732645</v>
      </c>
      <c r="C1808" t="s">
        <v>40</v>
      </c>
      <c r="D1808">
        <v>6.352792</v>
      </c>
      <c r="E1808">
        <v>0.66596299999999997</v>
      </c>
      <c r="F1808" t="s">
        <v>47</v>
      </c>
      <c r="G1808">
        <v>-208.7629</v>
      </c>
      <c r="H1808" s="1">
        <v>5.8775900000000004E-6</v>
      </c>
      <c r="I1808">
        <v>287.19420000000002</v>
      </c>
      <c r="J1808">
        <v>-196.3733</v>
      </c>
      <c r="K1808">
        <v>1.1114930000000001</v>
      </c>
      <c r="L1808">
        <v>287.60289999999998</v>
      </c>
      <c r="M1808">
        <v>-0.70328979999999996</v>
      </c>
      <c r="N1808">
        <v>-1.6375049999999999E-2</v>
      </c>
      <c r="O1808">
        <v>-0.71071470000000003</v>
      </c>
      <c r="P1808">
        <v>-0.89817289999999905</v>
      </c>
      <c r="Q1808">
        <v>-8.0074399999999907E-2</v>
      </c>
      <c r="R1808">
        <v>-0.43228889999999998</v>
      </c>
      <c r="S1808">
        <v>-3.2743380000000002</v>
      </c>
      <c r="T1808">
        <v>-0.29008590000000001</v>
      </c>
      <c r="U1808">
        <v>-0.14132690000000001</v>
      </c>
      <c r="V1808">
        <v>0.33276529999999999</v>
      </c>
      <c r="W1808">
        <v>-7.2468840000000007E-2</v>
      </c>
      <c r="X1808">
        <v>0.94022099999999997</v>
      </c>
      <c r="Y1808">
        <v>0.67544399999999905</v>
      </c>
      <c r="Z1808">
        <v>7.9828650000000001E-2</v>
      </c>
      <c r="AA1808">
        <v>0.7330776</v>
      </c>
      <c r="AB1808">
        <v>20</v>
      </c>
      <c r="AC1808">
        <v>-12.3896</v>
      </c>
      <c r="AD1808">
        <v>-1.11148712241</v>
      </c>
      <c r="AE1808">
        <v>-0.40869999999995299</v>
      </c>
      <c r="AF1808">
        <v>8.4512356572238492</v>
      </c>
      <c r="AG1808">
        <v>-1.11148712241</v>
      </c>
      <c r="AH1808">
        <v>8.9333371067091001</v>
      </c>
      <c r="AI1808">
        <v>95.164552213757105</v>
      </c>
      <c r="AJ1808">
        <v>46.588494643505904</v>
      </c>
      <c r="AK1808">
        <v>12.3476029908367</v>
      </c>
      <c r="AL1808">
        <v>94.155801618556694</v>
      </c>
      <c r="AM1808">
        <v>70.509986580332793</v>
      </c>
      <c r="AN1808">
        <v>1.0000000032480101</v>
      </c>
    </row>
    <row r="1809" spans="1:40" x14ac:dyDescent="0.25">
      <c r="A1809" t="str">
        <f>"20190303154802755"</f>
        <v>20190303154802755</v>
      </c>
      <c r="B1809" t="str">
        <f>"1551599282752164"</f>
        <v>1551599282752164</v>
      </c>
      <c r="C1809" t="s">
        <v>40</v>
      </c>
      <c r="D1809">
        <v>6.1693809999999996</v>
      </c>
      <c r="E1809">
        <v>0.66412879999999996</v>
      </c>
      <c r="F1809" t="s">
        <v>47</v>
      </c>
      <c r="G1809">
        <v>-208.26669999999999</v>
      </c>
      <c r="H1809" s="1">
        <v>5.6542939999999996E-6</v>
      </c>
      <c r="I1809">
        <v>287.23160000000001</v>
      </c>
      <c r="J1809">
        <v>-196.51079999999999</v>
      </c>
      <c r="K1809">
        <v>1.1115360000000001</v>
      </c>
      <c r="L1809">
        <v>287.49</v>
      </c>
      <c r="M1809">
        <v>-0.71425179999999999</v>
      </c>
      <c r="N1809">
        <v>-1.6381489999999999E-2</v>
      </c>
      <c r="O1809">
        <v>-0.69969720000000002</v>
      </c>
      <c r="P1809">
        <v>-0.90506629999999999</v>
      </c>
      <c r="Q1809">
        <v>-7.8931600000000005E-2</v>
      </c>
      <c r="R1809">
        <v>-0.41788170000000002</v>
      </c>
      <c r="S1809">
        <v>-3.2638699999999998</v>
      </c>
      <c r="T1809">
        <v>-0.30502220000000002</v>
      </c>
      <c r="U1809">
        <v>-0.10189819999999999</v>
      </c>
      <c r="V1809">
        <v>0.33327620000000002</v>
      </c>
      <c r="W1809">
        <v>-7.1309819999999996E-2</v>
      </c>
      <c r="X1809">
        <v>0.94012870000000004</v>
      </c>
      <c r="Y1809">
        <v>0.67226750000000002</v>
      </c>
      <c r="Z1809">
        <v>8.4052219999999997E-2</v>
      </c>
      <c r="AA1809">
        <v>0.73552139999999999</v>
      </c>
      <c r="AB1809">
        <v>20</v>
      </c>
      <c r="AC1809">
        <v>-11.755899999999899</v>
      </c>
      <c r="AD1809">
        <v>-1.111530345706</v>
      </c>
      <c r="AE1809">
        <v>-0.25839999999999402</v>
      </c>
      <c r="AF1809">
        <v>7.9708621351263904</v>
      </c>
      <c r="AG1809">
        <v>-1.111530345706</v>
      </c>
      <c r="AH1809">
        <v>8.5026491248315992</v>
      </c>
      <c r="AI1809">
        <v>95.447973633439602</v>
      </c>
      <c r="AJ1809">
        <v>46.848942367495098</v>
      </c>
      <c r="AK1809">
        <v>11.7074841459049</v>
      </c>
      <c r="AL1809">
        <v>94.089222226603596</v>
      </c>
      <c r="AM1809">
        <v>70.480552116622604</v>
      </c>
      <c r="AN1809">
        <v>1.00000004423928</v>
      </c>
    </row>
    <row r="1810" spans="1:40" x14ac:dyDescent="0.25">
      <c r="A1810" t="str">
        <f>"20190303154802776"</f>
        <v>20190303154802776</v>
      </c>
      <c r="B1810" t="str">
        <f>"1551599282772660"</f>
        <v>1551599282772660</v>
      </c>
      <c r="C1810" t="s">
        <v>40</v>
      </c>
      <c r="D1810">
        <v>6.2054220000000004</v>
      </c>
      <c r="E1810">
        <v>0.66236609999999996</v>
      </c>
      <c r="F1810" t="s">
        <v>47</v>
      </c>
      <c r="G1810">
        <v>-208.5197</v>
      </c>
      <c r="H1810" s="1">
        <v>5.7641329999999999E-6</v>
      </c>
      <c r="I1810">
        <v>287.2586</v>
      </c>
      <c r="J1810">
        <v>-196.6669</v>
      </c>
      <c r="K1810">
        <v>1.1115919999999999</v>
      </c>
      <c r="L1810">
        <v>287.36579999999998</v>
      </c>
      <c r="M1810">
        <v>-0.72634779999999999</v>
      </c>
      <c r="N1810">
        <v>-1.6385460000000001E-2</v>
      </c>
      <c r="O1810">
        <v>-0.68713190000000002</v>
      </c>
      <c r="P1810">
        <v>-0.91265510000000005</v>
      </c>
      <c r="Q1810">
        <v>-7.7390639999999997E-2</v>
      </c>
      <c r="R1810">
        <v>-0.40133740000000001</v>
      </c>
      <c r="S1810">
        <v>-3.2593839999999998</v>
      </c>
      <c r="T1810">
        <v>-0.30168450000000002</v>
      </c>
      <c r="U1810">
        <v>-6.2805180000000002E-2</v>
      </c>
      <c r="V1810">
        <v>0.33412269999999999</v>
      </c>
      <c r="W1810">
        <v>-6.9756769999999996E-2</v>
      </c>
      <c r="X1810">
        <v>0.93994469999999997</v>
      </c>
      <c r="Y1810">
        <v>0.66831249999999998</v>
      </c>
      <c r="Z1810">
        <v>8.2523310000000002E-2</v>
      </c>
      <c r="AA1810">
        <v>0.73928899999999997</v>
      </c>
      <c r="AB1810">
        <v>20</v>
      </c>
      <c r="AC1810">
        <v>-11.8528</v>
      </c>
      <c r="AD1810">
        <v>-1.1115862358669999</v>
      </c>
      <c r="AE1810">
        <v>-0.10719999999997699</v>
      </c>
      <c r="AF1810">
        <v>7.9973240626356796</v>
      </c>
      <c r="AG1810">
        <v>-1.1115862358669999</v>
      </c>
      <c r="AH1810">
        <v>8.6083762351498194</v>
      </c>
      <c r="AI1810">
        <v>95.404296141837307</v>
      </c>
      <c r="AJ1810">
        <v>47.107404107571398</v>
      </c>
      <c r="AK1810">
        <v>11.8024132078347</v>
      </c>
      <c r="AL1810">
        <v>94.000016966231698</v>
      </c>
      <c r="AM1810">
        <v>70.431195933351603</v>
      </c>
      <c r="AN1810">
        <v>1.0000000123371</v>
      </c>
    </row>
    <row r="1811" spans="1:40" x14ac:dyDescent="0.25">
      <c r="A1811" t="str">
        <f>"20190303154802799"</f>
        <v>20190303154802799</v>
      </c>
      <c r="B1811" t="str">
        <f>"1551599282792180"</f>
        <v>1551599282792180</v>
      </c>
      <c r="C1811" t="s">
        <v>40</v>
      </c>
      <c r="D1811">
        <v>5.7162620000000004</v>
      </c>
      <c r="E1811">
        <v>0.66166759999999902</v>
      </c>
      <c r="F1811" t="s">
        <v>47</v>
      </c>
      <c r="G1811">
        <v>-208.67310000000001</v>
      </c>
      <c r="H1811" s="1">
        <v>5.8280339999999996E-6</v>
      </c>
      <c r="I1811">
        <v>287.30549999999999</v>
      </c>
      <c r="J1811">
        <v>-196.8321</v>
      </c>
      <c r="K1811">
        <v>1.1116410000000001</v>
      </c>
      <c r="L1811">
        <v>287.23919999999998</v>
      </c>
      <c r="M1811">
        <v>-0.73874030000000002</v>
      </c>
      <c r="N1811">
        <v>-1.6386669999999999E-2</v>
      </c>
      <c r="O1811">
        <v>-0.67379089999999997</v>
      </c>
      <c r="P1811">
        <v>-0.9202785</v>
      </c>
      <c r="Q1811">
        <v>-7.6524179999999997E-2</v>
      </c>
      <c r="R1811">
        <v>-0.38370779999999999</v>
      </c>
      <c r="S1811">
        <v>-3.2543790000000001</v>
      </c>
      <c r="T1811">
        <v>-0.30130649999999998</v>
      </c>
      <c r="U1811">
        <v>-1.6326899999999998E-2</v>
      </c>
      <c r="V1811">
        <v>0.33516049999999997</v>
      </c>
      <c r="W1811">
        <v>-6.888358E-2</v>
      </c>
      <c r="X1811">
        <v>0.93963960000000002</v>
      </c>
      <c r="Y1811">
        <v>0.665377</v>
      </c>
      <c r="Z1811">
        <v>8.1887810000000005E-2</v>
      </c>
      <c r="AA1811">
        <v>0.74200250000000001</v>
      </c>
      <c r="AB1811">
        <v>20</v>
      </c>
      <c r="AC1811">
        <v>-11.840999999999999</v>
      </c>
      <c r="AD1811">
        <v>-1.11163517196599</v>
      </c>
      <c r="AE1811">
        <v>6.6300000000012405E-2</v>
      </c>
      <c r="AF1811">
        <v>7.9582768112463702</v>
      </c>
      <c r="AG1811">
        <v>-1.11163517196599</v>
      </c>
      <c r="AH1811">
        <v>8.6278811970585298</v>
      </c>
      <c r="AI1811">
        <v>95.410122170407803</v>
      </c>
      <c r="AJ1811">
        <v>47.311848372484299</v>
      </c>
      <c r="AK1811">
        <v>11.7902602393047</v>
      </c>
      <c r="AL1811">
        <v>93.949866102285895</v>
      </c>
      <c r="AM1811">
        <v>70.369166485712</v>
      </c>
      <c r="AN1811">
        <v>1.0000000431210101</v>
      </c>
    </row>
    <row r="1812" spans="1:40" x14ac:dyDescent="0.25">
      <c r="A1812" t="str">
        <f>"20190303154802826"</f>
        <v>20190303154802826</v>
      </c>
      <c r="B1812" t="str">
        <f>"1551599282822436"</f>
        <v>1551599282822436</v>
      </c>
      <c r="C1812" t="s">
        <v>40</v>
      </c>
      <c r="D1812">
        <v>6.1521559999999997</v>
      </c>
      <c r="E1812">
        <v>0.63637310000000002</v>
      </c>
      <c r="F1812" t="s">
        <v>52</v>
      </c>
      <c r="G1812">
        <v>-210.1703</v>
      </c>
      <c r="H1812" s="1">
        <v>-1.446168E-6</v>
      </c>
      <c r="I1812">
        <v>287.40300000000002</v>
      </c>
      <c r="J1812">
        <v>-197.02209999999999</v>
      </c>
      <c r="K1812">
        <v>1.1116870000000001</v>
      </c>
      <c r="L1812">
        <v>287.09980000000002</v>
      </c>
      <c r="M1812">
        <v>-0.75250019999999995</v>
      </c>
      <c r="N1812">
        <v>-1.6386129999999999E-2</v>
      </c>
      <c r="O1812">
        <v>-0.65838830000000004</v>
      </c>
      <c r="P1812">
        <v>-0.9281935</v>
      </c>
      <c r="Q1812">
        <v>-7.4812489999999995E-2</v>
      </c>
      <c r="R1812">
        <v>-0.36449999999999999</v>
      </c>
      <c r="S1812">
        <v>-3.254013</v>
      </c>
      <c r="T1812">
        <v>-0.27119850000000001</v>
      </c>
      <c r="U1812">
        <v>3.9978029999999998E-2</v>
      </c>
      <c r="V1812">
        <v>0.33541739999999998</v>
      </c>
      <c r="W1812">
        <v>-6.71427E-2</v>
      </c>
      <c r="X1812">
        <v>0.93967389999999995</v>
      </c>
      <c r="Y1812">
        <v>0.66382339999999995</v>
      </c>
      <c r="Z1812">
        <v>7.2498170000000001E-2</v>
      </c>
      <c r="AA1812">
        <v>0.74436720000000001</v>
      </c>
      <c r="AB1812">
        <v>20</v>
      </c>
      <c r="AC1812">
        <v>-13.148199999999999</v>
      </c>
      <c r="AD1812">
        <v>-1.1116884461679899</v>
      </c>
      <c r="AE1812">
        <v>0.30320000000000302</v>
      </c>
      <c r="AF1812">
        <v>8.8229313079215697</v>
      </c>
      <c r="AG1812">
        <v>-1.1116884461679899</v>
      </c>
      <c r="AH1812">
        <v>9.6269161510909296</v>
      </c>
      <c r="AI1812">
        <v>94.865977382594494</v>
      </c>
      <c r="AJ1812">
        <v>47.495186666058601</v>
      </c>
      <c r="AK1812">
        <v>13.105627899714699</v>
      </c>
      <c r="AL1812">
        <v>93.849889655619407</v>
      </c>
      <c r="AM1812">
        <v>70.355933110146097</v>
      </c>
      <c r="AN1812">
        <v>1.0000000063636201</v>
      </c>
    </row>
    <row r="1813" spans="1:40" x14ac:dyDescent="0.25">
      <c r="A1813" t="str">
        <f>"20190303154802844"</f>
        <v>20190303154802844</v>
      </c>
      <c r="B1813" t="str">
        <f>"1551599282832196"</f>
        <v>1551599282832196</v>
      </c>
      <c r="C1813" t="s">
        <v>40</v>
      </c>
      <c r="D1813">
        <v>6.169867</v>
      </c>
      <c r="E1813">
        <v>0.63196839999999999</v>
      </c>
      <c r="F1813" t="s">
        <v>47</v>
      </c>
      <c r="G1813">
        <v>-207.4238</v>
      </c>
      <c r="H1813" s="1">
        <v>5.3143909999999999E-6</v>
      </c>
      <c r="I1813">
        <v>286.84379999999999</v>
      </c>
      <c r="J1813">
        <v>-197.1601</v>
      </c>
      <c r="K1813">
        <v>1.1117269999999999</v>
      </c>
      <c r="L1813">
        <v>287.00200000000001</v>
      </c>
      <c r="M1813">
        <v>-0.7621928</v>
      </c>
      <c r="N1813">
        <v>-1.638595E-2</v>
      </c>
      <c r="O1813">
        <v>-0.64714289999999997</v>
      </c>
      <c r="P1813">
        <v>-0.93275680000000005</v>
      </c>
      <c r="Q1813">
        <v>-7.1919520000000001E-2</v>
      </c>
      <c r="R1813">
        <v>-0.35326039999999997</v>
      </c>
      <c r="S1813">
        <v>-3.1740719999999998</v>
      </c>
      <c r="T1813">
        <v>-0.33923049999999999</v>
      </c>
      <c r="U1813">
        <v>-7.8125E-2</v>
      </c>
      <c r="V1813">
        <v>0.33303709999999997</v>
      </c>
      <c r="W1813">
        <v>-6.4157779999999998E-2</v>
      </c>
      <c r="X1813">
        <v>0.94072849999999997</v>
      </c>
      <c r="Y1813">
        <v>0.62214669999999905</v>
      </c>
      <c r="Z1813">
        <v>9.1111200000000003E-2</v>
      </c>
      <c r="AA1813">
        <v>0.77758099999999997</v>
      </c>
      <c r="AB1813">
        <v>19</v>
      </c>
      <c r="AC1813">
        <v>-10.2637</v>
      </c>
      <c r="AD1813">
        <v>-1.111721685609</v>
      </c>
      <c r="AE1813">
        <v>-0.15820000000002199</v>
      </c>
      <c r="AF1813">
        <v>6.4467588647142602</v>
      </c>
      <c r="AG1813">
        <v>-1.111721685609</v>
      </c>
      <c r="AH1813">
        <v>7.8344645660378696</v>
      </c>
      <c r="AI1813">
        <v>96.253144903576597</v>
      </c>
      <c r="AJ1813">
        <v>50.550003824463303</v>
      </c>
      <c r="AK1813">
        <v>10.2066380362256</v>
      </c>
      <c r="AL1813">
        <v>93.678496474003197</v>
      </c>
      <c r="AM1813">
        <v>70.504997173424997</v>
      </c>
      <c r="AN1813">
        <v>1.00000002071159</v>
      </c>
    </row>
    <row r="1814" spans="1:40" x14ac:dyDescent="0.25">
      <c r="A1814" t="str">
        <f>"20190303154802866"</f>
        <v>20190303154802866</v>
      </c>
      <c r="B1814" t="str">
        <f>"1551599282862452"</f>
        <v>1551599282862452</v>
      </c>
      <c r="C1814" t="s">
        <v>40</v>
      </c>
      <c r="D1814">
        <v>6.2219759999999997</v>
      </c>
      <c r="E1814">
        <v>0.62694110000000003</v>
      </c>
      <c r="F1814" t="s">
        <v>47</v>
      </c>
      <c r="G1814">
        <v>-207.5745</v>
      </c>
      <c r="H1814" s="1">
        <v>5.3883259999999899E-6</v>
      </c>
      <c r="I1814">
        <v>286.76260000000002</v>
      </c>
      <c r="J1814">
        <v>-197.3254</v>
      </c>
      <c r="K1814">
        <v>1.111747</v>
      </c>
      <c r="L1814">
        <v>286.88909999999998</v>
      </c>
      <c r="M1814">
        <v>-0.77346349999999997</v>
      </c>
      <c r="N1814">
        <v>-1.6386830000000002E-2</v>
      </c>
      <c r="O1814">
        <v>-0.63362929999999995</v>
      </c>
      <c r="P1814">
        <v>-0.93716969999999999</v>
      </c>
      <c r="Q1814">
        <v>-6.980082E-2</v>
      </c>
      <c r="R1814">
        <v>-0.34182059999999997</v>
      </c>
      <c r="S1814">
        <v>-3.1627040000000002</v>
      </c>
      <c r="T1814">
        <v>-0.33761479999999999</v>
      </c>
      <c r="U1814">
        <v>-7.2692870000000007E-2</v>
      </c>
      <c r="V1814">
        <v>0.32814789999999999</v>
      </c>
      <c r="W1814">
        <v>-6.1879259999999998E-2</v>
      </c>
      <c r="X1814">
        <v>0.94259740000000003</v>
      </c>
      <c r="Y1814">
        <v>0.60974830000000002</v>
      </c>
      <c r="Z1814">
        <v>8.9427499999999993E-2</v>
      </c>
      <c r="AA1814">
        <v>0.78753399999999996</v>
      </c>
      <c r="AB1814">
        <v>19</v>
      </c>
      <c r="AC1814">
        <v>-10.2491</v>
      </c>
      <c r="AD1814">
        <v>-1.111741611674</v>
      </c>
      <c r="AE1814">
        <v>-0.126499999999964</v>
      </c>
      <c r="AF1814">
        <v>6.32276105281833</v>
      </c>
      <c r="AG1814">
        <v>-1.111741611674</v>
      </c>
      <c r="AH1814">
        <v>7.91541243004432</v>
      </c>
      <c r="AI1814">
        <v>96.262572052117605</v>
      </c>
      <c r="AJ1814">
        <v>51.382451109771097</v>
      </c>
      <c r="AK1814">
        <v>10.1915175847301</v>
      </c>
      <c r="AL1814">
        <v>93.547687036009705</v>
      </c>
      <c r="AM1814">
        <v>70.805380269342805</v>
      </c>
      <c r="AN1814">
        <v>0.99999997278965802</v>
      </c>
    </row>
    <row r="1815" spans="1:40" x14ac:dyDescent="0.25">
      <c r="A1815" t="str">
        <f>"20190303154802888"</f>
        <v>20190303154802888</v>
      </c>
      <c r="B1815" t="str">
        <f>"1551599282882948"</f>
        <v>1551599282882948</v>
      </c>
      <c r="C1815" t="s">
        <v>40</v>
      </c>
      <c r="D1815">
        <v>6.1619719999999996</v>
      </c>
      <c r="E1815">
        <v>0.62513359999999996</v>
      </c>
      <c r="F1815" t="s">
        <v>47</v>
      </c>
      <c r="G1815">
        <v>-207.0333</v>
      </c>
      <c r="H1815" s="1">
        <v>5.1563239999999999E-6</v>
      </c>
      <c r="I1815">
        <v>286.67110000000002</v>
      </c>
      <c r="J1815">
        <v>-197.4924</v>
      </c>
      <c r="K1815">
        <v>1.1117459999999999</v>
      </c>
      <c r="L1815">
        <v>286.77929999999998</v>
      </c>
      <c r="M1815">
        <v>-0.78451610000000005</v>
      </c>
      <c r="N1815">
        <v>-1.638945E-2</v>
      </c>
      <c r="O1815">
        <v>-0.61989209999999995</v>
      </c>
      <c r="P1815">
        <v>-0.94102569999999996</v>
      </c>
      <c r="Q1815">
        <v>-6.958462E-2</v>
      </c>
      <c r="R1815">
        <v>-0.33110260000000002</v>
      </c>
      <c r="S1815">
        <v>-3.1484830000000001</v>
      </c>
      <c r="T1815">
        <v>-0.36056199999999999</v>
      </c>
      <c r="U1815">
        <v>-7.0709229999999998E-2</v>
      </c>
      <c r="V1815">
        <v>0.32230219999999998</v>
      </c>
      <c r="W1815">
        <v>-6.1486850000000003E-2</v>
      </c>
      <c r="X1815">
        <v>0.94463779999999997</v>
      </c>
      <c r="Y1815">
        <v>0.59536219999999995</v>
      </c>
      <c r="Z1815">
        <v>9.4460890000000006E-2</v>
      </c>
      <c r="AA1815">
        <v>0.79788530000000002</v>
      </c>
      <c r="AB1815">
        <v>19</v>
      </c>
      <c r="AC1815">
        <v>-9.5408999999999899</v>
      </c>
      <c r="AD1815">
        <v>-1.1117408436759999</v>
      </c>
      <c r="AE1815">
        <v>-0.108199999999953</v>
      </c>
      <c r="AF1815">
        <v>5.7521348753370498</v>
      </c>
      <c r="AG1815">
        <v>-1.1117408436759999</v>
      </c>
      <c r="AH1815">
        <v>7.4519079179118997</v>
      </c>
      <c r="AI1815">
        <v>96.735320966177895</v>
      </c>
      <c r="AJ1815">
        <v>52.3354151247514</v>
      </c>
      <c r="AK1815">
        <v>9.4791326050754403</v>
      </c>
      <c r="AL1815">
        <v>93.525160759149898</v>
      </c>
      <c r="AM1815">
        <v>71.160805318962801</v>
      </c>
      <c r="AN1815">
        <v>0.99999995701830002</v>
      </c>
    </row>
    <row r="1816" spans="1:40" x14ac:dyDescent="0.25">
      <c r="A1816" t="str">
        <f>"20190303154802913"</f>
        <v>20190303154802913</v>
      </c>
      <c r="B1816" t="str">
        <f>"1551599282902468"</f>
        <v>1551599282902468</v>
      </c>
      <c r="C1816" t="s">
        <v>40</v>
      </c>
      <c r="D1816">
        <v>6.2047829999999999</v>
      </c>
      <c r="E1816">
        <v>0.62333719999999904</v>
      </c>
      <c r="F1816" t="s">
        <v>47</v>
      </c>
      <c r="G1816">
        <v>-207.2801</v>
      </c>
      <c r="H1816" s="1">
        <v>5.2693380000000003E-6</v>
      </c>
      <c r="I1816">
        <v>286.63040000000001</v>
      </c>
      <c r="J1816">
        <v>-197.67609999999999</v>
      </c>
      <c r="K1816">
        <v>1.111723</v>
      </c>
      <c r="L1816">
        <v>286.6635</v>
      </c>
      <c r="M1816">
        <v>-0.79628730000000003</v>
      </c>
      <c r="N1816">
        <v>-1.6394909999999999E-2</v>
      </c>
      <c r="O1816">
        <v>-0.60469649999999997</v>
      </c>
      <c r="P1816">
        <v>-0.94481490000000001</v>
      </c>
      <c r="Q1816">
        <v>-7.2313680000000005E-2</v>
      </c>
      <c r="R1816">
        <v>-0.31952429999999998</v>
      </c>
      <c r="S1816">
        <v>-3.1447449999999999</v>
      </c>
      <c r="T1816">
        <v>-0.35719859999999998</v>
      </c>
      <c r="U1816">
        <v>-4.7851560000000001E-2</v>
      </c>
      <c r="V1816">
        <v>0.31555519999999998</v>
      </c>
      <c r="W1816">
        <v>-6.4026100000000002E-2</v>
      </c>
      <c r="X1816">
        <v>0.94674469999999999</v>
      </c>
      <c r="Y1816">
        <v>0.58595090000000005</v>
      </c>
      <c r="Z1816">
        <v>9.2025190000000007E-2</v>
      </c>
      <c r="AA1816">
        <v>0.80510429999999999</v>
      </c>
      <c r="AB1816">
        <v>19</v>
      </c>
      <c r="AC1816">
        <v>-9.6040000000000099</v>
      </c>
      <c r="AD1816">
        <v>-1.1117177306620001</v>
      </c>
      <c r="AE1816">
        <v>-3.3099999999990297E-2</v>
      </c>
      <c r="AF1816">
        <v>5.7054759265583499</v>
      </c>
      <c r="AG1816">
        <v>-1.1117177306620001</v>
      </c>
      <c r="AH1816">
        <v>7.5671944232218502</v>
      </c>
      <c r="AI1816">
        <v>96.690563760524597</v>
      </c>
      <c r="AJ1816">
        <v>52.984617316796502</v>
      </c>
      <c r="AK1816">
        <v>9.5420544590798198</v>
      </c>
      <c r="AL1816">
        <v>93.670936385075507</v>
      </c>
      <c r="AM1816">
        <v>71.566487298354602</v>
      </c>
      <c r="AN1816">
        <v>0.99999997635316895</v>
      </c>
    </row>
    <row r="1817" spans="1:40" x14ac:dyDescent="0.25">
      <c r="A1817" t="str">
        <f>"20190303154802932"</f>
        <v>20190303154802932</v>
      </c>
      <c r="B1817" t="str">
        <f>"1551599282922965"</f>
        <v>1551599282922965</v>
      </c>
      <c r="C1817" t="s">
        <v>40</v>
      </c>
      <c r="D1817">
        <v>6.1648199999999997</v>
      </c>
      <c r="E1817">
        <v>0.62285699999999999</v>
      </c>
      <c r="F1817" t="s">
        <v>47</v>
      </c>
      <c r="G1817">
        <v>-207.11869999999999</v>
      </c>
      <c r="H1817" s="1">
        <v>5.2008089999999999E-6</v>
      </c>
      <c r="I1817">
        <v>286.5958</v>
      </c>
      <c r="J1817">
        <v>-197.8313</v>
      </c>
      <c r="K1817">
        <v>1.111693</v>
      </c>
      <c r="L1817">
        <v>286.56939999999997</v>
      </c>
      <c r="M1817">
        <v>-0.80595159999999999</v>
      </c>
      <c r="N1817">
        <v>-1.6402670000000001E-2</v>
      </c>
      <c r="O1817">
        <v>-0.59175419999999901</v>
      </c>
      <c r="P1817">
        <v>-0.94761050000000002</v>
      </c>
      <c r="Q1817">
        <v>-7.5835379999999994E-2</v>
      </c>
      <c r="R1817">
        <v>-0.31029570000000001</v>
      </c>
      <c r="S1817">
        <v>-3.139313</v>
      </c>
      <c r="T1817">
        <v>-0.36960120000000002</v>
      </c>
      <c r="U1817">
        <v>-2.2521969999999999E-2</v>
      </c>
      <c r="V1817">
        <v>0.30925029999999998</v>
      </c>
      <c r="W1817">
        <v>-6.737754E-2</v>
      </c>
      <c r="X1817">
        <v>0.94859079999999996</v>
      </c>
      <c r="Y1817">
        <v>0.57895790000000003</v>
      </c>
      <c r="Z1817">
        <v>9.4180710000000001E-2</v>
      </c>
      <c r="AA1817">
        <v>0.80989990000000001</v>
      </c>
      <c r="AB1817">
        <v>19</v>
      </c>
      <c r="AC1817">
        <v>-9.2873999999999892</v>
      </c>
      <c r="AD1817">
        <v>-1.1116877991909999</v>
      </c>
      <c r="AE1817">
        <v>2.64000000000237E-2</v>
      </c>
      <c r="AF1817">
        <v>5.4399359414511697</v>
      </c>
      <c r="AG1817">
        <v>-1.1116877991909999</v>
      </c>
      <c r="AH1817">
        <v>7.3650537381025298</v>
      </c>
      <c r="AI1817">
        <v>96.922569583677003</v>
      </c>
      <c r="AJ1817">
        <v>53.549885026600698</v>
      </c>
      <c r="AK1817">
        <v>9.2234900864640395</v>
      </c>
      <c r="AL1817">
        <v>93.8633755857267</v>
      </c>
      <c r="AM1817">
        <v>71.943502004258704</v>
      </c>
      <c r="AN1817">
        <v>0.99999999339559098</v>
      </c>
    </row>
    <row r="1818" spans="1:40" x14ac:dyDescent="0.25">
      <c r="A1818" t="str">
        <f>"20190303154802956"</f>
        <v>20190303154802956</v>
      </c>
      <c r="B1818" t="str">
        <f>"1551599282952245"</f>
        <v>1551599282952245</v>
      </c>
      <c r="C1818" t="s">
        <v>40</v>
      </c>
      <c r="D1818">
        <v>6.207992</v>
      </c>
      <c r="E1818">
        <v>0.62057609999999996</v>
      </c>
      <c r="F1818" t="s">
        <v>47</v>
      </c>
      <c r="G1818">
        <v>-207.95320000000001</v>
      </c>
      <c r="H1818" s="1">
        <v>5.5722479999999901E-6</v>
      </c>
      <c r="I1818">
        <v>286.57979999999998</v>
      </c>
      <c r="J1818">
        <v>-198.00890000000001</v>
      </c>
      <c r="K1818">
        <v>1.1116649999999999</v>
      </c>
      <c r="L1818">
        <v>286.46609999999998</v>
      </c>
      <c r="M1818">
        <v>-0.81669239999999999</v>
      </c>
      <c r="N1818">
        <v>-1.6415450000000002E-2</v>
      </c>
      <c r="O1818">
        <v>-0.57684019999999903</v>
      </c>
      <c r="P1818">
        <v>-0.9513395</v>
      </c>
      <c r="Q1818">
        <v>-7.7480839999999995E-2</v>
      </c>
      <c r="R1818">
        <v>-0.29824529999999999</v>
      </c>
      <c r="S1818">
        <v>-3.139313</v>
      </c>
      <c r="T1818">
        <v>-0.3447925</v>
      </c>
      <c r="U1818">
        <v>3.2043459999999998E-3</v>
      </c>
      <c r="V1818">
        <v>0.30373719999999998</v>
      </c>
      <c r="W1818">
        <v>-6.8875989999999998E-2</v>
      </c>
      <c r="X1818">
        <v>0.95026299999999997</v>
      </c>
      <c r="Y1818">
        <v>0.57168949999999996</v>
      </c>
      <c r="Z1818">
        <v>8.6063899999999902E-2</v>
      </c>
      <c r="AA1818">
        <v>0.81594369999999905</v>
      </c>
      <c r="AB1818">
        <v>19</v>
      </c>
      <c r="AC1818">
        <v>-9.9442999999999895</v>
      </c>
      <c r="AD1818">
        <v>-1.111659427752</v>
      </c>
      <c r="AE1818">
        <v>0.113699999999994</v>
      </c>
      <c r="AF1818">
        <v>5.7579676881859996</v>
      </c>
      <c r="AG1818">
        <v>-1.111659427752</v>
      </c>
      <c r="AH1818">
        <v>7.9575014116645502</v>
      </c>
      <c r="AI1818">
        <v>96.457145597467104</v>
      </c>
      <c r="AJ1818">
        <v>54.110880614381003</v>
      </c>
      <c r="AK1818">
        <v>9.8849282899850799</v>
      </c>
      <c r="AL1818">
        <v>93.949430446014006</v>
      </c>
      <c r="AM1818">
        <v>72.274307012536298</v>
      </c>
      <c r="AN1818">
        <v>0.99999997891565895</v>
      </c>
    </row>
    <row r="1819" spans="1:40" x14ac:dyDescent="0.25">
      <c r="A1819" t="str">
        <f>"20190303154802978"</f>
        <v>20190303154802978</v>
      </c>
      <c r="B1819" t="str">
        <f>"1551599282972740"</f>
        <v>1551599282972740</v>
      </c>
      <c r="C1819" t="s">
        <v>40</v>
      </c>
      <c r="D1819">
        <v>6.2507219999999997</v>
      </c>
      <c r="E1819">
        <v>0.6191371</v>
      </c>
      <c r="F1819" t="s">
        <v>47</v>
      </c>
      <c r="G1819">
        <v>-207.52260000000001</v>
      </c>
      <c r="H1819" s="1">
        <v>5.3844310000000003E-6</v>
      </c>
      <c r="I1819">
        <v>286.54399999999998</v>
      </c>
      <c r="J1819">
        <v>-198.18610000000001</v>
      </c>
      <c r="K1819">
        <v>1.1116459999999999</v>
      </c>
      <c r="L1819">
        <v>286.36720000000003</v>
      </c>
      <c r="M1819">
        <v>-0.8270885</v>
      </c>
      <c r="N1819">
        <v>-1.6431660000000001E-2</v>
      </c>
      <c r="O1819">
        <v>-0.56183130000000003</v>
      </c>
      <c r="P1819">
        <v>-0.95520760000000005</v>
      </c>
      <c r="Q1819">
        <v>-7.5993050000000006E-2</v>
      </c>
      <c r="R1819">
        <v>-0.28601320000000002</v>
      </c>
      <c r="S1819">
        <v>-3.1316830000000002</v>
      </c>
      <c r="T1819">
        <v>-0.36593170000000003</v>
      </c>
      <c r="U1819">
        <v>2.5665279999999999E-2</v>
      </c>
      <c r="V1819">
        <v>0.29867959999999999</v>
      </c>
      <c r="W1819">
        <v>-6.7248810000000006E-2</v>
      </c>
      <c r="X1819">
        <v>0.95198110000000002</v>
      </c>
      <c r="Y1819">
        <v>0.56188649999999996</v>
      </c>
      <c r="Z1819">
        <v>9.0074119999999994E-2</v>
      </c>
      <c r="AA1819">
        <v>0.82229569999999996</v>
      </c>
      <c r="AB1819">
        <v>19</v>
      </c>
      <c r="AC1819">
        <v>-9.3364999999999991</v>
      </c>
      <c r="AD1819">
        <v>-1.111640615569</v>
      </c>
      <c r="AE1819">
        <v>0.176800000000014</v>
      </c>
      <c r="AF1819">
        <v>5.3171457275856104</v>
      </c>
      <c r="AG1819">
        <v>-1.111640615569</v>
      </c>
      <c r="AH1819">
        <v>7.5172815880091104</v>
      </c>
      <c r="AI1819">
        <v>96.883978483869001</v>
      </c>
      <c r="AJ1819">
        <v>54.727354429224299</v>
      </c>
      <c r="AK1819">
        <v>9.2745515266230196</v>
      </c>
      <c r="AL1819">
        <v>93.855983260818803</v>
      </c>
      <c r="AM1819">
        <v>72.580995668828194</v>
      </c>
      <c r="AN1819">
        <v>0.99999996032989202</v>
      </c>
    </row>
    <row r="1820" spans="1:40" x14ac:dyDescent="0.25">
      <c r="A1820" t="str">
        <f>"20190303154802999"</f>
        <v>20190303154802999</v>
      </c>
      <c r="B1820" t="str">
        <f>"1551599282992105"</f>
        <v>1551599282992105</v>
      </c>
      <c r="C1820" t="s">
        <v>40</v>
      </c>
      <c r="D1820">
        <v>6.2311120000000004</v>
      </c>
      <c r="E1820">
        <v>0.61764289999999999</v>
      </c>
      <c r="F1820" t="s">
        <v>47</v>
      </c>
      <c r="G1820">
        <v>-207.44739999999999</v>
      </c>
      <c r="H1820" s="1">
        <v>5.352454E-6</v>
      </c>
      <c r="I1820">
        <v>286.52809999999999</v>
      </c>
      <c r="J1820">
        <v>-198.3545</v>
      </c>
      <c r="K1820">
        <v>1.111637</v>
      </c>
      <c r="L1820">
        <v>286.27749999999997</v>
      </c>
      <c r="M1820">
        <v>-0.83666719999999895</v>
      </c>
      <c r="N1820">
        <v>-1.6447900000000001E-2</v>
      </c>
      <c r="O1820">
        <v>-0.54746470000000003</v>
      </c>
      <c r="P1820">
        <v>-0.95865639999999996</v>
      </c>
      <c r="Q1820">
        <v>-7.4765280000000003E-2</v>
      </c>
      <c r="R1820">
        <v>-0.27456930000000002</v>
      </c>
      <c r="S1820">
        <v>-3.127075</v>
      </c>
      <c r="T1820">
        <v>-0.3753474</v>
      </c>
      <c r="U1820">
        <v>5.4321290000000001E-2</v>
      </c>
      <c r="V1820">
        <v>0.29370610000000003</v>
      </c>
      <c r="W1820">
        <v>-6.5879610000000005E-2</v>
      </c>
      <c r="X1820">
        <v>0.95362290000000005</v>
      </c>
      <c r="Y1820">
        <v>0.55491420000000002</v>
      </c>
      <c r="Z1820">
        <v>9.1030979999999997E-2</v>
      </c>
      <c r="AA1820">
        <v>0.82691199999999998</v>
      </c>
      <c r="AB1820">
        <v>19</v>
      </c>
      <c r="AC1820">
        <v>-9.0928999999999807</v>
      </c>
      <c r="AD1820">
        <v>-1.111631647546</v>
      </c>
      <c r="AE1820">
        <v>0.25060000000001897</v>
      </c>
      <c r="AF1820">
        <v>5.11206653815682</v>
      </c>
      <c r="AG1820">
        <v>-1.111631647546</v>
      </c>
      <c r="AH1820">
        <v>7.36160571989892</v>
      </c>
      <c r="AI1820">
        <v>97.070365895534593</v>
      </c>
      <c r="AJ1820">
        <v>55.223006969342997</v>
      </c>
      <c r="AK1820">
        <v>9.03117865982159</v>
      </c>
      <c r="AL1820">
        <v>93.777359284090196</v>
      </c>
      <c r="AM1820">
        <v>72.881702886704403</v>
      </c>
      <c r="AN1820">
        <v>1.0000000157976801</v>
      </c>
    </row>
    <row r="1821" spans="1:40" x14ac:dyDescent="0.25">
      <c r="A1821" t="str">
        <f>"20190303154803023"</f>
        <v>20190303154803023</v>
      </c>
      <c r="B1821" t="str">
        <f>"1551599283012588"</f>
        <v>1551599283012588</v>
      </c>
      <c r="C1821" t="s">
        <v>40</v>
      </c>
      <c r="D1821">
        <v>5.7024249999999999</v>
      </c>
      <c r="E1821">
        <v>0.61751319999999998</v>
      </c>
      <c r="F1821" t="s">
        <v>47</v>
      </c>
      <c r="G1821">
        <v>-207.4906</v>
      </c>
      <c r="H1821" s="1">
        <v>5.3730769999999999E-6</v>
      </c>
      <c r="I1821">
        <v>286.51150000000001</v>
      </c>
      <c r="J1821">
        <v>-198.5334</v>
      </c>
      <c r="K1821">
        <v>1.1116299999999999</v>
      </c>
      <c r="L1821">
        <v>286.18639999999999</v>
      </c>
      <c r="M1821">
        <v>-0.84651149999999997</v>
      </c>
      <c r="N1821">
        <v>-1.6462480000000002E-2</v>
      </c>
      <c r="O1821">
        <v>-0.53211589999999998</v>
      </c>
      <c r="P1821">
        <v>-0.96245930000000002</v>
      </c>
      <c r="Q1821">
        <v>-7.5498979999999993E-2</v>
      </c>
      <c r="R1821">
        <v>-0.26071490000000003</v>
      </c>
      <c r="S1821">
        <v>-3.1226500000000001</v>
      </c>
      <c r="T1821">
        <v>-0.37994909999999998</v>
      </c>
      <c r="U1821">
        <v>7.9986570000000007E-2</v>
      </c>
      <c r="V1821">
        <v>0.29002329999999998</v>
      </c>
      <c r="W1821">
        <v>-6.6502469999999994E-2</v>
      </c>
      <c r="X1821">
        <v>0.95470619999999995</v>
      </c>
      <c r="Y1821">
        <v>0.54652990000000001</v>
      </c>
      <c r="Z1821">
        <v>9.0479400000000001E-2</v>
      </c>
      <c r="AA1821">
        <v>0.83253739999999998</v>
      </c>
      <c r="AB1821">
        <v>19</v>
      </c>
      <c r="AC1821">
        <v>-8.9572000000000003</v>
      </c>
      <c r="AD1821">
        <v>-1.1116246269229999</v>
      </c>
      <c r="AE1821">
        <v>0.32510000000001998</v>
      </c>
      <c r="AF1821">
        <v>4.9657713076781702</v>
      </c>
      <c r="AG1821">
        <v>-1.1116246269229999</v>
      </c>
      <c r="AH1821">
        <v>7.2981293874204001</v>
      </c>
      <c r="AI1821">
        <v>97.177477087840003</v>
      </c>
      <c r="AJ1821">
        <v>55.767963252448297</v>
      </c>
      <c r="AK1821">
        <v>8.8970380771845008</v>
      </c>
      <c r="AL1821">
        <v>93.813124988124201</v>
      </c>
      <c r="AM1821">
        <v>73.102121974121204</v>
      </c>
      <c r="AN1821">
        <v>1.0000000106887099</v>
      </c>
    </row>
    <row r="1822" spans="1:40" x14ac:dyDescent="0.25">
      <c r="A1822" t="str">
        <f>"20190303154803044"</f>
        <v>20190303154803044</v>
      </c>
      <c r="B1822" t="str">
        <f>"1551599283042844"</f>
        <v>1551599283042844</v>
      </c>
      <c r="C1822" t="s">
        <v>40</v>
      </c>
      <c r="D1822">
        <v>6.1772669999999996</v>
      </c>
      <c r="E1822">
        <v>0.61543829999999999</v>
      </c>
      <c r="F1822" t="s">
        <v>47</v>
      </c>
      <c r="G1822">
        <v>-208.2801</v>
      </c>
      <c r="H1822" s="1">
        <v>5.7178249999999998E-6</v>
      </c>
      <c r="I1822">
        <v>286.57299999999998</v>
      </c>
      <c r="J1822">
        <v>-198.71029999999999</v>
      </c>
      <c r="K1822">
        <v>1.111664</v>
      </c>
      <c r="L1822">
        <v>286.10050000000001</v>
      </c>
      <c r="M1822">
        <v>-0.8559021</v>
      </c>
      <c r="N1822">
        <v>-1.6470760000000001E-2</v>
      </c>
      <c r="O1822">
        <v>-0.51687590000000005</v>
      </c>
      <c r="P1822">
        <v>-0.96677360000000001</v>
      </c>
      <c r="Q1822">
        <v>-7.598278E-2</v>
      </c>
      <c r="R1822">
        <v>-0.24408150000000001</v>
      </c>
      <c r="S1822">
        <v>-3.1226349999999998</v>
      </c>
      <c r="T1822">
        <v>-0.35613889999999998</v>
      </c>
      <c r="U1822">
        <v>0.1238708</v>
      </c>
      <c r="V1822">
        <v>0.2893656</v>
      </c>
      <c r="W1822">
        <v>-6.6948259999999996E-2</v>
      </c>
      <c r="X1822">
        <v>0.95487460000000002</v>
      </c>
      <c r="Y1822">
        <v>0.54425279999999998</v>
      </c>
      <c r="Z1822">
        <v>8.3231050000000001E-2</v>
      </c>
      <c r="AA1822">
        <v>0.83478240000000004</v>
      </c>
      <c r="AB1822">
        <v>19</v>
      </c>
      <c r="AC1822">
        <v>-9.5698000000000096</v>
      </c>
      <c r="AD1822">
        <v>-1.1116582821750001</v>
      </c>
      <c r="AE1822">
        <v>0.472499999999968</v>
      </c>
      <c r="AF1822">
        <v>5.2804570610191996</v>
      </c>
      <c r="AG1822">
        <v>-1.1116582821750001</v>
      </c>
      <c r="AH1822">
        <v>7.84210158655819</v>
      </c>
      <c r="AI1822">
        <v>96.706251197056304</v>
      </c>
      <c r="AJ1822">
        <v>56.045757216339602</v>
      </c>
      <c r="AK1822">
        <v>9.5193260372514992</v>
      </c>
      <c r="AL1822">
        <v>93.838723923297806</v>
      </c>
      <c r="AM1822">
        <v>73.141070316682104</v>
      </c>
      <c r="AN1822">
        <v>1.00000001085277</v>
      </c>
    </row>
    <row r="1823" spans="1:40" x14ac:dyDescent="0.25">
      <c r="A1823" t="str">
        <f>"20190303154803067"</f>
        <v>20190303154803067</v>
      </c>
      <c r="B1823" t="str">
        <f>"1551599283062364"</f>
        <v>1551599283062364</v>
      </c>
      <c r="C1823" t="s">
        <v>40</v>
      </c>
      <c r="D1823">
        <v>6.1725680000000001</v>
      </c>
      <c r="E1823">
        <v>0.5953754</v>
      </c>
      <c r="F1823" t="s">
        <v>47</v>
      </c>
      <c r="G1823">
        <v>-208.14510000000001</v>
      </c>
      <c r="H1823" s="1">
        <v>5.6564809999999997E-6</v>
      </c>
      <c r="I1823">
        <v>286.58949999999999</v>
      </c>
      <c r="J1823">
        <v>-198.89179999999999</v>
      </c>
      <c r="K1823">
        <v>1.1117360000000001</v>
      </c>
      <c r="L1823">
        <v>286.01620000000003</v>
      </c>
      <c r="M1823">
        <v>-0.86518099999999998</v>
      </c>
      <c r="N1823">
        <v>-1.6471429999999999E-2</v>
      </c>
      <c r="O1823">
        <v>-0.50118949999999995</v>
      </c>
      <c r="P1823">
        <v>-0.97121029999999997</v>
      </c>
      <c r="Q1823">
        <v>-7.5723670000000007E-2</v>
      </c>
      <c r="R1823">
        <v>-0.22586880000000001</v>
      </c>
      <c r="S1823">
        <v>-3.1150359999999999</v>
      </c>
      <c r="T1823">
        <v>-0.36703059999999998</v>
      </c>
      <c r="U1823">
        <v>0.16146849999999999</v>
      </c>
      <c r="V1823">
        <v>0.28993000000000002</v>
      </c>
      <c r="W1823">
        <v>-6.6671610000000006E-2</v>
      </c>
      <c r="X1823">
        <v>0.95472279999999998</v>
      </c>
      <c r="Y1823">
        <v>0.53882189999999996</v>
      </c>
      <c r="Z1823">
        <v>8.4444779999999997E-2</v>
      </c>
      <c r="AA1823">
        <v>0.83817659999999905</v>
      </c>
      <c r="AB1823">
        <v>19</v>
      </c>
      <c r="AC1823">
        <v>-9.2533000000000207</v>
      </c>
      <c r="AD1823">
        <v>-1.111730343519</v>
      </c>
      <c r="AE1823">
        <v>0.57329999999995995</v>
      </c>
      <c r="AF1823">
        <v>5.0615780012628901</v>
      </c>
      <c r="AG1823">
        <v>-1.111730343519</v>
      </c>
      <c r="AH1823">
        <v>7.6100647557061398</v>
      </c>
      <c r="AI1823">
        <v>96.935305887773893</v>
      </c>
      <c r="AJ1823">
        <v>56.371474393249898</v>
      </c>
      <c r="AK1823">
        <v>9.2069865757266101</v>
      </c>
      <c r="AL1823">
        <v>93.822837337759793</v>
      </c>
      <c r="AM1823">
        <v>73.107525344774302</v>
      </c>
      <c r="AN1823">
        <v>1.00000006665991</v>
      </c>
    </row>
    <row r="1824" spans="1:40" x14ac:dyDescent="0.25">
      <c r="A1824" t="str">
        <f>"20190303154803089"</f>
        <v>20190303154803089</v>
      </c>
      <c r="B1824" t="str">
        <f>"1551599283082860"</f>
        <v>1551599283082860</v>
      </c>
      <c r="C1824" t="s">
        <v>40</v>
      </c>
      <c r="D1824">
        <v>6.1584640000000004</v>
      </c>
      <c r="E1824">
        <v>0.59540590000000004</v>
      </c>
      <c r="F1824" t="s">
        <v>47</v>
      </c>
      <c r="G1824">
        <v>-207.5839</v>
      </c>
      <c r="H1824" s="1">
        <v>5.4419219999999997E-6</v>
      </c>
      <c r="I1824">
        <v>286.19729999999998</v>
      </c>
      <c r="J1824">
        <v>-199.07470000000001</v>
      </c>
      <c r="K1824">
        <v>1.1118399999999999</v>
      </c>
      <c r="L1824">
        <v>285.93540000000002</v>
      </c>
      <c r="M1824">
        <v>-0.87413529999999995</v>
      </c>
      <c r="N1824">
        <v>-1.646193E-2</v>
      </c>
      <c r="O1824">
        <v>-0.48540349999999999</v>
      </c>
      <c r="P1824">
        <v>-0.97497149999999999</v>
      </c>
      <c r="Q1824">
        <v>-7.5482830000000001E-2</v>
      </c>
      <c r="R1824">
        <v>-0.2091248</v>
      </c>
      <c r="S1824">
        <v>-3.0731350000000002</v>
      </c>
      <c r="T1824">
        <v>-0.39305970000000001</v>
      </c>
      <c r="U1824">
        <v>6.4025879999999993E-2</v>
      </c>
      <c r="V1824">
        <v>0.28905720000000001</v>
      </c>
      <c r="W1824">
        <v>-6.6356970000000001E-2</v>
      </c>
      <c r="X1824">
        <v>0.95500929999999995</v>
      </c>
      <c r="Y1824">
        <v>0.49629040000000002</v>
      </c>
      <c r="Z1824">
        <v>8.731216E-2</v>
      </c>
      <c r="AA1824">
        <v>0.86375489999999999</v>
      </c>
      <c r="AB1824">
        <v>19</v>
      </c>
      <c r="AC1824">
        <v>-8.5091999999999892</v>
      </c>
      <c r="AD1824">
        <v>-1.111834558078</v>
      </c>
      <c r="AE1824">
        <v>0.26189999999996799</v>
      </c>
      <c r="AF1824">
        <v>4.2868039667615099</v>
      </c>
      <c r="AG1824">
        <v>-1.111834558078</v>
      </c>
      <c r="AH1824">
        <v>7.1894284965096702</v>
      </c>
      <c r="AI1824">
        <v>97.566216205185498</v>
      </c>
      <c r="AJ1824">
        <v>59.193859150547397</v>
      </c>
      <c r="AK1824">
        <v>8.4439769327257199</v>
      </c>
      <c r="AL1824">
        <v>93.804769894029405</v>
      </c>
      <c r="AM1824">
        <v>73.160261476545003</v>
      </c>
      <c r="AN1824">
        <v>1.0000000377129501</v>
      </c>
    </row>
    <row r="1825" spans="1:40" x14ac:dyDescent="0.25">
      <c r="A1825" t="str">
        <f>"20190303154803114"</f>
        <v>20190303154803114</v>
      </c>
      <c r="B1825" t="str">
        <f>"1551599283102380"</f>
        <v>1551599283102380</v>
      </c>
      <c r="C1825" t="s">
        <v>40</v>
      </c>
      <c r="D1825">
        <v>6.1607000000000003</v>
      </c>
      <c r="E1825">
        <v>0.59361589999999997</v>
      </c>
      <c r="F1825" t="s">
        <v>47</v>
      </c>
      <c r="G1825">
        <v>-208.6163</v>
      </c>
      <c r="H1825" s="1">
        <v>5.8907409999999998E-6</v>
      </c>
      <c r="I1825">
        <v>286.30020000000002</v>
      </c>
      <c r="J1825">
        <v>-199.2688</v>
      </c>
      <c r="K1825">
        <v>1.1119840000000001</v>
      </c>
      <c r="L1825">
        <v>285.8537</v>
      </c>
      <c r="M1825">
        <v>-0.88319409999999898</v>
      </c>
      <c r="N1825">
        <v>-1.6437819999999999E-2</v>
      </c>
      <c r="O1825">
        <v>-0.46871940000000001</v>
      </c>
      <c r="P1825">
        <v>-0.97813519999999998</v>
      </c>
      <c r="Q1825">
        <v>-7.3137740000000007E-2</v>
      </c>
      <c r="R1825">
        <v>-0.19468550000000001</v>
      </c>
      <c r="S1825">
        <v>-3.0745089999999999</v>
      </c>
      <c r="T1825">
        <v>-0.35825679999999999</v>
      </c>
      <c r="U1825">
        <v>0.1175537</v>
      </c>
      <c r="V1825">
        <v>0.28520580000000001</v>
      </c>
      <c r="W1825">
        <v>-6.3832509999999995E-2</v>
      </c>
      <c r="X1825">
        <v>0.95633829999999997</v>
      </c>
      <c r="Y1825">
        <v>0.49622230000000001</v>
      </c>
      <c r="Z1825">
        <v>7.7841859999999999E-2</v>
      </c>
      <c r="AA1825">
        <v>0.86469889999999905</v>
      </c>
      <c r="AB1825">
        <v>19</v>
      </c>
      <c r="AC1825">
        <v>-9.3474999999999895</v>
      </c>
      <c r="AD1825">
        <v>-1.111978109259</v>
      </c>
      <c r="AE1825">
        <v>0.446500000000014</v>
      </c>
      <c r="AF1825">
        <v>4.7098468157550499</v>
      </c>
      <c r="AG1825">
        <v>-1.111978109259</v>
      </c>
      <c r="AH1825">
        <v>7.93541915266003</v>
      </c>
      <c r="AI1825">
        <v>96.871135998408505</v>
      </c>
      <c r="AJ1825">
        <v>59.309931694800703</v>
      </c>
      <c r="AK1825">
        <v>9.2946236863981095</v>
      </c>
      <c r="AL1825">
        <v>93.659821889141995</v>
      </c>
      <c r="AM1825">
        <v>73.394004437522</v>
      </c>
      <c r="AN1825">
        <v>0.99999994086671296</v>
      </c>
    </row>
    <row r="1826" spans="1:40" x14ac:dyDescent="0.25">
      <c r="A1826" t="str">
        <f>"20190303154803134"</f>
        <v>20190303154803134</v>
      </c>
      <c r="B1826" t="str">
        <f>"1551599283132636"</f>
        <v>1551599283132636</v>
      </c>
      <c r="C1826" t="s">
        <v>40</v>
      </c>
      <c r="D1826">
        <v>6.1894260000000001</v>
      </c>
      <c r="E1826">
        <v>0.59065559999999995</v>
      </c>
      <c r="F1826" t="s">
        <v>47</v>
      </c>
      <c r="G1826">
        <v>-209.191</v>
      </c>
      <c r="H1826" s="1">
        <v>6.1423800000000001E-6</v>
      </c>
      <c r="I1826">
        <v>286.33710000000002</v>
      </c>
      <c r="J1826">
        <v>-199.44550000000001</v>
      </c>
      <c r="K1826">
        <v>1.1121589999999999</v>
      </c>
      <c r="L1826">
        <v>285.78280000000001</v>
      </c>
      <c r="M1826">
        <v>-0.89103589999999999</v>
      </c>
      <c r="N1826">
        <v>-1.640109E-2</v>
      </c>
      <c r="O1826">
        <v>-0.45363629999999999</v>
      </c>
      <c r="P1826">
        <v>-0.98071949999999997</v>
      </c>
      <c r="Q1826">
        <v>-6.9621699999999995E-2</v>
      </c>
      <c r="R1826">
        <v>-0.18259829999999999</v>
      </c>
      <c r="S1826">
        <v>-3.0711059999999999</v>
      </c>
      <c r="T1826">
        <v>-0.34417619999999999</v>
      </c>
      <c r="U1826">
        <v>0.1496277</v>
      </c>
      <c r="V1826">
        <v>0.28097080000000002</v>
      </c>
      <c r="W1826">
        <v>-6.0121239999999999E-2</v>
      </c>
      <c r="X1826">
        <v>0.95783130000000005</v>
      </c>
      <c r="Y1826">
        <v>0.49110090000000001</v>
      </c>
      <c r="Z1826">
        <v>7.3179220000000003E-2</v>
      </c>
      <c r="AA1826">
        <v>0.86802349999999995</v>
      </c>
      <c r="AB1826">
        <v>19</v>
      </c>
      <c r="AC1826">
        <v>-9.7454999999999607</v>
      </c>
      <c r="AD1826">
        <v>-1.1121528576199999</v>
      </c>
      <c r="AE1826">
        <v>0.55430000000001201</v>
      </c>
      <c r="AF1826">
        <v>4.8524837397908804</v>
      </c>
      <c r="AG1826">
        <v>-1.1121528576199999</v>
      </c>
      <c r="AH1826">
        <v>8.3252027600745109</v>
      </c>
      <c r="AI1826">
        <v>96.583635295940994</v>
      </c>
      <c r="AJ1826">
        <v>59.763513642082202</v>
      </c>
      <c r="AK1826">
        <v>9.7001280104955097</v>
      </c>
      <c r="AL1826">
        <v>93.446771951610103</v>
      </c>
      <c r="AM1826">
        <v>73.651445544224401</v>
      </c>
      <c r="AN1826">
        <v>0.99999997660573303</v>
      </c>
    </row>
    <row r="1827" spans="1:40" x14ac:dyDescent="0.25">
      <c r="A1827" t="str">
        <f>"20190303154803156"</f>
        <v>20190303154803156</v>
      </c>
      <c r="B1827" t="str">
        <f>"1551599283152156"</f>
        <v>1551599283152156</v>
      </c>
      <c r="C1827" t="s">
        <v>40</v>
      </c>
      <c r="D1827">
        <v>5.8286930000000003</v>
      </c>
      <c r="E1827">
        <v>0.60318139999999998</v>
      </c>
      <c r="F1827" t="s">
        <v>47</v>
      </c>
      <c r="G1827">
        <v>-209.57839999999999</v>
      </c>
      <c r="H1827" s="1">
        <v>6.3150980000000003E-6</v>
      </c>
      <c r="I1827">
        <v>286.32679999999999</v>
      </c>
      <c r="J1827">
        <v>-199.61959999999999</v>
      </c>
      <c r="K1827">
        <v>1.112339</v>
      </c>
      <c r="L1827">
        <v>285.71620000000001</v>
      </c>
      <c r="M1827">
        <v>-0.89836719999999903</v>
      </c>
      <c r="N1827">
        <v>-1.6351480000000002E-2</v>
      </c>
      <c r="O1827">
        <v>-0.43894100000000003</v>
      </c>
      <c r="P1827">
        <v>-0.98305580000000004</v>
      </c>
      <c r="Q1827">
        <v>-6.6679050000000004E-2</v>
      </c>
      <c r="R1827">
        <v>-0.1707497</v>
      </c>
      <c r="S1827">
        <v>-3.0657199999999998</v>
      </c>
      <c r="T1827">
        <v>-0.33648250000000002</v>
      </c>
      <c r="U1827">
        <v>0.16458130000000001</v>
      </c>
      <c r="V1827">
        <v>0.27698030000000001</v>
      </c>
      <c r="W1827">
        <v>-5.6987959999999997E-2</v>
      </c>
      <c r="X1827">
        <v>0.95918419999999904</v>
      </c>
      <c r="Y1827">
        <v>0.48144749999999997</v>
      </c>
      <c r="Z1827">
        <v>6.9803390000000007E-2</v>
      </c>
      <c r="AA1827">
        <v>0.87369089999999905</v>
      </c>
      <c r="AB1827">
        <v>19</v>
      </c>
      <c r="AC1827">
        <v>-9.9587999999999894</v>
      </c>
      <c r="AD1827">
        <v>-1.1123326849020001</v>
      </c>
      <c r="AE1827">
        <v>0.61059999999997605</v>
      </c>
      <c r="AF1827">
        <v>4.8601209995212802</v>
      </c>
      <c r="AG1827">
        <v>-1.1123326849020001</v>
      </c>
      <c r="AH1827">
        <v>8.5732471310494596</v>
      </c>
      <c r="AI1827">
        <v>96.439703228991505</v>
      </c>
      <c r="AJ1827">
        <v>60.451366270830903</v>
      </c>
      <c r="AK1827">
        <v>9.9175917692722599</v>
      </c>
      <c r="AL1827">
        <v>93.266939449923697</v>
      </c>
      <c r="AM1827">
        <v>73.893052225533197</v>
      </c>
      <c r="AN1827">
        <v>1.0000000218513401</v>
      </c>
    </row>
    <row r="1828" spans="1:40" x14ac:dyDescent="0.25">
      <c r="A1828" t="str">
        <f>"20190303154803179"</f>
        <v>20190303154803179</v>
      </c>
      <c r="B1828" t="str">
        <f>"1551599283172651"</f>
        <v>1551599283172651</v>
      </c>
      <c r="C1828" t="s">
        <v>40</v>
      </c>
      <c r="D1828">
        <v>5.9698949999999904</v>
      </c>
      <c r="E1828">
        <v>0.60032949999999996</v>
      </c>
      <c r="F1828" t="s">
        <v>52</v>
      </c>
      <c r="G1828">
        <v>-220.50970000000001</v>
      </c>
      <c r="H1828" s="1">
        <v>-1.2655349999999999E-6</v>
      </c>
      <c r="I1828">
        <v>287.7296</v>
      </c>
      <c r="J1828">
        <v>-199.80930000000001</v>
      </c>
      <c r="K1828">
        <v>1.112554</v>
      </c>
      <c r="L1828">
        <v>285.64679999999998</v>
      </c>
      <c r="M1828">
        <v>-0.90592910000000004</v>
      </c>
      <c r="N1828">
        <v>-1.6285959999999999E-2</v>
      </c>
      <c r="O1828">
        <v>-0.4231164</v>
      </c>
      <c r="P1828">
        <v>-0.98502559999999995</v>
      </c>
      <c r="Q1828">
        <v>-6.7155090000000001E-2</v>
      </c>
      <c r="R1828">
        <v>-0.1587925</v>
      </c>
      <c r="S1828">
        <v>-3.092285</v>
      </c>
      <c r="T1828">
        <v>-0.16465539999999901</v>
      </c>
      <c r="U1828">
        <v>0.29803469999999999</v>
      </c>
      <c r="V1828">
        <v>0.27181899999999998</v>
      </c>
      <c r="W1828">
        <v>-5.724191E-2</v>
      </c>
      <c r="X1828">
        <v>0.96064450000000001</v>
      </c>
      <c r="Y1828">
        <v>0.50695459999999903</v>
      </c>
      <c r="Z1828">
        <v>3.2614259999999999E-2</v>
      </c>
      <c r="AA1828">
        <v>0.86135550000000005</v>
      </c>
      <c r="AB1828">
        <v>19</v>
      </c>
      <c r="AC1828">
        <v>-20.700399999999998</v>
      </c>
      <c r="AD1828">
        <v>-1.1125552655349999</v>
      </c>
      <c r="AE1828">
        <v>2.08280000000001</v>
      </c>
      <c r="AF1828">
        <v>10.616598916235001</v>
      </c>
      <c r="AG1828">
        <v>-1.1125552655349999</v>
      </c>
      <c r="AH1828">
        <v>17.8232282001456</v>
      </c>
      <c r="AI1828">
        <v>93.069746697394606</v>
      </c>
      <c r="AJ1828">
        <v>59.219399412715397</v>
      </c>
      <c r="AK1828">
        <v>20.775404093339301</v>
      </c>
      <c r="AL1828">
        <v>93.281513475965397</v>
      </c>
      <c r="AM1828">
        <v>74.200883172544394</v>
      </c>
      <c r="AN1828">
        <v>1.0000000302008401</v>
      </c>
    </row>
    <row r="1829" spans="1:40" x14ac:dyDescent="0.25">
      <c r="A1829" t="str">
        <f>"20190303154803200"</f>
        <v>20190303154803200</v>
      </c>
      <c r="B1829" t="str">
        <f>"1551599283192692"</f>
        <v>1551599283192692</v>
      </c>
      <c r="C1829" t="s">
        <v>40</v>
      </c>
      <c r="D1829">
        <v>5.9615720000000003</v>
      </c>
      <c r="E1829">
        <v>0.58254309999999998</v>
      </c>
      <c r="F1829" t="s">
        <v>52</v>
      </c>
      <c r="G1829">
        <v>-219.9742</v>
      </c>
      <c r="H1829" s="1">
        <v>-1.5505320000000001E-6</v>
      </c>
      <c r="I1829">
        <v>287.69490000000002</v>
      </c>
      <c r="J1829">
        <v>-199.98500000000001</v>
      </c>
      <c r="K1829">
        <v>1.112743</v>
      </c>
      <c r="L1829">
        <v>285.5856</v>
      </c>
      <c r="M1829">
        <v>-0.91253660000000003</v>
      </c>
      <c r="N1829">
        <v>-1.6216930000000001E-2</v>
      </c>
      <c r="O1829">
        <v>-0.40867369999999997</v>
      </c>
      <c r="P1829">
        <v>-0.98645340000000004</v>
      </c>
      <c r="Q1829">
        <v>-6.9739910000000002E-2</v>
      </c>
      <c r="R1829">
        <v>-0.14848049999999999</v>
      </c>
      <c r="S1829">
        <v>-3.0845030000000002</v>
      </c>
      <c r="T1829">
        <v>-0.170181</v>
      </c>
      <c r="U1829">
        <v>0.3132935</v>
      </c>
      <c r="V1829">
        <v>0.26651340000000001</v>
      </c>
      <c r="W1829">
        <v>-5.9619610000000003E-2</v>
      </c>
      <c r="X1829">
        <v>0.96198550000000005</v>
      </c>
      <c r="Y1829">
        <v>0.49760749999999998</v>
      </c>
      <c r="Z1829">
        <v>3.3083399999999999E-2</v>
      </c>
      <c r="AA1829">
        <v>0.86677119999999996</v>
      </c>
      <c r="AB1829">
        <v>19</v>
      </c>
      <c r="AC1829">
        <v>-19.989199999999901</v>
      </c>
      <c r="AD1829">
        <v>-1.1127445505319999</v>
      </c>
      <c r="AE1829">
        <v>2.1093000000000202</v>
      </c>
      <c r="AF1829">
        <v>10.0643557235102</v>
      </c>
      <c r="AG1829">
        <v>-1.1127445505319999</v>
      </c>
      <c r="AH1829">
        <v>17.328039243039299</v>
      </c>
      <c r="AI1829">
        <v>93.178347009946094</v>
      </c>
      <c r="AJ1829">
        <v>59.851410193161797</v>
      </c>
      <c r="AK1829">
        <v>20.069638775334301</v>
      </c>
      <c r="AL1829">
        <v>93.417978951556094</v>
      </c>
      <c r="AM1829">
        <v>74.514866877992304</v>
      </c>
      <c r="AN1829">
        <v>0.99999999624318103</v>
      </c>
    </row>
    <row r="1830" spans="1:40" x14ac:dyDescent="0.25">
      <c r="A1830" t="str">
        <f>"20190303154803221"</f>
        <v>20190303154803221</v>
      </c>
      <c r="B1830" t="str">
        <f>"1551599283212202"</f>
        <v>1551599283212202</v>
      </c>
      <c r="C1830" t="s">
        <v>40</v>
      </c>
      <c r="D1830">
        <v>5.0807779999999996</v>
      </c>
      <c r="E1830">
        <v>0.58189679999999999</v>
      </c>
      <c r="F1830" t="s">
        <v>52</v>
      </c>
      <c r="G1830">
        <v>-217.22749999999999</v>
      </c>
      <c r="H1830" s="1">
        <v>2.3093340000000002E-6</v>
      </c>
      <c r="I1830">
        <v>286.74340000000001</v>
      </c>
      <c r="J1830">
        <v>-200.16139999999999</v>
      </c>
      <c r="K1830">
        <v>1.112946</v>
      </c>
      <c r="L1830">
        <v>285.52699999999999</v>
      </c>
      <c r="M1830">
        <v>-0.91879759999999999</v>
      </c>
      <c r="N1830">
        <v>-1.6141949999999999E-2</v>
      </c>
      <c r="O1830">
        <v>-0.394399</v>
      </c>
      <c r="P1830">
        <v>-0.98735850000000003</v>
      </c>
      <c r="Q1830">
        <v>-7.1950990000000006E-2</v>
      </c>
      <c r="R1830">
        <v>-0.14123139999999901</v>
      </c>
      <c r="S1830">
        <v>-3.0581510000000001</v>
      </c>
      <c r="T1830">
        <v>-0.1973568</v>
      </c>
      <c r="U1830">
        <v>0.2053528</v>
      </c>
      <c r="V1830">
        <v>0.25850590000000001</v>
      </c>
      <c r="W1830">
        <v>-6.1571910000000001E-2</v>
      </c>
      <c r="X1830">
        <v>0.9640455</v>
      </c>
      <c r="Y1830">
        <v>0.45352959999999898</v>
      </c>
      <c r="Z1830">
        <v>3.6748700000000002E-2</v>
      </c>
      <c r="AA1830">
        <v>0.89048329999999998</v>
      </c>
      <c r="AB1830">
        <v>19</v>
      </c>
      <c r="AC1830">
        <v>-17.066099999999999</v>
      </c>
      <c r="AD1830">
        <v>-1.112943690666</v>
      </c>
      <c r="AE1830">
        <v>1.2164000000000199</v>
      </c>
      <c r="AF1830">
        <v>7.8164263492536499</v>
      </c>
      <c r="AG1830">
        <v>-1.112943690666</v>
      </c>
      <c r="AH1830">
        <v>15.138468386052001</v>
      </c>
      <c r="AI1830">
        <v>93.7374753268424</v>
      </c>
      <c r="AJ1830">
        <v>62.691392937170697</v>
      </c>
      <c r="AK1830">
        <v>17.0736167699581</v>
      </c>
      <c r="AL1830">
        <v>93.530043214511394</v>
      </c>
      <c r="AM1830">
        <v>74.989426669050303</v>
      </c>
      <c r="AN1830">
        <v>1.0000000632530499</v>
      </c>
    </row>
    <row r="1831" spans="1:40" x14ac:dyDescent="0.25">
      <c r="A1831" t="str">
        <f>"20190303154803245"</f>
        <v>20190303154803245</v>
      </c>
      <c r="B1831" t="str">
        <f>"1551599283242455"</f>
        <v>1551599283242455</v>
      </c>
      <c r="C1831" t="s">
        <v>40</v>
      </c>
      <c r="D1831">
        <v>5.9579209999999998</v>
      </c>
      <c r="E1831">
        <v>0.57348699999999997</v>
      </c>
      <c r="F1831" t="s">
        <v>52</v>
      </c>
      <c r="G1831">
        <v>-225.17769999999999</v>
      </c>
      <c r="H1831" s="1">
        <v>1.2185150000000001E-6</v>
      </c>
      <c r="I1831">
        <v>287.33800000000002</v>
      </c>
      <c r="J1831">
        <v>-200.36269999999999</v>
      </c>
      <c r="K1831">
        <v>1.113159</v>
      </c>
      <c r="L1831">
        <v>285.46359999999999</v>
      </c>
      <c r="M1831">
        <v>-0.92550809999999994</v>
      </c>
      <c r="N1831">
        <v>-1.605183E-2</v>
      </c>
      <c r="O1831">
        <v>-0.37838739999999998</v>
      </c>
      <c r="P1831">
        <v>-0.98852779999999996</v>
      </c>
      <c r="Q1831">
        <v>-7.2834850000000007E-2</v>
      </c>
      <c r="R1831">
        <v>-0.13231689999999999</v>
      </c>
      <c r="S1831">
        <v>-3.060181</v>
      </c>
      <c r="T1831">
        <v>-0.13614370000000001</v>
      </c>
      <c r="U1831">
        <v>0.2215271</v>
      </c>
      <c r="V1831">
        <v>0.25045719999999999</v>
      </c>
      <c r="W1831">
        <v>-6.2211839999999997E-2</v>
      </c>
      <c r="X1831">
        <v>0.9661267</v>
      </c>
      <c r="Y1831">
        <v>0.44354929999999898</v>
      </c>
      <c r="Z1831">
        <v>2.3791860000000001E-2</v>
      </c>
      <c r="AA1831">
        <v>0.89593419999999901</v>
      </c>
      <c r="AB1831">
        <v>19</v>
      </c>
      <c r="AC1831">
        <v>-24.815000000000001</v>
      </c>
      <c r="AD1831">
        <v>-1.113157781485</v>
      </c>
      <c r="AE1831">
        <v>1.8743999999999801</v>
      </c>
      <c r="AF1831">
        <v>11.1036727975118</v>
      </c>
      <c r="AG1831">
        <v>-1.113157781485</v>
      </c>
      <c r="AH1831">
        <v>22.215652778000798</v>
      </c>
      <c r="AI1831">
        <v>92.566298614969497</v>
      </c>
      <c r="AJ1831">
        <v>63.443519394745302</v>
      </c>
      <c r="AK1831">
        <v>24.860931161028098</v>
      </c>
      <c r="AL1831">
        <v>93.566779292757701</v>
      </c>
      <c r="AM1831">
        <v>75.466661460399393</v>
      </c>
      <c r="AN1831">
        <v>0.99999996126045698</v>
      </c>
    </row>
    <row r="1832" spans="1:40" x14ac:dyDescent="0.25">
      <c r="A1832" t="str">
        <f>"20190303154803266"</f>
        <v>20190303154803266</v>
      </c>
      <c r="B1832" t="str">
        <f>"1551599283262951"</f>
        <v>1551599283262951</v>
      </c>
      <c r="C1832" t="s">
        <v>40</v>
      </c>
      <c r="D1832">
        <v>5.9449860000000001</v>
      </c>
      <c r="E1832">
        <v>0.56990859999999999</v>
      </c>
      <c r="F1832" t="s">
        <v>52</v>
      </c>
      <c r="G1832">
        <v>-220.49260000000001</v>
      </c>
      <c r="H1832" s="1">
        <v>-1.274675E-6</v>
      </c>
      <c r="I1832">
        <v>286.67230000000001</v>
      </c>
      <c r="J1832">
        <v>-200.5385</v>
      </c>
      <c r="K1832">
        <v>1.1133139999999999</v>
      </c>
      <c r="L1832">
        <v>285.41090000000003</v>
      </c>
      <c r="M1832">
        <v>-0.93103340000000001</v>
      </c>
      <c r="N1832">
        <v>-1.5974499999999999E-2</v>
      </c>
      <c r="O1832">
        <v>-0.36458410000000002</v>
      </c>
      <c r="P1832">
        <v>-0.98931069999999999</v>
      </c>
      <c r="Q1832">
        <v>-7.3795840000000001E-2</v>
      </c>
      <c r="R1832">
        <v>-0.12577389999999999</v>
      </c>
      <c r="S1832">
        <v>-3.0468899999999999</v>
      </c>
      <c r="T1832">
        <v>-0.1684899</v>
      </c>
      <c r="U1832">
        <v>0.1829529</v>
      </c>
      <c r="V1832">
        <v>0.24246419999999999</v>
      </c>
      <c r="W1832">
        <v>-6.2963980000000003E-2</v>
      </c>
      <c r="X1832">
        <v>0.96811499999999995</v>
      </c>
      <c r="Y1832">
        <v>0.41870400000000002</v>
      </c>
      <c r="Z1832">
        <v>2.8828469999999998E-2</v>
      </c>
      <c r="AA1832">
        <v>0.9076651</v>
      </c>
      <c r="AB1832">
        <v>19</v>
      </c>
      <c r="AC1832">
        <v>-19.9541</v>
      </c>
      <c r="AD1832">
        <v>-1.1133152746749999</v>
      </c>
      <c r="AE1832">
        <v>1.2613999999999801</v>
      </c>
      <c r="AF1832">
        <v>8.4243115673013396</v>
      </c>
      <c r="AG1832">
        <v>-1.1133152746749999</v>
      </c>
      <c r="AH1832">
        <v>18.064350286267398</v>
      </c>
      <c r="AI1832">
        <v>93.196951700858506</v>
      </c>
      <c r="AJ1832">
        <v>64.9980026047796</v>
      </c>
      <c r="AK1832">
        <v>19.963197327802</v>
      </c>
      <c r="AL1832">
        <v>93.609958249875007</v>
      </c>
      <c r="AM1832">
        <v>75.939503890239806</v>
      </c>
      <c r="AN1832">
        <v>1.0000000021420401</v>
      </c>
    </row>
    <row r="1833" spans="1:40" x14ac:dyDescent="0.25">
      <c r="A1833" t="str">
        <f>"20190303154803290"</f>
        <v>20190303154803290</v>
      </c>
      <c r="B1833" t="str">
        <f>"1551599283282471"</f>
        <v>1551599283282471</v>
      </c>
      <c r="C1833" t="s">
        <v>40</v>
      </c>
      <c r="D1833">
        <v>5.9711819999999998</v>
      </c>
      <c r="E1833">
        <v>0.56676629999999995</v>
      </c>
      <c r="F1833" t="s">
        <v>52</v>
      </c>
      <c r="G1833">
        <v>-221.4222</v>
      </c>
      <c r="H1833" s="1">
        <v>-7.7997779999999999E-7</v>
      </c>
      <c r="I1833">
        <v>286.60759999999999</v>
      </c>
      <c r="J1833">
        <v>-200.73509999999999</v>
      </c>
      <c r="K1833">
        <v>1.1134630000000001</v>
      </c>
      <c r="L1833">
        <v>285.35509999999999</v>
      </c>
      <c r="M1833">
        <v>-0.93686040000000004</v>
      </c>
      <c r="N1833">
        <v>-1.5892E-2</v>
      </c>
      <c r="O1833">
        <v>-0.3493424</v>
      </c>
      <c r="P1833">
        <v>-0.99031230000000003</v>
      </c>
      <c r="Q1833">
        <v>-7.2670150000000003E-2</v>
      </c>
      <c r="R1833">
        <v>-0.1183251</v>
      </c>
      <c r="S1833">
        <v>-3.0424799999999999</v>
      </c>
      <c r="T1833">
        <v>-0.16219539999999999</v>
      </c>
      <c r="U1833">
        <v>0.1743469</v>
      </c>
      <c r="V1833">
        <v>0.23402410000000001</v>
      </c>
      <c r="W1833">
        <v>-6.1636499999999997E-2</v>
      </c>
      <c r="X1833">
        <v>0.970275</v>
      </c>
      <c r="Y1833">
        <v>0.40145449999999999</v>
      </c>
      <c r="Z1833">
        <v>2.6598030000000002E-2</v>
      </c>
      <c r="AA1833">
        <v>0.91549270000000005</v>
      </c>
      <c r="AB1833">
        <v>19</v>
      </c>
      <c r="AC1833">
        <v>-20.687100000000001</v>
      </c>
      <c r="AD1833">
        <v>-1.11346377997779</v>
      </c>
      <c r="AE1833">
        <v>1.25249999999999</v>
      </c>
      <c r="AF1833">
        <v>8.3771791621941407</v>
      </c>
      <c r="AG1833">
        <v>-1.11346377997779</v>
      </c>
      <c r="AH1833">
        <v>18.8912366844616</v>
      </c>
      <c r="AI1833">
        <v>93.084157809801994</v>
      </c>
      <c r="AJ1833">
        <v>66.085461894132195</v>
      </c>
      <c r="AK1833">
        <v>20.695307578607501</v>
      </c>
      <c r="AL1833">
        <v>93.533751368487899</v>
      </c>
      <c r="AM1833">
        <v>76.439621768289896</v>
      </c>
      <c r="AN1833">
        <v>0.99999995656902896</v>
      </c>
    </row>
    <row r="1834" spans="1:40" x14ac:dyDescent="0.25">
      <c r="A1834" t="str">
        <f>"20190303154803315"</f>
        <v>20190303154803315</v>
      </c>
      <c r="B1834" t="str">
        <f>"1551599283312258"</f>
        <v>1551599283312258</v>
      </c>
      <c r="C1834" t="s">
        <v>40</v>
      </c>
      <c r="D1834">
        <v>5.9677569999999998</v>
      </c>
      <c r="E1834">
        <v>0.56313349999999995</v>
      </c>
      <c r="F1834" t="s">
        <v>52</v>
      </c>
      <c r="G1834">
        <v>-220.79480000000001</v>
      </c>
      <c r="H1834" s="1">
        <v>-1.1138170000000001E-6</v>
      </c>
      <c r="I1834">
        <v>286.49520000000001</v>
      </c>
      <c r="J1834">
        <v>-200.93770000000001</v>
      </c>
      <c r="K1834">
        <v>1.1135969999999999</v>
      </c>
      <c r="L1834">
        <v>285.30079999999998</v>
      </c>
      <c r="M1834">
        <v>-0.94250049999999996</v>
      </c>
      <c r="N1834">
        <v>-1.5811140000000001E-2</v>
      </c>
      <c r="O1834">
        <v>-0.33383069999999998</v>
      </c>
      <c r="P1834">
        <v>-0.99131210000000003</v>
      </c>
      <c r="Q1834">
        <v>-7.1918969999999999E-2</v>
      </c>
      <c r="R1834">
        <v>-0.1101292</v>
      </c>
      <c r="S1834">
        <v>-3.0376129999999999</v>
      </c>
      <c r="T1834">
        <v>-0.16861019999999999</v>
      </c>
      <c r="U1834">
        <v>0.17263789999999901</v>
      </c>
      <c r="V1834">
        <v>0.22608700000000001</v>
      </c>
      <c r="W1834">
        <v>-6.0709680000000002E-2</v>
      </c>
      <c r="X1834">
        <v>0.97221340000000001</v>
      </c>
      <c r="Y1834">
        <v>0.38581280000000001</v>
      </c>
      <c r="Z1834">
        <v>2.6681280000000002E-2</v>
      </c>
      <c r="AA1834">
        <v>0.92219119999999999</v>
      </c>
      <c r="AB1834">
        <v>19</v>
      </c>
      <c r="AC1834">
        <v>-19.857099999999999</v>
      </c>
      <c r="AD1834">
        <v>-1.1135981138169999</v>
      </c>
      <c r="AE1834">
        <v>1.1944000000000301</v>
      </c>
      <c r="AF1834">
        <v>7.7313734261835201</v>
      </c>
      <c r="AG1834">
        <v>-1.1135981138169999</v>
      </c>
      <c r="AH1834">
        <v>18.261661615866601</v>
      </c>
      <c r="AI1834">
        <v>93.214060306485393</v>
      </c>
      <c r="AJ1834">
        <v>67.053834621021906</v>
      </c>
      <c r="AK1834">
        <v>19.8620875233851</v>
      </c>
      <c r="AL1834">
        <v>93.480548887663502</v>
      </c>
      <c r="AM1834">
        <v>76.908617924119099</v>
      </c>
      <c r="AN1834">
        <v>0.99999994597712905</v>
      </c>
    </row>
    <row r="1835" spans="1:40" x14ac:dyDescent="0.25">
      <c r="A1835" t="str">
        <f>"20190303154803335"</f>
        <v>20190303154803335</v>
      </c>
      <c r="B1835" t="str">
        <f>"1551599283332753"</f>
        <v>1551599283332753</v>
      </c>
      <c r="C1835" t="s">
        <v>40</v>
      </c>
      <c r="D1835">
        <v>5.9600519999999904</v>
      </c>
      <c r="E1835">
        <v>0.56179799999999902</v>
      </c>
      <c r="F1835" t="s">
        <v>52</v>
      </c>
      <c r="G1835">
        <v>-219.7046</v>
      </c>
      <c r="H1835" s="1">
        <v>3.6275079999999998E-6</v>
      </c>
      <c r="I1835">
        <v>286.34840000000003</v>
      </c>
      <c r="J1835">
        <v>-201.11689999999999</v>
      </c>
      <c r="K1835">
        <v>1.113715</v>
      </c>
      <c r="L1835">
        <v>285.25560000000002</v>
      </c>
      <c r="M1835">
        <v>-0.94719089999999995</v>
      </c>
      <c r="N1835">
        <v>-1.57407E-2</v>
      </c>
      <c r="O1835">
        <v>-0.32028379999999901</v>
      </c>
      <c r="P1835">
        <v>-0.99207480000000003</v>
      </c>
      <c r="Q1835">
        <v>-7.1515380000000003E-2</v>
      </c>
      <c r="R1835">
        <v>-0.1033124</v>
      </c>
      <c r="S1835">
        <v>-3.0320740000000002</v>
      </c>
      <c r="T1835">
        <v>-0.1799183</v>
      </c>
      <c r="U1835">
        <v>0.1692505</v>
      </c>
      <c r="V1835">
        <v>0.218866</v>
      </c>
      <c r="W1835">
        <v>-6.0153379999999999E-2</v>
      </c>
      <c r="X1835">
        <v>0.97389899999999996</v>
      </c>
      <c r="Y1835">
        <v>0.37150919999999998</v>
      </c>
      <c r="Z1835">
        <v>2.7601440000000001E-2</v>
      </c>
      <c r="AA1835">
        <v>0.92801889999999998</v>
      </c>
      <c r="AB1835">
        <v>19</v>
      </c>
      <c r="AC1835">
        <v>-18.587700000000002</v>
      </c>
      <c r="AD1835">
        <v>-1.113711372492</v>
      </c>
      <c r="AE1835">
        <v>1.09280000000001</v>
      </c>
      <c r="AF1835">
        <v>6.9643790608786196</v>
      </c>
      <c r="AG1835">
        <v>-1.113711372492</v>
      </c>
      <c r="AH1835">
        <v>17.196708136659598</v>
      </c>
      <c r="AI1835">
        <v>93.435188125575195</v>
      </c>
      <c r="AJ1835">
        <v>67.952876123325595</v>
      </c>
      <c r="AK1835">
        <v>18.5868152049316</v>
      </c>
      <c r="AL1835">
        <v>93.4486166663185</v>
      </c>
      <c r="AM1835">
        <v>77.3342478373592</v>
      </c>
      <c r="AN1835">
        <v>1.00000000864121</v>
      </c>
    </row>
    <row r="1836" spans="1:40" x14ac:dyDescent="0.25">
      <c r="A1836" t="str">
        <f>"20190303154803356"</f>
        <v>20190303154803356</v>
      </c>
      <c r="B1836" t="str">
        <f>"1551599283352274"</f>
        <v>1551599283352274</v>
      </c>
      <c r="C1836" t="s">
        <v>40</v>
      </c>
      <c r="D1836">
        <v>5.9590589999999999</v>
      </c>
      <c r="E1836">
        <v>0.55989940000000005</v>
      </c>
      <c r="F1836" t="s">
        <v>52</v>
      </c>
      <c r="G1836">
        <v>-220.0547</v>
      </c>
      <c r="H1836" s="1">
        <v>-1.5076899999999999E-6</v>
      </c>
      <c r="I1836">
        <v>286.3777</v>
      </c>
      <c r="J1836">
        <v>-201.29169999999999</v>
      </c>
      <c r="K1836">
        <v>1.113831</v>
      </c>
      <c r="L1836">
        <v>285.21390000000002</v>
      </c>
      <c r="M1836">
        <v>-0.95151319999999995</v>
      </c>
      <c r="N1836">
        <v>-1.567176E-2</v>
      </c>
      <c r="O1836">
        <v>-0.30720890000000001</v>
      </c>
      <c r="P1836">
        <v>-0.99272360000000004</v>
      </c>
      <c r="Q1836">
        <v>-7.1709830000000002E-2</v>
      </c>
      <c r="R1836">
        <v>-9.6735959999999996E-2</v>
      </c>
      <c r="S1836">
        <v>-3.0298310000000002</v>
      </c>
      <c r="T1836">
        <v>-0.1781819</v>
      </c>
      <c r="U1836">
        <v>0.1795349</v>
      </c>
      <c r="V1836">
        <v>0.211918</v>
      </c>
      <c r="W1836">
        <v>-6.0203939999999997E-2</v>
      </c>
      <c r="X1836">
        <v>0.9754313</v>
      </c>
      <c r="Y1836">
        <v>0.36193740000000002</v>
      </c>
      <c r="Z1836">
        <v>2.6462530000000001E-2</v>
      </c>
      <c r="AA1836">
        <v>0.93182670000000001</v>
      </c>
      <c r="AB1836">
        <v>19</v>
      </c>
      <c r="AC1836">
        <v>-18.763000000000002</v>
      </c>
      <c r="AD1836">
        <v>-1.11383250769</v>
      </c>
      <c r="AE1836">
        <v>1.16379999999998</v>
      </c>
      <c r="AF1836">
        <v>6.8483336788318399</v>
      </c>
      <c r="AG1836">
        <v>-1.11383250769</v>
      </c>
      <c r="AH1836">
        <v>17.4366477352266</v>
      </c>
      <c r="AI1836">
        <v>93.402650563363693</v>
      </c>
      <c r="AJ1836">
        <v>68.557324916032101</v>
      </c>
      <c r="AK1836">
        <v>18.766379013389699</v>
      </c>
      <c r="AL1836">
        <v>93.451518875222007</v>
      </c>
      <c r="AM1836">
        <v>77.742645980326003</v>
      </c>
      <c r="AN1836">
        <v>0.99999998706760596</v>
      </c>
    </row>
    <row r="1837" spans="1:40" x14ac:dyDescent="0.25">
      <c r="A1837" t="str">
        <f>"20190303154803380"</f>
        <v>20190303154803380</v>
      </c>
      <c r="B1837" t="str">
        <f>"1551599283372770"</f>
        <v>1551599283372770</v>
      </c>
      <c r="C1837" t="s">
        <v>40</v>
      </c>
      <c r="D1837">
        <v>5.9286260000000004</v>
      </c>
      <c r="E1837">
        <v>0.55831999999999904</v>
      </c>
      <c r="F1837" t="s">
        <v>52</v>
      </c>
      <c r="G1837">
        <v>-219.5523</v>
      </c>
      <c r="H1837" s="1">
        <v>3.5464620000000001E-6</v>
      </c>
      <c r="I1837">
        <v>286.32729999999998</v>
      </c>
      <c r="J1837">
        <v>-201.49440000000001</v>
      </c>
      <c r="K1837">
        <v>1.113972</v>
      </c>
      <c r="L1837">
        <v>285.16829999999999</v>
      </c>
      <c r="M1837">
        <v>-0.95622770000000001</v>
      </c>
      <c r="N1837">
        <v>-1.559265E-2</v>
      </c>
      <c r="O1837">
        <v>-0.29220819999999997</v>
      </c>
      <c r="P1837">
        <v>-0.99359470000000005</v>
      </c>
      <c r="Q1837">
        <v>-7.1334019999999998E-2</v>
      </c>
      <c r="R1837">
        <v>-8.7643780000000004E-2</v>
      </c>
      <c r="S1837">
        <v>-3.0266419999999998</v>
      </c>
      <c r="T1837">
        <v>-0.18461350000000001</v>
      </c>
      <c r="U1837">
        <v>0.1845398</v>
      </c>
      <c r="V1837">
        <v>0.20554639999999999</v>
      </c>
      <c r="W1837">
        <v>-5.9696390000000002E-2</v>
      </c>
      <c r="X1837">
        <v>0.9768249</v>
      </c>
      <c r="Y1837">
        <v>0.34880349999999999</v>
      </c>
      <c r="Z1837">
        <v>2.638505E-2</v>
      </c>
      <c r="AA1837">
        <v>0.9368244</v>
      </c>
      <c r="AB1837">
        <v>19</v>
      </c>
      <c r="AC1837">
        <v>-18.057899999999901</v>
      </c>
      <c r="AD1837">
        <v>-1.1139684535379999</v>
      </c>
      <c r="AE1837">
        <v>1.15899999999999</v>
      </c>
      <c r="AF1837">
        <v>6.3616003927365101</v>
      </c>
      <c r="AG1837">
        <v>-1.1139684535379999</v>
      </c>
      <c r="AH1837">
        <v>16.8669280059556</v>
      </c>
      <c r="AI1837">
        <v>93.536116170081598</v>
      </c>
      <c r="AJ1837">
        <v>69.335323311589207</v>
      </c>
      <c r="AK1837">
        <v>18.061122490876201</v>
      </c>
      <c r="AL1837">
        <v>93.4223861863194</v>
      </c>
      <c r="AM1837">
        <v>78.117011865743194</v>
      </c>
      <c r="AN1837">
        <v>0.99999993339599802</v>
      </c>
    </row>
    <row r="1838" spans="1:40" x14ac:dyDescent="0.25">
      <c r="A1838" t="str">
        <f>"20190303154803401"</f>
        <v>20190303154803401</v>
      </c>
      <c r="B1838" t="str">
        <f>"1551599283392819"</f>
        <v>1551599283392819</v>
      </c>
      <c r="C1838" t="s">
        <v>40</v>
      </c>
      <c r="D1838">
        <v>5.8178400000000003</v>
      </c>
      <c r="E1838">
        <v>0.55740119999999904</v>
      </c>
      <c r="F1838" t="s">
        <v>52</v>
      </c>
      <c r="G1838">
        <v>-219.36850000000001</v>
      </c>
      <c r="H1838" s="1">
        <v>3.4486420000000002E-6</v>
      </c>
      <c r="I1838">
        <v>286.34960000000001</v>
      </c>
      <c r="J1838">
        <v>-201.66739999999999</v>
      </c>
      <c r="K1838">
        <v>1.1140950000000001</v>
      </c>
      <c r="L1838">
        <v>285.13189999999997</v>
      </c>
      <c r="M1838">
        <v>-0.96000189999999996</v>
      </c>
      <c r="N1838">
        <v>-1.5526999999999999E-2</v>
      </c>
      <c r="O1838">
        <v>-0.27956320000000001</v>
      </c>
      <c r="P1838">
        <v>-0.99418289999999998</v>
      </c>
      <c r="Q1838">
        <v>-7.1353249999999993E-2</v>
      </c>
      <c r="R1838">
        <v>-8.0680109999999999E-2</v>
      </c>
      <c r="S1838">
        <v>-3.0234380000000001</v>
      </c>
      <c r="T1838">
        <v>-0.1884304</v>
      </c>
      <c r="U1838">
        <v>0.19982910000000001</v>
      </c>
      <c r="V1838">
        <v>0.19951859999999999</v>
      </c>
      <c r="W1838">
        <v>-5.9592600000000003E-2</v>
      </c>
      <c r="X1838">
        <v>0.97808030000000001</v>
      </c>
      <c r="Y1838">
        <v>0.34118809999999999</v>
      </c>
      <c r="Z1838">
        <v>2.6148569999999999E-2</v>
      </c>
      <c r="AA1838">
        <v>0.93963129999999995</v>
      </c>
      <c r="AB1838">
        <v>19</v>
      </c>
      <c r="AC1838">
        <v>-17.7011</v>
      </c>
      <c r="AD1838">
        <v>-1.1140915513580001</v>
      </c>
      <c r="AE1838">
        <v>1.21770000000003</v>
      </c>
      <c r="AF1838">
        <v>6.0942793119319703</v>
      </c>
      <c r="AG1838">
        <v>-1.1140915513580001</v>
      </c>
      <c r="AH1838">
        <v>16.589264550936502</v>
      </c>
      <c r="AI1838">
        <v>93.607054383034395</v>
      </c>
      <c r="AJ1838">
        <v>69.828543927177293</v>
      </c>
      <c r="AK1838">
        <v>17.7083352875873</v>
      </c>
      <c r="AL1838">
        <v>93.416428583914197</v>
      </c>
      <c r="AM1838">
        <v>78.470419700841106</v>
      </c>
      <c r="AN1838">
        <v>1.0000000114844001</v>
      </c>
    </row>
    <row r="1839" spans="1:40" x14ac:dyDescent="0.25">
      <c r="A1839" t="str">
        <f>"20190303154803424"</f>
        <v>20190303154803424</v>
      </c>
      <c r="B1839" t="str">
        <f>"1551599283412317"</f>
        <v>1551599283412317</v>
      </c>
      <c r="C1839" t="s">
        <v>40</v>
      </c>
      <c r="D1839">
        <v>5.824033</v>
      </c>
      <c r="E1839">
        <v>0.55725219999999998</v>
      </c>
      <c r="F1839" t="s">
        <v>52</v>
      </c>
      <c r="G1839">
        <v>-219.55860000000001</v>
      </c>
      <c r="H1839" s="1">
        <v>3.5498089999999999E-6</v>
      </c>
      <c r="I1839">
        <v>286.39690000000002</v>
      </c>
      <c r="J1839">
        <v>-201.85730000000001</v>
      </c>
      <c r="K1839">
        <v>1.114236</v>
      </c>
      <c r="L1839">
        <v>285.09449999999998</v>
      </c>
      <c r="M1839">
        <v>-0.96389000000000002</v>
      </c>
      <c r="N1839">
        <v>-1.545796E-2</v>
      </c>
      <c r="O1839">
        <v>-0.26585189999999997</v>
      </c>
      <c r="P1839">
        <v>-0.99480429999999997</v>
      </c>
      <c r="Q1839">
        <v>-7.1003819999999995E-2</v>
      </c>
      <c r="R1839">
        <v>-7.2959800000000005E-2</v>
      </c>
      <c r="S1839">
        <v>-3.0214080000000001</v>
      </c>
      <c r="T1839">
        <v>-0.1881449</v>
      </c>
      <c r="U1839">
        <v>0.21362300000000001</v>
      </c>
      <c r="V1839">
        <v>0.1932044</v>
      </c>
      <c r="W1839">
        <v>-5.9119400000000003E-2</v>
      </c>
      <c r="X1839">
        <v>0.97937580000000002</v>
      </c>
      <c r="Y1839">
        <v>0.33212789999999998</v>
      </c>
      <c r="Z1839">
        <v>2.5167399999999999E-2</v>
      </c>
      <c r="AA1839">
        <v>0.94289860000000003</v>
      </c>
      <c r="AB1839">
        <v>19</v>
      </c>
      <c r="AC1839">
        <v>-17.7013</v>
      </c>
      <c r="AD1839">
        <v>-1.1142324501909999</v>
      </c>
      <c r="AE1839">
        <v>1.30240000000003</v>
      </c>
      <c r="AF1839">
        <v>5.9386030814952697</v>
      </c>
      <c r="AG1839">
        <v>-1.1142324501909999</v>
      </c>
      <c r="AH1839">
        <v>16.6522321122936</v>
      </c>
      <c r="AI1839">
        <v>93.606243468709096</v>
      </c>
      <c r="AJ1839">
        <v>70.372492378994295</v>
      </c>
      <c r="AK1839">
        <v>17.714552064173201</v>
      </c>
      <c r="AL1839">
        <v>93.389268371109097</v>
      </c>
      <c r="AM1839">
        <v>78.840382278211294</v>
      </c>
      <c r="AN1839">
        <v>1.00000000063068</v>
      </c>
    </row>
    <row r="1840" spans="1:40" x14ac:dyDescent="0.25">
      <c r="A1840" t="str">
        <f>"20190303154803445"</f>
        <v>20190303154803445</v>
      </c>
      <c r="B1840" t="str">
        <f>"1551599283442572"</f>
        <v>1551599283442572</v>
      </c>
      <c r="C1840" t="s">
        <v>40</v>
      </c>
      <c r="D1840">
        <v>5.7441459999999998</v>
      </c>
      <c r="E1840">
        <v>0.55554840000000005</v>
      </c>
      <c r="F1840" t="s">
        <v>52</v>
      </c>
      <c r="G1840">
        <v>-220.53569999999999</v>
      </c>
      <c r="H1840" s="1">
        <v>-1.251724E-6</v>
      </c>
      <c r="I1840">
        <v>286.55279999999999</v>
      </c>
      <c r="J1840">
        <v>-202.04230000000001</v>
      </c>
      <c r="K1840">
        <v>1.1143510000000001</v>
      </c>
      <c r="L1840">
        <v>285.06060000000002</v>
      </c>
      <c r="M1840">
        <v>-0.96744730000000001</v>
      </c>
      <c r="N1840">
        <v>-1.539577E-2</v>
      </c>
      <c r="O1840">
        <v>-0.25260349999999998</v>
      </c>
      <c r="P1840">
        <v>-0.99534610000000001</v>
      </c>
      <c r="Q1840">
        <v>-7.0659609999999998E-2</v>
      </c>
      <c r="R1840">
        <v>-6.5524070000000004E-2</v>
      </c>
      <c r="S1840">
        <v>-3.0200960000000001</v>
      </c>
      <c r="T1840">
        <v>-0.18015980000000001</v>
      </c>
      <c r="U1840">
        <v>0.23577880000000001</v>
      </c>
      <c r="V1840">
        <v>0.187116</v>
      </c>
      <c r="W1840">
        <v>-5.8666860000000001E-2</v>
      </c>
      <c r="X1840">
        <v>0.98058440000000002</v>
      </c>
      <c r="Y1840">
        <v>0.32620890000000002</v>
      </c>
      <c r="Z1840">
        <v>2.326667E-2</v>
      </c>
      <c r="AA1840">
        <v>0.9450113</v>
      </c>
      <c r="AB1840">
        <v>19</v>
      </c>
      <c r="AC1840">
        <v>-18.493399999999902</v>
      </c>
      <c r="AD1840">
        <v>-1.1143522517239901</v>
      </c>
      <c r="AE1840">
        <v>1.49219999999996</v>
      </c>
      <c r="AF1840">
        <v>6.09386484275388</v>
      </c>
      <c r="AG1840">
        <v>-1.1143522517239901</v>
      </c>
      <c r="AH1840">
        <v>17.453570643655599</v>
      </c>
      <c r="AI1840">
        <v>93.449513654207493</v>
      </c>
      <c r="AJ1840">
        <v>70.7534962269403</v>
      </c>
      <c r="AK1840">
        <v>18.520369809367999</v>
      </c>
      <c r="AL1840">
        <v>93.3632947197612</v>
      </c>
      <c r="AM1840">
        <v>79.196644292132603</v>
      </c>
      <c r="AN1840">
        <v>0.99999998172080895</v>
      </c>
    </row>
    <row r="1841" spans="1:40" x14ac:dyDescent="0.25">
      <c r="A1841" t="str">
        <f>"20190303154803468"</f>
        <v>20190303154803468</v>
      </c>
      <c r="B1841" t="str">
        <f>"1551599283462091"</f>
        <v>1551599283462091</v>
      </c>
      <c r="C1841" t="s">
        <v>40</v>
      </c>
      <c r="D1841">
        <v>5.8281729999999996</v>
      </c>
      <c r="E1841">
        <v>0.5552011</v>
      </c>
      <c r="F1841" t="s">
        <v>52</v>
      </c>
      <c r="G1841">
        <v>-222.6156</v>
      </c>
      <c r="H1841" s="1">
        <v>-1.448974E-7</v>
      </c>
      <c r="I1841">
        <v>286.72669999999999</v>
      </c>
      <c r="J1841">
        <v>-202.2381</v>
      </c>
      <c r="K1841">
        <v>1.114441</v>
      </c>
      <c r="L1841">
        <v>285.02730000000003</v>
      </c>
      <c r="M1841">
        <v>-0.97097129999999998</v>
      </c>
      <c r="N1841">
        <v>-1.5336590000000001E-2</v>
      </c>
      <c r="O1841">
        <v>-0.23870359999999999</v>
      </c>
      <c r="P1841">
        <v>-0.99587329999999996</v>
      </c>
      <c r="Q1841">
        <v>-7.0344820000000002E-2</v>
      </c>
      <c r="R1841">
        <v>-5.7342289999999997E-2</v>
      </c>
      <c r="S1841">
        <v>-3.0185089999999999</v>
      </c>
      <c r="T1841">
        <v>-0.16349739999999999</v>
      </c>
      <c r="U1841">
        <v>0.24444579999999999</v>
      </c>
      <c r="V1841">
        <v>0.18113589999999999</v>
      </c>
      <c r="W1841">
        <v>-5.8258089999999998E-2</v>
      </c>
      <c r="X1841">
        <v>0.98173100000000002</v>
      </c>
      <c r="Y1841">
        <v>0.3155712</v>
      </c>
      <c r="Z1841">
        <v>2.011669E-2</v>
      </c>
      <c r="AA1841">
        <v>0.94868859999999999</v>
      </c>
      <c r="AB1841">
        <v>19</v>
      </c>
      <c r="AC1841">
        <v>-20.377500000000001</v>
      </c>
      <c r="AD1841">
        <v>-1.1144411448973901</v>
      </c>
      <c r="AE1841">
        <v>1.6993999999999601</v>
      </c>
      <c r="AF1841">
        <v>6.4957235146718002</v>
      </c>
      <c r="AG1841">
        <v>-1.1144411448973901</v>
      </c>
      <c r="AH1841">
        <v>19.3251936093124</v>
      </c>
      <c r="AI1841">
        <v>93.1288154433134</v>
      </c>
      <c r="AJ1841">
        <v>71.421102248093405</v>
      </c>
      <c r="AK1841">
        <v>20.418117226666901</v>
      </c>
      <c r="AL1841">
        <v>93.339833775509206</v>
      </c>
      <c r="AM1841">
        <v>79.546115607557098</v>
      </c>
      <c r="AN1841">
        <v>0.999999987840129</v>
      </c>
    </row>
    <row r="1842" spans="1:40" x14ac:dyDescent="0.25">
      <c r="A1842" t="str">
        <f>"20190303154803490"</f>
        <v>20190303154803490</v>
      </c>
      <c r="B1842" t="str">
        <f>"1551599283482588"</f>
        <v>1551599283482588</v>
      </c>
      <c r="C1842" t="s">
        <v>40</v>
      </c>
      <c r="D1842">
        <v>5.9081390000000003</v>
      </c>
      <c r="E1842">
        <v>0.52119729999999997</v>
      </c>
      <c r="F1842" t="s">
        <v>52</v>
      </c>
      <c r="G1842">
        <v>-223.43190000000001</v>
      </c>
      <c r="H1842" s="1">
        <v>2.8952270000000001E-7</v>
      </c>
      <c r="I1842">
        <v>286.89909999999998</v>
      </c>
      <c r="J1842">
        <v>-202.42189999999999</v>
      </c>
      <c r="K1842">
        <v>1.1144989999999999</v>
      </c>
      <c r="L1842">
        <v>284.99849999999998</v>
      </c>
      <c r="M1842">
        <v>-0.97406780000000004</v>
      </c>
      <c r="N1842">
        <v>-1.528734E-2</v>
      </c>
      <c r="O1842">
        <v>-0.2257401</v>
      </c>
      <c r="P1842">
        <v>-0.99627100000000002</v>
      </c>
      <c r="Q1842">
        <v>-7.0554210000000006E-2</v>
      </c>
      <c r="R1842">
        <v>-4.9663680000000002E-2</v>
      </c>
      <c r="S1842">
        <v>-3.0165709999999999</v>
      </c>
      <c r="T1842">
        <v>-0.15862079999999901</v>
      </c>
      <c r="U1842">
        <v>0.2664185</v>
      </c>
      <c r="V1842">
        <v>0.17562039999999901</v>
      </c>
      <c r="W1842">
        <v>-5.8389669999999998E-2</v>
      </c>
      <c r="X1842">
        <v>0.98272479999999995</v>
      </c>
      <c r="Y1842">
        <v>0.30989299999999997</v>
      </c>
      <c r="Z1842">
        <v>1.883601E-2</v>
      </c>
      <c r="AA1842">
        <v>0.95058480000000001</v>
      </c>
      <c r="AB1842">
        <v>19</v>
      </c>
      <c r="AC1842">
        <v>-21.01</v>
      </c>
      <c r="AD1842">
        <v>-1.1144987104773001</v>
      </c>
      <c r="AE1842">
        <v>1.9005999999999901</v>
      </c>
      <c r="AF1842">
        <v>6.5765267813572201</v>
      </c>
      <c r="AG1842">
        <v>-1.1144987104773001</v>
      </c>
      <c r="AH1842">
        <v>19.982688079504999</v>
      </c>
      <c r="AI1842">
        <v>93.032571401129204</v>
      </c>
      <c r="AJ1842">
        <v>71.783044776197698</v>
      </c>
      <c r="AK1842">
        <v>21.0665762468502</v>
      </c>
      <c r="AL1842">
        <v>93.347385718047903</v>
      </c>
      <c r="AM1842">
        <v>79.867767037761197</v>
      </c>
      <c r="AN1842">
        <v>0.99999995549695297</v>
      </c>
    </row>
    <row r="1843" spans="1:40" x14ac:dyDescent="0.25">
      <c r="A1843" t="str">
        <f>"20190303154803514"</f>
        <v>20190303154803514</v>
      </c>
      <c r="B1843" t="str">
        <f>"1551599283502108"</f>
        <v>1551599283502108</v>
      </c>
      <c r="C1843" t="s">
        <v>40</v>
      </c>
      <c r="D1843">
        <v>5.8895400000000002</v>
      </c>
      <c r="E1843">
        <v>0.51426609999999995</v>
      </c>
      <c r="F1843" t="s">
        <v>52</v>
      </c>
      <c r="G1843">
        <v>-218.6925</v>
      </c>
      <c r="H1843" s="1">
        <v>3.088938E-6</v>
      </c>
      <c r="I1843">
        <v>285.10599999999999</v>
      </c>
      <c r="J1843">
        <v>-202.62219999999999</v>
      </c>
      <c r="K1843">
        <v>1.1145350000000001</v>
      </c>
      <c r="L1843">
        <v>284.9699</v>
      </c>
      <c r="M1843">
        <v>-0.97722039999999999</v>
      </c>
      <c r="N1843">
        <v>-1.523979E-2</v>
      </c>
      <c r="O1843">
        <v>-0.21167910000000001</v>
      </c>
      <c r="P1843">
        <v>-0.99658720000000001</v>
      </c>
      <c r="Q1843">
        <v>-7.2027389999999997E-2</v>
      </c>
      <c r="R1843">
        <v>-4.032823E-2</v>
      </c>
      <c r="S1843">
        <v>-2.9976959999999999</v>
      </c>
      <c r="T1843">
        <v>-0.2053344</v>
      </c>
      <c r="U1843">
        <v>1.9805909999999999E-2</v>
      </c>
      <c r="V1843">
        <v>0.17062539999999901</v>
      </c>
      <c r="W1843">
        <v>-5.9803410000000001E-2</v>
      </c>
      <c r="X1843">
        <v>0.98351940000000004</v>
      </c>
      <c r="Y1843">
        <v>0.21724060000000001</v>
      </c>
      <c r="Z1843">
        <v>2.0249960000000001E-2</v>
      </c>
      <c r="AA1843">
        <v>0.975908</v>
      </c>
      <c r="AB1843">
        <v>19</v>
      </c>
      <c r="AC1843">
        <v>-16.0703</v>
      </c>
      <c r="AD1843">
        <v>-1.114531911062</v>
      </c>
      <c r="AE1843">
        <v>0.136099999999999</v>
      </c>
      <c r="AF1843">
        <v>3.5182356912248398</v>
      </c>
      <c r="AG1843">
        <v>-1.114531911062</v>
      </c>
      <c r="AH1843">
        <v>15.602196286762601</v>
      </c>
      <c r="AI1843">
        <v>93.986188647203207</v>
      </c>
      <c r="AJ1843">
        <v>77.292560133661397</v>
      </c>
      <c r="AK1843">
        <v>16.032738154490499</v>
      </c>
      <c r="AL1843">
        <v>93.428528924351895</v>
      </c>
      <c r="AM1843">
        <v>80.158026048577</v>
      </c>
      <c r="AN1843">
        <v>0.99999994257457203</v>
      </c>
    </row>
    <row r="1844" spans="1:40" x14ac:dyDescent="0.25">
      <c r="A1844" t="str">
        <f>"20190303154803537"</f>
        <v>20190303154803537</v>
      </c>
      <c r="B1844" t="str">
        <f>"1551599283532364"</f>
        <v>1551599283532364</v>
      </c>
      <c r="C1844" t="s">
        <v>40</v>
      </c>
      <c r="D1844">
        <v>5.8111889999999997</v>
      </c>
      <c r="E1844">
        <v>0.51070740000000003</v>
      </c>
      <c r="F1844" t="s">
        <v>52</v>
      </c>
      <c r="G1844">
        <v>-218.5086</v>
      </c>
      <c r="H1844" s="1">
        <v>2.991059E-6</v>
      </c>
      <c r="I1844">
        <v>284.93040000000002</v>
      </c>
      <c r="J1844">
        <v>-202.8167</v>
      </c>
      <c r="K1844">
        <v>1.11454599999999</v>
      </c>
      <c r="L1844">
        <v>284.94479999999999</v>
      </c>
      <c r="M1844">
        <v>-0.98006919999999997</v>
      </c>
      <c r="N1844">
        <v>-1.5198959999999999E-2</v>
      </c>
      <c r="O1844">
        <v>-0.1980741</v>
      </c>
      <c r="P1844">
        <v>-0.99661029999999995</v>
      </c>
      <c r="Q1844">
        <v>-7.5564220000000001E-2</v>
      </c>
      <c r="R1844">
        <v>-3.2525650000000003E-2</v>
      </c>
      <c r="S1844">
        <v>-2.9947810000000001</v>
      </c>
      <c r="T1844">
        <v>-0.2101036</v>
      </c>
      <c r="U1844">
        <v>-7.446289E-3</v>
      </c>
      <c r="V1844">
        <v>0.16454939999999901</v>
      </c>
      <c r="W1844">
        <v>-6.3262380000000007E-2</v>
      </c>
      <c r="X1844">
        <v>0.98433800000000005</v>
      </c>
      <c r="Y1844">
        <v>0.19478380000000001</v>
      </c>
      <c r="Z1844">
        <v>1.9092540000000002E-2</v>
      </c>
      <c r="AA1844">
        <v>0.98066039999999999</v>
      </c>
      <c r="AB1844">
        <v>18</v>
      </c>
      <c r="AC1844">
        <v>-15.6919</v>
      </c>
      <c r="AD1844">
        <v>-1.11454300894099</v>
      </c>
      <c r="AE1844">
        <v>-1.43999999999664E-2</v>
      </c>
      <c r="AF1844">
        <v>3.0788711914772602</v>
      </c>
      <c r="AG1844">
        <v>-1.11454300894099</v>
      </c>
      <c r="AH1844">
        <v>15.3065589609692</v>
      </c>
      <c r="AI1844">
        <v>94.083128917364704</v>
      </c>
      <c r="AJ1844">
        <v>78.626880865502997</v>
      </c>
      <c r="AK1844">
        <v>15.652871977950699</v>
      </c>
      <c r="AL1844">
        <v>93.627089594960594</v>
      </c>
      <c r="AM1844">
        <v>80.509755601130905</v>
      </c>
      <c r="AN1844">
        <v>0.99999996600381102</v>
      </c>
    </row>
    <row r="1845" spans="1:40" x14ac:dyDescent="0.25">
      <c r="A1845" t="str">
        <f>"20190303154803557"</f>
        <v>20190303154803557</v>
      </c>
      <c r="B1845" t="str">
        <f>"1551599283552860"</f>
        <v>1551599283552860</v>
      </c>
      <c r="C1845" t="s">
        <v>40</v>
      </c>
      <c r="D1845">
        <v>5.8940449999999904</v>
      </c>
      <c r="E1845">
        <v>0.50907139999999995</v>
      </c>
      <c r="F1845" t="s">
        <v>52</v>
      </c>
      <c r="G1845">
        <v>-217.2929</v>
      </c>
      <c r="H1845" s="1">
        <v>2.3441230000000001E-6</v>
      </c>
      <c r="I1845">
        <v>284.88589999999999</v>
      </c>
      <c r="J1845">
        <v>-202.98769999999999</v>
      </c>
      <c r="K1845">
        <v>1.1145579999999999</v>
      </c>
      <c r="L1845">
        <v>284.92489999999998</v>
      </c>
      <c r="M1845">
        <v>-0.98240669999999997</v>
      </c>
      <c r="N1845">
        <v>-1.516699E-2</v>
      </c>
      <c r="O1845">
        <v>-0.18613730000000001</v>
      </c>
      <c r="P1845">
        <v>-0.99653610000000004</v>
      </c>
      <c r="Q1845">
        <v>-7.8425750000000002E-2</v>
      </c>
      <c r="R1845">
        <v>-2.7664480000000002E-2</v>
      </c>
      <c r="S1845">
        <v>-2.9923250000000001</v>
      </c>
      <c r="T1845">
        <v>-0.2303839</v>
      </c>
      <c r="U1845">
        <v>-1.217651E-2</v>
      </c>
      <c r="V1845">
        <v>0.1572954</v>
      </c>
      <c r="W1845">
        <v>-6.6017140000000002E-2</v>
      </c>
      <c r="X1845">
        <v>0.98534250000000001</v>
      </c>
      <c r="Y1845">
        <v>0.18116779999999999</v>
      </c>
      <c r="Z1845">
        <v>1.9752860000000001E-2</v>
      </c>
      <c r="AA1845">
        <v>0.98325379999999996</v>
      </c>
      <c r="AB1845">
        <v>18</v>
      </c>
      <c r="AC1845">
        <v>-14.305199999999999</v>
      </c>
      <c r="AD1845">
        <v>-1.114555655877</v>
      </c>
      <c r="AE1845">
        <v>-3.8999999999987198E-2</v>
      </c>
      <c r="AF1845">
        <v>2.6088824960816801</v>
      </c>
      <c r="AG1845">
        <v>-1.114555655877</v>
      </c>
      <c r="AH1845">
        <v>13.9775524375277</v>
      </c>
      <c r="AI1845">
        <v>94.481981651057495</v>
      </c>
      <c r="AJ1845">
        <v>79.427508950417703</v>
      </c>
      <c r="AK1845">
        <v>14.2625549721025</v>
      </c>
      <c r="AL1845">
        <v>93.785256522741406</v>
      </c>
      <c r="AM1845">
        <v>80.930101014178703</v>
      </c>
      <c r="AN1845">
        <v>0.99999997397059404</v>
      </c>
    </row>
    <row r="1846" spans="1:40" x14ac:dyDescent="0.25">
      <c r="A1846" t="str">
        <f>"20190303154803581"</f>
        <v>20190303154803581</v>
      </c>
      <c r="B1846" t="str">
        <f>"1551599283572380"</f>
        <v>1551599283572380</v>
      </c>
      <c r="C1846" t="s">
        <v>40</v>
      </c>
      <c r="D1846">
        <v>5.889831</v>
      </c>
      <c r="E1846">
        <v>0.50763879999999995</v>
      </c>
      <c r="F1846" t="s">
        <v>52</v>
      </c>
      <c r="G1846">
        <v>-216.90870000000001</v>
      </c>
      <c r="H1846" s="1">
        <v>2.1396810000000001E-6</v>
      </c>
      <c r="I1846">
        <v>284.8759</v>
      </c>
      <c r="J1846">
        <v>-203.18559999999999</v>
      </c>
      <c r="K1846">
        <v>1.1145929999999999</v>
      </c>
      <c r="L1846">
        <v>284.90440000000001</v>
      </c>
      <c r="M1846">
        <v>-0.98492089999999999</v>
      </c>
      <c r="N1846">
        <v>-1.513158E-2</v>
      </c>
      <c r="O1846">
        <v>-0.17234279999999999</v>
      </c>
      <c r="P1846">
        <v>-0.99669929999999995</v>
      </c>
      <c r="Q1846">
        <v>-7.8123780000000004E-2</v>
      </c>
      <c r="R1846">
        <v>-2.2080269999999999E-2</v>
      </c>
      <c r="S1846">
        <v>-2.9912869999999998</v>
      </c>
      <c r="T1846">
        <v>-0.23949090000000001</v>
      </c>
      <c r="U1846">
        <v>-1.0528559999999999E-2</v>
      </c>
      <c r="V1846">
        <v>0.14901639999999999</v>
      </c>
      <c r="W1846">
        <v>-6.5587270000000003E-2</v>
      </c>
      <c r="X1846">
        <v>0.98665720000000001</v>
      </c>
      <c r="Y1846">
        <v>0.16789760000000001</v>
      </c>
      <c r="Z1846">
        <v>1.9091690000000001E-2</v>
      </c>
      <c r="AA1846">
        <v>0.98561949999999998</v>
      </c>
      <c r="AB1846">
        <v>18</v>
      </c>
      <c r="AC1846">
        <v>-13.723100000000001</v>
      </c>
      <c r="AD1846">
        <v>-1.114590860319</v>
      </c>
      <c r="AE1846">
        <v>-2.8500000000008099E-2</v>
      </c>
      <c r="AF1846">
        <v>2.3219574269989698</v>
      </c>
      <c r="AG1846">
        <v>-1.114590860319</v>
      </c>
      <c r="AH1846">
        <v>13.434007030567001</v>
      </c>
      <c r="AI1846">
        <v>94.673859130468799</v>
      </c>
      <c r="AJ1846">
        <v>80.193781818111901</v>
      </c>
      <c r="AK1846">
        <v>13.6786820993846</v>
      </c>
      <c r="AL1846">
        <v>93.760573176202698</v>
      </c>
      <c r="AM1846">
        <v>81.411438342267601</v>
      </c>
      <c r="AN1846">
        <v>1.00000000388342</v>
      </c>
    </row>
    <row r="1847" spans="1:40" x14ac:dyDescent="0.25">
      <c r="A1847" t="str">
        <f>"20190303154803603"</f>
        <v>20190303154803603</v>
      </c>
      <c r="B1847" t="str">
        <f>"1551599283592877"</f>
        <v>1551599283592877</v>
      </c>
      <c r="C1847" t="s">
        <v>40</v>
      </c>
      <c r="D1847">
        <v>5.8692650000000004</v>
      </c>
      <c r="E1847">
        <v>0.50631919999999997</v>
      </c>
      <c r="F1847" t="s">
        <v>42</v>
      </c>
      <c r="G1847">
        <v>-204.0977</v>
      </c>
      <c r="H1847">
        <v>1.0416510000000001</v>
      </c>
      <c r="I1847">
        <v>284.90289999999999</v>
      </c>
      <c r="J1847">
        <v>-203.37299999999999</v>
      </c>
      <c r="K1847">
        <v>1.114625</v>
      </c>
      <c r="L1847">
        <v>284.88780000000003</v>
      </c>
      <c r="M1847">
        <v>-0.98711570000000004</v>
      </c>
      <c r="N1847">
        <v>-1.5076930000000001E-2</v>
      </c>
      <c r="O1847">
        <v>-0.15929670000000001</v>
      </c>
      <c r="P1847">
        <v>-0.99695420000000001</v>
      </c>
      <c r="Q1847">
        <v>-7.607477E-2</v>
      </c>
      <c r="R1847">
        <v>-1.717569E-2</v>
      </c>
      <c r="S1847">
        <v>-2.9910890000000001</v>
      </c>
      <c r="T1847">
        <v>-0.23901359999999999</v>
      </c>
      <c r="U1847">
        <v>-5.2185060000000004E-3</v>
      </c>
      <c r="V1847">
        <v>0.1408836</v>
      </c>
      <c r="W1847">
        <v>-6.3431280000000007E-2</v>
      </c>
      <c r="X1847">
        <v>0.98799199999999998</v>
      </c>
      <c r="Y1847">
        <v>0.1566679</v>
      </c>
      <c r="Z1847">
        <v>1.7693939999999998E-2</v>
      </c>
      <c r="AA1847">
        <v>0.98749290000000001</v>
      </c>
      <c r="AB1847">
        <v>18</v>
      </c>
      <c r="AC1847">
        <v>-0.724700000000012</v>
      </c>
      <c r="AD1847">
        <v>-7.2973999999999803E-2</v>
      </c>
      <c r="AE1847">
        <v>1.50999999999612E-2</v>
      </c>
      <c r="AF1847">
        <v>0.12905458189122801</v>
      </c>
      <c r="AG1847">
        <v>-7.2973999999999803E-2</v>
      </c>
      <c r="AH1847">
        <v>0.705884098505276</v>
      </c>
      <c r="AI1847">
        <v>95.806672374178206</v>
      </c>
      <c r="AJ1847">
        <v>79.639219173720306</v>
      </c>
      <c r="AK1847">
        <v>0.72128541528699097</v>
      </c>
      <c r="AL1847">
        <v>93.636786371185593</v>
      </c>
      <c r="AM1847">
        <v>81.8845674122079</v>
      </c>
      <c r="AN1847">
        <v>0.99999995404769804</v>
      </c>
    </row>
    <row r="1848" spans="1:40" x14ac:dyDescent="0.25">
      <c r="A1848" t="str">
        <f>"20190303154803627"</f>
        <v>20190303154803627</v>
      </c>
      <c r="B1848" t="str">
        <f>"1551599283622156"</f>
        <v>1551599283622156</v>
      </c>
      <c r="C1848" t="s">
        <v>40</v>
      </c>
      <c r="D1848">
        <v>5.962809</v>
      </c>
      <c r="E1848">
        <v>0.50538359999999904</v>
      </c>
      <c r="F1848" t="s">
        <v>42</v>
      </c>
      <c r="G1848">
        <v>-204.26660000000001</v>
      </c>
      <c r="H1848">
        <v>1.045336</v>
      </c>
      <c r="I1848">
        <v>284.88749999999999</v>
      </c>
      <c r="J1848">
        <v>-203.57079999999999</v>
      </c>
      <c r="K1848">
        <v>1.1146370000000001</v>
      </c>
      <c r="L1848">
        <v>284.87279999999998</v>
      </c>
      <c r="M1848">
        <v>-0.98923749999999999</v>
      </c>
      <c r="N1848">
        <v>-1.499575E-2</v>
      </c>
      <c r="O1848">
        <v>-0.14554839999999999</v>
      </c>
      <c r="P1848">
        <v>-0.99709320000000001</v>
      </c>
      <c r="Q1848">
        <v>-7.5270989999999996E-2</v>
      </c>
      <c r="R1848">
        <v>-1.182333E-2</v>
      </c>
      <c r="S1848">
        <v>-2.9914399999999999</v>
      </c>
      <c r="T1848">
        <v>-0.23198630000000001</v>
      </c>
      <c r="U1848">
        <v>-1.159668E-3</v>
      </c>
      <c r="V1848">
        <v>0.13247210000000001</v>
      </c>
      <c r="W1848">
        <v>-6.2545870000000003E-2</v>
      </c>
      <c r="X1848">
        <v>0.98921139999999996</v>
      </c>
      <c r="Y1848">
        <v>0.14438210000000001</v>
      </c>
      <c r="Z1848">
        <v>1.572871E-2</v>
      </c>
      <c r="AA1848">
        <v>0.98939699999999997</v>
      </c>
      <c r="AB1848">
        <v>18</v>
      </c>
      <c r="AC1848">
        <v>-0.69580000000001896</v>
      </c>
      <c r="AD1848">
        <v>-6.9301000000000001E-2</v>
      </c>
      <c r="AE1848">
        <v>1.47000000000048E-2</v>
      </c>
      <c r="AF1848">
        <v>0.114690174574889</v>
      </c>
      <c r="AG1848">
        <v>-6.9301000000000001E-2</v>
      </c>
      <c r="AH1848">
        <v>0.67951131926781605</v>
      </c>
      <c r="AI1848">
        <v>95.742595314706307</v>
      </c>
      <c r="AJ1848">
        <v>80.419721007742993</v>
      </c>
      <c r="AK1848">
        <v>0.692598078078554</v>
      </c>
      <c r="AL1848">
        <v>93.5859549414089</v>
      </c>
      <c r="AM1848">
        <v>82.372508645734897</v>
      </c>
      <c r="AN1848">
        <v>1.0000000185112099</v>
      </c>
    </row>
    <row r="1849" spans="1:40" x14ac:dyDescent="0.25">
      <c r="A1849" t="str">
        <f>"20190303154803647"</f>
        <v>20190303154803647</v>
      </c>
      <c r="B1849" t="str">
        <f>"1551599283642652"</f>
        <v>1551599283642652</v>
      </c>
      <c r="C1849" t="s">
        <v>40</v>
      </c>
      <c r="D1849">
        <v>5.9442700000000004</v>
      </c>
      <c r="E1849">
        <v>0.50412120000000005</v>
      </c>
      <c r="F1849" t="s">
        <v>42</v>
      </c>
      <c r="G1849">
        <v>-204.43539999999999</v>
      </c>
      <c r="H1849">
        <v>1.048219</v>
      </c>
      <c r="I1849">
        <v>284.87509999999997</v>
      </c>
      <c r="J1849">
        <v>-203.74690000000001</v>
      </c>
      <c r="K1849">
        <v>1.11464599999999</v>
      </c>
      <c r="L1849">
        <v>284.86169999999998</v>
      </c>
      <c r="M1849">
        <v>-0.99095880000000003</v>
      </c>
      <c r="N1849">
        <v>-1.4898649999999999E-2</v>
      </c>
      <c r="O1849">
        <v>-0.1333377</v>
      </c>
      <c r="P1849">
        <v>-0.99710449999999995</v>
      </c>
      <c r="Q1849">
        <v>-7.5519669999999997E-2</v>
      </c>
      <c r="R1849">
        <v>-8.9222869999999992E-3</v>
      </c>
      <c r="S1849">
        <v>-2.9914860000000001</v>
      </c>
      <c r="T1849">
        <v>-0.2296195</v>
      </c>
      <c r="U1849">
        <v>7.59887699999999E-3</v>
      </c>
      <c r="V1849">
        <v>0.1231517</v>
      </c>
      <c r="W1849">
        <v>-6.2716949999999994E-2</v>
      </c>
      <c r="X1849">
        <v>0.99040410000000001</v>
      </c>
      <c r="Y1849">
        <v>0.13514189999999901</v>
      </c>
      <c r="Z1849">
        <v>1.4395949999999999E-2</v>
      </c>
      <c r="AA1849">
        <v>0.99072159999999998</v>
      </c>
      <c r="AB1849">
        <v>18</v>
      </c>
      <c r="AC1849">
        <v>-0.68849999999997602</v>
      </c>
      <c r="AD1849">
        <v>-6.6426999999999695E-2</v>
      </c>
      <c r="AE1849">
        <v>1.339999999999E-2</v>
      </c>
      <c r="AF1849">
        <v>0.104124624565393</v>
      </c>
      <c r="AG1849">
        <v>-6.6426999999999695E-2</v>
      </c>
      <c r="AH1849">
        <v>0.67428958589918897</v>
      </c>
      <c r="AI1849">
        <v>95.560795177690594</v>
      </c>
      <c r="AJ1849">
        <v>81.221653143861303</v>
      </c>
      <c r="AK1849">
        <v>0.685507789468496</v>
      </c>
      <c r="AL1849">
        <v>93.595776383034803</v>
      </c>
      <c r="AM1849">
        <v>82.911943567979094</v>
      </c>
      <c r="AN1849">
        <v>1.0000000191634999</v>
      </c>
    </row>
    <row r="1850" spans="1:40" x14ac:dyDescent="0.25">
      <c r="A1850" t="str">
        <f>"20190303154803670"</f>
        <v>20190303154803670</v>
      </c>
      <c r="B1850" t="str">
        <f>"1551599283662172"</f>
        <v>1551599283662172</v>
      </c>
      <c r="C1850" t="s">
        <v>40</v>
      </c>
      <c r="D1850">
        <v>5.9200790000000003</v>
      </c>
      <c r="E1850">
        <v>0.50310929999999998</v>
      </c>
      <c r="F1850" t="s">
        <v>42</v>
      </c>
      <c r="G1850">
        <v>-204.601</v>
      </c>
      <c r="H1850">
        <v>1.047512</v>
      </c>
      <c r="I1850">
        <v>284.86349999999999</v>
      </c>
      <c r="J1850">
        <v>-203.9435</v>
      </c>
      <c r="K1850">
        <v>1.1146640000000001</v>
      </c>
      <c r="L1850">
        <v>284.85180000000003</v>
      </c>
      <c r="M1850">
        <v>-0.99269260000000004</v>
      </c>
      <c r="N1850">
        <v>-1.4752410000000001E-2</v>
      </c>
      <c r="O1850">
        <v>-0.11976580000000001</v>
      </c>
      <c r="P1850">
        <v>-0.99720569999999997</v>
      </c>
      <c r="Q1850">
        <v>-7.4502849999999995E-2</v>
      </c>
      <c r="R1850">
        <v>-5.498691E-3</v>
      </c>
      <c r="S1850">
        <v>-2.9909669999999999</v>
      </c>
      <c r="T1850">
        <v>-0.23506099999999999</v>
      </c>
      <c r="U1850">
        <v>6.1035159999999998E-3</v>
      </c>
      <c r="V1850">
        <v>0.11303439999999999</v>
      </c>
      <c r="W1850">
        <v>-6.165553E-2</v>
      </c>
      <c r="X1850">
        <v>0.99167629999999996</v>
      </c>
      <c r="Y1850">
        <v>0.12111860000000001</v>
      </c>
      <c r="Z1850">
        <v>1.326049E-2</v>
      </c>
      <c r="AA1850">
        <v>0.99254949999999997</v>
      </c>
      <c r="AB1850">
        <v>18</v>
      </c>
      <c r="AC1850">
        <v>-0.65749999999999797</v>
      </c>
      <c r="AD1850">
        <v>-6.7151999999999795E-2</v>
      </c>
      <c r="AE1850">
        <v>1.1699999999961999E-2</v>
      </c>
      <c r="AF1850">
        <v>8.9437717253151805E-2</v>
      </c>
      <c r="AG1850">
        <v>-6.7151999999999795E-2</v>
      </c>
      <c r="AH1850">
        <v>0.64464283465517802</v>
      </c>
      <c r="AI1850">
        <v>95.890988534045604</v>
      </c>
      <c r="AJ1850">
        <v>82.101209311159096</v>
      </c>
      <c r="AK1850">
        <v>0.65427278763809005</v>
      </c>
      <c r="AL1850">
        <v>93.534843518035402</v>
      </c>
      <c r="AM1850">
        <v>83.497310324385793</v>
      </c>
      <c r="AN1850">
        <v>1.0000000319723099</v>
      </c>
    </row>
    <row r="1851" spans="1:40" x14ac:dyDescent="0.25">
      <c r="A1851" t="str">
        <f>"20190303154803691"</f>
        <v>20190303154803691</v>
      </c>
      <c r="B1851" t="str">
        <f>"1551599283682669"</f>
        <v>1551599283682669</v>
      </c>
      <c r="C1851" t="s">
        <v>40</v>
      </c>
      <c r="D1851">
        <v>5.876512</v>
      </c>
      <c r="E1851">
        <v>0.50207570000000001</v>
      </c>
      <c r="F1851" t="s">
        <v>42</v>
      </c>
      <c r="G1851">
        <v>-204.7705</v>
      </c>
      <c r="H1851">
        <v>1.050454</v>
      </c>
      <c r="I1851">
        <v>284.85419999999999</v>
      </c>
      <c r="J1851">
        <v>-204.1155</v>
      </c>
      <c r="K1851">
        <v>1.1146940000000001</v>
      </c>
      <c r="L1851">
        <v>284.84519999999998</v>
      </c>
      <c r="M1851">
        <v>-0.99404729999999997</v>
      </c>
      <c r="N1851">
        <v>-1.459034E-2</v>
      </c>
      <c r="O1851">
        <v>-0.10796889999999899</v>
      </c>
      <c r="P1851">
        <v>-0.99741449999999998</v>
      </c>
      <c r="Q1851">
        <v>-7.1818969999999996E-2</v>
      </c>
      <c r="R1851">
        <v>-2.6058050000000001E-3</v>
      </c>
      <c r="S1851">
        <v>-2.9911189999999999</v>
      </c>
      <c r="T1851">
        <v>-0.23187169999999999</v>
      </c>
      <c r="U1851">
        <v>8.3312990000000003E-3</v>
      </c>
      <c r="V1851">
        <v>0.1042082</v>
      </c>
      <c r="W1851">
        <v>-5.8964269999999999E-2</v>
      </c>
      <c r="X1851">
        <v>0.99280610000000002</v>
      </c>
      <c r="Y1851">
        <v>0.1101438</v>
      </c>
      <c r="Z1851">
        <v>1.183729E-2</v>
      </c>
      <c r="AA1851">
        <v>0.99384519999999998</v>
      </c>
      <c r="AB1851">
        <v>18</v>
      </c>
      <c r="AC1851">
        <v>-0.65500000000000103</v>
      </c>
      <c r="AD1851">
        <v>-6.4240000000000005E-2</v>
      </c>
      <c r="AE1851">
        <v>9.0000000000145502E-3</v>
      </c>
      <c r="AF1851">
        <v>7.8915585146672906E-2</v>
      </c>
      <c r="AG1851">
        <v>-6.4240000000000005E-2</v>
      </c>
      <c r="AH1851">
        <v>0.644004914709845</v>
      </c>
      <c r="AI1851">
        <v>95.654438058989996</v>
      </c>
      <c r="AJ1851">
        <v>83.013872717306498</v>
      </c>
      <c r="AK1851">
        <v>0.65199446113404702</v>
      </c>
      <c r="AL1851">
        <v>93.380364400320204</v>
      </c>
      <c r="AM1851">
        <v>84.007987141644904</v>
      </c>
      <c r="AN1851">
        <v>1.00000004314054</v>
      </c>
    </row>
    <row r="1852" spans="1:40" x14ac:dyDescent="0.25">
      <c r="A1852" t="str">
        <f>"20190303154803717"</f>
        <v>20190303154803717</v>
      </c>
      <c r="B1852" t="str">
        <f>"1551599283712924"</f>
        <v>1551599283712924</v>
      </c>
      <c r="C1852" t="s">
        <v>40</v>
      </c>
      <c r="D1852">
        <v>5.8665919999999998</v>
      </c>
      <c r="E1852">
        <v>0.50107809999999997</v>
      </c>
      <c r="F1852" t="s">
        <v>42</v>
      </c>
      <c r="G1852">
        <v>-204.93950000000001</v>
      </c>
      <c r="H1852">
        <v>1.0521910000000001</v>
      </c>
      <c r="I1852">
        <v>284.84769999999997</v>
      </c>
      <c r="J1852">
        <v>-204.33629999999999</v>
      </c>
      <c r="K1852">
        <v>1.1147590000000001</v>
      </c>
      <c r="L1852">
        <v>284.83949999999999</v>
      </c>
      <c r="M1852">
        <v>-0.99556599999999995</v>
      </c>
      <c r="N1852">
        <v>-1.433689E-2</v>
      </c>
      <c r="O1852">
        <v>-9.2966850000000004E-2</v>
      </c>
      <c r="P1852">
        <v>-0.99762669999999998</v>
      </c>
      <c r="Q1852">
        <v>-6.8850499999999995E-2</v>
      </c>
      <c r="R1852">
        <v>8.5185489999999996E-4</v>
      </c>
      <c r="S1852">
        <v>-2.9914700000000001</v>
      </c>
      <c r="T1852">
        <v>-0.22669329999999999</v>
      </c>
      <c r="U1852">
        <v>8.8806149999999997E-3</v>
      </c>
      <c r="V1852">
        <v>9.2757489999999998E-2</v>
      </c>
      <c r="W1852">
        <v>-5.6029299999999997E-2</v>
      </c>
      <c r="X1852">
        <v>0.99411110000000003</v>
      </c>
      <c r="Y1852">
        <v>9.5431680000000005E-2</v>
      </c>
      <c r="Z1852">
        <v>9.9907559999999999E-3</v>
      </c>
      <c r="AA1852">
        <v>0.99538579999999999</v>
      </c>
      <c r="AB1852">
        <v>18</v>
      </c>
      <c r="AC1852">
        <v>-0.60320000000001495</v>
      </c>
      <c r="AD1852">
        <v>-6.2568000000000096E-2</v>
      </c>
      <c r="AE1852">
        <v>8.1999999999879895E-3</v>
      </c>
      <c r="AF1852">
        <v>6.3564071877522901E-2</v>
      </c>
      <c r="AG1852">
        <v>-6.2568000000000096E-2</v>
      </c>
      <c r="AH1852">
        <v>0.59344092176292695</v>
      </c>
      <c r="AI1852">
        <v>95.984624210192607</v>
      </c>
      <c r="AJ1852">
        <v>83.886298970193593</v>
      </c>
      <c r="AK1852">
        <v>0.600106051861239</v>
      </c>
      <c r="AL1852">
        <v>93.211924256708301</v>
      </c>
      <c r="AM1852">
        <v>84.669338847099098</v>
      </c>
      <c r="AN1852">
        <v>1.00000005677639</v>
      </c>
    </row>
    <row r="1853" spans="1:40" x14ac:dyDescent="0.25">
      <c r="A1853" t="str">
        <f>"20190303154803747"</f>
        <v>20190303154803747</v>
      </c>
      <c r="B1853" t="str">
        <f>"1551599283742204"</f>
        <v>1551599283742204</v>
      </c>
      <c r="C1853" t="s">
        <v>40</v>
      </c>
      <c r="D1853">
        <v>5.9672479999999997</v>
      </c>
      <c r="E1853">
        <v>0.50017120000000004</v>
      </c>
      <c r="F1853" t="s">
        <v>52</v>
      </c>
      <c r="G1853">
        <v>-219.5847</v>
      </c>
      <c r="H1853" s="1">
        <v>3.563713E-6</v>
      </c>
      <c r="I1853">
        <v>284.89690000000002</v>
      </c>
      <c r="J1853">
        <v>-204.58670000000001</v>
      </c>
      <c r="K1853">
        <v>1.1148370000000001</v>
      </c>
      <c r="L1853">
        <v>284.83670000000001</v>
      </c>
      <c r="M1853">
        <v>-0.99699289999999996</v>
      </c>
      <c r="N1853">
        <v>-1.397431E-2</v>
      </c>
      <c r="O1853">
        <v>-7.6224699999999895E-2</v>
      </c>
      <c r="P1853">
        <v>-0.99760789999999999</v>
      </c>
      <c r="Q1853">
        <v>-6.8481230000000004E-2</v>
      </c>
      <c r="R1853">
        <v>9.4232799999999992E-3</v>
      </c>
      <c r="S1853">
        <v>-2.992035</v>
      </c>
      <c r="T1853">
        <v>-0.21873719999999999</v>
      </c>
      <c r="U1853">
        <v>1.126099E-2</v>
      </c>
      <c r="V1853">
        <v>8.4619509999999995E-2</v>
      </c>
      <c r="W1853">
        <v>-5.5856320000000001E-2</v>
      </c>
      <c r="X1853">
        <v>0.99484649999999997</v>
      </c>
      <c r="Y1853">
        <v>7.9598379999999996E-2</v>
      </c>
      <c r="Z1853">
        <v>7.9591609999999993E-3</v>
      </c>
      <c r="AA1853">
        <v>0.99679519999999999</v>
      </c>
      <c r="AB1853">
        <v>18</v>
      </c>
      <c r="AC1853">
        <v>-14.9979999999999</v>
      </c>
      <c r="AD1853">
        <v>-1.114833436287</v>
      </c>
      <c r="AE1853">
        <v>6.0200000000008899E-2</v>
      </c>
      <c r="AF1853">
        <v>1.1967421141090699</v>
      </c>
      <c r="AG1853">
        <v>-1.114833436287</v>
      </c>
      <c r="AH1853">
        <v>14.8676218477933</v>
      </c>
      <c r="AI1853">
        <v>94.2744668818207</v>
      </c>
      <c r="AJ1853">
        <v>85.398002587803305</v>
      </c>
      <c r="AK1853">
        <v>14.957313418101799</v>
      </c>
      <c r="AL1853">
        <v>93.201997952557903</v>
      </c>
      <c r="AM1853">
        <v>85.138245990195202</v>
      </c>
      <c r="AN1853">
        <v>0.999999974259415</v>
      </c>
    </row>
    <row r="1854" spans="1:40" x14ac:dyDescent="0.25">
      <c r="A1854" t="str">
        <f>"20190303154803770"</f>
        <v>20190303154803770</v>
      </c>
      <c r="B1854" t="str">
        <f>"1551599283762701"</f>
        <v>1551599283762701</v>
      </c>
      <c r="C1854" t="s">
        <v>40</v>
      </c>
      <c r="D1854">
        <v>5.9041880000000004</v>
      </c>
      <c r="E1854">
        <v>0.49953639999999999</v>
      </c>
      <c r="F1854" t="s">
        <v>42</v>
      </c>
      <c r="G1854">
        <v>-205.44479999999999</v>
      </c>
      <c r="H1854">
        <v>1.0518190000000001</v>
      </c>
      <c r="I1854">
        <v>284.84530000000001</v>
      </c>
      <c r="J1854">
        <v>-204.7893</v>
      </c>
      <c r="K1854">
        <v>1.1148899999999999</v>
      </c>
      <c r="L1854">
        <v>284.8372</v>
      </c>
      <c r="M1854">
        <v>-0.99792499999999995</v>
      </c>
      <c r="N1854">
        <v>-1.3623059999999999E-2</v>
      </c>
      <c r="O1854">
        <v>-6.2928049999999999E-2</v>
      </c>
      <c r="P1854">
        <v>-0.99740169999999995</v>
      </c>
      <c r="Q1854">
        <v>-6.9848610000000005E-2</v>
      </c>
      <c r="R1854">
        <v>1.7640659999999999E-2</v>
      </c>
      <c r="S1854">
        <v>-2.9918520000000002</v>
      </c>
      <c r="T1854">
        <v>-0.21947739999999999</v>
      </c>
      <c r="U1854">
        <v>2.972412E-2</v>
      </c>
      <c r="V1854">
        <v>7.9542520000000005E-2</v>
      </c>
      <c r="W1854">
        <v>-5.7468150000000003E-2</v>
      </c>
      <c r="X1854">
        <v>0.99517359999999999</v>
      </c>
      <c r="Y1854">
        <v>7.25026E-2</v>
      </c>
      <c r="Z1854">
        <v>6.9017280000000002E-3</v>
      </c>
      <c r="AA1854">
        <v>0.99734429999999996</v>
      </c>
      <c r="AB1854">
        <v>18</v>
      </c>
      <c r="AC1854">
        <v>-0.65549999999998898</v>
      </c>
      <c r="AD1854">
        <v>-6.3070999999999794E-2</v>
      </c>
      <c r="AE1854">
        <v>8.1000000000130898E-3</v>
      </c>
      <c r="AF1854">
        <v>4.8884610430943803E-2</v>
      </c>
      <c r="AG1854">
        <v>-6.3070999999999794E-2</v>
      </c>
      <c r="AH1854">
        <v>0.64769543070510704</v>
      </c>
      <c r="AI1854">
        <v>95.546112385288694</v>
      </c>
      <c r="AJ1854">
        <v>85.683802153121107</v>
      </c>
      <c r="AK1854">
        <v>0.65259254296556302</v>
      </c>
      <c r="AL1854">
        <v>93.294497389508507</v>
      </c>
      <c r="AM1854">
        <v>85.430161549999099</v>
      </c>
      <c r="AN1854">
        <v>1.00000004744466</v>
      </c>
    </row>
    <row r="1855" spans="1:40" x14ac:dyDescent="0.25">
      <c r="A1855" t="str">
        <f>"20190303154803792"</f>
        <v>20190303154803792</v>
      </c>
      <c r="B1855" t="str">
        <f>"1551599283783196"</f>
        <v>1551599283783196</v>
      </c>
      <c r="C1855" t="s">
        <v>40</v>
      </c>
      <c r="D1855">
        <v>5.9637699999999896</v>
      </c>
      <c r="E1855">
        <v>0.49906450000000002</v>
      </c>
      <c r="F1855" t="s">
        <v>42</v>
      </c>
      <c r="G1855">
        <v>-205.61590000000001</v>
      </c>
      <c r="H1855">
        <v>1.0528120000000001</v>
      </c>
      <c r="I1855">
        <v>284.85090000000002</v>
      </c>
      <c r="J1855">
        <v>-204.9709</v>
      </c>
      <c r="K1855">
        <v>1.114932</v>
      </c>
      <c r="L1855">
        <v>284.83969999999999</v>
      </c>
      <c r="M1855">
        <v>-0.99859980000000004</v>
      </c>
      <c r="N1855">
        <v>-1.3285989999999999E-2</v>
      </c>
      <c r="O1855">
        <v>-5.1204430000000002E-2</v>
      </c>
      <c r="P1855">
        <v>-0.99720010000000003</v>
      </c>
      <c r="Q1855">
        <v>-7.1084419999999995E-2</v>
      </c>
      <c r="R1855">
        <v>2.3215820000000002E-2</v>
      </c>
      <c r="S1855">
        <v>-2.991196</v>
      </c>
      <c r="T1855">
        <v>-0.22466030000000001</v>
      </c>
      <c r="U1855">
        <v>4.9468989999999997E-2</v>
      </c>
      <c r="V1855">
        <v>7.3410729999999993E-2</v>
      </c>
      <c r="W1855">
        <v>-5.8924820000000003E-2</v>
      </c>
      <c r="X1855">
        <v>0.99555950000000004</v>
      </c>
      <c r="Y1855">
        <v>6.7395120000000003E-2</v>
      </c>
      <c r="Z1855">
        <v>6.1353400000000004E-3</v>
      </c>
      <c r="AA1855">
        <v>0.99770749999999997</v>
      </c>
      <c r="AB1855">
        <v>18</v>
      </c>
      <c r="AC1855">
        <v>-0.64500000000001001</v>
      </c>
      <c r="AD1855">
        <v>-6.2119999999999898E-2</v>
      </c>
      <c r="AE1855">
        <v>1.1200000000030699E-2</v>
      </c>
      <c r="AF1855">
        <v>4.3808846070431097E-2</v>
      </c>
      <c r="AG1855">
        <v>-6.2119999999999898E-2</v>
      </c>
      <c r="AH1855">
        <v>0.63766721168600704</v>
      </c>
      <c r="AI1855">
        <v>95.551056633490305</v>
      </c>
      <c r="AJ1855">
        <v>86.069855904946905</v>
      </c>
      <c r="AK1855">
        <v>0.64218189187599295</v>
      </c>
      <c r="AL1855">
        <v>93.378100311610297</v>
      </c>
      <c r="AM1855">
        <v>85.782746858125293</v>
      </c>
      <c r="AN1855">
        <v>0.99999999386570704</v>
      </c>
    </row>
    <row r="1856" spans="1:40" x14ac:dyDescent="0.25">
      <c r="A1856" t="str">
        <f>"20190303154803814"</f>
        <v>20190303154803814</v>
      </c>
      <c r="B1856" t="str">
        <f>"1551599283802717"</f>
        <v>1551599283802717</v>
      </c>
      <c r="C1856" t="s">
        <v>40</v>
      </c>
      <c r="D1856">
        <v>5.9945259999999996</v>
      </c>
      <c r="E1856">
        <v>0.49827549999999998</v>
      </c>
      <c r="F1856" t="s">
        <v>42</v>
      </c>
      <c r="G1856">
        <v>-205.78569999999999</v>
      </c>
      <c r="H1856">
        <v>1.052314</v>
      </c>
      <c r="I1856">
        <v>284.85669999999999</v>
      </c>
      <c r="J1856">
        <v>-205.1617</v>
      </c>
      <c r="K1856">
        <v>1.1149789999999999</v>
      </c>
      <c r="L1856">
        <v>284.84410000000003</v>
      </c>
      <c r="M1856">
        <v>-0.99915109999999996</v>
      </c>
      <c r="N1856">
        <v>-1.2912959999999999E-2</v>
      </c>
      <c r="O1856">
        <v>-3.9122129999999998E-2</v>
      </c>
      <c r="P1856">
        <v>-0.99697659999999999</v>
      </c>
      <c r="Q1856">
        <v>-7.2032559999999995E-2</v>
      </c>
      <c r="R1856">
        <v>2.914069E-2</v>
      </c>
      <c r="S1856">
        <v>-2.9906009999999998</v>
      </c>
      <c r="T1856">
        <v>-0.229547</v>
      </c>
      <c r="U1856">
        <v>6.2469480000000001E-2</v>
      </c>
      <c r="V1856">
        <v>6.7283620000000002E-2</v>
      </c>
      <c r="W1856">
        <v>-6.0132629999999999E-2</v>
      </c>
      <c r="X1856">
        <v>0.99592020000000003</v>
      </c>
      <c r="Y1856">
        <v>5.970019E-2</v>
      </c>
      <c r="Z1856">
        <v>5.1670220000000003E-3</v>
      </c>
      <c r="AA1856">
        <v>0.99820299999999995</v>
      </c>
      <c r="AB1856">
        <v>18</v>
      </c>
      <c r="AC1856">
        <v>-0.623999999999995</v>
      </c>
      <c r="AD1856">
        <v>-6.2665000000000096E-2</v>
      </c>
      <c r="AE1856">
        <v>1.25999999999635E-2</v>
      </c>
      <c r="AF1856">
        <v>3.6635274034885999E-2</v>
      </c>
      <c r="AG1856">
        <v>-6.2665000000000096E-2</v>
      </c>
      <c r="AH1856">
        <v>0.61681115196070502</v>
      </c>
      <c r="AI1856">
        <v>95.7909313869594</v>
      </c>
      <c r="AJ1856">
        <v>86.600931252100395</v>
      </c>
      <c r="AK1856">
        <v>0.62106766355342002</v>
      </c>
      <c r="AL1856">
        <v>93.447425543116495</v>
      </c>
      <c r="AM1856">
        <v>86.135013327608405</v>
      </c>
      <c r="AN1856">
        <v>1.0000000317395299</v>
      </c>
    </row>
    <row r="1857" spans="1:40" x14ac:dyDescent="0.25">
      <c r="A1857" t="str">
        <f>"20190303154803835"</f>
        <v>20190303154803835</v>
      </c>
      <c r="B1857" t="str">
        <f>"1551599283831996"</f>
        <v>1551599283831996</v>
      </c>
      <c r="C1857" t="s">
        <v>40</v>
      </c>
      <c r="D1857">
        <v>5.9825520000000001</v>
      </c>
      <c r="E1857">
        <v>0.49704809999999999</v>
      </c>
      <c r="F1857" t="s">
        <v>42</v>
      </c>
      <c r="G1857">
        <v>-205.9562</v>
      </c>
      <c r="H1857">
        <v>1.052044</v>
      </c>
      <c r="I1857">
        <v>284.8639</v>
      </c>
      <c r="J1857">
        <v>-205.34909999999999</v>
      </c>
      <c r="K1857">
        <v>1.1150340000000001</v>
      </c>
      <c r="L1857">
        <v>284.85050000000001</v>
      </c>
      <c r="M1857">
        <v>-0.99954270000000001</v>
      </c>
      <c r="N1857">
        <v>-1.253865E-2</v>
      </c>
      <c r="O1857">
        <v>-2.7517050000000001E-2</v>
      </c>
      <c r="P1857">
        <v>-0.9966545</v>
      </c>
      <c r="Q1857">
        <v>-7.3812799999999998E-2</v>
      </c>
      <c r="R1857">
        <v>3.5095639999999997E-2</v>
      </c>
      <c r="S1857">
        <v>-2.9898220000000002</v>
      </c>
      <c r="T1857">
        <v>-0.2366287</v>
      </c>
      <c r="U1857">
        <v>7.4127199999999893E-2</v>
      </c>
      <c r="V1857">
        <v>6.1655410000000001E-2</v>
      </c>
      <c r="W1857">
        <v>-6.2185860000000003E-2</v>
      </c>
      <c r="X1857">
        <v>0.9961584</v>
      </c>
      <c r="Y1857">
        <v>5.2037529999999999E-2</v>
      </c>
      <c r="Z1857">
        <v>4.2121509999999999E-3</v>
      </c>
      <c r="AA1857">
        <v>0.99863619999999997</v>
      </c>
      <c r="AB1857">
        <v>19</v>
      </c>
      <c r="AC1857">
        <v>-0.60710000000000197</v>
      </c>
      <c r="AD1857">
        <v>-6.2990000000000101E-2</v>
      </c>
      <c r="AE1857">
        <v>1.339999999999E-2</v>
      </c>
      <c r="AF1857">
        <v>2.9781392366861201E-2</v>
      </c>
      <c r="AG1857">
        <v>-6.2990000000000101E-2</v>
      </c>
      <c r="AH1857">
        <v>0.60004485142046105</v>
      </c>
      <c r="AI1857">
        <v>95.985389843431193</v>
      </c>
      <c r="AJ1857">
        <v>87.158630635029098</v>
      </c>
      <c r="AK1857">
        <v>0.60407656397803799</v>
      </c>
      <c r="AL1857">
        <v>93.5652876711559</v>
      </c>
      <c r="AM1857">
        <v>86.458299935670794</v>
      </c>
      <c r="AN1857">
        <v>1.00000001432838</v>
      </c>
    </row>
    <row r="1858" spans="1:40" x14ac:dyDescent="0.25">
      <c r="A1858" t="str">
        <f>"20190303154803859"</f>
        <v>20190303154803859</v>
      </c>
      <c r="B1858" t="str">
        <f>"1551599283852492"</f>
        <v>1551599283852492</v>
      </c>
      <c r="C1858" t="s">
        <v>40</v>
      </c>
      <c r="D1858">
        <v>5.9614180000000001</v>
      </c>
      <c r="E1858">
        <v>0.496672</v>
      </c>
      <c r="F1858" t="s">
        <v>42</v>
      </c>
      <c r="G1858">
        <v>-206.126</v>
      </c>
      <c r="H1858">
        <v>1.050503</v>
      </c>
      <c r="I1858">
        <v>284.87189999999998</v>
      </c>
      <c r="J1858">
        <v>-205.55119999999999</v>
      </c>
      <c r="K1858">
        <v>1.1151180000000001</v>
      </c>
      <c r="L1858">
        <v>284.85930000000002</v>
      </c>
      <c r="M1858">
        <v>-0.99980910000000001</v>
      </c>
      <c r="N1858">
        <v>-1.214788E-2</v>
      </c>
      <c r="O1858">
        <v>-1.530744E-2</v>
      </c>
      <c r="P1858">
        <v>-0.99627759999999999</v>
      </c>
      <c r="Q1858">
        <v>-7.5574879999999997E-2</v>
      </c>
      <c r="R1858">
        <v>4.1467490000000003E-2</v>
      </c>
      <c r="S1858">
        <v>-2.9887999999999999</v>
      </c>
      <c r="T1858">
        <v>-0.2480184</v>
      </c>
      <c r="U1858">
        <v>8.2489010000000001E-2</v>
      </c>
      <c r="V1858">
        <v>5.5851280000000003E-2</v>
      </c>
      <c r="W1858">
        <v>-6.4236329999999994E-2</v>
      </c>
      <c r="X1858">
        <v>0.9963706</v>
      </c>
      <c r="Y1858">
        <v>4.2681910000000003E-2</v>
      </c>
      <c r="Z1858">
        <v>3.1095839999999999E-3</v>
      </c>
      <c r="AA1858">
        <v>0.99908390000000002</v>
      </c>
      <c r="AB1858">
        <v>19</v>
      </c>
      <c r="AC1858">
        <v>-0.57479999999998199</v>
      </c>
      <c r="AD1858">
        <v>-6.4615000000000006E-2</v>
      </c>
      <c r="AE1858">
        <v>1.25999999999635E-2</v>
      </c>
      <c r="AF1858">
        <v>2.1130991301087702E-2</v>
      </c>
      <c r="AG1858">
        <v>-6.4615000000000006E-2</v>
      </c>
      <c r="AH1858">
        <v>0.56737347852087205</v>
      </c>
      <c r="AI1858">
        <v>96.492641868694307</v>
      </c>
      <c r="AJ1858">
        <v>87.867088712182493</v>
      </c>
      <c r="AK1858">
        <v>0.57143178170910403</v>
      </c>
      <c r="AL1858">
        <v>93.683006355235506</v>
      </c>
      <c r="AM1858">
        <v>86.791658368144894</v>
      </c>
      <c r="AN1858">
        <v>1.0000000220569301</v>
      </c>
    </row>
    <row r="1859" spans="1:40" x14ac:dyDescent="0.25">
      <c r="A1859" t="str">
        <f>"20190303154803880"</f>
        <v>20190303154803880</v>
      </c>
      <c r="B1859" t="str">
        <f>"1551599283872013"</f>
        <v>1551599283872013</v>
      </c>
      <c r="C1859" t="s">
        <v>40</v>
      </c>
      <c r="D1859">
        <v>5.9879639999999998</v>
      </c>
      <c r="E1859">
        <v>0.48433290000000001</v>
      </c>
      <c r="F1859" t="s">
        <v>42</v>
      </c>
      <c r="G1859">
        <v>-206.29859999999999</v>
      </c>
      <c r="H1859">
        <v>1.0513250000000001</v>
      </c>
      <c r="I1859">
        <v>284.88400000000001</v>
      </c>
      <c r="J1859">
        <v>-205.732</v>
      </c>
      <c r="K1859">
        <v>1.1152200000000001</v>
      </c>
      <c r="L1859">
        <v>284.86900000000003</v>
      </c>
      <c r="M1859">
        <v>-0.99991920000000001</v>
      </c>
      <c r="N1859">
        <v>-1.1824960000000001E-2</v>
      </c>
      <c r="O1859">
        <v>-4.675434E-3</v>
      </c>
      <c r="P1859">
        <v>-0.99622580000000005</v>
      </c>
      <c r="Q1859">
        <v>-7.4265629999999999E-2</v>
      </c>
      <c r="R1859">
        <v>4.4932189999999997E-2</v>
      </c>
      <c r="S1859">
        <v>-2.987762</v>
      </c>
      <c r="T1859">
        <v>-0.2549766</v>
      </c>
      <c r="U1859">
        <v>9.869385E-2</v>
      </c>
      <c r="V1859">
        <v>4.8760049999999999E-2</v>
      </c>
      <c r="W1859">
        <v>-6.313241E-2</v>
      </c>
      <c r="X1859">
        <v>0.99681330000000001</v>
      </c>
      <c r="Y1859">
        <v>3.7519740000000003E-2</v>
      </c>
      <c r="Z1859">
        <v>2.1629879999999998E-3</v>
      </c>
      <c r="AA1859">
        <v>0.9992936</v>
      </c>
      <c r="AB1859">
        <v>19</v>
      </c>
      <c r="AC1859">
        <v>-0.566599999999994</v>
      </c>
      <c r="AD1859">
        <v>-6.3894999999999993E-2</v>
      </c>
      <c r="AE1859">
        <v>1.49999999999863E-2</v>
      </c>
      <c r="AF1859">
        <v>1.7427651879999399E-2</v>
      </c>
      <c r="AG1859">
        <v>-6.3894999999999993E-2</v>
      </c>
      <c r="AH1859">
        <v>0.55941464279057396</v>
      </c>
      <c r="AI1859">
        <v>96.512817071842207</v>
      </c>
      <c r="AJ1859">
        <v>88.215620443939599</v>
      </c>
      <c r="AK1859">
        <v>0.56332143279264202</v>
      </c>
      <c r="AL1859">
        <v>93.619627825844205</v>
      </c>
      <c r="AM1859">
        <v>87.199555818610094</v>
      </c>
      <c r="AN1859">
        <v>0.99999999936265005</v>
      </c>
    </row>
    <row r="1860" spans="1:40" x14ac:dyDescent="0.25">
      <c r="A1860" t="str">
        <f>"20190303154803903"</f>
        <v>20190303154803903</v>
      </c>
      <c r="B1860" t="str">
        <f>"1551599283892508"</f>
        <v>1551599283892508</v>
      </c>
      <c r="C1860" t="s">
        <v>40</v>
      </c>
      <c r="D1860">
        <v>5.9696069999999999</v>
      </c>
      <c r="E1860">
        <v>0.48272910000000002</v>
      </c>
      <c r="F1860" t="s">
        <v>42</v>
      </c>
      <c r="G1860">
        <v>-206.4666</v>
      </c>
      <c r="H1860">
        <v>1.0435749999999999</v>
      </c>
      <c r="I1860">
        <v>284.87200000000001</v>
      </c>
      <c r="J1860">
        <v>-205.92160000000001</v>
      </c>
      <c r="K1860">
        <v>1.1153569999999999</v>
      </c>
      <c r="L1860">
        <v>284.88099999999997</v>
      </c>
      <c r="M1860">
        <v>-0.99991490000000005</v>
      </c>
      <c r="N1860">
        <v>-1.150837E-2</v>
      </c>
      <c r="O1860">
        <v>6.1498350000000002E-3</v>
      </c>
      <c r="P1860">
        <v>-0.99628939999999999</v>
      </c>
      <c r="Q1860">
        <v>-7.1492399999999998E-2</v>
      </c>
      <c r="R1860">
        <v>4.7923769999999997E-2</v>
      </c>
      <c r="S1860">
        <v>-2.9891049999999999</v>
      </c>
      <c r="T1860">
        <v>-0.29125129999999999</v>
      </c>
      <c r="U1860">
        <v>1.205444E-2</v>
      </c>
      <c r="V1860">
        <v>4.1019890000000003E-2</v>
      </c>
      <c r="W1860">
        <v>-6.0551569999999999E-2</v>
      </c>
      <c r="X1860">
        <v>0.99732180000000004</v>
      </c>
      <c r="Y1860">
        <v>-2.0838190000000002E-3</v>
      </c>
      <c r="Z1860">
        <v>-6.4047669999999998E-4</v>
      </c>
      <c r="AA1860">
        <v>0.99999760000000004</v>
      </c>
      <c r="AB1860">
        <v>19</v>
      </c>
      <c r="AC1860">
        <v>-0.54499999999998705</v>
      </c>
      <c r="AD1860">
        <v>-7.1781999999999999E-2</v>
      </c>
      <c r="AE1860">
        <v>-8.9999999999576998E-3</v>
      </c>
      <c r="AF1860">
        <v>-1.21411499504994E-2</v>
      </c>
      <c r="AG1860">
        <v>-7.1781999999999999E-2</v>
      </c>
      <c r="AH1860">
        <v>0.53564475043042303</v>
      </c>
      <c r="AI1860">
        <v>97.630822001167701</v>
      </c>
      <c r="AJ1860">
        <v>91.298467977338902</v>
      </c>
      <c r="AK1860">
        <v>0.54056947907719599</v>
      </c>
      <c r="AL1860">
        <v>93.471473146225506</v>
      </c>
      <c r="AM1860">
        <v>87.6447495516814</v>
      </c>
      <c r="AN1860">
        <v>0.99999994838015704</v>
      </c>
    </row>
    <row r="1861" spans="1:40" x14ac:dyDescent="0.25">
      <c r="A1861" t="str">
        <f>"20190303154803927"</f>
        <v>20190303154803927</v>
      </c>
      <c r="B1861" t="str">
        <f>"1551599283922765"</f>
        <v>1551599283922765</v>
      </c>
      <c r="C1861" t="s">
        <v>40</v>
      </c>
      <c r="D1861">
        <v>6.0129539999999997</v>
      </c>
      <c r="E1861">
        <v>0.48208970000000001</v>
      </c>
      <c r="F1861" t="s">
        <v>42</v>
      </c>
      <c r="G1861">
        <v>-206.8039</v>
      </c>
      <c r="H1861">
        <v>1.029542</v>
      </c>
      <c r="I1861">
        <v>284.88350000000003</v>
      </c>
      <c r="J1861">
        <v>-206.12809999999999</v>
      </c>
      <c r="K1861">
        <v>1.1155090000000001</v>
      </c>
      <c r="L1861">
        <v>284.89589999999998</v>
      </c>
      <c r="M1861">
        <v>-0.99978350000000005</v>
      </c>
      <c r="N1861">
        <v>-1.116732E-2</v>
      </c>
      <c r="O1861">
        <v>1.7558580000000001E-2</v>
      </c>
      <c r="P1861">
        <v>-0.99627929999999998</v>
      </c>
      <c r="Q1861">
        <v>-6.8759559999999997E-2</v>
      </c>
      <c r="R1861">
        <v>5.1957620000000003E-2</v>
      </c>
      <c r="S1861">
        <v>-2.9899140000000002</v>
      </c>
      <c r="T1861">
        <v>-0.29071520000000001</v>
      </c>
      <c r="U1861">
        <v>8.5449219999999999E-3</v>
      </c>
      <c r="V1861">
        <v>3.3734979999999998E-2</v>
      </c>
      <c r="W1861">
        <v>-5.804571E-2</v>
      </c>
      <c r="X1861">
        <v>0.99774379999999996</v>
      </c>
      <c r="Y1861">
        <v>-1.4560689999999999E-2</v>
      </c>
      <c r="Z1861">
        <v>-2.2952049999999998E-3</v>
      </c>
      <c r="AA1861">
        <v>0.99989130000000004</v>
      </c>
      <c r="AB1861">
        <v>19</v>
      </c>
      <c r="AC1861">
        <v>-0.67580000000000895</v>
      </c>
      <c r="AD1861">
        <v>-8.5967000000000099E-2</v>
      </c>
      <c r="AE1861">
        <v>-1.23999999999568E-2</v>
      </c>
      <c r="AF1861">
        <v>-2.3878646379526601E-2</v>
      </c>
      <c r="AG1861">
        <v>-8.5967000000000099E-2</v>
      </c>
      <c r="AH1861">
        <v>0.66472522434194203</v>
      </c>
      <c r="AI1861">
        <v>97.364298666780002</v>
      </c>
      <c r="AJ1861">
        <v>92.057327695091502</v>
      </c>
      <c r="AK1861">
        <v>0.67068631916743604</v>
      </c>
      <c r="AL1861">
        <v>93.3276445572222</v>
      </c>
      <c r="AM1861">
        <v>88.063494930635599</v>
      </c>
      <c r="AN1861">
        <v>1.00000002188172</v>
      </c>
    </row>
    <row r="1862" spans="1:40" x14ac:dyDescent="0.25">
      <c r="A1862" t="str">
        <f>"20190303154803950"</f>
        <v>20190303154803950</v>
      </c>
      <c r="B1862" t="str">
        <f>"1551599283942285"</f>
        <v>1551599283942285</v>
      </c>
      <c r="C1862" t="s">
        <v>40</v>
      </c>
      <c r="D1862">
        <v>5.9227679999999996</v>
      </c>
      <c r="E1862">
        <v>0.48298400000000002</v>
      </c>
      <c r="F1862" t="s">
        <v>42</v>
      </c>
      <c r="G1862">
        <v>-206.98240000000001</v>
      </c>
      <c r="H1862">
        <v>1.0335890000000001</v>
      </c>
      <c r="I1862">
        <v>284.90050000000002</v>
      </c>
      <c r="J1862">
        <v>-206.3322</v>
      </c>
      <c r="K1862">
        <v>1.115637</v>
      </c>
      <c r="L1862">
        <v>284.91250000000002</v>
      </c>
      <c r="M1862">
        <v>-0.99953590000000003</v>
      </c>
      <c r="N1862">
        <v>-1.0836449999999999E-2</v>
      </c>
      <c r="O1862">
        <v>2.8470430000000001E-2</v>
      </c>
      <c r="P1862">
        <v>-0.99607619999999997</v>
      </c>
      <c r="Q1862">
        <v>-6.8497879999999997E-2</v>
      </c>
      <c r="R1862">
        <v>5.604133E-2</v>
      </c>
      <c r="S1862">
        <v>-2.9905849999999998</v>
      </c>
      <c r="T1862">
        <v>-0.28670909999999999</v>
      </c>
      <c r="U1862">
        <v>1.5991209999999999E-2</v>
      </c>
      <c r="V1862">
        <v>2.695995E-2</v>
      </c>
      <c r="W1862">
        <v>-5.8016690000000003E-2</v>
      </c>
      <c r="X1862">
        <v>0.99795149999999999</v>
      </c>
      <c r="Y1862">
        <v>-2.2907139999999999E-2</v>
      </c>
      <c r="Z1862">
        <v>-3.6349260000000001E-3</v>
      </c>
      <c r="AA1862">
        <v>0.99973100000000004</v>
      </c>
      <c r="AB1862">
        <v>19</v>
      </c>
      <c r="AC1862">
        <v>-0.65020000000001199</v>
      </c>
      <c r="AD1862">
        <v>-8.2048000000000093E-2</v>
      </c>
      <c r="AE1862">
        <v>-1.2000000000000399E-2</v>
      </c>
      <c r="AF1862">
        <v>-3.0029676902468799E-2</v>
      </c>
      <c r="AG1862">
        <v>-8.2048000000000093E-2</v>
      </c>
      <c r="AH1862">
        <v>0.63941637302611498</v>
      </c>
      <c r="AI1862">
        <v>97.304102814075705</v>
      </c>
      <c r="AJ1862">
        <v>92.688874580359695</v>
      </c>
      <c r="AK1862">
        <v>0.64535800443841895</v>
      </c>
      <c r="AL1862">
        <v>93.325979147119298</v>
      </c>
      <c r="AM1862">
        <v>88.4525142453504</v>
      </c>
      <c r="AN1862">
        <v>0.99999998578740401</v>
      </c>
    </row>
    <row r="1863" spans="1:40" x14ac:dyDescent="0.25">
      <c r="A1863" t="str">
        <f>"20190303154803969"</f>
        <v>20190303154803969</v>
      </c>
      <c r="B1863" t="str">
        <f>"1551599283962781"</f>
        <v>1551599283962781</v>
      </c>
      <c r="C1863" t="s">
        <v>40</v>
      </c>
      <c r="D1863">
        <v>5.8841210000000004</v>
      </c>
      <c r="E1863">
        <v>0.48370299999999999</v>
      </c>
      <c r="F1863" t="s">
        <v>52</v>
      </c>
      <c r="G1863">
        <v>-218.31610000000001</v>
      </c>
      <c r="H1863" s="1">
        <v>2.888617E-6</v>
      </c>
      <c r="I1863">
        <v>285.0539</v>
      </c>
      <c r="J1863">
        <v>-206.50530000000001</v>
      </c>
      <c r="K1863">
        <v>1.1157490000000001</v>
      </c>
      <c r="L1863">
        <v>284.92790000000002</v>
      </c>
      <c r="M1863">
        <v>-0.99924500000000005</v>
      </c>
      <c r="N1863">
        <v>-1.0551390000000001E-2</v>
      </c>
      <c r="O1863">
        <v>3.739373E-2</v>
      </c>
      <c r="P1863">
        <v>-0.99586839999999999</v>
      </c>
      <c r="Q1863">
        <v>-6.9713880000000006E-2</v>
      </c>
      <c r="R1863">
        <v>5.8191420000000001E-2</v>
      </c>
      <c r="S1863">
        <v>-2.9906769999999998</v>
      </c>
      <c r="T1863">
        <v>-0.27841519999999997</v>
      </c>
      <c r="U1863">
        <v>3.5278320000000002E-2</v>
      </c>
      <c r="V1863">
        <v>2.021512E-2</v>
      </c>
      <c r="W1863">
        <v>-5.9427300000000002E-2</v>
      </c>
      <c r="X1863">
        <v>0.99802789999999997</v>
      </c>
      <c r="Y1863">
        <v>-2.5357069999999999E-2</v>
      </c>
      <c r="Z1863">
        <v>-4.3906459999999998E-3</v>
      </c>
      <c r="AA1863">
        <v>0.99966880000000002</v>
      </c>
      <c r="AB1863">
        <v>19</v>
      </c>
      <c r="AC1863">
        <v>-11.8108</v>
      </c>
      <c r="AD1863">
        <v>-1.1157461113829901</v>
      </c>
      <c r="AE1863">
        <v>0.12599999999997599</v>
      </c>
      <c r="AF1863">
        <v>-0.312969837687333</v>
      </c>
      <c r="AG1863">
        <v>-1.1157461113829901</v>
      </c>
      <c r="AH1863">
        <v>11.702823462020399</v>
      </c>
      <c r="AI1863">
        <v>95.444178205636106</v>
      </c>
      <c r="AJ1863">
        <v>91.531901920135894</v>
      </c>
      <c r="AK1863">
        <v>11.7600559729783</v>
      </c>
      <c r="AL1863">
        <v>93.406940910805702</v>
      </c>
      <c r="AM1863">
        <v>88.839628931167496</v>
      </c>
      <c r="AN1863">
        <v>0.99999997212015601</v>
      </c>
    </row>
    <row r="1864" spans="1:40" x14ac:dyDescent="0.25">
      <c r="A1864" t="str">
        <f>"20190303154803992"</f>
        <v>20190303154803992</v>
      </c>
      <c r="B1864" t="str">
        <f>"1551599283982301"</f>
        <v>1551599283982301</v>
      </c>
      <c r="C1864" t="s">
        <v>40</v>
      </c>
      <c r="D1864">
        <v>5.9186079999999999</v>
      </c>
      <c r="E1864">
        <v>0.48396479999999997</v>
      </c>
      <c r="F1864" t="s">
        <v>52</v>
      </c>
      <c r="G1864">
        <v>-218.61490000000001</v>
      </c>
      <c r="H1864" s="1">
        <v>3.0476260000000001E-6</v>
      </c>
      <c r="I1864">
        <v>285.11900000000003</v>
      </c>
      <c r="J1864">
        <v>-206.697</v>
      </c>
      <c r="K1864">
        <v>1.1159209999999999</v>
      </c>
      <c r="L1864">
        <v>284.94630000000001</v>
      </c>
      <c r="M1864">
        <v>-0.99885210000000002</v>
      </c>
      <c r="N1864">
        <v>-1.0216390000000001E-2</v>
      </c>
      <c r="O1864">
        <v>4.6799790000000001E-2</v>
      </c>
      <c r="P1864">
        <v>-0.99544829999999995</v>
      </c>
      <c r="Q1864">
        <v>-7.2188970000000005E-2</v>
      </c>
      <c r="R1864">
        <v>6.2222850000000003E-2</v>
      </c>
      <c r="S1864">
        <v>-2.9904169999999999</v>
      </c>
      <c r="T1864">
        <v>-0.27552989999999999</v>
      </c>
      <c r="U1864">
        <v>4.7180180000000002E-2</v>
      </c>
      <c r="V1864">
        <v>1.4872160000000001E-2</v>
      </c>
      <c r="W1864">
        <v>-6.216667E-2</v>
      </c>
      <c r="X1864">
        <v>0.99795500000000004</v>
      </c>
      <c r="Y1864">
        <v>-3.073739E-2</v>
      </c>
      <c r="Z1864">
        <v>-5.3940280000000004E-3</v>
      </c>
      <c r="AA1864">
        <v>0.99951290000000004</v>
      </c>
      <c r="AB1864">
        <v>19</v>
      </c>
      <c r="AC1864">
        <v>-11.917899999999999</v>
      </c>
      <c r="AD1864">
        <v>-1.1159179523739999</v>
      </c>
      <c r="AE1864">
        <v>0.17270000000002</v>
      </c>
      <c r="AF1864">
        <v>-0.38192579599444998</v>
      </c>
      <c r="AG1864">
        <v>-1.1159179523739999</v>
      </c>
      <c r="AH1864">
        <v>11.8094081213326</v>
      </c>
      <c r="AI1864">
        <v>95.3952733957709</v>
      </c>
      <c r="AJ1864">
        <v>91.852346155100406</v>
      </c>
      <c r="AK1864">
        <v>11.8681616253855</v>
      </c>
      <c r="AL1864">
        <v>93.564185981289299</v>
      </c>
      <c r="AM1864">
        <v>89.146205062145697</v>
      </c>
      <c r="AN1864">
        <v>1.0000000290134701</v>
      </c>
    </row>
    <row r="1865" spans="1:40" x14ac:dyDescent="0.25">
      <c r="A1865" t="str">
        <f>"20190303154804015"</f>
        <v>20190303154804015</v>
      </c>
      <c r="B1865" t="str">
        <f>"1551599284012556"</f>
        <v>1551599284012556</v>
      </c>
      <c r="C1865" t="s">
        <v>40</v>
      </c>
      <c r="D1865">
        <v>5.9094790000000001</v>
      </c>
      <c r="E1865">
        <v>0.48428959999999999</v>
      </c>
      <c r="F1865" t="s">
        <v>52</v>
      </c>
      <c r="G1865">
        <v>-218.67240000000001</v>
      </c>
      <c r="H1865" s="1">
        <v>3.0782410000000001E-6</v>
      </c>
      <c r="I1865">
        <v>285.1909</v>
      </c>
      <c r="J1865">
        <v>-206.90010000000001</v>
      </c>
      <c r="K1865">
        <v>1.11619</v>
      </c>
      <c r="L1865">
        <v>284.96710000000002</v>
      </c>
      <c r="M1865">
        <v>-0.99837540000000002</v>
      </c>
      <c r="N1865">
        <v>-9.8374259999999998E-3</v>
      </c>
      <c r="O1865">
        <v>5.6125460000000002E-2</v>
      </c>
      <c r="P1865">
        <v>-0.99494340000000003</v>
      </c>
      <c r="Q1865">
        <v>-7.4517180000000002E-2</v>
      </c>
      <c r="R1865">
        <v>6.7341689999999996E-2</v>
      </c>
      <c r="S1865">
        <v>-2.9897</v>
      </c>
      <c r="T1865">
        <v>-0.27859139999999999</v>
      </c>
      <c r="U1865">
        <v>6.1065670000000002E-2</v>
      </c>
      <c r="V1865">
        <v>1.071897E-2</v>
      </c>
      <c r="W1865">
        <v>-6.4818860000000006E-2</v>
      </c>
      <c r="X1865">
        <v>0.99783949999999999</v>
      </c>
      <c r="Y1865">
        <v>-3.5364060000000003E-2</v>
      </c>
      <c r="Z1865">
        <v>-6.4823399999999996E-3</v>
      </c>
      <c r="AA1865">
        <v>0.99935350000000001</v>
      </c>
      <c r="AB1865">
        <v>19</v>
      </c>
      <c r="AC1865">
        <v>-11.7723</v>
      </c>
      <c r="AD1865">
        <v>-1.1161869217589999</v>
      </c>
      <c r="AE1865">
        <v>0.22379999999998201</v>
      </c>
      <c r="AF1865">
        <v>-0.433415515733787</v>
      </c>
      <c r="AG1865">
        <v>-1.1161869217589999</v>
      </c>
      <c r="AH1865">
        <v>11.6615062771364</v>
      </c>
      <c r="AI1865">
        <v>95.463688854945005</v>
      </c>
      <c r="AJ1865">
        <v>92.128494768475704</v>
      </c>
      <c r="AK1865">
        <v>11.7228175327127</v>
      </c>
      <c r="AL1865">
        <v>93.716452561385694</v>
      </c>
      <c r="AM1865">
        <v>89.384542183247703</v>
      </c>
      <c r="AN1865">
        <v>1.0000000243449001</v>
      </c>
    </row>
    <row r="1866" spans="1:40" x14ac:dyDescent="0.25">
      <c r="A1866" t="str">
        <f>"20190303154804036"</f>
        <v>20190303154804036</v>
      </c>
      <c r="B1866" t="str">
        <f>"1551599284032077"</f>
        <v>1551599284032077</v>
      </c>
      <c r="C1866" t="s">
        <v>40</v>
      </c>
      <c r="D1866">
        <v>5.9056419999999896</v>
      </c>
      <c r="E1866">
        <v>0.48450399999999999</v>
      </c>
      <c r="F1866" t="s">
        <v>52</v>
      </c>
      <c r="G1866">
        <v>-218.69720000000001</v>
      </c>
      <c r="H1866" s="1">
        <v>3.0914230000000002E-6</v>
      </c>
      <c r="I1866">
        <v>285.27870000000001</v>
      </c>
      <c r="J1866">
        <v>-207.096</v>
      </c>
      <c r="K1866">
        <v>1.116538</v>
      </c>
      <c r="L1866">
        <v>284.98809999999997</v>
      </c>
      <c r="M1866">
        <v>-0.99788030000000005</v>
      </c>
      <c r="N1866">
        <v>-9.4678999999999996E-3</v>
      </c>
      <c r="O1866">
        <v>6.4383750000000003E-2</v>
      </c>
      <c r="P1866">
        <v>-0.99430600000000002</v>
      </c>
      <c r="Q1866">
        <v>-7.7491669999999999E-2</v>
      </c>
      <c r="R1866">
        <v>7.3147889999999993E-2</v>
      </c>
      <c r="S1866">
        <v>-2.9887239999999999</v>
      </c>
      <c r="T1866">
        <v>-0.28277950000000002</v>
      </c>
      <c r="U1866">
        <v>7.8948969999999993E-2</v>
      </c>
      <c r="V1866">
        <v>8.336731E-3</v>
      </c>
      <c r="W1866">
        <v>-6.813044E-2</v>
      </c>
      <c r="X1866">
        <v>0.99764160000000002</v>
      </c>
      <c r="Y1866">
        <v>-3.7595709999999997E-2</v>
      </c>
      <c r="Z1866">
        <v>-7.4166559999999998E-3</v>
      </c>
      <c r="AA1866">
        <v>0.99926550000000003</v>
      </c>
      <c r="AB1866">
        <v>19</v>
      </c>
      <c r="AC1866">
        <v>-11.6012</v>
      </c>
      <c r="AD1866">
        <v>-1.116534908577</v>
      </c>
      <c r="AE1866">
        <v>0.29060000000003999</v>
      </c>
      <c r="AF1866">
        <v>-0.45277393614704098</v>
      </c>
      <c r="AG1866">
        <v>-1.116534908577</v>
      </c>
      <c r="AH1866">
        <v>11.4894814137302</v>
      </c>
      <c r="AI1866">
        <v>95.546232803433796</v>
      </c>
      <c r="AJ1866">
        <v>92.256726665538693</v>
      </c>
      <c r="AK1866">
        <v>11.552481880348299</v>
      </c>
      <c r="AL1866">
        <v>93.906612871417494</v>
      </c>
      <c r="AM1866">
        <v>89.521222467698195</v>
      </c>
      <c r="AN1866">
        <v>1.0000000099944599</v>
      </c>
    </row>
    <row r="1867" spans="1:40" x14ac:dyDescent="0.25">
      <c r="A1867" t="str">
        <f>"20190303154804059"</f>
        <v>20190303154804059</v>
      </c>
      <c r="B1867" t="str">
        <f>"1551599284052573"</f>
        <v>1551599284052573</v>
      </c>
      <c r="C1867" t="s">
        <v>40</v>
      </c>
      <c r="D1867">
        <v>5.9157520000000003</v>
      </c>
      <c r="E1867">
        <v>0.48461460000000001</v>
      </c>
      <c r="F1867" t="s">
        <v>52</v>
      </c>
      <c r="G1867">
        <v>-218.5455</v>
      </c>
      <c r="H1867" s="1">
        <v>3.010713E-6</v>
      </c>
      <c r="I1867">
        <v>285.3639</v>
      </c>
      <c r="J1867">
        <v>-207.29259999999999</v>
      </c>
      <c r="K1867">
        <v>1.1169819999999999</v>
      </c>
      <c r="L1867">
        <v>285.00990000000002</v>
      </c>
      <c r="M1867">
        <v>-0.99737319999999996</v>
      </c>
      <c r="N1867">
        <v>-9.1119229999999992E-3</v>
      </c>
      <c r="O1867">
        <v>7.1860679999999996E-2</v>
      </c>
      <c r="P1867">
        <v>-0.9937897</v>
      </c>
      <c r="Q1867">
        <v>-7.9242010000000002E-2</v>
      </c>
      <c r="R1867">
        <v>7.8124769999999996E-2</v>
      </c>
      <c r="S1867">
        <v>-2.9872589999999999</v>
      </c>
      <c r="T1867">
        <v>-0.29131079999999998</v>
      </c>
      <c r="U1867">
        <v>9.8052979999999998E-2</v>
      </c>
      <c r="V1867">
        <v>5.9300450000000001E-3</v>
      </c>
      <c r="W1867">
        <v>-7.0206630000000006E-2</v>
      </c>
      <c r="X1867">
        <v>0.99751480000000003</v>
      </c>
      <c r="Y1867">
        <v>-3.8624440000000003E-2</v>
      </c>
      <c r="Z1867">
        <v>-8.3836190000000001E-3</v>
      </c>
      <c r="AA1867">
        <v>0.99921859999999996</v>
      </c>
      <c r="AB1867">
        <v>19</v>
      </c>
      <c r="AC1867">
        <v>-11.2529</v>
      </c>
      <c r="AD1867">
        <v>-1.1169789892869999</v>
      </c>
      <c r="AE1867">
        <v>0.35399999999998399</v>
      </c>
      <c r="AF1867">
        <v>-0.45114908038978602</v>
      </c>
      <c r="AG1867">
        <v>-1.1169789892869999</v>
      </c>
      <c r="AH1867">
        <v>11.139596901013601</v>
      </c>
      <c r="AI1867">
        <v>95.721309514514701</v>
      </c>
      <c r="AJ1867">
        <v>92.319188004738294</v>
      </c>
      <c r="AK1867">
        <v>11.2045435726903</v>
      </c>
      <c r="AL1867">
        <v>94.025855620288993</v>
      </c>
      <c r="AM1867">
        <v>89.659390970080196</v>
      </c>
      <c r="AN1867">
        <v>0.99999995627434801</v>
      </c>
    </row>
    <row r="1868" spans="1:40" x14ac:dyDescent="0.25">
      <c r="A1868" t="str">
        <f>"20190303154804084"</f>
        <v>20190303154804084</v>
      </c>
      <c r="B1868" t="str">
        <f>"1551599284082829"</f>
        <v>1551599284082829</v>
      </c>
      <c r="C1868" t="s">
        <v>40</v>
      </c>
      <c r="D1868">
        <v>5.9001859999999997</v>
      </c>
      <c r="E1868">
        <v>0.48460360000000002</v>
      </c>
      <c r="F1868" t="s">
        <v>52</v>
      </c>
      <c r="G1868">
        <v>-218.5515</v>
      </c>
      <c r="H1868" s="1">
        <v>3.0138989999999998E-6</v>
      </c>
      <c r="I1868">
        <v>285.4384</v>
      </c>
      <c r="J1868">
        <v>-207.5179</v>
      </c>
      <c r="K1868">
        <v>1.117569</v>
      </c>
      <c r="L1868">
        <v>285.03530000000001</v>
      </c>
      <c r="M1868">
        <v>-0.99681940000000002</v>
      </c>
      <c r="N1868">
        <v>-8.7219659999999994E-3</v>
      </c>
      <c r="O1868">
        <v>7.9216519999999999E-2</v>
      </c>
      <c r="P1868">
        <v>-0.99341290000000004</v>
      </c>
      <c r="Q1868">
        <v>-7.8652840000000002E-2</v>
      </c>
      <c r="R1868">
        <v>8.3334859999999997E-2</v>
      </c>
      <c r="S1868">
        <v>-2.9861909999999998</v>
      </c>
      <c r="T1868">
        <v>-0.29625580000000001</v>
      </c>
      <c r="U1868">
        <v>0.113647499999999</v>
      </c>
      <c r="V1868">
        <v>3.9074069999999999E-3</v>
      </c>
      <c r="W1868">
        <v>-6.998269E-2</v>
      </c>
      <c r="X1868">
        <v>0.99754050000000005</v>
      </c>
      <c r="Y1868">
        <v>-4.0712419999999999E-2</v>
      </c>
      <c r="Z1868">
        <v>-9.3297559999999998E-3</v>
      </c>
      <c r="AA1868">
        <v>0.99912730000000005</v>
      </c>
      <c r="AB1868">
        <v>19</v>
      </c>
      <c r="AC1868">
        <v>-11.0336</v>
      </c>
      <c r="AD1868">
        <v>-1.1175659861010001</v>
      </c>
      <c r="AE1868">
        <v>0.40309999999999402</v>
      </c>
      <c r="AF1868">
        <v>-0.46745410469499699</v>
      </c>
      <c r="AG1868">
        <v>-1.1175659861010001</v>
      </c>
      <c r="AH1868">
        <v>10.9189866015393</v>
      </c>
      <c r="AI1868">
        <v>95.838602845273201</v>
      </c>
      <c r="AJ1868">
        <v>92.451399897428303</v>
      </c>
      <c r="AK1868">
        <v>10.9859790404807</v>
      </c>
      <c r="AL1868">
        <v>94.012993203166104</v>
      </c>
      <c r="AM1868">
        <v>89.775571232497896</v>
      </c>
      <c r="AN1868">
        <v>0.99999994693467298</v>
      </c>
    </row>
    <row r="1869" spans="1:40" x14ac:dyDescent="0.25">
      <c r="A1869" t="str">
        <f>"20190303154804103"</f>
        <v>20190303154804103</v>
      </c>
      <c r="B1869" t="str">
        <f>"1551599284092592"</f>
        <v>1551599284092592</v>
      </c>
      <c r="C1869" t="s">
        <v>40</v>
      </c>
      <c r="D1869">
        <v>5.9719989999999896</v>
      </c>
      <c r="E1869">
        <v>0.4845795</v>
      </c>
      <c r="F1869" t="s">
        <v>52</v>
      </c>
      <c r="G1869">
        <v>-218.7723</v>
      </c>
      <c r="H1869" s="1">
        <v>3.1314039999999999E-6</v>
      </c>
      <c r="I1869">
        <v>285.52170000000001</v>
      </c>
      <c r="J1869">
        <v>-207.6842</v>
      </c>
      <c r="K1869">
        <v>1.1180110000000001</v>
      </c>
      <c r="L1869">
        <v>285.05419999999998</v>
      </c>
      <c r="M1869">
        <v>-0.99644149999999998</v>
      </c>
      <c r="N1869">
        <v>-8.4351259999999994E-3</v>
      </c>
      <c r="O1869">
        <v>8.3865480000000006E-2</v>
      </c>
      <c r="P1869">
        <v>-0.99329179999999995</v>
      </c>
      <c r="Q1869">
        <v>-7.7529879999999995E-2</v>
      </c>
      <c r="R1869">
        <v>8.5793789999999995E-2</v>
      </c>
      <c r="S1869">
        <v>-2.9855960000000001</v>
      </c>
      <c r="T1869">
        <v>-0.29647119999999999</v>
      </c>
      <c r="U1869">
        <v>0.12902830000000001</v>
      </c>
      <c r="V1869">
        <v>1.8026400000000001E-3</v>
      </c>
      <c r="W1869">
        <v>-6.9128460000000003E-2</v>
      </c>
      <c r="X1869">
        <v>0.9976062</v>
      </c>
      <c r="Y1869">
        <v>-4.0208050000000002E-2</v>
      </c>
      <c r="Z1869">
        <v>-9.7466940000000002E-3</v>
      </c>
      <c r="AA1869">
        <v>0.99914380000000003</v>
      </c>
      <c r="AB1869">
        <v>20</v>
      </c>
      <c r="AC1869">
        <v>-11.088099999999899</v>
      </c>
      <c r="AD1869">
        <v>-1.118007868596</v>
      </c>
      <c r="AE1869">
        <v>0.467500000000029</v>
      </c>
      <c r="AF1869">
        <v>-0.45942637131826702</v>
      </c>
      <c r="AG1869">
        <v>-1.118007868596</v>
      </c>
      <c r="AH1869">
        <v>10.9768442134939</v>
      </c>
      <c r="AI1869">
        <v>95.810553354531095</v>
      </c>
      <c r="AJ1869">
        <v>92.396666745001596</v>
      </c>
      <c r="AK1869">
        <v>11.043193517829</v>
      </c>
      <c r="AL1869">
        <v>93.963930143127101</v>
      </c>
      <c r="AM1869">
        <v>89.896468615000202</v>
      </c>
      <c r="AN1869">
        <v>1.0000000618856799</v>
      </c>
    </row>
    <row r="1870" spans="1:40" x14ac:dyDescent="0.25">
      <c r="A1870" t="str">
        <f>"20190303154804128"</f>
        <v>20190303154804128</v>
      </c>
      <c r="B1870" t="str">
        <f>"1551599284122845"</f>
        <v>1551599284122845</v>
      </c>
      <c r="C1870" t="s">
        <v>40</v>
      </c>
      <c r="D1870">
        <v>5.9491389999999997</v>
      </c>
      <c r="E1870">
        <v>0.48423709999999998</v>
      </c>
      <c r="F1870" t="s">
        <v>52</v>
      </c>
      <c r="G1870">
        <v>-219.10749999999999</v>
      </c>
      <c r="H1870" s="1">
        <v>3.309775E-6</v>
      </c>
      <c r="I1870">
        <v>285.57600000000002</v>
      </c>
      <c r="J1870">
        <v>-207.9023</v>
      </c>
      <c r="K1870">
        <v>1.1185149999999999</v>
      </c>
      <c r="L1870">
        <v>285.07900000000001</v>
      </c>
      <c r="M1870">
        <v>-0.99600270000000002</v>
      </c>
      <c r="N1870">
        <v>-8.0607290000000009E-3</v>
      </c>
      <c r="O1870">
        <v>8.8960059999999994E-2</v>
      </c>
      <c r="P1870">
        <v>-0.99294979999999999</v>
      </c>
      <c r="Q1870">
        <v>-7.7595430000000007E-2</v>
      </c>
      <c r="R1870">
        <v>8.9609880000000003E-2</v>
      </c>
      <c r="S1870">
        <v>-2.985703</v>
      </c>
      <c r="T1870">
        <v>-0.2922131</v>
      </c>
      <c r="U1870">
        <v>0.13638310000000001</v>
      </c>
      <c r="V1870">
        <v>6.241183E-4</v>
      </c>
      <c r="W1870">
        <v>-6.9559750000000004E-2</v>
      </c>
      <c r="X1870">
        <v>0.99757759999999995</v>
      </c>
      <c r="Y1870">
        <v>-4.284321E-2</v>
      </c>
      <c r="Z1870">
        <v>-1.0215760000000001E-2</v>
      </c>
      <c r="AA1870">
        <v>0.99902959999999996</v>
      </c>
      <c r="AB1870">
        <v>20</v>
      </c>
      <c r="AC1870">
        <v>-11.2051999999999</v>
      </c>
      <c r="AD1870">
        <v>-1.1185116902250001</v>
      </c>
      <c r="AE1870">
        <v>0.49699999999995698</v>
      </c>
      <c r="AF1870">
        <v>-0.49687691083755597</v>
      </c>
      <c r="AG1870">
        <v>-1.1185116902250001</v>
      </c>
      <c r="AH1870">
        <v>11.094653124774499</v>
      </c>
      <c r="AI1870">
        <v>95.751118797285599</v>
      </c>
      <c r="AJ1870">
        <v>92.564292809005494</v>
      </c>
      <c r="AK1870">
        <v>11.1619569531853</v>
      </c>
      <c r="AL1870">
        <v>93.9887010811631</v>
      </c>
      <c r="AM1870">
        <v>89.964153826387701</v>
      </c>
      <c r="AN1870">
        <v>1.00000000818273</v>
      </c>
    </row>
    <row r="1871" spans="1:40" x14ac:dyDescent="0.25">
      <c r="A1871" t="str">
        <f>"20190303154804150"</f>
        <v>20190303154804150</v>
      </c>
      <c r="B1871" t="str">
        <f>"1551599284142364"</f>
        <v>1551599284142364</v>
      </c>
      <c r="C1871" t="s">
        <v>40</v>
      </c>
      <c r="D1871">
        <v>6.0295189999999996</v>
      </c>
      <c r="E1871">
        <v>0.48373090000000002</v>
      </c>
      <c r="F1871" t="s">
        <v>52</v>
      </c>
      <c r="G1871">
        <v>-219.40289999999999</v>
      </c>
      <c r="H1871" s="1">
        <v>3.4669799999999999E-6</v>
      </c>
      <c r="I1871">
        <v>285.63709999999998</v>
      </c>
      <c r="J1871">
        <v>-208.10239999999999</v>
      </c>
      <c r="K1871">
        <v>1.118935</v>
      </c>
      <c r="L1871">
        <v>285.10180000000003</v>
      </c>
      <c r="M1871">
        <v>-0.99566259999999995</v>
      </c>
      <c r="N1871">
        <v>-7.7149030000000004E-3</v>
      </c>
      <c r="O1871">
        <v>9.2717190000000005E-2</v>
      </c>
      <c r="P1871">
        <v>-0.99277879999999996</v>
      </c>
      <c r="Q1871">
        <v>-7.7371259999999997E-2</v>
      </c>
      <c r="R1871">
        <v>9.1671320000000001E-2</v>
      </c>
      <c r="S1871">
        <v>-2.985535</v>
      </c>
      <c r="T1871">
        <v>-0.29036319999999999</v>
      </c>
      <c r="U1871">
        <v>0.14486689999999999</v>
      </c>
      <c r="V1871">
        <v>-9.954203E-4</v>
      </c>
      <c r="W1871">
        <v>-6.9674399999999997E-2</v>
      </c>
      <c r="X1871">
        <v>0.99756929999999999</v>
      </c>
      <c r="Y1871">
        <v>-4.3763139999999999E-2</v>
      </c>
      <c r="Z1871">
        <v>-1.0552829999999999E-2</v>
      </c>
      <c r="AA1871">
        <v>0.99898620000000005</v>
      </c>
      <c r="AB1871">
        <v>20</v>
      </c>
      <c r="AC1871">
        <v>-11.3005</v>
      </c>
      <c r="AD1871">
        <v>-1.11893153302</v>
      </c>
      <c r="AE1871">
        <v>0.53529999999994904</v>
      </c>
      <c r="AF1871">
        <v>-0.50980074048032897</v>
      </c>
      <c r="AG1871">
        <v>-1.11893153302</v>
      </c>
      <c r="AH1871">
        <v>11.191970464409099</v>
      </c>
      <c r="AI1871">
        <v>95.7033726100004</v>
      </c>
      <c r="AJ1871">
        <v>92.608053179421802</v>
      </c>
      <c r="AK1871">
        <v>11.259312032570501</v>
      </c>
      <c r="AL1871">
        <v>93.995286009054993</v>
      </c>
      <c r="AM1871">
        <v>90.057172331889404</v>
      </c>
      <c r="AN1871">
        <v>1.00000001058971</v>
      </c>
    </row>
    <row r="1872" spans="1:40" x14ac:dyDescent="0.25">
      <c r="A1872" t="str">
        <f>"20190303154804170"</f>
        <v>20190303154804170</v>
      </c>
      <c r="B1872" t="str">
        <f>"1551599284162861"</f>
        <v>1551599284162861</v>
      </c>
      <c r="C1872" t="s">
        <v>40</v>
      </c>
      <c r="D1872">
        <v>6.032419</v>
      </c>
      <c r="E1872">
        <v>0.4834465</v>
      </c>
      <c r="F1872" t="s">
        <v>52</v>
      </c>
      <c r="G1872">
        <v>-219.6088</v>
      </c>
      <c r="H1872" s="1">
        <v>3.5765279999999999E-6</v>
      </c>
      <c r="I1872">
        <v>285.66680000000002</v>
      </c>
      <c r="J1872">
        <v>-208.2895</v>
      </c>
      <c r="K1872">
        <v>1.1193150000000001</v>
      </c>
      <c r="L1872">
        <v>285.12279999999998</v>
      </c>
      <c r="M1872">
        <v>-0.99541329999999995</v>
      </c>
      <c r="N1872">
        <v>-7.38341E-3</v>
      </c>
      <c r="O1872">
        <v>9.5383300000000004E-2</v>
      </c>
      <c r="P1872">
        <v>-0.99287859999999994</v>
      </c>
      <c r="Q1872">
        <v>-7.5843300000000002E-2</v>
      </c>
      <c r="R1872">
        <v>9.1869790000000007E-2</v>
      </c>
      <c r="S1872">
        <v>-2.9856410000000002</v>
      </c>
      <c r="T1872">
        <v>-0.29033779999999998</v>
      </c>
      <c r="U1872">
        <v>0.1466064</v>
      </c>
      <c r="V1872">
        <v>-3.4054850000000002E-3</v>
      </c>
      <c r="W1872">
        <v>-6.8471850000000001E-2</v>
      </c>
      <c r="X1872">
        <v>0.99764719999999996</v>
      </c>
      <c r="Y1872">
        <v>-4.5836370000000001E-2</v>
      </c>
      <c r="Z1872">
        <v>-1.09205E-2</v>
      </c>
      <c r="AA1872">
        <v>0.99888929999999998</v>
      </c>
      <c r="AB1872">
        <v>20</v>
      </c>
      <c r="AC1872">
        <v>-11.319299999999901</v>
      </c>
      <c r="AD1872">
        <v>-1.1193114234720001</v>
      </c>
      <c r="AE1872">
        <v>0.54400000000003901</v>
      </c>
      <c r="AF1872">
        <v>-0.53298234403998701</v>
      </c>
      <c r="AG1872">
        <v>-1.1193114234720001</v>
      </c>
      <c r="AH1872">
        <v>11.2102140342607</v>
      </c>
      <c r="AI1872">
        <v>95.695548483905796</v>
      </c>
      <c r="AJ1872">
        <v>92.7220408259263</v>
      </c>
      <c r="AK1872">
        <v>11.278556066079901</v>
      </c>
      <c r="AL1872">
        <v>93.926220193337201</v>
      </c>
      <c r="AM1872">
        <v>90.195579318869903</v>
      </c>
      <c r="AN1872">
        <v>0.99999996361917298</v>
      </c>
    </row>
    <row r="1873" spans="1:40" x14ac:dyDescent="0.25">
      <c r="A1873" t="str">
        <f>"20190303154804194"</f>
        <v>20190303154804194</v>
      </c>
      <c r="B1873" t="str">
        <f>"1551599284182380"</f>
        <v>1551599284182380</v>
      </c>
      <c r="C1873" t="s">
        <v>40</v>
      </c>
      <c r="D1873">
        <v>6.0471199999999996</v>
      </c>
      <c r="E1873">
        <v>0.47495779999999899</v>
      </c>
      <c r="F1873" t="s">
        <v>52</v>
      </c>
      <c r="G1873">
        <v>-219.98910000000001</v>
      </c>
      <c r="H1873" s="1">
        <v>-1.54258199999999E-6</v>
      </c>
      <c r="I1873">
        <v>285.68970000000002</v>
      </c>
      <c r="J1873">
        <v>-208.49789999999999</v>
      </c>
      <c r="K1873">
        <v>1.1197809999999999</v>
      </c>
      <c r="L1873">
        <v>285.14580000000001</v>
      </c>
      <c r="M1873">
        <v>-0.99522500000000003</v>
      </c>
      <c r="N1873">
        <v>-7.0046989999999996E-3</v>
      </c>
      <c r="O1873">
        <v>9.7356689999999996E-2</v>
      </c>
      <c r="P1873">
        <v>-0.99317009999999994</v>
      </c>
      <c r="Q1873">
        <v>-7.3279140000000006E-2</v>
      </c>
      <c r="R1873">
        <v>9.0792709999999999E-2</v>
      </c>
      <c r="S1873">
        <v>-2.986313</v>
      </c>
      <c r="T1873">
        <v>-0.28570390000000001</v>
      </c>
      <c r="U1873">
        <v>0.1446838</v>
      </c>
      <c r="V1873">
        <v>-6.3981849999999998E-3</v>
      </c>
      <c r="W1873">
        <v>-6.6285330000000003E-2</v>
      </c>
      <c r="X1873">
        <v>0.99778020000000001</v>
      </c>
      <c r="Y1873">
        <v>-4.8466580000000002E-2</v>
      </c>
      <c r="Z1873">
        <v>-1.107179E-2</v>
      </c>
      <c r="AA1873">
        <v>0.99876339999999997</v>
      </c>
      <c r="AB1873">
        <v>20</v>
      </c>
      <c r="AC1873">
        <v>-11.491199999999999</v>
      </c>
      <c r="AD1873">
        <v>-1.1197825425819901</v>
      </c>
      <c r="AE1873">
        <v>0.54390000000000704</v>
      </c>
      <c r="AF1873">
        <v>-0.57203656425843896</v>
      </c>
      <c r="AG1873">
        <v>-1.1197825425819901</v>
      </c>
      <c r="AH1873">
        <v>11.381724352723101</v>
      </c>
      <c r="AI1873">
        <v>95.611882119558004</v>
      </c>
      <c r="AJ1873">
        <v>92.877220087940401</v>
      </c>
      <c r="AK1873">
        <v>11.450973234397599</v>
      </c>
      <c r="AL1873">
        <v>93.800656293394894</v>
      </c>
      <c r="AM1873">
        <v>90.367399526029899</v>
      </c>
      <c r="AN1873">
        <v>1.00000000462827</v>
      </c>
    </row>
    <row r="1874" spans="1:40" x14ac:dyDescent="0.25">
      <c r="A1874" t="str">
        <f>"20190303154804215"</f>
        <v>20190303154804215</v>
      </c>
      <c r="B1874" t="str">
        <f>"1551599284212637"</f>
        <v>1551599284212637</v>
      </c>
      <c r="C1874" t="s">
        <v>40</v>
      </c>
      <c r="D1874">
        <v>6.0241290000000003</v>
      </c>
      <c r="E1874">
        <v>0.47471629999999998</v>
      </c>
      <c r="F1874" t="s">
        <v>52</v>
      </c>
      <c r="G1874">
        <v>-219.84370000000001</v>
      </c>
      <c r="H1874" s="1">
        <v>3.7015200000000002E-6</v>
      </c>
      <c r="I1874">
        <v>285.42599999999999</v>
      </c>
      <c r="J1874">
        <v>-208.69499999999999</v>
      </c>
      <c r="K1874">
        <v>1.1202700000000001</v>
      </c>
      <c r="L1874">
        <v>285.16699999999997</v>
      </c>
      <c r="M1874">
        <v>-0.99513890000000005</v>
      </c>
      <c r="N1874">
        <v>-6.6418390000000001E-3</v>
      </c>
      <c r="O1874">
        <v>9.8256999999999997E-2</v>
      </c>
      <c r="P1874">
        <v>-0.99336729999999995</v>
      </c>
      <c r="Q1874">
        <v>-7.3158500000000001E-2</v>
      </c>
      <c r="R1874">
        <v>8.8711139999999994E-2</v>
      </c>
      <c r="S1874">
        <v>-2.9920960000000001</v>
      </c>
      <c r="T1874">
        <v>-0.29530669999999998</v>
      </c>
      <c r="U1874">
        <v>7.388306E-2</v>
      </c>
      <c r="V1874">
        <v>-9.3069090000000004E-3</v>
      </c>
      <c r="W1874">
        <v>-6.6535759999999999E-2</v>
      </c>
      <c r="X1874">
        <v>0.99774059999999998</v>
      </c>
      <c r="Y1874">
        <v>-7.2872359999999997E-2</v>
      </c>
      <c r="Z1874">
        <v>-1.2835360000000001E-2</v>
      </c>
      <c r="AA1874">
        <v>0.99725870000000005</v>
      </c>
      <c r="AB1874">
        <v>20</v>
      </c>
      <c r="AC1874">
        <v>-11.1487</v>
      </c>
      <c r="AD1874">
        <v>-1.12026629847999</v>
      </c>
      <c r="AE1874">
        <v>0.25899999999995699</v>
      </c>
      <c r="AF1874">
        <v>-0.82934590394899899</v>
      </c>
      <c r="AG1874">
        <v>-1.12026629847999</v>
      </c>
      <c r="AH1874">
        <v>11.0090996355085</v>
      </c>
      <c r="AI1874">
        <v>95.794011262417399</v>
      </c>
      <c r="AJ1874">
        <v>94.308112180317096</v>
      </c>
      <c r="AK1874">
        <v>11.0969854461678</v>
      </c>
      <c r="AL1874">
        <v>93.815036771561907</v>
      </c>
      <c r="AM1874">
        <v>90.534438651348793</v>
      </c>
      <c r="AN1874">
        <v>0.999999965401135</v>
      </c>
    </row>
    <row r="1875" spans="1:40" x14ac:dyDescent="0.25">
      <c r="A1875" t="str">
        <f>"20190303154804238"</f>
        <v>20190303154804238</v>
      </c>
      <c r="B1875" t="str">
        <f>"1551599284232157"</f>
        <v>1551599284232157</v>
      </c>
      <c r="C1875" t="s">
        <v>40</v>
      </c>
      <c r="D1875">
        <v>6.0421659999999999</v>
      </c>
      <c r="E1875">
        <v>0.47465000000000002</v>
      </c>
      <c r="F1875" t="s">
        <v>52</v>
      </c>
      <c r="G1875">
        <v>-219.68989999999999</v>
      </c>
      <c r="H1875" s="1">
        <v>3.6196859999999999E-6</v>
      </c>
      <c r="I1875">
        <v>285.40730000000002</v>
      </c>
      <c r="J1875">
        <v>-208.9084</v>
      </c>
      <c r="K1875">
        <v>1.1208340000000001</v>
      </c>
      <c r="L1875">
        <v>285.18889999999999</v>
      </c>
      <c r="M1875">
        <v>-0.99514689999999995</v>
      </c>
      <c r="N1875">
        <v>-6.24933E-3</v>
      </c>
      <c r="O1875">
        <v>9.8203239999999997E-2</v>
      </c>
      <c r="P1875">
        <v>-0.99336170000000001</v>
      </c>
      <c r="Q1875">
        <v>-7.4669869999999999E-2</v>
      </c>
      <c r="R1875">
        <v>8.7506790000000001E-2</v>
      </c>
      <c r="S1875">
        <v>-2.9917600000000002</v>
      </c>
      <c r="T1875">
        <v>-0.30482900000000002</v>
      </c>
      <c r="U1875">
        <v>6.5399170000000006E-2</v>
      </c>
      <c r="V1875">
        <v>-1.0347469999999999E-2</v>
      </c>
      <c r="W1875">
        <v>-6.8455420000000003E-2</v>
      </c>
      <c r="X1875">
        <v>0.9976005</v>
      </c>
      <c r="Y1875">
        <v>-7.5571609999999997E-2</v>
      </c>
      <c r="Z1875">
        <v>-1.3427410000000001E-2</v>
      </c>
      <c r="AA1875">
        <v>0.99704999999999999</v>
      </c>
      <c r="AB1875">
        <v>20</v>
      </c>
      <c r="AC1875">
        <v>-10.7814999999999</v>
      </c>
      <c r="AD1875">
        <v>-1.1208303803139901</v>
      </c>
      <c r="AE1875">
        <v>0.21840000000002999</v>
      </c>
      <c r="AF1875">
        <v>-0.832461404267688</v>
      </c>
      <c r="AG1875">
        <v>-1.1208303803139901</v>
      </c>
      <c r="AH1875">
        <v>10.635932622935499</v>
      </c>
      <c r="AI1875">
        <v>95.997503247881696</v>
      </c>
      <c r="AJ1875">
        <v>94.475346626501207</v>
      </c>
      <c r="AK1875">
        <v>10.727176492006301</v>
      </c>
      <c r="AL1875">
        <v>93.925276521126804</v>
      </c>
      <c r="AM1875">
        <v>90.594271053064503</v>
      </c>
      <c r="AN1875">
        <v>0.99999998613151297</v>
      </c>
    </row>
    <row r="1876" spans="1:40" x14ac:dyDescent="0.25">
      <c r="A1876" t="str">
        <f>"20190303154804260"</f>
        <v>20190303154804260</v>
      </c>
      <c r="B1876" t="str">
        <f>"1551599284252652"</f>
        <v>1551599284252652</v>
      </c>
      <c r="C1876" t="s">
        <v>40</v>
      </c>
      <c r="D1876">
        <v>6.0231180000000002</v>
      </c>
      <c r="E1876">
        <v>0.47414190000000001</v>
      </c>
      <c r="F1876" t="s">
        <v>52</v>
      </c>
      <c r="G1876">
        <v>-219.71199999999999</v>
      </c>
      <c r="H1876" s="1">
        <v>3.631458E-6</v>
      </c>
      <c r="I1876">
        <v>285.4101</v>
      </c>
      <c r="J1876">
        <v>-209.1105</v>
      </c>
      <c r="K1876">
        <v>1.1213919999999999</v>
      </c>
      <c r="L1876">
        <v>285.20839999999998</v>
      </c>
      <c r="M1876">
        <v>-0.99525330000000001</v>
      </c>
      <c r="N1876">
        <v>-5.878421E-3</v>
      </c>
      <c r="O1876">
        <v>9.7141930000000001E-2</v>
      </c>
      <c r="P1876">
        <v>-0.99340430000000002</v>
      </c>
      <c r="Q1876">
        <v>-7.7692700000000003E-2</v>
      </c>
      <c r="R1876">
        <v>8.4333320000000003E-2</v>
      </c>
      <c r="S1876">
        <v>-2.991333</v>
      </c>
      <c r="T1876">
        <v>-0.31033919999999998</v>
      </c>
      <c r="U1876">
        <v>6.1248780000000003E-2</v>
      </c>
      <c r="V1876">
        <v>-1.2334299999999999E-2</v>
      </c>
      <c r="W1876">
        <v>-7.1871690000000002E-2</v>
      </c>
      <c r="X1876">
        <v>0.99733760000000005</v>
      </c>
      <c r="Y1876">
        <v>-7.5856759999999995E-2</v>
      </c>
      <c r="Z1876">
        <v>-1.3612880000000001E-2</v>
      </c>
      <c r="AA1876">
        <v>0.99702579999999996</v>
      </c>
      <c r="AB1876">
        <v>21</v>
      </c>
      <c r="AC1876">
        <v>-10.6015</v>
      </c>
      <c r="AD1876">
        <v>-1.1213883685420001</v>
      </c>
      <c r="AE1876">
        <v>0.20170000000001601</v>
      </c>
      <c r="AF1876">
        <v>-0.819950985617938</v>
      </c>
      <c r="AG1876">
        <v>-1.1213883685420001</v>
      </c>
      <c r="AH1876">
        <v>10.4540286734837</v>
      </c>
      <c r="AI1876">
        <v>96.104018052759798</v>
      </c>
      <c r="AJ1876">
        <v>94.484754000301393</v>
      </c>
      <c r="AK1876">
        <v>10.5459256112461</v>
      </c>
      <c r="AL1876">
        <v>94.121498080222096</v>
      </c>
      <c r="AM1876">
        <v>90.708553760396796</v>
      </c>
      <c r="AN1876">
        <v>0.99999998157685199</v>
      </c>
    </row>
    <row r="1877" spans="1:40" x14ac:dyDescent="0.25">
      <c r="A1877" t="str">
        <f>"20190303154804276"</f>
        <v>20190303154804276</v>
      </c>
      <c r="B1877" t="str">
        <f>"1551599284272173"</f>
        <v>1551599284272173</v>
      </c>
      <c r="C1877" t="s">
        <v>40</v>
      </c>
      <c r="D1877">
        <v>5.9942099999999998</v>
      </c>
      <c r="E1877">
        <v>0.47407050000000001</v>
      </c>
      <c r="F1877" t="s">
        <v>52</v>
      </c>
      <c r="G1877">
        <v>-219.49719999999999</v>
      </c>
      <c r="H1877" s="1">
        <v>3.5171639999999998E-6</v>
      </c>
      <c r="I1877">
        <v>285.3723</v>
      </c>
      <c r="J1877">
        <v>-209.24539999999999</v>
      </c>
      <c r="K1877">
        <v>1.1217360000000001</v>
      </c>
      <c r="L1877">
        <v>285.22059999999999</v>
      </c>
      <c r="M1877">
        <v>-0.99538409999999999</v>
      </c>
      <c r="N1877">
        <v>-5.6281229999999996E-3</v>
      </c>
      <c r="O1877">
        <v>9.5806420000000003E-2</v>
      </c>
      <c r="P1877">
        <v>-0.99355070000000001</v>
      </c>
      <c r="Q1877">
        <v>-7.8350820000000002E-2</v>
      </c>
      <c r="R1877">
        <v>8.1964720000000005E-2</v>
      </c>
      <c r="S1877">
        <v>-2.9906459999999999</v>
      </c>
      <c r="T1877">
        <v>-0.32288</v>
      </c>
      <c r="U1877">
        <v>4.7180180000000002E-2</v>
      </c>
      <c r="V1877">
        <v>-1.329643E-2</v>
      </c>
      <c r="W1877">
        <v>-7.2795810000000002E-2</v>
      </c>
      <c r="X1877">
        <v>0.99725819999999998</v>
      </c>
      <c r="Y1877">
        <v>-7.911253E-2</v>
      </c>
      <c r="Z1877">
        <v>-1.4241999999999999E-2</v>
      </c>
      <c r="AA1877">
        <v>0.99676390000000004</v>
      </c>
      <c r="AB1877">
        <v>21</v>
      </c>
      <c r="AC1877">
        <v>-10.251799999999999</v>
      </c>
      <c r="AD1877">
        <v>-1.121732482836</v>
      </c>
      <c r="AE1877">
        <v>0.151700000000005</v>
      </c>
      <c r="AF1877">
        <v>-0.82137007812392804</v>
      </c>
      <c r="AG1877">
        <v>-1.121732482836</v>
      </c>
      <c r="AH1877">
        <v>10.098300508304</v>
      </c>
      <c r="AI1877">
        <v>96.317810635522704</v>
      </c>
      <c r="AJ1877">
        <v>94.6500564152377</v>
      </c>
      <c r="AK1877">
        <v>10.1935570692619</v>
      </c>
      <c r="AL1877">
        <v>94.1745853650485</v>
      </c>
      <c r="AM1877">
        <v>90.763878585619693</v>
      </c>
      <c r="AN1877">
        <v>0.99999997123577</v>
      </c>
    </row>
    <row r="1878" spans="1:40" x14ac:dyDescent="0.25">
      <c r="A1878" t="str">
        <f>"20190303154804294"</f>
        <v>20190303154804294</v>
      </c>
      <c r="B1878" t="str">
        <f>"1551599284282909"</f>
        <v>1551599284282909</v>
      </c>
      <c r="C1878" t="s">
        <v>40</v>
      </c>
      <c r="D1878">
        <v>6.053223</v>
      </c>
      <c r="E1878">
        <v>0.47388910000000001</v>
      </c>
      <c r="F1878" t="s">
        <v>52</v>
      </c>
      <c r="G1878">
        <v>-219.52789999999999</v>
      </c>
      <c r="H1878" s="1">
        <v>3.5334919999999999E-6</v>
      </c>
      <c r="I1878">
        <v>285.35599999999999</v>
      </c>
      <c r="J1878">
        <v>-209.42250000000001</v>
      </c>
      <c r="K1878">
        <v>1.122153</v>
      </c>
      <c r="L1878">
        <v>285.23570000000001</v>
      </c>
      <c r="M1878">
        <v>-0.99560199999999999</v>
      </c>
      <c r="N1878">
        <v>-5.2967219999999898E-3</v>
      </c>
      <c r="O1878">
        <v>9.353496E-2</v>
      </c>
      <c r="P1878">
        <v>-0.99376880000000001</v>
      </c>
      <c r="Q1878">
        <v>-7.9816699999999893E-2</v>
      </c>
      <c r="R1878">
        <v>7.7803510000000006E-2</v>
      </c>
      <c r="S1878">
        <v>-2.990494</v>
      </c>
      <c r="T1878">
        <v>-0.32623649999999998</v>
      </c>
      <c r="U1878">
        <v>3.9367680000000002E-2</v>
      </c>
      <c r="V1878">
        <v>-1.5089490000000001E-2</v>
      </c>
      <c r="W1878">
        <v>-7.4618649999999995E-2</v>
      </c>
      <c r="X1878">
        <v>0.99709800000000004</v>
      </c>
      <c r="Y1878">
        <v>-7.9427910000000004E-2</v>
      </c>
      <c r="Z1878">
        <v>-1.419628E-2</v>
      </c>
      <c r="AA1878">
        <v>0.9967395</v>
      </c>
      <c r="AB1878">
        <v>21</v>
      </c>
      <c r="AC1878">
        <v>-10.1053999999999</v>
      </c>
      <c r="AD1878">
        <v>-1.1221494665079901</v>
      </c>
      <c r="AE1878">
        <v>0.120299999999986</v>
      </c>
      <c r="AF1878">
        <v>-0.81539563782285496</v>
      </c>
      <c r="AG1878">
        <v>-1.1221494665079901</v>
      </c>
      <c r="AH1878">
        <v>9.9496780662434592</v>
      </c>
      <c r="AI1878">
        <v>96.413448744618194</v>
      </c>
      <c r="AJ1878">
        <v>94.685031840061498</v>
      </c>
      <c r="AK1878">
        <v>10.0459037967348</v>
      </c>
      <c r="AL1878">
        <v>94.2793110381444</v>
      </c>
      <c r="AM1878">
        <v>90.867014175383403</v>
      </c>
      <c r="AN1878">
        <v>1.00000002862014</v>
      </c>
    </row>
    <row r="1879" spans="1:40" x14ac:dyDescent="0.25">
      <c r="A1879" t="str">
        <f>"20190303154804317"</f>
        <v>20190303154804317</v>
      </c>
      <c r="B1879" t="str">
        <f>"1551599284312189"</f>
        <v>1551599284312189</v>
      </c>
      <c r="C1879" t="s">
        <v>40</v>
      </c>
      <c r="D1879">
        <v>6.0747070000000001</v>
      </c>
      <c r="E1879">
        <v>0.47315679999999999</v>
      </c>
      <c r="F1879" t="s">
        <v>52</v>
      </c>
      <c r="G1879">
        <v>-219.59360000000001</v>
      </c>
      <c r="H1879" s="1">
        <v>3.5684500000000001E-6</v>
      </c>
      <c r="I1879">
        <v>285.32209999999998</v>
      </c>
      <c r="J1879">
        <v>-209.63640000000001</v>
      </c>
      <c r="K1879">
        <v>1.1225969999999901</v>
      </c>
      <c r="L1879">
        <v>285.25259999999997</v>
      </c>
      <c r="M1879">
        <v>-0.99593169999999998</v>
      </c>
      <c r="N1879">
        <v>-4.8954089999999999E-3</v>
      </c>
      <c r="O1879">
        <v>8.9978920000000004E-2</v>
      </c>
      <c r="P1879">
        <v>-0.99423329999999999</v>
      </c>
      <c r="Q1879">
        <v>-8.0602789999999994E-2</v>
      </c>
      <c r="R1879">
        <v>7.0736220000000002E-2</v>
      </c>
      <c r="S1879">
        <v>-2.9903409999999999</v>
      </c>
      <c r="T1879">
        <v>-0.32991659999999901</v>
      </c>
      <c r="U1879">
        <v>2.5390630000000001E-2</v>
      </c>
      <c r="V1879">
        <v>-1.8507610000000001E-2</v>
      </c>
      <c r="W1879">
        <v>-7.5847990000000004E-2</v>
      </c>
      <c r="X1879">
        <v>0.99694760000000004</v>
      </c>
      <c r="Y1879">
        <v>-8.0513130000000002E-2</v>
      </c>
      <c r="Z1879">
        <v>-1.4071800000000001E-2</v>
      </c>
      <c r="AA1879">
        <v>0.99665420000000005</v>
      </c>
      <c r="AB1879">
        <v>21</v>
      </c>
      <c r="AC1879">
        <v>-9.9572000000000003</v>
      </c>
      <c r="AD1879">
        <v>-1.1225934315499999</v>
      </c>
      <c r="AE1879">
        <v>6.9500000000005002E-2</v>
      </c>
      <c r="AF1879">
        <v>-0.81635474478135395</v>
      </c>
      <c r="AG1879">
        <v>-1.1225934315499999</v>
      </c>
      <c r="AH1879">
        <v>9.7985226367298193</v>
      </c>
      <c r="AI1879">
        <v>96.513373668247496</v>
      </c>
      <c r="AJ1879">
        <v>94.762545267443599</v>
      </c>
      <c r="AK1879">
        <v>9.8963476568071798</v>
      </c>
      <c r="AL1879">
        <v>94.349947418196507</v>
      </c>
      <c r="AM1879">
        <v>91.063532476636098</v>
      </c>
      <c r="AN1879">
        <v>0.99999998318035599</v>
      </c>
    </row>
    <row r="1880" spans="1:40" x14ac:dyDescent="0.25">
      <c r="A1880" t="str">
        <f>"20190303154804339"</f>
        <v>20190303154804339</v>
      </c>
      <c r="B1880" t="str">
        <f>"1551599284332685"</f>
        <v>1551599284332685</v>
      </c>
      <c r="C1880" t="s">
        <v>40</v>
      </c>
      <c r="D1880">
        <v>6.0226129999999998</v>
      </c>
      <c r="E1880">
        <v>0.47289500000000001</v>
      </c>
      <c r="F1880" t="s">
        <v>52</v>
      </c>
      <c r="G1880">
        <v>-219.65049999999999</v>
      </c>
      <c r="H1880" s="1">
        <v>3.5987369999999999E-6</v>
      </c>
      <c r="I1880">
        <v>285.24689999999998</v>
      </c>
      <c r="J1880">
        <v>-209.85429999999999</v>
      </c>
      <c r="K1880">
        <v>1.1229709999999999</v>
      </c>
      <c r="L1880">
        <v>285.2681</v>
      </c>
      <c r="M1880">
        <v>-0.99632480000000001</v>
      </c>
      <c r="N1880">
        <v>-4.4924650000000002E-3</v>
      </c>
      <c r="O1880">
        <v>8.5537959999999996E-2</v>
      </c>
      <c r="P1880">
        <v>-0.9949479</v>
      </c>
      <c r="Q1880">
        <v>-8.1078079999999997E-2</v>
      </c>
      <c r="R1880">
        <v>5.9202589999999999E-2</v>
      </c>
      <c r="S1880">
        <v>-2.9903409999999999</v>
      </c>
      <c r="T1880">
        <v>-0.33522049999999998</v>
      </c>
      <c r="U1880">
        <v>-1.708984E-3</v>
      </c>
      <c r="V1880">
        <v>-2.5525659999999999E-2</v>
      </c>
      <c r="W1880">
        <v>-7.6801499999999995E-2</v>
      </c>
      <c r="X1880">
        <v>0.99671960000000004</v>
      </c>
      <c r="Y1880">
        <v>-8.5061239999999996E-2</v>
      </c>
      <c r="Z1880">
        <v>-1.411127E-2</v>
      </c>
      <c r="AA1880">
        <v>0.99627580000000004</v>
      </c>
      <c r="AB1880">
        <v>21</v>
      </c>
      <c r="AC1880">
        <v>-9.7962000000000007</v>
      </c>
      <c r="AD1880">
        <v>-1.122967401263</v>
      </c>
      <c r="AE1880">
        <v>-2.1200000000021601E-2</v>
      </c>
      <c r="AF1880">
        <v>-0.84793528080444502</v>
      </c>
      <c r="AG1880">
        <v>-1.122967401263</v>
      </c>
      <c r="AH1880">
        <v>9.6319122934511192</v>
      </c>
      <c r="AI1880">
        <v>96.624598402121705</v>
      </c>
      <c r="AJ1880">
        <v>95.031003793750003</v>
      </c>
      <c r="AK1880">
        <v>9.7341555593419091</v>
      </c>
      <c r="AL1880">
        <v>94.404739293540302</v>
      </c>
      <c r="AM1880">
        <v>91.467005345220599</v>
      </c>
      <c r="AN1880">
        <v>0.99999999537242201</v>
      </c>
    </row>
    <row r="1881" spans="1:40" x14ac:dyDescent="0.25">
      <c r="A1881" t="str">
        <f>"20190303154804362"</f>
        <v>20190303154804362</v>
      </c>
      <c r="B1881" t="str">
        <f>"1551599284352205"</f>
        <v>1551599284352205</v>
      </c>
      <c r="C1881" t="s">
        <v>40</v>
      </c>
      <c r="D1881">
        <v>6.0554350000000001</v>
      </c>
      <c r="E1881">
        <v>0.47282239999999998</v>
      </c>
      <c r="F1881" t="s">
        <v>52</v>
      </c>
      <c r="G1881">
        <v>-219.7868</v>
      </c>
      <c r="H1881" s="1">
        <v>3.6712530000000001E-6</v>
      </c>
      <c r="I1881">
        <v>285.14120000000003</v>
      </c>
      <c r="J1881">
        <v>-210.07149999999999</v>
      </c>
      <c r="K1881">
        <v>1.1232879999999901</v>
      </c>
      <c r="L1881">
        <v>285.2817</v>
      </c>
      <c r="M1881">
        <v>-0.99675780000000003</v>
      </c>
      <c r="N1881">
        <v>-4.1026810000000004E-3</v>
      </c>
      <c r="O1881">
        <v>8.0356579999999997E-2</v>
      </c>
      <c r="P1881">
        <v>-0.99533819999999995</v>
      </c>
      <c r="Q1881">
        <v>-8.5321110000000006E-2</v>
      </c>
      <c r="R1881">
        <v>4.4973159999999998E-2</v>
      </c>
      <c r="S1881">
        <v>-2.9899900000000001</v>
      </c>
      <c r="T1881">
        <v>-0.33804869999999998</v>
      </c>
      <c r="U1881">
        <v>-3.8208010000000001E-2</v>
      </c>
      <c r="V1881">
        <v>-3.4445700000000003E-2</v>
      </c>
      <c r="W1881">
        <v>-8.1538230000000003E-2</v>
      </c>
      <c r="X1881">
        <v>0.99607480000000004</v>
      </c>
      <c r="Y1881">
        <v>-9.2004680000000005E-2</v>
      </c>
      <c r="Z1881">
        <v>-1.4094499999999999E-2</v>
      </c>
      <c r="AA1881">
        <v>0.99565879999999995</v>
      </c>
      <c r="AB1881">
        <v>21</v>
      </c>
      <c r="AC1881">
        <v>-9.7153000000000098</v>
      </c>
      <c r="AD1881">
        <v>-1.12328432874699</v>
      </c>
      <c r="AE1881">
        <v>-0.14049999999997401</v>
      </c>
      <c r="AF1881">
        <v>-0.90859684677744001</v>
      </c>
      <c r="AG1881">
        <v>-1.12328432874699</v>
      </c>
      <c r="AH1881">
        <v>9.54502045183939</v>
      </c>
      <c r="AI1881">
        <v>96.681924165051399</v>
      </c>
      <c r="AJ1881">
        <v>95.437638908965198</v>
      </c>
      <c r="AK1881">
        <v>9.6537418309800795</v>
      </c>
      <c r="AL1881">
        <v>94.676988732312793</v>
      </c>
      <c r="AM1881">
        <v>91.980581249695405</v>
      </c>
      <c r="AN1881">
        <v>0.99999999819753105</v>
      </c>
    </row>
    <row r="1882" spans="1:40" x14ac:dyDescent="0.25">
      <c r="A1882" t="str">
        <f>"20190303154804383"</f>
        <v>20190303154804383</v>
      </c>
      <c r="B1882" t="str">
        <f>"1551599284372704"</f>
        <v>1551599284372704</v>
      </c>
      <c r="C1882" t="s">
        <v>40</v>
      </c>
      <c r="D1882">
        <v>6.0809040000000003</v>
      </c>
      <c r="E1882">
        <v>0.47272120000000001</v>
      </c>
      <c r="F1882" t="s">
        <v>52</v>
      </c>
      <c r="G1882">
        <v>-219.58269999999999</v>
      </c>
      <c r="H1882" s="1">
        <v>3.5626430000000001E-6</v>
      </c>
      <c r="I1882">
        <v>285.02449999999999</v>
      </c>
      <c r="J1882">
        <v>-210.28139999999999</v>
      </c>
      <c r="K1882">
        <v>1.1235459999999999</v>
      </c>
      <c r="L1882">
        <v>285.29309999999998</v>
      </c>
      <c r="M1882">
        <v>-0.99719610000000003</v>
      </c>
      <c r="N1882">
        <v>-3.7380500000000001E-3</v>
      </c>
      <c r="O1882">
        <v>7.4738819999999997E-2</v>
      </c>
      <c r="P1882">
        <v>-0.99530459999999998</v>
      </c>
      <c r="Q1882">
        <v>-9.1007959999999999E-2</v>
      </c>
      <c r="R1882">
        <v>3.2960789999999997E-2</v>
      </c>
      <c r="S1882">
        <v>-2.987457</v>
      </c>
      <c r="T1882">
        <v>-0.35282180000000002</v>
      </c>
      <c r="U1882">
        <v>-8.0780030000000003E-2</v>
      </c>
      <c r="V1882">
        <v>-4.0687040000000001E-2</v>
      </c>
      <c r="W1882">
        <v>-8.7679419999999994E-2</v>
      </c>
      <c r="X1882">
        <v>0.99531749999999997</v>
      </c>
      <c r="Y1882">
        <v>-0.1004598</v>
      </c>
      <c r="Z1882">
        <v>-1.461116E-2</v>
      </c>
      <c r="AA1882">
        <v>0.99483379999999999</v>
      </c>
      <c r="AB1882">
        <v>22</v>
      </c>
      <c r="AC1882">
        <v>-9.3012999999999906</v>
      </c>
      <c r="AD1882">
        <v>-1.123542437357</v>
      </c>
      <c r="AE1882">
        <v>-0.26859999999999201</v>
      </c>
      <c r="AF1882">
        <v>-0.94918361408380503</v>
      </c>
      <c r="AG1882">
        <v>-1.123542437357</v>
      </c>
      <c r="AH1882">
        <v>9.1222168587445402</v>
      </c>
      <c r="AI1882">
        <v>96.984170378317998</v>
      </c>
      <c r="AJ1882">
        <v>95.940355540520002</v>
      </c>
      <c r="AK1882">
        <v>9.2400290886853007</v>
      </c>
      <c r="AL1882">
        <v>95.030119697505398</v>
      </c>
      <c r="AM1882">
        <v>92.340859534776996</v>
      </c>
      <c r="AN1882">
        <v>1.0000000208608699</v>
      </c>
    </row>
    <row r="1883" spans="1:40" x14ac:dyDescent="0.25">
      <c r="A1883" t="str">
        <f>"20190303154804404"</f>
        <v>20190303154804404</v>
      </c>
      <c r="B1883" t="str">
        <f>"1551599284402957"</f>
        <v>1551599284402957</v>
      </c>
      <c r="C1883" t="s">
        <v>40</v>
      </c>
      <c r="D1883">
        <v>6.0685140000000004</v>
      </c>
      <c r="E1883">
        <v>0.4728696</v>
      </c>
      <c r="F1883" t="s">
        <v>52</v>
      </c>
      <c r="G1883">
        <v>-219.3349</v>
      </c>
      <c r="H1883" s="1">
        <v>3.4307679999999998E-6</v>
      </c>
      <c r="I1883">
        <v>284.93619999999999</v>
      </c>
      <c r="J1883">
        <v>-210.49039999999999</v>
      </c>
      <c r="K1883">
        <v>1.1237539999999999</v>
      </c>
      <c r="L1883">
        <v>285.30270000000002</v>
      </c>
      <c r="M1883">
        <v>-0.9976315</v>
      </c>
      <c r="N1883">
        <v>-3.3856720000000002E-3</v>
      </c>
      <c r="O1883">
        <v>6.8701970000000001E-2</v>
      </c>
      <c r="P1883">
        <v>-0.99507040000000002</v>
      </c>
      <c r="Q1883">
        <v>-9.5892130000000006E-2</v>
      </c>
      <c r="R1883">
        <v>2.5295890000000001E-2</v>
      </c>
      <c r="S1883">
        <v>-2.9841769999999999</v>
      </c>
      <c r="T1883">
        <v>-0.37033929999999998</v>
      </c>
      <c r="U1883">
        <v>-0.1176147</v>
      </c>
      <c r="V1883">
        <v>-4.2180229999999999E-2</v>
      </c>
      <c r="W1883">
        <v>-9.2960299999999996E-2</v>
      </c>
      <c r="X1883">
        <v>0.99477599999999999</v>
      </c>
      <c r="Y1883">
        <v>-0.1066011</v>
      </c>
      <c r="Z1883">
        <v>-1.5024350000000001E-2</v>
      </c>
      <c r="AA1883">
        <v>0.99418839999999997</v>
      </c>
      <c r="AB1883">
        <v>22</v>
      </c>
      <c r="AC1883">
        <v>-8.8445</v>
      </c>
      <c r="AD1883">
        <v>-1.123750569232</v>
      </c>
      <c r="AE1883">
        <v>-0.36650000000003002</v>
      </c>
      <c r="AF1883">
        <v>-0.95783591948045199</v>
      </c>
      <c r="AG1883">
        <v>-1.123750569232</v>
      </c>
      <c r="AH1883">
        <v>8.6588792304125697</v>
      </c>
      <c r="AI1883">
        <v>97.350185149050006</v>
      </c>
      <c r="AJ1883">
        <v>96.312334008800704</v>
      </c>
      <c r="AK1883">
        <v>8.7838746870254401</v>
      </c>
      <c r="AL1883">
        <v>95.333933836686995</v>
      </c>
      <c r="AM1883">
        <v>92.427986154342605</v>
      </c>
      <c r="AN1883">
        <v>1.00000003967747</v>
      </c>
    </row>
    <row r="1884" spans="1:40" x14ac:dyDescent="0.25">
      <c r="A1884" t="str">
        <f>"20190303154804428"</f>
        <v>20190303154804428</v>
      </c>
      <c r="B1884" t="str">
        <f>"1551599284422477"</f>
        <v>1551599284422477</v>
      </c>
      <c r="C1884" t="s">
        <v>40</v>
      </c>
      <c r="D1884">
        <v>6.1219590000000004</v>
      </c>
      <c r="E1884">
        <v>0.47995139999999997</v>
      </c>
      <c r="F1884" t="s">
        <v>52</v>
      </c>
      <c r="G1884">
        <v>-219.2141</v>
      </c>
      <c r="H1884" s="1">
        <v>3.3665150000000001E-6</v>
      </c>
      <c r="I1884">
        <v>284.89299999999997</v>
      </c>
      <c r="J1884">
        <v>-210.71639999999999</v>
      </c>
      <c r="K1884">
        <v>1.123966</v>
      </c>
      <c r="L1884">
        <v>285.31119999999999</v>
      </c>
      <c r="M1884">
        <v>-0.99808750000000002</v>
      </c>
      <c r="N1884">
        <v>-3.0228899999999999E-3</v>
      </c>
      <c r="O1884">
        <v>6.1743970000000002E-2</v>
      </c>
      <c r="P1884">
        <v>-0.9950059</v>
      </c>
      <c r="Q1884">
        <v>-9.7552920000000001E-2</v>
      </c>
      <c r="R1884">
        <v>2.1136680000000001E-2</v>
      </c>
      <c r="S1884">
        <v>-2.9814150000000001</v>
      </c>
      <c r="T1884">
        <v>-0.38405129999999998</v>
      </c>
      <c r="U1884">
        <v>-0.14001459999999999</v>
      </c>
      <c r="V1884">
        <v>-3.9309370000000003E-2</v>
      </c>
      <c r="W1884">
        <v>-9.4979439999999998E-2</v>
      </c>
      <c r="X1884">
        <v>0.9947028</v>
      </c>
      <c r="Y1884">
        <v>-0.1071077</v>
      </c>
      <c r="Z1884">
        <v>-1.475886E-2</v>
      </c>
      <c r="AA1884">
        <v>0.99413790000000002</v>
      </c>
      <c r="AB1884">
        <v>22</v>
      </c>
      <c r="AC1884">
        <v>-8.4977</v>
      </c>
      <c r="AD1884">
        <v>-1.1239626334849999</v>
      </c>
      <c r="AE1884">
        <v>-0.41820000000001201</v>
      </c>
      <c r="AF1884">
        <v>-0.92592671144259897</v>
      </c>
      <c r="AG1884">
        <v>-1.1239626334849999</v>
      </c>
      <c r="AH1884">
        <v>8.3106261949674405</v>
      </c>
      <c r="AI1884">
        <v>97.655378660318505</v>
      </c>
      <c r="AJ1884">
        <v>96.357378768639904</v>
      </c>
      <c r="AK1884">
        <v>8.4372471831108697</v>
      </c>
      <c r="AL1884">
        <v>95.450136512523599</v>
      </c>
      <c r="AM1884">
        <v>92.263077595119796</v>
      </c>
      <c r="AN1884">
        <v>0.99999999046017496</v>
      </c>
    </row>
    <row r="1885" spans="1:40" x14ac:dyDescent="0.25">
      <c r="A1885" t="str">
        <f>"20190303154804449"</f>
        <v>20190303154804449</v>
      </c>
      <c r="B1885" t="str">
        <f>"1551599284441997"</f>
        <v>1551599284441997</v>
      </c>
      <c r="C1885" t="s">
        <v>40</v>
      </c>
      <c r="D1885">
        <v>6.0934359999999996</v>
      </c>
      <c r="E1885">
        <v>0.4793926</v>
      </c>
      <c r="F1885" t="s">
        <v>52</v>
      </c>
      <c r="G1885">
        <v>-220.45570000000001</v>
      </c>
      <c r="H1885" s="1">
        <v>-1.2942949999999999E-6</v>
      </c>
      <c r="I1885">
        <v>284.99619999999999</v>
      </c>
      <c r="J1885">
        <v>-210.93639999999999</v>
      </c>
      <c r="K1885">
        <v>1.12416</v>
      </c>
      <c r="L1885">
        <v>285.3175</v>
      </c>
      <c r="M1885">
        <v>-0.99850410000000001</v>
      </c>
      <c r="N1885">
        <v>-2.696001E-3</v>
      </c>
      <c r="O1885">
        <v>5.4610239999999997E-2</v>
      </c>
      <c r="P1885">
        <v>-0.99508940000000001</v>
      </c>
      <c r="Q1885">
        <v>-9.7164029999999998E-2</v>
      </c>
      <c r="R1885">
        <v>1.8878229999999999E-2</v>
      </c>
      <c r="S1885">
        <v>-2.9833530000000001</v>
      </c>
      <c r="T1885">
        <v>-0.34429680000000001</v>
      </c>
      <c r="U1885">
        <v>-9.6496579999999998E-2</v>
      </c>
      <c r="V1885">
        <v>-3.440675E-2</v>
      </c>
      <c r="W1885">
        <v>-9.4882820000000007E-2</v>
      </c>
      <c r="X1885">
        <v>0.99489369999999999</v>
      </c>
      <c r="Y1885">
        <v>-8.5933099999999998E-2</v>
      </c>
      <c r="Z1885">
        <v>-1.1189350000000001E-2</v>
      </c>
      <c r="AA1885">
        <v>0.99623810000000002</v>
      </c>
      <c r="AB1885">
        <v>22</v>
      </c>
      <c r="AC1885">
        <v>-9.5193000000000101</v>
      </c>
      <c r="AD1885">
        <v>-1.1241612942949999</v>
      </c>
      <c r="AE1885">
        <v>-0.32130000000000702</v>
      </c>
      <c r="AF1885">
        <v>-0.82912394669474299</v>
      </c>
      <c r="AG1885">
        <v>-1.1241612942949999</v>
      </c>
      <c r="AH1885">
        <v>9.3572020480784399</v>
      </c>
      <c r="AI1885">
        <v>96.824119147110395</v>
      </c>
      <c r="AJ1885">
        <v>95.063645880899998</v>
      </c>
      <c r="AK1885">
        <v>9.4608887163488493</v>
      </c>
      <c r="AL1885">
        <v>95.444575295834895</v>
      </c>
      <c r="AM1885">
        <v>91.980690202500099</v>
      </c>
      <c r="AN1885">
        <v>1.0000000241382001</v>
      </c>
    </row>
    <row r="1886" spans="1:40" x14ac:dyDescent="0.25">
      <c r="A1886" t="str">
        <f>"20190303154804473"</f>
        <v>20190303154804473</v>
      </c>
      <c r="B1886" t="str">
        <f>"1551599284462493"</f>
        <v>1551599284462493</v>
      </c>
      <c r="C1886" t="s">
        <v>40</v>
      </c>
      <c r="D1886">
        <v>6.0576549999999996</v>
      </c>
      <c r="E1886">
        <v>0.48016829999999999</v>
      </c>
      <c r="F1886" t="s">
        <v>52</v>
      </c>
      <c r="G1886">
        <v>-220.7227</v>
      </c>
      <c r="H1886" s="1">
        <v>-1.152209E-6</v>
      </c>
      <c r="I1886">
        <v>284.96359999999999</v>
      </c>
      <c r="J1886">
        <v>-211.1634</v>
      </c>
      <c r="K1886">
        <v>1.1243590000000001</v>
      </c>
      <c r="L1886">
        <v>285.322</v>
      </c>
      <c r="M1886">
        <v>-0.99889589999999995</v>
      </c>
      <c r="N1886">
        <v>-2.3917000000000001E-3</v>
      </c>
      <c r="O1886">
        <v>4.6917260000000002E-2</v>
      </c>
      <c r="P1886">
        <v>-0.99540930000000005</v>
      </c>
      <c r="Q1886">
        <v>-9.402829E-2</v>
      </c>
      <c r="R1886">
        <v>1.7867709999999998E-2</v>
      </c>
      <c r="S1886">
        <v>-2.9833530000000001</v>
      </c>
      <c r="T1886">
        <v>-0.3427018</v>
      </c>
      <c r="U1886">
        <v>-0.10787960000000001</v>
      </c>
      <c r="V1886">
        <v>-2.7747770000000001E-2</v>
      </c>
      <c r="W1886">
        <v>-9.1988909999999993E-2</v>
      </c>
      <c r="X1886">
        <v>0.99537339999999996</v>
      </c>
      <c r="Y1886">
        <v>-8.2137509999999997E-2</v>
      </c>
      <c r="Z1886">
        <v>-1.0057099999999999E-2</v>
      </c>
      <c r="AA1886">
        <v>0.99657030000000002</v>
      </c>
      <c r="AB1886">
        <v>23</v>
      </c>
      <c r="AC1886">
        <v>-9.5593000000000004</v>
      </c>
      <c r="AD1886">
        <v>-1.1243601522090001</v>
      </c>
      <c r="AE1886">
        <v>-0.35840000000001698</v>
      </c>
      <c r="AF1886">
        <v>-0.79551282020442304</v>
      </c>
      <c r="AG1886">
        <v>-1.1243601522090001</v>
      </c>
      <c r="AH1886">
        <v>9.4020689272085196</v>
      </c>
      <c r="AI1886">
        <v>96.795362505879297</v>
      </c>
      <c r="AJ1886">
        <v>94.836299923517601</v>
      </c>
      <c r="AK1886">
        <v>9.5024168773509903</v>
      </c>
      <c r="AL1886">
        <v>95.2780377126834</v>
      </c>
      <c r="AM1886">
        <v>91.5968062618429</v>
      </c>
      <c r="AN1886">
        <v>1.0000000518652501</v>
      </c>
    </row>
    <row r="1887" spans="1:40" x14ac:dyDescent="0.25">
      <c r="A1887" t="str">
        <f>"20190303154804494"</f>
        <v>20190303154804494</v>
      </c>
      <c r="B1887" t="str">
        <f>"1551599284482013"</f>
        <v>1551599284482013</v>
      </c>
      <c r="C1887" t="s">
        <v>40</v>
      </c>
      <c r="D1887">
        <v>6.122414</v>
      </c>
      <c r="E1887">
        <v>0.480682</v>
      </c>
      <c r="F1887" t="s">
        <v>52</v>
      </c>
      <c r="G1887">
        <v>-221.4074</v>
      </c>
      <c r="H1887" s="1">
        <v>-7.8784639999999997E-7</v>
      </c>
      <c r="I1887">
        <v>284.96289999999999</v>
      </c>
      <c r="J1887">
        <v>-211.38740000000001</v>
      </c>
      <c r="K1887">
        <v>1.124557</v>
      </c>
      <c r="L1887">
        <v>285.32440000000003</v>
      </c>
      <c r="M1887">
        <v>-0.99923569999999995</v>
      </c>
      <c r="N1887">
        <v>-2.12627E-3</v>
      </c>
      <c r="O1887">
        <v>3.9033949999999998E-2</v>
      </c>
      <c r="P1887">
        <v>-0.99559350000000002</v>
      </c>
      <c r="Q1887">
        <v>-9.2338989999999996E-2</v>
      </c>
      <c r="R1887">
        <v>1.6350030000000002E-2</v>
      </c>
      <c r="S1887">
        <v>-2.9848020000000002</v>
      </c>
      <c r="T1887">
        <v>-0.32760719999999999</v>
      </c>
      <c r="U1887">
        <v>-0.1046448</v>
      </c>
      <c r="V1887">
        <v>-2.1385379999999999E-2</v>
      </c>
      <c r="W1887">
        <v>-9.0498919999999997E-2</v>
      </c>
      <c r="X1887">
        <v>0.99566690000000002</v>
      </c>
      <c r="Y1887">
        <v>-7.3347250000000003E-2</v>
      </c>
      <c r="Z1887">
        <v>-8.2775690000000002E-3</v>
      </c>
      <c r="AA1887">
        <v>0.99727209999999999</v>
      </c>
      <c r="AB1887">
        <v>23</v>
      </c>
      <c r="AC1887">
        <v>-10.0199999999999</v>
      </c>
      <c r="AD1887">
        <v>-1.1245577878463999</v>
      </c>
      <c r="AE1887">
        <v>-0.36150000000003402</v>
      </c>
      <c r="AF1887">
        <v>-0.742998975457551</v>
      </c>
      <c r="AG1887">
        <v>-1.1245577878463999</v>
      </c>
      <c r="AH1887">
        <v>9.8740423071953103</v>
      </c>
      <c r="AI1887">
        <v>96.479276903825493</v>
      </c>
      <c r="AJ1887">
        <v>94.303265860360099</v>
      </c>
      <c r="AK1887">
        <v>9.9656103265188793</v>
      </c>
      <c r="AL1887">
        <v>95.1923103252647</v>
      </c>
      <c r="AM1887">
        <v>91.230435249634397</v>
      </c>
      <c r="AN1887">
        <v>0.99999998237725995</v>
      </c>
    </row>
    <row r="1888" spans="1:40" x14ac:dyDescent="0.25">
      <c r="A1888" t="str">
        <f>"20190303154804517"</f>
        <v>20190303154804517</v>
      </c>
      <c r="B1888" t="str">
        <f>"1551599284512269"</f>
        <v>1551599284512269</v>
      </c>
      <c r="C1888" t="s">
        <v>40</v>
      </c>
      <c r="D1888">
        <v>6.1356149999999996</v>
      </c>
      <c r="E1888">
        <v>0.48055789999999998</v>
      </c>
      <c r="F1888" t="s">
        <v>52</v>
      </c>
      <c r="G1888">
        <v>-221.9067</v>
      </c>
      <c r="H1888" s="1">
        <v>-5.2215860000000002E-7</v>
      </c>
      <c r="I1888">
        <v>284.95429999999999</v>
      </c>
      <c r="J1888">
        <v>-211.6164</v>
      </c>
      <c r="K1888">
        <v>1.1247290000000001</v>
      </c>
      <c r="L1888">
        <v>285.32479999999998</v>
      </c>
      <c r="M1888">
        <v>-0.99952660000000004</v>
      </c>
      <c r="N1888">
        <v>-1.889267E-3</v>
      </c>
      <c r="O1888">
        <v>3.0708880000000001E-2</v>
      </c>
      <c r="P1888">
        <v>-0.99527670000000001</v>
      </c>
      <c r="Q1888">
        <v>-9.6086279999999996E-2</v>
      </c>
      <c r="R1888">
        <v>1.384882E-2</v>
      </c>
      <c r="S1888">
        <v>-2.9853670000000001</v>
      </c>
      <c r="T1888">
        <v>-0.31915009999999999</v>
      </c>
      <c r="U1888">
        <v>-0.1050415</v>
      </c>
      <c r="V1888">
        <v>-1.5481770000000001E-2</v>
      </c>
      <c r="W1888">
        <v>-9.4417559999999998E-2</v>
      </c>
      <c r="X1888">
        <v>0.99541230000000003</v>
      </c>
      <c r="Y1888">
        <v>-6.5290130000000002E-2</v>
      </c>
      <c r="Z1888">
        <v>-6.7556179999999997E-3</v>
      </c>
      <c r="AA1888">
        <v>0.99784340000000005</v>
      </c>
      <c r="AB1888">
        <v>23</v>
      </c>
      <c r="AC1888">
        <v>-10.2903</v>
      </c>
      <c r="AD1888">
        <v>-1.1247295221586</v>
      </c>
      <c r="AE1888">
        <v>-0.370499999999992</v>
      </c>
      <c r="AF1888">
        <v>-0.678237346447635</v>
      </c>
      <c r="AG1888">
        <v>-1.1247295221586</v>
      </c>
      <c r="AH1888">
        <v>10.1529342823919</v>
      </c>
      <c r="AI1888">
        <v>96.307437066149603</v>
      </c>
      <c r="AJ1888">
        <v>93.8218002735114</v>
      </c>
      <c r="AK1888">
        <v>10.237533733214301</v>
      </c>
      <c r="AL1888">
        <v>95.417797755993803</v>
      </c>
      <c r="AM1888">
        <v>90.891056465627699</v>
      </c>
      <c r="AN1888">
        <v>1.0000000039149799</v>
      </c>
    </row>
    <row r="1889" spans="1:40" x14ac:dyDescent="0.25">
      <c r="A1889" t="str">
        <f>"20190303154804542"</f>
        <v>20190303154804542</v>
      </c>
      <c r="B1889" t="str">
        <f>"1551599284532765"</f>
        <v>1551599284532765</v>
      </c>
      <c r="C1889" t="s">
        <v>40</v>
      </c>
      <c r="D1889">
        <v>6.16195</v>
      </c>
      <c r="E1889">
        <v>0.4807572</v>
      </c>
      <c r="F1889" t="s">
        <v>52</v>
      </c>
      <c r="G1889">
        <v>-221.74109999999999</v>
      </c>
      <c r="H1889" s="1">
        <v>-6.1023349999999997E-7</v>
      </c>
      <c r="I1889">
        <v>284.93970000000002</v>
      </c>
      <c r="J1889">
        <v>-211.8698</v>
      </c>
      <c r="K1889">
        <v>1.1248959999999999</v>
      </c>
      <c r="L1889">
        <v>285.3227</v>
      </c>
      <c r="M1889">
        <v>-0.99977340000000003</v>
      </c>
      <c r="N1889">
        <v>-1.6624929999999999E-3</v>
      </c>
      <c r="O1889">
        <v>2.1224440000000001E-2</v>
      </c>
      <c r="P1889">
        <v>-0.99480089999999999</v>
      </c>
      <c r="Q1889">
        <v>-0.1016195</v>
      </c>
      <c r="R1889">
        <v>6.7037900000000003E-3</v>
      </c>
      <c r="S1889">
        <v>-2.9838260000000001</v>
      </c>
      <c r="T1889">
        <v>-0.33146320000000001</v>
      </c>
      <c r="U1889">
        <v>-0.113494899999999</v>
      </c>
      <c r="V1889">
        <v>-1.304227E-2</v>
      </c>
      <c r="W1889">
        <v>-0.1001536</v>
      </c>
      <c r="X1889">
        <v>0.99488650000000001</v>
      </c>
      <c r="Y1889">
        <v>-5.8717110000000003E-2</v>
      </c>
      <c r="Z1889">
        <v>-5.6137779999999998E-3</v>
      </c>
      <c r="AA1889">
        <v>0.99825889999999995</v>
      </c>
      <c r="AB1889">
        <v>23</v>
      </c>
      <c r="AC1889">
        <v>-9.8712999999999909</v>
      </c>
      <c r="AD1889">
        <v>-1.1248966102334901</v>
      </c>
      <c r="AE1889">
        <v>-0.38299999999998102</v>
      </c>
      <c r="AF1889">
        <v>-0.58484343773705405</v>
      </c>
      <c r="AG1889">
        <v>-1.1248966102334901</v>
      </c>
      <c r="AH1889">
        <v>9.7347219701787804</v>
      </c>
      <c r="AI1889">
        <v>96.579823723368193</v>
      </c>
      <c r="AJ1889">
        <v>93.438088138928293</v>
      </c>
      <c r="AK1889">
        <v>9.8169366946650101</v>
      </c>
      <c r="AL1889">
        <v>95.748015535864894</v>
      </c>
      <c r="AM1889">
        <v>90.751064793597195</v>
      </c>
      <c r="AN1889">
        <v>0.99999999614098101</v>
      </c>
    </row>
    <row r="1890" spans="1:40" x14ac:dyDescent="0.25">
      <c r="A1890" t="str">
        <f>"20190303154804563"</f>
        <v>20190303154804563</v>
      </c>
      <c r="B1890" t="str">
        <f>"1551599284552285"</f>
        <v>1551599284552285</v>
      </c>
      <c r="C1890" t="s">
        <v>40</v>
      </c>
      <c r="D1890">
        <v>6.1377730000000001</v>
      </c>
      <c r="E1890">
        <v>0.4802941</v>
      </c>
      <c r="F1890" t="s">
        <v>42</v>
      </c>
      <c r="G1890">
        <v>-212.786</v>
      </c>
      <c r="H1890">
        <v>1.0188680000000001</v>
      </c>
      <c r="I1890">
        <v>285.28190000000001</v>
      </c>
      <c r="J1890">
        <v>-212.09289999999999</v>
      </c>
      <c r="K1890">
        <v>1.1250389999999999</v>
      </c>
      <c r="L1890">
        <v>285.31849999999997</v>
      </c>
      <c r="M1890">
        <v>-0.99991859999999999</v>
      </c>
      <c r="N1890">
        <v>-1.491322E-3</v>
      </c>
      <c r="O1890">
        <v>1.267863E-2</v>
      </c>
      <c r="P1890">
        <v>-0.99465700000000001</v>
      </c>
      <c r="Q1890">
        <v>-0.1032203</v>
      </c>
      <c r="R1890">
        <v>-1.8006179999999999E-3</v>
      </c>
      <c r="S1890">
        <v>-2.9812470000000002</v>
      </c>
      <c r="T1890">
        <v>-0.3458812</v>
      </c>
      <c r="U1890">
        <v>-0.13314819999999999</v>
      </c>
      <c r="V1890">
        <v>-1.2977300000000001E-2</v>
      </c>
      <c r="W1890">
        <v>-0.1019298</v>
      </c>
      <c r="X1890">
        <v>0.99470689999999995</v>
      </c>
      <c r="Y1890">
        <v>-5.6811849999999997E-2</v>
      </c>
      <c r="Z1890">
        <v>-4.7720769999999996E-3</v>
      </c>
      <c r="AA1890">
        <v>0.99837350000000002</v>
      </c>
      <c r="AB1890">
        <v>24</v>
      </c>
      <c r="AC1890">
        <v>-0.69309999999998695</v>
      </c>
      <c r="AD1890">
        <v>-0.106170999999999</v>
      </c>
      <c r="AE1890">
        <v>-3.6599999999964397E-2</v>
      </c>
      <c r="AF1890">
        <v>-4.4346920090121603E-2</v>
      </c>
      <c r="AG1890">
        <v>-0.106170999999999</v>
      </c>
      <c r="AH1890">
        <v>0.67674461717309797</v>
      </c>
      <c r="AI1890">
        <v>98.897388265485304</v>
      </c>
      <c r="AJ1890">
        <v>93.749218897155302</v>
      </c>
      <c r="AK1890">
        <v>0.68645626767860601</v>
      </c>
      <c r="AL1890">
        <v>95.850308063686697</v>
      </c>
      <c r="AM1890">
        <v>90.747458711898503</v>
      </c>
      <c r="AN1890">
        <v>0.99999995567546895</v>
      </c>
    </row>
    <row r="1891" spans="1:40" x14ac:dyDescent="0.25">
      <c r="A1891" t="str">
        <f>"20190303154804586"</f>
        <v>20190303154804586</v>
      </c>
      <c r="B1891" t="str">
        <f>"1551599284582541"</f>
        <v>1551599284582541</v>
      </c>
      <c r="C1891" t="s">
        <v>40</v>
      </c>
      <c r="D1891">
        <v>6.1591259999999997</v>
      </c>
      <c r="E1891">
        <v>0.48029430000000001</v>
      </c>
      <c r="F1891" t="s">
        <v>42</v>
      </c>
      <c r="G1891">
        <v>-212.9956</v>
      </c>
      <c r="H1891">
        <v>1.017609</v>
      </c>
      <c r="I1891">
        <v>285.26929999999999</v>
      </c>
      <c r="J1891">
        <v>-212.33670000000001</v>
      </c>
      <c r="K1891">
        <v>1.125186</v>
      </c>
      <c r="L1891">
        <v>285.3116</v>
      </c>
      <c r="M1891">
        <v>-0.99999389999999999</v>
      </c>
      <c r="N1891">
        <v>-1.3263070000000001E-3</v>
      </c>
      <c r="O1891">
        <v>3.2073029999999999E-3</v>
      </c>
      <c r="P1891">
        <v>-0.99482360000000003</v>
      </c>
      <c r="Q1891">
        <v>-0.10112</v>
      </c>
      <c r="R1891">
        <v>-1.002959E-2</v>
      </c>
      <c r="S1891">
        <v>-2.979034</v>
      </c>
      <c r="T1891">
        <v>-0.35444140000000002</v>
      </c>
      <c r="U1891">
        <v>-0.1620789</v>
      </c>
      <c r="V1891">
        <v>-1.1779619999999999E-2</v>
      </c>
      <c r="W1891">
        <v>-9.9980840000000001E-2</v>
      </c>
      <c r="X1891">
        <v>0.99491969999999996</v>
      </c>
      <c r="Y1891">
        <v>-5.7100310000000001E-2</v>
      </c>
      <c r="Z1891">
        <v>-3.796228E-3</v>
      </c>
      <c r="AA1891">
        <v>0.99836119999999995</v>
      </c>
      <c r="AB1891">
        <v>24</v>
      </c>
      <c r="AC1891">
        <v>-0.65889999999998805</v>
      </c>
      <c r="AD1891">
        <v>-0.10757700000000001</v>
      </c>
      <c r="AE1891">
        <v>-4.2300000000011502E-2</v>
      </c>
      <c r="AF1891">
        <v>-4.3264537530269202E-2</v>
      </c>
      <c r="AG1891">
        <v>-0.10757700000000001</v>
      </c>
      <c r="AH1891">
        <v>0.64172513605965797</v>
      </c>
      <c r="AI1891">
        <v>99.495256513312597</v>
      </c>
      <c r="AJ1891">
        <v>93.856993749210005</v>
      </c>
      <c r="AK1891">
        <v>0.65211638638167502</v>
      </c>
      <c r="AL1891">
        <v>95.738066765617404</v>
      </c>
      <c r="AM1891">
        <v>90.678337132140996</v>
      </c>
      <c r="AN1891">
        <v>1.00000006863126</v>
      </c>
    </row>
    <row r="1892" spans="1:40" x14ac:dyDescent="0.25">
      <c r="A1892" t="str">
        <f>"20190303154804606"</f>
        <v>20190303154804606</v>
      </c>
      <c r="B1892" t="str">
        <f>"1551599284602061"</f>
        <v>1551599284602061</v>
      </c>
      <c r="C1892" t="s">
        <v>40</v>
      </c>
      <c r="D1892">
        <v>6.1025530000000003</v>
      </c>
      <c r="E1892">
        <v>0.4801821</v>
      </c>
      <c r="F1892" t="s">
        <v>42</v>
      </c>
      <c r="G1892">
        <v>-213.21109999999999</v>
      </c>
      <c r="H1892">
        <v>1.0227930000000001</v>
      </c>
      <c r="I1892">
        <v>285.25689999999997</v>
      </c>
      <c r="J1892">
        <v>-212.56100000000001</v>
      </c>
      <c r="K1892">
        <v>1.1253029999999999</v>
      </c>
      <c r="L1892">
        <v>285.30329999999998</v>
      </c>
      <c r="M1892">
        <v>-0.99998379999999998</v>
      </c>
      <c r="N1892">
        <v>-1.1913200000000001E-3</v>
      </c>
      <c r="O1892">
        <v>-5.5691600000000001E-3</v>
      </c>
      <c r="P1892">
        <v>-0.99529080000000003</v>
      </c>
      <c r="Q1892">
        <v>-9.5580070000000003E-2</v>
      </c>
      <c r="R1892">
        <v>-1.6140390000000001E-2</v>
      </c>
      <c r="S1892">
        <v>-2.978256</v>
      </c>
      <c r="T1892">
        <v>-0.34906140000000002</v>
      </c>
      <c r="U1892">
        <v>-0.18634029999999999</v>
      </c>
      <c r="V1892">
        <v>-9.2122269999999999E-3</v>
      </c>
      <c r="W1892">
        <v>-9.4539429999999994E-2</v>
      </c>
      <c r="X1892">
        <v>0.99547850000000004</v>
      </c>
      <c r="Y1892">
        <v>-5.6533380000000001E-2</v>
      </c>
      <c r="Z1892">
        <v>-2.6890479999999999E-3</v>
      </c>
      <c r="AA1892">
        <v>0.99839710000000004</v>
      </c>
      <c r="AB1892">
        <v>24</v>
      </c>
      <c r="AC1892">
        <v>-0.650100000000009</v>
      </c>
      <c r="AD1892">
        <v>-0.10251</v>
      </c>
      <c r="AE1892">
        <v>-4.6400000000005499E-2</v>
      </c>
      <c r="AF1892">
        <v>-4.1746051327265797E-2</v>
      </c>
      <c r="AG1892">
        <v>-0.10251</v>
      </c>
      <c r="AH1892">
        <v>0.634648367816112</v>
      </c>
      <c r="AI1892">
        <v>99.155862744093398</v>
      </c>
      <c r="AJ1892">
        <v>93.763393876339705</v>
      </c>
      <c r="AK1892">
        <v>0.64422789731047303</v>
      </c>
      <c r="AL1892">
        <v>95.424811753144198</v>
      </c>
      <c r="AM1892">
        <v>90.530203977913203</v>
      </c>
      <c r="AN1892">
        <v>1.0000000064566299</v>
      </c>
    </row>
    <row r="1893" spans="1:40" x14ac:dyDescent="0.25">
      <c r="A1893" t="str">
        <f>"20190303154804631"</f>
        <v>20190303154804631</v>
      </c>
      <c r="B1893" t="str">
        <f>"1551599284622557"</f>
        <v>1551599284622557</v>
      </c>
      <c r="C1893" t="s">
        <v>40</v>
      </c>
      <c r="D1893">
        <v>6.1544400000000001</v>
      </c>
      <c r="E1893">
        <v>0.4804158</v>
      </c>
      <c r="F1893" t="s">
        <v>42</v>
      </c>
      <c r="G1893">
        <v>-213.43639999999999</v>
      </c>
      <c r="H1893">
        <v>1.027439</v>
      </c>
      <c r="I1893">
        <v>285.24290000000002</v>
      </c>
      <c r="J1893">
        <v>-212.81829999999999</v>
      </c>
      <c r="K1893">
        <v>1.1253709999999999</v>
      </c>
      <c r="L1893">
        <v>285.29129999999998</v>
      </c>
      <c r="M1893">
        <v>-0.99987700000000002</v>
      </c>
      <c r="N1893">
        <v>-1.053865E-3</v>
      </c>
      <c r="O1893">
        <v>-1.565304E-2</v>
      </c>
      <c r="P1893">
        <v>-0.99545870000000003</v>
      </c>
      <c r="Q1893">
        <v>-9.2094980000000007E-2</v>
      </c>
      <c r="R1893">
        <v>-2.4105910000000001E-2</v>
      </c>
      <c r="S1893">
        <v>-2.9788359999999998</v>
      </c>
      <c r="T1893">
        <v>-0.33326470000000002</v>
      </c>
      <c r="U1893">
        <v>-0.2057495</v>
      </c>
      <c r="V1893">
        <v>-7.1676500000000002E-3</v>
      </c>
      <c r="W1893">
        <v>-9.1162129999999994E-2</v>
      </c>
      <c r="X1893">
        <v>0.99581030000000004</v>
      </c>
      <c r="Y1893">
        <v>-5.3044910000000001E-2</v>
      </c>
      <c r="Z1893">
        <v>-1.255621E-3</v>
      </c>
      <c r="AA1893">
        <v>0.99859140000000002</v>
      </c>
      <c r="AB1893">
        <v>24</v>
      </c>
      <c r="AC1893">
        <v>-0.61809999999999798</v>
      </c>
      <c r="AD1893">
        <v>-9.7931999999999894E-2</v>
      </c>
      <c r="AE1893">
        <v>-4.8399999999958199E-2</v>
      </c>
      <c r="AF1893">
        <v>-3.7776386708576998E-2</v>
      </c>
      <c r="AG1893">
        <v>-9.7931999999999894E-2</v>
      </c>
      <c r="AH1893">
        <v>0.60371887140148195</v>
      </c>
      <c r="AI1893">
        <v>99.196275025994694</v>
      </c>
      <c r="AJ1893">
        <v>93.580489874441994</v>
      </c>
      <c r="AK1893">
        <v>0.61277582173502498</v>
      </c>
      <c r="AL1893">
        <v>95.230466930187603</v>
      </c>
      <c r="AM1893">
        <v>90.412396821048603</v>
      </c>
      <c r="AN1893">
        <v>1.00000003136937</v>
      </c>
    </row>
    <row r="1894" spans="1:40" x14ac:dyDescent="0.25">
      <c r="A1894" t="str">
        <f>"20190303154804652"</f>
        <v>20190303154804652</v>
      </c>
      <c r="B1894" t="str">
        <f>"1551599284642078"</f>
        <v>1551599284642078</v>
      </c>
      <c r="C1894" t="s">
        <v>40</v>
      </c>
      <c r="D1894">
        <v>6.1200210000000004</v>
      </c>
      <c r="E1894">
        <v>0.48057179999999999</v>
      </c>
      <c r="F1894" t="s">
        <v>52</v>
      </c>
      <c r="G1894">
        <v>-223.26230000000001</v>
      </c>
      <c r="H1894" s="1">
        <v>1.9925240000000001E-7</v>
      </c>
      <c r="I1894">
        <v>284.49220000000003</v>
      </c>
      <c r="J1894">
        <v>-213.0505</v>
      </c>
      <c r="K1894">
        <v>1.1253690000000001</v>
      </c>
      <c r="L1894">
        <v>285.2783</v>
      </c>
      <c r="M1894">
        <v>-0.99969430000000004</v>
      </c>
      <c r="N1894">
        <v>-9.4222559999999997E-4</v>
      </c>
      <c r="O1894">
        <v>-2.4708540000000001E-2</v>
      </c>
      <c r="P1894">
        <v>-0.99490109999999998</v>
      </c>
      <c r="Q1894">
        <v>-9.5595579999999999E-2</v>
      </c>
      <c r="R1894">
        <v>-3.2149749999999998E-2</v>
      </c>
      <c r="S1894">
        <v>-2.9784700000000002</v>
      </c>
      <c r="T1894">
        <v>-0.32093699999999997</v>
      </c>
      <c r="U1894">
        <v>-0.22787479999999999</v>
      </c>
      <c r="V1894">
        <v>-6.1399209999999996E-3</v>
      </c>
      <c r="W1894">
        <v>-9.4760159999999996E-2</v>
      </c>
      <c r="X1894">
        <v>0.99548119999999995</v>
      </c>
      <c r="Y1894">
        <v>-5.1465509999999999E-2</v>
      </c>
      <c r="Z1894">
        <v>-1.5824989999999999E-4</v>
      </c>
      <c r="AA1894">
        <v>0.99867479999999997</v>
      </c>
      <c r="AB1894">
        <v>24</v>
      </c>
      <c r="AC1894">
        <v>-10.2118</v>
      </c>
      <c r="AD1894">
        <v>-1.1253688007475999</v>
      </c>
      <c r="AE1894">
        <v>-0.78609999999997604</v>
      </c>
      <c r="AF1894">
        <v>-0.52717657151473696</v>
      </c>
      <c r="AG1894">
        <v>-1.1253688007475999</v>
      </c>
      <c r="AH1894">
        <v>10.1060937150818</v>
      </c>
      <c r="AI1894">
        <v>96.345464322629297</v>
      </c>
      <c r="AJ1894">
        <v>92.986083554955499</v>
      </c>
      <c r="AK1894">
        <v>10.182214899188899</v>
      </c>
      <c r="AL1894">
        <v>95.437515701692206</v>
      </c>
      <c r="AM1894">
        <v>90.353383970520099</v>
      </c>
      <c r="AN1894">
        <v>1.0000000030532701</v>
      </c>
    </row>
    <row r="1895" spans="1:40" x14ac:dyDescent="0.25">
      <c r="A1895" t="str">
        <f>"20190303154804674"</f>
        <v>20190303154804674</v>
      </c>
      <c r="B1895" t="str">
        <f>"1551599284662577"</f>
        <v>1551599284662577</v>
      </c>
      <c r="C1895" t="s">
        <v>40</v>
      </c>
      <c r="D1895">
        <v>6.1572899999999997</v>
      </c>
      <c r="E1895">
        <v>0.480321</v>
      </c>
      <c r="F1895" t="s">
        <v>52</v>
      </c>
      <c r="G1895">
        <v>-223.17920000000001</v>
      </c>
      <c r="H1895" s="1">
        <v>1.55046E-7</v>
      </c>
      <c r="I1895">
        <v>284.42419999999998</v>
      </c>
      <c r="J1895">
        <v>-213.2912</v>
      </c>
      <c r="K1895">
        <v>1.1253280000000001</v>
      </c>
      <c r="L1895">
        <v>285.26280000000003</v>
      </c>
      <c r="M1895">
        <v>-0.99942200000000003</v>
      </c>
      <c r="N1895">
        <v>-8.3581780000000004E-4</v>
      </c>
      <c r="O1895">
        <v>-3.3985719999999997E-2</v>
      </c>
      <c r="P1895">
        <v>-0.99384969999999995</v>
      </c>
      <c r="Q1895">
        <v>-0.10328329999999999</v>
      </c>
      <c r="R1895">
        <v>-3.9945799999999997E-2</v>
      </c>
      <c r="S1895">
        <v>-2.975479</v>
      </c>
      <c r="T1895">
        <v>-0.33059470000000002</v>
      </c>
      <c r="U1895">
        <v>-0.25091550000000001</v>
      </c>
      <c r="V1895">
        <v>-4.608343E-3</v>
      </c>
      <c r="W1895">
        <v>-0.1025326</v>
      </c>
      <c r="X1895">
        <v>0.99471900000000002</v>
      </c>
      <c r="Y1895">
        <v>-5.0012099999999997E-2</v>
      </c>
      <c r="Z1895">
        <v>9.4172380000000005E-4</v>
      </c>
      <c r="AA1895">
        <v>0.99874819999999997</v>
      </c>
      <c r="AB1895">
        <v>25</v>
      </c>
      <c r="AC1895">
        <v>-9.8879999999999999</v>
      </c>
      <c r="AD1895">
        <v>-1.1253278449540001</v>
      </c>
      <c r="AE1895">
        <v>-0.83860000000004198</v>
      </c>
      <c r="AF1895">
        <v>-0.495690253986528</v>
      </c>
      <c r="AG1895">
        <v>-1.1253278449540001</v>
      </c>
      <c r="AH1895">
        <v>9.7849573371024299</v>
      </c>
      <c r="AI1895">
        <v>96.552201365819897</v>
      </c>
      <c r="AJ1895">
        <v>92.900033284546197</v>
      </c>
      <c r="AK1895">
        <v>9.8619197763640702</v>
      </c>
      <c r="AL1895">
        <v>95.885027431847504</v>
      </c>
      <c r="AM1895">
        <v>90.265438496158197</v>
      </c>
      <c r="AN1895">
        <v>1.00000002992448</v>
      </c>
    </row>
    <row r="1896" spans="1:40" x14ac:dyDescent="0.25">
      <c r="A1896" t="str">
        <f>"20190303154804696"</f>
        <v>20190303154804696</v>
      </c>
      <c r="B1896" t="str">
        <f>"1551599284692829"</f>
        <v>1551599284692829</v>
      </c>
      <c r="C1896" t="s">
        <v>40</v>
      </c>
      <c r="D1896">
        <v>6.1389189999999996</v>
      </c>
      <c r="E1896">
        <v>0.48042180000000001</v>
      </c>
      <c r="F1896" t="s">
        <v>42</v>
      </c>
      <c r="G1896">
        <v>-214.08949999999999</v>
      </c>
      <c r="H1896">
        <v>1.030049</v>
      </c>
      <c r="I1896">
        <v>285.18869999999998</v>
      </c>
      <c r="J1896">
        <v>-213.536</v>
      </c>
      <c r="K1896">
        <v>1.125248</v>
      </c>
      <c r="L1896">
        <v>285.245</v>
      </c>
      <c r="M1896">
        <v>-0.99906459999999997</v>
      </c>
      <c r="N1896">
        <v>-7.3484329999999999E-4</v>
      </c>
      <c r="O1896">
        <v>-4.323958E-2</v>
      </c>
      <c r="P1896">
        <v>-0.9928669</v>
      </c>
      <c r="Q1896">
        <v>-0.1096953</v>
      </c>
      <c r="R1896">
        <v>-4.6714949999999998E-2</v>
      </c>
      <c r="S1896">
        <v>-2.9705659999999998</v>
      </c>
      <c r="T1896">
        <v>-0.35499849999999999</v>
      </c>
      <c r="U1896">
        <v>-0.27633669999999999</v>
      </c>
      <c r="V1896">
        <v>-2.1110009999999999E-3</v>
      </c>
      <c r="W1896">
        <v>-0.1090086</v>
      </c>
      <c r="X1896">
        <v>0.99403859999999999</v>
      </c>
      <c r="Y1896">
        <v>-4.9434970000000002E-2</v>
      </c>
      <c r="Z1896">
        <v>2.1472829999999998E-3</v>
      </c>
      <c r="AA1896">
        <v>0.99877510000000003</v>
      </c>
      <c r="AB1896">
        <v>25</v>
      </c>
      <c r="AC1896">
        <v>-0.55350000000001298</v>
      </c>
      <c r="AD1896">
        <v>-9.5199000000000006E-2</v>
      </c>
      <c r="AE1896">
        <v>-5.63000000000215E-2</v>
      </c>
      <c r="AF1896">
        <v>-3.1395012651775599E-2</v>
      </c>
      <c r="AG1896">
        <v>-9.5199000000000006E-2</v>
      </c>
      <c r="AH1896">
        <v>0.53961715555093404</v>
      </c>
      <c r="AI1896">
        <v>99.988592136614798</v>
      </c>
      <c r="AJ1896">
        <v>93.329724064037293</v>
      </c>
      <c r="AK1896">
        <v>0.54884895097402397</v>
      </c>
      <c r="AL1896">
        <v>96.258168650947297</v>
      </c>
      <c r="AM1896">
        <v>90.1216766290772</v>
      </c>
      <c r="AN1896">
        <v>1.0000000347445701</v>
      </c>
    </row>
    <row r="1897" spans="1:40" x14ac:dyDescent="0.25">
      <c r="A1897" t="str">
        <f>"20190303154804719"</f>
        <v>20190303154804719</v>
      </c>
      <c r="B1897" t="str">
        <f>"1551599284712350"</f>
        <v>1551599284712350</v>
      </c>
      <c r="C1897" t="s">
        <v>40</v>
      </c>
      <c r="D1897">
        <v>6.0885470000000002</v>
      </c>
      <c r="E1897">
        <v>0.48058659999999997</v>
      </c>
      <c r="F1897" t="s">
        <v>42</v>
      </c>
      <c r="G1897">
        <v>-214.29990000000001</v>
      </c>
      <c r="H1897">
        <v>1.0292760000000001</v>
      </c>
      <c r="I1897">
        <v>285.16890000000001</v>
      </c>
      <c r="J1897">
        <v>-213.7894</v>
      </c>
      <c r="K1897">
        <v>1.125149</v>
      </c>
      <c r="L1897">
        <v>285.2244</v>
      </c>
      <c r="M1897">
        <v>-0.99861750000000005</v>
      </c>
      <c r="N1897">
        <v>-6.3634759999999999E-4</v>
      </c>
      <c r="O1897">
        <v>-5.2562400000000002E-2</v>
      </c>
      <c r="P1897">
        <v>-0.99237640000000005</v>
      </c>
      <c r="Q1897">
        <v>-0.1112716</v>
      </c>
      <c r="R1897">
        <v>-5.2988569999999999E-2</v>
      </c>
      <c r="S1897">
        <v>-2.9663849999999998</v>
      </c>
      <c r="T1897">
        <v>-0.3732183</v>
      </c>
      <c r="U1897">
        <v>-0.29602050000000002</v>
      </c>
      <c r="V1897">
        <v>8.8330310000000003E-4</v>
      </c>
      <c r="W1897">
        <v>-0.11063829999999999</v>
      </c>
      <c r="X1897">
        <v>0.99386039999999998</v>
      </c>
      <c r="Y1897">
        <v>-4.6896449999999999E-2</v>
      </c>
      <c r="Z1897">
        <v>3.5848680000000002E-3</v>
      </c>
      <c r="AA1897">
        <v>0.99889329999999998</v>
      </c>
      <c r="AB1897">
        <v>25</v>
      </c>
      <c r="AC1897">
        <v>-0.51050000000000695</v>
      </c>
      <c r="AD1897">
        <v>-9.5872999999999806E-2</v>
      </c>
      <c r="AE1897">
        <v>-5.5499999999994998E-2</v>
      </c>
      <c r="AF1897">
        <v>-2.76271523825922E-2</v>
      </c>
      <c r="AG1897">
        <v>-9.5872999999999806E-2</v>
      </c>
      <c r="AH1897">
        <v>0.49544158814670097</v>
      </c>
      <c r="AI1897">
        <v>100.935375619228</v>
      </c>
      <c r="AJ1897">
        <v>93.191661015078793</v>
      </c>
      <c r="AK1897">
        <v>0.50538822596405597</v>
      </c>
      <c r="AL1897">
        <v>96.352111718474902</v>
      </c>
      <c r="AM1897">
        <v>89.9490778319214</v>
      </c>
      <c r="AN1897">
        <v>1.0000000541697001</v>
      </c>
    </row>
    <row r="1898" spans="1:40" x14ac:dyDescent="0.25">
      <c r="A1898" t="str">
        <f>"20190303154804744"</f>
        <v>20190303154804744</v>
      </c>
      <c r="B1898" t="str">
        <f>"1551599284732845"</f>
        <v>1551599284732845</v>
      </c>
      <c r="C1898" t="s">
        <v>40</v>
      </c>
      <c r="D1898">
        <v>6.1024240000000001</v>
      </c>
      <c r="E1898">
        <v>0.48067199999999999</v>
      </c>
      <c r="F1898" t="s">
        <v>42</v>
      </c>
      <c r="G1898">
        <v>-214.524</v>
      </c>
      <c r="H1898">
        <v>1.03217</v>
      </c>
      <c r="I1898">
        <v>285.14690000000002</v>
      </c>
      <c r="J1898">
        <v>-214.0615</v>
      </c>
      <c r="K1898">
        <v>1.124994</v>
      </c>
      <c r="L1898">
        <v>285.2</v>
      </c>
      <c r="M1898">
        <v>-0.9980639</v>
      </c>
      <c r="N1898">
        <v>-5.3695779999999996E-4</v>
      </c>
      <c r="O1898">
        <v>-6.2195130000000001E-2</v>
      </c>
      <c r="P1898">
        <v>-0.99199320000000002</v>
      </c>
      <c r="Q1898">
        <v>-0.1109474</v>
      </c>
      <c r="R1898">
        <v>-6.0335220000000002E-2</v>
      </c>
      <c r="S1898">
        <v>-2.9641419999999998</v>
      </c>
      <c r="T1898">
        <v>-0.37594949999999999</v>
      </c>
      <c r="U1898">
        <v>-0.31369019999999997</v>
      </c>
      <c r="V1898">
        <v>3.081355E-3</v>
      </c>
      <c r="W1898">
        <v>-0.1103806</v>
      </c>
      <c r="X1898">
        <v>0.99388460000000001</v>
      </c>
      <c r="Y1898">
        <v>-4.3330250000000001E-2</v>
      </c>
      <c r="Z1898">
        <v>5.0507959999999998E-3</v>
      </c>
      <c r="AA1898">
        <v>0.99904809999999999</v>
      </c>
      <c r="AB1898">
        <v>25</v>
      </c>
      <c r="AC1898">
        <v>-0.46250000000000502</v>
      </c>
      <c r="AD1898">
        <v>-9.2824000000000004E-2</v>
      </c>
      <c r="AE1898">
        <v>-5.30999999999721E-2</v>
      </c>
      <c r="AF1898">
        <v>-2.3305403250359E-2</v>
      </c>
      <c r="AG1898">
        <v>-9.2824000000000004E-2</v>
      </c>
      <c r="AH1898">
        <v>0.44713074351640603</v>
      </c>
      <c r="AI1898">
        <v>101.71251298441101</v>
      </c>
      <c r="AJ1898">
        <v>92.9836776410977</v>
      </c>
      <c r="AK1898">
        <v>0.45725850303104898</v>
      </c>
      <c r="AL1898">
        <v>96.337256045277897</v>
      </c>
      <c r="AM1898">
        <v>89.822365623709302</v>
      </c>
      <c r="AN1898">
        <v>0.999999984861077</v>
      </c>
    </row>
    <row r="1899" spans="1:40" x14ac:dyDescent="0.25">
      <c r="A1899" t="str">
        <f>"20190303154804775"</f>
        <v>20190303154804775</v>
      </c>
      <c r="B1899" t="str">
        <f>"1551599284772862"</f>
        <v>1551599284772862</v>
      </c>
      <c r="C1899" t="s">
        <v>40</v>
      </c>
      <c r="D1899">
        <v>6.2127330000000001</v>
      </c>
      <c r="E1899">
        <v>0.49830770000000002</v>
      </c>
      <c r="F1899" t="s">
        <v>42</v>
      </c>
      <c r="G1899">
        <v>-214.96119999999999</v>
      </c>
      <c r="H1899">
        <v>1.011387</v>
      </c>
      <c r="I1899">
        <v>285.09840000000003</v>
      </c>
      <c r="J1899">
        <v>-214.42750000000001</v>
      </c>
      <c r="K1899">
        <v>1.12476</v>
      </c>
      <c r="L1899">
        <v>285.16359999999997</v>
      </c>
      <c r="M1899">
        <v>-0.99722129999999998</v>
      </c>
      <c r="N1899">
        <v>-4.1646739999999998E-4</v>
      </c>
      <c r="O1899">
        <v>-7.4494640000000001E-2</v>
      </c>
      <c r="P1899">
        <v>-0.99140950000000005</v>
      </c>
      <c r="Q1899">
        <v>-0.1115141</v>
      </c>
      <c r="R1899">
        <v>-6.8350530000000007E-2</v>
      </c>
      <c r="S1899">
        <v>-2.9619450000000001</v>
      </c>
      <c r="T1899">
        <v>-0.37472919999999998</v>
      </c>
      <c r="U1899">
        <v>-0.33496090000000001</v>
      </c>
      <c r="V1899">
        <v>7.2522899999999998E-3</v>
      </c>
      <c r="W1899">
        <v>-0.1110095</v>
      </c>
      <c r="X1899">
        <v>0.99379289999999998</v>
      </c>
      <c r="Y1899">
        <v>-3.8315330000000002E-2</v>
      </c>
      <c r="Z1899">
        <v>6.8960569999999997E-3</v>
      </c>
      <c r="AA1899">
        <v>0.99924190000000002</v>
      </c>
      <c r="AB1899">
        <v>26</v>
      </c>
      <c r="AC1899">
        <v>-0.53369999999998097</v>
      </c>
      <c r="AD1899">
        <v>-0.113372999999999</v>
      </c>
      <c r="AE1899">
        <v>-6.5199999999947494E-2</v>
      </c>
      <c r="AF1899">
        <v>-2.4185692728805702E-2</v>
      </c>
      <c r="AG1899">
        <v>-0.113372999999999</v>
      </c>
      <c r="AH1899">
        <v>0.51421115125274297</v>
      </c>
      <c r="AI1899">
        <v>102.420315015334</v>
      </c>
      <c r="AJ1899">
        <v>92.692896882392802</v>
      </c>
      <c r="AK1899">
        <v>0.52711620439372098</v>
      </c>
      <c r="AL1899">
        <v>96.373511975051898</v>
      </c>
      <c r="AM1899">
        <v>89.581886494862403</v>
      </c>
      <c r="AN1899">
        <v>1.0000000164454499</v>
      </c>
    </row>
    <row r="1900" spans="1:40" x14ac:dyDescent="0.25">
      <c r="A1900" t="str">
        <f>"20190303154804798"</f>
        <v>20190303154804798</v>
      </c>
      <c r="B1900" t="str">
        <f>"1551599284792382"</f>
        <v>1551599284792382</v>
      </c>
      <c r="C1900" t="s">
        <v>40</v>
      </c>
      <c r="D1900">
        <v>6.1315809999999997</v>
      </c>
      <c r="E1900">
        <v>0.50696649999999999</v>
      </c>
      <c r="F1900" t="s">
        <v>42</v>
      </c>
      <c r="G1900">
        <v>-215.2062</v>
      </c>
      <c r="H1900">
        <v>1.04393</v>
      </c>
      <c r="I1900">
        <v>285.10629999999998</v>
      </c>
      <c r="J1900">
        <v>-214.67939999999999</v>
      </c>
      <c r="K1900">
        <v>1.1245689999999999</v>
      </c>
      <c r="L1900">
        <v>285.13639999999998</v>
      </c>
      <c r="M1900">
        <v>-0.99658760000000002</v>
      </c>
      <c r="N1900">
        <v>-3.4462989999999998E-4</v>
      </c>
      <c r="O1900">
        <v>-8.2540879999999997E-2</v>
      </c>
      <c r="P1900">
        <v>-0.99092780000000003</v>
      </c>
      <c r="Q1900">
        <v>-0.1149743</v>
      </c>
      <c r="R1900">
        <v>-6.9590600000000002E-2</v>
      </c>
      <c r="S1900">
        <v>-2.9761660000000001</v>
      </c>
      <c r="T1900">
        <v>-0.30890099999999998</v>
      </c>
      <c r="U1900">
        <v>-0.21871950000000001</v>
      </c>
      <c r="V1900">
        <v>1.4004529999999999E-2</v>
      </c>
      <c r="W1900">
        <v>-0.11445130000000001</v>
      </c>
      <c r="X1900">
        <v>0.99333009999999999</v>
      </c>
      <c r="Y1900">
        <v>8.7925509999999991E-3</v>
      </c>
      <c r="Z1900">
        <v>8.9465529999999995E-3</v>
      </c>
      <c r="AA1900">
        <v>0.99992130000000001</v>
      </c>
      <c r="AB1900">
        <v>26</v>
      </c>
      <c r="AC1900">
        <v>-0.52680000000000804</v>
      </c>
      <c r="AD1900">
        <v>-8.0639000000000099E-2</v>
      </c>
      <c r="AE1900">
        <v>-3.0100000000004401E-2</v>
      </c>
      <c r="AF1900">
        <v>1.3177487312901401E-2</v>
      </c>
      <c r="AG1900">
        <v>-8.0639000000000099E-2</v>
      </c>
      <c r="AH1900">
        <v>0.51544847830599405</v>
      </c>
      <c r="AI1900">
        <v>98.888670817273606</v>
      </c>
      <c r="AJ1900">
        <v>88.535547163375497</v>
      </c>
      <c r="AK1900">
        <v>0.52188449706888795</v>
      </c>
      <c r="AL1900">
        <v>96.571978176917696</v>
      </c>
      <c r="AM1900">
        <v>89.192265184413003</v>
      </c>
      <c r="AN1900">
        <v>0.99999995724910895</v>
      </c>
    </row>
    <row r="1901" spans="1:40" x14ac:dyDescent="0.25">
      <c r="A1901" t="str">
        <f>"20190303154804822"</f>
        <v>20190303154804822</v>
      </c>
      <c r="B1901" t="str">
        <f>"1551599284812877"</f>
        <v>1551599284812877</v>
      </c>
      <c r="C1901" t="s">
        <v>40</v>
      </c>
      <c r="D1901">
        <v>6.153276</v>
      </c>
      <c r="E1901">
        <v>0.51036939999999997</v>
      </c>
      <c r="F1901" t="s">
        <v>42</v>
      </c>
      <c r="G1901">
        <v>-215.44040000000001</v>
      </c>
      <c r="H1901">
        <v>1.049903</v>
      </c>
      <c r="I1901">
        <v>285.09739999999999</v>
      </c>
      <c r="J1901">
        <v>-214.96360000000001</v>
      </c>
      <c r="K1901">
        <v>1.124314</v>
      </c>
      <c r="L1901">
        <v>285.10390000000001</v>
      </c>
      <c r="M1901">
        <v>-0.9958439</v>
      </c>
      <c r="N1901">
        <v>-2.693115E-4</v>
      </c>
      <c r="O1901">
        <v>-9.1076320000000002E-2</v>
      </c>
      <c r="P1901">
        <v>-0.99060479999999995</v>
      </c>
      <c r="Q1901">
        <v>-0.11640209999999999</v>
      </c>
      <c r="R1901">
        <v>-7.1783120000000006E-2</v>
      </c>
      <c r="S1901">
        <v>-2.9826969999999999</v>
      </c>
      <c r="T1901">
        <v>-0.29296889999999998</v>
      </c>
      <c r="U1901">
        <v>-0.1534729</v>
      </c>
      <c r="V1901">
        <v>2.0257480000000001E-2</v>
      </c>
      <c r="W1901">
        <v>-0.11587890000000001</v>
      </c>
      <c r="X1901">
        <v>0.99305679999999996</v>
      </c>
      <c r="Y1901">
        <v>3.9161559999999998E-2</v>
      </c>
      <c r="Z1901">
        <v>1.080213E-2</v>
      </c>
      <c r="AA1901">
        <v>0.99917449999999997</v>
      </c>
      <c r="AB1901">
        <v>26</v>
      </c>
      <c r="AC1901">
        <v>-0.476799999999997</v>
      </c>
      <c r="AD1901">
        <v>-7.4411000000000005E-2</v>
      </c>
      <c r="AE1901">
        <v>-6.5000000000168196E-3</v>
      </c>
      <c r="AF1901">
        <v>3.6073763710655203E-2</v>
      </c>
      <c r="AG1901">
        <v>-7.4411000000000005E-2</v>
      </c>
      <c r="AH1901">
        <v>0.46410875124902301</v>
      </c>
      <c r="AI1901">
        <v>99.081831057711398</v>
      </c>
      <c r="AJ1901">
        <v>85.555509130022102</v>
      </c>
      <c r="AK1901">
        <v>0.47141833474651801</v>
      </c>
      <c r="AL1901">
        <v>96.654320928701594</v>
      </c>
      <c r="AM1901">
        <v>88.831378875969307</v>
      </c>
      <c r="AN1901">
        <v>1.00000004649369</v>
      </c>
    </row>
    <row r="1902" spans="1:40" x14ac:dyDescent="0.25">
      <c r="A1902" t="str">
        <f>"20190303154804844"</f>
        <v>20190303154804844</v>
      </c>
      <c r="B1902" t="str">
        <f>"1551599284833373"</f>
        <v>1551599284833373</v>
      </c>
      <c r="C1902" t="s">
        <v>40</v>
      </c>
      <c r="D1902">
        <v>6.1734799999999996</v>
      </c>
      <c r="E1902">
        <v>0.51194549999999905</v>
      </c>
      <c r="F1902" t="s">
        <v>42</v>
      </c>
      <c r="G1902">
        <v>-215.90180000000001</v>
      </c>
      <c r="H1902">
        <v>1.0350699999999999</v>
      </c>
      <c r="I1902">
        <v>285.06240000000003</v>
      </c>
      <c r="J1902">
        <v>-215.21559999999999</v>
      </c>
      <c r="K1902">
        <v>1.1240460000000001</v>
      </c>
      <c r="L1902">
        <v>285.07339999999999</v>
      </c>
      <c r="M1902">
        <v>-0.99518300000000004</v>
      </c>
      <c r="N1902">
        <v>-2.040318E-4</v>
      </c>
      <c r="O1902">
        <v>-9.8035140000000007E-2</v>
      </c>
      <c r="P1902">
        <v>-0.99047379999999996</v>
      </c>
      <c r="Q1902">
        <v>-0.1152629</v>
      </c>
      <c r="R1902">
        <v>-7.5341950000000005E-2</v>
      </c>
      <c r="S1902">
        <v>-2.985382</v>
      </c>
      <c r="T1902">
        <v>-0.28453909999999999</v>
      </c>
      <c r="U1902">
        <v>-0.13284299999999999</v>
      </c>
      <c r="V1902">
        <v>2.3552509999999999E-2</v>
      </c>
      <c r="W1902">
        <v>-0.114776</v>
      </c>
      <c r="X1902">
        <v>0.99311210000000005</v>
      </c>
      <c r="Y1902">
        <v>5.3018530000000001E-2</v>
      </c>
      <c r="Z1902">
        <v>1.180688E-2</v>
      </c>
      <c r="AA1902">
        <v>0.99852370000000001</v>
      </c>
      <c r="AB1902">
        <v>26</v>
      </c>
      <c r="AC1902">
        <v>-0.68620000000001302</v>
      </c>
      <c r="AD1902">
        <v>-8.8975999999999694E-2</v>
      </c>
      <c r="AE1902">
        <v>-1.0999999999967199E-2</v>
      </c>
      <c r="AF1902">
        <v>5.5393605937042699E-2</v>
      </c>
      <c r="AG1902">
        <v>-8.8975999999999694E-2</v>
      </c>
      <c r="AH1902">
        <v>0.67266631930960696</v>
      </c>
      <c r="AI1902">
        <v>97.509848754843901</v>
      </c>
      <c r="AJ1902">
        <v>85.292354516812907</v>
      </c>
      <c r="AK1902">
        <v>0.68078275337161898</v>
      </c>
      <c r="AL1902">
        <v>96.590705595610103</v>
      </c>
      <c r="AM1902">
        <v>88.641435838238706</v>
      </c>
      <c r="AN1902">
        <v>0.99999994703485295</v>
      </c>
    </row>
    <row r="1903" spans="1:40" x14ac:dyDescent="0.25">
      <c r="A1903" t="str">
        <f>"20190303154804865"</f>
        <v>20190303154804865</v>
      </c>
      <c r="B1903" t="str">
        <f>"1551599284862653"</f>
        <v>1551599284862653</v>
      </c>
      <c r="C1903" t="s">
        <v>40</v>
      </c>
      <c r="D1903">
        <v>6.1806039999999998</v>
      </c>
      <c r="E1903">
        <v>0.51362730000000001</v>
      </c>
      <c r="F1903" t="s">
        <v>42</v>
      </c>
      <c r="G1903">
        <v>-216.14019999999999</v>
      </c>
      <c r="H1903">
        <v>1.0392749999999999</v>
      </c>
      <c r="I1903">
        <v>285.03289999999998</v>
      </c>
      <c r="J1903">
        <v>-215.47540000000001</v>
      </c>
      <c r="K1903">
        <v>1.1237379999999999</v>
      </c>
      <c r="L1903">
        <v>285.04070000000002</v>
      </c>
      <c r="M1903">
        <v>-0.99450669999999997</v>
      </c>
      <c r="N1903">
        <v>-1.4205230000000001E-4</v>
      </c>
      <c r="O1903">
        <v>-0.1046728</v>
      </c>
      <c r="P1903">
        <v>-0.99028329999999998</v>
      </c>
      <c r="Q1903">
        <v>-0.11319609999999999</v>
      </c>
      <c r="R1903">
        <v>-8.0783830000000001E-2</v>
      </c>
      <c r="S1903">
        <v>-2.987015</v>
      </c>
      <c r="T1903">
        <v>-0.2738775</v>
      </c>
      <c r="U1903">
        <v>-0.131073</v>
      </c>
      <c r="V1903">
        <v>2.4637039999999999E-2</v>
      </c>
      <c r="W1903">
        <v>-0.1127744</v>
      </c>
      <c r="X1903">
        <v>0.99331519999999995</v>
      </c>
      <c r="Y1903">
        <v>6.0286579999999999E-2</v>
      </c>
      <c r="Z1903">
        <v>1.2300180000000001E-2</v>
      </c>
      <c r="AA1903">
        <v>0.99810529999999997</v>
      </c>
      <c r="AB1903">
        <v>27</v>
      </c>
      <c r="AC1903">
        <v>-0.66479999999998496</v>
      </c>
      <c r="AD1903">
        <v>-8.4462999999999899E-2</v>
      </c>
      <c r="AE1903">
        <v>-7.8000000000315499E-3</v>
      </c>
      <c r="AF1903">
        <v>6.0847278858023601E-2</v>
      </c>
      <c r="AG1903">
        <v>-8.4462999999999899E-2</v>
      </c>
      <c r="AH1903">
        <v>0.651450400438084</v>
      </c>
      <c r="AI1903">
        <v>97.355739942186901</v>
      </c>
      <c r="AJ1903">
        <v>84.663896467923095</v>
      </c>
      <c r="AK1903">
        <v>0.65971510058840199</v>
      </c>
      <c r="AL1903">
        <v>96.475271990948698</v>
      </c>
      <c r="AM1903">
        <v>88.579193134603102</v>
      </c>
      <c r="AN1903">
        <v>1.00000006779317</v>
      </c>
    </row>
    <row r="1904" spans="1:40" x14ac:dyDescent="0.25">
      <c r="A1904" t="str">
        <f>"20190303154804887"</f>
        <v>20190303154804887</v>
      </c>
      <c r="B1904" t="str">
        <f>"1551599284882173"</f>
        <v>1551599284882173</v>
      </c>
      <c r="C1904" t="s">
        <v>40</v>
      </c>
      <c r="D1904">
        <v>6.165108</v>
      </c>
      <c r="E1904">
        <v>0.51443269999999997</v>
      </c>
      <c r="F1904" t="s">
        <v>42</v>
      </c>
      <c r="G1904">
        <v>-216.3811</v>
      </c>
      <c r="H1904">
        <v>1.044977</v>
      </c>
      <c r="I1904">
        <v>285.00029999999998</v>
      </c>
      <c r="J1904">
        <v>-215.73330000000001</v>
      </c>
      <c r="K1904">
        <v>1.123397</v>
      </c>
      <c r="L1904">
        <v>285.00720000000001</v>
      </c>
      <c r="M1904">
        <v>-0.99385760000000001</v>
      </c>
      <c r="N1904" s="1">
        <v>-8.8364819999999999E-5</v>
      </c>
      <c r="O1904">
        <v>-0.1106676</v>
      </c>
      <c r="P1904">
        <v>-0.99004150000000002</v>
      </c>
      <c r="Q1904">
        <v>-0.112094</v>
      </c>
      <c r="R1904">
        <v>-8.5164519999999994E-2</v>
      </c>
      <c r="S1904">
        <v>-2.9887389999999998</v>
      </c>
      <c r="T1904">
        <v>-0.26026280000000002</v>
      </c>
      <c r="U1904">
        <v>-0.134246799999999</v>
      </c>
      <c r="V1904">
        <v>2.6140090000000001E-2</v>
      </c>
      <c r="W1904">
        <v>-0.1117287</v>
      </c>
      <c r="X1904">
        <v>0.99339489999999997</v>
      </c>
      <c r="Y1904">
        <v>6.5297579999999994E-2</v>
      </c>
      <c r="Z1904">
        <v>1.242267E-2</v>
      </c>
      <c r="AA1904">
        <v>0.99778849999999997</v>
      </c>
      <c r="AB1904">
        <v>27</v>
      </c>
      <c r="AC1904">
        <v>-0.64779999999998905</v>
      </c>
      <c r="AD1904">
        <v>-7.8419999999999906E-2</v>
      </c>
      <c r="AE1904">
        <v>-6.9000000000300999E-3</v>
      </c>
      <c r="AF1904">
        <v>6.3896577972288496E-2</v>
      </c>
      <c r="AG1904">
        <v>-7.8419999999999906E-2</v>
      </c>
      <c r="AH1904">
        <v>0.63527586926137303</v>
      </c>
      <c r="AI1904">
        <v>97.002154420934701</v>
      </c>
      <c r="AJ1904">
        <v>84.256458813398993</v>
      </c>
      <c r="AK1904">
        <v>0.64327902122046698</v>
      </c>
      <c r="AL1904">
        <v>96.414977045757098</v>
      </c>
      <c r="AM1904">
        <v>88.492672659132595</v>
      </c>
      <c r="AN1904">
        <v>1.0000000170274499</v>
      </c>
    </row>
    <row r="1905" spans="1:40" x14ac:dyDescent="0.25">
      <c r="A1905" t="str">
        <f>"20190303154804911"</f>
        <v>20190303154804911</v>
      </c>
      <c r="B1905" t="str">
        <f>"1551599284902670"</f>
        <v>1551599284902670</v>
      </c>
      <c r="C1905" t="s">
        <v>40</v>
      </c>
      <c r="D1905">
        <v>6.1951280000000004</v>
      </c>
      <c r="E1905">
        <v>0.51538609999999996</v>
      </c>
      <c r="F1905" t="s">
        <v>42</v>
      </c>
      <c r="G1905">
        <v>-216.6225</v>
      </c>
      <c r="H1905">
        <v>1.0480640000000001</v>
      </c>
      <c r="I1905">
        <v>284.96550000000002</v>
      </c>
      <c r="J1905">
        <v>-216.0205</v>
      </c>
      <c r="K1905">
        <v>1.122968</v>
      </c>
      <c r="L1905">
        <v>284.96879999999999</v>
      </c>
      <c r="M1905">
        <v>-0.99318490000000004</v>
      </c>
      <c r="N1905" s="1">
        <v>-3.7737659999999898E-5</v>
      </c>
      <c r="O1905">
        <v>-0.1165506</v>
      </c>
      <c r="P1905">
        <v>-0.98985959999999995</v>
      </c>
      <c r="Q1905">
        <v>-0.1112028</v>
      </c>
      <c r="R1905">
        <v>-8.8385259999999993E-2</v>
      </c>
      <c r="S1905">
        <v>-2.9893489999999998</v>
      </c>
      <c r="T1905">
        <v>-0.25357259999999998</v>
      </c>
      <c r="U1905">
        <v>-0.14093020000000001</v>
      </c>
      <c r="V1905">
        <v>2.8673480000000001E-2</v>
      </c>
      <c r="W1905">
        <v>-0.1108898</v>
      </c>
      <c r="X1905">
        <v>0.99341900000000005</v>
      </c>
      <c r="Y1905">
        <v>6.89882E-2</v>
      </c>
      <c r="Z1905">
        <v>1.275566E-2</v>
      </c>
      <c r="AA1905">
        <v>0.99753590000000003</v>
      </c>
      <c r="AB1905">
        <v>27</v>
      </c>
      <c r="AC1905">
        <v>-0.60200000000000298</v>
      </c>
      <c r="AD1905">
        <v>-7.4903999999999998E-2</v>
      </c>
      <c r="AE1905">
        <v>-3.2999999999674301E-3</v>
      </c>
      <c r="AF1905">
        <v>6.5866254231659094E-2</v>
      </c>
      <c r="AG1905">
        <v>-7.4903999999999998E-2</v>
      </c>
      <c r="AH1905">
        <v>0.58916093566202299</v>
      </c>
      <c r="AI1905">
        <v>97.201140417174202</v>
      </c>
      <c r="AJ1905">
        <v>83.621008308178006</v>
      </c>
      <c r="AK1905">
        <v>0.597544626595085</v>
      </c>
      <c r="AL1905">
        <v>96.366611087121399</v>
      </c>
      <c r="AM1905">
        <v>88.346706281692803</v>
      </c>
      <c r="AN1905">
        <v>1.00000001288017</v>
      </c>
    </row>
    <row r="1906" spans="1:40" x14ac:dyDescent="0.25">
      <c r="A1906" t="str">
        <f>"20190303154804932"</f>
        <v>20190303154804932</v>
      </c>
      <c r="B1906" t="str">
        <f>"1551599284922190"</f>
        <v>1551599284922190</v>
      </c>
      <c r="C1906" t="s">
        <v>40</v>
      </c>
      <c r="D1906">
        <v>6.1754559999999996</v>
      </c>
      <c r="E1906">
        <v>0.51621349999999999</v>
      </c>
      <c r="F1906" t="s">
        <v>42</v>
      </c>
      <c r="G1906">
        <v>-216.86619999999999</v>
      </c>
      <c r="H1906">
        <v>1.052246</v>
      </c>
      <c r="I1906">
        <v>284.92849999999999</v>
      </c>
      <c r="J1906">
        <v>-216.28469999999999</v>
      </c>
      <c r="K1906">
        <v>1.1224940000000001</v>
      </c>
      <c r="L1906">
        <v>284.93259999999998</v>
      </c>
      <c r="M1906">
        <v>-0.9926336</v>
      </c>
      <c r="N1906" s="1">
        <v>2.9383230000000001E-7</v>
      </c>
      <c r="O1906">
        <v>-0.1211551</v>
      </c>
      <c r="P1906">
        <v>-0.98967989999999995</v>
      </c>
      <c r="Q1906">
        <v>-0.1115901</v>
      </c>
      <c r="R1906">
        <v>-8.9896619999999997E-2</v>
      </c>
      <c r="S1906">
        <v>-2.9898380000000002</v>
      </c>
      <c r="T1906">
        <v>-0.25041540000000001</v>
      </c>
      <c r="U1906">
        <v>-0.14303589999999999</v>
      </c>
      <c r="V1906">
        <v>3.163473E-2</v>
      </c>
      <c r="W1906">
        <v>-0.1113208</v>
      </c>
      <c r="X1906">
        <v>0.99328090000000002</v>
      </c>
      <c r="Y1906">
        <v>7.2907330000000006E-2</v>
      </c>
      <c r="Z1906">
        <v>1.3144019999999999E-2</v>
      </c>
      <c r="AA1906">
        <v>0.99725209999999997</v>
      </c>
      <c r="AB1906">
        <v>27</v>
      </c>
      <c r="AC1906">
        <v>-0.58150000000000501</v>
      </c>
      <c r="AD1906">
        <v>-7.0248000000000005E-2</v>
      </c>
      <c r="AE1906">
        <v>-4.0999999999939904E-3</v>
      </c>
      <c r="AF1906">
        <v>6.5427109254426602E-2</v>
      </c>
      <c r="AG1906">
        <v>-7.0248000000000005E-2</v>
      </c>
      <c r="AH1906">
        <v>0.56940381371668503</v>
      </c>
      <c r="AI1906">
        <v>96.987588687442198</v>
      </c>
      <c r="AJ1906">
        <v>83.445199144926306</v>
      </c>
      <c r="AK1906">
        <v>0.57743933984834805</v>
      </c>
      <c r="AL1906">
        <v>96.391459421896101</v>
      </c>
      <c r="AM1906">
        <v>88.175819101911998</v>
      </c>
      <c r="AN1906">
        <v>1.00000001147981</v>
      </c>
    </row>
    <row r="1907" spans="1:40" x14ac:dyDescent="0.25">
      <c r="A1907" t="str">
        <f>"20190303154804956"</f>
        <v>20190303154804956</v>
      </c>
      <c r="B1907" t="str">
        <f>"1551599284952445"</f>
        <v>1551599284952445</v>
      </c>
      <c r="C1907" t="s">
        <v>40</v>
      </c>
      <c r="D1907">
        <v>6.2146689999999998</v>
      </c>
      <c r="E1907">
        <v>0.51720600000000005</v>
      </c>
      <c r="F1907" t="s">
        <v>42</v>
      </c>
      <c r="G1907">
        <v>-217.11070000000001</v>
      </c>
      <c r="H1907">
        <v>1.053005</v>
      </c>
      <c r="I1907">
        <v>284.89389999999997</v>
      </c>
      <c r="J1907">
        <v>-216.56829999999999</v>
      </c>
      <c r="K1907">
        <v>1.121899</v>
      </c>
      <c r="L1907">
        <v>284.89339999999999</v>
      </c>
      <c r="M1907">
        <v>-0.99213390000000001</v>
      </c>
      <c r="N1907" s="1">
        <v>2.9842369999999999E-5</v>
      </c>
      <c r="O1907">
        <v>-0.12518189999999901</v>
      </c>
      <c r="P1907">
        <v>-0.989429</v>
      </c>
      <c r="Q1907">
        <v>-0.11359379999999999</v>
      </c>
      <c r="R1907">
        <v>-9.014838E-2</v>
      </c>
      <c r="S1907">
        <v>-2.9901580000000001</v>
      </c>
      <c r="T1907">
        <v>-0.2516119</v>
      </c>
      <c r="U1907">
        <v>-0.14065549999999999</v>
      </c>
      <c r="V1907">
        <v>3.5242759999999998E-2</v>
      </c>
      <c r="W1907">
        <v>-0.1133707</v>
      </c>
      <c r="X1907">
        <v>0.99292749999999996</v>
      </c>
      <c r="Y1907">
        <v>7.7712859999999995E-2</v>
      </c>
      <c r="Z1907">
        <v>1.3745449999999999E-2</v>
      </c>
      <c r="AA1907">
        <v>0.99688100000000002</v>
      </c>
      <c r="AB1907">
        <v>27</v>
      </c>
      <c r="AC1907">
        <v>-0.54240000000001398</v>
      </c>
      <c r="AD1907">
        <v>-6.8893999999999997E-2</v>
      </c>
      <c r="AE1907">
        <v>4.9999999998817603E-4</v>
      </c>
      <c r="AF1907">
        <v>6.7308810348255199E-2</v>
      </c>
      <c r="AG1907">
        <v>-6.8893999999999997E-2</v>
      </c>
      <c r="AH1907">
        <v>0.52952775954116105</v>
      </c>
      <c r="AI1907">
        <v>97.354287099308607</v>
      </c>
      <c r="AJ1907">
        <v>82.755923378201004</v>
      </c>
      <c r="AK1907">
        <v>0.53821604148443902</v>
      </c>
      <c r="AL1907">
        <v>96.509658471425695</v>
      </c>
      <c r="AM1907">
        <v>87.967209000185306</v>
      </c>
      <c r="AN1907">
        <v>0.99999999400357797</v>
      </c>
    </row>
    <row r="1908" spans="1:40" x14ac:dyDescent="0.25">
      <c r="A1908" t="str">
        <f>"20190303154804978"</f>
        <v>20190303154804978</v>
      </c>
      <c r="B1908" t="str">
        <f>"1551599284972942"</f>
        <v>1551599284972942</v>
      </c>
      <c r="C1908" t="s">
        <v>40</v>
      </c>
      <c r="D1908">
        <v>6.1971939999999996</v>
      </c>
      <c r="E1908">
        <v>0.51776869999999997</v>
      </c>
      <c r="F1908" t="s">
        <v>42</v>
      </c>
      <c r="G1908">
        <v>-217.35730000000001</v>
      </c>
      <c r="H1908">
        <v>1.0541049999999901</v>
      </c>
      <c r="I1908">
        <v>284.85849999999999</v>
      </c>
      <c r="J1908">
        <v>-216.84809999999999</v>
      </c>
      <c r="K1908">
        <v>1.121245</v>
      </c>
      <c r="L1908">
        <v>284.85449999999997</v>
      </c>
      <c r="M1908">
        <v>-0.99175329999999995</v>
      </c>
      <c r="N1908" s="1">
        <v>4.4377520000000001E-5</v>
      </c>
      <c r="O1908">
        <v>-0.12816279999999999</v>
      </c>
      <c r="P1908">
        <v>-0.98949019999999999</v>
      </c>
      <c r="Q1908">
        <v>-0.1147719</v>
      </c>
      <c r="R1908">
        <v>-8.7961730000000002E-2</v>
      </c>
      <c r="S1908">
        <v>-2.990402</v>
      </c>
      <c r="T1908">
        <v>-0.2571678</v>
      </c>
      <c r="U1908">
        <v>-0.13311770000000001</v>
      </c>
      <c r="V1908">
        <v>4.0236010000000003E-2</v>
      </c>
      <c r="W1908">
        <v>-0.11458749999999999</v>
      </c>
      <c r="X1908">
        <v>0.99259799999999998</v>
      </c>
      <c r="Y1908">
        <v>8.3156090000000002E-2</v>
      </c>
      <c r="Z1908">
        <v>1.4536489999999999E-2</v>
      </c>
      <c r="AA1908">
        <v>0.9964305</v>
      </c>
      <c r="AB1908">
        <v>28</v>
      </c>
      <c r="AC1908">
        <v>-0.50920000000002097</v>
      </c>
      <c r="AD1908">
        <v>-6.71400000000002E-2</v>
      </c>
      <c r="AE1908">
        <v>4.0000000000190898E-3</v>
      </c>
      <c r="AF1908">
        <v>6.8044587546317897E-2</v>
      </c>
      <c r="AG1908">
        <v>-6.71400000000002E-2</v>
      </c>
      <c r="AH1908">
        <v>0.49586770049454698</v>
      </c>
      <c r="AI1908">
        <v>97.640159435655704</v>
      </c>
      <c r="AJ1908">
        <v>82.186485304420799</v>
      </c>
      <c r="AK1908">
        <v>0.50499764542827197</v>
      </c>
      <c r="AL1908">
        <v>96.579833189997004</v>
      </c>
      <c r="AM1908">
        <v>87.678725825137604</v>
      </c>
      <c r="AN1908">
        <v>1.0000000106304801</v>
      </c>
    </row>
    <row r="1909" spans="1:40" x14ac:dyDescent="0.25">
      <c r="A1909" t="str">
        <f>"20190303154804999"</f>
        <v>20190303154804999</v>
      </c>
      <c r="B1909" t="str">
        <f>"1551599284992462"</f>
        <v>1551599284992462</v>
      </c>
      <c r="C1909" t="s">
        <v>40</v>
      </c>
      <c r="D1909">
        <v>6.2028410000000003</v>
      </c>
      <c r="E1909">
        <v>0.5182909</v>
      </c>
      <c r="F1909" t="s">
        <v>42</v>
      </c>
      <c r="G1909">
        <v>-217.6062</v>
      </c>
      <c r="H1909">
        <v>1.055204</v>
      </c>
      <c r="I1909">
        <v>284.82350000000002</v>
      </c>
      <c r="J1909">
        <v>-217.09970000000001</v>
      </c>
      <c r="K1909">
        <v>1.1206229999999999</v>
      </c>
      <c r="L1909">
        <v>284.81959999999998</v>
      </c>
      <c r="M1909">
        <v>-0.99152039999999997</v>
      </c>
      <c r="N1909" s="1">
        <v>4.3349339999999998E-5</v>
      </c>
      <c r="O1909">
        <v>-0.1299515</v>
      </c>
      <c r="P1909">
        <v>-0.98953279999999999</v>
      </c>
      <c r="Q1909">
        <v>-0.1176093</v>
      </c>
      <c r="R1909">
        <v>-8.362559E-2</v>
      </c>
      <c r="S1909">
        <v>-2.9907840000000001</v>
      </c>
      <c r="T1909">
        <v>-0.26057710000000001</v>
      </c>
      <c r="U1909">
        <v>-0.12219240000000001</v>
      </c>
      <c r="V1909">
        <v>4.6174569999999998E-2</v>
      </c>
      <c r="W1909">
        <v>-0.11745700000000001</v>
      </c>
      <c r="X1909">
        <v>0.99200390000000005</v>
      </c>
      <c r="Y1909">
        <v>8.8543579999999997E-2</v>
      </c>
      <c r="Z1909">
        <v>1.511667E-2</v>
      </c>
      <c r="AA1909">
        <v>0.9959576</v>
      </c>
      <c r="AB1909">
        <v>28</v>
      </c>
      <c r="AC1909">
        <v>-0.50649999999998796</v>
      </c>
      <c r="AD1909">
        <v>-6.5418999999999894E-2</v>
      </c>
      <c r="AE1909">
        <v>3.9000000000442001E-3</v>
      </c>
      <c r="AF1909">
        <v>6.8543976077043794E-2</v>
      </c>
      <c r="AG1909">
        <v>-6.5418999999999894E-2</v>
      </c>
      <c r="AH1909">
        <v>0.49346670916881602</v>
      </c>
      <c r="AI1909">
        <v>97.480684285710694</v>
      </c>
      <c r="AJ1909">
        <v>82.092047535641697</v>
      </c>
      <c r="AK1909">
        <v>0.502481159124749</v>
      </c>
      <c r="AL1909">
        <v>96.745361518056001</v>
      </c>
      <c r="AM1909">
        <v>87.334990514940301</v>
      </c>
      <c r="AN1909">
        <v>0.99999998768944698</v>
      </c>
    </row>
    <row r="1910" spans="1:40" x14ac:dyDescent="0.25">
      <c r="A1910" t="str">
        <f>"20190303154805022"</f>
        <v>20190303154805022</v>
      </c>
      <c r="B1910" t="str">
        <f>"1551599285012957"</f>
        <v>1551599285012957</v>
      </c>
      <c r="C1910" t="s">
        <v>40</v>
      </c>
      <c r="D1910">
        <v>6.2303920000000002</v>
      </c>
      <c r="E1910">
        <v>0.51849959999999995</v>
      </c>
      <c r="F1910" t="s">
        <v>42</v>
      </c>
      <c r="G1910">
        <v>-217.85589999999999</v>
      </c>
      <c r="H1910">
        <v>1.0529900000000001</v>
      </c>
      <c r="I1910">
        <v>284.79340000000002</v>
      </c>
      <c r="J1910">
        <v>-217.3886</v>
      </c>
      <c r="K1910">
        <v>1.119891</v>
      </c>
      <c r="L1910">
        <v>284.77999999999997</v>
      </c>
      <c r="M1910">
        <v>-0.99137929999999996</v>
      </c>
      <c r="N1910" s="1">
        <v>2.7035009999999999E-5</v>
      </c>
      <c r="O1910">
        <v>-0.131024</v>
      </c>
      <c r="P1910">
        <v>-0.98955439999999995</v>
      </c>
      <c r="Q1910">
        <v>-0.12130249999999999</v>
      </c>
      <c r="R1910">
        <v>-7.7897320000000006E-2</v>
      </c>
      <c r="S1910">
        <v>-2.9910890000000001</v>
      </c>
      <c r="T1910">
        <v>-0.26762370000000002</v>
      </c>
      <c r="U1910">
        <v>-0.1045532</v>
      </c>
      <c r="V1910">
        <v>5.273481E-2</v>
      </c>
      <c r="W1910">
        <v>-0.1211969</v>
      </c>
      <c r="X1910">
        <v>0.99122670000000002</v>
      </c>
      <c r="Y1910">
        <v>9.541123E-2</v>
      </c>
      <c r="Z1910">
        <v>1.5925080000000001E-2</v>
      </c>
      <c r="AA1910">
        <v>0.99531049999999999</v>
      </c>
      <c r="AB1910">
        <v>28</v>
      </c>
      <c r="AC1910">
        <v>-0.467299999999994</v>
      </c>
      <c r="AD1910">
        <v>-6.6901000000000099E-2</v>
      </c>
      <c r="AE1910">
        <v>1.34000000000469E-2</v>
      </c>
      <c r="AF1910">
        <v>7.3016654745168594E-2</v>
      </c>
      <c r="AG1910">
        <v>-6.6901000000000099E-2</v>
      </c>
      <c r="AH1910">
        <v>0.45225390085521</v>
      </c>
      <c r="AI1910">
        <v>98.308564747243494</v>
      </c>
      <c r="AJ1910">
        <v>80.828703899354196</v>
      </c>
      <c r="AK1910">
        <v>0.46296950926592301</v>
      </c>
      <c r="AL1910">
        <v>96.961184034150406</v>
      </c>
      <c r="AM1910">
        <v>86.954645991857603</v>
      </c>
      <c r="AN1910">
        <v>1.00000000977411</v>
      </c>
    </row>
    <row r="1911" spans="1:40" x14ac:dyDescent="0.25">
      <c r="A1911" t="str">
        <f>"20190303154805043"</f>
        <v>20190303154805043</v>
      </c>
      <c r="B1911" t="str">
        <f>"1551599285032477"</f>
        <v>1551599285032477</v>
      </c>
      <c r="C1911" t="s">
        <v>40</v>
      </c>
      <c r="D1911">
        <v>6.2192930000000004</v>
      </c>
      <c r="E1911">
        <v>0.51898650000000002</v>
      </c>
      <c r="F1911" t="s">
        <v>42</v>
      </c>
      <c r="G1911">
        <v>-218.35589999999999</v>
      </c>
      <c r="H1911">
        <v>1.030586</v>
      </c>
      <c r="I1911">
        <v>284.75240000000002</v>
      </c>
      <c r="J1911">
        <v>-217.66380000000001</v>
      </c>
      <c r="K1911">
        <v>1.119211</v>
      </c>
      <c r="L1911">
        <v>284.74299999999999</v>
      </c>
      <c r="M1911">
        <v>-0.99137189999999997</v>
      </c>
      <c r="N1911" s="1">
        <v>-2.8521749999999999E-8</v>
      </c>
      <c r="O1911">
        <v>-0.1310799</v>
      </c>
      <c r="P1911">
        <v>-0.98946909999999999</v>
      </c>
      <c r="Q1911">
        <v>-0.12605259999999999</v>
      </c>
      <c r="R1911">
        <v>-7.1147070000000007E-2</v>
      </c>
      <c r="S1911">
        <v>-2.9910739999999998</v>
      </c>
      <c r="T1911">
        <v>-0.27613199999999999</v>
      </c>
      <c r="U1911">
        <v>-8.5662840000000004E-2</v>
      </c>
      <c r="V1911">
        <v>5.9279720000000001E-2</v>
      </c>
      <c r="W1911">
        <v>-0.12599920000000001</v>
      </c>
      <c r="X1911">
        <v>0.99025759999999996</v>
      </c>
      <c r="Y1911">
        <v>0.1016599</v>
      </c>
      <c r="Z1911">
        <v>1.6722770000000001E-2</v>
      </c>
      <c r="AA1911">
        <v>0.99467870000000003</v>
      </c>
      <c r="AB1911">
        <v>29</v>
      </c>
      <c r="AC1911">
        <v>-0.69209999999998195</v>
      </c>
      <c r="AD1911">
        <v>-8.8624999999999898E-2</v>
      </c>
      <c r="AE1911">
        <v>9.4000000000278305E-3</v>
      </c>
      <c r="AF1911">
        <v>9.8425658910376398E-2</v>
      </c>
      <c r="AG1911">
        <v>-8.8624999999999898E-2</v>
      </c>
      <c r="AH1911">
        <v>0.67384894982685595</v>
      </c>
      <c r="AI1911">
        <v>97.414779724867401</v>
      </c>
      <c r="AJ1911">
        <v>81.689865673908201</v>
      </c>
      <c r="AK1911">
        <v>0.68674187883053905</v>
      </c>
      <c r="AL1911">
        <v>97.238461978468195</v>
      </c>
      <c r="AM1911">
        <v>86.574195143007103</v>
      </c>
      <c r="AN1911">
        <v>0.99999999898083902</v>
      </c>
    </row>
    <row r="1912" spans="1:40" x14ac:dyDescent="0.25">
      <c r="A1912" t="str">
        <f>"20190303154805067"</f>
        <v>20190303154805067</v>
      </c>
      <c r="B1912" t="str">
        <f>"1551599285062734"</f>
        <v>1551599285062734</v>
      </c>
      <c r="C1912" t="s">
        <v>40</v>
      </c>
      <c r="D1912">
        <v>6.3318839999999996</v>
      </c>
      <c r="E1912">
        <v>0.51914519999999997</v>
      </c>
      <c r="F1912" t="s">
        <v>42</v>
      </c>
      <c r="G1912">
        <v>-218.61160000000001</v>
      </c>
      <c r="H1912">
        <v>1.0275209999999999</v>
      </c>
      <c r="I1912">
        <v>284.72370000000001</v>
      </c>
      <c r="J1912">
        <v>-217.96459999999999</v>
      </c>
      <c r="K1912">
        <v>1.118563</v>
      </c>
      <c r="L1912">
        <v>284.70339999999999</v>
      </c>
      <c r="M1912">
        <v>-0.99147450000000004</v>
      </c>
      <c r="N1912" s="1">
        <v>-2.9922719999999999E-5</v>
      </c>
      <c r="O1912">
        <v>-0.130301</v>
      </c>
      <c r="P1912">
        <v>-0.98996139999999999</v>
      </c>
      <c r="Q1912">
        <v>-0.1267751</v>
      </c>
      <c r="R1912">
        <v>-6.2487689999999999E-2</v>
      </c>
      <c r="S1912">
        <v>-2.9906920000000001</v>
      </c>
      <c r="T1912">
        <v>-0.28930349999999999</v>
      </c>
      <c r="U1912">
        <v>-6.1401369999999997E-2</v>
      </c>
      <c r="V1912">
        <v>6.6955299999999995E-2</v>
      </c>
      <c r="W1912">
        <v>-0.12678919999999999</v>
      </c>
      <c r="X1912">
        <v>0.98966739999999997</v>
      </c>
      <c r="Y1912">
        <v>0.1088099</v>
      </c>
      <c r="Z1912">
        <v>1.779056E-2</v>
      </c>
      <c r="AA1912">
        <v>0.99390330000000005</v>
      </c>
      <c r="AB1912">
        <v>29</v>
      </c>
      <c r="AC1912">
        <v>-0.647000000000019</v>
      </c>
      <c r="AD1912">
        <v>-9.1041999999999998E-2</v>
      </c>
      <c r="AE1912">
        <v>2.0300000000020101E-2</v>
      </c>
      <c r="AF1912">
        <v>0.10240598724762801</v>
      </c>
      <c r="AG1912">
        <v>-9.1041999999999998E-2</v>
      </c>
      <c r="AH1912">
        <v>0.62644714470450502</v>
      </c>
      <c r="AI1912">
        <v>98.162094225037507</v>
      </c>
      <c r="AJ1912">
        <v>80.715915094573106</v>
      </c>
      <c r="AK1912">
        <v>0.64125787098217302</v>
      </c>
      <c r="AL1912">
        <v>97.284091304831506</v>
      </c>
      <c r="AM1912">
        <v>86.129589457783595</v>
      </c>
      <c r="AN1912">
        <v>1.0000000380287399</v>
      </c>
    </row>
    <row r="1913" spans="1:40" x14ac:dyDescent="0.25">
      <c r="A1913" t="str">
        <f>"20190303154805088"</f>
        <v>20190303154805088</v>
      </c>
      <c r="B1913" t="str">
        <f>"1551599285082253"</f>
        <v>1551599285082253</v>
      </c>
      <c r="C1913" t="s">
        <v>40</v>
      </c>
      <c r="D1913">
        <v>6.3405500000000004</v>
      </c>
      <c r="E1913">
        <v>0.51912150000000001</v>
      </c>
      <c r="F1913" t="s">
        <v>42</v>
      </c>
      <c r="G1913">
        <v>-218.87139999999999</v>
      </c>
      <c r="H1913">
        <v>1.0295069999999999</v>
      </c>
      <c r="I1913">
        <v>284.69310000000002</v>
      </c>
      <c r="J1913">
        <v>-218.23910000000001</v>
      </c>
      <c r="K1913">
        <v>1.1180619999999999</v>
      </c>
      <c r="L1913">
        <v>284.66809999999998</v>
      </c>
      <c r="M1913">
        <v>-0.99165060000000005</v>
      </c>
      <c r="N1913" s="1">
        <v>-5.5328299999999997E-5</v>
      </c>
      <c r="O1913">
        <v>-0.12895409999999999</v>
      </c>
      <c r="P1913">
        <v>-0.99086560000000001</v>
      </c>
      <c r="Q1913">
        <v>-0.12501289999999901</v>
      </c>
      <c r="R1913">
        <v>-5.0567519999999998E-2</v>
      </c>
      <c r="S1913">
        <v>-2.9906459999999999</v>
      </c>
      <c r="T1913">
        <v>-0.29371730000000001</v>
      </c>
      <c r="U1913">
        <v>-3.4271240000000001E-2</v>
      </c>
      <c r="V1913">
        <v>7.7394080000000004E-2</v>
      </c>
      <c r="W1913">
        <v>-0.12510489999999999</v>
      </c>
      <c r="X1913">
        <v>0.9891202</v>
      </c>
      <c r="Y1913">
        <v>0.1164056</v>
      </c>
      <c r="Z1913">
        <v>1.830356E-2</v>
      </c>
      <c r="AA1913">
        <v>0.9930331</v>
      </c>
      <c r="AB1913">
        <v>29</v>
      </c>
      <c r="AC1913">
        <v>-0.63229999999998598</v>
      </c>
      <c r="AD1913">
        <v>-8.8555000000000106E-2</v>
      </c>
      <c r="AE1913">
        <v>2.5000000000034099E-2</v>
      </c>
      <c r="AF1913">
        <v>0.104286589902438</v>
      </c>
      <c r="AG1913">
        <v>-8.8555000000000106E-2</v>
      </c>
      <c r="AH1913">
        <v>0.61181501347715905</v>
      </c>
      <c r="AI1913">
        <v>98.120351526200594</v>
      </c>
      <c r="AJ1913">
        <v>80.326650038990607</v>
      </c>
      <c r="AK1913">
        <v>0.62692526793433401</v>
      </c>
      <c r="AL1913">
        <v>97.186814205339999</v>
      </c>
      <c r="AM1913">
        <v>85.525985919501693</v>
      </c>
      <c r="AN1913">
        <v>0.99999992483554501</v>
      </c>
    </row>
    <row r="1914" spans="1:40" x14ac:dyDescent="0.25">
      <c r="A1914" t="str">
        <f>"20190303154805109"</f>
        <v>20190303154805109</v>
      </c>
      <c r="B1914" t="str">
        <f>"1551599285102750"</f>
        <v>1551599285102750</v>
      </c>
      <c r="C1914" t="s">
        <v>40</v>
      </c>
      <c r="D1914">
        <v>6.3596969999999997</v>
      </c>
      <c r="E1914">
        <v>0.51899220000000001</v>
      </c>
      <c r="F1914" t="s">
        <v>42</v>
      </c>
      <c r="G1914">
        <v>-219.13380000000001</v>
      </c>
      <c r="H1914">
        <v>1.031148</v>
      </c>
      <c r="I1914">
        <v>284.66849999999999</v>
      </c>
      <c r="J1914">
        <v>-218.52430000000001</v>
      </c>
      <c r="K1914">
        <v>1.1176109999999999</v>
      </c>
      <c r="L1914">
        <v>284.63240000000002</v>
      </c>
      <c r="M1914">
        <v>-0.99190400000000001</v>
      </c>
      <c r="N1914" s="1">
        <v>-8.0000959999999898E-5</v>
      </c>
      <c r="O1914">
        <v>-0.12699059999999901</v>
      </c>
      <c r="P1914">
        <v>-0.99178189999999999</v>
      </c>
      <c r="Q1914">
        <v>-0.12206980000000001</v>
      </c>
      <c r="R1914">
        <v>-3.8310009999999999E-2</v>
      </c>
      <c r="S1914">
        <v>-2.9910429999999999</v>
      </c>
      <c r="T1914">
        <v>-0.290541099999999</v>
      </c>
      <c r="U1914">
        <v>1.2207030000000001E-3</v>
      </c>
      <c r="V1914">
        <v>8.7577500000000003E-2</v>
      </c>
      <c r="W1914">
        <v>-0.1222564</v>
      </c>
      <c r="X1914">
        <v>0.98862709999999998</v>
      </c>
      <c r="Y1914">
        <v>0.1262066</v>
      </c>
      <c r="Z1914">
        <v>1.839172E-2</v>
      </c>
      <c r="AA1914">
        <v>0.99183339999999998</v>
      </c>
      <c r="AB1914">
        <v>29</v>
      </c>
      <c r="AC1914">
        <v>-0.60949999999999704</v>
      </c>
      <c r="AD1914">
        <v>-8.6463000000000095E-2</v>
      </c>
      <c r="AE1914">
        <v>3.60999999999762E-2</v>
      </c>
      <c r="AF1914">
        <v>0.11098288985999399</v>
      </c>
      <c r="AG1914">
        <v>-8.6463000000000095E-2</v>
      </c>
      <c r="AH1914">
        <v>0.58818583740546704</v>
      </c>
      <c r="AI1914">
        <v>98.219550992447395</v>
      </c>
      <c r="AJ1914">
        <v>79.314670906724402</v>
      </c>
      <c r="AK1914">
        <v>0.60477734046097198</v>
      </c>
      <c r="AL1914">
        <v>97.022343827910206</v>
      </c>
      <c r="AM1914">
        <v>84.937669479148298</v>
      </c>
      <c r="AN1914">
        <v>0.99999999435081</v>
      </c>
    </row>
    <row r="1915" spans="1:40" x14ac:dyDescent="0.25">
      <c r="A1915" t="str">
        <f>"20190303154805132"</f>
        <v>20190303154805132</v>
      </c>
      <c r="B1915" t="str">
        <f>"1551599285122270"</f>
        <v>1551599285122270</v>
      </c>
      <c r="C1915" t="s">
        <v>40</v>
      </c>
      <c r="D1915">
        <v>6.3187430000000004</v>
      </c>
      <c r="E1915">
        <v>0.51888000000000001</v>
      </c>
      <c r="F1915" t="s">
        <v>42</v>
      </c>
      <c r="G1915">
        <v>-219.39879999999999</v>
      </c>
      <c r="H1915">
        <v>1.0344279999999999</v>
      </c>
      <c r="I1915">
        <v>284.64350000000002</v>
      </c>
      <c r="J1915">
        <v>-218.81710000000001</v>
      </c>
      <c r="K1915">
        <v>1.117208</v>
      </c>
      <c r="L1915">
        <v>284.59690000000001</v>
      </c>
      <c r="M1915">
        <v>-0.99222429999999995</v>
      </c>
      <c r="N1915">
        <v>-1.051393E-4</v>
      </c>
      <c r="O1915">
        <v>-0.12446309999999999</v>
      </c>
      <c r="P1915">
        <v>-0.99266489999999996</v>
      </c>
      <c r="Q1915">
        <v>-0.11750819999999999</v>
      </c>
      <c r="R1915">
        <v>-2.843706E-2</v>
      </c>
      <c r="S1915">
        <v>-2.9912869999999998</v>
      </c>
      <c r="T1915">
        <v>-0.28450140000000002</v>
      </c>
      <c r="U1915">
        <v>3.7353520000000001E-2</v>
      </c>
      <c r="V1915">
        <v>9.4854649999999999E-2</v>
      </c>
      <c r="W1915">
        <v>-0.11779199999999999</v>
      </c>
      <c r="X1915">
        <v>0.98849770000000003</v>
      </c>
      <c r="Y1915">
        <v>0.13567129999999999</v>
      </c>
      <c r="Z1915">
        <v>1.8220920000000002E-2</v>
      </c>
      <c r="AA1915">
        <v>0.99058630000000003</v>
      </c>
      <c r="AB1915">
        <v>29</v>
      </c>
      <c r="AC1915">
        <v>-0.58169999999998301</v>
      </c>
      <c r="AD1915">
        <v>-8.2779999999999798E-2</v>
      </c>
      <c r="AE1915">
        <v>4.6600000000012097E-2</v>
      </c>
      <c r="AF1915">
        <v>0.11629767051406301</v>
      </c>
      <c r="AG1915">
        <v>-8.2779999999999798E-2</v>
      </c>
      <c r="AH1915">
        <v>0.56010631323746196</v>
      </c>
      <c r="AI1915">
        <v>98.233942385720795</v>
      </c>
      <c r="AJ1915">
        <v>78.270063964614195</v>
      </c>
      <c r="AK1915">
        <v>0.57801103682841504</v>
      </c>
      <c r="AL1915">
        <v>96.764689481475799</v>
      </c>
      <c r="AM1915">
        <v>84.518771745515195</v>
      </c>
      <c r="AN1915">
        <v>1.00000003139795</v>
      </c>
    </row>
    <row r="1916" spans="1:40" x14ac:dyDescent="0.25">
      <c r="A1916" t="str">
        <f>"20190303154805156"</f>
        <v>20190303154805156</v>
      </c>
      <c r="B1916" t="str">
        <f>"1551599285152525"</f>
        <v>1551599285152525</v>
      </c>
      <c r="C1916" t="s">
        <v>40</v>
      </c>
      <c r="D1916">
        <v>6.280259</v>
      </c>
      <c r="E1916">
        <v>0.51879849999999905</v>
      </c>
      <c r="F1916" t="s">
        <v>42</v>
      </c>
      <c r="G1916">
        <v>-219.6661</v>
      </c>
      <c r="H1916">
        <v>1.039633</v>
      </c>
      <c r="I1916">
        <v>284.61590000000001</v>
      </c>
      <c r="J1916">
        <v>-219.13589999999999</v>
      </c>
      <c r="K1916">
        <v>1.116811</v>
      </c>
      <c r="L1916">
        <v>284.55970000000002</v>
      </c>
      <c r="M1916">
        <v>-0.99262779999999995</v>
      </c>
      <c r="N1916">
        <v>-1.344304E-4</v>
      </c>
      <c r="O1916">
        <v>-0.1212023</v>
      </c>
      <c r="P1916">
        <v>-0.99382380000000003</v>
      </c>
      <c r="Q1916">
        <v>-0.10878400000000001</v>
      </c>
      <c r="R1916">
        <v>-2.1920249999999999E-2</v>
      </c>
      <c r="S1916">
        <v>-2.991714</v>
      </c>
      <c r="T1916">
        <v>-0.27335320000000002</v>
      </c>
      <c r="U1916">
        <v>6.658936E-2</v>
      </c>
      <c r="V1916">
        <v>9.8135429999999996E-2</v>
      </c>
      <c r="W1916">
        <v>-0.1091568</v>
      </c>
      <c r="X1916">
        <v>0.98916850000000001</v>
      </c>
      <c r="Y1916">
        <v>0.14216579999999901</v>
      </c>
      <c r="Z1916">
        <v>1.7506979999999998E-2</v>
      </c>
      <c r="AA1916">
        <v>0.98968800000000001</v>
      </c>
      <c r="AB1916">
        <v>29</v>
      </c>
      <c r="AC1916">
        <v>-0.530200000000007</v>
      </c>
      <c r="AD1916">
        <v>-7.7177999999999899E-2</v>
      </c>
      <c r="AE1916">
        <v>5.61999999999898E-2</v>
      </c>
      <c r="AF1916">
        <v>0.117583369252499</v>
      </c>
      <c r="AG1916">
        <v>-7.7177999999999899E-2</v>
      </c>
      <c r="AH1916">
        <v>0.50881821355907098</v>
      </c>
      <c r="AI1916">
        <v>98.406669359787699</v>
      </c>
      <c r="AJ1916">
        <v>76.987874225515696</v>
      </c>
      <c r="AK1916">
        <v>0.527899864423372</v>
      </c>
      <c r="AL1916">
        <v>96.266710791619502</v>
      </c>
      <c r="AM1916">
        <v>84.334224543868501</v>
      </c>
      <c r="AN1916">
        <v>1.0000000454998801</v>
      </c>
    </row>
    <row r="1917" spans="1:40" x14ac:dyDescent="0.25">
      <c r="A1917" t="str">
        <f>"20190303154805177"</f>
        <v>20190303154805177</v>
      </c>
      <c r="B1917" t="str">
        <f>"1551599285173022"</f>
        <v>1551599285173022</v>
      </c>
      <c r="C1917" t="s">
        <v>40</v>
      </c>
      <c r="D1917">
        <v>6.2818420000000001</v>
      </c>
      <c r="E1917">
        <v>0.51868930000000002</v>
      </c>
      <c r="F1917" t="s">
        <v>42</v>
      </c>
      <c r="G1917">
        <v>-219.93979999999999</v>
      </c>
      <c r="H1917">
        <v>1.0506089999999999</v>
      </c>
      <c r="I1917">
        <v>284.58269999999999</v>
      </c>
      <c r="J1917">
        <v>-219.43039999999999</v>
      </c>
      <c r="K1917">
        <v>1.1164510000000001</v>
      </c>
      <c r="L1917">
        <v>284.52659999999997</v>
      </c>
      <c r="M1917">
        <v>-0.99304360000000003</v>
      </c>
      <c r="N1917">
        <v>-1.6512809999999999E-4</v>
      </c>
      <c r="O1917">
        <v>-0.1177475</v>
      </c>
      <c r="P1917">
        <v>-0.9944923</v>
      </c>
      <c r="Q1917">
        <v>-0.1033462</v>
      </c>
      <c r="R1917">
        <v>-1.7452260000000001E-2</v>
      </c>
      <c r="S1917">
        <v>-2.9935459999999998</v>
      </c>
      <c r="T1917">
        <v>-0.24639169999999999</v>
      </c>
      <c r="U1917">
        <v>8.560181E-2</v>
      </c>
      <c r="V1917">
        <v>9.9139140000000001E-2</v>
      </c>
      <c r="W1917">
        <v>-0.1037872</v>
      </c>
      <c r="X1917">
        <v>0.98964620000000003</v>
      </c>
      <c r="Y1917">
        <v>0.1451971</v>
      </c>
      <c r="Z1917">
        <v>1.561704E-2</v>
      </c>
      <c r="AA1917">
        <v>0.98927949999999998</v>
      </c>
      <c r="AB1917">
        <v>30</v>
      </c>
      <c r="AC1917">
        <v>-0.50939999999999896</v>
      </c>
      <c r="AD1917">
        <v>-6.5842000000000095E-2</v>
      </c>
      <c r="AE1917">
        <v>5.6100000000014902E-2</v>
      </c>
      <c r="AF1917">
        <v>0.113811696777251</v>
      </c>
      <c r="AG1917">
        <v>-6.5842000000000095E-2</v>
      </c>
      <c r="AH1917">
        <v>0.49114374151726398</v>
      </c>
      <c r="AI1917">
        <v>97.440600217311697</v>
      </c>
      <c r="AJ1917">
        <v>76.953244939142294</v>
      </c>
      <c r="AK1917">
        <v>0.50843922559032895</v>
      </c>
      <c r="AL1917">
        <v>95.957296608447905</v>
      </c>
      <c r="AM1917">
        <v>84.279403202691398</v>
      </c>
      <c r="AN1917">
        <v>0.99999997656910899</v>
      </c>
    </row>
    <row r="1918" spans="1:40" x14ac:dyDescent="0.25">
      <c r="A1918" t="str">
        <f>"20190303154805199"</f>
        <v>20190303154805199</v>
      </c>
      <c r="B1918" t="str">
        <f>"1551599285192542"</f>
        <v>1551599285192542</v>
      </c>
      <c r="C1918" t="s">
        <v>40</v>
      </c>
      <c r="D1918">
        <v>6.2701650000000004</v>
      </c>
      <c r="E1918">
        <v>0.51863970000000004</v>
      </c>
      <c r="F1918" t="s">
        <v>52</v>
      </c>
      <c r="G1918">
        <v>-234.17779999999999</v>
      </c>
      <c r="H1918" s="1">
        <v>6.693256E-7</v>
      </c>
      <c r="I1918">
        <v>285.00779999999997</v>
      </c>
      <c r="J1918">
        <v>-219.7158</v>
      </c>
      <c r="K1918">
        <v>1.1160749999999999</v>
      </c>
      <c r="L1918">
        <v>284.49590000000001</v>
      </c>
      <c r="M1918">
        <v>-0.99348040000000004</v>
      </c>
      <c r="N1918">
        <v>-2.0005129999999999E-4</v>
      </c>
      <c r="O1918">
        <v>-0.1140032</v>
      </c>
      <c r="P1918">
        <v>-0.99433590000000005</v>
      </c>
      <c r="Q1918">
        <v>-0.10553700000000001</v>
      </c>
      <c r="R1918">
        <v>-1.2576800000000001E-2</v>
      </c>
      <c r="S1918">
        <v>-2.9947659999999998</v>
      </c>
      <c r="T1918">
        <v>-0.22671769999999999</v>
      </c>
      <c r="U1918">
        <v>9.7717289999999998E-2</v>
      </c>
      <c r="V1918">
        <v>0.1001257</v>
      </c>
      <c r="W1918">
        <v>-0.10603990000000001</v>
      </c>
      <c r="X1918">
        <v>0.98930810000000002</v>
      </c>
      <c r="Y1918">
        <v>0.145600799999999</v>
      </c>
      <c r="Z1918">
        <v>1.409964E-2</v>
      </c>
      <c r="AA1918">
        <v>0.98924299999999998</v>
      </c>
      <c r="AB1918">
        <v>30</v>
      </c>
      <c r="AC1918">
        <v>-14.4619999999999</v>
      </c>
      <c r="AD1918">
        <v>-1.1160743306744001</v>
      </c>
      <c r="AE1918">
        <v>0.51189999999996805</v>
      </c>
      <c r="AF1918">
        <v>2.1445208136731901</v>
      </c>
      <c r="AG1918">
        <v>-1.1160743306744001</v>
      </c>
      <c r="AH1918">
        <v>14.2247434042214</v>
      </c>
      <c r="AI1918">
        <v>94.436311384479097</v>
      </c>
      <c r="AJ1918">
        <v>81.426658466581102</v>
      </c>
      <c r="AK1918">
        <v>14.428718458262599</v>
      </c>
      <c r="AL1918">
        <v>96.087082540010698</v>
      </c>
      <c r="AM1918">
        <v>84.220898201155904</v>
      </c>
      <c r="AN1918">
        <v>1.00000006645905</v>
      </c>
    </row>
    <row r="1919" spans="1:40" x14ac:dyDescent="0.25">
      <c r="A1919" t="str">
        <f>"20190303154805221"</f>
        <v>20190303154805221</v>
      </c>
      <c r="B1919" t="str">
        <f>"1551599285213038"</f>
        <v>1551599285213038</v>
      </c>
      <c r="C1919" t="s">
        <v>40</v>
      </c>
      <c r="D1919">
        <v>6.2820850000000004</v>
      </c>
      <c r="E1919">
        <v>0.51849299999999998</v>
      </c>
      <c r="F1919" t="s">
        <v>52</v>
      </c>
      <c r="G1919">
        <v>-234.0411</v>
      </c>
      <c r="H1919" s="1">
        <v>5.9550980000000003E-7</v>
      </c>
      <c r="I1919">
        <v>285.0326</v>
      </c>
      <c r="J1919">
        <v>-220.0181</v>
      </c>
      <c r="K1919">
        <v>1.1156489999999999</v>
      </c>
      <c r="L1919">
        <v>284.46499999999997</v>
      </c>
      <c r="M1919">
        <v>-0.993973</v>
      </c>
      <c r="N1919">
        <v>-2.427916E-4</v>
      </c>
      <c r="O1919">
        <v>-0.1096246</v>
      </c>
      <c r="P1919">
        <v>-0.99392230000000004</v>
      </c>
      <c r="Q1919">
        <v>-0.1098571</v>
      </c>
      <c r="R1919">
        <v>-7.0728650000000002E-3</v>
      </c>
      <c r="S1919">
        <v>-2.9937589999999998</v>
      </c>
      <c r="T1919">
        <v>-0.23324039999999999</v>
      </c>
      <c r="U1919">
        <v>0.1121521</v>
      </c>
      <c r="V1919">
        <v>0.10105790000000001</v>
      </c>
      <c r="W1919">
        <v>-0.1104199</v>
      </c>
      <c r="X1919">
        <v>0.98873390000000005</v>
      </c>
      <c r="Y1919">
        <v>0.14598520000000001</v>
      </c>
      <c r="Z1919">
        <v>1.4183650000000001E-2</v>
      </c>
      <c r="AA1919">
        <v>0.98918510000000004</v>
      </c>
      <c r="AB1919">
        <v>30</v>
      </c>
      <c r="AC1919">
        <v>-14.0229999999999</v>
      </c>
      <c r="AD1919">
        <v>-1.1156484044902</v>
      </c>
      <c r="AE1919">
        <v>0.56760000000002697</v>
      </c>
      <c r="AF1919">
        <v>2.0882489129856801</v>
      </c>
      <c r="AG1919">
        <v>-1.1156484044902</v>
      </c>
      <c r="AH1919">
        <v>13.789125107541601</v>
      </c>
      <c r="AI1919">
        <v>94.573677085786102</v>
      </c>
      <c r="AJ1919">
        <v>81.388464394186698</v>
      </c>
      <c r="AK1919">
        <v>13.990905121415899</v>
      </c>
      <c r="AL1919">
        <v>96.339521590555293</v>
      </c>
      <c r="AM1919">
        <v>84.164098462164901</v>
      </c>
      <c r="AN1919">
        <v>0.99999998923881495</v>
      </c>
    </row>
    <row r="1920" spans="1:40" x14ac:dyDescent="0.25">
      <c r="A1920" t="str">
        <f>"20190303154805244"</f>
        <v>20190303154805244</v>
      </c>
      <c r="B1920" t="str">
        <f>"1551599285232558"</f>
        <v>1551599285232558</v>
      </c>
      <c r="C1920" t="s">
        <v>40</v>
      </c>
      <c r="D1920">
        <v>6.2885970000000002</v>
      </c>
      <c r="E1920">
        <v>0.51836680000000002</v>
      </c>
      <c r="F1920" t="s">
        <v>42</v>
      </c>
      <c r="G1920">
        <v>-221.018</v>
      </c>
      <c r="H1920">
        <v>1.0331870000000001</v>
      </c>
      <c r="I1920">
        <v>284.50790000000001</v>
      </c>
      <c r="J1920">
        <v>-220.33860000000001</v>
      </c>
      <c r="K1920">
        <v>1.1152230000000001</v>
      </c>
      <c r="L1920">
        <v>284.43430000000001</v>
      </c>
      <c r="M1920">
        <v>-0.99452200000000002</v>
      </c>
      <c r="N1920">
        <v>-2.9275329999999997E-4</v>
      </c>
      <c r="O1920">
        <v>-0.1045273</v>
      </c>
      <c r="P1920">
        <v>-0.9936564</v>
      </c>
      <c r="Q1920">
        <v>-0.1123808</v>
      </c>
      <c r="R1920">
        <v>-4.2169340000000003E-3</v>
      </c>
      <c r="S1920">
        <v>-2.9919739999999999</v>
      </c>
      <c r="T1920">
        <v>-0.2467539</v>
      </c>
      <c r="U1920">
        <v>0.12789919999999999</v>
      </c>
      <c r="V1920">
        <v>9.8674380000000006E-2</v>
      </c>
      <c r="W1920">
        <v>-0.11296929999999999</v>
      </c>
      <c r="X1920">
        <v>0.98868670000000003</v>
      </c>
      <c r="Y1920">
        <v>0.14605799999999999</v>
      </c>
      <c r="Z1920">
        <v>1.4595800000000001E-2</v>
      </c>
      <c r="AA1920">
        <v>0.9891683</v>
      </c>
      <c r="AB1920">
        <v>30</v>
      </c>
      <c r="AC1920">
        <v>-0.67939999999998602</v>
      </c>
      <c r="AD1920">
        <v>-8.2035999999999706E-2</v>
      </c>
      <c r="AE1920">
        <v>7.3599999999999E-2</v>
      </c>
      <c r="AF1920">
        <v>0.14216395996388201</v>
      </c>
      <c r="AG1920">
        <v>-8.2035999999999706E-2</v>
      </c>
      <c r="AH1920">
        <v>0.65849554151158296</v>
      </c>
      <c r="AI1920">
        <v>96.943027380770502</v>
      </c>
      <c r="AJ1920">
        <v>77.817275670361099</v>
      </c>
      <c r="AK1920">
        <v>0.67864340783598998</v>
      </c>
      <c r="AL1920">
        <v>96.486510917376805</v>
      </c>
      <c r="AM1920">
        <v>84.300554977998004</v>
      </c>
      <c r="AN1920">
        <v>1.00000004338388</v>
      </c>
    </row>
    <row r="1921" spans="1:40" x14ac:dyDescent="0.25">
      <c r="A1921" t="str">
        <f>"20190303154805265"</f>
        <v>20190303154805265</v>
      </c>
      <c r="B1921" t="str">
        <f>"1551599285262813"</f>
        <v>1551599285262813</v>
      </c>
      <c r="C1921" t="s">
        <v>40</v>
      </c>
      <c r="D1921">
        <v>6.3382889999999996</v>
      </c>
      <c r="E1921">
        <v>0.51805389999999996</v>
      </c>
      <c r="F1921" t="s">
        <v>42</v>
      </c>
      <c r="G1921">
        <v>-221.2936</v>
      </c>
      <c r="H1921">
        <v>1.0340830000000001</v>
      </c>
      <c r="I1921">
        <v>284.4776</v>
      </c>
      <c r="J1921">
        <v>-220.63300000000001</v>
      </c>
      <c r="K1921">
        <v>1.1149009999999999</v>
      </c>
      <c r="L1921">
        <v>284.40769999999998</v>
      </c>
      <c r="M1921">
        <v>-0.99503319999999995</v>
      </c>
      <c r="N1921">
        <v>-3.3848359999999998E-4</v>
      </c>
      <c r="O1921">
        <v>-9.9544209999999994E-2</v>
      </c>
      <c r="P1921">
        <v>-0.99377819999999994</v>
      </c>
      <c r="Q1921">
        <v>-0.1113358</v>
      </c>
      <c r="R1921">
        <v>-3.1164280000000001E-3</v>
      </c>
      <c r="S1921">
        <v>-2.9909970000000001</v>
      </c>
      <c r="T1921">
        <v>-0.25411590000000001</v>
      </c>
      <c r="U1921">
        <v>0.13510129999999901</v>
      </c>
      <c r="V1921">
        <v>9.4750780000000007E-2</v>
      </c>
      <c r="W1921">
        <v>-0.1119184</v>
      </c>
      <c r="X1921">
        <v>0.98918989999999996</v>
      </c>
      <c r="Y1921">
        <v>0.14346900000000001</v>
      </c>
      <c r="Z1921">
        <v>1.450327E-2</v>
      </c>
      <c r="AA1921">
        <v>0.9895486</v>
      </c>
      <c r="AB1921">
        <v>31</v>
      </c>
      <c r="AC1921">
        <v>-0.66060000000001595</v>
      </c>
      <c r="AD1921">
        <v>-8.0817999999999807E-2</v>
      </c>
      <c r="AE1921">
        <v>6.9900000000018198E-2</v>
      </c>
      <c r="AF1921">
        <v>0.13333812340332599</v>
      </c>
      <c r="AG1921">
        <v>-8.0817999999999807E-2</v>
      </c>
      <c r="AH1921">
        <v>0.64087489074547399</v>
      </c>
      <c r="AI1921">
        <v>97.038227396972403</v>
      </c>
      <c r="AJ1921">
        <v>78.246918922938903</v>
      </c>
      <c r="AK1921">
        <v>0.65956897278809501</v>
      </c>
      <c r="AL1921">
        <v>96.425914452240093</v>
      </c>
      <c r="AM1921">
        <v>84.528545572288294</v>
      </c>
      <c r="AN1921">
        <v>1.00000004841558</v>
      </c>
    </row>
    <row r="1922" spans="1:40" x14ac:dyDescent="0.25">
      <c r="A1922" t="str">
        <f>"20190303154805289"</f>
        <v>20190303154805289</v>
      </c>
      <c r="B1922" t="str">
        <f>"1551599285282333"</f>
        <v>1551599285282333</v>
      </c>
      <c r="C1922" t="s">
        <v>40</v>
      </c>
      <c r="D1922">
        <v>6.3398289999999999</v>
      </c>
      <c r="E1922">
        <v>0.51782839999999997</v>
      </c>
      <c r="F1922" t="s">
        <v>42</v>
      </c>
      <c r="G1922">
        <v>-221.5719</v>
      </c>
      <c r="H1922">
        <v>1.0362549999999999</v>
      </c>
      <c r="I1922">
        <v>284.4504</v>
      </c>
      <c r="J1922">
        <v>-220.95599999999999</v>
      </c>
      <c r="K1922">
        <v>1.114579</v>
      </c>
      <c r="L1922">
        <v>284.38060000000002</v>
      </c>
      <c r="M1922">
        <v>-0.99559500000000001</v>
      </c>
      <c r="N1922">
        <v>-3.9339300000000002E-4</v>
      </c>
      <c r="O1922">
        <v>-9.375841E-2</v>
      </c>
      <c r="P1922">
        <v>-0.99381819999999998</v>
      </c>
      <c r="Q1922">
        <v>-0.11099680000000001</v>
      </c>
      <c r="R1922">
        <v>-2.274234E-3</v>
      </c>
      <c r="S1922">
        <v>-2.9911349999999999</v>
      </c>
      <c r="T1922">
        <v>-0.25051499999999999</v>
      </c>
      <c r="U1922">
        <v>0.13546749999999999</v>
      </c>
      <c r="V1922">
        <v>8.9758840000000006E-2</v>
      </c>
      <c r="W1922">
        <v>-0.1115474</v>
      </c>
      <c r="X1922">
        <v>0.98969720000000005</v>
      </c>
      <c r="Y1922">
        <v>0.13789770000000001</v>
      </c>
      <c r="Z1922">
        <v>1.3582250000000001E-2</v>
      </c>
      <c r="AA1922">
        <v>0.99035329999999999</v>
      </c>
      <c r="AB1922">
        <v>31</v>
      </c>
      <c r="AC1922">
        <v>-0.61590000000001</v>
      </c>
      <c r="AD1922">
        <v>-7.8324000000000005E-2</v>
      </c>
      <c r="AE1922">
        <v>6.9799999999986498E-2</v>
      </c>
      <c r="AF1922">
        <v>0.12523863138335101</v>
      </c>
      <c r="AG1922">
        <v>-7.8324000000000005E-2</v>
      </c>
      <c r="AH1922">
        <v>0.59710850094336099</v>
      </c>
      <c r="AI1922">
        <v>97.315545452823201</v>
      </c>
      <c r="AJ1922">
        <v>78.154388733986195</v>
      </c>
      <c r="AK1922">
        <v>0.61510806015333896</v>
      </c>
      <c r="AL1922">
        <v>96.404524025118207</v>
      </c>
      <c r="AM1922">
        <v>84.817837631751104</v>
      </c>
      <c r="AN1922">
        <v>1.0000000097463699</v>
      </c>
    </row>
    <row r="1923" spans="1:40" x14ac:dyDescent="0.25">
      <c r="A1923" t="str">
        <f>"20190303154805310"</f>
        <v>20190303154805310</v>
      </c>
      <c r="B1923" t="str">
        <f>"1551599285302829"</f>
        <v>1551599285302829</v>
      </c>
      <c r="C1923" t="s">
        <v>40</v>
      </c>
      <c r="D1923">
        <v>6.3371029999999999</v>
      </c>
      <c r="E1923">
        <v>0.51766909999999999</v>
      </c>
      <c r="F1923" t="s">
        <v>42</v>
      </c>
      <c r="G1923">
        <v>-221.85239999999999</v>
      </c>
      <c r="H1923">
        <v>1.039682</v>
      </c>
      <c r="I1923">
        <v>284.42140000000001</v>
      </c>
      <c r="J1923">
        <v>-221.2561</v>
      </c>
      <c r="K1923">
        <v>1.1143069999999999</v>
      </c>
      <c r="L1923">
        <v>284.35730000000001</v>
      </c>
      <c r="M1923">
        <v>-0.99611039999999995</v>
      </c>
      <c r="N1923">
        <v>-4.5092119999999997E-4</v>
      </c>
      <c r="O1923">
        <v>-8.8113430000000006E-2</v>
      </c>
      <c r="P1923">
        <v>-0.99369479999999999</v>
      </c>
      <c r="Q1923">
        <v>-0.11211740000000001</v>
      </c>
      <c r="R1923">
        <v>-7.3590549999999998E-4</v>
      </c>
      <c r="S1923">
        <v>-2.9910580000000002</v>
      </c>
      <c r="T1923">
        <v>-0.24993470000000001</v>
      </c>
      <c r="U1923">
        <v>0.13610839999999999</v>
      </c>
      <c r="V1923">
        <v>8.5581560000000001E-2</v>
      </c>
      <c r="W1923">
        <v>-0.1126268</v>
      </c>
      <c r="X1923">
        <v>0.98994490000000002</v>
      </c>
      <c r="Y1923">
        <v>0.13253679999999901</v>
      </c>
      <c r="Z1923">
        <v>1.285797E-2</v>
      </c>
      <c r="AA1923">
        <v>0.99109460000000005</v>
      </c>
      <c r="AB1923">
        <v>31</v>
      </c>
      <c r="AC1923">
        <v>-0.59629999999998495</v>
      </c>
      <c r="AD1923">
        <v>-7.46249999999999E-2</v>
      </c>
      <c r="AE1923">
        <v>6.4099999999996202E-2</v>
      </c>
      <c r="AF1923">
        <v>0.114618111652845</v>
      </c>
      <c r="AG1923">
        <v>-7.46249999999999E-2</v>
      </c>
      <c r="AH1923">
        <v>0.57936243824140699</v>
      </c>
      <c r="AI1923">
        <v>97.201524158399707</v>
      </c>
      <c r="AJ1923">
        <v>78.809396780383906</v>
      </c>
      <c r="AK1923">
        <v>0.59528735665129995</v>
      </c>
      <c r="AL1923">
        <v>96.466761660600497</v>
      </c>
      <c r="AM1923">
        <v>85.059016986023593</v>
      </c>
      <c r="AN1923">
        <v>0.99999995226313998</v>
      </c>
    </row>
    <row r="1924" spans="1:40" x14ac:dyDescent="0.25">
      <c r="A1924" t="str">
        <f>"20190303154805333"</f>
        <v>20190303154805333</v>
      </c>
      <c r="B1924" t="str">
        <f>"1551599285322855"</f>
        <v>1551599285322855</v>
      </c>
      <c r="C1924" t="s">
        <v>40</v>
      </c>
      <c r="D1924">
        <v>6.3107230000000003</v>
      </c>
      <c r="E1924">
        <v>0.51752900000000002</v>
      </c>
      <c r="F1924" t="s">
        <v>42</v>
      </c>
      <c r="G1924">
        <v>-222.13380000000001</v>
      </c>
      <c r="H1924">
        <v>1.0395650000000001</v>
      </c>
      <c r="I1924">
        <v>284.39859999999999</v>
      </c>
      <c r="J1924">
        <v>-221.58439999999999</v>
      </c>
      <c r="K1924">
        <v>1.1140289999999999</v>
      </c>
      <c r="L1924">
        <v>284.334</v>
      </c>
      <c r="M1924">
        <v>-0.99665950000000003</v>
      </c>
      <c r="N1924">
        <v>-5.2078809999999895E-4</v>
      </c>
      <c r="O1924">
        <v>-8.1668329999999997E-2</v>
      </c>
      <c r="P1924">
        <v>-0.99378880000000003</v>
      </c>
      <c r="Q1924">
        <v>-0.1112504</v>
      </c>
      <c r="R1924">
        <v>2.7308359999999999E-3</v>
      </c>
      <c r="S1924">
        <v>-2.9904329999999999</v>
      </c>
      <c r="T1924">
        <v>-0.25457679999999999</v>
      </c>
      <c r="U1924">
        <v>0.13980100000000001</v>
      </c>
      <c r="V1924">
        <v>8.2570500000000005E-2</v>
      </c>
      <c r="W1924">
        <v>-0.1117166</v>
      </c>
      <c r="X1924">
        <v>0.99030379999999996</v>
      </c>
      <c r="Y1924">
        <v>0.1273678</v>
      </c>
      <c r="Z1924">
        <v>1.2333139999999999E-2</v>
      </c>
      <c r="AA1924">
        <v>0.99177890000000002</v>
      </c>
      <c r="AB1924">
        <v>31</v>
      </c>
      <c r="AC1924">
        <v>-0.54940000000001898</v>
      </c>
      <c r="AD1924">
        <v>-7.4464000000000002E-2</v>
      </c>
      <c r="AE1924">
        <v>6.4599999999984406E-2</v>
      </c>
      <c r="AF1924">
        <v>0.107308390237559</v>
      </c>
      <c r="AG1924">
        <v>-7.4464000000000002E-2</v>
      </c>
      <c r="AH1924">
        <v>0.53263772863312298</v>
      </c>
      <c r="AI1924">
        <v>97.803697083435196</v>
      </c>
      <c r="AJ1924">
        <v>78.609325578275801</v>
      </c>
      <c r="AK1924">
        <v>0.54841856995804705</v>
      </c>
      <c r="AL1924">
        <v>96.414279178798793</v>
      </c>
      <c r="AM1924">
        <v>85.233762186040593</v>
      </c>
      <c r="AN1924">
        <v>1.0000000512401199</v>
      </c>
    </row>
    <row r="1925" spans="1:40" x14ac:dyDescent="0.25">
      <c r="A1925" t="str">
        <f>"20190303154805356"</f>
        <v>20190303154805356</v>
      </c>
      <c r="B1925" t="str">
        <f>"1551599285352135"</f>
        <v>1551599285352135</v>
      </c>
      <c r="C1925" t="s">
        <v>40</v>
      </c>
      <c r="D1925">
        <v>6.3300330000000002</v>
      </c>
      <c r="E1925">
        <v>0.51733359999999995</v>
      </c>
      <c r="F1925" t="s">
        <v>42</v>
      </c>
      <c r="G1925">
        <v>-222.4187</v>
      </c>
      <c r="H1925">
        <v>1.04347099999999</v>
      </c>
      <c r="I1925">
        <v>284.37569999999999</v>
      </c>
      <c r="J1925">
        <v>-221.89850000000001</v>
      </c>
      <c r="K1925">
        <v>1.1137969999999999</v>
      </c>
      <c r="L1925">
        <v>284.31389999999999</v>
      </c>
      <c r="M1925">
        <v>-0.9971624</v>
      </c>
      <c r="N1925">
        <v>-5.9241380000000002E-4</v>
      </c>
      <c r="O1925">
        <v>-7.5277990000000003E-2</v>
      </c>
      <c r="P1925">
        <v>-0.99426950000000003</v>
      </c>
      <c r="Q1925">
        <v>-0.10673059999999999</v>
      </c>
      <c r="R1925">
        <v>6.0654209999999997E-3</v>
      </c>
      <c r="S1925">
        <v>-2.9900359999999999</v>
      </c>
      <c r="T1925">
        <v>-0.25280279999999999</v>
      </c>
      <c r="U1925">
        <v>0.14916989999999999</v>
      </c>
      <c r="V1925">
        <v>7.956887E-2</v>
      </c>
      <c r="W1925">
        <v>-0.10714120000000001</v>
      </c>
      <c r="X1925">
        <v>0.99105480000000001</v>
      </c>
      <c r="Y1925">
        <v>0.1241607</v>
      </c>
      <c r="Z1925">
        <v>1.1576410000000001E-2</v>
      </c>
      <c r="AA1925">
        <v>0.99219460000000004</v>
      </c>
      <c r="AB1925">
        <v>31</v>
      </c>
      <c r="AC1925">
        <v>-0.52019999999998801</v>
      </c>
      <c r="AD1925">
        <v>-7.0326000000000097E-2</v>
      </c>
      <c r="AE1925">
        <v>6.1800000000005101E-2</v>
      </c>
      <c r="AF1925">
        <v>9.90000796073746E-2</v>
      </c>
      <c r="AG1925">
        <v>-7.0326000000000097E-2</v>
      </c>
      <c r="AH1925">
        <v>0.50497117307825801</v>
      </c>
      <c r="AI1925">
        <v>97.782155234825794</v>
      </c>
      <c r="AJ1925">
        <v>78.907793114007504</v>
      </c>
      <c r="AK1925">
        <v>0.51936754584619405</v>
      </c>
      <c r="AL1925">
        <v>96.150544150611495</v>
      </c>
      <c r="AM1925">
        <v>85.409736736099703</v>
      </c>
      <c r="AN1925">
        <v>1.0000000292067699</v>
      </c>
    </row>
    <row r="1926" spans="1:40" x14ac:dyDescent="0.25">
      <c r="A1926" t="str">
        <f>"20190303154805379"</f>
        <v>20190303154805379</v>
      </c>
      <c r="B1926" t="str">
        <f>"1551599285372631"</f>
        <v>1551599285372631</v>
      </c>
      <c r="C1926" t="s">
        <v>40</v>
      </c>
      <c r="D1926">
        <v>6.3379379999999896</v>
      </c>
      <c r="E1926">
        <v>0.51721340000000005</v>
      </c>
      <c r="F1926" t="s">
        <v>42</v>
      </c>
      <c r="G1926">
        <v>-222.70750000000001</v>
      </c>
      <c r="H1926">
        <v>1.0488120000000001</v>
      </c>
      <c r="I1926">
        <v>284.35680000000002</v>
      </c>
      <c r="J1926">
        <v>-222.24430000000001</v>
      </c>
      <c r="K1926">
        <v>1.1135740000000001</v>
      </c>
      <c r="L1926">
        <v>284.29410000000001</v>
      </c>
      <c r="M1926">
        <v>-0.99768109999999999</v>
      </c>
      <c r="N1926">
        <v>-6.7207919999999997E-4</v>
      </c>
      <c r="O1926">
        <v>-6.8057980000000004E-2</v>
      </c>
      <c r="P1926">
        <v>-0.99494360000000004</v>
      </c>
      <c r="Q1926">
        <v>-9.992732E-2</v>
      </c>
      <c r="R1926">
        <v>1.0097109999999999E-2</v>
      </c>
      <c r="S1926">
        <v>-2.99057</v>
      </c>
      <c r="T1926">
        <v>-0.24004400000000001</v>
      </c>
      <c r="U1926">
        <v>0.15774540000000001</v>
      </c>
      <c r="V1926">
        <v>7.6485659999999997E-2</v>
      </c>
      <c r="W1926">
        <v>-0.10026740000000001</v>
      </c>
      <c r="X1926">
        <v>0.99201629999999996</v>
      </c>
      <c r="Y1926">
        <v>0.11991300000000001</v>
      </c>
      <c r="Z1926">
        <v>1.024577E-2</v>
      </c>
      <c r="AA1926">
        <v>0.99273149999999999</v>
      </c>
      <c r="AB1926">
        <v>32</v>
      </c>
      <c r="AC1926">
        <v>-0.4632</v>
      </c>
      <c r="AD1926">
        <v>-6.4761999999999903E-2</v>
      </c>
      <c r="AE1926">
        <v>6.2700000000006598E-2</v>
      </c>
      <c r="AF1926">
        <v>9.2307129860857304E-2</v>
      </c>
      <c r="AG1926">
        <v>-6.4761999999999903E-2</v>
      </c>
      <c r="AH1926">
        <v>0.44923511451776998</v>
      </c>
      <c r="AI1926">
        <v>98.037618063326505</v>
      </c>
      <c r="AJ1926">
        <v>78.388691668670504</v>
      </c>
      <c r="AK1926">
        <v>0.46317049882623501</v>
      </c>
      <c r="AL1926">
        <v>95.754568913238103</v>
      </c>
      <c r="AM1926">
        <v>85.591148378480099</v>
      </c>
      <c r="AN1926">
        <v>0.99999997357704196</v>
      </c>
    </row>
    <row r="1927" spans="1:40" x14ac:dyDescent="0.25">
      <c r="A1927" t="str">
        <f>"20190303154805399"</f>
        <v>20190303154805399</v>
      </c>
      <c r="B1927" t="str">
        <f>"1551599285392151"</f>
        <v>1551599285392151</v>
      </c>
      <c r="C1927" t="s">
        <v>40</v>
      </c>
      <c r="D1927">
        <v>6.3374779999999999</v>
      </c>
      <c r="E1927">
        <v>0.51707769999999997</v>
      </c>
      <c r="F1927" t="s">
        <v>42</v>
      </c>
      <c r="G1927">
        <v>-223.0104</v>
      </c>
      <c r="H1927">
        <v>1.0572330000000001</v>
      </c>
      <c r="I1927">
        <v>284.3374</v>
      </c>
      <c r="J1927">
        <v>-222.53899999999999</v>
      </c>
      <c r="K1927">
        <v>1.1134310000000001</v>
      </c>
      <c r="L1927">
        <v>284.27940000000001</v>
      </c>
      <c r="M1927">
        <v>-0.99808819999999998</v>
      </c>
      <c r="N1927">
        <v>-7.358245E-4</v>
      </c>
      <c r="O1927">
        <v>-6.1802219999999998E-2</v>
      </c>
      <c r="P1927">
        <v>-0.99543369999999998</v>
      </c>
      <c r="Q1927">
        <v>-9.4356049999999997E-2</v>
      </c>
      <c r="R1927">
        <v>1.446013E-2</v>
      </c>
      <c r="S1927">
        <v>-2.9914550000000002</v>
      </c>
      <c r="T1927">
        <v>-0.2200048</v>
      </c>
      <c r="U1927">
        <v>0.16906740000000001</v>
      </c>
      <c r="V1927">
        <v>7.468458E-2</v>
      </c>
      <c r="W1927">
        <v>-9.4640210000000002E-2</v>
      </c>
      <c r="X1927">
        <v>0.99270610000000004</v>
      </c>
      <c r="Y1927">
        <v>0.1175397</v>
      </c>
      <c r="Z1927">
        <v>8.8461730000000006E-3</v>
      </c>
      <c r="AA1927">
        <v>0.99302880000000004</v>
      </c>
      <c r="AB1927">
        <v>32</v>
      </c>
      <c r="AC1927">
        <v>-0.471399999999988</v>
      </c>
      <c r="AD1927">
        <v>-5.6197999999999901E-2</v>
      </c>
      <c r="AE1927">
        <v>5.7999999999992703E-2</v>
      </c>
      <c r="AF1927">
        <v>8.5821178564742195E-2</v>
      </c>
      <c r="AG1927">
        <v>-5.6197999999999901E-2</v>
      </c>
      <c r="AH1927">
        <v>0.46046766363847302</v>
      </c>
      <c r="AI1927">
        <v>96.841611041788994</v>
      </c>
      <c r="AJ1927">
        <v>79.442443497746595</v>
      </c>
      <c r="AK1927">
        <v>0.47175624972109798</v>
      </c>
      <c r="AL1927">
        <v>95.4306121810599</v>
      </c>
      <c r="AM1927">
        <v>85.697553179743494</v>
      </c>
      <c r="AN1927">
        <v>0.99999997840791499</v>
      </c>
    </row>
    <row r="1928" spans="1:40" x14ac:dyDescent="0.25">
      <c r="A1928" t="str">
        <f>"20190303154805423"</f>
        <v>20190303154805423</v>
      </c>
      <c r="B1928" t="str">
        <f>"1551599285412179"</f>
        <v>1551599285412179</v>
      </c>
      <c r="C1928" t="s">
        <v>40</v>
      </c>
      <c r="D1928">
        <v>6.3323689999999999</v>
      </c>
      <c r="E1928">
        <v>0.51699529999999905</v>
      </c>
      <c r="F1928" t="s">
        <v>52</v>
      </c>
      <c r="G1928">
        <v>-238.83670000000001</v>
      </c>
      <c r="H1928" s="1">
        <v>3.1372319999999998E-6</v>
      </c>
      <c r="I1928">
        <v>285.26710000000003</v>
      </c>
      <c r="J1928">
        <v>-222.87090000000001</v>
      </c>
      <c r="K1928">
        <v>1.1133029999999999</v>
      </c>
      <c r="L1928">
        <v>284.26519999999999</v>
      </c>
      <c r="M1928">
        <v>-0.99850030000000001</v>
      </c>
      <c r="N1928">
        <v>-7.9833020000000005E-4</v>
      </c>
      <c r="O1928">
        <v>-5.4740759999999999E-2</v>
      </c>
      <c r="P1928">
        <v>-0.99564759999999997</v>
      </c>
      <c r="Q1928">
        <v>-9.0810769999999999E-2</v>
      </c>
      <c r="R1928">
        <v>2.09605E-2</v>
      </c>
      <c r="S1928">
        <v>-2.9917600000000002</v>
      </c>
      <c r="T1928">
        <v>-0.2043914</v>
      </c>
      <c r="U1928">
        <v>0.18130489999999999</v>
      </c>
      <c r="V1928">
        <v>7.4183109999999997E-2</v>
      </c>
      <c r="W1928">
        <v>-9.1049569999999996E-2</v>
      </c>
      <c r="X1928">
        <v>0.9930795</v>
      </c>
      <c r="Y1928">
        <v>0.1146465</v>
      </c>
      <c r="Z1928">
        <v>7.64249599999999E-3</v>
      </c>
      <c r="AA1928">
        <v>0.99337699999999995</v>
      </c>
      <c r="AB1928">
        <v>32</v>
      </c>
      <c r="AC1928">
        <v>-15.9658</v>
      </c>
      <c r="AD1928">
        <v>-1.113299862768</v>
      </c>
      <c r="AE1928">
        <v>1.00190000000003</v>
      </c>
      <c r="AF1928">
        <v>1.8653437297219699</v>
      </c>
      <c r="AG1928">
        <v>-1.113299862768</v>
      </c>
      <c r="AH1928">
        <v>15.810442306514201</v>
      </c>
      <c r="AI1928">
        <v>94.000207737628998</v>
      </c>
      <c r="AJ1928">
        <v>83.271249050164599</v>
      </c>
      <c r="AK1928">
        <v>15.958979595891099</v>
      </c>
      <c r="AL1928">
        <v>95.223990814435297</v>
      </c>
      <c r="AM1928">
        <v>85.727935547461499</v>
      </c>
      <c r="AN1928">
        <v>1.0000000256633499</v>
      </c>
    </row>
    <row r="1929" spans="1:40" x14ac:dyDescent="0.25">
      <c r="A1929" t="str">
        <f>"20190303154805444"</f>
        <v>20190303154805444</v>
      </c>
      <c r="B1929" t="str">
        <f>"1551599285432678"</f>
        <v>1551599285432678</v>
      </c>
      <c r="C1929" t="s">
        <v>40</v>
      </c>
      <c r="D1929">
        <v>6.2782030000000004</v>
      </c>
      <c r="E1929">
        <v>0.51694949999999995</v>
      </c>
      <c r="F1929" t="s">
        <v>42</v>
      </c>
      <c r="G1929">
        <v>-223.86869999999999</v>
      </c>
      <c r="H1929">
        <v>1.0482340000000001</v>
      </c>
      <c r="I1929">
        <v>284.3322</v>
      </c>
      <c r="J1929">
        <v>-223.18369999999999</v>
      </c>
      <c r="K1929">
        <v>1.1132299999999999</v>
      </c>
      <c r="L1929">
        <v>284.25380000000001</v>
      </c>
      <c r="M1929">
        <v>-0.99883999999999995</v>
      </c>
      <c r="N1929">
        <v>-8.4726140000000001E-4</v>
      </c>
      <c r="O1929">
        <v>-4.8144979999999997E-2</v>
      </c>
      <c r="P1929">
        <v>-0.99561270000000002</v>
      </c>
      <c r="Q1929">
        <v>-8.9587959999999994E-2</v>
      </c>
      <c r="R1929">
        <v>2.700967E-2</v>
      </c>
      <c r="S1929">
        <v>-2.9911189999999999</v>
      </c>
      <c r="T1929">
        <v>-0.19494839999999999</v>
      </c>
      <c r="U1929">
        <v>0.2001648</v>
      </c>
      <c r="V1929">
        <v>7.3667339999999998E-2</v>
      </c>
      <c r="W1929">
        <v>-8.9782459999999994E-2</v>
      </c>
      <c r="X1929">
        <v>0.99323320000000004</v>
      </c>
      <c r="Y1929">
        <v>0.1143864</v>
      </c>
      <c r="Z1929">
        <v>6.8587989999999996E-3</v>
      </c>
      <c r="AA1929">
        <v>0.99341270000000004</v>
      </c>
      <c r="AB1929">
        <v>32</v>
      </c>
      <c r="AC1929">
        <v>-0.68500000000000205</v>
      </c>
      <c r="AD1929">
        <v>-6.4995999999999804E-2</v>
      </c>
      <c r="AE1929">
        <v>7.8399999999987799E-2</v>
      </c>
      <c r="AF1929">
        <v>0.11030813284527601</v>
      </c>
      <c r="AG1929">
        <v>-6.4995999999999804E-2</v>
      </c>
      <c r="AH1929">
        <v>0.67443755894916302</v>
      </c>
      <c r="AI1929">
        <v>95.432887533202901</v>
      </c>
      <c r="AJ1929">
        <v>80.711190484021401</v>
      </c>
      <c r="AK1929">
        <v>0.68648261821339396</v>
      </c>
      <c r="AL1929">
        <v>95.151092413783303</v>
      </c>
      <c r="AM1929">
        <v>85.758183052817699</v>
      </c>
      <c r="AN1929">
        <v>0.999999978344283</v>
      </c>
    </row>
    <row r="1930" spans="1:40" x14ac:dyDescent="0.25">
      <c r="A1930" t="str">
        <f>"20190303154805465"</f>
        <v>20190303154805465</v>
      </c>
      <c r="B1930" t="str">
        <f>"1551599285462931"</f>
        <v>1551599285462931</v>
      </c>
      <c r="C1930" t="s">
        <v>40</v>
      </c>
      <c r="D1930">
        <v>6.3472169999999997</v>
      </c>
      <c r="E1930">
        <v>0.51278290000000004</v>
      </c>
      <c r="F1930" t="s">
        <v>42</v>
      </c>
      <c r="G1930">
        <v>-224.16460000000001</v>
      </c>
      <c r="H1930">
        <v>1.0505370000000001</v>
      </c>
      <c r="I1930">
        <v>284.32510000000002</v>
      </c>
      <c r="J1930">
        <v>-223.50890000000001</v>
      </c>
      <c r="K1930">
        <v>1.1131799999999901</v>
      </c>
      <c r="L1930">
        <v>284.2441</v>
      </c>
      <c r="M1930">
        <v>-0.9991428</v>
      </c>
      <c r="N1930">
        <v>-8.9175949999999995E-4</v>
      </c>
      <c r="O1930">
        <v>-4.1389299999999997E-2</v>
      </c>
      <c r="P1930">
        <v>-0.9953381</v>
      </c>
      <c r="Q1930">
        <v>-9.0013910000000003E-2</v>
      </c>
      <c r="R1930">
        <v>3.4639589999999998E-2</v>
      </c>
      <c r="S1930">
        <v>-2.9901430000000002</v>
      </c>
      <c r="T1930">
        <v>-0.19114610000000001</v>
      </c>
      <c r="U1930">
        <v>0.2174683</v>
      </c>
      <c r="V1930">
        <v>7.4550779999999997E-2</v>
      </c>
      <c r="W1930">
        <v>-9.0181159999999996E-2</v>
      </c>
      <c r="X1930">
        <v>0.99313119999999999</v>
      </c>
      <c r="Y1930">
        <v>0.1134395</v>
      </c>
      <c r="Z1930">
        <v>6.2713350000000003E-3</v>
      </c>
      <c r="AA1930">
        <v>0.99352510000000005</v>
      </c>
      <c r="AB1930">
        <v>32</v>
      </c>
      <c r="AC1930">
        <v>-0.65569999999999595</v>
      </c>
      <c r="AD1930">
        <v>-6.2642999999999699E-2</v>
      </c>
      <c r="AE1930">
        <v>8.1000000000017197E-2</v>
      </c>
      <c r="AF1930">
        <v>0.107106678839435</v>
      </c>
      <c r="AG1930">
        <v>-6.2642999999999699E-2</v>
      </c>
      <c r="AH1930">
        <v>0.64597827951569098</v>
      </c>
      <c r="AI1930">
        <v>95.4647267809939</v>
      </c>
      <c r="AJ1930">
        <v>80.585698437973207</v>
      </c>
      <c r="AK1930">
        <v>0.65778714164010998</v>
      </c>
      <c r="AL1930">
        <v>95.174029068973994</v>
      </c>
      <c r="AM1930">
        <v>85.707063754841897</v>
      </c>
      <c r="AN1930">
        <v>1.00000002041549</v>
      </c>
    </row>
    <row r="1931" spans="1:40" x14ac:dyDescent="0.25">
      <c r="A1931" t="str">
        <f>"20190303154805490"</f>
        <v>20190303154805490</v>
      </c>
      <c r="B1931" t="str">
        <f>"1551599285482450"</f>
        <v>1551599285482450</v>
      </c>
      <c r="C1931" t="s">
        <v>40</v>
      </c>
      <c r="D1931">
        <v>6.3311529999999996</v>
      </c>
      <c r="E1931">
        <v>0.51480879999999996</v>
      </c>
      <c r="F1931" t="s">
        <v>42</v>
      </c>
      <c r="G1931">
        <v>-224.45070000000001</v>
      </c>
      <c r="H1931">
        <v>1.0363960000000001</v>
      </c>
      <c r="I1931">
        <v>284.30939999999998</v>
      </c>
      <c r="J1931">
        <v>-223.8612</v>
      </c>
      <c r="K1931">
        <v>1.113183</v>
      </c>
      <c r="L1931">
        <v>284.23579999999998</v>
      </c>
      <c r="M1931">
        <v>-0.99941239999999998</v>
      </c>
      <c r="N1931">
        <v>-9.3599920000000004E-4</v>
      </c>
      <c r="O1931">
        <v>-3.4263670000000003E-2</v>
      </c>
      <c r="P1931">
        <v>-0.99472430000000001</v>
      </c>
      <c r="Q1931">
        <v>-9.2354829999999999E-2</v>
      </c>
      <c r="R1931">
        <v>4.4654729999999997E-2</v>
      </c>
      <c r="S1931">
        <v>-2.984909</v>
      </c>
      <c r="T1931">
        <v>-0.24322089999999999</v>
      </c>
      <c r="U1931">
        <v>0.2059937</v>
      </c>
      <c r="V1931">
        <v>7.7429319999999996E-2</v>
      </c>
      <c r="W1931">
        <v>-9.2513990000000004E-2</v>
      </c>
      <c r="X1931">
        <v>0.99269629999999998</v>
      </c>
      <c r="Y1931">
        <v>0.10253710000000001</v>
      </c>
      <c r="Z1931">
        <v>6.9662719999999999E-3</v>
      </c>
      <c r="AA1931">
        <v>0.99470479999999994</v>
      </c>
      <c r="AB1931">
        <v>33</v>
      </c>
      <c r="AC1931">
        <v>-0.58950000000001501</v>
      </c>
      <c r="AD1931">
        <v>-7.6787000000000105E-2</v>
      </c>
      <c r="AE1931">
        <v>7.3599999999999E-2</v>
      </c>
      <c r="AF1931">
        <v>9.2214625606298298E-2</v>
      </c>
      <c r="AG1931">
        <v>-7.6787000000000105E-2</v>
      </c>
      <c r="AH1931">
        <v>0.57699242456042699</v>
      </c>
      <c r="AI1931">
        <v>97.486553396712694</v>
      </c>
      <c r="AJ1931">
        <v>80.919808578259705</v>
      </c>
      <c r="AK1931">
        <v>0.58933864504614897</v>
      </c>
      <c r="AL1931">
        <v>95.308251476286102</v>
      </c>
      <c r="AM1931">
        <v>85.540016407021895</v>
      </c>
      <c r="AN1931">
        <v>1.00000004098753</v>
      </c>
    </row>
    <row r="1932" spans="1:40" x14ac:dyDescent="0.25">
      <c r="A1932" t="str">
        <f>"20190303154805510"</f>
        <v>20190303154805510</v>
      </c>
      <c r="B1932" t="str">
        <f>"1551599285502947"</f>
        <v>1551599285502947</v>
      </c>
      <c r="C1932" t="s">
        <v>40</v>
      </c>
      <c r="D1932">
        <v>6.3656600000000001</v>
      </c>
      <c r="E1932">
        <v>0.51523629999999998</v>
      </c>
      <c r="F1932" t="s">
        <v>42</v>
      </c>
      <c r="G1932">
        <v>-224.75069999999999</v>
      </c>
      <c r="H1932">
        <v>1.0414779999999999</v>
      </c>
      <c r="I1932">
        <v>284.3109</v>
      </c>
      <c r="J1932">
        <v>-224.16820000000001</v>
      </c>
      <c r="K1932">
        <v>1.1132420000000001</v>
      </c>
      <c r="L1932">
        <v>284.23039999999997</v>
      </c>
      <c r="M1932">
        <v>-0.99959909999999996</v>
      </c>
      <c r="N1932">
        <v>-9.6989050000000001E-4</v>
      </c>
      <c r="O1932">
        <v>-2.8298029999999998E-2</v>
      </c>
      <c r="P1932">
        <v>-0.99418030000000002</v>
      </c>
      <c r="Q1932">
        <v>-9.4106700000000001E-2</v>
      </c>
      <c r="R1932">
        <v>5.243826E-2</v>
      </c>
      <c r="S1932">
        <v>-2.9822540000000002</v>
      </c>
      <c r="T1932">
        <v>-0.24049400000000001</v>
      </c>
      <c r="U1932">
        <v>0.25228879999999998</v>
      </c>
      <c r="V1932">
        <v>7.9261739999999997E-2</v>
      </c>
      <c r="W1932">
        <v>-9.4243530000000006E-2</v>
      </c>
      <c r="X1932">
        <v>0.99238890000000002</v>
      </c>
      <c r="Y1932">
        <v>0.11200450000000001</v>
      </c>
      <c r="Z1932">
        <v>6.8026659999999997E-3</v>
      </c>
      <c r="AA1932">
        <v>0.99368440000000002</v>
      </c>
      <c r="AB1932">
        <v>33</v>
      </c>
      <c r="AC1932">
        <v>-0.58249999999998103</v>
      </c>
      <c r="AD1932">
        <v>-7.1763999999999897E-2</v>
      </c>
      <c r="AE1932">
        <v>8.0500000000029104E-2</v>
      </c>
      <c r="AF1932">
        <v>9.5528588959081798E-2</v>
      </c>
      <c r="AG1932">
        <v>-7.1763999999999897E-2</v>
      </c>
      <c r="AH1932">
        <v>0.57147727119095704</v>
      </c>
      <c r="AI1932">
        <v>97.060568551461401</v>
      </c>
      <c r="AJ1932">
        <v>80.5101342948698</v>
      </c>
      <c r="AK1932">
        <v>0.58383392715084304</v>
      </c>
      <c r="AL1932">
        <v>95.407781944382194</v>
      </c>
      <c r="AM1932">
        <v>85.433500636646897</v>
      </c>
      <c r="AN1932">
        <v>0.99999999760894898</v>
      </c>
    </row>
    <row r="1933" spans="1:40" x14ac:dyDescent="0.25">
      <c r="A1933" t="str">
        <f>"20190303154805533"</f>
        <v>20190303154805533</v>
      </c>
      <c r="B1933" t="str">
        <f>"1551599285522467"</f>
        <v>1551599285522467</v>
      </c>
      <c r="C1933" t="s">
        <v>40</v>
      </c>
      <c r="D1933">
        <v>6.3513830000000002</v>
      </c>
      <c r="E1933">
        <v>0.51522420000000002</v>
      </c>
      <c r="F1933" t="s">
        <v>42</v>
      </c>
      <c r="G1933">
        <v>-225.0497</v>
      </c>
      <c r="H1933">
        <v>1.0410459999999999</v>
      </c>
      <c r="I1933">
        <v>284.31330000000003</v>
      </c>
      <c r="J1933">
        <v>-224.51660000000001</v>
      </c>
      <c r="K1933">
        <v>1.1133850000000001</v>
      </c>
      <c r="L1933">
        <v>284.22609999999997</v>
      </c>
      <c r="M1933">
        <v>-0.99976019999999999</v>
      </c>
      <c r="N1933">
        <v>-1.002146E-3</v>
      </c>
      <c r="O1933">
        <v>-2.1876240000000002E-2</v>
      </c>
      <c r="P1933">
        <v>-0.99408260000000004</v>
      </c>
      <c r="Q1933">
        <v>-9.3720129999999999E-2</v>
      </c>
      <c r="R1933">
        <v>5.4925429999999997E-2</v>
      </c>
      <c r="S1933">
        <v>-2.979752</v>
      </c>
      <c r="T1933">
        <v>-0.24394299999999999</v>
      </c>
      <c r="U1933">
        <v>0.27905269999999999</v>
      </c>
      <c r="V1933">
        <v>7.5410569999999996E-2</v>
      </c>
      <c r="W1933">
        <v>-9.3743699999999999E-2</v>
      </c>
      <c r="X1933">
        <v>0.99273630000000002</v>
      </c>
      <c r="Y1933">
        <v>0.1145447</v>
      </c>
      <c r="Z1933">
        <v>6.4909080000000001E-3</v>
      </c>
      <c r="AA1933">
        <v>0.99339690000000003</v>
      </c>
      <c r="AB1933">
        <v>33</v>
      </c>
      <c r="AC1933">
        <v>-0.53309999999999003</v>
      </c>
      <c r="AD1933">
        <v>-7.2339000000000098E-2</v>
      </c>
      <c r="AE1933">
        <v>8.7200000000052499E-2</v>
      </c>
      <c r="AF1933">
        <v>9.7100035702076204E-2</v>
      </c>
      <c r="AG1933">
        <v>-7.2339000000000098E-2</v>
      </c>
      <c r="AH1933">
        <v>0.52170884465688305</v>
      </c>
      <c r="AI1933">
        <v>97.762535194617996</v>
      </c>
      <c r="AJ1933">
        <v>79.456790611605399</v>
      </c>
      <c r="AK1933">
        <v>0.53557582698210404</v>
      </c>
      <c r="AL1933">
        <v>95.379016439925394</v>
      </c>
      <c r="AM1933">
        <v>85.656021153822095</v>
      </c>
      <c r="AN1933">
        <v>0.99999999834755204</v>
      </c>
    </row>
    <row r="1934" spans="1:40" x14ac:dyDescent="0.25">
      <c r="A1934" t="str">
        <f>"20190303154805556"</f>
        <v>20190303154805556</v>
      </c>
      <c r="B1934" t="str">
        <f>"1551599285552724"</f>
        <v>1551599285552724</v>
      </c>
      <c r="C1934" t="s">
        <v>40</v>
      </c>
      <c r="D1934">
        <v>6.3164249999999997</v>
      </c>
      <c r="E1934">
        <v>0.51502729999999997</v>
      </c>
      <c r="F1934" t="s">
        <v>42</v>
      </c>
      <c r="G1934">
        <v>-225.35239999999999</v>
      </c>
      <c r="H1934">
        <v>1.0460100000000001</v>
      </c>
      <c r="I1934">
        <v>284.3064</v>
      </c>
      <c r="J1934">
        <v>-224.85419999999999</v>
      </c>
      <c r="K1934">
        <v>1.113591</v>
      </c>
      <c r="L1934">
        <v>284.22379999999998</v>
      </c>
      <c r="M1934">
        <v>-0.9998705</v>
      </c>
      <c r="N1934">
        <v>-1.0302969999999999E-3</v>
      </c>
      <c r="O1934">
        <v>-1.60619E-2</v>
      </c>
      <c r="P1934">
        <v>-0.99429020000000001</v>
      </c>
      <c r="Q1934">
        <v>-9.2430250000000005E-2</v>
      </c>
      <c r="R1934">
        <v>5.3329149999999999E-2</v>
      </c>
      <c r="S1934">
        <v>-2.9793850000000002</v>
      </c>
      <c r="T1934">
        <v>-0.24011959999999999</v>
      </c>
      <c r="U1934">
        <v>0.28607179999999999</v>
      </c>
      <c r="V1934">
        <v>6.8107870000000001E-2</v>
      </c>
      <c r="W1934">
        <v>-9.2292970000000002E-2</v>
      </c>
      <c r="X1934">
        <v>0.9933999</v>
      </c>
      <c r="Y1934">
        <v>0.1111414</v>
      </c>
      <c r="Z1934">
        <v>5.7918319999999898E-3</v>
      </c>
      <c r="AA1934">
        <v>0.99378770000000005</v>
      </c>
      <c r="AB1934">
        <v>33</v>
      </c>
      <c r="AC1934">
        <v>-0.49819999999999698</v>
      </c>
      <c r="AD1934">
        <v>-6.7580999999999794E-2</v>
      </c>
      <c r="AE1934">
        <v>8.2600000000013496E-2</v>
      </c>
      <c r="AF1934">
        <v>8.8997554021952002E-2</v>
      </c>
      <c r="AG1934">
        <v>-6.7580999999999794E-2</v>
      </c>
      <c r="AH1934">
        <v>0.48806833460371402</v>
      </c>
      <c r="AI1934">
        <v>97.757092465959204</v>
      </c>
      <c r="AJ1934">
        <v>79.665854344632905</v>
      </c>
      <c r="AK1934">
        <v>0.50069796826603297</v>
      </c>
      <c r="AL1934">
        <v>95.295533674990395</v>
      </c>
      <c r="AM1934">
        <v>86.077917449978898</v>
      </c>
      <c r="AN1934">
        <v>1.0000000177936801</v>
      </c>
    </row>
    <row r="1935" spans="1:40" x14ac:dyDescent="0.25">
      <c r="A1935" t="str">
        <f>"20190303154805580"</f>
        <v>20190303154805580</v>
      </c>
      <c r="B1935" t="str">
        <f>"1551599285572244"</f>
        <v>1551599285572244</v>
      </c>
      <c r="C1935" t="s">
        <v>40</v>
      </c>
      <c r="D1935">
        <v>6.3583179999999997</v>
      </c>
      <c r="E1935">
        <v>0.51482220000000001</v>
      </c>
      <c r="F1935" t="s">
        <v>42</v>
      </c>
      <c r="G1935">
        <v>-225.6575</v>
      </c>
      <c r="H1935">
        <v>1.050265</v>
      </c>
      <c r="I1935">
        <v>284.29939999999999</v>
      </c>
      <c r="J1935">
        <v>-225.21080000000001</v>
      </c>
      <c r="K1935">
        <v>1.11385</v>
      </c>
      <c r="L1935">
        <v>284.22300000000001</v>
      </c>
      <c r="M1935">
        <v>-0.99994539999999998</v>
      </c>
      <c r="N1935">
        <v>-1.0611220000000001E-3</v>
      </c>
      <c r="O1935">
        <v>-1.039265E-2</v>
      </c>
      <c r="P1935">
        <v>-0.99436409999999997</v>
      </c>
      <c r="Q1935">
        <v>-9.2965249999999999E-2</v>
      </c>
      <c r="R1935">
        <v>5.0965240000000002E-2</v>
      </c>
      <c r="S1935">
        <v>-2.9804080000000002</v>
      </c>
      <c r="T1935">
        <v>-0.23486399999999999</v>
      </c>
      <c r="U1935">
        <v>0.27954099999999998</v>
      </c>
      <c r="V1935">
        <v>6.0165860000000002E-2</v>
      </c>
      <c r="W1935">
        <v>-9.2654739999999999E-2</v>
      </c>
      <c r="X1935">
        <v>0.99387879999999995</v>
      </c>
      <c r="Y1935">
        <v>0.10337209999999999</v>
      </c>
      <c r="Z1935">
        <v>4.9179009999999997E-3</v>
      </c>
      <c r="AA1935">
        <v>0.99463060000000003</v>
      </c>
      <c r="AB1935">
        <v>33</v>
      </c>
      <c r="AC1935">
        <v>-0.44669999999999199</v>
      </c>
      <c r="AD1935">
        <v>-6.3585000000000003E-2</v>
      </c>
      <c r="AE1935">
        <v>7.6399999999978194E-2</v>
      </c>
      <c r="AF1935">
        <v>7.9473759341835995E-2</v>
      </c>
      <c r="AG1935">
        <v>-6.3585000000000003E-2</v>
      </c>
      <c r="AH1935">
        <v>0.437273740473129</v>
      </c>
      <c r="AI1935">
        <v>98.141974734326595</v>
      </c>
      <c r="AJ1935">
        <v>79.699029338562994</v>
      </c>
      <c r="AK1935">
        <v>0.448962642940685</v>
      </c>
      <c r="AL1935">
        <v>95.316351127518899</v>
      </c>
      <c r="AM1935">
        <v>86.535746524691504</v>
      </c>
      <c r="AN1935">
        <v>0.99999995032172195</v>
      </c>
    </row>
    <row r="1936" spans="1:40" x14ac:dyDescent="0.25">
      <c r="A1936" t="str">
        <f>"20190303154805602"</f>
        <v>20190303154805602</v>
      </c>
      <c r="B1936" t="str">
        <f>"1551599285592739"</f>
        <v>1551599285592739</v>
      </c>
      <c r="C1936" t="s">
        <v>40</v>
      </c>
      <c r="D1936">
        <v>6.347092</v>
      </c>
      <c r="E1936">
        <v>0.51450620000000002</v>
      </c>
      <c r="F1936" t="s">
        <v>42</v>
      </c>
      <c r="G1936">
        <v>-225.964</v>
      </c>
      <c r="H1936">
        <v>1.054079</v>
      </c>
      <c r="I1936">
        <v>284.29149999999998</v>
      </c>
      <c r="J1936">
        <v>-225.54669999999999</v>
      </c>
      <c r="K1936">
        <v>1.1141350000000001</v>
      </c>
      <c r="L1936">
        <v>284.22370000000001</v>
      </c>
      <c r="M1936">
        <v>-0.99998399999999998</v>
      </c>
      <c r="N1936">
        <v>-1.092481E-3</v>
      </c>
      <c r="O1936">
        <v>-5.5542669999999999E-3</v>
      </c>
      <c r="P1936">
        <v>-0.99428689999999997</v>
      </c>
      <c r="Q1936">
        <v>-9.4198439999999994E-2</v>
      </c>
      <c r="R1936">
        <v>5.0202799999999999E-2</v>
      </c>
      <c r="S1936">
        <v>-2.9810029999999998</v>
      </c>
      <c r="T1936">
        <v>-0.2365613</v>
      </c>
      <c r="U1936">
        <v>0.27078249999999998</v>
      </c>
      <c r="V1936">
        <v>5.4646109999999998E-2</v>
      </c>
      <c r="W1936">
        <v>-9.3749470000000001E-2</v>
      </c>
      <c r="X1936">
        <v>0.99409499999999995</v>
      </c>
      <c r="Y1936">
        <v>9.5674350000000005E-2</v>
      </c>
      <c r="Z1936">
        <v>4.2680779999999998E-3</v>
      </c>
      <c r="AA1936">
        <v>0.9954035</v>
      </c>
      <c r="AB1936">
        <v>34</v>
      </c>
      <c r="AC1936">
        <v>-0.41730000000003997</v>
      </c>
      <c r="AD1936">
        <v>-6.0056000000000102E-2</v>
      </c>
      <c r="AE1936">
        <v>6.7799999999976907E-2</v>
      </c>
      <c r="AF1936">
        <v>6.8729848907485305E-2</v>
      </c>
      <c r="AG1936">
        <v>-6.0056000000000102E-2</v>
      </c>
      <c r="AH1936">
        <v>0.40867040795752102</v>
      </c>
      <c r="AI1936">
        <v>98.245866030291097</v>
      </c>
      <c r="AJ1936">
        <v>80.453380785509097</v>
      </c>
      <c r="AK1936">
        <v>0.418738602957755</v>
      </c>
      <c r="AL1936">
        <v>95.379348410467699</v>
      </c>
      <c r="AM1936">
        <v>86.853576917911099</v>
      </c>
      <c r="AN1936">
        <v>1.0000000147442001</v>
      </c>
    </row>
    <row r="1937" spans="1:40" x14ac:dyDescent="0.25">
      <c r="A1937" t="str">
        <f>"20190303154805624"</f>
        <v>20190303154805624</v>
      </c>
      <c r="B1937" t="str">
        <f>"1551599285612260"</f>
        <v>1551599285612260</v>
      </c>
      <c r="C1937" t="s">
        <v>40</v>
      </c>
      <c r="D1937">
        <v>6.3132679999999999</v>
      </c>
      <c r="E1937">
        <v>0.51434530000000001</v>
      </c>
      <c r="F1937" t="s">
        <v>42</v>
      </c>
      <c r="G1937">
        <v>-226.56319999999999</v>
      </c>
      <c r="H1937">
        <v>1.0323070000000001</v>
      </c>
      <c r="I1937">
        <v>284.31450000000001</v>
      </c>
      <c r="J1937">
        <v>-225.8973</v>
      </c>
      <c r="K1937">
        <v>1.114463</v>
      </c>
      <c r="L1937">
        <v>284.22570000000002</v>
      </c>
      <c r="M1937">
        <v>-0.99999890000000002</v>
      </c>
      <c r="N1937">
        <v>-1.127884E-3</v>
      </c>
      <c r="O1937">
        <v>-1.0419940000000001E-3</v>
      </c>
      <c r="P1937">
        <v>-0.99423609999999896</v>
      </c>
      <c r="Q1937">
        <v>-9.4706979999999996E-2</v>
      </c>
      <c r="R1937">
        <v>5.0252570000000003E-2</v>
      </c>
      <c r="S1937">
        <v>-2.9810490000000001</v>
      </c>
      <c r="T1937">
        <v>-0.2400322</v>
      </c>
      <c r="U1937">
        <v>0.26608280000000001</v>
      </c>
      <c r="V1937">
        <v>5.0280720000000001E-2</v>
      </c>
      <c r="W1937">
        <v>-9.4130870000000005E-2</v>
      </c>
      <c r="X1937">
        <v>0.99428930000000004</v>
      </c>
      <c r="Y1937">
        <v>8.9647290000000004E-2</v>
      </c>
      <c r="Z1937">
        <v>3.7293949999999999E-3</v>
      </c>
      <c r="AA1937">
        <v>0.99596660000000004</v>
      </c>
      <c r="AB1937">
        <v>34</v>
      </c>
      <c r="AC1937">
        <v>-0.66589999999999305</v>
      </c>
      <c r="AD1937">
        <v>-8.2156000000000104E-2</v>
      </c>
      <c r="AE1937">
        <v>8.8799999999991996E-2</v>
      </c>
      <c r="AF1937">
        <v>8.8175100028108203E-2</v>
      </c>
      <c r="AG1937">
        <v>-8.2156000000000104E-2</v>
      </c>
      <c r="AH1937">
        <v>0.65599625877683998</v>
      </c>
      <c r="AI1937">
        <v>97.075494579790004</v>
      </c>
      <c r="AJ1937">
        <v>82.344527535950405</v>
      </c>
      <c r="AK1937">
        <v>0.66697492316441498</v>
      </c>
      <c r="AL1937">
        <v>95.401298209799194</v>
      </c>
      <c r="AM1937">
        <v>87.105046710527603</v>
      </c>
      <c r="AN1937">
        <v>0.99999999179258203</v>
      </c>
    </row>
    <row r="1938" spans="1:40" x14ac:dyDescent="0.25">
      <c r="A1938" t="str">
        <f>"20190303154805646"</f>
        <v>20190303154805646</v>
      </c>
      <c r="B1938" t="str">
        <f>"1551599285642516"</f>
        <v>1551599285642516</v>
      </c>
      <c r="C1938" t="s">
        <v>40</v>
      </c>
      <c r="D1938">
        <v>6.3370769999999998</v>
      </c>
      <c r="E1938">
        <v>0.51410540000000005</v>
      </c>
      <c r="F1938" t="s">
        <v>42</v>
      </c>
      <c r="G1938">
        <v>-226.87260000000001</v>
      </c>
      <c r="H1938">
        <v>1.0350250000000001</v>
      </c>
      <c r="I1938">
        <v>284.31259999999997</v>
      </c>
      <c r="J1938">
        <v>-226.2319</v>
      </c>
      <c r="K1938">
        <v>1.114768</v>
      </c>
      <c r="L1938">
        <v>284.22890000000001</v>
      </c>
      <c r="M1938">
        <v>-0.99999530000000003</v>
      </c>
      <c r="N1938">
        <v>-1.1655330000000001E-3</v>
      </c>
      <c r="O1938">
        <v>2.8591459999999999E-3</v>
      </c>
      <c r="P1938">
        <v>-0.9942242</v>
      </c>
      <c r="Q1938">
        <v>-9.50014E-2</v>
      </c>
      <c r="R1938">
        <v>4.993011E-2</v>
      </c>
      <c r="S1938">
        <v>-2.9808650000000001</v>
      </c>
      <c r="T1938">
        <v>-0.24281510000000001</v>
      </c>
      <c r="U1938">
        <v>0.2648315</v>
      </c>
      <c r="V1938">
        <v>4.614613E-2</v>
      </c>
      <c r="W1938">
        <v>-9.4308749999999997E-2</v>
      </c>
      <c r="X1938">
        <v>0.99447289999999999</v>
      </c>
      <c r="Y1938">
        <v>8.5371520000000006E-2</v>
      </c>
      <c r="Z1938">
        <v>3.2857559999999999E-3</v>
      </c>
      <c r="AA1938">
        <v>0.9963438</v>
      </c>
      <c r="AB1938">
        <v>34</v>
      </c>
      <c r="AC1938">
        <v>-0.64070000000000904</v>
      </c>
      <c r="AD1938">
        <v>-7.9742999999999897E-2</v>
      </c>
      <c r="AE1938">
        <v>8.3699999999964803E-2</v>
      </c>
      <c r="AF1938">
        <v>8.0639586114145401E-2</v>
      </c>
      <c r="AG1938">
        <v>-7.9742999999999897E-2</v>
      </c>
      <c r="AH1938">
        <v>0.631321085279966</v>
      </c>
      <c r="AI1938">
        <v>97.1415651354761</v>
      </c>
      <c r="AJ1938">
        <v>82.720940408615405</v>
      </c>
      <c r="AK1938">
        <v>0.64142653641452496</v>
      </c>
      <c r="AL1938">
        <v>95.411535603684797</v>
      </c>
      <c r="AM1938">
        <v>87.343232515473204</v>
      </c>
      <c r="AN1938">
        <v>0.99999997723747402</v>
      </c>
    </row>
    <row r="1939" spans="1:40" x14ac:dyDescent="0.25">
      <c r="A1939" t="str">
        <f>"20190303154805667"</f>
        <v>20190303154805667</v>
      </c>
      <c r="B1939" t="str">
        <f>"1551599285663011"</f>
        <v>1551599285663011</v>
      </c>
      <c r="C1939" t="s">
        <v>40</v>
      </c>
      <c r="D1939">
        <v>6.2912189999999999</v>
      </c>
      <c r="E1939">
        <v>0.5139705</v>
      </c>
      <c r="F1939" t="s">
        <v>42</v>
      </c>
      <c r="G1939">
        <v>-227.1832</v>
      </c>
      <c r="H1939">
        <v>1.0371680000000001</v>
      </c>
      <c r="I1939">
        <v>284.31259999999997</v>
      </c>
      <c r="J1939">
        <v>-226.56700000000001</v>
      </c>
      <c r="K1939">
        <v>1.115059</v>
      </c>
      <c r="L1939">
        <v>284.23289999999997</v>
      </c>
      <c r="M1939">
        <v>-0.99997899999999995</v>
      </c>
      <c r="N1939">
        <v>-1.2074010000000001E-3</v>
      </c>
      <c r="O1939">
        <v>6.3740089999999999E-3</v>
      </c>
      <c r="P1939">
        <v>-0.9940814</v>
      </c>
      <c r="Q1939">
        <v>-9.6680340000000003E-2</v>
      </c>
      <c r="R1939">
        <v>4.9549540000000003E-2</v>
      </c>
      <c r="S1939">
        <v>-2.9810029999999998</v>
      </c>
      <c r="T1939">
        <v>-0.24321290000000001</v>
      </c>
      <c r="U1939">
        <v>0.26214599999999999</v>
      </c>
      <c r="V1939">
        <v>4.2323220000000002E-2</v>
      </c>
      <c r="W1939">
        <v>-9.5877069999999995E-2</v>
      </c>
      <c r="X1939">
        <v>0.99449299999999996</v>
      </c>
      <c r="Y1939">
        <v>8.0998879999999995E-2</v>
      </c>
      <c r="Z1939">
        <v>2.8310520000000001E-3</v>
      </c>
      <c r="AA1939">
        <v>0.99671019999999999</v>
      </c>
      <c r="AB1939">
        <v>34</v>
      </c>
      <c r="AC1939">
        <v>-0.61619999999999198</v>
      </c>
      <c r="AD1939">
        <v>-7.7890999999999905E-2</v>
      </c>
      <c r="AE1939">
        <v>7.9700000000002505E-2</v>
      </c>
      <c r="AF1939">
        <v>7.4598369441529006E-2</v>
      </c>
      <c r="AG1939">
        <v>-7.7890999999999905E-2</v>
      </c>
      <c r="AH1939">
        <v>0.60715381590447803</v>
      </c>
      <c r="AI1939">
        <v>97.256494161459102</v>
      </c>
      <c r="AJ1939">
        <v>82.995421014952498</v>
      </c>
      <c r="AK1939">
        <v>0.61665847985064104</v>
      </c>
      <c r="AL1939">
        <v>95.5018026762624</v>
      </c>
      <c r="AM1939">
        <v>87.563100500440598</v>
      </c>
      <c r="AN1939">
        <v>0.99999999727597599</v>
      </c>
    </row>
    <row r="1940" spans="1:40" x14ac:dyDescent="0.25">
      <c r="A1940" t="str">
        <f>"20190303154805690"</f>
        <v>20190303154805690</v>
      </c>
      <c r="B1940" t="str">
        <f>"1551599285682530"</f>
        <v>1551599285682530</v>
      </c>
      <c r="C1940" t="s">
        <v>40</v>
      </c>
      <c r="D1940">
        <v>6.3215919999999999</v>
      </c>
      <c r="E1940">
        <v>0.51382519999999998</v>
      </c>
      <c r="F1940" t="s">
        <v>42</v>
      </c>
      <c r="G1940">
        <v>-227.49449999999999</v>
      </c>
      <c r="H1940">
        <v>1.037588</v>
      </c>
      <c r="I1940">
        <v>284.31389999999999</v>
      </c>
      <c r="J1940">
        <v>-226.929</v>
      </c>
      <c r="K1940">
        <v>1.115383</v>
      </c>
      <c r="L1940">
        <v>284.23820000000001</v>
      </c>
      <c r="M1940">
        <v>-0.99995199999999995</v>
      </c>
      <c r="N1940">
        <v>-1.2598049999999999E-3</v>
      </c>
      <c r="O1940">
        <v>9.7274800000000002E-3</v>
      </c>
      <c r="P1940">
        <v>-0.99392000000000003</v>
      </c>
      <c r="Q1940">
        <v>-9.8338659999999994E-2</v>
      </c>
      <c r="R1940">
        <v>4.9524220000000001E-2</v>
      </c>
      <c r="S1940">
        <v>-2.9806819999999998</v>
      </c>
      <c r="T1940">
        <v>-0.2490146</v>
      </c>
      <c r="U1940">
        <v>0.25979609999999997</v>
      </c>
      <c r="V1940">
        <v>3.9025299999999999E-2</v>
      </c>
      <c r="W1940">
        <v>-9.7421779999999999E-2</v>
      </c>
      <c r="X1940">
        <v>0.99447770000000002</v>
      </c>
      <c r="Y1940">
        <v>7.6898659999999994E-2</v>
      </c>
      <c r="Z1940">
        <v>2.4517459999999999E-3</v>
      </c>
      <c r="AA1940">
        <v>0.99703589999999997</v>
      </c>
      <c r="AB1940">
        <v>35</v>
      </c>
      <c r="AC1940">
        <v>-0.56549999999998501</v>
      </c>
      <c r="AD1940">
        <v>-7.7795000000000003E-2</v>
      </c>
      <c r="AE1940">
        <v>7.5699999999983406E-2</v>
      </c>
      <c r="AF1940">
        <v>6.8914274628145297E-2</v>
      </c>
      <c r="AG1940">
        <v>-7.7795000000000003E-2</v>
      </c>
      <c r="AH1940">
        <v>0.55587482387216902</v>
      </c>
      <c r="AI1940">
        <v>97.907074344490994</v>
      </c>
      <c r="AJ1940">
        <v>82.932846720915705</v>
      </c>
      <c r="AK1940">
        <v>0.56550690454444397</v>
      </c>
      <c r="AL1940">
        <v>95.590724677916299</v>
      </c>
      <c r="AM1940">
        <v>87.752751734566601</v>
      </c>
      <c r="AN1940">
        <v>0.999999936527872</v>
      </c>
    </row>
    <row r="1941" spans="1:40" x14ac:dyDescent="0.25">
      <c r="A1941" t="str">
        <f>"20190303154805713"</f>
        <v>20190303154805713</v>
      </c>
      <c r="B1941" t="str">
        <f>"1551599285703027"</f>
        <v>1551599285703027</v>
      </c>
      <c r="C1941" t="s">
        <v>40</v>
      </c>
      <c r="D1941">
        <v>6.2799909999999999</v>
      </c>
      <c r="E1941">
        <v>0.51375159999999997</v>
      </c>
      <c r="F1941" t="s">
        <v>42</v>
      </c>
      <c r="G1941">
        <v>-227.80840000000001</v>
      </c>
      <c r="H1941">
        <v>1.04041299999999</v>
      </c>
      <c r="I1941">
        <v>284.31450000000001</v>
      </c>
      <c r="J1941">
        <v>-227.28739999999999</v>
      </c>
      <c r="K1941">
        <v>1.115715</v>
      </c>
      <c r="L1941">
        <v>284.24430000000001</v>
      </c>
      <c r="M1941">
        <v>-0.99991960000000002</v>
      </c>
      <c r="N1941">
        <v>-1.3256159999999999E-3</v>
      </c>
      <c r="O1941">
        <v>1.261311E-2</v>
      </c>
      <c r="P1941">
        <v>-0.99375559999999996</v>
      </c>
      <c r="Q1941">
        <v>-0.10005550000000001</v>
      </c>
      <c r="R1941">
        <v>4.9385329999999998E-2</v>
      </c>
      <c r="S1941">
        <v>-2.9803310000000001</v>
      </c>
      <c r="T1941">
        <v>-0.25402920000000001</v>
      </c>
      <c r="U1941">
        <v>0.2587585</v>
      </c>
      <c r="V1941">
        <v>3.6082660000000003E-2</v>
      </c>
      <c r="W1941">
        <v>-9.9019309999999999E-2</v>
      </c>
      <c r="X1941">
        <v>0.99443110000000001</v>
      </c>
      <c r="Y1941">
        <v>7.3698600000000003E-2</v>
      </c>
      <c r="Z1941">
        <v>2.1240460000000001E-3</v>
      </c>
      <c r="AA1941">
        <v>0.99727829999999995</v>
      </c>
      <c r="AB1941">
        <v>35</v>
      </c>
      <c r="AC1941">
        <v>-0.52100000000001501</v>
      </c>
      <c r="AD1941">
        <v>-7.5302000000000202E-2</v>
      </c>
      <c r="AE1941">
        <v>7.0199999999999804E-2</v>
      </c>
      <c r="AF1941">
        <v>6.2343842383969103E-2</v>
      </c>
      <c r="AG1941">
        <v>-7.5302000000000202E-2</v>
      </c>
      <c r="AH1941">
        <v>0.51135234411482899</v>
      </c>
      <c r="AI1941">
        <v>98.316485266943801</v>
      </c>
      <c r="AJ1941">
        <v>83.048831062980398</v>
      </c>
      <c r="AK1941">
        <v>0.52061345134267101</v>
      </c>
      <c r="AL1941">
        <v>95.682700810059202</v>
      </c>
      <c r="AM1941">
        <v>87.921949992792094</v>
      </c>
      <c r="AN1941">
        <v>0.99999999737638001</v>
      </c>
    </row>
    <row r="1942" spans="1:40" x14ac:dyDescent="0.25">
      <c r="A1942" t="str">
        <f>"20190303154805736"</f>
        <v>20190303154805736</v>
      </c>
      <c r="B1942" t="str">
        <f>"1551599285732306"</f>
        <v>1551599285732306</v>
      </c>
      <c r="C1942" t="s">
        <v>40</v>
      </c>
      <c r="D1942">
        <v>6.2620509999999996</v>
      </c>
      <c r="E1942">
        <v>0.51353950000000004</v>
      </c>
      <c r="F1942" t="s">
        <v>42</v>
      </c>
      <c r="G1942">
        <v>-228.12360000000001</v>
      </c>
      <c r="H1942">
        <v>1.043134</v>
      </c>
      <c r="I1942">
        <v>284.3168</v>
      </c>
      <c r="J1942">
        <v>-227.63579999999999</v>
      </c>
      <c r="K1942">
        <v>1.116044</v>
      </c>
      <c r="L1942">
        <v>284.25080000000003</v>
      </c>
      <c r="M1942">
        <v>-0.99988600000000005</v>
      </c>
      <c r="N1942">
        <v>-1.4107130000000001E-3</v>
      </c>
      <c r="O1942">
        <v>1.503469E-2</v>
      </c>
      <c r="P1942">
        <v>-0.99374779999999996</v>
      </c>
      <c r="Q1942">
        <v>-0.1004307</v>
      </c>
      <c r="R1942">
        <v>4.8776300000000002E-2</v>
      </c>
      <c r="S1942">
        <v>-2.9799959999999999</v>
      </c>
      <c r="T1942">
        <v>-0.25874029999999998</v>
      </c>
      <c r="U1942">
        <v>0.2578125</v>
      </c>
      <c r="V1942">
        <v>3.3139099999999998E-2</v>
      </c>
      <c r="W1942">
        <v>-9.9261219999999997E-2</v>
      </c>
      <c r="X1942">
        <v>0.99450950000000005</v>
      </c>
      <c r="Y1942">
        <v>7.0988889999999999E-2</v>
      </c>
      <c r="Z1942">
        <v>1.8414550000000001E-3</v>
      </c>
      <c r="AA1942">
        <v>0.99747540000000001</v>
      </c>
      <c r="AB1942">
        <v>35</v>
      </c>
      <c r="AC1942">
        <v>-0.48780000000002099</v>
      </c>
      <c r="AD1942">
        <v>-7.2910000000000003E-2</v>
      </c>
      <c r="AE1942">
        <v>6.5999999999973996E-2</v>
      </c>
      <c r="AF1942">
        <v>5.7399340816842503E-2</v>
      </c>
      <c r="AG1942">
        <v>-7.2910000000000003E-2</v>
      </c>
      <c r="AH1942">
        <v>0.47824505152793501</v>
      </c>
      <c r="AI1942">
        <v>98.607344614710797</v>
      </c>
      <c r="AJ1942">
        <v>83.156053274891306</v>
      </c>
      <c r="AK1942">
        <v>0.48716412197242698</v>
      </c>
      <c r="AL1942">
        <v>95.696629452278898</v>
      </c>
      <c r="AM1942">
        <v>88.091493065733005</v>
      </c>
      <c r="AN1942">
        <v>1.0000000676674701</v>
      </c>
    </row>
    <row r="1943" spans="1:40" x14ac:dyDescent="0.25">
      <c r="A1943" t="str">
        <f>"20190303154805758"</f>
        <v>20190303154805758</v>
      </c>
      <c r="B1943" t="str">
        <f>"1551599285752803"</f>
        <v>1551599285752803</v>
      </c>
      <c r="C1943" t="s">
        <v>40</v>
      </c>
      <c r="D1943">
        <v>6.2250649999999998</v>
      </c>
      <c r="E1943">
        <v>0.51346800000000004</v>
      </c>
      <c r="F1943" t="s">
        <v>42</v>
      </c>
      <c r="G1943">
        <v>-228.4402</v>
      </c>
      <c r="H1943">
        <v>1.0459959999999999</v>
      </c>
      <c r="I1943">
        <v>284.31950000000001</v>
      </c>
      <c r="J1943">
        <v>-227.98519999999999</v>
      </c>
      <c r="K1943">
        <v>1.1163689999999999</v>
      </c>
      <c r="L1943">
        <v>284.25790000000001</v>
      </c>
      <c r="M1943">
        <v>-0.99985219999999997</v>
      </c>
      <c r="N1943">
        <v>-1.532764E-3</v>
      </c>
      <c r="O1943">
        <v>1.7123329999999999E-2</v>
      </c>
      <c r="P1943">
        <v>-0.99370259999999999</v>
      </c>
      <c r="Q1943">
        <v>-0.1012725</v>
      </c>
      <c r="R1943">
        <v>4.7947110000000001E-2</v>
      </c>
      <c r="S1943">
        <v>-2.9801639999999998</v>
      </c>
      <c r="T1943">
        <v>-0.25957609999999998</v>
      </c>
      <c r="U1943">
        <v>0.25418089999999999</v>
      </c>
      <c r="V1943">
        <v>3.0301740000000001E-2</v>
      </c>
      <c r="W1943">
        <v>-9.9939200000000006E-2</v>
      </c>
      <c r="X1943">
        <v>0.99453199999999997</v>
      </c>
      <c r="Y1943">
        <v>6.7711660000000007E-2</v>
      </c>
      <c r="Z1943">
        <v>1.530614E-3</v>
      </c>
      <c r="AA1943">
        <v>0.99770369999999997</v>
      </c>
      <c r="AB1943">
        <v>35</v>
      </c>
      <c r="AC1943">
        <v>-0.45500000000001201</v>
      </c>
      <c r="AD1943">
        <v>-7.0373000000000005E-2</v>
      </c>
      <c r="AE1943">
        <v>6.1599999999998503E-2</v>
      </c>
      <c r="AF1943">
        <v>5.2565039557844202E-2</v>
      </c>
      <c r="AG1943">
        <v>-7.0373000000000005E-2</v>
      </c>
      <c r="AH1943">
        <v>0.44552233002422797</v>
      </c>
      <c r="AI1943">
        <v>98.915226391039695</v>
      </c>
      <c r="AJ1943">
        <v>83.271054582631606</v>
      </c>
      <c r="AK1943">
        <v>0.45409865564977703</v>
      </c>
      <c r="AL1943">
        <v>95.735669532891094</v>
      </c>
      <c r="AM1943">
        <v>88.254832549231494</v>
      </c>
      <c r="AN1943">
        <v>0.99999996908383304</v>
      </c>
    </row>
    <row r="1944" spans="1:40" x14ac:dyDescent="0.25">
      <c r="A1944" t="str">
        <f>"20190303154805783"</f>
        <v>20190303154805783</v>
      </c>
      <c r="B1944" t="str">
        <f>"1551599285772323"</f>
        <v>1551599285772323</v>
      </c>
      <c r="C1944" t="s">
        <v>40</v>
      </c>
      <c r="D1944">
        <v>6.2260049999999998</v>
      </c>
      <c r="E1944">
        <v>0.51353629999999995</v>
      </c>
      <c r="F1944" t="s">
        <v>42</v>
      </c>
      <c r="G1944">
        <v>-228.75800000000001</v>
      </c>
      <c r="H1944">
        <v>1.0484370000000001</v>
      </c>
      <c r="I1944">
        <v>284.32319999999999</v>
      </c>
      <c r="J1944">
        <v>-228.36150000000001</v>
      </c>
      <c r="K1944">
        <v>1.116711</v>
      </c>
      <c r="L1944">
        <v>284.26609999999999</v>
      </c>
      <c r="M1944">
        <v>-0.99981730000000002</v>
      </c>
      <c r="N1944">
        <v>-1.732234E-3</v>
      </c>
      <c r="O1944">
        <v>1.9039239999999999E-2</v>
      </c>
      <c r="P1944">
        <v>-0.99357680000000004</v>
      </c>
      <c r="Q1944">
        <v>-0.10329199999999999</v>
      </c>
      <c r="R1944">
        <v>4.6214560000000002E-2</v>
      </c>
      <c r="S1944">
        <v>-2.9801790000000001</v>
      </c>
      <c r="T1944">
        <v>-0.26209310000000002</v>
      </c>
      <c r="U1944">
        <v>0.25119019999999997</v>
      </c>
      <c r="V1944">
        <v>2.67295E-2</v>
      </c>
      <c r="W1944">
        <v>-0.1017183</v>
      </c>
      <c r="X1944">
        <v>0.99445410000000001</v>
      </c>
      <c r="Y1944">
        <v>6.4818760000000003E-2</v>
      </c>
      <c r="Z1944">
        <v>1.26114E-3</v>
      </c>
      <c r="AA1944">
        <v>0.99789629999999996</v>
      </c>
      <c r="AB1944">
        <v>35</v>
      </c>
      <c r="AC1944">
        <v>-0.39649999999997398</v>
      </c>
      <c r="AD1944">
        <v>-6.8273999999999904E-2</v>
      </c>
      <c r="AE1944">
        <v>5.7099999999991199E-2</v>
      </c>
      <c r="AF1944">
        <v>4.8142167891639699E-2</v>
      </c>
      <c r="AG1944">
        <v>-6.8273999999999904E-2</v>
      </c>
      <c r="AH1944">
        <v>0.38629436293693298</v>
      </c>
      <c r="AI1944">
        <v>99.947598606752294</v>
      </c>
      <c r="AJ1944">
        <v>82.896105974000093</v>
      </c>
      <c r="AK1944">
        <v>0.39522442009845199</v>
      </c>
      <c r="AL1944">
        <v>95.838126327811494</v>
      </c>
      <c r="AM1944">
        <v>88.460342325672599</v>
      </c>
      <c r="AN1944">
        <v>1.00000001786597</v>
      </c>
    </row>
    <row r="1945" spans="1:40" x14ac:dyDescent="0.25">
      <c r="A1945" t="str">
        <f>"20190303154805923"</f>
        <v>20190303154805923</v>
      </c>
      <c r="B1945" t="str">
        <f>"1551599285912870"</f>
        <v>1551599285912870</v>
      </c>
      <c r="C1945" t="s">
        <v>40</v>
      </c>
      <c r="D1945">
        <v>5.4137320000000004</v>
      </c>
      <c r="E1945">
        <v>0.54372319999999996</v>
      </c>
      <c r="F1945" t="s">
        <v>53</v>
      </c>
      <c r="G1945">
        <v>-511.86489999999998</v>
      </c>
      <c r="H1945">
        <v>134.846</v>
      </c>
      <c r="I1945">
        <v>327.67500000000001</v>
      </c>
      <c r="J1945">
        <v>-230.6454</v>
      </c>
      <c r="K1945">
        <v>1.118161</v>
      </c>
      <c r="L1945">
        <v>284.32470000000001</v>
      </c>
      <c r="M1945">
        <v>-0.99963970000000002</v>
      </c>
      <c r="N1945">
        <v>-4.2709799999999997E-3</v>
      </c>
      <c r="O1945">
        <v>2.649924E-2</v>
      </c>
      <c r="P1945">
        <v>-0.99398629999999999</v>
      </c>
      <c r="Q1945">
        <v>-0.1014684</v>
      </c>
      <c r="R1945">
        <v>4.1173809999999998E-2</v>
      </c>
      <c r="S1945">
        <v>-3.1510009999999999</v>
      </c>
      <c r="T1945">
        <v>1.4946790000000001</v>
      </c>
      <c r="U1945">
        <v>0.48474119999999998</v>
      </c>
      <c r="V1945">
        <v>1.4524260000000001E-2</v>
      </c>
      <c r="W1945">
        <v>-9.7263539999999996E-2</v>
      </c>
      <c r="X1945">
        <v>0.9951527</v>
      </c>
      <c r="Y1945">
        <v>0.1165779</v>
      </c>
      <c r="Z1945">
        <v>-1.388035E-2</v>
      </c>
      <c r="AA1945">
        <v>0.99308450000000004</v>
      </c>
      <c r="AB1945">
        <v>36</v>
      </c>
      <c r="AC1945">
        <v>-281.21949999999998</v>
      </c>
      <c r="AD1945">
        <v>133.72783899999999</v>
      </c>
      <c r="AE1945">
        <v>43.350299999999997</v>
      </c>
      <c r="AF1945">
        <v>29.391052423337602</v>
      </c>
      <c r="AG1945">
        <v>133.72783899999999</v>
      </c>
      <c r="AH1945">
        <v>231.201951796987</v>
      </c>
      <c r="AI1945">
        <v>60.153440110718698</v>
      </c>
      <c r="AJ1945">
        <v>82.755255659810501</v>
      </c>
      <c r="AK1945">
        <v>268.703017104195</v>
      </c>
      <c r="AL1945">
        <v>95.581614444281499</v>
      </c>
      <c r="AM1945">
        <v>89.163827101644898</v>
      </c>
      <c r="AN1945">
        <v>1.00000002332958</v>
      </c>
    </row>
    <row r="1946" spans="1:40" x14ac:dyDescent="0.25">
      <c r="A1946" t="str">
        <f>"20190303154805947"</f>
        <v>20190303154805947</v>
      </c>
      <c r="B1946" t="str">
        <f>"1551599285942147"</f>
        <v>1551599285942147</v>
      </c>
      <c r="C1946" t="s">
        <v>40</v>
      </c>
      <c r="D1946">
        <v>6.3094479999999997</v>
      </c>
      <c r="E1946">
        <v>0.54372319999999996</v>
      </c>
      <c r="F1946" t="s">
        <v>53</v>
      </c>
      <c r="G1946">
        <v>-510.9982</v>
      </c>
      <c r="H1946">
        <v>134.31960000000001</v>
      </c>
      <c r="I1946">
        <v>326.46499999999997</v>
      </c>
      <c r="J1946">
        <v>-231.01499999999999</v>
      </c>
      <c r="K1946">
        <v>1.1182970000000001</v>
      </c>
      <c r="L1946">
        <v>284.33550000000002</v>
      </c>
      <c r="M1946">
        <v>-0.9996121</v>
      </c>
      <c r="N1946">
        <v>-4.6795409999999997E-3</v>
      </c>
      <c r="O1946">
        <v>2.74562E-2</v>
      </c>
      <c r="P1946">
        <v>-0.99444060000000001</v>
      </c>
      <c r="Q1946">
        <v>-9.7384009999999993E-2</v>
      </c>
      <c r="R1946">
        <v>4.0054689999999997E-2</v>
      </c>
      <c r="S1946">
        <v>-3.1514129999999998</v>
      </c>
      <c r="T1946">
        <v>1.4973019999999999</v>
      </c>
      <c r="U1946">
        <v>0.4736938</v>
      </c>
      <c r="V1946">
        <v>1.247029E-2</v>
      </c>
      <c r="W1946">
        <v>-9.2762109999999995E-2</v>
      </c>
      <c r="X1946">
        <v>0.9956102</v>
      </c>
      <c r="Y1946">
        <v>0.11269170000000001</v>
      </c>
      <c r="Z1946">
        <v>-1.257343E-2</v>
      </c>
      <c r="AA1946">
        <v>0.99355039999999994</v>
      </c>
      <c r="AB1946">
        <v>36</v>
      </c>
      <c r="AC1946">
        <v>-279.98320000000001</v>
      </c>
      <c r="AD1946">
        <v>133.201303</v>
      </c>
      <c r="AE1946">
        <v>42.129499999999901</v>
      </c>
      <c r="AF1946">
        <v>28.187642447494699</v>
      </c>
      <c r="AG1946">
        <v>133.201303</v>
      </c>
      <c r="AH1946">
        <v>230.10622686405301</v>
      </c>
      <c r="AI1946">
        <v>60.119452877170403</v>
      </c>
      <c r="AJ1946">
        <v>83.016153391013006</v>
      </c>
      <c r="AK1946">
        <v>267.36867047067602</v>
      </c>
      <c r="AL1946">
        <v>95.322529352544805</v>
      </c>
      <c r="AM1946">
        <v>89.282392219458004</v>
      </c>
      <c r="AN1946">
        <v>0.99999999376418802</v>
      </c>
    </row>
    <row r="1947" spans="1:40" x14ac:dyDescent="0.25">
      <c r="A1947" t="str">
        <f>"20190303154805971"</f>
        <v>20190303154805971</v>
      </c>
      <c r="B1947" t="str">
        <f>"1551599285962643"</f>
        <v>1551599285962643</v>
      </c>
      <c r="C1947" t="s">
        <v>40</v>
      </c>
      <c r="D1947">
        <v>6.0348629999999996</v>
      </c>
      <c r="E1947">
        <v>0.5225109</v>
      </c>
      <c r="F1947" t="s">
        <v>53</v>
      </c>
      <c r="G1947">
        <v>-510.99860000000001</v>
      </c>
      <c r="H1947">
        <v>135.5025</v>
      </c>
      <c r="I1947">
        <v>326.41140000000001</v>
      </c>
      <c r="J1947">
        <v>-231.4128</v>
      </c>
      <c r="K1947">
        <v>1.118412</v>
      </c>
      <c r="L1947">
        <v>284.34739999999999</v>
      </c>
      <c r="M1947">
        <v>-0.99958150000000001</v>
      </c>
      <c r="N1947">
        <v>-5.0782780000000003E-3</v>
      </c>
      <c r="O1947">
        <v>2.847978E-2</v>
      </c>
      <c r="P1947">
        <v>-0.99469609999999997</v>
      </c>
      <c r="Q1947">
        <v>-9.4781530000000003E-2</v>
      </c>
      <c r="R1947">
        <v>3.9952750000000002E-2</v>
      </c>
      <c r="S1947">
        <v>-3.1455839999999999</v>
      </c>
      <c r="T1947">
        <v>1.5097910000000001</v>
      </c>
      <c r="U1947">
        <v>0.47271730000000001</v>
      </c>
      <c r="V1947">
        <v>1.13639E-2</v>
      </c>
      <c r="W1947">
        <v>-8.9756429999999998E-2</v>
      </c>
      <c r="X1947">
        <v>0.99589890000000003</v>
      </c>
      <c r="Y1947">
        <v>0.1117041</v>
      </c>
      <c r="Z1947">
        <v>-1.196997E-2</v>
      </c>
      <c r="AA1947">
        <v>0.99366949999999998</v>
      </c>
      <c r="AB1947">
        <v>36</v>
      </c>
      <c r="AC1947">
        <v>-279.58580000000001</v>
      </c>
      <c r="AD1947">
        <v>134.38408799999999</v>
      </c>
      <c r="AE1947">
        <v>42.064</v>
      </c>
      <c r="AF1947">
        <v>27.803150663223398</v>
      </c>
      <c r="AG1947">
        <v>134.38408799999999</v>
      </c>
      <c r="AH1947">
        <v>228.94771147319801</v>
      </c>
      <c r="AI1947">
        <v>59.771359257043201</v>
      </c>
      <c r="AJ1947">
        <v>83.0759697696503</v>
      </c>
      <c r="AK1947">
        <v>266.92536950093103</v>
      </c>
      <c r="AL1947">
        <v>95.149594914126098</v>
      </c>
      <c r="AM1947">
        <v>89.346243627483304</v>
      </c>
      <c r="AN1947">
        <v>0.99999998698538195</v>
      </c>
    </row>
    <row r="1948" spans="1:40" x14ac:dyDescent="0.25">
      <c r="A1948" t="str">
        <f>"20190303154805991"</f>
        <v>20190303154805991</v>
      </c>
      <c r="B1948" t="str">
        <f>"1551599285982163"</f>
        <v>1551599285982163</v>
      </c>
      <c r="C1948" t="s">
        <v>40</v>
      </c>
      <c r="D1948">
        <v>6.0133130000000001</v>
      </c>
      <c r="E1948">
        <v>0.52294160000000001</v>
      </c>
      <c r="F1948" t="s">
        <v>52</v>
      </c>
      <c r="G1948">
        <v>-270.137</v>
      </c>
      <c r="H1948" s="1">
        <v>-1.621366E-6</v>
      </c>
      <c r="I1948">
        <v>288.21890000000002</v>
      </c>
      <c r="J1948">
        <v>-231.755</v>
      </c>
      <c r="K1948">
        <v>1.118485</v>
      </c>
      <c r="L1948">
        <v>284.358</v>
      </c>
      <c r="M1948">
        <v>-0.99955459999999996</v>
      </c>
      <c r="N1948">
        <v>-5.3871559999999997E-3</v>
      </c>
      <c r="O1948">
        <v>2.9353730000000001E-2</v>
      </c>
      <c r="P1948">
        <v>-0.99467989999999995</v>
      </c>
      <c r="Q1948">
        <v>-9.4602580000000006E-2</v>
      </c>
      <c r="R1948">
        <v>4.0771549999999997E-2</v>
      </c>
      <c r="S1948">
        <v>-2.9957120000000002</v>
      </c>
      <c r="T1948">
        <v>-8.652079E-2</v>
      </c>
      <c r="U1948">
        <v>0.29949949999999997</v>
      </c>
      <c r="V1948">
        <v>1.132333E-2</v>
      </c>
      <c r="W1948">
        <v>-8.9268410000000006E-2</v>
      </c>
      <c r="X1948">
        <v>0.99594320000000003</v>
      </c>
      <c r="Y1948">
        <v>7.0202329999999993E-2</v>
      </c>
      <c r="Z1948">
        <v>5.1335110000000003E-4</v>
      </c>
      <c r="AA1948">
        <v>0.99753270000000005</v>
      </c>
      <c r="AB1948">
        <v>36</v>
      </c>
      <c r="AC1948">
        <v>-38.381999999999998</v>
      </c>
      <c r="AD1948">
        <v>-1.1184866213660001</v>
      </c>
      <c r="AE1948">
        <v>3.8609000000000102</v>
      </c>
      <c r="AF1948">
        <v>2.7302697577682098</v>
      </c>
      <c r="AG1948">
        <v>-1.1184866213660001</v>
      </c>
      <c r="AH1948">
        <v>38.446472228405298</v>
      </c>
      <c r="AI1948">
        <v>91.662197878014993</v>
      </c>
      <c r="AJ1948">
        <v>85.937969115295104</v>
      </c>
      <c r="AK1948">
        <v>38.559520381896597</v>
      </c>
      <c r="AL1948">
        <v>95.121520856267296</v>
      </c>
      <c r="AM1948">
        <v>89.348606359771594</v>
      </c>
      <c r="AN1948">
        <v>0.999999962226227</v>
      </c>
    </row>
    <row r="1949" spans="1:40" x14ac:dyDescent="0.25">
      <c r="A1949" t="str">
        <f>"20190303154806014"</f>
        <v>20190303154806014</v>
      </c>
      <c r="B1949" t="str">
        <f>"1551599286002659"</f>
        <v>1551599286002659</v>
      </c>
      <c r="C1949" t="s">
        <v>40</v>
      </c>
      <c r="D1949">
        <v>6.0642189999999996</v>
      </c>
      <c r="E1949">
        <v>0.51906409999999903</v>
      </c>
      <c r="F1949" t="s">
        <v>52</v>
      </c>
      <c r="G1949">
        <v>-262.87830000000002</v>
      </c>
      <c r="H1949" s="1">
        <v>-5.1240650000000001E-9</v>
      </c>
      <c r="I1949">
        <v>287.53179999999998</v>
      </c>
      <c r="J1949">
        <v>-232.11359999999999</v>
      </c>
      <c r="K1949">
        <v>1.11854599999999</v>
      </c>
      <c r="L1949">
        <v>284.36939999999998</v>
      </c>
      <c r="M1949">
        <v>-0.99952629999999998</v>
      </c>
      <c r="N1949">
        <v>-5.678036E-3</v>
      </c>
      <c r="O1949">
        <v>3.025044E-2</v>
      </c>
      <c r="P1949">
        <v>-0.99444889999999997</v>
      </c>
      <c r="Q1949">
        <v>-9.6273910000000004E-2</v>
      </c>
      <c r="R1949">
        <v>4.2461909999999999E-2</v>
      </c>
      <c r="S1949">
        <v>-2.993271</v>
      </c>
      <c r="T1949">
        <v>-0.1075701</v>
      </c>
      <c r="U1949">
        <v>0.30523679999999997</v>
      </c>
      <c r="V1949">
        <v>1.2133379999999999E-2</v>
      </c>
      <c r="W1949">
        <v>-9.0651700000000002E-2</v>
      </c>
      <c r="X1949">
        <v>0.99580869999999999</v>
      </c>
      <c r="Y1949">
        <v>7.1267869999999997E-2</v>
      </c>
      <c r="Z1949">
        <v>5.6773730000000001E-4</v>
      </c>
      <c r="AA1949">
        <v>0.99745700000000004</v>
      </c>
      <c r="AB1949">
        <v>36</v>
      </c>
      <c r="AC1949">
        <v>-30.764700000000001</v>
      </c>
      <c r="AD1949">
        <v>-1.1185460051240601</v>
      </c>
      <c r="AE1949">
        <v>3.1623999999999901</v>
      </c>
      <c r="AF1949">
        <v>2.22737843067519</v>
      </c>
      <c r="AG1949">
        <v>-1.1185460051240601</v>
      </c>
      <c r="AH1949">
        <v>30.805988640614899</v>
      </c>
      <c r="AI1949">
        <v>92.074050550462502</v>
      </c>
      <c r="AJ1949">
        <v>85.864515467761905</v>
      </c>
      <c r="AK1949">
        <v>30.906654557954202</v>
      </c>
      <c r="AL1949">
        <v>95.201100229575403</v>
      </c>
      <c r="AM1949">
        <v>89.3019170595704</v>
      </c>
      <c r="AN1949">
        <v>0.99999995830940103</v>
      </c>
    </row>
    <row r="1950" spans="1:40" x14ac:dyDescent="0.25">
      <c r="A1950" t="str">
        <f>"20190303154806035"</f>
        <v>20190303154806035</v>
      </c>
      <c r="B1950" t="str">
        <f>"1551599286032915"</f>
        <v>1551599286032915</v>
      </c>
      <c r="C1950" t="s">
        <v>40</v>
      </c>
      <c r="D1950">
        <v>5.9957929999999999</v>
      </c>
      <c r="E1950">
        <v>0.51651599999999998</v>
      </c>
      <c r="F1950" t="s">
        <v>52</v>
      </c>
      <c r="G1950">
        <v>-254.92859999999999</v>
      </c>
      <c r="H1950" s="1">
        <v>1.0859409999999999E-6</v>
      </c>
      <c r="I1950">
        <v>286.50110000000001</v>
      </c>
      <c r="J1950">
        <v>-232.4648</v>
      </c>
      <c r="K1950">
        <v>1.1186039999999999</v>
      </c>
      <c r="L1950">
        <v>284.3809</v>
      </c>
      <c r="M1950">
        <v>-0.99949900000000003</v>
      </c>
      <c r="N1950">
        <v>-5.9320249999999996E-3</v>
      </c>
      <c r="O1950">
        <v>3.109282E-2</v>
      </c>
      <c r="P1950">
        <v>-0.99414250000000004</v>
      </c>
      <c r="Q1950">
        <v>-9.823519E-2</v>
      </c>
      <c r="R1950">
        <v>4.5066990000000001E-2</v>
      </c>
      <c r="S1950">
        <v>-2.9906160000000002</v>
      </c>
      <c r="T1950">
        <v>-0.14662039999999901</v>
      </c>
      <c r="U1950">
        <v>0.27941890000000003</v>
      </c>
      <c r="V1950">
        <v>1.391473E-2</v>
      </c>
      <c r="W1950">
        <v>-9.2364050000000003E-2</v>
      </c>
      <c r="X1950">
        <v>0.99562810000000002</v>
      </c>
      <c r="Y1950">
        <v>6.1969080000000003E-2</v>
      </c>
      <c r="Z1950">
        <v>3.6380199999999998E-4</v>
      </c>
      <c r="AA1950">
        <v>0.99807800000000002</v>
      </c>
      <c r="AB1950">
        <v>36</v>
      </c>
      <c r="AC1950">
        <v>-22.4637999999999</v>
      </c>
      <c r="AD1950">
        <v>-1.1186029140589999</v>
      </c>
      <c r="AE1950">
        <v>2.1202000000000099</v>
      </c>
      <c r="AF1950">
        <v>1.4172166091337199</v>
      </c>
      <c r="AG1950">
        <v>-1.1186029140589999</v>
      </c>
      <c r="AH1950">
        <v>22.4636530049337</v>
      </c>
      <c r="AI1950">
        <v>92.845105975716294</v>
      </c>
      <c r="AJ1950">
        <v>86.390032656003399</v>
      </c>
      <c r="AK1950">
        <v>22.5360928672787</v>
      </c>
      <c r="AL1950">
        <v>95.299623688348106</v>
      </c>
      <c r="AM1950">
        <v>89.199296001701697</v>
      </c>
      <c r="AN1950">
        <v>1.00000002547649</v>
      </c>
    </row>
    <row r="1951" spans="1:40" x14ac:dyDescent="0.25">
      <c r="A1951" t="str">
        <f>"20190303154806059"</f>
        <v>20190303154806059</v>
      </c>
      <c r="B1951" t="str">
        <f>"1551599286052435"</f>
        <v>1551599286052435</v>
      </c>
      <c r="C1951" t="s">
        <v>40</v>
      </c>
      <c r="D1951">
        <v>5.9964360000000001</v>
      </c>
      <c r="E1951">
        <v>0.51512999999999998</v>
      </c>
      <c r="F1951" t="s">
        <v>52</v>
      </c>
      <c r="G1951">
        <v>-251.31970000000001</v>
      </c>
      <c r="H1951" s="1">
        <v>-8.3450360000000005E-7</v>
      </c>
      <c r="I1951">
        <v>286.06549999999999</v>
      </c>
      <c r="J1951">
        <v>-232.8364</v>
      </c>
      <c r="K1951">
        <v>1.1186689999999999</v>
      </c>
      <c r="L1951">
        <v>284.39319999999998</v>
      </c>
      <c r="M1951">
        <v>-0.99947140000000001</v>
      </c>
      <c r="N1951">
        <v>-6.1674399999999997E-3</v>
      </c>
      <c r="O1951">
        <v>3.1924439999999998E-2</v>
      </c>
      <c r="P1951">
        <v>-0.99388679999999996</v>
      </c>
      <c r="Q1951">
        <v>-9.9631410000000004E-2</v>
      </c>
      <c r="R1951">
        <v>4.7570319999999999E-2</v>
      </c>
      <c r="S1951">
        <v>-2.9880520000000002</v>
      </c>
      <c r="T1951">
        <v>-0.1772724</v>
      </c>
      <c r="U1951">
        <v>0.26696779999999998</v>
      </c>
      <c r="V1951">
        <v>1.560828E-2</v>
      </c>
      <c r="W1951">
        <v>-9.3528459999999994E-2</v>
      </c>
      <c r="X1951">
        <v>0.9954942</v>
      </c>
      <c r="Y1951">
        <v>5.7081590000000001E-2</v>
      </c>
      <c r="Z1951">
        <v>1.7373279999999901E-4</v>
      </c>
      <c r="AA1951">
        <v>0.99836950000000002</v>
      </c>
      <c r="AB1951">
        <v>36</v>
      </c>
      <c r="AC1951">
        <v>-18.4833</v>
      </c>
      <c r="AD1951">
        <v>-1.1186698345035999</v>
      </c>
      <c r="AE1951">
        <v>1.6722999999999999</v>
      </c>
      <c r="AF1951">
        <v>1.077452696485</v>
      </c>
      <c r="AG1951">
        <v>-1.1186698345035999</v>
      </c>
      <c r="AH1951">
        <v>18.460194802786599</v>
      </c>
      <c r="AI1951">
        <v>93.461950313100999</v>
      </c>
      <c r="AJ1951">
        <v>86.659648782084403</v>
      </c>
      <c r="AK1951">
        <v>18.525418177968898</v>
      </c>
      <c r="AL1951">
        <v>95.366629952735096</v>
      </c>
      <c r="AM1951">
        <v>89.101737308304394</v>
      </c>
      <c r="AN1951">
        <v>0.99999994673408299</v>
      </c>
    </row>
    <row r="1952" spans="1:40" x14ac:dyDescent="0.25">
      <c r="A1952" t="str">
        <f>"20190303154806080"</f>
        <v>20190303154806080</v>
      </c>
      <c r="B1952" t="str">
        <f>"1551599286072931"</f>
        <v>1551599286072931</v>
      </c>
      <c r="C1952" t="s">
        <v>40</v>
      </c>
      <c r="D1952">
        <v>5.9815079999999998</v>
      </c>
      <c r="E1952">
        <v>0.51418869999999905</v>
      </c>
      <c r="F1952" t="s">
        <v>52</v>
      </c>
      <c r="G1952">
        <v>-250.10509999999999</v>
      </c>
      <c r="H1952" s="1">
        <v>-1.480858E-6</v>
      </c>
      <c r="I1952">
        <v>285.91449999999998</v>
      </c>
      <c r="J1952">
        <v>-233.2011</v>
      </c>
      <c r="K1952">
        <v>1.1187450000000001</v>
      </c>
      <c r="L1952">
        <v>284.40550000000002</v>
      </c>
      <c r="M1952">
        <v>-0.99944630000000001</v>
      </c>
      <c r="N1952">
        <v>-6.3631390000000003E-3</v>
      </c>
      <c r="O1952">
        <v>3.2657599999999898E-2</v>
      </c>
      <c r="P1952">
        <v>-0.99371830000000005</v>
      </c>
      <c r="Q1952">
        <v>-0.1004221</v>
      </c>
      <c r="R1952">
        <v>4.9387519999999997E-2</v>
      </c>
      <c r="S1952">
        <v>-2.98645</v>
      </c>
      <c r="T1952">
        <v>-0.1934632</v>
      </c>
      <c r="U1952">
        <v>0.26309199999999999</v>
      </c>
      <c r="V1952">
        <v>1.6715710000000002E-2</v>
      </c>
      <c r="W1952">
        <v>-9.4124319999999997E-2</v>
      </c>
      <c r="X1952">
        <v>0.99542010000000003</v>
      </c>
      <c r="Y1952">
        <v>5.510557E-2</v>
      </c>
      <c r="Z1952" s="1">
        <v>5.4504369999999997E-5</v>
      </c>
      <c r="AA1952">
        <v>0.99848060000000005</v>
      </c>
      <c r="AB1952">
        <v>37</v>
      </c>
      <c r="AC1952">
        <v>-16.9039999999999</v>
      </c>
      <c r="AD1952">
        <v>-1.1187464808580001</v>
      </c>
      <c r="AE1952">
        <v>1.5089999999999499</v>
      </c>
      <c r="AF1952">
        <v>0.95200288923488596</v>
      </c>
      <c r="AG1952">
        <v>-1.1187464808580001</v>
      </c>
      <c r="AH1952">
        <v>16.870952030159401</v>
      </c>
      <c r="AI1952">
        <v>93.7878348726518</v>
      </c>
      <c r="AJ1952">
        <v>86.770308905011206</v>
      </c>
      <c r="AK1952">
        <v>16.934784486183499</v>
      </c>
      <c r="AL1952">
        <v>95.400921263750902</v>
      </c>
      <c r="AM1952">
        <v>89.037944256088394</v>
      </c>
      <c r="AN1952">
        <v>0.99999998903013798</v>
      </c>
    </row>
    <row r="1953" spans="1:40" x14ac:dyDescent="0.25">
      <c r="A1953" t="str">
        <f>"20190303154806103"</f>
        <v>20190303154806103</v>
      </c>
      <c r="B1953" t="str">
        <f>"1551599286092451"</f>
        <v>1551599286092451</v>
      </c>
      <c r="C1953" t="s">
        <v>40</v>
      </c>
      <c r="D1953">
        <v>5.952674</v>
      </c>
      <c r="E1953">
        <v>0.51307979999999997</v>
      </c>
      <c r="F1953" t="s">
        <v>52</v>
      </c>
      <c r="G1953">
        <v>-249.60900000000001</v>
      </c>
      <c r="H1953" s="1">
        <v>3.576645E-6</v>
      </c>
      <c r="I1953">
        <v>285.84179999999998</v>
      </c>
      <c r="J1953">
        <v>-233.5652</v>
      </c>
      <c r="K1953">
        <v>1.118824</v>
      </c>
      <c r="L1953">
        <v>284.41809999999998</v>
      </c>
      <c r="M1953">
        <v>-0.99942470000000005</v>
      </c>
      <c r="N1953">
        <v>-6.5262200000000001E-3</v>
      </c>
      <c r="O1953">
        <v>3.3282399999999997E-2</v>
      </c>
      <c r="P1953">
        <v>-0.99351699999999998</v>
      </c>
      <c r="Q1953">
        <v>-0.10224510000000001</v>
      </c>
      <c r="R1953">
        <v>4.9699409999999999E-2</v>
      </c>
      <c r="S1953">
        <v>-2.9854280000000002</v>
      </c>
      <c r="T1953">
        <v>-0.20355529999999999</v>
      </c>
      <c r="U1953">
        <v>0.261322</v>
      </c>
      <c r="V1953">
        <v>1.6429309999999999E-2</v>
      </c>
      <c r="W1953">
        <v>-9.5782069999999997E-2</v>
      </c>
      <c r="X1953">
        <v>0.99526669999999995</v>
      </c>
      <c r="Y1953">
        <v>5.3920950000000002E-2</v>
      </c>
      <c r="Z1953" s="1">
        <v>-3.5405740000000002E-5</v>
      </c>
      <c r="AA1953">
        <v>0.99854520000000002</v>
      </c>
      <c r="AB1953">
        <v>37</v>
      </c>
      <c r="AC1953">
        <v>-16.043800000000001</v>
      </c>
      <c r="AD1953">
        <v>-1.1188204233550001</v>
      </c>
      <c r="AE1953">
        <v>1.42369999999999</v>
      </c>
      <c r="AF1953">
        <v>0.88465520258409502</v>
      </c>
      <c r="AG1953">
        <v>-1.1188204233550001</v>
      </c>
      <c r="AH1953">
        <v>16.005071398545699</v>
      </c>
      <c r="AI1953">
        <v>93.992631500442101</v>
      </c>
      <c r="AJ1953">
        <v>86.836284965809995</v>
      </c>
      <c r="AK1953">
        <v>16.068499756969299</v>
      </c>
      <c r="AL1953">
        <v>95.496334585293695</v>
      </c>
      <c r="AM1953">
        <v>89.054278984240298</v>
      </c>
      <c r="AN1953">
        <v>0.99999996564472404</v>
      </c>
    </row>
    <row r="1954" spans="1:40" x14ac:dyDescent="0.25">
      <c r="A1954" t="str">
        <f>"20190303154806125"</f>
        <v>20190303154806125</v>
      </c>
      <c r="B1954" t="str">
        <f>"1551599286112951"</f>
        <v>1551599286112951</v>
      </c>
      <c r="C1954" t="s">
        <v>40</v>
      </c>
      <c r="D1954">
        <v>5.9848080000000001</v>
      </c>
      <c r="E1954">
        <v>0.51261369999999995</v>
      </c>
      <c r="F1954" t="s">
        <v>42</v>
      </c>
      <c r="G1954">
        <v>-234.58590000000001</v>
      </c>
      <c r="H1954">
        <v>1.0456219999999901</v>
      </c>
      <c r="I1954">
        <v>284.50479999999999</v>
      </c>
      <c r="J1954">
        <v>-233.9298</v>
      </c>
      <c r="K1954">
        <v>1.1189119999999999</v>
      </c>
      <c r="L1954">
        <v>284.4307</v>
      </c>
      <c r="M1954">
        <v>-0.99940629999999997</v>
      </c>
      <c r="N1954">
        <v>-6.662706E-3</v>
      </c>
      <c r="O1954">
        <v>3.3806259999999998E-2</v>
      </c>
      <c r="P1954">
        <v>-0.993448</v>
      </c>
      <c r="Q1954">
        <v>-0.1030427</v>
      </c>
      <c r="R1954">
        <v>4.9430200000000001E-2</v>
      </c>
      <c r="S1954">
        <v>-2.9848629999999998</v>
      </c>
      <c r="T1954">
        <v>-0.2141448</v>
      </c>
      <c r="U1954">
        <v>0.25329590000000002</v>
      </c>
      <c r="V1954">
        <v>1.5661209999999998E-2</v>
      </c>
      <c r="W1954">
        <v>-9.6439319999999995E-2</v>
      </c>
      <c r="X1954">
        <v>0.99521570000000004</v>
      </c>
      <c r="Y1954">
        <v>5.0751320000000003E-2</v>
      </c>
      <c r="Z1954">
        <v>-2.074725E-4</v>
      </c>
      <c r="AA1954">
        <v>0.99871129999999997</v>
      </c>
      <c r="AB1954">
        <v>37</v>
      </c>
      <c r="AC1954">
        <v>-0.65610000000000901</v>
      </c>
      <c r="AD1954">
        <v>-7.3290000000000299E-2</v>
      </c>
      <c r="AE1954">
        <v>7.4099999999987107E-2</v>
      </c>
      <c r="AF1954">
        <v>5.1245471991625699E-2</v>
      </c>
      <c r="AG1954">
        <v>-7.3290000000000299E-2</v>
      </c>
      <c r="AH1954">
        <v>0.65021873600081903</v>
      </c>
      <c r="AI1954">
        <v>96.411288332743396</v>
      </c>
      <c r="AJ1954">
        <v>85.493681704688498</v>
      </c>
      <c r="AK1954">
        <v>0.65633979549174704</v>
      </c>
      <c r="AL1954">
        <v>95.534166896099904</v>
      </c>
      <c r="AM1954">
        <v>89.098439488062297</v>
      </c>
      <c r="AN1954">
        <v>1.0000000527335999</v>
      </c>
    </row>
    <row r="1955" spans="1:40" x14ac:dyDescent="0.25">
      <c r="A1955" t="str">
        <f>"20190303154806148"</f>
        <v>20190303154806148</v>
      </c>
      <c r="B1955" t="str">
        <f>"1551599286142227"</f>
        <v>1551599286142227</v>
      </c>
      <c r="C1955" t="s">
        <v>40</v>
      </c>
      <c r="D1955">
        <v>5.9415100000000001</v>
      </c>
      <c r="E1955">
        <v>0.51197029999999999</v>
      </c>
      <c r="F1955" t="s">
        <v>42</v>
      </c>
      <c r="G1955">
        <v>-234.91640000000001</v>
      </c>
      <c r="H1955">
        <v>1.046022</v>
      </c>
      <c r="I1955">
        <v>284.51310000000001</v>
      </c>
      <c r="J1955">
        <v>-234.3134</v>
      </c>
      <c r="K1955">
        <v>1.119</v>
      </c>
      <c r="L1955">
        <v>284.44409999999999</v>
      </c>
      <c r="M1955">
        <v>-0.99938970000000005</v>
      </c>
      <c r="N1955">
        <v>-6.7821859999999999E-3</v>
      </c>
      <c r="O1955">
        <v>3.4266129999999999E-2</v>
      </c>
      <c r="P1955">
        <v>-0.99355729999999998</v>
      </c>
      <c r="Q1955">
        <v>-0.1024693</v>
      </c>
      <c r="R1955">
        <v>4.8414529999999997E-2</v>
      </c>
      <c r="S1955">
        <v>-2.9845120000000001</v>
      </c>
      <c r="T1955">
        <v>-0.2206147</v>
      </c>
      <c r="U1955">
        <v>0.24877929999999901</v>
      </c>
      <c r="V1955">
        <v>1.42059E-2</v>
      </c>
      <c r="W1955">
        <v>-9.5741209999999993E-2</v>
      </c>
      <c r="X1955">
        <v>0.99530490000000005</v>
      </c>
      <c r="Y1955">
        <v>4.8803539999999999E-2</v>
      </c>
      <c r="Z1955">
        <v>-3.2779229999999998E-4</v>
      </c>
      <c r="AA1955">
        <v>0.99880829999999998</v>
      </c>
      <c r="AB1955">
        <v>37</v>
      </c>
      <c r="AC1955">
        <v>-0.60300000000000797</v>
      </c>
      <c r="AD1955">
        <v>-7.2977999999999904E-2</v>
      </c>
      <c r="AE1955">
        <v>6.9000000000016798E-2</v>
      </c>
      <c r="AF1955">
        <v>4.7608219123660998E-2</v>
      </c>
      <c r="AG1955">
        <v>-7.2977999999999904E-2</v>
      </c>
      <c r="AH1955">
        <v>0.59638787957004502</v>
      </c>
      <c r="AI1955">
        <v>96.9545054000655</v>
      </c>
      <c r="AJ1955">
        <v>85.435893275552203</v>
      </c>
      <c r="AK1955">
        <v>0.60271953171452897</v>
      </c>
      <c r="AL1955">
        <v>95.493982396618094</v>
      </c>
      <c r="AM1955">
        <v>89.182277862602405</v>
      </c>
      <c r="AN1955">
        <v>1.00000001542554</v>
      </c>
    </row>
    <row r="1956" spans="1:40" x14ac:dyDescent="0.25">
      <c r="A1956" t="str">
        <f>"20190303154806172"</f>
        <v>20190303154806172</v>
      </c>
      <c r="B1956" t="str">
        <f>"1551599286162724"</f>
        <v>1551599286162724</v>
      </c>
      <c r="C1956" t="s">
        <v>40</v>
      </c>
      <c r="D1956">
        <v>5.863467</v>
      </c>
      <c r="E1956">
        <v>0.51156570000000001</v>
      </c>
      <c r="F1956" t="s">
        <v>42</v>
      </c>
      <c r="G1956">
        <v>-235.2499</v>
      </c>
      <c r="H1956">
        <v>1.048837</v>
      </c>
      <c r="I1956">
        <v>284.5197</v>
      </c>
      <c r="J1956">
        <v>-234.70689999999999</v>
      </c>
      <c r="K1956">
        <v>1.119073</v>
      </c>
      <c r="L1956">
        <v>284.4579</v>
      </c>
      <c r="M1956">
        <v>-0.99937549999999997</v>
      </c>
      <c r="N1956">
        <v>-6.8799430000000003E-3</v>
      </c>
      <c r="O1956">
        <v>3.4660660000000003E-2</v>
      </c>
      <c r="P1956">
        <v>-0.99387449999999999</v>
      </c>
      <c r="Q1956">
        <v>-0.1003204</v>
      </c>
      <c r="R1956">
        <v>4.6361350000000003E-2</v>
      </c>
      <c r="S1956">
        <v>-2.9846650000000001</v>
      </c>
      <c r="T1956">
        <v>-0.22375229999999999</v>
      </c>
      <c r="U1956">
        <v>0.2407532</v>
      </c>
      <c r="V1956">
        <v>1.176952E-2</v>
      </c>
      <c r="W1956">
        <v>-9.3487810000000005E-2</v>
      </c>
      <c r="X1956">
        <v>0.99555090000000002</v>
      </c>
      <c r="Y1956">
        <v>4.5745029999999999E-2</v>
      </c>
      <c r="Z1956">
        <v>-4.8401569999999999E-4</v>
      </c>
      <c r="AA1956">
        <v>0.99895299999999998</v>
      </c>
      <c r="AB1956">
        <v>37</v>
      </c>
      <c r="AC1956">
        <v>-0.54300000000000603</v>
      </c>
      <c r="AD1956">
        <v>-7.0235999999999896E-2</v>
      </c>
      <c r="AE1956">
        <v>6.1800000000005101E-2</v>
      </c>
      <c r="AF1956">
        <v>4.2243939922851297E-2</v>
      </c>
      <c r="AG1956">
        <v>-7.0235999999999896E-2</v>
      </c>
      <c r="AH1956">
        <v>0.53596330413210902</v>
      </c>
      <c r="AI1956">
        <v>97.443031967942304</v>
      </c>
      <c r="AJ1956">
        <v>85.493337148863702</v>
      </c>
      <c r="AK1956">
        <v>0.54219397777217504</v>
      </c>
      <c r="AL1956">
        <v>95.364290109640606</v>
      </c>
      <c r="AM1956">
        <v>89.322674099794199</v>
      </c>
      <c r="AN1956">
        <v>1.0000000433552101</v>
      </c>
    </row>
    <row r="1957" spans="1:40" x14ac:dyDescent="0.25">
      <c r="A1957" t="str">
        <f>"20190303154806193"</f>
        <v>20190303154806193</v>
      </c>
      <c r="B1957" t="str">
        <f>"1551599286182244"</f>
        <v>1551599286182244</v>
      </c>
      <c r="C1957" t="s">
        <v>40</v>
      </c>
      <c r="D1957">
        <v>5.8670229999999997</v>
      </c>
      <c r="E1957">
        <v>0.51122920000000005</v>
      </c>
      <c r="F1957" t="s">
        <v>42</v>
      </c>
      <c r="G1957">
        <v>-235.58670000000001</v>
      </c>
      <c r="H1957">
        <v>1.0542860000000001</v>
      </c>
      <c r="I1957">
        <v>284.52620000000002</v>
      </c>
      <c r="J1957">
        <v>-235.06739999999999</v>
      </c>
      <c r="K1957">
        <v>1.119108</v>
      </c>
      <c r="L1957">
        <v>284.47070000000002</v>
      </c>
      <c r="M1957">
        <v>-0.99936409999999998</v>
      </c>
      <c r="N1957">
        <v>-6.947651E-3</v>
      </c>
      <c r="O1957">
        <v>3.4974779999999997E-2</v>
      </c>
      <c r="P1957">
        <v>-0.99413859999999998</v>
      </c>
      <c r="Q1957">
        <v>-9.8819329999999997E-2</v>
      </c>
      <c r="R1957">
        <v>4.3855909999999998E-2</v>
      </c>
      <c r="S1957">
        <v>-2.9854889999999998</v>
      </c>
      <c r="T1957">
        <v>-0.21987870000000001</v>
      </c>
      <c r="U1957">
        <v>0.23132320000000001</v>
      </c>
      <c r="V1957">
        <v>8.9559189999999997E-3</v>
      </c>
      <c r="W1957">
        <v>-9.1913640000000005E-2</v>
      </c>
      <c r="X1957">
        <v>0.99572669999999996</v>
      </c>
      <c r="Y1957">
        <v>4.228519E-2</v>
      </c>
      <c r="Z1957">
        <v>-6.2478950000000001E-4</v>
      </c>
      <c r="AA1957">
        <v>0.99910540000000003</v>
      </c>
      <c r="AB1957">
        <v>37</v>
      </c>
      <c r="AC1957">
        <v>-0.51930000000001497</v>
      </c>
      <c r="AD1957">
        <v>-6.4821999999999894E-2</v>
      </c>
      <c r="AE1957">
        <v>5.5499999999994998E-2</v>
      </c>
      <c r="AF1957">
        <v>3.6737247004399502E-2</v>
      </c>
      <c r="AG1957">
        <v>-6.4821999999999894E-2</v>
      </c>
      <c r="AH1957">
        <v>0.51302009171354301</v>
      </c>
      <c r="AI1957">
        <v>97.1831719955739</v>
      </c>
      <c r="AJ1957">
        <v>85.904054558557405</v>
      </c>
      <c r="AK1957">
        <v>0.51840248022480995</v>
      </c>
      <c r="AL1957">
        <v>95.273707020542304</v>
      </c>
      <c r="AM1957">
        <v>89.484675339401093</v>
      </c>
      <c r="AN1957">
        <v>0.99999999339803702</v>
      </c>
    </row>
    <row r="1958" spans="1:40" x14ac:dyDescent="0.25">
      <c r="A1958" t="str">
        <f>"20190303154806214"</f>
        <v>20190303154806214</v>
      </c>
      <c r="B1958" t="str">
        <f>"1551599286202739"</f>
        <v>1551599286202739</v>
      </c>
      <c r="C1958" t="s">
        <v>40</v>
      </c>
      <c r="D1958">
        <v>5.8733329999999997</v>
      </c>
      <c r="E1958">
        <v>0.51109850000000001</v>
      </c>
      <c r="F1958" t="s">
        <v>52</v>
      </c>
      <c r="G1958">
        <v>-250.36789999999999</v>
      </c>
      <c r="H1958" s="1">
        <v>-1.3410139999999999E-6</v>
      </c>
      <c r="I1958">
        <v>285.60480000000001</v>
      </c>
      <c r="J1958">
        <v>-235.4151</v>
      </c>
      <c r="K1958">
        <v>1.1191139999999999</v>
      </c>
      <c r="L1958">
        <v>284.48309999999998</v>
      </c>
      <c r="M1958">
        <v>-0.99935390000000002</v>
      </c>
      <c r="N1958">
        <v>-6.9944559999999996E-3</v>
      </c>
      <c r="O1958">
        <v>3.5254800000000003E-2</v>
      </c>
      <c r="P1958">
        <v>-0.99414990000000003</v>
      </c>
      <c r="Q1958">
        <v>-0.100144</v>
      </c>
      <c r="R1958">
        <v>4.0463789999999999E-2</v>
      </c>
      <c r="S1958">
        <v>-2.9862060000000001</v>
      </c>
      <c r="T1958">
        <v>-0.2184178</v>
      </c>
      <c r="U1958">
        <v>0.22134400000000001</v>
      </c>
      <c r="V1958">
        <v>5.2919289999999999E-3</v>
      </c>
      <c r="W1958">
        <v>-9.3187939999999997E-2</v>
      </c>
      <c r="X1958">
        <v>0.99563449999999998</v>
      </c>
      <c r="Y1958">
        <v>3.8678120000000003E-2</v>
      </c>
      <c r="Z1958">
        <v>-7.7801009999999904E-4</v>
      </c>
      <c r="AA1958">
        <v>0.99925140000000001</v>
      </c>
      <c r="AB1958">
        <v>37</v>
      </c>
      <c r="AC1958">
        <v>-14.9527999999999</v>
      </c>
      <c r="AD1958">
        <v>-1.119115341014</v>
      </c>
      <c r="AE1958">
        <v>1.1217000000000299</v>
      </c>
      <c r="AF1958">
        <v>0.59054239539759601</v>
      </c>
      <c r="AG1958">
        <v>-1.119115341014</v>
      </c>
      <c r="AH1958">
        <v>14.9000548414076</v>
      </c>
      <c r="AI1958">
        <v>94.291957325027397</v>
      </c>
      <c r="AJ1958">
        <v>87.730351506781204</v>
      </c>
      <c r="AK1958">
        <v>14.953688299018699</v>
      </c>
      <c r="AL1958">
        <v>95.347033578009402</v>
      </c>
      <c r="AM1958">
        <v>89.695468224548904</v>
      </c>
      <c r="AN1958">
        <v>1.0000000271321099</v>
      </c>
    </row>
    <row r="1959" spans="1:40" x14ac:dyDescent="0.25">
      <c r="A1959" t="str">
        <f>"20190303154806237"</f>
        <v>20190303154806237</v>
      </c>
      <c r="B1959" t="str">
        <f>"1551599286232995"</f>
        <v>1551599286232995</v>
      </c>
      <c r="C1959" t="s">
        <v>40</v>
      </c>
      <c r="D1959">
        <v>5.8416870000000003</v>
      </c>
      <c r="E1959">
        <v>0.51071080000000002</v>
      </c>
      <c r="F1959" t="s">
        <v>52</v>
      </c>
      <c r="G1959">
        <v>-250.28309999999999</v>
      </c>
      <c r="H1959" s="1">
        <v>-1.3861289999999999E-6</v>
      </c>
      <c r="I1959">
        <v>285.52839999999998</v>
      </c>
      <c r="J1959">
        <v>-235.78639999999999</v>
      </c>
      <c r="K1959">
        <v>1.119105</v>
      </c>
      <c r="L1959">
        <v>284.49650000000003</v>
      </c>
      <c r="M1959">
        <v>-0.99934339999999999</v>
      </c>
      <c r="N1959">
        <v>-7.0267929999999999E-3</v>
      </c>
      <c r="O1959">
        <v>3.5542799999999999E-2</v>
      </c>
      <c r="P1959">
        <v>-0.99394450000000001</v>
      </c>
      <c r="Q1959">
        <v>-0.10343380000000001</v>
      </c>
      <c r="R1959">
        <v>3.7091529999999998E-2</v>
      </c>
      <c r="S1959">
        <v>-2.9864649999999999</v>
      </c>
      <c r="T1959">
        <v>-0.22479160000000001</v>
      </c>
      <c r="U1959">
        <v>0.20996090000000001</v>
      </c>
      <c r="V1959">
        <v>1.6436179999999999E-3</v>
      </c>
      <c r="W1959">
        <v>-9.6443849999999998E-2</v>
      </c>
      <c r="X1959">
        <v>0.99533709999999997</v>
      </c>
      <c r="Y1959">
        <v>3.460622E-2</v>
      </c>
      <c r="Z1959">
        <v>-9.9685919999999996E-4</v>
      </c>
      <c r="AA1959">
        <v>0.99940059999999997</v>
      </c>
      <c r="AB1959">
        <v>37</v>
      </c>
      <c r="AC1959">
        <v>-14.496700000000001</v>
      </c>
      <c r="AD1959">
        <v>-1.119106386129</v>
      </c>
      <c r="AE1959">
        <v>1.0318999999999501</v>
      </c>
      <c r="AF1959">
        <v>0.51294049019026799</v>
      </c>
      <c r="AG1959">
        <v>-1.119106386129</v>
      </c>
      <c r="AH1959">
        <v>14.4386053820717</v>
      </c>
      <c r="AI1959">
        <v>94.429233253052203</v>
      </c>
      <c r="AJ1959">
        <v>87.965387237212695</v>
      </c>
      <c r="AK1959">
        <v>14.490991423264999</v>
      </c>
      <c r="AL1959">
        <v>95.534427786810795</v>
      </c>
      <c r="AM1959">
        <v>89.905386537953902</v>
      </c>
      <c r="AN1959">
        <v>1.0000000301596801</v>
      </c>
    </row>
    <row r="1960" spans="1:40" x14ac:dyDescent="0.25">
      <c r="A1960" t="str">
        <f>"20190303154806259"</f>
        <v>20190303154806259</v>
      </c>
      <c r="B1960" t="str">
        <f>"1551599286252515"</f>
        <v>1551599286252515</v>
      </c>
      <c r="C1960" t="s">
        <v>40</v>
      </c>
      <c r="D1960">
        <v>5.9177439999999999</v>
      </c>
      <c r="E1960">
        <v>0.48977989999999999</v>
      </c>
      <c r="F1960" t="s">
        <v>52</v>
      </c>
      <c r="G1960">
        <v>-249.87440000000001</v>
      </c>
      <c r="H1960" s="1">
        <v>3.7178939999999998E-6</v>
      </c>
      <c r="I1960">
        <v>285.4248</v>
      </c>
      <c r="J1960">
        <v>-236.16460000000001</v>
      </c>
      <c r="K1960">
        <v>1.119103</v>
      </c>
      <c r="L1960">
        <v>284.5102</v>
      </c>
      <c r="M1960">
        <v>-0.99933300000000003</v>
      </c>
      <c r="N1960">
        <v>-7.0430830000000003E-3</v>
      </c>
      <c r="O1960">
        <v>3.5833499999999997E-2</v>
      </c>
      <c r="P1960">
        <v>-0.99365680000000001</v>
      </c>
      <c r="Q1960">
        <v>-0.10701049999999999</v>
      </c>
      <c r="R1960">
        <v>3.4568420000000002E-2</v>
      </c>
      <c r="S1960">
        <v>-2.9862519999999999</v>
      </c>
      <c r="T1960">
        <v>-0.23721729999999999</v>
      </c>
      <c r="U1960">
        <v>0.19677729999999999</v>
      </c>
      <c r="V1960">
        <v>-1.1570009999999999E-3</v>
      </c>
      <c r="W1960">
        <v>-0.1000042</v>
      </c>
      <c r="X1960">
        <v>0.99498640000000005</v>
      </c>
      <c r="Y1960">
        <v>2.9943750000000002E-2</v>
      </c>
      <c r="Z1960">
        <v>-1.293886E-3</v>
      </c>
      <c r="AA1960">
        <v>0.99955079999999996</v>
      </c>
      <c r="AB1960">
        <v>37</v>
      </c>
      <c r="AC1960">
        <v>-13.7098</v>
      </c>
      <c r="AD1960">
        <v>-1.119099282106</v>
      </c>
      <c r="AE1960">
        <v>0.91460000000000696</v>
      </c>
      <c r="AF1960">
        <v>0.41994458294050002</v>
      </c>
      <c r="AG1960">
        <v>-1.119099282106</v>
      </c>
      <c r="AH1960">
        <v>13.643265517542099</v>
      </c>
      <c r="AI1960">
        <v>94.687022281439496</v>
      </c>
      <c r="AJ1960">
        <v>88.236972094865095</v>
      </c>
      <c r="AK1960">
        <v>13.695525935067501</v>
      </c>
      <c r="AL1960">
        <v>95.739412001199497</v>
      </c>
      <c r="AM1960">
        <v>90.066625276801005</v>
      </c>
      <c r="AN1960">
        <v>1.0000000574269501</v>
      </c>
    </row>
    <row r="1961" spans="1:40" x14ac:dyDescent="0.25">
      <c r="A1961" t="str">
        <f>"20190303154806281"</f>
        <v>20190303154806281</v>
      </c>
      <c r="B1961" t="str">
        <f>"1551599286273011"</f>
        <v>1551599286273011</v>
      </c>
      <c r="C1961" t="s">
        <v>40</v>
      </c>
      <c r="D1961">
        <v>5.9499259999999996</v>
      </c>
      <c r="E1961">
        <v>0.48310510000000001</v>
      </c>
      <c r="F1961" t="s">
        <v>52</v>
      </c>
      <c r="G1961">
        <v>-247.59110000000001</v>
      </c>
      <c r="H1961" s="1">
        <v>2.5028169999999998E-6</v>
      </c>
      <c r="I1961">
        <v>284.5951</v>
      </c>
      <c r="J1961">
        <v>-236.5369</v>
      </c>
      <c r="K1961">
        <v>1.1191139999999999</v>
      </c>
      <c r="L1961">
        <v>284.52379999999999</v>
      </c>
      <c r="M1961">
        <v>-0.99932270000000001</v>
      </c>
      <c r="N1961">
        <v>-7.0437969999999897E-3</v>
      </c>
      <c r="O1961">
        <v>3.6120449999999998E-2</v>
      </c>
      <c r="P1961">
        <v>-0.99353599999999997</v>
      </c>
      <c r="Q1961">
        <v>-0.10861170000000001</v>
      </c>
      <c r="R1961">
        <v>3.3016919999999998E-2</v>
      </c>
      <c r="S1961">
        <v>-2.9868769999999998</v>
      </c>
      <c r="T1961">
        <v>-0.2925315</v>
      </c>
      <c r="U1961">
        <v>2.2186279999999999E-2</v>
      </c>
      <c r="V1961">
        <v>-2.9864520000000001E-3</v>
      </c>
      <c r="W1961">
        <v>-0.10160420000000001</v>
      </c>
      <c r="X1961">
        <v>0.99482040000000005</v>
      </c>
      <c r="Y1961">
        <v>-2.8403000000000001E-2</v>
      </c>
      <c r="Z1961">
        <v>-4.7623309999999999E-3</v>
      </c>
      <c r="AA1961">
        <v>0.99958519999999895</v>
      </c>
      <c r="AB1961">
        <v>37</v>
      </c>
      <c r="AC1961">
        <v>-11.0542</v>
      </c>
      <c r="AD1961">
        <v>-1.1191114971829901</v>
      </c>
      <c r="AE1961">
        <v>7.1300000000007899E-2</v>
      </c>
      <c r="AF1961">
        <v>-0.32471117396847099</v>
      </c>
      <c r="AG1961">
        <v>-1.1191114971829901</v>
      </c>
      <c r="AH1961">
        <v>10.937465453908599</v>
      </c>
      <c r="AI1961">
        <v>95.8395660456126</v>
      </c>
      <c r="AJ1961">
        <v>91.700496053793003</v>
      </c>
      <c r="AK1961">
        <v>10.999363547272701</v>
      </c>
      <c r="AL1961">
        <v>95.831555052856402</v>
      </c>
      <c r="AM1961">
        <v>90.172001480169499</v>
      </c>
      <c r="AN1961">
        <v>0.99999998030467396</v>
      </c>
    </row>
    <row r="1962" spans="1:40" x14ac:dyDescent="0.25">
      <c r="A1962" t="str">
        <f>"20190303154806303"</f>
        <v>20190303154806303</v>
      </c>
      <c r="B1962" t="str">
        <f>"1551599286292531"</f>
        <v>1551599286292531</v>
      </c>
      <c r="C1962" t="s">
        <v>40</v>
      </c>
      <c r="D1962">
        <v>5.8404829999999999</v>
      </c>
      <c r="E1962">
        <v>0.4822766</v>
      </c>
      <c r="F1962" t="s">
        <v>52</v>
      </c>
      <c r="G1962">
        <v>-248.53309999999999</v>
      </c>
      <c r="H1962" s="1">
        <v>3.0041210000000001E-6</v>
      </c>
      <c r="I1962">
        <v>284.38159999999999</v>
      </c>
      <c r="J1962">
        <v>-236.8972</v>
      </c>
      <c r="K1962">
        <v>1.1191420000000001</v>
      </c>
      <c r="L1962">
        <v>284.53710000000001</v>
      </c>
      <c r="M1962">
        <v>-0.99931289999999995</v>
      </c>
      <c r="N1962">
        <v>-7.02515E-3</v>
      </c>
      <c r="O1962">
        <v>3.639013E-2</v>
      </c>
      <c r="P1962">
        <v>-0.99388390000000004</v>
      </c>
      <c r="Q1962">
        <v>-0.10540330000000001</v>
      </c>
      <c r="R1962">
        <v>3.2939030000000001E-2</v>
      </c>
      <c r="S1962">
        <v>-2.9902039999999999</v>
      </c>
      <c r="T1962">
        <v>-0.2789509</v>
      </c>
      <c r="U1962">
        <v>-3.5430910000000003E-2</v>
      </c>
      <c r="V1962">
        <v>-3.3376109999999999E-3</v>
      </c>
      <c r="W1962">
        <v>-9.8411799999999994E-2</v>
      </c>
      <c r="X1962">
        <v>0.99514020000000003</v>
      </c>
      <c r="Y1962">
        <v>-4.787019E-2</v>
      </c>
      <c r="Z1962">
        <v>-5.5282600000000001E-3</v>
      </c>
      <c r="AA1962">
        <v>0.99883820000000001</v>
      </c>
      <c r="AB1962">
        <v>38</v>
      </c>
      <c r="AC1962">
        <v>-11.6358999999999</v>
      </c>
      <c r="AD1962">
        <v>-1.1191389958789999</v>
      </c>
      <c r="AE1962">
        <v>-0.15550000000001701</v>
      </c>
      <c r="AF1962">
        <v>-0.57353482030858205</v>
      </c>
      <c r="AG1962">
        <v>-1.1191389958789999</v>
      </c>
      <c r="AH1962">
        <v>11.516023229939</v>
      </c>
      <c r="AI1962">
        <v>95.543804796439304</v>
      </c>
      <c r="AJ1962">
        <v>92.851157486136799</v>
      </c>
      <c r="AK1962">
        <v>11.5844812276898</v>
      </c>
      <c r="AL1962">
        <v>95.647722076803504</v>
      </c>
      <c r="AM1962">
        <v>90.192164186440095</v>
      </c>
      <c r="AN1962">
        <v>1.00000001984123</v>
      </c>
    </row>
    <row r="1963" spans="1:40" x14ac:dyDescent="0.25">
      <c r="A1963" t="str">
        <f>"20190303154806327"</f>
        <v>20190303154806327</v>
      </c>
      <c r="B1963" t="str">
        <f>"1551599286322791"</f>
        <v>1551599286322791</v>
      </c>
      <c r="C1963" t="s">
        <v>40</v>
      </c>
      <c r="D1963">
        <v>5.8179689999999997</v>
      </c>
      <c r="E1963">
        <v>0.48193399999999997</v>
      </c>
      <c r="F1963" t="s">
        <v>52</v>
      </c>
      <c r="G1963">
        <v>-249.69970000000001</v>
      </c>
      <c r="H1963" s="1">
        <v>3.6248940000000001E-6</v>
      </c>
      <c r="I1963">
        <v>284.35480000000001</v>
      </c>
      <c r="J1963">
        <v>-237.31039999999999</v>
      </c>
      <c r="K1963">
        <v>1.119178</v>
      </c>
      <c r="L1963">
        <v>284.55239999999998</v>
      </c>
      <c r="M1963">
        <v>-0.99930240000000004</v>
      </c>
      <c r="N1963">
        <v>-6.9850370000000004E-3</v>
      </c>
      <c r="O1963">
        <v>3.6686120000000003E-2</v>
      </c>
      <c r="P1963">
        <v>-0.99417149999999999</v>
      </c>
      <c r="Q1963">
        <v>-0.10284020000000001</v>
      </c>
      <c r="R1963">
        <v>3.2358039999999998E-2</v>
      </c>
      <c r="S1963">
        <v>-2.9921419999999999</v>
      </c>
      <c r="T1963">
        <v>-0.26156020000000002</v>
      </c>
      <c r="U1963">
        <v>-4.2602540000000001E-2</v>
      </c>
      <c r="V1963">
        <v>-4.2155659999999996E-3</v>
      </c>
      <c r="W1963">
        <v>-9.5886379999999993E-2</v>
      </c>
      <c r="X1963">
        <v>0.99538340000000003</v>
      </c>
      <c r="Y1963">
        <v>-5.0583679999999999E-2</v>
      </c>
      <c r="Z1963">
        <v>-5.3281500000000002E-3</v>
      </c>
      <c r="AA1963">
        <v>0.99870559999999997</v>
      </c>
      <c r="AB1963">
        <v>38</v>
      </c>
      <c r="AC1963">
        <v>-12.3893</v>
      </c>
      <c r="AD1963">
        <v>-1.1191743751059999</v>
      </c>
      <c r="AE1963">
        <v>-0.197599999999965</v>
      </c>
      <c r="AF1963">
        <v>-0.64671740771348896</v>
      </c>
      <c r="AG1963">
        <v>-1.1191743751059999</v>
      </c>
      <c r="AH1963">
        <v>12.2735805567889</v>
      </c>
      <c r="AI1963">
        <v>95.202965960275193</v>
      </c>
      <c r="AJ1963">
        <v>93.016230029965897</v>
      </c>
      <c r="AK1963">
        <v>12.341457546469901</v>
      </c>
      <c r="AL1963">
        <v>95.502338328026198</v>
      </c>
      <c r="AM1963">
        <v>90.242652927509397</v>
      </c>
      <c r="AN1963">
        <v>1.00000004093088</v>
      </c>
    </row>
    <row r="1964" spans="1:40" x14ac:dyDescent="0.25">
      <c r="A1964" t="str">
        <f>"20190303154806349"</f>
        <v>20190303154806349</v>
      </c>
      <c r="B1964" t="str">
        <f>"1551599286342312"</f>
        <v>1551599286342312</v>
      </c>
      <c r="C1964" t="s">
        <v>40</v>
      </c>
      <c r="D1964">
        <v>5.7678370000000001</v>
      </c>
      <c r="E1964">
        <v>0.48162830000000001</v>
      </c>
      <c r="F1964" t="s">
        <v>52</v>
      </c>
      <c r="G1964">
        <v>-250.63390000000001</v>
      </c>
      <c r="H1964" s="1">
        <v>-1.1994849999999999E-6</v>
      </c>
      <c r="I1964">
        <v>284.34350000000001</v>
      </c>
      <c r="J1964">
        <v>-237.6756</v>
      </c>
      <c r="K1964">
        <v>1.1192089999999999</v>
      </c>
      <c r="L1964">
        <v>284.56599999999997</v>
      </c>
      <c r="M1964">
        <v>-0.99929400000000002</v>
      </c>
      <c r="N1964">
        <v>-6.9250750000000002E-3</v>
      </c>
      <c r="O1964">
        <v>3.6928290000000003E-2</v>
      </c>
      <c r="P1964">
        <v>-0.99451529999999999</v>
      </c>
      <c r="Q1964">
        <v>-9.9434209999999995E-2</v>
      </c>
      <c r="R1964">
        <v>3.244031E-2</v>
      </c>
      <c r="S1964">
        <v>-2.9931179999999999</v>
      </c>
      <c r="T1964">
        <v>-0.2514246</v>
      </c>
      <c r="U1964">
        <v>-4.6936039999999998E-2</v>
      </c>
      <c r="V1964">
        <v>-4.3778619999999997E-3</v>
      </c>
      <c r="W1964">
        <v>-9.2537869999999994E-2</v>
      </c>
      <c r="X1964">
        <v>0.99569949999999996</v>
      </c>
      <c r="Y1964">
        <v>-5.2284539999999997E-2</v>
      </c>
      <c r="Z1964">
        <v>-5.2141039999999998E-3</v>
      </c>
      <c r="AA1964">
        <v>0.99861860000000002</v>
      </c>
      <c r="AB1964">
        <v>38</v>
      </c>
      <c r="AC1964">
        <v>-12.958299999999999</v>
      </c>
      <c r="AD1964">
        <v>-1.1192101994849999</v>
      </c>
      <c r="AE1964">
        <v>-0.222499999999968</v>
      </c>
      <c r="AF1964">
        <v>-0.69569927901295303</v>
      </c>
      <c r="AG1964">
        <v>-1.1192101994849999</v>
      </c>
      <c r="AH1964">
        <v>12.845447968252801</v>
      </c>
      <c r="AI1964">
        <v>94.972294527436901</v>
      </c>
      <c r="AJ1964">
        <v>93.100065308109095</v>
      </c>
      <c r="AK1964">
        <v>12.912868095916499</v>
      </c>
      <c r="AL1964">
        <v>95.3096260323086</v>
      </c>
      <c r="AM1964">
        <v>90.251914758996904</v>
      </c>
      <c r="AN1964">
        <v>0.99999995868003799</v>
      </c>
    </row>
    <row r="1965" spans="1:40" x14ac:dyDescent="0.25">
      <c r="A1965" t="str">
        <f>"20190303154806373"</f>
        <v>20190303154806373</v>
      </c>
      <c r="B1965" t="str">
        <f>"1551599286362807"</f>
        <v>1551599286362807</v>
      </c>
      <c r="C1965" t="s">
        <v>40</v>
      </c>
      <c r="D1965">
        <v>5.7496749999999999</v>
      </c>
      <c r="E1965">
        <v>0.48160120000000001</v>
      </c>
      <c r="F1965" t="s">
        <v>52</v>
      </c>
      <c r="G1965">
        <v>-251.85830000000001</v>
      </c>
      <c r="H1965" s="1">
        <v>-5.4791409999999998E-7</v>
      </c>
      <c r="I1965">
        <v>284.33350000000002</v>
      </c>
      <c r="J1965">
        <v>-238.07390000000001</v>
      </c>
      <c r="K1965">
        <v>1.119227</v>
      </c>
      <c r="L1965">
        <v>284.58100000000002</v>
      </c>
      <c r="M1965">
        <v>-0.99928609999999896</v>
      </c>
      <c r="N1965">
        <v>-6.8194340000000001E-3</v>
      </c>
      <c r="O1965">
        <v>3.7161029999999998E-2</v>
      </c>
      <c r="P1965">
        <v>-0.99461339999999998</v>
      </c>
      <c r="Q1965">
        <v>-9.8406750000000001E-2</v>
      </c>
      <c r="R1965">
        <v>3.2565490000000002E-2</v>
      </c>
      <c r="S1965">
        <v>-2.9945219999999999</v>
      </c>
      <c r="T1965">
        <v>-0.23630989999999999</v>
      </c>
      <c r="U1965">
        <v>-4.9102779999999999E-2</v>
      </c>
      <c r="V1965">
        <v>-4.4807989999999997E-3</v>
      </c>
      <c r="W1965">
        <v>-9.1615189999999999E-2</v>
      </c>
      <c r="X1965">
        <v>0.99578440000000001</v>
      </c>
      <c r="Y1965">
        <v>-5.3264609999999997E-2</v>
      </c>
      <c r="Z1965">
        <v>-4.9546269999999996E-3</v>
      </c>
      <c r="AA1965">
        <v>0.99856809999999996</v>
      </c>
      <c r="AB1965">
        <v>38</v>
      </c>
      <c r="AC1965">
        <v>-13.7844</v>
      </c>
      <c r="AD1965">
        <v>-1.1192275479141001</v>
      </c>
      <c r="AE1965">
        <v>-0.24749999999994499</v>
      </c>
      <c r="AF1965">
        <v>-0.75461012563951202</v>
      </c>
      <c r="AG1965">
        <v>-1.1192275479141001</v>
      </c>
      <c r="AH1965">
        <v>13.675551689922001</v>
      </c>
      <c r="AI1965">
        <v>94.671669359808405</v>
      </c>
      <c r="AJ1965">
        <v>93.158349662294995</v>
      </c>
      <c r="AK1965">
        <v>13.7420093425036</v>
      </c>
      <c r="AL1965">
        <v>95.256534626912</v>
      </c>
      <c r="AM1965">
        <v>90.257815987891107</v>
      </c>
      <c r="AN1965">
        <v>0.99999999594088695</v>
      </c>
    </row>
    <row r="1966" spans="1:40" x14ac:dyDescent="0.25">
      <c r="A1966" t="str">
        <f>"20190303154806396"</f>
        <v>20190303154806396</v>
      </c>
      <c r="B1966" t="str">
        <f>"1551599286393064"</f>
        <v>1551599286393064</v>
      </c>
      <c r="C1966" t="s">
        <v>40</v>
      </c>
      <c r="D1966">
        <v>5.6860309999999998</v>
      </c>
      <c r="E1966">
        <v>0.48160819999999999</v>
      </c>
      <c r="F1966" t="s">
        <v>52</v>
      </c>
      <c r="G1966">
        <v>-252.61969999999999</v>
      </c>
      <c r="H1966" s="1">
        <v>-1.4272819999999999E-7</v>
      </c>
      <c r="I1966">
        <v>284.34249999999997</v>
      </c>
      <c r="J1966">
        <v>-238.4785</v>
      </c>
      <c r="K1966">
        <v>1.1192329999999999</v>
      </c>
      <c r="L1966">
        <v>284.59620000000001</v>
      </c>
      <c r="M1966">
        <v>-0.9992799</v>
      </c>
      <c r="N1966">
        <v>-6.6636500000000001E-3</v>
      </c>
      <c r="O1966">
        <v>3.7353129999999998E-2</v>
      </c>
      <c r="P1966">
        <v>-0.99465979999999998</v>
      </c>
      <c r="Q1966">
        <v>-9.7758869999999998E-2</v>
      </c>
      <c r="R1966">
        <v>3.3093619999999997E-2</v>
      </c>
      <c r="S1966">
        <v>-2.9950559999999999</v>
      </c>
      <c r="T1966">
        <v>-0.2304554</v>
      </c>
      <c r="U1966">
        <v>-4.9102779999999999E-2</v>
      </c>
      <c r="V1966">
        <v>-4.1376870000000001E-3</v>
      </c>
      <c r="W1966">
        <v>-9.1122610000000007E-2</v>
      </c>
      <c r="X1966">
        <v>0.99583109999999997</v>
      </c>
      <c r="Y1966">
        <v>-5.3466100000000003E-2</v>
      </c>
      <c r="Z1966">
        <v>-4.8530960000000003E-3</v>
      </c>
      <c r="AA1966">
        <v>0.9985579</v>
      </c>
      <c r="AB1966">
        <v>38</v>
      </c>
      <c r="AC1966">
        <v>-14.1411999999999</v>
      </c>
      <c r="AD1966">
        <v>-1.1192331427281901</v>
      </c>
      <c r="AE1966">
        <v>-0.25370000000003701</v>
      </c>
      <c r="AF1966">
        <v>-0.77688771000169299</v>
      </c>
      <c r="AG1966">
        <v>-1.1192331427281901</v>
      </c>
      <c r="AH1966">
        <v>14.033970206006799</v>
      </c>
      <c r="AI1966">
        <v>94.552844244853404</v>
      </c>
      <c r="AJ1966">
        <v>93.168526136602594</v>
      </c>
      <c r="AK1966">
        <v>14.0999488327022</v>
      </c>
      <c r="AL1966">
        <v>95.228193222443494</v>
      </c>
      <c r="AM1966">
        <v>90.238063099035699</v>
      </c>
      <c r="AN1966">
        <v>1.00000001511706</v>
      </c>
    </row>
    <row r="1967" spans="1:40" x14ac:dyDescent="0.25">
      <c r="A1967" t="str">
        <f>"20190303154806415"</f>
        <v>20190303154806415</v>
      </c>
      <c r="B1967" t="str">
        <f>"1551599286412583"</f>
        <v>1551599286412583</v>
      </c>
      <c r="C1967" t="s">
        <v>40</v>
      </c>
      <c r="D1967">
        <v>5.667071</v>
      </c>
      <c r="E1967">
        <v>0.48141820000000002</v>
      </c>
      <c r="F1967" t="s">
        <v>52</v>
      </c>
      <c r="G1967">
        <v>-253.2629</v>
      </c>
      <c r="H1967" s="1">
        <v>1.995467E-7</v>
      </c>
      <c r="I1967">
        <v>284.36239999999998</v>
      </c>
      <c r="J1967">
        <v>-238.80619999999999</v>
      </c>
      <c r="K1967">
        <v>1.1192310000000001</v>
      </c>
      <c r="L1967">
        <v>284.60849999999999</v>
      </c>
      <c r="M1967">
        <v>-0.99927679999999997</v>
      </c>
      <c r="N1967">
        <v>-6.5040300000000001E-3</v>
      </c>
      <c r="O1967">
        <v>3.7469200000000001E-2</v>
      </c>
      <c r="P1967">
        <v>-0.99468559999999995</v>
      </c>
      <c r="Q1967">
        <v>-9.7315650000000004E-2</v>
      </c>
      <c r="R1967">
        <v>3.3624399999999999E-2</v>
      </c>
      <c r="S1967">
        <v>-2.995422</v>
      </c>
      <c r="T1967">
        <v>-0.22676540000000001</v>
      </c>
      <c r="U1967">
        <v>-4.7363280000000001E-2</v>
      </c>
      <c r="V1967">
        <v>-3.7165919999999999E-3</v>
      </c>
      <c r="W1967">
        <v>-9.0838569999999993E-2</v>
      </c>
      <c r="X1967">
        <v>0.99585869999999999</v>
      </c>
      <c r="Y1967">
        <v>-5.3009849999999997E-2</v>
      </c>
      <c r="Z1967">
        <v>-4.7648619999999999E-3</v>
      </c>
      <c r="AA1967">
        <v>0.99858259999999999</v>
      </c>
      <c r="AB1967">
        <v>38</v>
      </c>
      <c r="AC1967">
        <v>-14.4567</v>
      </c>
      <c r="AD1967">
        <v>-1.11923080045329</v>
      </c>
      <c r="AE1967">
        <v>-0.246100000000012</v>
      </c>
      <c r="AF1967">
        <v>-0.78292817752751698</v>
      </c>
      <c r="AG1967">
        <v>-1.11923080045329</v>
      </c>
      <c r="AH1967">
        <v>14.3513326257368</v>
      </c>
      <c r="AI1967">
        <v>94.452758892402599</v>
      </c>
      <c r="AJ1967">
        <v>93.122640829175594</v>
      </c>
      <c r="AK1967">
        <v>14.4161854264708</v>
      </c>
      <c r="AL1967">
        <v>95.211851208311501</v>
      </c>
      <c r="AM1967">
        <v>90.213829579572703</v>
      </c>
      <c r="AN1967">
        <v>1.00000000461071</v>
      </c>
    </row>
    <row r="1968" spans="1:40" x14ac:dyDescent="0.25">
      <c r="A1968" t="str">
        <f>"20190303154806437"</f>
        <v>20190303154806437</v>
      </c>
      <c r="B1968" t="str">
        <f>"1551599286433079"</f>
        <v>1551599286433079</v>
      </c>
      <c r="C1968" t="s">
        <v>40</v>
      </c>
      <c r="D1968">
        <v>5.6559670000000004</v>
      </c>
      <c r="E1968">
        <v>0.48143750000000002</v>
      </c>
      <c r="F1968" t="s">
        <v>52</v>
      </c>
      <c r="G1968">
        <v>-253.7807</v>
      </c>
      <c r="H1968" s="1">
        <v>4.751313E-7</v>
      </c>
      <c r="I1968">
        <v>284.37150000000003</v>
      </c>
      <c r="J1968">
        <v>-239.19069999999999</v>
      </c>
      <c r="K1968">
        <v>1.119229</v>
      </c>
      <c r="L1968">
        <v>284.62299999999999</v>
      </c>
      <c r="M1968">
        <v>-0.99927429999999995</v>
      </c>
      <c r="N1968">
        <v>-6.2892060000000003E-3</v>
      </c>
      <c r="O1968">
        <v>3.7566809999999999E-2</v>
      </c>
      <c r="P1968">
        <v>-0.99472780000000005</v>
      </c>
      <c r="Q1968">
        <v>-9.6758220000000006E-2</v>
      </c>
      <c r="R1968">
        <v>3.3976199999999901E-2</v>
      </c>
      <c r="S1968">
        <v>-2.9957280000000002</v>
      </c>
      <c r="T1968">
        <v>-0.22390740000000001</v>
      </c>
      <c r="U1968">
        <v>-4.7424319999999999E-2</v>
      </c>
      <c r="V1968">
        <v>-3.4559999999999999E-3</v>
      </c>
      <c r="W1968">
        <v>-9.0495190000000003E-2</v>
      </c>
      <c r="X1968">
        <v>0.99589090000000002</v>
      </c>
      <c r="Y1968">
        <v>-5.3131810000000002E-2</v>
      </c>
      <c r="Z1968">
        <v>-4.717527E-3</v>
      </c>
      <c r="AA1968">
        <v>0.99857629999999997</v>
      </c>
      <c r="AB1968">
        <v>38</v>
      </c>
      <c r="AC1968">
        <v>-14.59</v>
      </c>
      <c r="AD1968">
        <v>-1.1192285248686999</v>
      </c>
      <c r="AE1968">
        <v>-0.25149999999996397</v>
      </c>
      <c r="AF1968">
        <v>-0.79475752790849596</v>
      </c>
      <c r="AG1968">
        <v>-1.1192285248686999</v>
      </c>
      <c r="AH1968">
        <v>14.4850372439513</v>
      </c>
      <c r="AI1968">
        <v>94.411736591340897</v>
      </c>
      <c r="AJ1968">
        <v>93.140526251401596</v>
      </c>
      <c r="AK1968">
        <v>14.5499352568217</v>
      </c>
      <c r="AL1968">
        <v>95.192095618754706</v>
      </c>
      <c r="AM1968">
        <v>90.198830433260795</v>
      </c>
      <c r="AN1968">
        <v>1.00000000402597</v>
      </c>
    </row>
    <row r="1969" spans="1:40" x14ac:dyDescent="0.25">
      <c r="A1969" t="str">
        <f>"20190303154806459"</f>
        <v>20190303154806459</v>
      </c>
      <c r="B1969" t="str">
        <f>"1551599286452599"</f>
        <v>1551599286452599</v>
      </c>
      <c r="C1969" t="s">
        <v>40</v>
      </c>
      <c r="D1969">
        <v>5.6879179999999998</v>
      </c>
      <c r="E1969">
        <v>0.4813114</v>
      </c>
      <c r="F1969" t="s">
        <v>52</v>
      </c>
      <c r="G1969">
        <v>-254.4119</v>
      </c>
      <c r="H1969" s="1">
        <v>8.1102130000000002E-7</v>
      </c>
      <c r="I1969">
        <v>284.38959999999997</v>
      </c>
      <c r="J1969">
        <v>-239.56819999999999</v>
      </c>
      <c r="K1969">
        <v>1.119227</v>
      </c>
      <c r="L1969">
        <v>284.63729999999998</v>
      </c>
      <c r="M1969">
        <v>-0.99927410000000005</v>
      </c>
      <c r="N1969">
        <v>-6.0567049999999999E-3</v>
      </c>
      <c r="O1969">
        <v>3.7612409999999999E-2</v>
      </c>
      <c r="P1969">
        <v>-0.99473129999999998</v>
      </c>
      <c r="Q1969">
        <v>-9.6609410000000007E-2</v>
      </c>
      <c r="R1969">
        <v>3.4301110000000003E-2</v>
      </c>
      <c r="S1969">
        <v>-2.996048</v>
      </c>
      <c r="T1969">
        <v>-0.22030140000000001</v>
      </c>
      <c r="U1969">
        <v>-4.5959470000000002E-2</v>
      </c>
      <c r="V1969">
        <v>-3.167726E-3</v>
      </c>
      <c r="W1969">
        <v>-9.0578259999999994E-2</v>
      </c>
      <c r="X1969">
        <v>0.99588429999999994</v>
      </c>
      <c r="Y1969">
        <v>-5.2696600000000003E-2</v>
      </c>
      <c r="Z1969">
        <v>-4.6284569999999999E-3</v>
      </c>
      <c r="AA1969">
        <v>0.99859980000000004</v>
      </c>
      <c r="AB1969">
        <v>38</v>
      </c>
      <c r="AC1969">
        <v>-14.8437</v>
      </c>
      <c r="AD1969">
        <v>-1.1192261889786901</v>
      </c>
      <c r="AE1969">
        <v>-0.247700000000008</v>
      </c>
      <c r="AF1969">
        <v>-0.80128799026910702</v>
      </c>
      <c r="AG1969">
        <v>-1.1192261889786901</v>
      </c>
      <c r="AH1969">
        <v>14.7401013093491</v>
      </c>
      <c r="AI1969">
        <v>94.335799225993895</v>
      </c>
      <c r="AJ1969">
        <v>93.111598444584203</v>
      </c>
      <c r="AK1969">
        <v>14.804233053938299</v>
      </c>
      <c r="AL1969">
        <v>95.196874841600604</v>
      </c>
      <c r="AM1969">
        <v>90.182246791471499</v>
      </c>
      <c r="AN1969">
        <v>0.99999999732956402</v>
      </c>
    </row>
    <row r="1970" spans="1:40" x14ac:dyDescent="0.25">
      <c r="A1970" t="str">
        <f>"20190303154806482"</f>
        <v>20190303154806482</v>
      </c>
      <c r="B1970" t="str">
        <f>"1551599286473095"</f>
        <v>1551599286473095</v>
      </c>
      <c r="C1970" t="s">
        <v>40</v>
      </c>
      <c r="D1970">
        <v>5.5878420000000002</v>
      </c>
      <c r="E1970">
        <v>0.48130279999999998</v>
      </c>
      <c r="F1970" t="s">
        <v>52</v>
      </c>
      <c r="G1970">
        <v>-254.88900000000001</v>
      </c>
      <c r="H1970" s="1">
        <v>1.064908E-6</v>
      </c>
      <c r="I1970">
        <v>284.40170000000001</v>
      </c>
      <c r="J1970">
        <v>-239.9639</v>
      </c>
      <c r="K1970">
        <v>1.1192329999999999</v>
      </c>
      <c r="L1970">
        <v>284.65219999999999</v>
      </c>
      <c r="M1970">
        <v>-0.99927679999999997</v>
      </c>
      <c r="N1970">
        <v>-5.798246E-3</v>
      </c>
      <c r="O1970">
        <v>3.7581339999999998E-2</v>
      </c>
      <c r="P1970">
        <v>-0.99470899999999995</v>
      </c>
      <c r="Q1970">
        <v>-9.69637E-2</v>
      </c>
      <c r="R1970">
        <v>3.3943210000000001E-2</v>
      </c>
      <c r="S1970">
        <v>-2.996216</v>
      </c>
      <c r="T1970">
        <v>-0.2188814</v>
      </c>
      <c r="U1970">
        <v>-4.6081539999999997E-2</v>
      </c>
      <c r="V1970">
        <v>-3.4823720000000001E-3</v>
      </c>
      <c r="W1970">
        <v>-9.1190489999999999E-2</v>
      </c>
      <c r="X1970">
        <v>0.99582740000000003</v>
      </c>
      <c r="Y1970">
        <v>-5.27083E-2</v>
      </c>
      <c r="Z1970">
        <v>-4.5992630000000001E-3</v>
      </c>
      <c r="AA1970">
        <v>0.99859940000000003</v>
      </c>
      <c r="AB1970">
        <v>38</v>
      </c>
      <c r="AC1970">
        <v>-14.9251</v>
      </c>
      <c r="AD1970">
        <v>-1.1192319350919999</v>
      </c>
      <c r="AE1970">
        <v>-0.25049999999998801</v>
      </c>
      <c r="AF1970">
        <v>-0.80670248910950104</v>
      </c>
      <c r="AG1970">
        <v>-1.1192319350919999</v>
      </c>
      <c r="AH1970">
        <v>14.821815043440299</v>
      </c>
      <c r="AI1970">
        <v>94.311992824789201</v>
      </c>
      <c r="AJ1970">
        <v>93.115346499667396</v>
      </c>
      <c r="AK1970">
        <v>14.8858876192325</v>
      </c>
      <c r="AL1970">
        <v>95.232098686730893</v>
      </c>
      <c r="AM1970">
        <v>90.200360428911196</v>
      </c>
      <c r="AN1970">
        <v>1.0000000214859699</v>
      </c>
    </row>
    <row r="1971" spans="1:40" x14ac:dyDescent="0.25">
      <c r="A1971" t="str">
        <f>"20190303154806504"</f>
        <v>20190303154806504</v>
      </c>
      <c r="B1971" t="str">
        <f>"1551599286492615"</f>
        <v>1551599286492615</v>
      </c>
      <c r="C1971" t="s">
        <v>40</v>
      </c>
      <c r="D1971">
        <v>5.5903269999999896</v>
      </c>
      <c r="E1971">
        <v>0.48133340000000002</v>
      </c>
      <c r="F1971" t="s">
        <v>52</v>
      </c>
      <c r="G1971">
        <v>-255.19059999999999</v>
      </c>
      <c r="H1971" s="1">
        <v>1.2253759999999999E-6</v>
      </c>
      <c r="I1971">
        <v>284.41230000000002</v>
      </c>
      <c r="J1971">
        <v>-240.33539999999999</v>
      </c>
      <c r="K1971">
        <v>1.1192610000000001</v>
      </c>
      <c r="L1971">
        <v>284.66609999999997</v>
      </c>
      <c r="M1971">
        <v>-0.99928269999999997</v>
      </c>
      <c r="N1971">
        <v>-5.5517229999999997E-3</v>
      </c>
      <c r="O1971">
        <v>3.7464190000000001E-2</v>
      </c>
      <c r="P1971">
        <v>-0.99462329999999999</v>
      </c>
      <c r="Q1971">
        <v>-9.7807850000000002E-2</v>
      </c>
      <c r="R1971">
        <v>3.4032939999999998E-2</v>
      </c>
      <c r="S1971">
        <v>-2.9961090000000001</v>
      </c>
      <c r="T1971">
        <v>-0.2202276</v>
      </c>
      <c r="U1971">
        <v>-4.721069E-2</v>
      </c>
      <c r="V1971">
        <v>-3.2583899999999999E-3</v>
      </c>
      <c r="W1971">
        <v>-9.2281139999999998E-2</v>
      </c>
      <c r="X1971">
        <v>0.99572769999999999</v>
      </c>
      <c r="Y1971">
        <v>-5.2964400000000002E-2</v>
      </c>
      <c r="Z1971">
        <v>-4.6329509999999997E-3</v>
      </c>
      <c r="AA1971">
        <v>0.99858559999999996</v>
      </c>
      <c r="AB1971">
        <v>39</v>
      </c>
      <c r="AC1971">
        <v>-14.8551999999999</v>
      </c>
      <c r="AD1971">
        <v>-1.1192597746240001</v>
      </c>
      <c r="AE1971">
        <v>-0.25379999999995501</v>
      </c>
      <c r="AF1971">
        <v>-0.80559645977192196</v>
      </c>
      <c r="AG1971">
        <v>-1.1192597746240001</v>
      </c>
      <c r="AH1971">
        <v>14.751544977467701</v>
      </c>
      <c r="AI1971">
        <v>94.332519414569902</v>
      </c>
      <c r="AJ1971">
        <v>93.1258741553074</v>
      </c>
      <c r="AK1971">
        <v>14.815863367395799</v>
      </c>
      <c r="AL1971">
        <v>95.294852847139296</v>
      </c>
      <c r="AM1971">
        <v>90.187492352196799</v>
      </c>
      <c r="AN1971">
        <v>1.0000000392261901</v>
      </c>
    </row>
    <row r="1972" spans="1:40" x14ac:dyDescent="0.25">
      <c r="A1972" t="str">
        <f>"20190303154806527"</f>
        <v>20190303154806527</v>
      </c>
      <c r="B1972" t="str">
        <f>"1551599286522871"</f>
        <v>1551599286522871</v>
      </c>
      <c r="C1972" t="s">
        <v>40</v>
      </c>
      <c r="D1972">
        <v>5.5537530000000004</v>
      </c>
      <c r="E1972">
        <v>0.48145710000000003</v>
      </c>
      <c r="F1972" t="s">
        <v>52</v>
      </c>
      <c r="G1972">
        <v>-255.4385</v>
      </c>
      <c r="H1972" s="1">
        <v>1.3573070000000001E-6</v>
      </c>
      <c r="I1972">
        <v>284.43130000000002</v>
      </c>
      <c r="J1972">
        <v>-240.7467</v>
      </c>
      <c r="K1972">
        <v>1.119305</v>
      </c>
      <c r="L1972">
        <v>284.6814</v>
      </c>
      <c r="M1972">
        <v>-0.99929239999999997</v>
      </c>
      <c r="N1972">
        <v>-5.286209E-3</v>
      </c>
      <c r="O1972">
        <v>3.7239179999999997E-2</v>
      </c>
      <c r="P1972">
        <v>-0.99457949999999995</v>
      </c>
      <c r="Q1972">
        <v>-9.8115830000000001E-2</v>
      </c>
      <c r="R1972">
        <v>3.442564E-2</v>
      </c>
      <c r="S1972">
        <v>-2.995987</v>
      </c>
      <c r="T1972">
        <v>-0.22202669999999999</v>
      </c>
      <c r="U1972">
        <v>-4.6569819999999998E-2</v>
      </c>
      <c r="V1972">
        <v>-2.6220169999999999E-3</v>
      </c>
      <c r="W1972">
        <v>-9.2854160000000005E-2</v>
      </c>
      <c r="X1972">
        <v>0.99567629999999996</v>
      </c>
      <c r="Y1972">
        <v>-5.2524260000000003E-2</v>
      </c>
      <c r="Z1972">
        <v>-4.6413779999999998E-3</v>
      </c>
      <c r="AA1972">
        <v>0.99860890000000002</v>
      </c>
      <c r="AB1972">
        <v>39</v>
      </c>
      <c r="AC1972">
        <v>-14.691800000000001</v>
      </c>
      <c r="AD1972">
        <v>-1.1193036426930001</v>
      </c>
      <c r="AE1972">
        <v>-0.25009999999997401</v>
      </c>
      <c r="AF1972">
        <v>-0.79244652768745005</v>
      </c>
      <c r="AG1972">
        <v>-1.1193036426930001</v>
      </c>
      <c r="AH1972">
        <v>14.587649776850199</v>
      </c>
      <c r="AI1972">
        <v>94.381246953963796</v>
      </c>
      <c r="AJ1972">
        <v>93.109428789450703</v>
      </c>
      <c r="AK1972">
        <v>14.651973865518199</v>
      </c>
      <c r="AL1972">
        <v>95.327826085280407</v>
      </c>
      <c r="AM1972">
        <v>90.150882531440701</v>
      </c>
      <c r="AN1972">
        <v>1.0000000321920699</v>
      </c>
    </row>
    <row r="1973" spans="1:40" x14ac:dyDescent="0.25">
      <c r="A1973" t="str">
        <f>"20190303154806549"</f>
        <v>20190303154806549</v>
      </c>
      <c r="B1973" t="str">
        <f>"1551599286542392"</f>
        <v>1551599286542392</v>
      </c>
      <c r="C1973" t="s">
        <v>40</v>
      </c>
      <c r="D1973">
        <v>5.5297980000000004</v>
      </c>
      <c r="E1973">
        <v>0.48151349999999998</v>
      </c>
      <c r="F1973" t="s">
        <v>52</v>
      </c>
      <c r="G1973">
        <v>-255.8639</v>
      </c>
      <c r="H1973" s="1">
        <v>1.583671E-6</v>
      </c>
      <c r="I1973">
        <v>284.4572</v>
      </c>
      <c r="J1973">
        <v>-241.1224</v>
      </c>
      <c r="K1973">
        <v>1.1193580000000001</v>
      </c>
      <c r="L1973">
        <v>284.6952</v>
      </c>
      <c r="M1973">
        <v>-0.99930509999999995</v>
      </c>
      <c r="N1973">
        <v>-5.0539479999999999E-3</v>
      </c>
      <c r="O1973">
        <v>3.6934050000000003E-2</v>
      </c>
      <c r="P1973">
        <v>-0.99464070000000004</v>
      </c>
      <c r="Q1973">
        <v>-9.7551330000000006E-2</v>
      </c>
      <c r="R1973">
        <v>3.4263160000000001E-2</v>
      </c>
      <c r="S1973">
        <v>-2.9960019999999998</v>
      </c>
      <c r="T1973">
        <v>-0.2218299</v>
      </c>
      <c r="U1973">
        <v>-4.4433590000000002E-2</v>
      </c>
      <c r="V1973">
        <v>-2.4639929999999998E-3</v>
      </c>
      <c r="W1973">
        <v>-9.2521119999999998E-2</v>
      </c>
      <c r="X1973">
        <v>0.99570769999999997</v>
      </c>
      <c r="Y1973">
        <v>-5.1511300000000003E-2</v>
      </c>
      <c r="Z1973">
        <v>-4.578721E-3</v>
      </c>
      <c r="AA1973">
        <v>0.99866189999999999</v>
      </c>
      <c r="AB1973">
        <v>39</v>
      </c>
      <c r="AC1973">
        <v>-14.7415</v>
      </c>
      <c r="AD1973">
        <v>-1.119356416329</v>
      </c>
      <c r="AE1973">
        <v>-0.23799999999999899</v>
      </c>
      <c r="AF1973">
        <v>-0.777824219506147</v>
      </c>
      <c r="AG1973">
        <v>-1.119356416329</v>
      </c>
      <c r="AH1973">
        <v>14.638273115453901</v>
      </c>
      <c r="AI1973">
        <v>94.366635654630002</v>
      </c>
      <c r="AJ1973">
        <v>93.041627376874601</v>
      </c>
      <c r="AK1973">
        <v>14.701598862227399</v>
      </c>
      <c r="AL1973">
        <v>95.308661832644106</v>
      </c>
      <c r="AM1973">
        <v>90.1417846939177</v>
      </c>
      <c r="AN1973">
        <v>1.0000000263734199</v>
      </c>
    </row>
    <row r="1974" spans="1:40" x14ac:dyDescent="0.25">
      <c r="A1974" t="str">
        <f>"20190303154806572"</f>
        <v>20190303154806572</v>
      </c>
      <c r="B1974" t="str">
        <f>"1551599286562888"</f>
        <v>1551599286562888</v>
      </c>
      <c r="C1974" t="s">
        <v>40</v>
      </c>
      <c r="D1974">
        <v>5.5512360000000003</v>
      </c>
      <c r="E1974">
        <v>0.48153869999999999</v>
      </c>
      <c r="F1974" t="s">
        <v>52</v>
      </c>
      <c r="G1974">
        <v>-256.4083</v>
      </c>
      <c r="H1974" s="1">
        <v>1.8733759999999999E-6</v>
      </c>
      <c r="I1974">
        <v>284.4699</v>
      </c>
      <c r="J1974">
        <v>-241.5198</v>
      </c>
      <c r="K1974">
        <v>1.119435</v>
      </c>
      <c r="L1974">
        <v>284.70960000000002</v>
      </c>
      <c r="M1974">
        <v>-0.9993225</v>
      </c>
      <c r="N1974">
        <v>-4.8228610000000003E-3</v>
      </c>
      <c r="O1974">
        <v>3.6486940000000002E-2</v>
      </c>
      <c r="P1974">
        <v>-0.99477629999999995</v>
      </c>
      <c r="Q1974">
        <v>-9.6415710000000002E-2</v>
      </c>
      <c r="R1974">
        <v>3.353213E-2</v>
      </c>
      <c r="S1974">
        <v>-2.9961549999999999</v>
      </c>
      <c r="T1974">
        <v>-0.2194033</v>
      </c>
      <c r="U1974">
        <v>-4.4158940000000001E-2</v>
      </c>
      <c r="V1974">
        <v>-2.732005E-3</v>
      </c>
      <c r="W1974">
        <v>-9.1615870000000002E-2</v>
      </c>
      <c r="X1974">
        <v>0.99579070000000003</v>
      </c>
      <c r="Y1974">
        <v>-5.097981E-2</v>
      </c>
      <c r="Z1974">
        <v>-4.4792349999999998E-3</v>
      </c>
      <c r="AA1974">
        <v>0.99868970000000001</v>
      </c>
      <c r="AB1974">
        <v>39</v>
      </c>
      <c r="AC1974">
        <v>-14.888499999999899</v>
      </c>
      <c r="AD1974">
        <v>-1.1194331266240001</v>
      </c>
      <c r="AE1974">
        <v>-0.239700000000027</v>
      </c>
      <c r="AF1974">
        <v>-0.77838329023747699</v>
      </c>
      <c r="AG1974">
        <v>-1.1194331266240001</v>
      </c>
      <c r="AH1974">
        <v>14.786271837248099</v>
      </c>
      <c r="AI1974">
        <v>94.323503028724602</v>
      </c>
      <c r="AJ1974">
        <v>93.013399816415202</v>
      </c>
      <c r="AK1974">
        <v>14.8490015124419</v>
      </c>
      <c r="AL1974">
        <v>95.256573600213102</v>
      </c>
      <c r="AM1974">
        <v>90.157193638549003</v>
      </c>
      <c r="AN1974">
        <v>1.0000000248468299</v>
      </c>
    </row>
    <row r="1975" spans="1:40" x14ac:dyDescent="0.25">
      <c r="A1975" t="str">
        <f>"20190303154806596"</f>
        <v>20190303154806596</v>
      </c>
      <c r="B1975" t="str">
        <f>"1551599286592168"</f>
        <v>1551599286592168</v>
      </c>
      <c r="C1975" t="s">
        <v>40</v>
      </c>
      <c r="D1975">
        <v>5.5247400000000004</v>
      </c>
      <c r="E1975">
        <v>0.4815741</v>
      </c>
      <c r="F1975" t="s">
        <v>52</v>
      </c>
      <c r="G1975">
        <v>-257.06360000000001</v>
      </c>
      <c r="H1975" s="1">
        <v>2.2221159999999999E-6</v>
      </c>
      <c r="I1975">
        <v>284.46969999999999</v>
      </c>
      <c r="J1975">
        <v>-241.9511</v>
      </c>
      <c r="K1975">
        <v>1.119542</v>
      </c>
      <c r="L1975">
        <v>284.72489999999999</v>
      </c>
      <c r="M1975">
        <v>-0.99934679999999998</v>
      </c>
      <c r="N1975">
        <v>-4.5924049999999999E-3</v>
      </c>
      <c r="O1975">
        <v>3.5844750000000002E-2</v>
      </c>
      <c r="P1975">
        <v>-0.99489269999999996</v>
      </c>
      <c r="Q1975">
        <v>-9.5416440000000005E-2</v>
      </c>
      <c r="R1975">
        <v>3.2928720000000002E-2</v>
      </c>
      <c r="S1975">
        <v>-2.9964140000000001</v>
      </c>
      <c r="T1975">
        <v>-0.21579499999999999</v>
      </c>
      <c r="U1975">
        <v>-4.6234129999999998E-2</v>
      </c>
      <c r="V1975">
        <v>-2.6723649999999999E-3</v>
      </c>
      <c r="W1975">
        <v>-9.0846460000000004E-2</v>
      </c>
      <c r="X1975">
        <v>0.99586140000000001</v>
      </c>
      <c r="Y1975">
        <v>-5.1036989999999997E-2</v>
      </c>
      <c r="Z1975">
        <v>-4.3659689999999999E-3</v>
      </c>
      <c r="AA1975">
        <v>0.9986872</v>
      </c>
      <c r="AB1975">
        <v>39</v>
      </c>
      <c r="AC1975">
        <v>-15.112500000000001</v>
      </c>
      <c r="AD1975">
        <v>-1.1195397778839999</v>
      </c>
      <c r="AE1975">
        <v>-0.25520000000000198</v>
      </c>
      <c r="AF1975">
        <v>-0.79239813982116802</v>
      </c>
      <c r="AG1975">
        <v>-1.1195397778839999</v>
      </c>
      <c r="AH1975">
        <v>15.0112833960853</v>
      </c>
      <c r="AI1975">
        <v>94.259308183333999</v>
      </c>
      <c r="AJ1975">
        <v>93.021658375339598</v>
      </c>
      <c r="AK1975">
        <v>15.073814823190601</v>
      </c>
      <c r="AL1975">
        <v>95.2123047840591</v>
      </c>
      <c r="AM1975">
        <v>90.153751182937299</v>
      </c>
      <c r="AN1975">
        <v>1.0000000744195801</v>
      </c>
    </row>
    <row r="1976" spans="1:40" x14ac:dyDescent="0.25">
      <c r="A1976" t="str">
        <f>"20190303154806618"</f>
        <v>20190303154806618</v>
      </c>
      <c r="B1976" t="str">
        <f>"1551599286612663"</f>
        <v>1551599286612663</v>
      </c>
      <c r="C1976" t="s">
        <v>40</v>
      </c>
      <c r="D1976">
        <v>5.5004439999999999</v>
      </c>
      <c r="E1976">
        <v>0.48158129999999999</v>
      </c>
      <c r="F1976" t="s">
        <v>52</v>
      </c>
      <c r="G1976">
        <v>-257.82389999999998</v>
      </c>
      <c r="H1976" s="1">
        <v>2.626669E-6</v>
      </c>
      <c r="I1976">
        <v>284.47199999999998</v>
      </c>
      <c r="J1976">
        <v>-242.34880000000001</v>
      </c>
      <c r="K1976">
        <v>1.1196549999999901</v>
      </c>
      <c r="L1976">
        <v>284.73860000000002</v>
      </c>
      <c r="M1976">
        <v>-0.99937430000000005</v>
      </c>
      <c r="N1976">
        <v>-4.4008290000000002E-3</v>
      </c>
      <c r="O1976">
        <v>3.5098369999999997E-2</v>
      </c>
      <c r="P1976">
        <v>-0.99489609999999995</v>
      </c>
      <c r="Q1976">
        <v>-9.5473059999999998E-2</v>
      </c>
      <c r="R1976">
        <v>3.2664899999999997E-2</v>
      </c>
      <c r="S1976">
        <v>-2.9967039999999998</v>
      </c>
      <c r="T1976">
        <v>-0.21136379999999999</v>
      </c>
      <c r="U1976">
        <v>-4.7729489999999999E-2</v>
      </c>
      <c r="V1976">
        <v>-2.1642110000000001E-3</v>
      </c>
      <c r="W1976">
        <v>-9.1094110000000006E-2</v>
      </c>
      <c r="X1976">
        <v>0.99583999999999995</v>
      </c>
      <c r="Y1976">
        <v>-5.079906E-2</v>
      </c>
      <c r="Z1976">
        <v>-4.2189200000000001E-3</v>
      </c>
      <c r="AA1976">
        <v>0.99870000000000003</v>
      </c>
      <c r="AB1976">
        <v>39</v>
      </c>
      <c r="AC1976">
        <v>-15.4750999999999</v>
      </c>
      <c r="AD1976">
        <v>-1.11965237333099</v>
      </c>
      <c r="AE1976">
        <v>-0.26660000000003897</v>
      </c>
      <c r="AF1976">
        <v>-0.80537698026186499</v>
      </c>
      <c r="AG1976">
        <v>-1.11965237333099</v>
      </c>
      <c r="AH1976">
        <v>15.3757427684302</v>
      </c>
      <c r="AI1976">
        <v>94.159211310083293</v>
      </c>
      <c r="AJ1976">
        <v>92.998396273976795</v>
      </c>
      <c r="AK1976">
        <v>15.437477747299701</v>
      </c>
      <c r="AL1976">
        <v>95.226553221300705</v>
      </c>
      <c r="AM1976">
        <v>90.124517955753703</v>
      </c>
      <c r="AN1976">
        <v>1.00000006314297</v>
      </c>
    </row>
    <row r="1977" spans="1:40" x14ac:dyDescent="0.25">
      <c r="A1977" t="str">
        <f>"20190303154806642"</f>
        <v>20190303154806642</v>
      </c>
      <c r="B1977" t="str">
        <f>"1551599286632184"</f>
        <v>1551599286632184</v>
      </c>
      <c r="C1977" t="s">
        <v>40</v>
      </c>
      <c r="D1977">
        <v>5.4982129999999998</v>
      </c>
      <c r="E1977">
        <v>0.481686</v>
      </c>
      <c r="F1977" t="s">
        <v>52</v>
      </c>
      <c r="G1977">
        <v>-258.25740000000002</v>
      </c>
      <c r="H1977" s="1">
        <v>2.857416E-6</v>
      </c>
      <c r="I1977">
        <v>284.48169999999999</v>
      </c>
      <c r="J1977">
        <v>-242.7567</v>
      </c>
      <c r="K1977">
        <v>1.1197839999999999</v>
      </c>
      <c r="L1977">
        <v>284.75229999999999</v>
      </c>
      <c r="M1977">
        <v>-0.99940689999999999</v>
      </c>
      <c r="N1977">
        <v>-4.2273349999999996E-3</v>
      </c>
      <c r="O1977">
        <v>3.4176980000000003E-2</v>
      </c>
      <c r="P1977">
        <v>-0.99489590000000006</v>
      </c>
      <c r="Q1977">
        <v>-9.5674389999999998E-2</v>
      </c>
      <c r="R1977">
        <v>3.2074440000000003E-2</v>
      </c>
      <c r="S1977">
        <v>-2.99675</v>
      </c>
      <c r="T1977">
        <v>-0.21091119999999999</v>
      </c>
      <c r="U1977">
        <v>-4.840088E-2</v>
      </c>
      <c r="V1977">
        <v>-1.8051600000000001E-3</v>
      </c>
      <c r="W1977">
        <v>-9.1468519999999998E-2</v>
      </c>
      <c r="X1977">
        <v>0.99580630000000003</v>
      </c>
      <c r="Y1977">
        <v>-5.0106360000000003E-2</v>
      </c>
      <c r="Z1977">
        <v>-4.1247530000000001E-3</v>
      </c>
      <c r="AA1977">
        <v>0.99873540000000005</v>
      </c>
      <c r="AB1977">
        <v>40</v>
      </c>
      <c r="AC1977">
        <v>-15.5007</v>
      </c>
      <c r="AD1977">
        <v>-1.1197811425839901</v>
      </c>
      <c r="AE1977">
        <v>-0.27060000000000101</v>
      </c>
      <c r="AF1977">
        <v>-0.79606058731000895</v>
      </c>
      <c r="AG1977">
        <v>-1.1197811425839901</v>
      </c>
      <c r="AH1977">
        <v>15.402041506273401</v>
      </c>
      <c r="AI1977">
        <v>94.152759338278699</v>
      </c>
      <c r="AJ1977">
        <v>92.958722202712906</v>
      </c>
      <c r="AK1977">
        <v>15.4631984022363</v>
      </c>
      <c r="AL1977">
        <v>95.248095768823205</v>
      </c>
      <c r="AM1977">
        <v>90.103863508449507</v>
      </c>
      <c r="AN1977">
        <v>0.99999996793665202</v>
      </c>
    </row>
    <row r="1978" spans="1:40" x14ac:dyDescent="0.25">
      <c r="A1978" t="str">
        <f>"20190303154806663"</f>
        <v>20190303154806663</v>
      </c>
      <c r="B1978" t="str">
        <f>"1551599286652680"</f>
        <v>1551599286652680</v>
      </c>
      <c r="C1978" t="s">
        <v>40</v>
      </c>
      <c r="D1978">
        <v>5.5051370000000004</v>
      </c>
      <c r="E1978">
        <v>0.49877100000000002</v>
      </c>
      <c r="F1978" t="s">
        <v>52</v>
      </c>
      <c r="G1978">
        <v>-258.65309999999999</v>
      </c>
      <c r="H1978" s="1">
        <v>3.0679560000000002E-6</v>
      </c>
      <c r="I1978">
        <v>284.4914</v>
      </c>
      <c r="J1978">
        <v>-243.13839999999999</v>
      </c>
      <c r="K1978">
        <v>1.1199030000000001</v>
      </c>
      <c r="L1978">
        <v>284.7647</v>
      </c>
      <c r="M1978">
        <v>-0.99944129999999998</v>
      </c>
      <c r="N1978">
        <v>-4.0873840000000003E-3</v>
      </c>
      <c r="O1978">
        <v>3.3175469999999999E-2</v>
      </c>
      <c r="P1978">
        <v>-0.99494680000000002</v>
      </c>
      <c r="Q1978">
        <v>-9.5426670000000005E-2</v>
      </c>
      <c r="R1978">
        <v>3.122393E-2</v>
      </c>
      <c r="S1978">
        <v>-2.9966740000000001</v>
      </c>
      <c r="T1978">
        <v>-0.21109330000000001</v>
      </c>
      <c r="U1978">
        <v>-4.9194340000000003E-2</v>
      </c>
      <c r="V1978">
        <v>-1.6299610000000001E-3</v>
      </c>
      <c r="W1978">
        <v>-9.136039E-2</v>
      </c>
      <c r="X1978">
        <v>0.99581660000000005</v>
      </c>
      <c r="Y1978">
        <v>-4.937399E-2</v>
      </c>
      <c r="Z1978">
        <v>-4.0360999999999999E-3</v>
      </c>
      <c r="AA1978">
        <v>0.9987722</v>
      </c>
      <c r="AB1978">
        <v>40</v>
      </c>
      <c r="AC1978">
        <v>-15.514699999999999</v>
      </c>
      <c r="AD1978">
        <v>-1.119899932044</v>
      </c>
      <c r="AE1978">
        <v>-0.27330000000000598</v>
      </c>
      <c r="AF1978">
        <v>-0.78377872262456405</v>
      </c>
      <c r="AG1978">
        <v>-1.119899932044</v>
      </c>
      <c r="AH1978">
        <v>15.416789911261199</v>
      </c>
      <c r="AI1978">
        <v>94.149417947297096</v>
      </c>
      <c r="AJ1978">
        <v>92.910371319680493</v>
      </c>
      <c r="AK1978">
        <v>15.4772703055738</v>
      </c>
      <c r="AL1978">
        <v>95.241873951602798</v>
      </c>
      <c r="AM1978">
        <v>90.093782130835606</v>
      </c>
      <c r="AN1978">
        <v>1.0000000392346799</v>
      </c>
    </row>
    <row r="1979" spans="1:40" x14ac:dyDescent="0.25">
      <c r="A1979" t="str">
        <f>"20190303154806683"</f>
        <v>20190303154806683</v>
      </c>
      <c r="B1979" t="str">
        <f>"1551599286672199"</f>
        <v>1551599286672199</v>
      </c>
      <c r="C1979" t="s">
        <v>40</v>
      </c>
      <c r="D1979">
        <v>5.5062490000000004</v>
      </c>
      <c r="E1979">
        <v>0.4991024</v>
      </c>
      <c r="F1979" t="s">
        <v>52</v>
      </c>
      <c r="G1979">
        <v>-263.07</v>
      </c>
      <c r="H1979" s="1">
        <v>9.6909969999999996E-8</v>
      </c>
      <c r="I1979">
        <v>285.3272</v>
      </c>
      <c r="J1979">
        <v>-243.51079999999999</v>
      </c>
      <c r="K1979">
        <v>1.1200139999999901</v>
      </c>
      <c r="L1979">
        <v>284.77629999999999</v>
      </c>
      <c r="M1979">
        <v>-0.99947699999999995</v>
      </c>
      <c r="N1979">
        <v>-3.9688969999999999E-3</v>
      </c>
      <c r="O1979">
        <v>3.2098870000000002E-2</v>
      </c>
      <c r="P1979">
        <v>-0.99499720000000003</v>
      </c>
      <c r="Q1979">
        <v>-9.5233739999999997E-2</v>
      </c>
      <c r="R1979">
        <v>3.0191180000000001E-2</v>
      </c>
      <c r="S1979">
        <v>-2.9964140000000001</v>
      </c>
      <c r="T1979">
        <v>-0.16836039999999999</v>
      </c>
      <c r="U1979">
        <v>8.4564210000000001E-2</v>
      </c>
      <c r="V1979">
        <v>-1.5653939999999999E-3</v>
      </c>
      <c r="W1979">
        <v>-9.1285729999999995E-2</v>
      </c>
      <c r="X1979">
        <v>0.99582349999999997</v>
      </c>
      <c r="Y1979">
        <v>-3.8401609999999999E-3</v>
      </c>
      <c r="Z1979">
        <v>-1.7894289999999999E-3</v>
      </c>
      <c r="AA1979">
        <v>0.99999099999999996</v>
      </c>
      <c r="AB1979">
        <v>40</v>
      </c>
      <c r="AC1979">
        <v>-19.559200000000001</v>
      </c>
      <c r="AD1979">
        <v>-1.12001390309002</v>
      </c>
      <c r="AE1979">
        <v>0.55090000000001205</v>
      </c>
      <c r="AF1979">
        <v>-7.6964763660860594E-2</v>
      </c>
      <c r="AG1979">
        <v>-1.12001390309002</v>
      </c>
      <c r="AH1979">
        <v>19.502904555297299</v>
      </c>
      <c r="AI1979">
        <v>93.286749652273699</v>
      </c>
      <c r="AJ1979">
        <v>90.226106487111693</v>
      </c>
      <c r="AK1979">
        <v>19.5351898073962</v>
      </c>
      <c r="AL1979">
        <v>95.237578562256601</v>
      </c>
      <c r="AM1979">
        <v>90.090066558580304</v>
      </c>
      <c r="AN1979">
        <v>0.99999998905612897</v>
      </c>
    </row>
    <row r="1980" spans="1:40" x14ac:dyDescent="0.25">
      <c r="A1980" t="str">
        <f>"20190303154806705"</f>
        <v>20190303154806705</v>
      </c>
      <c r="B1980" t="str">
        <f>"1551599286702456"</f>
        <v>1551599286702456</v>
      </c>
      <c r="C1980" t="s">
        <v>40</v>
      </c>
      <c r="D1980">
        <v>5.4707980000000003</v>
      </c>
      <c r="E1980">
        <v>0.49961680000000003</v>
      </c>
      <c r="F1980" t="s">
        <v>52</v>
      </c>
      <c r="G1980">
        <v>-263.21800000000002</v>
      </c>
      <c r="H1980" s="1">
        <v>1.757026E-7</v>
      </c>
      <c r="I1980">
        <v>285.32889999999998</v>
      </c>
      <c r="J1980">
        <v>-243.9119</v>
      </c>
      <c r="K1980">
        <v>1.1201190000000001</v>
      </c>
      <c r="L1980">
        <v>284.78829999999999</v>
      </c>
      <c r="M1980">
        <v>-0.99951679999999998</v>
      </c>
      <c r="N1980">
        <v>-3.8603130000000002E-3</v>
      </c>
      <c r="O1980">
        <v>3.0843240000000001E-2</v>
      </c>
      <c r="P1980">
        <v>-0.99505250000000001</v>
      </c>
      <c r="Q1980">
        <v>-9.5025189999999995E-2</v>
      </c>
      <c r="R1980">
        <v>2.9001510000000001E-2</v>
      </c>
      <c r="S1980">
        <v>-2.9962460000000002</v>
      </c>
      <c r="T1980">
        <v>-0.17028460000000001</v>
      </c>
      <c r="U1980">
        <v>8.4014889999999995E-2</v>
      </c>
      <c r="V1980">
        <v>-1.4794599999999999E-3</v>
      </c>
      <c r="W1980">
        <v>-9.1185569999999994E-2</v>
      </c>
      <c r="X1980">
        <v>0.99583279999999996</v>
      </c>
      <c r="Y1980">
        <v>-2.7677019999999999E-3</v>
      </c>
      <c r="Z1980">
        <v>-1.715687E-3</v>
      </c>
      <c r="AA1980">
        <v>0.99999470000000001</v>
      </c>
      <c r="AB1980">
        <v>40</v>
      </c>
      <c r="AC1980">
        <v>-19.306100000000001</v>
      </c>
      <c r="AD1980">
        <v>-1.1201188242974001</v>
      </c>
      <c r="AE1980">
        <v>0.54059999999998298</v>
      </c>
      <c r="AF1980">
        <v>-5.4939511150706097E-2</v>
      </c>
      <c r="AG1980">
        <v>-1.1201188242974001</v>
      </c>
      <c r="AH1980">
        <v>19.2488440883862</v>
      </c>
      <c r="AI1980">
        <v>93.330357200066402</v>
      </c>
      <c r="AJ1980">
        <v>90.163531563526107</v>
      </c>
      <c r="AK1980">
        <v>19.2814855047382</v>
      </c>
      <c r="AL1980">
        <v>95.2318158231311</v>
      </c>
      <c r="AM1980">
        <v>90.085121469782706</v>
      </c>
      <c r="AN1980">
        <v>0.99999998126697798</v>
      </c>
    </row>
    <row r="1981" spans="1:40" x14ac:dyDescent="0.25">
      <c r="A1981" t="str">
        <f>"20190303154806728"</f>
        <v>20190303154806728</v>
      </c>
      <c r="B1981" t="str">
        <f>"1551599286722955"</f>
        <v>1551599286722955</v>
      </c>
      <c r="C1981" t="s">
        <v>40</v>
      </c>
      <c r="D1981">
        <v>5.5196540000000001</v>
      </c>
      <c r="E1981">
        <v>0.5001584</v>
      </c>
      <c r="F1981" t="s">
        <v>52</v>
      </c>
      <c r="G1981">
        <v>-263.23399999999998</v>
      </c>
      <c r="H1981" s="1">
        <v>1.8420719999999999E-7</v>
      </c>
      <c r="I1981">
        <v>285.3347</v>
      </c>
      <c r="J1981">
        <v>-244.33789999999999</v>
      </c>
      <c r="K1981">
        <v>1.1202179999999999</v>
      </c>
      <c r="L1981">
        <v>284.8005</v>
      </c>
      <c r="M1981">
        <v>-0.99956009999999995</v>
      </c>
      <c r="N1981">
        <v>-3.7662139999999999E-3</v>
      </c>
      <c r="O1981">
        <v>2.9418650000000001E-2</v>
      </c>
      <c r="P1981">
        <v>-0.99505120000000002</v>
      </c>
      <c r="Q1981">
        <v>-9.5436930000000003E-2</v>
      </c>
      <c r="R1981">
        <v>2.7658180000000001E-2</v>
      </c>
      <c r="S1981">
        <v>-2.9958800000000001</v>
      </c>
      <c r="T1981">
        <v>-0.17367360000000001</v>
      </c>
      <c r="U1981">
        <v>8.4716799999999995E-2</v>
      </c>
      <c r="V1981">
        <v>-1.3763530000000001E-3</v>
      </c>
      <c r="W1981">
        <v>-9.1691330000000001E-2</v>
      </c>
      <c r="X1981">
        <v>0.99578650000000002</v>
      </c>
      <c r="Y1981">
        <v>-1.107764E-3</v>
      </c>
      <c r="Z1981">
        <v>-1.6267439999999901E-3</v>
      </c>
      <c r="AA1981">
        <v>0.9999981</v>
      </c>
      <c r="AB1981">
        <v>40</v>
      </c>
      <c r="AC1981">
        <v>-18.896100000000001</v>
      </c>
      <c r="AD1981">
        <v>-1.1202178157928</v>
      </c>
      <c r="AE1981">
        <v>0.53419999999999801</v>
      </c>
      <c r="AF1981">
        <v>-2.1856150438337E-2</v>
      </c>
      <c r="AG1981">
        <v>-1.1202178157928</v>
      </c>
      <c r="AH1981">
        <v>18.837485763092999</v>
      </c>
      <c r="AI1981">
        <v>93.403225433747295</v>
      </c>
      <c r="AJ1981">
        <v>90.066477269331301</v>
      </c>
      <c r="AK1981">
        <v>18.870777289790301</v>
      </c>
      <c r="AL1981">
        <v>95.260915682985896</v>
      </c>
      <c r="AM1981">
        <v>90.079192846862597</v>
      </c>
      <c r="AN1981">
        <v>0.99999997396349904</v>
      </c>
    </row>
    <row r="1982" spans="1:40" x14ac:dyDescent="0.25">
      <c r="A1982" t="str">
        <f>"20190303154806750"</f>
        <v>20190303154806750</v>
      </c>
      <c r="B1982" t="str">
        <f>"1551599286742475"</f>
        <v>1551599286742475</v>
      </c>
      <c r="C1982" t="s">
        <v>40</v>
      </c>
      <c r="D1982">
        <v>5.4810309999999998</v>
      </c>
      <c r="E1982">
        <v>0.50046520000000005</v>
      </c>
      <c r="F1982" t="s">
        <v>52</v>
      </c>
      <c r="G1982">
        <v>-263.4248</v>
      </c>
      <c r="H1982" s="1">
        <v>2.8573130000000001E-7</v>
      </c>
      <c r="I1982">
        <v>285.34269999999998</v>
      </c>
      <c r="J1982">
        <v>-244.7157</v>
      </c>
      <c r="K1982">
        <v>1.1203050000000001</v>
      </c>
      <c r="L1982">
        <v>284.81079999999997</v>
      </c>
      <c r="M1982">
        <v>-0.9995986</v>
      </c>
      <c r="N1982">
        <v>-3.702861E-3</v>
      </c>
      <c r="O1982">
        <v>2.8094069999999999E-2</v>
      </c>
      <c r="P1982">
        <v>-0.9949749</v>
      </c>
      <c r="Q1982">
        <v>-9.6501740000000003E-2</v>
      </c>
      <c r="R1982">
        <v>2.6698400000000001E-2</v>
      </c>
      <c r="S1982">
        <v>-2.9956969999999998</v>
      </c>
      <c r="T1982">
        <v>-0.17581869999999999</v>
      </c>
      <c r="U1982">
        <v>8.5083010000000001E-2</v>
      </c>
      <c r="V1982">
        <v>-9.9021419999999996E-4</v>
      </c>
      <c r="W1982">
        <v>-9.2818860000000003E-2</v>
      </c>
      <c r="X1982">
        <v>0.99568250000000003</v>
      </c>
      <c r="Y1982">
        <v>3.3792050000000003E-4</v>
      </c>
      <c r="Z1982">
        <v>-1.5322999999999999E-3</v>
      </c>
      <c r="AA1982">
        <v>0.99999870000000002</v>
      </c>
      <c r="AB1982">
        <v>41</v>
      </c>
      <c r="AC1982">
        <v>-18.709099999999999</v>
      </c>
      <c r="AD1982">
        <v>-1.1203047142686999</v>
      </c>
      <c r="AE1982">
        <v>0.53190000000000703</v>
      </c>
      <c r="AF1982">
        <v>6.0500949339660198E-3</v>
      </c>
      <c r="AG1982">
        <v>-1.1203047142686999</v>
      </c>
      <c r="AH1982">
        <v>18.649840864535101</v>
      </c>
      <c r="AI1982">
        <v>93.437653340111495</v>
      </c>
      <c r="AJ1982">
        <v>89.981412983857197</v>
      </c>
      <c r="AK1982">
        <v>18.6834601594284</v>
      </c>
      <c r="AL1982">
        <v>95.325795044983394</v>
      </c>
      <c r="AM1982">
        <v>90.056981091632494</v>
      </c>
      <c r="AN1982">
        <v>0.99999998105105503</v>
      </c>
    </row>
    <row r="1983" spans="1:40" x14ac:dyDescent="0.25">
      <c r="A1983" t="str">
        <f>"20190303154806762"</f>
        <v>20190303154806762</v>
      </c>
      <c r="B1983" t="str">
        <f>"1551599286752235"</f>
        <v>1551599286752235</v>
      </c>
      <c r="C1983" t="s">
        <v>40</v>
      </c>
      <c r="D1983">
        <v>5.5128389999999996</v>
      </c>
      <c r="E1983">
        <v>0.50055179999999999</v>
      </c>
      <c r="F1983" t="s">
        <v>52</v>
      </c>
      <c r="G1983">
        <v>-263.26769999999999</v>
      </c>
      <c r="H1983" s="1">
        <v>2.021307E-7</v>
      </c>
      <c r="I1983">
        <v>285.33449999999999</v>
      </c>
      <c r="J1983">
        <v>-244.95150000000001</v>
      </c>
      <c r="K1983">
        <v>1.1203559999999999</v>
      </c>
      <c r="L1983">
        <v>284.81689999999998</v>
      </c>
      <c r="M1983">
        <v>-0.99962200000000001</v>
      </c>
      <c r="N1983">
        <v>-3.671344E-3</v>
      </c>
      <c r="O1983">
        <v>2.7247110000000001E-2</v>
      </c>
      <c r="P1983">
        <v>-0.99494899999999997</v>
      </c>
      <c r="Q1983">
        <v>-9.6875269999999999E-2</v>
      </c>
      <c r="R1983">
        <v>2.630474E-2</v>
      </c>
      <c r="S1983">
        <v>-2.9953310000000002</v>
      </c>
      <c r="T1983">
        <v>-0.18088000000000001</v>
      </c>
      <c r="U1983">
        <v>8.4564210000000001E-2</v>
      </c>
      <c r="V1983">
        <v>-5.2633559999999897E-4</v>
      </c>
      <c r="W1983">
        <v>-9.3222630000000001E-2</v>
      </c>
      <c r="X1983">
        <v>0.99564520000000001</v>
      </c>
      <c r="Y1983">
        <v>1.0156119999999999E-3</v>
      </c>
      <c r="Z1983">
        <v>-1.5108000000000001E-3</v>
      </c>
      <c r="AA1983">
        <v>0.99999830000000001</v>
      </c>
      <c r="AB1983">
        <v>41</v>
      </c>
      <c r="AC1983">
        <v>-18.316199999999899</v>
      </c>
      <c r="AD1983">
        <v>-1.1203557978693</v>
      </c>
      <c r="AE1983">
        <v>0.51760000000001505</v>
      </c>
      <c r="AF1983">
        <v>1.8272642560637702E-2</v>
      </c>
      <c r="AG1983">
        <v>-1.1203557978693</v>
      </c>
      <c r="AH1983">
        <v>18.2552560049829</v>
      </c>
      <c r="AI1983">
        <v>93.511931910588203</v>
      </c>
      <c r="AJ1983">
        <v>89.942649670355493</v>
      </c>
      <c r="AK1983">
        <v>18.289611882452601</v>
      </c>
      <c r="AL1983">
        <v>95.349029735701095</v>
      </c>
      <c r="AM1983">
        <v>90.030288706939203</v>
      </c>
      <c r="AN1983">
        <v>1.0000000500281501</v>
      </c>
    </row>
    <row r="1984" spans="1:40" x14ac:dyDescent="0.25">
      <c r="A1984" t="str">
        <f>"20190303154806784"</f>
        <v>20190303154806784</v>
      </c>
      <c r="B1984" t="str">
        <f>"1551599286772735"</f>
        <v>1551599286772735</v>
      </c>
      <c r="C1984" t="s">
        <v>40</v>
      </c>
      <c r="D1984">
        <v>5.5317179999999997</v>
      </c>
      <c r="E1984">
        <v>0.50074439999999998</v>
      </c>
      <c r="F1984" t="s">
        <v>52</v>
      </c>
      <c r="G1984">
        <v>-263.32060000000001</v>
      </c>
      <c r="H1984" s="1">
        <v>2.3029799999999999E-7</v>
      </c>
      <c r="I1984">
        <v>285.33240000000001</v>
      </c>
      <c r="J1984">
        <v>-245.34700000000001</v>
      </c>
      <c r="K1984">
        <v>1.120433</v>
      </c>
      <c r="L1984">
        <v>284.82679999999999</v>
      </c>
      <c r="M1984">
        <v>-0.99966080000000002</v>
      </c>
      <c r="N1984">
        <v>-3.6362740000000001E-3</v>
      </c>
      <c r="O1984">
        <v>2.5790960000000002E-2</v>
      </c>
      <c r="P1984">
        <v>-0.99496470000000004</v>
      </c>
      <c r="Q1984">
        <v>-9.6951380000000004E-2</v>
      </c>
      <c r="R1984">
        <v>2.5408509999999999E-2</v>
      </c>
      <c r="S1984">
        <v>-2.9952239999999999</v>
      </c>
      <c r="T1984">
        <v>-0.1826817</v>
      </c>
      <c r="U1984">
        <v>8.4045410000000001E-2</v>
      </c>
      <c r="V1984" s="1">
        <v>4.6069909999999998E-5</v>
      </c>
      <c r="W1984">
        <v>-9.3331949999999997E-2</v>
      </c>
      <c r="X1984">
        <v>0.99563500000000005</v>
      </c>
      <c r="Y1984">
        <v>2.2962690000000001E-3</v>
      </c>
      <c r="Z1984">
        <v>-1.403149E-3</v>
      </c>
      <c r="AA1984">
        <v>0.99999640000000001</v>
      </c>
      <c r="AB1984">
        <v>41</v>
      </c>
      <c r="AC1984">
        <v>-17.973600000000001</v>
      </c>
      <c r="AD1984">
        <v>-1.120432769702</v>
      </c>
      <c r="AE1984">
        <v>0.50560000000001504</v>
      </c>
      <c r="AF1984">
        <v>4.1710418297523998E-2</v>
      </c>
      <c r="AG1984">
        <v>-1.120432769702</v>
      </c>
      <c r="AH1984">
        <v>17.9111137988947</v>
      </c>
      <c r="AI1984">
        <v>93.579473395679699</v>
      </c>
      <c r="AJ1984">
        <v>89.8665729760326</v>
      </c>
      <c r="AK1984">
        <v>17.946172485167299</v>
      </c>
      <c r="AL1984">
        <v>95.355321252831502</v>
      </c>
      <c r="AM1984">
        <v>89.997348816178899</v>
      </c>
      <c r="AN1984">
        <v>0.99999995411911802</v>
      </c>
    </row>
    <row r="1985" spans="1:40" x14ac:dyDescent="0.25">
      <c r="A1985" t="str">
        <f>"20190303154806808"</f>
        <v>20190303154806808</v>
      </c>
      <c r="B1985" t="str">
        <f>"1551599286802988"</f>
        <v>1551599286802988</v>
      </c>
      <c r="C1985" t="s">
        <v>40</v>
      </c>
      <c r="D1985">
        <v>5.5471620000000001</v>
      </c>
      <c r="E1985">
        <v>0.5010443</v>
      </c>
      <c r="F1985" t="s">
        <v>52</v>
      </c>
      <c r="G1985">
        <v>-263.76589999999999</v>
      </c>
      <c r="H1985" s="1">
        <v>4.672196E-7</v>
      </c>
      <c r="I1985">
        <v>285.33699999999999</v>
      </c>
      <c r="J1985">
        <v>-245.78479999999999</v>
      </c>
      <c r="K1985">
        <v>1.1205080000000001</v>
      </c>
      <c r="L1985">
        <v>284.83699999999999</v>
      </c>
      <c r="M1985">
        <v>-0.99970179999999997</v>
      </c>
      <c r="N1985">
        <v>-3.618301E-3</v>
      </c>
      <c r="O1985">
        <v>2.4150339999999999E-2</v>
      </c>
      <c r="P1985">
        <v>-0.99506380000000005</v>
      </c>
      <c r="Q1985">
        <v>-9.6323629999999993E-2</v>
      </c>
      <c r="R1985">
        <v>2.3874949999999999E-2</v>
      </c>
      <c r="S1985">
        <v>-2.9953159999999999</v>
      </c>
      <c r="T1985">
        <v>-0.18220749999999999</v>
      </c>
      <c r="U1985">
        <v>8.2977289999999995E-2</v>
      </c>
      <c r="V1985">
        <v>1.5985350000000001E-4</v>
      </c>
      <c r="W1985">
        <v>-9.2721529999999996E-2</v>
      </c>
      <c r="X1985">
        <v>0.99569209999999997</v>
      </c>
      <c r="Y1985">
        <v>3.57487E-3</v>
      </c>
      <c r="Z1985">
        <v>-1.264828E-3</v>
      </c>
      <c r="AA1985">
        <v>0.99999280000000002</v>
      </c>
      <c r="AB1985">
        <v>41</v>
      </c>
      <c r="AC1985">
        <v>-17.981099999999898</v>
      </c>
      <c r="AD1985">
        <v>-1.1205075327803999</v>
      </c>
      <c r="AE1985">
        <v>0.5</v>
      </c>
      <c r="AF1985">
        <v>6.5348082338041194E-2</v>
      </c>
      <c r="AG1985">
        <v>-1.1205075327803999</v>
      </c>
      <c r="AH1985">
        <v>17.9184026290066</v>
      </c>
      <c r="AI1985">
        <v>93.578245197624199</v>
      </c>
      <c r="AJ1985">
        <v>89.791044280276793</v>
      </c>
      <c r="AK1985">
        <v>17.953522224846999</v>
      </c>
      <c r="AL1985">
        <v>95.320194017352094</v>
      </c>
      <c r="AM1985">
        <v>89.990801442723395</v>
      </c>
      <c r="AN1985">
        <v>1.0000000328405401</v>
      </c>
    </row>
    <row r="1986" spans="1:40" x14ac:dyDescent="0.25">
      <c r="A1986" t="str">
        <f>"20190303154806840"</f>
        <v>20190303154806840</v>
      </c>
      <c r="B1986" t="str">
        <f>"1551599286832267"</f>
        <v>1551599286832267</v>
      </c>
      <c r="C1986" t="s">
        <v>40</v>
      </c>
      <c r="D1986">
        <v>5.523809</v>
      </c>
      <c r="E1986">
        <v>0.5012664</v>
      </c>
      <c r="F1986" t="s">
        <v>52</v>
      </c>
      <c r="G1986">
        <v>-264.52379999999999</v>
      </c>
      <c r="H1986" s="1">
        <v>8.7056869999999898E-7</v>
      </c>
      <c r="I1986">
        <v>285.34160000000003</v>
      </c>
      <c r="J1986">
        <v>-246.37950000000001</v>
      </c>
      <c r="K1986">
        <v>1.120606</v>
      </c>
      <c r="L1986">
        <v>284.84969999999998</v>
      </c>
      <c r="M1986">
        <v>-0.99975389999999997</v>
      </c>
      <c r="N1986">
        <v>-3.6202809999999999E-3</v>
      </c>
      <c r="O1986">
        <v>2.189315E-2</v>
      </c>
      <c r="P1986">
        <v>-0.99522900000000003</v>
      </c>
      <c r="Q1986">
        <v>-9.5329140000000007E-2</v>
      </c>
      <c r="R1986">
        <v>2.0788089999999999E-2</v>
      </c>
      <c r="S1986">
        <v>-2.9956049999999999</v>
      </c>
      <c r="T1986">
        <v>-0.17912320000000001</v>
      </c>
      <c r="U1986">
        <v>8.0657960000000001E-2</v>
      </c>
      <c r="V1986">
        <v>-6.6553320000000001E-4</v>
      </c>
      <c r="W1986">
        <v>-9.172777E-2</v>
      </c>
      <c r="X1986">
        <v>0.99578390000000006</v>
      </c>
      <c r="Y1986">
        <v>5.0487830000000003E-3</v>
      </c>
      <c r="Z1986">
        <v>-1.0684049999999999E-3</v>
      </c>
      <c r="AA1986">
        <v>0.99998670000000001</v>
      </c>
      <c r="AB1986">
        <v>41</v>
      </c>
      <c r="AC1986">
        <v>-18.144299999999902</v>
      </c>
      <c r="AD1986">
        <v>-1.1206051294313</v>
      </c>
      <c r="AE1986">
        <v>0.49190000000004303</v>
      </c>
      <c r="AF1986">
        <v>9.4184675368292198E-2</v>
      </c>
      <c r="AG1986">
        <v>-1.1206051294313</v>
      </c>
      <c r="AH1986">
        <v>18.081800028450399</v>
      </c>
      <c r="AI1986">
        <v>93.546276631886897</v>
      </c>
      <c r="AJ1986">
        <v>89.701559823616094</v>
      </c>
      <c r="AK1986">
        <v>18.1167358781335</v>
      </c>
      <c r="AL1986">
        <v>95.263012233852905</v>
      </c>
      <c r="AM1986">
        <v>90.038293687825202</v>
      </c>
      <c r="AN1986">
        <v>1.0000000011114101</v>
      </c>
    </row>
    <row r="1987" spans="1:40" x14ac:dyDescent="0.25">
      <c r="A1987" t="str">
        <f>"20190303154806863"</f>
        <v>20190303154806863</v>
      </c>
      <c r="B1987" t="str">
        <f>"1551599286852766"</f>
        <v>1551599286852766</v>
      </c>
      <c r="C1987" t="s">
        <v>40</v>
      </c>
      <c r="D1987">
        <v>5.5427239999999998</v>
      </c>
      <c r="E1987">
        <v>0.50130450000000004</v>
      </c>
      <c r="F1987" t="s">
        <v>52</v>
      </c>
      <c r="G1987">
        <v>-265.68979999999999</v>
      </c>
      <c r="H1987" s="1">
        <v>1.491062E-6</v>
      </c>
      <c r="I1987">
        <v>285.32080000000002</v>
      </c>
      <c r="J1987">
        <v>-246.78440000000001</v>
      </c>
      <c r="K1987">
        <v>1.120657</v>
      </c>
      <c r="L1987">
        <v>284.85759999999999</v>
      </c>
      <c r="M1987">
        <v>-0.99978639999999996</v>
      </c>
      <c r="N1987">
        <v>-3.6378909999999999E-3</v>
      </c>
      <c r="O1987">
        <v>2.0343389999999999E-2</v>
      </c>
      <c r="P1987">
        <v>-0.99527869999999996</v>
      </c>
      <c r="Q1987">
        <v>-9.5068570000000005E-2</v>
      </c>
      <c r="R1987">
        <v>1.9552880000000002E-2</v>
      </c>
      <c r="S1987">
        <v>-2.9962010000000001</v>
      </c>
      <c r="T1987">
        <v>-0.17387330000000001</v>
      </c>
      <c r="U1987">
        <v>7.3089600000000005E-2</v>
      </c>
      <c r="V1987">
        <v>-3.4835779999999999E-4</v>
      </c>
      <c r="W1987">
        <v>-9.144853E-2</v>
      </c>
      <c r="X1987">
        <v>0.99580970000000002</v>
      </c>
      <c r="Y1987">
        <v>4.0670949999999997E-3</v>
      </c>
      <c r="Z1987">
        <v>-9.800067999999999E-4</v>
      </c>
      <c r="AA1987">
        <v>0.99999119999999997</v>
      </c>
      <c r="AB1987">
        <v>41</v>
      </c>
      <c r="AC1987">
        <v>-18.905399999999901</v>
      </c>
      <c r="AD1987">
        <v>-1.1206555089379999</v>
      </c>
      <c r="AE1987">
        <v>0.46320000000002798</v>
      </c>
      <c r="AF1987">
        <v>7.8226951149560603E-2</v>
      </c>
      <c r="AG1987">
        <v>-1.1206555089379999</v>
      </c>
      <c r="AH1987">
        <v>18.8447344174023</v>
      </c>
      <c r="AI1987">
        <v>93.403218564973301</v>
      </c>
      <c r="AJ1987">
        <v>89.762159110275803</v>
      </c>
      <c r="AK1987">
        <v>18.878188564796801</v>
      </c>
      <c r="AL1987">
        <v>95.246945664269802</v>
      </c>
      <c r="AM1987">
        <v>90.020043418824102</v>
      </c>
      <c r="AN1987">
        <v>0.99999995680320297</v>
      </c>
    </row>
    <row r="1988" spans="1:40" x14ac:dyDescent="0.25">
      <c r="A1988" t="str">
        <f>"20190303154806884"</f>
        <v>20190303154806884</v>
      </c>
      <c r="B1988" t="str">
        <f>"1551599286883020"</f>
        <v>1551599286883020</v>
      </c>
      <c r="C1988" t="s">
        <v>40</v>
      </c>
      <c r="D1988">
        <v>5.5657759999999996</v>
      </c>
      <c r="E1988">
        <v>0.50142509999999996</v>
      </c>
      <c r="F1988" t="s">
        <v>52</v>
      </c>
      <c r="G1988">
        <v>-266.17469999999997</v>
      </c>
      <c r="H1988" s="1">
        <v>1.7490779999999999E-6</v>
      </c>
      <c r="I1988">
        <v>285.3109</v>
      </c>
      <c r="J1988">
        <v>-247.20910000000001</v>
      </c>
      <c r="K1988">
        <v>1.1207129999999901</v>
      </c>
      <c r="L1988">
        <v>284.86520000000002</v>
      </c>
      <c r="M1988">
        <v>-0.99981830000000005</v>
      </c>
      <c r="N1988">
        <v>-3.6678309999999999E-3</v>
      </c>
      <c r="O1988">
        <v>1.8712139999999999E-2</v>
      </c>
      <c r="P1988">
        <v>-0.99539310000000003</v>
      </c>
      <c r="Q1988">
        <v>-9.3947000000000003E-2</v>
      </c>
      <c r="R1988">
        <v>1.9149349999999999E-2</v>
      </c>
      <c r="S1988">
        <v>-2.996292</v>
      </c>
      <c r="T1988">
        <v>-0.17316989999999999</v>
      </c>
      <c r="U1988">
        <v>7.0037840000000004E-2</v>
      </c>
      <c r="V1988">
        <v>8.7558060000000003E-4</v>
      </c>
      <c r="W1988">
        <v>-9.0292010000000006E-2</v>
      </c>
      <c r="X1988">
        <v>0.99591490000000005</v>
      </c>
      <c r="Y1988">
        <v>4.6762849999999996E-3</v>
      </c>
      <c r="Z1988">
        <v>-8.6814429999999897E-4</v>
      </c>
      <c r="AA1988">
        <v>0.99998869999999895</v>
      </c>
      <c r="AB1988">
        <v>42</v>
      </c>
      <c r="AC1988">
        <v>-18.965599999999899</v>
      </c>
      <c r="AD1988">
        <v>-1.1207112509220001</v>
      </c>
      <c r="AE1988">
        <v>0.44569999999998799</v>
      </c>
      <c r="AF1988">
        <v>9.0417106031124406E-2</v>
      </c>
      <c r="AG1988">
        <v>-1.1207112509220001</v>
      </c>
      <c r="AH1988">
        <v>18.904643825815501</v>
      </c>
      <c r="AI1988">
        <v>93.3926176855786</v>
      </c>
      <c r="AJ1988">
        <v>89.725967909371406</v>
      </c>
      <c r="AK1988">
        <v>18.9380497185415</v>
      </c>
      <c r="AL1988">
        <v>95.180406684145595</v>
      </c>
      <c r="AM1988">
        <v>89.949627161840695</v>
      </c>
      <c r="AN1988">
        <v>0.99999995087661697</v>
      </c>
    </row>
    <row r="1989" spans="1:40" x14ac:dyDescent="0.25">
      <c r="A1989" t="str">
        <f>"20190303154806907"</f>
        <v>20190303154806907</v>
      </c>
      <c r="B1989" t="str">
        <f>"1551599286902539"</f>
        <v>1551599286902539</v>
      </c>
      <c r="C1989" t="s">
        <v>40</v>
      </c>
      <c r="D1989">
        <v>5.6069290000000001</v>
      </c>
      <c r="E1989">
        <v>0.50160159999999998</v>
      </c>
      <c r="F1989" t="s">
        <v>52</v>
      </c>
      <c r="G1989">
        <v>-266.8845</v>
      </c>
      <c r="H1989" s="1">
        <v>2.1267969999999998E-6</v>
      </c>
      <c r="I1989">
        <v>285.32350000000002</v>
      </c>
      <c r="J1989">
        <v>-247.6174</v>
      </c>
      <c r="K1989">
        <v>1.1207659999999999</v>
      </c>
      <c r="L1989">
        <v>284.87180000000001</v>
      </c>
      <c r="M1989">
        <v>-0.99984629999999997</v>
      </c>
      <c r="N1989">
        <v>-3.704499E-3</v>
      </c>
      <c r="O1989">
        <v>1.714034E-2</v>
      </c>
      <c r="P1989">
        <v>-0.99569110000000005</v>
      </c>
      <c r="Q1989">
        <v>-9.0631470000000006E-2</v>
      </c>
      <c r="R1989">
        <v>1.9623729999999999E-2</v>
      </c>
      <c r="S1989">
        <v>-2.9964140000000001</v>
      </c>
      <c r="T1989">
        <v>-0.17067589999999999</v>
      </c>
      <c r="U1989">
        <v>6.97937E-2</v>
      </c>
      <c r="V1989">
        <v>2.9047600000000002E-3</v>
      </c>
      <c r="W1989">
        <v>-8.6930629999999995E-2</v>
      </c>
      <c r="X1989">
        <v>0.99621020000000005</v>
      </c>
      <c r="Y1989">
        <v>6.160507E-3</v>
      </c>
      <c r="Z1989">
        <v>-7.2515419999999995E-4</v>
      </c>
      <c r="AA1989">
        <v>0.99998069999999895</v>
      </c>
      <c r="AB1989">
        <v>42</v>
      </c>
      <c r="AC1989">
        <v>-19.267099999999999</v>
      </c>
      <c r="AD1989">
        <v>-1.1207638732030001</v>
      </c>
      <c r="AE1989">
        <v>0.45170000000001598</v>
      </c>
      <c r="AF1989">
        <v>0.120977622831743</v>
      </c>
      <c r="AG1989">
        <v>-1.1207638732030001</v>
      </c>
      <c r="AH1989">
        <v>19.207056078222202</v>
      </c>
      <c r="AI1989">
        <v>93.339451725649496</v>
      </c>
      <c r="AJ1989">
        <v>89.639121398169493</v>
      </c>
      <c r="AK1989">
        <v>19.240107859278599</v>
      </c>
      <c r="AL1989">
        <v>94.987052512615804</v>
      </c>
      <c r="AM1989">
        <v>89.832936847224005</v>
      </c>
      <c r="AN1989">
        <v>1.0000000673234399</v>
      </c>
    </row>
    <row r="1990" spans="1:40" x14ac:dyDescent="0.25">
      <c r="A1990" t="str">
        <f>"20190303154806929"</f>
        <v>20190303154806929</v>
      </c>
      <c r="B1990" t="str">
        <f>"1551599286923035"</f>
        <v>1551599286923035</v>
      </c>
      <c r="C1990" t="s">
        <v>40</v>
      </c>
      <c r="D1990">
        <v>5.593623</v>
      </c>
      <c r="E1990">
        <v>0.50177539999999998</v>
      </c>
      <c r="F1990" t="s">
        <v>52</v>
      </c>
      <c r="G1990">
        <v>-268.4529</v>
      </c>
      <c r="H1990" s="1">
        <v>2.9614499999999998E-6</v>
      </c>
      <c r="I1990">
        <v>285.37779999999998</v>
      </c>
      <c r="J1990">
        <v>-248.04320000000001</v>
      </c>
      <c r="K1990">
        <v>1.1208149999999999</v>
      </c>
      <c r="L1990">
        <v>284.87810000000002</v>
      </c>
      <c r="M1990">
        <v>-0.99987280000000001</v>
      </c>
      <c r="N1990">
        <v>-3.7477190000000001E-3</v>
      </c>
      <c r="O1990">
        <v>1.5500420000000001E-2</v>
      </c>
      <c r="P1990">
        <v>-0.99598469999999995</v>
      </c>
      <c r="Q1990">
        <v>-8.7420390000000001E-2</v>
      </c>
      <c r="R1990">
        <v>1.9294059999999998E-2</v>
      </c>
      <c r="S1990">
        <v>-2.9968720000000002</v>
      </c>
      <c r="T1990">
        <v>-0.1612045</v>
      </c>
      <c r="U1990">
        <v>7.2784420000000002E-2</v>
      </c>
      <c r="V1990">
        <v>4.197999E-3</v>
      </c>
      <c r="W1990">
        <v>-8.3669859999999999E-2</v>
      </c>
      <c r="X1990">
        <v>0.9964847</v>
      </c>
      <c r="Y1990">
        <v>8.7865649999999997E-3</v>
      </c>
      <c r="Z1990">
        <v>-5.22351E-4</v>
      </c>
      <c r="AA1990">
        <v>0.99996130000000005</v>
      </c>
      <c r="AB1990">
        <v>42</v>
      </c>
      <c r="AC1990">
        <v>-20.409699999999901</v>
      </c>
      <c r="AD1990">
        <v>-1.12081203855</v>
      </c>
      <c r="AE1990">
        <v>0.49969999999996101</v>
      </c>
      <c r="AF1990">
        <v>0.18272808184030701</v>
      </c>
      <c r="AG1990">
        <v>-1.12081203855</v>
      </c>
      <c r="AH1990">
        <v>20.353649263681699</v>
      </c>
      <c r="AI1990">
        <v>93.151789930823696</v>
      </c>
      <c r="AJ1990">
        <v>89.485631962606107</v>
      </c>
      <c r="AK1990">
        <v>20.385304695457101</v>
      </c>
      <c r="AL1990">
        <v>94.799540916509201</v>
      </c>
      <c r="AM1990">
        <v>89.758625293319994</v>
      </c>
      <c r="AN1990">
        <v>1.00000001300105</v>
      </c>
    </row>
    <row r="1991" spans="1:40" x14ac:dyDescent="0.25">
      <c r="A1991" t="str">
        <f>"20190303154806951"</f>
        <v>20190303154806951</v>
      </c>
      <c r="B1991" t="str">
        <f>"1551599286942555"</f>
        <v>1551599286942555</v>
      </c>
      <c r="C1991" t="s">
        <v>40</v>
      </c>
      <c r="D1991">
        <v>5.6232899999999999</v>
      </c>
      <c r="E1991">
        <v>0.50196390000000002</v>
      </c>
      <c r="F1991" t="s">
        <v>52</v>
      </c>
      <c r="G1991">
        <v>-270.05369999999999</v>
      </c>
      <c r="H1991" s="1">
        <v>-1.542997E-6</v>
      </c>
      <c r="I1991">
        <v>285.41239999999999</v>
      </c>
      <c r="J1991">
        <v>-248.44239999999999</v>
      </c>
      <c r="K1991">
        <v>1.1208530000000001</v>
      </c>
      <c r="L1991">
        <v>284.88330000000002</v>
      </c>
      <c r="M1991">
        <v>-0.99989530000000004</v>
      </c>
      <c r="N1991">
        <v>-3.790823E-3</v>
      </c>
      <c r="O1991">
        <v>1.3968339999999999E-2</v>
      </c>
      <c r="P1991">
        <v>-0.99616190000000004</v>
      </c>
      <c r="Q1991">
        <v>-8.5321679999999997E-2</v>
      </c>
      <c r="R1991">
        <v>1.953879E-2</v>
      </c>
      <c r="S1991">
        <v>-2.9972989999999999</v>
      </c>
      <c r="T1991">
        <v>-0.15262779999999901</v>
      </c>
      <c r="U1991">
        <v>7.2753910000000005E-2</v>
      </c>
      <c r="V1991">
        <v>5.9627350000000003E-3</v>
      </c>
      <c r="W1991">
        <v>-8.1519939999999999E-2</v>
      </c>
      <c r="X1991">
        <v>0.99665389999999998</v>
      </c>
      <c r="Y1991">
        <v>1.0300470000000001E-2</v>
      </c>
      <c r="Z1991">
        <v>-3.7617379999999999E-4</v>
      </c>
      <c r="AA1991">
        <v>0.99994689999999997</v>
      </c>
      <c r="AB1991">
        <v>42</v>
      </c>
      <c r="AC1991">
        <v>-21.6113</v>
      </c>
      <c r="AD1991">
        <v>-1.120854542997</v>
      </c>
      <c r="AE1991">
        <v>0.52909999999997104</v>
      </c>
      <c r="AF1991">
        <v>0.22656317034836701</v>
      </c>
      <c r="AG1991">
        <v>-1.120854542997</v>
      </c>
      <c r="AH1991">
        <v>21.558626339505299</v>
      </c>
      <c r="AI1991">
        <v>92.976021159324603</v>
      </c>
      <c r="AJ1991">
        <v>89.397891340933</v>
      </c>
      <c r="AK1991">
        <v>21.588932706901598</v>
      </c>
      <c r="AL1991">
        <v>94.675937163776197</v>
      </c>
      <c r="AM1991">
        <v>89.657217541814802</v>
      </c>
      <c r="AN1991">
        <v>1.00000002560574</v>
      </c>
    </row>
    <row r="1992" spans="1:40" x14ac:dyDescent="0.25">
      <c r="A1992" t="str">
        <f>"20190303154806973"</f>
        <v>20190303154806973</v>
      </c>
      <c r="B1992" t="str">
        <f>"1551599286963055"</f>
        <v>1551599286963055</v>
      </c>
      <c r="C1992" t="s">
        <v>40</v>
      </c>
      <c r="D1992">
        <v>5.5861989999999997</v>
      </c>
      <c r="E1992">
        <v>0.50200820000000002</v>
      </c>
      <c r="F1992" t="s">
        <v>52</v>
      </c>
      <c r="G1992">
        <v>-271.18619999999999</v>
      </c>
      <c r="H1992" s="1">
        <v>-9.4213450000000005E-7</v>
      </c>
      <c r="I1992">
        <v>285.45269999999999</v>
      </c>
      <c r="J1992">
        <v>-248.8742</v>
      </c>
      <c r="K1992">
        <v>1.120873</v>
      </c>
      <c r="L1992">
        <v>284.88830000000002</v>
      </c>
      <c r="M1992">
        <v>-0.99991669999999999</v>
      </c>
      <c r="N1992">
        <v>-3.8400869999999998E-3</v>
      </c>
      <c r="O1992">
        <v>1.232771E-2</v>
      </c>
      <c r="P1992">
        <v>-0.99619630000000003</v>
      </c>
      <c r="Q1992">
        <v>-8.4888130000000006E-2</v>
      </c>
      <c r="R1992">
        <v>1.9676659999999999E-2</v>
      </c>
      <c r="S1992">
        <v>-2.9974370000000001</v>
      </c>
      <c r="T1992">
        <v>-0.1477194</v>
      </c>
      <c r="U1992">
        <v>7.5042719999999993E-2</v>
      </c>
      <c r="V1992">
        <v>7.7363060000000001E-3</v>
      </c>
      <c r="W1992">
        <v>-8.1029439999999994E-2</v>
      </c>
      <c r="X1992">
        <v>0.9966817</v>
      </c>
      <c r="Y1992">
        <v>1.2698060000000001E-2</v>
      </c>
      <c r="Z1992">
        <v>-2.226722E-4</v>
      </c>
      <c r="AA1992">
        <v>0.99991940000000001</v>
      </c>
      <c r="AB1992">
        <v>42</v>
      </c>
      <c r="AC1992">
        <v>-22.311999999999902</v>
      </c>
      <c r="AD1992">
        <v>-1.1208739421345</v>
      </c>
      <c r="AE1992">
        <v>0.56439999999997703</v>
      </c>
      <c r="AF1992">
        <v>0.28857143479512398</v>
      </c>
      <c r="AG1992">
        <v>-1.1208739421345</v>
      </c>
      <c r="AH1992">
        <v>22.261118011893601</v>
      </c>
      <c r="AI1992">
        <v>92.882235062335198</v>
      </c>
      <c r="AJ1992">
        <v>89.257314962082006</v>
      </c>
      <c r="AK1992">
        <v>22.291186756352602</v>
      </c>
      <c r="AL1992">
        <v>94.647740347272304</v>
      </c>
      <c r="AM1992">
        <v>89.555275489549004</v>
      </c>
      <c r="AN1992">
        <v>1.00000001584606</v>
      </c>
    </row>
    <row r="1993" spans="1:40" x14ac:dyDescent="0.25">
      <c r="A1993" t="str">
        <f>"20190303154806998"</f>
        <v>20190303154806998</v>
      </c>
      <c r="B1993" t="str">
        <f>"1551599286992332"</f>
        <v>1551599286992332</v>
      </c>
      <c r="C1993" t="s">
        <v>40</v>
      </c>
      <c r="D1993">
        <v>5.6534950000000004</v>
      </c>
      <c r="E1993">
        <v>0.5041814</v>
      </c>
      <c r="F1993" t="s">
        <v>52</v>
      </c>
      <c r="G1993">
        <v>-271.64830000000001</v>
      </c>
      <c r="H1993" s="1">
        <v>-6.9668309999999898E-7</v>
      </c>
      <c r="I1993">
        <v>285.46350000000001</v>
      </c>
      <c r="J1993">
        <v>-249.3321</v>
      </c>
      <c r="K1993">
        <v>1.1208739999999999</v>
      </c>
      <c r="L1993">
        <v>284.89280000000002</v>
      </c>
      <c r="M1993">
        <v>-0.99993600000000005</v>
      </c>
      <c r="N1993">
        <v>-3.8959749999999999E-3</v>
      </c>
      <c r="O1993">
        <v>1.061791E-2</v>
      </c>
      <c r="P1993">
        <v>-0.99607780000000001</v>
      </c>
      <c r="Q1993">
        <v>-8.6178580000000005E-2</v>
      </c>
      <c r="R1993">
        <v>2.0053499999999998E-2</v>
      </c>
      <c r="S1993">
        <v>-2.9974059999999998</v>
      </c>
      <c r="T1993">
        <v>-0.1475236</v>
      </c>
      <c r="U1993">
        <v>7.5714110000000001E-2</v>
      </c>
      <c r="V1993">
        <v>9.8242550000000005E-3</v>
      </c>
      <c r="W1993">
        <v>-8.2255780000000001E-2</v>
      </c>
      <c r="X1993">
        <v>0.99656279999999997</v>
      </c>
      <c r="Y1993">
        <v>1.4627589999999999E-2</v>
      </c>
      <c r="Z1993" s="1">
        <v>-9.2612869999999993E-5</v>
      </c>
      <c r="AA1993">
        <v>0.99989300000000003</v>
      </c>
      <c r="AB1993">
        <v>42</v>
      </c>
      <c r="AC1993">
        <v>-22.316199999999998</v>
      </c>
      <c r="AD1993">
        <v>-1.1208746966831</v>
      </c>
      <c r="AE1993">
        <v>0.570699999999987</v>
      </c>
      <c r="AF1993">
        <v>0.33287540614533701</v>
      </c>
      <c r="AG1993">
        <v>-1.1208746966831</v>
      </c>
      <c r="AH1993">
        <v>22.2648697526365</v>
      </c>
      <c r="AI1993">
        <v>92.881672353575993</v>
      </c>
      <c r="AJ1993">
        <v>89.143451758818401</v>
      </c>
      <c r="AK1993">
        <v>22.295550928908401</v>
      </c>
      <c r="AL1993">
        <v>94.718240015508599</v>
      </c>
      <c r="AM1993">
        <v>89.435188514916305</v>
      </c>
      <c r="AN1993">
        <v>0.99999997183677602</v>
      </c>
    </row>
    <row r="1994" spans="1:40" x14ac:dyDescent="0.25">
      <c r="A1994" t="str">
        <f>"20190303154807021"</f>
        <v>20190303154807021</v>
      </c>
      <c r="B1994" t="str">
        <f>"1551599287012827"</f>
        <v>1551599287012827</v>
      </c>
      <c r="C1994" t="s">
        <v>40</v>
      </c>
      <c r="D1994">
        <v>5.6696460000000002</v>
      </c>
      <c r="E1994">
        <v>0.50461780000000001</v>
      </c>
      <c r="F1994" t="s">
        <v>52</v>
      </c>
      <c r="G1994">
        <v>-265.65249999999997</v>
      </c>
      <c r="H1994" s="1">
        <v>1.4711650000000001E-6</v>
      </c>
      <c r="I1994">
        <v>285.40519999999998</v>
      </c>
      <c r="J1994">
        <v>-249.7628</v>
      </c>
      <c r="K1994">
        <v>1.12086</v>
      </c>
      <c r="L1994">
        <v>284.89640000000003</v>
      </c>
      <c r="M1994">
        <v>-0.99995120000000004</v>
      </c>
      <c r="N1994">
        <v>-3.9508049999999999E-3</v>
      </c>
      <c r="O1994">
        <v>9.0517670000000005E-3</v>
      </c>
      <c r="P1994">
        <v>-0.99603350000000002</v>
      </c>
      <c r="Q1994">
        <v>-8.6750149999999998E-2</v>
      </c>
      <c r="R1994">
        <v>1.979146E-2</v>
      </c>
      <c r="S1994">
        <v>-2.9921419999999999</v>
      </c>
      <c r="T1994">
        <v>-0.20549890000000001</v>
      </c>
      <c r="U1994">
        <v>9.393311E-2</v>
      </c>
      <c r="V1994">
        <v>1.112366E-2</v>
      </c>
      <c r="W1994">
        <v>-8.2767649999999998E-2</v>
      </c>
      <c r="X1994">
        <v>0.99650680000000003</v>
      </c>
      <c r="Y1994">
        <v>2.2292579999999999E-2</v>
      </c>
      <c r="Z1994">
        <v>2.2349239999999999E-4</v>
      </c>
      <c r="AA1994">
        <v>0.99975139999999996</v>
      </c>
      <c r="AB1994">
        <v>42</v>
      </c>
      <c r="AC1994">
        <v>-15.8896999999999</v>
      </c>
      <c r="AD1994">
        <v>-1.1208585288349999</v>
      </c>
      <c r="AE1994">
        <v>0.50879999999995096</v>
      </c>
      <c r="AF1994">
        <v>0.36314305984377598</v>
      </c>
      <c r="AG1994">
        <v>-1.1208585288349999</v>
      </c>
      <c r="AH1994">
        <v>15.815041394733701</v>
      </c>
      <c r="AI1994">
        <v>94.052877240586398</v>
      </c>
      <c r="AJ1994">
        <v>88.684612415060599</v>
      </c>
      <c r="AK1994">
        <v>15.8588691602117</v>
      </c>
      <c r="AL1994">
        <v>94.747668168474803</v>
      </c>
      <c r="AM1994">
        <v>89.360453635752805</v>
      </c>
      <c r="AN1994">
        <v>1.00000001107227</v>
      </c>
    </row>
    <row r="1995" spans="1:40" x14ac:dyDescent="0.25">
      <c r="A1995" t="str">
        <f>"20190303154807040"</f>
        <v>20190303154807040</v>
      </c>
      <c r="B1995" t="str">
        <f>"1551599287032853"</f>
        <v>1551599287032853</v>
      </c>
      <c r="C1995" t="s">
        <v>40</v>
      </c>
      <c r="D1995">
        <v>5.6935630000000002</v>
      </c>
      <c r="E1995">
        <v>0.50463559999999996</v>
      </c>
      <c r="F1995" t="s">
        <v>52</v>
      </c>
      <c r="G1995">
        <v>-266.12209999999999</v>
      </c>
      <c r="H1995" s="1">
        <v>1.721102E-6</v>
      </c>
      <c r="I1995">
        <v>285.4248</v>
      </c>
      <c r="J1995">
        <v>-250.1508</v>
      </c>
      <c r="K1995">
        <v>1.1208370000000001</v>
      </c>
      <c r="L1995">
        <v>284.89909999999998</v>
      </c>
      <c r="M1995">
        <v>-0.99996260000000003</v>
      </c>
      <c r="N1995">
        <v>-4.0028709999999999E-3</v>
      </c>
      <c r="O1995">
        <v>7.6861799999999999E-3</v>
      </c>
      <c r="P1995">
        <v>-0.99595670000000003</v>
      </c>
      <c r="Q1995">
        <v>-8.7830499999999895E-2</v>
      </c>
      <c r="R1995">
        <v>1.8879010000000002E-2</v>
      </c>
      <c r="S1995">
        <v>-2.9921880000000001</v>
      </c>
      <c r="T1995">
        <v>-0.20500950000000001</v>
      </c>
      <c r="U1995">
        <v>9.6649170000000006E-2</v>
      </c>
      <c r="V1995">
        <v>1.157298E-2</v>
      </c>
      <c r="W1995">
        <v>-8.3795110000000006E-2</v>
      </c>
      <c r="X1995">
        <v>0.99641579999999996</v>
      </c>
      <c r="Y1995">
        <v>2.4555560000000001E-2</v>
      </c>
      <c r="Z1995">
        <v>3.941099E-4</v>
      </c>
      <c r="AA1995">
        <v>0.99969839999999999</v>
      </c>
      <c r="AB1995">
        <v>43</v>
      </c>
      <c r="AC1995">
        <v>-15.9712999999999</v>
      </c>
      <c r="AD1995">
        <v>-1.1208352788980001</v>
      </c>
      <c r="AE1995">
        <v>0.52570000000002803</v>
      </c>
      <c r="AF1995">
        <v>0.40095267906191601</v>
      </c>
      <c r="AG1995">
        <v>-1.1208352788980001</v>
      </c>
      <c r="AH1995">
        <v>15.8966631088854</v>
      </c>
      <c r="AI1995">
        <v>94.031834382701305</v>
      </c>
      <c r="AJ1995">
        <v>88.5551668027598</v>
      </c>
      <c r="AK1995">
        <v>15.941170997472801</v>
      </c>
      <c r="AL1995">
        <v>94.806742563510298</v>
      </c>
      <c r="AM1995">
        <v>89.334561840184193</v>
      </c>
      <c r="AN1995">
        <v>1.00000000040781</v>
      </c>
    </row>
    <row r="1996" spans="1:40" x14ac:dyDescent="0.25">
      <c r="A1996" t="str">
        <f>"20190303154807063"</f>
        <v>20190303154807063</v>
      </c>
      <c r="B1996" t="str">
        <f>"1551599287052373"</f>
        <v>1551599287052373</v>
      </c>
      <c r="C1996" t="s">
        <v>40</v>
      </c>
      <c r="D1996">
        <v>5.7260179999999998</v>
      </c>
      <c r="E1996">
        <v>0.50458040000000004</v>
      </c>
      <c r="F1996" t="s">
        <v>52</v>
      </c>
      <c r="G1996">
        <v>-265.95620000000002</v>
      </c>
      <c r="H1996" s="1">
        <v>1.6328099999999999E-6</v>
      </c>
      <c r="I1996">
        <v>285.39600000000002</v>
      </c>
      <c r="J1996">
        <v>-250.57910000000001</v>
      </c>
      <c r="K1996">
        <v>1.120803</v>
      </c>
      <c r="L1996">
        <v>284.9015</v>
      </c>
      <c r="M1996">
        <v>-0.99997219999999998</v>
      </c>
      <c r="N1996">
        <v>-4.0691490000000002E-3</v>
      </c>
      <c r="O1996">
        <v>6.2375540000000002E-3</v>
      </c>
      <c r="P1996">
        <v>-0.99586640000000004</v>
      </c>
      <c r="Q1996">
        <v>-8.9251549999999999E-2</v>
      </c>
      <c r="R1996">
        <v>1.6868569999999999E-2</v>
      </c>
      <c r="S1996">
        <v>-2.9916990000000001</v>
      </c>
      <c r="T1996">
        <v>-0.21215490000000001</v>
      </c>
      <c r="U1996">
        <v>9.4055180000000002E-2</v>
      </c>
      <c r="V1996">
        <v>1.1006139999999999E-2</v>
      </c>
      <c r="W1996">
        <v>-8.5153679999999995E-2</v>
      </c>
      <c r="X1996">
        <v>0.99630700000000005</v>
      </c>
      <c r="Y1996">
        <v>2.5135270000000001E-2</v>
      </c>
      <c r="Z1996">
        <v>5.2480050000000002E-4</v>
      </c>
      <c r="AA1996">
        <v>0.99968389999999996</v>
      </c>
      <c r="AB1996">
        <v>43</v>
      </c>
      <c r="AC1996">
        <v>-15.3771</v>
      </c>
      <c r="AD1996">
        <v>-1.1208013671899999</v>
      </c>
      <c r="AE1996">
        <v>0.49449999999995897</v>
      </c>
      <c r="AF1996">
        <v>0.396469971086304</v>
      </c>
      <c r="AG1996">
        <v>-1.1208013671899999</v>
      </c>
      <c r="AH1996">
        <v>15.298693231526901</v>
      </c>
      <c r="AI1996">
        <v>94.188673388132202</v>
      </c>
      <c r="AJ1996">
        <v>88.5154959074478</v>
      </c>
      <c r="AK1996">
        <v>15.3448166732299</v>
      </c>
      <c r="AL1996">
        <v>94.884862314974896</v>
      </c>
      <c r="AM1996">
        <v>89.367082916536503</v>
      </c>
      <c r="AN1996">
        <v>0.99999996129211999</v>
      </c>
    </row>
    <row r="1997" spans="1:40" x14ac:dyDescent="0.25">
      <c r="A1997" t="str">
        <f>"20190303154807084"</f>
        <v>20190303154807084</v>
      </c>
      <c r="B1997" t="str">
        <f>"1551599287072872"</f>
        <v>1551599287072872</v>
      </c>
      <c r="C1997" t="s">
        <v>40</v>
      </c>
      <c r="D1997">
        <v>5.7469679999999999</v>
      </c>
      <c r="E1997">
        <v>0.50452140000000001</v>
      </c>
      <c r="F1997" t="s">
        <v>42</v>
      </c>
      <c r="G1997">
        <v>-251.64490000000001</v>
      </c>
      <c r="H1997">
        <v>1.0432459999999999</v>
      </c>
      <c r="I1997">
        <v>284.93299999999999</v>
      </c>
      <c r="J1997">
        <v>-250.99619999999999</v>
      </c>
      <c r="K1997">
        <v>1.1207640000000001</v>
      </c>
      <c r="L1997">
        <v>284.90320000000003</v>
      </c>
      <c r="M1997">
        <v>-0.99997950000000002</v>
      </c>
      <c r="N1997">
        <v>-4.1503879999999996E-3</v>
      </c>
      <c r="O1997">
        <v>4.8843949999999997E-3</v>
      </c>
      <c r="P1997">
        <v>-0.99573990000000001</v>
      </c>
      <c r="Q1997">
        <v>-9.1017479999999998E-2</v>
      </c>
      <c r="R1997">
        <v>1.477564E-2</v>
      </c>
      <c r="S1997">
        <v>-2.9914399999999999</v>
      </c>
      <c r="T1997">
        <v>-0.21792210000000001</v>
      </c>
      <c r="U1997">
        <v>8.7554930000000003E-2</v>
      </c>
      <c r="V1997">
        <v>1.026174E-2</v>
      </c>
      <c r="W1997">
        <v>-8.6843139999999999E-2</v>
      </c>
      <c r="X1997">
        <v>0.99616910000000003</v>
      </c>
      <c r="Y1997">
        <v>2.4316709999999998E-2</v>
      </c>
      <c r="Z1997">
        <v>5.9987739999999999E-4</v>
      </c>
      <c r="AA1997">
        <v>0.99970409999999998</v>
      </c>
      <c r="AB1997">
        <v>43</v>
      </c>
      <c r="AC1997">
        <v>-0.64870000000001904</v>
      </c>
      <c r="AD1997">
        <v>-7.7517999999999906E-2</v>
      </c>
      <c r="AE1997">
        <v>2.9799999999966E-2</v>
      </c>
      <c r="AF1997">
        <v>2.6256959903805301E-2</v>
      </c>
      <c r="AG1997">
        <v>-7.7517999999999906E-2</v>
      </c>
      <c r="AH1997">
        <v>0.63972205298318896</v>
      </c>
      <c r="AI1997">
        <v>96.903346582560303</v>
      </c>
      <c r="AJ1997">
        <v>87.649652634614199</v>
      </c>
      <c r="AK1997">
        <v>0.64493625525350595</v>
      </c>
      <c r="AL1997">
        <v>94.982021236564293</v>
      </c>
      <c r="AM1997">
        <v>89.409805426708303</v>
      </c>
      <c r="AN1997">
        <v>0.99999995503384698</v>
      </c>
    </row>
    <row r="1998" spans="1:40" x14ac:dyDescent="0.25">
      <c r="A1998" t="str">
        <f>"20190303154807108"</f>
        <v>20190303154807108</v>
      </c>
      <c r="B1998" t="str">
        <f>"1551599287102149"</f>
        <v>1551599287102149</v>
      </c>
      <c r="C1998" t="s">
        <v>40</v>
      </c>
      <c r="D1998">
        <v>5.7193440000000004</v>
      </c>
      <c r="E1998">
        <v>0.50463159999999996</v>
      </c>
      <c r="F1998" t="s">
        <v>42</v>
      </c>
      <c r="G1998">
        <v>-252.03049999999999</v>
      </c>
      <c r="H1998">
        <v>1.043123</v>
      </c>
      <c r="I1998">
        <v>284.93119999999999</v>
      </c>
      <c r="J1998">
        <v>-251.45650000000001</v>
      </c>
      <c r="K1998">
        <v>1.1207260000000001</v>
      </c>
      <c r="L1998">
        <v>284.90449999999998</v>
      </c>
      <c r="M1998">
        <v>-0.99998509999999996</v>
      </c>
      <c r="N1998">
        <v>-4.2638190000000003E-3</v>
      </c>
      <c r="O1998">
        <v>3.4502539999999998E-3</v>
      </c>
      <c r="P1998">
        <v>-0.99566699999999997</v>
      </c>
      <c r="Q1998">
        <v>-9.2087020000000006E-2</v>
      </c>
      <c r="R1998">
        <v>1.295373E-2</v>
      </c>
      <c r="S1998">
        <v>-2.9910890000000001</v>
      </c>
      <c r="T1998">
        <v>-0.22462090000000001</v>
      </c>
      <c r="U1998">
        <v>8.0688480000000007E-2</v>
      </c>
      <c r="V1998">
        <v>9.8645439999999994E-3</v>
      </c>
      <c r="W1998">
        <v>-8.7802469999999994E-2</v>
      </c>
      <c r="X1998">
        <v>0.996089</v>
      </c>
      <c r="Y1998">
        <v>2.3456169999999998E-2</v>
      </c>
      <c r="Z1998">
        <v>6.8543409999999999E-4</v>
      </c>
      <c r="AA1998">
        <v>0.99972459999999996</v>
      </c>
      <c r="AB1998">
        <v>43</v>
      </c>
      <c r="AC1998">
        <v>-0.57399999999998297</v>
      </c>
      <c r="AD1998">
        <v>-7.7603000000000005E-2</v>
      </c>
      <c r="AE1998">
        <v>2.6700000000005199E-2</v>
      </c>
      <c r="AF1998">
        <v>2.4276603177207801E-2</v>
      </c>
      <c r="AG1998">
        <v>-7.7603000000000005E-2</v>
      </c>
      <c r="AH1998">
        <v>0.56380560844047301</v>
      </c>
      <c r="AI1998">
        <v>97.829863390925894</v>
      </c>
      <c r="AJ1998">
        <v>87.534454752730298</v>
      </c>
      <c r="AK1998">
        <v>0.56963878307200599</v>
      </c>
      <c r="AL1998">
        <v>95.037197649972299</v>
      </c>
      <c r="AM1998">
        <v>89.432602647043097</v>
      </c>
      <c r="AN1998">
        <v>0.99999993944371202</v>
      </c>
    </row>
    <row r="1999" spans="1:40" x14ac:dyDescent="0.25">
      <c r="A1999" t="str">
        <f>"20190303154807130"</f>
        <v>20190303154807130</v>
      </c>
      <c r="B1999" t="str">
        <f>"1551599287122175"</f>
        <v>1551599287122175</v>
      </c>
      <c r="C1999" t="s">
        <v>40</v>
      </c>
      <c r="D1999">
        <v>5.7298229999999997</v>
      </c>
      <c r="E1999">
        <v>0.50463459999999905</v>
      </c>
      <c r="F1999" t="s">
        <v>42</v>
      </c>
      <c r="G1999">
        <v>-252.4194</v>
      </c>
      <c r="H1999">
        <v>1.0465279999999999</v>
      </c>
      <c r="I1999">
        <v>284.92919999999998</v>
      </c>
      <c r="J1999">
        <v>-251.88069999999999</v>
      </c>
      <c r="K1999">
        <v>1.120711</v>
      </c>
      <c r="L1999">
        <v>284.90519999999998</v>
      </c>
      <c r="M1999">
        <v>-0.99998779999999998</v>
      </c>
      <c r="N1999">
        <v>-4.4181940000000003E-3</v>
      </c>
      <c r="O1999">
        <v>2.1835819999999999E-3</v>
      </c>
      <c r="P1999">
        <v>-0.99569339999999995</v>
      </c>
      <c r="Q1999">
        <v>-9.2087249999999995E-2</v>
      </c>
      <c r="R1999">
        <v>1.0702990000000001E-2</v>
      </c>
      <c r="S1999">
        <v>-2.9907379999999999</v>
      </c>
      <c r="T1999">
        <v>-0.2305924</v>
      </c>
      <c r="U1999">
        <v>7.5927729999999999E-2</v>
      </c>
      <c r="V1999">
        <v>8.867382E-3</v>
      </c>
      <c r="W1999">
        <v>-8.7653519999999999E-2</v>
      </c>
      <c r="X1999">
        <v>0.99611159999999999</v>
      </c>
      <c r="Y1999">
        <v>2.31297E-2</v>
      </c>
      <c r="Z1999">
        <v>7.829464E-4</v>
      </c>
      <c r="AA1999">
        <v>0.99973210000000001</v>
      </c>
      <c r="AB1999">
        <v>43</v>
      </c>
      <c r="AC1999">
        <v>-0.53870000000000495</v>
      </c>
      <c r="AD1999">
        <v>-7.4182999999999805E-2</v>
      </c>
      <c r="AE1999">
        <v>2.4000000000000899E-2</v>
      </c>
      <c r="AF1999">
        <v>2.2399703852950401E-2</v>
      </c>
      <c r="AG1999">
        <v>-7.4182999999999805E-2</v>
      </c>
      <c r="AH1999">
        <v>0.52874422779678998</v>
      </c>
      <c r="AI1999">
        <v>97.979422812283801</v>
      </c>
      <c r="AJ1999">
        <v>87.574173917830805</v>
      </c>
      <c r="AK1999">
        <v>0.53439247997153105</v>
      </c>
      <c r="AL1999">
        <v>95.028629880434096</v>
      </c>
      <c r="AM1999">
        <v>89.4899666423144</v>
      </c>
      <c r="AN1999">
        <v>1.00000004484324</v>
      </c>
    </row>
    <row r="2000" spans="1:40" x14ac:dyDescent="0.25">
      <c r="A2000" t="str">
        <f>"20190303154807152"</f>
        <v>20190303154807152</v>
      </c>
      <c r="B2000" t="str">
        <f>"1551599287142670"</f>
        <v>1551599287142670</v>
      </c>
      <c r="C2000" t="s">
        <v>40</v>
      </c>
      <c r="D2000">
        <v>5.7302140000000001</v>
      </c>
      <c r="E2000">
        <v>0.50447739999999996</v>
      </c>
      <c r="F2000" t="s">
        <v>42</v>
      </c>
      <c r="G2000">
        <v>-252.80940000000001</v>
      </c>
      <c r="H2000">
        <v>1.0491109999999999</v>
      </c>
      <c r="I2000">
        <v>284.92700000000002</v>
      </c>
      <c r="J2000">
        <v>-252.3047</v>
      </c>
      <c r="K2000">
        <v>1.120709</v>
      </c>
      <c r="L2000">
        <v>284.90539999999999</v>
      </c>
      <c r="M2000">
        <v>-0.99998869999999895</v>
      </c>
      <c r="N2000">
        <v>-4.6566380000000003E-3</v>
      </c>
      <c r="O2000">
        <v>9.7192660000000001E-4</v>
      </c>
      <c r="P2000">
        <v>-0.9957144</v>
      </c>
      <c r="Q2000">
        <v>-9.2128660000000001E-2</v>
      </c>
      <c r="R2000">
        <v>8.0887240000000003E-3</v>
      </c>
      <c r="S2000">
        <v>-2.990891</v>
      </c>
      <c r="T2000">
        <v>-0.23078019999999999</v>
      </c>
      <c r="U2000">
        <v>6.9427489999999994E-2</v>
      </c>
      <c r="V2000">
        <v>7.4520840000000003E-3</v>
      </c>
      <c r="W2000">
        <v>-8.7463369999999999E-2</v>
      </c>
      <c r="X2000">
        <v>0.99613989999999997</v>
      </c>
      <c r="Y2000">
        <v>2.216775E-2</v>
      </c>
      <c r="Z2000">
        <v>8.3520749999999998E-4</v>
      </c>
      <c r="AA2000">
        <v>0.99975389999999997</v>
      </c>
      <c r="AB2000">
        <v>43</v>
      </c>
      <c r="AC2000">
        <v>-0.50470000000001303</v>
      </c>
      <c r="AD2000">
        <v>-7.1597999999999801E-2</v>
      </c>
      <c r="AE2000">
        <v>2.16000000000349E-2</v>
      </c>
      <c r="AF2000">
        <v>2.0693753443840002E-2</v>
      </c>
      <c r="AG2000">
        <v>-7.1597999999999801E-2</v>
      </c>
      <c r="AH2000">
        <v>0.49478149938049998</v>
      </c>
      <c r="AI2000">
        <v>98.2268116263633</v>
      </c>
      <c r="AJ2000">
        <v>87.605055726946304</v>
      </c>
      <c r="AK2000">
        <v>0.50036310531933703</v>
      </c>
      <c r="AL2000">
        <v>95.0176931212944</v>
      </c>
      <c r="AM2000">
        <v>89.571380488930302</v>
      </c>
      <c r="AN2000">
        <v>1.0000000375098499</v>
      </c>
    </row>
    <row r="2001" spans="1:40" x14ac:dyDescent="0.25">
      <c r="A2001" t="str">
        <f>"20190303154807174"</f>
        <v>20190303154807174</v>
      </c>
      <c r="B2001" t="str">
        <f>"1551599287162192"</f>
        <v>1551599287162192</v>
      </c>
      <c r="C2001" t="s">
        <v>40</v>
      </c>
      <c r="D2001">
        <v>5.7454049999999999</v>
      </c>
      <c r="E2001">
        <v>0.5045269</v>
      </c>
      <c r="F2001" t="s">
        <v>42</v>
      </c>
      <c r="G2001">
        <v>-253.19990000000001</v>
      </c>
      <c r="H2001">
        <v>1.0512030000000001</v>
      </c>
      <c r="I2001">
        <v>284.92340000000002</v>
      </c>
      <c r="J2001">
        <v>-252.72659999999999</v>
      </c>
      <c r="K2001">
        <v>1.1207389999999999</v>
      </c>
      <c r="L2001">
        <v>284.90499999999997</v>
      </c>
      <c r="M2001">
        <v>-0.99998750000000003</v>
      </c>
      <c r="N2001">
        <v>-4.9946540000000003E-3</v>
      </c>
      <c r="O2001">
        <v>-1.8247249999999999E-4</v>
      </c>
      <c r="P2001">
        <v>-0.99560979999999999</v>
      </c>
      <c r="Q2001">
        <v>-9.339894E-2</v>
      </c>
      <c r="R2001">
        <v>6.1377069999999897E-3</v>
      </c>
      <c r="S2001">
        <v>-2.990936</v>
      </c>
      <c r="T2001">
        <v>-0.2322466</v>
      </c>
      <c r="U2001">
        <v>6.0150149999999999E-2</v>
      </c>
      <c r="V2001">
        <v>6.6467770000000004E-3</v>
      </c>
      <c r="W2001">
        <v>-8.8401069999999998E-2</v>
      </c>
      <c r="X2001">
        <v>0.99606280000000003</v>
      </c>
      <c r="Y2001">
        <v>2.0223919999999999E-2</v>
      </c>
      <c r="Z2001">
        <v>8.4776440000000001E-4</v>
      </c>
      <c r="AA2001">
        <v>0.99979510000000005</v>
      </c>
      <c r="AB2001">
        <v>43</v>
      </c>
      <c r="AC2001">
        <v>-0.47330000000002298</v>
      </c>
      <c r="AD2001">
        <v>-6.9535999999999806E-2</v>
      </c>
      <c r="AE2001">
        <v>1.8400000000042299E-2</v>
      </c>
      <c r="AF2001">
        <v>1.80963498253034E-2</v>
      </c>
      <c r="AG2001">
        <v>-6.9535999999999806E-2</v>
      </c>
      <c r="AH2001">
        <v>0.46331128200469701</v>
      </c>
      <c r="AI2001">
        <v>98.5291119027966</v>
      </c>
      <c r="AJ2001">
        <v>87.763236667469499</v>
      </c>
      <c r="AK2001">
        <v>0.46884973840862398</v>
      </c>
      <c r="AL2001">
        <v>95.071628407312303</v>
      </c>
      <c r="AM2001">
        <v>89.617668065862503</v>
      </c>
      <c r="AN2001">
        <v>1.00000001518273</v>
      </c>
    </row>
    <row r="2002" spans="1:40" x14ac:dyDescent="0.25">
      <c r="A2002" t="str">
        <f>"20190303154807198"</f>
        <v>20190303154807198</v>
      </c>
      <c r="B2002" t="str">
        <f>"1551599287192447"</f>
        <v>1551599287192447</v>
      </c>
      <c r="C2002" t="s">
        <v>40</v>
      </c>
      <c r="D2002">
        <v>5.7994680000000001</v>
      </c>
      <c r="E2002">
        <v>0.50444160000000005</v>
      </c>
      <c r="F2002" t="s">
        <v>42</v>
      </c>
      <c r="G2002">
        <v>-253.59059999999999</v>
      </c>
      <c r="H2002">
        <v>1.0524770000000001</v>
      </c>
      <c r="I2002">
        <v>284.92070000000001</v>
      </c>
      <c r="J2002">
        <v>-253.18539999999999</v>
      </c>
      <c r="K2002">
        <v>1.1207910000000001</v>
      </c>
      <c r="L2002">
        <v>284.90410000000003</v>
      </c>
      <c r="M2002">
        <v>-0.99998430000000005</v>
      </c>
      <c r="N2002">
        <v>-5.4510919999999899E-3</v>
      </c>
      <c r="O2002">
        <v>-1.3900469999999999E-3</v>
      </c>
      <c r="P2002">
        <v>-0.99545740000000005</v>
      </c>
      <c r="Q2002">
        <v>-9.510884E-2</v>
      </c>
      <c r="R2002">
        <v>4.3818889999999999E-3</v>
      </c>
      <c r="S2002">
        <v>-2.9907379999999999</v>
      </c>
      <c r="T2002">
        <v>-0.2361915</v>
      </c>
      <c r="U2002">
        <v>5.46875E-2</v>
      </c>
      <c r="V2002">
        <v>6.0904069999999999E-3</v>
      </c>
      <c r="W2002">
        <v>-8.9659660000000002E-2</v>
      </c>
      <c r="X2002">
        <v>0.99595389999999995</v>
      </c>
      <c r="Y2002">
        <v>1.9603389999999998E-2</v>
      </c>
      <c r="Z2002">
        <v>9.2837129999999999E-4</v>
      </c>
      <c r="AA2002">
        <v>0.99980740000000001</v>
      </c>
      <c r="AB2002">
        <v>43</v>
      </c>
      <c r="AC2002">
        <v>-0.405200000000007</v>
      </c>
      <c r="AD2002">
        <v>-6.8313999999999903E-2</v>
      </c>
      <c r="AE2002">
        <v>1.6599999999982601E-2</v>
      </c>
      <c r="AF2002">
        <v>1.66896525219659E-2</v>
      </c>
      <c r="AG2002">
        <v>-6.8313999999999903E-2</v>
      </c>
      <c r="AH2002">
        <v>0.393996461400763</v>
      </c>
      <c r="AI2002">
        <v>99.827926871051503</v>
      </c>
      <c r="AJ2002">
        <v>87.574406348971905</v>
      </c>
      <c r="AK2002">
        <v>0.40022313612986798</v>
      </c>
      <c r="AL2002">
        <v>95.144027583051596</v>
      </c>
      <c r="AM2002">
        <v>89.649632109489104</v>
      </c>
      <c r="AN2002">
        <v>1.00000005930697</v>
      </c>
    </row>
    <row r="2003" spans="1:40" x14ac:dyDescent="0.25">
      <c r="A2003" t="str">
        <f>"20190303154807221"</f>
        <v>20190303154807221</v>
      </c>
      <c r="B2003" t="str">
        <f>"1551599287212943"</f>
        <v>1551599287212943</v>
      </c>
      <c r="C2003" t="s">
        <v>40</v>
      </c>
      <c r="D2003">
        <v>5.8253789999999999</v>
      </c>
      <c r="E2003">
        <v>0.50452249999999998</v>
      </c>
      <c r="F2003" t="s">
        <v>52</v>
      </c>
      <c r="G2003">
        <v>-266.99299999999999</v>
      </c>
      <c r="H2003" s="1">
        <v>2.184562E-6</v>
      </c>
      <c r="I2003">
        <v>285.12909999999999</v>
      </c>
      <c r="J2003">
        <v>-253.63669999999999</v>
      </c>
      <c r="K2003">
        <v>1.120843</v>
      </c>
      <c r="L2003">
        <v>284.90269999999998</v>
      </c>
      <c r="M2003">
        <v>-0.99997910000000001</v>
      </c>
      <c r="N2003">
        <v>-5.9396830000000003E-3</v>
      </c>
      <c r="O2003">
        <v>-2.5413699999999998E-3</v>
      </c>
      <c r="P2003">
        <v>-0.99535799999999997</v>
      </c>
      <c r="Q2003">
        <v>-9.6179440000000005E-2</v>
      </c>
      <c r="R2003">
        <v>3.462115E-3</v>
      </c>
      <c r="S2003">
        <v>-2.9902950000000001</v>
      </c>
      <c r="T2003">
        <v>-0.242727</v>
      </c>
      <c r="U2003">
        <v>4.8706050000000001E-2</v>
      </c>
      <c r="V2003">
        <v>6.3117690000000001E-3</v>
      </c>
      <c r="W2003">
        <v>-9.0243879999999999E-2</v>
      </c>
      <c r="X2003">
        <v>0.99589970000000005</v>
      </c>
      <c r="Y2003">
        <v>1.8753539999999999E-2</v>
      </c>
      <c r="Z2003">
        <v>1.006489E-3</v>
      </c>
      <c r="AA2003">
        <v>0.99982360000000003</v>
      </c>
      <c r="AB2003">
        <v>43</v>
      </c>
      <c r="AC2003">
        <v>-13.356299999999999</v>
      </c>
      <c r="AD2003">
        <v>-1.1208408154380001</v>
      </c>
      <c r="AE2003">
        <v>0.22640000000001201</v>
      </c>
      <c r="AF2003">
        <v>0.25852309032416798</v>
      </c>
      <c r="AG2003">
        <v>-1.1208408154380001</v>
      </c>
      <c r="AH2003">
        <v>13.262310926887301</v>
      </c>
      <c r="AI2003">
        <v>94.829859131522198</v>
      </c>
      <c r="AJ2003">
        <v>88.883271070183696</v>
      </c>
      <c r="AK2003">
        <v>13.3121001139271</v>
      </c>
      <c r="AL2003">
        <v>95.177637456153306</v>
      </c>
      <c r="AM2003">
        <v>89.636878208625802</v>
      </c>
      <c r="AN2003">
        <v>1.00000000438272</v>
      </c>
    </row>
    <row r="2004" spans="1:40" x14ac:dyDescent="0.25">
      <c r="A2004" t="str">
        <f>"20190303154807240"</f>
        <v>20190303154807240</v>
      </c>
      <c r="B2004" t="str">
        <f>"1551599287232974"</f>
        <v>1551599287232974</v>
      </c>
      <c r="C2004" t="s">
        <v>40</v>
      </c>
      <c r="D2004">
        <v>5.7694609999999997</v>
      </c>
      <c r="E2004">
        <v>0.50468710000000006</v>
      </c>
      <c r="F2004" t="s">
        <v>42</v>
      </c>
      <c r="G2004">
        <v>-254.7433</v>
      </c>
      <c r="H2004">
        <v>1.029854</v>
      </c>
      <c r="I2004">
        <v>284.9203</v>
      </c>
      <c r="J2004">
        <v>-254.0361</v>
      </c>
      <c r="K2004">
        <v>1.1208849999999999</v>
      </c>
      <c r="L2004">
        <v>284.90100000000001</v>
      </c>
      <c r="M2004">
        <v>-0.99997349999999996</v>
      </c>
      <c r="N2004">
        <v>-6.3658519999999904E-3</v>
      </c>
      <c r="O2004">
        <v>-3.5379249999999999E-3</v>
      </c>
      <c r="P2004">
        <v>-0.99540479999999998</v>
      </c>
      <c r="Q2004">
        <v>-9.5711229999999994E-2</v>
      </c>
      <c r="R2004">
        <v>2.9663549999999999E-3</v>
      </c>
      <c r="S2004">
        <v>-2.9900509999999998</v>
      </c>
      <c r="T2004">
        <v>-0.24601609999999999</v>
      </c>
      <c r="U2004">
        <v>4.6630860000000003E-2</v>
      </c>
      <c r="V2004">
        <v>6.7995520000000004E-3</v>
      </c>
      <c r="W2004">
        <v>-8.9349659999999997E-2</v>
      </c>
      <c r="X2004">
        <v>0.99597709999999995</v>
      </c>
      <c r="Y2004">
        <v>1.905138E-2</v>
      </c>
      <c r="Z2004">
        <v>1.111243E-3</v>
      </c>
      <c r="AA2004">
        <v>0.99981790000000004</v>
      </c>
      <c r="AB2004">
        <v>44</v>
      </c>
      <c r="AC2004">
        <v>-0.70720000000000005</v>
      </c>
      <c r="AD2004">
        <v>-9.1031000000000001E-2</v>
      </c>
      <c r="AE2004">
        <v>1.9299999999986901E-2</v>
      </c>
      <c r="AF2004">
        <v>2.1446863571710498E-2</v>
      </c>
      <c r="AG2004">
        <v>-9.1031000000000001E-2</v>
      </c>
      <c r="AH2004">
        <v>0.69561035781078695</v>
      </c>
      <c r="AI2004">
        <v>97.452138600348206</v>
      </c>
      <c r="AJ2004">
        <v>88.234032017752</v>
      </c>
      <c r="AK2004">
        <v>0.70186920491763605</v>
      </c>
      <c r="AL2004">
        <v>95.126194674696194</v>
      </c>
      <c r="AM2004">
        <v>89.608846850267199</v>
      </c>
      <c r="AN2004">
        <v>0.99999998968696302</v>
      </c>
    </row>
    <row r="2005" spans="1:40" x14ac:dyDescent="0.25">
      <c r="A2005" t="str">
        <f>"20190303154807264"</f>
        <v>20190303154807264</v>
      </c>
      <c r="B2005" t="str">
        <f>"1551599287252490"</f>
        <v>1551599287252490</v>
      </c>
      <c r="C2005" t="s">
        <v>40</v>
      </c>
      <c r="D2005">
        <v>5.7678039999999999</v>
      </c>
      <c r="E2005">
        <v>0.50476899999999902</v>
      </c>
      <c r="F2005" t="s">
        <v>42</v>
      </c>
      <c r="G2005">
        <v>-255.13390000000001</v>
      </c>
      <c r="H2005">
        <v>1.031067</v>
      </c>
      <c r="I2005">
        <v>284.91829999999999</v>
      </c>
      <c r="J2005">
        <v>-254.4838</v>
      </c>
      <c r="K2005">
        <v>1.120919</v>
      </c>
      <c r="L2005">
        <v>284.89850000000001</v>
      </c>
      <c r="M2005">
        <v>-0.99996600000000002</v>
      </c>
      <c r="N2005">
        <v>-6.8133730000000002E-3</v>
      </c>
      <c r="O2005">
        <v>-4.6406090000000004E-3</v>
      </c>
      <c r="P2005">
        <v>-0.99554719999999997</v>
      </c>
      <c r="Q2005">
        <v>-9.4202679999999997E-2</v>
      </c>
      <c r="R2005">
        <v>3.4246060000000002E-3</v>
      </c>
      <c r="S2005">
        <v>-2.9902039999999999</v>
      </c>
      <c r="T2005">
        <v>-0.24475359999999999</v>
      </c>
      <c r="U2005">
        <v>4.6722409999999999E-2</v>
      </c>
      <c r="V2005">
        <v>8.3434890000000008E-3</v>
      </c>
      <c r="W2005">
        <v>-8.7389610000000006E-2</v>
      </c>
      <c r="X2005">
        <v>0.99613929999999995</v>
      </c>
      <c r="Y2005">
        <v>2.01771E-2</v>
      </c>
      <c r="Z2005">
        <v>1.2408230000000001E-3</v>
      </c>
      <c r="AA2005">
        <v>0.99979569999999995</v>
      </c>
      <c r="AB2005">
        <v>44</v>
      </c>
      <c r="AC2005">
        <v>-0.650100000000009</v>
      </c>
      <c r="AD2005">
        <v>-8.9852000000000001E-2</v>
      </c>
      <c r="AE2005">
        <v>1.9799999999975101E-2</v>
      </c>
      <c r="AF2005">
        <v>2.23894144929608E-2</v>
      </c>
      <c r="AG2005">
        <v>-8.9852000000000001E-2</v>
      </c>
      <c r="AH2005">
        <v>0.637828153925865</v>
      </c>
      <c r="AI2005">
        <v>98.013723235399496</v>
      </c>
      <c r="AJ2005">
        <v>87.989595716687006</v>
      </c>
      <c r="AK2005">
        <v>0.64451487316105804</v>
      </c>
      <c r="AL2005">
        <v>95.013450771406596</v>
      </c>
      <c r="AM2005">
        <v>89.520111767953296</v>
      </c>
      <c r="AN2005">
        <v>1.0000000313745601</v>
      </c>
    </row>
    <row r="2006" spans="1:40" x14ac:dyDescent="0.25">
      <c r="A2006" t="str">
        <f>"20190303154807288"</f>
        <v>20190303154807288</v>
      </c>
      <c r="B2006" t="str">
        <f>"1551599287282746"</f>
        <v>1551599287282746</v>
      </c>
      <c r="C2006" t="s">
        <v>40</v>
      </c>
      <c r="D2006">
        <v>5.7899099999999999</v>
      </c>
      <c r="E2006">
        <v>0.50497239999999999</v>
      </c>
      <c r="F2006" t="s">
        <v>42</v>
      </c>
      <c r="G2006">
        <v>-255.52709999999999</v>
      </c>
      <c r="H2006">
        <v>1.0370010000000001</v>
      </c>
      <c r="I2006">
        <v>284.91559999999998</v>
      </c>
      <c r="J2006">
        <v>-254.94489999999999</v>
      </c>
      <c r="K2006">
        <v>1.1209359999999999</v>
      </c>
      <c r="L2006">
        <v>284.8954</v>
      </c>
      <c r="M2006">
        <v>-0.99995730000000005</v>
      </c>
      <c r="N2006">
        <v>-7.2335100000000003E-3</v>
      </c>
      <c r="O2006">
        <v>-5.7686029999999998E-3</v>
      </c>
      <c r="P2006">
        <v>-0.9956718</v>
      </c>
      <c r="Q2006">
        <v>-9.2867729999999996E-2</v>
      </c>
      <c r="R2006">
        <v>3.635573E-3</v>
      </c>
      <c r="S2006">
        <v>-2.9904790000000001</v>
      </c>
      <c r="T2006">
        <v>-0.24066009999999999</v>
      </c>
      <c r="U2006">
        <v>4.8522950000000002E-2</v>
      </c>
      <c r="V2006">
        <v>9.6664279999999995E-3</v>
      </c>
      <c r="W2006">
        <v>-8.5631460000000006E-2</v>
      </c>
      <c r="X2006">
        <v>0.99628000000000005</v>
      </c>
      <c r="Y2006">
        <v>2.18988E-2</v>
      </c>
      <c r="Z2006">
        <v>1.3808169999999999E-3</v>
      </c>
      <c r="AA2006">
        <v>0.99975930000000002</v>
      </c>
      <c r="AB2006">
        <v>44</v>
      </c>
      <c r="AC2006">
        <v>-0.58220000000000005</v>
      </c>
      <c r="AD2006">
        <v>-8.3934999999999996E-2</v>
      </c>
      <c r="AE2006">
        <v>2.0199999999988401E-2</v>
      </c>
      <c r="AF2006">
        <v>2.3079118466582199E-2</v>
      </c>
      <c r="AG2006">
        <v>-8.3934999999999996E-2</v>
      </c>
      <c r="AH2006">
        <v>0.57023590590796003</v>
      </c>
      <c r="AI2006">
        <v>98.366684499169395</v>
      </c>
      <c r="AJ2006">
        <v>87.682336806584999</v>
      </c>
      <c r="AK2006">
        <v>0.576842021979039</v>
      </c>
      <c r="AL2006">
        <v>94.912337197380197</v>
      </c>
      <c r="AM2006">
        <v>89.444103917698598</v>
      </c>
      <c r="AN2006">
        <v>1.000000012586</v>
      </c>
    </row>
    <row r="2007" spans="1:40" x14ac:dyDescent="0.25">
      <c r="A2007" t="str">
        <f>"20190303154807308"</f>
        <v>20190303154807308</v>
      </c>
      <c r="B2007" t="str">
        <f>"1551599287302266"</f>
        <v>1551599287302266</v>
      </c>
      <c r="C2007" t="s">
        <v>40</v>
      </c>
      <c r="D2007">
        <v>5.8414489999999999</v>
      </c>
      <c r="E2007">
        <v>0.52632670000000004</v>
      </c>
      <c r="F2007" t="s">
        <v>42</v>
      </c>
      <c r="G2007">
        <v>-255.92089999999999</v>
      </c>
      <c r="H2007">
        <v>1.0433950000000001</v>
      </c>
      <c r="I2007">
        <v>284.91219999999998</v>
      </c>
      <c r="J2007">
        <v>-255.3494</v>
      </c>
      <c r="K2007">
        <v>1.1209359999999999</v>
      </c>
      <c r="L2007">
        <v>284.89240000000001</v>
      </c>
      <c r="M2007">
        <v>-0.99994859999999997</v>
      </c>
      <c r="N2007">
        <v>-7.5615069999999899E-3</v>
      </c>
      <c r="O2007">
        <v>-6.7568480000000002E-3</v>
      </c>
      <c r="P2007">
        <v>-0.9956585</v>
      </c>
      <c r="Q2007">
        <v>-9.3044650000000007E-2</v>
      </c>
      <c r="R2007">
        <v>2.6882350000000002E-3</v>
      </c>
      <c r="S2007">
        <v>-2.9906619999999999</v>
      </c>
      <c r="T2007">
        <v>-0.23765539999999999</v>
      </c>
      <c r="U2007">
        <v>5.0872800000000003E-2</v>
      </c>
      <c r="V2007">
        <v>9.6978089999999999E-3</v>
      </c>
      <c r="W2007">
        <v>-8.548211E-2</v>
      </c>
      <c r="X2007">
        <v>0.99629250000000003</v>
      </c>
      <c r="Y2007">
        <v>2.3664629999999999E-2</v>
      </c>
      <c r="Z2007">
        <v>1.5133929999999901E-3</v>
      </c>
      <c r="AA2007">
        <v>0.99971880000000002</v>
      </c>
      <c r="AB2007">
        <v>44</v>
      </c>
      <c r="AC2007">
        <v>-0.57149999999998602</v>
      </c>
      <c r="AD2007">
        <v>-7.7540999999999999E-2</v>
      </c>
      <c r="AE2007">
        <v>1.9799999999975101E-2</v>
      </c>
      <c r="AF2007">
        <v>2.32339949903272E-2</v>
      </c>
      <c r="AG2007">
        <v>-7.7540999999999999E-2</v>
      </c>
      <c r="AH2007">
        <v>0.56103740537639102</v>
      </c>
      <c r="AI2007">
        <v>97.862345186400503</v>
      </c>
      <c r="AJ2007">
        <v>87.628590152452105</v>
      </c>
      <c r="AK2007">
        <v>0.56684688888242396</v>
      </c>
      <c r="AL2007">
        <v>94.903748681634397</v>
      </c>
      <c r="AM2007">
        <v>89.442306372499303</v>
      </c>
      <c r="AN2007">
        <v>0.99999999209285095</v>
      </c>
    </row>
    <row r="2008" spans="1:40" x14ac:dyDescent="0.25">
      <c r="A2008" t="str">
        <f>"20190303154807331"</f>
        <v>20190303154807331</v>
      </c>
      <c r="B2008" t="str">
        <f>"1551599287322762"</f>
        <v>1551599287322762</v>
      </c>
      <c r="C2008" t="s">
        <v>40</v>
      </c>
      <c r="D2008">
        <v>5.8852129999999896</v>
      </c>
      <c r="E2008">
        <v>0.52372739999999995</v>
      </c>
      <c r="F2008" t="s">
        <v>42</v>
      </c>
      <c r="G2008">
        <v>-256.28820000000002</v>
      </c>
      <c r="H2008">
        <v>0.99420450000000005</v>
      </c>
      <c r="I2008">
        <v>284.96109999999999</v>
      </c>
      <c r="J2008">
        <v>-255.79849999999999</v>
      </c>
      <c r="K2008">
        <v>1.120922</v>
      </c>
      <c r="L2008">
        <v>284.88850000000002</v>
      </c>
      <c r="M2008">
        <v>-0.9999382</v>
      </c>
      <c r="N2008">
        <v>-7.8783289999999999E-3</v>
      </c>
      <c r="O2008">
        <v>-7.8538849999999997E-3</v>
      </c>
      <c r="P2008">
        <v>-0.99557709999999999</v>
      </c>
      <c r="Q2008">
        <v>-9.3939090000000003E-2</v>
      </c>
      <c r="R2008">
        <v>1.4031409999999999E-3</v>
      </c>
      <c r="S2008">
        <v>-2.974945</v>
      </c>
      <c r="T2008">
        <v>-0.40175240000000001</v>
      </c>
      <c r="U2008">
        <v>0.21725459999999999</v>
      </c>
      <c r="V2008">
        <v>9.5010040000000004E-3</v>
      </c>
      <c r="W2008">
        <v>-8.6062719999999995E-2</v>
      </c>
      <c r="X2008">
        <v>0.99624440000000003</v>
      </c>
      <c r="Y2008">
        <v>7.9838679999999995E-2</v>
      </c>
      <c r="Z2008">
        <v>6.6689310000000003E-3</v>
      </c>
      <c r="AA2008">
        <v>0.99678549999999999</v>
      </c>
      <c r="AB2008">
        <v>44</v>
      </c>
      <c r="AC2008">
        <v>-0.489700000000027</v>
      </c>
      <c r="AD2008">
        <v>-0.12671749999999901</v>
      </c>
      <c r="AE2008">
        <v>7.2599999999965803E-2</v>
      </c>
      <c r="AF2008">
        <v>7.1743336197286595E-2</v>
      </c>
      <c r="AG2008">
        <v>-0.12671749999999901</v>
      </c>
      <c r="AH2008">
        <v>0.45903867850073998</v>
      </c>
      <c r="AI2008">
        <v>105.25573170868</v>
      </c>
      <c r="AJ2008">
        <v>81.117081581828799</v>
      </c>
      <c r="AK2008">
        <v>0.48158170589700799</v>
      </c>
      <c r="AL2008">
        <v>94.937138280105998</v>
      </c>
      <c r="AM2008">
        <v>89.453597001237696</v>
      </c>
      <c r="AN2008">
        <v>0.99999998269108303</v>
      </c>
    </row>
    <row r="2009" spans="1:40" x14ac:dyDescent="0.25">
      <c r="A2009" t="str">
        <f>"20190303154807353"</f>
        <v>20190303154807353</v>
      </c>
      <c r="B2009" t="str">
        <f>"1551599287342282"</f>
        <v>1551599287342282</v>
      </c>
      <c r="C2009" t="s">
        <v>40</v>
      </c>
      <c r="D2009">
        <v>5.8687750000000003</v>
      </c>
      <c r="E2009">
        <v>0.52604869999999904</v>
      </c>
      <c r="F2009" t="s">
        <v>42</v>
      </c>
      <c r="G2009">
        <v>-256.67160000000001</v>
      </c>
      <c r="H2009">
        <v>0.97794199999999998</v>
      </c>
      <c r="I2009">
        <v>284.94529999999997</v>
      </c>
      <c r="J2009">
        <v>-256.2115</v>
      </c>
      <c r="K2009">
        <v>1.1209</v>
      </c>
      <c r="L2009">
        <v>284.8845</v>
      </c>
      <c r="M2009">
        <v>-0.99992789999999998</v>
      </c>
      <c r="N2009">
        <v>-8.1278389999999996E-3</v>
      </c>
      <c r="O2009">
        <v>-8.8634930000000001E-3</v>
      </c>
      <c r="P2009">
        <v>-0.99548570000000003</v>
      </c>
      <c r="Q2009">
        <v>-9.4913440000000002E-2</v>
      </c>
      <c r="R2009" s="1">
        <v>3.170478E-5</v>
      </c>
      <c r="S2009">
        <v>-2.9671940000000001</v>
      </c>
      <c r="T2009">
        <v>-0.48601559999999999</v>
      </c>
      <c r="U2009">
        <v>0.1925354</v>
      </c>
      <c r="V2009">
        <v>9.1318630000000005E-3</v>
      </c>
      <c r="W2009">
        <v>-8.6790839999999994E-2</v>
      </c>
      <c r="X2009">
        <v>0.99618470000000003</v>
      </c>
      <c r="Y2009">
        <v>7.2477799999999995E-2</v>
      </c>
      <c r="Z2009">
        <v>7.5566289999999996E-3</v>
      </c>
      <c r="AA2009">
        <v>0.99734140000000004</v>
      </c>
      <c r="AB2009">
        <v>44</v>
      </c>
      <c r="AC2009">
        <v>-0.460100000000011</v>
      </c>
      <c r="AD2009">
        <v>-0.142958</v>
      </c>
      <c r="AE2009">
        <v>6.0799999999971897E-2</v>
      </c>
      <c r="AF2009">
        <v>5.9253604842648203E-2</v>
      </c>
      <c r="AG2009">
        <v>-0.142958</v>
      </c>
      <c r="AH2009">
        <v>0.41971834811270597</v>
      </c>
      <c r="AI2009">
        <v>108.63721012127</v>
      </c>
      <c r="AJ2009">
        <v>81.964389696113997</v>
      </c>
      <c r="AK2009">
        <v>0.44733820672205898</v>
      </c>
      <c r="AL2009">
        <v>94.979013092239498</v>
      </c>
      <c r="AM2009">
        <v>89.474793625862006</v>
      </c>
      <c r="AN2009">
        <v>0.99999999867192302</v>
      </c>
    </row>
    <row r="2010" spans="1:40" x14ac:dyDescent="0.25">
      <c r="A2010" t="str">
        <f>"20190303154807364"</f>
        <v>20190303154807364</v>
      </c>
      <c r="B2010" t="str">
        <f>"1551599287353019"</f>
        <v>1551599287353019</v>
      </c>
      <c r="C2010" t="s">
        <v>40</v>
      </c>
      <c r="D2010">
        <v>5.8458389999999998</v>
      </c>
      <c r="E2010">
        <v>0.52677759999999996</v>
      </c>
      <c r="F2010" t="s">
        <v>42</v>
      </c>
      <c r="G2010">
        <v>-257.06259999999997</v>
      </c>
      <c r="H2010">
        <v>0.97630269999999997</v>
      </c>
      <c r="I2010">
        <v>284.94389999999999</v>
      </c>
      <c r="J2010">
        <v>-256.45569999999998</v>
      </c>
      <c r="K2010">
        <v>1.120889</v>
      </c>
      <c r="L2010">
        <v>284.88189999999997</v>
      </c>
      <c r="M2010">
        <v>-0.99992130000000001</v>
      </c>
      <c r="N2010">
        <v>-8.2592849999999999E-3</v>
      </c>
      <c r="O2010">
        <v>-9.460006E-3</v>
      </c>
      <c r="P2010">
        <v>-0.99544180000000004</v>
      </c>
      <c r="Q2010">
        <v>-9.5370399999999994E-2</v>
      </c>
      <c r="R2010">
        <v>-7.2488030000000001E-4</v>
      </c>
      <c r="S2010">
        <v>-2.9655459999999998</v>
      </c>
      <c r="T2010">
        <v>-0.50386229999999999</v>
      </c>
      <c r="U2010">
        <v>0.20666499999999999</v>
      </c>
      <c r="V2010">
        <v>8.9676809999999999E-3</v>
      </c>
      <c r="W2010">
        <v>-8.7117899999999998E-2</v>
      </c>
      <c r="X2010">
        <v>0.99615759999999998</v>
      </c>
      <c r="Y2010">
        <v>7.7669500000000002E-2</v>
      </c>
      <c r="Z2010">
        <v>8.3836309999999904E-3</v>
      </c>
      <c r="AA2010">
        <v>0.99694389999999999</v>
      </c>
      <c r="AB2010">
        <v>44</v>
      </c>
      <c r="AC2010">
        <v>-0.606899999999996</v>
      </c>
      <c r="AD2010">
        <v>-0.1445863</v>
      </c>
      <c r="AE2010">
        <v>6.2000000000011803E-2</v>
      </c>
      <c r="AF2010">
        <v>6.41361174234307E-2</v>
      </c>
      <c r="AG2010">
        <v>-0.1445863</v>
      </c>
      <c r="AH2010">
        <v>0.57404187702672005</v>
      </c>
      <c r="AI2010">
        <v>104.053316604684</v>
      </c>
      <c r="AJ2010">
        <v>83.624939256694304</v>
      </c>
      <c r="AK2010">
        <v>0.59543489676555095</v>
      </c>
      <c r="AL2010">
        <v>94.997823712467707</v>
      </c>
      <c r="AM2010">
        <v>89.484221779652003</v>
      </c>
      <c r="AN2010">
        <v>0.99999995592034197</v>
      </c>
    </row>
    <row r="2011" spans="1:40" x14ac:dyDescent="0.25">
      <c r="A2011" t="str">
        <f>"20190303154807386"</f>
        <v>20190303154807386</v>
      </c>
      <c r="B2011" t="str">
        <f>"1551599287382299"</f>
        <v>1551599287382299</v>
      </c>
      <c r="C2011" t="s">
        <v>40</v>
      </c>
      <c r="D2011">
        <v>6.0379680000000002</v>
      </c>
      <c r="E2011">
        <v>0.52652310000000002</v>
      </c>
      <c r="F2011" t="s">
        <v>42</v>
      </c>
      <c r="G2011">
        <v>-257.44229999999999</v>
      </c>
      <c r="H2011">
        <v>0.95016</v>
      </c>
      <c r="I2011">
        <v>284.95179999999999</v>
      </c>
      <c r="J2011">
        <v>-256.87270000000001</v>
      </c>
      <c r="K2011">
        <v>1.120876</v>
      </c>
      <c r="L2011">
        <v>284.87720000000002</v>
      </c>
      <c r="M2011">
        <v>-0.99990950000000001</v>
      </c>
      <c r="N2011">
        <v>-8.4564040000000007E-3</v>
      </c>
      <c r="O2011">
        <v>-1.0477520000000001E-2</v>
      </c>
      <c r="P2011">
        <v>-0.99544540000000004</v>
      </c>
      <c r="Q2011">
        <v>-9.5313079999999994E-2</v>
      </c>
      <c r="R2011">
        <v>-2.0745300000000002E-3</v>
      </c>
      <c r="S2011">
        <v>-2.9647519999999998</v>
      </c>
      <c r="T2011">
        <v>-0.51302289999999995</v>
      </c>
      <c r="U2011">
        <v>0.21011350000000001</v>
      </c>
      <c r="V2011">
        <v>8.6271219999999992E-3</v>
      </c>
      <c r="W2011">
        <v>-8.686555E-2</v>
      </c>
      <c r="X2011">
        <v>0.99618269999999998</v>
      </c>
      <c r="Y2011">
        <v>7.9762390000000002E-2</v>
      </c>
      <c r="Z2011">
        <v>8.8917900000000001E-3</v>
      </c>
      <c r="AA2011">
        <v>0.9967743</v>
      </c>
      <c r="AB2011">
        <v>44</v>
      </c>
      <c r="AC2011">
        <v>-0.56959999999997901</v>
      </c>
      <c r="AD2011">
        <v>-0.17071599999999901</v>
      </c>
      <c r="AE2011">
        <v>7.4599999999975297E-2</v>
      </c>
      <c r="AF2011">
        <v>7.40266345709132E-2</v>
      </c>
      <c r="AG2011">
        <v>-0.17071599999999901</v>
      </c>
      <c r="AH2011">
        <v>0.52263212444609597</v>
      </c>
      <c r="AI2011">
        <v>107.922162613232</v>
      </c>
      <c r="AJ2011">
        <v>81.938141994251197</v>
      </c>
      <c r="AK2011">
        <v>0.55476862995751197</v>
      </c>
      <c r="AL2011">
        <v>94.983309824074794</v>
      </c>
      <c r="AM2011">
        <v>89.503820611150601</v>
      </c>
      <c r="AN2011">
        <v>1.00000001139504</v>
      </c>
    </row>
    <row r="2012" spans="1:40" x14ac:dyDescent="0.25">
      <c r="A2012" t="str">
        <f>"20190303154807401"</f>
        <v>20190303154807401</v>
      </c>
      <c r="B2012" t="str">
        <f>"1551599287393034"</f>
        <v>1551599287393034</v>
      </c>
      <c r="C2012" t="s">
        <v>40</v>
      </c>
      <c r="D2012">
        <v>6.1719339999999896</v>
      </c>
      <c r="E2012">
        <v>0.52654569999999901</v>
      </c>
      <c r="F2012" t="s">
        <v>42</v>
      </c>
      <c r="G2012">
        <v>-257.83150000000001</v>
      </c>
      <c r="H2012">
        <v>0.94347000000000003</v>
      </c>
      <c r="I2012">
        <v>284.94330000000002</v>
      </c>
      <c r="J2012">
        <v>-257.15859999999998</v>
      </c>
      <c r="K2012">
        <v>1.120868</v>
      </c>
      <c r="L2012">
        <v>284.87380000000002</v>
      </c>
      <c r="M2012">
        <v>-0.99990080000000003</v>
      </c>
      <c r="N2012">
        <v>-8.5781699999999995E-3</v>
      </c>
      <c r="O2012">
        <v>-1.1174150000000001E-2</v>
      </c>
      <c r="P2012">
        <v>-0.99544029999999994</v>
      </c>
      <c r="Q2012">
        <v>-9.5347760000000004E-2</v>
      </c>
      <c r="R2012">
        <v>-2.773345E-3</v>
      </c>
      <c r="S2012">
        <v>-2.9616699999999998</v>
      </c>
      <c r="T2012">
        <v>-0.54810369999999997</v>
      </c>
      <c r="U2012">
        <v>0.20370479999999999</v>
      </c>
      <c r="V2012">
        <v>8.6197110000000004E-3</v>
      </c>
      <c r="W2012">
        <v>-8.6779140000000005E-2</v>
      </c>
      <c r="X2012">
        <v>0.99619029999999997</v>
      </c>
      <c r="Y2012">
        <v>7.8205880000000005E-2</v>
      </c>
      <c r="Z2012">
        <v>9.4595919999999993E-3</v>
      </c>
      <c r="AA2012">
        <v>0.99689229999999995</v>
      </c>
      <c r="AB2012">
        <v>44</v>
      </c>
      <c r="AC2012">
        <v>-0.67290000000002603</v>
      </c>
      <c r="AD2012">
        <v>-0.177397999999999</v>
      </c>
      <c r="AE2012">
        <v>6.9500000000005002E-2</v>
      </c>
      <c r="AF2012">
        <v>7.2059608858826701E-2</v>
      </c>
      <c r="AG2012">
        <v>-0.177397999999999</v>
      </c>
      <c r="AH2012">
        <v>0.62883730807262295</v>
      </c>
      <c r="AI2012">
        <v>105.656622970458</v>
      </c>
      <c r="AJ2012">
        <v>83.462886650847594</v>
      </c>
      <c r="AK2012">
        <v>0.65734237476136403</v>
      </c>
      <c r="AL2012">
        <v>94.978340105404101</v>
      </c>
      <c r="AM2012">
        <v>89.504250607288</v>
      </c>
      <c r="AN2012">
        <v>1.0000000161854701</v>
      </c>
    </row>
    <row r="2013" spans="1:40" x14ac:dyDescent="0.25">
      <c r="A2013" t="str">
        <f>"20190303154807422"</f>
        <v>20190303154807422</v>
      </c>
      <c r="B2013" t="str">
        <f>"1551599287413530"</f>
        <v>1551599287413530</v>
      </c>
      <c r="C2013" t="s">
        <v>40</v>
      </c>
      <c r="D2013">
        <v>5.921691</v>
      </c>
      <c r="E2013">
        <v>0.5290475</v>
      </c>
      <c r="F2013" t="s">
        <v>42</v>
      </c>
      <c r="G2013">
        <v>-258.2133</v>
      </c>
      <c r="H2013">
        <v>0.91913180000000005</v>
      </c>
      <c r="I2013">
        <v>284.94569999999999</v>
      </c>
      <c r="J2013">
        <v>-257.56380000000001</v>
      </c>
      <c r="K2013">
        <v>1.120862</v>
      </c>
      <c r="L2013">
        <v>284.86860000000001</v>
      </c>
      <c r="M2013">
        <v>-0.999888</v>
      </c>
      <c r="N2013">
        <v>-8.7264300000000003E-3</v>
      </c>
      <c r="O2013">
        <v>-1.215953E-2</v>
      </c>
      <c r="P2013">
        <v>-0.99549390000000004</v>
      </c>
      <c r="Q2013">
        <v>-9.4739149999999994E-2</v>
      </c>
      <c r="R2013">
        <v>-4.0338860000000004E-3</v>
      </c>
      <c r="S2013">
        <v>-2.9600520000000001</v>
      </c>
      <c r="T2013">
        <v>-0.56628389999999995</v>
      </c>
      <c r="U2013">
        <v>0.20162959999999999</v>
      </c>
      <c r="V2013">
        <v>8.3364579999999997E-3</v>
      </c>
      <c r="W2013">
        <v>-8.6023379999999997E-2</v>
      </c>
      <c r="X2013">
        <v>0.99625830000000004</v>
      </c>
      <c r="Y2013">
        <v>7.8404669999999996E-2</v>
      </c>
      <c r="Z2013">
        <v>9.9675289999999993E-3</v>
      </c>
      <c r="AA2013">
        <v>0.99687179999999997</v>
      </c>
      <c r="AB2013">
        <v>44</v>
      </c>
      <c r="AC2013">
        <v>-0.64949999999998898</v>
      </c>
      <c r="AD2013">
        <v>-0.201730199999999</v>
      </c>
      <c r="AE2013">
        <v>7.7099999999972996E-2</v>
      </c>
      <c r="AF2013">
        <v>7.7609418299876401E-2</v>
      </c>
      <c r="AG2013">
        <v>-0.201730199999999</v>
      </c>
      <c r="AH2013">
        <v>0.59218163378783695</v>
      </c>
      <c r="AI2013">
        <v>108.663300953838</v>
      </c>
      <c r="AJ2013">
        <v>82.533553155685297</v>
      </c>
      <c r="AK2013">
        <v>0.63039462465706197</v>
      </c>
      <c r="AL2013">
        <v>94.934875494403002</v>
      </c>
      <c r="AM2013">
        <v>89.520573417734497</v>
      </c>
      <c r="AN2013">
        <v>1.0000000593787399</v>
      </c>
    </row>
    <row r="2014" spans="1:40" x14ac:dyDescent="0.25">
      <c r="A2014" t="str">
        <f>"20190303154807443"</f>
        <v>20190303154807443</v>
      </c>
      <c r="B2014" t="str">
        <f>"1551599287433050"</f>
        <v>1551599287433050</v>
      </c>
      <c r="C2014" t="s">
        <v>40</v>
      </c>
      <c r="D2014">
        <v>6.0687749999999996</v>
      </c>
      <c r="E2014">
        <v>0.52781549999999999</v>
      </c>
      <c r="F2014" t="s">
        <v>42</v>
      </c>
      <c r="G2014">
        <v>-258.60950000000003</v>
      </c>
      <c r="H2014">
        <v>0.92454219999999998</v>
      </c>
      <c r="I2014">
        <v>284.94560000000001</v>
      </c>
      <c r="J2014">
        <v>-257.98930000000001</v>
      </c>
      <c r="K2014">
        <v>1.12086</v>
      </c>
      <c r="L2014">
        <v>284.86259999999999</v>
      </c>
      <c r="M2014">
        <v>-0.99987380000000003</v>
      </c>
      <c r="N2014">
        <v>-8.8590869999999999E-3</v>
      </c>
      <c r="O2014">
        <v>-1.3191960000000001E-2</v>
      </c>
      <c r="P2014">
        <v>-0.99551299999999998</v>
      </c>
      <c r="Q2014">
        <v>-9.4504069999999996E-2</v>
      </c>
      <c r="R2014">
        <v>-4.8321229999999998E-3</v>
      </c>
      <c r="S2014">
        <v>-2.9615779999999998</v>
      </c>
      <c r="T2014">
        <v>-0.55612969999999995</v>
      </c>
      <c r="U2014">
        <v>0.217865</v>
      </c>
      <c r="V2014">
        <v>8.5641280000000007E-3</v>
      </c>
      <c r="W2014">
        <v>-8.5655389999999998E-2</v>
      </c>
      <c r="X2014">
        <v>0.99628799999999995</v>
      </c>
      <c r="Y2014">
        <v>8.4762850000000001E-2</v>
      </c>
      <c r="Z2014">
        <v>1.0595510000000001E-2</v>
      </c>
      <c r="AA2014">
        <v>0.99634480000000003</v>
      </c>
      <c r="AB2014">
        <v>44</v>
      </c>
      <c r="AC2014">
        <v>-0.62020000000001096</v>
      </c>
      <c r="AD2014">
        <v>-0.19631779999999999</v>
      </c>
      <c r="AE2014">
        <v>8.3000000000026802E-2</v>
      </c>
      <c r="AF2014">
        <v>8.3004281858949702E-2</v>
      </c>
      <c r="AG2014">
        <v>-0.19631779999999999</v>
      </c>
      <c r="AH2014">
        <v>0.56357585142745403</v>
      </c>
      <c r="AI2014">
        <v>109.01525443936499</v>
      </c>
      <c r="AJ2014">
        <v>81.621627414103301</v>
      </c>
      <c r="AK2014">
        <v>0.60253475394863198</v>
      </c>
      <c r="AL2014">
        <v>94.913713479700903</v>
      </c>
      <c r="AM2014">
        <v>89.507495519178093</v>
      </c>
      <c r="AN2014">
        <v>0.99999998453422601</v>
      </c>
    </row>
    <row r="2015" spans="1:40" x14ac:dyDescent="0.25">
      <c r="A2015" t="str">
        <f>"20190303154807465"</f>
        <v>20190303154807465</v>
      </c>
      <c r="B2015" t="str">
        <f>"1551599287452571"</f>
        <v>1551599287452571</v>
      </c>
      <c r="C2015" t="s">
        <v>40</v>
      </c>
      <c r="D2015">
        <v>6.0100030000000002</v>
      </c>
      <c r="E2015">
        <v>0.52693269999999903</v>
      </c>
      <c r="F2015" t="s">
        <v>42</v>
      </c>
      <c r="G2015">
        <v>-259.00200000000001</v>
      </c>
      <c r="H2015">
        <v>0.92262420000000001</v>
      </c>
      <c r="I2015">
        <v>284.93279999999999</v>
      </c>
      <c r="J2015">
        <v>-258.42169999999999</v>
      </c>
      <c r="K2015">
        <v>1.1208640000000001</v>
      </c>
      <c r="L2015">
        <v>284.85610000000003</v>
      </c>
      <c r="M2015">
        <v>-0.99985829999999998</v>
      </c>
      <c r="N2015">
        <v>-8.9742709999999903E-3</v>
      </c>
      <c r="O2015">
        <v>-1.423921E-2</v>
      </c>
      <c r="P2015">
        <v>-0.99554319999999996</v>
      </c>
      <c r="Q2015">
        <v>-9.4167760000000003E-2</v>
      </c>
      <c r="R2015">
        <v>-5.1106490000000001E-3</v>
      </c>
      <c r="S2015">
        <v>-2.9595639999999999</v>
      </c>
      <c r="T2015">
        <v>-0.57932229999999996</v>
      </c>
      <c r="U2015">
        <v>0.20516970000000001</v>
      </c>
      <c r="V2015">
        <v>9.3261660000000003E-3</v>
      </c>
      <c r="W2015">
        <v>-8.5201879999999994E-2</v>
      </c>
      <c r="X2015">
        <v>0.99632010000000004</v>
      </c>
      <c r="Y2015">
        <v>8.1500110000000001E-2</v>
      </c>
      <c r="Z2015">
        <v>1.089383E-2</v>
      </c>
      <c r="AA2015">
        <v>0.99661379999999999</v>
      </c>
      <c r="AB2015">
        <v>44</v>
      </c>
      <c r="AC2015">
        <v>-0.58030000000002202</v>
      </c>
      <c r="AD2015">
        <v>-0.19823979999999899</v>
      </c>
      <c r="AE2015">
        <v>7.66999999999598E-2</v>
      </c>
      <c r="AF2015">
        <v>7.6213992974588696E-2</v>
      </c>
      <c r="AG2015">
        <v>-0.19823979999999899</v>
      </c>
      <c r="AH2015">
        <v>0.51955693591262697</v>
      </c>
      <c r="AI2015">
        <v>110.682294261739</v>
      </c>
      <c r="AJ2015">
        <v>81.654779586890996</v>
      </c>
      <c r="AK2015">
        <v>0.561290477991644</v>
      </c>
      <c r="AL2015">
        <v>94.887633660620295</v>
      </c>
      <c r="AM2015">
        <v>89.463692095653499</v>
      </c>
      <c r="AN2015">
        <v>1.0000000396958999</v>
      </c>
    </row>
    <row r="2016" spans="1:40" x14ac:dyDescent="0.25">
      <c r="A2016" t="str">
        <f>"20190303154807488"</f>
        <v>20190303154807488</v>
      </c>
      <c r="B2016" t="str">
        <f>"1551599287482826"</f>
        <v>1551599287482826</v>
      </c>
      <c r="C2016" t="s">
        <v>40</v>
      </c>
      <c r="D2016">
        <v>5.8646659999999997</v>
      </c>
      <c r="E2016">
        <v>0.52712230000000004</v>
      </c>
      <c r="F2016" t="s">
        <v>42</v>
      </c>
      <c r="G2016">
        <v>-259.39819999999997</v>
      </c>
      <c r="H2016">
        <v>0.92731520000000001</v>
      </c>
      <c r="I2016">
        <v>284.92149999999998</v>
      </c>
      <c r="J2016">
        <v>-258.87369999999999</v>
      </c>
      <c r="K2016">
        <v>1.1208629999999999</v>
      </c>
      <c r="L2016">
        <v>284.84890000000001</v>
      </c>
      <c r="M2016">
        <v>-0.99984139999999999</v>
      </c>
      <c r="N2016">
        <v>-9.0779510000000008E-3</v>
      </c>
      <c r="O2016">
        <v>-1.5333039999999999E-2</v>
      </c>
      <c r="P2016">
        <v>-0.99556849999999997</v>
      </c>
      <c r="Q2016">
        <v>-9.3896750000000001E-2</v>
      </c>
      <c r="R2016">
        <v>-5.207326E-3</v>
      </c>
      <c r="S2016">
        <v>-2.958923</v>
      </c>
      <c r="T2016">
        <v>-0.58660939999999995</v>
      </c>
      <c r="U2016">
        <v>0.1972351</v>
      </c>
      <c r="V2016">
        <v>1.031752E-2</v>
      </c>
      <c r="W2016">
        <v>-8.4824490000000002E-2</v>
      </c>
      <c r="X2016">
        <v>0.99634250000000002</v>
      </c>
      <c r="Y2016">
        <v>7.9910079999999994E-2</v>
      </c>
      <c r="Z2016">
        <v>1.107289E-2</v>
      </c>
      <c r="AA2016">
        <v>0.99674059999999998</v>
      </c>
      <c r="AB2016">
        <v>44</v>
      </c>
      <c r="AC2016">
        <v>-0.52449999999998898</v>
      </c>
      <c r="AD2016">
        <v>-0.19354779999999899</v>
      </c>
      <c r="AE2016">
        <v>7.2599999999965803E-2</v>
      </c>
      <c r="AF2016">
        <v>7.1130174968846702E-2</v>
      </c>
      <c r="AG2016">
        <v>-0.19354779999999899</v>
      </c>
      <c r="AH2016">
        <v>0.46164420331141898</v>
      </c>
      <c r="AI2016">
        <v>112.507536723336</v>
      </c>
      <c r="AJ2016">
        <v>81.240745210220894</v>
      </c>
      <c r="AK2016">
        <v>0.50560421589121796</v>
      </c>
      <c r="AL2016">
        <v>94.865932382661796</v>
      </c>
      <c r="AM2016">
        <v>89.406700786236499</v>
      </c>
      <c r="AN2016">
        <v>1.00000001131448</v>
      </c>
    </row>
    <row r="2017" spans="1:40" x14ac:dyDescent="0.25">
      <c r="A2017" t="str">
        <f>"20190303154807502"</f>
        <v>20190303154807502</v>
      </c>
      <c r="B2017" t="str">
        <f>"1551599287492587"</f>
        <v>1551599287492587</v>
      </c>
      <c r="C2017" t="s">
        <v>40</v>
      </c>
      <c r="D2017">
        <v>5.9452280000000002</v>
      </c>
      <c r="E2017">
        <v>0.52700069999999999</v>
      </c>
      <c r="F2017" t="s">
        <v>42</v>
      </c>
      <c r="G2017">
        <v>-259.79860000000002</v>
      </c>
      <c r="H2017">
        <v>0.93954720000000003</v>
      </c>
      <c r="I2017">
        <v>284.911</v>
      </c>
      <c r="J2017">
        <v>-259.13749999999999</v>
      </c>
      <c r="K2017">
        <v>1.1208640000000001</v>
      </c>
      <c r="L2017">
        <v>284.84449999999998</v>
      </c>
      <c r="M2017">
        <v>-0.99983080000000002</v>
      </c>
      <c r="N2017">
        <v>-9.1327000000000005E-3</v>
      </c>
      <c r="O2017">
        <v>-1.5970399999999999E-2</v>
      </c>
      <c r="P2017">
        <v>-0.99558489999999999</v>
      </c>
      <c r="Q2017">
        <v>-9.3726939999999995E-2</v>
      </c>
      <c r="R2017">
        <v>-5.1015030000000003E-3</v>
      </c>
      <c r="S2017">
        <v>-2.959686</v>
      </c>
      <c r="T2017">
        <v>-0.58027740000000005</v>
      </c>
      <c r="U2017">
        <v>0.19869999999999999</v>
      </c>
      <c r="V2017">
        <v>1.1057000000000001E-2</v>
      </c>
      <c r="W2017">
        <v>-8.4597809999999996E-2</v>
      </c>
      <c r="X2017">
        <v>0.99635379999999996</v>
      </c>
      <c r="Y2017">
        <v>8.1026769999999998E-2</v>
      </c>
      <c r="Z2017">
        <v>1.1187819999999999E-2</v>
      </c>
      <c r="AA2017">
        <v>0.99664909999999995</v>
      </c>
      <c r="AB2017">
        <v>44</v>
      </c>
      <c r="AC2017">
        <v>-0.66110000000003299</v>
      </c>
      <c r="AD2017">
        <v>-0.181316799999999</v>
      </c>
      <c r="AE2017">
        <v>6.6500000000019099E-2</v>
      </c>
      <c r="AF2017">
        <v>7.1709898820783602E-2</v>
      </c>
      <c r="AG2017">
        <v>-0.181316799999999</v>
      </c>
      <c r="AH2017">
        <v>0.61421431003968596</v>
      </c>
      <c r="AI2017">
        <v>106.341645409612</v>
      </c>
      <c r="AJ2017">
        <v>83.340829668273898</v>
      </c>
      <c r="AK2017">
        <v>0.64442013485664396</v>
      </c>
      <c r="AL2017">
        <v>94.852897920430905</v>
      </c>
      <c r="AM2017">
        <v>89.3641882740407</v>
      </c>
      <c r="AN2017">
        <v>0.99999997074011704</v>
      </c>
    </row>
    <row r="2018" spans="1:40" x14ac:dyDescent="0.25">
      <c r="A2018" t="str">
        <f>"20190303154807521"</f>
        <v>20190303154807521</v>
      </c>
      <c r="B2018" t="str">
        <f>"1551599287513082"</f>
        <v>1551599287513082</v>
      </c>
      <c r="C2018" t="s">
        <v>40</v>
      </c>
      <c r="D2018">
        <v>6.0195509999999999</v>
      </c>
      <c r="E2018">
        <v>0.52625330000000003</v>
      </c>
      <c r="F2018" t="s">
        <v>42</v>
      </c>
      <c r="G2018">
        <v>-260.18270000000001</v>
      </c>
      <c r="H2018">
        <v>0.9156531</v>
      </c>
      <c r="I2018">
        <v>284.91460000000001</v>
      </c>
      <c r="J2018">
        <v>-259.53210000000001</v>
      </c>
      <c r="K2018">
        <v>1.1208689999999999</v>
      </c>
      <c r="L2018">
        <v>284.83749999999998</v>
      </c>
      <c r="M2018">
        <v>-0.99981450000000005</v>
      </c>
      <c r="N2018">
        <v>-9.205342E-3</v>
      </c>
      <c r="O2018">
        <v>-1.6922929999999999E-2</v>
      </c>
      <c r="P2018">
        <v>-0.99561440000000001</v>
      </c>
      <c r="Q2018">
        <v>-9.3412709999999996E-2</v>
      </c>
      <c r="R2018">
        <v>-5.1336680000000001E-3</v>
      </c>
      <c r="S2018">
        <v>-2.959625</v>
      </c>
      <c r="T2018">
        <v>-0.58115169999999905</v>
      </c>
      <c r="U2018">
        <v>0.19799800000000001</v>
      </c>
      <c r="V2018">
        <v>1.197261E-2</v>
      </c>
      <c r="W2018">
        <v>-8.4208290000000005E-2</v>
      </c>
      <c r="X2018">
        <v>0.99637620000000005</v>
      </c>
      <c r="Y2018">
        <v>8.1706169999999995E-2</v>
      </c>
      <c r="Z2018">
        <v>1.145175E-2</v>
      </c>
      <c r="AA2018">
        <v>0.99659070000000005</v>
      </c>
      <c r="AB2018">
        <v>44</v>
      </c>
      <c r="AC2018">
        <v>-0.65059999999999696</v>
      </c>
      <c r="AD2018">
        <v>-0.20521590000000001</v>
      </c>
      <c r="AE2018">
        <v>7.7100000000029895E-2</v>
      </c>
      <c r="AF2018">
        <v>8.0227889496705104E-2</v>
      </c>
      <c r="AG2018">
        <v>-0.20521590000000001</v>
      </c>
      <c r="AH2018">
        <v>0.59119652033598002</v>
      </c>
      <c r="AI2018">
        <v>108.98151933228399</v>
      </c>
      <c r="AJ2018">
        <v>82.271926743615197</v>
      </c>
      <c r="AK2018">
        <v>0.63092266207775105</v>
      </c>
      <c r="AL2018">
        <v>94.830500218298496</v>
      </c>
      <c r="AM2018">
        <v>89.311558214794701</v>
      </c>
      <c r="AN2018">
        <v>0.99999995571068701</v>
      </c>
    </row>
    <row r="2019" spans="1:40" x14ac:dyDescent="0.25">
      <c r="A2019" t="str">
        <f>"20190303154807543"</f>
        <v>20190303154807543</v>
      </c>
      <c r="B2019" t="str">
        <f>"1551599287532603"</f>
        <v>1551599287532603</v>
      </c>
      <c r="C2019" t="s">
        <v>40</v>
      </c>
      <c r="D2019">
        <v>6.0280779999999998</v>
      </c>
      <c r="E2019">
        <v>0.52596189999999998</v>
      </c>
      <c r="F2019" t="s">
        <v>42</v>
      </c>
      <c r="G2019">
        <v>-260.57600000000002</v>
      </c>
      <c r="H2019">
        <v>0.91132210000000002</v>
      </c>
      <c r="I2019">
        <v>284.90530000000001</v>
      </c>
      <c r="J2019">
        <v>-259.9545</v>
      </c>
      <c r="K2019">
        <v>1.120873</v>
      </c>
      <c r="L2019">
        <v>284.82960000000003</v>
      </c>
      <c r="M2019">
        <v>-0.99979620000000002</v>
      </c>
      <c r="N2019">
        <v>-9.2736780000000005E-3</v>
      </c>
      <c r="O2019">
        <v>-1.7940660000000001E-2</v>
      </c>
      <c r="P2019">
        <v>-0.9956332</v>
      </c>
      <c r="Q2019">
        <v>-9.3205010000000005E-2</v>
      </c>
      <c r="R2019">
        <v>-5.2624029999999997E-3</v>
      </c>
      <c r="S2019">
        <v>-2.9584959999999998</v>
      </c>
      <c r="T2019">
        <v>-0.59391839999999996</v>
      </c>
      <c r="U2019">
        <v>0.1918945</v>
      </c>
      <c r="V2019">
        <v>1.285682E-2</v>
      </c>
      <c r="W2019">
        <v>-8.3929719999999999E-2</v>
      </c>
      <c r="X2019">
        <v>0.99638870000000002</v>
      </c>
      <c r="Y2019">
        <v>8.0617259999999996E-2</v>
      </c>
      <c r="Z2019">
        <v>1.178006E-2</v>
      </c>
      <c r="AA2019">
        <v>0.99667550000000005</v>
      </c>
      <c r="AB2019">
        <v>44</v>
      </c>
      <c r="AC2019">
        <v>-0.62149999999996897</v>
      </c>
      <c r="AD2019">
        <v>-0.20955090000000001</v>
      </c>
      <c r="AE2019">
        <v>7.5699999999983406E-2</v>
      </c>
      <c r="AF2019">
        <v>7.8090594680073899E-2</v>
      </c>
      <c r="AG2019">
        <v>-0.20955090000000001</v>
      </c>
      <c r="AH2019">
        <v>0.557580808282095</v>
      </c>
      <c r="AI2019">
        <v>110.414718766504</v>
      </c>
      <c r="AJ2019">
        <v>82.027438563055199</v>
      </c>
      <c r="AK2019">
        <v>0.60075459085454497</v>
      </c>
      <c r="AL2019">
        <v>94.814482566709799</v>
      </c>
      <c r="AM2019">
        <v>89.260729628024905</v>
      </c>
      <c r="AN2019">
        <v>0.99999996860373996</v>
      </c>
    </row>
    <row r="2020" spans="1:40" x14ac:dyDescent="0.25">
      <c r="A2020" t="str">
        <f>"20190303154807557"</f>
        <v>20190303154807557</v>
      </c>
      <c r="B2020" t="str">
        <f>"1551599287553099"</f>
        <v>1551599287553099</v>
      </c>
      <c r="C2020" t="s">
        <v>40</v>
      </c>
      <c r="D2020">
        <v>6.0090479999999999</v>
      </c>
      <c r="E2020">
        <v>0.52543649999999997</v>
      </c>
      <c r="F2020" t="s">
        <v>42</v>
      </c>
      <c r="G2020">
        <v>-260.9735</v>
      </c>
      <c r="H2020">
        <v>0.91509680000000004</v>
      </c>
      <c r="I2020">
        <v>284.89510000000001</v>
      </c>
      <c r="J2020">
        <v>-260.2414</v>
      </c>
      <c r="K2020">
        <v>1.120876</v>
      </c>
      <c r="L2020">
        <v>284.82400000000001</v>
      </c>
      <c r="M2020">
        <v>-0.99978319999999998</v>
      </c>
      <c r="N2020">
        <v>-9.3152300000000007E-3</v>
      </c>
      <c r="O2020">
        <v>-1.8629679999999999E-2</v>
      </c>
      <c r="P2020">
        <v>-0.99564649999999999</v>
      </c>
      <c r="Q2020">
        <v>-9.3036930000000004E-2</v>
      </c>
      <c r="R2020">
        <v>-5.6836680000000002E-3</v>
      </c>
      <c r="S2020">
        <v>-2.9581909999999998</v>
      </c>
      <c r="T2020">
        <v>-0.59749479999999999</v>
      </c>
      <c r="U2020">
        <v>0.1890869</v>
      </c>
      <c r="V2020">
        <v>1.3121249999999999E-2</v>
      </c>
      <c r="W2020">
        <v>-8.3719370000000001E-2</v>
      </c>
      <c r="X2020">
        <v>0.99640300000000004</v>
      </c>
      <c r="Y2020">
        <v>8.0337500000000006E-2</v>
      </c>
      <c r="Z2020">
        <v>1.1952910000000001E-2</v>
      </c>
      <c r="AA2020">
        <v>0.99669609999999997</v>
      </c>
      <c r="AB2020">
        <v>44</v>
      </c>
      <c r="AC2020">
        <v>-0.73210000000000197</v>
      </c>
      <c r="AD2020">
        <v>-0.205779199999999</v>
      </c>
      <c r="AE2020">
        <v>7.1100000000001204E-2</v>
      </c>
      <c r="AF2020">
        <v>7.8576963968553695E-2</v>
      </c>
      <c r="AG2020">
        <v>-0.205779199999999</v>
      </c>
      <c r="AH2020">
        <v>0.677612800990821</v>
      </c>
      <c r="AI2020">
        <v>106.786520943234</v>
      </c>
      <c r="AJ2020">
        <v>83.385441451955202</v>
      </c>
      <c r="AK2020">
        <v>0.71251563245010996</v>
      </c>
      <c r="AL2020">
        <v>94.802387588171996</v>
      </c>
      <c r="AM2020">
        <v>89.2455374033038</v>
      </c>
      <c r="AN2020">
        <v>1.0000000192618701</v>
      </c>
    </row>
    <row r="2021" spans="1:40" x14ac:dyDescent="0.25">
      <c r="A2021" t="str">
        <f>"20190303154807576"</f>
        <v>20190303154807576</v>
      </c>
      <c r="B2021" t="str">
        <f>"1551599287572619"</f>
        <v>1551599287572619</v>
      </c>
      <c r="C2021" t="s">
        <v>40</v>
      </c>
      <c r="D2021">
        <v>5.8534499999999996</v>
      </c>
      <c r="E2021">
        <v>0.5248022</v>
      </c>
      <c r="F2021" t="s">
        <v>42</v>
      </c>
      <c r="G2021">
        <v>-260.99770000000001</v>
      </c>
      <c r="H2021">
        <v>0.96671819999999997</v>
      </c>
      <c r="I2021">
        <v>284.87139999999999</v>
      </c>
      <c r="J2021">
        <v>-260.61869999999999</v>
      </c>
      <c r="K2021">
        <v>1.120879</v>
      </c>
      <c r="L2021">
        <v>284.81630000000001</v>
      </c>
      <c r="M2021">
        <v>-0.99976560000000003</v>
      </c>
      <c r="N2021">
        <v>-9.364977E-3</v>
      </c>
      <c r="O2021">
        <v>-1.953044E-2</v>
      </c>
      <c r="P2021">
        <v>-0.99568190000000001</v>
      </c>
      <c r="Q2021">
        <v>-9.2572500000000002E-2</v>
      </c>
      <c r="R2021">
        <v>-6.9596659999999998E-3</v>
      </c>
      <c r="S2021">
        <v>-2.9577939999999998</v>
      </c>
      <c r="T2021">
        <v>-0.60309590000000002</v>
      </c>
      <c r="U2021">
        <v>0.1838989</v>
      </c>
      <c r="V2021">
        <v>1.2741199999999999E-2</v>
      </c>
      <c r="W2021">
        <v>-8.3206150000000006E-2</v>
      </c>
      <c r="X2021">
        <v>0.99645090000000003</v>
      </c>
      <c r="Y2021">
        <v>7.9465930000000004E-2</v>
      </c>
      <c r="Z2021">
        <v>1.214548E-2</v>
      </c>
      <c r="AA2021">
        <v>0.99676359999999997</v>
      </c>
      <c r="AB2021">
        <v>44</v>
      </c>
      <c r="AC2021">
        <v>-0.37900000000001899</v>
      </c>
      <c r="AD2021">
        <v>-0.15416079999999999</v>
      </c>
      <c r="AE2021">
        <v>5.5099999999981698E-2</v>
      </c>
      <c r="AF2021">
        <v>5.3778337365362E-2</v>
      </c>
      <c r="AG2021">
        <v>-0.15416079999999999</v>
      </c>
      <c r="AH2021">
        <v>0.325166037861638</v>
      </c>
      <c r="AI2021">
        <v>115.06759653807001</v>
      </c>
      <c r="AJ2021">
        <v>80.609012982226105</v>
      </c>
      <c r="AK2021">
        <v>0.36385521022112499</v>
      </c>
      <c r="AL2021">
        <v>94.772879388641002</v>
      </c>
      <c r="AM2021">
        <v>89.267422805555199</v>
      </c>
      <c r="AN2021">
        <v>0.99999999884303603</v>
      </c>
    </row>
    <row r="2022" spans="1:40" x14ac:dyDescent="0.25">
      <c r="A2022" t="str">
        <f>"20190303154807600"</f>
        <v>20190303154807600</v>
      </c>
      <c r="B2022" t="str">
        <f>"1551599287593115"</f>
        <v>1551599287593115</v>
      </c>
      <c r="C2022" t="s">
        <v>40</v>
      </c>
      <c r="D2022">
        <v>5.8732069999999998</v>
      </c>
      <c r="E2022">
        <v>0.50220829999999905</v>
      </c>
      <c r="F2022" t="s">
        <v>42</v>
      </c>
      <c r="G2022">
        <v>-261.3929</v>
      </c>
      <c r="H2022">
        <v>0.96463370000000004</v>
      </c>
      <c r="I2022">
        <v>284.86250000000001</v>
      </c>
      <c r="J2022">
        <v>-261.0994</v>
      </c>
      <c r="K2022">
        <v>1.1208830000000001</v>
      </c>
      <c r="L2022">
        <v>284.80619999999999</v>
      </c>
      <c r="M2022">
        <v>-0.99974209999999997</v>
      </c>
      <c r="N2022">
        <v>-9.4216820000000007E-3</v>
      </c>
      <c r="O2022">
        <v>-2.0662050000000001E-2</v>
      </c>
      <c r="P2022">
        <v>-0.99566790000000005</v>
      </c>
      <c r="Q2022">
        <v>-9.2630329999999997E-2</v>
      </c>
      <c r="R2022">
        <v>-8.0513640000000001E-3</v>
      </c>
      <c r="S2022">
        <v>-2.9586790000000001</v>
      </c>
      <c r="T2022">
        <v>-0.59730719999999904</v>
      </c>
      <c r="U2022">
        <v>0.17517089999999999</v>
      </c>
      <c r="V2022">
        <v>1.2774539999999999E-2</v>
      </c>
      <c r="W2022">
        <v>-8.3207690000000001E-2</v>
      </c>
      <c r="X2022">
        <v>0.99645039999999996</v>
      </c>
      <c r="Y2022">
        <v>7.7701610000000004E-2</v>
      </c>
      <c r="Z2022">
        <v>1.20625E-2</v>
      </c>
      <c r="AA2022">
        <v>0.99690369999999995</v>
      </c>
      <c r="AB2022">
        <v>44</v>
      </c>
      <c r="AC2022">
        <v>-0.29349999999999399</v>
      </c>
      <c r="AD2022">
        <v>-0.15624930000000001</v>
      </c>
      <c r="AE2022">
        <v>5.63000000000215E-2</v>
      </c>
      <c r="AF2022">
        <v>4.8967155803512602E-2</v>
      </c>
      <c r="AG2022">
        <v>-0.15624930000000001</v>
      </c>
      <c r="AH2022">
        <v>0.22953070247329599</v>
      </c>
      <c r="AI2022">
        <v>123.65378624589</v>
      </c>
      <c r="AJ2022">
        <v>77.957280185141698</v>
      </c>
      <c r="AK2022">
        <v>0.28195029610883598</v>
      </c>
      <c r="AL2022">
        <v>94.772967666811894</v>
      </c>
      <c r="AM2022">
        <v>89.265505706166607</v>
      </c>
      <c r="AN2022">
        <v>1.0000000541037499</v>
      </c>
    </row>
    <row r="2023" spans="1:40" x14ac:dyDescent="0.25">
      <c r="A2023" t="str">
        <f>"20190303154807625"</f>
        <v>20190303154807625</v>
      </c>
      <c r="B2023" t="str">
        <f>"1551599287612634"</f>
        <v>1551599287612634</v>
      </c>
      <c r="C2023" t="s">
        <v>40</v>
      </c>
      <c r="D2023">
        <v>5.8455120000000003</v>
      </c>
      <c r="E2023">
        <v>0.50318099999999999</v>
      </c>
      <c r="F2023" t="s">
        <v>42</v>
      </c>
      <c r="G2023">
        <v>-261.8381</v>
      </c>
      <c r="H2023">
        <v>1.0486759999999999</v>
      </c>
      <c r="I2023">
        <v>284.80450000000002</v>
      </c>
      <c r="J2023">
        <v>-261.55410000000001</v>
      </c>
      <c r="K2023">
        <v>1.1208670000000001</v>
      </c>
      <c r="L2023">
        <v>284.79599999999999</v>
      </c>
      <c r="M2023">
        <v>-0.99971969999999999</v>
      </c>
      <c r="N2023">
        <v>-9.4677140000000003E-3</v>
      </c>
      <c r="O2023">
        <v>-2.1700239999999999E-2</v>
      </c>
      <c r="P2023">
        <v>-0.99561160000000004</v>
      </c>
      <c r="Q2023">
        <v>-9.3148510000000004E-2</v>
      </c>
      <c r="R2023">
        <v>-8.9963409999999997E-3</v>
      </c>
      <c r="S2023">
        <v>-2.9858699999999998</v>
      </c>
      <c r="T2023">
        <v>-0.29195209999999999</v>
      </c>
      <c r="U2023">
        <v>-6.5917969999999999E-3</v>
      </c>
      <c r="V2023">
        <v>1.286059E-2</v>
      </c>
      <c r="W2023">
        <v>-8.3680699999999997E-2</v>
      </c>
      <c r="X2023">
        <v>0.99640969999999995</v>
      </c>
      <c r="Y2023">
        <v>1.930859E-2</v>
      </c>
      <c r="Z2023">
        <v>2.944964E-3</v>
      </c>
      <c r="AA2023">
        <v>0.99980919999999895</v>
      </c>
      <c r="AB2023">
        <v>44</v>
      </c>
      <c r="AC2023">
        <v>-0.28399999999999098</v>
      </c>
      <c r="AD2023">
        <v>-7.2191000000000102E-2</v>
      </c>
      <c r="AE2023">
        <v>8.5000000000263701E-3</v>
      </c>
      <c r="AF2023">
        <v>1.3772065050567E-2</v>
      </c>
      <c r="AG2023">
        <v>-7.2191000000000102E-2</v>
      </c>
      <c r="AH2023">
        <v>0.26654163885281901</v>
      </c>
      <c r="AI2023">
        <v>105.13533446004899</v>
      </c>
      <c r="AJ2023">
        <v>87.042187793475705</v>
      </c>
      <c r="AK2023">
        <v>0.27648807478642501</v>
      </c>
      <c r="AL2023">
        <v>94.800163903250905</v>
      </c>
      <c r="AM2023">
        <v>89.260528459603606</v>
      </c>
      <c r="AN2023">
        <v>1.00000007229086</v>
      </c>
    </row>
    <row r="2024" spans="1:40" x14ac:dyDescent="0.25">
      <c r="A2024" t="str">
        <f>"20190303154807646"</f>
        <v>20190303154807646</v>
      </c>
      <c r="B2024" t="str">
        <f>"1551599287642891"</f>
        <v>1551599287642891</v>
      </c>
      <c r="C2024" t="s">
        <v>40</v>
      </c>
      <c r="D2024">
        <v>5.8367089999999999</v>
      </c>
      <c r="E2024">
        <v>0.50258449999999999</v>
      </c>
      <c r="F2024" t="s">
        <v>42</v>
      </c>
      <c r="G2024">
        <v>-262.61200000000002</v>
      </c>
      <c r="H2024">
        <v>1.023288</v>
      </c>
      <c r="I2024">
        <v>284.7955</v>
      </c>
      <c r="J2024">
        <v>-262.0009</v>
      </c>
      <c r="K2024">
        <v>1.120846</v>
      </c>
      <c r="L2024">
        <v>284.78559999999999</v>
      </c>
      <c r="M2024">
        <v>-0.99969750000000002</v>
      </c>
      <c r="N2024">
        <v>-9.5077389999999994E-3</v>
      </c>
      <c r="O2024">
        <v>-2.26856E-2</v>
      </c>
      <c r="P2024">
        <v>-0.99561489999999997</v>
      </c>
      <c r="Q2024">
        <v>-9.3010869999999995E-2</v>
      </c>
      <c r="R2024">
        <v>-9.9998169999999994E-3</v>
      </c>
      <c r="S2024">
        <v>-2.9874269999999998</v>
      </c>
      <c r="T2024">
        <v>-0.27564109999999997</v>
      </c>
      <c r="U2024">
        <v>-1.739502E-3</v>
      </c>
      <c r="V2024">
        <v>1.28331E-2</v>
      </c>
      <c r="W2024">
        <v>-8.3503869999999994E-2</v>
      </c>
      <c r="X2024">
        <v>0.9964248</v>
      </c>
      <c r="Y2024">
        <v>2.1924220000000001E-2</v>
      </c>
      <c r="Z2024">
        <v>2.9870299999999999E-3</v>
      </c>
      <c r="AA2024">
        <v>0.99975510000000001</v>
      </c>
      <c r="AB2024">
        <v>44</v>
      </c>
      <c r="AC2024">
        <v>-0.61110000000002096</v>
      </c>
      <c r="AD2024">
        <v>-9.7558000000000006E-2</v>
      </c>
      <c r="AE2024">
        <v>9.9000000000160002E-3</v>
      </c>
      <c r="AF2024">
        <v>2.3170870694390399E-2</v>
      </c>
      <c r="AG2024">
        <v>-9.7558000000000006E-2</v>
      </c>
      <c r="AH2024">
        <v>0.59554408313935703</v>
      </c>
      <c r="AI2024">
        <v>99.296267189077497</v>
      </c>
      <c r="AJ2024">
        <v>87.771913350802095</v>
      </c>
      <c r="AK2024">
        <v>0.60392649186389702</v>
      </c>
      <c r="AL2024">
        <v>94.7899971332468</v>
      </c>
      <c r="AM2024">
        <v>89.2621201140701</v>
      </c>
      <c r="AN2024">
        <v>0.99999998340781304</v>
      </c>
    </row>
    <row r="2025" spans="1:40" x14ac:dyDescent="0.25">
      <c r="A2025" t="str">
        <f>"20190303154807667"</f>
        <v>20190303154807667</v>
      </c>
      <c r="B2025" t="str">
        <f>"1551599287662411"</f>
        <v>1551599287662411</v>
      </c>
      <c r="C2025" t="s">
        <v>40</v>
      </c>
      <c r="D2025">
        <v>5.8415860000000004</v>
      </c>
      <c r="E2025">
        <v>0.50264869999999995</v>
      </c>
      <c r="F2025" t="s">
        <v>42</v>
      </c>
      <c r="G2025">
        <v>-263.0145</v>
      </c>
      <c r="H2025">
        <v>1.0331090000000001</v>
      </c>
      <c r="I2025">
        <v>284.78250000000003</v>
      </c>
      <c r="J2025">
        <v>-262.4151</v>
      </c>
      <c r="K2025">
        <v>1.120824</v>
      </c>
      <c r="L2025">
        <v>284.7756</v>
      </c>
      <c r="M2025">
        <v>-0.99967680000000003</v>
      </c>
      <c r="N2025">
        <v>-9.5411300000000001E-3</v>
      </c>
      <c r="O2025">
        <v>-2.3568120000000001E-2</v>
      </c>
      <c r="P2025">
        <v>-0.9956024</v>
      </c>
      <c r="Q2025">
        <v>-9.2994110000000005E-2</v>
      </c>
      <c r="R2025">
        <v>-1.132272E-2</v>
      </c>
      <c r="S2025">
        <v>-2.988953</v>
      </c>
      <c r="T2025">
        <v>-0.25874819999999998</v>
      </c>
      <c r="U2025">
        <v>-9.3078610000000006E-3</v>
      </c>
      <c r="V2025">
        <v>1.2383770000000001E-2</v>
      </c>
      <c r="W2025">
        <v>-8.3455849999999998E-2</v>
      </c>
      <c r="X2025">
        <v>0.9964345</v>
      </c>
      <c r="Y2025">
        <v>2.0301779999999998E-2</v>
      </c>
      <c r="Z2025">
        <v>2.7859159999999998E-3</v>
      </c>
      <c r="AA2025">
        <v>0.99978999999999996</v>
      </c>
      <c r="AB2025">
        <v>44</v>
      </c>
      <c r="AC2025">
        <v>-0.59940000000000204</v>
      </c>
      <c r="AD2025">
        <v>-8.7714999999999904E-2</v>
      </c>
      <c r="AE2025">
        <v>6.9000000000300999E-3</v>
      </c>
      <c r="AF2025">
        <v>2.0584697036197398E-2</v>
      </c>
      <c r="AG2025">
        <v>-8.7714999999999904E-2</v>
      </c>
      <c r="AH2025">
        <v>0.586512474120232</v>
      </c>
      <c r="AI2025">
        <v>98.500587693032898</v>
      </c>
      <c r="AJ2025">
        <v>87.989927903616902</v>
      </c>
      <c r="AK2025">
        <v>0.59339239401571997</v>
      </c>
      <c r="AL2025">
        <v>94.787236194233799</v>
      </c>
      <c r="AM2025">
        <v>89.287959993590107</v>
      </c>
      <c r="AN2025">
        <v>0.99999997472444202</v>
      </c>
    </row>
    <row r="2026" spans="1:40" x14ac:dyDescent="0.25">
      <c r="A2026" t="str">
        <f>"20190303154807690"</f>
        <v>20190303154807690</v>
      </c>
      <c r="B2026" t="str">
        <f>"1551599287682906"</f>
        <v>1551599287682906</v>
      </c>
      <c r="C2026" t="s">
        <v>40</v>
      </c>
      <c r="D2026">
        <v>5.7925339999999998</v>
      </c>
      <c r="E2026">
        <v>0.50275740000000002</v>
      </c>
      <c r="F2026" t="s">
        <v>42</v>
      </c>
      <c r="G2026">
        <v>-263.4144</v>
      </c>
      <c r="H2026">
        <v>1.036629</v>
      </c>
      <c r="I2026">
        <v>284.7715</v>
      </c>
      <c r="J2026">
        <v>-262.87720000000002</v>
      </c>
      <c r="K2026">
        <v>1.1208009999999999</v>
      </c>
      <c r="L2026">
        <v>284.76400000000001</v>
      </c>
      <c r="M2026">
        <v>-0.99965389999999998</v>
      </c>
      <c r="N2026">
        <v>-9.5746000000000008E-3</v>
      </c>
      <c r="O2026">
        <v>-2.4506070000000001E-2</v>
      </c>
      <c r="P2026">
        <v>-0.99565939999999997</v>
      </c>
      <c r="Q2026">
        <v>-9.2220410000000003E-2</v>
      </c>
      <c r="R2026">
        <v>-1.257286E-2</v>
      </c>
      <c r="S2026">
        <v>-2.9895019999999999</v>
      </c>
      <c r="T2026">
        <v>-0.25205080000000002</v>
      </c>
      <c r="U2026">
        <v>-1.272583E-2</v>
      </c>
      <c r="V2026">
        <v>1.206023E-2</v>
      </c>
      <c r="W2026">
        <v>-8.2650059999999997E-2</v>
      </c>
      <c r="X2026">
        <v>0.99650570000000005</v>
      </c>
      <c r="Y2026">
        <v>2.010369E-2</v>
      </c>
      <c r="Z2026">
        <v>2.770434E-3</v>
      </c>
      <c r="AA2026">
        <v>0.99979410000000002</v>
      </c>
      <c r="AB2026">
        <v>45</v>
      </c>
      <c r="AC2026">
        <v>-0.53719999999998402</v>
      </c>
      <c r="AD2026">
        <v>-8.41719999999999E-2</v>
      </c>
      <c r="AE2026">
        <v>7.4999999999931797E-3</v>
      </c>
      <c r="AF2026">
        <v>2.0167970132061699E-2</v>
      </c>
      <c r="AG2026">
        <v>-8.41719999999999E-2</v>
      </c>
      <c r="AH2026">
        <v>0.52399298016725104</v>
      </c>
      <c r="AI2026">
        <v>99.119150892137696</v>
      </c>
      <c r="AJ2026">
        <v>87.795830262264701</v>
      </c>
      <c r="AK2026">
        <v>0.53109350953274204</v>
      </c>
      <c r="AL2026">
        <v>94.740907429186095</v>
      </c>
      <c r="AM2026">
        <v>89.306610544468001</v>
      </c>
      <c r="AN2026">
        <v>1.0000000458490701</v>
      </c>
    </row>
    <row r="2027" spans="1:40" x14ac:dyDescent="0.25">
      <c r="A2027" t="str">
        <f>"20190303154807711"</f>
        <v>20190303154807711</v>
      </c>
      <c r="B2027" t="str">
        <f>"1551599287702427"</f>
        <v>1551599287702427</v>
      </c>
      <c r="C2027" t="s">
        <v>40</v>
      </c>
      <c r="D2027">
        <v>5.7417230000000004</v>
      </c>
      <c r="E2027">
        <v>0.50282130000000003</v>
      </c>
      <c r="F2027" t="s">
        <v>42</v>
      </c>
      <c r="G2027">
        <v>-263.81689999999998</v>
      </c>
      <c r="H2027">
        <v>1.0426599999999999</v>
      </c>
      <c r="I2027">
        <v>284.75920000000002</v>
      </c>
      <c r="J2027">
        <v>-263.29899999999998</v>
      </c>
      <c r="K2027">
        <v>1.1207659999999999</v>
      </c>
      <c r="L2027">
        <v>284.75310000000002</v>
      </c>
      <c r="M2027">
        <v>-0.99963360000000001</v>
      </c>
      <c r="N2027">
        <v>-9.6006909999999997E-3</v>
      </c>
      <c r="O2027">
        <v>-2.530932E-2</v>
      </c>
      <c r="P2027">
        <v>-0.99560680000000001</v>
      </c>
      <c r="Q2027">
        <v>-9.2544199999999993E-2</v>
      </c>
      <c r="R2027">
        <v>-1.424286E-2</v>
      </c>
      <c r="S2027">
        <v>-2.9898069999999999</v>
      </c>
      <c r="T2027">
        <v>-0.24878810000000001</v>
      </c>
      <c r="U2027">
        <v>-1.5777590000000001E-2</v>
      </c>
      <c r="V2027">
        <v>1.11821E-2</v>
      </c>
      <c r="W2027">
        <v>-8.2951549999999999E-2</v>
      </c>
      <c r="X2027">
        <v>0.99649080000000001</v>
      </c>
      <c r="Y2027">
        <v>1.988964E-2</v>
      </c>
      <c r="Z2027">
        <v>2.7813059999999999E-3</v>
      </c>
      <c r="AA2027">
        <v>0.99979830000000003</v>
      </c>
      <c r="AB2027">
        <v>45</v>
      </c>
      <c r="AC2027">
        <v>-0.51789999999993996</v>
      </c>
      <c r="AD2027">
        <v>-7.8105999999999703E-2</v>
      </c>
      <c r="AE2027">
        <v>6.1000000000035401E-3</v>
      </c>
      <c r="AF2027">
        <v>1.8779279651723799E-2</v>
      </c>
      <c r="AG2027">
        <v>-7.8105999999999703E-2</v>
      </c>
      <c r="AH2027">
        <v>0.50607094148424303</v>
      </c>
      <c r="AI2027">
        <v>98.767751230800798</v>
      </c>
      <c r="AJ2027">
        <v>87.874843400941401</v>
      </c>
      <c r="AK2027">
        <v>0.51240707098456995</v>
      </c>
      <c r="AL2027">
        <v>94.758241479603399</v>
      </c>
      <c r="AM2027">
        <v>89.357083631867795</v>
      </c>
      <c r="AN2027">
        <v>0.99999995674622499</v>
      </c>
    </row>
    <row r="2028" spans="1:40" x14ac:dyDescent="0.25">
      <c r="A2028" t="str">
        <f>"20190303154807732"</f>
        <v>20190303154807732</v>
      </c>
      <c r="B2028" t="str">
        <f>"1551599287722926"</f>
        <v>1551599287722926</v>
      </c>
      <c r="C2028" t="s">
        <v>40</v>
      </c>
      <c r="D2028">
        <v>5.7743000000000002</v>
      </c>
      <c r="E2028">
        <v>0.50306079999999997</v>
      </c>
      <c r="F2028" t="s">
        <v>42</v>
      </c>
      <c r="G2028">
        <v>-264.21789999999999</v>
      </c>
      <c r="H2028">
        <v>1.044786</v>
      </c>
      <c r="I2028">
        <v>284.74700000000001</v>
      </c>
      <c r="J2028">
        <v>-263.72300000000001</v>
      </c>
      <c r="K2028">
        <v>1.120722</v>
      </c>
      <c r="L2028">
        <v>284.74189999999999</v>
      </c>
      <c r="M2028">
        <v>-0.99961440000000001</v>
      </c>
      <c r="N2028">
        <v>-9.6213960000000008E-3</v>
      </c>
      <c r="O2028">
        <v>-2.60541E-2</v>
      </c>
      <c r="P2028">
        <v>-0.99553729999999996</v>
      </c>
      <c r="Q2028">
        <v>-9.3050090000000002E-2</v>
      </c>
      <c r="R2028">
        <v>-1.57395E-2</v>
      </c>
      <c r="S2028">
        <v>-2.98996</v>
      </c>
      <c r="T2028">
        <v>-0.24732779999999999</v>
      </c>
      <c r="U2028">
        <v>-2.0263670000000001E-2</v>
      </c>
      <c r="V2028">
        <v>1.041744E-2</v>
      </c>
      <c r="W2028">
        <v>-8.3440390000000003E-2</v>
      </c>
      <c r="X2028">
        <v>0.99645830000000002</v>
      </c>
      <c r="Y2028">
        <v>1.913747E-2</v>
      </c>
      <c r="Z2028">
        <v>2.7833279999999998E-3</v>
      </c>
      <c r="AA2028">
        <v>0.99981299999999995</v>
      </c>
      <c r="AB2028">
        <v>45</v>
      </c>
      <c r="AC2028">
        <v>-0.49489999999997197</v>
      </c>
      <c r="AD2028">
        <v>-7.5936000000000003E-2</v>
      </c>
      <c r="AE2028">
        <v>5.1000000000271904E-3</v>
      </c>
      <c r="AF2028">
        <v>1.7579215047952301E-2</v>
      </c>
      <c r="AG2028">
        <v>-7.5936000000000003E-2</v>
      </c>
      <c r="AH2028">
        <v>0.48322380433001</v>
      </c>
      <c r="AI2028">
        <v>98.924877566543998</v>
      </c>
      <c r="AJ2028">
        <v>87.916553685086996</v>
      </c>
      <c r="AK2028">
        <v>0.48946966194941</v>
      </c>
      <c r="AL2028">
        <v>94.786347262899</v>
      </c>
      <c r="AM2028">
        <v>89.401025008854205</v>
      </c>
      <c r="AN2028">
        <v>0.99999998268919699</v>
      </c>
    </row>
    <row r="2029" spans="1:40" x14ac:dyDescent="0.25">
      <c r="A2029" t="str">
        <f>"20190303154807747"</f>
        <v>20190303154807747</v>
      </c>
      <c r="B2029" t="str">
        <f>"1551599287742443"</f>
        <v>1551599287742443</v>
      </c>
      <c r="C2029" t="s">
        <v>40</v>
      </c>
      <c r="D2029">
        <v>5.7327579999999996</v>
      </c>
      <c r="E2029">
        <v>0.50320670000000001</v>
      </c>
      <c r="F2029" t="s">
        <v>42</v>
      </c>
      <c r="G2029">
        <v>-264.61970000000002</v>
      </c>
      <c r="H2029">
        <v>1.0473209999999999</v>
      </c>
      <c r="I2029">
        <v>284.73520000000002</v>
      </c>
      <c r="J2029">
        <v>-264.0025</v>
      </c>
      <c r="K2029">
        <v>1.120684</v>
      </c>
      <c r="L2029">
        <v>284.73430000000002</v>
      </c>
      <c r="M2029">
        <v>-0.99960230000000005</v>
      </c>
      <c r="N2029">
        <v>-9.6325739999999997E-3</v>
      </c>
      <c r="O2029">
        <v>-2.6506689999999999E-2</v>
      </c>
      <c r="P2029">
        <v>-0.99549969999999999</v>
      </c>
      <c r="Q2029">
        <v>-9.3318219999999993E-2</v>
      </c>
      <c r="R2029">
        <v>-1.6499819999999998E-2</v>
      </c>
      <c r="S2029">
        <v>-2.9902340000000001</v>
      </c>
      <c r="T2029">
        <v>-0.24481820000000001</v>
      </c>
      <c r="U2029">
        <v>-2.2827150000000001E-2</v>
      </c>
      <c r="V2029">
        <v>1.009967E-2</v>
      </c>
      <c r="W2029">
        <v>-8.3699319999999994E-2</v>
      </c>
      <c r="X2029">
        <v>0.99643990000000005</v>
      </c>
      <c r="Y2029">
        <v>1.8737050000000002E-2</v>
      </c>
      <c r="Z2029">
        <v>2.7674359999999999E-3</v>
      </c>
      <c r="AA2029">
        <v>0.99982059999999995</v>
      </c>
      <c r="AB2029">
        <v>45</v>
      </c>
      <c r="AC2029">
        <v>-0.61720000000002495</v>
      </c>
      <c r="AD2029">
        <v>-7.3362999999999998E-2</v>
      </c>
      <c r="AE2029">
        <v>9.0000000000145497E-4</v>
      </c>
      <c r="AF2029">
        <v>1.7019901985051E-2</v>
      </c>
      <c r="AG2029">
        <v>-7.3362999999999998E-2</v>
      </c>
      <c r="AH2029">
        <v>0.60836388583755996</v>
      </c>
      <c r="AI2029">
        <v>96.873469145555902</v>
      </c>
      <c r="AJ2029">
        <v>88.397481709827105</v>
      </c>
      <c r="AK2029">
        <v>0.61300768708390296</v>
      </c>
      <c r="AL2029">
        <v>94.801234724846395</v>
      </c>
      <c r="AM2029">
        <v>89.419283942281794</v>
      </c>
      <c r="AN2029">
        <v>1.00000002690729</v>
      </c>
    </row>
    <row r="2030" spans="1:40" x14ac:dyDescent="0.25">
      <c r="A2030" t="str">
        <f>"20190303154807767"</f>
        <v>20190303154807767</v>
      </c>
      <c r="B2030" t="str">
        <f>"1551599287762939"</f>
        <v>1551599287762939</v>
      </c>
      <c r="C2030" t="s">
        <v>40</v>
      </c>
      <c r="D2030">
        <v>5.7410290000000002</v>
      </c>
      <c r="E2030">
        <v>0.50324970000000002</v>
      </c>
      <c r="F2030" t="s">
        <v>42</v>
      </c>
      <c r="G2030">
        <v>-265.01249999999999</v>
      </c>
      <c r="H2030">
        <v>1.03894</v>
      </c>
      <c r="I2030">
        <v>284.72629999999998</v>
      </c>
      <c r="J2030">
        <v>-264.4178</v>
      </c>
      <c r="K2030">
        <v>1.1206210000000001</v>
      </c>
      <c r="L2030">
        <v>284.72289999999998</v>
      </c>
      <c r="M2030">
        <v>-0.99958590000000003</v>
      </c>
      <c r="N2030">
        <v>-9.6465000000000006E-3</v>
      </c>
      <c r="O2030">
        <v>-2.711291E-2</v>
      </c>
      <c r="P2030">
        <v>-0.99548429999999999</v>
      </c>
      <c r="Q2030">
        <v>-9.3235310000000002E-2</v>
      </c>
      <c r="R2030">
        <v>-1.7835859999999999E-2</v>
      </c>
      <c r="S2030">
        <v>-2.9904790000000001</v>
      </c>
      <c r="T2030">
        <v>-0.24214140000000001</v>
      </c>
      <c r="U2030">
        <v>-2.3986819999999999E-2</v>
      </c>
      <c r="V2030">
        <v>9.3535630000000005E-3</v>
      </c>
      <c r="W2030">
        <v>-8.3605739999999998E-2</v>
      </c>
      <c r="X2030">
        <v>0.99645499999999998</v>
      </c>
      <c r="Y2030">
        <v>1.8957169999999999E-2</v>
      </c>
      <c r="Z2030">
        <v>2.7880969999999998E-3</v>
      </c>
      <c r="AA2030">
        <v>0.99981640000000005</v>
      </c>
      <c r="AB2030">
        <v>45</v>
      </c>
      <c r="AC2030">
        <v>-0.59469999999998802</v>
      </c>
      <c r="AD2030">
        <v>-8.1680999999999795E-2</v>
      </c>
      <c r="AE2030">
        <v>3.3999999999991802E-3</v>
      </c>
      <c r="AF2030">
        <v>1.9162074800978101E-2</v>
      </c>
      <c r="AG2030">
        <v>-8.1680999999999795E-2</v>
      </c>
      <c r="AH2030">
        <v>0.58338425068094002</v>
      </c>
      <c r="AI2030">
        <v>97.966063518096206</v>
      </c>
      <c r="AJ2030">
        <v>88.118716046321097</v>
      </c>
      <c r="AK2030">
        <v>0.58938625265121303</v>
      </c>
      <c r="AL2030">
        <v>94.795854314070496</v>
      </c>
      <c r="AM2030">
        <v>89.462189518152897</v>
      </c>
      <c r="AN2030">
        <v>0.99999998796337097</v>
      </c>
    </row>
    <row r="2031" spans="1:40" x14ac:dyDescent="0.25">
      <c r="A2031" t="str">
        <f>"20190303154807788"</f>
        <v>20190303154807788</v>
      </c>
      <c r="B2031" t="str">
        <f>"1551599287782459"</f>
        <v>1551599287782459</v>
      </c>
      <c r="C2031" t="s">
        <v>40</v>
      </c>
      <c r="D2031">
        <v>5.6941160000000002</v>
      </c>
      <c r="E2031">
        <v>0.50331919999999997</v>
      </c>
      <c r="F2031" t="s">
        <v>42</v>
      </c>
      <c r="G2031">
        <v>-265.41399999999999</v>
      </c>
      <c r="H2031">
        <v>1.0407139999999999</v>
      </c>
      <c r="I2031">
        <v>284.71379999999999</v>
      </c>
      <c r="J2031">
        <v>-264.8417</v>
      </c>
      <c r="K2031">
        <v>1.1205510000000001</v>
      </c>
      <c r="L2031">
        <v>284.71100000000001</v>
      </c>
      <c r="M2031">
        <v>-0.99957110000000005</v>
      </c>
      <c r="N2031">
        <v>-9.6590019999999999E-3</v>
      </c>
      <c r="O2031">
        <v>-2.764805E-2</v>
      </c>
      <c r="P2031">
        <v>-0.99551639999999997</v>
      </c>
      <c r="Q2031">
        <v>-9.2768939999999994E-2</v>
      </c>
      <c r="R2031">
        <v>-1.8464540000000002E-2</v>
      </c>
      <c r="S2031">
        <v>-2.990631</v>
      </c>
      <c r="T2031">
        <v>-0.2399271</v>
      </c>
      <c r="U2031">
        <v>-2.752686E-2</v>
      </c>
      <c r="V2031">
        <v>9.2421629999999994E-3</v>
      </c>
      <c r="W2031">
        <v>-8.3128480000000005E-2</v>
      </c>
      <c r="X2031">
        <v>0.99649600000000005</v>
      </c>
      <c r="Y2031">
        <v>1.8313079999999999E-2</v>
      </c>
      <c r="Z2031">
        <v>2.7695089999999999E-3</v>
      </c>
      <c r="AA2031">
        <v>0.99982850000000001</v>
      </c>
      <c r="AB2031">
        <v>45</v>
      </c>
      <c r="AC2031">
        <v>-0.57229999999998404</v>
      </c>
      <c r="AD2031">
        <v>-7.9837000000000102E-2</v>
      </c>
      <c r="AE2031">
        <v>2.7999999999792601E-3</v>
      </c>
      <c r="AF2031">
        <v>1.8267160697342601E-2</v>
      </c>
      <c r="AG2031">
        <v>-7.9837000000000102E-2</v>
      </c>
      <c r="AH2031">
        <v>0.56108487719980704</v>
      </c>
      <c r="AI2031">
        <v>98.094046508548601</v>
      </c>
      <c r="AJ2031">
        <v>88.135288086962902</v>
      </c>
      <c r="AK2031">
        <v>0.56703075326763797</v>
      </c>
      <c r="AL2031">
        <v>94.7684136540949</v>
      </c>
      <c r="AM2031">
        <v>89.468616280665103</v>
      </c>
      <c r="AN2031">
        <v>1.0000000198900101</v>
      </c>
    </row>
    <row r="2032" spans="1:40" x14ac:dyDescent="0.25">
      <c r="A2032" t="str">
        <f>"20190303154807801"</f>
        <v>20190303154807801</v>
      </c>
      <c r="B2032" t="str">
        <f>"1551599287793195"</f>
        <v>1551599287793195</v>
      </c>
      <c r="C2032" t="s">
        <v>40</v>
      </c>
      <c r="D2032">
        <v>5.6834790000000002</v>
      </c>
      <c r="E2032">
        <v>0.50331879999999996</v>
      </c>
      <c r="F2032" t="s">
        <v>42</v>
      </c>
      <c r="G2032">
        <v>-265.81720000000001</v>
      </c>
      <c r="H2032">
        <v>1.043364</v>
      </c>
      <c r="I2032">
        <v>284.70190000000002</v>
      </c>
      <c r="J2032">
        <v>-265.10430000000002</v>
      </c>
      <c r="K2032">
        <v>1.1205020000000001</v>
      </c>
      <c r="L2032">
        <v>284.70370000000003</v>
      </c>
      <c r="M2032">
        <v>-0.99956290000000003</v>
      </c>
      <c r="N2032">
        <v>-9.6663010000000004E-3</v>
      </c>
      <c r="O2032">
        <v>-2.7944900000000002E-2</v>
      </c>
      <c r="P2032">
        <v>-0.99554670000000001</v>
      </c>
      <c r="Q2032">
        <v>-9.2411720000000003E-2</v>
      </c>
      <c r="R2032">
        <v>-1.8630710000000002E-2</v>
      </c>
      <c r="S2032">
        <v>-2.9909059999999998</v>
      </c>
      <c r="T2032">
        <v>-0.23687420000000001</v>
      </c>
      <c r="U2032">
        <v>-2.8839110000000001E-2</v>
      </c>
      <c r="V2032">
        <v>9.3616689999999995E-3</v>
      </c>
      <c r="W2032">
        <v>-8.2764569999999996E-2</v>
      </c>
      <c r="X2032">
        <v>0.9965252</v>
      </c>
      <c r="Y2032">
        <v>1.8175569999999999E-2</v>
      </c>
      <c r="Z2032">
        <v>2.7461920000000002E-3</v>
      </c>
      <c r="AA2032">
        <v>0.99983100000000003</v>
      </c>
      <c r="AB2032">
        <v>45</v>
      </c>
      <c r="AC2032">
        <v>-0.71289999999998999</v>
      </c>
      <c r="AD2032">
        <v>-7.7138000000000095E-2</v>
      </c>
      <c r="AE2032">
        <v>-1.8000000000029099E-3</v>
      </c>
      <c r="AF2032">
        <v>1.7913817488408701E-2</v>
      </c>
      <c r="AG2032">
        <v>-7.7138000000000095E-2</v>
      </c>
      <c r="AH2032">
        <v>0.70442457516183399</v>
      </c>
      <c r="AI2032">
        <v>96.247269819492601</v>
      </c>
      <c r="AJ2032">
        <v>88.543257855910397</v>
      </c>
      <c r="AK2032">
        <v>0.70886187511597598</v>
      </c>
      <c r="AL2032">
        <v>94.747490930550896</v>
      </c>
      <c r="AM2032">
        <v>89.461761383910897</v>
      </c>
      <c r="AN2032">
        <v>1.00000004456439</v>
      </c>
    </row>
    <row r="2033" spans="1:40" x14ac:dyDescent="0.25">
      <c r="A2033" t="str">
        <f>"20190303154807825"</f>
        <v>20190303154807825</v>
      </c>
      <c r="B2033" t="str">
        <f>"1551599287812715"</f>
        <v>1551599287812715</v>
      </c>
      <c r="C2033" t="s">
        <v>40</v>
      </c>
      <c r="D2033">
        <v>8.0409970000000008</v>
      </c>
      <c r="E2033">
        <v>0.50348729999999997</v>
      </c>
      <c r="F2033" t="s">
        <v>42</v>
      </c>
      <c r="G2033">
        <v>-266.2122</v>
      </c>
      <c r="H2033">
        <v>1.033501</v>
      </c>
      <c r="I2033">
        <v>284.69279999999998</v>
      </c>
      <c r="J2033">
        <v>-265.57670000000002</v>
      </c>
      <c r="K2033">
        <v>1.1204019999999999</v>
      </c>
      <c r="L2033">
        <v>284.69009999999997</v>
      </c>
      <c r="M2033">
        <v>-0.99955059999999996</v>
      </c>
      <c r="N2033">
        <v>-9.6784769999999996E-3</v>
      </c>
      <c r="O2033">
        <v>-2.837332E-2</v>
      </c>
      <c r="P2033">
        <v>-0.99554980000000004</v>
      </c>
      <c r="Q2033">
        <v>-9.2248659999999996E-2</v>
      </c>
      <c r="R2033">
        <v>-1.926104E-2</v>
      </c>
      <c r="S2033">
        <v>-2.991028</v>
      </c>
      <c r="T2033">
        <v>-0.2349241</v>
      </c>
      <c r="U2033">
        <v>-2.963257E-2</v>
      </c>
      <c r="V2033">
        <v>9.1384910000000003E-3</v>
      </c>
      <c r="W2033">
        <v>-8.2591819999999996E-2</v>
      </c>
      <c r="X2033">
        <v>0.99654160000000003</v>
      </c>
      <c r="Y2033">
        <v>1.8339979999999999E-2</v>
      </c>
      <c r="Z2033">
        <v>2.7584860000000001E-3</v>
      </c>
      <c r="AA2033">
        <v>0.99982800000000005</v>
      </c>
      <c r="AB2033">
        <v>45</v>
      </c>
      <c r="AC2033">
        <v>-0.63549999999997897</v>
      </c>
      <c r="AD2033">
        <v>-8.6901000000000103E-2</v>
      </c>
      <c r="AE2033">
        <v>2.7000000000043599E-3</v>
      </c>
      <c r="AF2033">
        <v>2.0350474519858001E-2</v>
      </c>
      <c r="AG2033">
        <v>-8.6901000000000103E-2</v>
      </c>
      <c r="AH2033">
        <v>0.62350872906791699</v>
      </c>
      <c r="AI2033">
        <v>97.930269119574504</v>
      </c>
      <c r="AJ2033">
        <v>88.130607522489996</v>
      </c>
      <c r="AK2033">
        <v>0.62986431938797205</v>
      </c>
      <c r="AL2033">
        <v>94.737559100007701</v>
      </c>
      <c r="AM2033">
        <v>89.474600669685103</v>
      </c>
      <c r="AN2033">
        <v>1.0000000406396099</v>
      </c>
    </row>
    <row r="2034" spans="1:40" x14ac:dyDescent="0.25">
      <c r="A2034" t="str">
        <f>"20190303154807846"</f>
        <v>20190303154807846</v>
      </c>
      <c r="B2034" t="str">
        <f>"1551599287842971"</f>
        <v>1551599287842971</v>
      </c>
      <c r="C2034" t="s">
        <v>40</v>
      </c>
      <c r="D2034">
        <v>5.7026570000000003</v>
      </c>
      <c r="E2034">
        <v>0.50392599999999999</v>
      </c>
      <c r="F2034" t="s">
        <v>42</v>
      </c>
      <c r="G2034">
        <v>-266.61700000000002</v>
      </c>
      <c r="H2034">
        <v>1.0398639999999999</v>
      </c>
      <c r="I2034">
        <v>284.6798</v>
      </c>
      <c r="J2034">
        <v>-265.99990000000003</v>
      </c>
      <c r="K2034">
        <v>1.120312</v>
      </c>
      <c r="L2034">
        <v>284.67790000000002</v>
      </c>
      <c r="M2034">
        <v>-0.99954219999999905</v>
      </c>
      <c r="N2034">
        <v>-9.6891200000000007E-3</v>
      </c>
      <c r="O2034">
        <v>-2.866523E-2</v>
      </c>
      <c r="P2034">
        <v>-0.99551970000000001</v>
      </c>
      <c r="Q2034">
        <v>-9.2693049999999999E-2</v>
      </c>
      <c r="R2034">
        <v>-1.8677099999999999E-2</v>
      </c>
      <c r="S2034">
        <v>-2.9913940000000001</v>
      </c>
      <c r="T2034">
        <v>-0.23166249999999999</v>
      </c>
      <c r="U2034">
        <v>-3.02124E-2</v>
      </c>
      <c r="V2034">
        <v>9.9939339999999995E-3</v>
      </c>
      <c r="W2034">
        <v>-8.3026790000000003E-2</v>
      </c>
      <c r="X2034">
        <v>0.99649719999999997</v>
      </c>
      <c r="Y2034">
        <v>1.8442210000000001E-2</v>
      </c>
      <c r="Z2034">
        <v>2.7413469999999999E-3</v>
      </c>
      <c r="AA2034">
        <v>0.9998262</v>
      </c>
      <c r="AB2034">
        <v>45</v>
      </c>
      <c r="AC2034">
        <v>-0.61709999999999299</v>
      </c>
      <c r="AD2034">
        <v>-8.0448000000000006E-2</v>
      </c>
      <c r="AE2034">
        <v>1.8999999999778001E-3</v>
      </c>
      <c r="AF2034">
        <v>1.9262007950693098E-2</v>
      </c>
      <c r="AG2034">
        <v>-8.0448000000000006E-2</v>
      </c>
      <c r="AH2034">
        <v>0.60648485288808995</v>
      </c>
      <c r="AI2034">
        <v>97.552201972367598</v>
      </c>
      <c r="AJ2034">
        <v>88.180892893037495</v>
      </c>
      <c r="AK2034">
        <v>0.61210030422879202</v>
      </c>
      <c r="AL2034">
        <v>94.7625671391434</v>
      </c>
      <c r="AM2034">
        <v>89.425396235961898</v>
      </c>
      <c r="AN2034">
        <v>0.99999999809117002</v>
      </c>
    </row>
    <row r="2035" spans="1:40" x14ac:dyDescent="0.25">
      <c r="A2035" t="str">
        <f>"20190303154807868"</f>
        <v>20190303154807868</v>
      </c>
      <c r="B2035" t="str">
        <f>"1551599287862492"</f>
        <v>1551599287862492</v>
      </c>
      <c r="C2035" t="s">
        <v>40</v>
      </c>
      <c r="D2035">
        <v>5.67624</v>
      </c>
      <c r="E2035">
        <v>0.50409280000000001</v>
      </c>
      <c r="F2035" t="s">
        <v>42</v>
      </c>
      <c r="G2035">
        <v>-267.02140000000003</v>
      </c>
      <c r="H2035">
        <v>1.0426470000000001</v>
      </c>
      <c r="I2035">
        <v>284.6696</v>
      </c>
      <c r="J2035">
        <v>-266.44</v>
      </c>
      <c r="K2035">
        <v>1.120217</v>
      </c>
      <c r="L2035">
        <v>284.6651</v>
      </c>
      <c r="M2035">
        <v>-0.99953570000000003</v>
      </c>
      <c r="N2035">
        <v>-9.6996840000000001E-3</v>
      </c>
      <c r="O2035">
        <v>-2.888288E-2</v>
      </c>
      <c r="P2035">
        <v>-0.99551400000000001</v>
      </c>
      <c r="Q2035">
        <v>-9.2756199999999997E-2</v>
      </c>
      <c r="R2035">
        <v>-1.8661629999999998E-2</v>
      </c>
      <c r="S2035">
        <v>-2.9918520000000002</v>
      </c>
      <c r="T2035">
        <v>-0.22756489999999999</v>
      </c>
      <c r="U2035">
        <v>-2.478027E-2</v>
      </c>
      <c r="V2035">
        <v>1.020705E-2</v>
      </c>
      <c r="W2035">
        <v>-8.3081479999999999E-2</v>
      </c>
      <c r="X2035">
        <v>0.99649049999999995</v>
      </c>
      <c r="Y2035">
        <v>2.047423E-2</v>
      </c>
      <c r="Z2035">
        <v>2.7905120000000002E-3</v>
      </c>
      <c r="AA2035">
        <v>0.99978650000000002</v>
      </c>
      <c r="AB2035">
        <v>45</v>
      </c>
      <c r="AC2035">
        <v>-0.58140000000003</v>
      </c>
      <c r="AD2035">
        <v>-7.7570000000000097E-2</v>
      </c>
      <c r="AE2035">
        <v>4.5000000000072699E-3</v>
      </c>
      <c r="AF2035">
        <v>2.0919067424247699E-2</v>
      </c>
      <c r="AG2035">
        <v>-7.7570000000000097E-2</v>
      </c>
      <c r="AH2035">
        <v>0.57086621945328098</v>
      </c>
      <c r="AI2035">
        <v>97.732901277509697</v>
      </c>
      <c r="AJ2035">
        <v>87.901367819267804</v>
      </c>
      <c r="AK2035">
        <v>0.57649193645252494</v>
      </c>
      <c r="AL2035">
        <v>94.765711421606994</v>
      </c>
      <c r="AM2035">
        <v>89.413139980135398</v>
      </c>
      <c r="AN2035">
        <v>1.00000001638947</v>
      </c>
    </row>
    <row r="2036" spans="1:40" x14ac:dyDescent="0.25">
      <c r="A2036" t="str">
        <f>"20190303154807900"</f>
        <v>20190303154807900</v>
      </c>
      <c r="B2036" t="str">
        <f>"1551599287892747"</f>
        <v>1551599287892747</v>
      </c>
      <c r="C2036" t="s">
        <v>40</v>
      </c>
      <c r="D2036">
        <v>5.6626240000000001</v>
      </c>
      <c r="E2036">
        <v>0.50434520000000005</v>
      </c>
      <c r="F2036" t="s">
        <v>42</v>
      </c>
      <c r="G2036">
        <v>-267.42660000000001</v>
      </c>
      <c r="H2036">
        <v>1.0457529999999999</v>
      </c>
      <c r="I2036">
        <v>284.65750000000003</v>
      </c>
      <c r="J2036">
        <v>-267.08519999999999</v>
      </c>
      <c r="K2036">
        <v>1.120088</v>
      </c>
      <c r="L2036">
        <v>284.6463</v>
      </c>
      <c r="M2036">
        <v>-0.99953000000000003</v>
      </c>
      <c r="N2036">
        <v>-9.7147510000000006E-3</v>
      </c>
      <c r="O2036">
        <v>-2.907976E-2</v>
      </c>
      <c r="P2036">
        <v>-0.99538380000000004</v>
      </c>
      <c r="Q2036">
        <v>-9.3598390000000004E-2</v>
      </c>
      <c r="R2036">
        <v>-2.1236950000000001E-2</v>
      </c>
      <c r="S2036">
        <v>-2.992035</v>
      </c>
      <c r="T2036">
        <v>-0.22585540000000001</v>
      </c>
      <c r="U2036">
        <v>-2.3284909999999999E-2</v>
      </c>
      <c r="V2036">
        <v>7.8004930000000004E-3</v>
      </c>
      <c r="W2036">
        <v>-8.3914610000000001E-2</v>
      </c>
      <c r="X2036">
        <v>0.99644239999999995</v>
      </c>
      <c r="Y2036">
        <v>2.1170700000000001E-2</v>
      </c>
      <c r="Z2036">
        <v>2.8103590000000001E-3</v>
      </c>
      <c r="AA2036">
        <v>0.99977199999999999</v>
      </c>
      <c r="AB2036">
        <v>45</v>
      </c>
      <c r="AC2036">
        <v>-0.34140000000002102</v>
      </c>
      <c r="AD2036">
        <v>-7.4334999999999804E-2</v>
      </c>
      <c r="AE2036">
        <v>1.1200000000030699E-2</v>
      </c>
      <c r="AF2036">
        <v>2.0168425992450702E-2</v>
      </c>
      <c r="AG2036">
        <v>-7.4334999999999804E-2</v>
      </c>
      <c r="AH2036">
        <v>0.32551422522352602</v>
      </c>
      <c r="AI2036">
        <v>102.839780924743</v>
      </c>
      <c r="AJ2036">
        <v>86.4545623358824</v>
      </c>
      <c r="AK2036">
        <v>0.33450256868204298</v>
      </c>
      <c r="AL2036">
        <v>94.813613693170893</v>
      </c>
      <c r="AM2036">
        <v>89.551478141117101</v>
      </c>
      <c r="AN2036">
        <v>0.99999998299012705</v>
      </c>
    </row>
    <row r="2037" spans="1:40" x14ac:dyDescent="0.25">
      <c r="A2037" t="str">
        <f>"20190303154807923"</f>
        <v>20190303154807923</v>
      </c>
      <c r="B2037" t="str">
        <f>"1551599287913243"</f>
        <v>1551599287913243</v>
      </c>
      <c r="C2037" t="s">
        <v>40</v>
      </c>
      <c r="D2037">
        <v>5.6528510000000001</v>
      </c>
      <c r="E2037">
        <v>0.51810149999999999</v>
      </c>
      <c r="F2037" t="s">
        <v>54</v>
      </c>
      <c r="G2037">
        <v>-281.9631</v>
      </c>
      <c r="H2037" s="1">
        <v>7.5552409999999998E-6</v>
      </c>
      <c r="I2037">
        <v>284.50240000000002</v>
      </c>
      <c r="J2037">
        <v>-267.53070000000002</v>
      </c>
      <c r="K2037">
        <v>1.120004</v>
      </c>
      <c r="L2037">
        <v>284.63339999999999</v>
      </c>
      <c r="M2037">
        <v>-0.99952890000000005</v>
      </c>
      <c r="N2037">
        <v>-9.7247900000000005E-3</v>
      </c>
      <c r="O2037">
        <v>-2.9114930000000001E-2</v>
      </c>
      <c r="P2037">
        <v>-0.9952666</v>
      </c>
      <c r="Q2037">
        <v>-9.4164010000000006E-2</v>
      </c>
      <c r="R2037">
        <v>-2.4036660000000001E-2</v>
      </c>
      <c r="S2037">
        <v>-2.9921259999999998</v>
      </c>
      <c r="T2037">
        <v>-0.2252622</v>
      </c>
      <c r="U2037">
        <v>-2.893066E-2</v>
      </c>
      <c r="V2037">
        <v>5.0160530000000004E-3</v>
      </c>
      <c r="W2037">
        <v>-8.4474309999999997E-2</v>
      </c>
      <c r="X2037">
        <v>0.99641310000000005</v>
      </c>
      <c r="Y2037">
        <v>1.9326349999999999E-2</v>
      </c>
      <c r="Z2037">
        <v>2.7262050000000002E-3</v>
      </c>
      <c r="AA2037">
        <v>0.99980950000000002</v>
      </c>
      <c r="AB2037">
        <v>45</v>
      </c>
      <c r="AC2037">
        <v>-14.4323999999999</v>
      </c>
      <c r="AD2037">
        <v>-1.1199964447589901</v>
      </c>
      <c r="AE2037">
        <v>-0.130999999999971</v>
      </c>
      <c r="AF2037">
        <v>0.28754217145489303</v>
      </c>
      <c r="AG2037">
        <v>-1.1199964447589901</v>
      </c>
      <c r="AH2037">
        <v>14.3437214971794</v>
      </c>
      <c r="AI2037">
        <v>94.463856698980607</v>
      </c>
      <c r="AJ2037">
        <v>88.851570947383806</v>
      </c>
      <c r="AK2037">
        <v>14.390254303704401</v>
      </c>
      <c r="AL2037">
        <v>94.845795999572701</v>
      </c>
      <c r="AM2037">
        <v>89.711569188548907</v>
      </c>
      <c r="AN2037">
        <v>1.0000000678446399</v>
      </c>
    </row>
    <row r="2038" spans="1:40" x14ac:dyDescent="0.25">
      <c r="A2038" t="str">
        <f>"20190303154808079"</f>
        <v>20190303154808079</v>
      </c>
      <c r="B2038" t="str">
        <f>"1551599288072332"</f>
        <v>1551599288072332</v>
      </c>
      <c r="C2038" t="s">
        <v>40</v>
      </c>
      <c r="D2038">
        <v>5.7798449999999999</v>
      </c>
      <c r="E2038">
        <v>0.52318379999999998</v>
      </c>
      <c r="F2038" t="s">
        <v>54</v>
      </c>
      <c r="G2038">
        <v>-292.85590000000002</v>
      </c>
      <c r="H2038" s="1">
        <v>2.6578330000000001E-6</v>
      </c>
      <c r="I2038">
        <v>285.23989999999998</v>
      </c>
      <c r="J2038">
        <v>-270.70609999999999</v>
      </c>
      <c r="K2038">
        <v>1.1191169999999999</v>
      </c>
      <c r="L2038">
        <v>284.54500000000002</v>
      </c>
      <c r="M2038">
        <v>-0.99960780000000005</v>
      </c>
      <c r="N2038">
        <v>-9.7558739999999994E-3</v>
      </c>
      <c r="O2038">
        <v>-2.6252230000000001E-2</v>
      </c>
      <c r="P2038">
        <v>-0.99574669999999998</v>
      </c>
      <c r="Q2038">
        <v>-9.0773430000000002E-2</v>
      </c>
      <c r="R2038">
        <v>-1.5777869999999999E-2</v>
      </c>
      <c r="S2038">
        <v>-3.003479</v>
      </c>
      <c r="T2038">
        <v>-0.1328279</v>
      </c>
      <c r="U2038">
        <v>7.1929930000000003E-2</v>
      </c>
      <c r="V2038">
        <v>1.025209E-2</v>
      </c>
      <c r="W2038">
        <v>-8.1068950000000001E-2</v>
      </c>
      <c r="X2038">
        <v>0.99665579999999998</v>
      </c>
      <c r="Y2038">
        <v>5.0104370000000002E-2</v>
      </c>
      <c r="Z2038">
        <v>2.2560840000000002E-3</v>
      </c>
      <c r="AA2038">
        <v>0.9987414</v>
      </c>
      <c r="AB2038">
        <v>45</v>
      </c>
      <c r="AC2038">
        <v>-22.149799999999999</v>
      </c>
      <c r="AD2038">
        <v>-1.119114342167</v>
      </c>
      <c r="AE2038">
        <v>0.69489999999996099</v>
      </c>
      <c r="AF2038">
        <v>1.27292349832019</v>
      </c>
      <c r="AG2038">
        <v>-1.119114342167</v>
      </c>
      <c r="AH2038">
        <v>22.067643903030898</v>
      </c>
      <c r="AI2038">
        <v>92.898338801473102</v>
      </c>
      <c r="AJ2038">
        <v>86.6986772471394</v>
      </c>
      <c r="AK2038">
        <v>22.132637858474901</v>
      </c>
      <c r="AL2038">
        <v>94.650011501064895</v>
      </c>
      <c r="AM2038">
        <v>89.410648318621796</v>
      </c>
      <c r="AN2038">
        <v>1.00000003183855</v>
      </c>
    </row>
    <row r="2039" spans="1:40" x14ac:dyDescent="0.25">
      <c r="A2039" t="str">
        <f>"20190303154808101"</f>
        <v>20190303154808101</v>
      </c>
      <c r="B2039" t="str">
        <f>"1551599288092830"</f>
        <v>1551599288092830</v>
      </c>
      <c r="C2039" t="s">
        <v>40</v>
      </c>
      <c r="D2039">
        <v>5.7467689999999996</v>
      </c>
      <c r="E2039">
        <v>0.52683199999999997</v>
      </c>
      <c r="F2039" t="s">
        <v>54</v>
      </c>
      <c r="G2039">
        <v>-313.00970000000001</v>
      </c>
      <c r="H2039" s="1">
        <v>3.390677E-6</v>
      </c>
      <c r="I2039">
        <v>286.45769999999999</v>
      </c>
      <c r="J2039">
        <v>-271.15640000000002</v>
      </c>
      <c r="K2039">
        <v>1.118954</v>
      </c>
      <c r="L2039">
        <v>284.53390000000002</v>
      </c>
      <c r="M2039">
        <v>-0.99963250000000003</v>
      </c>
      <c r="N2039">
        <v>-9.7626810000000005E-3</v>
      </c>
      <c r="O2039">
        <v>-2.5291259999999999E-2</v>
      </c>
      <c r="P2039">
        <v>-0.99576439999999999</v>
      </c>
      <c r="Q2039">
        <v>-9.0827759999999994E-2</v>
      </c>
      <c r="R2039">
        <v>-1.426797E-2</v>
      </c>
      <c r="S2039">
        <v>-3.0077210000000001</v>
      </c>
      <c r="T2039">
        <v>-7.9567189999999996E-2</v>
      </c>
      <c r="U2039">
        <v>0.13598629999999901</v>
      </c>
      <c r="V2039">
        <v>1.0771920000000001E-2</v>
      </c>
      <c r="W2039">
        <v>-8.1121760000000001E-2</v>
      </c>
      <c r="X2039">
        <v>0.99664600000000003</v>
      </c>
      <c r="Y2039">
        <v>7.0381310000000002E-2</v>
      </c>
      <c r="Z2039">
        <v>1.6960269999999999E-3</v>
      </c>
      <c r="AA2039">
        <v>0.99751869999999998</v>
      </c>
      <c r="AB2039">
        <v>45</v>
      </c>
      <c r="AC2039">
        <v>-41.853299999999898</v>
      </c>
      <c r="AD2039">
        <v>-1.1189506093229999</v>
      </c>
      <c r="AE2039">
        <v>1.92379999999997</v>
      </c>
      <c r="AF2039">
        <v>2.9796324136857399</v>
      </c>
      <c r="AG2039">
        <v>-1.1189506093229999</v>
      </c>
      <c r="AH2039">
        <v>41.761466612552702</v>
      </c>
      <c r="AI2039">
        <v>91.530917612411599</v>
      </c>
      <c r="AJ2039">
        <v>85.918928038547193</v>
      </c>
      <c r="AK2039">
        <v>41.882578161070001</v>
      </c>
      <c r="AL2039">
        <v>94.653047383545299</v>
      </c>
      <c r="AM2039">
        <v>89.3807615518039</v>
      </c>
      <c r="AN2039">
        <v>1.00000001176099</v>
      </c>
    </row>
    <row r="2040" spans="1:40" x14ac:dyDescent="0.25">
      <c r="A2040" t="str">
        <f>"20190303154808123"</f>
        <v>20190303154808123</v>
      </c>
      <c r="B2040" t="str">
        <f>"1551599288112347"</f>
        <v>1551599288112347</v>
      </c>
      <c r="C2040" t="s">
        <v>40</v>
      </c>
      <c r="D2040">
        <v>5.6543070000000002</v>
      </c>
      <c r="E2040">
        <v>0.52942080000000002</v>
      </c>
      <c r="F2040" t="s">
        <v>52</v>
      </c>
      <c r="G2040">
        <v>-355.9058</v>
      </c>
      <c r="H2040" s="1">
        <v>1.6059740000000001E-6</v>
      </c>
      <c r="I2040">
        <v>289.30119999999999</v>
      </c>
      <c r="J2040">
        <v>-271.5976</v>
      </c>
      <c r="K2040">
        <v>1.1187940000000001</v>
      </c>
      <c r="L2040">
        <v>284.52350000000001</v>
      </c>
      <c r="M2040">
        <v>-0.99965939999999998</v>
      </c>
      <c r="N2040">
        <v>-9.7699310000000008E-3</v>
      </c>
      <c r="O2040">
        <v>-2.4200119999999999E-2</v>
      </c>
      <c r="P2040">
        <v>-0.99585319999999999</v>
      </c>
      <c r="Q2040">
        <v>-9.0058940000000004E-2</v>
      </c>
      <c r="R2040">
        <v>-1.2878250000000001E-2</v>
      </c>
      <c r="S2040">
        <v>-3.011536</v>
      </c>
      <c r="T2040">
        <v>-3.9761539999999998E-2</v>
      </c>
      <c r="U2040">
        <v>0.1694031</v>
      </c>
      <c r="V2040">
        <v>1.104659E-2</v>
      </c>
      <c r="W2040">
        <v>-8.0350000000000005E-2</v>
      </c>
      <c r="X2040">
        <v>0.99670550000000002</v>
      </c>
      <c r="Y2040">
        <v>8.0296930000000002E-2</v>
      </c>
      <c r="Z2040">
        <v>1.0052920000000001E-3</v>
      </c>
      <c r="AA2040">
        <v>0.9967705</v>
      </c>
      <c r="AB2040">
        <v>46</v>
      </c>
      <c r="AC2040">
        <v>-84.308199999999999</v>
      </c>
      <c r="AD2040">
        <v>-1.1187923940260001</v>
      </c>
      <c r="AE2040">
        <v>4.7776999999999799</v>
      </c>
      <c r="AF2040">
        <v>6.81547020293538</v>
      </c>
      <c r="AG2040">
        <v>-1.1187923940260001</v>
      </c>
      <c r="AH2040">
        <v>84.153108300295202</v>
      </c>
      <c r="AI2040">
        <v>90.759201215147101</v>
      </c>
      <c r="AJ2040">
        <v>85.369781992409898</v>
      </c>
      <c r="AK2040">
        <v>84.436058453182497</v>
      </c>
      <c r="AL2040">
        <v>94.608684015642694</v>
      </c>
      <c r="AM2040">
        <v>89.365010956744996</v>
      </c>
      <c r="AN2040">
        <v>1.00000000169043</v>
      </c>
    </row>
    <row r="2041" spans="1:40" x14ac:dyDescent="0.25">
      <c r="A2041" t="str">
        <f>"20190303154808145"</f>
        <v>20190303154808145</v>
      </c>
      <c r="B2041" t="str">
        <f>"1551599288142603"</f>
        <v>1551599288142603</v>
      </c>
      <c r="C2041" t="s">
        <v>40</v>
      </c>
      <c r="D2041">
        <v>5.7762479999999998</v>
      </c>
      <c r="E2041">
        <v>0.52608359999999998</v>
      </c>
      <c r="F2041" t="s">
        <v>52</v>
      </c>
      <c r="G2041">
        <v>-350.53519999999997</v>
      </c>
      <c r="H2041">
        <v>1.716208E-2</v>
      </c>
      <c r="I2041">
        <v>289.61630000000002</v>
      </c>
      <c r="J2041">
        <v>-272.08150000000001</v>
      </c>
      <c r="K2041">
        <v>1.118628</v>
      </c>
      <c r="L2041">
        <v>284.51280000000003</v>
      </c>
      <c r="M2041">
        <v>-0.99969050000000004</v>
      </c>
      <c r="N2041">
        <v>-9.7783409999999994E-3</v>
      </c>
      <c r="O2041">
        <v>-2.287134E-2</v>
      </c>
      <c r="P2041">
        <v>-0.9958726</v>
      </c>
      <c r="Q2041">
        <v>-8.9977070000000006E-2</v>
      </c>
      <c r="R2041">
        <v>-1.190809E-2</v>
      </c>
      <c r="S2041">
        <v>-3.0112299999999999</v>
      </c>
      <c r="T2041">
        <v>-4.2023900000000003E-2</v>
      </c>
      <c r="U2041">
        <v>0.1942749</v>
      </c>
      <c r="V2041">
        <v>1.066131E-2</v>
      </c>
      <c r="W2041">
        <v>-8.0263080000000001E-2</v>
      </c>
      <c r="X2041">
        <v>0.99671670000000001</v>
      </c>
      <c r="Y2041">
        <v>8.7176459999999997E-2</v>
      </c>
      <c r="Z2041">
        <v>1.1298429999999999E-3</v>
      </c>
      <c r="AA2041">
        <v>0.99619219999999997</v>
      </c>
      <c r="AB2041">
        <v>46</v>
      </c>
      <c r="AC2041">
        <v>-78.453699999999898</v>
      </c>
      <c r="AD2041">
        <v>-1.1014659200000001</v>
      </c>
      <c r="AE2041">
        <v>5.1034999999999897</v>
      </c>
      <c r="AF2041">
        <v>6.8952386751167998</v>
      </c>
      <c r="AG2041">
        <v>-1.1014659200000001</v>
      </c>
      <c r="AH2041">
        <v>78.301077255845101</v>
      </c>
      <c r="AI2041">
        <v>90.802823593699401</v>
      </c>
      <c r="AJ2041">
        <v>84.967481842306398</v>
      </c>
      <c r="AK2041">
        <v>78.6118072746428</v>
      </c>
      <c r="AL2041">
        <v>94.603687724438501</v>
      </c>
      <c r="AM2041">
        <v>89.387163100370998</v>
      </c>
      <c r="AN2041">
        <v>1.0000000028004401</v>
      </c>
    </row>
    <row r="2042" spans="1:40" x14ac:dyDescent="0.25">
      <c r="A2042" t="str">
        <f>"20190303154808167"</f>
        <v>20190303154808167</v>
      </c>
      <c r="B2042" t="str">
        <f>"1551599288163099"</f>
        <v>1551599288163099</v>
      </c>
      <c r="C2042" t="s">
        <v>40</v>
      </c>
      <c r="D2042">
        <v>5.7735609999999999</v>
      </c>
      <c r="E2042">
        <v>0.52536519999999898</v>
      </c>
      <c r="F2042" t="s">
        <v>54</v>
      </c>
      <c r="G2042">
        <v>-318.80079999999998</v>
      </c>
      <c r="H2042" s="1">
        <v>5.8969159999999998E-6</v>
      </c>
      <c r="I2042">
        <v>287.16579999999999</v>
      </c>
      <c r="J2042">
        <v>-272.5181</v>
      </c>
      <c r="K2042">
        <v>1.1184889999999901</v>
      </c>
      <c r="L2042">
        <v>284.50369999999998</v>
      </c>
      <c r="M2042">
        <v>-0.99971960000000004</v>
      </c>
      <c r="N2042">
        <v>-9.7860970000000005E-3</v>
      </c>
      <c r="O2042">
        <v>-2.157075E-2</v>
      </c>
      <c r="P2042">
        <v>-0.99587539999999997</v>
      </c>
      <c r="Q2042">
        <v>-9.0077470000000007E-2</v>
      </c>
      <c r="R2042">
        <v>-1.088155E-2</v>
      </c>
      <c r="S2042">
        <v>-3.0079349999999998</v>
      </c>
      <c r="T2042">
        <v>-7.2020290000000001E-2</v>
      </c>
      <c r="U2042">
        <v>0.17080689999999901</v>
      </c>
      <c r="V2042">
        <v>1.036516E-2</v>
      </c>
      <c r="W2042">
        <v>-8.0358540000000006E-2</v>
      </c>
      <c r="X2042">
        <v>0.99671209999999999</v>
      </c>
      <c r="Y2042">
        <v>7.818435E-2</v>
      </c>
      <c r="Z2042">
        <v>1.623214E-3</v>
      </c>
      <c r="AA2042">
        <v>0.99693759999999998</v>
      </c>
      <c r="AB2042">
        <v>46</v>
      </c>
      <c r="AC2042">
        <v>-46.282699999999899</v>
      </c>
      <c r="AD2042">
        <v>-1.1184831030839999</v>
      </c>
      <c r="AE2042">
        <v>2.6621000000000001</v>
      </c>
      <c r="AF2042">
        <v>3.6577515972852699</v>
      </c>
      <c r="AG2042">
        <v>-1.1184831030839999</v>
      </c>
      <c r="AH2042">
        <v>46.187618718987601</v>
      </c>
      <c r="AI2042">
        <v>91.382880144561597</v>
      </c>
      <c r="AJ2042">
        <v>85.472006214498194</v>
      </c>
      <c r="AK2042">
        <v>46.345725521669202</v>
      </c>
      <c r="AL2042">
        <v>94.609175051241095</v>
      </c>
      <c r="AM2042">
        <v>89.404182496947598</v>
      </c>
      <c r="AN2042">
        <v>0.99999997088958303</v>
      </c>
    </row>
    <row r="2043" spans="1:40" x14ac:dyDescent="0.25">
      <c r="A2043" t="str">
        <f>"20190303154808190"</f>
        <v>20190303154808190</v>
      </c>
      <c r="B2043" t="str">
        <f>"1551599288182622"</f>
        <v>1551599288182622</v>
      </c>
      <c r="C2043" t="s">
        <v>40</v>
      </c>
      <c r="D2043">
        <v>5.7803000000000004</v>
      </c>
      <c r="E2043">
        <v>0.52462889999999995</v>
      </c>
      <c r="F2043" t="s">
        <v>54</v>
      </c>
      <c r="G2043">
        <v>-312.15980000000002</v>
      </c>
      <c r="H2043" s="1">
        <v>2.991215E-6</v>
      </c>
      <c r="I2043">
        <v>286.71600000000001</v>
      </c>
      <c r="J2043">
        <v>-272.98610000000002</v>
      </c>
      <c r="K2043">
        <v>1.1183459999999901</v>
      </c>
      <c r="L2043">
        <v>284.49459999999999</v>
      </c>
      <c r="M2043">
        <v>-0.99975049999999999</v>
      </c>
      <c r="N2043">
        <v>-9.7947750000000004E-3</v>
      </c>
      <c r="O2043">
        <v>-2.007782E-2</v>
      </c>
      <c r="P2043">
        <v>-0.99578710000000004</v>
      </c>
      <c r="Q2043">
        <v>-9.1107729999999998E-2</v>
      </c>
      <c r="R2043">
        <v>-1.0358620000000001E-2</v>
      </c>
      <c r="S2043">
        <v>-3.0065309999999998</v>
      </c>
      <c r="T2043">
        <v>-8.4828970000000004E-2</v>
      </c>
      <c r="U2043">
        <v>0.16778560000000001</v>
      </c>
      <c r="V2043">
        <v>9.3691669999999994E-3</v>
      </c>
      <c r="W2043">
        <v>-8.1381120000000001E-2</v>
      </c>
      <c r="X2043">
        <v>0.99663900000000005</v>
      </c>
      <c r="Y2043">
        <v>7.571282E-2</v>
      </c>
      <c r="Z2043">
        <v>1.807789E-3</v>
      </c>
      <c r="AA2043">
        <v>0.99712800000000001</v>
      </c>
      <c r="AB2043">
        <v>46</v>
      </c>
      <c r="AC2043">
        <v>-39.173699999999997</v>
      </c>
      <c r="AD2043">
        <v>-1.1183430087849999</v>
      </c>
      <c r="AE2043">
        <v>2.2214000000000098</v>
      </c>
      <c r="AF2043">
        <v>3.0050710487430901</v>
      </c>
      <c r="AG2043">
        <v>-1.1183430087849999</v>
      </c>
      <c r="AH2043">
        <v>39.089443592023002</v>
      </c>
      <c r="AI2043">
        <v>91.633957828778804</v>
      </c>
      <c r="AJ2043">
        <v>85.603930950045694</v>
      </c>
      <c r="AK2043">
        <v>39.220731041468802</v>
      </c>
      <c r="AL2043">
        <v>94.667957051643299</v>
      </c>
      <c r="AM2043">
        <v>89.461391823948901</v>
      </c>
      <c r="AN2043">
        <v>0.99999998215186403</v>
      </c>
    </row>
    <row r="2044" spans="1:40" x14ac:dyDescent="0.25">
      <c r="A2044" t="str">
        <f>"20190303154808211"</f>
        <v>20190303154808211</v>
      </c>
      <c r="B2044" t="str">
        <f>"1551599288203126"</f>
        <v>1551599288203126</v>
      </c>
      <c r="C2044" t="s">
        <v>40</v>
      </c>
      <c r="D2044">
        <v>5.7875550000000002</v>
      </c>
      <c r="E2044">
        <v>0.52386909999999998</v>
      </c>
      <c r="F2044" t="s">
        <v>54</v>
      </c>
      <c r="G2044">
        <v>-307.11169999999998</v>
      </c>
      <c r="H2044" s="1">
        <v>2.5510589999999999E-6</v>
      </c>
      <c r="I2044">
        <v>286.35550000000001</v>
      </c>
      <c r="J2044">
        <v>-273.42939999999999</v>
      </c>
      <c r="K2044">
        <v>1.1182209999999999</v>
      </c>
      <c r="L2044">
        <v>284.48669999999998</v>
      </c>
      <c r="M2044">
        <v>-0.99977919999999998</v>
      </c>
      <c r="N2044">
        <v>-9.8031679999999993E-3</v>
      </c>
      <c r="O2044">
        <v>-1.8582680000000001E-2</v>
      </c>
      <c r="P2044">
        <v>-0.9957821</v>
      </c>
      <c r="Q2044">
        <v>-9.1243619999999998E-2</v>
      </c>
      <c r="R2044">
        <v>-9.6203460000000001E-3</v>
      </c>
      <c r="S2044">
        <v>-3.0053709999999998</v>
      </c>
      <c r="T2044">
        <v>-9.8489999999999994E-2</v>
      </c>
      <c r="U2044">
        <v>0.16387939999999901</v>
      </c>
      <c r="V2044">
        <v>8.5940310000000002E-3</v>
      </c>
      <c r="W2044">
        <v>-8.1508739999999996E-2</v>
      </c>
      <c r="X2044">
        <v>0.99663559999999995</v>
      </c>
      <c r="Y2044">
        <v>7.2938899999999904E-2</v>
      </c>
      <c r="Z2044">
        <v>1.9782860000000001E-3</v>
      </c>
      <c r="AA2044">
        <v>0.99733439999999995</v>
      </c>
      <c r="AB2044">
        <v>46</v>
      </c>
      <c r="AC2044">
        <v>-33.682299999999998</v>
      </c>
      <c r="AD2044">
        <v>-1.1182184489410001</v>
      </c>
      <c r="AE2044">
        <v>1.86880000000002</v>
      </c>
      <c r="AF2044">
        <v>2.49167696836057</v>
      </c>
      <c r="AG2044">
        <v>-1.1182184489410001</v>
      </c>
      <c r="AH2044">
        <v>33.604829763153496</v>
      </c>
      <c r="AI2044">
        <v>91.900630559452495</v>
      </c>
      <c r="AJ2044">
        <v>85.759484173593705</v>
      </c>
      <c r="AK2044">
        <v>33.715626199504896</v>
      </c>
      <c r="AL2044">
        <v>94.6752933083241</v>
      </c>
      <c r="AM2044">
        <v>89.505948311130396</v>
      </c>
      <c r="AN2044">
        <v>1.00000002562628</v>
      </c>
    </row>
    <row r="2045" spans="1:40" x14ac:dyDescent="0.25">
      <c r="A2045" t="str">
        <f>"20190303154808236"</f>
        <v>20190303154808236</v>
      </c>
      <c r="B2045" t="str">
        <f>"1551599288232395"</f>
        <v>1551599288232395</v>
      </c>
      <c r="C2045" t="s">
        <v>40</v>
      </c>
      <c r="D2045">
        <v>5.8107530000000001</v>
      </c>
      <c r="E2045">
        <v>0.52297559999999998</v>
      </c>
      <c r="F2045" t="s">
        <v>54</v>
      </c>
      <c r="G2045">
        <v>-305.27210000000002</v>
      </c>
      <c r="H2045" s="1">
        <v>2.892423E-6</v>
      </c>
      <c r="I2045">
        <v>286.18340000000001</v>
      </c>
      <c r="J2045">
        <v>-273.92579999999998</v>
      </c>
      <c r="K2045">
        <v>1.118107</v>
      </c>
      <c r="L2045">
        <v>284.47859999999997</v>
      </c>
      <c r="M2045">
        <v>-0.99981030000000004</v>
      </c>
      <c r="N2045">
        <v>-9.8169629999999997E-3</v>
      </c>
      <c r="O2045">
        <v>-1.6835309999999999E-2</v>
      </c>
      <c r="P2045">
        <v>-0.99581770000000003</v>
      </c>
      <c r="Q2045">
        <v>-9.0941019999999997E-2</v>
      </c>
      <c r="R2045">
        <v>-8.7673030000000006E-3</v>
      </c>
      <c r="S2045">
        <v>-3.004578</v>
      </c>
      <c r="T2045">
        <v>-0.1055118</v>
      </c>
      <c r="U2045">
        <v>0.16009519999999999</v>
      </c>
      <c r="V2045">
        <v>7.6838499999999999E-3</v>
      </c>
      <c r="W2045">
        <v>-8.1191180000000002E-2</v>
      </c>
      <c r="X2045">
        <v>0.99666889999999997</v>
      </c>
      <c r="Y2045">
        <v>6.9952589999999995E-2</v>
      </c>
      <c r="Z2045">
        <v>1.996304E-3</v>
      </c>
      <c r="AA2045">
        <v>0.99754830000000005</v>
      </c>
      <c r="AB2045">
        <v>46</v>
      </c>
      <c r="AC2045">
        <v>-31.346299999999999</v>
      </c>
      <c r="AD2045">
        <v>-1.118104107577</v>
      </c>
      <c r="AE2045">
        <v>1.7048000000000301</v>
      </c>
      <c r="AF2045">
        <v>2.2294801418519401</v>
      </c>
      <c r="AG2045">
        <v>-1.118104107577</v>
      </c>
      <c r="AH2045">
        <v>31.273482714260801</v>
      </c>
      <c r="AI2045">
        <v>92.042414202041897</v>
      </c>
      <c r="AJ2045">
        <v>85.922294293991598</v>
      </c>
      <c r="AK2045">
        <v>31.372782145953501</v>
      </c>
      <c r="AL2045">
        <v>94.657038202238695</v>
      </c>
      <c r="AM2045">
        <v>89.558285150345597</v>
      </c>
      <c r="AN2045">
        <v>0.99999997274391195</v>
      </c>
    </row>
    <row r="2046" spans="1:40" x14ac:dyDescent="0.25">
      <c r="A2046" t="str">
        <f>"20190303154808257"</f>
        <v>20190303154808257</v>
      </c>
      <c r="B2046" t="str">
        <f>"1551599288252891"</f>
        <v>1551599288252891</v>
      </c>
      <c r="C2046" t="s">
        <v>40</v>
      </c>
      <c r="D2046">
        <v>5.8029580000000003</v>
      </c>
      <c r="E2046">
        <v>0.5225919</v>
      </c>
      <c r="F2046" t="s">
        <v>54</v>
      </c>
      <c r="G2046">
        <v>-304.1891</v>
      </c>
      <c r="H2046" s="1">
        <v>3.096244E-6</v>
      </c>
      <c r="I2046">
        <v>286.04950000000002</v>
      </c>
      <c r="J2046">
        <v>-274.36219999999997</v>
      </c>
      <c r="K2046">
        <v>1.118017</v>
      </c>
      <c r="L2046">
        <v>284.47230000000002</v>
      </c>
      <c r="M2046">
        <v>-0.99983540000000004</v>
      </c>
      <c r="N2046">
        <v>-9.835692E-3</v>
      </c>
      <c r="O2046">
        <v>-1.5246239999999999E-2</v>
      </c>
      <c r="P2046">
        <v>-0.99592519999999995</v>
      </c>
      <c r="Q2046">
        <v>-8.9853929999999999E-2</v>
      </c>
      <c r="R2046">
        <v>-7.70572599999999E-3</v>
      </c>
      <c r="S2046">
        <v>-3.0038450000000001</v>
      </c>
      <c r="T2046">
        <v>-0.1109798</v>
      </c>
      <c r="U2046">
        <v>0.15591429999999901</v>
      </c>
      <c r="V2046">
        <v>7.1493199999999998E-3</v>
      </c>
      <c r="W2046">
        <v>-8.0084180000000005E-2</v>
      </c>
      <c r="X2046">
        <v>0.9967625</v>
      </c>
      <c r="Y2046">
        <v>6.6992250000000003E-2</v>
      </c>
      <c r="Z2046">
        <v>1.9790630000000001E-3</v>
      </c>
      <c r="AA2046">
        <v>0.99775150000000001</v>
      </c>
      <c r="AB2046">
        <v>46</v>
      </c>
      <c r="AC2046">
        <v>-29.826899999999998</v>
      </c>
      <c r="AD2046">
        <v>-1.118013903756</v>
      </c>
      <c r="AE2046">
        <v>1.5771999999999999</v>
      </c>
      <c r="AF2046">
        <v>2.0289440036547002</v>
      </c>
      <c r="AG2046">
        <v>-1.118013903756</v>
      </c>
      <c r="AH2046">
        <v>29.757692175249101</v>
      </c>
      <c r="AI2046">
        <v>92.146644756480299</v>
      </c>
      <c r="AJ2046">
        <v>86.099486237363607</v>
      </c>
      <c r="AK2046">
        <v>29.847727090279999</v>
      </c>
      <c r="AL2046">
        <v>94.593404258224496</v>
      </c>
      <c r="AM2046">
        <v>89.589050713527797</v>
      </c>
      <c r="AN2046">
        <v>1.00000003503449</v>
      </c>
    </row>
    <row r="2047" spans="1:40" x14ac:dyDescent="0.25">
      <c r="A2047" t="str">
        <f>"20190303154808279"</f>
        <v>20190303154808279</v>
      </c>
      <c r="B2047" t="str">
        <f>"1551599288272411"</f>
        <v>1551599288272411</v>
      </c>
      <c r="C2047" t="s">
        <v>40</v>
      </c>
      <c r="D2047">
        <v>5.8027879999999996</v>
      </c>
      <c r="E2047">
        <v>0.52217559999999996</v>
      </c>
      <c r="F2047" t="s">
        <v>54</v>
      </c>
      <c r="G2047">
        <v>-304.58300000000003</v>
      </c>
      <c r="H2047" s="1">
        <v>3.0270419999999999E-6</v>
      </c>
      <c r="I2047">
        <v>286.04169999999999</v>
      </c>
      <c r="J2047">
        <v>-274.80189999999999</v>
      </c>
      <c r="K2047">
        <v>1.117934</v>
      </c>
      <c r="L2047">
        <v>284.46660000000003</v>
      </c>
      <c r="M2047">
        <v>-0.99985889999999999</v>
      </c>
      <c r="N2047">
        <v>-9.8585849999999996E-3</v>
      </c>
      <c r="O2047">
        <v>-1.360719E-2</v>
      </c>
      <c r="P2047">
        <v>-0.99601360000000005</v>
      </c>
      <c r="Q2047">
        <v>-8.9000819999999994E-2</v>
      </c>
      <c r="R2047">
        <v>-6.0057259999999899E-3</v>
      </c>
      <c r="S2047">
        <v>-3.0034480000000001</v>
      </c>
      <c r="T2047">
        <v>-0.111112</v>
      </c>
      <c r="U2047">
        <v>0.15597529999999901</v>
      </c>
      <c r="V2047">
        <v>7.2037869999999997E-3</v>
      </c>
      <c r="W2047">
        <v>-7.9209440000000006E-2</v>
      </c>
      <c r="X2047">
        <v>0.99683200000000005</v>
      </c>
      <c r="Y2047">
        <v>6.5385390000000002E-2</v>
      </c>
      <c r="Z2047">
        <v>1.8998000000000001E-3</v>
      </c>
      <c r="AA2047">
        <v>0.99785829999999998</v>
      </c>
      <c r="AB2047">
        <v>46</v>
      </c>
      <c r="AC2047">
        <v>-29.781099999999899</v>
      </c>
      <c r="AD2047">
        <v>-1.117930972958</v>
      </c>
      <c r="AE2047">
        <v>1.57509999999996</v>
      </c>
      <c r="AF2047">
        <v>1.97743223628007</v>
      </c>
      <c r="AG2047">
        <v>-1.117930972958</v>
      </c>
      <c r="AH2047">
        <v>29.715153344580301</v>
      </c>
      <c r="AI2047">
        <v>92.149791209093806</v>
      </c>
      <c r="AJ2047">
        <v>86.192793650252497</v>
      </c>
      <c r="AK2047">
        <v>29.801851388819799</v>
      </c>
      <c r="AL2047">
        <v>94.543125629227802</v>
      </c>
      <c r="AM2047">
        <v>89.585948879432905</v>
      </c>
      <c r="AN2047">
        <v>1.00000003307812</v>
      </c>
    </row>
    <row r="2048" spans="1:40" x14ac:dyDescent="0.25">
      <c r="A2048" t="str">
        <f>"20190303154808301"</f>
        <v>20190303154808301</v>
      </c>
      <c r="B2048" t="str">
        <f>"1551599288292910"</f>
        <v>1551599288292910</v>
      </c>
      <c r="C2048" t="s">
        <v>40</v>
      </c>
      <c r="D2048">
        <v>5.783976</v>
      </c>
      <c r="E2048">
        <v>0.5217927</v>
      </c>
      <c r="F2048" t="s">
        <v>54</v>
      </c>
      <c r="G2048">
        <v>-304.6893</v>
      </c>
      <c r="H2048" s="1">
        <v>3.0085979999999998E-6</v>
      </c>
      <c r="I2048">
        <v>286.0369</v>
      </c>
      <c r="J2048">
        <v>-275.2681</v>
      </c>
      <c r="K2048">
        <v>1.117853</v>
      </c>
      <c r="L2048">
        <v>284.46140000000003</v>
      </c>
      <c r="M2048">
        <v>-0.99988109999999997</v>
      </c>
      <c r="N2048">
        <v>-9.8838559999999999E-3</v>
      </c>
      <c r="O2048">
        <v>-1.1834799999999999E-2</v>
      </c>
      <c r="P2048">
        <v>-0.99606919999999999</v>
      </c>
      <c r="Q2048">
        <v>-8.8499099999999997E-2</v>
      </c>
      <c r="R2048">
        <v>-3.750354E-3</v>
      </c>
      <c r="S2048">
        <v>-3.0029300000000001</v>
      </c>
      <c r="T2048">
        <v>-0.1123239</v>
      </c>
      <c r="U2048">
        <v>0.1577759</v>
      </c>
      <c r="V2048">
        <v>7.6798550000000002E-3</v>
      </c>
      <c r="W2048">
        <v>-7.8685920000000006E-2</v>
      </c>
      <c r="X2048">
        <v>0.99686989999999998</v>
      </c>
      <c r="Y2048">
        <v>6.4222539999999995E-2</v>
      </c>
      <c r="Z2048">
        <v>1.8430040000000001E-3</v>
      </c>
      <c r="AA2048">
        <v>0.99793390000000004</v>
      </c>
      <c r="AB2048">
        <v>46</v>
      </c>
      <c r="AC2048">
        <v>-29.421199999999999</v>
      </c>
      <c r="AD2048">
        <v>-1.1178499914019999</v>
      </c>
      <c r="AE2048">
        <v>1.5754999999999699</v>
      </c>
      <c r="AF2048">
        <v>1.92083569761122</v>
      </c>
      <c r="AG2048">
        <v>-1.1178499914019999</v>
      </c>
      <c r="AH2048">
        <v>29.358232382157698</v>
      </c>
      <c r="AI2048">
        <v>92.175904504747606</v>
      </c>
      <c r="AJ2048">
        <v>86.256615909213295</v>
      </c>
      <c r="AK2048">
        <v>29.442231691657899</v>
      </c>
      <c r="AL2048">
        <v>94.513036259841499</v>
      </c>
      <c r="AM2048">
        <v>89.558603812004094</v>
      </c>
      <c r="AN2048">
        <v>1.0000000258525299</v>
      </c>
    </row>
    <row r="2049" spans="1:40" x14ac:dyDescent="0.25">
      <c r="A2049" t="str">
        <f>"20190303154808324"</f>
        <v>20190303154808324</v>
      </c>
      <c r="B2049" t="str">
        <f>"1551599288312427"</f>
        <v>1551599288312427</v>
      </c>
      <c r="C2049" t="s">
        <v>40</v>
      </c>
      <c r="D2049">
        <v>5.8181370000000001</v>
      </c>
      <c r="E2049">
        <v>0.52120659999999996</v>
      </c>
      <c r="F2049" t="s">
        <v>54</v>
      </c>
      <c r="G2049">
        <v>-304.66050000000001</v>
      </c>
      <c r="H2049" s="1">
        <v>3.0132600000000002E-6</v>
      </c>
      <c r="I2049">
        <v>286.04219999999998</v>
      </c>
      <c r="J2049">
        <v>-275.72750000000002</v>
      </c>
      <c r="K2049">
        <v>1.1177779999999999</v>
      </c>
      <c r="L2049">
        <v>284.45710000000003</v>
      </c>
      <c r="M2049">
        <v>-0.99990029999999996</v>
      </c>
      <c r="N2049">
        <v>-9.911586E-3</v>
      </c>
      <c r="O2049">
        <v>-1.005988E-2</v>
      </c>
      <c r="P2049">
        <v>-0.99612540000000005</v>
      </c>
      <c r="Q2049">
        <v>-8.7934150000000003E-2</v>
      </c>
      <c r="R2049">
        <v>-1.331495E-3</v>
      </c>
      <c r="S2049">
        <v>-3.002319</v>
      </c>
      <c r="T2049">
        <v>-0.1141841</v>
      </c>
      <c r="U2049">
        <v>0.16146849999999999</v>
      </c>
      <c r="V2049">
        <v>8.3193880000000005E-3</v>
      </c>
      <c r="W2049">
        <v>-7.8097369999999999E-2</v>
      </c>
      <c r="X2049">
        <v>0.99691099999999999</v>
      </c>
      <c r="Y2049">
        <v>6.3684909999999997E-2</v>
      </c>
      <c r="Z2049">
        <v>1.8083050000000001E-3</v>
      </c>
      <c r="AA2049">
        <v>0.99796839999999998</v>
      </c>
      <c r="AB2049">
        <v>46</v>
      </c>
      <c r="AC2049">
        <v>-28.933</v>
      </c>
      <c r="AD2049">
        <v>-1.11777498674</v>
      </c>
      <c r="AE2049">
        <v>1.58509999999995</v>
      </c>
      <c r="AF2049">
        <v>1.87330898652789</v>
      </c>
      <c r="AG2049">
        <v>-1.11777498674</v>
      </c>
      <c r="AH2049">
        <v>28.87262491013</v>
      </c>
      <c r="AI2049">
        <v>92.212394824658006</v>
      </c>
      <c r="AJ2049">
        <v>86.287747749986195</v>
      </c>
      <c r="AK2049">
        <v>28.9549162782601</v>
      </c>
      <c r="AL2049">
        <v>94.479210956622396</v>
      </c>
      <c r="AM2049">
        <v>89.521868295459001</v>
      </c>
      <c r="AN2049">
        <v>0.99999997666930496</v>
      </c>
    </row>
    <row r="2050" spans="1:40" x14ac:dyDescent="0.25">
      <c r="A2050" t="str">
        <f>"20190303154808346"</f>
        <v>20190303154808346</v>
      </c>
      <c r="B2050" t="str">
        <f>"1551599288342683"</f>
        <v>1551599288342683</v>
      </c>
      <c r="C2050" t="s">
        <v>40</v>
      </c>
      <c r="D2050">
        <v>5.8259290000000004</v>
      </c>
      <c r="E2050">
        <v>0.52090009999999998</v>
      </c>
      <c r="F2050" t="s">
        <v>54</v>
      </c>
      <c r="G2050">
        <v>-304.99779999999998</v>
      </c>
      <c r="H2050" s="1">
        <v>2.9522509999999998E-6</v>
      </c>
      <c r="I2050">
        <v>286.0557</v>
      </c>
      <c r="J2050">
        <v>-276.19670000000002</v>
      </c>
      <c r="K2050">
        <v>1.117713</v>
      </c>
      <c r="L2050">
        <v>284.45359999999999</v>
      </c>
      <c r="M2050">
        <v>-0.9999169</v>
      </c>
      <c r="N2050">
        <v>-9.9418260000000008E-3</v>
      </c>
      <c r="O2050">
        <v>-8.2266259999999904E-3</v>
      </c>
      <c r="P2050">
        <v>-0.99602559999999996</v>
      </c>
      <c r="Q2050">
        <v>-8.9064840000000006E-2</v>
      </c>
      <c r="R2050">
        <v>7.863767E-4</v>
      </c>
      <c r="S2050">
        <v>-3.0018009999999999</v>
      </c>
      <c r="T2050">
        <v>-0.1146331</v>
      </c>
      <c r="U2050">
        <v>0.16394039999999999</v>
      </c>
      <c r="V2050">
        <v>8.5923779999999995E-3</v>
      </c>
      <c r="W2050">
        <v>-7.920162E-2</v>
      </c>
      <c r="X2050">
        <v>0.99682159999999997</v>
      </c>
      <c r="Y2050">
        <v>6.2684980000000001E-2</v>
      </c>
      <c r="Z2050">
        <v>1.739691E-3</v>
      </c>
      <c r="AA2050">
        <v>0.99803189999999997</v>
      </c>
      <c r="AB2050">
        <v>46</v>
      </c>
      <c r="AC2050">
        <v>-28.801099999999899</v>
      </c>
      <c r="AD2050">
        <v>-1.1177100477489901</v>
      </c>
      <c r="AE2050">
        <v>1.6021000000000001</v>
      </c>
      <c r="AF2050">
        <v>1.83623639273229</v>
      </c>
      <c r="AG2050">
        <v>-1.1177100477489901</v>
      </c>
      <c r="AH2050">
        <v>28.743788647261901</v>
      </c>
      <c r="AI2050">
        <v>92.2223145768492</v>
      </c>
      <c r="AJ2050">
        <v>86.344746804149096</v>
      </c>
      <c r="AK2050">
        <v>28.824059839642601</v>
      </c>
      <c r="AL2050">
        <v>94.542676251475797</v>
      </c>
      <c r="AM2050">
        <v>89.506135498031298</v>
      </c>
      <c r="AN2050">
        <v>1.00000001389843</v>
      </c>
    </row>
    <row r="2051" spans="1:40" x14ac:dyDescent="0.25">
      <c r="A2051" t="str">
        <f>"20190303154808368"</f>
        <v>20190303154808368</v>
      </c>
      <c r="B2051" t="str">
        <f>"1551599288363180"</f>
        <v>1551599288363180</v>
      </c>
      <c r="C2051" t="s">
        <v>40</v>
      </c>
      <c r="D2051">
        <v>5.8326129999999896</v>
      </c>
      <c r="E2051">
        <v>0.52075499999999997</v>
      </c>
      <c r="F2051" t="s">
        <v>54</v>
      </c>
      <c r="G2051">
        <v>-303.95929999999998</v>
      </c>
      <c r="H2051" s="1">
        <v>3.1409950000000002E-6</v>
      </c>
      <c r="I2051">
        <v>286.00380000000001</v>
      </c>
      <c r="J2051">
        <v>-276.64580000000001</v>
      </c>
      <c r="K2051">
        <v>1.117656</v>
      </c>
      <c r="L2051">
        <v>284.45100000000002</v>
      </c>
      <c r="M2051">
        <v>-0.99992939999999997</v>
      </c>
      <c r="N2051">
        <v>-9.9720409999999992E-3</v>
      </c>
      <c r="O2051">
        <v>-6.4581769999999998E-3</v>
      </c>
      <c r="P2051">
        <v>-0.99596530000000005</v>
      </c>
      <c r="Q2051">
        <v>-8.9711289999999999E-2</v>
      </c>
      <c r="R2051">
        <v>2.2466130000000002E-3</v>
      </c>
      <c r="S2051">
        <v>-3.0010379999999999</v>
      </c>
      <c r="T2051">
        <v>-0.1208206</v>
      </c>
      <c r="U2051">
        <v>0.167572</v>
      </c>
      <c r="V2051">
        <v>8.2772780000000008E-3</v>
      </c>
      <c r="W2051">
        <v>-7.9818070000000005E-2</v>
      </c>
      <c r="X2051">
        <v>0.99677510000000002</v>
      </c>
      <c r="Y2051">
        <v>6.213287E-2</v>
      </c>
      <c r="Z2051">
        <v>1.7548220000000001E-3</v>
      </c>
      <c r="AA2051">
        <v>0.99806640000000002</v>
      </c>
      <c r="AB2051">
        <v>46</v>
      </c>
      <c r="AC2051">
        <v>-27.313499999999902</v>
      </c>
      <c r="AD2051">
        <v>-1.1176528590050001</v>
      </c>
      <c r="AE2051">
        <v>1.5528000000000399</v>
      </c>
      <c r="AF2051">
        <v>1.7262906184625999</v>
      </c>
      <c r="AG2051">
        <v>-1.1176528590050001</v>
      </c>
      <c r="AH2051">
        <v>27.2574088199678</v>
      </c>
      <c r="AI2051">
        <v>92.343330286163905</v>
      </c>
      <c r="AJ2051">
        <v>86.376132402534594</v>
      </c>
      <c r="AK2051">
        <v>27.334878137491199</v>
      </c>
      <c r="AL2051">
        <v>94.578108387679606</v>
      </c>
      <c r="AM2051">
        <v>89.524223473655496</v>
      </c>
      <c r="AN2051">
        <v>1.0000000188048099</v>
      </c>
    </row>
    <row r="2052" spans="1:40" x14ac:dyDescent="0.25">
      <c r="A2052" t="str">
        <f>"20190303154808391"</f>
        <v>20190303154808391</v>
      </c>
      <c r="B2052" t="str">
        <f>"1551599288382703"</f>
        <v>1551599288382703</v>
      </c>
      <c r="C2052" t="s">
        <v>40</v>
      </c>
      <c r="D2052">
        <v>5.864903</v>
      </c>
      <c r="E2052">
        <v>0.52058000000000004</v>
      </c>
      <c r="F2052" t="s">
        <v>54</v>
      </c>
      <c r="G2052">
        <v>-303.54629999999997</v>
      </c>
      <c r="H2052" s="1">
        <v>3.2160109999999999E-6</v>
      </c>
      <c r="I2052">
        <v>285.9837</v>
      </c>
      <c r="J2052">
        <v>-277.12</v>
      </c>
      <c r="K2052">
        <v>1.1176109999999999</v>
      </c>
      <c r="L2052">
        <v>284.44920000000002</v>
      </c>
      <c r="M2052">
        <v>-0.99993949999999998</v>
      </c>
      <c r="N2052">
        <v>-1.000617E-2</v>
      </c>
      <c r="O2052">
        <v>-4.5797479999999998E-3</v>
      </c>
      <c r="P2052">
        <v>-0.99590789999999996</v>
      </c>
      <c r="Q2052">
        <v>-9.0299000000000004E-2</v>
      </c>
      <c r="R2052">
        <v>3.738431E-3</v>
      </c>
      <c r="S2052">
        <v>-3.0005799999999998</v>
      </c>
      <c r="T2052">
        <v>-0.12466720000000001</v>
      </c>
      <c r="U2052">
        <v>0.17095949999999999</v>
      </c>
      <c r="V2052">
        <v>7.8857040000000003E-3</v>
      </c>
      <c r="W2052">
        <v>-8.0371219999999993E-2</v>
      </c>
      <c r="X2052">
        <v>0.9967338</v>
      </c>
      <c r="Y2052">
        <v>6.1387369999999997E-2</v>
      </c>
      <c r="Z2052">
        <v>1.725491E-3</v>
      </c>
      <c r="AA2052">
        <v>0.99811249999999996</v>
      </c>
      <c r="AB2052">
        <v>46</v>
      </c>
      <c r="AC2052">
        <v>-26.426299999999902</v>
      </c>
      <c r="AD2052">
        <v>-1.117607783989</v>
      </c>
      <c r="AE2052">
        <v>1.53449999999998</v>
      </c>
      <c r="AF2052">
        <v>1.6525699480441001</v>
      </c>
      <c r="AG2052">
        <v>-1.117607783989</v>
      </c>
      <c r="AH2052">
        <v>26.371985208825699</v>
      </c>
      <c r="AI2052">
        <v>92.421918027097007</v>
      </c>
      <c r="AJ2052">
        <v>86.414314719509704</v>
      </c>
      <c r="AK2052">
        <v>26.4473370766611</v>
      </c>
      <c r="AL2052">
        <v>94.609903818513104</v>
      </c>
      <c r="AM2052">
        <v>89.546711337329299</v>
      </c>
      <c r="AN2052">
        <v>0.99999999269715101</v>
      </c>
    </row>
    <row r="2053" spans="1:40" x14ac:dyDescent="0.25">
      <c r="A2053" t="str">
        <f>"20190303154808412"</f>
        <v>20190303154808412</v>
      </c>
      <c r="B2053" t="str">
        <f>"1551599288403208"</f>
        <v>1551599288403208</v>
      </c>
      <c r="C2053" t="s">
        <v>40</v>
      </c>
      <c r="D2053">
        <v>5.8733110000000002</v>
      </c>
      <c r="E2053">
        <v>0.52053240000000001</v>
      </c>
      <c r="F2053" t="s">
        <v>54</v>
      </c>
      <c r="G2053">
        <v>-303.27449999999999</v>
      </c>
      <c r="H2053" s="1">
        <v>3.265626E-6</v>
      </c>
      <c r="I2053">
        <v>285.9676</v>
      </c>
      <c r="J2053">
        <v>-277.56079999999997</v>
      </c>
      <c r="K2053">
        <v>1.117575</v>
      </c>
      <c r="L2053">
        <v>284.44830000000002</v>
      </c>
      <c r="M2053">
        <v>-0.99994559999999999</v>
      </c>
      <c r="N2053">
        <v>-1.003886E-2</v>
      </c>
      <c r="O2053">
        <v>-2.8254719999999999E-3</v>
      </c>
      <c r="P2053">
        <v>-0.99587360000000003</v>
      </c>
      <c r="Q2053">
        <v>-9.0612929999999994E-2</v>
      </c>
      <c r="R2053">
        <v>5.0435439999999996E-3</v>
      </c>
      <c r="S2053">
        <v>-3.0000610000000001</v>
      </c>
      <c r="T2053">
        <v>-0.12819529999999901</v>
      </c>
      <c r="U2053">
        <v>0.17416379999999901</v>
      </c>
      <c r="V2053">
        <v>7.4347249999999997E-3</v>
      </c>
      <c r="W2053">
        <v>-8.0651210000000001E-2</v>
      </c>
      <c r="X2053">
        <v>0.99671469999999995</v>
      </c>
      <c r="Y2053">
        <v>6.0706740000000002E-2</v>
      </c>
      <c r="Z2053">
        <v>1.6927450000000001E-3</v>
      </c>
      <c r="AA2053">
        <v>0.99815419999999999</v>
      </c>
      <c r="AB2053">
        <v>46</v>
      </c>
      <c r="AC2053">
        <v>-25.713699999999999</v>
      </c>
      <c r="AD2053">
        <v>-1.1175717343739999</v>
      </c>
      <c r="AE2053">
        <v>1.5192999999999801</v>
      </c>
      <c r="AF2053">
        <v>1.5889599044517</v>
      </c>
      <c r="AG2053">
        <v>-1.1175717343739999</v>
      </c>
      <c r="AH2053">
        <v>25.661000543268401</v>
      </c>
      <c r="AI2053">
        <v>92.488972785709194</v>
      </c>
      <c r="AJ2053">
        <v>86.456700665074706</v>
      </c>
      <c r="AK2053">
        <v>25.734426534139899</v>
      </c>
      <c r="AL2053">
        <v>94.625998078273895</v>
      </c>
      <c r="AM2053">
        <v>89.572625482389498</v>
      </c>
      <c r="AN2053">
        <v>1.0000000430031799</v>
      </c>
    </row>
    <row r="2054" spans="1:40" x14ac:dyDescent="0.25">
      <c r="A2054" t="str">
        <f>"20190303154808425"</f>
        <v>20190303154808425</v>
      </c>
      <c r="B2054" t="str">
        <f>"1551599288412955"</f>
        <v>1551599288412955</v>
      </c>
      <c r="C2054" t="s">
        <v>40</v>
      </c>
      <c r="D2054">
        <v>5.859146</v>
      </c>
      <c r="E2054">
        <v>0.52048399999999995</v>
      </c>
      <c r="F2054" t="s">
        <v>54</v>
      </c>
      <c r="G2054">
        <v>-303.11559999999997</v>
      </c>
      <c r="H2054" s="1">
        <v>3.294288E-6</v>
      </c>
      <c r="I2054">
        <v>285.9622</v>
      </c>
      <c r="J2054">
        <v>-277.81569999999999</v>
      </c>
      <c r="K2054">
        <v>1.117553</v>
      </c>
      <c r="L2054">
        <v>284.44810000000001</v>
      </c>
      <c r="M2054">
        <v>-0.9999479</v>
      </c>
      <c r="N2054">
        <v>-1.0058070000000001E-2</v>
      </c>
      <c r="O2054">
        <v>-1.8091629999999999E-3</v>
      </c>
      <c r="P2054">
        <v>-0.99587729999999997</v>
      </c>
      <c r="Q2054">
        <v>-9.054123E-2</v>
      </c>
      <c r="R2054">
        <v>5.5844199999999997E-3</v>
      </c>
      <c r="S2054">
        <v>-2.999603</v>
      </c>
      <c r="T2054">
        <v>-0.13117980000000001</v>
      </c>
      <c r="U2054">
        <v>0.1777039</v>
      </c>
      <c r="V2054">
        <v>6.9599850000000001E-3</v>
      </c>
      <c r="W2054">
        <v>-8.055814E-2</v>
      </c>
      <c r="X2054">
        <v>0.99672559999999999</v>
      </c>
      <c r="Y2054">
        <v>6.0872370000000002E-2</v>
      </c>
      <c r="Z2054">
        <v>1.6966710000000001E-3</v>
      </c>
      <c r="AA2054">
        <v>0.99814409999999998</v>
      </c>
      <c r="AB2054">
        <v>46</v>
      </c>
      <c r="AC2054">
        <v>-25.299899999999901</v>
      </c>
      <c r="AD2054">
        <v>-1.1175497057120001</v>
      </c>
      <c r="AE2054">
        <v>1.51409999999998</v>
      </c>
      <c r="AF2054">
        <v>1.5568446401367599</v>
      </c>
      <c r="AG2054">
        <v>-1.1175497057120001</v>
      </c>
      <c r="AH2054">
        <v>25.248031696277899</v>
      </c>
      <c r="AI2054">
        <v>92.529621660817099</v>
      </c>
      <c r="AJ2054">
        <v>86.471493995832105</v>
      </c>
      <c r="AK2054">
        <v>25.3206592946256</v>
      </c>
      <c r="AL2054">
        <v>94.620648404815796</v>
      </c>
      <c r="AM2054">
        <v>89.599918689084603</v>
      </c>
      <c r="AN2054">
        <v>0.99999998850340899</v>
      </c>
    </row>
    <row r="2055" spans="1:40" x14ac:dyDescent="0.25">
      <c r="A2055" t="str">
        <f>"20190303154808449"</f>
        <v>20190303154808449</v>
      </c>
      <c r="B2055" t="str">
        <f>"1551599288442235"</f>
        <v>1551599288442235</v>
      </c>
      <c r="C2055" t="s">
        <v>40</v>
      </c>
      <c r="D2055">
        <v>5.906021</v>
      </c>
      <c r="E2055">
        <v>0.52024389999999998</v>
      </c>
      <c r="F2055" t="s">
        <v>54</v>
      </c>
      <c r="G2055">
        <v>-303.27640000000002</v>
      </c>
      <c r="H2055" s="1">
        <v>3.2652659999999998E-6</v>
      </c>
      <c r="I2055">
        <v>285.96789999999999</v>
      </c>
      <c r="J2055">
        <v>-278.3116</v>
      </c>
      <c r="K2055">
        <v>1.117521</v>
      </c>
      <c r="L2055">
        <v>284.44850000000002</v>
      </c>
      <c r="M2055">
        <v>-0.99994899999999998</v>
      </c>
      <c r="N2055">
        <v>-1.009693E-2</v>
      </c>
      <c r="O2055">
        <v>1.7197999999999999E-4</v>
      </c>
      <c r="P2055">
        <v>-0.99590849999999997</v>
      </c>
      <c r="Q2055">
        <v>-9.0098269999999994E-2</v>
      </c>
      <c r="R2055">
        <v>6.9927169999999999E-3</v>
      </c>
      <c r="S2055">
        <v>-2.9994809999999998</v>
      </c>
      <c r="T2055">
        <v>-0.13165650000000001</v>
      </c>
      <c r="U2055">
        <v>0.1790466</v>
      </c>
      <c r="V2055">
        <v>6.3913650000000004E-3</v>
      </c>
      <c r="W2055">
        <v>-8.0073539999999999E-2</v>
      </c>
      <c r="X2055">
        <v>0.99676849999999995</v>
      </c>
      <c r="Y2055">
        <v>5.9344800000000003E-2</v>
      </c>
      <c r="Z2055">
        <v>1.5948780000000001E-3</v>
      </c>
      <c r="AA2055">
        <v>0.99823629999999997</v>
      </c>
      <c r="AB2055">
        <v>46</v>
      </c>
      <c r="AC2055">
        <v>-24.9648</v>
      </c>
      <c r="AD2055">
        <v>-1.117517734734</v>
      </c>
      <c r="AE2055">
        <v>1.5193999999999599</v>
      </c>
      <c r="AF2055">
        <v>1.51208758491998</v>
      </c>
      <c r="AG2055">
        <v>-1.117517734734</v>
      </c>
      <c r="AH2055">
        <v>24.915320075764999</v>
      </c>
      <c r="AI2055">
        <v>92.563435266118901</v>
      </c>
      <c r="AJ2055">
        <v>86.527032126602194</v>
      </c>
      <c r="AK2055">
        <v>24.986164756315301</v>
      </c>
      <c r="AL2055">
        <v>94.592792681134895</v>
      </c>
      <c r="AM2055">
        <v>89.632619588977903</v>
      </c>
      <c r="AN2055">
        <v>1.0000000319734701</v>
      </c>
    </row>
    <row r="2056" spans="1:40" x14ac:dyDescent="0.25">
      <c r="A2056" t="str">
        <f>"20190303154808469"</f>
        <v>20190303154808469</v>
      </c>
      <c r="B2056" t="str">
        <f>"1551599288462731"</f>
        <v>1551599288462731</v>
      </c>
      <c r="C2056" t="s">
        <v>40</v>
      </c>
      <c r="D2056">
        <v>5.8503600000000002</v>
      </c>
      <c r="E2056">
        <v>0.52013480000000001</v>
      </c>
      <c r="F2056" t="s">
        <v>54</v>
      </c>
      <c r="G2056">
        <v>-303.57920000000001</v>
      </c>
      <c r="H2056" s="1">
        <v>3.2109169999999999E-6</v>
      </c>
      <c r="I2056">
        <v>285.9753</v>
      </c>
      <c r="J2056">
        <v>-278.73919999999998</v>
      </c>
      <c r="K2056">
        <v>1.117497</v>
      </c>
      <c r="L2056">
        <v>284.44959999999998</v>
      </c>
      <c r="M2056">
        <v>-0.99994700000000003</v>
      </c>
      <c r="N2056">
        <v>-1.0132240000000001E-2</v>
      </c>
      <c r="O2056">
        <v>1.883135E-3</v>
      </c>
      <c r="P2056">
        <v>-0.99592449999999999</v>
      </c>
      <c r="Q2056">
        <v>-8.9852039999999994E-2</v>
      </c>
      <c r="R2056">
        <v>7.8250079999999996E-3</v>
      </c>
      <c r="S2056">
        <v>-2.9990230000000002</v>
      </c>
      <c r="T2056">
        <v>-0.1326387</v>
      </c>
      <c r="U2056">
        <v>0.1812134</v>
      </c>
      <c r="V2056">
        <v>5.516165E-3</v>
      </c>
      <c r="W2056">
        <v>-7.9787479999999994E-2</v>
      </c>
      <c r="X2056">
        <v>0.99679660000000003</v>
      </c>
      <c r="Y2056">
        <v>5.8365390000000003E-2</v>
      </c>
      <c r="Z2056">
        <v>1.5208960000000001E-3</v>
      </c>
      <c r="AA2056">
        <v>0.99829409999999996</v>
      </c>
      <c r="AB2056">
        <v>46</v>
      </c>
      <c r="AC2056">
        <v>-24.84</v>
      </c>
      <c r="AD2056">
        <v>-1.1174937890829999</v>
      </c>
      <c r="AE2056">
        <v>1.52570000000002</v>
      </c>
      <c r="AF2056">
        <v>1.47594190645743</v>
      </c>
      <c r="AG2056">
        <v>-1.1174937890829999</v>
      </c>
      <c r="AH2056">
        <v>24.792839787849601</v>
      </c>
      <c r="AI2056">
        <v>92.576205317233402</v>
      </c>
      <c r="AJ2056">
        <v>86.593147187175802</v>
      </c>
      <c r="AK2056">
        <v>24.861860381432699</v>
      </c>
      <c r="AL2056">
        <v>94.576350344667205</v>
      </c>
      <c r="AM2056">
        <v>89.682934565194003</v>
      </c>
      <c r="AN2056">
        <v>0.99999996590630802</v>
      </c>
    </row>
    <row r="2057" spans="1:40" x14ac:dyDescent="0.25">
      <c r="A2057" t="str">
        <f>"20190303154808482"</f>
        <v>20190303154808482</v>
      </c>
      <c r="B2057" t="str">
        <f>"1551599288472492"</f>
        <v>1551599288472492</v>
      </c>
      <c r="C2057" t="s">
        <v>40</v>
      </c>
      <c r="D2057">
        <v>5.873526</v>
      </c>
      <c r="E2057">
        <v>0.5200861</v>
      </c>
      <c r="F2057" t="s">
        <v>54</v>
      </c>
      <c r="G2057">
        <v>-303.86439999999999</v>
      </c>
      <c r="H2057" s="1">
        <v>3.1595949999999999E-6</v>
      </c>
      <c r="I2057">
        <v>285.98349999999999</v>
      </c>
      <c r="J2057">
        <v>-279.00119999999998</v>
      </c>
      <c r="K2057">
        <v>1.1174869999999999</v>
      </c>
      <c r="L2057">
        <v>284.45069999999998</v>
      </c>
      <c r="M2057">
        <v>-0.99994419999999995</v>
      </c>
      <c r="N2057">
        <v>-1.0155610000000001E-2</v>
      </c>
      <c r="O2057">
        <v>2.9320000000000001E-3</v>
      </c>
      <c r="P2057">
        <v>-0.99590639999999997</v>
      </c>
      <c r="Q2057">
        <v>-8.9990050000000002E-2</v>
      </c>
      <c r="R2057">
        <v>8.5036790000000001E-3</v>
      </c>
      <c r="S2057">
        <v>-2.9988100000000002</v>
      </c>
      <c r="T2057">
        <v>-0.1333781</v>
      </c>
      <c r="U2057">
        <v>0.18307499999999999</v>
      </c>
      <c r="V2057">
        <v>5.1470040000000002E-3</v>
      </c>
      <c r="W2057">
        <v>-7.9900499999999999E-2</v>
      </c>
      <c r="X2057">
        <v>0.99678960000000005</v>
      </c>
      <c r="Y2057">
        <v>5.7940369999999998E-2</v>
      </c>
      <c r="Z2057">
        <v>1.480865E-3</v>
      </c>
      <c r="AA2057">
        <v>0.99831899999999996</v>
      </c>
      <c r="AB2057">
        <v>46</v>
      </c>
      <c r="AC2057">
        <v>-24.863199999999999</v>
      </c>
      <c r="AD2057">
        <v>-1.117483840405</v>
      </c>
      <c r="AE2057">
        <v>1.5327999999999999</v>
      </c>
      <c r="AF2057">
        <v>1.4569587250338301</v>
      </c>
      <c r="AG2057">
        <v>-1.117483840405</v>
      </c>
      <c r="AH2057">
        <v>24.817643725758899</v>
      </c>
      <c r="AI2057">
        <v>92.573735947150695</v>
      </c>
      <c r="AJ2057">
        <v>86.640217586392794</v>
      </c>
      <c r="AK2057">
        <v>24.885476466379298</v>
      </c>
      <c r="AL2057">
        <v>94.582846295033406</v>
      </c>
      <c r="AM2057">
        <v>89.704151221648004</v>
      </c>
      <c r="AN2057">
        <v>1.00000004410929</v>
      </c>
    </row>
    <row r="2058" spans="1:40" x14ac:dyDescent="0.25">
      <c r="A2058" t="str">
        <f>"20190303154808494"</f>
        <v>20190303154808494</v>
      </c>
      <c r="B2058" t="str">
        <f>"1551599288482252"</f>
        <v>1551599288482252</v>
      </c>
      <c r="C2058" t="s">
        <v>40</v>
      </c>
      <c r="D2058">
        <v>5.8483669999999996</v>
      </c>
      <c r="E2058">
        <v>0.52001260000000005</v>
      </c>
      <c r="F2058" t="s">
        <v>54</v>
      </c>
      <c r="G2058">
        <v>-303.94499999999999</v>
      </c>
      <c r="H2058" s="1">
        <v>3.1449869999999998E-6</v>
      </c>
      <c r="I2058">
        <v>285.98700000000002</v>
      </c>
      <c r="J2058">
        <v>-279.2824</v>
      </c>
      <c r="K2058">
        <v>1.117475</v>
      </c>
      <c r="L2058">
        <v>284.45209999999997</v>
      </c>
      <c r="M2058">
        <v>-0.99993989999999999</v>
      </c>
      <c r="N2058">
        <v>-1.018761E-2</v>
      </c>
      <c r="O2058">
        <v>4.0579700000000002E-3</v>
      </c>
      <c r="P2058">
        <v>-0.99590829999999997</v>
      </c>
      <c r="Q2058">
        <v>-8.9872629999999995E-2</v>
      </c>
      <c r="R2058">
        <v>9.4706289999999995E-3</v>
      </c>
      <c r="S2058">
        <v>-2.998596</v>
      </c>
      <c r="T2058">
        <v>-0.13433680000000001</v>
      </c>
      <c r="U2058">
        <v>0.18469240000000001</v>
      </c>
      <c r="V2058">
        <v>4.9907689999999999E-3</v>
      </c>
      <c r="W2058">
        <v>-7.9750370000000001E-2</v>
      </c>
      <c r="X2058">
        <v>0.99680239999999998</v>
      </c>
      <c r="Y2058">
        <v>5.7357459999999999E-2</v>
      </c>
      <c r="Z2058">
        <v>1.4353390000000001E-3</v>
      </c>
      <c r="AA2058">
        <v>0.99835260000000003</v>
      </c>
      <c r="AB2058">
        <v>46</v>
      </c>
      <c r="AC2058">
        <v>-24.662600000000001</v>
      </c>
      <c r="AD2058">
        <v>-1.1174718550130001</v>
      </c>
      <c r="AE2058">
        <v>1.5349000000000499</v>
      </c>
      <c r="AF2058">
        <v>1.43187374045157</v>
      </c>
      <c r="AG2058">
        <v>-1.1174718550130001</v>
      </c>
      <c r="AH2058">
        <v>24.618278743250698</v>
      </c>
      <c r="AI2058">
        <v>92.594604562640299</v>
      </c>
      <c r="AJ2058">
        <v>86.671253995696006</v>
      </c>
      <c r="AK2058">
        <v>24.6851909864139</v>
      </c>
      <c r="AL2058">
        <v>94.574217021116596</v>
      </c>
      <c r="AM2058">
        <v>89.713135109949107</v>
      </c>
      <c r="AN2058">
        <v>1.00000002696805</v>
      </c>
    </row>
    <row r="2059" spans="1:40" x14ac:dyDescent="0.25">
      <c r="A2059" t="str">
        <f>"20190303154808514"</f>
        <v>20190303154808514</v>
      </c>
      <c r="B2059" t="str">
        <f>"1551599288502748"</f>
        <v>1551599288502748</v>
      </c>
      <c r="C2059" t="s">
        <v>40</v>
      </c>
      <c r="D2059">
        <v>5.8668339999999999</v>
      </c>
      <c r="E2059">
        <v>0.51991209999999999</v>
      </c>
      <c r="F2059" t="s">
        <v>54</v>
      </c>
      <c r="G2059">
        <v>-304.13650000000001</v>
      </c>
      <c r="H2059" s="1">
        <v>3.1096670000000002E-6</v>
      </c>
      <c r="I2059">
        <v>286.00259999999997</v>
      </c>
      <c r="J2059">
        <v>-279.67329999999998</v>
      </c>
      <c r="K2059">
        <v>1.117464</v>
      </c>
      <c r="L2059">
        <v>284.4547</v>
      </c>
      <c r="M2059">
        <v>-0.99993160000000003</v>
      </c>
      <c r="N2059">
        <v>-1.025469E-2</v>
      </c>
      <c r="O2059">
        <v>5.6221429999999996E-3</v>
      </c>
      <c r="P2059">
        <v>-0.99588049999999995</v>
      </c>
      <c r="Q2059">
        <v>-9.0037279999999997E-2</v>
      </c>
      <c r="R2059">
        <v>1.073146E-2</v>
      </c>
      <c r="S2059">
        <v>-2.9984130000000002</v>
      </c>
      <c r="T2059">
        <v>-0.13481270000000001</v>
      </c>
      <c r="U2059">
        <v>0.18704219999999999</v>
      </c>
      <c r="V2059">
        <v>4.689861E-3</v>
      </c>
      <c r="W2059">
        <v>-7.9846840000000002E-2</v>
      </c>
      <c r="X2059">
        <v>0.99679609999999996</v>
      </c>
      <c r="Y2059">
        <v>5.658026E-2</v>
      </c>
      <c r="Z2059">
        <v>1.36584799999999E-3</v>
      </c>
      <c r="AA2059">
        <v>0.99839710000000004</v>
      </c>
      <c r="AB2059">
        <v>46</v>
      </c>
      <c r="AC2059">
        <v>-24.463200000000001</v>
      </c>
      <c r="AD2059">
        <v>-1.1174608903329999</v>
      </c>
      <c r="AE2059">
        <v>1.5478999999999601</v>
      </c>
      <c r="AF2059">
        <v>1.40740771214746</v>
      </c>
      <c r="AG2059">
        <v>-1.1174608903329999</v>
      </c>
      <c r="AH2059">
        <v>24.420763266552498</v>
      </c>
      <c r="AI2059">
        <v>92.615615203484197</v>
      </c>
      <c r="AJ2059">
        <v>86.701600972151994</v>
      </c>
      <c r="AK2059">
        <v>24.486796316191199</v>
      </c>
      <c r="AL2059">
        <v>94.579762202915205</v>
      </c>
      <c r="AM2059">
        <v>89.730429062597395</v>
      </c>
      <c r="AN2059">
        <v>0.99999998881469698</v>
      </c>
    </row>
    <row r="2060" spans="1:40" x14ac:dyDescent="0.25">
      <c r="A2060" t="str">
        <f>"20190303154808536"</f>
        <v>20190303154808536</v>
      </c>
      <c r="B2060" t="str">
        <f>"1551599288533004"</f>
        <v>1551599288533004</v>
      </c>
      <c r="C2060" t="s">
        <v>40</v>
      </c>
      <c r="D2060">
        <v>5.7946</v>
      </c>
      <c r="E2060">
        <v>0.5196326</v>
      </c>
      <c r="F2060" t="s">
        <v>54</v>
      </c>
      <c r="G2060">
        <v>-304.29090000000002</v>
      </c>
      <c r="H2060" s="1">
        <v>3.0811789999999999E-6</v>
      </c>
      <c r="I2060">
        <v>286.01510000000002</v>
      </c>
      <c r="J2060">
        <v>-280.14370000000002</v>
      </c>
      <c r="K2060">
        <v>1.1174740000000001</v>
      </c>
      <c r="L2060">
        <v>284.45859999999999</v>
      </c>
      <c r="M2060">
        <v>-0.99991790000000003</v>
      </c>
      <c r="N2060">
        <v>-1.039605E-2</v>
      </c>
      <c r="O2060">
        <v>7.4984569999999896E-3</v>
      </c>
      <c r="P2060">
        <v>-0.99577720000000003</v>
      </c>
      <c r="Q2060">
        <v>-9.101004E-2</v>
      </c>
      <c r="R2060">
        <v>1.2057480000000001E-2</v>
      </c>
      <c r="S2060">
        <v>-2.9980470000000001</v>
      </c>
      <c r="T2060">
        <v>-0.13608970000000001</v>
      </c>
      <c r="U2060">
        <v>0.19003300000000001</v>
      </c>
      <c r="V2060">
        <v>4.1401479999999997E-3</v>
      </c>
      <c r="W2060">
        <v>-8.0676670000000006E-2</v>
      </c>
      <c r="X2060">
        <v>0.9967317</v>
      </c>
      <c r="Y2060">
        <v>5.5707319999999998E-2</v>
      </c>
      <c r="Z2060">
        <v>1.290504E-3</v>
      </c>
      <c r="AA2060">
        <v>0.99844630000000001</v>
      </c>
      <c r="AB2060">
        <v>46</v>
      </c>
      <c r="AC2060">
        <v>-24.147200000000002</v>
      </c>
      <c r="AD2060">
        <v>-1.1174709188209999</v>
      </c>
      <c r="AE2060">
        <v>1.55650000000002</v>
      </c>
      <c r="AF2060">
        <v>1.3724526335146301</v>
      </c>
      <c r="AG2060">
        <v>-1.1174709188209999</v>
      </c>
      <c r="AH2060">
        <v>24.106779511505501</v>
      </c>
      <c r="AI2060">
        <v>92.649763986418407</v>
      </c>
      <c r="AJ2060">
        <v>86.741541184393597</v>
      </c>
      <c r="AK2060">
        <v>24.171660801483899</v>
      </c>
      <c r="AL2060">
        <v>94.627461918566297</v>
      </c>
      <c r="AM2060">
        <v>89.762010536307301</v>
      </c>
      <c r="AN2060">
        <v>0.99999997384632</v>
      </c>
    </row>
    <row r="2061" spans="1:40" x14ac:dyDescent="0.25">
      <c r="A2061" t="str">
        <f>"20190303154808558"</f>
        <v>20190303154808558</v>
      </c>
      <c r="B2061" t="str">
        <f>"1551599288552523"</f>
        <v>1551599288552523</v>
      </c>
      <c r="C2061" t="s">
        <v>40</v>
      </c>
      <c r="D2061">
        <v>5.8757210000000004</v>
      </c>
      <c r="E2061">
        <v>0.51947979999999905</v>
      </c>
      <c r="F2061" t="s">
        <v>54</v>
      </c>
      <c r="G2061">
        <v>-304.02809999999999</v>
      </c>
      <c r="H2061" s="1">
        <v>3.1301319999999999E-6</v>
      </c>
      <c r="I2061">
        <v>285.98849999999999</v>
      </c>
      <c r="J2061">
        <v>-280.59010000000001</v>
      </c>
      <c r="K2061">
        <v>1.11751</v>
      </c>
      <c r="L2061">
        <v>284.4631</v>
      </c>
      <c r="M2061">
        <v>-0.99990080000000003</v>
      </c>
      <c r="N2061">
        <v>-1.061046E-2</v>
      </c>
      <c r="O2061">
        <v>9.2643380000000004E-3</v>
      </c>
      <c r="P2061">
        <v>-0.99578670000000002</v>
      </c>
      <c r="Q2061">
        <v>-9.0690480000000004E-2</v>
      </c>
      <c r="R2061">
        <v>1.357972E-2</v>
      </c>
      <c r="S2061">
        <v>-2.9976500000000001</v>
      </c>
      <c r="T2061">
        <v>-0.14025019999999999</v>
      </c>
      <c r="U2061">
        <v>0.19201660000000001</v>
      </c>
      <c r="V2061">
        <v>3.904135E-3</v>
      </c>
      <c r="W2061">
        <v>-8.0141889999999993E-2</v>
      </c>
      <c r="X2061">
        <v>0.99677579999999999</v>
      </c>
      <c r="Y2061">
        <v>5.4609030000000003E-2</v>
      </c>
      <c r="Z2061">
        <v>1.231134E-3</v>
      </c>
      <c r="AA2061">
        <v>0.99850709999999998</v>
      </c>
      <c r="AB2061">
        <v>46</v>
      </c>
      <c r="AC2061">
        <v>-23.437999999999899</v>
      </c>
      <c r="AD2061">
        <v>-1.117506869868</v>
      </c>
      <c r="AE2061">
        <v>1.5253999999999901</v>
      </c>
      <c r="AF2061">
        <v>1.3052300726489501</v>
      </c>
      <c r="AG2061">
        <v>-1.117506869868</v>
      </c>
      <c r="AH2061">
        <v>23.3981596679901</v>
      </c>
      <c r="AI2061">
        <v>92.730156838011496</v>
      </c>
      <c r="AJ2061">
        <v>86.807152824767797</v>
      </c>
      <c r="AK2061">
        <v>23.4611662752623</v>
      </c>
      <c r="AL2061">
        <v>94.5967217126462</v>
      </c>
      <c r="AM2061">
        <v>89.775587133757895</v>
      </c>
      <c r="AN2061">
        <v>0.99999998013425495</v>
      </c>
    </row>
    <row r="2062" spans="1:40" x14ac:dyDescent="0.25">
      <c r="A2062" t="str">
        <f>"20190303154808572"</f>
        <v>20190303154808572</v>
      </c>
      <c r="B2062" t="str">
        <f>"1551599288562285"</f>
        <v>1551599288562285</v>
      </c>
      <c r="C2062" t="s">
        <v>40</v>
      </c>
      <c r="D2062">
        <v>5.8023129999999998</v>
      </c>
      <c r="E2062">
        <v>0.5193797</v>
      </c>
      <c r="F2062" t="s">
        <v>54</v>
      </c>
      <c r="G2062">
        <v>-304.51049999999998</v>
      </c>
      <c r="H2062" s="1">
        <v>3.0417329999999999E-6</v>
      </c>
      <c r="I2062">
        <v>286.02080000000001</v>
      </c>
      <c r="J2062">
        <v>-280.86369999999999</v>
      </c>
      <c r="K2062">
        <v>1.117543</v>
      </c>
      <c r="L2062">
        <v>284.46629999999999</v>
      </c>
      <c r="M2062">
        <v>-0.99988849999999996</v>
      </c>
      <c r="N2062">
        <v>-1.078698E-2</v>
      </c>
      <c r="O2062">
        <v>1.0333719999999999E-2</v>
      </c>
      <c r="P2062">
        <v>-0.99570599999999998</v>
      </c>
      <c r="Q2062">
        <v>-9.1411610000000004E-2</v>
      </c>
      <c r="R2062">
        <v>1.463048E-2</v>
      </c>
      <c r="S2062">
        <v>-2.9972840000000001</v>
      </c>
      <c r="T2062">
        <v>-0.14002619999999999</v>
      </c>
      <c r="U2062">
        <v>0.19519039999999999</v>
      </c>
      <c r="V2062">
        <v>3.8870609999999998E-3</v>
      </c>
      <c r="W2062">
        <v>-8.0687659999999994E-2</v>
      </c>
      <c r="X2062">
        <v>0.9967319</v>
      </c>
      <c r="Y2062">
        <v>5.4602419999999999E-2</v>
      </c>
      <c r="Z2062">
        <v>1.1977940000000001E-3</v>
      </c>
      <c r="AA2062">
        <v>0.99850740000000004</v>
      </c>
      <c r="AB2062">
        <v>46</v>
      </c>
      <c r="AC2062">
        <v>-23.646799999999899</v>
      </c>
      <c r="AD2062">
        <v>-1.117539958267</v>
      </c>
      <c r="AE2062">
        <v>1.55450000000001</v>
      </c>
      <c r="AF2062">
        <v>1.30713648381263</v>
      </c>
      <c r="AG2062">
        <v>-1.117539958267</v>
      </c>
      <c r="AH2062">
        <v>23.609098480823299</v>
      </c>
      <c r="AI2062">
        <v>92.705942800026804</v>
      </c>
      <c r="AJ2062">
        <v>86.831009074284594</v>
      </c>
      <c r="AK2062">
        <v>23.6716503949946</v>
      </c>
      <c r="AL2062">
        <v>94.628093332905706</v>
      </c>
      <c r="AM2062">
        <v>89.776558710540101</v>
      </c>
      <c r="AN2062">
        <v>1.0000000440985499</v>
      </c>
    </row>
    <row r="2063" spans="1:40" x14ac:dyDescent="0.25">
      <c r="A2063" t="str">
        <f>"20190303154808584"</f>
        <v>20190303154808584</v>
      </c>
      <c r="B2063" t="str">
        <f>"1551599288573019"</f>
        <v>1551599288573019</v>
      </c>
      <c r="C2063" t="s">
        <v>40</v>
      </c>
      <c r="D2063">
        <v>5.8386500000000003</v>
      </c>
      <c r="E2063">
        <v>0.51930370000000003</v>
      </c>
      <c r="F2063" t="s">
        <v>54</v>
      </c>
      <c r="G2063">
        <v>-304.38810000000001</v>
      </c>
      <c r="H2063" s="1">
        <v>3.0636319999999998E-6</v>
      </c>
      <c r="I2063">
        <v>286.01859999999999</v>
      </c>
      <c r="J2063">
        <v>-281.13069999999999</v>
      </c>
      <c r="K2063">
        <v>1.1175790000000001</v>
      </c>
      <c r="L2063">
        <v>284.46960000000001</v>
      </c>
      <c r="M2063">
        <v>-0.99987519999999996</v>
      </c>
      <c r="N2063">
        <v>-1.0977880000000001E-2</v>
      </c>
      <c r="O2063">
        <v>1.1369529999999999E-2</v>
      </c>
      <c r="P2063">
        <v>-0.99572249999999995</v>
      </c>
      <c r="Q2063">
        <v>-9.1098059999999995E-2</v>
      </c>
      <c r="R2063">
        <v>1.5436190000000001E-2</v>
      </c>
      <c r="S2063">
        <v>-2.996918</v>
      </c>
      <c r="T2063">
        <v>-0.1423701</v>
      </c>
      <c r="U2063">
        <v>0.19775390000000001</v>
      </c>
      <c r="V2063">
        <v>3.6637150000000001E-3</v>
      </c>
      <c r="W2063">
        <v>-8.0182249999999997E-2</v>
      </c>
      <c r="X2063">
        <v>0.99677349999999998</v>
      </c>
      <c r="Y2063">
        <v>5.4425040000000001E-2</v>
      </c>
      <c r="Z2063">
        <v>1.175366E-3</v>
      </c>
      <c r="AA2063">
        <v>0.99851719999999999</v>
      </c>
      <c r="AB2063">
        <v>46</v>
      </c>
      <c r="AC2063">
        <v>-23.257400000000001</v>
      </c>
      <c r="AD2063">
        <v>-1.117575936368</v>
      </c>
      <c r="AE2063">
        <v>1.54899999999997</v>
      </c>
      <c r="AF2063">
        <v>1.2815122549520499</v>
      </c>
      <c r="AG2063">
        <v>-1.117575936368</v>
      </c>
      <c r="AH2063">
        <v>23.220129573942899</v>
      </c>
      <c r="AI2063">
        <v>92.751317062908299</v>
      </c>
      <c r="AJ2063">
        <v>86.841067119781997</v>
      </c>
      <c r="AK2063">
        <v>23.282303731887001</v>
      </c>
      <c r="AL2063">
        <v>94.599041484006904</v>
      </c>
      <c r="AM2063">
        <v>89.789406057105097</v>
      </c>
      <c r="AN2063">
        <v>1.00000001316245</v>
      </c>
    </row>
    <row r="2064" spans="1:40" x14ac:dyDescent="0.25">
      <c r="A2064" t="str">
        <f>"20190303154808604"</f>
        <v>20190303154808604</v>
      </c>
      <c r="B2064" t="str">
        <f>"1551599288592541"</f>
        <v>1551599288592541</v>
      </c>
      <c r="C2064" t="s">
        <v>40</v>
      </c>
      <c r="D2064">
        <v>5.7993959999999998</v>
      </c>
      <c r="E2064">
        <v>0.50309429999999999</v>
      </c>
      <c r="F2064" t="s">
        <v>54</v>
      </c>
      <c r="G2064">
        <v>-304.72809999999998</v>
      </c>
      <c r="H2064" s="1">
        <v>3.0015540000000002E-6</v>
      </c>
      <c r="I2064">
        <v>286.03879999999998</v>
      </c>
      <c r="J2064">
        <v>-281.53800000000001</v>
      </c>
      <c r="K2064">
        <v>1.117656</v>
      </c>
      <c r="L2064">
        <v>284.4753</v>
      </c>
      <c r="M2064">
        <v>-0.99985250000000003</v>
      </c>
      <c r="N2064">
        <v>-1.131648E-2</v>
      </c>
      <c r="O2064">
        <v>1.2926419999999999E-2</v>
      </c>
      <c r="P2064">
        <v>-0.9957047</v>
      </c>
      <c r="Q2064">
        <v>-9.1012019999999999E-2</v>
      </c>
      <c r="R2064">
        <v>1.7000810000000002E-2</v>
      </c>
      <c r="S2064">
        <v>-2.996826</v>
      </c>
      <c r="T2064">
        <v>-0.14192959999999999</v>
      </c>
      <c r="U2064">
        <v>0.19927980000000001</v>
      </c>
      <c r="V2064">
        <v>3.6814159999999999E-3</v>
      </c>
      <c r="W2064">
        <v>-7.9758629999999997E-2</v>
      </c>
      <c r="X2064">
        <v>0.99680740000000001</v>
      </c>
      <c r="Y2064">
        <v>5.3380589999999999E-2</v>
      </c>
      <c r="Z2064">
        <v>1.0995270000000001E-3</v>
      </c>
      <c r="AA2064">
        <v>0.99857370000000001</v>
      </c>
      <c r="AB2064">
        <v>46</v>
      </c>
      <c r="AC2064">
        <v>-23.190099999999902</v>
      </c>
      <c r="AD2064">
        <v>-1.117652998446</v>
      </c>
      <c r="AE2064">
        <v>1.5634999999999699</v>
      </c>
      <c r="AF2064">
        <v>1.26067019779319</v>
      </c>
      <c r="AG2064">
        <v>-1.117652998446</v>
      </c>
      <c r="AH2064">
        <v>23.1548336841206</v>
      </c>
      <c r="AI2064">
        <v>92.759365771931002</v>
      </c>
      <c r="AJ2064">
        <v>86.883595096062706</v>
      </c>
      <c r="AK2064">
        <v>23.216045324555701</v>
      </c>
      <c r="AL2064">
        <v>94.574691955606596</v>
      </c>
      <c r="AM2064">
        <v>89.788395791976598</v>
      </c>
      <c r="AN2064">
        <v>0.99999999228900005</v>
      </c>
    </row>
    <row r="2065" spans="1:40" x14ac:dyDescent="0.25">
      <c r="A2065" t="str">
        <f>"20190303154808626"</f>
        <v>20190303154808626</v>
      </c>
      <c r="B2065" t="str">
        <f>"1551599288622796"</f>
        <v>1551599288622796</v>
      </c>
      <c r="C2065" t="s">
        <v>40</v>
      </c>
      <c r="D2065">
        <v>5.7954410000000003</v>
      </c>
      <c r="E2065">
        <v>0.50068769999999996</v>
      </c>
      <c r="F2065" t="s">
        <v>54</v>
      </c>
      <c r="G2065">
        <v>-302.30840000000001</v>
      </c>
      <c r="H2065" s="1">
        <v>3.5219819999999998E-6</v>
      </c>
      <c r="I2065">
        <v>284.99540000000002</v>
      </c>
      <c r="J2065">
        <v>-281.99689999999998</v>
      </c>
      <c r="K2065">
        <v>1.11775</v>
      </c>
      <c r="L2065">
        <v>284.48250000000002</v>
      </c>
      <c r="M2065">
        <v>-0.99982400000000005</v>
      </c>
      <c r="N2065">
        <v>-1.173515E-2</v>
      </c>
      <c r="O2065">
        <v>1.464843E-2</v>
      </c>
      <c r="P2065">
        <v>-0.99571229999999999</v>
      </c>
      <c r="Q2065">
        <v>-9.0599280000000004E-2</v>
      </c>
      <c r="R2065">
        <v>1.8688409999999999E-2</v>
      </c>
      <c r="S2065">
        <v>-2.996918</v>
      </c>
      <c r="T2065">
        <v>-0.161263299999999</v>
      </c>
      <c r="U2065">
        <v>7.5042719999999993E-2</v>
      </c>
      <c r="V2065">
        <v>3.66212E-3</v>
      </c>
      <c r="W2065">
        <v>-7.8927780000000003E-2</v>
      </c>
      <c r="X2065">
        <v>0.99687360000000003</v>
      </c>
      <c r="Y2065">
        <v>1.037926E-2</v>
      </c>
      <c r="Z2065">
        <v>-2.7570870000000002E-4</v>
      </c>
      <c r="AA2065">
        <v>0.99994609999999995</v>
      </c>
      <c r="AB2065">
        <v>46</v>
      </c>
      <c r="AC2065">
        <v>-20.311499999999999</v>
      </c>
      <c r="AD2065">
        <v>-1.117746478018</v>
      </c>
      <c r="AE2065">
        <v>0.51290000000000102</v>
      </c>
      <c r="AF2065">
        <v>0.21464333819376399</v>
      </c>
      <c r="AG2065">
        <v>-1.117746478018</v>
      </c>
      <c r="AH2065">
        <v>20.255532826106599</v>
      </c>
      <c r="AI2065">
        <v>93.158331392733203</v>
      </c>
      <c r="AJ2065">
        <v>89.392872199962696</v>
      </c>
      <c r="AK2065">
        <v>20.287484787948401</v>
      </c>
      <c r="AL2065">
        <v>94.526937212282704</v>
      </c>
      <c r="AM2065">
        <v>89.789518875619194</v>
      </c>
      <c r="AN2065">
        <v>0.99999998997779105</v>
      </c>
    </row>
    <row r="2066" spans="1:40" x14ac:dyDescent="0.25">
      <c r="A2066" t="str">
        <f>"20190303154808651"</f>
        <v>20190303154808651</v>
      </c>
      <c r="B2066" t="str">
        <f>"1551599288642317"</f>
        <v>1551599288642317</v>
      </c>
      <c r="C2066" t="s">
        <v>40</v>
      </c>
      <c r="D2066">
        <v>5.7149769999999904</v>
      </c>
      <c r="E2066">
        <v>0.50009289999999995</v>
      </c>
      <c r="F2066" t="s">
        <v>54</v>
      </c>
      <c r="G2066">
        <v>-304.6309</v>
      </c>
      <c r="H2066" s="1">
        <v>3.114714E-6</v>
      </c>
      <c r="I2066">
        <v>284.94170000000003</v>
      </c>
      <c r="J2066">
        <v>-282.48340000000002</v>
      </c>
      <c r="K2066">
        <v>1.1178459999999999</v>
      </c>
      <c r="L2066">
        <v>284.49099999999999</v>
      </c>
      <c r="M2066">
        <v>-0.99979070000000003</v>
      </c>
      <c r="N2066">
        <v>-1.218435E-2</v>
      </c>
      <c r="O2066">
        <v>1.6437790000000001E-2</v>
      </c>
      <c r="P2066">
        <v>-0.99564569999999997</v>
      </c>
      <c r="Q2066">
        <v>-9.1024610000000006E-2</v>
      </c>
      <c r="R2066">
        <v>2.011454E-2</v>
      </c>
      <c r="S2066">
        <v>-2.9982600000000001</v>
      </c>
      <c r="T2066">
        <v>-0.14806440000000001</v>
      </c>
      <c r="U2066">
        <v>6.0821529999999999E-2</v>
      </c>
      <c r="V2066">
        <v>3.3120200000000002E-3</v>
      </c>
      <c r="W2066">
        <v>-7.8903470000000003E-2</v>
      </c>
      <c r="X2066">
        <v>0.99687680000000001</v>
      </c>
      <c r="Y2066">
        <v>3.8485809999999998E-3</v>
      </c>
      <c r="Z2066">
        <v>-4.9249370000000001E-4</v>
      </c>
      <c r="AA2066">
        <v>0.99999249999999995</v>
      </c>
      <c r="AB2066">
        <v>46</v>
      </c>
      <c r="AC2066">
        <v>-22.147499999999901</v>
      </c>
      <c r="AD2066">
        <v>-1.1178428852859901</v>
      </c>
      <c r="AE2066">
        <v>0.45070000000004001</v>
      </c>
      <c r="AF2066">
        <v>8.6336285641270993E-2</v>
      </c>
      <c r="AG2066">
        <v>-1.1178428852859901</v>
      </c>
      <c r="AH2066">
        <v>22.095651176337</v>
      </c>
      <c r="AI2066">
        <v>92.896164164646095</v>
      </c>
      <c r="AJ2066">
        <v>89.776124289258107</v>
      </c>
      <c r="AK2066">
        <v>22.1240780051229</v>
      </c>
      <c r="AL2066">
        <v>94.525539764265403</v>
      </c>
      <c r="AM2066">
        <v>89.809641402588994</v>
      </c>
      <c r="AN2066">
        <v>1.0000000407163701</v>
      </c>
    </row>
    <row r="2067" spans="1:40" x14ac:dyDescent="0.25">
      <c r="A2067" t="str">
        <f>"20190303154808671"</f>
        <v>20190303154808671</v>
      </c>
      <c r="B2067" t="str">
        <f>"1551599288662812"</f>
        <v>1551599288662812</v>
      </c>
      <c r="C2067" t="s">
        <v>40</v>
      </c>
      <c r="D2067">
        <v>5.7781330000000004</v>
      </c>
      <c r="E2067">
        <v>0.49928119999999998</v>
      </c>
      <c r="F2067" t="s">
        <v>54</v>
      </c>
      <c r="G2067">
        <v>-305.35469999999998</v>
      </c>
      <c r="H2067" s="1">
        <v>2.9856139999999998E-6</v>
      </c>
      <c r="I2067">
        <v>284.94979999999998</v>
      </c>
      <c r="J2067">
        <v>-282.92200000000003</v>
      </c>
      <c r="K2067">
        <v>1.1179269999999999</v>
      </c>
      <c r="L2067">
        <v>284.49930000000001</v>
      </c>
      <c r="M2067">
        <v>-0.9997587</v>
      </c>
      <c r="N2067">
        <v>-1.257056E-2</v>
      </c>
      <c r="O2067">
        <v>1.801059E-2</v>
      </c>
      <c r="P2067">
        <v>-0.99557470000000003</v>
      </c>
      <c r="Q2067">
        <v>-9.1545009999999996E-2</v>
      </c>
      <c r="R2067">
        <v>2.1220559999999999E-2</v>
      </c>
      <c r="S2067">
        <v>-2.9985050000000002</v>
      </c>
      <c r="T2067">
        <v>-0.14655299999999999</v>
      </c>
      <c r="U2067">
        <v>6.0150149999999999E-2</v>
      </c>
      <c r="V2067">
        <v>2.8578219999999999E-3</v>
      </c>
      <c r="W2067">
        <v>-7.9036679999999998E-2</v>
      </c>
      <c r="X2067">
        <v>0.99686759999999996</v>
      </c>
      <c r="Y2067">
        <v>2.053137E-3</v>
      </c>
      <c r="Z2067">
        <v>-5.9022239999999998E-4</v>
      </c>
      <c r="AA2067">
        <v>0.99999769999999999</v>
      </c>
      <c r="AB2067">
        <v>46</v>
      </c>
      <c r="AC2067">
        <v>-22.432699999999901</v>
      </c>
      <c r="AD2067">
        <v>-1.1179240143860001</v>
      </c>
      <c r="AE2067">
        <v>0.45049999999997598</v>
      </c>
      <c r="AF2067">
        <v>4.6253974331356203E-2</v>
      </c>
      <c r="AG2067">
        <v>-1.1179240143860001</v>
      </c>
      <c r="AH2067">
        <v>22.381613183041399</v>
      </c>
      <c r="AI2067">
        <v>92.859445555255405</v>
      </c>
      <c r="AJ2067">
        <v>89.881592371362501</v>
      </c>
      <c r="AK2067">
        <v>22.409562740209299</v>
      </c>
      <c r="AL2067">
        <v>94.533196285200304</v>
      </c>
      <c r="AM2067">
        <v>89.835744796369994</v>
      </c>
      <c r="AN2067">
        <v>0.99999998793088196</v>
      </c>
    </row>
    <row r="2068" spans="1:40" x14ac:dyDescent="0.25">
      <c r="A2068" t="str">
        <f>"20190303154808693"</f>
        <v>20190303154808693</v>
      </c>
      <c r="B2068" t="str">
        <f>"1551599288682331"</f>
        <v>1551599288682331</v>
      </c>
      <c r="C2068" t="s">
        <v>40</v>
      </c>
      <c r="D2068">
        <v>5.7695660000000002</v>
      </c>
      <c r="E2068">
        <v>0.4982936</v>
      </c>
      <c r="F2068" t="s">
        <v>54</v>
      </c>
      <c r="G2068">
        <v>-305.7149</v>
      </c>
      <c r="H2068" s="1">
        <v>2.923261E-6</v>
      </c>
      <c r="I2068">
        <v>284.93220000000002</v>
      </c>
      <c r="J2068">
        <v>-283.3603</v>
      </c>
      <c r="K2068">
        <v>1.118009</v>
      </c>
      <c r="L2068">
        <v>284.50839999999999</v>
      </c>
      <c r="M2068">
        <v>-0.99972570000000005</v>
      </c>
      <c r="N2068">
        <v>-1.2927350000000001E-2</v>
      </c>
      <c r="O2068">
        <v>1.953013E-2</v>
      </c>
      <c r="P2068">
        <v>-0.99550870000000002</v>
      </c>
      <c r="Q2068">
        <v>-9.2143139999999998E-2</v>
      </c>
      <c r="R2068">
        <v>2.1729849999999998E-2</v>
      </c>
      <c r="S2068">
        <v>-2.998596</v>
      </c>
      <c r="T2068">
        <v>-0.1470726</v>
      </c>
      <c r="U2068">
        <v>5.6945799999999998E-2</v>
      </c>
      <c r="V2068">
        <v>1.861974E-3</v>
      </c>
      <c r="W2068">
        <v>-7.9274090000000005E-2</v>
      </c>
      <c r="X2068">
        <v>0.99685109999999999</v>
      </c>
      <c r="Y2068">
        <v>-5.3093599999999997E-4</v>
      </c>
      <c r="Z2068">
        <v>-7.2121909999999997E-4</v>
      </c>
      <c r="AA2068">
        <v>0.99999959999999999</v>
      </c>
      <c r="AB2068">
        <v>46</v>
      </c>
      <c r="AC2068">
        <v>-22.354600000000001</v>
      </c>
      <c r="AD2068">
        <v>-1.1180060767389901</v>
      </c>
      <c r="AE2068">
        <v>0.42380000000002799</v>
      </c>
      <c r="AF2068">
        <v>-1.28733829463419E-2</v>
      </c>
      <c r="AG2068">
        <v>-1.1180060767389901</v>
      </c>
      <c r="AH2068">
        <v>22.302848502714198</v>
      </c>
      <c r="AI2068">
        <v>92.869743046333497</v>
      </c>
      <c r="AJ2068">
        <v>90.033071579573203</v>
      </c>
      <c r="AK2068">
        <v>22.330856558731401</v>
      </c>
      <c r="AL2068">
        <v>94.546841719076497</v>
      </c>
      <c r="AM2068">
        <v>89.892979876638705</v>
      </c>
      <c r="AN2068">
        <v>0.99999998193185702</v>
      </c>
    </row>
    <row r="2069" spans="1:40" x14ac:dyDescent="0.25">
      <c r="A2069" t="str">
        <f>"20190303154808705"</f>
        <v>20190303154808705</v>
      </c>
      <c r="B2069" t="str">
        <f>"1551599288702828"</f>
        <v>1551599288702828</v>
      </c>
      <c r="C2069" t="s">
        <v>40</v>
      </c>
      <c r="D2069">
        <v>5.731134</v>
      </c>
      <c r="E2069">
        <v>0.49763429999999997</v>
      </c>
      <c r="F2069" t="s">
        <v>54</v>
      </c>
      <c r="G2069">
        <v>-306.0453</v>
      </c>
      <c r="H2069" s="1">
        <v>2.8680310000000001E-6</v>
      </c>
      <c r="I2069">
        <v>284.89350000000002</v>
      </c>
      <c r="J2069">
        <v>-283.63670000000002</v>
      </c>
      <c r="K2069">
        <v>1.118063</v>
      </c>
      <c r="L2069">
        <v>284.51440000000002</v>
      </c>
      <c r="M2069">
        <v>-0.9997045</v>
      </c>
      <c r="N2069">
        <v>-1.3136109999999999E-2</v>
      </c>
      <c r="O2069">
        <v>2.045667E-2</v>
      </c>
      <c r="P2069">
        <v>-0.99548939999999997</v>
      </c>
      <c r="Q2069">
        <v>-9.2275309999999999E-2</v>
      </c>
      <c r="R2069">
        <v>2.2063119999999999E-2</v>
      </c>
      <c r="S2069">
        <v>-2.9987789999999999</v>
      </c>
      <c r="T2069">
        <v>-0.14779149999999999</v>
      </c>
      <c r="U2069">
        <v>5.0903320000000002E-2</v>
      </c>
      <c r="V2069">
        <v>1.2799370000000001E-3</v>
      </c>
      <c r="W2069">
        <v>-7.919503E-2</v>
      </c>
      <c r="X2069">
        <v>0.99685829999999997</v>
      </c>
      <c r="Y2069">
        <v>-3.468123E-3</v>
      </c>
      <c r="Z2069">
        <v>-8.4698670000000001E-4</v>
      </c>
      <c r="AA2069">
        <v>0.99999360000000004</v>
      </c>
      <c r="AB2069">
        <v>46</v>
      </c>
      <c r="AC2069">
        <v>-22.4085999999999</v>
      </c>
      <c r="AD2069">
        <v>-1.118060131969</v>
      </c>
      <c r="AE2069">
        <v>0.379099999999993</v>
      </c>
      <c r="AF2069">
        <v>-7.9227033401140998E-2</v>
      </c>
      <c r="AG2069">
        <v>-1.118060131969</v>
      </c>
      <c r="AH2069">
        <v>22.356027804690601</v>
      </c>
      <c r="AI2069">
        <v>92.863048746996796</v>
      </c>
      <c r="AJ2069">
        <v>90.203048398113694</v>
      </c>
      <c r="AK2069">
        <v>22.384108527828801</v>
      </c>
      <c r="AL2069">
        <v>94.542297633889604</v>
      </c>
      <c r="AM2069">
        <v>89.926433929633603</v>
      </c>
      <c r="AN2069">
        <v>0.99999998064715701</v>
      </c>
    </row>
    <row r="2070" spans="1:40" x14ac:dyDescent="0.25">
      <c r="A2070" t="str">
        <f>"20190303154808719"</f>
        <v>20190303154808719</v>
      </c>
      <c r="B2070" t="str">
        <f>"1551599288712588"</f>
        <v>1551599288712588</v>
      </c>
      <c r="C2070" t="s">
        <v>40</v>
      </c>
      <c r="D2070">
        <v>5.7151949999999996</v>
      </c>
      <c r="E2070">
        <v>0.49763429999999997</v>
      </c>
      <c r="F2070" t="s">
        <v>54</v>
      </c>
      <c r="G2070">
        <v>-306.46230000000003</v>
      </c>
      <c r="H2070" s="1">
        <v>2.7962349999999999E-6</v>
      </c>
      <c r="I2070">
        <v>284.86860000000001</v>
      </c>
      <c r="J2070">
        <v>-283.91140000000001</v>
      </c>
      <c r="K2070">
        <v>1.1181209999999999</v>
      </c>
      <c r="L2070">
        <v>284.5206</v>
      </c>
      <c r="M2070">
        <v>-0.99968310000000005</v>
      </c>
      <c r="N2070">
        <v>-1.333168E-2</v>
      </c>
      <c r="O2070">
        <v>2.135306E-2</v>
      </c>
      <c r="P2070">
        <v>-0.99550479999999997</v>
      </c>
      <c r="Q2070">
        <v>-9.2056009999999994E-2</v>
      </c>
      <c r="R2070">
        <v>2.2274619999999998E-2</v>
      </c>
      <c r="S2070">
        <v>-2.9989319999999999</v>
      </c>
      <c r="T2070">
        <v>-0.14689559999999999</v>
      </c>
      <c r="U2070">
        <v>4.653931E-2</v>
      </c>
      <c r="V2070">
        <v>6.0792300000000001E-4</v>
      </c>
      <c r="W2070">
        <v>-7.8776910000000006E-2</v>
      </c>
      <c r="X2070">
        <v>0.99689209999999995</v>
      </c>
      <c r="Y2070">
        <v>-5.8167409999999899E-3</v>
      </c>
      <c r="Z2070">
        <v>-9.4173849999999997E-4</v>
      </c>
      <c r="AA2070">
        <v>0.9999827</v>
      </c>
      <c r="AB2070">
        <v>46</v>
      </c>
      <c r="AC2070">
        <v>-22.550899999999999</v>
      </c>
      <c r="AD2070">
        <v>-1.1181182037649999</v>
      </c>
      <c r="AE2070">
        <v>0.34800000000001302</v>
      </c>
      <c r="AF2070">
        <v>-0.13332519568958401</v>
      </c>
      <c r="AG2070">
        <v>-1.1181182037649999</v>
      </c>
      <c r="AH2070">
        <v>22.497893913469401</v>
      </c>
      <c r="AI2070">
        <v>92.845140318051605</v>
      </c>
      <c r="AJ2070">
        <v>90.339537630632506</v>
      </c>
      <c r="AK2070">
        <v>22.526055901269501</v>
      </c>
      <c r="AL2070">
        <v>94.518265884769505</v>
      </c>
      <c r="AM2070">
        <v>89.965059992098105</v>
      </c>
      <c r="AN2070">
        <v>1.00000001508096</v>
      </c>
    </row>
    <row r="2071" spans="1:40" x14ac:dyDescent="0.25">
      <c r="A2071" t="str">
        <f>"20190303154808738"</f>
        <v>20190303154808738</v>
      </c>
      <c r="B2071" t="str">
        <f>"1551599288732614"</f>
        <v>1551599288732614</v>
      </c>
      <c r="C2071" t="s">
        <v>40</v>
      </c>
      <c r="D2071">
        <v>5.7259529999999996</v>
      </c>
      <c r="E2071">
        <v>0.49259160000000002</v>
      </c>
      <c r="F2071" t="s">
        <v>54</v>
      </c>
      <c r="G2071">
        <v>-306.84289999999999</v>
      </c>
      <c r="H2071" s="1">
        <v>2.7276739999999999E-6</v>
      </c>
      <c r="I2071">
        <v>284.88069999999999</v>
      </c>
      <c r="J2071">
        <v>-284.29739999999998</v>
      </c>
      <c r="K2071">
        <v>1.1182179999999999</v>
      </c>
      <c r="L2071">
        <v>284.52980000000002</v>
      </c>
      <c r="M2071">
        <v>-0.99965349999999997</v>
      </c>
      <c r="N2071">
        <v>-1.358155E-2</v>
      </c>
      <c r="O2071">
        <v>2.255074E-2</v>
      </c>
      <c r="P2071">
        <v>-0.99565579999999998</v>
      </c>
      <c r="Q2071">
        <v>-9.067509E-2</v>
      </c>
      <c r="R2071">
        <v>2.116144E-2</v>
      </c>
      <c r="S2071">
        <v>-2.9989620000000001</v>
      </c>
      <c r="T2071">
        <v>-0.14622689999999999</v>
      </c>
      <c r="U2071">
        <v>4.7088619999999998E-2</v>
      </c>
      <c r="V2071">
        <v>-1.679947E-3</v>
      </c>
      <c r="W2071">
        <v>-7.7133759999999996E-2</v>
      </c>
      <c r="X2071">
        <v>0.9970194</v>
      </c>
      <c r="Y2071">
        <v>-6.8300160000000004E-3</v>
      </c>
      <c r="Z2071">
        <v>-1.00537E-3</v>
      </c>
      <c r="AA2071">
        <v>0.99997619999999998</v>
      </c>
      <c r="AB2071">
        <v>46</v>
      </c>
      <c r="AC2071">
        <v>-22.545500000000001</v>
      </c>
      <c r="AD2071">
        <v>-1.1182152723259999</v>
      </c>
      <c r="AE2071">
        <v>0.35089999999996702</v>
      </c>
      <c r="AF2071">
        <v>-0.157267047792327</v>
      </c>
      <c r="AG2071">
        <v>-1.1182152723259999</v>
      </c>
      <c r="AH2071">
        <v>22.4923621004342</v>
      </c>
      <c r="AI2071">
        <v>92.846065998641507</v>
      </c>
      <c r="AJ2071">
        <v>90.400606713471404</v>
      </c>
      <c r="AK2071">
        <v>22.520690290855502</v>
      </c>
      <c r="AL2071">
        <v>94.423832735818294</v>
      </c>
      <c r="AM2071">
        <v>90.0965415335084</v>
      </c>
      <c r="AN2071">
        <v>1.000000061565</v>
      </c>
    </row>
    <row r="2072" spans="1:40" x14ac:dyDescent="0.25">
      <c r="A2072" t="str">
        <f>"20190303154808759"</f>
        <v>20190303154808759</v>
      </c>
      <c r="B2072" t="str">
        <f>"1551599288753110"</f>
        <v>1551599288753110</v>
      </c>
      <c r="C2072" t="s">
        <v>40</v>
      </c>
      <c r="D2072">
        <v>5.6802979999999996</v>
      </c>
      <c r="E2072">
        <v>0.49312669999999997</v>
      </c>
      <c r="F2072" t="s">
        <v>54</v>
      </c>
      <c r="G2072">
        <v>-308.2242</v>
      </c>
      <c r="H2072" s="1">
        <v>2.5108280000000001E-6</v>
      </c>
      <c r="I2072">
        <v>284.55849999999998</v>
      </c>
      <c r="J2072">
        <v>-284.75229999999999</v>
      </c>
      <c r="K2072">
        <v>1.1183419999999999</v>
      </c>
      <c r="L2072">
        <v>284.54109999999997</v>
      </c>
      <c r="M2072">
        <v>-0.99961920000000004</v>
      </c>
      <c r="N2072">
        <v>-1.384732E-2</v>
      </c>
      <c r="O2072">
        <v>2.387162E-2</v>
      </c>
      <c r="P2072">
        <v>-0.99575000000000002</v>
      </c>
      <c r="Q2072">
        <v>-8.9927549999999995E-2</v>
      </c>
      <c r="R2072">
        <v>1.988318E-2</v>
      </c>
      <c r="S2072">
        <v>-3.0002140000000002</v>
      </c>
      <c r="T2072">
        <v>-0.14021459999999999</v>
      </c>
      <c r="U2072">
        <v>3.6010740000000001E-3</v>
      </c>
      <c r="V2072">
        <v>-4.2518E-3</v>
      </c>
      <c r="W2072">
        <v>-7.6108720000000005E-2</v>
      </c>
      <c r="X2072">
        <v>0.99709049999999999</v>
      </c>
      <c r="Y2072">
        <v>-2.262904E-2</v>
      </c>
      <c r="Z2072">
        <v>-1.469761E-3</v>
      </c>
      <c r="AA2072">
        <v>0.99974289999999999</v>
      </c>
      <c r="AB2072">
        <v>46</v>
      </c>
      <c r="AC2072">
        <v>-23.471900000000002</v>
      </c>
      <c r="AD2072">
        <v>-1.118339489172</v>
      </c>
      <c r="AE2072">
        <v>1.7400000000009099E-2</v>
      </c>
      <c r="AF2072">
        <v>-0.54174110037558199</v>
      </c>
      <c r="AG2072">
        <v>-1.118339489172</v>
      </c>
      <c r="AH2072">
        <v>23.412476042769502</v>
      </c>
      <c r="AI2072">
        <v>92.734027707654903</v>
      </c>
      <c r="AJ2072">
        <v>91.325530059962205</v>
      </c>
      <c r="AK2072">
        <v>23.445430281530999</v>
      </c>
      <c r="AL2072">
        <v>94.364929204099397</v>
      </c>
      <c r="AM2072">
        <v>90.244319566570098</v>
      </c>
      <c r="AN2072">
        <v>1.0000000401267599</v>
      </c>
    </row>
    <row r="2073" spans="1:40" x14ac:dyDescent="0.25">
      <c r="A2073" t="str">
        <f>"20190303154808773"</f>
        <v>20190303154808773</v>
      </c>
      <c r="B2073" t="str">
        <f>"1551599288762870"</f>
        <v>1551599288762870</v>
      </c>
      <c r="C2073" t="s">
        <v>40</v>
      </c>
      <c r="D2073">
        <v>5.7150210000000001</v>
      </c>
      <c r="E2073">
        <v>0.49315740000000002</v>
      </c>
      <c r="F2073" t="s">
        <v>54</v>
      </c>
      <c r="G2073">
        <v>-309.34730000000002</v>
      </c>
      <c r="H2073" s="1">
        <v>2.310273E-6</v>
      </c>
      <c r="I2073">
        <v>284.5736</v>
      </c>
      <c r="J2073">
        <v>-285.01440000000002</v>
      </c>
      <c r="K2073">
        <v>1.1184210000000001</v>
      </c>
      <c r="L2073">
        <v>284.54790000000003</v>
      </c>
      <c r="M2073">
        <v>-0.99960039999999994</v>
      </c>
      <c r="N2073">
        <v>-1.3982720000000001E-2</v>
      </c>
      <c r="O2073">
        <v>2.4565590000000002E-2</v>
      </c>
      <c r="P2073">
        <v>-0.99576010000000004</v>
      </c>
      <c r="Q2073">
        <v>-8.9811909999999995E-2</v>
      </c>
      <c r="R2073">
        <v>1.9888639999999999E-2</v>
      </c>
      <c r="S2073">
        <v>-3.000397</v>
      </c>
      <c r="T2073">
        <v>-0.13642870000000001</v>
      </c>
      <c r="U2073">
        <v>3.9672850000000001E-3</v>
      </c>
      <c r="V2073">
        <v>-4.9241789999999999E-3</v>
      </c>
      <c r="W2073">
        <v>-7.5855580000000006E-2</v>
      </c>
      <c r="X2073">
        <v>0.99710670000000001</v>
      </c>
      <c r="Y2073">
        <v>-2.32026E-2</v>
      </c>
      <c r="Z2073">
        <v>-1.4624989999999999E-3</v>
      </c>
      <c r="AA2073">
        <v>0.99972969999999906</v>
      </c>
      <c r="AB2073">
        <v>46</v>
      </c>
      <c r="AC2073">
        <v>-24.332899999999899</v>
      </c>
      <c r="AD2073">
        <v>-1.1184186897270001</v>
      </c>
      <c r="AE2073">
        <v>2.5699999999971999E-2</v>
      </c>
      <c r="AF2073">
        <v>-0.57091214431195603</v>
      </c>
      <c r="AG2073">
        <v>-1.1184186897270001</v>
      </c>
      <c r="AH2073">
        <v>24.274903233251798</v>
      </c>
      <c r="AI2073">
        <v>92.637197287618704</v>
      </c>
      <c r="AJ2073">
        <v>91.347269110019099</v>
      </c>
      <c r="AK2073">
        <v>24.307359544503999</v>
      </c>
      <c r="AL2073">
        <v>94.350383285086195</v>
      </c>
      <c r="AM2073">
        <v>90.282951042942898</v>
      </c>
      <c r="AN2073">
        <v>1.00000004387042</v>
      </c>
    </row>
    <row r="2074" spans="1:40" x14ac:dyDescent="0.25">
      <c r="A2074" t="str">
        <f>"20190303154808785"</f>
        <v>20190303154808785</v>
      </c>
      <c r="B2074" t="str">
        <f>"1551599288782391"</f>
        <v>1551599288782391</v>
      </c>
      <c r="C2074" t="s">
        <v>40</v>
      </c>
      <c r="D2074">
        <v>5.6680070000000002</v>
      </c>
      <c r="E2074">
        <v>0.49332609999999899</v>
      </c>
      <c r="F2074" t="s">
        <v>54</v>
      </c>
      <c r="G2074">
        <v>-309.40190000000001</v>
      </c>
      <c r="H2074" s="1">
        <v>2.299738E-6</v>
      </c>
      <c r="I2074">
        <v>284.58339999999998</v>
      </c>
      <c r="J2074">
        <v>-285.27199999999999</v>
      </c>
      <c r="K2074">
        <v>1.1185</v>
      </c>
      <c r="L2074">
        <v>284.55470000000003</v>
      </c>
      <c r="M2074">
        <v>-0.99958239999999998</v>
      </c>
      <c r="N2074">
        <v>-1.410954E-2</v>
      </c>
      <c r="O2074">
        <v>2.521847E-2</v>
      </c>
      <c r="P2074">
        <v>-0.99576469999999995</v>
      </c>
      <c r="Q2074">
        <v>-8.9800749999999999E-2</v>
      </c>
      <c r="R2074">
        <v>1.9708239999999998E-2</v>
      </c>
      <c r="S2074">
        <v>-3.0002749999999998</v>
      </c>
      <c r="T2074">
        <v>-0.1375934</v>
      </c>
      <c r="U2074">
        <v>4.3640140000000003E-3</v>
      </c>
      <c r="V2074">
        <v>-5.741075E-3</v>
      </c>
      <c r="W2074">
        <v>-7.5715270000000001E-2</v>
      </c>
      <c r="X2074">
        <v>0.99711289999999997</v>
      </c>
      <c r="Y2074">
        <v>-2.3721570000000001E-2</v>
      </c>
      <c r="Z2074">
        <v>-1.51120799999999E-3</v>
      </c>
      <c r="AA2074">
        <v>0.99971750000000004</v>
      </c>
      <c r="AB2074">
        <v>46</v>
      </c>
      <c r="AC2074">
        <v>-24.129899999999999</v>
      </c>
      <c r="AD2074">
        <v>-1.118497700262</v>
      </c>
      <c r="AE2074">
        <v>2.8699999999957902E-2</v>
      </c>
      <c r="AF2074">
        <v>-0.57864557559430996</v>
      </c>
      <c r="AG2074">
        <v>-1.118497700262</v>
      </c>
      <c r="AH2074">
        <v>24.071228338762101</v>
      </c>
      <c r="AI2074">
        <v>92.659634383787804</v>
      </c>
      <c r="AJ2074">
        <v>91.377061646309002</v>
      </c>
      <c r="AK2074">
        <v>24.1041469781544</v>
      </c>
      <c r="AL2074">
        <v>94.342321342531903</v>
      </c>
      <c r="AM2074">
        <v>90.329888152626594</v>
      </c>
      <c r="AN2074">
        <v>0.99999994869986697</v>
      </c>
    </row>
    <row r="2075" spans="1:40" x14ac:dyDescent="0.25">
      <c r="A2075" t="str">
        <f>"20190303154808803"</f>
        <v>20190303154808803</v>
      </c>
      <c r="B2075" t="str">
        <f>"1551599288793130"</f>
        <v>1551599288793130</v>
      </c>
      <c r="C2075" t="s">
        <v>40</v>
      </c>
      <c r="D2075">
        <v>5.7248710000000003</v>
      </c>
      <c r="E2075">
        <v>0.49334630000000002</v>
      </c>
      <c r="F2075" t="s">
        <v>54</v>
      </c>
      <c r="G2075">
        <v>-309.45609999999999</v>
      </c>
      <c r="H2075" s="1">
        <v>2.2890329999999999E-6</v>
      </c>
      <c r="I2075">
        <v>284.596</v>
      </c>
      <c r="J2075">
        <v>-285.64929999999998</v>
      </c>
      <c r="K2075">
        <v>1.1186179999999999</v>
      </c>
      <c r="L2075">
        <v>284.56479999999999</v>
      </c>
      <c r="M2075">
        <v>-0.99955769999999999</v>
      </c>
      <c r="N2075">
        <v>-1.427847E-2</v>
      </c>
      <c r="O2075">
        <v>2.6093450000000001E-2</v>
      </c>
      <c r="P2075">
        <v>-0.99573529999999999</v>
      </c>
      <c r="Q2075">
        <v>-9.0093519999999996E-2</v>
      </c>
      <c r="R2075">
        <v>1.9867940000000001E-2</v>
      </c>
      <c r="S2075">
        <v>-3.0001530000000001</v>
      </c>
      <c r="T2075">
        <v>-0.1387553</v>
      </c>
      <c r="U2075">
        <v>5.1269530000000001E-3</v>
      </c>
      <c r="V2075">
        <v>-6.4313819999999898E-3</v>
      </c>
      <c r="W2075">
        <v>-7.5838710000000004E-2</v>
      </c>
      <c r="X2075">
        <v>0.99709930000000002</v>
      </c>
      <c r="Y2075">
        <v>-2.4340379999999998E-2</v>
      </c>
      <c r="Z2075">
        <v>-1.57002799999999E-3</v>
      </c>
      <c r="AA2075">
        <v>0.99970250000000005</v>
      </c>
      <c r="AB2075">
        <v>46</v>
      </c>
      <c r="AC2075">
        <v>-23.806799999999999</v>
      </c>
      <c r="AD2075">
        <v>-1.1186157109670001</v>
      </c>
      <c r="AE2075">
        <v>3.1200000000012499E-2</v>
      </c>
      <c r="AF2075">
        <v>-0.58877550265715906</v>
      </c>
      <c r="AG2075">
        <v>-1.1186157109670001</v>
      </c>
      <c r="AH2075">
        <v>23.747077807476298</v>
      </c>
      <c r="AI2075">
        <v>92.696119959793705</v>
      </c>
      <c r="AJ2075">
        <v>91.420277550910896</v>
      </c>
      <c r="AK2075">
        <v>23.7806993609457</v>
      </c>
      <c r="AL2075">
        <v>94.3494143511235</v>
      </c>
      <c r="AM2075">
        <v>90.369557911603096</v>
      </c>
      <c r="AN2075">
        <v>0.99999994333469</v>
      </c>
    </row>
    <row r="2076" spans="1:40" x14ac:dyDescent="0.25">
      <c r="A2076" t="str">
        <f>"20190303154808818"</f>
        <v>20190303154808818</v>
      </c>
      <c r="B2076" t="str">
        <f>"1551599288812646"</f>
        <v>1551599288812646</v>
      </c>
      <c r="C2076" t="s">
        <v>40</v>
      </c>
      <c r="D2076">
        <v>5.7044879999999996</v>
      </c>
      <c r="E2076">
        <v>0.4936007</v>
      </c>
      <c r="F2076" t="s">
        <v>54</v>
      </c>
      <c r="G2076">
        <v>-309.51569999999998</v>
      </c>
      <c r="H2076" s="1">
        <v>2.276979E-6</v>
      </c>
      <c r="I2076">
        <v>284.61290000000002</v>
      </c>
      <c r="J2076">
        <v>-285.93340000000001</v>
      </c>
      <c r="K2076">
        <v>1.1187119999999999</v>
      </c>
      <c r="L2076">
        <v>284.5727</v>
      </c>
      <c r="M2076">
        <v>-0.99954030000000005</v>
      </c>
      <c r="N2076">
        <v>-1.4393629999999999E-2</v>
      </c>
      <c r="O2076">
        <v>2.6688819999999999E-2</v>
      </c>
      <c r="P2076">
        <v>-0.99571359999999998</v>
      </c>
      <c r="Q2076">
        <v>-9.0113819999999997E-2</v>
      </c>
      <c r="R2076">
        <v>2.0841370000000001E-2</v>
      </c>
      <c r="S2076">
        <v>-3</v>
      </c>
      <c r="T2076">
        <v>-0.1406096</v>
      </c>
      <c r="U2076">
        <v>6.0424800000000002E-3</v>
      </c>
      <c r="V2076">
        <v>-6.0339440000000003E-3</v>
      </c>
      <c r="W2076">
        <v>-7.5747060000000005E-2</v>
      </c>
      <c r="X2076">
        <v>0.99710880000000002</v>
      </c>
      <c r="Y2076">
        <v>-2.462868E-2</v>
      </c>
      <c r="Z2076">
        <v>-1.6202740000000001E-3</v>
      </c>
      <c r="AA2076">
        <v>0.99969540000000001</v>
      </c>
      <c r="AB2076">
        <v>46</v>
      </c>
      <c r="AC2076">
        <v>-23.582299999999901</v>
      </c>
      <c r="AD2076">
        <v>-1.1187097230209999</v>
      </c>
      <c r="AE2076">
        <v>4.0200000000027103E-2</v>
      </c>
      <c r="AF2076">
        <v>-0.58794009591418295</v>
      </c>
      <c r="AG2076">
        <v>-1.1187097230209999</v>
      </c>
      <c r="AH2076">
        <v>23.522036834368699</v>
      </c>
      <c r="AI2076">
        <v>92.722090551697804</v>
      </c>
      <c r="AJ2076">
        <v>91.431826401566298</v>
      </c>
      <c r="AK2076">
        <v>23.555963190626802</v>
      </c>
      <c r="AL2076">
        <v>94.344147831376404</v>
      </c>
      <c r="AM2076">
        <v>90.346717735352996</v>
      </c>
      <c r="AN2076">
        <v>0.99999999230813896</v>
      </c>
    </row>
    <row r="2077" spans="1:40" x14ac:dyDescent="0.25">
      <c r="A2077" t="str">
        <f>"20190303154808838"</f>
        <v>20190303154808838</v>
      </c>
      <c r="B2077" t="str">
        <f>"1551599288832671"</f>
        <v>1551599288832671</v>
      </c>
      <c r="C2077" t="s">
        <v>40</v>
      </c>
      <c r="D2077">
        <v>5.6746019999999904</v>
      </c>
      <c r="E2077">
        <v>0.49368040000000002</v>
      </c>
      <c r="F2077" t="s">
        <v>54</v>
      </c>
      <c r="G2077">
        <v>-309.92320000000001</v>
      </c>
      <c r="H2077" s="1">
        <v>2.2005209999999999E-6</v>
      </c>
      <c r="I2077">
        <v>284.66059999999999</v>
      </c>
      <c r="J2077">
        <v>-286.34699999999998</v>
      </c>
      <c r="K2077">
        <v>1.118851</v>
      </c>
      <c r="L2077">
        <v>284.58429999999998</v>
      </c>
      <c r="M2077">
        <v>-0.99951719999999999</v>
      </c>
      <c r="N2077">
        <v>-1.4544110000000001E-2</v>
      </c>
      <c r="O2077">
        <v>2.745819E-2</v>
      </c>
      <c r="P2077">
        <v>-0.99564160000000002</v>
      </c>
      <c r="Q2077">
        <v>-9.0813229999999995E-2</v>
      </c>
      <c r="R2077">
        <v>2.1232729999999998E-2</v>
      </c>
      <c r="S2077">
        <v>-3.0000610000000001</v>
      </c>
      <c r="T2077">
        <v>-0.13990079999999999</v>
      </c>
      <c r="U2077">
        <v>1.0986330000000001E-2</v>
      </c>
      <c r="V2077">
        <v>-6.3840879999999996E-3</v>
      </c>
      <c r="W2077">
        <v>-7.6297950000000003E-2</v>
      </c>
      <c r="X2077">
        <v>0.99706470000000003</v>
      </c>
      <c r="Y2077">
        <v>-2.37523E-2</v>
      </c>
      <c r="Z2077">
        <v>-1.6067179999999901E-3</v>
      </c>
      <c r="AA2077">
        <v>0.99971659999999996</v>
      </c>
      <c r="AB2077">
        <v>46</v>
      </c>
      <c r="AC2077">
        <v>-23.5762</v>
      </c>
      <c r="AD2077">
        <v>-1.118848799479</v>
      </c>
      <c r="AE2077">
        <v>7.6300000000003296E-2</v>
      </c>
      <c r="AF2077">
        <v>-0.56987357435842001</v>
      </c>
      <c r="AG2077">
        <v>-1.118848799479</v>
      </c>
      <c r="AH2077">
        <v>23.516442319966799</v>
      </c>
      <c r="AI2077">
        <v>92.723126121697902</v>
      </c>
      <c r="AJ2077">
        <v>91.388176030520498</v>
      </c>
      <c r="AK2077">
        <v>23.549939233789299</v>
      </c>
      <c r="AL2077">
        <v>94.375802749176302</v>
      </c>
      <c r="AM2077">
        <v>90.366853123904207</v>
      </c>
      <c r="AN2077">
        <v>1.00000007486993</v>
      </c>
    </row>
    <row r="2078" spans="1:40" x14ac:dyDescent="0.25">
      <c r="A2078" t="str">
        <f>"20190303154808854"</f>
        <v>20190303154808854</v>
      </c>
      <c r="B2078" t="str">
        <f>"1551599288842432"</f>
        <v>1551599288842432</v>
      </c>
      <c r="C2078" t="s">
        <v>40</v>
      </c>
      <c r="D2078">
        <v>5.614401</v>
      </c>
      <c r="E2078">
        <v>0.49373689999999998</v>
      </c>
      <c r="F2078" t="s">
        <v>54</v>
      </c>
      <c r="G2078">
        <v>-310.03500000000003</v>
      </c>
      <c r="H2078" s="1">
        <v>2.2264870000000001E-6</v>
      </c>
      <c r="I2078">
        <v>284.68529999999998</v>
      </c>
      <c r="J2078">
        <v>-286.65460000000002</v>
      </c>
      <c r="K2078">
        <v>1.118962</v>
      </c>
      <c r="L2078">
        <v>284.59309999999999</v>
      </c>
      <c r="M2078">
        <v>-0.99950249999999996</v>
      </c>
      <c r="N2078">
        <v>-1.4643110000000001E-2</v>
      </c>
      <c r="O2078">
        <v>2.793588E-2</v>
      </c>
      <c r="P2078">
        <v>-0.99561509999999998</v>
      </c>
      <c r="Q2078">
        <v>-9.0907920000000003E-2</v>
      </c>
      <c r="R2078">
        <v>2.2059430000000001E-2</v>
      </c>
      <c r="S2078">
        <v>-2.999908</v>
      </c>
      <c r="T2078">
        <v>-0.14169379999999901</v>
      </c>
      <c r="U2078">
        <v>1.2786870000000001E-2</v>
      </c>
      <c r="V2078">
        <v>-6.0132459999999999E-3</v>
      </c>
      <c r="W2078">
        <v>-7.6296790000000003E-2</v>
      </c>
      <c r="X2078">
        <v>0.99706700000000004</v>
      </c>
      <c r="Y2078">
        <v>-2.3628570000000002E-2</v>
      </c>
      <c r="Z2078">
        <v>-1.640463E-3</v>
      </c>
      <c r="AA2078">
        <v>0.99971940000000004</v>
      </c>
      <c r="AB2078">
        <v>46</v>
      </c>
      <c r="AC2078">
        <v>-23.380400000000002</v>
      </c>
      <c r="AD2078">
        <v>-1.1189597735129999</v>
      </c>
      <c r="AE2078">
        <v>9.2199999999991095E-2</v>
      </c>
      <c r="AF2078">
        <v>-0.55977591842799101</v>
      </c>
      <c r="AG2078">
        <v>-1.1189597735129999</v>
      </c>
      <c r="AH2078">
        <v>23.320435054714999</v>
      </c>
      <c r="AI2078">
        <v>92.746266097271103</v>
      </c>
      <c r="AJ2078">
        <v>91.375044667655899</v>
      </c>
      <c r="AK2078">
        <v>23.353974205577401</v>
      </c>
      <c r="AL2078">
        <v>94.375736503809094</v>
      </c>
      <c r="AM2078">
        <v>90.345542917295901</v>
      </c>
      <c r="AN2078">
        <v>0.99999998089038</v>
      </c>
    </row>
    <row r="2079" spans="1:40" x14ac:dyDescent="0.25">
      <c r="A2079" t="str">
        <f>"20190303154808873"</f>
        <v>20190303154808873</v>
      </c>
      <c r="B2079" t="str">
        <f>"1551599288862927"</f>
        <v>1551599288862927</v>
      </c>
      <c r="C2079" t="s">
        <v>40</v>
      </c>
      <c r="D2079">
        <v>5.6244459999999998</v>
      </c>
      <c r="E2079">
        <v>0.4939308</v>
      </c>
      <c r="F2079" t="s">
        <v>54</v>
      </c>
      <c r="G2079">
        <v>-310.29910000000001</v>
      </c>
      <c r="H2079" s="1">
        <v>2.340674E-6</v>
      </c>
      <c r="I2079">
        <v>284.71890000000002</v>
      </c>
      <c r="J2079">
        <v>-287.05650000000003</v>
      </c>
      <c r="K2079">
        <v>1.1191180000000001</v>
      </c>
      <c r="L2079">
        <v>284.60480000000001</v>
      </c>
      <c r="M2079">
        <v>-0.99948619999999999</v>
      </c>
      <c r="N2079">
        <v>-1.4759950000000001E-2</v>
      </c>
      <c r="O2079">
        <v>2.8452559999999998E-2</v>
      </c>
      <c r="P2079">
        <v>-0.99558250000000004</v>
      </c>
      <c r="Q2079">
        <v>-9.1023000000000007E-2</v>
      </c>
      <c r="R2079">
        <v>2.3026319999999999E-2</v>
      </c>
      <c r="S2079">
        <v>-2.9999389999999999</v>
      </c>
      <c r="T2079">
        <v>-0.14196979999999901</v>
      </c>
      <c r="U2079">
        <v>1.596069E-2</v>
      </c>
      <c r="V2079">
        <v>-5.5335269999999999E-3</v>
      </c>
      <c r="W2079">
        <v>-7.6298950000000004E-2</v>
      </c>
      <c r="X2079">
        <v>0.99706969999999995</v>
      </c>
      <c r="Y2079">
        <v>-2.3088170000000002E-2</v>
      </c>
      <c r="Z2079">
        <v>-1.6422349999999999E-3</v>
      </c>
      <c r="AA2079">
        <v>0.99973210000000001</v>
      </c>
      <c r="AB2079">
        <v>46</v>
      </c>
      <c r="AC2079">
        <v>-23.2425999999999</v>
      </c>
      <c r="AD2079">
        <v>-1.1191156593260001</v>
      </c>
      <c r="AE2079">
        <v>0.114100000000007</v>
      </c>
      <c r="AF2079">
        <v>-0.54606375889835301</v>
      </c>
      <c r="AG2079">
        <v>-1.1191156593260001</v>
      </c>
      <c r="AH2079">
        <v>23.182690349481302</v>
      </c>
      <c r="AI2079">
        <v>92.762972089391496</v>
      </c>
      <c r="AJ2079">
        <v>91.349341420094305</v>
      </c>
      <c r="AK2079">
        <v>23.216109435641101</v>
      </c>
      <c r="AL2079">
        <v>94.375860241808198</v>
      </c>
      <c r="AM2079">
        <v>90.317976253757394</v>
      </c>
      <c r="AN2079">
        <v>1.00000006817512</v>
      </c>
    </row>
    <row r="2080" spans="1:40" x14ac:dyDescent="0.25">
      <c r="A2080" t="str">
        <f>"20190303154808894"</f>
        <v>20190303154808894</v>
      </c>
      <c r="B2080" t="str">
        <f>"1551599288882448"</f>
        <v>1551599288882448</v>
      </c>
      <c r="C2080" t="s">
        <v>40</v>
      </c>
      <c r="D2080">
        <v>5.578309</v>
      </c>
      <c r="E2080">
        <v>0.49400490000000002</v>
      </c>
      <c r="F2080" t="s">
        <v>54</v>
      </c>
      <c r="G2080">
        <v>-310.93729999999999</v>
      </c>
      <c r="H2080" s="1">
        <v>2.6194050000000002E-6</v>
      </c>
      <c r="I2080">
        <v>284.76780000000002</v>
      </c>
      <c r="J2080">
        <v>-287.47390000000001</v>
      </c>
      <c r="K2080">
        <v>1.1192839999999999</v>
      </c>
      <c r="L2080">
        <v>284.61700000000002</v>
      </c>
      <c r="M2080">
        <v>-0.99947299999999994</v>
      </c>
      <c r="N2080">
        <v>-1.4866209999999999E-2</v>
      </c>
      <c r="O2080">
        <v>2.8856079999999999E-2</v>
      </c>
      <c r="P2080">
        <v>-0.99553480000000005</v>
      </c>
      <c r="Q2080">
        <v>-9.1201229999999994E-2</v>
      </c>
      <c r="R2080">
        <v>2.434687E-2</v>
      </c>
      <c r="S2080">
        <v>-2.9999690000000001</v>
      </c>
      <c r="T2080">
        <v>-0.14058599999999999</v>
      </c>
      <c r="U2080">
        <v>2.0477289999999999E-2</v>
      </c>
      <c r="V2080">
        <v>-4.5849949999999997E-3</v>
      </c>
      <c r="W2080">
        <v>-7.6375789999999999E-2</v>
      </c>
      <c r="X2080">
        <v>0.99706859999999997</v>
      </c>
      <c r="Y2080">
        <v>-2.198922E-2</v>
      </c>
      <c r="Z2080">
        <v>-1.6009660000000001E-3</v>
      </c>
      <c r="AA2080">
        <v>0.99975689999999995</v>
      </c>
      <c r="AB2080">
        <v>46</v>
      </c>
      <c r="AC2080">
        <v>-23.463399999999901</v>
      </c>
      <c r="AD2080">
        <v>-1.1192813805949999</v>
      </c>
      <c r="AE2080">
        <v>0.15080000000000299</v>
      </c>
      <c r="AF2080">
        <v>-0.52520429472063301</v>
      </c>
      <c r="AG2080">
        <v>-1.1192813805949999</v>
      </c>
      <c r="AH2080">
        <v>23.404721433306499</v>
      </c>
      <c r="AI2080">
        <v>92.737275618981997</v>
      </c>
      <c r="AJ2080">
        <v>91.285507287888507</v>
      </c>
      <c r="AK2080">
        <v>23.4373551351431</v>
      </c>
      <c r="AL2080">
        <v>94.380275864561298</v>
      </c>
      <c r="AM2080">
        <v>90.263471350841499</v>
      </c>
      <c r="AN2080">
        <v>1.0000000382916101</v>
      </c>
    </row>
    <row r="2081" spans="1:40" x14ac:dyDescent="0.25">
      <c r="A2081" t="str">
        <f>"20190303154808915"</f>
        <v>20190303154808915</v>
      </c>
      <c r="B2081" t="str">
        <f>"1551599288912703"</f>
        <v>1551599288912703</v>
      </c>
      <c r="C2081" t="s">
        <v>40</v>
      </c>
      <c r="D2081">
        <v>5.5696849999999998</v>
      </c>
      <c r="E2081">
        <v>0.49403170000000002</v>
      </c>
      <c r="F2081" t="s">
        <v>54</v>
      </c>
      <c r="G2081">
        <v>-311.42399999999998</v>
      </c>
      <c r="H2081" s="1">
        <v>2.830844E-6</v>
      </c>
      <c r="I2081">
        <v>284.81779999999998</v>
      </c>
      <c r="J2081">
        <v>-287.93020000000001</v>
      </c>
      <c r="K2081">
        <v>1.1194580000000001</v>
      </c>
      <c r="L2081">
        <v>284.63049999999998</v>
      </c>
      <c r="M2081">
        <v>-0.99946259999999998</v>
      </c>
      <c r="N2081">
        <v>-1.496715E-2</v>
      </c>
      <c r="O2081">
        <v>2.916709E-2</v>
      </c>
      <c r="P2081">
        <v>-0.9954807</v>
      </c>
      <c r="Q2081">
        <v>-9.1536380000000001E-2</v>
      </c>
      <c r="R2081">
        <v>2.5293889999999999E-2</v>
      </c>
      <c r="S2081">
        <v>-2.9999690000000001</v>
      </c>
      <c r="T2081">
        <v>-0.14020050000000001</v>
      </c>
      <c r="U2081">
        <v>2.5146479999999999E-2</v>
      </c>
      <c r="V2081">
        <v>-3.9155040000000002E-3</v>
      </c>
      <c r="W2081">
        <v>-7.6613890000000004E-2</v>
      </c>
      <c r="X2081">
        <v>0.99705310000000003</v>
      </c>
      <c r="Y2081">
        <v>-2.074635E-2</v>
      </c>
      <c r="Z2081">
        <v>-1.565564E-3</v>
      </c>
      <c r="AA2081">
        <v>0.99978350000000005</v>
      </c>
      <c r="AB2081">
        <v>46</v>
      </c>
      <c r="AC2081">
        <v>-23.4938</v>
      </c>
      <c r="AD2081">
        <v>-1.119455169156</v>
      </c>
      <c r="AE2081">
        <v>0.187299999999993</v>
      </c>
      <c r="AF2081">
        <v>-0.496973903307459</v>
      </c>
      <c r="AG2081">
        <v>-1.119455169156</v>
      </c>
      <c r="AH2081">
        <v>23.436059531401099</v>
      </c>
      <c r="AI2081">
        <v>92.734118274387797</v>
      </c>
      <c r="AJ2081">
        <v>91.214804912780806</v>
      </c>
      <c r="AK2081">
        <v>23.468043150115701</v>
      </c>
      <c r="AL2081">
        <v>94.393958459306006</v>
      </c>
      <c r="AM2081">
        <v>90.225003764208395</v>
      </c>
      <c r="AN2081">
        <v>0.99999995176605705</v>
      </c>
    </row>
    <row r="2082" spans="1:40" x14ac:dyDescent="0.25">
      <c r="A2082" t="str">
        <f>"20190303154808927"</f>
        <v>20190303154808927</v>
      </c>
      <c r="B2082" t="str">
        <f>"1551599288922464"</f>
        <v>1551599288922464</v>
      </c>
      <c r="C2082" t="s">
        <v>40</v>
      </c>
      <c r="D2082">
        <v>5.5789309999999999</v>
      </c>
      <c r="E2082">
        <v>0.4940561</v>
      </c>
      <c r="F2082" t="s">
        <v>54</v>
      </c>
      <c r="G2082">
        <v>-311.8621</v>
      </c>
      <c r="H2082" s="1">
        <v>3.0218060000000002E-6</v>
      </c>
      <c r="I2082">
        <v>284.85590000000002</v>
      </c>
      <c r="J2082">
        <v>-288.1678</v>
      </c>
      <c r="K2082">
        <v>1.119542</v>
      </c>
      <c r="L2082">
        <v>284.63749999999999</v>
      </c>
      <c r="M2082">
        <v>-0.99945870000000003</v>
      </c>
      <c r="N2082">
        <v>-1.501364E-2</v>
      </c>
      <c r="O2082">
        <v>2.927505E-2</v>
      </c>
      <c r="P2082">
        <v>-0.99545629999999996</v>
      </c>
      <c r="Q2082">
        <v>-9.1642870000000001E-2</v>
      </c>
      <c r="R2082">
        <v>2.5853879999999999E-2</v>
      </c>
      <c r="S2082">
        <v>-3.0000309999999999</v>
      </c>
      <c r="T2082">
        <v>-0.1403317</v>
      </c>
      <c r="U2082">
        <v>2.8259280000000001E-2</v>
      </c>
      <c r="V2082">
        <v>-3.4471860000000001E-3</v>
      </c>
      <c r="W2082">
        <v>-7.6675809999999997E-2</v>
      </c>
      <c r="X2082">
        <v>0.99705010000000005</v>
      </c>
      <c r="Y2082">
        <v>-1.9818470000000001E-2</v>
      </c>
      <c r="Z2082">
        <v>-1.541132E-3</v>
      </c>
      <c r="AA2082">
        <v>0.99980239999999998</v>
      </c>
      <c r="AB2082">
        <v>45</v>
      </c>
      <c r="AC2082">
        <v>-23.694299999999998</v>
      </c>
      <c r="AD2082">
        <v>-1.1195389781939999</v>
      </c>
      <c r="AE2082">
        <v>0.21840000000002999</v>
      </c>
      <c r="AF2082">
        <v>-0.47436466428910701</v>
      </c>
      <c r="AG2082">
        <v>-1.1195389781939999</v>
      </c>
      <c r="AH2082">
        <v>23.637769838857398</v>
      </c>
      <c r="AI2082">
        <v>92.711088089376702</v>
      </c>
      <c r="AJ2082">
        <v>91.149661989602393</v>
      </c>
      <c r="AK2082">
        <v>23.6690209411632</v>
      </c>
      <c r="AL2082">
        <v>94.397516545739506</v>
      </c>
      <c r="AM2082">
        <v>90.198092775905707</v>
      </c>
      <c r="AN2082">
        <v>0.99999998242024202</v>
      </c>
    </row>
    <row r="2083" spans="1:40" x14ac:dyDescent="0.25">
      <c r="A2083" t="str">
        <f>"20190303154808939"</f>
        <v>20190303154808939</v>
      </c>
      <c r="B2083" t="str">
        <f>"1551599288933200"</f>
        <v>1551599288933200</v>
      </c>
      <c r="C2083" t="s">
        <v>40</v>
      </c>
      <c r="D2083">
        <v>5.5693890000000001</v>
      </c>
      <c r="E2083">
        <v>0.49405189999999999</v>
      </c>
      <c r="F2083" t="s">
        <v>54</v>
      </c>
      <c r="G2083">
        <v>-312.14659999999998</v>
      </c>
      <c r="H2083" s="1">
        <v>3.14589E-6</v>
      </c>
      <c r="I2083">
        <v>284.87970000000001</v>
      </c>
      <c r="J2083">
        <v>-288.41730000000001</v>
      </c>
      <c r="K2083">
        <v>1.119632</v>
      </c>
      <c r="L2083">
        <v>284.64490000000001</v>
      </c>
      <c r="M2083">
        <v>-0.99945550000000005</v>
      </c>
      <c r="N2083">
        <v>-1.505983E-2</v>
      </c>
      <c r="O2083">
        <v>2.936368E-2</v>
      </c>
      <c r="P2083">
        <v>-0.9954172</v>
      </c>
      <c r="Q2083">
        <v>-9.1973860000000004E-2</v>
      </c>
      <c r="R2083">
        <v>2.6183169999999999E-2</v>
      </c>
      <c r="S2083">
        <v>-2.9999690000000001</v>
      </c>
      <c r="T2083">
        <v>-0.14006440000000001</v>
      </c>
      <c r="U2083">
        <v>3.0303960000000001E-2</v>
      </c>
      <c r="V2083">
        <v>-3.1894319999999999E-3</v>
      </c>
      <c r="W2083">
        <v>-7.6962269999999999E-2</v>
      </c>
      <c r="X2083">
        <v>0.9970289</v>
      </c>
      <c r="Y2083">
        <v>-1.9226590000000002E-2</v>
      </c>
      <c r="Z2083">
        <v>-1.521309E-3</v>
      </c>
      <c r="AA2083">
        <v>0.99981399999999998</v>
      </c>
      <c r="AB2083">
        <v>45</v>
      </c>
      <c r="AC2083">
        <v>-23.729299999999899</v>
      </c>
      <c r="AD2083">
        <v>-1.1196288541099999</v>
      </c>
      <c r="AE2083">
        <v>0.234800000000007</v>
      </c>
      <c r="AF2083">
        <v>-0.46113325011224099</v>
      </c>
      <c r="AG2083">
        <v>-1.1196288541099999</v>
      </c>
      <c r="AH2083">
        <v>23.673262869163601</v>
      </c>
      <c r="AI2083">
        <v>92.707277906270704</v>
      </c>
      <c r="AJ2083">
        <v>91.115927629169093</v>
      </c>
      <c r="AK2083">
        <v>23.704210333142001</v>
      </c>
      <c r="AL2083">
        <v>94.413978080580705</v>
      </c>
      <c r="AM2083">
        <v>90.183284927153494</v>
      </c>
      <c r="AN2083">
        <v>0.99999999545762197</v>
      </c>
    </row>
    <row r="2084" spans="1:40" x14ac:dyDescent="0.25">
      <c r="A2084" t="str">
        <f>"20190303154808952"</f>
        <v>20190303154808952</v>
      </c>
      <c r="B2084" t="str">
        <f>"1551599288942959"</f>
        <v>1551599288942959</v>
      </c>
      <c r="C2084" t="s">
        <v>40</v>
      </c>
      <c r="D2084">
        <v>5.6043050000000001</v>
      </c>
      <c r="E2084">
        <v>0.49405189999999999</v>
      </c>
      <c r="F2084" t="s">
        <v>54</v>
      </c>
      <c r="G2084">
        <v>-312.30599999999998</v>
      </c>
      <c r="H2084" s="1">
        <v>3.2155040000000001E-6</v>
      </c>
      <c r="I2084">
        <v>284.89179999999999</v>
      </c>
      <c r="J2084">
        <v>-288.661</v>
      </c>
      <c r="K2084">
        <v>1.1197170000000001</v>
      </c>
      <c r="L2084">
        <v>284.65210000000002</v>
      </c>
      <c r="M2084">
        <v>-0.99945399999999995</v>
      </c>
      <c r="N2084">
        <v>-1.5099359999999999E-2</v>
      </c>
      <c r="O2084">
        <v>2.9394110000000001E-2</v>
      </c>
      <c r="P2084">
        <v>-0.99543780000000004</v>
      </c>
      <c r="Q2084">
        <v>-9.1718049999999995E-2</v>
      </c>
      <c r="R2084">
        <v>2.6297069999999999E-2</v>
      </c>
      <c r="S2084">
        <v>-3</v>
      </c>
      <c r="T2084">
        <v>-0.14060599999999901</v>
      </c>
      <c r="U2084">
        <v>3.100586E-2</v>
      </c>
      <c r="V2084">
        <v>-3.0906150000000001E-3</v>
      </c>
      <c r="W2084">
        <v>-7.6667470000000001E-2</v>
      </c>
      <c r="X2084">
        <v>0.99705200000000005</v>
      </c>
      <c r="Y2084">
        <v>-1.9023189999999999E-2</v>
      </c>
      <c r="Z2084">
        <v>-1.5221989999999999E-3</v>
      </c>
      <c r="AA2084">
        <v>0.99981790000000004</v>
      </c>
      <c r="AB2084">
        <v>45</v>
      </c>
      <c r="AC2084">
        <v>-23.6449999999999</v>
      </c>
      <c r="AD2084">
        <v>-1.1197137844959999</v>
      </c>
      <c r="AE2084">
        <v>0.23969999999996999</v>
      </c>
      <c r="AF2084">
        <v>-0.45448737666036998</v>
      </c>
      <c r="AG2084">
        <v>-1.1197137844959999</v>
      </c>
      <c r="AH2084">
        <v>23.588934123989802</v>
      </c>
      <c r="AI2084">
        <v>92.717158685058493</v>
      </c>
      <c r="AJ2084">
        <v>91.103779718155906</v>
      </c>
      <c r="AK2084">
        <v>23.6198672909198</v>
      </c>
      <c r="AL2084">
        <v>94.397036894492004</v>
      </c>
      <c r="AM2084">
        <v>90.177602199734594</v>
      </c>
      <c r="AN2084">
        <v>1.0000000717806301</v>
      </c>
    </row>
    <row r="2085" spans="1:40" x14ac:dyDescent="0.25">
      <c r="A2085" t="str">
        <f>"20190303154808964"</f>
        <v>20190303154808964</v>
      </c>
      <c r="B2085" t="str">
        <f>"1551599288952720"</f>
        <v>1551599288952720</v>
      </c>
      <c r="C2085" t="s">
        <v>40</v>
      </c>
      <c r="D2085">
        <v>5.558751</v>
      </c>
      <c r="E2085">
        <v>0.49428739999999999</v>
      </c>
      <c r="F2085" t="s">
        <v>54</v>
      </c>
      <c r="G2085">
        <v>-312.6841</v>
      </c>
      <c r="H2085" s="1">
        <v>3.3820730000000001E-6</v>
      </c>
      <c r="I2085">
        <v>284.90480000000002</v>
      </c>
      <c r="J2085">
        <v>-288.91109999999998</v>
      </c>
      <c r="K2085">
        <v>1.119801</v>
      </c>
      <c r="L2085">
        <v>284.65949999999998</v>
      </c>
      <c r="M2085">
        <v>-0.99945300000000004</v>
      </c>
      <c r="N2085">
        <v>-1.5137950000000001E-2</v>
      </c>
      <c r="O2085">
        <v>2.9404219999999998E-2</v>
      </c>
      <c r="P2085">
        <v>-0.99541959999999996</v>
      </c>
      <c r="Q2085">
        <v>-9.1867069999999995E-2</v>
      </c>
      <c r="R2085">
        <v>2.6468229999999999E-2</v>
      </c>
      <c r="S2085">
        <v>-3</v>
      </c>
      <c r="T2085">
        <v>-0.13982929999999999</v>
      </c>
      <c r="U2085">
        <v>3.1555180000000002E-2</v>
      </c>
      <c r="V2085">
        <v>-2.9132540000000001E-3</v>
      </c>
      <c r="W2085">
        <v>-7.6779040000000007E-2</v>
      </c>
      <c r="X2085">
        <v>0.99704380000000004</v>
      </c>
      <c r="Y2085">
        <v>-1.8851039999999999E-2</v>
      </c>
      <c r="Z2085">
        <v>-1.5063749999999999E-3</v>
      </c>
      <c r="AA2085">
        <v>0.99982119999999997</v>
      </c>
      <c r="AB2085">
        <v>45</v>
      </c>
      <c r="AC2085">
        <v>-23.773</v>
      </c>
      <c r="AD2085">
        <v>-1.1197976179269999</v>
      </c>
      <c r="AE2085">
        <v>0.24530000000004201</v>
      </c>
      <c r="AF2085">
        <v>-0.45290790941148301</v>
      </c>
      <c r="AG2085">
        <v>-1.1197976179269999</v>
      </c>
      <c r="AH2085">
        <v>23.7173144186524</v>
      </c>
      <c r="AI2085">
        <v>92.702683621478499</v>
      </c>
      <c r="AJ2085">
        <v>91.093992248472006</v>
      </c>
      <c r="AK2085">
        <v>23.748054141607899</v>
      </c>
      <c r="AL2085">
        <v>94.403448936090001</v>
      </c>
      <c r="AM2085">
        <v>90.167411585966704</v>
      </c>
      <c r="AN2085">
        <v>0.99999992357531198</v>
      </c>
    </row>
    <row r="2086" spans="1:40" x14ac:dyDescent="0.25">
      <c r="A2086" t="str">
        <f>"20190303154808982"</f>
        <v>20190303154808982</v>
      </c>
      <c r="B2086" t="str">
        <f>"1551599288973220"</f>
        <v>1551599288973220</v>
      </c>
      <c r="C2086" t="s">
        <v>40</v>
      </c>
      <c r="D2086">
        <v>5.5910099999999998</v>
      </c>
      <c r="E2086">
        <v>0.4936701</v>
      </c>
      <c r="F2086" t="s">
        <v>52</v>
      </c>
      <c r="G2086">
        <v>-320.44560000000001</v>
      </c>
      <c r="H2086" s="1">
        <v>-1.3171310000000001E-6</v>
      </c>
      <c r="I2086">
        <v>285.01609999999999</v>
      </c>
      <c r="J2086">
        <v>-289.26710000000003</v>
      </c>
      <c r="K2086">
        <v>1.119923</v>
      </c>
      <c r="L2086">
        <v>284.67</v>
      </c>
      <c r="M2086">
        <v>-0.9994537</v>
      </c>
      <c r="N2086">
        <v>-1.51869E-2</v>
      </c>
      <c r="O2086">
        <v>2.935434E-2</v>
      </c>
      <c r="P2086">
        <v>-0.9953803</v>
      </c>
      <c r="Q2086">
        <v>-9.2182059999999996E-2</v>
      </c>
      <c r="R2086">
        <v>2.6842990000000001E-2</v>
      </c>
      <c r="S2086">
        <v>-3.0030519999999998</v>
      </c>
      <c r="T2086">
        <v>-0.1066394</v>
      </c>
      <c r="U2086">
        <v>3.3966059999999999E-2</v>
      </c>
      <c r="V2086">
        <v>-2.4663010000000002E-3</v>
      </c>
      <c r="W2086">
        <v>-7.7046859999999995E-2</v>
      </c>
      <c r="X2086">
        <v>0.99702440000000003</v>
      </c>
      <c r="Y2086">
        <v>-1.8028659999999998E-2</v>
      </c>
      <c r="Z2086">
        <v>-1.0530299999999999E-3</v>
      </c>
      <c r="AA2086">
        <v>0.99983690000000003</v>
      </c>
      <c r="AB2086">
        <v>45</v>
      </c>
      <c r="AC2086">
        <v>-31.1784999999999</v>
      </c>
      <c r="AD2086">
        <v>-1.119924317131</v>
      </c>
      <c r="AE2086">
        <v>0.34609999999997798</v>
      </c>
      <c r="AF2086">
        <v>-0.568645431593789</v>
      </c>
      <c r="AG2086">
        <v>-1.119924317131</v>
      </c>
      <c r="AH2086">
        <v>31.135055398722798</v>
      </c>
      <c r="AI2086">
        <v>92.059691178516303</v>
      </c>
      <c r="AJ2086">
        <v>91.046324181031196</v>
      </c>
      <c r="AK2086">
        <v>31.160379695769301</v>
      </c>
      <c r="AL2086">
        <v>94.418839242879002</v>
      </c>
      <c r="AM2086">
        <v>90.141730082119693</v>
      </c>
      <c r="AN2086">
        <v>0.99999997773592098</v>
      </c>
    </row>
    <row r="2087" spans="1:40" x14ac:dyDescent="0.25">
      <c r="A2087" t="str">
        <f>"20190303154808993"</f>
        <v>20190303154808993</v>
      </c>
      <c r="B2087" t="str">
        <f>"1551599288982976"</f>
        <v>1551599288982976</v>
      </c>
      <c r="C2087" t="s">
        <v>40</v>
      </c>
      <c r="D2087">
        <v>5.5536320000000003</v>
      </c>
      <c r="E2087">
        <v>0.49351020000000001</v>
      </c>
      <c r="F2087" t="s">
        <v>54</v>
      </c>
      <c r="G2087">
        <v>-319.05079999999998</v>
      </c>
      <c r="H2087" s="1">
        <v>6.1996659999999996E-6</v>
      </c>
      <c r="I2087">
        <v>284.97089999999997</v>
      </c>
      <c r="J2087">
        <v>-289.52120000000002</v>
      </c>
      <c r="K2087">
        <v>1.120012</v>
      </c>
      <c r="L2087">
        <v>284.67739999999998</v>
      </c>
      <c r="M2087">
        <v>-0.99945580000000001</v>
      </c>
      <c r="N2087">
        <v>-1.521757E-2</v>
      </c>
      <c r="O2087">
        <v>2.9270790000000001E-2</v>
      </c>
      <c r="P2087">
        <v>-0.9953651</v>
      </c>
      <c r="Q2087">
        <v>-9.234494E-2</v>
      </c>
      <c r="R2087">
        <v>2.6855179999999999E-2</v>
      </c>
      <c r="S2087">
        <v>-3.0026549999999999</v>
      </c>
      <c r="T2087">
        <v>-0.1129045</v>
      </c>
      <c r="U2087">
        <v>3.0334469999999999E-2</v>
      </c>
      <c r="V2087">
        <v>-2.3550289999999998E-3</v>
      </c>
      <c r="W2087">
        <v>-7.7179919999999999E-2</v>
      </c>
      <c r="X2087">
        <v>0.99701439999999997</v>
      </c>
      <c r="Y2087">
        <v>-1.914865E-2</v>
      </c>
      <c r="Z2087">
        <v>-1.160293E-3</v>
      </c>
      <c r="AA2087">
        <v>0.99981600000000004</v>
      </c>
      <c r="AB2087">
        <v>45</v>
      </c>
      <c r="AC2087">
        <v>-29.529599999999899</v>
      </c>
      <c r="AD2087">
        <v>-1.1200058003340001</v>
      </c>
      <c r="AE2087">
        <v>0.29349999999999399</v>
      </c>
      <c r="AF2087">
        <v>-0.57026023173489604</v>
      </c>
      <c r="AG2087">
        <v>-1.1200058003340001</v>
      </c>
      <c r="AH2087">
        <v>29.4831273512137</v>
      </c>
      <c r="AI2087">
        <v>92.175101029793495</v>
      </c>
      <c r="AJ2087">
        <v>91.108072102903904</v>
      </c>
      <c r="AK2087">
        <v>29.5099035602044</v>
      </c>
      <c r="AL2087">
        <v>94.426485689579295</v>
      </c>
      <c r="AM2087">
        <v>90.135337033629298</v>
      </c>
      <c r="AN2087">
        <v>1.0000000000100699</v>
      </c>
    </row>
    <row r="2088" spans="1:40" x14ac:dyDescent="0.25">
      <c r="A2088" t="str">
        <f>"20190303154809007"</f>
        <v>20190303154809007</v>
      </c>
      <c r="B2088" t="str">
        <f>"1551599289002497"</f>
        <v>1551599289002497</v>
      </c>
      <c r="C2088" t="s">
        <v>40</v>
      </c>
      <c r="D2088">
        <v>5.5819739999999998</v>
      </c>
      <c r="E2088">
        <v>0.4930409</v>
      </c>
      <c r="F2088" t="s">
        <v>54</v>
      </c>
      <c r="G2088">
        <v>-318.52229999999997</v>
      </c>
      <c r="H2088" s="1">
        <v>5.9664680000000004E-6</v>
      </c>
      <c r="I2088">
        <v>284.95740000000001</v>
      </c>
      <c r="J2088">
        <v>-289.78019999999998</v>
      </c>
      <c r="K2088">
        <v>1.120099</v>
      </c>
      <c r="L2088">
        <v>284.68490000000003</v>
      </c>
      <c r="M2088">
        <v>-0.99945839999999997</v>
      </c>
      <c r="N2088">
        <v>-1.5246640000000001E-2</v>
      </c>
      <c r="O2088">
        <v>2.9163660000000001E-2</v>
      </c>
      <c r="P2088">
        <v>-0.99531749999999997</v>
      </c>
      <c r="Q2088">
        <v>-9.2872339999999998E-2</v>
      </c>
      <c r="R2088">
        <v>2.679985E-2</v>
      </c>
      <c r="S2088">
        <v>-3.0024410000000001</v>
      </c>
      <c r="T2088">
        <v>-0.115952399999999</v>
      </c>
      <c r="U2088">
        <v>2.8991699999999999E-2</v>
      </c>
      <c r="V2088">
        <v>-2.2869549999999998E-3</v>
      </c>
      <c r="W2088">
        <v>-7.7679520000000002E-2</v>
      </c>
      <c r="X2088">
        <v>0.99697579999999997</v>
      </c>
      <c r="Y2088">
        <v>-1.9485990000000002E-2</v>
      </c>
      <c r="Z2088">
        <v>-1.2058069999999999E-3</v>
      </c>
      <c r="AA2088">
        <v>0.99980939999999996</v>
      </c>
      <c r="AB2088">
        <v>45</v>
      </c>
      <c r="AC2088">
        <v>-28.742099999999901</v>
      </c>
      <c r="AD2088">
        <v>-1.1200930335319901</v>
      </c>
      <c r="AE2088">
        <v>0.27249999999997898</v>
      </c>
      <c r="AF2088">
        <v>-0.565080072009843</v>
      </c>
      <c r="AG2088">
        <v>-1.1200930335319901</v>
      </c>
      <c r="AH2088">
        <v>28.6942457717767</v>
      </c>
      <c r="AI2088">
        <v>92.234999138367499</v>
      </c>
      <c r="AJ2088">
        <v>91.128188522479704</v>
      </c>
      <c r="AK2088">
        <v>28.721658453206899</v>
      </c>
      <c r="AL2088">
        <v>94.4551966706819</v>
      </c>
      <c r="AM2088">
        <v>90.131430110548195</v>
      </c>
      <c r="AN2088">
        <v>1.0000000418881201</v>
      </c>
    </row>
    <row r="2089" spans="1:40" x14ac:dyDescent="0.25">
      <c r="A2089" t="str">
        <f>"20190303154809019"</f>
        <v>20190303154809019</v>
      </c>
      <c r="B2089" t="str">
        <f>"1551599289013233"</f>
        <v>1551599289013233</v>
      </c>
      <c r="C2089" t="s">
        <v>40</v>
      </c>
      <c r="D2089">
        <v>5.6058649999999997</v>
      </c>
      <c r="E2089">
        <v>0.4924154</v>
      </c>
      <c r="F2089" t="s">
        <v>54</v>
      </c>
      <c r="G2089">
        <v>-317.44589999999999</v>
      </c>
      <c r="H2089" s="1">
        <v>5.492619E-6</v>
      </c>
      <c r="I2089">
        <v>284.91719999999998</v>
      </c>
      <c r="J2089">
        <v>-290.03440000000001</v>
      </c>
      <c r="K2089">
        <v>1.120177</v>
      </c>
      <c r="L2089">
        <v>284.69229999999999</v>
      </c>
      <c r="M2089">
        <v>-0.9994615</v>
      </c>
      <c r="N2089">
        <v>-1.5273139999999999E-2</v>
      </c>
      <c r="O2089">
        <v>2.9038720000000001E-2</v>
      </c>
      <c r="P2089">
        <v>-0.99534160000000005</v>
      </c>
      <c r="Q2089">
        <v>-9.2616859999999995E-2</v>
      </c>
      <c r="R2089">
        <v>2.67814E-2</v>
      </c>
      <c r="S2089">
        <v>-3.0021059999999999</v>
      </c>
      <c r="T2089">
        <v>-0.1215456</v>
      </c>
      <c r="U2089">
        <v>2.5207520000000001E-2</v>
      </c>
      <c r="V2089">
        <v>-2.167679E-3</v>
      </c>
      <c r="W2089">
        <v>-7.7397740000000007E-2</v>
      </c>
      <c r="X2089">
        <v>0.99699800000000005</v>
      </c>
      <c r="Y2089">
        <v>-2.0615830000000002E-2</v>
      </c>
      <c r="Z2089">
        <v>-1.306235E-3</v>
      </c>
      <c r="AA2089">
        <v>0.99978659999999997</v>
      </c>
      <c r="AB2089">
        <v>45</v>
      </c>
      <c r="AC2089">
        <v>-27.411499999999901</v>
      </c>
      <c r="AD2089">
        <v>-1.1201715073809999</v>
      </c>
      <c r="AE2089">
        <v>0.224899999999991</v>
      </c>
      <c r="AF2089">
        <v>-0.57033031349846297</v>
      </c>
      <c r="AG2089">
        <v>-1.1201715073809999</v>
      </c>
      <c r="AH2089">
        <v>27.3607810391578</v>
      </c>
      <c r="AI2089">
        <v>92.343915583766702</v>
      </c>
      <c r="AJ2089">
        <v>91.194146768596596</v>
      </c>
      <c r="AK2089">
        <v>27.389640376338999</v>
      </c>
      <c r="AL2089">
        <v>94.439003030628399</v>
      </c>
      <c r="AM2089">
        <v>90.124572629369894</v>
      </c>
      <c r="AN2089">
        <v>1.0000000604966699</v>
      </c>
    </row>
    <row r="2090" spans="1:40" x14ac:dyDescent="0.25">
      <c r="A2090" t="str">
        <f>"20190303154809032"</f>
        <v>20190303154809032</v>
      </c>
      <c r="B2090" t="str">
        <f>"1551599289022992"</f>
        <v>1551599289022992</v>
      </c>
      <c r="C2090" t="s">
        <v>40</v>
      </c>
      <c r="D2090">
        <v>5.6097239999999999</v>
      </c>
      <c r="E2090">
        <v>0.49192419999999998</v>
      </c>
      <c r="F2090" t="s">
        <v>54</v>
      </c>
      <c r="G2090">
        <v>-316.05810000000002</v>
      </c>
      <c r="H2090" s="1">
        <v>4.8816409999999996E-6</v>
      </c>
      <c r="I2090">
        <v>284.86660000000001</v>
      </c>
      <c r="J2090">
        <v>-290.28440000000001</v>
      </c>
      <c r="K2090">
        <v>1.120255</v>
      </c>
      <c r="L2090">
        <v>284.6995</v>
      </c>
      <c r="M2090">
        <v>-0.99946570000000001</v>
      </c>
      <c r="N2090">
        <v>-1.5295889999999999E-2</v>
      </c>
      <c r="O2090">
        <v>2.8884300000000002E-2</v>
      </c>
      <c r="P2090">
        <v>-0.99534549999999999</v>
      </c>
      <c r="Q2090">
        <v>-9.2629340000000004E-2</v>
      </c>
      <c r="R2090">
        <v>2.6594960000000001E-2</v>
      </c>
      <c r="S2090">
        <v>-3.0014340000000002</v>
      </c>
      <c r="T2090">
        <v>-0.12919430000000001</v>
      </c>
      <c r="U2090">
        <v>2.011108E-2</v>
      </c>
      <c r="V2090">
        <v>-2.1871719999999998E-3</v>
      </c>
      <c r="W2090">
        <v>-7.7387929999999994E-2</v>
      </c>
      <c r="X2090">
        <v>0.99699870000000002</v>
      </c>
      <c r="Y2090">
        <v>-2.215058E-2</v>
      </c>
      <c r="Z2090">
        <v>-1.4468199999999999E-3</v>
      </c>
      <c r="AA2090">
        <v>0.99975360000000002</v>
      </c>
      <c r="AB2090">
        <v>45</v>
      </c>
      <c r="AC2090">
        <v>-25.773700000000002</v>
      </c>
      <c r="AD2090">
        <v>-1.1202501183589999</v>
      </c>
      <c r="AE2090">
        <v>0.167100000000004</v>
      </c>
      <c r="AF2090">
        <v>-0.57642321145062703</v>
      </c>
      <c r="AG2090">
        <v>-1.1202501183589999</v>
      </c>
      <c r="AH2090">
        <v>25.719184359997801</v>
      </c>
      <c r="AI2090">
        <v>92.493429573097103</v>
      </c>
      <c r="AJ2090">
        <v>91.283908875508402</v>
      </c>
      <c r="AK2090">
        <v>25.750022683289799</v>
      </c>
      <c r="AL2090">
        <v>94.438439352126693</v>
      </c>
      <c r="AM2090">
        <v>90.125692765336296</v>
      </c>
      <c r="AN2090">
        <v>1.0000000416163599</v>
      </c>
    </row>
    <row r="2091" spans="1:40" x14ac:dyDescent="0.25">
      <c r="A2091" t="str">
        <f>"20190303154809052"</f>
        <v>20190303154809052</v>
      </c>
      <c r="B2091" t="str">
        <f>"1551599289042512"</f>
        <v>1551599289042512</v>
      </c>
      <c r="C2091" t="s">
        <v>40</v>
      </c>
      <c r="D2091">
        <v>5.5427330000000001</v>
      </c>
      <c r="E2091">
        <v>0.49180380000000001</v>
      </c>
      <c r="F2091" t="s">
        <v>54</v>
      </c>
      <c r="G2091">
        <v>-315.1146</v>
      </c>
      <c r="H2091" s="1">
        <v>4.4665310000000001E-6</v>
      </c>
      <c r="I2091">
        <v>284.82850000000002</v>
      </c>
      <c r="J2091">
        <v>-290.6764</v>
      </c>
      <c r="K2091">
        <v>1.12036</v>
      </c>
      <c r="L2091">
        <v>284.7106</v>
      </c>
      <c r="M2091">
        <v>-0.9994731</v>
      </c>
      <c r="N2091">
        <v>-1.532827E-2</v>
      </c>
      <c r="O2091">
        <v>2.8615270000000002E-2</v>
      </c>
      <c r="P2091">
        <v>-0.99532259999999995</v>
      </c>
      <c r="Q2091">
        <v>-9.3019180000000007E-2</v>
      </c>
      <c r="R2091">
        <v>2.6092460000000001E-2</v>
      </c>
      <c r="S2091">
        <v>-3.0010379999999999</v>
      </c>
      <c r="T2091">
        <v>-0.13539619999999999</v>
      </c>
      <c r="U2091">
        <v>1.5594480000000001E-2</v>
      </c>
      <c r="V2091">
        <v>-2.402464E-3</v>
      </c>
      <c r="W2091">
        <v>-7.7746490000000001E-2</v>
      </c>
      <c r="X2091">
        <v>0.99697029999999998</v>
      </c>
      <c r="Y2091">
        <v>-2.3379529999999999E-2</v>
      </c>
      <c r="Z2091">
        <v>-1.558095E-3</v>
      </c>
      <c r="AA2091">
        <v>0.99972550000000004</v>
      </c>
      <c r="AB2091">
        <v>45</v>
      </c>
      <c r="AC2091">
        <v>-24.438199999999899</v>
      </c>
      <c r="AD2091">
        <v>-1.1203555334690001</v>
      </c>
      <c r="AE2091">
        <v>0.11790000000002</v>
      </c>
      <c r="AF2091">
        <v>-0.58031642692413798</v>
      </c>
      <c r="AG2091">
        <v>-1.1203555334690001</v>
      </c>
      <c r="AH2091">
        <v>24.380325086748201</v>
      </c>
      <c r="AI2091">
        <v>92.630333172718593</v>
      </c>
      <c r="AJ2091">
        <v>91.363534106995701</v>
      </c>
      <c r="AK2091">
        <v>24.4129517881853</v>
      </c>
      <c r="AL2091">
        <v>94.459045444424802</v>
      </c>
      <c r="AM2091">
        <v>90.138069089107304</v>
      </c>
      <c r="AN2091">
        <v>1.00000003381134</v>
      </c>
    </row>
    <row r="2092" spans="1:40" x14ac:dyDescent="0.25">
      <c r="A2092" t="str">
        <f>"20190303154809073"</f>
        <v>20190303154809073</v>
      </c>
      <c r="B2092" t="str">
        <f>"1551599289063008"</f>
        <v>1551599289063008</v>
      </c>
      <c r="C2092" t="s">
        <v>40</v>
      </c>
      <c r="D2092">
        <v>5.6186629999999997</v>
      </c>
      <c r="E2092">
        <v>0.49146909999999999</v>
      </c>
      <c r="F2092" t="s">
        <v>54</v>
      </c>
      <c r="G2092">
        <v>-315.31689999999998</v>
      </c>
      <c r="H2092" s="1">
        <v>4.5572420000000001E-6</v>
      </c>
      <c r="I2092">
        <v>284.81740000000002</v>
      </c>
      <c r="J2092">
        <v>-291.10169999999999</v>
      </c>
      <c r="K2092">
        <v>1.1204529999999999</v>
      </c>
      <c r="L2092">
        <v>284.72250000000003</v>
      </c>
      <c r="M2092">
        <v>-0.99948190000000003</v>
      </c>
      <c r="N2092">
        <v>-1.535832E-2</v>
      </c>
      <c r="O2092">
        <v>2.8284299999999998E-2</v>
      </c>
      <c r="P2092">
        <v>-0.99534929999999999</v>
      </c>
      <c r="Q2092">
        <v>-9.2981930000000004E-2</v>
      </c>
      <c r="R2092">
        <v>2.5179070000000001E-2</v>
      </c>
      <c r="S2092">
        <v>-3.0009769999999998</v>
      </c>
      <c r="T2092">
        <v>-0.1364484</v>
      </c>
      <c r="U2092">
        <v>1.300049E-2</v>
      </c>
      <c r="V2092">
        <v>-2.9691460000000002E-3</v>
      </c>
      <c r="W2092">
        <v>-7.767992E-2</v>
      </c>
      <c r="X2092">
        <v>0.99697389999999997</v>
      </c>
      <c r="Y2092">
        <v>-2.3911200000000001E-2</v>
      </c>
      <c r="Z2092">
        <v>-1.577958E-3</v>
      </c>
      <c r="AA2092">
        <v>0.99971279999999996</v>
      </c>
      <c r="AB2092">
        <v>45</v>
      </c>
      <c r="AC2092">
        <v>-24.2151999999999</v>
      </c>
      <c r="AD2092">
        <v>-1.1204484427579999</v>
      </c>
      <c r="AE2092">
        <v>9.4899999999995502E-2</v>
      </c>
      <c r="AF2092">
        <v>-0.58886804677924198</v>
      </c>
      <c r="AG2092">
        <v>-1.1204484427579999</v>
      </c>
      <c r="AH2092">
        <v>24.156477025121699</v>
      </c>
      <c r="AI2092">
        <v>92.654855830698096</v>
      </c>
      <c r="AJ2092">
        <v>91.396435948029605</v>
      </c>
      <c r="AK2092">
        <v>24.189616626863501</v>
      </c>
      <c r="AL2092">
        <v>94.455219972501993</v>
      </c>
      <c r="AM2092">
        <v>90.170635391364399</v>
      </c>
      <c r="AN2092">
        <v>0.99999997154019205</v>
      </c>
    </row>
    <row r="2093" spans="1:40" x14ac:dyDescent="0.25">
      <c r="A2093" t="str">
        <f>"20190303154809096"</f>
        <v>20190303154809096</v>
      </c>
      <c r="B2093" t="str">
        <f>"1551599289093265"</f>
        <v>1551599289093265</v>
      </c>
      <c r="C2093" t="s">
        <v>40</v>
      </c>
      <c r="D2093">
        <v>5.5455259999999997</v>
      </c>
      <c r="E2093">
        <v>0.49152509999999999</v>
      </c>
      <c r="F2093" t="s">
        <v>54</v>
      </c>
      <c r="G2093">
        <v>-314.97460000000001</v>
      </c>
      <c r="H2093" s="1">
        <v>4.4082910000000002E-6</v>
      </c>
      <c r="I2093">
        <v>284.78469999999999</v>
      </c>
      <c r="J2093">
        <v>-291.56009999999998</v>
      </c>
      <c r="K2093">
        <v>1.120544</v>
      </c>
      <c r="L2093">
        <v>284.73520000000002</v>
      </c>
      <c r="M2093">
        <v>-0.99949259999999995</v>
      </c>
      <c r="N2093">
        <v>-1.5385619999999999E-2</v>
      </c>
      <c r="O2093">
        <v>2.7893250000000001E-2</v>
      </c>
      <c r="P2093">
        <v>-0.99534769999999995</v>
      </c>
      <c r="Q2093">
        <v>-9.3260880000000004E-2</v>
      </c>
      <c r="R2093">
        <v>2.4206829999999999E-2</v>
      </c>
      <c r="S2093">
        <v>-3.0006710000000001</v>
      </c>
      <c r="T2093">
        <v>-0.14083329999999999</v>
      </c>
      <c r="U2093">
        <v>7.8125E-3</v>
      </c>
      <c r="V2093">
        <v>-3.5357460000000002E-3</v>
      </c>
      <c r="W2093">
        <v>-7.7932899999999999E-2</v>
      </c>
      <c r="X2093">
        <v>0.99695239999999996</v>
      </c>
      <c r="Y2093">
        <v>-2.5243129999999999E-2</v>
      </c>
      <c r="Z2093">
        <v>-1.6656079999999901E-3</v>
      </c>
      <c r="AA2093">
        <v>0.99968000000000001</v>
      </c>
      <c r="AB2093">
        <v>45</v>
      </c>
      <c r="AC2093">
        <v>-23.4145</v>
      </c>
      <c r="AD2093">
        <v>-1.120539591709</v>
      </c>
      <c r="AE2093">
        <v>4.94999999999663E-2</v>
      </c>
      <c r="AF2093">
        <v>-0.60232354242332697</v>
      </c>
      <c r="AG2093">
        <v>-1.120539591709</v>
      </c>
      <c r="AH2093">
        <v>23.353283486479</v>
      </c>
      <c r="AI2093">
        <v>92.746153117907397</v>
      </c>
      <c r="AJ2093">
        <v>91.477434537294698</v>
      </c>
      <c r="AK2093">
        <v>23.387908248199501</v>
      </c>
      <c r="AL2093">
        <v>94.469758323477905</v>
      </c>
      <c r="AM2093">
        <v>90.203201751526905</v>
      </c>
      <c r="AN2093">
        <v>1.0000000631339701</v>
      </c>
    </row>
    <row r="2094" spans="1:40" x14ac:dyDescent="0.25">
      <c r="A2094" t="str">
        <f>"20190303154809116"</f>
        <v>20190303154809116</v>
      </c>
      <c r="B2094" t="str">
        <f>"1551599289112784"</f>
        <v>1551599289112784</v>
      </c>
      <c r="C2094" t="s">
        <v>40</v>
      </c>
      <c r="D2094">
        <v>5.4863600000000003</v>
      </c>
      <c r="E2094">
        <v>0.50339730000000005</v>
      </c>
      <c r="F2094" t="s">
        <v>54</v>
      </c>
      <c r="G2094">
        <v>-315.42630000000003</v>
      </c>
      <c r="H2094" s="1">
        <v>4.6090479999999999E-6</v>
      </c>
      <c r="I2094">
        <v>284.77969999999999</v>
      </c>
      <c r="J2094">
        <v>-291.97969999999998</v>
      </c>
      <c r="K2094">
        <v>1.120608</v>
      </c>
      <c r="L2094">
        <v>284.7466</v>
      </c>
      <c r="M2094">
        <v>-0.99950269999999997</v>
      </c>
      <c r="N2094">
        <v>-1.54065E-2</v>
      </c>
      <c r="O2094">
        <v>2.7513900000000001E-2</v>
      </c>
      <c r="P2094">
        <v>-0.99535469999999904</v>
      </c>
      <c r="Q2094">
        <v>-9.3391660000000001E-2</v>
      </c>
      <c r="R2094">
        <v>2.3389340000000002E-2</v>
      </c>
      <c r="S2094">
        <v>-3.0006710000000001</v>
      </c>
      <c r="T2094">
        <v>-0.14088439999999999</v>
      </c>
      <c r="U2094">
        <v>5.5847170000000003E-3</v>
      </c>
      <c r="V2094">
        <v>-3.9635570000000004E-3</v>
      </c>
      <c r="W2094">
        <v>-7.8043870000000001E-2</v>
      </c>
      <c r="X2094">
        <v>0.99694199999999999</v>
      </c>
      <c r="Y2094">
        <v>-2.560552E-2</v>
      </c>
      <c r="Z2094">
        <v>-1.66533E-3</v>
      </c>
      <c r="AA2094">
        <v>0.99967070000000002</v>
      </c>
      <c r="AB2094">
        <v>45</v>
      </c>
      <c r="AC2094">
        <v>-23.4466</v>
      </c>
      <c r="AD2094">
        <v>-1.1206033909519999</v>
      </c>
      <c r="AE2094">
        <v>3.3099999999990297E-2</v>
      </c>
      <c r="AF2094">
        <v>-0.61070151585460297</v>
      </c>
      <c r="AG2094">
        <v>-1.1206033909519999</v>
      </c>
      <c r="AH2094">
        <v>23.3852146905088</v>
      </c>
      <c r="AI2094">
        <v>92.742542088380006</v>
      </c>
      <c r="AJ2094">
        <v>91.495931029478101</v>
      </c>
      <c r="AK2094">
        <v>23.420012263499601</v>
      </c>
      <c r="AL2094">
        <v>94.476136352201493</v>
      </c>
      <c r="AM2094">
        <v>90.227790474730995</v>
      </c>
      <c r="AN2094">
        <v>0.99999995339633296</v>
      </c>
    </row>
    <row r="2095" spans="1:40" x14ac:dyDescent="0.25">
      <c r="A2095" t="str">
        <f>"20190303154809129"</f>
        <v>20190303154809129</v>
      </c>
      <c r="B2095" t="str">
        <f>"1551599289122544"</f>
        <v>1551599289122544</v>
      </c>
      <c r="C2095" t="s">
        <v>40</v>
      </c>
      <c r="D2095">
        <v>5.5338969999999996</v>
      </c>
      <c r="E2095">
        <v>0.5061755</v>
      </c>
      <c r="F2095" t="s">
        <v>54</v>
      </c>
      <c r="G2095">
        <v>-316.90019999999998</v>
      </c>
      <c r="H2095" s="1">
        <v>5.1946619999999998E-6</v>
      </c>
      <c r="I2095">
        <v>285.5573</v>
      </c>
      <c r="J2095">
        <v>-292.24459999999999</v>
      </c>
      <c r="K2095">
        <v>1.120649</v>
      </c>
      <c r="L2095">
        <v>284.75380000000001</v>
      </c>
      <c r="M2095">
        <v>-0.99950930000000004</v>
      </c>
      <c r="N2095">
        <v>-1.5417739999999999E-2</v>
      </c>
      <c r="O2095">
        <v>2.7266479999999999E-2</v>
      </c>
      <c r="P2095">
        <v>-0.99534250000000002</v>
      </c>
      <c r="Q2095">
        <v>-9.3586279999999994E-2</v>
      </c>
      <c r="R2095">
        <v>2.3131550000000001E-2</v>
      </c>
      <c r="S2095">
        <v>-2.9990540000000001</v>
      </c>
      <c r="T2095">
        <v>-0.1348588</v>
      </c>
      <c r="U2095">
        <v>9.7564700000000004E-2</v>
      </c>
      <c r="V2095">
        <v>-3.9682529999999997E-3</v>
      </c>
      <c r="W2095">
        <v>-7.8227840000000007E-2</v>
      </c>
      <c r="X2095">
        <v>0.99692760000000002</v>
      </c>
      <c r="Y2095">
        <v>5.2519840000000003E-3</v>
      </c>
      <c r="Z2095">
        <v>-6.4613520000000001E-4</v>
      </c>
      <c r="AA2095">
        <v>0.99998600000000004</v>
      </c>
      <c r="AB2095">
        <v>45</v>
      </c>
      <c r="AC2095">
        <v>-24.6556</v>
      </c>
      <c r="AD2095">
        <v>-1.1206438053379999</v>
      </c>
      <c r="AE2095">
        <v>0.803499999999985</v>
      </c>
      <c r="AF2095">
        <v>0.13058037404416101</v>
      </c>
      <c r="AG2095">
        <v>-1.1206438053379999</v>
      </c>
      <c r="AH2095">
        <v>24.6175392950706</v>
      </c>
      <c r="AI2095">
        <v>92.606392178579497</v>
      </c>
      <c r="AJ2095">
        <v>89.696085215407095</v>
      </c>
      <c r="AK2095">
        <v>24.643379125373102</v>
      </c>
      <c r="AL2095">
        <v>94.486709213755304</v>
      </c>
      <c r="AM2095">
        <v>90.228063650908396</v>
      </c>
      <c r="AN2095">
        <v>0.99999999081234803</v>
      </c>
    </row>
    <row r="2096" spans="1:40" x14ac:dyDescent="0.25">
      <c r="A2096" t="str">
        <f>"20190303154809142"</f>
        <v>20190303154809142</v>
      </c>
      <c r="B2096" t="str">
        <f>"1551599289132305"</f>
        <v>1551599289132305</v>
      </c>
      <c r="C2096" t="s">
        <v>40</v>
      </c>
      <c r="D2096">
        <v>5.5228710000000003</v>
      </c>
      <c r="E2096">
        <v>0.5068589</v>
      </c>
      <c r="F2096" t="s">
        <v>54</v>
      </c>
      <c r="G2096">
        <v>-314.60829999999999</v>
      </c>
      <c r="H2096" s="1">
        <v>4.1709519999999999E-6</v>
      </c>
      <c r="I2096">
        <v>285.64170000000001</v>
      </c>
      <c r="J2096">
        <v>-292.48840000000001</v>
      </c>
      <c r="K2096">
        <v>1.120681</v>
      </c>
      <c r="L2096">
        <v>284.76029999999997</v>
      </c>
      <c r="M2096">
        <v>-0.99951559999999995</v>
      </c>
      <c r="N2096">
        <v>-1.5427349999999999E-2</v>
      </c>
      <c r="O2096">
        <v>2.7036089999999999E-2</v>
      </c>
      <c r="P2096">
        <v>-0.99531599999999998</v>
      </c>
      <c r="Q2096">
        <v>-9.3927960000000005E-2</v>
      </c>
      <c r="R2096">
        <v>2.2888479999999999E-2</v>
      </c>
      <c r="S2096">
        <v>-2.9971920000000001</v>
      </c>
      <c r="T2096">
        <v>-0.15018889999999999</v>
      </c>
      <c r="U2096">
        <v>0.118988</v>
      </c>
      <c r="V2096">
        <v>-3.9757550000000001E-3</v>
      </c>
      <c r="W2096">
        <v>-7.8560679999999994E-2</v>
      </c>
      <c r="X2096">
        <v>0.99690140000000005</v>
      </c>
      <c r="Y2096">
        <v>1.263157E-2</v>
      </c>
      <c r="Z2096">
        <v>-5.2249900000000005E-4</v>
      </c>
      <c r="AA2096">
        <v>0.99992009999999998</v>
      </c>
      <c r="AB2096">
        <v>45</v>
      </c>
      <c r="AC2096">
        <v>-22.119899999999902</v>
      </c>
      <c r="AD2096">
        <v>-1.120676829048</v>
      </c>
      <c r="AE2096">
        <v>0.88140000000004104</v>
      </c>
      <c r="AF2096">
        <v>0.28224773466894398</v>
      </c>
      <c r="AG2096">
        <v>-1.120676829048</v>
      </c>
      <c r="AH2096">
        <v>22.079061754765799</v>
      </c>
      <c r="AI2096">
        <v>92.905456945241298</v>
      </c>
      <c r="AJ2096">
        <v>89.267599170217295</v>
      </c>
      <c r="AK2096">
        <v>22.109286472196501</v>
      </c>
      <c r="AL2096">
        <v>94.505838397364101</v>
      </c>
      <c r="AM2096">
        <v>90.228500806798493</v>
      </c>
      <c r="AN2096">
        <v>0.999999994195921</v>
      </c>
    </row>
    <row r="2097" spans="1:40" x14ac:dyDescent="0.25">
      <c r="A2097" t="str">
        <f>"20190303154809153"</f>
        <v>20190303154809153</v>
      </c>
      <c r="B2097" t="str">
        <f>"1551599289143040"</f>
        <v>1551599289143040</v>
      </c>
      <c r="C2097" t="s">
        <v>40</v>
      </c>
      <c r="D2097">
        <v>5.524845</v>
      </c>
      <c r="E2097">
        <v>0.50741879999999995</v>
      </c>
      <c r="F2097" t="s">
        <v>54</v>
      </c>
      <c r="G2097">
        <v>-313.27620000000002</v>
      </c>
      <c r="H2097" s="1">
        <v>3.5822109999999999E-6</v>
      </c>
      <c r="I2097">
        <v>285.6189</v>
      </c>
      <c r="J2097">
        <v>-292.72809999999998</v>
      </c>
      <c r="K2097">
        <v>1.1207069999999999</v>
      </c>
      <c r="L2097">
        <v>284.76670000000001</v>
      </c>
      <c r="M2097">
        <v>-0.9995214</v>
      </c>
      <c r="N2097">
        <v>-1.54355E-2</v>
      </c>
      <c r="O2097">
        <v>2.6806389999999999E-2</v>
      </c>
      <c r="P2097">
        <v>-0.99529179999999995</v>
      </c>
      <c r="Q2097">
        <v>-9.41665E-2</v>
      </c>
      <c r="R2097">
        <v>2.2962050000000001E-2</v>
      </c>
      <c r="S2097">
        <v>-2.9960629999999999</v>
      </c>
      <c r="T2097">
        <v>-0.16151860000000001</v>
      </c>
      <c r="U2097">
        <v>0.12374880000000001</v>
      </c>
      <c r="V2097">
        <v>-3.6676539999999998E-3</v>
      </c>
      <c r="W2097">
        <v>-7.8791379999999994E-2</v>
      </c>
      <c r="X2097">
        <v>0.9968844</v>
      </c>
      <c r="Y2097">
        <v>1.445983E-2</v>
      </c>
      <c r="Z2097">
        <v>-5.2857519999999995E-4</v>
      </c>
      <c r="AA2097">
        <v>0.99989530000000004</v>
      </c>
      <c r="AB2097">
        <v>45</v>
      </c>
      <c r="AC2097">
        <v>-20.548100000000002</v>
      </c>
      <c r="AD2097">
        <v>-1.1207034177889901</v>
      </c>
      <c r="AE2097">
        <v>0.85219999999998197</v>
      </c>
      <c r="AF2097">
        <v>0.30011642235638503</v>
      </c>
      <c r="AG2097">
        <v>-1.1207034177889901</v>
      </c>
      <c r="AH2097">
        <v>20.502677415945598</v>
      </c>
      <c r="AI2097">
        <v>93.128414871317304</v>
      </c>
      <c r="AJ2097">
        <v>89.161369218857004</v>
      </c>
      <c r="AK2097">
        <v>20.535477282983599</v>
      </c>
      <c r="AL2097">
        <v>94.519097516966099</v>
      </c>
      <c r="AM2097">
        <v>90.210796905611502</v>
      </c>
      <c r="AN2097">
        <v>1.0000000201057599</v>
      </c>
    </row>
    <row r="2098" spans="1:40" x14ac:dyDescent="0.25">
      <c r="A2098" t="str">
        <f>"20190303154809172"</f>
        <v>20190303154809172</v>
      </c>
      <c r="B2098" t="str">
        <f>"1551599289162560"</f>
        <v>1551599289162560</v>
      </c>
      <c r="C2098" t="s">
        <v>40</v>
      </c>
      <c r="D2098">
        <v>5.5291230000000002</v>
      </c>
      <c r="E2098">
        <v>0.50845779999999996</v>
      </c>
      <c r="F2098" t="s">
        <v>54</v>
      </c>
      <c r="G2098">
        <v>-312.65460000000002</v>
      </c>
      <c r="H2098" s="1">
        <v>3.3062760000000002E-6</v>
      </c>
      <c r="I2098">
        <v>285.62200000000001</v>
      </c>
      <c r="J2098">
        <v>-293.09010000000001</v>
      </c>
      <c r="K2098">
        <v>1.1207450000000001</v>
      </c>
      <c r="L2098">
        <v>284.77609999999999</v>
      </c>
      <c r="M2098">
        <v>-0.99953069999999999</v>
      </c>
      <c r="N2098">
        <v>-1.544651E-2</v>
      </c>
      <c r="O2098">
        <v>2.6457890000000001E-2</v>
      </c>
      <c r="P2098">
        <v>-0.99524230000000002</v>
      </c>
      <c r="Q2098">
        <v>-9.4686729999999997E-2</v>
      </c>
      <c r="R2098">
        <v>2.2958820000000001E-2</v>
      </c>
      <c r="S2098">
        <v>-2.9952999999999999</v>
      </c>
      <c r="T2098">
        <v>-0.16846140000000001</v>
      </c>
      <c r="U2098">
        <v>0.12857060000000001</v>
      </c>
      <c r="V2098">
        <v>-3.3157600000000001E-3</v>
      </c>
      <c r="W2098">
        <v>-7.9301319999999995E-2</v>
      </c>
      <c r="X2098">
        <v>0.99684519999999999</v>
      </c>
      <c r="Y2098">
        <v>1.64218E-2</v>
      </c>
      <c r="Z2098">
        <v>-4.8922180000000003E-4</v>
      </c>
      <c r="AA2098">
        <v>0.99986509999999995</v>
      </c>
      <c r="AB2098">
        <v>45</v>
      </c>
      <c r="AC2098">
        <v>-19.564499999999999</v>
      </c>
      <c r="AD2098">
        <v>-1.120741693724</v>
      </c>
      <c r="AE2098">
        <v>0.84590000000002796</v>
      </c>
      <c r="AF2098">
        <v>0.32683619785338103</v>
      </c>
      <c r="AG2098">
        <v>-1.120741693724</v>
      </c>
      <c r="AH2098">
        <v>19.516110008205999</v>
      </c>
      <c r="AI2098">
        <v>93.286225939673201</v>
      </c>
      <c r="AJ2098">
        <v>89.040557552624506</v>
      </c>
      <c r="AK2098">
        <v>19.550995721361002</v>
      </c>
      <c r="AL2098">
        <v>94.548406622385301</v>
      </c>
      <c r="AM2098">
        <v>90.1905795937448</v>
      </c>
      <c r="AN2098">
        <v>1.0000000231905699</v>
      </c>
    </row>
    <row r="2099" spans="1:40" x14ac:dyDescent="0.25">
      <c r="A2099" t="str">
        <f>"20190303154809185"</f>
        <v>20190303154809185</v>
      </c>
      <c r="B2099" t="str">
        <f>"1551599289172321"</f>
        <v>1551599289172321</v>
      </c>
      <c r="C2099" t="s">
        <v>40</v>
      </c>
      <c r="D2099">
        <v>5.5400199999999904</v>
      </c>
      <c r="E2099">
        <v>0.50895000000000001</v>
      </c>
      <c r="F2099" t="s">
        <v>54</v>
      </c>
      <c r="G2099">
        <v>-312.40839999999997</v>
      </c>
      <c r="H2099" s="1">
        <v>3.1938639999999999E-6</v>
      </c>
      <c r="I2099">
        <v>285.65910000000002</v>
      </c>
      <c r="J2099">
        <v>-293.34440000000001</v>
      </c>
      <c r="K2099">
        <v>1.1207670000000001</v>
      </c>
      <c r="L2099">
        <v>284.78269999999998</v>
      </c>
      <c r="M2099">
        <v>-0.99953709999999996</v>
      </c>
      <c r="N2099">
        <v>-1.545332E-2</v>
      </c>
      <c r="O2099">
        <v>2.6211930000000001E-2</v>
      </c>
      <c r="P2099">
        <v>-0.99524869999999999</v>
      </c>
      <c r="Q2099">
        <v>-9.4640989999999994E-2</v>
      </c>
      <c r="R2099">
        <v>2.287426E-2</v>
      </c>
      <c r="S2099">
        <v>-2.994659</v>
      </c>
      <c r="T2099">
        <v>-0.1737339</v>
      </c>
      <c r="U2099">
        <v>0.1368713</v>
      </c>
      <c r="V2099">
        <v>-3.151783E-3</v>
      </c>
      <c r="W2099">
        <v>-7.924871E-2</v>
      </c>
      <c r="X2099">
        <v>0.99684989999999996</v>
      </c>
      <c r="Y2099">
        <v>1.94364E-2</v>
      </c>
      <c r="Z2099">
        <v>-4.0007189999999998E-4</v>
      </c>
      <c r="AA2099">
        <v>0.99981100000000001</v>
      </c>
      <c r="AB2099">
        <v>45</v>
      </c>
      <c r="AC2099">
        <v>-19.063999999999901</v>
      </c>
      <c r="AD2099">
        <v>-1.1207638061359999</v>
      </c>
      <c r="AE2099">
        <v>0.87640000000004603</v>
      </c>
      <c r="AF2099">
        <v>0.37504147687235001</v>
      </c>
      <c r="AG2099">
        <v>-1.1207638061359999</v>
      </c>
      <c r="AH2099">
        <v>19.014842387247398</v>
      </c>
      <c r="AI2099">
        <v>93.372543530997902</v>
      </c>
      <c r="AJ2099">
        <v>88.870066471583598</v>
      </c>
      <c r="AK2099">
        <v>19.051535335252598</v>
      </c>
      <c r="AL2099">
        <v>94.545382846483193</v>
      </c>
      <c r="AM2099">
        <v>90.181153915049805</v>
      </c>
      <c r="AN2099">
        <v>1.00000000745137</v>
      </c>
    </row>
    <row r="2100" spans="1:40" x14ac:dyDescent="0.25">
      <c r="A2100" t="str">
        <f>"20190303154809206"</f>
        <v>20190303154809206</v>
      </c>
      <c r="B2100" t="str">
        <f>"1551599289202577"</f>
        <v>1551599289202577</v>
      </c>
      <c r="C2100" t="s">
        <v>40</v>
      </c>
      <c r="D2100">
        <v>5.4656820000000002</v>
      </c>
      <c r="E2100">
        <v>0.50930690000000001</v>
      </c>
      <c r="F2100" t="s">
        <v>54</v>
      </c>
      <c r="G2100">
        <v>-312.72820000000002</v>
      </c>
      <c r="H2100" s="1">
        <v>3.3328199999999998E-6</v>
      </c>
      <c r="I2100">
        <v>285.69170000000003</v>
      </c>
      <c r="J2100">
        <v>-293.78449999999998</v>
      </c>
      <c r="K2100">
        <v>1.120797</v>
      </c>
      <c r="L2100">
        <v>284.79390000000001</v>
      </c>
      <c r="M2100">
        <v>-0.99954810000000005</v>
      </c>
      <c r="N2100">
        <v>-1.546315E-2</v>
      </c>
      <c r="O2100">
        <v>2.578422E-2</v>
      </c>
      <c r="P2100">
        <v>-0.99529049999999997</v>
      </c>
      <c r="Q2100">
        <v>-9.4175309999999998E-2</v>
      </c>
      <c r="R2100">
        <v>2.2981350000000001E-2</v>
      </c>
      <c r="S2100">
        <v>-2.9946290000000002</v>
      </c>
      <c r="T2100">
        <v>-0.17314839999999901</v>
      </c>
      <c r="U2100">
        <v>0.14044189999999901</v>
      </c>
      <c r="V2100">
        <v>-2.614753E-3</v>
      </c>
      <c r="W2100">
        <v>-7.8772300000000003E-2</v>
      </c>
      <c r="X2100">
        <v>0.99688920000000003</v>
      </c>
      <c r="Y2100">
        <v>2.105044E-2</v>
      </c>
      <c r="Z2100">
        <v>-3.1931789999999999E-4</v>
      </c>
      <c r="AA2100">
        <v>0.99977839999999996</v>
      </c>
      <c r="AB2100">
        <v>45</v>
      </c>
      <c r="AC2100">
        <v>-18.9437</v>
      </c>
      <c r="AD2100">
        <v>-1.1207936671799901</v>
      </c>
      <c r="AE2100">
        <v>0.89780000000001703</v>
      </c>
      <c r="AF2100">
        <v>0.407571108531326</v>
      </c>
      <c r="AG2100">
        <v>-1.1207936671799901</v>
      </c>
      <c r="AH2100">
        <v>18.894561237239401</v>
      </c>
      <c r="AI2100">
        <v>93.393923952130194</v>
      </c>
      <c r="AJ2100">
        <v>88.764274905582099</v>
      </c>
      <c r="AK2100">
        <v>18.932161445558499</v>
      </c>
      <c r="AL2100">
        <v>94.518001020459593</v>
      </c>
      <c r="AM2100">
        <v>90.150281463389206</v>
      </c>
      <c r="AN2100">
        <v>0.99999999462859002</v>
      </c>
    </row>
    <row r="2101" spans="1:40" x14ac:dyDescent="0.25">
      <c r="A2101" t="str">
        <f>"20190303154809218"</f>
        <v>20190303154809218</v>
      </c>
      <c r="B2101" t="str">
        <f>"1551599289212336"</f>
        <v>1551599289212336</v>
      </c>
      <c r="C2101" t="s">
        <v>40</v>
      </c>
      <c r="D2101">
        <v>5.5493249999999996</v>
      </c>
      <c r="E2101">
        <v>0.50947849999999995</v>
      </c>
      <c r="F2101" t="s">
        <v>54</v>
      </c>
      <c r="G2101">
        <v>-313.16750000000002</v>
      </c>
      <c r="H2101" s="1">
        <v>3.5250440000000001E-6</v>
      </c>
      <c r="I2101">
        <v>285.72120000000001</v>
      </c>
      <c r="J2101">
        <v>-294.02019999999999</v>
      </c>
      <c r="K2101">
        <v>1.1208149999999999</v>
      </c>
      <c r="L2101">
        <v>284.79989999999998</v>
      </c>
      <c r="M2101">
        <v>-0.99955380000000005</v>
      </c>
      <c r="N2101">
        <v>-1.546761E-2</v>
      </c>
      <c r="O2101">
        <v>2.5554790000000001E-2</v>
      </c>
      <c r="P2101">
        <v>-0.99529679999999998</v>
      </c>
      <c r="Q2101">
        <v>-9.4073920000000005E-2</v>
      </c>
      <c r="R2101">
        <v>2.31174E-2</v>
      </c>
      <c r="S2101">
        <v>-2.994507</v>
      </c>
      <c r="T2101">
        <v>-0.173153</v>
      </c>
      <c r="U2101">
        <v>0.1432495</v>
      </c>
      <c r="V2101">
        <v>-2.247799E-3</v>
      </c>
      <c r="W2101">
        <v>-7.8666040000000007E-2</v>
      </c>
      <c r="X2101">
        <v>0.99689850000000002</v>
      </c>
      <c r="Y2101">
        <v>2.2214399999999999E-2</v>
      </c>
      <c r="Z2101">
        <v>-2.6687979999999998E-4</v>
      </c>
      <c r="AA2101">
        <v>0.99975320000000001</v>
      </c>
      <c r="AB2101">
        <v>45</v>
      </c>
      <c r="AC2101">
        <v>-19.147300000000001</v>
      </c>
      <c r="AD2101">
        <v>-1.1208114749560001</v>
      </c>
      <c r="AE2101">
        <v>0.92130000000002998</v>
      </c>
      <c r="AF2101">
        <v>0.43016474944508198</v>
      </c>
      <c r="AG2101">
        <v>-1.1208114749560001</v>
      </c>
      <c r="AH2101">
        <v>19.0992993986175</v>
      </c>
      <c r="AI2101">
        <v>93.357608867327599</v>
      </c>
      <c r="AJ2101">
        <v>88.709771602782396</v>
      </c>
      <c r="AK2101">
        <v>19.136992908816399</v>
      </c>
      <c r="AL2101">
        <v>94.511893754801306</v>
      </c>
      <c r="AM2101">
        <v>90.129189859986198</v>
      </c>
      <c r="AN2101">
        <v>1.00000000887593</v>
      </c>
    </row>
    <row r="2102" spans="1:40" x14ac:dyDescent="0.25">
      <c r="A2102" t="str">
        <f>"20190303154809229"</f>
        <v>20190303154809229</v>
      </c>
      <c r="B2102" t="str">
        <f>"1551599289223072"</f>
        <v>1551599289223072</v>
      </c>
      <c r="C2102" t="s">
        <v>40</v>
      </c>
      <c r="D2102">
        <v>5.5541289999999996</v>
      </c>
      <c r="E2102">
        <v>0.50962459999999998</v>
      </c>
      <c r="F2102" t="s">
        <v>54</v>
      </c>
      <c r="G2102">
        <v>-313.23899999999998</v>
      </c>
      <c r="H2102" s="1">
        <v>3.5557390000000001E-6</v>
      </c>
      <c r="I2102">
        <v>285.7328</v>
      </c>
      <c r="J2102">
        <v>-294.25220000000002</v>
      </c>
      <c r="K2102">
        <v>1.120825</v>
      </c>
      <c r="L2102">
        <v>284.8057</v>
      </c>
      <c r="M2102">
        <v>-0.99955959999999999</v>
      </c>
      <c r="N2102">
        <v>-1.5471220000000001E-2</v>
      </c>
      <c r="O2102">
        <v>2.5328170000000001E-2</v>
      </c>
      <c r="P2102">
        <v>-0.99530969999999996</v>
      </c>
      <c r="Q2102">
        <v>-9.3762470000000001E-2</v>
      </c>
      <c r="R2102">
        <v>2.3824970000000001E-2</v>
      </c>
      <c r="S2102">
        <v>-2.9942929999999999</v>
      </c>
      <c r="T2102">
        <v>-0.17462279999999999</v>
      </c>
      <c r="U2102">
        <v>0.14535519999999999</v>
      </c>
      <c r="V2102">
        <v>-1.3132759999999999E-3</v>
      </c>
      <c r="W2102">
        <v>-7.8349619999999995E-2</v>
      </c>
      <c r="X2102">
        <v>0.99692510000000001</v>
      </c>
      <c r="Y2102">
        <v>2.3143520000000001E-2</v>
      </c>
      <c r="Z2102">
        <v>-2.2992180000000001E-4</v>
      </c>
      <c r="AA2102">
        <v>0.99973210000000001</v>
      </c>
      <c r="AB2102">
        <v>45</v>
      </c>
      <c r="AC2102">
        <v>-18.986799999999999</v>
      </c>
      <c r="AD2102">
        <v>-1.1208214442610001</v>
      </c>
      <c r="AE2102">
        <v>0.92709999999999504</v>
      </c>
      <c r="AF2102">
        <v>0.444299526719652</v>
      </c>
      <c r="AG2102">
        <v>-1.1208214442610001</v>
      </c>
      <c r="AH2102">
        <v>18.938353847162102</v>
      </c>
      <c r="AI2102">
        <v>93.386034280158199</v>
      </c>
      <c r="AJ2102">
        <v>88.656070154194694</v>
      </c>
      <c r="AK2102">
        <v>18.976693316267699</v>
      </c>
      <c r="AL2102">
        <v>94.493708038161998</v>
      </c>
      <c r="AM2102">
        <v>90.075477213493997</v>
      </c>
      <c r="AN2102">
        <v>1.0000000213289999</v>
      </c>
    </row>
    <row r="2103" spans="1:40" x14ac:dyDescent="0.25">
      <c r="A2103" t="str">
        <f>"20190303154809242"</f>
        <v>20190303154809242</v>
      </c>
      <c r="B2103" t="str">
        <f>"1551599289232833"</f>
        <v>1551599289232833</v>
      </c>
      <c r="C2103" t="s">
        <v>40</v>
      </c>
      <c r="D2103">
        <v>5.5147760000000003</v>
      </c>
      <c r="E2103">
        <v>0.5096889</v>
      </c>
      <c r="F2103" t="s">
        <v>54</v>
      </c>
      <c r="G2103">
        <v>-313.41789999999997</v>
      </c>
      <c r="H2103" s="1">
        <v>3.6330300000000002E-6</v>
      </c>
      <c r="I2103">
        <v>285.75650000000002</v>
      </c>
      <c r="J2103">
        <v>-294.49709999999999</v>
      </c>
      <c r="K2103">
        <v>1.1208400000000001</v>
      </c>
      <c r="L2103">
        <v>284.81169999999997</v>
      </c>
      <c r="M2103">
        <v>-0.99956540000000005</v>
      </c>
      <c r="N2103">
        <v>-1.5474709999999999E-2</v>
      </c>
      <c r="O2103">
        <v>2.5089569999999999E-2</v>
      </c>
      <c r="P2103">
        <v>-0.99530430000000003</v>
      </c>
      <c r="Q2103">
        <v>-9.3625340000000001E-2</v>
      </c>
      <c r="R2103">
        <v>2.4570430000000001E-2</v>
      </c>
      <c r="S2103">
        <v>-2.9940799999999999</v>
      </c>
      <c r="T2103">
        <v>-0.1750951</v>
      </c>
      <c r="U2103">
        <v>0.1485291</v>
      </c>
      <c r="V2103">
        <v>-3.2831089999999999E-4</v>
      </c>
      <c r="W2103">
        <v>-7.8207789999999999E-2</v>
      </c>
      <c r="X2103">
        <v>0.99693699999999996</v>
      </c>
      <c r="Y2103">
        <v>2.443969E-2</v>
      </c>
      <c r="Z2103">
        <v>-1.7386450000000001E-4</v>
      </c>
      <c r="AA2103">
        <v>0.99970130000000001</v>
      </c>
      <c r="AB2103">
        <v>45</v>
      </c>
      <c r="AC2103">
        <v>-18.9207999999999</v>
      </c>
      <c r="AD2103">
        <v>-1.1208363669700001</v>
      </c>
      <c r="AE2103">
        <v>0.94480000000004305</v>
      </c>
      <c r="AF2103">
        <v>0.46809237926333602</v>
      </c>
      <c r="AG2103">
        <v>-1.1208363669700001</v>
      </c>
      <c r="AH2103">
        <v>18.8724877043691</v>
      </c>
      <c r="AI2103">
        <v>93.397759477684005</v>
      </c>
      <c r="AJ2103">
        <v>88.579189955319407</v>
      </c>
      <c r="AK2103">
        <v>18.911535548141199</v>
      </c>
      <c r="AL2103">
        <v>94.485556978200407</v>
      </c>
      <c r="AM2103">
        <v>90.018868622849894</v>
      </c>
      <c r="AN2103">
        <v>0.99999997408686503</v>
      </c>
    </row>
    <row r="2104" spans="1:40" x14ac:dyDescent="0.25">
      <c r="A2104" t="str">
        <f>"20190303154809256"</f>
        <v>20190303154809256</v>
      </c>
      <c r="B2104" t="str">
        <f>"1551599289253328"</f>
        <v>1551599289253328</v>
      </c>
      <c r="C2104" t="s">
        <v>40</v>
      </c>
      <c r="D2104">
        <v>5.5263390000000001</v>
      </c>
      <c r="E2104">
        <v>0.50990649999999904</v>
      </c>
      <c r="F2104" t="s">
        <v>54</v>
      </c>
      <c r="G2104">
        <v>-313.70710000000003</v>
      </c>
      <c r="H2104" s="1">
        <v>3.7589370000000001E-6</v>
      </c>
      <c r="I2104">
        <v>285.78289999999998</v>
      </c>
      <c r="J2104">
        <v>-294.78059999999999</v>
      </c>
      <c r="K2104">
        <v>1.120852</v>
      </c>
      <c r="L2104">
        <v>284.8186</v>
      </c>
      <c r="M2104">
        <v>-0.99957229999999997</v>
      </c>
      <c r="N2104">
        <v>-1.547803E-2</v>
      </c>
      <c r="O2104">
        <v>2.48179E-2</v>
      </c>
      <c r="P2104">
        <v>-0.99529420000000002</v>
      </c>
      <c r="Q2104">
        <v>-9.3487990000000007E-2</v>
      </c>
      <c r="R2104">
        <v>2.5491260000000002E-2</v>
      </c>
      <c r="S2104">
        <v>-2.9939879999999999</v>
      </c>
      <c r="T2104">
        <v>-0.17468919999999999</v>
      </c>
      <c r="U2104">
        <v>0.15136720000000001</v>
      </c>
      <c r="V2104">
        <v>8.6478450000000001E-4</v>
      </c>
      <c r="W2104">
        <v>-7.8065659999999995E-2</v>
      </c>
      <c r="X2104">
        <v>0.99694780000000005</v>
      </c>
      <c r="Y2104">
        <v>2.5655399999999998E-2</v>
      </c>
      <c r="Z2104">
        <v>-1.1555080000000001E-4</v>
      </c>
      <c r="AA2104">
        <v>0.99967090000000003</v>
      </c>
      <c r="AB2104">
        <v>45</v>
      </c>
      <c r="AC2104">
        <v>-18.926500000000001</v>
      </c>
      <c r="AD2104">
        <v>-1.1208482410630001</v>
      </c>
      <c r="AE2104">
        <v>0.96429999999997995</v>
      </c>
      <c r="AF2104">
        <v>0.492507898485472</v>
      </c>
      <c r="AG2104">
        <v>-1.1208482410630001</v>
      </c>
      <c r="AH2104">
        <v>18.878565458476402</v>
      </c>
      <c r="AI2104">
        <v>93.396593309654506</v>
      </c>
      <c r="AJ2104">
        <v>88.505594886333199</v>
      </c>
      <c r="AK2104">
        <v>18.9182213376295</v>
      </c>
      <c r="AL2104">
        <v>94.477388638412407</v>
      </c>
      <c r="AM2104">
        <v>89.950299815485806</v>
      </c>
      <c r="AN2104">
        <v>0.999999955524152</v>
      </c>
    </row>
    <row r="2105" spans="1:40" x14ac:dyDescent="0.25">
      <c r="A2105" t="str">
        <f>"20190303154809273"</f>
        <v>20190303154809273</v>
      </c>
      <c r="B2105" t="str">
        <f>"1551599289263088"</f>
        <v>1551599289263088</v>
      </c>
      <c r="C2105" t="s">
        <v>40</v>
      </c>
      <c r="D2105">
        <v>5.5328119999999998</v>
      </c>
      <c r="E2105">
        <v>0.50997910000000002</v>
      </c>
      <c r="F2105" t="s">
        <v>54</v>
      </c>
      <c r="G2105">
        <v>-314.03649999999999</v>
      </c>
      <c r="H2105" s="1">
        <v>3.9016949999999999E-6</v>
      </c>
      <c r="I2105">
        <v>285.82089999999999</v>
      </c>
      <c r="J2105">
        <v>-295.12360000000001</v>
      </c>
      <c r="K2105">
        <v>1.1208659999999999</v>
      </c>
      <c r="L2105">
        <v>284.82690000000002</v>
      </c>
      <c r="M2105">
        <v>-0.99958020000000003</v>
      </c>
      <c r="N2105">
        <v>-1.548126E-2</v>
      </c>
      <c r="O2105">
        <v>2.449701E-2</v>
      </c>
      <c r="P2105">
        <v>-0.99516910000000003</v>
      </c>
      <c r="Q2105">
        <v>-9.4499250000000007E-2</v>
      </c>
      <c r="R2105">
        <v>2.6621590000000001E-2</v>
      </c>
      <c r="S2105">
        <v>-2.9938349999999998</v>
      </c>
      <c r="T2105">
        <v>-0.17426529999999901</v>
      </c>
      <c r="U2105">
        <v>0.15582279999999901</v>
      </c>
      <c r="V2105">
        <v>2.3193189999999998E-3</v>
      </c>
      <c r="W2105">
        <v>-7.9073480000000002E-2</v>
      </c>
      <c r="X2105">
        <v>0.99686609999999998</v>
      </c>
      <c r="Y2105">
        <v>2.7458630000000001E-2</v>
      </c>
      <c r="Z2105" s="1">
        <v>-3.3684369999999997E-5</v>
      </c>
      <c r="AA2105">
        <v>0.99962289999999998</v>
      </c>
      <c r="AB2105">
        <v>45</v>
      </c>
      <c r="AC2105">
        <v>-18.912899999999901</v>
      </c>
      <c r="AD2105">
        <v>-1.1208620983049999</v>
      </c>
      <c r="AE2105">
        <v>0.99399999999997102</v>
      </c>
      <c r="AF2105">
        <v>0.528485610275927</v>
      </c>
      <c r="AG2105">
        <v>-1.1208620983049999</v>
      </c>
      <c r="AH2105">
        <v>18.8654976497319</v>
      </c>
      <c r="AI2105">
        <v>93.398806023171105</v>
      </c>
      <c r="AJ2105">
        <v>88.395373470800195</v>
      </c>
      <c r="AK2105">
        <v>18.906153243209602</v>
      </c>
      <c r="AL2105">
        <v>94.535311298884807</v>
      </c>
      <c r="AM2105">
        <v>89.866695286089694</v>
      </c>
      <c r="AN2105">
        <v>1.0000000079045701</v>
      </c>
    </row>
    <row r="2106" spans="1:40" x14ac:dyDescent="0.25">
      <c r="A2106" t="str">
        <f>"20190303154809290"</f>
        <v>20190303154809290</v>
      </c>
      <c r="B2106" t="str">
        <f>"1551599289282608"</f>
        <v>1551599289282608</v>
      </c>
      <c r="C2106" t="s">
        <v>40</v>
      </c>
      <c r="D2106">
        <v>5.5218540000000003</v>
      </c>
      <c r="E2106">
        <v>0.51004879999999997</v>
      </c>
      <c r="F2106" t="s">
        <v>54</v>
      </c>
      <c r="G2106">
        <v>-313.96980000000002</v>
      </c>
      <c r="H2106" s="1">
        <v>3.8711589999999998E-6</v>
      </c>
      <c r="I2106">
        <v>285.8322</v>
      </c>
      <c r="J2106">
        <v>-295.44349999999997</v>
      </c>
      <c r="K2106">
        <v>1.120865</v>
      </c>
      <c r="L2106">
        <v>284.83449999999999</v>
      </c>
      <c r="M2106">
        <v>-0.999587</v>
      </c>
      <c r="N2106">
        <v>-1.548356E-2</v>
      </c>
      <c r="O2106">
        <v>2.421011E-2</v>
      </c>
      <c r="P2106">
        <v>-0.99517270000000002</v>
      </c>
      <c r="Q2106">
        <v>-9.440337E-2</v>
      </c>
      <c r="R2106">
        <v>2.6823340000000001E-2</v>
      </c>
      <c r="S2106">
        <v>-2.993347</v>
      </c>
      <c r="T2106">
        <v>-0.17802660000000001</v>
      </c>
      <c r="U2106">
        <v>0.159668</v>
      </c>
      <c r="V2106">
        <v>2.806195E-3</v>
      </c>
      <c r="W2106">
        <v>-7.8974660000000002E-2</v>
      </c>
      <c r="X2106">
        <v>0.99687269999999994</v>
      </c>
      <c r="Y2106">
        <v>2.9029780000000002E-2</v>
      </c>
      <c r="Z2106" s="1">
        <v>2.426346E-5</v>
      </c>
      <c r="AA2106">
        <v>0.99957850000000004</v>
      </c>
      <c r="AB2106">
        <v>45</v>
      </c>
      <c r="AC2106">
        <v>-18.526299999999999</v>
      </c>
      <c r="AD2106">
        <v>-1.120861128841</v>
      </c>
      <c r="AE2106">
        <v>0.99770000000000802</v>
      </c>
      <c r="AF2106">
        <v>0.54683413745782705</v>
      </c>
      <c r="AG2106">
        <v>-1.120861128841</v>
      </c>
      <c r="AH2106">
        <v>18.477586408041802</v>
      </c>
      <c r="AI2106">
        <v>93.469826165288893</v>
      </c>
      <c r="AJ2106">
        <v>88.304857284841304</v>
      </c>
      <c r="AK2106">
        <v>18.519626257316499</v>
      </c>
      <c r="AL2106">
        <v>94.529631486459493</v>
      </c>
      <c r="AM2106">
        <v>89.838712901557699</v>
      </c>
      <c r="AN2106">
        <v>1.0000000258288899</v>
      </c>
    </row>
    <row r="2107" spans="1:40" x14ac:dyDescent="0.25">
      <c r="A2107" t="str">
        <f>"20190303154809307"</f>
        <v>20190303154809307</v>
      </c>
      <c r="B2107" t="str">
        <f>"1551599289303105"</f>
        <v>1551599289303105</v>
      </c>
      <c r="C2107" t="s">
        <v>40</v>
      </c>
      <c r="D2107">
        <v>5.5434359999999998</v>
      </c>
      <c r="E2107">
        <v>0.50999529999999904</v>
      </c>
      <c r="F2107" t="s">
        <v>54</v>
      </c>
      <c r="G2107">
        <v>-314.15129999999999</v>
      </c>
      <c r="H2107" s="1">
        <v>3.9509800000000002E-6</v>
      </c>
      <c r="I2107">
        <v>285.83969999999999</v>
      </c>
      <c r="J2107">
        <v>-295.79640000000001</v>
      </c>
      <c r="K2107">
        <v>1.1208629999999999</v>
      </c>
      <c r="L2107">
        <v>284.84289999999999</v>
      </c>
      <c r="M2107">
        <v>-0.99959419999999999</v>
      </c>
      <c r="N2107">
        <v>-1.548541E-2</v>
      </c>
      <c r="O2107">
        <v>2.3912530000000001E-2</v>
      </c>
      <c r="P2107">
        <v>-0.99519440000000003</v>
      </c>
      <c r="Q2107">
        <v>-9.4330059999999993E-2</v>
      </c>
      <c r="R2107">
        <v>2.627438E-2</v>
      </c>
      <c r="S2107">
        <v>-2.9931950000000001</v>
      </c>
      <c r="T2107">
        <v>-0.1793344</v>
      </c>
      <c r="U2107">
        <v>0.16082759999999999</v>
      </c>
      <c r="V2107">
        <v>2.5512519999999999E-3</v>
      </c>
      <c r="W2107">
        <v>-7.8899750000000005E-2</v>
      </c>
      <c r="X2107">
        <v>0.99687930000000002</v>
      </c>
      <c r="Y2107">
        <v>2.9713989999999999E-2</v>
      </c>
      <c r="Z2107" s="1">
        <v>5.9050160000000003E-5</v>
      </c>
      <c r="AA2107">
        <v>0.99955839999999996</v>
      </c>
      <c r="AB2107">
        <v>45</v>
      </c>
      <c r="AC2107">
        <v>-18.354899999999901</v>
      </c>
      <c r="AD2107">
        <v>-1.1208590490200001</v>
      </c>
      <c r="AE2107">
        <v>0.99680000000000701</v>
      </c>
      <c r="AF2107">
        <v>0.55548486902819605</v>
      </c>
      <c r="AG2107">
        <v>-1.1208590490200001</v>
      </c>
      <c r="AH2107">
        <v>18.3054280202652</v>
      </c>
      <c r="AI2107">
        <v>93.502293202868103</v>
      </c>
      <c r="AJ2107">
        <v>88.261872120490494</v>
      </c>
      <c r="AK2107">
        <v>18.3481220688276</v>
      </c>
      <c r="AL2107">
        <v>94.525326100772503</v>
      </c>
      <c r="AM2107">
        <v>89.853366748673295</v>
      </c>
      <c r="AN2107">
        <v>1.00000000910266</v>
      </c>
    </row>
    <row r="2108" spans="1:40" x14ac:dyDescent="0.25">
      <c r="A2108" t="str">
        <f>"20190303154809321"</f>
        <v>20190303154809321</v>
      </c>
      <c r="B2108" t="str">
        <f>"1551599289312864"</f>
        <v>1551599289312864</v>
      </c>
      <c r="C2108" t="s">
        <v>40</v>
      </c>
      <c r="D2108">
        <v>5.5165309999999996</v>
      </c>
      <c r="E2108">
        <v>0.50996790000000003</v>
      </c>
      <c r="F2108" t="s">
        <v>54</v>
      </c>
      <c r="G2108">
        <v>-314.43</v>
      </c>
      <c r="H2108" s="1">
        <v>4.0752740000000003E-6</v>
      </c>
      <c r="I2108">
        <v>285.83139999999997</v>
      </c>
      <c r="J2108">
        <v>-296.06349999999998</v>
      </c>
      <c r="K2108">
        <v>1.120862</v>
      </c>
      <c r="L2108">
        <v>284.84910000000002</v>
      </c>
      <c r="M2108">
        <v>-0.99959929999999997</v>
      </c>
      <c r="N2108">
        <v>-1.5486440000000001E-2</v>
      </c>
      <c r="O2108">
        <v>2.3700479999999999E-2</v>
      </c>
      <c r="P2108">
        <v>-0.99521890000000002</v>
      </c>
      <c r="Q2108">
        <v>-9.4193410000000005E-2</v>
      </c>
      <c r="R2108">
        <v>2.5829359999999999E-2</v>
      </c>
      <c r="S2108">
        <v>-2.9932249999999998</v>
      </c>
      <c r="T2108">
        <v>-0.18005079999999901</v>
      </c>
      <c r="U2108">
        <v>0.15878299999999901</v>
      </c>
      <c r="V2108">
        <v>2.3145380000000001E-3</v>
      </c>
      <c r="W2108">
        <v>-7.8762189999999996E-2</v>
      </c>
      <c r="X2108">
        <v>0.99689070000000002</v>
      </c>
      <c r="Y2108">
        <v>2.9245259999999999E-2</v>
      </c>
      <c r="Z2108" s="1">
        <v>4.8661079999999999E-5</v>
      </c>
      <c r="AA2108">
        <v>0.99957229999999997</v>
      </c>
      <c r="AB2108">
        <v>45</v>
      </c>
      <c r="AC2108">
        <v>-18.366499999999998</v>
      </c>
      <c r="AD2108">
        <v>-1.120857924726</v>
      </c>
      <c r="AE2108">
        <v>0.98229999999995199</v>
      </c>
      <c r="AF2108">
        <v>0.54465431486080995</v>
      </c>
      <c r="AG2108">
        <v>-1.120857924726</v>
      </c>
      <c r="AH2108">
        <v>18.316600942930901</v>
      </c>
      <c r="AI2108">
        <v>93.500222556176496</v>
      </c>
      <c r="AJ2108">
        <v>88.296780013383199</v>
      </c>
      <c r="AK2108">
        <v>18.358944438956598</v>
      </c>
      <c r="AL2108">
        <v>94.517420140035796</v>
      </c>
      <c r="AM2108">
        <v>89.866973359629995</v>
      </c>
      <c r="AN2108">
        <v>0.99999995370311801</v>
      </c>
    </row>
    <row r="2109" spans="1:40" x14ac:dyDescent="0.25">
      <c r="A2109" t="str">
        <f>"20190303154809333"</f>
        <v>20190303154809333</v>
      </c>
      <c r="B2109" t="str">
        <f>"1551599289322625"</f>
        <v>1551599289322625</v>
      </c>
      <c r="C2109" t="s">
        <v>40</v>
      </c>
      <c r="D2109">
        <v>5.5372149999999998</v>
      </c>
      <c r="E2109">
        <v>0.5099745</v>
      </c>
      <c r="F2109" t="s">
        <v>54</v>
      </c>
      <c r="G2109">
        <v>-314.64780000000002</v>
      </c>
      <c r="H2109" s="1">
        <v>4.17235E-6</v>
      </c>
      <c r="I2109">
        <v>285.82600000000002</v>
      </c>
      <c r="J2109">
        <v>-296.31619999999998</v>
      </c>
      <c r="K2109">
        <v>1.120849</v>
      </c>
      <c r="L2109">
        <v>284.85500000000002</v>
      </c>
      <c r="M2109">
        <v>-0.99960349999999998</v>
      </c>
      <c r="N2109">
        <v>-1.5487020000000001E-2</v>
      </c>
      <c r="O2109">
        <v>2.3522250000000001E-2</v>
      </c>
      <c r="P2109">
        <v>-0.99526829999999999</v>
      </c>
      <c r="Q2109">
        <v>-9.3890959999999996E-2</v>
      </c>
      <c r="R2109">
        <v>2.5013939999999998E-2</v>
      </c>
      <c r="S2109">
        <v>-2.9932560000000001</v>
      </c>
      <c r="T2109">
        <v>-0.18052950000000001</v>
      </c>
      <c r="U2109">
        <v>0.15734860000000001</v>
      </c>
      <c r="V2109">
        <v>1.671952E-3</v>
      </c>
      <c r="W2109">
        <v>-7.8459479999999998E-2</v>
      </c>
      <c r="X2109">
        <v>0.99691589999999997</v>
      </c>
      <c r="Y2109">
        <v>2.8945640000000002E-2</v>
      </c>
      <c r="Z2109" s="1">
        <v>4.3858130000000002E-5</v>
      </c>
      <c r="AA2109">
        <v>0.99958100000000005</v>
      </c>
      <c r="AB2109">
        <v>44</v>
      </c>
      <c r="AC2109">
        <v>-18.331600000000002</v>
      </c>
      <c r="AD2109">
        <v>-1.12084482765</v>
      </c>
      <c r="AE2109">
        <v>0.97099999999994602</v>
      </c>
      <c r="AF2109">
        <v>0.53747544229756805</v>
      </c>
      <c r="AG2109">
        <v>-1.12084482765</v>
      </c>
      <c r="AH2109">
        <v>18.281217526241001</v>
      </c>
      <c r="AI2109">
        <v>93.506974126421895</v>
      </c>
      <c r="AJ2109">
        <v>88.315965221627295</v>
      </c>
      <c r="AK2109">
        <v>18.323430006974299</v>
      </c>
      <c r="AL2109">
        <v>94.500022091797007</v>
      </c>
      <c r="AM2109">
        <v>89.903907939142897</v>
      </c>
      <c r="AN2109">
        <v>0.99999999854908495</v>
      </c>
    </row>
    <row r="2110" spans="1:40" x14ac:dyDescent="0.25">
      <c r="A2110" t="str">
        <f>"20190303154809351"</f>
        <v>20190303154809351</v>
      </c>
      <c r="B2110" t="str">
        <f>"1551599289343120"</f>
        <v>1551599289343120</v>
      </c>
      <c r="C2110" t="s">
        <v>40</v>
      </c>
      <c r="D2110">
        <v>5.5011289999999997</v>
      </c>
      <c r="E2110">
        <v>0.5099477</v>
      </c>
      <c r="F2110" t="s">
        <v>54</v>
      </c>
      <c r="G2110">
        <v>-314.83640000000003</v>
      </c>
      <c r="H2110" s="1">
        <v>4.257113E-6</v>
      </c>
      <c r="I2110">
        <v>285.81290000000001</v>
      </c>
      <c r="J2110">
        <v>-296.6678</v>
      </c>
      <c r="K2110">
        <v>1.1208279999999999</v>
      </c>
      <c r="L2110">
        <v>284.863</v>
      </c>
      <c r="M2110">
        <v>-0.99960859999999996</v>
      </c>
      <c r="N2110">
        <v>-1.5487320000000001E-2</v>
      </c>
      <c r="O2110">
        <v>2.3297399999999999E-2</v>
      </c>
      <c r="P2110">
        <v>-0.99533970000000005</v>
      </c>
      <c r="Q2110">
        <v>-9.3418870000000001E-2</v>
      </c>
      <c r="R2110">
        <v>2.3919300000000001E-2</v>
      </c>
      <c r="S2110">
        <v>-2.9932859999999999</v>
      </c>
      <c r="T2110">
        <v>-0.1811546</v>
      </c>
      <c r="U2110">
        <v>0.1548157</v>
      </c>
      <c r="V2110">
        <v>7.9428110000000001E-4</v>
      </c>
      <c r="W2110">
        <v>-7.798737E-2</v>
      </c>
      <c r="X2110">
        <v>0.99695400000000001</v>
      </c>
      <c r="Y2110">
        <v>2.8327379999999999E-2</v>
      </c>
      <c r="Z2110" s="1">
        <v>2.860319E-5</v>
      </c>
      <c r="AA2110">
        <v>0.99959869999999995</v>
      </c>
      <c r="AB2110">
        <v>44</v>
      </c>
      <c r="AC2110">
        <v>-18.168600000000001</v>
      </c>
      <c r="AD2110">
        <v>-1.120823742887</v>
      </c>
      <c r="AE2110">
        <v>0.94990000000001296</v>
      </c>
      <c r="AF2110">
        <v>0.52432024331907501</v>
      </c>
      <c r="AG2110">
        <v>-1.120823742887</v>
      </c>
      <c r="AH2110">
        <v>18.117040707043301</v>
      </c>
      <c r="AI2110">
        <v>93.538654862139694</v>
      </c>
      <c r="AJ2110">
        <v>88.3422814708765</v>
      </c>
      <c r="AK2110">
        <v>18.1592489261213</v>
      </c>
      <c r="AL2110">
        <v>94.472889171861297</v>
      </c>
      <c r="AM2110">
        <v>89.954352011077503</v>
      </c>
      <c r="AN2110">
        <v>0.99999996943899006</v>
      </c>
    </row>
    <row r="2111" spans="1:40" x14ac:dyDescent="0.25">
      <c r="A2111" t="str">
        <f>"20190303154809363"</f>
        <v>20190303154809363</v>
      </c>
      <c r="B2111" t="str">
        <f>"1551599289352880"</f>
        <v>1551599289352880</v>
      </c>
      <c r="C2111" t="s">
        <v>40</v>
      </c>
      <c r="D2111">
        <v>5.5209659999999996</v>
      </c>
      <c r="E2111">
        <v>0.50993109999999997</v>
      </c>
      <c r="F2111" t="s">
        <v>54</v>
      </c>
      <c r="G2111">
        <v>-315.09460000000001</v>
      </c>
      <c r="H2111" s="1">
        <v>4.3733909999999999E-6</v>
      </c>
      <c r="I2111">
        <v>285.79259999999999</v>
      </c>
      <c r="J2111">
        <v>-296.90660000000003</v>
      </c>
      <c r="K2111">
        <v>1.1208100000000001</v>
      </c>
      <c r="L2111">
        <v>284.86860000000001</v>
      </c>
      <c r="M2111">
        <v>-0.99961169999999999</v>
      </c>
      <c r="N2111">
        <v>-1.5487239999999999E-2</v>
      </c>
      <c r="O2111">
        <v>2.3161049999999999E-2</v>
      </c>
      <c r="P2111">
        <v>-0.99535890000000005</v>
      </c>
      <c r="Q2111">
        <v>-9.347917E-2</v>
      </c>
      <c r="R2111">
        <v>2.2852830000000001E-2</v>
      </c>
      <c r="S2111">
        <v>-2.9933169999999998</v>
      </c>
      <c r="T2111">
        <v>-0.1820705</v>
      </c>
      <c r="U2111">
        <v>0.151001</v>
      </c>
      <c r="V2111">
        <v>-1.4053889999999901E-4</v>
      </c>
      <c r="W2111">
        <v>-7.8048699999999999E-2</v>
      </c>
      <c r="X2111">
        <v>0.99694959999999999</v>
      </c>
      <c r="Y2111">
        <v>2.719481E-2</v>
      </c>
      <c r="Z2111" s="1">
        <v>-1.120981E-5</v>
      </c>
      <c r="AA2111">
        <v>0.99963020000000002</v>
      </c>
      <c r="AB2111">
        <v>44</v>
      </c>
      <c r="AC2111">
        <v>-18.187999999999899</v>
      </c>
      <c r="AD2111">
        <v>-1.1208056266090001</v>
      </c>
      <c r="AE2111">
        <v>0.92399999999997795</v>
      </c>
      <c r="AF2111">
        <v>0.50055241096251601</v>
      </c>
      <c r="AG2111">
        <v>-1.1208056266090001</v>
      </c>
      <c r="AH2111">
        <v>18.135830812926699</v>
      </c>
      <c r="AI2111">
        <v>93.535074375767195</v>
      </c>
      <c r="AJ2111">
        <v>88.419026854325196</v>
      </c>
      <c r="AK2111">
        <v>18.1773242597435</v>
      </c>
      <c r="AL2111">
        <v>94.476413449801498</v>
      </c>
      <c r="AM2111">
        <v>90.0080769236219</v>
      </c>
      <c r="AN2111">
        <v>1.0000000621315099</v>
      </c>
    </row>
    <row r="2112" spans="1:40" x14ac:dyDescent="0.25">
      <c r="A2112" t="str">
        <f>"20190303154809376"</f>
        <v>20190303154809376</v>
      </c>
      <c r="B2112" t="str">
        <f>"1551599289372401"</f>
        <v>1551599289372401</v>
      </c>
      <c r="C2112" t="s">
        <v>40</v>
      </c>
      <c r="D2112">
        <v>5.5470179999999996</v>
      </c>
      <c r="E2112">
        <v>0.50991229999999999</v>
      </c>
      <c r="F2112" t="s">
        <v>54</v>
      </c>
      <c r="G2112">
        <v>-315.22579999999999</v>
      </c>
      <c r="H2112" s="1">
        <v>4.4332990000000002E-6</v>
      </c>
      <c r="I2112">
        <v>285.77300000000002</v>
      </c>
      <c r="J2112">
        <v>-297.15879999999999</v>
      </c>
      <c r="K2112">
        <v>1.1207849999999999</v>
      </c>
      <c r="L2112">
        <v>284.87430000000001</v>
      </c>
      <c r="M2112">
        <v>-0.99961449999999996</v>
      </c>
      <c r="N2112">
        <v>-1.5486929999999999E-2</v>
      </c>
      <c r="O2112">
        <v>2.3039279999999999E-2</v>
      </c>
      <c r="P2112">
        <v>-0.99537439999999999</v>
      </c>
      <c r="Q2112">
        <v>-9.3534870000000006E-2</v>
      </c>
      <c r="R2112">
        <v>2.1933009999999999E-2</v>
      </c>
      <c r="S2112">
        <v>-2.993439</v>
      </c>
      <c r="T2112">
        <v>-0.183144</v>
      </c>
      <c r="U2112">
        <v>0.1477966</v>
      </c>
      <c r="V2112">
        <v>-9.4488199999999997E-4</v>
      </c>
      <c r="W2112">
        <v>-7.8105419999999995E-2</v>
      </c>
      <c r="X2112">
        <v>0.99694470000000002</v>
      </c>
      <c r="Y2112">
        <v>2.6248919999999999E-2</v>
      </c>
      <c r="Z2112" s="1">
        <v>-4.5309770000000002E-5</v>
      </c>
      <c r="AA2112">
        <v>0.99965539999999997</v>
      </c>
      <c r="AB2112">
        <v>44</v>
      </c>
      <c r="AC2112">
        <v>-18.067</v>
      </c>
      <c r="AD2112">
        <v>-1.120780566701</v>
      </c>
      <c r="AE2112">
        <v>0.89869999999996197</v>
      </c>
      <c r="AF2112">
        <v>0.48031691047490799</v>
      </c>
      <c r="AG2112">
        <v>-1.120780566701</v>
      </c>
      <c r="AH2112">
        <v>18.013759763973699</v>
      </c>
      <c r="AI2112">
        <v>93.5589793415473</v>
      </c>
      <c r="AJ2112">
        <v>88.4726335308101</v>
      </c>
      <c r="AK2112">
        <v>18.054982532457402</v>
      </c>
      <c r="AL2112">
        <v>94.479673306925093</v>
      </c>
      <c r="AM2112">
        <v>90.054303648464696</v>
      </c>
      <c r="AN2112">
        <v>1.0000000421467199</v>
      </c>
    </row>
    <row r="2113" spans="1:40" x14ac:dyDescent="0.25">
      <c r="A2113" t="str">
        <f>"20190303154809397"</f>
        <v>20190303154809397</v>
      </c>
      <c r="B2113" t="str">
        <f>"1551599289392897"</f>
        <v>1551599289392897</v>
      </c>
      <c r="C2113" t="s">
        <v>40</v>
      </c>
      <c r="D2113">
        <v>5.4949469999999998</v>
      </c>
      <c r="E2113">
        <v>0.50979819999999998</v>
      </c>
      <c r="F2113" t="s">
        <v>54</v>
      </c>
      <c r="G2113">
        <v>-315.30360000000002</v>
      </c>
      <c r="H2113" s="1">
        <v>4.4695400000000004E-6</v>
      </c>
      <c r="I2113">
        <v>285.75319999999999</v>
      </c>
      <c r="J2113">
        <v>-297.57220000000001</v>
      </c>
      <c r="K2113">
        <v>1.12073</v>
      </c>
      <c r="L2113">
        <v>284.88369999999998</v>
      </c>
      <c r="M2113">
        <v>-0.99961820000000001</v>
      </c>
      <c r="N2113">
        <v>-1.5486049999999999E-2</v>
      </c>
      <c r="O2113">
        <v>2.288024E-2</v>
      </c>
      <c r="P2113">
        <v>-0.99539080000000002</v>
      </c>
      <c r="Q2113">
        <v>-9.3760250000000003E-2</v>
      </c>
      <c r="R2113">
        <v>2.0153529999999999E-2</v>
      </c>
      <c r="S2113">
        <v>-2.9933779999999999</v>
      </c>
      <c r="T2113">
        <v>-0.18489659999999999</v>
      </c>
      <c r="U2113">
        <v>0.14498900000000001</v>
      </c>
      <c r="V2113">
        <v>-2.5744380000000001E-3</v>
      </c>
      <c r="W2113">
        <v>-7.8333050000000001E-2</v>
      </c>
      <c r="X2113">
        <v>0.99692389999999997</v>
      </c>
      <c r="Y2113">
        <v>2.5474799999999999E-2</v>
      </c>
      <c r="Z2113" s="1">
        <v>-7.3686709999999994E-5</v>
      </c>
      <c r="AA2113">
        <v>0.99967550000000005</v>
      </c>
      <c r="AB2113">
        <v>44</v>
      </c>
      <c r="AC2113">
        <v>-17.731400000000001</v>
      </c>
      <c r="AD2113">
        <v>-1.1207255304599999</v>
      </c>
      <c r="AE2113">
        <v>0.86950000000001604</v>
      </c>
      <c r="AF2113">
        <v>0.46168496324393599</v>
      </c>
      <c r="AG2113">
        <v>-1.1207255304599999</v>
      </c>
      <c r="AH2113">
        <v>17.676207443334601</v>
      </c>
      <c r="AI2113">
        <v>93.626637767061695</v>
      </c>
      <c r="AJ2113">
        <v>88.503831375512704</v>
      </c>
      <c r="AK2113">
        <v>17.7177167913845</v>
      </c>
      <c r="AL2113">
        <v>94.492755913422499</v>
      </c>
      <c r="AM2113">
        <v>90.147959241555</v>
      </c>
      <c r="AN2113">
        <v>0.99999997842226396</v>
      </c>
    </row>
    <row r="2114" spans="1:40" x14ac:dyDescent="0.25">
      <c r="A2114" t="str">
        <f>"20190303154809411"</f>
        <v>20190303154809411</v>
      </c>
      <c r="B2114" t="str">
        <f>"1551599289402657"</f>
        <v>1551599289402657</v>
      </c>
      <c r="C2114" t="s">
        <v>40</v>
      </c>
      <c r="D2114">
        <v>5.5331239999999999</v>
      </c>
      <c r="E2114">
        <v>0.50977260000000002</v>
      </c>
      <c r="F2114" t="s">
        <v>54</v>
      </c>
      <c r="G2114">
        <v>-315.55790000000002</v>
      </c>
      <c r="H2114" s="1">
        <v>4.5854040000000003E-6</v>
      </c>
      <c r="I2114">
        <v>285.7174</v>
      </c>
      <c r="J2114">
        <v>-297.85210000000001</v>
      </c>
      <c r="K2114">
        <v>1.1206989999999999</v>
      </c>
      <c r="L2114">
        <v>284.89</v>
      </c>
      <c r="M2114">
        <v>-0.99962019999999996</v>
      </c>
      <c r="N2114">
        <v>-1.548515E-2</v>
      </c>
      <c r="O2114">
        <v>2.2801249999999999E-2</v>
      </c>
      <c r="P2114">
        <v>-0.99538740000000003</v>
      </c>
      <c r="Q2114">
        <v>-9.3959379999999995E-2</v>
      </c>
      <c r="R2114">
        <v>1.9384370000000001E-2</v>
      </c>
      <c r="S2114">
        <v>-2.9935</v>
      </c>
      <c r="T2114">
        <v>-0.1865319</v>
      </c>
      <c r="U2114">
        <v>0.13876340000000001</v>
      </c>
      <c r="V2114">
        <v>-3.270327E-3</v>
      </c>
      <c r="W2114">
        <v>-7.8533599999999995E-2</v>
      </c>
      <c r="X2114">
        <v>0.99690610000000002</v>
      </c>
      <c r="Y2114">
        <v>2.3481760000000001E-2</v>
      </c>
      <c r="Z2114">
        <v>-1.530185E-4</v>
      </c>
      <c r="AA2114">
        <v>0.99972430000000001</v>
      </c>
      <c r="AB2114">
        <v>44</v>
      </c>
      <c r="AC2114">
        <v>-17.7058</v>
      </c>
      <c r="AD2114">
        <v>-1.1206944145959901</v>
      </c>
      <c r="AE2114">
        <v>0.82740000000001102</v>
      </c>
      <c r="AF2114">
        <v>0.42173618206230201</v>
      </c>
      <c r="AG2114">
        <v>-1.1206944145959901</v>
      </c>
      <c r="AH2114">
        <v>17.649508590275801</v>
      </c>
      <c r="AI2114">
        <v>93.632209955635005</v>
      </c>
      <c r="AJ2114">
        <v>88.631174018187394</v>
      </c>
      <c r="AK2114">
        <v>17.6900811432957</v>
      </c>
      <c r="AL2114">
        <v>94.504282007340706</v>
      </c>
      <c r="AM2114">
        <v>90.187956782069705</v>
      </c>
      <c r="AN2114">
        <v>0.99999999679242801</v>
      </c>
    </row>
    <row r="2115" spans="1:40" x14ac:dyDescent="0.25">
      <c r="A2115" t="str">
        <f>"20190303154809429"</f>
        <v>20190303154809429</v>
      </c>
      <c r="B2115" t="str">
        <f>"1551599289423152"</f>
        <v>1551599289423152</v>
      </c>
      <c r="C2115" t="s">
        <v>40</v>
      </c>
      <c r="D2115">
        <v>5.5047499999999996</v>
      </c>
      <c r="E2115">
        <v>0.50973429999999997</v>
      </c>
      <c r="F2115" t="s">
        <v>54</v>
      </c>
      <c r="G2115">
        <v>-315.75599999999997</v>
      </c>
      <c r="H2115" s="1">
        <v>4.6744039999999998E-6</v>
      </c>
      <c r="I2115">
        <v>285.70440000000002</v>
      </c>
      <c r="J2115">
        <v>-298.21609999999998</v>
      </c>
      <c r="K2115">
        <v>1.120663</v>
      </c>
      <c r="L2115">
        <v>284.89830000000001</v>
      </c>
      <c r="M2115">
        <v>-0.99962189999999995</v>
      </c>
      <c r="N2115">
        <v>-1.5483719999999999E-2</v>
      </c>
      <c r="O2115">
        <v>2.272252E-2</v>
      </c>
      <c r="P2115">
        <v>-0.99539169999999999</v>
      </c>
      <c r="Q2115">
        <v>-9.4163570000000002E-2</v>
      </c>
      <c r="R2115">
        <v>1.81342E-2</v>
      </c>
      <c r="S2115">
        <v>-2.9935610000000001</v>
      </c>
      <c r="T2115">
        <v>-0.18738150000000001</v>
      </c>
      <c r="U2115">
        <v>0.1361694</v>
      </c>
      <c r="V2115">
        <v>-4.4491499999999998E-3</v>
      </c>
      <c r="W2115">
        <v>-7.8739899999999904E-2</v>
      </c>
      <c r="X2115">
        <v>0.99688520000000003</v>
      </c>
      <c r="Y2115">
        <v>2.2696750000000002E-2</v>
      </c>
      <c r="Z2115">
        <v>-1.8311689999999999E-4</v>
      </c>
      <c r="AA2115">
        <v>0.99974240000000003</v>
      </c>
      <c r="AB2115">
        <v>44</v>
      </c>
      <c r="AC2115">
        <v>-17.5398999999999</v>
      </c>
      <c r="AD2115">
        <v>-1.1206583255960001</v>
      </c>
      <c r="AE2115">
        <v>0.80610000000001403</v>
      </c>
      <c r="AF2115">
        <v>0.40564090175230899</v>
      </c>
      <c r="AG2115">
        <v>-1.1206583255960001</v>
      </c>
      <c r="AH2115">
        <v>17.482472916778899</v>
      </c>
      <c r="AI2115">
        <v>93.666761371160803</v>
      </c>
      <c r="AJ2115">
        <v>88.670820637835007</v>
      </c>
      <c r="AK2115">
        <v>17.5230499317274</v>
      </c>
      <c r="AL2115">
        <v>94.5161391257829</v>
      </c>
      <c r="AM2115">
        <v>90.255712317614893</v>
      </c>
      <c r="AN2115">
        <v>0.99999993438338397</v>
      </c>
    </row>
    <row r="2116" spans="1:40" x14ac:dyDescent="0.25">
      <c r="A2116" t="str">
        <f>"20190303154809441"</f>
        <v>20190303154809441</v>
      </c>
      <c r="B2116" t="str">
        <f>"1551599289432912"</f>
        <v>1551599289432912</v>
      </c>
      <c r="C2116" t="s">
        <v>40</v>
      </c>
      <c r="D2116">
        <v>5.5139769999999997</v>
      </c>
      <c r="E2116">
        <v>0.50974140000000001</v>
      </c>
      <c r="F2116" t="s">
        <v>54</v>
      </c>
      <c r="G2116">
        <v>-315.92970000000003</v>
      </c>
      <c r="H2116" s="1">
        <v>4.75352E-6</v>
      </c>
      <c r="I2116">
        <v>285.68079999999998</v>
      </c>
      <c r="J2116">
        <v>-298.452</v>
      </c>
      <c r="K2116">
        <v>1.1206419999999999</v>
      </c>
      <c r="L2116">
        <v>284.90370000000001</v>
      </c>
      <c r="M2116">
        <v>-0.99962289999999998</v>
      </c>
      <c r="N2116">
        <v>-1.5482650000000001E-2</v>
      </c>
      <c r="O2116">
        <v>2.2682520000000001E-2</v>
      </c>
      <c r="P2116">
        <v>-0.99536619999999998</v>
      </c>
      <c r="Q2116">
        <v>-9.4440540000000003E-2</v>
      </c>
      <c r="R2116">
        <v>1.8096750000000002E-2</v>
      </c>
      <c r="S2116">
        <v>-2.9935909999999999</v>
      </c>
      <c r="T2116">
        <v>-0.18939020000000001</v>
      </c>
      <c r="U2116">
        <v>0.13223270000000001</v>
      </c>
      <c r="V2116">
        <v>-4.4504779999999999E-3</v>
      </c>
      <c r="W2116">
        <v>-7.9018030000000003E-2</v>
      </c>
      <c r="X2116">
        <v>0.99686319999999995</v>
      </c>
      <c r="Y2116">
        <v>2.1426939999999998E-2</v>
      </c>
      <c r="Z2116">
        <v>-2.3882210000000001E-4</v>
      </c>
      <c r="AA2116">
        <v>0.99977039999999995</v>
      </c>
      <c r="AB2116">
        <v>44</v>
      </c>
      <c r="AC2116">
        <v>-17.477699999999999</v>
      </c>
      <c r="AD2116">
        <v>-1.1206372464799901</v>
      </c>
      <c r="AE2116">
        <v>0.77709999999996104</v>
      </c>
      <c r="AF2116">
        <v>0.37885977478809901</v>
      </c>
      <c r="AG2116">
        <v>-1.1206372464799901</v>
      </c>
      <c r="AH2116">
        <v>17.419358921246602</v>
      </c>
      <c r="AI2116">
        <v>93.680061166414205</v>
      </c>
      <c r="AJ2116">
        <v>88.754050337745994</v>
      </c>
      <c r="AK2116">
        <v>17.459479596894202</v>
      </c>
      <c r="AL2116">
        <v>94.532124549280496</v>
      </c>
      <c r="AM2116">
        <v>90.255794287613796</v>
      </c>
      <c r="AN2116">
        <v>0.99999994766687295</v>
      </c>
    </row>
    <row r="2117" spans="1:40" x14ac:dyDescent="0.25">
      <c r="A2117" t="str">
        <f>"20190303154809453"</f>
        <v>20190303154809453</v>
      </c>
      <c r="B2117" t="str">
        <f>"1551599289442673"</f>
        <v>1551599289442673</v>
      </c>
      <c r="C2117" t="s">
        <v>40</v>
      </c>
      <c r="D2117">
        <v>5.5213979999999996</v>
      </c>
      <c r="E2117">
        <v>0.50973769999999996</v>
      </c>
      <c r="F2117" t="s">
        <v>54</v>
      </c>
      <c r="G2117">
        <v>-315.99880000000002</v>
      </c>
      <c r="H2117" s="1">
        <v>4.7843250000000001E-6</v>
      </c>
      <c r="I2117">
        <v>285.67899999999997</v>
      </c>
      <c r="J2117">
        <v>-298.68779999999998</v>
      </c>
      <c r="K2117">
        <v>1.120619</v>
      </c>
      <c r="L2117">
        <v>284.90899999999999</v>
      </c>
      <c r="M2117">
        <v>-0.9996235</v>
      </c>
      <c r="N2117">
        <v>-1.5481379999999999E-2</v>
      </c>
      <c r="O2117">
        <v>2.2655749999999999E-2</v>
      </c>
      <c r="P2117">
        <v>-0.99534730000000005</v>
      </c>
      <c r="Q2117">
        <v>-9.4663369999999997E-2</v>
      </c>
      <c r="R2117">
        <v>1.7965399999999999E-2</v>
      </c>
      <c r="S2117">
        <v>-2.9934080000000001</v>
      </c>
      <c r="T2117">
        <v>-0.19117529999999999</v>
      </c>
      <c r="U2117">
        <v>0.1322632</v>
      </c>
      <c r="V2117">
        <v>-4.5587739999999998E-3</v>
      </c>
      <c r="W2117">
        <v>-7.9242270000000004E-2</v>
      </c>
      <c r="X2117">
        <v>0.99684490000000003</v>
      </c>
      <c r="Y2117">
        <v>2.1466200000000001E-2</v>
      </c>
      <c r="Z2117">
        <v>-2.431748E-4</v>
      </c>
      <c r="AA2117">
        <v>0.99976960000000004</v>
      </c>
      <c r="AB2117">
        <v>44</v>
      </c>
      <c r="AC2117">
        <v>-17.311</v>
      </c>
      <c r="AD2117">
        <v>-1.1206142156749901</v>
      </c>
      <c r="AE2117">
        <v>0.77000000000003799</v>
      </c>
      <c r="AF2117">
        <v>0.37598915765296598</v>
      </c>
      <c r="AG2117">
        <v>-1.1206142156749901</v>
      </c>
      <c r="AH2117">
        <v>17.251851181929801</v>
      </c>
      <c r="AI2117">
        <v>93.715613529800507</v>
      </c>
      <c r="AJ2117">
        <v>88.751485749368499</v>
      </c>
      <c r="AK2117">
        <v>17.292296356195699</v>
      </c>
      <c r="AL2117">
        <v>94.545013017490106</v>
      </c>
      <c r="AM2117">
        <v>90.262023399085294</v>
      </c>
      <c r="AN2117">
        <v>0.99999993721557101</v>
      </c>
    </row>
    <row r="2118" spans="1:40" x14ac:dyDescent="0.25">
      <c r="A2118" t="str">
        <f>"20190303154809468"</f>
        <v>20190303154809468</v>
      </c>
      <c r="B2118" t="str">
        <f>"1551599289463168"</f>
        <v>1551599289463168</v>
      </c>
      <c r="C2118" t="s">
        <v>40</v>
      </c>
      <c r="D2118">
        <v>5.5497319999999997</v>
      </c>
      <c r="E2118">
        <v>0.50954049999999995</v>
      </c>
      <c r="F2118" t="s">
        <v>54</v>
      </c>
      <c r="G2118">
        <v>-316.08319999999998</v>
      </c>
      <c r="H2118" s="1">
        <v>4.8219910000000001E-6</v>
      </c>
      <c r="I2118">
        <v>285.67579999999998</v>
      </c>
      <c r="J2118">
        <v>-298.9538</v>
      </c>
      <c r="K2118">
        <v>1.120598</v>
      </c>
      <c r="L2118">
        <v>284.91500000000002</v>
      </c>
      <c r="M2118">
        <v>-0.99962410000000002</v>
      </c>
      <c r="N2118">
        <v>-1.547985E-2</v>
      </c>
      <c r="O2118">
        <v>2.2631499999999999E-2</v>
      </c>
      <c r="P2118">
        <v>-0.9953246</v>
      </c>
      <c r="Q2118">
        <v>-9.4805260000000002E-2</v>
      </c>
      <c r="R2118">
        <v>1.8462409999999999E-2</v>
      </c>
      <c r="S2118">
        <v>-2.9933169999999998</v>
      </c>
      <c r="T2118">
        <v>-0.1928308</v>
      </c>
      <c r="U2118">
        <v>0.13195799999999999</v>
      </c>
      <c r="V2118">
        <v>-4.0415649999999996E-3</v>
      </c>
      <c r="W2118">
        <v>-7.9385410000000003E-2</v>
      </c>
      <c r="X2118">
        <v>0.99683580000000005</v>
      </c>
      <c r="Y2118">
        <v>2.1389990000000001E-2</v>
      </c>
      <c r="Z2118">
        <v>-2.5167860000000001E-4</v>
      </c>
      <c r="AA2118">
        <v>0.99977119999999997</v>
      </c>
      <c r="AB2118">
        <v>44</v>
      </c>
      <c r="AC2118">
        <v>-17.129399999999901</v>
      </c>
      <c r="AD2118">
        <v>-1.1205931780089999</v>
      </c>
      <c r="AE2118">
        <v>0.76079999999995995</v>
      </c>
      <c r="AF2118">
        <v>0.37130869602692201</v>
      </c>
      <c r="AG2118">
        <v>-1.1205931780089999</v>
      </c>
      <c r="AH2118">
        <v>17.069324303808699</v>
      </c>
      <c r="AI2118">
        <v>93.755165555356996</v>
      </c>
      <c r="AJ2118">
        <v>88.7538424999982</v>
      </c>
      <c r="AK2118">
        <v>17.110097352351399</v>
      </c>
      <c r="AL2118">
        <v>94.553239991152395</v>
      </c>
      <c r="AM2118">
        <v>90.232298386867797</v>
      </c>
      <c r="AN2118">
        <v>0.99999999486507796</v>
      </c>
    </row>
    <row r="2119" spans="1:40" x14ac:dyDescent="0.25">
      <c r="A2119" t="str">
        <f>"20190303154809486"</f>
        <v>20190303154809486</v>
      </c>
      <c r="B2119" t="str">
        <f>"1551599289482689"</f>
        <v>1551599289482689</v>
      </c>
      <c r="C2119" t="s">
        <v>40</v>
      </c>
      <c r="D2119">
        <v>5.5159079999999996</v>
      </c>
      <c r="E2119">
        <v>0.50959350000000003</v>
      </c>
      <c r="F2119" t="s">
        <v>54</v>
      </c>
      <c r="G2119">
        <v>-316.06619999999998</v>
      </c>
      <c r="H2119" s="1">
        <v>4.8150669999999996E-6</v>
      </c>
      <c r="I2119">
        <v>285.66910000000001</v>
      </c>
      <c r="J2119">
        <v>-299.32799999999997</v>
      </c>
      <c r="K2119">
        <v>1.120576</v>
      </c>
      <c r="L2119">
        <v>284.92349999999999</v>
      </c>
      <c r="M2119">
        <v>-0.99962470000000003</v>
      </c>
      <c r="N2119">
        <v>-1.547749E-2</v>
      </c>
      <c r="O2119">
        <v>2.2609549999999999E-2</v>
      </c>
      <c r="P2119">
        <v>-0.9952626</v>
      </c>
      <c r="Q2119">
        <v>-9.5130000000000006E-2</v>
      </c>
      <c r="R2119">
        <v>2.0079650000000001E-2</v>
      </c>
      <c r="S2119">
        <v>-2.99295</v>
      </c>
      <c r="T2119">
        <v>-0.195991</v>
      </c>
      <c r="U2119">
        <v>0.13189699999999999</v>
      </c>
      <c r="V2119">
        <v>-2.4063679999999999E-3</v>
      </c>
      <c r="W2119">
        <v>-7.9712089999999999E-2</v>
      </c>
      <c r="X2119">
        <v>0.99681500000000001</v>
      </c>
      <c r="Y2119">
        <v>2.1396479999999999E-2</v>
      </c>
      <c r="Z2119">
        <v>-2.6305149999999999E-4</v>
      </c>
      <c r="AA2119">
        <v>0.99977110000000002</v>
      </c>
      <c r="AB2119">
        <v>44</v>
      </c>
      <c r="AC2119">
        <v>-16.738199999999999</v>
      </c>
      <c r="AD2119">
        <v>-1.120571184933</v>
      </c>
      <c r="AE2119">
        <v>0.74560000000002402</v>
      </c>
      <c r="AF2119">
        <v>0.36528697057797699</v>
      </c>
      <c r="AG2119">
        <v>-1.120571184933</v>
      </c>
      <c r="AH2119">
        <v>16.676187051072699</v>
      </c>
      <c r="AI2119">
        <v>93.843342534490404</v>
      </c>
      <c r="AJ2119">
        <v>88.745153481250597</v>
      </c>
      <c r="AK2119">
        <v>16.717784808811899</v>
      </c>
      <c r="AL2119">
        <v>94.572016967135397</v>
      </c>
      <c r="AM2119">
        <v>90.138314995788306</v>
      </c>
      <c r="AN2119">
        <v>0.99999997606205904</v>
      </c>
    </row>
    <row r="2120" spans="1:40" x14ac:dyDescent="0.25">
      <c r="A2120" t="str">
        <f>"20190303154809508"</f>
        <v>20190303154809508</v>
      </c>
      <c r="B2120" t="str">
        <f>"1551599289503185"</f>
        <v>1551599289503185</v>
      </c>
      <c r="C2120" t="s">
        <v>40</v>
      </c>
      <c r="D2120">
        <v>5.5130819999999998</v>
      </c>
      <c r="E2120">
        <v>0.50950450000000003</v>
      </c>
      <c r="F2120" t="s">
        <v>54</v>
      </c>
      <c r="G2120">
        <v>-316.24689999999998</v>
      </c>
      <c r="H2120" s="1">
        <v>4.8925059999999999E-6</v>
      </c>
      <c r="I2120">
        <v>285.7</v>
      </c>
      <c r="J2120">
        <v>-299.76420000000002</v>
      </c>
      <c r="K2120">
        <v>1.1205540000000001</v>
      </c>
      <c r="L2120">
        <v>284.93329999999997</v>
      </c>
      <c r="M2120">
        <v>-0.99962479999999998</v>
      </c>
      <c r="N2120">
        <v>-1.5474450000000001E-2</v>
      </c>
      <c r="O2120">
        <v>2.2596330000000001E-2</v>
      </c>
      <c r="P2120">
        <v>-0.99518329999999999</v>
      </c>
      <c r="Q2120">
        <v>-9.5558550000000006E-2</v>
      </c>
      <c r="R2120">
        <v>2.1876449999999999E-2</v>
      </c>
      <c r="S2120">
        <v>-2.9925540000000002</v>
      </c>
      <c r="T2120">
        <v>-0.1982025</v>
      </c>
      <c r="U2120">
        <v>0.1373596</v>
      </c>
      <c r="V2120">
        <v>-5.9965849999999896E-4</v>
      </c>
      <c r="W2120">
        <v>-8.0143649999999997E-2</v>
      </c>
      <c r="X2120">
        <v>0.99678310000000003</v>
      </c>
      <c r="Y2120">
        <v>2.323151E-2</v>
      </c>
      <c r="Z2120">
        <v>-1.964259E-4</v>
      </c>
      <c r="AA2120">
        <v>0.99973009999999995</v>
      </c>
      <c r="AB2120">
        <v>44</v>
      </c>
      <c r="AC2120">
        <v>-16.482699999999902</v>
      </c>
      <c r="AD2120">
        <v>-1.1205491074939999</v>
      </c>
      <c r="AE2120">
        <v>0.76670000000001404</v>
      </c>
      <c r="AF2120">
        <v>0.39220228221283199</v>
      </c>
      <c r="AG2120">
        <v>-1.1205491074939999</v>
      </c>
      <c r="AH2120">
        <v>16.4200916782676</v>
      </c>
      <c r="AI2120">
        <v>93.902848207806898</v>
      </c>
      <c r="AJ2120">
        <v>88.631721191359105</v>
      </c>
      <c r="AK2120">
        <v>16.462954280905699</v>
      </c>
      <c r="AL2120">
        <v>94.596822988264506</v>
      </c>
      <c r="AM2120">
        <v>90.034468779671599</v>
      </c>
      <c r="AN2120">
        <v>0.999999956335623</v>
      </c>
    </row>
    <row r="2121" spans="1:40" x14ac:dyDescent="0.25">
      <c r="A2121" t="str">
        <f>"20190303154809521"</f>
        <v>20190303154809521</v>
      </c>
      <c r="B2121" t="str">
        <f>"1551599289512944"</f>
        <v>1551599289512944</v>
      </c>
      <c r="C2121" t="s">
        <v>40</v>
      </c>
      <c r="D2121">
        <v>5.5394030000000001</v>
      </c>
      <c r="E2121">
        <v>0.49532880000000001</v>
      </c>
      <c r="F2121" t="s">
        <v>54</v>
      </c>
      <c r="G2121">
        <v>-316.49869999999999</v>
      </c>
      <c r="H2121" s="1">
        <v>5.0017750000000001E-6</v>
      </c>
      <c r="I2121">
        <v>285.72699999999998</v>
      </c>
      <c r="J2121">
        <v>-300.01839999999999</v>
      </c>
      <c r="K2121">
        <v>1.1205459999999901</v>
      </c>
      <c r="L2121">
        <v>284.9391</v>
      </c>
      <c r="M2121">
        <v>-0.99962510000000004</v>
      </c>
      <c r="N2121">
        <v>-1.547259E-2</v>
      </c>
      <c r="O2121">
        <v>2.2591759999999999E-2</v>
      </c>
      <c r="P2121">
        <v>-0.99512610000000001</v>
      </c>
      <c r="Q2121">
        <v>-9.5880699999999999E-2</v>
      </c>
      <c r="R2121">
        <v>2.304869E-2</v>
      </c>
      <c r="S2121">
        <v>-2.9921570000000002</v>
      </c>
      <c r="T2121">
        <v>-0.20035610000000001</v>
      </c>
      <c r="U2121">
        <v>0.1419067</v>
      </c>
      <c r="V2121">
        <v>5.7601029999999995E-4</v>
      </c>
      <c r="W2121">
        <v>-8.0467789999999997E-2</v>
      </c>
      <c r="X2121">
        <v>0.996757</v>
      </c>
      <c r="Y2121">
        <v>2.475349E-2</v>
      </c>
      <c r="Z2121">
        <v>-1.4152669999999999E-4</v>
      </c>
      <c r="AA2121">
        <v>0.99969359999999996</v>
      </c>
      <c r="AB2121">
        <v>44</v>
      </c>
      <c r="AC2121">
        <v>-16.4803</v>
      </c>
      <c r="AD2121">
        <v>-1.1205409982250001</v>
      </c>
      <c r="AE2121">
        <v>0.78790000000003502</v>
      </c>
      <c r="AF2121">
        <v>0.41342839897420403</v>
      </c>
      <c r="AG2121">
        <v>-1.1205409982250001</v>
      </c>
      <c r="AH2121">
        <v>16.4181666269434</v>
      </c>
      <c r="AI2121">
        <v>93.903152635512399</v>
      </c>
      <c r="AJ2121">
        <v>88.557530927908203</v>
      </c>
      <c r="AK2121">
        <v>16.461553102907999</v>
      </c>
      <c r="AL2121">
        <v>94.615455016154897</v>
      </c>
      <c r="AM2121">
        <v>89.966889667720096</v>
      </c>
      <c r="AN2121">
        <v>0.99999995703217404</v>
      </c>
    </row>
    <row r="2122" spans="1:40" x14ac:dyDescent="0.25">
      <c r="A2122" t="str">
        <f>"20190303154809532"</f>
        <v>20190303154809532</v>
      </c>
      <c r="B2122" t="str">
        <f>"1551599289522705"</f>
        <v>1551599289522705</v>
      </c>
      <c r="C2122" t="s">
        <v>40</v>
      </c>
      <c r="D2122">
        <v>5.5208919999999999</v>
      </c>
      <c r="E2122">
        <v>0.4958089</v>
      </c>
      <c r="F2122" t="s">
        <v>54</v>
      </c>
      <c r="G2122">
        <v>-316.29770000000002</v>
      </c>
      <c r="H2122" s="1">
        <v>4.9661069999999997E-6</v>
      </c>
      <c r="I2122">
        <v>285.11579999999998</v>
      </c>
      <c r="J2122">
        <v>-300.24869999999999</v>
      </c>
      <c r="K2122">
        <v>1.1205369999999999</v>
      </c>
      <c r="L2122">
        <v>284.94420000000002</v>
      </c>
      <c r="M2122">
        <v>-0.99962519999999999</v>
      </c>
      <c r="N2122">
        <v>-1.547082E-2</v>
      </c>
      <c r="O2122">
        <v>2.2589169999999999E-2</v>
      </c>
      <c r="P2122">
        <v>-0.99509159999999997</v>
      </c>
      <c r="Q2122">
        <v>-9.6059199999999997E-2</v>
      </c>
      <c r="R2122">
        <v>2.378307E-2</v>
      </c>
      <c r="S2122">
        <v>-2.9940799999999999</v>
      </c>
      <c r="T2122">
        <v>-0.2060893</v>
      </c>
      <c r="U2122">
        <v>3.2501219999999997E-2</v>
      </c>
      <c r="V2122">
        <v>1.311591E-3</v>
      </c>
      <c r="W2122">
        <v>-8.0648170000000005E-2</v>
      </c>
      <c r="X2122">
        <v>0.99674180000000001</v>
      </c>
      <c r="Y2122">
        <v>-1.167284E-2</v>
      </c>
      <c r="Z2122">
        <v>-1.695317E-3</v>
      </c>
      <c r="AA2122">
        <v>0.9999304</v>
      </c>
      <c r="AB2122">
        <v>44</v>
      </c>
      <c r="AC2122">
        <v>-16.048999999999999</v>
      </c>
      <c r="AD2122">
        <v>-1.120532033893</v>
      </c>
      <c r="AE2122">
        <v>0.17159999999995501</v>
      </c>
      <c r="AF2122">
        <v>-0.19009419511419201</v>
      </c>
      <c r="AG2122">
        <v>-1.120532033893</v>
      </c>
      <c r="AH2122">
        <v>15.970935134955599</v>
      </c>
      <c r="AI2122">
        <v>94.0130522095873</v>
      </c>
      <c r="AJ2122">
        <v>90.681931314934005</v>
      </c>
      <c r="AK2122">
        <v>16.011324021671602</v>
      </c>
      <c r="AL2122">
        <v>94.625823382125603</v>
      </c>
      <c r="AM2122">
        <v>89.924605765130707</v>
      </c>
      <c r="AN2122">
        <v>1.0000000317312601</v>
      </c>
    </row>
    <row r="2123" spans="1:40" x14ac:dyDescent="0.25">
      <c r="A2123" t="str">
        <f>"20190303154809551"</f>
        <v>20190303154809551</v>
      </c>
      <c r="B2123" t="str">
        <f>"1551599289543205"</f>
        <v>1551599289543205</v>
      </c>
      <c r="C2123" t="s">
        <v>40</v>
      </c>
      <c r="D2123">
        <v>5.5125140000000004</v>
      </c>
      <c r="E2123">
        <v>0.49584630000000002</v>
      </c>
      <c r="F2123" t="s">
        <v>54</v>
      </c>
      <c r="G2123">
        <v>-316.95580000000001</v>
      </c>
      <c r="H2123" s="1">
        <v>5.2541880000000001E-6</v>
      </c>
      <c r="I2123">
        <v>285.15859999999998</v>
      </c>
      <c r="J2123">
        <v>-300.61180000000002</v>
      </c>
      <c r="K2123">
        <v>1.120525</v>
      </c>
      <c r="L2123">
        <v>284.95240000000001</v>
      </c>
      <c r="M2123">
        <v>-0.9996254</v>
      </c>
      <c r="N2123">
        <v>-1.546793E-2</v>
      </c>
      <c r="O2123">
        <v>2.2585600000000001E-2</v>
      </c>
      <c r="P2123">
        <v>-0.9950715</v>
      </c>
      <c r="Q2123">
        <v>-9.5949129999999994E-2</v>
      </c>
      <c r="R2123">
        <v>2.503501E-2</v>
      </c>
      <c r="S2123">
        <v>-2.9945369999999998</v>
      </c>
      <c r="T2123">
        <v>-0.20084070000000001</v>
      </c>
      <c r="U2123">
        <v>3.8421629999999998E-2</v>
      </c>
      <c r="V2123">
        <v>2.5642080000000001E-3</v>
      </c>
      <c r="W2123">
        <v>-8.0540749999999994E-2</v>
      </c>
      <c r="X2123">
        <v>0.99674799999999997</v>
      </c>
      <c r="Y2123">
        <v>-9.7033429999999997E-3</v>
      </c>
      <c r="Z2123">
        <v>-1.5639629999999901E-3</v>
      </c>
      <c r="AA2123">
        <v>0.9999517</v>
      </c>
      <c r="AB2123">
        <v>44</v>
      </c>
      <c r="AC2123">
        <v>-16.343999999999902</v>
      </c>
      <c r="AD2123">
        <v>-1.120519745812</v>
      </c>
      <c r="AE2123">
        <v>0.20619999999996699</v>
      </c>
      <c r="AF2123">
        <v>-0.16227316336478101</v>
      </c>
      <c r="AG2123">
        <v>-1.120519745812</v>
      </c>
      <c r="AH2123">
        <v>16.268035659757</v>
      </c>
      <c r="AI2123">
        <v>93.940035175856295</v>
      </c>
      <c r="AJ2123">
        <v>90.571504712216793</v>
      </c>
      <c r="AK2123">
        <v>16.307387323156</v>
      </c>
      <c r="AL2123">
        <v>94.619648815286496</v>
      </c>
      <c r="AM2123">
        <v>89.852602691867403</v>
      </c>
      <c r="AN2123">
        <v>0.99999998153861402</v>
      </c>
    </row>
    <row r="2124" spans="1:40" x14ac:dyDescent="0.25">
      <c r="A2124" t="str">
        <f>"20190303154809562"</f>
        <v>20190303154809562</v>
      </c>
      <c r="B2124" t="str">
        <f>"1551599289552961"</f>
        <v>1551599289552961</v>
      </c>
      <c r="C2124" t="s">
        <v>40</v>
      </c>
      <c r="D2124">
        <v>5.5219659999999999</v>
      </c>
      <c r="E2124">
        <v>0.4956933</v>
      </c>
      <c r="F2124" t="s">
        <v>54</v>
      </c>
      <c r="G2124">
        <v>-317.49930000000001</v>
      </c>
      <c r="H2124" s="1">
        <v>5.4922910000000003E-6</v>
      </c>
      <c r="I2124">
        <v>285.19209999999998</v>
      </c>
      <c r="J2124">
        <v>-300.83159999999998</v>
      </c>
      <c r="K2124">
        <v>1.1205179999999999</v>
      </c>
      <c r="L2124">
        <v>284.95740000000001</v>
      </c>
      <c r="M2124">
        <v>-0.9996254</v>
      </c>
      <c r="N2124">
        <v>-1.546612E-2</v>
      </c>
      <c r="O2124">
        <v>2.2583800000000001E-2</v>
      </c>
      <c r="P2124">
        <v>-0.9950677</v>
      </c>
      <c r="Q2124">
        <v>-9.5882040000000002E-2</v>
      </c>
      <c r="R2124">
        <v>2.5440170000000002E-2</v>
      </c>
      <c r="S2124">
        <v>-2.9946290000000002</v>
      </c>
      <c r="T2124">
        <v>-0.19869899999999999</v>
      </c>
      <c r="U2124">
        <v>4.2510989999999999E-2</v>
      </c>
      <c r="V2124">
        <v>2.96963E-3</v>
      </c>
      <c r="W2124">
        <v>-8.0475370000000004E-2</v>
      </c>
      <c r="X2124">
        <v>0.99675219999999998</v>
      </c>
      <c r="Y2124">
        <v>-8.3417230000000005E-3</v>
      </c>
      <c r="Z2124">
        <v>-1.4885979999999901E-3</v>
      </c>
      <c r="AA2124">
        <v>0.99996410000000002</v>
      </c>
      <c r="AB2124">
        <v>44</v>
      </c>
      <c r="AC2124">
        <v>-16.6677</v>
      </c>
      <c r="AD2124">
        <v>-1.1205125077089999</v>
      </c>
      <c r="AE2124">
        <v>0.23469999999997501</v>
      </c>
      <c r="AF2124">
        <v>-0.14118691765741401</v>
      </c>
      <c r="AG2124">
        <v>-1.1205125077089999</v>
      </c>
      <c r="AH2124">
        <v>16.5937697574361</v>
      </c>
      <c r="AI2124">
        <v>93.862956477935001</v>
      </c>
      <c r="AJ2124">
        <v>90.487485328788793</v>
      </c>
      <c r="AK2124">
        <v>16.632157911361102</v>
      </c>
      <c r="AL2124">
        <v>94.615890412016199</v>
      </c>
      <c r="AM2124">
        <v>89.829298834460502</v>
      </c>
      <c r="AN2124">
        <v>1.0000000260419</v>
      </c>
    </row>
    <row r="2125" spans="1:40" x14ac:dyDescent="0.25">
      <c r="A2125" t="str">
        <f>"20190303154809586"</f>
        <v>20190303154809586</v>
      </c>
      <c r="B2125" t="str">
        <f>"1551599289583216"</f>
        <v>1551599289583216</v>
      </c>
      <c r="C2125" t="s">
        <v>40</v>
      </c>
      <c r="D2125">
        <v>5.5054999999999996</v>
      </c>
      <c r="E2125">
        <v>0.49593280000000001</v>
      </c>
      <c r="F2125" t="s">
        <v>54</v>
      </c>
      <c r="G2125">
        <v>-317.74149999999997</v>
      </c>
      <c r="H2125" s="1">
        <v>5.5991810000000002E-6</v>
      </c>
      <c r="I2125">
        <v>285.19799999999998</v>
      </c>
      <c r="J2125">
        <v>-301.28059999999999</v>
      </c>
      <c r="K2125">
        <v>1.1205039999999999</v>
      </c>
      <c r="L2125">
        <v>284.96749999999997</v>
      </c>
      <c r="M2125">
        <v>-0.9996256</v>
      </c>
      <c r="N2125">
        <v>-1.546224E-2</v>
      </c>
      <c r="O2125">
        <v>2.2579459999999999E-2</v>
      </c>
      <c r="P2125">
        <v>-0.99508989999999997</v>
      </c>
      <c r="Q2125">
        <v>-9.5650840000000001E-2</v>
      </c>
      <c r="R2125">
        <v>2.5441729999999999E-2</v>
      </c>
      <c r="S2125">
        <v>-2.9946899999999999</v>
      </c>
      <c r="T2125">
        <v>-0.19843910000000001</v>
      </c>
      <c r="U2125">
        <v>4.2602540000000001E-2</v>
      </c>
      <c r="V2125">
        <v>2.972096E-3</v>
      </c>
      <c r="W2125">
        <v>-8.0247819999999997E-2</v>
      </c>
      <c r="X2125">
        <v>0.9967705</v>
      </c>
      <c r="Y2125">
        <v>-8.307353E-3</v>
      </c>
      <c r="Z2125">
        <v>-1.4846939999999999E-3</v>
      </c>
      <c r="AA2125">
        <v>0.99996439999999998</v>
      </c>
      <c r="AB2125">
        <v>44</v>
      </c>
      <c r="AC2125">
        <v>-16.460899999999899</v>
      </c>
      <c r="AD2125">
        <v>-1.120498400819</v>
      </c>
      <c r="AE2125">
        <v>0.23050000000000601</v>
      </c>
      <c r="AF2125">
        <v>-0.14062991407861999</v>
      </c>
      <c r="AG2125">
        <v>-1.120498400819</v>
      </c>
      <c r="AH2125">
        <v>16.385996793906401</v>
      </c>
      <c r="AI2125">
        <v>93.911735737562793</v>
      </c>
      <c r="AJ2125">
        <v>90.491718803049295</v>
      </c>
      <c r="AK2125">
        <v>16.4248648204143</v>
      </c>
      <c r="AL2125">
        <v>94.602810630507904</v>
      </c>
      <c r="AM2125">
        <v>89.829160220482393</v>
      </c>
      <c r="AN2125">
        <v>0.99999998781981703</v>
      </c>
    </row>
    <row r="2126" spans="1:40" x14ac:dyDescent="0.25">
      <c r="A2126" t="str">
        <f>"20190303154809599"</f>
        <v>20190303154809599</v>
      </c>
      <c r="B2126" t="str">
        <f>"1551599289592977"</f>
        <v>1551599289592977</v>
      </c>
      <c r="C2126" t="s">
        <v>40</v>
      </c>
      <c r="D2126">
        <v>5.5859129999999997</v>
      </c>
      <c r="E2126">
        <v>0.49593280000000001</v>
      </c>
      <c r="F2126" t="s">
        <v>54</v>
      </c>
      <c r="G2126">
        <v>-318.56040000000002</v>
      </c>
      <c r="H2126" s="1">
        <v>5.9600440000000001E-6</v>
      </c>
      <c r="I2126">
        <v>285.22390000000001</v>
      </c>
      <c r="J2126">
        <v>-301.55029999999999</v>
      </c>
      <c r="K2126">
        <v>1.120498</v>
      </c>
      <c r="L2126">
        <v>284.97359999999998</v>
      </c>
      <c r="M2126">
        <v>-0.9996256</v>
      </c>
      <c r="N2126">
        <v>-1.5459820000000001E-2</v>
      </c>
      <c r="O2126">
        <v>2.2576410000000002E-2</v>
      </c>
      <c r="P2126">
        <v>-0.99511810000000001</v>
      </c>
      <c r="Q2126">
        <v>-9.5350820000000003E-2</v>
      </c>
      <c r="R2126">
        <v>2.5461270000000001E-2</v>
      </c>
      <c r="S2126">
        <v>-2.9949949999999999</v>
      </c>
      <c r="T2126">
        <v>-0.19420870000000001</v>
      </c>
      <c r="U2126">
        <v>4.4433590000000002E-2</v>
      </c>
      <c r="V2126">
        <v>2.99235E-3</v>
      </c>
      <c r="W2126">
        <v>-7.9949889999999996E-2</v>
      </c>
      <c r="X2126">
        <v>0.99679439999999997</v>
      </c>
      <c r="Y2126">
        <v>-7.6985769999999999E-3</v>
      </c>
      <c r="Z2126">
        <v>-1.4223199999999999E-3</v>
      </c>
      <c r="AA2126">
        <v>0.99996940000000001</v>
      </c>
      <c r="AB2126">
        <v>44</v>
      </c>
      <c r="AC2126">
        <v>-17.010100000000001</v>
      </c>
      <c r="AD2126">
        <v>-1.1204920399560001</v>
      </c>
      <c r="AE2126">
        <v>0.25030000000003799</v>
      </c>
      <c r="AF2126">
        <v>-0.13325859346928201</v>
      </c>
      <c r="AG2126">
        <v>-1.1204920399560001</v>
      </c>
      <c r="AH2126">
        <v>16.937934800021001</v>
      </c>
      <c r="AI2126">
        <v>93.784645698636993</v>
      </c>
      <c r="AJ2126">
        <v>90.450763186574505</v>
      </c>
      <c r="AK2126">
        <v>16.9754792437239</v>
      </c>
      <c r="AL2126">
        <v>94.585685383923902</v>
      </c>
      <c r="AM2126">
        <v>89.828000126400298</v>
      </c>
      <c r="AN2126">
        <v>1.00000000747044</v>
      </c>
    </row>
    <row r="2127" spans="1:40" x14ac:dyDescent="0.25">
      <c r="A2127" t="str">
        <f>"20190303154809619"</f>
        <v>20190303154809619</v>
      </c>
      <c r="B2127" t="str">
        <f>"1551599289612497"</f>
        <v>1551599289612497</v>
      </c>
      <c r="C2127" t="s">
        <v>40</v>
      </c>
      <c r="D2127">
        <v>5.5886550000000002</v>
      </c>
      <c r="E2127">
        <v>0.48963279999999998</v>
      </c>
      <c r="F2127" t="s">
        <v>54</v>
      </c>
      <c r="G2127">
        <v>-318.91309999999999</v>
      </c>
      <c r="H2127" s="1">
        <v>6.1157630000000004E-6</v>
      </c>
      <c r="I2127">
        <v>285.23169999999999</v>
      </c>
      <c r="J2127">
        <v>-301.93990000000002</v>
      </c>
      <c r="K2127">
        <v>1.12049</v>
      </c>
      <c r="L2127">
        <v>284.98239999999998</v>
      </c>
      <c r="M2127">
        <v>-0.99962589999999996</v>
      </c>
      <c r="N2127">
        <v>-1.545616E-2</v>
      </c>
      <c r="O2127">
        <v>2.257168E-2</v>
      </c>
      <c r="P2127">
        <v>-0.99519230000000003</v>
      </c>
      <c r="Q2127">
        <v>-9.4831090000000007E-2</v>
      </c>
      <c r="R2127">
        <v>2.4482009999999998E-2</v>
      </c>
      <c r="S2127">
        <v>-2.9950559999999999</v>
      </c>
      <c r="T2127">
        <v>-0.1932836</v>
      </c>
      <c r="U2127">
        <v>4.4525149999999999E-2</v>
      </c>
      <c r="V2127">
        <v>2.0144149999999999E-3</v>
      </c>
      <c r="W2127">
        <v>-7.9433169999999997E-2</v>
      </c>
      <c r="X2127">
        <v>0.99683820000000001</v>
      </c>
      <c r="Y2127">
        <v>-7.6641929999999997E-3</v>
      </c>
      <c r="Z2127">
        <v>-1.412607E-3</v>
      </c>
      <c r="AA2127">
        <v>0.99996969999999996</v>
      </c>
      <c r="AB2127">
        <v>44</v>
      </c>
      <c r="AC2127">
        <v>-16.973199999999899</v>
      </c>
      <c r="AD2127">
        <v>-1.120483884237</v>
      </c>
      <c r="AE2127">
        <v>0.24930000000000499</v>
      </c>
      <c r="AF2127">
        <v>-0.13334190461002701</v>
      </c>
      <c r="AG2127">
        <v>-1.120483884237</v>
      </c>
      <c r="AH2127">
        <v>16.9008649514534</v>
      </c>
      <c r="AI2127">
        <v>93.792894434273407</v>
      </c>
      <c r="AJ2127">
        <v>90.452034252357393</v>
      </c>
      <c r="AK2127">
        <v>16.938491677408098</v>
      </c>
      <c r="AL2127">
        <v>94.555984892705794</v>
      </c>
      <c r="AM2127">
        <v>89.884216595451406</v>
      </c>
      <c r="AN2127">
        <v>1.0000000416716299</v>
      </c>
    </row>
    <row r="2128" spans="1:40" x14ac:dyDescent="0.25">
      <c r="A2128" t="str">
        <f>"20190303154809633"</f>
        <v>20190303154809633</v>
      </c>
      <c r="B2128" t="str">
        <f>"1551599289623233"</f>
        <v>1551599289623233</v>
      </c>
      <c r="C2128" t="s">
        <v>40</v>
      </c>
      <c r="D2128">
        <v>5.5496829999999999</v>
      </c>
      <c r="E2128">
        <v>0.49073929999999999</v>
      </c>
      <c r="F2128" t="s">
        <v>54</v>
      </c>
      <c r="G2128">
        <v>-315.37</v>
      </c>
      <c r="H2128" s="1">
        <v>4.5698970000000002E-6</v>
      </c>
      <c r="I2128">
        <v>284.9418</v>
      </c>
      <c r="J2128">
        <v>-302.21980000000002</v>
      </c>
      <c r="K2128">
        <v>1.120487</v>
      </c>
      <c r="L2128">
        <v>284.98869999999999</v>
      </c>
      <c r="M2128">
        <v>-0.99962589999999996</v>
      </c>
      <c r="N2128">
        <v>-1.545346E-2</v>
      </c>
      <c r="O2128">
        <v>2.2568589999999999E-2</v>
      </c>
      <c r="P2128">
        <v>-0.99524270000000004</v>
      </c>
      <c r="Q2128">
        <v>-9.447643E-2</v>
      </c>
      <c r="R2128">
        <v>2.379595E-2</v>
      </c>
      <c r="S2128">
        <v>-2.990936</v>
      </c>
      <c r="T2128">
        <v>-0.2495366</v>
      </c>
      <c r="U2128">
        <v>-9.0332030000000001E-3</v>
      </c>
      <c r="V2128">
        <v>1.3294589999999901E-3</v>
      </c>
      <c r="W2128">
        <v>-7.9080750000000005E-2</v>
      </c>
      <c r="X2128">
        <v>0.99686730000000001</v>
      </c>
      <c r="Y2128">
        <v>-2.543376E-2</v>
      </c>
      <c r="Z2128">
        <v>-2.7873110000000002E-3</v>
      </c>
      <c r="AA2128">
        <v>0.99967269999999997</v>
      </c>
      <c r="AB2128">
        <v>44</v>
      </c>
      <c r="AC2128">
        <v>-13.1501999999999</v>
      </c>
      <c r="AD2128">
        <v>-1.1204824301029901</v>
      </c>
      <c r="AE2128">
        <v>-4.6899999999993697E-2</v>
      </c>
      <c r="AF2128">
        <v>-0.34122762276422602</v>
      </c>
      <c r="AG2128">
        <v>-1.1204824301029901</v>
      </c>
      <c r="AH2128">
        <v>13.051039953527701</v>
      </c>
      <c r="AI2128">
        <v>94.905364073934905</v>
      </c>
      <c r="AJ2128">
        <v>91.497692871596698</v>
      </c>
      <c r="AK2128">
        <v>13.1034942299862</v>
      </c>
      <c r="AL2128">
        <v>94.535729305679098</v>
      </c>
      <c r="AM2128">
        <v>89.923588280430096</v>
      </c>
      <c r="AN2128">
        <v>0.99999997314554201</v>
      </c>
    </row>
    <row r="2129" spans="1:40" x14ac:dyDescent="0.25">
      <c r="A2129" t="str">
        <f>"20190303154809652"</f>
        <v>20190303154809652</v>
      </c>
      <c r="B2129" t="str">
        <f>"1551599289642752"</f>
        <v>1551599289642752</v>
      </c>
      <c r="C2129" t="s">
        <v>40</v>
      </c>
      <c r="D2129">
        <v>5.6033839999999904</v>
      </c>
      <c r="E2129">
        <v>0.49092809999999998</v>
      </c>
      <c r="F2129" t="s">
        <v>54</v>
      </c>
      <c r="G2129">
        <v>-316.41419999999999</v>
      </c>
      <c r="H2129" s="1">
        <v>5.0297960000000004E-6</v>
      </c>
      <c r="I2129">
        <v>284.97809999999998</v>
      </c>
      <c r="J2129">
        <v>-302.58460000000002</v>
      </c>
      <c r="K2129">
        <v>1.1204889999999901</v>
      </c>
      <c r="L2129">
        <v>284.99689999999998</v>
      </c>
      <c r="M2129">
        <v>-0.99962600000000001</v>
      </c>
      <c r="N2129">
        <v>-1.5449879999999999E-2</v>
      </c>
      <c r="O2129">
        <v>2.2565100000000001E-2</v>
      </c>
      <c r="P2129">
        <v>-0.99532100000000001</v>
      </c>
      <c r="Q2129">
        <v>-9.4016630000000004E-2</v>
      </c>
      <c r="R2129">
        <v>2.2303839999999998E-2</v>
      </c>
      <c r="S2129">
        <v>-2.9919739999999999</v>
      </c>
      <c r="T2129">
        <v>-0.23618149999999999</v>
      </c>
      <c r="U2129">
        <v>-2.2277830000000001E-3</v>
      </c>
      <c r="V2129">
        <v>-1.614485E-4</v>
      </c>
      <c r="W2129">
        <v>-7.8623970000000001E-2</v>
      </c>
      <c r="X2129">
        <v>0.99690429999999997</v>
      </c>
      <c r="Y2129">
        <v>-2.318052E-2</v>
      </c>
      <c r="Z2129">
        <v>-2.5230470000000001E-3</v>
      </c>
      <c r="AA2129">
        <v>0.99972810000000001</v>
      </c>
      <c r="AB2129">
        <v>44</v>
      </c>
      <c r="AC2129">
        <v>-13.8295999999999</v>
      </c>
      <c r="AD2129">
        <v>-1.1204839702039999</v>
      </c>
      <c r="AE2129">
        <v>-1.87999999999988E-2</v>
      </c>
      <c r="AF2129">
        <v>-0.32874079966298902</v>
      </c>
      <c r="AG2129">
        <v>-1.1204839702039999</v>
      </c>
      <c r="AH2129">
        <v>13.7354890733391</v>
      </c>
      <c r="AI2129">
        <v>94.662295137690705</v>
      </c>
      <c r="AJ2129">
        <v>91.371037103968305</v>
      </c>
      <c r="AK2129">
        <v>13.785035905817001</v>
      </c>
      <c r="AL2129">
        <v>94.509476012315702</v>
      </c>
      <c r="AM2129">
        <v>90.009279042710304</v>
      </c>
      <c r="AN2129">
        <v>0.99999996904133404</v>
      </c>
    </row>
    <row r="2130" spans="1:40" x14ac:dyDescent="0.25">
      <c r="A2130" t="str">
        <f>"20190303154809671"</f>
        <v>20190303154809671</v>
      </c>
      <c r="B2130" t="str">
        <f>"1551599289663249"</f>
        <v>1551599289663249</v>
      </c>
      <c r="C2130" t="s">
        <v>40</v>
      </c>
      <c r="D2130">
        <v>5.6193299999999997</v>
      </c>
      <c r="E2130">
        <v>0.49104779999999998</v>
      </c>
      <c r="F2130" t="s">
        <v>54</v>
      </c>
      <c r="G2130">
        <v>-317.11200000000002</v>
      </c>
      <c r="H2130" s="1">
        <v>5.3397249999999999E-6</v>
      </c>
      <c r="I2130">
        <v>284.9726</v>
      </c>
      <c r="J2130">
        <v>-302.94110000000001</v>
      </c>
      <c r="K2130">
        <v>1.120485</v>
      </c>
      <c r="L2130">
        <v>285.00490000000002</v>
      </c>
      <c r="M2130">
        <v>-0.99962620000000002</v>
      </c>
      <c r="N2130">
        <v>-1.5446319999999999E-2</v>
      </c>
      <c r="O2130">
        <v>2.2561040000000001E-2</v>
      </c>
      <c r="P2130">
        <v>-0.9953071</v>
      </c>
      <c r="Q2130">
        <v>-9.4278749999999995E-2</v>
      </c>
      <c r="R2130">
        <v>2.1805310000000001E-2</v>
      </c>
      <c r="S2130">
        <v>-2.9924010000000001</v>
      </c>
      <c r="T2130">
        <v>-0.23080100000000001</v>
      </c>
      <c r="U2130">
        <v>-5.0048829999999999E-3</v>
      </c>
      <c r="V2130">
        <v>-6.567608E-4</v>
      </c>
      <c r="W2130">
        <v>-7.8889989999999993E-2</v>
      </c>
      <c r="X2130">
        <v>0.99688310000000002</v>
      </c>
      <c r="Y2130">
        <v>-2.410698E-2</v>
      </c>
      <c r="Z2130">
        <v>-2.5041339999999999E-3</v>
      </c>
      <c r="AA2130">
        <v>0.99970630000000005</v>
      </c>
      <c r="AB2130">
        <v>44</v>
      </c>
      <c r="AC2130">
        <v>-14.1709</v>
      </c>
      <c r="AD2130">
        <v>-1.120479660275</v>
      </c>
      <c r="AE2130">
        <v>-3.2300000000020597E-2</v>
      </c>
      <c r="AF2130">
        <v>-0.34985290482383102</v>
      </c>
      <c r="AG2130">
        <v>-1.120479660275</v>
      </c>
      <c r="AH2130">
        <v>14.0785459542123</v>
      </c>
      <c r="AI2130">
        <v>94.549051501566495</v>
      </c>
      <c r="AJ2130">
        <v>91.423511374439997</v>
      </c>
      <c r="AK2130">
        <v>14.1273963598736</v>
      </c>
      <c r="AL2130">
        <v>94.524765239031098</v>
      </c>
      <c r="AM2130">
        <v>90.037747271014396</v>
      </c>
      <c r="AN2130">
        <v>0.99999998846127902</v>
      </c>
    </row>
    <row r="2131" spans="1:40" x14ac:dyDescent="0.25">
      <c r="A2131" t="str">
        <f>"20190303154809688"</f>
        <v>20190303154809688</v>
      </c>
      <c r="B2131" t="str">
        <f>"1551599289682768"</f>
        <v>1551599289682768</v>
      </c>
      <c r="C2131" t="s">
        <v>40</v>
      </c>
      <c r="D2131">
        <v>5.5768300000000002</v>
      </c>
      <c r="E2131">
        <v>0.49123509999999998</v>
      </c>
      <c r="F2131" t="s">
        <v>54</v>
      </c>
      <c r="G2131">
        <v>-317.50830000000002</v>
      </c>
      <c r="H2131" s="1">
        <v>5.5149759999999999E-6</v>
      </c>
      <c r="I2131">
        <v>284.97829999999999</v>
      </c>
      <c r="J2131">
        <v>-303.27589999999998</v>
      </c>
      <c r="K2131">
        <v>1.1204750000000001</v>
      </c>
      <c r="L2131">
        <v>285.01249999999999</v>
      </c>
      <c r="M2131">
        <v>-0.99962629999999997</v>
      </c>
      <c r="N2131">
        <v>-1.5442920000000001E-2</v>
      </c>
      <c r="O2131">
        <v>2.2553759999999999E-2</v>
      </c>
      <c r="P2131">
        <v>-0.99527500000000002</v>
      </c>
      <c r="Q2131">
        <v>-9.4889319999999999E-2</v>
      </c>
      <c r="R2131">
        <v>2.058977E-2</v>
      </c>
      <c r="S2131">
        <v>-2.9924620000000002</v>
      </c>
      <c r="T2131">
        <v>-0.23017409999999999</v>
      </c>
      <c r="U2131">
        <v>-5.4626459999999998E-3</v>
      </c>
      <c r="V2131">
        <v>-1.8640600000000001E-3</v>
      </c>
      <c r="W2131">
        <v>-7.9504829999999999E-2</v>
      </c>
      <c r="X2131">
        <v>0.99683270000000002</v>
      </c>
      <c r="Y2131">
        <v>-2.425281E-2</v>
      </c>
      <c r="Z2131">
        <v>-2.5031739999999999E-3</v>
      </c>
      <c r="AA2131">
        <v>0.9997028</v>
      </c>
      <c r="AB2131">
        <v>44</v>
      </c>
      <c r="AC2131">
        <v>-14.2324</v>
      </c>
      <c r="AD2131">
        <v>-1.120469485024</v>
      </c>
      <c r="AE2131">
        <v>-3.4199999999998398E-2</v>
      </c>
      <c r="AF2131">
        <v>-0.35303566871129299</v>
      </c>
      <c r="AG2131">
        <v>-1.120469485024</v>
      </c>
      <c r="AH2131">
        <v>14.140367512210499</v>
      </c>
      <c r="AI2131">
        <v>94.529191988238694</v>
      </c>
      <c r="AJ2131">
        <v>91.430178714749999</v>
      </c>
      <c r="AK2131">
        <v>14.1890831074679</v>
      </c>
      <c r="AL2131">
        <v>94.560104097532303</v>
      </c>
      <c r="AM2131">
        <v>90.107141997116301</v>
      </c>
      <c r="AN2131">
        <v>0.99999996225114995</v>
      </c>
    </row>
    <row r="2132" spans="1:40" x14ac:dyDescent="0.25">
      <c r="A2132" t="str">
        <f>"20190303154809709"</f>
        <v>20190303154809709</v>
      </c>
      <c r="B2132" t="str">
        <f>"1551599289703265"</f>
        <v>1551599289703265</v>
      </c>
      <c r="C2132" t="s">
        <v>40</v>
      </c>
      <c r="D2132">
        <v>5.5863950000000004</v>
      </c>
      <c r="E2132">
        <v>0.49071090000000001</v>
      </c>
      <c r="F2132" t="s">
        <v>54</v>
      </c>
      <c r="G2132">
        <v>-317.79090000000002</v>
      </c>
      <c r="H2132" s="1">
        <v>5.6405719999999999E-6</v>
      </c>
      <c r="I2132">
        <v>284.97489999999999</v>
      </c>
      <c r="J2132">
        <v>-303.673</v>
      </c>
      <c r="K2132">
        <v>1.120479</v>
      </c>
      <c r="L2132">
        <v>285.02140000000003</v>
      </c>
      <c r="M2132">
        <v>-0.99962689999999998</v>
      </c>
      <c r="N2132">
        <v>-1.5438810000000001E-2</v>
      </c>
      <c r="O2132">
        <v>2.2532730000000001E-2</v>
      </c>
      <c r="P2132">
        <v>-0.99516150000000003</v>
      </c>
      <c r="Q2132">
        <v>-9.6311579999999994E-2</v>
      </c>
      <c r="R2132">
        <v>1.9432120000000001E-2</v>
      </c>
      <c r="S2132">
        <v>-2.99234</v>
      </c>
      <c r="T2132">
        <v>-0.23099040000000001</v>
      </c>
      <c r="U2132">
        <v>-7.7514649999999999E-3</v>
      </c>
      <c r="V2132">
        <v>-2.9973669999999999E-3</v>
      </c>
      <c r="W2132">
        <v>-8.0933229999999995E-2</v>
      </c>
      <c r="X2132">
        <v>0.99671500000000002</v>
      </c>
      <c r="Y2132">
        <v>-2.4992940000000002E-2</v>
      </c>
      <c r="Z2132">
        <v>-2.5457040000000002E-3</v>
      </c>
      <c r="AA2132">
        <v>0.99968440000000003</v>
      </c>
      <c r="AB2132">
        <v>44</v>
      </c>
      <c r="AC2132">
        <v>-14.117900000000001</v>
      </c>
      <c r="AD2132">
        <v>-1.1204733594280001</v>
      </c>
      <c r="AE2132">
        <v>-4.6500000000037199E-2</v>
      </c>
      <c r="AF2132">
        <v>-0.362358510438752</v>
      </c>
      <c r="AG2132">
        <v>-1.1204733594280001</v>
      </c>
      <c r="AH2132">
        <v>14.0249265199622</v>
      </c>
      <c r="AI2132">
        <v>94.566230609301201</v>
      </c>
      <c r="AJ2132">
        <v>91.480007429585299</v>
      </c>
      <c r="AK2132">
        <v>14.074278955939899</v>
      </c>
      <c r="AL2132">
        <v>94.642209915274194</v>
      </c>
      <c r="AM2132">
        <v>90.172301973034806</v>
      </c>
      <c r="AN2132">
        <v>0.99999998157608205</v>
      </c>
    </row>
    <row r="2133" spans="1:40" x14ac:dyDescent="0.25">
      <c r="A2133" t="str">
        <f>"20190303154809722"</f>
        <v>20190303154809722</v>
      </c>
      <c r="B2133" t="str">
        <f>"1551599289713025"</f>
        <v>1551599289713025</v>
      </c>
      <c r="C2133" t="s">
        <v>40</v>
      </c>
      <c r="D2133">
        <v>5.5838859999999997</v>
      </c>
      <c r="E2133">
        <v>0.4906663</v>
      </c>
      <c r="F2133" t="s">
        <v>54</v>
      </c>
      <c r="G2133">
        <v>-317.68799999999999</v>
      </c>
      <c r="H2133" s="1">
        <v>5.5972170000000002E-6</v>
      </c>
      <c r="I2133">
        <v>284.94909999999999</v>
      </c>
      <c r="J2133">
        <v>-303.93830000000003</v>
      </c>
      <c r="K2133">
        <v>1.1204940000000001</v>
      </c>
      <c r="L2133">
        <v>285.0274</v>
      </c>
      <c r="M2133">
        <v>-0.9996275</v>
      </c>
      <c r="N2133">
        <v>-1.543605E-2</v>
      </c>
      <c r="O2133">
        <v>2.250812E-2</v>
      </c>
      <c r="P2133">
        <v>-0.99514959999999997</v>
      </c>
      <c r="Q2133">
        <v>-9.6467520000000001E-2</v>
      </c>
      <c r="R2133">
        <v>1.9267360000000001E-2</v>
      </c>
      <c r="S2133">
        <v>-2.99173</v>
      </c>
      <c r="T2133">
        <v>-0.23918310000000001</v>
      </c>
      <c r="U2133">
        <v>-1.544189E-2</v>
      </c>
      <c r="V2133">
        <v>-3.136106E-3</v>
      </c>
      <c r="W2133">
        <v>-8.109218E-2</v>
      </c>
      <c r="X2133">
        <v>0.99670170000000002</v>
      </c>
      <c r="Y2133">
        <v>-2.751909E-2</v>
      </c>
      <c r="Z2133">
        <v>-2.7605910000000002E-3</v>
      </c>
      <c r="AA2133">
        <v>0.99961750000000005</v>
      </c>
      <c r="AB2133">
        <v>44</v>
      </c>
      <c r="AC2133">
        <v>-13.749699999999899</v>
      </c>
      <c r="AD2133">
        <v>-1.120488402783</v>
      </c>
      <c r="AE2133">
        <v>-7.8300000000012901E-2</v>
      </c>
      <c r="AF2133">
        <v>-0.38523867258842798</v>
      </c>
      <c r="AG2133">
        <v>-1.120488402783</v>
      </c>
      <c r="AH2133">
        <v>13.6537824827161</v>
      </c>
      <c r="AI2133">
        <v>94.689568671748006</v>
      </c>
      <c r="AJ2133">
        <v>91.616159898253699</v>
      </c>
      <c r="AK2133">
        <v>13.705096832235499</v>
      </c>
      <c r="AL2133">
        <v>94.651346897467107</v>
      </c>
      <c r="AM2133">
        <v>90.180279661331795</v>
      </c>
      <c r="AN2133">
        <v>1.00000002780044</v>
      </c>
    </row>
    <row r="2134" spans="1:40" x14ac:dyDescent="0.25">
      <c r="A2134" t="str">
        <f>"20190303154809742"</f>
        <v>20190303154809742</v>
      </c>
      <c r="B2134" t="str">
        <f>"1551599289732545"</f>
        <v>1551599289732545</v>
      </c>
      <c r="C2134" t="s">
        <v>40</v>
      </c>
      <c r="D2134">
        <v>5.4923070000000003</v>
      </c>
      <c r="E2134">
        <v>0.4911258</v>
      </c>
      <c r="F2134" t="s">
        <v>54</v>
      </c>
      <c r="G2134">
        <v>-317.87459999999999</v>
      </c>
      <c r="H2134" s="1">
        <v>5.6797529999999898E-6</v>
      </c>
      <c r="I2134">
        <v>284.95139999999998</v>
      </c>
      <c r="J2134">
        <v>-304.32420000000002</v>
      </c>
      <c r="K2134">
        <v>1.12052</v>
      </c>
      <c r="L2134">
        <v>285.03609999999998</v>
      </c>
      <c r="M2134">
        <v>-0.99962910000000005</v>
      </c>
      <c r="N2134">
        <v>-1.543195E-2</v>
      </c>
      <c r="O2134">
        <v>2.244022E-2</v>
      </c>
      <c r="P2134">
        <v>-0.99513940000000001</v>
      </c>
      <c r="Q2134">
        <v>-9.6572190000000002E-2</v>
      </c>
      <c r="R2134">
        <v>1.9272520000000001E-2</v>
      </c>
      <c r="S2134">
        <v>-2.9916079999999998</v>
      </c>
      <c r="T2134">
        <v>-0.2405274</v>
      </c>
      <c r="U2134">
        <v>-1.6326899999999998E-2</v>
      </c>
      <c r="V2134">
        <v>-3.0586110000000001E-3</v>
      </c>
      <c r="W2134">
        <v>-8.1201250000000003E-2</v>
      </c>
      <c r="X2134">
        <v>0.99669300000000005</v>
      </c>
      <c r="Y2134">
        <v>-2.7744629999999999E-2</v>
      </c>
      <c r="Z2134">
        <v>-2.7833659999999998E-3</v>
      </c>
      <c r="AA2134">
        <v>0.99961109999999997</v>
      </c>
      <c r="AB2134">
        <v>43</v>
      </c>
      <c r="AC2134">
        <v>-13.5503999999999</v>
      </c>
      <c r="AD2134">
        <v>-1.120514320247</v>
      </c>
      <c r="AE2134">
        <v>-8.4699999999997999E-2</v>
      </c>
      <c r="AF2134">
        <v>-0.38614844075888899</v>
      </c>
      <c r="AG2134">
        <v>-1.120514320247</v>
      </c>
      <c r="AH2134">
        <v>13.453097100992199</v>
      </c>
      <c r="AI2134">
        <v>94.759249671845495</v>
      </c>
      <c r="AJ2134">
        <v>91.644127202084704</v>
      </c>
      <c r="AK2134">
        <v>13.505202129879599</v>
      </c>
      <c r="AL2134">
        <v>94.657617108127795</v>
      </c>
      <c r="AM2134">
        <v>90.175826409298693</v>
      </c>
      <c r="AN2134">
        <v>0.999999967175905</v>
      </c>
    </row>
    <row r="2135" spans="1:40" x14ac:dyDescent="0.25">
      <c r="A2135" t="str">
        <f>"20190303154809754"</f>
        <v>20190303154809754</v>
      </c>
      <c r="B2135" t="str">
        <f>"1551599289743281"</f>
        <v>1551599289743281</v>
      </c>
      <c r="C2135" t="s">
        <v>40</v>
      </c>
      <c r="D2135">
        <v>5.514869</v>
      </c>
      <c r="E2135">
        <v>0.49130469999999998</v>
      </c>
      <c r="F2135" t="s">
        <v>54</v>
      </c>
      <c r="G2135">
        <v>-318.48399999999998</v>
      </c>
      <c r="H2135" s="1">
        <v>5.9477569999999999E-6</v>
      </c>
      <c r="I2135">
        <v>284.97710000000001</v>
      </c>
      <c r="J2135">
        <v>-304.56729999999999</v>
      </c>
      <c r="K2135">
        <v>1.1205430000000001</v>
      </c>
      <c r="L2135">
        <v>285.04149999999998</v>
      </c>
      <c r="M2135">
        <v>-0.99963069999999998</v>
      </c>
      <c r="N2135">
        <v>-1.542937E-2</v>
      </c>
      <c r="O2135">
        <v>2.2370330000000001E-2</v>
      </c>
      <c r="P2135">
        <v>-0.99513070000000003</v>
      </c>
      <c r="Q2135">
        <v>-9.6593499999999999E-2</v>
      </c>
      <c r="R2135">
        <v>1.9615819999999999E-2</v>
      </c>
      <c r="S2135">
        <v>-2.9919739999999999</v>
      </c>
      <c r="T2135">
        <v>-0.23676530000000001</v>
      </c>
      <c r="U2135">
        <v>-1.2451169999999999E-2</v>
      </c>
      <c r="V2135">
        <v>-2.6413270000000002E-3</v>
      </c>
      <c r="W2135">
        <v>-8.1225249999999999E-2</v>
      </c>
      <c r="X2135">
        <v>0.99669229999999998</v>
      </c>
      <c r="Y2135">
        <v>-2.6389300000000001E-2</v>
      </c>
      <c r="Z2135">
        <v>-2.6691010000000001E-3</v>
      </c>
      <c r="AA2135">
        <v>0.99964819999999999</v>
      </c>
      <c r="AB2135">
        <v>43</v>
      </c>
      <c r="AC2135">
        <v>-13.916700000000001</v>
      </c>
      <c r="AD2135">
        <v>-1.120537052243</v>
      </c>
      <c r="AE2135">
        <v>-6.4399999999977794E-2</v>
      </c>
      <c r="AF2135">
        <v>-0.37332189486408901</v>
      </c>
      <c r="AG2135">
        <v>-1.120537052243</v>
      </c>
      <c r="AH2135">
        <v>13.8221677381019</v>
      </c>
      <c r="AI2135">
        <v>94.633043053246894</v>
      </c>
      <c r="AJ2135">
        <v>91.547121298572506</v>
      </c>
      <c r="AK2135">
        <v>13.872537385167201</v>
      </c>
      <c r="AL2135">
        <v>94.658996473865201</v>
      </c>
      <c r="AM2135">
        <v>90.151838772243096</v>
      </c>
      <c r="AN2135">
        <v>1.0000000293625799</v>
      </c>
    </row>
    <row r="2136" spans="1:40" x14ac:dyDescent="0.25">
      <c r="A2136" t="str">
        <f>"20190303154809766"</f>
        <v>20190303154809766</v>
      </c>
      <c r="B2136" t="str">
        <f>"1551599289762801"</f>
        <v>1551599289762801</v>
      </c>
      <c r="C2136" t="s">
        <v>40</v>
      </c>
      <c r="D2136">
        <v>5.5956060000000001</v>
      </c>
      <c r="E2136">
        <v>0.49120350000000002</v>
      </c>
      <c r="F2136" t="s">
        <v>54</v>
      </c>
      <c r="G2136">
        <v>-318.80680000000001</v>
      </c>
      <c r="H2136" s="1">
        <v>6.0894249999999997E-6</v>
      </c>
      <c r="I2136">
        <v>284.99400000000003</v>
      </c>
      <c r="J2136">
        <v>-304.79860000000002</v>
      </c>
      <c r="K2136">
        <v>1.120571</v>
      </c>
      <c r="L2136">
        <v>285.04660000000001</v>
      </c>
      <c r="M2136">
        <v>-0.99963270000000004</v>
      </c>
      <c r="N2136">
        <v>-1.542691E-2</v>
      </c>
      <c r="O2136">
        <v>2.2287040000000001E-2</v>
      </c>
      <c r="P2136">
        <v>-0.99513269999999998</v>
      </c>
      <c r="Q2136">
        <v>-9.6482369999999998E-2</v>
      </c>
      <c r="R2136">
        <v>2.0063850000000001E-2</v>
      </c>
      <c r="S2136">
        <v>-2.992035</v>
      </c>
      <c r="T2136">
        <v>-0.23544989999999999</v>
      </c>
      <c r="U2136">
        <v>-9.9792479999999996E-3</v>
      </c>
      <c r="V2136">
        <v>-2.1057269999999999E-3</v>
      </c>
      <c r="W2136">
        <v>-8.1116419999999995E-2</v>
      </c>
      <c r="X2136">
        <v>0.99670239999999999</v>
      </c>
      <c r="Y2136">
        <v>-2.5485190000000001E-2</v>
      </c>
      <c r="Z2136">
        <v>-2.6057290000000002E-3</v>
      </c>
      <c r="AA2136">
        <v>0.9996718</v>
      </c>
      <c r="AB2136">
        <v>43</v>
      </c>
      <c r="AC2136">
        <v>-14.008199999999899</v>
      </c>
      <c r="AD2136">
        <v>-1.120564910575</v>
      </c>
      <c r="AE2136">
        <v>-5.2599999999983903E-2</v>
      </c>
      <c r="AF2136">
        <v>-0.362505738596473</v>
      </c>
      <c r="AG2136">
        <v>-1.120564910575</v>
      </c>
      <c r="AH2136">
        <v>13.9145101477396</v>
      </c>
      <c r="AI2136">
        <v>94.602658960469995</v>
      </c>
      <c r="AJ2136">
        <v>91.492352336639996</v>
      </c>
      <c r="AK2136">
        <v>13.964263989945</v>
      </c>
      <c r="AL2136">
        <v>94.652740509605707</v>
      </c>
      <c r="AM2136">
        <v>90.121048259141503</v>
      </c>
      <c r="AN2136">
        <v>0.99999999092278702</v>
      </c>
    </row>
    <row r="2137" spans="1:40" x14ac:dyDescent="0.25">
      <c r="A2137" t="str">
        <f>"20190303154809778"</f>
        <v>20190303154809778</v>
      </c>
      <c r="B2137" t="str">
        <f>"1551599289772561"</f>
        <v>1551599289772561</v>
      </c>
      <c r="C2137" t="s">
        <v>40</v>
      </c>
      <c r="D2137">
        <v>5.5090579999999996</v>
      </c>
      <c r="E2137">
        <v>0.49133130000000003</v>
      </c>
      <c r="F2137" t="s">
        <v>54</v>
      </c>
      <c r="G2137">
        <v>-318.80399999999997</v>
      </c>
      <c r="H2137" s="1">
        <v>6.0874910000000001E-6</v>
      </c>
      <c r="I2137">
        <v>285.00189999999998</v>
      </c>
      <c r="J2137">
        <v>-305.03840000000002</v>
      </c>
      <c r="K2137">
        <v>1.1206020000000001</v>
      </c>
      <c r="L2137">
        <v>285.05189999999999</v>
      </c>
      <c r="M2137">
        <v>-0.99963500000000005</v>
      </c>
      <c r="N2137">
        <v>-1.542436E-2</v>
      </c>
      <c r="O2137">
        <v>2.2182799999999999E-2</v>
      </c>
      <c r="P2137">
        <v>-0.99520649999999999</v>
      </c>
      <c r="Q2137">
        <v>-9.5615220000000001E-2</v>
      </c>
      <c r="R2137">
        <v>2.0536559999999999E-2</v>
      </c>
      <c r="S2137">
        <v>-2.9916689999999999</v>
      </c>
      <c r="T2137">
        <v>-0.23936260000000001</v>
      </c>
      <c r="U2137">
        <v>-9.5520020000000004E-3</v>
      </c>
      <c r="V2137">
        <v>-1.5255360000000001E-3</v>
      </c>
      <c r="W2137">
        <v>-8.0250619999999995E-2</v>
      </c>
      <c r="X2137">
        <v>0.99677349999999998</v>
      </c>
      <c r="Y2137">
        <v>-2.5234969999999999E-2</v>
      </c>
      <c r="Z2137">
        <v>-2.6330659999999999E-3</v>
      </c>
      <c r="AA2137">
        <v>0.99967810000000001</v>
      </c>
      <c r="AB2137">
        <v>43</v>
      </c>
      <c r="AC2137">
        <v>-13.765599999999999</v>
      </c>
      <c r="AD2137">
        <v>-1.1205959125089999</v>
      </c>
      <c r="AE2137">
        <v>-5.0000000000011299E-2</v>
      </c>
      <c r="AF2137">
        <v>-0.35304401525458801</v>
      </c>
      <c r="AG2137">
        <v>-1.1205959125089999</v>
      </c>
      <c r="AH2137">
        <v>13.670511275493901</v>
      </c>
      <c r="AI2137">
        <v>94.684603833282793</v>
      </c>
      <c r="AJ2137">
        <v>91.479347516253995</v>
      </c>
      <c r="AK2137">
        <v>13.7209057211704</v>
      </c>
      <c r="AL2137">
        <v>94.602971753219293</v>
      </c>
      <c r="AM2137">
        <v>90.087689636662205</v>
      </c>
      <c r="AN2137">
        <v>0.99999994978635898</v>
      </c>
    </row>
    <row r="2138" spans="1:40" x14ac:dyDescent="0.25">
      <c r="A2138" t="str">
        <f>"20190303154809792"</f>
        <v>20190303154809792</v>
      </c>
      <c r="B2138" t="str">
        <f>"1551599289783298"</f>
        <v>1551599289783298</v>
      </c>
      <c r="C2138" t="s">
        <v>40</v>
      </c>
      <c r="D2138">
        <v>5.5298109999999996</v>
      </c>
      <c r="E2138">
        <v>0.49152050000000003</v>
      </c>
      <c r="F2138" t="s">
        <v>54</v>
      </c>
      <c r="G2138">
        <v>-319.2552</v>
      </c>
      <c r="H2138" s="1">
        <v>6.2861090000000003E-6</v>
      </c>
      <c r="I2138">
        <v>285.01900000000001</v>
      </c>
      <c r="J2138">
        <v>-305.27089999999998</v>
      </c>
      <c r="K2138">
        <v>1.120649</v>
      </c>
      <c r="L2138">
        <v>285.05689999999998</v>
      </c>
      <c r="M2138">
        <v>-0.99963820000000003</v>
      </c>
      <c r="N2138">
        <v>-1.542192E-2</v>
      </c>
      <c r="O2138">
        <v>2.2040420000000002E-2</v>
      </c>
      <c r="P2138">
        <v>-0.99528280000000002</v>
      </c>
      <c r="Q2138">
        <v>-9.4665940000000004E-2</v>
      </c>
      <c r="R2138">
        <v>2.1231710000000001E-2</v>
      </c>
      <c r="S2138">
        <v>-2.991943</v>
      </c>
      <c r="T2138">
        <v>-0.23582919999999999</v>
      </c>
      <c r="U2138">
        <v>-6.9274899999999997E-3</v>
      </c>
      <c r="V2138">
        <v>-6.8288270000000002E-4</v>
      </c>
      <c r="W2138">
        <v>-7.9302289999999998E-2</v>
      </c>
      <c r="X2138">
        <v>0.99685040000000003</v>
      </c>
      <c r="Y2138">
        <v>-2.4223700000000001E-2</v>
      </c>
      <c r="Z2138">
        <v>-2.5352899999999999E-3</v>
      </c>
      <c r="AA2138">
        <v>0.99970329999999996</v>
      </c>
      <c r="AB2138">
        <v>43</v>
      </c>
      <c r="AC2138">
        <v>-13.984299999999999</v>
      </c>
      <c r="AD2138">
        <v>-1.120642713891</v>
      </c>
      <c r="AE2138">
        <v>-3.7899999999979103E-2</v>
      </c>
      <c r="AF2138">
        <v>-0.34393860443740998</v>
      </c>
      <c r="AG2138">
        <v>-1.120642713891</v>
      </c>
      <c r="AH2138">
        <v>13.890863807368699</v>
      </c>
      <c r="AI2138">
        <v>94.610929661120693</v>
      </c>
      <c r="AJ2138">
        <v>91.418357069978398</v>
      </c>
      <c r="AK2138">
        <v>13.9402378448391</v>
      </c>
      <c r="AL2138">
        <v>94.548462390537694</v>
      </c>
      <c r="AM2138">
        <v>90.039249912014895</v>
      </c>
      <c r="AN2138">
        <v>1.0000000197540899</v>
      </c>
    </row>
    <row r="2139" spans="1:40" x14ac:dyDescent="0.25">
      <c r="A2139" t="str">
        <f>"20190303154809803"</f>
        <v>20190303154809803</v>
      </c>
      <c r="B2139" t="str">
        <f>"1551599289793057"</f>
        <v>1551599289793057</v>
      </c>
      <c r="C2139" t="s">
        <v>40</v>
      </c>
      <c r="D2139">
        <v>5.5959719999999997</v>
      </c>
      <c r="E2139">
        <v>0.49143599999999998</v>
      </c>
      <c r="F2139" t="s">
        <v>54</v>
      </c>
      <c r="G2139">
        <v>-319.72770000000003</v>
      </c>
      <c r="H2139" s="1">
        <v>6.4937750000000003E-6</v>
      </c>
      <c r="I2139">
        <v>285.0401</v>
      </c>
      <c r="J2139">
        <v>-305.5095</v>
      </c>
      <c r="K2139">
        <v>1.1206989999999999</v>
      </c>
      <c r="L2139">
        <v>285.06209999999999</v>
      </c>
      <c r="M2139">
        <v>-0.99964180000000002</v>
      </c>
      <c r="N2139">
        <v>-1.541944E-2</v>
      </c>
      <c r="O2139">
        <v>2.187422E-2</v>
      </c>
      <c r="P2139">
        <v>-0.99538990000000005</v>
      </c>
      <c r="Q2139">
        <v>-9.3340080000000006E-2</v>
      </c>
      <c r="R2139">
        <v>2.206002E-2</v>
      </c>
      <c r="S2139">
        <v>-2.9922179999999998</v>
      </c>
      <c r="T2139">
        <v>-0.2319466</v>
      </c>
      <c r="U2139">
        <v>-3.479004E-3</v>
      </c>
      <c r="V2139">
        <v>3.1584810000000001E-4</v>
      </c>
      <c r="W2139">
        <v>-7.7976729999999994E-2</v>
      </c>
      <c r="X2139">
        <v>0.99695520000000004</v>
      </c>
      <c r="Y2139">
        <v>-2.2914650000000002E-2</v>
      </c>
      <c r="Z2139">
        <v>-2.4198520000000001E-3</v>
      </c>
      <c r="AA2139">
        <v>0.99973449999999997</v>
      </c>
      <c r="AB2139">
        <v>43</v>
      </c>
      <c r="AC2139">
        <v>-14.2182</v>
      </c>
      <c r="AD2139">
        <v>-1.1206925062249999</v>
      </c>
      <c r="AE2139">
        <v>-2.1999999999991301E-2</v>
      </c>
      <c r="AF2139">
        <v>-0.33098741772353801</v>
      </c>
      <c r="AG2139">
        <v>-1.1206925062249999</v>
      </c>
      <c r="AH2139">
        <v>14.1265514349329</v>
      </c>
      <c r="AI2139">
        <v>94.534669578896697</v>
      </c>
      <c r="AJ2139">
        <v>91.342203938829996</v>
      </c>
      <c r="AK2139">
        <v>14.174800168186</v>
      </c>
      <c r="AL2139">
        <v>94.472277229751597</v>
      </c>
      <c r="AM2139">
        <v>89.981847968201805</v>
      </c>
      <c r="AN2139">
        <v>1.00000007049427</v>
      </c>
    </row>
    <row r="2140" spans="1:40" x14ac:dyDescent="0.25">
      <c r="A2140" t="str">
        <f>"20190303154809822"</f>
        <v>20190303154809822</v>
      </c>
      <c r="B2140" t="str">
        <f>"1551599289812576"</f>
        <v>1551599289812576</v>
      </c>
      <c r="C2140" t="s">
        <v>40</v>
      </c>
      <c r="D2140">
        <v>5.6002530000000004</v>
      </c>
      <c r="E2140">
        <v>0.49120540000000001</v>
      </c>
      <c r="F2140" t="s">
        <v>52</v>
      </c>
      <c r="G2140">
        <v>-320.09699999999998</v>
      </c>
      <c r="H2140" s="1">
        <v>-1.5043149999999999E-6</v>
      </c>
      <c r="I2140">
        <v>285.05500000000001</v>
      </c>
      <c r="J2140">
        <v>-305.86669999999998</v>
      </c>
      <c r="K2140">
        <v>1.120795</v>
      </c>
      <c r="L2140">
        <v>285.06959999999998</v>
      </c>
      <c r="M2140">
        <v>-0.99964900000000001</v>
      </c>
      <c r="N2140">
        <v>-1.541593E-2</v>
      </c>
      <c r="O2140">
        <v>2.15458E-2</v>
      </c>
      <c r="P2140">
        <v>-0.99557790000000002</v>
      </c>
      <c r="Q2140">
        <v>-9.0767780000000006E-2</v>
      </c>
      <c r="R2140">
        <v>2.4205620000000001E-2</v>
      </c>
      <c r="S2140">
        <v>-2.9923709999999999</v>
      </c>
      <c r="T2140">
        <v>-0.22989090000000001</v>
      </c>
      <c r="U2140">
        <v>-1.4648440000000001E-3</v>
      </c>
      <c r="V2140">
        <v>2.7972439999999999E-3</v>
      </c>
      <c r="W2140">
        <v>-7.5402919999999998E-2</v>
      </c>
      <c r="X2140">
        <v>0.99714919999999996</v>
      </c>
      <c r="Y2140">
        <v>-2.1919620000000001E-2</v>
      </c>
      <c r="Z2140">
        <v>-2.3309659999999999E-3</v>
      </c>
      <c r="AA2140">
        <v>0.99975700000000001</v>
      </c>
      <c r="AB2140">
        <v>43</v>
      </c>
      <c r="AC2140">
        <v>-14.2303</v>
      </c>
      <c r="AD2140">
        <v>-1.1207965043150001</v>
      </c>
      <c r="AE2140">
        <v>-1.4599999999972999E-2</v>
      </c>
      <c r="AF2140">
        <v>-0.31925579771727203</v>
      </c>
      <c r="AG2140">
        <v>-1.1207965043150001</v>
      </c>
      <c r="AH2140">
        <v>14.1389724908903</v>
      </c>
      <c r="AI2140">
        <v>94.531209385578904</v>
      </c>
      <c r="AJ2140">
        <v>91.293509979843705</v>
      </c>
      <c r="AK2140">
        <v>14.186918346371501</v>
      </c>
      <c r="AL2140">
        <v>94.324373580096207</v>
      </c>
      <c r="AM2140">
        <v>89.839271941389299</v>
      </c>
      <c r="AN2140">
        <v>0.99999997598958001</v>
      </c>
    </row>
    <row r="2141" spans="1:40" x14ac:dyDescent="0.25">
      <c r="A2141" t="str">
        <f>"20190303154809841"</f>
        <v>20190303154809841</v>
      </c>
      <c r="B2141" t="str">
        <f>"1551599289833076"</f>
        <v>1551599289833076</v>
      </c>
      <c r="C2141" t="s">
        <v>40</v>
      </c>
      <c r="D2141">
        <v>5.6169449999999896</v>
      </c>
      <c r="E2141">
        <v>0.49092390000000002</v>
      </c>
      <c r="F2141" t="s">
        <v>52</v>
      </c>
      <c r="G2141">
        <v>-320.74400000000003</v>
      </c>
      <c r="H2141" s="1">
        <v>-1.1613439999999999E-6</v>
      </c>
      <c r="I2141">
        <v>285.08440000000002</v>
      </c>
      <c r="J2141">
        <v>-306.25630000000001</v>
      </c>
      <c r="K2141">
        <v>1.1209039999999999</v>
      </c>
      <c r="L2141">
        <v>285.07769999999999</v>
      </c>
      <c r="M2141">
        <v>-0.99965890000000002</v>
      </c>
      <c r="N2141">
        <v>-1.5412449999999999E-2</v>
      </c>
      <c r="O2141">
        <v>2.1085260000000002E-2</v>
      </c>
      <c r="P2141">
        <v>-0.99572830000000001</v>
      </c>
      <c r="Q2141">
        <v>-8.8222460000000003E-2</v>
      </c>
      <c r="R2141">
        <v>2.723925E-2</v>
      </c>
      <c r="S2141">
        <v>-2.9927060000000001</v>
      </c>
      <c r="T2141">
        <v>-0.2254584</v>
      </c>
      <c r="U2141">
        <v>2.960205E-3</v>
      </c>
      <c r="V2141">
        <v>6.3016000000000001E-3</v>
      </c>
      <c r="W2141">
        <v>-7.2854249999999995E-2</v>
      </c>
      <c r="X2141">
        <v>0.99732270000000001</v>
      </c>
      <c r="Y2141">
        <v>-1.9992759999999998E-2</v>
      </c>
      <c r="Z2141">
        <v>-2.1678520000000001E-3</v>
      </c>
      <c r="AA2141">
        <v>0.99979779999999996</v>
      </c>
      <c r="AB2141">
        <v>43</v>
      </c>
      <c r="AC2141">
        <v>-14.4877</v>
      </c>
      <c r="AD2141">
        <v>-1.120905161344</v>
      </c>
      <c r="AE2141">
        <v>6.7000000000234598E-3</v>
      </c>
      <c r="AF2141">
        <v>-0.29703662275447701</v>
      </c>
      <c r="AG2141">
        <v>-1.120905161344</v>
      </c>
      <c r="AH2141">
        <v>14.398430225693099</v>
      </c>
      <c r="AI2141">
        <v>94.450504875767805</v>
      </c>
      <c r="AJ2141">
        <v>91.181832383079794</v>
      </c>
      <c r="AK2141">
        <v>14.445049397635801</v>
      </c>
      <c r="AL2141">
        <v>94.177942483068193</v>
      </c>
      <c r="AM2141">
        <v>89.637980485738794</v>
      </c>
      <c r="AN2141">
        <v>1.00000000992045</v>
      </c>
    </row>
    <row r="2142" spans="1:40" x14ac:dyDescent="0.25">
      <c r="A2142" t="str">
        <f>"20190303154809855"</f>
        <v>20190303154809855</v>
      </c>
      <c r="B2142" t="str">
        <f>"1551599289852593"</f>
        <v>1551599289852593</v>
      </c>
      <c r="C2142" t="s">
        <v>40</v>
      </c>
      <c r="D2142">
        <v>5.6561349999999999</v>
      </c>
      <c r="E2142">
        <v>0.49080689999999999</v>
      </c>
      <c r="F2142" t="s">
        <v>52</v>
      </c>
      <c r="G2142">
        <v>-321.45510000000002</v>
      </c>
      <c r="H2142" s="1">
        <v>-7.8477109999999997E-7</v>
      </c>
      <c r="I2142">
        <v>285.12709999999998</v>
      </c>
      <c r="J2142">
        <v>-306.52749999999997</v>
      </c>
      <c r="K2142">
        <v>1.120981</v>
      </c>
      <c r="L2142">
        <v>285.0831</v>
      </c>
      <c r="M2142">
        <v>-0.99966690000000002</v>
      </c>
      <c r="N2142">
        <v>-1.541028E-2</v>
      </c>
      <c r="O2142">
        <v>2.0700550000000002E-2</v>
      </c>
      <c r="P2142">
        <v>-0.9957606</v>
      </c>
      <c r="Q2142">
        <v>-8.7553710000000007E-2</v>
      </c>
      <c r="R2142">
        <v>2.8202870000000001E-2</v>
      </c>
      <c r="S2142">
        <v>-2.9930110000000001</v>
      </c>
      <c r="T2142">
        <v>-0.22073219999999999</v>
      </c>
      <c r="U2142">
        <v>9.7351069999999998E-3</v>
      </c>
      <c r="V2142">
        <v>7.6598869999999998E-3</v>
      </c>
      <c r="W2142">
        <v>-7.2184399999999996E-2</v>
      </c>
      <c r="X2142">
        <v>0.99736190000000002</v>
      </c>
      <c r="Y2142">
        <v>-1.7358809999999999E-2</v>
      </c>
      <c r="Z2142">
        <v>-1.9789930000000001E-3</v>
      </c>
      <c r="AA2142">
        <v>0.99984740000000005</v>
      </c>
      <c r="AB2142">
        <v>43</v>
      </c>
      <c r="AC2142">
        <v>-14.9276</v>
      </c>
      <c r="AD2142">
        <v>-1.1209817847711001</v>
      </c>
      <c r="AE2142">
        <v>4.3999999999982699E-2</v>
      </c>
      <c r="AF2142">
        <v>-0.26356936770288703</v>
      </c>
      <c r="AG2142">
        <v>-1.1209817847711001</v>
      </c>
      <c r="AH2142">
        <v>14.8416174442313</v>
      </c>
      <c r="AI2142">
        <v>94.318649248928097</v>
      </c>
      <c r="AJ2142">
        <v>91.017397544364201</v>
      </c>
      <c r="AK2142">
        <v>14.8862244150184</v>
      </c>
      <c r="AL2142">
        <v>94.139461582398098</v>
      </c>
      <c r="AM2142">
        <v>89.559968585220801</v>
      </c>
      <c r="AN2142">
        <v>1.00000001052191</v>
      </c>
    </row>
    <row r="2143" spans="1:40" x14ac:dyDescent="0.25">
      <c r="A2143" t="str">
        <f>"20190303154809870"</f>
        <v>20190303154809870</v>
      </c>
      <c r="B2143" t="str">
        <f>"1551599289863329"</f>
        <v>1551599289863329</v>
      </c>
      <c r="C2143" t="s">
        <v>40</v>
      </c>
      <c r="D2143">
        <v>5.6235799999999996</v>
      </c>
      <c r="E2143">
        <v>0.4905853</v>
      </c>
      <c r="F2143" t="s">
        <v>52</v>
      </c>
      <c r="G2143">
        <v>-321.77499999999998</v>
      </c>
      <c r="H2143" s="1">
        <v>-6.1520090000000004E-7</v>
      </c>
      <c r="I2143">
        <v>285.1422</v>
      </c>
      <c r="J2143">
        <v>-306.7919</v>
      </c>
      <c r="K2143">
        <v>1.1210560000000001</v>
      </c>
      <c r="L2143">
        <v>285.0883</v>
      </c>
      <c r="M2143">
        <v>-0.9996756</v>
      </c>
      <c r="N2143">
        <v>-1.54082E-2</v>
      </c>
      <c r="O2143">
        <v>2.028056E-2</v>
      </c>
      <c r="P2143">
        <v>-0.99580089999999999</v>
      </c>
      <c r="Q2143">
        <v>-8.6855130000000003E-2</v>
      </c>
      <c r="R2143">
        <v>2.893449E-2</v>
      </c>
      <c r="S2143">
        <v>-2.9931030000000001</v>
      </c>
      <c r="T2143">
        <v>-0.22004989999999999</v>
      </c>
      <c r="U2143">
        <v>1.159668E-2</v>
      </c>
      <c r="V2143">
        <v>8.8205769999999996E-3</v>
      </c>
      <c r="W2143">
        <v>-7.1484409999999998E-2</v>
      </c>
      <c r="X2143">
        <v>0.99740269999999998</v>
      </c>
      <c r="Y2143">
        <v>-1.632169E-2</v>
      </c>
      <c r="Z2143">
        <v>-1.901832E-3</v>
      </c>
      <c r="AA2143">
        <v>0.999865</v>
      </c>
      <c r="AB2143">
        <v>43</v>
      </c>
      <c r="AC2143">
        <v>-14.983099999999901</v>
      </c>
      <c r="AD2143">
        <v>-1.1210566152008901</v>
      </c>
      <c r="AE2143">
        <v>5.3899999999998699E-2</v>
      </c>
      <c r="AF2143">
        <v>-0.24862099846659</v>
      </c>
      <c r="AG2143">
        <v>-1.1210566152008901</v>
      </c>
      <c r="AH2143">
        <v>14.8977109954012</v>
      </c>
      <c r="AI2143">
        <v>94.302814768513798</v>
      </c>
      <c r="AJ2143">
        <v>90.956093972867706</v>
      </c>
      <c r="AK2143">
        <v>14.941899920621299</v>
      </c>
      <c r="AL2143">
        <v>94.099251334727299</v>
      </c>
      <c r="AM2143">
        <v>89.493315327331302</v>
      </c>
      <c r="AN2143">
        <v>0.99999998470947504</v>
      </c>
    </row>
    <row r="2144" spans="1:40" x14ac:dyDescent="0.25">
      <c r="A2144" t="str">
        <f>"20190303154809888"</f>
        <v>20190303154809888</v>
      </c>
      <c r="B2144" t="str">
        <f>"1551599289882848"</f>
        <v>1551599289882848</v>
      </c>
      <c r="C2144" t="s">
        <v>40</v>
      </c>
      <c r="D2144">
        <v>5.6151499999999999</v>
      </c>
      <c r="E2144">
        <v>0.49113410000000002</v>
      </c>
      <c r="F2144" t="s">
        <v>52</v>
      </c>
      <c r="G2144">
        <v>-322.04790000000003</v>
      </c>
      <c r="H2144" s="1">
        <v>-4.7032110000000001E-7</v>
      </c>
      <c r="I2144">
        <v>285.1497</v>
      </c>
      <c r="J2144">
        <v>-307.15469999999999</v>
      </c>
      <c r="K2144">
        <v>1.121156</v>
      </c>
      <c r="L2144">
        <v>285.0951</v>
      </c>
      <c r="M2144">
        <v>-0.99968869999999999</v>
      </c>
      <c r="N2144">
        <v>-1.540528E-2</v>
      </c>
      <c r="O2144">
        <v>1.9629569999999999E-2</v>
      </c>
      <c r="P2144">
        <v>-0.99579249999999997</v>
      </c>
      <c r="Q2144">
        <v>-8.664289E-2</v>
      </c>
      <c r="R2144">
        <v>2.9843089999999999E-2</v>
      </c>
      <c r="S2144">
        <v>-2.993134</v>
      </c>
      <c r="T2144">
        <v>-0.2199441</v>
      </c>
      <c r="U2144">
        <v>1.205444E-2</v>
      </c>
      <c r="V2144">
        <v>1.0394769999999999E-2</v>
      </c>
      <c r="W2144">
        <v>-7.1270609999999998E-2</v>
      </c>
      <c r="X2144">
        <v>0.99740280000000003</v>
      </c>
      <c r="Y2144">
        <v>-1.5521490000000001E-2</v>
      </c>
      <c r="Z2144">
        <v>-1.8275660000000001E-3</v>
      </c>
      <c r="AA2144">
        <v>0.99987789999999999</v>
      </c>
      <c r="AB2144">
        <v>43</v>
      </c>
      <c r="AC2144">
        <v>-14.8932</v>
      </c>
      <c r="AD2144">
        <v>-1.1211564703211001</v>
      </c>
      <c r="AE2144">
        <v>5.4599999999993501E-2</v>
      </c>
      <c r="AF2144">
        <v>-0.23645234344009899</v>
      </c>
      <c r="AG2144">
        <v>-1.1211564703211001</v>
      </c>
      <c r="AH2144">
        <v>14.807488094918501</v>
      </c>
      <c r="AI2144">
        <v>94.329367534660605</v>
      </c>
      <c r="AJ2144">
        <v>90.914845915105204</v>
      </c>
      <c r="AK2144">
        <v>14.851754280987</v>
      </c>
      <c r="AL2144">
        <v>94.086970321364802</v>
      </c>
      <c r="AM2144">
        <v>89.4028943084692</v>
      </c>
      <c r="AN2144">
        <v>0.999999948270481</v>
      </c>
    </row>
    <row r="2145" spans="1:40" x14ac:dyDescent="0.25">
      <c r="A2145" t="str">
        <f>"20190303154809910"</f>
        <v>20190303154809910</v>
      </c>
      <c r="B2145" t="str">
        <f>"1551599289903345"</f>
        <v>1551599289903345</v>
      </c>
      <c r="C2145" t="s">
        <v>40</v>
      </c>
      <c r="D2145">
        <v>5.5709010000000001</v>
      </c>
      <c r="E2145">
        <v>0.49186990000000003</v>
      </c>
      <c r="F2145" t="s">
        <v>52</v>
      </c>
      <c r="G2145">
        <v>-322.61110000000002</v>
      </c>
      <c r="H2145" s="1">
        <v>-1.7254740000000001E-7</v>
      </c>
      <c r="I2145">
        <v>285.19420000000002</v>
      </c>
      <c r="J2145">
        <v>-307.5598</v>
      </c>
      <c r="K2145">
        <v>1.12127</v>
      </c>
      <c r="L2145">
        <v>285.10239999999999</v>
      </c>
      <c r="M2145">
        <v>-0.99970490000000001</v>
      </c>
      <c r="N2145">
        <v>-1.540186E-2</v>
      </c>
      <c r="O2145">
        <v>1.879099E-2</v>
      </c>
      <c r="P2145">
        <v>-0.99579229999999996</v>
      </c>
      <c r="Q2145">
        <v>-8.6574929999999994E-2</v>
      </c>
      <c r="R2145">
        <v>3.0047290000000001E-2</v>
      </c>
      <c r="S2145">
        <v>-2.9931950000000001</v>
      </c>
      <c r="T2145">
        <v>-0.2171159</v>
      </c>
      <c r="U2145">
        <v>1.919556E-2</v>
      </c>
      <c r="V2145">
        <v>1.145413E-2</v>
      </c>
      <c r="W2145">
        <v>-7.1201429999999996E-2</v>
      </c>
      <c r="X2145">
        <v>0.99739619999999996</v>
      </c>
      <c r="Y2145">
        <v>-1.231118E-2</v>
      </c>
      <c r="Z2145">
        <v>-1.612881E-3</v>
      </c>
      <c r="AA2145">
        <v>0.99992289999999995</v>
      </c>
      <c r="AB2145">
        <v>43</v>
      </c>
      <c r="AC2145">
        <v>-15.051299999999999</v>
      </c>
      <c r="AD2145">
        <v>-1.1212701725473999</v>
      </c>
      <c r="AE2145">
        <v>9.1800000000034701E-2</v>
      </c>
      <c r="AF2145">
        <v>-0.19002401885596401</v>
      </c>
      <c r="AG2145">
        <v>-1.1212701725473999</v>
      </c>
      <c r="AH2145">
        <v>14.9673054951318</v>
      </c>
      <c r="AI2145">
        <v>94.283945431840195</v>
      </c>
      <c r="AJ2145">
        <v>90.727384723225001</v>
      </c>
      <c r="AK2145">
        <v>15.0104493507753</v>
      </c>
      <c r="AL2145">
        <v>94.082996250101402</v>
      </c>
      <c r="AM2145">
        <v>89.342042351026194</v>
      </c>
      <c r="AN2145">
        <v>1.0000000102512701</v>
      </c>
    </row>
    <row r="2146" spans="1:40" x14ac:dyDescent="0.25">
      <c r="A2146" t="str">
        <f>"20190303154809922"</f>
        <v>20190303154809922</v>
      </c>
      <c r="B2146" t="str">
        <f>"1551599289913105"</f>
        <v>1551599289913105</v>
      </c>
      <c r="C2146" t="s">
        <v>40</v>
      </c>
      <c r="D2146">
        <v>5.5768389999999997</v>
      </c>
      <c r="E2146">
        <v>0.49223929999999999</v>
      </c>
      <c r="F2146" t="s">
        <v>52</v>
      </c>
      <c r="G2146">
        <v>-323.2319</v>
      </c>
      <c r="H2146" s="1">
        <v>1.5589400000000001E-7</v>
      </c>
      <c r="I2146">
        <v>285.238</v>
      </c>
      <c r="J2146">
        <v>-307.80410000000001</v>
      </c>
      <c r="K2146">
        <v>1.1213379999999999</v>
      </c>
      <c r="L2146">
        <v>285.10649999999998</v>
      </c>
      <c r="M2146">
        <v>-0.99971520000000003</v>
      </c>
      <c r="N2146">
        <v>-1.539978E-2</v>
      </c>
      <c r="O2146">
        <v>1.8241299999999998E-2</v>
      </c>
      <c r="P2146">
        <v>-0.9957551</v>
      </c>
      <c r="Q2146">
        <v>-8.7045739999999996E-2</v>
      </c>
      <c r="R2146">
        <v>2.992183E-2</v>
      </c>
      <c r="S2146">
        <v>-2.9932859999999999</v>
      </c>
      <c r="T2146">
        <v>-0.21415709999999999</v>
      </c>
      <c r="U2146">
        <v>2.5909419999999999E-2</v>
      </c>
      <c r="V2146">
        <v>1.1889790000000001E-2</v>
      </c>
      <c r="W2146">
        <v>-7.1672250000000007E-2</v>
      </c>
      <c r="X2146">
        <v>0.99735739999999995</v>
      </c>
      <c r="Y2146">
        <v>-9.5303799999999998E-3</v>
      </c>
      <c r="Z2146">
        <v>-1.43665E-3</v>
      </c>
      <c r="AA2146">
        <v>0.9999536</v>
      </c>
      <c r="AB2146">
        <v>43</v>
      </c>
      <c r="AC2146">
        <v>-15.4277999999999</v>
      </c>
      <c r="AD2146">
        <v>-1.121337844106</v>
      </c>
      <c r="AE2146">
        <v>0.13150000000001599</v>
      </c>
      <c r="AF2146">
        <v>-0.149190249439519</v>
      </c>
      <c r="AG2146">
        <v>-1.121337844106</v>
      </c>
      <c r="AH2146">
        <v>15.346564343756899</v>
      </c>
      <c r="AI2146">
        <v>94.178846307029005</v>
      </c>
      <c r="AJ2146">
        <v>90.556978238484106</v>
      </c>
      <c r="AK2146">
        <v>15.3881998118111</v>
      </c>
      <c r="AL2146">
        <v>94.110041260681498</v>
      </c>
      <c r="AM2146">
        <v>89.316992567243801</v>
      </c>
      <c r="AN2146">
        <v>1.0000000309305299</v>
      </c>
    </row>
    <row r="2147" spans="1:40" x14ac:dyDescent="0.25">
      <c r="A2147" t="str">
        <f>"20190303154809935"</f>
        <v>20190303154809935</v>
      </c>
      <c r="B2147" t="str">
        <f>"1551599289932746"</f>
        <v>1551599289932746</v>
      </c>
      <c r="C2147" t="s">
        <v>40</v>
      </c>
      <c r="D2147">
        <v>5.5290189999999999</v>
      </c>
      <c r="E2147">
        <v>0.4927877</v>
      </c>
      <c r="F2147" t="s">
        <v>52</v>
      </c>
      <c r="G2147">
        <v>-323.43740000000003</v>
      </c>
      <c r="H2147" s="1">
        <v>2.6450680000000002E-7</v>
      </c>
      <c r="I2147">
        <v>285.25479999999999</v>
      </c>
      <c r="J2147">
        <v>-308.06830000000002</v>
      </c>
      <c r="K2147">
        <v>1.1214090000000001</v>
      </c>
      <c r="L2147">
        <v>285.11090000000002</v>
      </c>
      <c r="M2147">
        <v>-0.99972660000000002</v>
      </c>
      <c r="N2147">
        <v>-1.539767E-2</v>
      </c>
      <c r="O2147">
        <v>1.7595989999999999E-2</v>
      </c>
      <c r="P2147">
        <v>-0.99574850000000004</v>
      </c>
      <c r="Q2147">
        <v>-8.7289539999999999E-2</v>
      </c>
      <c r="R2147">
        <v>2.941883E-2</v>
      </c>
      <c r="S2147">
        <v>-2.993134</v>
      </c>
      <c r="T2147">
        <v>-0.2146903</v>
      </c>
      <c r="U2147">
        <v>2.838135E-2</v>
      </c>
      <c r="V2147">
        <v>1.204305E-2</v>
      </c>
      <c r="W2147">
        <v>-7.1916099999999997E-2</v>
      </c>
      <c r="X2147">
        <v>0.99733799999999995</v>
      </c>
      <c r="Y2147">
        <v>-8.0639819999999904E-3</v>
      </c>
      <c r="Z2147">
        <v>-1.3407180000000001E-3</v>
      </c>
      <c r="AA2147">
        <v>0.99996660000000004</v>
      </c>
      <c r="AB2147">
        <v>43</v>
      </c>
      <c r="AC2147">
        <v>-15.3691</v>
      </c>
      <c r="AD2147">
        <v>-1.1214087354932001</v>
      </c>
      <c r="AE2147">
        <v>0.14389999999997299</v>
      </c>
      <c r="AF2147">
        <v>-0.125918559808265</v>
      </c>
      <c r="AG2147">
        <v>-1.1214087354932001</v>
      </c>
      <c r="AH2147">
        <v>15.2878681785655</v>
      </c>
      <c r="AI2147">
        <v>94.195153366365602</v>
      </c>
      <c r="AJ2147">
        <v>90.471906142545706</v>
      </c>
      <c r="AK2147">
        <v>15.3294594321176</v>
      </c>
      <c r="AL2147">
        <v>94.124049014725699</v>
      </c>
      <c r="AM2147">
        <v>89.308175961156707</v>
      </c>
      <c r="AN2147">
        <v>1.00000002336825</v>
      </c>
    </row>
    <row r="2148" spans="1:40" x14ac:dyDescent="0.25">
      <c r="A2148" t="str">
        <f>"20190303154809949"</f>
        <v>20190303154809949</v>
      </c>
      <c r="B2148" t="str">
        <f>"1551599289942507"</f>
        <v>1551599289942507</v>
      </c>
      <c r="C2148" t="s">
        <v>40</v>
      </c>
      <c r="D2148">
        <v>5.5585149999999999</v>
      </c>
      <c r="E2148">
        <v>0.49295410000000001</v>
      </c>
      <c r="F2148" t="s">
        <v>52</v>
      </c>
      <c r="G2148">
        <v>-323.7199</v>
      </c>
      <c r="H2148" s="1">
        <v>4.140119E-7</v>
      </c>
      <c r="I2148">
        <v>285.27370000000002</v>
      </c>
      <c r="J2148">
        <v>-308.30849999999998</v>
      </c>
      <c r="K2148">
        <v>1.121472</v>
      </c>
      <c r="L2148">
        <v>285.1146</v>
      </c>
      <c r="M2148">
        <v>-0.99973730000000005</v>
      </c>
      <c r="N2148">
        <v>-1.539573E-2</v>
      </c>
      <c r="O2148">
        <v>1.6979890000000001E-2</v>
      </c>
      <c r="P2148">
        <v>-0.99575380000000002</v>
      </c>
      <c r="Q2148">
        <v>-8.7497489999999997E-2</v>
      </c>
      <c r="R2148">
        <v>2.860975E-2</v>
      </c>
      <c r="S2148">
        <v>-2.9930729999999999</v>
      </c>
      <c r="T2148">
        <v>-0.2144489</v>
      </c>
      <c r="U2148">
        <v>3.1127930000000002E-2</v>
      </c>
      <c r="V2148">
        <v>1.1859339999999999E-2</v>
      </c>
      <c r="W2148">
        <v>-7.2124830000000001E-2</v>
      </c>
      <c r="X2148">
        <v>0.99732509999999996</v>
      </c>
      <c r="Y2148">
        <v>-6.5358760000000004E-3</v>
      </c>
      <c r="Z2148">
        <v>-1.2379750000000001E-3</v>
      </c>
      <c r="AA2148">
        <v>0.99997789999999998</v>
      </c>
      <c r="AB2148">
        <v>43</v>
      </c>
      <c r="AC2148">
        <v>-15.4114</v>
      </c>
      <c r="AD2148">
        <v>-1.1214715859880999</v>
      </c>
      <c r="AE2148">
        <v>0.159100000000023</v>
      </c>
      <c r="AF2148">
        <v>-0.10209725613385801</v>
      </c>
      <c r="AG2148">
        <v>-1.1214715859880999</v>
      </c>
      <c r="AH2148">
        <v>15.3307070744375</v>
      </c>
      <c r="AI2148">
        <v>94.183755037448805</v>
      </c>
      <c r="AJ2148">
        <v>90.381564618613496</v>
      </c>
      <c r="AK2148">
        <v>15.3720103360002</v>
      </c>
      <c r="AL2148">
        <v>94.136039617213299</v>
      </c>
      <c r="AM2148">
        <v>89.318719536858694</v>
      </c>
      <c r="AN2148">
        <v>0.99999999506888704</v>
      </c>
    </row>
    <row r="2149" spans="1:40" x14ac:dyDescent="0.25">
      <c r="A2149" t="str">
        <f>"20190303154809965"</f>
        <v>20190303154809965</v>
      </c>
      <c r="B2149" t="str">
        <f>"1551599289963002"</f>
        <v>1551599289963002</v>
      </c>
      <c r="C2149" t="s">
        <v>40</v>
      </c>
      <c r="D2149">
        <v>5.5965959999999999</v>
      </c>
      <c r="E2149">
        <v>0.4932916</v>
      </c>
      <c r="F2149" t="s">
        <v>52</v>
      </c>
      <c r="G2149">
        <v>-323.95069999999998</v>
      </c>
      <c r="H2149" s="1">
        <v>5.3694149999999998E-7</v>
      </c>
      <c r="I2149">
        <v>285.27190000000002</v>
      </c>
      <c r="J2149">
        <v>-308.63170000000002</v>
      </c>
      <c r="K2149">
        <v>1.121545</v>
      </c>
      <c r="L2149">
        <v>285.11939999999998</v>
      </c>
      <c r="M2149">
        <v>-0.99975170000000002</v>
      </c>
      <c r="N2149">
        <v>-1.53898E-2</v>
      </c>
      <c r="O2149">
        <v>1.6114320000000001E-2</v>
      </c>
      <c r="P2149">
        <v>-0.9957857</v>
      </c>
      <c r="Q2149">
        <v>-8.7633420000000004E-2</v>
      </c>
      <c r="R2149">
        <v>2.704252E-2</v>
      </c>
      <c r="S2149">
        <v>-2.993042</v>
      </c>
      <c r="T2149">
        <v>-0.2145869</v>
      </c>
      <c r="U2149">
        <v>3.0090329999999998E-2</v>
      </c>
      <c r="V2149">
        <v>1.116839E-2</v>
      </c>
      <c r="W2149">
        <v>-7.2266140000000006E-2</v>
      </c>
      <c r="X2149">
        <v>0.99732290000000001</v>
      </c>
      <c r="Y2149">
        <v>-6.0195229999999997E-3</v>
      </c>
      <c r="Z2149">
        <v>-1.16788E-3</v>
      </c>
      <c r="AA2149">
        <v>0.99998120000000001</v>
      </c>
      <c r="AB2149">
        <v>43</v>
      </c>
      <c r="AC2149">
        <v>-15.3189999999999</v>
      </c>
      <c r="AD2149">
        <v>-1.1215444630585001</v>
      </c>
      <c r="AE2149">
        <v>0.152500000000031</v>
      </c>
      <c r="AF2149">
        <v>-9.3901046850339703E-2</v>
      </c>
      <c r="AG2149">
        <v>-1.1215444630585001</v>
      </c>
      <c r="AH2149">
        <v>15.237800270120401</v>
      </c>
      <c r="AI2149">
        <v>94.209458433224995</v>
      </c>
      <c r="AJ2149">
        <v>90.353073637878694</v>
      </c>
      <c r="AK2149">
        <v>15.279307460133699</v>
      </c>
      <c r="AL2149">
        <v>94.144157049633293</v>
      </c>
      <c r="AM2149">
        <v>89.358407528453697</v>
      </c>
      <c r="AN2149">
        <v>1.0000000473950399</v>
      </c>
    </row>
    <row r="2150" spans="1:40" x14ac:dyDescent="0.25">
      <c r="A2150" t="str">
        <f>"20190303154809976"</f>
        <v>20190303154809976</v>
      </c>
      <c r="B2150" t="str">
        <f>"1551599289972762"</f>
        <v>1551599289972762</v>
      </c>
      <c r="C2150" t="s">
        <v>40</v>
      </c>
      <c r="D2150">
        <v>5.5918070000000002</v>
      </c>
      <c r="E2150">
        <v>0.493454</v>
      </c>
      <c r="F2150" t="s">
        <v>52</v>
      </c>
      <c r="G2150">
        <v>-324.32069999999999</v>
      </c>
      <c r="H2150" s="1">
        <v>7.3400240000000001E-7</v>
      </c>
      <c r="I2150">
        <v>285.26760000000002</v>
      </c>
      <c r="J2150">
        <v>-308.8553</v>
      </c>
      <c r="K2150">
        <v>1.1215919999999999</v>
      </c>
      <c r="L2150">
        <v>285.12259999999998</v>
      </c>
      <c r="M2150">
        <v>-0.99976180000000003</v>
      </c>
      <c r="N2150">
        <v>-1.538017E-2</v>
      </c>
      <c r="O2150">
        <v>1.549149E-2</v>
      </c>
      <c r="P2150">
        <v>-0.99579379999999995</v>
      </c>
      <c r="Q2150">
        <v>-8.7834999999999996E-2</v>
      </c>
      <c r="R2150">
        <v>2.606955E-2</v>
      </c>
      <c r="S2150">
        <v>-2.993134</v>
      </c>
      <c r="T2150">
        <v>-0.2139674</v>
      </c>
      <c r="U2150">
        <v>2.8259280000000001E-2</v>
      </c>
      <c r="V2150">
        <v>1.0825299999999901E-2</v>
      </c>
      <c r="W2150">
        <v>-7.2477070000000005E-2</v>
      </c>
      <c r="X2150">
        <v>0.99731139999999996</v>
      </c>
      <c r="Y2150">
        <v>-6.0098269999999997E-3</v>
      </c>
      <c r="Z2150">
        <v>-1.1287160000000001E-3</v>
      </c>
      <c r="AA2150">
        <v>0.99998129999999996</v>
      </c>
      <c r="AB2150">
        <v>43</v>
      </c>
      <c r="AC2150">
        <v>-15.465399999999899</v>
      </c>
      <c r="AD2150">
        <v>-1.1215912659976</v>
      </c>
      <c r="AE2150">
        <v>0.14500000000003799</v>
      </c>
      <c r="AF2150">
        <v>-9.4132761529239606E-2</v>
      </c>
      <c r="AG2150">
        <v>-1.1215912659976</v>
      </c>
      <c r="AH2150">
        <v>15.3848801160688</v>
      </c>
      <c r="AI2150">
        <v>94.169532994738503</v>
      </c>
      <c r="AJ2150">
        <v>90.3505612398137</v>
      </c>
      <c r="AK2150">
        <v>15.425996373996799</v>
      </c>
      <c r="AL2150">
        <v>94.156274125302502</v>
      </c>
      <c r="AM2150">
        <v>89.378108337401002</v>
      </c>
      <c r="AN2150">
        <v>1.00000007068291</v>
      </c>
    </row>
    <row r="2151" spans="1:40" x14ac:dyDescent="0.25">
      <c r="A2151" t="str">
        <f>"20190303154809988"</f>
        <v>20190303154809988</v>
      </c>
      <c r="B2151" t="str">
        <f>"1551599289982522"</f>
        <v>1551599289982522</v>
      </c>
      <c r="C2151" t="s">
        <v>40</v>
      </c>
      <c r="D2151">
        <v>5.6348149999999997</v>
      </c>
      <c r="E2151">
        <v>0.4935988</v>
      </c>
      <c r="F2151" t="s">
        <v>52</v>
      </c>
      <c r="G2151">
        <v>-324.5308</v>
      </c>
      <c r="H2151" s="1">
        <v>8.4603190000000002E-7</v>
      </c>
      <c r="I2151">
        <v>285.26209999999998</v>
      </c>
      <c r="J2151">
        <v>-309.06229999999999</v>
      </c>
      <c r="K2151">
        <v>1.1216299999999999</v>
      </c>
      <c r="L2151">
        <v>285.12529999999998</v>
      </c>
      <c r="M2151">
        <v>-0.99977110000000002</v>
      </c>
      <c r="N2151">
        <v>-1.536266E-2</v>
      </c>
      <c r="O2151">
        <v>1.4898399999999999E-2</v>
      </c>
      <c r="P2151">
        <v>-0.99582490000000001</v>
      </c>
      <c r="Q2151">
        <v>-8.7852689999999997E-2</v>
      </c>
      <c r="R2151">
        <v>2.4794819999999999E-2</v>
      </c>
      <c r="S2151">
        <v>-2.9930729999999999</v>
      </c>
      <c r="T2151">
        <v>-0.21415719999999999</v>
      </c>
      <c r="U2151">
        <v>2.6641850000000002E-2</v>
      </c>
      <c r="V2151">
        <v>1.014867E-2</v>
      </c>
      <c r="W2151">
        <v>-7.2512869999999993E-2</v>
      </c>
      <c r="X2151">
        <v>0.99731579999999997</v>
      </c>
      <c r="Y2151">
        <v>-5.9577500000000004E-3</v>
      </c>
      <c r="Z2151">
        <v>-1.0946E-3</v>
      </c>
      <c r="AA2151">
        <v>0.99998160000000003</v>
      </c>
      <c r="AB2151">
        <v>43</v>
      </c>
      <c r="AC2151">
        <v>-15.468500000000001</v>
      </c>
      <c r="AD2151">
        <v>-1.12162915396809</v>
      </c>
      <c r="AE2151">
        <v>0.13679999999999301</v>
      </c>
      <c r="AF2151">
        <v>-9.3208231124861804E-2</v>
      </c>
      <c r="AG2151">
        <v>-1.12162915396809</v>
      </c>
      <c r="AH2151">
        <v>15.3879211960178</v>
      </c>
      <c r="AI2151">
        <v>94.168853759548995</v>
      </c>
      <c r="AJ2151">
        <v>90.347049668311001</v>
      </c>
      <c r="AK2151">
        <v>15.4290264912675</v>
      </c>
      <c r="AL2151">
        <v>94.158331193274194</v>
      </c>
      <c r="AM2151">
        <v>89.416979166299598</v>
      </c>
      <c r="AN2151">
        <v>0.999999958374022</v>
      </c>
    </row>
    <row r="2152" spans="1:40" x14ac:dyDescent="0.25">
      <c r="A2152" t="str">
        <f>"20190303154809999"</f>
        <v>20190303154809999</v>
      </c>
      <c r="B2152" t="str">
        <f>"1551599289993258"</f>
        <v>1551599289993258</v>
      </c>
      <c r="C2152" t="s">
        <v>40</v>
      </c>
      <c r="D2152">
        <v>5.6061360000000002</v>
      </c>
      <c r="E2152">
        <v>0.49376209999999998</v>
      </c>
      <c r="F2152" t="s">
        <v>52</v>
      </c>
      <c r="G2152">
        <v>-324.75880000000001</v>
      </c>
      <c r="H2152" s="1">
        <v>9.6786240000000006E-7</v>
      </c>
      <c r="I2152">
        <v>285.25099999999998</v>
      </c>
      <c r="J2152">
        <v>-309.27140000000003</v>
      </c>
      <c r="K2152">
        <v>1.1216649999999999</v>
      </c>
      <c r="L2152">
        <v>285.12810000000002</v>
      </c>
      <c r="M2152">
        <v>-0.99978029999999996</v>
      </c>
      <c r="N2152">
        <v>-1.5340940000000001E-2</v>
      </c>
      <c r="O2152">
        <v>1.4291430000000001E-2</v>
      </c>
      <c r="P2152">
        <v>-0.99583880000000002</v>
      </c>
      <c r="Q2152">
        <v>-8.8019860000000005E-2</v>
      </c>
      <c r="R2152">
        <v>2.361777E-2</v>
      </c>
      <c r="S2152">
        <v>-2.9931030000000001</v>
      </c>
      <c r="T2152">
        <v>-0.21387900000000001</v>
      </c>
      <c r="U2152">
        <v>2.39563E-2</v>
      </c>
      <c r="V2152">
        <v>9.5842440000000004E-3</v>
      </c>
      <c r="W2152">
        <v>-7.2702370000000002E-2</v>
      </c>
      <c r="X2152">
        <v>0.99730770000000002</v>
      </c>
      <c r="Y2152">
        <v>-6.2480699999999997E-3</v>
      </c>
      <c r="Z2152">
        <v>-1.0717770000000001E-3</v>
      </c>
      <c r="AA2152">
        <v>0.99997990000000003</v>
      </c>
      <c r="AB2152">
        <v>43</v>
      </c>
      <c r="AC2152">
        <v>-15.4873999999999</v>
      </c>
      <c r="AD2152">
        <v>-1.1216640321375999</v>
      </c>
      <c r="AE2152">
        <v>0.122899999999958</v>
      </c>
      <c r="AF2152">
        <v>-9.7961866020245605E-2</v>
      </c>
      <c r="AG2152">
        <v>-1.1216640321375999</v>
      </c>
      <c r="AH2152">
        <v>15.406766863434999</v>
      </c>
      <c r="AI2152">
        <v>94.163893598518698</v>
      </c>
      <c r="AJ2152">
        <v>90.364302639750605</v>
      </c>
      <c r="AK2152">
        <v>15.447853958153001</v>
      </c>
      <c r="AL2152">
        <v>94.169217009480704</v>
      </c>
      <c r="AM2152">
        <v>89.449397786757103</v>
      </c>
      <c r="AN2152">
        <v>1.0000000704079699</v>
      </c>
    </row>
    <row r="2153" spans="1:40" x14ac:dyDescent="0.25">
      <c r="A2153" t="str">
        <f>"20190303154810012"</f>
        <v>20190303154810012</v>
      </c>
      <c r="B2153" t="str">
        <f>"1551599290003018"</f>
        <v>1551599290003018</v>
      </c>
      <c r="C2153" t="s">
        <v>40</v>
      </c>
      <c r="D2153">
        <v>5.5881730000000003</v>
      </c>
      <c r="E2153">
        <v>0.49389339999999998</v>
      </c>
      <c r="F2153" t="s">
        <v>52</v>
      </c>
      <c r="G2153">
        <v>-324.94979999999998</v>
      </c>
      <c r="H2153" s="1">
        <v>1.069933E-6</v>
      </c>
      <c r="I2153">
        <v>285.24160000000001</v>
      </c>
      <c r="J2153">
        <v>-309.52249999999998</v>
      </c>
      <c r="K2153">
        <v>1.121694</v>
      </c>
      <c r="L2153">
        <v>285.13099999999997</v>
      </c>
      <c r="M2153">
        <v>-0.9997914</v>
      </c>
      <c r="N2153">
        <v>-1.529322E-2</v>
      </c>
      <c r="O2153">
        <v>1.354298E-2</v>
      </c>
      <c r="P2153">
        <v>-0.99587829999999999</v>
      </c>
      <c r="Q2153">
        <v>-8.7893490000000005E-2</v>
      </c>
      <c r="R2153">
        <v>2.2388539999999998E-2</v>
      </c>
      <c r="S2153">
        <v>-2.9931030000000001</v>
      </c>
      <c r="T2153">
        <v>-0.21413209999999999</v>
      </c>
      <c r="U2153">
        <v>2.1667479999999999E-2</v>
      </c>
      <c r="V2153">
        <v>9.1075459999999994E-3</v>
      </c>
      <c r="W2153">
        <v>-7.2623750000000001E-2</v>
      </c>
      <c r="X2153">
        <v>0.99731789999999998</v>
      </c>
      <c r="Y2153">
        <v>-6.265095E-3</v>
      </c>
      <c r="Z2153">
        <v>-1.032486E-3</v>
      </c>
      <c r="AA2153">
        <v>0.99997990000000003</v>
      </c>
      <c r="AB2153">
        <v>43</v>
      </c>
      <c r="AC2153">
        <v>-15.427300000000001</v>
      </c>
      <c r="AD2153">
        <v>-1.121692930067</v>
      </c>
      <c r="AE2153">
        <v>0.11060000000003301</v>
      </c>
      <c r="AF2153">
        <v>-9.7848931798422495E-2</v>
      </c>
      <c r="AG2153">
        <v>-1.121692930067</v>
      </c>
      <c r="AH2153">
        <v>15.3462590482909</v>
      </c>
      <c r="AI2153">
        <v>94.180359917847994</v>
      </c>
      <c r="AJ2153">
        <v>90.365317360549795</v>
      </c>
      <c r="AK2153">
        <v>15.3875090973187</v>
      </c>
      <c r="AL2153">
        <v>94.164700456959693</v>
      </c>
      <c r="AM2153">
        <v>89.476787248518093</v>
      </c>
      <c r="AN2153">
        <v>1.0000000750593001</v>
      </c>
    </row>
    <row r="2154" spans="1:40" x14ac:dyDescent="0.25">
      <c r="A2154" t="str">
        <f>"20190303154810024"</f>
        <v>20190303154810024</v>
      </c>
      <c r="B2154" t="str">
        <f>"1551599290012778"</f>
        <v>1551599290012778</v>
      </c>
      <c r="C2154" t="s">
        <v>40</v>
      </c>
      <c r="D2154">
        <v>5.5973389999999998</v>
      </c>
      <c r="E2154">
        <v>0.49406929999999999</v>
      </c>
      <c r="F2154" t="s">
        <v>52</v>
      </c>
      <c r="G2154">
        <v>-325.22989999999999</v>
      </c>
      <c r="H2154" s="1">
        <v>1.219473E-6</v>
      </c>
      <c r="I2154">
        <v>285.23079999999999</v>
      </c>
      <c r="J2154">
        <v>-309.75869999999998</v>
      </c>
      <c r="K2154">
        <v>1.121726</v>
      </c>
      <c r="L2154">
        <v>285.13369999999998</v>
      </c>
      <c r="M2154">
        <v>-0.99980159999999996</v>
      </c>
      <c r="N2154">
        <v>-1.5236660000000001E-2</v>
      </c>
      <c r="O2154">
        <v>1.283198E-2</v>
      </c>
      <c r="P2154">
        <v>-0.99591890000000005</v>
      </c>
      <c r="Q2154">
        <v>-8.7739330000000004E-2</v>
      </c>
      <c r="R2154">
        <v>2.1154240000000001E-2</v>
      </c>
      <c r="S2154">
        <v>-2.993134</v>
      </c>
      <c r="T2154">
        <v>-0.2137445</v>
      </c>
      <c r="U2154">
        <v>1.901245E-2</v>
      </c>
      <c r="V2154">
        <v>8.5876930000000004E-3</v>
      </c>
      <c r="W2154">
        <v>-7.2526510000000002E-2</v>
      </c>
      <c r="X2154">
        <v>0.99732949999999998</v>
      </c>
      <c r="Y2154">
        <v>-6.4417110000000001E-3</v>
      </c>
      <c r="Z2154">
        <v>-9.9867930000000003E-4</v>
      </c>
      <c r="AA2154">
        <v>0.99997879999999995</v>
      </c>
      <c r="AB2154">
        <v>43</v>
      </c>
      <c r="AC2154">
        <v>-15.4712</v>
      </c>
      <c r="AD2154">
        <v>-1.1217247805270001</v>
      </c>
      <c r="AE2154">
        <v>9.7100000000011705E-2</v>
      </c>
      <c r="AF2154">
        <v>-0.10092663434049</v>
      </c>
      <c r="AG2154">
        <v>-1.1217247805270001</v>
      </c>
      <c r="AH2154">
        <v>15.3902710587131</v>
      </c>
      <c r="AI2154">
        <v>94.168560483328207</v>
      </c>
      <c r="AJ2154">
        <v>90.375730048785599</v>
      </c>
      <c r="AK2154">
        <v>15.431425596147299</v>
      </c>
      <c r="AL2154">
        <v>94.159114650200095</v>
      </c>
      <c r="AM2154">
        <v>89.506656120534998</v>
      </c>
      <c r="AN2154">
        <v>0.99999998734704598</v>
      </c>
    </row>
    <row r="2155" spans="1:40" x14ac:dyDescent="0.25">
      <c r="A2155" t="str">
        <f>"20190303154810043"</f>
        <v>20190303154810043</v>
      </c>
      <c r="B2155" t="str">
        <f>"1551599290033277"</f>
        <v>1551599290033277</v>
      </c>
      <c r="C2155" t="s">
        <v>40</v>
      </c>
      <c r="D2155">
        <v>5.600473</v>
      </c>
      <c r="E2155">
        <v>0.4943187</v>
      </c>
      <c r="F2155" t="s">
        <v>52</v>
      </c>
      <c r="G2155">
        <v>-325.51510000000002</v>
      </c>
      <c r="H2155" s="1">
        <v>1.3716299999999999E-6</v>
      </c>
      <c r="I2155">
        <v>285.22109999999998</v>
      </c>
      <c r="J2155">
        <v>-310.11430000000001</v>
      </c>
      <c r="K2155">
        <v>1.1217520000000001</v>
      </c>
      <c r="L2155">
        <v>285.13749999999999</v>
      </c>
      <c r="M2155">
        <v>-0.99981679999999995</v>
      </c>
      <c r="N2155">
        <v>-1.5117449999999999E-2</v>
      </c>
      <c r="O2155">
        <v>1.1742509999999999E-2</v>
      </c>
      <c r="P2155">
        <v>-0.99602290000000004</v>
      </c>
      <c r="Q2155">
        <v>-8.7019089999999993E-2</v>
      </c>
      <c r="R2155">
        <v>1.914153E-2</v>
      </c>
      <c r="S2155">
        <v>-2.9931640000000002</v>
      </c>
      <c r="T2155">
        <v>-0.21308820000000001</v>
      </c>
      <c r="U2155">
        <v>1.6601560000000001E-2</v>
      </c>
      <c r="V2155">
        <v>7.6665049999999997E-3</v>
      </c>
      <c r="W2155">
        <v>-7.1926019999999993E-2</v>
      </c>
      <c r="X2155">
        <v>0.9973805</v>
      </c>
      <c r="Y2155">
        <v>-6.1603049999999996E-3</v>
      </c>
      <c r="Z2155">
        <v>-9.231714E-4</v>
      </c>
      <c r="AA2155">
        <v>0.9999806</v>
      </c>
      <c r="AB2155">
        <v>43</v>
      </c>
      <c r="AC2155">
        <v>-15.4008</v>
      </c>
      <c r="AD2155">
        <v>-1.1217506283700001</v>
      </c>
      <c r="AE2155">
        <v>8.3599999999989905E-2</v>
      </c>
      <c r="AF2155">
        <v>-9.6757170216735799E-2</v>
      </c>
      <c r="AG2155">
        <v>-1.1217506283700001</v>
      </c>
      <c r="AH2155">
        <v>15.3194485729626</v>
      </c>
      <c r="AI2155">
        <v>94.187866169014299</v>
      </c>
      <c r="AJ2155">
        <v>90.361873585065993</v>
      </c>
      <c r="AK2155">
        <v>15.3607679170634</v>
      </c>
      <c r="AL2155">
        <v>94.124618982953507</v>
      </c>
      <c r="AM2155">
        <v>89.559596634071596</v>
      </c>
      <c r="AN2155">
        <v>0.99999999471610201</v>
      </c>
    </row>
    <row r="2156" spans="1:40" x14ac:dyDescent="0.25">
      <c r="A2156" t="str">
        <f>"20190303154810067"</f>
        <v>20190303154810067</v>
      </c>
      <c r="B2156" t="str">
        <f>"1551599290062554"</f>
        <v>1551599290062554</v>
      </c>
      <c r="C2156" t="s">
        <v>40</v>
      </c>
      <c r="D2156">
        <v>5.5844550000000002</v>
      </c>
      <c r="E2156">
        <v>0.49477179999999998</v>
      </c>
      <c r="F2156" t="s">
        <v>52</v>
      </c>
      <c r="G2156">
        <v>-326.06439999999998</v>
      </c>
      <c r="H2156" s="1">
        <v>1.6646520000000001E-6</v>
      </c>
      <c r="I2156">
        <v>285.20510000000002</v>
      </c>
      <c r="J2156">
        <v>-310.56380000000001</v>
      </c>
      <c r="K2156">
        <v>1.1217710000000001</v>
      </c>
      <c r="L2156">
        <v>285.14150000000001</v>
      </c>
      <c r="M2156">
        <v>-0.99983540000000004</v>
      </c>
      <c r="N2156">
        <v>-1.4918310000000001E-2</v>
      </c>
      <c r="O2156">
        <v>1.0346960000000001E-2</v>
      </c>
      <c r="P2156">
        <v>-0.99614840000000004</v>
      </c>
      <c r="Q2156">
        <v>-8.5979280000000005E-2</v>
      </c>
      <c r="R2156">
        <v>1.7218730000000002E-2</v>
      </c>
      <c r="S2156">
        <v>-2.993347</v>
      </c>
      <c r="T2156">
        <v>-0.2105185</v>
      </c>
      <c r="U2156">
        <v>1.269531E-2</v>
      </c>
      <c r="V2156">
        <v>7.1393799999999999E-3</v>
      </c>
      <c r="W2156">
        <v>-7.1084320000000006E-2</v>
      </c>
      <c r="X2156">
        <v>0.99744469999999996</v>
      </c>
      <c r="Y2156">
        <v>-6.07305E-3</v>
      </c>
      <c r="Z2156">
        <v>-8.3121550000000001E-4</v>
      </c>
      <c r="AA2156">
        <v>0.99998120000000001</v>
      </c>
      <c r="AB2156">
        <v>43</v>
      </c>
      <c r="AC2156">
        <v>-15.500599999999899</v>
      </c>
      <c r="AD2156">
        <v>-1.1217693353479901</v>
      </c>
      <c r="AE2156">
        <v>6.3600000000008095E-2</v>
      </c>
      <c r="AF2156">
        <v>-9.6300956611656399E-2</v>
      </c>
      <c r="AG2156">
        <v>-1.1217693353479901</v>
      </c>
      <c r="AH2156">
        <v>15.4196716085261</v>
      </c>
      <c r="AI2156">
        <v>94.160813238689897</v>
      </c>
      <c r="AJ2156">
        <v>90.357826468794201</v>
      </c>
      <c r="AK2156">
        <v>15.4607216141665</v>
      </c>
      <c r="AL2156">
        <v>94.0762695813401</v>
      </c>
      <c r="AM2156">
        <v>89.589902721493502</v>
      </c>
      <c r="AN2156">
        <v>0.99999994042736595</v>
      </c>
    </row>
    <row r="2157" spans="1:40" x14ac:dyDescent="0.25">
      <c r="A2157" t="str">
        <f>"20190303154810082"</f>
        <v>20190303154810082</v>
      </c>
      <c r="B2157" t="str">
        <f>"1551599290073290"</f>
        <v>1551599290073290</v>
      </c>
      <c r="C2157" t="s">
        <v>40</v>
      </c>
      <c r="D2157">
        <v>5.5969860000000002</v>
      </c>
      <c r="E2157">
        <v>0.49494969999999999</v>
      </c>
      <c r="F2157" t="s">
        <v>52</v>
      </c>
      <c r="G2157">
        <v>-326.81979999999999</v>
      </c>
      <c r="H2157" s="1">
        <v>2.0669099999999999E-6</v>
      </c>
      <c r="I2157">
        <v>285.19839999999999</v>
      </c>
      <c r="J2157">
        <v>-310.84730000000002</v>
      </c>
      <c r="K2157">
        <v>1.121777</v>
      </c>
      <c r="L2157">
        <v>285.14389999999997</v>
      </c>
      <c r="M2157">
        <v>-0.99984620000000002</v>
      </c>
      <c r="N2157">
        <v>-1.477643E-2</v>
      </c>
      <c r="O2157">
        <v>9.4611209999999994E-3</v>
      </c>
      <c r="P2157">
        <v>-0.99620790000000004</v>
      </c>
      <c r="Q2157">
        <v>-8.5438650000000005E-2</v>
      </c>
      <c r="R2157">
        <v>1.644137E-2</v>
      </c>
      <c r="S2157">
        <v>-2.9935610000000001</v>
      </c>
      <c r="T2157">
        <v>-0.20657600000000001</v>
      </c>
      <c r="U2157">
        <v>1.0467529999999999E-2</v>
      </c>
      <c r="V2157">
        <v>7.2476650000000004E-3</v>
      </c>
      <c r="W2157">
        <v>-7.0683750000000004E-2</v>
      </c>
      <c r="X2157">
        <v>0.99747249999999998</v>
      </c>
      <c r="Y2157">
        <v>-5.9345550000000002E-3</v>
      </c>
      <c r="Z2157">
        <v>-7.6084359999999997E-4</v>
      </c>
      <c r="AA2157">
        <v>0.99998209999999998</v>
      </c>
      <c r="AB2157">
        <v>43</v>
      </c>
      <c r="AC2157">
        <v>-15.972499999999901</v>
      </c>
      <c r="AD2157">
        <v>-1.12177493309</v>
      </c>
      <c r="AE2157">
        <v>5.4500000000018603E-2</v>
      </c>
      <c r="AF2157">
        <v>-9.6162360549752704E-2</v>
      </c>
      <c r="AG2157">
        <v>-1.12177493309</v>
      </c>
      <c r="AH2157">
        <v>15.8939051266762</v>
      </c>
      <c r="AI2157">
        <v>94.037106879435697</v>
      </c>
      <c r="AJ2157">
        <v>90.346650501324802</v>
      </c>
      <c r="AK2157">
        <v>15.9337329705213</v>
      </c>
      <c r="AL2157">
        <v>94.053260268112894</v>
      </c>
      <c r="AM2157">
        <v>89.583694479662199</v>
      </c>
      <c r="AN2157">
        <v>1.0000000547091299</v>
      </c>
    </row>
    <row r="2158" spans="1:40" x14ac:dyDescent="0.25">
      <c r="A2158" t="str">
        <f>"20190303154810095"</f>
        <v>20190303154810095</v>
      </c>
      <c r="B2158" t="str">
        <f>"1551599290083050"</f>
        <v>1551599290083050</v>
      </c>
      <c r="C2158" t="s">
        <v>40</v>
      </c>
      <c r="D2158">
        <v>5.5007029999999997</v>
      </c>
      <c r="E2158">
        <v>0.49509779999999998</v>
      </c>
      <c r="F2158" t="s">
        <v>52</v>
      </c>
      <c r="G2158">
        <v>-327.2604</v>
      </c>
      <c r="H2158" s="1">
        <v>2.3014640000000002E-6</v>
      </c>
      <c r="I2158">
        <v>285.19690000000003</v>
      </c>
      <c r="J2158">
        <v>-311.11500000000001</v>
      </c>
      <c r="K2158">
        <v>1.121767</v>
      </c>
      <c r="L2158">
        <v>285.14569999999998</v>
      </c>
      <c r="M2158">
        <v>-0.99985590000000002</v>
      </c>
      <c r="N2158">
        <v>-1.4626780000000001E-2</v>
      </c>
      <c r="O2158">
        <v>8.6196060000000001E-3</v>
      </c>
      <c r="P2158">
        <v>-0.99624780000000002</v>
      </c>
      <c r="Q2158">
        <v>-8.5104100000000002E-2</v>
      </c>
      <c r="R2158">
        <v>1.5737999999999999E-2</v>
      </c>
      <c r="S2158">
        <v>-2.993744</v>
      </c>
      <c r="T2158">
        <v>-0.20461090000000001</v>
      </c>
      <c r="U2158">
        <v>9.6740720000000006E-3</v>
      </c>
      <c r="V2158">
        <v>7.385483E-3</v>
      </c>
      <c r="W2158">
        <v>-7.0497320000000002E-2</v>
      </c>
      <c r="X2158">
        <v>0.99748460000000005</v>
      </c>
      <c r="Y2158">
        <v>-5.3615800000000003E-3</v>
      </c>
      <c r="Z2158">
        <v>-6.8472879999999996E-4</v>
      </c>
      <c r="AA2158">
        <v>0.99998540000000002</v>
      </c>
      <c r="AB2158">
        <v>43</v>
      </c>
      <c r="AC2158">
        <v>-16.145399999999899</v>
      </c>
      <c r="AD2158">
        <v>-1.1217646985359999</v>
      </c>
      <c r="AE2158">
        <v>5.1200000000051198E-2</v>
      </c>
      <c r="AF2158">
        <v>-8.7561093191032904E-2</v>
      </c>
      <c r="AG2158">
        <v>-1.1217646985359999</v>
      </c>
      <c r="AH2158">
        <v>16.067678434073599</v>
      </c>
      <c r="AI2158">
        <v>93.993564701566697</v>
      </c>
      <c r="AJ2158">
        <v>90.312231256578798</v>
      </c>
      <c r="AK2158">
        <v>16.1070268282112</v>
      </c>
      <c r="AL2158">
        <v>94.042552236619301</v>
      </c>
      <c r="AM2158">
        <v>89.575783652983304</v>
      </c>
      <c r="AN2158">
        <v>0.99999997236174198</v>
      </c>
    </row>
    <row r="2159" spans="1:40" x14ac:dyDescent="0.25">
      <c r="A2159" t="str">
        <f>"20190303154810111"</f>
        <v>20190303154810111</v>
      </c>
      <c r="B2159" t="str">
        <f>"1551599290102570"</f>
        <v>1551599290102570</v>
      </c>
      <c r="C2159" t="s">
        <v>40</v>
      </c>
      <c r="D2159">
        <v>5.5356339999999999</v>
      </c>
      <c r="E2159">
        <v>0.49565710000000002</v>
      </c>
      <c r="F2159" t="s">
        <v>52</v>
      </c>
      <c r="G2159">
        <v>-327.61739999999998</v>
      </c>
      <c r="H2159" s="1">
        <v>2.491547E-6</v>
      </c>
      <c r="I2159">
        <v>285.1943</v>
      </c>
      <c r="J2159">
        <v>-311.4151</v>
      </c>
      <c r="K2159">
        <v>1.1217629999999901</v>
      </c>
      <c r="L2159">
        <v>285.14760000000001</v>
      </c>
      <c r="M2159">
        <v>-0.99986620000000004</v>
      </c>
      <c r="N2159">
        <v>-1.444584E-2</v>
      </c>
      <c r="O2159">
        <v>7.6724219999999999E-3</v>
      </c>
      <c r="P2159">
        <v>-0.99630949999999996</v>
      </c>
      <c r="Q2159">
        <v>-8.4524100000000005E-2</v>
      </c>
      <c r="R2159">
        <v>1.493893E-2</v>
      </c>
      <c r="S2159">
        <v>-2.993744</v>
      </c>
      <c r="T2159">
        <v>-0.2035025</v>
      </c>
      <c r="U2159">
        <v>8.8195800000000005E-3</v>
      </c>
      <c r="V2159">
        <v>7.5320179999999997E-3</v>
      </c>
      <c r="W2159">
        <v>-7.0096320000000004E-2</v>
      </c>
      <c r="X2159">
        <v>0.99751179999999995</v>
      </c>
      <c r="Y2159">
        <v>-4.7031399999999998E-3</v>
      </c>
      <c r="Z2159">
        <v>-6.0387720000000002E-4</v>
      </c>
      <c r="AA2159">
        <v>0.99998869999999895</v>
      </c>
      <c r="AB2159">
        <v>43</v>
      </c>
      <c r="AC2159">
        <v>-16.202299999999902</v>
      </c>
      <c r="AD2159">
        <v>-1.12176050845299</v>
      </c>
      <c r="AE2159">
        <v>4.6699999999987002E-2</v>
      </c>
      <c r="AF2159">
        <v>-7.7254919216039206E-2</v>
      </c>
      <c r="AG2159">
        <v>-1.12176050845299</v>
      </c>
      <c r="AH2159">
        <v>16.124888368054801</v>
      </c>
      <c r="AI2159">
        <v>93.979439983815894</v>
      </c>
      <c r="AJ2159">
        <v>90.274504036827096</v>
      </c>
      <c r="AK2159">
        <v>16.1640446622464</v>
      </c>
      <c r="AL2159">
        <v>94.019519503830693</v>
      </c>
      <c r="AM2159">
        <v>89.567378910923296</v>
      </c>
      <c r="AN2159">
        <v>1.0000000082559599</v>
      </c>
    </row>
    <row r="2160" spans="1:40" x14ac:dyDescent="0.25">
      <c r="A2160" t="str">
        <f>"20190303154810125"</f>
        <v>20190303154810125</v>
      </c>
      <c r="B2160" t="str">
        <f>"1551599290113306"</f>
        <v>1551599290113306</v>
      </c>
      <c r="C2160" t="s">
        <v>40</v>
      </c>
      <c r="D2160">
        <v>5.5790009999999999</v>
      </c>
      <c r="E2160">
        <v>0.49606600000000001</v>
      </c>
      <c r="F2160" t="s">
        <v>52</v>
      </c>
      <c r="G2160">
        <v>-328.06180000000001</v>
      </c>
      <c r="H2160" s="1">
        <v>2.727457E-6</v>
      </c>
      <c r="I2160">
        <v>285.2072</v>
      </c>
      <c r="J2160">
        <v>-311.66739999999999</v>
      </c>
      <c r="K2160">
        <v>1.121756</v>
      </c>
      <c r="L2160">
        <v>285.149</v>
      </c>
      <c r="M2160">
        <v>-0.9998745</v>
      </c>
      <c r="N2160">
        <v>-1.428423E-2</v>
      </c>
      <c r="O2160">
        <v>6.8737650000000004E-3</v>
      </c>
      <c r="P2160">
        <v>-0.99638059999999995</v>
      </c>
      <c r="Q2160">
        <v>-8.3797189999999994E-2</v>
      </c>
      <c r="R2160">
        <v>1.429532E-2</v>
      </c>
      <c r="S2160">
        <v>-2.9938660000000001</v>
      </c>
      <c r="T2160">
        <v>-0.20174629999999999</v>
      </c>
      <c r="U2160">
        <v>1.071167E-2</v>
      </c>
      <c r="V2160">
        <v>7.6844189999999996E-3</v>
      </c>
      <c r="W2160">
        <v>-6.9529060000000004E-2</v>
      </c>
      <c r="X2160">
        <v>0.9975503</v>
      </c>
      <c r="Y2160">
        <v>-3.2779630000000001E-3</v>
      </c>
      <c r="Z2160">
        <v>-4.9832960000000003E-4</v>
      </c>
      <c r="AA2160">
        <v>0.99999450000000001</v>
      </c>
      <c r="AB2160">
        <v>43</v>
      </c>
      <c r="AC2160">
        <v>-16.394400000000001</v>
      </c>
      <c r="AD2160">
        <v>-1.1217532725429999</v>
      </c>
      <c r="AE2160">
        <v>5.8199999999999301E-2</v>
      </c>
      <c r="AF2160">
        <v>-5.4250129848174802E-2</v>
      </c>
      <c r="AG2160">
        <v>-1.1217532725429999</v>
      </c>
      <c r="AH2160">
        <v>16.318017593849699</v>
      </c>
      <c r="AI2160">
        <v>93.932488666031503</v>
      </c>
      <c r="AJ2160">
        <v>90.190482208323601</v>
      </c>
      <c r="AK2160">
        <v>16.356618589251202</v>
      </c>
      <c r="AL2160">
        <v>93.986938555479</v>
      </c>
      <c r="AM2160">
        <v>89.558642739029196</v>
      </c>
      <c r="AN2160">
        <v>0.99999997075497005</v>
      </c>
    </row>
    <row r="2161" spans="1:40" x14ac:dyDescent="0.25">
      <c r="A2161" t="str">
        <f>"20190303154810291"</f>
        <v>20190303154810291</v>
      </c>
      <c r="B2161" t="str">
        <f>"1551599290283130"</f>
        <v>1551599290283130</v>
      </c>
      <c r="C2161" t="s">
        <v>40</v>
      </c>
      <c r="D2161">
        <v>5.5030409999999996</v>
      </c>
      <c r="E2161">
        <v>0.4963148</v>
      </c>
      <c r="F2161" t="s">
        <v>52</v>
      </c>
      <c r="G2161">
        <v>-328.6875</v>
      </c>
      <c r="H2161" s="1">
        <v>3.0599920000000001E-6</v>
      </c>
      <c r="I2161">
        <v>285.21749999999997</v>
      </c>
      <c r="J2161">
        <v>-314.86989999999997</v>
      </c>
      <c r="K2161">
        <v>1.121556</v>
      </c>
      <c r="L2161">
        <v>285.14929999999998</v>
      </c>
      <c r="M2161">
        <v>-0.99991920000000001</v>
      </c>
      <c r="N2161">
        <v>-1.236285E-2</v>
      </c>
      <c r="O2161">
        <v>-2.9527300000000002E-3</v>
      </c>
      <c r="P2161">
        <v>-0.99689159999999999</v>
      </c>
      <c r="Q2161">
        <v>-7.7864569999999994E-2</v>
      </c>
      <c r="R2161">
        <v>1.2014449999999999E-2</v>
      </c>
      <c r="S2161">
        <v>-2.9941409999999999</v>
      </c>
      <c r="T2161">
        <v>-0.19733619999999999</v>
      </c>
      <c r="U2161">
        <v>1.205444E-2</v>
      </c>
      <c r="V2161">
        <v>1.5182029999999999E-2</v>
      </c>
      <c r="W2161">
        <v>-6.5483200000000005E-2</v>
      </c>
      <c r="X2161">
        <v>0.99773820000000002</v>
      </c>
      <c r="Y2161">
        <v>6.9567350000000003E-3</v>
      </c>
      <c r="Z2161">
        <v>4.2998279999999998E-4</v>
      </c>
      <c r="AA2161">
        <v>0.99997570000000002</v>
      </c>
      <c r="AB2161">
        <v>43</v>
      </c>
      <c r="AC2161">
        <v>-13.817600000000001</v>
      </c>
      <c r="AD2161">
        <v>-1.121552940008</v>
      </c>
      <c r="AE2161">
        <v>6.8199999999990199E-2</v>
      </c>
      <c r="AF2161">
        <v>0.10828903880804</v>
      </c>
      <c r="AG2161">
        <v>-1.121552940008</v>
      </c>
      <c r="AH2161">
        <v>13.7269034100217</v>
      </c>
      <c r="AI2161">
        <v>94.670816032076999</v>
      </c>
      <c r="AJ2161">
        <v>89.548013415591797</v>
      </c>
      <c r="AK2161">
        <v>13.773070998917801</v>
      </c>
      <c r="AL2161">
        <v>93.754597461599602</v>
      </c>
      <c r="AM2161">
        <v>89.128229112187498</v>
      </c>
      <c r="AN2161">
        <v>1.0000000296281999</v>
      </c>
    </row>
    <row r="2162" spans="1:40" x14ac:dyDescent="0.25">
      <c r="A2162" t="str">
        <f>"20190303154810313"</f>
        <v>20190303154810313</v>
      </c>
      <c r="B2162" t="str">
        <f>"1551599290302650"</f>
        <v>1551599290302650</v>
      </c>
      <c r="C2162" t="s">
        <v>40</v>
      </c>
      <c r="D2162">
        <v>5.6442290000000002</v>
      </c>
      <c r="E2162">
        <v>0.49667159999999999</v>
      </c>
      <c r="F2162" t="s">
        <v>52</v>
      </c>
      <c r="G2162">
        <v>-333.93520000000001</v>
      </c>
      <c r="H2162" s="1">
        <v>5.3202519999999903E-7</v>
      </c>
      <c r="I2162">
        <v>285.19479999999999</v>
      </c>
      <c r="J2162">
        <v>-315.27319999999997</v>
      </c>
      <c r="K2162">
        <v>1.1214759999999999</v>
      </c>
      <c r="L2162">
        <v>285.1474</v>
      </c>
      <c r="M2162">
        <v>-0.99991830000000004</v>
      </c>
      <c r="N2162">
        <v>-1.215479E-2</v>
      </c>
      <c r="O2162">
        <v>-3.9588749999999997E-3</v>
      </c>
      <c r="P2162">
        <v>-0.99697599999999997</v>
      </c>
      <c r="Q2162">
        <v>-7.6998639999999993E-2</v>
      </c>
      <c r="R2162">
        <v>1.049134E-2</v>
      </c>
      <c r="S2162">
        <v>-2.9955440000000002</v>
      </c>
      <c r="T2162">
        <v>-0.1762195</v>
      </c>
      <c r="U2162">
        <v>7.1411130000000001E-3</v>
      </c>
      <c r="V2162">
        <v>1.464913E-2</v>
      </c>
      <c r="W2162">
        <v>-6.4828250000000004E-2</v>
      </c>
      <c r="X2162">
        <v>0.99778889999999998</v>
      </c>
      <c r="Y2162">
        <v>6.3255359999999997E-3</v>
      </c>
      <c r="Z2162">
        <v>4.089799E-4</v>
      </c>
      <c r="AA2162">
        <v>0.99997990000000003</v>
      </c>
      <c r="AB2162">
        <v>43</v>
      </c>
      <c r="AC2162">
        <v>-18.661999999999999</v>
      </c>
      <c r="AD2162">
        <v>-1.1214754679748</v>
      </c>
      <c r="AE2162">
        <v>4.7399999999981901E-2</v>
      </c>
      <c r="AF2162">
        <v>0.120849191708016</v>
      </c>
      <c r="AG2162">
        <v>-1.1214754679748</v>
      </c>
      <c r="AH2162">
        <v>18.594516187389502</v>
      </c>
      <c r="AI2162">
        <v>93.451378708022702</v>
      </c>
      <c r="AJ2162">
        <v>89.627629399737899</v>
      </c>
      <c r="AK2162">
        <v>18.628696787362699</v>
      </c>
      <c r="AL2162">
        <v>93.716991815699899</v>
      </c>
      <c r="AM2162">
        <v>89.158867146674893</v>
      </c>
      <c r="AN2162">
        <v>0.99999999398551398</v>
      </c>
    </row>
    <row r="2163" spans="1:40" x14ac:dyDescent="0.25">
      <c r="A2163" t="str">
        <f>"20190303154810333"</f>
        <v>20190303154810333</v>
      </c>
      <c r="B2163" t="str">
        <f>"1551599290323146"</f>
        <v>1551599290323146</v>
      </c>
      <c r="C2163" t="s">
        <v>40</v>
      </c>
      <c r="D2163">
        <v>5.6082780000000003</v>
      </c>
      <c r="E2163">
        <v>0.49677149999999998</v>
      </c>
      <c r="F2163" t="s">
        <v>52</v>
      </c>
      <c r="G2163">
        <v>-335.10770000000002</v>
      </c>
      <c r="H2163" s="1">
        <v>1.156536E-6</v>
      </c>
      <c r="I2163">
        <v>285.18220000000002</v>
      </c>
      <c r="J2163">
        <v>-315.67700000000002</v>
      </c>
      <c r="K2163">
        <v>1.1213599999999999</v>
      </c>
      <c r="L2163">
        <v>285.14510000000001</v>
      </c>
      <c r="M2163">
        <v>-0.9999171</v>
      </c>
      <c r="N2163">
        <v>-1.19396E-2</v>
      </c>
      <c r="O2163">
        <v>-4.8435559999999997E-3</v>
      </c>
      <c r="P2163">
        <v>-0.9970038</v>
      </c>
      <c r="Q2163">
        <v>-7.6832910000000004E-2</v>
      </c>
      <c r="R2163">
        <v>8.9603510000000001E-3</v>
      </c>
      <c r="S2163">
        <v>-2.9959720000000001</v>
      </c>
      <c r="T2163">
        <v>-0.16939689999999999</v>
      </c>
      <c r="U2163">
        <v>5.2490230000000002E-3</v>
      </c>
      <c r="V2163">
        <v>1.3985340000000001E-2</v>
      </c>
      <c r="W2163">
        <v>-6.4882410000000001E-2</v>
      </c>
      <c r="X2163">
        <v>0.99779490000000004</v>
      </c>
      <c r="Y2163">
        <v>6.5783559999999996E-3</v>
      </c>
      <c r="Z2163">
        <v>4.4098459999999999E-4</v>
      </c>
      <c r="AA2163">
        <v>0.99997820000000004</v>
      </c>
      <c r="AB2163">
        <v>43</v>
      </c>
      <c r="AC2163">
        <v>-19.430700000000002</v>
      </c>
      <c r="AD2163">
        <v>-1.1213588434639901</v>
      </c>
      <c r="AE2163">
        <v>3.7100000000009403E-2</v>
      </c>
      <c r="AF2163">
        <v>0.13078436812954899</v>
      </c>
      <c r="AG2163">
        <v>-1.1213588434639901</v>
      </c>
      <c r="AH2163">
        <v>19.3657943623055</v>
      </c>
      <c r="AI2163">
        <v>93.313884529209204</v>
      </c>
      <c r="AJ2163">
        <v>89.613066303220606</v>
      </c>
      <c r="AK2163">
        <v>19.398673704402199</v>
      </c>
      <c r="AL2163">
        <v>93.720101518130406</v>
      </c>
      <c r="AM2163">
        <v>89.196980772304101</v>
      </c>
      <c r="AN2163">
        <v>0.99999998966416603</v>
      </c>
    </row>
    <row r="2164" spans="1:40" x14ac:dyDescent="0.25">
      <c r="A2164" t="str">
        <f>"20190303154810347"</f>
        <v>20190303154810347</v>
      </c>
      <c r="B2164" t="str">
        <f>"1551599290342667"</f>
        <v>1551599290342667</v>
      </c>
      <c r="C2164" t="s">
        <v>40</v>
      </c>
      <c r="D2164">
        <v>5.5866160000000002</v>
      </c>
      <c r="E2164">
        <v>0.49690770000000001</v>
      </c>
      <c r="F2164" t="s">
        <v>52</v>
      </c>
      <c r="G2164">
        <v>-335.5652</v>
      </c>
      <c r="H2164" s="1">
        <v>1.4012199999999999E-6</v>
      </c>
      <c r="I2164">
        <v>285.15429999999998</v>
      </c>
      <c r="J2164">
        <v>-315.94619999999998</v>
      </c>
      <c r="K2164">
        <v>1.121264</v>
      </c>
      <c r="L2164">
        <v>285.14350000000002</v>
      </c>
      <c r="M2164">
        <v>-0.99991629999999998</v>
      </c>
      <c r="N2164">
        <v>-1.17897E-2</v>
      </c>
      <c r="O2164">
        <v>-5.3543569999999997E-3</v>
      </c>
      <c r="P2164">
        <v>-0.99701390000000001</v>
      </c>
      <c r="Q2164">
        <v>-7.6855350000000003E-2</v>
      </c>
      <c r="R2164">
        <v>7.5261769999999898E-3</v>
      </c>
      <c r="S2164">
        <v>-2.9960019999999998</v>
      </c>
      <c r="T2164">
        <v>-0.16892360000000001</v>
      </c>
      <c r="U2164">
        <v>1.373291E-3</v>
      </c>
      <c r="V2164">
        <v>1.3048850000000001E-2</v>
      </c>
      <c r="W2164">
        <v>-6.5059530000000004E-2</v>
      </c>
      <c r="X2164">
        <v>0.99779609999999996</v>
      </c>
      <c r="Y2164">
        <v>5.7966440000000001E-3</v>
      </c>
      <c r="Z2164">
        <v>4.3605599999999999E-4</v>
      </c>
      <c r="AA2164">
        <v>0.99998310000000001</v>
      </c>
      <c r="AB2164">
        <v>43</v>
      </c>
      <c r="AC2164">
        <v>-19.619</v>
      </c>
      <c r="AD2164">
        <v>-1.12126259878</v>
      </c>
      <c r="AE2164">
        <v>1.07999999999606E-2</v>
      </c>
      <c r="AF2164">
        <v>0.11547707529328401</v>
      </c>
      <c r="AG2164">
        <v>-1.12126259878</v>
      </c>
      <c r="AH2164">
        <v>19.554788396265401</v>
      </c>
      <c r="AI2164">
        <v>93.281663202749698</v>
      </c>
      <c r="AJ2164">
        <v>89.661654628911506</v>
      </c>
      <c r="AK2164">
        <v>19.587248760177001</v>
      </c>
      <c r="AL2164">
        <v>93.730271060468198</v>
      </c>
      <c r="AM2164">
        <v>89.250747307183104</v>
      </c>
      <c r="AN2164">
        <v>1.00000003605267</v>
      </c>
    </row>
    <row r="2165" spans="1:40" x14ac:dyDescent="0.25">
      <c r="A2165" t="str">
        <f>"20190303154810359"</f>
        <v>20190303154810359</v>
      </c>
      <c r="B2165" t="str">
        <f>"1551599290352426"</f>
        <v>1551599290352426</v>
      </c>
      <c r="C2165" t="s">
        <v>40</v>
      </c>
      <c r="D2165">
        <v>5.5805509999999998</v>
      </c>
      <c r="E2165">
        <v>0.49695410000000001</v>
      </c>
      <c r="F2165" t="s">
        <v>52</v>
      </c>
      <c r="G2165">
        <v>-335.95530000000002</v>
      </c>
      <c r="H2165" s="1">
        <v>1.6098949999999999E-6</v>
      </c>
      <c r="I2165">
        <v>285.12959999999998</v>
      </c>
      <c r="J2165">
        <v>-316.18430000000001</v>
      </c>
      <c r="K2165">
        <v>1.121173</v>
      </c>
      <c r="L2165">
        <v>285.142</v>
      </c>
      <c r="M2165">
        <v>-0.99991549999999996</v>
      </c>
      <c r="N2165">
        <v>-1.165308E-2</v>
      </c>
      <c r="O2165">
        <v>-5.7640290000000004E-3</v>
      </c>
      <c r="P2165">
        <v>-0.99705529999999998</v>
      </c>
      <c r="Q2165">
        <v>-7.6426569999999999E-2</v>
      </c>
      <c r="R2165">
        <v>6.3156970000000003E-3</v>
      </c>
      <c r="S2165">
        <v>-2.9960939999999998</v>
      </c>
      <c r="T2165">
        <v>-0.16789389999999901</v>
      </c>
      <c r="U2165">
        <v>-2.0751950000000002E-3</v>
      </c>
      <c r="V2165">
        <v>1.223435E-2</v>
      </c>
      <c r="W2165">
        <v>-6.4771090000000003E-2</v>
      </c>
      <c r="X2165">
        <v>0.99782510000000002</v>
      </c>
      <c r="Y2165">
        <v>5.0565389999999997E-3</v>
      </c>
      <c r="Z2165">
        <v>4.266761E-4</v>
      </c>
      <c r="AA2165">
        <v>0.99998710000000002</v>
      </c>
      <c r="AB2165">
        <v>43</v>
      </c>
      <c r="AC2165">
        <v>-19.771000000000001</v>
      </c>
      <c r="AD2165">
        <v>-1.121171390105</v>
      </c>
      <c r="AE2165">
        <v>-1.24000000000137E-2</v>
      </c>
      <c r="AF2165">
        <v>0.101242984968415</v>
      </c>
      <c r="AG2165">
        <v>-1.121171390105</v>
      </c>
      <c r="AH2165">
        <v>19.7073683990129</v>
      </c>
      <c r="AI2165">
        <v>93.256059992854105</v>
      </c>
      <c r="AJ2165">
        <v>89.705656047231201</v>
      </c>
      <c r="AK2165">
        <v>19.7394945386757</v>
      </c>
      <c r="AL2165">
        <v>93.713710048145003</v>
      </c>
      <c r="AM2165">
        <v>89.297530702800003</v>
      </c>
      <c r="AN2165">
        <v>0.99999995180485901</v>
      </c>
    </row>
    <row r="2166" spans="1:40" x14ac:dyDescent="0.25">
      <c r="A2166" t="str">
        <f>"20190303154810371"</f>
        <v>20190303154810371</v>
      </c>
      <c r="B2166" t="str">
        <f>"1551599290363162"</f>
        <v>1551599290363162</v>
      </c>
      <c r="C2166" t="s">
        <v>40</v>
      </c>
      <c r="D2166">
        <v>5.5929120000000001</v>
      </c>
      <c r="E2166">
        <v>0.49702829999999898</v>
      </c>
      <c r="F2166" t="s">
        <v>52</v>
      </c>
      <c r="G2166">
        <v>-336.4092</v>
      </c>
      <c r="H2166" s="1">
        <v>1.8524339999999999E-6</v>
      </c>
      <c r="I2166">
        <v>285.1071</v>
      </c>
      <c r="J2166">
        <v>-316.41590000000002</v>
      </c>
      <c r="K2166">
        <v>1.1210690000000001</v>
      </c>
      <c r="L2166">
        <v>285.1404</v>
      </c>
      <c r="M2166">
        <v>-0.99991529999999995</v>
      </c>
      <c r="N2166">
        <v>-1.1512079999999999E-2</v>
      </c>
      <c r="O2166">
        <v>-6.0777619999999996E-3</v>
      </c>
      <c r="P2166">
        <v>-0.99704559999999998</v>
      </c>
      <c r="Q2166">
        <v>-7.6663819999999994E-2</v>
      </c>
      <c r="R2166">
        <v>4.7862929999999996E-3</v>
      </c>
      <c r="S2166">
        <v>-2.9961549999999999</v>
      </c>
      <c r="T2166">
        <v>-0.166092299999999</v>
      </c>
      <c r="U2166">
        <v>-5.1574709999999899E-3</v>
      </c>
      <c r="V2166">
        <v>1.100595E-2</v>
      </c>
      <c r="W2166">
        <v>-6.5154470000000006E-2</v>
      </c>
      <c r="X2166">
        <v>0.99781450000000005</v>
      </c>
      <c r="Y2166">
        <v>4.3429139999999998E-3</v>
      </c>
      <c r="Z2166">
        <v>4.1203760000000001E-4</v>
      </c>
      <c r="AA2166">
        <v>0.9999905</v>
      </c>
      <c r="AB2166">
        <v>43</v>
      </c>
      <c r="AC2166">
        <v>-19.993299999999898</v>
      </c>
      <c r="AD2166">
        <v>-1.1210671475659999</v>
      </c>
      <c r="AE2166">
        <v>-3.3299999999996999E-2</v>
      </c>
      <c r="AF2166">
        <v>8.7946671390377804E-2</v>
      </c>
      <c r="AG2166">
        <v>-1.1210671475659999</v>
      </c>
      <c r="AH2166">
        <v>19.930470162791899</v>
      </c>
      <c r="AI2166">
        <v>93.219401149336306</v>
      </c>
      <c r="AJ2166">
        <v>89.747174033209603</v>
      </c>
      <c r="AK2166">
        <v>19.962168396151199</v>
      </c>
      <c r="AL2166">
        <v>93.735722399365898</v>
      </c>
      <c r="AM2166">
        <v>89.368049959946802</v>
      </c>
      <c r="AN2166">
        <v>1.0000000061533101</v>
      </c>
    </row>
    <row r="2167" spans="1:40" x14ac:dyDescent="0.25">
      <c r="A2167" t="str">
        <f>"20190303154810384"</f>
        <v>20190303154810384</v>
      </c>
      <c r="B2167" t="str">
        <f>"1551599290372923"</f>
        <v>1551599290372923</v>
      </c>
      <c r="C2167" t="s">
        <v>40</v>
      </c>
      <c r="D2167">
        <v>5.6121309999999998</v>
      </c>
      <c r="E2167">
        <v>0.4971044</v>
      </c>
      <c r="F2167" t="s">
        <v>52</v>
      </c>
      <c r="G2167">
        <v>-336.6053</v>
      </c>
      <c r="H2167" s="1">
        <v>1.9580440000000001E-6</v>
      </c>
      <c r="I2167">
        <v>285.07749999999999</v>
      </c>
      <c r="J2167">
        <v>-316.66460000000001</v>
      </c>
      <c r="K2167">
        <v>1.1209579999999999</v>
      </c>
      <c r="L2167">
        <v>285.13869999999997</v>
      </c>
      <c r="M2167">
        <v>-0.99991529999999995</v>
      </c>
      <c r="N2167">
        <v>-1.135633E-2</v>
      </c>
      <c r="O2167">
        <v>-6.380246E-3</v>
      </c>
      <c r="P2167">
        <v>-0.99701010000000001</v>
      </c>
      <c r="Q2167">
        <v>-7.7192259999999999E-2</v>
      </c>
      <c r="R2167">
        <v>3.5394020000000001E-3</v>
      </c>
      <c r="S2167">
        <v>-2.9961549999999999</v>
      </c>
      <c r="T2167">
        <v>-0.1663693</v>
      </c>
      <c r="U2167">
        <v>-9.3383790000000008E-3</v>
      </c>
      <c r="V2167">
        <v>1.004787E-2</v>
      </c>
      <c r="W2167">
        <v>-6.5843170000000006E-2</v>
      </c>
      <c r="X2167">
        <v>0.99777939999999998</v>
      </c>
      <c r="Y2167">
        <v>3.2516620000000002E-3</v>
      </c>
      <c r="Z2167">
        <v>3.9027920000000001E-4</v>
      </c>
      <c r="AA2167">
        <v>0.99999459999999996</v>
      </c>
      <c r="AB2167">
        <v>43</v>
      </c>
      <c r="AC2167">
        <v>-19.9407</v>
      </c>
      <c r="AD2167">
        <v>-1.1209560419559901</v>
      </c>
      <c r="AE2167">
        <v>-6.1199999999985197E-2</v>
      </c>
      <c r="AF2167">
        <v>6.5827985200161906E-2</v>
      </c>
      <c r="AG2167">
        <v>-1.1209560419559901</v>
      </c>
      <c r="AH2167">
        <v>19.877869752117601</v>
      </c>
      <c r="AI2167">
        <v>93.227596736206905</v>
      </c>
      <c r="AJ2167">
        <v>89.810258745771307</v>
      </c>
      <c r="AK2167">
        <v>19.9095600567613</v>
      </c>
      <c r="AL2167">
        <v>93.775266916513402</v>
      </c>
      <c r="AM2167">
        <v>89.423037712780001</v>
      </c>
      <c r="AN2167">
        <v>1.00000000689577</v>
      </c>
    </row>
    <row r="2168" spans="1:40" x14ac:dyDescent="0.25">
      <c r="A2168" t="str">
        <f>"20190303154810401"</f>
        <v>20190303154810401</v>
      </c>
      <c r="B2168" t="str">
        <f>"1551599290392442"</f>
        <v>1551599290392442</v>
      </c>
      <c r="C2168" t="s">
        <v>40</v>
      </c>
      <c r="D2168">
        <v>5.6174080000000002</v>
      </c>
      <c r="E2168">
        <v>0.4971739</v>
      </c>
      <c r="F2168" t="s">
        <v>52</v>
      </c>
      <c r="G2168">
        <v>-336.68389999999999</v>
      </c>
      <c r="H2168" s="1">
        <v>2.0008279999999999E-6</v>
      </c>
      <c r="I2168">
        <v>285.05590000000001</v>
      </c>
      <c r="J2168">
        <v>-316.97669999999999</v>
      </c>
      <c r="K2168">
        <v>1.120808</v>
      </c>
      <c r="L2168">
        <v>285.13659999999999</v>
      </c>
      <c r="M2168">
        <v>-0.99991569999999996</v>
      </c>
      <c r="N2168">
        <v>-1.115056E-2</v>
      </c>
      <c r="O2168">
        <v>-6.6819669999999996E-3</v>
      </c>
      <c r="P2168">
        <v>-0.99696549999999995</v>
      </c>
      <c r="Q2168">
        <v>-7.784257E-2</v>
      </c>
      <c r="R2168">
        <v>7.1160020000000002E-4</v>
      </c>
      <c r="S2168">
        <v>-2.9960629999999999</v>
      </c>
      <c r="T2168">
        <v>-0.16776060000000001</v>
      </c>
      <c r="U2168">
        <v>-1.2390139999999999E-2</v>
      </c>
      <c r="V2168">
        <v>7.5040050000000002E-3</v>
      </c>
      <c r="W2168">
        <v>-6.6706779999999993E-2</v>
      </c>
      <c r="X2168">
        <v>0.99774439999999998</v>
      </c>
      <c r="Y2168">
        <v>2.5355040000000001E-3</v>
      </c>
      <c r="Z2168">
        <v>3.8446660000000002E-4</v>
      </c>
      <c r="AA2168">
        <v>0.99999669999999896</v>
      </c>
      <c r="AB2168">
        <v>43</v>
      </c>
      <c r="AC2168">
        <v>-19.7072</v>
      </c>
      <c r="AD2168">
        <v>-1.1208059991720001</v>
      </c>
      <c r="AE2168">
        <v>-8.06999999999789E-2</v>
      </c>
      <c r="AF2168">
        <v>5.0828420062458697E-2</v>
      </c>
      <c r="AG2168">
        <v>-1.1208059991720001</v>
      </c>
      <c r="AH2168">
        <v>19.643762006540101</v>
      </c>
      <c r="AI2168">
        <v>93.265550114685396</v>
      </c>
      <c r="AJ2168">
        <v>89.851746959234404</v>
      </c>
      <c r="AK2168">
        <v>19.6757763604299</v>
      </c>
      <c r="AL2168">
        <v>93.824857196255607</v>
      </c>
      <c r="AM2168">
        <v>89.569088326071196</v>
      </c>
      <c r="AN2168">
        <v>0.99999999616018398</v>
      </c>
    </row>
    <row r="2169" spans="1:40" x14ac:dyDescent="0.25">
      <c r="A2169" t="str">
        <f>"20190303154810413"</f>
        <v>20190303154810413</v>
      </c>
      <c r="B2169" t="str">
        <f>"1551599290403178"</f>
        <v>1551599290403178</v>
      </c>
      <c r="C2169" t="s">
        <v>40</v>
      </c>
      <c r="D2169">
        <v>5.5765979999999997</v>
      </c>
      <c r="E2169">
        <v>0.49721700000000002</v>
      </c>
      <c r="F2169" t="s">
        <v>52</v>
      </c>
      <c r="G2169">
        <v>-336.87790000000001</v>
      </c>
      <c r="H2169" s="1">
        <v>2.1064569999999999E-6</v>
      </c>
      <c r="I2169">
        <v>285.00099999999998</v>
      </c>
      <c r="J2169">
        <v>-317.22620000000001</v>
      </c>
      <c r="K2169">
        <v>1.120695</v>
      </c>
      <c r="L2169">
        <v>285.13490000000002</v>
      </c>
      <c r="M2169">
        <v>-0.99991640000000004</v>
      </c>
      <c r="N2169">
        <v>-1.097886E-2</v>
      </c>
      <c r="O2169">
        <v>-6.8443669999999996E-3</v>
      </c>
      <c r="P2169">
        <v>-0.99693209999999999</v>
      </c>
      <c r="Q2169">
        <v>-7.8267660000000003E-2</v>
      </c>
      <c r="R2169">
        <v>-7.7122499999999995E-4</v>
      </c>
      <c r="S2169">
        <v>-2.9959720000000001</v>
      </c>
      <c r="T2169">
        <v>-0.16872870000000001</v>
      </c>
      <c r="U2169">
        <v>-2.0416259999999999E-2</v>
      </c>
      <c r="V2169">
        <v>6.1699299999999997E-3</v>
      </c>
      <c r="W2169">
        <v>-6.7307329999999999E-2</v>
      </c>
      <c r="X2169">
        <v>0.99771319999999997</v>
      </c>
      <c r="Y2169" s="1">
        <v>2.329472E-5</v>
      </c>
      <c r="Z2169">
        <v>3.108362E-4</v>
      </c>
      <c r="AA2169">
        <v>0.99999990000000005</v>
      </c>
      <c r="AB2169">
        <v>43</v>
      </c>
      <c r="AC2169">
        <v>-19.651700000000002</v>
      </c>
      <c r="AD2169">
        <v>-1.1206928935430001</v>
      </c>
      <c r="AE2169">
        <v>-0.13390000000003899</v>
      </c>
      <c r="AF2169">
        <v>6.1268553864191001E-4</v>
      </c>
      <c r="AG2169">
        <v>-1.1206928935430001</v>
      </c>
      <c r="AH2169">
        <v>19.588454171380398</v>
      </c>
      <c r="AI2169">
        <v>93.274431514376204</v>
      </c>
      <c r="AJ2169">
        <v>89.998207908841906</v>
      </c>
      <c r="AK2169">
        <v>19.6204864812597</v>
      </c>
      <c r="AL2169">
        <v>93.859343720721199</v>
      </c>
      <c r="AM2169">
        <v>89.6456833059991</v>
      </c>
      <c r="AN2169">
        <v>0.99999998708108595</v>
      </c>
    </row>
    <row r="2170" spans="1:40" x14ac:dyDescent="0.25">
      <c r="A2170" t="str">
        <f>"20190303154810425"</f>
        <v>20190303154810425</v>
      </c>
      <c r="B2170" t="str">
        <f>"1551599290422699"</f>
        <v>1551599290422699</v>
      </c>
      <c r="C2170" t="s">
        <v>40</v>
      </c>
      <c r="D2170">
        <v>5.6417140000000003</v>
      </c>
      <c r="E2170">
        <v>0.49735259999999998</v>
      </c>
      <c r="F2170" t="s">
        <v>52</v>
      </c>
      <c r="G2170">
        <v>-337.01170000000002</v>
      </c>
      <c r="H2170" s="1">
        <v>2.1788849999999998E-6</v>
      </c>
      <c r="I2170">
        <v>284.97309999999999</v>
      </c>
      <c r="J2170">
        <v>-317.45609999999999</v>
      </c>
      <c r="K2170">
        <v>1.120595</v>
      </c>
      <c r="L2170">
        <v>285.13319999999999</v>
      </c>
      <c r="M2170">
        <v>-0.99991730000000001</v>
      </c>
      <c r="N2170">
        <v>-1.082023E-2</v>
      </c>
      <c r="O2170">
        <v>-6.9667720000000004E-3</v>
      </c>
      <c r="P2170">
        <v>-0.99688489999999996</v>
      </c>
      <c r="Q2170">
        <v>-7.8849719999999998E-2</v>
      </c>
      <c r="R2170">
        <v>-1.910894E-3</v>
      </c>
      <c r="S2170">
        <v>-2.9958499999999999</v>
      </c>
      <c r="T2170">
        <v>-0.16969119999999999</v>
      </c>
      <c r="U2170">
        <v>-2.4505619999999999E-2</v>
      </c>
      <c r="V2170">
        <v>5.1405979999999997E-3</v>
      </c>
      <c r="W2170">
        <v>-6.8050769999999997E-2</v>
      </c>
      <c r="X2170">
        <v>0.99766860000000002</v>
      </c>
      <c r="Y2170">
        <v>-1.217419E-3</v>
      </c>
      <c r="Z2170">
        <v>2.7790619999999998E-4</v>
      </c>
      <c r="AA2170">
        <v>0.99999919999999998</v>
      </c>
      <c r="AB2170">
        <v>43</v>
      </c>
      <c r="AC2170">
        <v>-19.555599999999998</v>
      </c>
      <c r="AD2170">
        <v>-1.120592821115</v>
      </c>
      <c r="AE2170">
        <v>-0.16009999999999899</v>
      </c>
      <c r="AF2170">
        <v>-2.37706979013452E-2</v>
      </c>
      <c r="AG2170">
        <v>-1.120592821115</v>
      </c>
      <c r="AH2170">
        <v>19.4922399185259</v>
      </c>
      <c r="AI2170">
        <v>93.290263147357194</v>
      </c>
      <c r="AJ2170">
        <v>90.069871907813805</v>
      </c>
      <c r="AK2170">
        <v>19.524438797522102</v>
      </c>
      <c r="AL2170">
        <v>93.902037598581501</v>
      </c>
      <c r="AM2170">
        <v>89.704779760490496</v>
      </c>
      <c r="AN2170">
        <v>0.99999998423567504</v>
      </c>
    </row>
    <row r="2171" spans="1:40" x14ac:dyDescent="0.25">
      <c r="A2171" t="str">
        <f>"20190303154810437"</f>
        <v>20190303154810437</v>
      </c>
      <c r="B2171" t="str">
        <f>"1551599290432825"</f>
        <v>1551599290432825</v>
      </c>
      <c r="C2171" t="s">
        <v>40</v>
      </c>
      <c r="D2171">
        <v>5.6397849999999998</v>
      </c>
      <c r="E2171">
        <v>0.49743090000000001</v>
      </c>
      <c r="F2171" t="s">
        <v>52</v>
      </c>
      <c r="G2171">
        <v>-337.0942</v>
      </c>
      <c r="H2171" s="1">
        <v>2.223486E-6</v>
      </c>
      <c r="I2171">
        <v>284.95780000000002</v>
      </c>
      <c r="J2171">
        <v>-317.69490000000002</v>
      </c>
      <c r="K2171">
        <v>1.1204940000000001</v>
      </c>
      <c r="L2171">
        <v>285.13159999999999</v>
      </c>
      <c r="M2171">
        <v>-0.99991839999999999</v>
      </c>
      <c r="N2171">
        <v>-1.065493E-2</v>
      </c>
      <c r="O2171">
        <v>-7.0544040000000002E-3</v>
      </c>
      <c r="P2171">
        <v>-0.99684099999999998</v>
      </c>
      <c r="Q2171">
        <v>-7.9369739999999994E-2</v>
      </c>
      <c r="R2171">
        <v>-2.9384319999999999E-3</v>
      </c>
      <c r="S2171">
        <v>-2.9957579999999999</v>
      </c>
      <c r="T2171">
        <v>-0.17094409999999999</v>
      </c>
      <c r="U2171">
        <v>-2.676392E-2</v>
      </c>
      <c r="V2171">
        <v>4.1884840000000001E-3</v>
      </c>
      <c r="W2171">
        <v>-6.873833E-2</v>
      </c>
      <c r="X2171">
        <v>0.99762589999999995</v>
      </c>
      <c r="Y2171">
        <v>-1.8827900000000001E-3</v>
      </c>
      <c r="Z2171">
        <v>2.6336790000000001E-4</v>
      </c>
      <c r="AA2171">
        <v>0.99999819999999995</v>
      </c>
      <c r="AB2171">
        <v>43</v>
      </c>
      <c r="AC2171">
        <v>-19.399299999999901</v>
      </c>
      <c r="AD2171">
        <v>-1.1204917765139999</v>
      </c>
      <c r="AE2171">
        <v>-0.17379999999997101</v>
      </c>
      <c r="AF2171">
        <v>-3.6814604255668203E-2</v>
      </c>
      <c r="AG2171">
        <v>-1.1204917765139999</v>
      </c>
      <c r="AH2171">
        <v>19.3355423230906</v>
      </c>
      <c r="AI2171">
        <v>93.316566591909407</v>
      </c>
      <c r="AJ2171">
        <v>90.109090237252005</v>
      </c>
      <c r="AK2171">
        <v>19.3680162655949</v>
      </c>
      <c r="AL2171">
        <v>93.941524410886501</v>
      </c>
      <c r="AM2171">
        <v>89.759447859446595</v>
      </c>
      <c r="AN2171">
        <v>0.999999968880108</v>
      </c>
    </row>
    <row r="2172" spans="1:40" x14ac:dyDescent="0.25">
      <c r="A2172" t="str">
        <f>"20190303154810450"</f>
        <v>20190303154810450</v>
      </c>
      <c r="B2172" t="str">
        <f>"1551599290442556"</f>
        <v>1551599290442556</v>
      </c>
      <c r="C2172" t="s">
        <v>40</v>
      </c>
      <c r="D2172">
        <v>5.6409710000000004</v>
      </c>
      <c r="E2172">
        <v>0.49748949999999997</v>
      </c>
      <c r="F2172" t="s">
        <v>52</v>
      </c>
      <c r="G2172">
        <v>-337.1918</v>
      </c>
      <c r="H2172" s="1">
        <v>2.2761309999999999E-6</v>
      </c>
      <c r="I2172">
        <v>284.94150000000002</v>
      </c>
      <c r="J2172">
        <v>-317.935</v>
      </c>
      <c r="K2172">
        <v>1.120398</v>
      </c>
      <c r="L2172">
        <v>285.12990000000002</v>
      </c>
      <c r="M2172">
        <v>-0.99991980000000003</v>
      </c>
      <c r="N2172">
        <v>-1.0492019999999999E-2</v>
      </c>
      <c r="O2172">
        <v>-7.093294E-3</v>
      </c>
      <c r="P2172">
        <v>-0.99679390000000001</v>
      </c>
      <c r="Q2172">
        <v>-7.9930290000000001E-2</v>
      </c>
      <c r="R2172">
        <v>-3.6423419999999998E-3</v>
      </c>
      <c r="S2172">
        <v>-2.9956969999999998</v>
      </c>
      <c r="T2172">
        <v>-0.1721636</v>
      </c>
      <c r="U2172">
        <v>-2.920532E-2</v>
      </c>
      <c r="V2172">
        <v>3.5117569999999999E-3</v>
      </c>
      <c r="W2172">
        <v>-6.9463360000000002E-2</v>
      </c>
      <c r="X2172">
        <v>0.99757830000000003</v>
      </c>
      <c r="Y2172">
        <v>-2.6576690000000001E-3</v>
      </c>
      <c r="Z2172">
        <v>2.4266749999999999E-4</v>
      </c>
      <c r="AA2172">
        <v>0.99999640000000001</v>
      </c>
      <c r="AB2172">
        <v>43</v>
      </c>
      <c r="AC2172">
        <v>-19.256799999999998</v>
      </c>
      <c r="AD2172">
        <v>-1.1203957238689899</v>
      </c>
      <c r="AE2172">
        <v>-0.18840000000000101</v>
      </c>
      <c r="AF2172">
        <v>-5.1618877583287398E-2</v>
      </c>
      <c r="AG2172">
        <v>-1.1203957238689899</v>
      </c>
      <c r="AH2172">
        <v>19.192688517637698</v>
      </c>
      <c r="AI2172">
        <v>93.340904745543696</v>
      </c>
      <c r="AJ2172">
        <v>90.154097050809497</v>
      </c>
      <c r="AK2172">
        <v>19.225432208968599</v>
      </c>
      <c r="AL2172">
        <v>93.983165071441107</v>
      </c>
      <c r="AM2172">
        <v>89.798303528024704</v>
      </c>
      <c r="AN2172">
        <v>0.99999997772530302</v>
      </c>
    </row>
    <row r="2173" spans="1:40" x14ac:dyDescent="0.25">
      <c r="A2173" t="str">
        <f>"20190303154810467"</f>
        <v>20190303154810467</v>
      </c>
      <c r="B2173" t="str">
        <f>"1551599290463052"</f>
        <v>1551599290463052</v>
      </c>
      <c r="C2173" t="s">
        <v>40</v>
      </c>
      <c r="D2173">
        <v>5.6300369999999997</v>
      </c>
      <c r="E2173">
        <v>0.49762319999999999</v>
      </c>
      <c r="F2173" t="s">
        <v>52</v>
      </c>
      <c r="G2173">
        <v>-337.2876</v>
      </c>
      <c r="H2173" s="1">
        <v>2.3276220000000001E-6</v>
      </c>
      <c r="I2173">
        <v>284.93</v>
      </c>
      <c r="J2173">
        <v>-318.2681</v>
      </c>
      <c r="K2173">
        <v>1.1202669999999999</v>
      </c>
      <c r="L2173">
        <v>285.1275</v>
      </c>
      <c r="M2173">
        <v>-0.99992219999999998</v>
      </c>
      <c r="N2173">
        <v>-1.0271310000000001E-2</v>
      </c>
      <c r="O2173">
        <v>-7.1003730000000001E-3</v>
      </c>
      <c r="P2173">
        <v>-0.99673319999999999</v>
      </c>
      <c r="Q2173">
        <v>-8.0649949999999998E-2</v>
      </c>
      <c r="R2173">
        <v>-4.344016E-3</v>
      </c>
      <c r="S2173">
        <v>-2.9956670000000001</v>
      </c>
      <c r="T2173">
        <v>-0.1734301</v>
      </c>
      <c r="U2173">
        <v>-3.0944820000000001E-2</v>
      </c>
      <c r="V2173">
        <v>2.8016460000000001E-3</v>
      </c>
      <c r="W2173">
        <v>-7.0405229999999999E-2</v>
      </c>
      <c r="X2173">
        <v>0.99751449999999997</v>
      </c>
      <c r="Y2173">
        <v>-3.2303570000000001E-3</v>
      </c>
      <c r="Z2173">
        <v>2.2778929999999999E-4</v>
      </c>
      <c r="AA2173">
        <v>0.99999479999999996</v>
      </c>
      <c r="AB2173">
        <v>43</v>
      </c>
      <c r="AC2173">
        <v>-19.019499999999901</v>
      </c>
      <c r="AD2173">
        <v>-1.1202646723780001</v>
      </c>
      <c r="AE2173">
        <v>-0.19749999999998999</v>
      </c>
      <c r="AF2173">
        <v>-6.2226514331592903E-2</v>
      </c>
      <c r="AG2173">
        <v>-1.1202646723780001</v>
      </c>
      <c r="AH2173">
        <v>18.954670369365299</v>
      </c>
      <c r="AI2173">
        <v>93.382359693685402</v>
      </c>
      <c r="AJ2173">
        <v>90.188096324927002</v>
      </c>
      <c r="AK2173">
        <v>18.987848584991301</v>
      </c>
      <c r="AL2173">
        <v>94.037262768105407</v>
      </c>
      <c r="AM2173">
        <v>89.839077958862703</v>
      </c>
      <c r="AN2173">
        <v>0.99999996167095495</v>
      </c>
    </row>
    <row r="2174" spans="1:40" x14ac:dyDescent="0.25">
      <c r="A2174" t="str">
        <f>"20190303154810491"</f>
        <v>20190303154810491</v>
      </c>
      <c r="B2174" t="str">
        <f>"1551599290482572"</f>
        <v>1551599290482572</v>
      </c>
      <c r="C2174" t="s">
        <v>40</v>
      </c>
      <c r="D2174">
        <v>5.6554739999999999</v>
      </c>
      <c r="E2174">
        <v>0.49782949999999998</v>
      </c>
      <c r="F2174" t="s">
        <v>52</v>
      </c>
      <c r="G2174">
        <v>-337.48430000000002</v>
      </c>
      <c r="H2174" s="1">
        <v>2.4325419999999999E-6</v>
      </c>
      <c r="I2174">
        <v>284.92329999999998</v>
      </c>
      <c r="J2174">
        <v>-318.73079999999999</v>
      </c>
      <c r="K2174">
        <v>1.1201080000000001</v>
      </c>
      <c r="L2174">
        <v>285.12430000000001</v>
      </c>
      <c r="M2174">
        <v>-0.99992559999999997</v>
      </c>
      <c r="N2174">
        <v>-9.9820589999999997E-3</v>
      </c>
      <c r="O2174">
        <v>-7.0185550000000001E-3</v>
      </c>
      <c r="P2174">
        <v>-0.99668909999999999</v>
      </c>
      <c r="Q2174">
        <v>-8.1235269999999998E-2</v>
      </c>
      <c r="R2174">
        <v>-3.480178E-3</v>
      </c>
      <c r="S2174">
        <v>-2.9955750000000001</v>
      </c>
      <c r="T2174">
        <v>-0.17463589999999901</v>
      </c>
      <c r="U2174">
        <v>-3.1829830000000003E-2</v>
      </c>
      <c r="V2174">
        <v>3.5641510000000002E-3</v>
      </c>
      <c r="W2174">
        <v>-7.1279819999999994E-2</v>
      </c>
      <c r="X2174">
        <v>0.99744999999999995</v>
      </c>
      <c r="Y2174">
        <v>-3.6072579999999999E-3</v>
      </c>
      <c r="Z2174">
        <v>2.1571280000000001E-4</v>
      </c>
      <c r="AA2174">
        <v>0.99999340000000003</v>
      </c>
      <c r="AB2174">
        <v>44</v>
      </c>
      <c r="AC2174">
        <v>-18.753499999999999</v>
      </c>
      <c r="AD2174">
        <v>-1.1201055674580001</v>
      </c>
      <c r="AE2174">
        <v>-0.201000000000021</v>
      </c>
      <c r="AF2174">
        <v>-6.9119477327132806E-2</v>
      </c>
      <c r="AG2174">
        <v>-1.1201055674580001</v>
      </c>
      <c r="AH2174">
        <v>18.687789464944199</v>
      </c>
      <c r="AI2174">
        <v>93.430057702059699</v>
      </c>
      <c r="AJ2174">
        <v>90.211915715438494</v>
      </c>
      <c r="AK2174">
        <v>18.721455313903299</v>
      </c>
      <c r="AL2174">
        <v>94.087499111538307</v>
      </c>
      <c r="AM2174">
        <v>89.795267992662602</v>
      </c>
      <c r="AN2174">
        <v>1.0000000092057899</v>
      </c>
    </row>
    <row r="2175" spans="1:40" x14ac:dyDescent="0.25">
      <c r="A2175" t="str">
        <f>"20190303154810506"</f>
        <v>20190303154810506</v>
      </c>
      <c r="B2175" t="str">
        <f>"1551599290503068"</f>
        <v>1551599290503068</v>
      </c>
      <c r="C2175" t="s">
        <v>40</v>
      </c>
      <c r="D2175">
        <v>5.6733159999999998</v>
      </c>
      <c r="E2175">
        <v>0.49795850000000003</v>
      </c>
      <c r="F2175" t="s">
        <v>52</v>
      </c>
      <c r="G2175">
        <v>-337.86439999999999</v>
      </c>
      <c r="H2175" s="1">
        <v>2.6337599999999998E-6</v>
      </c>
      <c r="I2175">
        <v>284.94830000000002</v>
      </c>
      <c r="J2175">
        <v>-319.02690000000001</v>
      </c>
      <c r="K2175">
        <v>1.12002</v>
      </c>
      <c r="L2175">
        <v>285.12240000000003</v>
      </c>
      <c r="M2175">
        <v>-0.99992789999999998</v>
      </c>
      <c r="N2175">
        <v>-9.8094399999999991E-3</v>
      </c>
      <c r="O2175">
        <v>-6.9284680000000001E-3</v>
      </c>
      <c r="P2175">
        <v>-0.99667810000000001</v>
      </c>
      <c r="Q2175">
        <v>-8.1394460000000002E-2</v>
      </c>
      <c r="R2175">
        <v>-2.825166E-3</v>
      </c>
      <c r="S2175">
        <v>-2.9955440000000002</v>
      </c>
      <c r="T2175">
        <v>-0.1753625</v>
      </c>
      <c r="U2175">
        <v>-2.7557370000000001E-2</v>
      </c>
      <c r="V2175">
        <v>4.1178819999999998E-3</v>
      </c>
      <c r="W2175">
        <v>-7.1611610000000006E-2</v>
      </c>
      <c r="X2175">
        <v>0.99742410000000004</v>
      </c>
      <c r="Y2175">
        <v>-2.2740080000000001E-3</v>
      </c>
      <c r="Z2175">
        <v>2.5965379999999999E-4</v>
      </c>
      <c r="AA2175">
        <v>0.99999740000000004</v>
      </c>
      <c r="AB2175">
        <v>44</v>
      </c>
      <c r="AC2175">
        <v>-18.837499999999899</v>
      </c>
      <c r="AD2175">
        <v>-1.1200173662399999</v>
      </c>
      <c r="AE2175">
        <v>-0.174100000000009</v>
      </c>
      <c r="AF2175">
        <v>-4.3421042164191903E-2</v>
      </c>
      <c r="AG2175">
        <v>-1.1200173662399999</v>
      </c>
      <c r="AH2175">
        <v>18.771899052976799</v>
      </c>
      <c r="AI2175">
        <v>93.414471329150999</v>
      </c>
      <c r="AJ2175">
        <v>90.132529906222999</v>
      </c>
      <c r="AK2175">
        <v>18.805332178473499</v>
      </c>
      <c r="AL2175">
        <v>94.106557990504299</v>
      </c>
      <c r="AM2175">
        <v>89.763454764470495</v>
      </c>
      <c r="AN2175">
        <v>1.00000000744988</v>
      </c>
    </row>
    <row r="2176" spans="1:40" x14ac:dyDescent="0.25">
      <c r="A2176" t="str">
        <f>"20190303154810523"</f>
        <v>20190303154810523</v>
      </c>
      <c r="B2176" t="str">
        <f>"1551599290512828"</f>
        <v>1551599290512828</v>
      </c>
      <c r="C2176" t="s">
        <v>40</v>
      </c>
      <c r="D2176">
        <v>5.6790669999999999</v>
      </c>
      <c r="E2176">
        <v>0.49804999999999999</v>
      </c>
      <c r="F2176" t="s">
        <v>52</v>
      </c>
      <c r="G2176">
        <v>-338.2362</v>
      </c>
      <c r="H2176" s="1">
        <v>2.830883E-6</v>
      </c>
      <c r="I2176">
        <v>284.96519999999998</v>
      </c>
      <c r="J2176">
        <v>-319.35610000000003</v>
      </c>
      <c r="K2176">
        <v>1.119931</v>
      </c>
      <c r="L2176">
        <v>285.12009999999998</v>
      </c>
      <c r="M2176">
        <v>-0.9999306</v>
      </c>
      <c r="N2176">
        <v>-9.6302669999999996E-3</v>
      </c>
      <c r="O2176">
        <v>-6.8024050000000001E-3</v>
      </c>
      <c r="P2176">
        <v>-0.99666770000000005</v>
      </c>
      <c r="Q2176">
        <v>-8.1569279999999994E-2</v>
      </c>
      <c r="R2176">
        <v>-6.6645039999999902E-4</v>
      </c>
      <c r="S2176">
        <v>-2.9956670000000001</v>
      </c>
      <c r="T2176">
        <v>-0.17466470000000001</v>
      </c>
      <c r="U2176">
        <v>-2.4505619999999999E-2</v>
      </c>
      <c r="V2176">
        <v>6.1391120000000004E-3</v>
      </c>
      <c r="W2176">
        <v>-7.1965319999999999E-2</v>
      </c>
      <c r="X2176">
        <v>0.99738819999999995</v>
      </c>
      <c r="Y2176">
        <v>-1.3827139999999999E-3</v>
      </c>
      <c r="Z2176">
        <v>2.8386770000000001E-4</v>
      </c>
      <c r="AA2176">
        <v>0.99999899999999997</v>
      </c>
      <c r="AB2176">
        <v>44</v>
      </c>
      <c r="AC2176">
        <v>-18.880099999999899</v>
      </c>
      <c r="AD2176">
        <v>-1.119928169117</v>
      </c>
      <c r="AE2176">
        <v>-0.15489999999999701</v>
      </c>
      <c r="AF2176">
        <v>-2.6367616171474699E-2</v>
      </c>
      <c r="AG2176">
        <v>-1.119928169117</v>
      </c>
      <c r="AH2176">
        <v>18.814520280641201</v>
      </c>
      <c r="AI2176">
        <v>93.406489721803297</v>
      </c>
      <c r="AJ2176">
        <v>90.080297138106204</v>
      </c>
      <c r="AK2176">
        <v>18.847840930616499</v>
      </c>
      <c r="AL2176">
        <v>94.126876706216606</v>
      </c>
      <c r="AM2176">
        <v>89.647338152239797</v>
      </c>
      <c r="AN2176">
        <v>0.99999995873904401</v>
      </c>
    </row>
    <row r="2177" spans="1:40" x14ac:dyDescent="0.25">
      <c r="A2177" t="str">
        <f>"20190303154810534"</f>
        <v>20190303154810534</v>
      </c>
      <c r="B2177" t="str">
        <f>"1551599290522588"</f>
        <v>1551599290522588</v>
      </c>
      <c r="C2177" t="s">
        <v>40</v>
      </c>
      <c r="D2177">
        <v>5.7215680000000004</v>
      </c>
      <c r="E2177">
        <v>0.49817230000000001</v>
      </c>
      <c r="F2177" t="s">
        <v>52</v>
      </c>
      <c r="G2177">
        <v>-338.55709999999999</v>
      </c>
      <c r="H2177" s="1">
        <v>2.9996620000000001E-6</v>
      </c>
      <c r="I2177">
        <v>285.0104</v>
      </c>
      <c r="J2177">
        <v>-319.58760000000001</v>
      </c>
      <c r="K2177">
        <v>1.119875</v>
      </c>
      <c r="L2177">
        <v>285.11860000000001</v>
      </c>
      <c r="M2177">
        <v>-0.9999323</v>
      </c>
      <c r="N2177">
        <v>-9.5148160000000006E-3</v>
      </c>
      <c r="O2177">
        <v>-6.6998910000000004E-3</v>
      </c>
      <c r="P2177">
        <v>-0.99665780000000004</v>
      </c>
      <c r="Q2177">
        <v>-8.1689769999999995E-2</v>
      </c>
      <c r="R2177">
        <v>2.6807669999999998E-4</v>
      </c>
      <c r="S2177">
        <v>-2.9957280000000002</v>
      </c>
      <c r="T2177">
        <v>-0.1747301</v>
      </c>
      <c r="U2177">
        <v>-1.7120360000000001E-2</v>
      </c>
      <c r="V2177">
        <v>6.964151E-3</v>
      </c>
      <c r="W2177">
        <v>-7.2201550000000003E-2</v>
      </c>
      <c r="X2177">
        <v>0.99736579999999997</v>
      </c>
      <c r="Y2177">
        <v>9.75478E-4</v>
      </c>
      <c r="Z2177">
        <v>3.598063E-4</v>
      </c>
      <c r="AA2177">
        <v>0.99999950000000004</v>
      </c>
      <c r="AB2177">
        <v>44</v>
      </c>
      <c r="AC2177">
        <v>-18.969499999999901</v>
      </c>
      <c r="AD2177">
        <v>-1.1198720003380001</v>
      </c>
      <c r="AE2177">
        <v>-0.10820000000001</v>
      </c>
      <c r="AF2177">
        <v>1.8836117759915699E-2</v>
      </c>
      <c r="AG2177">
        <v>-1.1198720003380001</v>
      </c>
      <c r="AH2177">
        <v>18.903917779956199</v>
      </c>
      <c r="AI2177">
        <v>93.390249939213604</v>
      </c>
      <c r="AJ2177">
        <v>89.942909734085305</v>
      </c>
      <c r="AK2177">
        <v>18.937068820908301</v>
      </c>
      <c r="AL2177">
        <v>94.140446607318907</v>
      </c>
      <c r="AM2177">
        <v>89.599936176299806</v>
      </c>
      <c r="AN2177">
        <v>1.00000005111559</v>
      </c>
    </row>
    <row r="2178" spans="1:40" x14ac:dyDescent="0.25">
      <c r="A2178" t="str">
        <f>"20190303154810546"</f>
        <v>20190303154810546</v>
      </c>
      <c r="B2178" t="str">
        <f>"1551599290543084"</f>
        <v>1551599290543084</v>
      </c>
      <c r="C2178" t="s">
        <v>40</v>
      </c>
      <c r="D2178">
        <v>5.6857059999999997</v>
      </c>
      <c r="E2178">
        <v>0.49837589999999998</v>
      </c>
      <c r="F2178" t="s">
        <v>52</v>
      </c>
      <c r="G2178">
        <v>-338.80079999999998</v>
      </c>
      <c r="H2178" s="1">
        <v>3.128363E-6</v>
      </c>
      <c r="I2178">
        <v>285.03289999999998</v>
      </c>
      <c r="J2178">
        <v>-319.81880000000001</v>
      </c>
      <c r="K2178">
        <v>1.119823</v>
      </c>
      <c r="L2178">
        <v>285.11709999999999</v>
      </c>
      <c r="M2178">
        <v>-0.99993399999999999</v>
      </c>
      <c r="N2178">
        <v>-9.405877E-3</v>
      </c>
      <c r="O2178">
        <v>-6.5918629999999999E-3</v>
      </c>
      <c r="P2178">
        <v>-0.99663789999999997</v>
      </c>
      <c r="Q2178">
        <v>-8.1922460000000003E-2</v>
      </c>
      <c r="R2178">
        <v>1.3148599999999999E-3</v>
      </c>
      <c r="S2178">
        <v>-2.9957579999999999</v>
      </c>
      <c r="T2178">
        <v>-0.1746124</v>
      </c>
      <c r="U2178">
        <v>-1.33667E-2</v>
      </c>
      <c r="V2178">
        <v>7.8962069999999902E-3</v>
      </c>
      <c r="W2178">
        <v>-7.2543650000000001E-2</v>
      </c>
      <c r="X2178">
        <v>0.99733400000000005</v>
      </c>
      <c r="Y2178">
        <v>2.1183109999999999E-3</v>
      </c>
      <c r="Z2178">
        <v>3.935802E-4</v>
      </c>
      <c r="AA2178">
        <v>0.99999769999999999</v>
      </c>
      <c r="AB2178">
        <v>44</v>
      </c>
      <c r="AC2178">
        <v>-18.9819999999999</v>
      </c>
      <c r="AD2178">
        <v>-1.119819871637</v>
      </c>
      <c r="AE2178">
        <v>-8.4200000000009795E-2</v>
      </c>
      <c r="AF2178">
        <v>4.0792148199363901E-2</v>
      </c>
      <c r="AG2178">
        <v>-1.119819871637</v>
      </c>
      <c r="AH2178">
        <v>18.916310119243999</v>
      </c>
      <c r="AI2178">
        <v>93.387870591862395</v>
      </c>
      <c r="AJ2178">
        <v>89.876444492004097</v>
      </c>
      <c r="AK2178">
        <v>18.949470944374202</v>
      </c>
      <c r="AL2178">
        <v>94.160099159989599</v>
      </c>
      <c r="AM2178">
        <v>89.546380768643601</v>
      </c>
      <c r="AN2178">
        <v>1.00000001939815</v>
      </c>
    </row>
    <row r="2179" spans="1:40" x14ac:dyDescent="0.25">
      <c r="A2179" t="str">
        <f>"20190303154810558"</f>
        <v>20190303154810558</v>
      </c>
      <c r="B2179" t="str">
        <f>"1551599290552844"</f>
        <v>1551599290552844</v>
      </c>
      <c r="C2179" t="s">
        <v>40</v>
      </c>
      <c r="D2179">
        <v>5.692901</v>
      </c>
      <c r="E2179">
        <v>0.49843419999999999</v>
      </c>
      <c r="F2179" t="s">
        <v>52</v>
      </c>
      <c r="G2179">
        <v>-339.05869999999999</v>
      </c>
      <c r="H2179" s="1">
        <v>3.2643700000000001E-6</v>
      </c>
      <c r="I2179">
        <v>285.0609</v>
      </c>
      <c r="J2179">
        <v>-320.05810000000002</v>
      </c>
      <c r="K2179">
        <v>1.119775</v>
      </c>
      <c r="L2179">
        <v>285.11559999999997</v>
      </c>
      <c r="M2179">
        <v>-0.99993580000000004</v>
      </c>
      <c r="N2179">
        <v>-9.2993009999999994E-3</v>
      </c>
      <c r="O2179">
        <v>-6.4745860000000001E-3</v>
      </c>
      <c r="P2179">
        <v>-0.99661219999999995</v>
      </c>
      <c r="Q2179">
        <v>-8.2205879999999995E-2</v>
      </c>
      <c r="R2179">
        <v>2.5141360000000001E-3</v>
      </c>
      <c r="S2179">
        <v>-2.9957889999999998</v>
      </c>
      <c r="T2179">
        <v>-0.17436409999999999</v>
      </c>
      <c r="U2179">
        <v>-8.7585449999999995E-3</v>
      </c>
      <c r="V2179">
        <v>8.9716550000000003E-3</v>
      </c>
      <c r="W2179">
        <v>-7.2934280000000004E-2</v>
      </c>
      <c r="X2179">
        <v>0.99729639999999997</v>
      </c>
      <c r="Y2179">
        <v>3.536614E-3</v>
      </c>
      <c r="Z2179">
        <v>4.3564470000000003E-4</v>
      </c>
      <c r="AA2179">
        <v>0.99999360000000004</v>
      </c>
      <c r="AB2179">
        <v>44</v>
      </c>
      <c r="AC2179">
        <v>-19.000599999999899</v>
      </c>
      <c r="AD2179">
        <v>-1.1197717356300001</v>
      </c>
      <c r="AE2179">
        <v>-5.4699999999968399E-2</v>
      </c>
      <c r="AF2179">
        <v>6.8090996150007396E-2</v>
      </c>
      <c r="AG2179">
        <v>-1.1197717356300001</v>
      </c>
      <c r="AH2179">
        <v>18.934792924535099</v>
      </c>
      <c r="AI2179">
        <v>93.384412153231196</v>
      </c>
      <c r="AJ2179">
        <v>89.793960784208906</v>
      </c>
      <c r="AK2179">
        <v>18.967996947983199</v>
      </c>
      <c r="AL2179">
        <v>94.182540117601206</v>
      </c>
      <c r="AM2179">
        <v>89.484582416218302</v>
      </c>
      <c r="AN2179">
        <v>1.00000000462275</v>
      </c>
    </row>
    <row r="2180" spans="1:40" x14ac:dyDescent="0.25">
      <c r="A2180" t="str">
        <f>"20190303154810572"</f>
        <v>20190303154810572</v>
      </c>
      <c r="B2180" t="str">
        <f>"1551599290562604"</f>
        <v>1551599290562604</v>
      </c>
      <c r="C2180" t="s">
        <v>40</v>
      </c>
      <c r="D2180">
        <v>5.69163</v>
      </c>
      <c r="E2180">
        <v>0.49851580000000001</v>
      </c>
      <c r="F2180" t="s">
        <v>52</v>
      </c>
      <c r="G2180">
        <v>-339.27109999999999</v>
      </c>
      <c r="H2180" s="1">
        <v>3.3762840000000002E-6</v>
      </c>
      <c r="I2180">
        <v>285.08580000000001</v>
      </c>
      <c r="J2180">
        <v>-320.3109</v>
      </c>
      <c r="K2180">
        <v>1.1197330000000001</v>
      </c>
      <c r="L2180">
        <v>285.11399999999998</v>
      </c>
      <c r="M2180">
        <v>-0.99993770000000004</v>
      </c>
      <c r="N2180">
        <v>-9.1976669999999996E-3</v>
      </c>
      <c r="O2180">
        <v>-6.3442630000000002E-3</v>
      </c>
      <c r="P2180">
        <v>-0.99658250000000004</v>
      </c>
      <c r="Q2180">
        <v>-8.2533099999999998E-2</v>
      </c>
      <c r="R2180">
        <v>3.423312E-3</v>
      </c>
      <c r="S2180">
        <v>-2.995819</v>
      </c>
      <c r="T2180">
        <v>-0.1746027</v>
      </c>
      <c r="U2180">
        <v>-4.6386719999999999E-3</v>
      </c>
      <c r="V2180">
        <v>9.7446310000000001E-3</v>
      </c>
      <c r="W2180">
        <v>-7.3363960000000006E-2</v>
      </c>
      <c r="X2180">
        <v>0.99725759999999997</v>
      </c>
      <c r="Y2180">
        <v>4.7791459999999997E-3</v>
      </c>
      <c r="Z2180">
        <v>4.7228070000000002E-4</v>
      </c>
      <c r="AA2180">
        <v>0.99998849999999995</v>
      </c>
      <c r="AB2180">
        <v>44</v>
      </c>
      <c r="AC2180">
        <v>-18.960199999999901</v>
      </c>
      <c r="AD2180">
        <v>-1.1197296237159999</v>
      </c>
      <c r="AE2180">
        <v>-2.82000000000266E-2</v>
      </c>
      <c r="AF2180">
        <v>9.1774055493780995E-2</v>
      </c>
      <c r="AG2180">
        <v>-1.1197296237159999</v>
      </c>
      <c r="AH2180">
        <v>18.894100290606598</v>
      </c>
      <c r="AI2180">
        <v>93.391538944969099</v>
      </c>
      <c r="AJ2180">
        <v>89.721700180736704</v>
      </c>
      <c r="AK2180">
        <v>18.927473225420002</v>
      </c>
      <c r="AL2180">
        <v>94.207225225427194</v>
      </c>
      <c r="AM2180">
        <v>89.440156224011602</v>
      </c>
      <c r="AN2180">
        <v>0.99999997460898304</v>
      </c>
    </row>
    <row r="2181" spans="1:40" x14ac:dyDescent="0.25">
      <c r="A2181" t="str">
        <f>"20190303154810584"</f>
        <v>20190303154810584</v>
      </c>
      <c r="B2181" t="str">
        <f>"1551599290573341"</f>
        <v>1551599290573341</v>
      </c>
      <c r="C2181" t="s">
        <v>40</v>
      </c>
      <c r="D2181">
        <v>5.7050150000000004</v>
      </c>
      <c r="E2181">
        <v>0.49856980000000001</v>
      </c>
      <c r="F2181" t="s">
        <v>52</v>
      </c>
      <c r="G2181">
        <v>-339.48090000000002</v>
      </c>
      <c r="H2181" s="1">
        <v>3.4871110000000001E-6</v>
      </c>
      <c r="I2181">
        <v>285.10520000000002</v>
      </c>
      <c r="J2181">
        <v>-320.54610000000002</v>
      </c>
      <c r="K2181">
        <v>1.1196950000000001</v>
      </c>
      <c r="L2181">
        <v>285.11250000000001</v>
      </c>
      <c r="M2181">
        <v>-0.99993929999999998</v>
      </c>
      <c r="N2181">
        <v>-9.107614E-3</v>
      </c>
      <c r="O2181">
        <v>-6.2210859999999998E-3</v>
      </c>
      <c r="P2181">
        <v>-0.99659540000000002</v>
      </c>
      <c r="Q2181">
        <v>-8.2334829999999998E-2</v>
      </c>
      <c r="R2181">
        <v>4.3613940000000002E-3</v>
      </c>
      <c r="S2181">
        <v>-2.9957579999999999</v>
      </c>
      <c r="T2181">
        <v>-0.1749841</v>
      </c>
      <c r="U2181">
        <v>-1.373291E-3</v>
      </c>
      <c r="V2181">
        <v>1.0554549999999999E-2</v>
      </c>
      <c r="W2181">
        <v>-7.3256230000000006E-2</v>
      </c>
      <c r="X2181">
        <v>0.99725730000000001</v>
      </c>
      <c r="Y2181">
        <v>5.7440649999999996E-3</v>
      </c>
      <c r="Z2181">
        <v>5.0024420000000002E-4</v>
      </c>
      <c r="AA2181">
        <v>0.99998339999999997</v>
      </c>
      <c r="AB2181">
        <v>44</v>
      </c>
      <c r="AC2181">
        <v>-18.934799999999999</v>
      </c>
      <c r="AD2181">
        <v>-1.1196915128889999</v>
      </c>
      <c r="AE2181">
        <v>-7.2999999999865299E-3</v>
      </c>
      <c r="AF2181">
        <v>0.110114977248637</v>
      </c>
      <c r="AG2181">
        <v>-1.1196915128889999</v>
      </c>
      <c r="AH2181">
        <v>18.868498929301399</v>
      </c>
      <c r="AI2181">
        <v>93.395996879817204</v>
      </c>
      <c r="AJ2181">
        <v>89.665630432106497</v>
      </c>
      <c r="AK2181">
        <v>18.9020127562463</v>
      </c>
      <c r="AL2181">
        <v>94.201035998415406</v>
      </c>
      <c r="AM2181">
        <v>89.393628312267197</v>
      </c>
      <c r="AN2181">
        <v>0.99999999808140205</v>
      </c>
    </row>
    <row r="2182" spans="1:40" x14ac:dyDescent="0.25">
      <c r="A2182" t="str">
        <f>"20190303154810597"</f>
        <v>20190303154810597</v>
      </c>
      <c r="B2182" t="str">
        <f>"1551599290592860"</f>
        <v>1551599290592860</v>
      </c>
      <c r="C2182" t="s">
        <v>40</v>
      </c>
      <c r="D2182">
        <v>5.6912289999999999</v>
      </c>
      <c r="E2182">
        <v>0.49869429999999998</v>
      </c>
      <c r="F2182" t="s">
        <v>52</v>
      </c>
      <c r="G2182">
        <v>-339.82690000000002</v>
      </c>
      <c r="H2182" s="1">
        <v>3.6703630000000001E-6</v>
      </c>
      <c r="I2182">
        <v>285.12450000000001</v>
      </c>
      <c r="J2182">
        <v>-320.81670000000003</v>
      </c>
      <c r="K2182">
        <v>1.1196539999999999</v>
      </c>
      <c r="L2182">
        <v>285.11090000000002</v>
      </c>
      <c r="M2182">
        <v>-0.99994099999999997</v>
      </c>
      <c r="N2182">
        <v>-9.0134829999999992E-3</v>
      </c>
      <c r="O2182">
        <v>-6.0760730000000004E-3</v>
      </c>
      <c r="P2182">
        <v>-0.99662269999999997</v>
      </c>
      <c r="Q2182">
        <v>-8.1961500000000007E-2</v>
      </c>
      <c r="R2182">
        <v>5.0609069999999999E-3</v>
      </c>
      <c r="S2182">
        <v>-2.9958800000000001</v>
      </c>
      <c r="T2182">
        <v>-0.17397979999999999</v>
      </c>
      <c r="U2182">
        <v>1.8615719999999999E-3</v>
      </c>
      <c r="V2182">
        <v>1.11039E-2</v>
      </c>
      <c r="W2182">
        <v>-7.2977539999999994E-2</v>
      </c>
      <c r="X2182">
        <v>0.99727180000000004</v>
      </c>
      <c r="Y2182">
        <v>6.6773800000000001E-3</v>
      </c>
      <c r="Z2182">
        <v>5.21676E-4</v>
      </c>
      <c r="AA2182">
        <v>0.99997760000000002</v>
      </c>
      <c r="AB2182">
        <v>44</v>
      </c>
      <c r="AC2182">
        <v>-19.010200000000001</v>
      </c>
      <c r="AD2182">
        <v>-1.119650329637</v>
      </c>
      <c r="AE2182">
        <v>1.35999999999967E-2</v>
      </c>
      <c r="AF2182">
        <v>0.12866546762897499</v>
      </c>
      <c r="AG2182">
        <v>-1.119650329637</v>
      </c>
      <c r="AH2182">
        <v>18.944051477824701</v>
      </c>
      <c r="AI2182">
        <v>93.382340006812996</v>
      </c>
      <c r="AJ2182">
        <v>89.610860701010495</v>
      </c>
      <c r="AK2182">
        <v>18.977546154803299</v>
      </c>
      <c r="AL2182">
        <v>94.185025247235302</v>
      </c>
      <c r="AM2182">
        <v>89.3620793073014</v>
      </c>
      <c r="AN2182">
        <v>1.0000000305074499</v>
      </c>
    </row>
    <row r="2183" spans="1:40" x14ac:dyDescent="0.25">
      <c r="A2183" t="str">
        <f>"20190303154810614"</f>
        <v>20190303154810614</v>
      </c>
      <c r="B2183" t="str">
        <f>"1551599290602621"</f>
        <v>1551599290602621</v>
      </c>
      <c r="C2183" t="s">
        <v>40</v>
      </c>
      <c r="D2183">
        <v>5.6799039999999996</v>
      </c>
      <c r="E2183">
        <v>0.4987626</v>
      </c>
      <c r="F2183" t="s">
        <v>52</v>
      </c>
      <c r="G2183">
        <v>-340.32549999999998</v>
      </c>
      <c r="H2183" s="1">
        <v>-1.363554E-6</v>
      </c>
      <c r="I2183">
        <v>285.1431</v>
      </c>
      <c r="J2183">
        <v>-321.14280000000002</v>
      </c>
      <c r="K2183">
        <v>1.1196120000000001</v>
      </c>
      <c r="L2183">
        <v>285.10899999999998</v>
      </c>
      <c r="M2183">
        <v>-0.99994289999999997</v>
      </c>
      <c r="N2183">
        <v>-8.9113679999999994E-3</v>
      </c>
      <c r="O2183">
        <v>-5.8987090000000002E-3</v>
      </c>
      <c r="P2183">
        <v>-0.99666730000000003</v>
      </c>
      <c r="Q2183">
        <v>-8.1411529999999996E-2</v>
      </c>
      <c r="R2183">
        <v>5.1421699999999997E-3</v>
      </c>
      <c r="S2183">
        <v>-2.9960019999999998</v>
      </c>
      <c r="T2183">
        <v>-0.17194699999999999</v>
      </c>
      <c r="U2183">
        <v>4.9438479999999998E-3</v>
      </c>
      <c r="V2183">
        <v>1.1002430000000001E-2</v>
      </c>
      <c r="W2183">
        <v>-7.2529930000000006E-2</v>
      </c>
      <c r="X2183">
        <v>0.99730560000000001</v>
      </c>
      <c r="Y2183">
        <v>7.5278130000000004E-3</v>
      </c>
      <c r="Z2183">
        <v>5.3514480000000004E-4</v>
      </c>
      <c r="AA2183">
        <v>0.99997150000000001</v>
      </c>
      <c r="AB2183">
        <v>44</v>
      </c>
      <c r="AC2183">
        <v>-19.182699999999901</v>
      </c>
      <c r="AD2183">
        <v>-1.119613363554</v>
      </c>
      <c r="AE2183">
        <v>3.4099999999966699E-2</v>
      </c>
      <c r="AF2183">
        <v>0.14675712827727599</v>
      </c>
      <c r="AG2183">
        <v>-1.119613363554</v>
      </c>
      <c r="AH2183">
        <v>19.117041848379699</v>
      </c>
      <c r="AI2183">
        <v>93.351671449163405</v>
      </c>
      <c r="AJ2183">
        <v>89.560162134067596</v>
      </c>
      <c r="AK2183">
        <v>19.150361896613099</v>
      </c>
      <c r="AL2183">
        <v>94.159310849805493</v>
      </c>
      <c r="AM2183">
        <v>89.367929719289293</v>
      </c>
      <c r="AN2183">
        <v>1.00000005200153</v>
      </c>
    </row>
    <row r="2184" spans="1:40" x14ac:dyDescent="0.25">
      <c r="A2184" t="str">
        <f>"20190303154810627"</f>
        <v>20190303154810627</v>
      </c>
      <c r="B2184" t="str">
        <f>"1551599290623117"</f>
        <v>1551599290623117</v>
      </c>
      <c r="C2184" t="s">
        <v>40</v>
      </c>
      <c r="D2184">
        <v>5.6803210000000002</v>
      </c>
      <c r="E2184">
        <v>0.49883139999999998</v>
      </c>
      <c r="F2184" t="s">
        <v>52</v>
      </c>
      <c r="G2184">
        <v>-340.88699999999898</v>
      </c>
      <c r="H2184" s="1">
        <v>-1.0647519999999999E-6</v>
      </c>
      <c r="I2184">
        <v>285.14609999999999</v>
      </c>
      <c r="J2184">
        <v>-321.4196</v>
      </c>
      <c r="K2184">
        <v>1.1195809999999999</v>
      </c>
      <c r="L2184">
        <v>285.10750000000002</v>
      </c>
      <c r="M2184">
        <v>-0.99994459999999996</v>
      </c>
      <c r="N2184">
        <v>-8.8325299999999999E-3</v>
      </c>
      <c r="O2184">
        <v>-5.7469359999999898E-3</v>
      </c>
      <c r="P2184">
        <v>-0.99671730000000003</v>
      </c>
      <c r="Q2184">
        <v>-8.081315E-2</v>
      </c>
      <c r="R2184">
        <v>4.9326270000000002E-3</v>
      </c>
      <c r="S2184">
        <v>-2.9961549999999999</v>
      </c>
      <c r="T2184">
        <v>-0.16989960000000001</v>
      </c>
      <c r="U2184">
        <v>5.6152340000000002E-3</v>
      </c>
      <c r="V2184">
        <v>1.063745E-2</v>
      </c>
      <c r="W2184">
        <v>-7.2010329999999997E-2</v>
      </c>
      <c r="X2184">
        <v>0.99734719999999999</v>
      </c>
      <c r="Y2184">
        <v>7.6005680000000003E-3</v>
      </c>
      <c r="Z2184">
        <v>5.2381889999999999E-4</v>
      </c>
      <c r="AA2184">
        <v>0.99997100000000005</v>
      </c>
      <c r="AB2184">
        <v>44</v>
      </c>
      <c r="AC2184">
        <v>-19.467399999999898</v>
      </c>
      <c r="AD2184">
        <v>-1.1195820647519901</v>
      </c>
      <c r="AE2184">
        <v>3.8599999999973898E-2</v>
      </c>
      <c r="AF2184">
        <v>0.14998554422108901</v>
      </c>
      <c r="AG2184">
        <v>-1.1195820647519901</v>
      </c>
      <c r="AH2184">
        <v>19.4026831075285</v>
      </c>
      <c r="AI2184">
        <v>93.302345566498502</v>
      </c>
      <c r="AJ2184">
        <v>89.557104166418497</v>
      </c>
      <c r="AK2184">
        <v>19.435536304263898</v>
      </c>
      <c r="AL2184">
        <v>94.129461960846598</v>
      </c>
      <c r="AM2184">
        <v>89.388921049533906</v>
      </c>
      <c r="AN2184">
        <v>1.0000000401585201</v>
      </c>
    </row>
    <row r="2185" spans="1:40" x14ac:dyDescent="0.25">
      <c r="A2185" t="str">
        <f>"20190303154810648"</f>
        <v>20190303154810648</v>
      </c>
      <c r="B2185" t="str">
        <f>"1551599290643145"</f>
        <v>1551599290643145</v>
      </c>
      <c r="C2185" t="s">
        <v>40</v>
      </c>
      <c r="D2185">
        <v>5.6566210000000003</v>
      </c>
      <c r="E2185">
        <v>0.4989635</v>
      </c>
      <c r="F2185" t="s">
        <v>52</v>
      </c>
      <c r="G2185">
        <v>-341.48430000000002</v>
      </c>
      <c r="H2185" s="1">
        <v>-7.4692789999999998E-7</v>
      </c>
      <c r="I2185">
        <v>285.14609999999999</v>
      </c>
      <c r="J2185">
        <v>-321.7998</v>
      </c>
      <c r="K2185">
        <v>1.1195440000000001</v>
      </c>
      <c r="L2185">
        <v>285.10539999999997</v>
      </c>
      <c r="M2185">
        <v>-0.99994649999999996</v>
      </c>
      <c r="N2185">
        <v>-8.7373650000000004E-3</v>
      </c>
      <c r="O2185">
        <v>-5.5367530000000002E-3</v>
      </c>
      <c r="P2185">
        <v>-0.99679419999999996</v>
      </c>
      <c r="Q2185">
        <v>-7.9944280000000006E-2</v>
      </c>
      <c r="R2185">
        <v>3.2111650000000002E-3</v>
      </c>
      <c r="S2185">
        <v>-2.9962770000000001</v>
      </c>
      <c r="T2185">
        <v>-0.1671879</v>
      </c>
      <c r="U2185">
        <v>5.7678219999999997E-3</v>
      </c>
      <c r="V2185">
        <v>8.701426E-3</v>
      </c>
      <c r="W2185">
        <v>-7.1235720000000002E-2</v>
      </c>
      <c r="X2185">
        <v>0.99742160000000002</v>
      </c>
      <c r="Y2185">
        <v>7.4423989999999997E-3</v>
      </c>
      <c r="Z2185">
        <v>5.0037509999999999E-4</v>
      </c>
      <c r="AA2185">
        <v>0.99997219999999998</v>
      </c>
      <c r="AB2185">
        <v>44</v>
      </c>
      <c r="AC2185">
        <v>-19.6845</v>
      </c>
      <c r="AD2185">
        <v>-1.1195447469278901</v>
      </c>
      <c r="AE2185">
        <v>4.0700000000015203E-2</v>
      </c>
      <c r="AF2185">
        <v>0.14920910615883601</v>
      </c>
      <c r="AG2185">
        <v>-1.1195447469278901</v>
      </c>
      <c r="AH2185">
        <v>19.620506699278401</v>
      </c>
      <c r="AI2185">
        <v>93.265657788867799</v>
      </c>
      <c r="AJ2185">
        <v>89.564288151122696</v>
      </c>
      <c r="AK2185">
        <v>19.652987735562299</v>
      </c>
      <c r="AL2185">
        <v>94.084965780134397</v>
      </c>
      <c r="AM2185">
        <v>89.500168897165693</v>
      </c>
      <c r="AN2185">
        <v>1.00000004538245</v>
      </c>
    </row>
    <row r="2186" spans="1:40" x14ac:dyDescent="0.25">
      <c r="A2186" t="str">
        <f>"20190303154810662"</f>
        <v>20190303154810662</v>
      </c>
      <c r="B2186" t="str">
        <f>"1551599290652905"</f>
        <v>1551599290652905</v>
      </c>
      <c r="C2186" t="s">
        <v>40</v>
      </c>
      <c r="D2186">
        <v>5.6897209999999996</v>
      </c>
      <c r="E2186">
        <v>0.4990001</v>
      </c>
      <c r="F2186" t="s">
        <v>52</v>
      </c>
      <c r="G2186">
        <v>-342.26130000000001</v>
      </c>
      <c r="H2186" s="1">
        <v>-3.3343069999999999E-7</v>
      </c>
      <c r="I2186">
        <v>285.11500000000001</v>
      </c>
      <c r="J2186">
        <v>-322.09339999999997</v>
      </c>
      <c r="K2186">
        <v>1.1195189999999999</v>
      </c>
      <c r="L2186">
        <v>285.10379999999998</v>
      </c>
      <c r="M2186">
        <v>-0.99994810000000001</v>
      </c>
      <c r="N2186">
        <v>-8.6747149999999995E-3</v>
      </c>
      <c r="O2186">
        <v>-5.3737869999999997E-3</v>
      </c>
      <c r="P2186">
        <v>-0.99680639999999998</v>
      </c>
      <c r="Q2186">
        <v>-7.9830059999999994E-2</v>
      </c>
      <c r="R2186">
        <v>2.1925579999999998E-3</v>
      </c>
      <c r="S2186">
        <v>-2.9964599999999999</v>
      </c>
      <c r="T2186">
        <v>-0.16395029999999999</v>
      </c>
      <c r="U2186">
        <v>1.403809E-3</v>
      </c>
      <c r="V2186">
        <v>7.5166209999999898E-3</v>
      </c>
      <c r="W2186">
        <v>-7.1183739999999995E-2</v>
      </c>
      <c r="X2186">
        <v>0.99743490000000001</v>
      </c>
      <c r="Y2186">
        <v>5.8266819999999997E-3</v>
      </c>
      <c r="Z2186">
        <v>4.3179470000000001E-4</v>
      </c>
      <c r="AA2186">
        <v>0.99998299999999996</v>
      </c>
      <c r="AB2186">
        <v>44</v>
      </c>
      <c r="AC2186">
        <v>-20.167899999999999</v>
      </c>
      <c r="AD2186">
        <v>-1.1195193334307001</v>
      </c>
      <c r="AE2186">
        <v>1.1200000000030699E-2</v>
      </c>
      <c r="AF2186">
        <v>0.11921455482514499</v>
      </c>
      <c r="AG2186">
        <v>-1.1195193334307001</v>
      </c>
      <c r="AH2186">
        <v>20.105596112778102</v>
      </c>
      <c r="AI2186">
        <v>93.186995269188202</v>
      </c>
      <c r="AJ2186">
        <v>89.660273151688799</v>
      </c>
      <c r="AK2186">
        <v>20.1370934024294</v>
      </c>
      <c r="AL2186">
        <v>94.081980142797093</v>
      </c>
      <c r="AM2186">
        <v>89.568229959568697</v>
      </c>
      <c r="AN2186">
        <v>1.0000000020848201</v>
      </c>
    </row>
    <row r="2187" spans="1:40" x14ac:dyDescent="0.25">
      <c r="A2187" t="str">
        <f>"20190303154810676"</f>
        <v>20190303154810676</v>
      </c>
      <c r="B2187" t="str">
        <f>"1551599290672424"</f>
        <v>1551599290672424</v>
      </c>
      <c r="C2187" t="s">
        <v>40</v>
      </c>
      <c r="D2187">
        <v>5.6278819999999996</v>
      </c>
      <c r="E2187">
        <v>0.49905440000000001</v>
      </c>
      <c r="F2187" t="s">
        <v>52</v>
      </c>
      <c r="G2187">
        <v>-342.6515</v>
      </c>
      <c r="H2187" s="1">
        <v>-1.25822199999999E-7</v>
      </c>
      <c r="I2187">
        <v>285.09429999999998</v>
      </c>
      <c r="J2187">
        <v>-322.38389999999998</v>
      </c>
      <c r="K2187">
        <v>1.1194949999999999</v>
      </c>
      <c r="L2187">
        <v>285.10230000000001</v>
      </c>
      <c r="M2187">
        <v>-0.99994919999999998</v>
      </c>
      <c r="N2187">
        <v>-8.6264549999999999E-3</v>
      </c>
      <c r="O2187">
        <v>-5.2111589999999999E-3</v>
      </c>
      <c r="P2187">
        <v>-0.99682020000000005</v>
      </c>
      <c r="Q2187">
        <v>-7.9669329999999997E-2</v>
      </c>
      <c r="R2187">
        <v>1.557606E-3</v>
      </c>
      <c r="S2187">
        <v>-2.9965820000000001</v>
      </c>
      <c r="T2187">
        <v>-0.16318299999999999</v>
      </c>
      <c r="U2187">
        <v>-1.373291E-3</v>
      </c>
      <c r="V2187">
        <v>6.716194E-3</v>
      </c>
      <c r="W2187">
        <v>-7.1070969999999997E-2</v>
      </c>
      <c r="X2187">
        <v>0.99744860000000002</v>
      </c>
      <c r="Y2187">
        <v>4.73947E-3</v>
      </c>
      <c r="Z2187">
        <v>3.8805490000000002E-4</v>
      </c>
      <c r="AA2187">
        <v>0.99998869999999895</v>
      </c>
      <c r="AB2187">
        <v>44</v>
      </c>
      <c r="AC2187">
        <v>-20.267600000000002</v>
      </c>
      <c r="AD2187">
        <v>-1.1194951258221999</v>
      </c>
      <c r="AE2187">
        <v>-8.0000000000381901E-3</v>
      </c>
      <c r="AF2187">
        <v>9.7324789939406603E-2</v>
      </c>
      <c r="AG2187">
        <v>-1.1194951258221999</v>
      </c>
      <c r="AH2187">
        <v>20.205719180292402</v>
      </c>
      <c r="AI2187">
        <v>93.171185920130696</v>
      </c>
      <c r="AJ2187">
        <v>89.724025829916798</v>
      </c>
      <c r="AK2187">
        <v>20.236942186118799</v>
      </c>
      <c r="AL2187">
        <v>94.075502704712505</v>
      </c>
      <c r="AM2187">
        <v>89.614211945147204</v>
      </c>
      <c r="AN2187">
        <v>0.99999994984027196</v>
      </c>
    </row>
    <row r="2188" spans="1:40" x14ac:dyDescent="0.25">
      <c r="A2188" t="str">
        <f>"20190303154810692"</f>
        <v>20190303154810692</v>
      </c>
      <c r="B2188" t="str">
        <f>"1551599290683163"</f>
        <v>1551599290683163</v>
      </c>
      <c r="C2188" t="s">
        <v>40</v>
      </c>
      <c r="D2188">
        <v>5.6235520000000001</v>
      </c>
      <c r="E2188">
        <v>0.49910690000000002</v>
      </c>
      <c r="F2188" t="s">
        <v>52</v>
      </c>
      <c r="G2188">
        <v>-343.10210000000001</v>
      </c>
      <c r="H2188" s="1">
        <v>1.140108E-7</v>
      </c>
      <c r="I2188">
        <v>285.08269999999999</v>
      </c>
      <c r="J2188">
        <v>-322.68180000000001</v>
      </c>
      <c r="K2188">
        <v>1.1194710000000001</v>
      </c>
      <c r="L2188">
        <v>285.10079999999999</v>
      </c>
      <c r="M2188">
        <v>-0.99995049999999996</v>
      </c>
      <c r="N2188">
        <v>-8.5893050000000002E-3</v>
      </c>
      <c r="O2188">
        <v>-5.044186E-3</v>
      </c>
      <c r="P2188">
        <v>-0.99682789999999999</v>
      </c>
      <c r="Q2188">
        <v>-7.9589960000000001E-2</v>
      </c>
      <c r="R2188" s="1">
        <v>9.8184219999999901E-5</v>
      </c>
      <c r="S2188">
        <v>-2.9966740000000001</v>
      </c>
      <c r="T2188">
        <v>-0.1619235</v>
      </c>
      <c r="U2188">
        <v>-2.8381349999999999E-3</v>
      </c>
      <c r="V2188">
        <v>5.0874459999999998E-3</v>
      </c>
      <c r="W2188">
        <v>-7.1027889999999996E-2</v>
      </c>
      <c r="X2188">
        <v>0.99746140000000005</v>
      </c>
      <c r="Y2188">
        <v>4.0851739999999996E-3</v>
      </c>
      <c r="Z2188">
        <v>3.5690860000000001E-4</v>
      </c>
      <c r="AA2188">
        <v>0.99999159999999998</v>
      </c>
      <c r="AB2188">
        <v>44</v>
      </c>
      <c r="AC2188">
        <v>-20.420300000000001</v>
      </c>
      <c r="AD2188">
        <v>-1.1194708859892</v>
      </c>
      <c r="AE2188">
        <v>-1.8100000000003998E-2</v>
      </c>
      <c r="AF2188">
        <v>8.4653393451805004E-2</v>
      </c>
      <c r="AG2188">
        <v>-1.1194708859892</v>
      </c>
      <c r="AH2188">
        <v>20.358944900714601</v>
      </c>
      <c r="AI2188">
        <v>93.147308342101098</v>
      </c>
      <c r="AJ2188">
        <v>89.761762987351204</v>
      </c>
      <c r="AK2188">
        <v>20.389875397655899</v>
      </c>
      <c r="AL2188">
        <v>94.073027765036301</v>
      </c>
      <c r="AM2188">
        <v>89.707771491970902</v>
      </c>
      <c r="AN2188">
        <v>1.0000000438773</v>
      </c>
    </row>
    <row r="2189" spans="1:40" x14ac:dyDescent="0.25">
      <c r="A2189" t="str">
        <f>"20190303154810714"</f>
        <v>20190303154810714</v>
      </c>
      <c r="B2189" t="str">
        <f>"1551599290702682"</f>
        <v>1551599290702682</v>
      </c>
      <c r="C2189" t="s">
        <v>40</v>
      </c>
      <c r="D2189">
        <v>5.6040519999999896</v>
      </c>
      <c r="E2189">
        <v>0.49919340000000001</v>
      </c>
      <c r="F2189" t="s">
        <v>52</v>
      </c>
      <c r="G2189">
        <v>-343.47019999999998</v>
      </c>
      <c r="H2189" s="1">
        <v>3.0984760000000001E-7</v>
      </c>
      <c r="I2189">
        <v>285.05450000000002</v>
      </c>
      <c r="J2189">
        <v>-323.11660000000001</v>
      </c>
      <c r="K2189">
        <v>1.1194470000000001</v>
      </c>
      <c r="L2189">
        <v>285.09879999999998</v>
      </c>
      <c r="M2189">
        <v>-0.99995179999999995</v>
      </c>
      <c r="N2189">
        <v>-8.5595189999999998E-3</v>
      </c>
      <c r="O2189">
        <v>-4.7981710000000004E-3</v>
      </c>
      <c r="P2189">
        <v>-0.99686920000000001</v>
      </c>
      <c r="Q2189">
        <v>-7.9067079999999998E-2</v>
      </c>
      <c r="R2189">
        <v>-5.719891E-4</v>
      </c>
      <c r="S2189">
        <v>-2.9966740000000001</v>
      </c>
      <c r="T2189">
        <v>-0.1613735</v>
      </c>
      <c r="U2189">
        <v>-6.6833500000000002E-3</v>
      </c>
      <c r="V2189">
        <v>4.1687599999999997E-3</v>
      </c>
      <c r="W2189">
        <v>-7.0534100000000002E-2</v>
      </c>
      <c r="X2189">
        <v>0.99750070000000002</v>
      </c>
      <c r="Y2189">
        <v>2.5588949999999998E-3</v>
      </c>
      <c r="Z2189">
        <v>2.9696170000000001E-4</v>
      </c>
      <c r="AA2189">
        <v>0.99999669999999896</v>
      </c>
      <c r="AB2189">
        <v>44</v>
      </c>
      <c r="AC2189">
        <v>-20.353599999999901</v>
      </c>
      <c r="AD2189">
        <v>-1.1194466901523901</v>
      </c>
      <c r="AE2189">
        <v>-4.4299999999964201E-2</v>
      </c>
      <c r="AF2189">
        <v>5.3203207800289101E-2</v>
      </c>
      <c r="AG2189">
        <v>-1.1194466901523901</v>
      </c>
      <c r="AH2189">
        <v>20.292194798585399</v>
      </c>
      <c r="AI2189">
        <v>93.157588630567204</v>
      </c>
      <c r="AJ2189">
        <v>89.8497790747154</v>
      </c>
      <c r="AK2189">
        <v>20.323118885081399</v>
      </c>
      <c r="AL2189">
        <v>94.044664551616705</v>
      </c>
      <c r="AM2189">
        <v>89.760550580827996</v>
      </c>
      <c r="AN2189">
        <v>1.00000004216161</v>
      </c>
    </row>
    <row r="2190" spans="1:40" x14ac:dyDescent="0.25">
      <c r="A2190" t="str">
        <f>"20190303154810727"</f>
        <v>20190303154810727</v>
      </c>
      <c r="B2190" t="str">
        <f>"1551599290723177"</f>
        <v>1551599290723177</v>
      </c>
      <c r="C2190" t="s">
        <v>40</v>
      </c>
      <c r="D2190">
        <v>5.5995299999999997</v>
      </c>
      <c r="E2190">
        <v>0.49928810000000001</v>
      </c>
      <c r="F2190" t="s">
        <v>52</v>
      </c>
      <c r="G2190">
        <v>-344.24059999999997</v>
      </c>
      <c r="H2190" s="1">
        <v>7.1982909999999997E-7</v>
      </c>
      <c r="I2190">
        <v>285.04180000000002</v>
      </c>
      <c r="J2190">
        <v>-323.37810000000002</v>
      </c>
      <c r="K2190">
        <v>1.119437</v>
      </c>
      <c r="L2190">
        <v>285.0976</v>
      </c>
      <c r="M2190">
        <v>-0.99995270000000003</v>
      </c>
      <c r="N2190">
        <v>-8.5584089999999995E-3</v>
      </c>
      <c r="O2190">
        <v>-4.6492909999999998E-3</v>
      </c>
      <c r="P2190">
        <v>-0.99687519999999996</v>
      </c>
      <c r="Q2190">
        <v>-7.8990939999999996E-2</v>
      </c>
      <c r="R2190">
        <v>-7.452817E-4</v>
      </c>
      <c r="S2190">
        <v>-2.9967959999999998</v>
      </c>
      <c r="T2190">
        <v>-0.15881289999999901</v>
      </c>
      <c r="U2190">
        <v>-8.0871580000000005E-3</v>
      </c>
      <c r="V2190">
        <v>3.8453799999999998E-3</v>
      </c>
      <c r="W2190">
        <v>-7.0458870000000007E-2</v>
      </c>
      <c r="X2190">
        <v>0.99750729999999999</v>
      </c>
      <c r="Y2190">
        <v>1.943127E-3</v>
      </c>
      <c r="Z2190">
        <v>2.6621639999999997E-4</v>
      </c>
      <c r="AA2190">
        <v>0.9999981</v>
      </c>
      <c r="AB2190">
        <v>44</v>
      </c>
      <c r="AC2190">
        <v>-20.862499999999901</v>
      </c>
      <c r="AD2190">
        <v>-1.1194362801708999</v>
      </c>
      <c r="AE2190">
        <v>-5.57999999999765E-2</v>
      </c>
      <c r="AF2190">
        <v>4.1081696279939003E-2</v>
      </c>
      <c r="AG2190">
        <v>-1.1194362801708999</v>
      </c>
      <c r="AH2190">
        <v>20.802640204815699</v>
      </c>
      <c r="AI2190">
        <v>93.080236260267895</v>
      </c>
      <c r="AJ2190">
        <v>89.886850672366805</v>
      </c>
      <c r="AK2190">
        <v>20.832778614053101</v>
      </c>
      <c r="AL2190">
        <v>94.040343503160699</v>
      </c>
      <c r="AM2190">
        <v>89.779126475338998</v>
      </c>
      <c r="AN2190">
        <v>1.0000000264311499</v>
      </c>
    </row>
    <row r="2191" spans="1:40" x14ac:dyDescent="0.25">
      <c r="A2191" t="str">
        <f>"20190303154810738"</f>
        <v>20190303154810738</v>
      </c>
      <c r="B2191" t="str">
        <f>"1551599290732937"</f>
        <v>1551599290732937</v>
      </c>
      <c r="C2191" t="s">
        <v>40</v>
      </c>
      <c r="D2191">
        <v>5.6037809999999997</v>
      </c>
      <c r="E2191">
        <v>0.49932789999999999</v>
      </c>
      <c r="F2191" t="s">
        <v>52</v>
      </c>
      <c r="G2191">
        <v>-344.61759999999998</v>
      </c>
      <c r="H2191" s="1">
        <v>9.2043719999999996E-7</v>
      </c>
      <c r="I2191">
        <v>285.04180000000002</v>
      </c>
      <c r="J2191">
        <v>-323.63580000000002</v>
      </c>
      <c r="K2191">
        <v>1.1194309999999901</v>
      </c>
      <c r="L2191">
        <v>285.09649999999999</v>
      </c>
      <c r="M2191">
        <v>-0.99995319999999999</v>
      </c>
      <c r="N2191">
        <v>-8.5677510000000002E-3</v>
      </c>
      <c r="O2191">
        <v>-4.5018949999999997E-3</v>
      </c>
      <c r="P2191">
        <v>-0.9968688</v>
      </c>
      <c r="Q2191">
        <v>-7.9070489999999993E-2</v>
      </c>
      <c r="R2191">
        <v>-7.0756669999999999E-4</v>
      </c>
      <c r="S2191">
        <v>-2.996918</v>
      </c>
      <c r="T2191">
        <v>-0.1579537</v>
      </c>
      <c r="U2191">
        <v>-7.8735349999999992E-3</v>
      </c>
      <c r="V2191">
        <v>3.7343160000000001E-3</v>
      </c>
      <c r="W2191">
        <v>-7.0529199999999903E-2</v>
      </c>
      <c r="X2191">
        <v>0.99750269999999996</v>
      </c>
      <c r="Y2191">
        <v>1.8674729999999999E-3</v>
      </c>
      <c r="Z2191">
        <v>2.557441E-4</v>
      </c>
      <c r="AA2191">
        <v>0.99999819999999995</v>
      </c>
      <c r="AB2191">
        <v>44</v>
      </c>
      <c r="AC2191">
        <v>-20.9817999999999</v>
      </c>
      <c r="AD2191">
        <v>-1.1194300795627901</v>
      </c>
      <c r="AE2191">
        <v>-5.4699999999968399E-2</v>
      </c>
      <c r="AF2191">
        <v>3.9649018925916601E-2</v>
      </c>
      <c r="AG2191">
        <v>-1.1194300795627901</v>
      </c>
      <c r="AH2191">
        <v>20.922279137802899</v>
      </c>
      <c r="AI2191">
        <v>93.062639851071097</v>
      </c>
      <c r="AJ2191">
        <v>89.891421067853798</v>
      </c>
      <c r="AK2191">
        <v>20.952242363715499</v>
      </c>
      <c r="AL2191">
        <v>94.044383374104797</v>
      </c>
      <c r="AM2191">
        <v>89.785504794500994</v>
      </c>
      <c r="AN2191">
        <v>0.99999997483795799</v>
      </c>
    </row>
    <row r="2192" spans="1:40" x14ac:dyDescent="0.25">
      <c r="A2192" t="str">
        <f>"20190303154810751"</f>
        <v>20190303154810751</v>
      </c>
      <c r="B2192" t="str">
        <f>"1551599290742697"</f>
        <v>1551599290742697</v>
      </c>
      <c r="C2192" t="s">
        <v>40</v>
      </c>
      <c r="D2192">
        <v>5.550141</v>
      </c>
      <c r="E2192">
        <v>0.49939149999999999</v>
      </c>
      <c r="F2192" t="s">
        <v>52</v>
      </c>
      <c r="G2192">
        <v>-344.89179999999999</v>
      </c>
      <c r="H2192" s="1">
        <v>1.0663859999999999E-6</v>
      </c>
      <c r="I2192">
        <v>285.0446</v>
      </c>
      <c r="J2192">
        <v>-323.86790000000002</v>
      </c>
      <c r="K2192">
        <v>1.119429</v>
      </c>
      <c r="L2192">
        <v>285.09559999999999</v>
      </c>
      <c r="M2192">
        <v>-0.99995350000000005</v>
      </c>
      <c r="N2192">
        <v>-8.5976719999999902E-3</v>
      </c>
      <c r="O2192">
        <v>-4.368668E-3</v>
      </c>
      <c r="P2192">
        <v>-0.99685999999999997</v>
      </c>
      <c r="Q2192">
        <v>-7.9183799999999999E-2</v>
      </c>
      <c r="R2192">
        <v>-4.177594E-4</v>
      </c>
      <c r="S2192">
        <v>-2.9968870000000001</v>
      </c>
      <c r="T2192">
        <v>-0.15782829999999901</v>
      </c>
      <c r="U2192">
        <v>-7.3242189999999999E-3</v>
      </c>
      <c r="V2192">
        <v>3.889928E-3</v>
      </c>
      <c r="W2192">
        <v>-7.0612910000000001E-2</v>
      </c>
      <c r="X2192">
        <v>0.99749620000000006</v>
      </c>
      <c r="Y2192">
        <v>1.9175749999999999E-3</v>
      </c>
      <c r="Z2192">
        <v>2.5108079999999999E-4</v>
      </c>
      <c r="AA2192">
        <v>0.99999819999999995</v>
      </c>
      <c r="AB2192">
        <v>44</v>
      </c>
      <c r="AC2192">
        <v>-21.023899999999902</v>
      </c>
      <c r="AD2192">
        <v>-1.1194279336139901</v>
      </c>
      <c r="AE2192">
        <v>-5.0999999999987701E-2</v>
      </c>
      <c r="AF2192">
        <v>4.0734834428939701E-2</v>
      </c>
      <c r="AG2192">
        <v>-1.1194279336139901</v>
      </c>
      <c r="AH2192">
        <v>20.964486470318899</v>
      </c>
      <c r="AI2192">
        <v>93.056479480581302</v>
      </c>
      <c r="AJ2192">
        <v>89.888672152400503</v>
      </c>
      <c r="AK2192">
        <v>20.994391422222101</v>
      </c>
      <c r="AL2192">
        <v>94.049191523172496</v>
      </c>
      <c r="AM2192">
        <v>89.776565236824993</v>
      </c>
      <c r="AN2192">
        <v>0.99999999180647603</v>
      </c>
    </row>
    <row r="2193" spans="1:40" x14ac:dyDescent="0.25">
      <c r="A2193" t="str">
        <f>"20190303154810763"</f>
        <v>20190303154810763</v>
      </c>
      <c r="B2193" t="str">
        <f>"1551599290753433"</f>
        <v>1551599290753433</v>
      </c>
      <c r="C2193" t="s">
        <v>40</v>
      </c>
      <c r="D2193">
        <v>5.5705140000000002</v>
      </c>
      <c r="E2193">
        <v>0.49944889999999997</v>
      </c>
      <c r="F2193" t="s">
        <v>52</v>
      </c>
      <c r="G2193">
        <v>-345.13510000000002</v>
      </c>
      <c r="H2193" s="1">
        <v>1.1958719999999999E-6</v>
      </c>
      <c r="I2193">
        <v>285.05309999999997</v>
      </c>
      <c r="J2193">
        <v>-324.09300000000002</v>
      </c>
      <c r="K2193">
        <v>1.1194379999999999</v>
      </c>
      <c r="L2193">
        <v>285.09460000000001</v>
      </c>
      <c r="M2193">
        <v>-0.99995369999999995</v>
      </c>
      <c r="N2193">
        <v>-8.6353639999999995E-3</v>
      </c>
      <c r="O2193">
        <v>-4.2394109999999898E-3</v>
      </c>
      <c r="P2193">
        <v>-0.99684300000000003</v>
      </c>
      <c r="Q2193">
        <v>-7.9398159999999995E-2</v>
      </c>
      <c r="R2193" s="1">
        <v>2.1349520000000001E-5</v>
      </c>
      <c r="S2193">
        <v>-2.996918</v>
      </c>
      <c r="T2193">
        <v>-0.15774630000000001</v>
      </c>
      <c r="U2193">
        <v>-5.9814450000000002E-3</v>
      </c>
      <c r="V2193">
        <v>4.1986580000000001E-3</v>
      </c>
      <c r="W2193">
        <v>-7.0790060000000002E-2</v>
      </c>
      <c r="X2193">
        <v>0.99748239999999999</v>
      </c>
      <c r="Y2193">
        <v>2.2360119999999999E-3</v>
      </c>
      <c r="Z2193">
        <v>2.5487179999999999E-4</v>
      </c>
      <c r="AA2193">
        <v>0.99999749999999998</v>
      </c>
      <c r="AB2193">
        <v>45</v>
      </c>
      <c r="AC2193">
        <v>-21.042100000000001</v>
      </c>
      <c r="AD2193">
        <v>-1.1194368041279901</v>
      </c>
      <c r="AE2193">
        <v>-4.1500000000041802E-2</v>
      </c>
      <c r="AF2193">
        <v>4.75751639577651E-2</v>
      </c>
      <c r="AG2193">
        <v>-1.1194368041279901</v>
      </c>
      <c r="AH2193">
        <v>20.982701296325899</v>
      </c>
      <c r="AI2193">
        <v>93.053853284707003</v>
      </c>
      <c r="AJ2193">
        <v>89.870090538160994</v>
      </c>
      <c r="AK2193">
        <v>21.0125951715988</v>
      </c>
      <c r="AL2193">
        <v>94.0593669018143</v>
      </c>
      <c r="AM2193">
        <v>89.758828865282695</v>
      </c>
      <c r="AN2193">
        <v>0.999999999816782</v>
      </c>
    </row>
    <row r="2194" spans="1:40" x14ac:dyDescent="0.25">
      <c r="A2194" t="str">
        <f>"20190303154810781"</f>
        <v>20190303154810781</v>
      </c>
      <c r="B2194" t="str">
        <f>"1551599290772953"</f>
        <v>1551599290772953</v>
      </c>
      <c r="C2194" t="s">
        <v>40</v>
      </c>
      <c r="D2194">
        <v>5.5053660000000004</v>
      </c>
      <c r="E2194">
        <v>0.4995289</v>
      </c>
      <c r="F2194" t="s">
        <v>52</v>
      </c>
      <c r="G2194">
        <v>-345.32459999999998</v>
      </c>
      <c r="H2194" s="1">
        <v>1.2967039999999999E-6</v>
      </c>
      <c r="I2194">
        <v>285.06549999999999</v>
      </c>
      <c r="J2194">
        <v>-324.46010000000001</v>
      </c>
      <c r="K2194">
        <v>1.1194489999999999</v>
      </c>
      <c r="L2194">
        <v>285.09320000000002</v>
      </c>
      <c r="M2194">
        <v>-0.9999536</v>
      </c>
      <c r="N2194">
        <v>-8.7494870000000002E-3</v>
      </c>
      <c r="O2194">
        <v>-4.0277009999999999E-3</v>
      </c>
      <c r="P2194">
        <v>-0.99679010000000001</v>
      </c>
      <c r="Q2194">
        <v>-8.0047869999999993E-2</v>
      </c>
      <c r="R2194">
        <v>1.400016E-3</v>
      </c>
      <c r="S2194">
        <v>-2.996918</v>
      </c>
      <c r="T2194">
        <v>-0.1580126</v>
      </c>
      <c r="U2194">
        <v>-4.1198729999999996E-3</v>
      </c>
      <c r="V2194">
        <v>5.3640349999999996E-3</v>
      </c>
      <c r="W2194">
        <v>-7.1327360000000006E-2</v>
      </c>
      <c r="X2194">
        <v>0.99743850000000001</v>
      </c>
      <c r="Y2194">
        <v>2.644984E-3</v>
      </c>
      <c r="Z2194">
        <v>2.582528E-4</v>
      </c>
      <c r="AA2194">
        <v>0.99999649999999995</v>
      </c>
      <c r="AB2194">
        <v>45</v>
      </c>
      <c r="AC2194">
        <v>-20.8644999999999</v>
      </c>
      <c r="AD2194">
        <v>-1.119447703296</v>
      </c>
      <c r="AE2194">
        <v>-2.7700000000038399E-2</v>
      </c>
      <c r="AF2194">
        <v>5.6177693273046898E-2</v>
      </c>
      <c r="AG2194">
        <v>-1.119447703296</v>
      </c>
      <c r="AH2194">
        <v>20.8045530161409</v>
      </c>
      <c r="AI2194">
        <v>93.079979758313996</v>
      </c>
      <c r="AJ2194">
        <v>89.845286899371999</v>
      </c>
      <c r="AK2194">
        <v>20.8347245072992</v>
      </c>
      <c r="AL2194">
        <v>94.090230092082905</v>
      </c>
      <c r="AM2194">
        <v>89.691877139391494</v>
      </c>
      <c r="AN2194">
        <v>0.99999996321914897</v>
      </c>
    </row>
    <row r="2195" spans="1:40" x14ac:dyDescent="0.25">
      <c r="A2195" t="str">
        <f>"20190303154810796"</f>
        <v>20190303154810796</v>
      </c>
      <c r="B2195" t="str">
        <f>"1551599290793449"</f>
        <v>1551599290793449</v>
      </c>
      <c r="C2195" t="s">
        <v>40</v>
      </c>
      <c r="D2195">
        <v>5.5190970000000004</v>
      </c>
      <c r="E2195">
        <v>0.49962499999999999</v>
      </c>
      <c r="F2195" t="s">
        <v>52</v>
      </c>
      <c r="G2195">
        <v>-345.53739999999999</v>
      </c>
      <c r="H2195" s="1">
        <v>1.4099569999999999E-6</v>
      </c>
      <c r="I2195">
        <v>285.09800000000001</v>
      </c>
      <c r="J2195">
        <v>-324.77569999999997</v>
      </c>
      <c r="K2195">
        <v>1.119478</v>
      </c>
      <c r="L2195">
        <v>285.09210000000002</v>
      </c>
      <c r="M2195">
        <v>-0.99995310000000004</v>
      </c>
      <c r="N2195">
        <v>-8.9039940000000001E-3</v>
      </c>
      <c r="O2195">
        <v>-3.844793E-3</v>
      </c>
      <c r="P2195">
        <v>-0.99676220000000004</v>
      </c>
      <c r="Q2195">
        <v>-8.0378140000000001E-2</v>
      </c>
      <c r="R2195">
        <v>2.217007E-3</v>
      </c>
      <c r="S2195">
        <v>-2.9968569999999999</v>
      </c>
      <c r="T2195">
        <v>-0.15916749999999999</v>
      </c>
      <c r="U2195">
        <v>6.7138669999999997E-4</v>
      </c>
      <c r="V2195">
        <v>5.9973800000000001E-3</v>
      </c>
      <c r="W2195">
        <v>-7.1504349999999994E-2</v>
      </c>
      <c r="X2195">
        <v>0.99742229999999998</v>
      </c>
      <c r="Y2195">
        <v>4.0585400000000002E-3</v>
      </c>
      <c r="Z2195">
        <v>2.9562929999999999E-4</v>
      </c>
      <c r="AA2195">
        <v>0.99999170000000004</v>
      </c>
      <c r="AB2195">
        <v>45</v>
      </c>
      <c r="AC2195">
        <v>-20.761700000000001</v>
      </c>
      <c r="AD2195">
        <v>-1.1194765900429999</v>
      </c>
      <c r="AE2195">
        <v>5.8999999999968999E-3</v>
      </c>
      <c r="AF2195">
        <v>8.5479027706566804E-2</v>
      </c>
      <c r="AG2195">
        <v>-1.1194765900429999</v>
      </c>
      <c r="AH2195">
        <v>20.7013368658288</v>
      </c>
      <c r="AI2195">
        <v>93.095371286917498</v>
      </c>
      <c r="AJ2195">
        <v>89.763418192650903</v>
      </c>
      <c r="AK2195">
        <v>20.7317602371905</v>
      </c>
      <c r="AL2195">
        <v>94.100396505961996</v>
      </c>
      <c r="AM2195">
        <v>89.655491539531894</v>
      </c>
      <c r="AN2195">
        <v>1.0000000425865301</v>
      </c>
    </row>
    <row r="2196" spans="1:40" x14ac:dyDescent="0.25">
      <c r="A2196" t="str">
        <f>"20190303154810820"</f>
        <v>20190303154810820</v>
      </c>
      <c r="B2196" t="str">
        <f>"1551599290812969"</f>
        <v>1551599290812969</v>
      </c>
      <c r="C2196" t="s">
        <v>40</v>
      </c>
      <c r="D2196">
        <v>5.4787210000000002</v>
      </c>
      <c r="E2196">
        <v>0.49972519999999998</v>
      </c>
      <c r="F2196" t="s">
        <v>52</v>
      </c>
      <c r="G2196">
        <v>-345.82049999999998</v>
      </c>
      <c r="H2196" s="1">
        <v>1.5605740000000001E-6</v>
      </c>
      <c r="I2196">
        <v>285.11930000000001</v>
      </c>
      <c r="J2196">
        <v>-325.2337</v>
      </c>
      <c r="K2196">
        <v>1.119518</v>
      </c>
      <c r="L2196">
        <v>285.09050000000002</v>
      </c>
      <c r="M2196">
        <v>-0.99995149999999999</v>
      </c>
      <c r="N2196">
        <v>-9.1856960000000001E-3</v>
      </c>
      <c r="O2196">
        <v>-3.5778680000000001E-3</v>
      </c>
      <c r="P2196">
        <v>-0.9966912</v>
      </c>
      <c r="Q2196">
        <v>-8.1186770000000005E-2</v>
      </c>
      <c r="R2196">
        <v>3.9374570000000001E-3</v>
      </c>
      <c r="S2196">
        <v>-2.9968870000000001</v>
      </c>
      <c r="T2196">
        <v>-0.15941939999999999</v>
      </c>
      <c r="U2196">
        <v>3.8757319999999998E-3</v>
      </c>
      <c r="V2196">
        <v>7.4489550000000002E-3</v>
      </c>
      <c r="W2196">
        <v>-7.2033910000000007E-2</v>
      </c>
      <c r="X2196">
        <v>0.99737439999999999</v>
      </c>
      <c r="Y2196">
        <v>4.8597390000000001E-3</v>
      </c>
      <c r="Z2196">
        <v>3.0884780000000001E-4</v>
      </c>
      <c r="AA2196">
        <v>0.99998810000000005</v>
      </c>
      <c r="AB2196">
        <v>45</v>
      </c>
      <c r="AC2196">
        <v>-20.586799999999901</v>
      </c>
      <c r="AD2196">
        <v>-1.119516439426</v>
      </c>
      <c r="AE2196">
        <v>2.8799999999989698E-2</v>
      </c>
      <c r="AF2196">
        <v>0.102157667764337</v>
      </c>
      <c r="AG2196">
        <v>-1.119516439426</v>
      </c>
      <c r="AH2196">
        <v>20.525865844490699</v>
      </c>
      <c r="AI2196">
        <v>93.121879680222307</v>
      </c>
      <c r="AJ2196">
        <v>89.714840049941401</v>
      </c>
      <c r="AK2196">
        <v>20.556627201787201</v>
      </c>
      <c r="AL2196">
        <v>94.130816544903894</v>
      </c>
      <c r="AM2196">
        <v>89.572090733320593</v>
      </c>
      <c r="AN2196">
        <v>1.0000000324479099</v>
      </c>
    </row>
    <row r="2197" spans="1:40" x14ac:dyDescent="0.25">
      <c r="A2197" t="str">
        <f>"20190303154810836"</f>
        <v>20190303154810836</v>
      </c>
      <c r="B2197" t="str">
        <f>"1551599290832489"</f>
        <v>1551599290832489</v>
      </c>
      <c r="C2197" t="s">
        <v>40</v>
      </c>
      <c r="D2197">
        <v>5.4597189999999998</v>
      </c>
      <c r="E2197">
        <v>0.4997973</v>
      </c>
      <c r="F2197" t="s">
        <v>52</v>
      </c>
      <c r="G2197">
        <v>-346.0566</v>
      </c>
      <c r="H2197" s="1">
        <v>1.6862569999999999E-6</v>
      </c>
      <c r="I2197">
        <v>285.15820000000002</v>
      </c>
      <c r="J2197">
        <v>-325.55149999999998</v>
      </c>
      <c r="K2197">
        <v>1.1195649999999999</v>
      </c>
      <c r="L2197">
        <v>285.08949999999999</v>
      </c>
      <c r="M2197">
        <v>-0.99994959999999999</v>
      </c>
      <c r="N2197">
        <v>-9.4595919999999993E-3</v>
      </c>
      <c r="O2197">
        <v>-3.3975260000000001E-3</v>
      </c>
      <c r="P2197">
        <v>-0.99660210000000005</v>
      </c>
      <c r="Q2197">
        <v>-8.2190959999999993E-2</v>
      </c>
      <c r="R2197">
        <v>5.3911239999999997E-3</v>
      </c>
      <c r="S2197">
        <v>-2.9967959999999998</v>
      </c>
      <c r="T2197">
        <v>-0.1611185</v>
      </c>
      <c r="U2197">
        <v>9.7351069999999998E-3</v>
      </c>
      <c r="V2197">
        <v>8.7207429999999996E-3</v>
      </c>
      <c r="W2197">
        <v>-7.2766849999999994E-2</v>
      </c>
      <c r="X2197">
        <v>0.9973109</v>
      </c>
      <c r="Y2197">
        <v>6.6315339999999997E-3</v>
      </c>
      <c r="Z2197">
        <v>3.599419E-4</v>
      </c>
      <c r="AA2197">
        <v>0.99997789999999998</v>
      </c>
      <c r="AB2197">
        <v>45</v>
      </c>
      <c r="AC2197">
        <v>-20.505099999999999</v>
      </c>
      <c r="AD2197">
        <v>-1.1195633137430001</v>
      </c>
      <c r="AE2197">
        <v>6.8700000000035205E-2</v>
      </c>
      <c r="AF2197">
        <v>0.137958063750282</v>
      </c>
      <c r="AG2197">
        <v>-1.1195633137430001</v>
      </c>
      <c r="AH2197">
        <v>20.443804303061601</v>
      </c>
      <c r="AI2197">
        <v>93.134484480231606</v>
      </c>
      <c r="AJ2197">
        <v>89.613364777615303</v>
      </c>
      <c r="AK2197">
        <v>20.4749014362149</v>
      </c>
      <c r="AL2197">
        <v>94.172921343821002</v>
      </c>
      <c r="AM2197">
        <v>89.499003737299105</v>
      </c>
      <c r="AN2197">
        <v>1.0000000485381</v>
      </c>
    </row>
    <row r="2198" spans="1:40" x14ac:dyDescent="0.25">
      <c r="A2198" t="str">
        <f>"20190303154810848"</f>
        <v>20190303154810848</v>
      </c>
      <c r="B2198" t="str">
        <f>"1551599290843225"</f>
        <v>1551599290843225</v>
      </c>
      <c r="C2198" t="s">
        <v>40</v>
      </c>
      <c r="D2198">
        <v>5.5130080000000001</v>
      </c>
      <c r="E2198">
        <v>0.49982989999999999</v>
      </c>
      <c r="F2198" t="s">
        <v>52</v>
      </c>
      <c r="G2198">
        <v>-346.08760000000001</v>
      </c>
      <c r="H2198" s="1">
        <v>1.702731E-6</v>
      </c>
      <c r="I2198">
        <v>285.19200000000001</v>
      </c>
      <c r="J2198">
        <v>-325.79050000000001</v>
      </c>
      <c r="K2198">
        <v>1.119605</v>
      </c>
      <c r="L2198">
        <v>285.08870000000002</v>
      </c>
      <c r="M2198">
        <v>-0.99994769999999999</v>
      </c>
      <c r="N2198">
        <v>-9.7028410000000002E-3</v>
      </c>
      <c r="O2198">
        <v>-3.2643189999999999E-3</v>
      </c>
      <c r="P2198">
        <v>-0.99656140000000004</v>
      </c>
      <c r="Q2198">
        <v>-8.2627499999999895E-2</v>
      </c>
      <c r="R2198">
        <v>6.1897949999999997E-3</v>
      </c>
      <c r="S2198">
        <v>-2.9966740000000001</v>
      </c>
      <c r="T2198">
        <v>-0.16336870000000001</v>
      </c>
      <c r="U2198">
        <v>1.4953610000000001E-2</v>
      </c>
      <c r="V2198">
        <v>9.3856519999999995E-3</v>
      </c>
      <c r="W2198">
        <v>-7.2961780000000004E-2</v>
      </c>
      <c r="X2198">
        <v>0.99729060000000003</v>
      </c>
      <c r="Y2198">
        <v>8.2367269999999992E-3</v>
      </c>
      <c r="Z2198">
        <v>4.1051990000000001E-4</v>
      </c>
      <c r="AA2198">
        <v>0.99996600000000002</v>
      </c>
      <c r="AB2198">
        <v>45</v>
      </c>
      <c r="AC2198">
        <v>-20.2971</v>
      </c>
      <c r="AD2198">
        <v>-1.119603297269</v>
      </c>
      <c r="AE2198">
        <v>0.10329999999999</v>
      </c>
      <c r="AF2198">
        <v>0.16904443145897399</v>
      </c>
      <c r="AG2198">
        <v>-1.119603297269</v>
      </c>
      <c r="AH2198">
        <v>20.235086752126001</v>
      </c>
      <c r="AI2198">
        <v>93.166824622627502</v>
      </c>
      <c r="AJ2198">
        <v>89.521360729315106</v>
      </c>
      <c r="AK2198">
        <v>20.266741805952201</v>
      </c>
      <c r="AL2198">
        <v>94.184119869665906</v>
      </c>
      <c r="AM2198">
        <v>89.460796710557503</v>
      </c>
      <c r="AN2198">
        <v>1.00000002632629</v>
      </c>
    </row>
    <row r="2199" spans="1:40" x14ac:dyDescent="0.25">
      <c r="A2199" t="str">
        <f>"20190303154810858"</f>
        <v>20190303154810858</v>
      </c>
      <c r="B2199" t="str">
        <f>"1551599290852984"</f>
        <v>1551599290852984</v>
      </c>
      <c r="C2199" t="s">
        <v>40</v>
      </c>
      <c r="D2199">
        <v>5.4884360000000001</v>
      </c>
      <c r="E2199">
        <v>0.49985230000000003</v>
      </c>
      <c r="F2199" t="s">
        <v>52</v>
      </c>
      <c r="G2199">
        <v>-346.21730000000002</v>
      </c>
      <c r="H2199" s="1">
        <v>1.7717429999999901E-6</v>
      </c>
      <c r="I2199">
        <v>285.20819999999998</v>
      </c>
      <c r="J2199">
        <v>-326.01330000000002</v>
      </c>
      <c r="K2199">
        <v>1.1196459999999999</v>
      </c>
      <c r="L2199">
        <v>285.0881</v>
      </c>
      <c r="M2199">
        <v>-0.99994559999999999</v>
      </c>
      <c r="N2199">
        <v>-9.9512620000000006E-3</v>
      </c>
      <c r="O2199">
        <v>-3.1416629999999998E-3</v>
      </c>
      <c r="P2199">
        <v>-0.99651800000000001</v>
      </c>
      <c r="Q2199">
        <v>-8.3087530000000007E-2</v>
      </c>
      <c r="R2199">
        <v>6.9894400000000004E-3</v>
      </c>
      <c r="S2199">
        <v>-2.996613</v>
      </c>
      <c r="T2199">
        <v>-0.164246</v>
      </c>
      <c r="U2199">
        <v>1.7517089999999999E-2</v>
      </c>
      <c r="V2199">
        <v>1.006221E-2</v>
      </c>
      <c r="W2199">
        <v>-7.3175069999999995E-2</v>
      </c>
      <c r="X2199">
        <v>0.99726840000000005</v>
      </c>
      <c r="Y2199">
        <v>8.9682010000000003E-3</v>
      </c>
      <c r="Z2199">
        <v>4.310742E-4</v>
      </c>
      <c r="AA2199">
        <v>0.99995970000000001</v>
      </c>
      <c r="AB2199">
        <v>45</v>
      </c>
      <c r="AC2199">
        <v>-20.204000000000001</v>
      </c>
      <c r="AD2199">
        <v>-1.1196442282569901</v>
      </c>
      <c r="AE2199">
        <v>0.120099999999979</v>
      </c>
      <c r="AF2199">
        <v>0.18301468096739701</v>
      </c>
      <c r="AG2199">
        <v>-1.1196442282569901</v>
      </c>
      <c r="AH2199">
        <v>20.141669278353501</v>
      </c>
      <c r="AI2199">
        <v>93.181578113093906</v>
      </c>
      <c r="AJ2199">
        <v>89.479403613652295</v>
      </c>
      <c r="AK2199">
        <v>20.173595090858001</v>
      </c>
      <c r="AL2199">
        <v>94.196373139559199</v>
      </c>
      <c r="AM2199">
        <v>89.421918309272499</v>
      </c>
      <c r="AN2199">
        <v>1.00000005028907</v>
      </c>
    </row>
    <row r="2200" spans="1:40" x14ac:dyDescent="0.25">
      <c r="A2200" t="str">
        <f>"20190303154810882"</f>
        <v>20190303154810882</v>
      </c>
      <c r="B2200" t="str">
        <f>"1551599290872504"</f>
        <v>1551599290872504</v>
      </c>
      <c r="C2200" t="s">
        <v>40</v>
      </c>
      <c r="D2200">
        <v>5.4661790000000003</v>
      </c>
      <c r="E2200">
        <v>0.4998995</v>
      </c>
      <c r="F2200" t="s">
        <v>52</v>
      </c>
      <c r="G2200">
        <v>-346.30900000000003</v>
      </c>
      <c r="H2200" s="1">
        <v>1.8205490000000001E-6</v>
      </c>
      <c r="I2200">
        <v>285.22390000000001</v>
      </c>
      <c r="J2200">
        <v>-326.4547</v>
      </c>
      <c r="K2200">
        <v>1.1197379999999999</v>
      </c>
      <c r="L2200">
        <v>285.08699999999999</v>
      </c>
      <c r="M2200">
        <v>-0.99994079999999996</v>
      </c>
      <c r="N2200">
        <v>-1.04961E-2</v>
      </c>
      <c r="O2200">
        <v>-2.8953080000000001E-3</v>
      </c>
      <c r="P2200">
        <v>-0.99648230000000004</v>
      </c>
      <c r="Q2200">
        <v>-8.3420540000000001E-2</v>
      </c>
      <c r="R2200">
        <v>8.0281810000000006E-3</v>
      </c>
      <c r="S2200">
        <v>-2.996521</v>
      </c>
      <c r="T2200">
        <v>-0.16530799999999901</v>
      </c>
      <c r="U2200">
        <v>2.005005E-2</v>
      </c>
      <c r="V2200">
        <v>1.0855399999999999E-2</v>
      </c>
      <c r="W2200">
        <v>-7.2965749999999996E-2</v>
      </c>
      <c r="X2200">
        <v>0.99727540000000003</v>
      </c>
      <c r="Y2200">
        <v>9.5661319999999998E-3</v>
      </c>
      <c r="Z2200">
        <v>4.4314350000000002E-4</v>
      </c>
      <c r="AA2200">
        <v>0.99995420000000002</v>
      </c>
      <c r="AB2200">
        <v>45</v>
      </c>
      <c r="AC2200">
        <v>-19.854299999999999</v>
      </c>
      <c r="AD2200">
        <v>-1.1197361794509999</v>
      </c>
      <c r="AE2200">
        <v>0.136900000000025</v>
      </c>
      <c r="AF2200">
        <v>0.19377060581807401</v>
      </c>
      <c r="AG2200">
        <v>-1.1197361794509999</v>
      </c>
      <c r="AH2200">
        <v>19.7908746064304</v>
      </c>
      <c r="AI2200">
        <v>93.238096727440805</v>
      </c>
      <c r="AJ2200">
        <v>89.439040295697694</v>
      </c>
      <c r="AK2200">
        <v>19.8234727998578</v>
      </c>
      <c r="AL2200">
        <v>94.184347918388497</v>
      </c>
      <c r="AM2200">
        <v>89.376356779550306</v>
      </c>
      <c r="AN2200">
        <v>1.0000000319136899</v>
      </c>
    </row>
    <row r="2201" spans="1:40" x14ac:dyDescent="0.25">
      <c r="A2201" t="str">
        <f>"20190303154810903"</f>
        <v>20190303154810903</v>
      </c>
      <c r="B2201" t="str">
        <f>"1551599290893001"</f>
        <v>1551599290893001</v>
      </c>
      <c r="C2201" t="s">
        <v>40</v>
      </c>
      <c r="D2201">
        <v>5.4279099999999998</v>
      </c>
      <c r="E2201">
        <v>0.50002209999999903</v>
      </c>
      <c r="F2201" t="s">
        <v>52</v>
      </c>
      <c r="G2201">
        <v>-346.73860000000002</v>
      </c>
      <c r="H2201" s="1">
        <v>2.049178E-6</v>
      </c>
      <c r="I2201">
        <v>285.24650000000003</v>
      </c>
      <c r="J2201">
        <v>-326.89729999999997</v>
      </c>
      <c r="K2201">
        <v>1.119821</v>
      </c>
      <c r="L2201">
        <v>285.08589999999998</v>
      </c>
      <c r="M2201">
        <v>-0.99993549999999998</v>
      </c>
      <c r="N2201">
        <v>-1.1046800000000001E-2</v>
      </c>
      <c r="O2201">
        <v>-2.6404779999999999E-3</v>
      </c>
      <c r="P2201">
        <v>-0.99643530000000002</v>
      </c>
      <c r="Q2201">
        <v>-8.3933649999999999E-2</v>
      </c>
      <c r="R2201">
        <v>8.4636390000000002E-3</v>
      </c>
      <c r="S2201">
        <v>-2.9965820000000001</v>
      </c>
      <c r="T2201">
        <v>-0.1654207</v>
      </c>
      <c r="U2201">
        <v>2.3559569999999998E-2</v>
      </c>
      <c r="V2201">
        <v>1.1037089999999999E-2</v>
      </c>
      <c r="W2201">
        <v>-7.2930140000000004E-2</v>
      </c>
      <c r="X2201">
        <v>0.99727589999999999</v>
      </c>
      <c r="Y2201">
        <v>1.0480710000000001E-2</v>
      </c>
      <c r="Z2201">
        <v>4.6350219999999998E-4</v>
      </c>
      <c r="AA2201">
        <v>0.99994499999999997</v>
      </c>
      <c r="AB2201">
        <v>44</v>
      </c>
      <c r="AC2201">
        <v>-19.8413</v>
      </c>
      <c r="AD2201">
        <v>-1.119818950822</v>
      </c>
      <c r="AE2201">
        <v>0.16060000000004401</v>
      </c>
      <c r="AF2201">
        <v>0.21231689639843099</v>
      </c>
      <c r="AG2201">
        <v>-1.119818950822</v>
      </c>
      <c r="AH2201">
        <v>19.777811869228401</v>
      </c>
      <c r="AI2201">
        <v>93.240438529693407</v>
      </c>
      <c r="AJ2201">
        <v>89.384947389898798</v>
      </c>
      <c r="AK2201">
        <v>19.810626322297601</v>
      </c>
      <c r="AL2201">
        <v>94.182302627120905</v>
      </c>
      <c r="AM2201">
        <v>89.365919843950095</v>
      </c>
      <c r="AN2201">
        <v>0.99999992169844498</v>
      </c>
    </row>
    <row r="2202" spans="1:40" x14ac:dyDescent="0.25">
      <c r="A2202" t="str">
        <f>"20190303154810918"</f>
        <v>20190303154810918</v>
      </c>
      <c r="B2202" t="str">
        <f>"1551599290912521"</f>
        <v>1551599290912521</v>
      </c>
      <c r="C2202" t="s">
        <v>40</v>
      </c>
      <c r="D2202">
        <v>5.4546409999999996</v>
      </c>
      <c r="E2202">
        <v>0.50017449999999997</v>
      </c>
      <c r="F2202" t="s">
        <v>52</v>
      </c>
      <c r="G2202">
        <v>-346.99079999999998</v>
      </c>
      <c r="H2202" s="1">
        <v>2.1833349999999998E-6</v>
      </c>
      <c r="I2202">
        <v>285.25990000000002</v>
      </c>
      <c r="J2202">
        <v>-327.1927</v>
      </c>
      <c r="K2202">
        <v>1.1198669999999999</v>
      </c>
      <c r="L2202">
        <v>285.08530000000002</v>
      </c>
      <c r="M2202">
        <v>-0.99993200000000004</v>
      </c>
      <c r="N2202">
        <v>-1.1398129999999999E-2</v>
      </c>
      <c r="O2202">
        <v>-2.4682910000000001E-3</v>
      </c>
      <c r="P2202">
        <v>-0.99642030000000004</v>
      </c>
      <c r="Q2202">
        <v>-8.4112790000000007E-2</v>
      </c>
      <c r="R2202">
        <v>8.4633799999999995E-3</v>
      </c>
      <c r="S2202">
        <v>-2.996429</v>
      </c>
      <c r="T2202">
        <v>-0.1669928</v>
      </c>
      <c r="U2202">
        <v>2.5939940000000002E-2</v>
      </c>
      <c r="V2202">
        <v>1.086587E-2</v>
      </c>
      <c r="W2202">
        <v>-7.2758829999999997E-2</v>
      </c>
      <c r="X2202">
        <v>0.99729040000000002</v>
      </c>
      <c r="Y2202">
        <v>1.110178E-2</v>
      </c>
      <c r="Z2202">
        <v>4.8177460000000001E-4</v>
      </c>
      <c r="AA2202">
        <v>0.9999382</v>
      </c>
      <c r="AB2202">
        <v>44</v>
      </c>
      <c r="AC2202">
        <v>-19.798099999999899</v>
      </c>
      <c r="AD2202">
        <v>-1.119864816665</v>
      </c>
      <c r="AE2202">
        <v>0.17459999999999801</v>
      </c>
      <c r="AF2202">
        <v>0.22275745400205499</v>
      </c>
      <c r="AG2202">
        <v>-1.119864816665</v>
      </c>
      <c r="AH2202">
        <v>19.734472856013301</v>
      </c>
      <c r="AI2202">
        <v>93.247652675022806</v>
      </c>
      <c r="AJ2202">
        <v>89.353288023230505</v>
      </c>
      <c r="AK2202">
        <v>19.767476748326899</v>
      </c>
      <c r="AL2202">
        <v>94.172460695410194</v>
      </c>
      <c r="AM2202">
        <v>89.375764713521406</v>
      </c>
      <c r="AN2202">
        <v>1.0000000282029899</v>
      </c>
    </row>
    <row r="2203" spans="1:40" x14ac:dyDescent="0.25">
      <c r="A2203" t="str">
        <f>"20190303154810937"</f>
        <v>20190303154810937</v>
      </c>
      <c r="B2203" t="str">
        <f>"1551599290933016"</f>
        <v>1551599290933016</v>
      </c>
      <c r="C2203" t="s">
        <v>40</v>
      </c>
      <c r="D2203">
        <v>5.4313510000000003</v>
      </c>
      <c r="E2203">
        <v>0.51628819999999997</v>
      </c>
      <c r="F2203" t="s">
        <v>52</v>
      </c>
      <c r="G2203">
        <v>-347.0625</v>
      </c>
      <c r="H2203" s="1">
        <v>2.2215179999999999E-6</v>
      </c>
      <c r="I2203">
        <v>285.26519999999999</v>
      </c>
      <c r="J2203">
        <v>-327.57119999999998</v>
      </c>
      <c r="K2203">
        <v>1.119907</v>
      </c>
      <c r="L2203">
        <v>285.08449999999999</v>
      </c>
      <c r="M2203">
        <v>-0.99992769999999997</v>
      </c>
      <c r="N2203">
        <v>-1.181831E-2</v>
      </c>
      <c r="O2203">
        <v>-2.2481430000000002E-3</v>
      </c>
      <c r="P2203">
        <v>-0.99639429999999996</v>
      </c>
      <c r="Q2203">
        <v>-8.4483249999999996E-2</v>
      </c>
      <c r="R2203">
        <v>7.8108279999999997E-3</v>
      </c>
      <c r="S2203">
        <v>-2.9963069999999998</v>
      </c>
      <c r="T2203">
        <v>-0.16887279999999999</v>
      </c>
      <c r="U2203">
        <v>2.7130129999999999E-2</v>
      </c>
      <c r="V2203">
        <v>9.9940910000000001E-3</v>
      </c>
      <c r="W2203">
        <v>-7.270973E-2</v>
      </c>
      <c r="X2203">
        <v>0.9973031</v>
      </c>
      <c r="Y2203">
        <v>1.1278450000000001E-2</v>
      </c>
      <c r="Z2203">
        <v>4.8433409999999998E-4</v>
      </c>
      <c r="AA2203">
        <v>0.9999363</v>
      </c>
      <c r="AB2203">
        <v>44</v>
      </c>
      <c r="AC2203">
        <v>-19.491299999999999</v>
      </c>
      <c r="AD2203">
        <v>-1.119904778482</v>
      </c>
      <c r="AE2203">
        <v>0.180700000000001</v>
      </c>
      <c r="AF2203">
        <v>0.22378312630493999</v>
      </c>
      <c r="AG2203">
        <v>-1.119904778482</v>
      </c>
      <c r="AH2203">
        <v>19.4267172103939</v>
      </c>
      <c r="AI2203">
        <v>93.299097603116394</v>
      </c>
      <c r="AJ2203">
        <v>89.340019137701404</v>
      </c>
      <c r="AK2203">
        <v>19.460257119912399</v>
      </c>
      <c r="AL2203">
        <v>94.169639994273098</v>
      </c>
      <c r="AM2203">
        <v>89.425851511422593</v>
      </c>
      <c r="AN2203">
        <v>1.00000002998059</v>
      </c>
    </row>
    <row r="2204" spans="1:40" x14ac:dyDescent="0.25">
      <c r="A2204" t="str">
        <f>"20190303154810952"</f>
        <v>20190303154810952</v>
      </c>
      <c r="B2204" t="str">
        <f>"1551599290942777"</f>
        <v>1551599290942777</v>
      </c>
      <c r="C2204" t="s">
        <v>40</v>
      </c>
      <c r="D2204">
        <v>5.4532249999999998</v>
      </c>
      <c r="E2204">
        <v>0.51608959999999904</v>
      </c>
      <c r="F2204" t="s">
        <v>42</v>
      </c>
      <c r="G2204">
        <v>-328.34769999999997</v>
      </c>
      <c r="H2204">
        <v>1.0143500000000001</v>
      </c>
      <c r="I2204">
        <v>285.12439999999998</v>
      </c>
      <c r="J2204">
        <v>-327.8546</v>
      </c>
      <c r="K2204">
        <v>1.119934</v>
      </c>
      <c r="L2204">
        <v>285.084</v>
      </c>
      <c r="M2204">
        <v>-0.9999247</v>
      </c>
      <c r="N2204">
        <v>-1.2109200000000001E-2</v>
      </c>
      <c r="O2204">
        <v>-2.0857549999999999E-3</v>
      </c>
      <c r="P2204">
        <v>-0.99637100000000001</v>
      </c>
      <c r="Q2204">
        <v>-8.4793250000000001E-2</v>
      </c>
      <c r="R2204">
        <v>7.4236229999999999E-3</v>
      </c>
      <c r="S2204">
        <v>-2.9753720000000001</v>
      </c>
      <c r="T2204">
        <v>-0.40440949999999998</v>
      </c>
      <c r="U2204">
        <v>0.15270999999999901</v>
      </c>
      <c r="V2204">
        <v>9.4452789999999991E-3</v>
      </c>
      <c r="W2204">
        <v>-7.2729390000000005E-2</v>
      </c>
      <c r="X2204">
        <v>0.99730700000000005</v>
      </c>
      <c r="Y2204">
        <v>5.2796540000000003E-2</v>
      </c>
      <c r="Z2204">
        <v>4.1476439999999998E-3</v>
      </c>
      <c r="AA2204">
        <v>0.9985967</v>
      </c>
      <c r="AB2204">
        <v>44</v>
      </c>
      <c r="AC2204">
        <v>-0.49309999999996901</v>
      </c>
      <c r="AD2204">
        <v>-0.105583999999999</v>
      </c>
      <c r="AE2204">
        <v>4.0399999999976899E-2</v>
      </c>
      <c r="AF2204">
        <v>3.9623886343870998E-2</v>
      </c>
      <c r="AG2204">
        <v>-0.105583999999999</v>
      </c>
      <c r="AH2204">
        <v>0.47153938464863399</v>
      </c>
      <c r="AI2204">
        <v>102.578200941251</v>
      </c>
      <c r="AJ2204">
        <v>85.196667718899505</v>
      </c>
      <c r="AK2204">
        <v>0.48483752402202202</v>
      </c>
      <c r="AL2204">
        <v>94.170769482687405</v>
      </c>
      <c r="AM2204">
        <v>89.457380281557803</v>
      </c>
      <c r="AN2204">
        <v>1.00000001485708</v>
      </c>
    </row>
    <row r="2205" spans="1:40" x14ac:dyDescent="0.25">
      <c r="A2205" t="str">
        <f>"20190303154810965"</f>
        <v>20190303154810965</v>
      </c>
      <c r="B2205" t="str">
        <f>"1551599290963273"</f>
        <v>1551599290963273</v>
      </c>
      <c r="C2205" t="s">
        <v>40</v>
      </c>
      <c r="D2205">
        <v>5.446224</v>
      </c>
      <c r="E2205">
        <v>0.51637100000000002</v>
      </c>
      <c r="F2205" t="s">
        <v>42</v>
      </c>
      <c r="G2205">
        <v>-328.73630000000003</v>
      </c>
      <c r="H2205">
        <v>0.99934120000000004</v>
      </c>
      <c r="I2205">
        <v>285.12869999999998</v>
      </c>
      <c r="J2205">
        <v>-328.1275</v>
      </c>
      <c r="K2205">
        <v>1.119953</v>
      </c>
      <c r="L2205">
        <v>285.08359999999999</v>
      </c>
      <c r="M2205">
        <v>-0.99992159999999997</v>
      </c>
      <c r="N2205">
        <v>-1.2374609999999999E-2</v>
      </c>
      <c r="O2205">
        <v>-1.9320870000000001E-3</v>
      </c>
      <c r="P2205">
        <v>-0.99636720000000001</v>
      </c>
      <c r="Q2205">
        <v>-8.4864040000000002E-2</v>
      </c>
      <c r="R2205">
        <v>7.1179420000000004E-3</v>
      </c>
      <c r="S2205">
        <v>-2.9751590000000001</v>
      </c>
      <c r="T2205">
        <v>-0.40700140000000001</v>
      </c>
      <c r="U2205">
        <v>0.15020749999999999</v>
      </c>
      <c r="V2205">
        <v>8.9868259999999998E-3</v>
      </c>
      <c r="W2205">
        <v>-7.2535069999999993E-2</v>
      </c>
      <c r="X2205">
        <v>0.99732540000000003</v>
      </c>
      <c r="Y2205">
        <v>5.1812440000000001E-2</v>
      </c>
      <c r="Z2205">
        <v>4.0868679999999996E-3</v>
      </c>
      <c r="AA2205">
        <v>0.99864850000000005</v>
      </c>
      <c r="AB2205">
        <v>44</v>
      </c>
      <c r="AC2205">
        <v>-0.60880000000002998</v>
      </c>
      <c r="AD2205">
        <v>-0.12061179999999901</v>
      </c>
      <c r="AE2205">
        <v>4.50999999999908E-2</v>
      </c>
      <c r="AF2205">
        <v>4.4537732841073402E-2</v>
      </c>
      <c r="AG2205">
        <v>-0.12061179999999901</v>
      </c>
      <c r="AH2205">
        <v>0.58584336144254301</v>
      </c>
      <c r="AI2205">
        <v>101.600787523337</v>
      </c>
      <c r="AJ2205">
        <v>85.652549565300902</v>
      </c>
      <c r="AK2205">
        <v>0.59978601191771796</v>
      </c>
      <c r="AL2205">
        <v>94.159606234302302</v>
      </c>
      <c r="AM2205">
        <v>89.483725907888001</v>
      </c>
      <c r="AN2205">
        <v>1.0000000264533</v>
      </c>
    </row>
    <row r="2206" spans="1:40" x14ac:dyDescent="0.25">
      <c r="A2206" t="str">
        <f>"20190303154810980"</f>
        <v>20190303154810980</v>
      </c>
      <c r="B2206" t="str">
        <f>"1551599290973033"</f>
        <v>1551599290973033</v>
      </c>
      <c r="C2206" t="s">
        <v>40</v>
      </c>
      <c r="D2206">
        <v>5.4425739999999996</v>
      </c>
      <c r="E2206">
        <v>0.51650779999999996</v>
      </c>
      <c r="F2206" t="s">
        <v>42</v>
      </c>
      <c r="G2206">
        <v>-329.12430000000001</v>
      </c>
      <c r="H2206">
        <v>0.98426020000000003</v>
      </c>
      <c r="I2206">
        <v>285.1343</v>
      </c>
      <c r="J2206">
        <v>-328.43200000000002</v>
      </c>
      <c r="K2206">
        <v>1.1199730000000001</v>
      </c>
      <c r="L2206">
        <v>285.0831</v>
      </c>
      <c r="M2206">
        <v>-0.99991839999999999</v>
      </c>
      <c r="N2206">
        <v>-1.265227E-2</v>
      </c>
      <c r="O2206">
        <v>-1.7649460000000001E-3</v>
      </c>
      <c r="P2206">
        <v>-0.99631970000000003</v>
      </c>
      <c r="Q2206">
        <v>-8.5486229999999996E-2</v>
      </c>
      <c r="R2206">
        <v>6.2736619999999898E-3</v>
      </c>
      <c r="S2206">
        <v>-2.9753720000000001</v>
      </c>
      <c r="T2206">
        <v>-0.40498109999999998</v>
      </c>
      <c r="U2206">
        <v>0.15124509999999999</v>
      </c>
      <c r="V2206">
        <v>7.9761269999999995E-3</v>
      </c>
      <c r="W2206">
        <v>-7.2880050000000002E-2</v>
      </c>
      <c r="X2206">
        <v>0.9973088</v>
      </c>
      <c r="Y2206">
        <v>5.1993020000000001E-2</v>
      </c>
      <c r="Z2206">
        <v>4.0674730000000003E-3</v>
      </c>
      <c r="AA2206">
        <v>0.99863919999999995</v>
      </c>
      <c r="AB2206">
        <v>44</v>
      </c>
      <c r="AC2206">
        <v>-0.69230000000004499</v>
      </c>
      <c r="AD2206">
        <v>-0.135712799999999</v>
      </c>
      <c r="AE2206">
        <v>5.1199999999994299E-2</v>
      </c>
      <c r="AF2206">
        <v>5.0492111205092803E-2</v>
      </c>
      <c r="AG2206">
        <v>-0.135712799999999</v>
      </c>
      <c r="AH2206">
        <v>0.66672664656047598</v>
      </c>
      <c r="AI2206">
        <v>101.47344448984001</v>
      </c>
      <c r="AJ2206">
        <v>85.6691798840357</v>
      </c>
      <c r="AK2206">
        <v>0.68226962310479999</v>
      </c>
      <c r="AL2206">
        <v>94.179424773597901</v>
      </c>
      <c r="AM2206">
        <v>89.541778162630294</v>
      </c>
      <c r="AN2206">
        <v>0.99999998142368096</v>
      </c>
    </row>
    <row r="2207" spans="1:40" x14ac:dyDescent="0.25">
      <c r="A2207" t="str">
        <f>"20190303154810992"</f>
        <v>20190303154810992</v>
      </c>
      <c r="B2207" t="str">
        <f>"1551599290982793"</f>
        <v>1551599290982793</v>
      </c>
      <c r="C2207" t="s">
        <v>40</v>
      </c>
      <c r="D2207">
        <v>5.4301899999999996</v>
      </c>
      <c r="E2207">
        <v>0.51644939999999995</v>
      </c>
      <c r="F2207" t="s">
        <v>42</v>
      </c>
      <c r="G2207">
        <v>-329.51339999999999</v>
      </c>
      <c r="H2207">
        <v>0.97211530000000002</v>
      </c>
      <c r="I2207">
        <v>285.13780000000003</v>
      </c>
      <c r="J2207">
        <v>-328.6662</v>
      </c>
      <c r="K2207">
        <v>1.11999</v>
      </c>
      <c r="L2207">
        <v>285.08280000000002</v>
      </c>
      <c r="M2207">
        <v>-0.99991620000000003</v>
      </c>
      <c r="N2207">
        <v>-1.284563E-2</v>
      </c>
      <c r="O2207">
        <v>-1.6413389999999999E-3</v>
      </c>
      <c r="P2207">
        <v>-0.99632259999999995</v>
      </c>
      <c r="Q2207">
        <v>-8.5489090000000004E-2</v>
      </c>
      <c r="R2207">
        <v>5.7787689999999996E-3</v>
      </c>
      <c r="S2207">
        <v>-2.9752200000000002</v>
      </c>
      <c r="T2207">
        <v>-0.40687950000000001</v>
      </c>
      <c r="U2207">
        <v>0.1499634</v>
      </c>
      <c r="V2207">
        <v>7.3588389999999998E-3</v>
      </c>
      <c r="W2207">
        <v>-7.2689409999999996E-2</v>
      </c>
      <c r="X2207">
        <v>0.99732750000000003</v>
      </c>
      <c r="Y2207">
        <v>5.144402E-2</v>
      </c>
      <c r="Z2207">
        <v>4.0337699999999999E-3</v>
      </c>
      <c r="AA2207">
        <v>0.99866770000000005</v>
      </c>
      <c r="AB2207">
        <v>44</v>
      </c>
      <c r="AC2207">
        <v>-0.84719999999998596</v>
      </c>
      <c r="AD2207">
        <v>-0.1478747</v>
      </c>
      <c r="AE2207">
        <v>5.50000000000068E-2</v>
      </c>
      <c r="AF2207">
        <v>5.4730169923881099E-2</v>
      </c>
      <c r="AG2207">
        <v>-0.1478747</v>
      </c>
      <c r="AH2207">
        <v>0.82216558072976598</v>
      </c>
      <c r="AI2207">
        <v>100.1741580127</v>
      </c>
      <c r="AJ2207">
        <v>86.191535919435296</v>
      </c>
      <c r="AK2207">
        <v>0.837149067094207</v>
      </c>
      <c r="AL2207">
        <v>94.168472686197106</v>
      </c>
      <c r="AM2207">
        <v>89.577247428311196</v>
      </c>
      <c r="AN2207">
        <v>1.0000000225469099</v>
      </c>
    </row>
    <row r="2208" spans="1:40" x14ac:dyDescent="0.25">
      <c r="A2208" t="str">
        <f>"20190303154811004"</f>
        <v>20190303154811004</v>
      </c>
      <c r="B2208" t="str">
        <f>"1551599290992553"</f>
        <v>1551599290992553</v>
      </c>
      <c r="C2208" t="s">
        <v>40</v>
      </c>
      <c r="D2208">
        <v>5.4482710000000001</v>
      </c>
      <c r="E2208">
        <v>0.5164337</v>
      </c>
      <c r="F2208" t="s">
        <v>42</v>
      </c>
      <c r="G2208">
        <v>-329.52820000000003</v>
      </c>
      <c r="H2208">
        <v>1.0020199999999999</v>
      </c>
      <c r="I2208">
        <v>285.12580000000003</v>
      </c>
      <c r="J2208">
        <v>-328.88909999999998</v>
      </c>
      <c r="K2208">
        <v>1.1200019999999999</v>
      </c>
      <c r="L2208">
        <v>285.08249999999998</v>
      </c>
      <c r="M2208">
        <v>-0.99991410000000003</v>
      </c>
      <c r="N2208">
        <v>-1.302384E-2</v>
      </c>
      <c r="O2208">
        <v>-1.5254120000000001E-3</v>
      </c>
      <c r="P2208">
        <v>-0.99630280000000004</v>
      </c>
      <c r="Q2208">
        <v>-8.5722220000000002E-2</v>
      </c>
      <c r="R2208">
        <v>5.6985229999999996E-3</v>
      </c>
      <c r="S2208">
        <v>-2.97525</v>
      </c>
      <c r="T2208">
        <v>-0.40731250000000002</v>
      </c>
      <c r="U2208">
        <v>0.14785770000000001</v>
      </c>
      <c r="V2208">
        <v>7.1633319999999997E-3</v>
      </c>
      <c r="W2208">
        <v>-7.274485E-2</v>
      </c>
      <c r="X2208">
        <v>0.99732489999999996</v>
      </c>
      <c r="Y2208">
        <v>5.0630170000000002E-2</v>
      </c>
      <c r="Z2208">
        <v>3.9670110000000003E-3</v>
      </c>
      <c r="AA2208">
        <v>0.99870959999999998</v>
      </c>
      <c r="AB2208">
        <v>44</v>
      </c>
      <c r="AC2208">
        <v>-0.63910000000004097</v>
      </c>
      <c r="AD2208">
        <v>-0.117981999999999</v>
      </c>
      <c r="AE2208">
        <v>4.3300000000044699E-2</v>
      </c>
      <c r="AF2208">
        <v>4.2822228933073997E-2</v>
      </c>
      <c r="AG2208">
        <v>-0.117981999999999</v>
      </c>
      <c r="AH2208">
        <v>0.61806603205546395</v>
      </c>
      <c r="AI2208">
        <v>100.781880512676</v>
      </c>
      <c r="AJ2208">
        <v>86.0366397325717</v>
      </c>
      <c r="AK2208">
        <v>0.63068146920262602</v>
      </c>
      <c r="AL2208">
        <v>94.1716575173037</v>
      </c>
      <c r="AM2208">
        <v>89.588477502962803</v>
      </c>
      <c r="AN2208">
        <v>1.00000004134343</v>
      </c>
    </row>
    <row r="2209" spans="1:40" x14ac:dyDescent="0.25">
      <c r="A2209" t="str">
        <f>"20190303154811017"</f>
        <v>20190303154811017</v>
      </c>
      <c r="B2209" t="str">
        <f>"1551599291013049"</f>
        <v>1551599291013049</v>
      </c>
      <c r="C2209" t="s">
        <v>40</v>
      </c>
      <c r="D2209">
        <v>5.4535999999999998</v>
      </c>
      <c r="E2209">
        <v>0.51636289999999996</v>
      </c>
      <c r="F2209" t="s">
        <v>42</v>
      </c>
      <c r="G2209">
        <v>-329.9117</v>
      </c>
      <c r="H2209">
        <v>0.97955680000000001</v>
      </c>
      <c r="I2209">
        <v>285.13319999999999</v>
      </c>
      <c r="J2209">
        <v>-329.15769999999998</v>
      </c>
      <c r="K2209">
        <v>1.1200159999999999</v>
      </c>
      <c r="L2209">
        <v>285.0822</v>
      </c>
      <c r="M2209">
        <v>-0.99991169999999996</v>
      </c>
      <c r="N2209">
        <v>-1.322285E-2</v>
      </c>
      <c r="O2209">
        <v>-1.3895159999999999E-3</v>
      </c>
      <c r="P2209">
        <v>-0.99628589999999995</v>
      </c>
      <c r="Q2209">
        <v>-8.5949429999999993E-2</v>
      </c>
      <c r="R2209">
        <v>5.2058240000000004E-3</v>
      </c>
      <c r="S2209">
        <v>-2.9751280000000002</v>
      </c>
      <c r="T2209">
        <v>-0.40869030000000001</v>
      </c>
      <c r="U2209">
        <v>0.1473999</v>
      </c>
      <c r="V2209">
        <v>6.5361710000000003E-3</v>
      </c>
      <c r="W2209">
        <v>-7.2773160000000003E-2</v>
      </c>
      <c r="X2209">
        <v>0.99732710000000002</v>
      </c>
      <c r="Y2209">
        <v>5.0343060000000002E-2</v>
      </c>
      <c r="Z2209">
        <v>3.9458940000000001E-3</v>
      </c>
      <c r="AA2209">
        <v>0.99872419999999995</v>
      </c>
      <c r="AB2209">
        <v>44</v>
      </c>
      <c r="AC2209">
        <v>-0.75400000000001899</v>
      </c>
      <c r="AD2209">
        <v>-0.14045919999999901</v>
      </c>
      <c r="AE2209">
        <v>5.0999999999987701E-2</v>
      </c>
      <c r="AF2209">
        <v>5.0309824087784699E-2</v>
      </c>
      <c r="AG2209">
        <v>-0.14045919999999901</v>
      </c>
      <c r="AH2209">
        <v>0.72875416202514198</v>
      </c>
      <c r="AI2209">
        <v>100.884060304744</v>
      </c>
      <c r="AJ2209">
        <v>86.050829616635696</v>
      </c>
      <c r="AK2209">
        <v>0.74386994423309705</v>
      </c>
      <c r="AL2209">
        <v>94.173284046795501</v>
      </c>
      <c r="AM2209">
        <v>89.624506692949595</v>
      </c>
      <c r="AN2209">
        <v>0.99999999937106798</v>
      </c>
    </row>
    <row r="2210" spans="1:40" x14ac:dyDescent="0.25">
      <c r="A2210" t="str">
        <f>"20190303154811037"</f>
        <v>20190303154811037</v>
      </c>
      <c r="B2210" t="str">
        <f>"1551599291032569"</f>
        <v>1551599291032569</v>
      </c>
      <c r="C2210" t="s">
        <v>40</v>
      </c>
      <c r="D2210">
        <v>5.4197410000000001</v>
      </c>
      <c r="E2210">
        <v>0.51650019999999996</v>
      </c>
      <c r="F2210" t="s">
        <v>42</v>
      </c>
      <c r="G2210">
        <v>-329.92860000000002</v>
      </c>
      <c r="H2210">
        <v>1.0137670000000001</v>
      </c>
      <c r="I2210">
        <v>285.11989999999997</v>
      </c>
      <c r="J2210">
        <v>-329.53640000000001</v>
      </c>
      <c r="K2210">
        <v>1.120039</v>
      </c>
      <c r="L2210">
        <v>285.08179999999999</v>
      </c>
      <c r="M2210">
        <v>-0.99990849999999998</v>
      </c>
      <c r="N2210">
        <v>-1.3477859999999999E-2</v>
      </c>
      <c r="O2210">
        <v>-1.207947E-3</v>
      </c>
      <c r="P2210">
        <v>-0.99623110000000004</v>
      </c>
      <c r="Q2210">
        <v>-8.6563180000000003E-2</v>
      </c>
      <c r="R2210">
        <v>5.5419129999999999E-3</v>
      </c>
      <c r="S2210">
        <v>-2.975006</v>
      </c>
      <c r="T2210">
        <v>-0.41009220000000002</v>
      </c>
      <c r="U2210">
        <v>0.14544679999999999</v>
      </c>
      <c r="V2210">
        <v>6.6928200000000004E-3</v>
      </c>
      <c r="W2210">
        <v>-7.3133199999999995E-2</v>
      </c>
      <c r="X2210">
        <v>0.99729970000000001</v>
      </c>
      <c r="Y2210">
        <v>4.9515240000000002E-2</v>
      </c>
      <c r="Z2210">
        <v>3.8797200000000001E-3</v>
      </c>
      <c r="AA2210">
        <v>0.99876580000000004</v>
      </c>
      <c r="AB2210">
        <v>44</v>
      </c>
      <c r="AC2210">
        <v>-0.39220000000000199</v>
      </c>
      <c r="AD2210">
        <v>-0.10627199999999901</v>
      </c>
      <c r="AE2210">
        <v>3.8099999999985798E-2</v>
      </c>
      <c r="AF2210">
        <v>3.5958342804071702E-2</v>
      </c>
      <c r="AG2210">
        <v>-0.10627199999999901</v>
      </c>
      <c r="AH2210">
        <v>0.36556437096354899</v>
      </c>
      <c r="AI2210">
        <v>106.13570787079099</v>
      </c>
      <c r="AJ2210">
        <v>84.382234443124005</v>
      </c>
      <c r="AK2210">
        <v>0.38239253355575598</v>
      </c>
      <c r="AL2210">
        <v>94.193968035905499</v>
      </c>
      <c r="AM2210">
        <v>89.615497144493801</v>
      </c>
      <c r="AN2210">
        <v>0.99999997520093997</v>
      </c>
    </row>
    <row r="2211" spans="1:40" x14ac:dyDescent="0.25">
      <c r="A2211" t="str">
        <f>"20190303154811049"</f>
        <v>20190303154811049</v>
      </c>
      <c r="B2211" t="str">
        <f>"1551599291043305"</f>
        <v>1551599291043305</v>
      </c>
      <c r="C2211" t="s">
        <v>40</v>
      </c>
      <c r="D2211">
        <v>5.3991989999999896</v>
      </c>
      <c r="E2211">
        <v>0.51651709999999995</v>
      </c>
      <c r="F2211" t="s">
        <v>42</v>
      </c>
      <c r="G2211">
        <v>-330.32159999999999</v>
      </c>
      <c r="H2211">
        <v>1.011331</v>
      </c>
      <c r="I2211">
        <v>285.12099999999998</v>
      </c>
      <c r="J2211">
        <v>-329.76900000000001</v>
      </c>
      <c r="K2211">
        <v>1.1200509999999999</v>
      </c>
      <c r="L2211">
        <v>285.08159999999998</v>
      </c>
      <c r="M2211">
        <v>-0.99990670000000004</v>
      </c>
      <c r="N2211">
        <v>-1.362011E-2</v>
      </c>
      <c r="O2211">
        <v>-1.104212E-3</v>
      </c>
      <c r="P2211">
        <v>-0.99618139999999999</v>
      </c>
      <c r="Q2211">
        <v>-8.7126140000000005E-2</v>
      </c>
      <c r="R2211">
        <v>5.6558540000000001E-3</v>
      </c>
      <c r="S2211">
        <v>-2.9747309999999998</v>
      </c>
      <c r="T2211">
        <v>-0.41190280000000001</v>
      </c>
      <c r="U2211">
        <v>0.14773559999999999</v>
      </c>
      <c r="V2211">
        <v>6.7047359999999898E-3</v>
      </c>
      <c r="W2211">
        <v>-7.3554750000000002E-2</v>
      </c>
      <c r="X2211">
        <v>0.99726859999999995</v>
      </c>
      <c r="Y2211">
        <v>5.01717E-2</v>
      </c>
      <c r="Z2211">
        <v>3.9357669999999997E-3</v>
      </c>
      <c r="AA2211">
        <v>0.99873290000000003</v>
      </c>
      <c r="AB2211">
        <v>44</v>
      </c>
      <c r="AC2211">
        <v>-0.55259999999998399</v>
      </c>
      <c r="AD2211">
        <v>-0.10872</v>
      </c>
      <c r="AE2211">
        <v>3.9400000000000497E-2</v>
      </c>
      <c r="AF2211">
        <v>3.8526491701996103E-2</v>
      </c>
      <c r="AG2211">
        <v>-0.10872</v>
      </c>
      <c r="AH2211">
        <v>0.53206530725664802</v>
      </c>
      <c r="AI2211">
        <v>101.51925174898101</v>
      </c>
      <c r="AJ2211">
        <v>85.858479129005204</v>
      </c>
      <c r="AK2211">
        <v>0.54442430157825905</v>
      </c>
      <c r="AL2211">
        <v>94.218186373715795</v>
      </c>
      <c r="AM2211">
        <v>89.614800578508607</v>
      </c>
      <c r="AN2211">
        <v>0.99999995763917504</v>
      </c>
    </row>
    <row r="2212" spans="1:40" x14ac:dyDescent="0.25">
      <c r="A2212" t="str">
        <f>"20190303154811060"</f>
        <v>20190303154811060</v>
      </c>
      <c r="B2212" t="str">
        <f>"1551599291053065"</f>
        <v>1551599291053065</v>
      </c>
      <c r="C2212" t="s">
        <v>40</v>
      </c>
      <c r="D2212">
        <v>5.3646449999999897</v>
      </c>
      <c r="E2212">
        <v>0.51655450000000003</v>
      </c>
      <c r="F2212" t="s">
        <v>42</v>
      </c>
      <c r="G2212">
        <v>-330.7047</v>
      </c>
      <c r="H2212">
        <v>0.98991070000000003</v>
      </c>
      <c r="I2212">
        <v>285.12849999999997</v>
      </c>
      <c r="J2212">
        <v>-330.01049999999998</v>
      </c>
      <c r="K2212">
        <v>1.120066</v>
      </c>
      <c r="L2212">
        <v>285.08150000000001</v>
      </c>
      <c r="M2212">
        <v>-0.99990489999999999</v>
      </c>
      <c r="N2212">
        <v>-1.376177E-2</v>
      </c>
      <c r="O2212">
        <v>-1.0002679999999999E-3</v>
      </c>
      <c r="P2212">
        <v>-0.9961219</v>
      </c>
      <c r="Q2212">
        <v>-8.7765869999999996E-2</v>
      </c>
      <c r="R2212">
        <v>6.1980560000000004E-3</v>
      </c>
      <c r="S2212">
        <v>-2.9744869999999999</v>
      </c>
      <c r="T2212">
        <v>-0.4138637</v>
      </c>
      <c r="U2212">
        <v>0.14816279999999901</v>
      </c>
      <c r="V2212">
        <v>7.1445850000000002E-3</v>
      </c>
      <c r="W2212">
        <v>-7.4054120000000001E-2</v>
      </c>
      <c r="X2212">
        <v>0.99722860000000002</v>
      </c>
      <c r="Y2212">
        <v>5.0210039999999997E-2</v>
      </c>
      <c r="Z2212">
        <v>3.9464540000000003E-3</v>
      </c>
      <c r="AA2212">
        <v>0.99873089999999998</v>
      </c>
      <c r="AB2212">
        <v>44</v>
      </c>
      <c r="AC2212">
        <v>-0.69420000000002302</v>
      </c>
      <c r="AD2212">
        <v>-0.130155299999999</v>
      </c>
      <c r="AE2212">
        <v>4.6999999999968602E-2</v>
      </c>
      <c r="AF2212">
        <v>4.6081930942686401E-2</v>
      </c>
      <c r="AG2212">
        <v>-0.130155299999999</v>
      </c>
      <c r="AH2212">
        <v>0.67068408216891995</v>
      </c>
      <c r="AI2212">
        <v>100.957301674476</v>
      </c>
      <c r="AJ2212">
        <v>86.069450454036897</v>
      </c>
      <c r="AK2212">
        <v>0.684748920811317</v>
      </c>
      <c r="AL2212">
        <v>94.246876364757597</v>
      </c>
      <c r="AM2212">
        <v>89.589514818227599</v>
      </c>
      <c r="AN2212">
        <v>0.99999996922087697</v>
      </c>
    </row>
    <row r="2213" spans="1:40" x14ac:dyDescent="0.25">
      <c r="A2213" t="str">
        <f>"20190303154811072"</f>
        <v>20190303154811072</v>
      </c>
      <c r="B2213" t="str">
        <f>"1551599291062825"</f>
        <v>1551599291062825</v>
      </c>
      <c r="C2213" t="s">
        <v>40</v>
      </c>
      <c r="D2213">
        <v>5.3686400000000001</v>
      </c>
      <c r="E2213">
        <v>0.51658870000000001</v>
      </c>
      <c r="F2213" t="s">
        <v>42</v>
      </c>
      <c r="G2213">
        <v>-331.08760000000001</v>
      </c>
      <c r="H2213">
        <v>0.96924920000000003</v>
      </c>
      <c r="I2213">
        <v>285.13600000000002</v>
      </c>
      <c r="J2213">
        <v>-330.2516</v>
      </c>
      <c r="K2213">
        <v>1.1200810000000001</v>
      </c>
      <c r="L2213">
        <v>285.0813</v>
      </c>
      <c r="M2213">
        <v>-0.99990310000000004</v>
      </c>
      <c r="N2213">
        <v>-1.3887750000000001E-2</v>
      </c>
      <c r="O2213">
        <v>-9.081925E-4</v>
      </c>
      <c r="P2213">
        <v>-0.99606839999999996</v>
      </c>
      <c r="Q2213">
        <v>-8.8343309999999994E-2</v>
      </c>
      <c r="R2213">
        <v>6.5597140000000003E-3</v>
      </c>
      <c r="S2213">
        <v>-2.974091</v>
      </c>
      <c r="T2213">
        <v>-0.41648190000000002</v>
      </c>
      <c r="U2213">
        <v>0.15020749999999999</v>
      </c>
      <c r="V2213">
        <v>7.4162480000000003E-3</v>
      </c>
      <c r="W2213">
        <v>-7.4506539999999996E-2</v>
      </c>
      <c r="X2213">
        <v>0.99719290000000005</v>
      </c>
      <c r="Y2213">
        <v>5.0796969999999997E-2</v>
      </c>
      <c r="Z2213">
        <v>4.0060130000000001E-3</v>
      </c>
      <c r="AA2213">
        <v>0.99870099999999995</v>
      </c>
      <c r="AB2213">
        <v>44</v>
      </c>
      <c r="AC2213">
        <v>-0.83600000000001196</v>
      </c>
      <c r="AD2213">
        <v>-0.15083179999999899</v>
      </c>
      <c r="AE2213">
        <v>5.4699999999968399E-2</v>
      </c>
      <c r="AF2213">
        <v>5.37181387121747E-2</v>
      </c>
      <c r="AG2213">
        <v>-0.15083179999999899</v>
      </c>
      <c r="AH2213">
        <v>0.80970507855308804</v>
      </c>
      <c r="AI2213">
        <v>100.52948193856101</v>
      </c>
      <c r="AJ2213">
        <v>86.204397067866296</v>
      </c>
      <c r="AK2213">
        <v>0.82538365900507304</v>
      </c>
      <c r="AL2213">
        <v>94.272870003651505</v>
      </c>
      <c r="AM2213">
        <v>89.5738919959594</v>
      </c>
      <c r="AN2213">
        <v>0.99999995252378804</v>
      </c>
    </row>
    <row r="2214" spans="1:40" x14ac:dyDescent="0.25">
      <c r="A2214" t="str">
        <f>"20190303154811087"</f>
        <v>20190303154811087</v>
      </c>
      <c r="B2214" t="str">
        <f>"1551599291083321"</f>
        <v>1551599291083321</v>
      </c>
      <c r="C2214" t="s">
        <v>40</v>
      </c>
      <c r="D2214">
        <v>5.3786930000000002</v>
      </c>
      <c r="E2214">
        <v>0.51696439999999999</v>
      </c>
      <c r="F2214" t="s">
        <v>42</v>
      </c>
      <c r="G2214">
        <v>-331.10300000000001</v>
      </c>
      <c r="H2214">
        <v>1.0002439999999999</v>
      </c>
      <c r="I2214">
        <v>285.12490000000003</v>
      </c>
      <c r="J2214">
        <v>-330.51889999999997</v>
      </c>
      <c r="K2214">
        <v>1.120099</v>
      </c>
      <c r="L2214">
        <v>285.08109999999999</v>
      </c>
      <c r="M2214">
        <v>-0.99990140000000005</v>
      </c>
      <c r="N2214">
        <v>-1.401983E-2</v>
      </c>
      <c r="O2214">
        <v>-8.1274829999999996E-4</v>
      </c>
      <c r="P2214">
        <v>-0.99602469999999999</v>
      </c>
      <c r="Q2214">
        <v>-8.8780780000000004E-2</v>
      </c>
      <c r="R2214">
        <v>7.2685359999999999E-3</v>
      </c>
      <c r="S2214">
        <v>-2.9737550000000001</v>
      </c>
      <c r="T2214">
        <v>-0.41863299999999998</v>
      </c>
      <c r="U2214">
        <v>0.15142820000000001</v>
      </c>
      <c r="V2214">
        <v>8.0324990000000002E-3</v>
      </c>
      <c r="W2214">
        <v>-7.4812959999999998E-2</v>
      </c>
      <c r="X2214">
        <v>0.99716519999999997</v>
      </c>
      <c r="Y2214">
        <v>5.1107619999999999E-2</v>
      </c>
      <c r="Z2214">
        <v>4.0403130000000002E-3</v>
      </c>
      <c r="AA2214">
        <v>0.99868500000000004</v>
      </c>
      <c r="AB2214">
        <v>44</v>
      </c>
      <c r="AC2214">
        <v>-0.58410000000003404</v>
      </c>
      <c r="AD2214">
        <v>-0.119854999999999</v>
      </c>
      <c r="AE2214">
        <v>4.3800000000032903E-2</v>
      </c>
      <c r="AF2214">
        <v>4.2495474156425898E-2</v>
      </c>
      <c r="AG2214">
        <v>-0.119854999999999</v>
      </c>
      <c r="AH2214">
        <v>0.56059222444044399</v>
      </c>
      <c r="AI2214">
        <v>102.03466691987001</v>
      </c>
      <c r="AJ2214">
        <v>85.665006620760096</v>
      </c>
      <c r="AK2214">
        <v>0.57483452266879798</v>
      </c>
      <c r="AL2214">
        <v>94.290475646917102</v>
      </c>
      <c r="AM2214">
        <v>89.538473326649793</v>
      </c>
      <c r="AN2214">
        <v>0.99999996805759195</v>
      </c>
    </row>
    <row r="2215" spans="1:40" x14ac:dyDescent="0.25">
      <c r="A2215" t="str">
        <f>"20190303154811104"</f>
        <v>20190303154811104</v>
      </c>
      <c r="B2215" t="str">
        <f>"1551599291093081"</f>
        <v>1551599291093081</v>
      </c>
      <c r="C2215" t="s">
        <v>40</v>
      </c>
      <c r="D2215">
        <v>5.3836139999999997</v>
      </c>
      <c r="E2215">
        <v>0.51696960000000003</v>
      </c>
      <c r="F2215" t="s">
        <v>42</v>
      </c>
      <c r="G2215">
        <v>-331.48750000000001</v>
      </c>
      <c r="H2215">
        <v>0.98378299999999996</v>
      </c>
      <c r="I2215">
        <v>285.13220000000001</v>
      </c>
      <c r="J2215">
        <v>-330.86860000000001</v>
      </c>
      <c r="K2215">
        <v>1.120123</v>
      </c>
      <c r="L2215">
        <v>285.08089999999999</v>
      </c>
      <c r="M2215">
        <v>-0.99989930000000005</v>
      </c>
      <c r="N2215">
        <v>-1.4176670000000001E-2</v>
      </c>
      <c r="O2215">
        <v>-7.0304619999999999E-4</v>
      </c>
      <c r="P2215">
        <v>-0.99594749999999999</v>
      </c>
      <c r="Q2215">
        <v>-8.95344E-2</v>
      </c>
      <c r="R2215">
        <v>8.5172770000000002E-3</v>
      </c>
      <c r="S2215">
        <v>-2.9735719999999999</v>
      </c>
      <c r="T2215">
        <v>-0.4185352</v>
      </c>
      <c r="U2215">
        <v>0.15625</v>
      </c>
      <c r="V2215">
        <v>9.1754590000000004E-3</v>
      </c>
      <c r="W2215">
        <v>-7.5411450000000005E-2</v>
      </c>
      <c r="X2215">
        <v>0.9971103</v>
      </c>
      <c r="Y2215">
        <v>5.2600599999999997E-2</v>
      </c>
      <c r="Z2215">
        <v>4.1447769999999997E-3</v>
      </c>
      <c r="AA2215">
        <v>0.99860700000000002</v>
      </c>
      <c r="AB2215">
        <v>44</v>
      </c>
      <c r="AC2215">
        <v>-0.61889999999999601</v>
      </c>
      <c r="AD2215">
        <v>-0.13633999999999999</v>
      </c>
      <c r="AE2215">
        <v>5.1300000000026102E-2</v>
      </c>
      <c r="AF2215">
        <v>4.9356257315837503E-2</v>
      </c>
      <c r="AG2215">
        <v>-0.13633999999999999</v>
      </c>
      <c r="AH2215">
        <v>0.59040714092028102</v>
      </c>
      <c r="AI2215">
        <v>102.959440772677</v>
      </c>
      <c r="AJ2215">
        <v>85.221356649626998</v>
      </c>
      <c r="AK2215">
        <v>0.60795166566585501</v>
      </c>
      <c r="AL2215">
        <v>94.324863547774896</v>
      </c>
      <c r="AM2215">
        <v>89.472776243748299</v>
      </c>
      <c r="AN2215">
        <v>1.00000001310252</v>
      </c>
    </row>
    <row r="2216" spans="1:40" x14ac:dyDescent="0.25">
      <c r="A2216" t="str">
        <f>"20190303154811121"</f>
        <v>20190303154811121</v>
      </c>
      <c r="B2216" t="str">
        <f>"1551599291112601"</f>
        <v>1551599291112601</v>
      </c>
      <c r="C2216" t="s">
        <v>40</v>
      </c>
      <c r="D2216">
        <v>5.3846699999999998</v>
      </c>
      <c r="E2216">
        <v>0.51684019999999997</v>
      </c>
      <c r="F2216" t="s">
        <v>42</v>
      </c>
      <c r="G2216">
        <v>-331.8766</v>
      </c>
      <c r="H2216">
        <v>0.97731219999999996</v>
      </c>
      <c r="I2216">
        <v>285.1354</v>
      </c>
      <c r="J2216">
        <v>-331.18349999999998</v>
      </c>
      <c r="K2216">
        <v>1.120147</v>
      </c>
      <c r="L2216">
        <v>285.08080000000001</v>
      </c>
      <c r="M2216">
        <v>-0.99989749999999999</v>
      </c>
      <c r="N2216">
        <v>-1.430443E-2</v>
      </c>
      <c r="O2216">
        <v>-6.1938459999999896E-4</v>
      </c>
      <c r="P2216">
        <v>-0.99593359999999997</v>
      </c>
      <c r="Q2216">
        <v>-8.9619199999999996E-2</v>
      </c>
      <c r="R2216">
        <v>9.2161489999999999E-3</v>
      </c>
      <c r="S2216">
        <v>-2.9729920000000001</v>
      </c>
      <c r="T2216">
        <v>-0.42129080000000002</v>
      </c>
      <c r="U2216">
        <v>0.1600037</v>
      </c>
      <c r="V2216">
        <v>9.7948510000000003E-3</v>
      </c>
      <c r="W2216">
        <v>-7.5368889999999994E-2</v>
      </c>
      <c r="X2216">
        <v>0.99710759999999998</v>
      </c>
      <c r="Y2216">
        <v>5.3764510000000001E-2</v>
      </c>
      <c r="Z2216">
        <v>4.2531349999999999E-3</v>
      </c>
      <c r="AA2216">
        <v>0.9985446</v>
      </c>
      <c r="AB2216">
        <v>44</v>
      </c>
      <c r="AC2216">
        <v>-0.69310000000001504</v>
      </c>
      <c r="AD2216">
        <v>-0.14283480000000001</v>
      </c>
      <c r="AE2216">
        <v>5.4599999999993501E-2</v>
      </c>
      <c r="AF2216">
        <v>5.2800742375903903E-2</v>
      </c>
      <c r="AG2216">
        <v>-0.14283480000000001</v>
      </c>
      <c r="AH2216">
        <v>0.66499814591998097</v>
      </c>
      <c r="AI2216">
        <v>102.085454438881</v>
      </c>
      <c r="AJ2216">
        <v>85.460248669652898</v>
      </c>
      <c r="AK2216">
        <v>0.68221128146894405</v>
      </c>
      <c r="AL2216">
        <v>94.322418191505506</v>
      </c>
      <c r="AM2216">
        <v>89.437186545456896</v>
      </c>
      <c r="AN2216">
        <v>0.99999998733185202</v>
      </c>
    </row>
    <row r="2217" spans="1:40" x14ac:dyDescent="0.25">
      <c r="A2217" t="str">
        <f>"20190303154811134"</f>
        <v>20190303154811134</v>
      </c>
      <c r="B2217" t="str">
        <f>"1551599291123337"</f>
        <v>1551599291123337</v>
      </c>
      <c r="C2217" t="s">
        <v>40</v>
      </c>
      <c r="D2217">
        <v>5.3737199999999996</v>
      </c>
      <c r="E2217">
        <v>0.51679449999999905</v>
      </c>
      <c r="F2217" t="s">
        <v>42</v>
      </c>
      <c r="G2217">
        <v>-332.26299999999998</v>
      </c>
      <c r="H2217">
        <v>0.96652939999999998</v>
      </c>
      <c r="I2217">
        <v>285.13929999999999</v>
      </c>
      <c r="J2217">
        <v>-331.44229999999999</v>
      </c>
      <c r="K2217">
        <v>1.1201680000000001</v>
      </c>
      <c r="L2217">
        <v>285.08069999999998</v>
      </c>
      <c r="M2217">
        <v>-0.99989629999999996</v>
      </c>
      <c r="N2217">
        <v>-1.4396620000000001E-2</v>
      </c>
      <c r="O2217">
        <v>-5.667949E-4</v>
      </c>
      <c r="P2217">
        <v>-0.99592369999999997</v>
      </c>
      <c r="Q2217">
        <v>-8.9668709999999999E-2</v>
      </c>
      <c r="R2217">
        <v>9.7861219999999995E-3</v>
      </c>
      <c r="S2217">
        <v>-2.9726560000000002</v>
      </c>
      <c r="T2217">
        <v>-0.42308820000000003</v>
      </c>
      <c r="U2217">
        <v>0.16101070000000001</v>
      </c>
      <c r="V2217">
        <v>1.0315319999999999E-2</v>
      </c>
      <c r="W2217">
        <v>-7.5326389999999993E-2</v>
      </c>
      <c r="X2217">
        <v>0.99710560000000004</v>
      </c>
      <c r="Y2217">
        <v>5.4047339999999999E-2</v>
      </c>
      <c r="Z2217">
        <v>4.2877339999999996E-3</v>
      </c>
      <c r="AA2217">
        <v>0.99852920000000001</v>
      </c>
      <c r="AB2217">
        <v>44</v>
      </c>
      <c r="AC2217">
        <v>-0.82070000000004395</v>
      </c>
      <c r="AD2217">
        <v>-0.15363859999999999</v>
      </c>
      <c r="AE2217">
        <v>5.86000000000126E-2</v>
      </c>
      <c r="AF2217">
        <v>5.7075128984701302E-2</v>
      </c>
      <c r="AG2217">
        <v>-0.15363859999999999</v>
      </c>
      <c r="AH2217">
        <v>0.79301600808904105</v>
      </c>
      <c r="AI2217">
        <v>100.937016587812</v>
      </c>
      <c r="AJ2217">
        <v>85.883393308132796</v>
      </c>
      <c r="AK2217">
        <v>0.80977575837021598</v>
      </c>
      <c r="AL2217">
        <v>94.319976019409594</v>
      </c>
      <c r="AM2217">
        <v>89.407281217764094</v>
      </c>
      <c r="AN2217">
        <v>1.0000000242042399</v>
      </c>
    </row>
    <row r="2218" spans="1:40" x14ac:dyDescent="0.25">
      <c r="A2218" t="str">
        <f>"20190303154811148"</f>
        <v>20190303154811148</v>
      </c>
      <c r="B2218" t="str">
        <f>"1551599291142857"</f>
        <v>1551599291142857</v>
      </c>
      <c r="C2218" t="s">
        <v>40</v>
      </c>
      <c r="D2218">
        <v>5.3860140000000003</v>
      </c>
      <c r="E2218">
        <v>0.51668190000000003</v>
      </c>
      <c r="F2218" t="s">
        <v>42</v>
      </c>
      <c r="G2218">
        <v>-332.2801</v>
      </c>
      <c r="H2218">
        <v>1.0009709999999901</v>
      </c>
      <c r="I2218">
        <v>285.12650000000002</v>
      </c>
      <c r="J2218">
        <v>-331.7217</v>
      </c>
      <c r="K2218">
        <v>1.1201909999999999</v>
      </c>
      <c r="L2218">
        <v>285.0806</v>
      </c>
      <c r="M2218">
        <v>-0.99989490000000003</v>
      </c>
      <c r="N2218">
        <v>-1.448963E-2</v>
      </c>
      <c r="O2218">
        <v>-5.1793390000000003E-4</v>
      </c>
      <c r="P2218">
        <v>-0.99593140000000002</v>
      </c>
      <c r="Q2218">
        <v>-8.9463749999999995E-2</v>
      </c>
      <c r="R2218">
        <v>1.082023E-2</v>
      </c>
      <c r="S2218">
        <v>-2.9725649999999999</v>
      </c>
      <c r="T2218">
        <v>-0.42302800000000002</v>
      </c>
      <c r="U2218">
        <v>0.1622314</v>
      </c>
      <c r="V2218">
        <v>1.1304420000000001E-2</v>
      </c>
      <c r="W2218">
        <v>-7.5028559999999994E-2</v>
      </c>
      <c r="X2218">
        <v>0.99711729999999998</v>
      </c>
      <c r="Y2218">
        <v>5.440528E-2</v>
      </c>
      <c r="Z2218">
        <v>4.3114659999999999E-3</v>
      </c>
      <c r="AA2218">
        <v>0.9985096</v>
      </c>
      <c r="AB2218">
        <v>44</v>
      </c>
      <c r="AC2218">
        <v>-0.558400000000006</v>
      </c>
      <c r="AD2218">
        <v>-0.11922000000000001</v>
      </c>
      <c r="AE2218">
        <v>4.5900000000017302E-2</v>
      </c>
      <c r="AF2218">
        <v>4.4188491980772099E-2</v>
      </c>
      <c r="AG2218">
        <v>-0.11922000000000001</v>
      </c>
      <c r="AH2218">
        <v>0.53418936545100304</v>
      </c>
      <c r="AI2218">
        <v>102.539584270136</v>
      </c>
      <c r="AJ2218">
        <v>85.271222096515601</v>
      </c>
      <c r="AK2218">
        <v>0.54911229214476698</v>
      </c>
      <c r="AL2218">
        <v>94.302863328699701</v>
      </c>
      <c r="AM2218">
        <v>89.350459761780598</v>
      </c>
      <c r="AN2218">
        <v>0.99999999234324999</v>
      </c>
    </row>
    <row r="2219" spans="1:40" x14ac:dyDescent="0.25">
      <c r="A2219" t="str">
        <f>"20190303154811161"</f>
        <v>20190303154811161</v>
      </c>
      <c r="B2219" t="str">
        <f>"1551599291152618"</f>
        <v>1551599291152618</v>
      </c>
      <c r="C2219" t="s">
        <v>40</v>
      </c>
      <c r="D2219">
        <v>5.3796689999999998</v>
      </c>
      <c r="E2219">
        <v>0.51664500000000002</v>
      </c>
      <c r="F2219" t="s">
        <v>42</v>
      </c>
      <c r="G2219">
        <v>-332.66399999999999</v>
      </c>
      <c r="H2219">
        <v>0.98601079999999997</v>
      </c>
      <c r="I2219">
        <v>285.13319999999999</v>
      </c>
      <c r="J2219">
        <v>-331.97230000000002</v>
      </c>
      <c r="K2219">
        <v>1.120212</v>
      </c>
      <c r="L2219">
        <v>285.08049999999997</v>
      </c>
      <c r="M2219">
        <v>-0.9998939</v>
      </c>
      <c r="N2219">
        <v>-1.456759E-2</v>
      </c>
      <c r="O2219">
        <v>-4.8121589999999999E-4</v>
      </c>
      <c r="P2219">
        <v>-0.99594510000000003</v>
      </c>
      <c r="Q2219">
        <v>-8.9274049999999994E-2</v>
      </c>
      <c r="R2219">
        <v>1.1126840000000001E-2</v>
      </c>
      <c r="S2219">
        <v>-2.9724430000000002</v>
      </c>
      <c r="T2219">
        <v>-0.42337950000000002</v>
      </c>
      <c r="U2219">
        <v>0.16464229999999899</v>
      </c>
      <c r="V2219">
        <v>1.157744E-2</v>
      </c>
      <c r="W2219">
        <v>-7.4760579999999993E-2</v>
      </c>
      <c r="X2219">
        <v>0.99713430000000003</v>
      </c>
      <c r="Y2219">
        <v>5.5168790000000002E-2</v>
      </c>
      <c r="Z2219">
        <v>4.3718630000000001E-3</v>
      </c>
      <c r="AA2219">
        <v>0.9984674</v>
      </c>
      <c r="AB2219">
        <v>44</v>
      </c>
      <c r="AC2219">
        <v>-0.69169999999996801</v>
      </c>
      <c r="AD2219">
        <v>-0.13420119999999999</v>
      </c>
      <c r="AE2219">
        <v>5.27000000000157E-2</v>
      </c>
      <c r="AF2219">
        <v>5.1119722906707799E-2</v>
      </c>
      <c r="AG2219">
        <v>-0.13420119999999999</v>
      </c>
      <c r="AH2219">
        <v>0.66672237218766695</v>
      </c>
      <c r="AI2219">
        <v>101.348267152408</v>
      </c>
      <c r="AJ2219">
        <v>85.615528864055193</v>
      </c>
      <c r="AK2219">
        <v>0.68201313017202803</v>
      </c>
      <c r="AL2219">
        <v>94.287465942078001</v>
      </c>
      <c r="AM2219">
        <v>89.334785049460194</v>
      </c>
      <c r="AN2219">
        <v>0.99999999683769003</v>
      </c>
    </row>
    <row r="2220" spans="1:40" x14ac:dyDescent="0.25">
      <c r="A2220" t="str">
        <f>"20190303154811173"</f>
        <v>20190303154811173</v>
      </c>
      <c r="B2220" t="str">
        <f>"1551599291163354"</f>
        <v>1551599291163354</v>
      </c>
      <c r="C2220" t="s">
        <v>40</v>
      </c>
      <c r="D2220">
        <v>5.4124420000000004</v>
      </c>
      <c r="E2220">
        <v>0.51665229999999995</v>
      </c>
      <c r="F2220" t="s">
        <v>42</v>
      </c>
      <c r="G2220">
        <v>-333.04570000000001</v>
      </c>
      <c r="H2220">
        <v>0.96737280000000003</v>
      </c>
      <c r="I2220">
        <v>285.14030000000002</v>
      </c>
      <c r="J2220">
        <v>-332.20460000000003</v>
      </c>
      <c r="K2220">
        <v>1.1202289999999999</v>
      </c>
      <c r="L2220">
        <v>285.0804</v>
      </c>
      <c r="M2220">
        <v>-0.99989300000000003</v>
      </c>
      <c r="N2220">
        <v>-1.463041E-2</v>
      </c>
      <c r="O2220">
        <v>-4.574677E-4</v>
      </c>
      <c r="P2220">
        <v>-0.99596819999999997</v>
      </c>
      <c r="Q2220">
        <v>-8.8978109999999999E-2</v>
      </c>
      <c r="R2220">
        <v>1.141315E-2</v>
      </c>
      <c r="S2220">
        <v>-2.9724119999999998</v>
      </c>
      <c r="T2220">
        <v>-0.42325220000000002</v>
      </c>
      <c r="U2220">
        <v>0.16516110000000001</v>
      </c>
      <c r="V2220">
        <v>1.1842750000000001E-2</v>
      </c>
      <c r="W2220">
        <v>-7.4401389999999998E-2</v>
      </c>
      <c r="X2220">
        <v>0.99715810000000005</v>
      </c>
      <c r="Y2220">
        <v>5.5318020000000002E-2</v>
      </c>
      <c r="Z2220">
        <v>4.3810630000000001E-3</v>
      </c>
      <c r="AA2220">
        <v>0.99845919999999999</v>
      </c>
      <c r="AB2220">
        <v>44</v>
      </c>
      <c r="AC2220">
        <v>-0.84109999999998297</v>
      </c>
      <c r="AD2220">
        <v>-0.1528562</v>
      </c>
      <c r="AE2220">
        <v>5.9900000000027299E-2</v>
      </c>
      <c r="AF2220">
        <v>5.8366848811448803E-2</v>
      </c>
      <c r="AG2220">
        <v>-0.1528562</v>
      </c>
      <c r="AH2220">
        <v>0.81431377269202798</v>
      </c>
      <c r="AI2220">
        <v>100.604784312307</v>
      </c>
      <c r="AJ2220">
        <v>85.900272179035795</v>
      </c>
      <c r="AK2220">
        <v>0.83058932530736396</v>
      </c>
      <c r="AL2220">
        <v>94.266828180124094</v>
      </c>
      <c r="AM2220">
        <v>89.319558560908902</v>
      </c>
      <c r="AN2220">
        <v>1.0000000469785499</v>
      </c>
    </row>
    <row r="2221" spans="1:40" x14ac:dyDescent="0.25">
      <c r="A2221" t="str">
        <f>"20190303154811186"</f>
        <v>20190303154811186</v>
      </c>
      <c r="B2221" t="str">
        <f>"1551599291173114"</f>
        <v>1551599291173114</v>
      </c>
      <c r="C2221" t="s">
        <v>40</v>
      </c>
      <c r="D2221">
        <v>5.3777540000000004</v>
      </c>
      <c r="E2221">
        <v>0.51664569999999999</v>
      </c>
      <c r="F2221" t="s">
        <v>42</v>
      </c>
      <c r="G2221">
        <v>-333.06119999999999</v>
      </c>
      <c r="H2221">
        <v>0.99850740000000004</v>
      </c>
      <c r="I2221">
        <v>285.1284</v>
      </c>
      <c r="J2221">
        <v>-332.46719999999999</v>
      </c>
      <c r="K2221">
        <v>1.120247</v>
      </c>
      <c r="L2221">
        <v>285.08030000000002</v>
      </c>
      <c r="M2221">
        <v>-0.99989209999999995</v>
      </c>
      <c r="N2221">
        <v>-1.46912999999999E-2</v>
      </c>
      <c r="O2221">
        <v>-4.3467810000000001E-4</v>
      </c>
      <c r="P2221">
        <v>-0.99597950000000002</v>
      </c>
      <c r="Q2221">
        <v>-8.8859160000000006E-2</v>
      </c>
      <c r="R2221">
        <v>1.135707E-2</v>
      </c>
      <c r="S2221">
        <v>-2.9725039999999998</v>
      </c>
      <c r="T2221">
        <v>-0.4224463</v>
      </c>
      <c r="U2221">
        <v>0.16607669999999999</v>
      </c>
      <c r="V2221">
        <v>1.176669E-2</v>
      </c>
      <c r="W2221">
        <v>-7.4221079999999995E-2</v>
      </c>
      <c r="X2221">
        <v>0.99717239999999996</v>
      </c>
      <c r="Y2221">
        <v>5.5599250000000003E-2</v>
      </c>
      <c r="Z2221">
        <v>4.3941279999999997E-3</v>
      </c>
      <c r="AA2221">
        <v>0.99844350000000004</v>
      </c>
      <c r="AB2221">
        <v>44</v>
      </c>
      <c r="AC2221">
        <v>-0.59399999999999398</v>
      </c>
      <c r="AD2221">
        <v>-0.121739599999999</v>
      </c>
      <c r="AE2221">
        <v>4.8099999999976703E-2</v>
      </c>
      <c r="AF2221">
        <v>4.6421053612458699E-2</v>
      </c>
      <c r="AG2221">
        <v>-0.121739599999999</v>
      </c>
      <c r="AH2221">
        <v>0.570184993882625</v>
      </c>
      <c r="AI2221">
        <v>102.01361050347199</v>
      </c>
      <c r="AJ2221">
        <v>85.345585564880196</v>
      </c>
      <c r="AK2221">
        <v>0.58488150225116498</v>
      </c>
      <c r="AL2221">
        <v>94.256468694941901</v>
      </c>
      <c r="AM2221">
        <v>89.323937979894097</v>
      </c>
      <c r="AN2221">
        <v>1.0000000095158399</v>
      </c>
    </row>
    <row r="2222" spans="1:40" x14ac:dyDescent="0.25">
      <c r="A2222" t="str">
        <f>"20190303154811197"</f>
        <v>20190303154811197</v>
      </c>
      <c r="B2222" t="str">
        <f>"1551599291192633"</f>
        <v>1551599291192633</v>
      </c>
      <c r="C2222" t="s">
        <v>40</v>
      </c>
      <c r="D2222">
        <v>5.4090089999999904</v>
      </c>
      <c r="E2222">
        <v>0.51651619999999998</v>
      </c>
      <c r="F2222" t="s">
        <v>42</v>
      </c>
      <c r="G2222">
        <v>-333.44330000000002</v>
      </c>
      <c r="H2222">
        <v>0.98151849999999996</v>
      </c>
      <c r="I2222">
        <v>285.13510000000002</v>
      </c>
      <c r="J2222">
        <v>-332.6979</v>
      </c>
      <c r="K2222">
        <v>1.12026</v>
      </c>
      <c r="L2222">
        <v>285.08010000000002</v>
      </c>
      <c r="M2222">
        <v>-0.99989150000000004</v>
      </c>
      <c r="N2222">
        <v>-1.473286E-2</v>
      </c>
      <c r="O2222">
        <v>-4.1956879999999999E-4</v>
      </c>
      <c r="P2222">
        <v>-0.99599990000000005</v>
      </c>
      <c r="Q2222">
        <v>-8.8659500000000002E-2</v>
      </c>
      <c r="R2222">
        <v>1.1141119999999999E-2</v>
      </c>
      <c r="S2222">
        <v>-2.9725039999999998</v>
      </c>
      <c r="T2222">
        <v>-0.42262240000000001</v>
      </c>
      <c r="U2222">
        <v>0.1658936</v>
      </c>
      <c r="V2222">
        <v>1.1538110000000001E-2</v>
      </c>
      <c r="W2222">
        <v>-7.3979320000000001E-2</v>
      </c>
      <c r="X2222">
        <v>0.997193</v>
      </c>
      <c r="Y2222">
        <v>5.552315E-2</v>
      </c>
      <c r="Z2222">
        <v>4.3890719999999999E-3</v>
      </c>
      <c r="AA2222">
        <v>0.9984478</v>
      </c>
      <c r="AB2222">
        <v>44</v>
      </c>
      <c r="AC2222">
        <v>-0.74540000000001705</v>
      </c>
      <c r="AD2222">
        <v>-0.13874149999999999</v>
      </c>
      <c r="AE2222">
        <v>5.50000000000068E-2</v>
      </c>
      <c r="AF2222">
        <v>5.3470354065072001E-2</v>
      </c>
      <c r="AG2222">
        <v>-0.13874149999999999</v>
      </c>
      <c r="AH2222">
        <v>0.72054898550205104</v>
      </c>
      <c r="AI2222">
        <v>100.869725886905</v>
      </c>
      <c r="AJ2222">
        <v>85.7559852306821</v>
      </c>
      <c r="AK2222">
        <v>0.73573033313445002</v>
      </c>
      <c r="AL2222">
        <v>94.242578834013699</v>
      </c>
      <c r="AM2222">
        <v>89.337083686675598</v>
      </c>
      <c r="AN2222">
        <v>0.99999997350951597</v>
      </c>
    </row>
    <row r="2223" spans="1:40" x14ac:dyDescent="0.25">
      <c r="A2223" t="str">
        <f>"20190303154811210"</f>
        <v>20190303154811210</v>
      </c>
      <c r="B2223" t="str">
        <f>"1551599291203369"</f>
        <v>1551599291203369</v>
      </c>
      <c r="C2223" t="s">
        <v>40</v>
      </c>
      <c r="D2223">
        <v>5.3915620000000004</v>
      </c>
      <c r="E2223">
        <v>0.51642189999999999</v>
      </c>
      <c r="F2223" t="s">
        <v>42</v>
      </c>
      <c r="G2223">
        <v>-333.45859999999999</v>
      </c>
      <c r="H2223">
        <v>1.012397</v>
      </c>
      <c r="I2223">
        <v>285.12259999999998</v>
      </c>
      <c r="J2223">
        <v>-332.93310000000002</v>
      </c>
      <c r="K2223">
        <v>1.1202589999999999</v>
      </c>
      <c r="L2223">
        <v>285.08010000000002</v>
      </c>
      <c r="M2223">
        <v>-0.99989130000000004</v>
      </c>
      <c r="N2223">
        <v>-1.4738680000000001E-2</v>
      </c>
      <c r="O2223">
        <v>-4.08947E-4</v>
      </c>
      <c r="P2223">
        <v>-0.99604020000000004</v>
      </c>
      <c r="Q2223">
        <v>-8.823781E-2</v>
      </c>
      <c r="R2223">
        <v>1.087626E-2</v>
      </c>
      <c r="S2223">
        <v>-2.9726870000000001</v>
      </c>
      <c r="T2223">
        <v>-0.42170869999999999</v>
      </c>
      <c r="U2223">
        <v>0.16436770000000001</v>
      </c>
      <c r="V2223">
        <v>1.1264639999999999E-2</v>
      </c>
      <c r="W2223">
        <v>-7.3550889999999994E-2</v>
      </c>
      <c r="X2223">
        <v>0.9972278</v>
      </c>
      <c r="Y2223">
        <v>5.500654E-2</v>
      </c>
      <c r="Z2223">
        <v>4.3388949999999997E-3</v>
      </c>
      <c r="AA2223">
        <v>0.99847660000000005</v>
      </c>
      <c r="AB2223">
        <v>44</v>
      </c>
      <c r="AC2223">
        <v>-0.525499999999965</v>
      </c>
      <c r="AD2223">
        <v>-0.107862</v>
      </c>
      <c r="AE2223">
        <v>4.2499999999961298E-2</v>
      </c>
      <c r="AF2223">
        <v>4.0998863595974398E-2</v>
      </c>
      <c r="AG2223">
        <v>-0.107862</v>
      </c>
      <c r="AH2223">
        <v>0.50437148529160503</v>
      </c>
      <c r="AI2223">
        <v>102.03259523539801</v>
      </c>
      <c r="AJ2223">
        <v>85.352813432635202</v>
      </c>
      <c r="AK2223">
        <v>0.51740285371789496</v>
      </c>
      <c r="AL2223">
        <v>94.217964621142102</v>
      </c>
      <c r="AM2223">
        <v>89.352816998853299</v>
      </c>
      <c r="AN2223">
        <v>0.99999995531347896</v>
      </c>
    </row>
    <row r="2224" spans="1:40" x14ac:dyDescent="0.25">
      <c r="A2224" t="str">
        <f>"20190303154811222"</f>
        <v>20190303154811222</v>
      </c>
      <c r="B2224" t="str">
        <f>"1551599291213129"</f>
        <v>1551599291213129</v>
      </c>
      <c r="C2224" t="s">
        <v>40</v>
      </c>
      <c r="D2224">
        <v>5.3913580000000003</v>
      </c>
      <c r="E2224">
        <v>0.51629650000000005</v>
      </c>
      <c r="F2224" t="s">
        <v>42</v>
      </c>
      <c r="G2224">
        <v>-333.83890000000002</v>
      </c>
      <c r="H2224">
        <v>0.99204599999999998</v>
      </c>
      <c r="I2224">
        <v>285.12990000000002</v>
      </c>
      <c r="J2224">
        <v>-333.16199999999998</v>
      </c>
      <c r="K2224">
        <v>1.1202589999999999</v>
      </c>
      <c r="L2224">
        <v>285.08</v>
      </c>
      <c r="M2224">
        <v>-0.99989150000000004</v>
      </c>
      <c r="N2224">
        <v>-1.4729849999999999E-2</v>
      </c>
      <c r="O2224">
        <v>-4.0082980000000001E-4</v>
      </c>
      <c r="P2224">
        <v>-0.99603640000000004</v>
      </c>
      <c r="Q2224">
        <v>-8.8317709999999994E-2</v>
      </c>
      <c r="R2224">
        <v>1.0577949999999999E-2</v>
      </c>
      <c r="S2224">
        <v>-2.9729000000000001</v>
      </c>
      <c r="T2224">
        <v>-0.42083159999999997</v>
      </c>
      <c r="U2224">
        <v>0.16290279999999999</v>
      </c>
      <c r="V2224">
        <v>1.095989E-2</v>
      </c>
      <c r="W2224">
        <v>-7.3639319999999994E-2</v>
      </c>
      <c r="X2224">
        <v>0.99722469999999996</v>
      </c>
      <c r="Y2224">
        <v>5.4511980000000002E-2</v>
      </c>
      <c r="Z2224">
        <v>4.2908109999999899E-3</v>
      </c>
      <c r="AA2224">
        <v>0.9985039</v>
      </c>
      <c r="AB2224">
        <v>44</v>
      </c>
      <c r="AC2224">
        <v>-0.67690000000004602</v>
      </c>
      <c r="AD2224">
        <v>-0.12821299999999999</v>
      </c>
      <c r="AE2224">
        <v>4.9900000000036401E-2</v>
      </c>
      <c r="AF2224">
        <v>4.8442763980487198E-2</v>
      </c>
      <c r="AG2224">
        <v>-0.12821299999999999</v>
      </c>
      <c r="AH2224">
        <v>0.65355899670162898</v>
      </c>
      <c r="AI2224">
        <v>101.06952754872999</v>
      </c>
      <c r="AJ2224">
        <v>85.760903534964797</v>
      </c>
      <c r="AK2224">
        <v>0.66777588824448397</v>
      </c>
      <c r="AL2224">
        <v>94.223044936722403</v>
      </c>
      <c r="AM2224">
        <v>89.370322296017093</v>
      </c>
      <c r="AN2224">
        <v>0.99999998546448199</v>
      </c>
    </row>
    <row r="2225" spans="1:40" x14ac:dyDescent="0.25">
      <c r="A2225" t="str">
        <f>"20190303154811237"</f>
        <v>20190303154811237</v>
      </c>
      <c r="B2225" t="str">
        <f>"1551599291232649"</f>
        <v>1551599291232649</v>
      </c>
      <c r="C2225" t="s">
        <v>40</v>
      </c>
      <c r="D2225">
        <v>5.4087730000000001</v>
      </c>
      <c r="E2225">
        <v>0.516121099999999</v>
      </c>
      <c r="F2225" t="s">
        <v>42</v>
      </c>
      <c r="G2225">
        <v>-334.21850000000001</v>
      </c>
      <c r="H2225">
        <v>0.97055630000000004</v>
      </c>
      <c r="I2225">
        <v>285.13760000000002</v>
      </c>
      <c r="J2225">
        <v>-333.46230000000003</v>
      </c>
      <c r="K2225">
        <v>1.120244</v>
      </c>
      <c r="L2225">
        <v>285.07990000000001</v>
      </c>
      <c r="M2225">
        <v>-0.99989249999999996</v>
      </c>
      <c r="N2225">
        <v>-1.466276E-2</v>
      </c>
      <c r="O2225">
        <v>-3.9949240000000002E-4</v>
      </c>
      <c r="P2225">
        <v>-0.99606479999999997</v>
      </c>
      <c r="Q2225">
        <v>-8.8153750000000003E-2</v>
      </c>
      <c r="R2225">
        <v>9.1620699999999996E-3</v>
      </c>
      <c r="S2225">
        <v>-2.972839</v>
      </c>
      <c r="T2225">
        <v>-0.42143580000000003</v>
      </c>
      <c r="U2225">
        <v>0.1609497</v>
      </c>
      <c r="V2225">
        <v>9.5449439999999997E-3</v>
      </c>
      <c r="W2225">
        <v>-7.3541239999999994E-2</v>
      </c>
      <c r="X2225">
        <v>0.99724650000000004</v>
      </c>
      <c r="Y2225">
        <v>5.386341E-2</v>
      </c>
      <c r="Z2225">
        <v>4.2440159999999998E-3</v>
      </c>
      <c r="AA2225">
        <v>0.99853930000000002</v>
      </c>
      <c r="AB2225">
        <v>44</v>
      </c>
      <c r="AC2225">
        <v>-0.756199999999978</v>
      </c>
      <c r="AD2225">
        <v>-0.14968769999999901</v>
      </c>
      <c r="AE2225">
        <v>5.7700000000011097E-2</v>
      </c>
      <c r="AF2225">
        <v>5.5827298911254999E-2</v>
      </c>
      <c r="AG2225">
        <v>-0.14968769999999901</v>
      </c>
      <c r="AH2225">
        <v>0.72782357191442504</v>
      </c>
      <c r="AI2225">
        <v>101.588559976201</v>
      </c>
      <c r="AJ2225">
        <v>85.613748184155298</v>
      </c>
      <c r="AK2225">
        <v>0.74515115692676004</v>
      </c>
      <c r="AL2225">
        <v>94.217410023023504</v>
      </c>
      <c r="AM2225">
        <v>89.451621732634905</v>
      </c>
      <c r="AN2225">
        <v>1.00000000084947</v>
      </c>
    </row>
    <row r="2226" spans="1:40" x14ac:dyDescent="0.25">
      <c r="A2226" t="str">
        <f>"20190303154811249"</f>
        <v>20190303154811249</v>
      </c>
      <c r="B2226" t="str">
        <f>"1551599291243387"</f>
        <v>1551599291243387</v>
      </c>
      <c r="C2226" t="s">
        <v>40</v>
      </c>
      <c r="D2226">
        <v>5.3815179999999998</v>
      </c>
      <c r="E2226">
        <v>0.516121099999999</v>
      </c>
      <c r="F2226" t="s">
        <v>42</v>
      </c>
      <c r="G2226">
        <v>-334.23829999999998</v>
      </c>
      <c r="H2226">
        <v>1.0102789999999999</v>
      </c>
      <c r="I2226">
        <v>285.12079999999997</v>
      </c>
      <c r="J2226">
        <v>-333.69290000000001</v>
      </c>
      <c r="K2226">
        <v>1.1202259999999999</v>
      </c>
      <c r="L2226">
        <v>285.07979999999998</v>
      </c>
      <c r="M2226">
        <v>-0.99989360000000005</v>
      </c>
      <c r="N2226">
        <v>-1.4589309999999999E-2</v>
      </c>
      <c r="O2226">
        <v>-4.0194100000000001E-4</v>
      </c>
      <c r="P2226">
        <v>-0.99604340000000002</v>
      </c>
      <c r="Q2226">
        <v>-8.8434040000000005E-2</v>
      </c>
      <c r="R2226">
        <v>8.7828919999999901E-3</v>
      </c>
      <c r="S2226">
        <v>-2.9731139999999998</v>
      </c>
      <c r="T2226">
        <v>-0.42156959999999999</v>
      </c>
      <c r="U2226">
        <v>0.15542600000000001</v>
      </c>
      <c r="V2226">
        <v>9.1693940000000008E-3</v>
      </c>
      <c r="W2226">
        <v>-7.3894829999999995E-2</v>
      </c>
      <c r="X2226">
        <v>0.99722390000000005</v>
      </c>
      <c r="Y2226">
        <v>5.2030989999999999E-2</v>
      </c>
      <c r="Z2226">
        <v>4.1007600000000002E-3</v>
      </c>
      <c r="AA2226">
        <v>0.99863710000000006</v>
      </c>
      <c r="AB2226">
        <v>44</v>
      </c>
      <c r="AC2226">
        <v>-0.54539999999997202</v>
      </c>
      <c r="AD2226">
        <v>-0.109946999999999</v>
      </c>
      <c r="AE2226">
        <v>4.0999999999996803E-2</v>
      </c>
      <c r="AF2226">
        <v>3.9618263513953499E-2</v>
      </c>
      <c r="AG2226">
        <v>-0.109946999999999</v>
      </c>
      <c r="AH2226">
        <v>0.52420051745545904</v>
      </c>
      <c r="AI2226">
        <v>101.81289495191</v>
      </c>
      <c r="AJ2226">
        <v>85.677890638558495</v>
      </c>
      <c r="AK2226">
        <v>0.53706995085689901</v>
      </c>
      <c r="AL2226">
        <v>94.237724450029901</v>
      </c>
      <c r="AM2226">
        <v>89.473184736509495</v>
      </c>
      <c r="AN2226">
        <v>1.00000001520913</v>
      </c>
    </row>
    <row r="2227" spans="1:40" x14ac:dyDescent="0.25">
      <c r="A2227" t="str">
        <f>"20190303154811265"</f>
        <v>20190303154811265</v>
      </c>
      <c r="B2227" t="str">
        <f>"1551599291253145"</f>
        <v>1551599291253145</v>
      </c>
      <c r="C2227" t="s">
        <v>40</v>
      </c>
      <c r="D2227">
        <v>5.3703789999999998</v>
      </c>
      <c r="E2227">
        <v>0.51551340000000001</v>
      </c>
      <c r="F2227" t="s">
        <v>42</v>
      </c>
      <c r="G2227">
        <v>-334.61799999999999</v>
      </c>
      <c r="H2227">
        <v>0.98876759999999997</v>
      </c>
      <c r="I2227">
        <v>285.1277</v>
      </c>
      <c r="J2227">
        <v>-334.00259999999997</v>
      </c>
      <c r="K2227">
        <v>1.1202049999999999</v>
      </c>
      <c r="L2227">
        <v>285.0797</v>
      </c>
      <c r="M2227">
        <v>-0.99989519999999998</v>
      </c>
      <c r="N2227">
        <v>-1.447446E-2</v>
      </c>
      <c r="O2227">
        <v>-4.0649339999999999E-4</v>
      </c>
      <c r="P2227">
        <v>-0.99606110000000003</v>
      </c>
      <c r="Q2227">
        <v>-8.830288E-2</v>
      </c>
      <c r="R2227">
        <v>8.0890200000000006E-3</v>
      </c>
      <c r="S2227">
        <v>-2.9730530000000002</v>
      </c>
      <c r="T2227">
        <v>-0.42247899999999999</v>
      </c>
      <c r="U2227">
        <v>0.15420529999999999</v>
      </c>
      <c r="V2227">
        <v>8.4815489999999997E-3</v>
      </c>
      <c r="W2227">
        <v>-7.3877680000000001E-2</v>
      </c>
      <c r="X2227">
        <v>0.99723119999999998</v>
      </c>
      <c r="Y2227">
        <v>5.1630080000000002E-2</v>
      </c>
      <c r="Z2227">
        <v>4.075207E-3</v>
      </c>
      <c r="AA2227">
        <v>0.99865789999999999</v>
      </c>
      <c r="AB2227">
        <v>44</v>
      </c>
      <c r="AC2227">
        <v>-0.61540000000007899</v>
      </c>
      <c r="AD2227">
        <v>-0.13143739999999901</v>
      </c>
      <c r="AE2227">
        <v>4.8000000000001798E-2</v>
      </c>
      <c r="AF2227">
        <v>4.6157367987037103E-2</v>
      </c>
      <c r="AG2227">
        <v>-0.13143739999999901</v>
      </c>
      <c r="AH2227">
        <v>0.58868883448617704</v>
      </c>
      <c r="AI2227">
        <v>102.548792862619</v>
      </c>
      <c r="AJ2227">
        <v>85.516777784438005</v>
      </c>
      <c r="AK2227">
        <v>0.60494697006179299</v>
      </c>
      <c r="AL2227">
        <v>94.236739380182698</v>
      </c>
      <c r="AM2227">
        <v>89.512705534648504</v>
      </c>
      <c r="AN2227">
        <v>0.99999995726452995</v>
      </c>
    </row>
    <row r="2228" spans="1:40" x14ac:dyDescent="0.25">
      <c r="A2228" t="str">
        <f>"20190303154811278"</f>
        <v>20190303154811278</v>
      </c>
      <c r="B2228" t="str">
        <f>"1551599291272665"</f>
        <v>1551599291272665</v>
      </c>
      <c r="C2228" t="s">
        <v>40</v>
      </c>
      <c r="D2228">
        <v>5.355772</v>
      </c>
      <c r="E2228">
        <v>0.49810840000000001</v>
      </c>
      <c r="F2228" t="s">
        <v>42</v>
      </c>
      <c r="G2228">
        <v>-335.00400000000002</v>
      </c>
      <c r="H2228">
        <v>0.98016740000000002</v>
      </c>
      <c r="I2228">
        <v>285.12959999999998</v>
      </c>
      <c r="J2228">
        <v>-334.26069999999999</v>
      </c>
      <c r="K2228">
        <v>1.120188</v>
      </c>
      <c r="L2228">
        <v>285.07960000000003</v>
      </c>
      <c r="M2228">
        <v>-0.99989669999999997</v>
      </c>
      <c r="N2228">
        <v>-1.4368260000000001E-2</v>
      </c>
      <c r="O2228">
        <v>-4.097816E-4</v>
      </c>
      <c r="P2228">
        <v>-0.99608830000000004</v>
      </c>
      <c r="Q2228">
        <v>-8.8053389999999995E-2</v>
      </c>
      <c r="R2228">
        <v>7.4126519999999996E-3</v>
      </c>
      <c r="S2228">
        <v>-2.9737849999999999</v>
      </c>
      <c r="T2228">
        <v>-0.4159774</v>
      </c>
      <c r="U2228">
        <v>0.14718629999999999</v>
      </c>
      <c r="V2228">
        <v>7.8093809999999998E-3</v>
      </c>
      <c r="W2228">
        <v>-7.3733499999999993E-2</v>
      </c>
      <c r="X2228">
        <v>0.99724740000000001</v>
      </c>
      <c r="Y2228">
        <v>4.9311470000000003E-2</v>
      </c>
      <c r="Z2228">
        <v>3.8376370000000001E-3</v>
      </c>
      <c r="AA2228">
        <v>0.99877609999999994</v>
      </c>
      <c r="AB2228">
        <v>44</v>
      </c>
      <c r="AC2228">
        <v>-0.74330000000003305</v>
      </c>
      <c r="AD2228">
        <v>-0.140020599999999</v>
      </c>
      <c r="AE2228">
        <v>4.9999999999954498E-2</v>
      </c>
      <c r="AF2228">
        <v>4.8588189853309101E-2</v>
      </c>
      <c r="AG2228">
        <v>-0.140020599999999</v>
      </c>
      <c r="AH2228">
        <v>0.717918242064842</v>
      </c>
      <c r="AI2228">
        <v>101.011676922815</v>
      </c>
      <c r="AJ2228">
        <v>86.128167305283796</v>
      </c>
      <c r="AK2228">
        <v>0.73305742128911999</v>
      </c>
      <c r="AL2228">
        <v>94.228455717676297</v>
      </c>
      <c r="AM2228">
        <v>89.55132956381</v>
      </c>
      <c r="AN2228">
        <v>0.99999999613030599</v>
      </c>
    </row>
    <row r="2229" spans="1:40" x14ac:dyDescent="0.25">
      <c r="A2229" t="str">
        <f>"20190303154811296"</f>
        <v>20190303154811296</v>
      </c>
      <c r="B2229" t="str">
        <f>"1551599291293161"</f>
        <v>1551599291293161</v>
      </c>
      <c r="C2229" t="s">
        <v>40</v>
      </c>
      <c r="D2229">
        <v>5.3632299999999997</v>
      </c>
      <c r="E2229">
        <v>0.49749260000000001</v>
      </c>
      <c r="F2229" t="s">
        <v>52</v>
      </c>
      <c r="G2229">
        <v>-353.01560000000001</v>
      </c>
      <c r="H2229" s="1">
        <v>6.7980439999999999E-8</v>
      </c>
      <c r="I2229">
        <v>285.12709999999998</v>
      </c>
      <c r="J2229">
        <v>-334.59449999999998</v>
      </c>
      <c r="K2229">
        <v>1.12018</v>
      </c>
      <c r="L2229">
        <v>285.0795</v>
      </c>
      <c r="M2229">
        <v>-0.99989870000000003</v>
      </c>
      <c r="N2229">
        <v>-1.422875E-2</v>
      </c>
      <c r="O2229">
        <v>-4.1143750000000002E-4</v>
      </c>
      <c r="P2229">
        <v>-0.99607860000000004</v>
      </c>
      <c r="Q2229">
        <v>-8.8247839999999994E-2</v>
      </c>
      <c r="R2229">
        <v>6.2982759999999898E-3</v>
      </c>
      <c r="S2229">
        <v>-2.9959410000000002</v>
      </c>
      <c r="T2229">
        <v>-0.178940299999999</v>
      </c>
      <c r="U2229">
        <v>7.59887699999999E-3</v>
      </c>
      <c r="V2229">
        <v>6.6979700000000001E-3</v>
      </c>
      <c r="W2229">
        <v>-7.4066919999999994E-2</v>
      </c>
      <c r="X2229">
        <v>0.99723079999999997</v>
      </c>
      <c r="Y2229">
        <v>2.9409430000000001E-3</v>
      </c>
      <c r="Z2229">
        <v>1.2739819999999999E-4</v>
      </c>
      <c r="AA2229">
        <v>0.99999559999999998</v>
      </c>
      <c r="AB2229">
        <v>44</v>
      </c>
      <c r="AC2229">
        <v>-18.421099999999999</v>
      </c>
      <c r="AD2229">
        <v>-1.12017993201956</v>
      </c>
      <c r="AE2229">
        <v>4.7599999999988499E-2</v>
      </c>
      <c r="AF2229">
        <v>5.4976602893113402E-2</v>
      </c>
      <c r="AG2229">
        <v>-1.12017993201956</v>
      </c>
      <c r="AH2229">
        <v>18.353212635416799</v>
      </c>
      <c r="AI2229">
        <v>93.492673338373507</v>
      </c>
      <c r="AJ2229">
        <v>89.828372396753394</v>
      </c>
      <c r="AK2229">
        <v>18.387447880219501</v>
      </c>
      <c r="AL2229">
        <v>94.247611554474105</v>
      </c>
      <c r="AM2229">
        <v>89.615174700165795</v>
      </c>
      <c r="AN2229">
        <v>1.00000001995452</v>
      </c>
    </row>
    <row r="2230" spans="1:40" x14ac:dyDescent="0.25">
      <c r="A2230" t="str">
        <f>"20190303154811318"</f>
        <v>20190303154811318</v>
      </c>
      <c r="B2230" t="str">
        <f>"1551599291312682"</f>
        <v>1551599291312682</v>
      </c>
      <c r="C2230" t="s">
        <v>40</v>
      </c>
      <c r="D2230">
        <v>5.3897750000000002</v>
      </c>
      <c r="E2230">
        <v>0.49756909999999999</v>
      </c>
      <c r="F2230" t="s">
        <v>52</v>
      </c>
      <c r="G2230">
        <v>-354.49860000000001</v>
      </c>
      <c r="H2230" s="1">
        <v>8.5712719999999895E-7</v>
      </c>
      <c r="I2230">
        <v>285.07459999999998</v>
      </c>
      <c r="J2230">
        <v>-335.02480000000003</v>
      </c>
      <c r="K2230">
        <v>1.120166</v>
      </c>
      <c r="L2230">
        <v>285.07929999999999</v>
      </c>
      <c r="M2230">
        <v>-0.99990120000000005</v>
      </c>
      <c r="N2230">
        <v>-1.405318E-2</v>
      </c>
      <c r="O2230">
        <v>-4.107332E-4</v>
      </c>
      <c r="P2230">
        <v>-0.99612270000000003</v>
      </c>
      <c r="Q2230">
        <v>-8.7781910000000005E-2</v>
      </c>
      <c r="R2230">
        <v>5.8479090000000001E-3</v>
      </c>
      <c r="S2230">
        <v>-2.9968569999999999</v>
      </c>
      <c r="T2230">
        <v>-0.16866020000000001</v>
      </c>
      <c r="U2230">
        <v>-7.3242190000000001E-4</v>
      </c>
      <c r="V2230">
        <v>6.2488539999999999E-3</v>
      </c>
      <c r="W2230">
        <v>-7.3775279999999999E-2</v>
      </c>
      <c r="X2230">
        <v>0.99725529999999996</v>
      </c>
      <c r="Y2230">
        <v>1.6568339999999999E-4</v>
      </c>
      <c r="Z2230" s="1">
        <v>2.3152380000000001E-5</v>
      </c>
      <c r="AA2230">
        <v>1</v>
      </c>
      <c r="AB2230">
        <v>44</v>
      </c>
      <c r="AC2230">
        <v>-19.473799999999901</v>
      </c>
      <c r="AD2230">
        <v>-1.1201651428727999</v>
      </c>
      <c r="AE2230">
        <v>-4.7000000000139101E-3</v>
      </c>
      <c r="AF2230">
        <v>3.2884456328798098E-3</v>
      </c>
      <c r="AG2230">
        <v>-1.1201651428727999</v>
      </c>
      <c r="AH2230">
        <v>19.409579032622101</v>
      </c>
      <c r="AI2230">
        <v>93.302988750181399</v>
      </c>
      <c r="AJ2230">
        <v>89.990292728461398</v>
      </c>
      <c r="AK2230">
        <v>19.441875912184599</v>
      </c>
      <c r="AL2230">
        <v>94.230856112647501</v>
      </c>
      <c r="AM2230">
        <v>89.640986339968805</v>
      </c>
      <c r="AN2230">
        <v>0.99999998674673996</v>
      </c>
    </row>
    <row r="2231" spans="1:40" x14ac:dyDescent="0.25">
      <c r="A2231" t="str">
        <f>"20190303154811339"</f>
        <v>20190303154811339</v>
      </c>
      <c r="B2231" t="str">
        <f>"1551599291333177"</f>
        <v>1551599291333177</v>
      </c>
      <c r="C2231" t="s">
        <v>40</v>
      </c>
      <c r="D2231">
        <v>5.4056709999999999</v>
      </c>
      <c r="E2231">
        <v>0.4973014</v>
      </c>
      <c r="F2231" t="s">
        <v>52</v>
      </c>
      <c r="G2231">
        <v>-356.23349999999999</v>
      </c>
      <c r="H2231" s="1">
        <v>1.780387E-6</v>
      </c>
      <c r="I2231">
        <v>285.06990000000002</v>
      </c>
      <c r="J2231">
        <v>-335.43310000000002</v>
      </c>
      <c r="K2231">
        <v>1.120161</v>
      </c>
      <c r="L2231">
        <v>285.07920000000001</v>
      </c>
      <c r="M2231">
        <v>-0.99990349999999995</v>
      </c>
      <c r="N2231">
        <v>-1.38931E-2</v>
      </c>
      <c r="O2231">
        <v>-4.0772920000000003E-4</v>
      </c>
      <c r="P2231">
        <v>-0.99614829999999999</v>
      </c>
      <c r="Q2231">
        <v>-8.7478089999999994E-2</v>
      </c>
      <c r="R2231">
        <v>6.0499919999999997E-3</v>
      </c>
      <c r="S2231">
        <v>-2.9977420000000001</v>
      </c>
      <c r="T2231">
        <v>-0.15832939999999901</v>
      </c>
      <c r="U2231">
        <v>-1.34277299999999E-3</v>
      </c>
      <c r="V2231">
        <v>6.4495100000000003E-3</v>
      </c>
      <c r="W2231">
        <v>-7.3630710000000002E-2</v>
      </c>
      <c r="X2231">
        <v>0.9972647</v>
      </c>
      <c r="Y2231" s="1">
        <v>-4.0397210000000001E-5</v>
      </c>
      <c r="Z2231" s="1">
        <v>1.451077E-5</v>
      </c>
      <c r="AA2231">
        <v>1</v>
      </c>
      <c r="AB2231">
        <v>44</v>
      </c>
      <c r="AC2231">
        <v>-20.8003999999999</v>
      </c>
      <c r="AD2231">
        <v>-1.1201592196129999</v>
      </c>
      <c r="AE2231">
        <v>-9.2999999999960892E-3</v>
      </c>
      <c r="AF2231">
        <v>-8.1588482713736599E-4</v>
      </c>
      <c r="AG2231">
        <v>-1.1201592196129999</v>
      </c>
      <c r="AH2231">
        <v>20.740252828876599</v>
      </c>
      <c r="AI2231">
        <v>93.091481146275896</v>
      </c>
      <c r="AJ2231">
        <v>90.002253914526705</v>
      </c>
      <c r="AK2231">
        <v>20.7704801280249</v>
      </c>
      <c r="AL2231">
        <v>94.222550301352797</v>
      </c>
      <c r="AM2231">
        <v>89.629461915941505</v>
      </c>
      <c r="AN2231">
        <v>0.99999997975021704</v>
      </c>
    </row>
    <row r="2232" spans="1:40" x14ac:dyDescent="0.25">
      <c r="A2232" t="str">
        <f>"20190303154811352"</f>
        <v>20190303154811352</v>
      </c>
      <c r="B2232" t="str">
        <f>"1551599291342937"</f>
        <v>1551599291342937</v>
      </c>
      <c r="C2232" t="s">
        <v>40</v>
      </c>
      <c r="D2232">
        <v>5.371842</v>
      </c>
      <c r="E2232">
        <v>0.49743710000000002</v>
      </c>
      <c r="F2232" t="s">
        <v>52</v>
      </c>
      <c r="G2232">
        <v>-356.88729999999998</v>
      </c>
      <c r="H2232" s="1">
        <v>2.1282970000000001E-6</v>
      </c>
      <c r="I2232">
        <v>285.05880000000002</v>
      </c>
      <c r="J2232">
        <v>-335.69540000000001</v>
      </c>
      <c r="K2232">
        <v>1.1201570000000001</v>
      </c>
      <c r="L2232">
        <v>285.07909999999998</v>
      </c>
      <c r="M2232">
        <v>-0.99990480000000004</v>
      </c>
      <c r="N2232">
        <v>-1.379156E-2</v>
      </c>
      <c r="O2232">
        <v>-4.0542680000000002E-4</v>
      </c>
      <c r="P2232">
        <v>-0.99616970000000005</v>
      </c>
      <c r="Q2232">
        <v>-8.7225940000000002E-2</v>
      </c>
      <c r="R2232">
        <v>6.1083179999999997E-3</v>
      </c>
      <c r="S2232">
        <v>-2.9978639999999999</v>
      </c>
      <c r="T2232">
        <v>-0.1565233</v>
      </c>
      <c r="U2232">
        <v>-2.8381349999999999E-3</v>
      </c>
      <c r="V2232">
        <v>6.5060969999999997E-3</v>
      </c>
      <c r="W2232">
        <v>-7.3479499999999906E-2</v>
      </c>
      <c r="X2232">
        <v>0.99727549999999998</v>
      </c>
      <c r="Y2232">
        <v>-5.4062119999999999E-4</v>
      </c>
      <c r="Z2232" s="1">
        <v>-2.2704919999999999E-6</v>
      </c>
      <c r="AA2232">
        <v>0.99999990000000005</v>
      </c>
      <c r="AB2232">
        <v>44</v>
      </c>
      <c r="AC2232">
        <v>-21.191899999999901</v>
      </c>
      <c r="AD2232">
        <v>-1.1201548717030001</v>
      </c>
      <c r="AE2232">
        <v>-2.0299999999963299E-2</v>
      </c>
      <c r="AF2232">
        <v>-1.16747982193681E-2</v>
      </c>
      <c r="AG2232">
        <v>-1.1201548717030001</v>
      </c>
      <c r="AH2232">
        <v>21.132862691068102</v>
      </c>
      <c r="AI2232">
        <v>93.034143205689006</v>
      </c>
      <c r="AJ2232">
        <v>90.0316529098004</v>
      </c>
      <c r="AK2232">
        <v>21.162532191518299</v>
      </c>
      <c r="AL2232">
        <v>94.213863011473293</v>
      </c>
      <c r="AM2232">
        <v>89.626215011964405</v>
      </c>
      <c r="AN2232">
        <v>0.99999999455933597</v>
      </c>
    </row>
    <row r="2233" spans="1:40" x14ac:dyDescent="0.25">
      <c r="A2233" t="str">
        <f>"20190303154811365"</f>
        <v>20190303154811365</v>
      </c>
      <c r="B2233" t="str">
        <f>"1551599291352697"</f>
        <v>1551599291352697</v>
      </c>
      <c r="C2233" t="s">
        <v>40</v>
      </c>
      <c r="D2233">
        <v>5.367407</v>
      </c>
      <c r="E2233">
        <v>0.49748629999999999</v>
      </c>
      <c r="F2233" t="s">
        <v>52</v>
      </c>
      <c r="G2233">
        <v>-357.32510000000002</v>
      </c>
      <c r="H2233" s="1">
        <v>2.3612520000000001E-6</v>
      </c>
      <c r="I2233">
        <v>285.06939999999997</v>
      </c>
      <c r="J2233">
        <v>-335.94549999999998</v>
      </c>
      <c r="K2233">
        <v>1.120152</v>
      </c>
      <c r="L2233">
        <v>285.07900000000001</v>
      </c>
      <c r="M2233">
        <v>-0.99990619999999997</v>
      </c>
      <c r="N2233">
        <v>-1.3694420000000001E-2</v>
      </c>
      <c r="O2233">
        <v>-4.036237E-4</v>
      </c>
      <c r="P2233">
        <v>-0.99616749999999998</v>
      </c>
      <c r="Q2233">
        <v>-8.7231669999999997E-2</v>
      </c>
      <c r="R2233">
        <v>6.4210939999999996E-3</v>
      </c>
      <c r="S2233">
        <v>-2.9979550000000001</v>
      </c>
      <c r="T2233">
        <v>-0.15525749999999999</v>
      </c>
      <c r="U2233">
        <v>-1.34277299999999E-3</v>
      </c>
      <c r="V2233">
        <v>6.8177699999999999E-3</v>
      </c>
      <c r="W2233">
        <v>-7.3582099999999998E-2</v>
      </c>
      <c r="X2233">
        <v>0.99726590000000004</v>
      </c>
      <c r="Y2233" s="1">
        <v>-4.4452139999999997E-5</v>
      </c>
      <c r="Z2233" s="1">
        <v>1.3908939999999999E-5</v>
      </c>
      <c r="AA2233">
        <v>1</v>
      </c>
      <c r="AB2233">
        <v>44</v>
      </c>
      <c r="AC2233">
        <v>-21.3796</v>
      </c>
      <c r="AD2233">
        <v>-1.1201496387479899</v>
      </c>
      <c r="AE2233">
        <v>-9.6000000000344698E-3</v>
      </c>
      <c r="AF2233">
        <v>-9.6722207021474895E-4</v>
      </c>
      <c r="AG2233">
        <v>-1.1201496387479899</v>
      </c>
      <c r="AH2233">
        <v>21.321074369319501</v>
      </c>
      <c r="AI2233">
        <v>93.007395139167102</v>
      </c>
      <c r="AJ2233">
        <v>90.002599200278397</v>
      </c>
      <c r="AK2233">
        <v>21.350478880127199</v>
      </c>
      <c r="AL2233">
        <v>94.219757317353697</v>
      </c>
      <c r="AM2233">
        <v>89.608305707416093</v>
      </c>
      <c r="AN2233">
        <v>1.0000000413654899</v>
      </c>
    </row>
    <row r="2234" spans="1:40" x14ac:dyDescent="0.25">
      <c r="A2234" t="str">
        <f>"20190303154811379"</f>
        <v>20190303154811379</v>
      </c>
      <c r="B2234" t="str">
        <f>"1551599291373193"</f>
        <v>1551599291373193</v>
      </c>
      <c r="C2234" t="s">
        <v>40</v>
      </c>
      <c r="D2234">
        <v>5.4382919999999997</v>
      </c>
      <c r="E2234">
        <v>0.49715399999999998</v>
      </c>
      <c r="F2234" t="s">
        <v>52</v>
      </c>
      <c r="G2234">
        <v>-357.7373</v>
      </c>
      <c r="H2234" s="1">
        <v>2.5805959999999998E-6</v>
      </c>
      <c r="I2234">
        <v>285.07650000000001</v>
      </c>
      <c r="J2234">
        <v>-336.23039999999997</v>
      </c>
      <c r="K2234">
        <v>1.1201449999999999</v>
      </c>
      <c r="L2234">
        <v>285.07889999999998</v>
      </c>
      <c r="M2234">
        <v>-0.99990769999999995</v>
      </c>
      <c r="N2234">
        <v>-1.358264E-2</v>
      </c>
      <c r="O2234">
        <v>-4.020769E-4</v>
      </c>
      <c r="P2234">
        <v>-0.99619559999999996</v>
      </c>
      <c r="Q2234">
        <v>-8.6908529999999998E-2</v>
      </c>
      <c r="R2234">
        <v>6.424206E-3</v>
      </c>
      <c r="S2234">
        <v>-2.9980769999999999</v>
      </c>
      <c r="T2234">
        <v>-0.1541082</v>
      </c>
      <c r="U2234">
        <v>-3.3569339999999902E-4</v>
      </c>
      <c r="V2234">
        <v>6.8197930000000002E-3</v>
      </c>
      <c r="W2234">
        <v>-7.3370050000000006E-2</v>
      </c>
      <c r="X2234">
        <v>0.99728150000000004</v>
      </c>
      <c r="Y2234">
        <v>2.8937389999999998E-4</v>
      </c>
      <c r="Z2234" s="1">
        <v>2.4594489999999999E-5</v>
      </c>
      <c r="AA2234">
        <v>0.99999990000000005</v>
      </c>
      <c r="AB2234">
        <v>44</v>
      </c>
      <c r="AC2234">
        <v>-21.506900000000002</v>
      </c>
      <c r="AD2234">
        <v>-1.1201424194039999</v>
      </c>
      <c r="AE2234">
        <v>-2.3999999999659801E-3</v>
      </c>
      <c r="AF2234">
        <v>6.2313221240883499E-3</v>
      </c>
      <c r="AG2234">
        <v>-1.1201424194039999</v>
      </c>
      <c r="AH2234">
        <v>21.448716754797999</v>
      </c>
      <c r="AI2234">
        <v>92.9895111870145</v>
      </c>
      <c r="AJ2234">
        <v>89.983354321261501</v>
      </c>
      <c r="AK2234">
        <v>21.477947022392001</v>
      </c>
      <c r="AL2234">
        <v>94.207574857611206</v>
      </c>
      <c r="AM2234">
        <v>89.608195614425398</v>
      </c>
      <c r="AN2234">
        <v>1.0000000320279001</v>
      </c>
    </row>
    <row r="2235" spans="1:40" x14ac:dyDescent="0.25">
      <c r="A2235" t="str">
        <f>"20190303154811394"</f>
        <v>20190303154811394</v>
      </c>
      <c r="B2235" t="str">
        <f>"1551599291382953"</f>
        <v>1551599291382953</v>
      </c>
      <c r="C2235" t="s">
        <v>40</v>
      </c>
      <c r="D2235">
        <v>5.3874129999999996</v>
      </c>
      <c r="E2235">
        <v>0.49721029999999999</v>
      </c>
      <c r="F2235" t="s">
        <v>52</v>
      </c>
      <c r="G2235">
        <v>-357.66550000000001</v>
      </c>
      <c r="H2235" s="1">
        <v>2.542393E-6</v>
      </c>
      <c r="I2235">
        <v>285.0573</v>
      </c>
      <c r="J2235">
        <v>-336.52839999999998</v>
      </c>
      <c r="K2235">
        <v>1.1201399999999999</v>
      </c>
      <c r="L2235">
        <v>285.07870000000003</v>
      </c>
      <c r="M2235">
        <v>-0.99990919999999905</v>
      </c>
      <c r="N2235">
        <v>-1.3465380000000001E-2</v>
      </c>
      <c r="O2235">
        <v>-4.0108290000000002E-4</v>
      </c>
      <c r="P2235">
        <v>-0.9962261</v>
      </c>
      <c r="Q2235">
        <v>-8.6512329999999998E-2</v>
      </c>
      <c r="R2235">
        <v>6.9993549999999996E-3</v>
      </c>
      <c r="S2235">
        <v>-2.9978030000000002</v>
      </c>
      <c r="T2235">
        <v>-0.15665780000000001</v>
      </c>
      <c r="U2235">
        <v>-3.0212400000000001E-3</v>
      </c>
      <c r="V2235">
        <v>7.39421099999999E-3</v>
      </c>
      <c r="W2235">
        <v>-7.3090459999999996E-2</v>
      </c>
      <c r="X2235">
        <v>0.99729789999999996</v>
      </c>
      <c r="Y2235">
        <v>-6.0596000000000001E-4</v>
      </c>
      <c r="Z2235" s="1">
        <v>-4.3585470000000001E-6</v>
      </c>
      <c r="AA2235">
        <v>0.99999979999999999</v>
      </c>
      <c r="AB2235">
        <v>44</v>
      </c>
      <c r="AC2235">
        <v>-21.1371</v>
      </c>
      <c r="AD2235">
        <v>-1.120137457607</v>
      </c>
      <c r="AE2235">
        <v>-2.1400000000028199E-2</v>
      </c>
      <c r="AF2235">
        <v>-1.28853132644248E-2</v>
      </c>
      <c r="AG2235">
        <v>-1.120137457607</v>
      </c>
      <c r="AH2235">
        <v>21.0779127056616</v>
      </c>
      <c r="AI2235">
        <v>93.041991053205194</v>
      </c>
      <c r="AJ2235">
        <v>90.035025952811196</v>
      </c>
      <c r="AK2235">
        <v>21.107659225568401</v>
      </c>
      <c r="AL2235">
        <v>94.191512557652402</v>
      </c>
      <c r="AM2235">
        <v>89.575202835150904</v>
      </c>
      <c r="AN2235">
        <v>0.99999999552186603</v>
      </c>
    </row>
    <row r="2236" spans="1:40" x14ac:dyDescent="0.25">
      <c r="A2236" t="str">
        <f>"20190303154811407"</f>
        <v>20190303154811407</v>
      </c>
      <c r="B2236" t="str">
        <f>"1551599291402474"</f>
        <v>1551599291402474</v>
      </c>
      <c r="C2236" t="s">
        <v>40</v>
      </c>
      <c r="D2236">
        <v>5.3780049999999999</v>
      </c>
      <c r="E2236">
        <v>0.4971759</v>
      </c>
      <c r="F2236" t="s">
        <v>52</v>
      </c>
      <c r="G2236">
        <v>-358.19069999999999</v>
      </c>
      <c r="H2236" s="1">
        <v>2.821921E-6</v>
      </c>
      <c r="I2236">
        <v>285.07429999999999</v>
      </c>
      <c r="J2236">
        <v>-336.77690000000001</v>
      </c>
      <c r="K2236">
        <v>1.1201350000000001</v>
      </c>
      <c r="L2236">
        <v>285.07870000000003</v>
      </c>
      <c r="M2236">
        <v>-0.99991079999999999</v>
      </c>
      <c r="N2236">
        <v>-1.336641E-2</v>
      </c>
      <c r="O2236">
        <v>-4.0092120000000001E-4</v>
      </c>
      <c r="P2236">
        <v>-0.9962569</v>
      </c>
      <c r="Q2236">
        <v>-8.6146340000000002E-2</v>
      </c>
      <c r="R2236">
        <v>7.175758E-3</v>
      </c>
      <c r="S2236">
        <v>-2.9978639999999999</v>
      </c>
      <c r="T2236">
        <v>-0.15501619999999999</v>
      </c>
      <c r="U2236">
        <v>-6.1035159999999996E-4</v>
      </c>
      <c r="V2236">
        <v>7.5710040000000001E-3</v>
      </c>
      <c r="W2236">
        <v>-7.2822739999999997E-2</v>
      </c>
      <c r="X2236">
        <v>0.99731619999999999</v>
      </c>
      <c r="Y2236">
        <v>1.9673609999999999E-4</v>
      </c>
      <c r="Z2236" s="1">
        <v>2.175998E-5</v>
      </c>
      <c r="AA2236">
        <v>1</v>
      </c>
      <c r="AB2236">
        <v>44</v>
      </c>
      <c r="AC2236">
        <v>-21.413799999999899</v>
      </c>
      <c r="AD2236">
        <v>-1.1201321780789999</v>
      </c>
      <c r="AE2236">
        <v>-4.4000000000323702E-3</v>
      </c>
      <c r="AF2236">
        <v>4.17458933269202E-3</v>
      </c>
      <c r="AG2236">
        <v>-1.1201321780789999</v>
      </c>
      <c r="AH2236">
        <v>21.355367056255901</v>
      </c>
      <c r="AI2236">
        <v>93.002527902326804</v>
      </c>
      <c r="AJ2236">
        <v>89.988799707994403</v>
      </c>
      <c r="AK2236">
        <v>21.384723884843201</v>
      </c>
      <c r="AL2236">
        <v>94.176132170722099</v>
      </c>
      <c r="AM2236">
        <v>89.565054449865599</v>
      </c>
      <c r="AN2236">
        <v>1.0000000371725499</v>
      </c>
    </row>
    <row r="2237" spans="1:40" x14ac:dyDescent="0.25">
      <c r="A2237" t="str">
        <f>"20190303154811421"</f>
        <v>20190303154811421</v>
      </c>
      <c r="B2237" t="str">
        <f>"1551599291413210"</f>
        <v>1551599291413210</v>
      </c>
      <c r="C2237" t="s">
        <v>40</v>
      </c>
      <c r="D2237">
        <v>5.3737629999999896</v>
      </c>
      <c r="E2237">
        <v>0.49718649999999998</v>
      </c>
      <c r="F2237" t="s">
        <v>52</v>
      </c>
      <c r="G2237">
        <v>-358.63810000000001</v>
      </c>
      <c r="H2237" s="1">
        <v>3.0599519999999999E-6</v>
      </c>
      <c r="I2237">
        <v>285.07690000000002</v>
      </c>
      <c r="J2237">
        <v>-337.03980000000001</v>
      </c>
      <c r="K2237">
        <v>1.120128</v>
      </c>
      <c r="L2237">
        <v>285.07859999999999</v>
      </c>
      <c r="M2237">
        <v>-0.99991209999999997</v>
      </c>
      <c r="N2237">
        <v>-1.3260660000000001E-2</v>
      </c>
      <c r="O2237">
        <v>-4.0083570000000002E-4</v>
      </c>
      <c r="P2237">
        <v>-0.99626550000000003</v>
      </c>
      <c r="Q2237">
        <v>-8.6000080000000007E-2</v>
      </c>
      <c r="R2237">
        <v>7.7194519999999999E-3</v>
      </c>
      <c r="S2237">
        <v>-2.9980159999999998</v>
      </c>
      <c r="T2237">
        <v>-0.153614</v>
      </c>
      <c r="U2237">
        <v>-2.4414059999999999E-4</v>
      </c>
      <c r="V2237">
        <v>8.1147719999999993E-3</v>
      </c>
      <c r="W2237">
        <v>-7.2781879999999993E-2</v>
      </c>
      <c r="X2237">
        <v>0.9973149</v>
      </c>
      <c r="Y2237">
        <v>3.1862170000000002E-4</v>
      </c>
      <c r="Z2237" s="1">
        <v>2.5483700000000001E-5</v>
      </c>
      <c r="AA2237">
        <v>0.99999990000000005</v>
      </c>
      <c r="AB2237">
        <v>44</v>
      </c>
      <c r="AC2237">
        <v>-21.598299999999899</v>
      </c>
      <c r="AD2237">
        <v>-1.120124940048</v>
      </c>
      <c r="AE2237">
        <v>-1.6999999999711599E-3</v>
      </c>
      <c r="AF2237">
        <v>6.9394655414081897E-3</v>
      </c>
      <c r="AG2237">
        <v>-1.120124940048</v>
      </c>
      <c r="AH2237">
        <v>21.540363171957601</v>
      </c>
      <c r="AI2237">
        <v>92.976768431678195</v>
      </c>
      <c r="AJ2237">
        <v>89.981541533414699</v>
      </c>
      <c r="AK2237">
        <v>21.5694685520373</v>
      </c>
      <c r="AL2237">
        <v>94.1737848635332</v>
      </c>
      <c r="AM2237">
        <v>89.533816322924096</v>
      </c>
      <c r="AN2237">
        <v>1.00000003067147</v>
      </c>
    </row>
    <row r="2238" spans="1:40" x14ac:dyDescent="0.25">
      <c r="A2238" t="str">
        <f>"20190303154811431"</f>
        <v>20190303154811431</v>
      </c>
      <c r="B2238" t="str">
        <f>"1551599291422970"</f>
        <v>1551599291422970</v>
      </c>
      <c r="C2238" t="s">
        <v>40</v>
      </c>
      <c r="D2238">
        <v>5.3621800000000004</v>
      </c>
      <c r="E2238">
        <v>0.49717549999999999</v>
      </c>
      <c r="F2238" t="s">
        <v>52</v>
      </c>
      <c r="G2238">
        <v>-358.98750000000001</v>
      </c>
      <c r="H2238" s="1">
        <v>3.2458829999999999E-6</v>
      </c>
      <c r="I2238">
        <v>285.08839999999998</v>
      </c>
      <c r="J2238">
        <v>-337.26549999999997</v>
      </c>
      <c r="K2238">
        <v>1.120123</v>
      </c>
      <c r="L2238">
        <v>285.07850000000002</v>
      </c>
      <c r="M2238">
        <v>-0.9999133</v>
      </c>
      <c r="N2238">
        <v>-1.3168859999999999E-2</v>
      </c>
      <c r="O2238">
        <v>-4.0084069999999999E-4</v>
      </c>
      <c r="P2238">
        <v>-0.99627829999999995</v>
      </c>
      <c r="Q2238">
        <v>-8.5815470000000005E-2</v>
      </c>
      <c r="R2238">
        <v>8.0791960000000003E-3</v>
      </c>
      <c r="S2238">
        <v>-2.9980159999999998</v>
      </c>
      <c r="T2238">
        <v>-0.15300710000000001</v>
      </c>
      <c r="U2238">
        <v>1.34277299999999E-3</v>
      </c>
      <c r="V2238">
        <v>8.474713E-3</v>
      </c>
      <c r="W2238">
        <v>-7.268869E-2</v>
      </c>
      <c r="X2238">
        <v>0.9973187</v>
      </c>
      <c r="Y2238">
        <v>8.4708820000000003E-4</v>
      </c>
      <c r="Z2238" s="1">
        <v>4.2352150000000001E-5</v>
      </c>
      <c r="AA2238">
        <v>0.99999959999999999</v>
      </c>
      <c r="AB2238">
        <v>44</v>
      </c>
      <c r="AC2238">
        <v>-21.722000000000001</v>
      </c>
      <c r="AD2238">
        <v>-1.120119754117</v>
      </c>
      <c r="AE2238">
        <v>9.8999999999591602E-3</v>
      </c>
      <c r="AF2238">
        <v>1.85584669595379E-2</v>
      </c>
      <c r="AG2238">
        <v>-1.120119754117</v>
      </c>
      <c r="AH2238">
        <v>21.664387238916099</v>
      </c>
      <c r="AI2238">
        <v>92.959742835614307</v>
      </c>
      <c r="AJ2238">
        <v>89.950918456211497</v>
      </c>
      <c r="AK2238">
        <v>21.693332780326099</v>
      </c>
      <c r="AL2238">
        <v>94.168431301498899</v>
      </c>
      <c r="AM2238">
        <v>89.513140984075093</v>
      </c>
      <c r="AN2238">
        <v>1.00000002789201</v>
      </c>
    </row>
    <row r="2239" spans="1:40" x14ac:dyDescent="0.25">
      <c r="A2239" t="str">
        <f>"20190303154811450"</f>
        <v>20190303154811450</v>
      </c>
      <c r="B2239" t="str">
        <f>"1551599291442490"</f>
        <v>1551599291442490</v>
      </c>
      <c r="C2239" t="s">
        <v>40</v>
      </c>
      <c r="D2239">
        <v>5.361491</v>
      </c>
      <c r="E2239">
        <v>0.49707430000000002</v>
      </c>
      <c r="F2239" t="s">
        <v>52</v>
      </c>
      <c r="G2239">
        <v>-359.27109999999999</v>
      </c>
      <c r="H2239" s="1">
        <v>3.3968459999999998E-6</v>
      </c>
      <c r="I2239">
        <v>285.096</v>
      </c>
      <c r="J2239">
        <v>-337.61239999999998</v>
      </c>
      <c r="K2239">
        <v>1.1201139999999901</v>
      </c>
      <c r="L2239">
        <v>285.07830000000001</v>
      </c>
      <c r="M2239">
        <v>-0.99991509999999995</v>
      </c>
      <c r="N2239">
        <v>-1.3030190000000001E-2</v>
      </c>
      <c r="O2239">
        <v>-4.0114650000000002E-4</v>
      </c>
      <c r="P2239">
        <v>-0.99631829999999999</v>
      </c>
      <c r="Q2239">
        <v>-8.5312490000000005E-2</v>
      </c>
      <c r="R2239">
        <v>8.4842049999999999E-3</v>
      </c>
      <c r="S2239">
        <v>-2.9980470000000001</v>
      </c>
      <c r="T2239">
        <v>-0.1526053</v>
      </c>
      <c r="U2239">
        <v>2.380371E-3</v>
      </c>
      <c r="V2239">
        <v>8.8802350000000002E-3</v>
      </c>
      <c r="W2239">
        <v>-7.2323529999999997E-2</v>
      </c>
      <c r="X2239">
        <v>0.9973417</v>
      </c>
      <c r="Y2239">
        <v>1.192926E-3</v>
      </c>
      <c r="Z2239" s="1">
        <v>5.3300999999999997E-5</v>
      </c>
      <c r="AA2239">
        <v>0.99999930000000004</v>
      </c>
      <c r="AB2239">
        <v>44</v>
      </c>
      <c r="AC2239">
        <v>-21.6587</v>
      </c>
      <c r="AD2239">
        <v>-1.12011060315399</v>
      </c>
      <c r="AE2239">
        <v>1.7699999999990699E-2</v>
      </c>
      <c r="AF2239">
        <v>2.63186557375771E-2</v>
      </c>
      <c r="AG2239">
        <v>-1.12011060315399</v>
      </c>
      <c r="AH2239">
        <v>21.6009176192984</v>
      </c>
      <c r="AI2239">
        <v>92.968398548556195</v>
      </c>
      <c r="AJ2239">
        <v>89.930190597611997</v>
      </c>
      <c r="AK2239">
        <v>21.62995567334</v>
      </c>
      <c r="AL2239">
        <v>94.147454040328498</v>
      </c>
      <c r="AM2239">
        <v>89.489857346364602</v>
      </c>
      <c r="AN2239">
        <v>1.0000000090621</v>
      </c>
    </row>
    <row r="2240" spans="1:40" x14ac:dyDescent="0.25">
      <c r="A2240" t="str">
        <f>"20190303154811462"</f>
        <v>20190303154811462</v>
      </c>
      <c r="B2240" t="str">
        <f>"1551599291453225"</f>
        <v>1551599291453225</v>
      </c>
      <c r="C2240" t="s">
        <v>40</v>
      </c>
      <c r="D2240">
        <v>5.3808239999999996</v>
      </c>
      <c r="E2240">
        <v>0.49697469999999999</v>
      </c>
      <c r="F2240" t="s">
        <v>52</v>
      </c>
      <c r="G2240">
        <v>-359.75049999999999</v>
      </c>
      <c r="H2240" s="1">
        <v>3.6519300000000001E-6</v>
      </c>
      <c r="I2240">
        <v>285.09879999999998</v>
      </c>
      <c r="J2240">
        <v>-337.84570000000002</v>
      </c>
      <c r="K2240">
        <v>1.120109</v>
      </c>
      <c r="L2240">
        <v>285.07830000000001</v>
      </c>
      <c r="M2240">
        <v>-0.99991629999999998</v>
      </c>
      <c r="N2240">
        <v>-1.293879E-2</v>
      </c>
      <c r="O2240">
        <v>-4.0128199999999998E-4</v>
      </c>
      <c r="P2240">
        <v>-0.99633050000000001</v>
      </c>
      <c r="Q2240">
        <v>-8.5155579999999995E-2</v>
      </c>
      <c r="R2240">
        <v>8.6115919999999995E-3</v>
      </c>
      <c r="S2240">
        <v>-2.9980769999999999</v>
      </c>
      <c r="T2240">
        <v>-0.1516922</v>
      </c>
      <c r="U2240">
        <v>2.7770999999999998E-3</v>
      </c>
      <c r="V2240">
        <v>9.0077509999999996E-3</v>
      </c>
      <c r="W2240">
        <v>-7.2257650000000007E-2</v>
      </c>
      <c r="X2240">
        <v>0.99734529999999999</v>
      </c>
      <c r="Y2240">
        <v>1.3251949999999999E-3</v>
      </c>
      <c r="Z2240" s="1">
        <v>5.7184739999999998E-5</v>
      </c>
      <c r="AA2240">
        <v>0.99999910000000003</v>
      </c>
      <c r="AB2240">
        <v>44</v>
      </c>
      <c r="AC2240">
        <v>-21.904799999999899</v>
      </c>
      <c r="AD2240">
        <v>-1.1201053480700001</v>
      </c>
      <c r="AE2240">
        <v>2.04999999999699E-2</v>
      </c>
      <c r="AF2240">
        <v>2.9214345655744399E-2</v>
      </c>
      <c r="AG2240">
        <v>-1.1201053480700001</v>
      </c>
      <c r="AH2240">
        <v>21.8476627011426</v>
      </c>
      <c r="AI2240">
        <v>92.934918541502398</v>
      </c>
      <c r="AJ2240">
        <v>89.923385044315495</v>
      </c>
      <c r="AK2240">
        <v>21.876376641749101</v>
      </c>
      <c r="AL2240">
        <v>94.143669623589204</v>
      </c>
      <c r="AM2240">
        <v>89.482534200938602</v>
      </c>
      <c r="AN2240">
        <v>0.99999997749684499</v>
      </c>
    </row>
    <row r="2241" spans="1:40" x14ac:dyDescent="0.25">
      <c r="A2241" t="str">
        <f>"20190303154811474"</f>
        <v>20190303154811474</v>
      </c>
      <c r="B2241" t="str">
        <f>"1551599291462986"</f>
        <v>1551599291462986</v>
      </c>
      <c r="C2241" t="s">
        <v>40</v>
      </c>
      <c r="D2241">
        <v>5.4133440000000004</v>
      </c>
      <c r="E2241">
        <v>0.497112</v>
      </c>
      <c r="F2241" t="s">
        <v>52</v>
      </c>
      <c r="G2241">
        <v>-359.98739999999998</v>
      </c>
      <c r="H2241" s="1">
        <v>-1.543504E-6</v>
      </c>
      <c r="I2241">
        <v>285.09539999999998</v>
      </c>
      <c r="J2241">
        <v>-338.0994</v>
      </c>
      <c r="K2241">
        <v>1.120104</v>
      </c>
      <c r="L2241">
        <v>285.07819999999998</v>
      </c>
      <c r="M2241">
        <v>-0.99991759999999996</v>
      </c>
      <c r="N2241">
        <v>-1.284369E-2</v>
      </c>
      <c r="O2241">
        <v>-4.013973E-4</v>
      </c>
      <c r="P2241">
        <v>-0.99634100000000003</v>
      </c>
      <c r="Q2241">
        <v>-8.5019960000000006E-2</v>
      </c>
      <c r="R2241">
        <v>8.7554079999999992E-3</v>
      </c>
      <c r="S2241">
        <v>-2.9980769999999999</v>
      </c>
      <c r="T2241">
        <v>-0.15166769999999999</v>
      </c>
      <c r="U2241">
        <v>2.319336E-3</v>
      </c>
      <c r="V2241">
        <v>9.1518499999999996E-3</v>
      </c>
      <c r="W2241">
        <v>-7.221677E-2</v>
      </c>
      <c r="X2241">
        <v>0.99734699999999998</v>
      </c>
      <c r="Y2241">
        <v>1.172871E-3</v>
      </c>
      <c r="Z2241" s="1">
        <v>5.2326030000000002E-5</v>
      </c>
      <c r="AA2241">
        <v>0.99999930000000004</v>
      </c>
      <c r="AB2241">
        <v>44</v>
      </c>
      <c r="AC2241">
        <v>-21.887999999999899</v>
      </c>
      <c r="AD2241">
        <v>-1.1201055435039999</v>
      </c>
      <c r="AE2241">
        <v>1.7200000000002501E-2</v>
      </c>
      <c r="AF2241">
        <v>2.5918629819475899E-2</v>
      </c>
      <c r="AG2241">
        <v>-1.1201055435039999</v>
      </c>
      <c r="AH2241">
        <v>21.830820367046499</v>
      </c>
      <c r="AI2241">
        <v>92.937179914982394</v>
      </c>
      <c r="AJ2241">
        <v>89.93197564834</v>
      </c>
      <c r="AK2241">
        <v>21.859552285035701</v>
      </c>
      <c r="AL2241">
        <v>94.1413210260271</v>
      </c>
      <c r="AM2241">
        <v>89.474257542328303</v>
      </c>
      <c r="AN2241">
        <v>1.0000000283183199</v>
      </c>
    </row>
    <row r="2242" spans="1:40" x14ac:dyDescent="0.25">
      <c r="A2242" t="str">
        <f>"20190303154811488"</f>
        <v>20190303154811488</v>
      </c>
      <c r="B2242" t="str">
        <f>"1551599291482506"</f>
        <v>1551599291482506</v>
      </c>
      <c r="C2242" t="s">
        <v>40</v>
      </c>
      <c r="D2242">
        <v>5.3776469999999996</v>
      </c>
      <c r="E2242">
        <v>0.49929489999999999</v>
      </c>
      <c r="F2242" t="s">
        <v>52</v>
      </c>
      <c r="G2242">
        <v>-360.13209999999998</v>
      </c>
      <c r="H2242" s="1">
        <v>-1.466497E-6</v>
      </c>
      <c r="I2242">
        <v>285.1071</v>
      </c>
      <c r="J2242">
        <v>-338.36559999999997</v>
      </c>
      <c r="K2242">
        <v>1.120098</v>
      </c>
      <c r="L2242">
        <v>285.07810000000001</v>
      </c>
      <c r="M2242">
        <v>-0.9999188</v>
      </c>
      <c r="N2242">
        <v>-1.2746499999999999E-2</v>
      </c>
      <c r="O2242">
        <v>-4.0126510000000002E-4</v>
      </c>
      <c r="P2242">
        <v>-0.99634500000000004</v>
      </c>
      <c r="Q2242">
        <v>-8.4993589999999994E-2</v>
      </c>
      <c r="R2242">
        <v>8.5409939999999997E-3</v>
      </c>
      <c r="S2242">
        <v>-2.997986</v>
      </c>
      <c r="T2242">
        <v>-0.15241279999999999</v>
      </c>
      <c r="U2242">
        <v>3.9367680000000002E-3</v>
      </c>
      <c r="V2242">
        <v>8.9373230000000005E-3</v>
      </c>
      <c r="W2242">
        <v>-7.2287229999999994E-2</v>
      </c>
      <c r="X2242">
        <v>0.9973438</v>
      </c>
      <c r="Y2242">
        <v>1.7113779999999999E-3</v>
      </c>
      <c r="Z2242" s="1">
        <v>6.9664079999999995E-5</v>
      </c>
      <c r="AA2242">
        <v>0.99999850000000001</v>
      </c>
      <c r="AB2242">
        <v>44</v>
      </c>
      <c r="AC2242">
        <v>-21.766500000000001</v>
      </c>
      <c r="AD2242">
        <v>-1.1200994664970001</v>
      </c>
      <c r="AE2242">
        <v>2.89999999999963E-2</v>
      </c>
      <c r="AF2242">
        <v>3.76351811175243E-2</v>
      </c>
      <c r="AG2242">
        <v>-1.1200994664970001</v>
      </c>
      <c r="AH2242">
        <v>21.708998900377399</v>
      </c>
      <c r="AI2242">
        <v>92.9536146394084</v>
      </c>
      <c r="AJ2242">
        <v>89.900670920437406</v>
      </c>
      <c r="AK2242">
        <v>21.7379086500586</v>
      </c>
      <c r="AL2242">
        <v>94.1453688354094</v>
      </c>
      <c r="AM2242">
        <v>89.486579069351507</v>
      </c>
      <c r="AN2242">
        <v>0.99999998738095897</v>
      </c>
    </row>
    <row r="2243" spans="1:40" x14ac:dyDescent="0.25">
      <c r="A2243" t="str">
        <f>"20190303154811503"</f>
        <v>20190303154811503</v>
      </c>
      <c r="B2243" t="str">
        <f>"1551599291493242"</f>
        <v>1551599291493242</v>
      </c>
      <c r="C2243" t="s">
        <v>40</v>
      </c>
      <c r="D2243">
        <v>5.3678280000000003</v>
      </c>
      <c r="E2243">
        <v>0.49929489999999999</v>
      </c>
      <c r="F2243" t="s">
        <v>52</v>
      </c>
      <c r="G2243">
        <v>-358.04430000000002</v>
      </c>
      <c r="H2243" s="1">
        <v>2.7439570000000002E-6</v>
      </c>
      <c r="I2243">
        <v>285.21269999999998</v>
      </c>
      <c r="J2243">
        <v>-338.6413</v>
      </c>
      <c r="K2243">
        <v>1.12009</v>
      </c>
      <c r="L2243">
        <v>285.0779</v>
      </c>
      <c r="M2243">
        <v>-0.99992009999999998</v>
      </c>
      <c r="N2243">
        <v>-1.2648390000000001E-2</v>
      </c>
      <c r="O2243">
        <v>-4.012501E-4</v>
      </c>
      <c r="P2243">
        <v>-0.99633590000000005</v>
      </c>
      <c r="Q2243">
        <v>-8.509427E-2</v>
      </c>
      <c r="R2243">
        <v>8.5868160000000006E-3</v>
      </c>
      <c r="S2243">
        <v>-2.9963069999999998</v>
      </c>
      <c r="T2243">
        <v>-0.17054810000000001</v>
      </c>
      <c r="U2243">
        <v>2.0507810000000001E-2</v>
      </c>
      <c r="V2243">
        <v>8.9831269999999901E-3</v>
      </c>
      <c r="W2243">
        <v>-7.2485899999999895E-2</v>
      </c>
      <c r="X2243">
        <v>0.99732900000000002</v>
      </c>
      <c r="Y2243">
        <v>7.2307730000000002E-3</v>
      </c>
      <c r="Z2243">
        <v>2.691414E-4</v>
      </c>
      <c r="AA2243">
        <v>0.99997380000000002</v>
      </c>
      <c r="AB2243">
        <v>44</v>
      </c>
      <c r="AC2243">
        <v>-19.402999999999999</v>
      </c>
      <c r="AD2243">
        <v>-1.120087256043</v>
      </c>
      <c r="AE2243">
        <v>0.13479999999998399</v>
      </c>
      <c r="AF2243">
        <v>0.14211250385032601</v>
      </c>
      <c r="AG2243">
        <v>-1.120087256043</v>
      </c>
      <c r="AH2243">
        <v>19.338502520897499</v>
      </c>
      <c r="AI2243">
        <v>93.314782245098797</v>
      </c>
      <c r="AJ2243">
        <v>89.5789591200204</v>
      </c>
      <c r="AK2243">
        <v>19.371434411928799</v>
      </c>
      <c r="AL2243">
        <v>94.156781599518894</v>
      </c>
      <c r="AM2243">
        <v>89.483940258793794</v>
      </c>
      <c r="AN2243">
        <v>1.00000001825525</v>
      </c>
    </row>
    <row r="2244" spans="1:40" x14ac:dyDescent="0.25">
      <c r="A2244" t="str">
        <f>"20190303154811562"</f>
        <v>20190303154811562</v>
      </c>
      <c r="B2244" t="str">
        <f>"1551599291552777"</f>
        <v>1551599291552777</v>
      </c>
      <c r="C2244" t="s">
        <v>40</v>
      </c>
      <c r="D2244">
        <v>5.4055589999999896</v>
      </c>
      <c r="E2244">
        <v>0.55069999999999997</v>
      </c>
      <c r="F2244" t="s">
        <v>52</v>
      </c>
      <c r="G2244">
        <v>-358.28300000000002</v>
      </c>
      <c r="H2244" s="1">
        <v>2.871026E-6</v>
      </c>
      <c r="I2244">
        <v>285.21440000000001</v>
      </c>
      <c r="J2244">
        <v>-339.798</v>
      </c>
      <c r="K2244">
        <v>1.1200680000000001</v>
      </c>
      <c r="L2244">
        <v>285.07749999999999</v>
      </c>
      <c r="M2244">
        <v>-0.9999247</v>
      </c>
      <c r="N2244">
        <v>-1.227346E-2</v>
      </c>
      <c r="O2244">
        <v>-4.008557E-4</v>
      </c>
      <c r="P2244">
        <v>-0.99636290000000005</v>
      </c>
      <c r="Q2244">
        <v>-8.4842899999999999E-2</v>
      </c>
      <c r="R2244">
        <v>7.9406519999999994E-3</v>
      </c>
      <c r="S2244">
        <v>-2.9962460000000002</v>
      </c>
      <c r="T2244">
        <v>-0.1708634</v>
      </c>
      <c r="U2244">
        <v>2.081299E-2</v>
      </c>
      <c r="V2244">
        <v>8.3370639999999999E-3</v>
      </c>
      <c r="W2244">
        <v>-7.2608080000000005E-2</v>
      </c>
      <c r="X2244">
        <v>0.99732569999999998</v>
      </c>
      <c r="Y2244">
        <v>7.3321819999999996E-3</v>
      </c>
      <c r="Z2244">
        <v>2.7185529999999999E-4</v>
      </c>
      <c r="AA2244">
        <v>0.99997309999999995</v>
      </c>
      <c r="AB2244">
        <v>44</v>
      </c>
      <c r="AC2244">
        <v>-18.484999999999999</v>
      </c>
      <c r="AD2244">
        <v>-1.120065128974</v>
      </c>
      <c r="AE2244">
        <v>0.136900000000025</v>
      </c>
      <c r="AF2244">
        <v>0.143782490562256</v>
      </c>
      <c r="AG2244">
        <v>-1.120065128974</v>
      </c>
      <c r="AH2244">
        <v>18.417327484146099</v>
      </c>
      <c r="AI2244">
        <v>93.480098454978403</v>
      </c>
      <c r="AJ2244">
        <v>89.552705867628006</v>
      </c>
      <c r="AK2244">
        <v>18.4519151026667</v>
      </c>
      <c r="AL2244">
        <v>94.163800585801894</v>
      </c>
      <c r="AM2244">
        <v>89.521051694058301</v>
      </c>
      <c r="AN2244">
        <v>0.99999999589895805</v>
      </c>
    </row>
    <row r="2245" spans="1:40" x14ac:dyDescent="0.25">
      <c r="A2245" t="str">
        <f>"20190303154811573"</f>
        <v>20190303154811573</v>
      </c>
      <c r="B2245" t="str">
        <f>"1551599291562538"</f>
        <v>1551599291562538</v>
      </c>
      <c r="C2245" t="s">
        <v>40</v>
      </c>
      <c r="D2245">
        <v>5.3842689999999997</v>
      </c>
      <c r="E2245">
        <v>0.55066749999999998</v>
      </c>
      <c r="F2245" t="s">
        <v>42</v>
      </c>
      <c r="G2245">
        <v>-340.81380000000001</v>
      </c>
      <c r="H2245">
        <v>0.85883019999999999</v>
      </c>
      <c r="I2245">
        <v>285.2244</v>
      </c>
      <c r="J2245">
        <v>-340.04059999999998</v>
      </c>
      <c r="K2245">
        <v>1.1200639999999999</v>
      </c>
      <c r="L2245">
        <v>285.07749999999999</v>
      </c>
      <c r="M2245">
        <v>-0.99992550000000002</v>
      </c>
      <c r="N2245">
        <v>-1.2202559999999999E-2</v>
      </c>
      <c r="O2245">
        <v>-4.0090319999999999E-4</v>
      </c>
      <c r="P2245">
        <v>-0.99638380000000004</v>
      </c>
      <c r="Q2245">
        <v>-8.4642480000000006E-2</v>
      </c>
      <c r="R2245">
        <v>7.4319999999999898E-3</v>
      </c>
      <c r="S2245">
        <v>-2.9431150000000001</v>
      </c>
      <c r="T2245">
        <v>-0.75690009999999996</v>
      </c>
      <c r="U2245">
        <v>0.42498780000000003</v>
      </c>
      <c r="V2245">
        <v>7.8285490000000006E-3</v>
      </c>
      <c r="W2245">
        <v>-7.2478119999999993E-2</v>
      </c>
      <c r="X2245">
        <v>0.99733919999999998</v>
      </c>
      <c r="Y2245">
        <v>0.13866199999999901</v>
      </c>
      <c r="Z2245">
        <v>1.8419049999999999E-2</v>
      </c>
      <c r="AA2245">
        <v>0.99016850000000001</v>
      </c>
      <c r="AB2245">
        <v>44</v>
      </c>
      <c r="AC2245">
        <v>-0.77320000000003097</v>
      </c>
      <c r="AD2245">
        <v>-0.26123380000000002</v>
      </c>
      <c r="AE2245">
        <v>0.14690000000001599</v>
      </c>
      <c r="AF2245">
        <v>0.13260095036344999</v>
      </c>
      <c r="AG2245">
        <v>-0.26123380000000002</v>
      </c>
      <c r="AH2245">
        <v>0.69641494466738996</v>
      </c>
      <c r="AI2245">
        <v>110.228442426096</v>
      </c>
      <c r="AJ2245">
        <v>79.219633303293193</v>
      </c>
      <c r="AK2245">
        <v>0.75552623081916503</v>
      </c>
      <c r="AL2245">
        <v>94.156335063743299</v>
      </c>
      <c r="AM2245">
        <v>89.550269752120997</v>
      </c>
      <c r="AN2245">
        <v>0.99999992195740595</v>
      </c>
    </row>
    <row r="2246" spans="1:40" x14ac:dyDescent="0.25">
      <c r="A2246" t="str">
        <f>"20190303154811586"</f>
        <v>20190303154811586</v>
      </c>
      <c r="B2246" t="str">
        <f>"1551599291583034"</f>
        <v>1551599291583034</v>
      </c>
      <c r="C2246" t="s">
        <v>40</v>
      </c>
      <c r="D2246">
        <v>5.3992599999999999</v>
      </c>
      <c r="E2246">
        <v>0.55077109999999996</v>
      </c>
      <c r="F2246" t="s">
        <v>42</v>
      </c>
      <c r="G2246">
        <v>-340.83460000000002</v>
      </c>
      <c r="H2246">
        <v>0.91113500000000003</v>
      </c>
      <c r="I2246">
        <v>285.1918</v>
      </c>
      <c r="J2246">
        <v>-340.28429999999997</v>
      </c>
      <c r="K2246">
        <v>1.1200600000000001</v>
      </c>
      <c r="L2246">
        <v>285.07729999999998</v>
      </c>
      <c r="M2246">
        <v>-0.99992630000000005</v>
      </c>
      <c r="N2246">
        <v>-1.2133339999999999E-2</v>
      </c>
      <c r="O2246">
        <v>-4.0108219999999999E-4</v>
      </c>
      <c r="P2246">
        <v>-0.99637529999999996</v>
      </c>
      <c r="Q2246">
        <v>-8.4753720000000005E-2</v>
      </c>
      <c r="R2246">
        <v>7.3002869999999999E-3</v>
      </c>
      <c r="S2246">
        <v>-2.941986</v>
      </c>
      <c r="T2246">
        <v>-0.77422360000000001</v>
      </c>
      <c r="U2246">
        <v>0.42324830000000002</v>
      </c>
      <c r="V2246">
        <v>7.6970010000000002E-3</v>
      </c>
      <c r="W2246">
        <v>-7.2658470000000003E-2</v>
      </c>
      <c r="X2246">
        <v>0.99732719999999997</v>
      </c>
      <c r="Y2246">
        <v>0.1379572</v>
      </c>
      <c r="Z2246">
        <v>1.8715989999999998E-2</v>
      </c>
      <c r="AA2246">
        <v>0.99026139999999996</v>
      </c>
      <c r="AB2246">
        <v>44</v>
      </c>
      <c r="AC2246">
        <v>-0.55030000000004897</v>
      </c>
      <c r="AD2246">
        <v>-0.208925</v>
      </c>
      <c r="AE2246">
        <v>0.11450000000002</v>
      </c>
      <c r="AF2246">
        <v>0.10079508477992501</v>
      </c>
      <c r="AG2246">
        <v>-0.208925</v>
      </c>
      <c r="AH2246">
        <v>0.48346018228036602</v>
      </c>
      <c r="AI2246">
        <v>112.930730030997</v>
      </c>
      <c r="AJ2246">
        <v>78.223282003702394</v>
      </c>
      <c r="AK2246">
        <v>0.53623040998376503</v>
      </c>
      <c r="AL2246">
        <v>94.166695263506597</v>
      </c>
      <c r="AM2246">
        <v>89.557821227752697</v>
      </c>
      <c r="AN2246">
        <v>1.00000002047348</v>
      </c>
    </row>
    <row r="2247" spans="1:40" x14ac:dyDescent="0.25">
      <c r="A2247" t="str">
        <f>"20190303154811599"</f>
        <v>20190303154811599</v>
      </c>
      <c r="B2247" t="str">
        <f>"1551599291592794"</f>
        <v>1551599291592794</v>
      </c>
      <c r="C2247" t="s">
        <v>40</v>
      </c>
      <c r="D2247">
        <v>5.3898339999999996</v>
      </c>
      <c r="E2247">
        <v>0.55069760000000001</v>
      </c>
      <c r="F2247" t="s">
        <v>42</v>
      </c>
      <c r="G2247">
        <v>-341.21030000000002</v>
      </c>
      <c r="H2247">
        <v>0.87047359999999896</v>
      </c>
      <c r="I2247">
        <v>285.21120000000002</v>
      </c>
      <c r="J2247">
        <v>-340.55</v>
      </c>
      <c r="K2247">
        <v>1.1200600000000001</v>
      </c>
      <c r="L2247">
        <v>285.0772</v>
      </c>
      <c r="M2247">
        <v>-0.99992729999999996</v>
      </c>
      <c r="N2247">
        <v>-1.206022E-2</v>
      </c>
      <c r="O2247">
        <v>-4.0147840000000001E-4</v>
      </c>
      <c r="P2247">
        <v>-0.99637229999999999</v>
      </c>
      <c r="Q2247">
        <v>-8.4810659999999996E-2</v>
      </c>
      <c r="R2247">
        <v>7.0492840000000003E-3</v>
      </c>
      <c r="S2247">
        <v>-2.9403990000000002</v>
      </c>
      <c r="T2247">
        <v>-0.79261590000000004</v>
      </c>
      <c r="U2247">
        <v>0.42373660000000002</v>
      </c>
      <c r="V2247">
        <v>7.4462729999999998E-3</v>
      </c>
      <c r="W2247">
        <v>-7.2788340000000007E-2</v>
      </c>
      <c r="X2247">
        <v>0.99731959999999997</v>
      </c>
      <c r="Y2247">
        <v>0.13796629999999999</v>
      </c>
      <c r="Z2247">
        <v>1.9132280000000002E-2</v>
      </c>
      <c r="AA2247">
        <v>0.99025209999999997</v>
      </c>
      <c r="AB2247">
        <v>44</v>
      </c>
      <c r="AC2247">
        <v>-0.66030000000000599</v>
      </c>
      <c r="AD2247">
        <v>-0.24958640000000001</v>
      </c>
      <c r="AE2247">
        <v>0.134000000000014</v>
      </c>
      <c r="AF2247">
        <v>0.118063846487397</v>
      </c>
      <c r="AG2247">
        <v>-0.24958640000000001</v>
      </c>
      <c r="AH2247">
        <v>0.58057676034953498</v>
      </c>
      <c r="AI2247">
        <v>112.844307725692</v>
      </c>
      <c r="AJ2247">
        <v>78.505290872273704</v>
      </c>
      <c r="AK2247">
        <v>0.64288554002273302</v>
      </c>
      <c r="AL2247">
        <v>94.174156161272194</v>
      </c>
      <c r="AM2247">
        <v>89.572221293430005</v>
      </c>
      <c r="AN2247">
        <v>0.99999998698285297</v>
      </c>
    </row>
    <row r="2248" spans="1:40" x14ac:dyDescent="0.25">
      <c r="A2248" t="str">
        <f>"20190303154811614"</f>
        <v>20190303154811614</v>
      </c>
      <c r="B2248" t="str">
        <f>"1551599291602553"</f>
        <v>1551599291602553</v>
      </c>
      <c r="C2248" t="s">
        <v>40</v>
      </c>
      <c r="D2248">
        <v>5.3847019999999999</v>
      </c>
      <c r="E2248">
        <v>0.55071320000000001</v>
      </c>
      <c r="F2248" t="s">
        <v>42</v>
      </c>
      <c r="G2248">
        <v>-341.2364</v>
      </c>
      <c r="H2248">
        <v>0.933284</v>
      </c>
      <c r="I2248">
        <v>285.17630000000003</v>
      </c>
      <c r="J2248">
        <v>-340.8141</v>
      </c>
      <c r="K2248">
        <v>1.1200559999999999</v>
      </c>
      <c r="L2248">
        <v>285.07709999999997</v>
      </c>
      <c r="M2248">
        <v>-0.99992820000000004</v>
      </c>
      <c r="N2248">
        <v>-1.199308E-2</v>
      </c>
      <c r="O2248">
        <v>-4.0155490000000002E-4</v>
      </c>
      <c r="P2248">
        <v>-0.99639239999999996</v>
      </c>
      <c r="Q2248">
        <v>-8.4600170000000002E-2</v>
      </c>
      <c r="R2248">
        <v>6.7009620000000004E-3</v>
      </c>
      <c r="S2248">
        <v>-2.9398499999999999</v>
      </c>
      <c r="T2248">
        <v>-0.80003400000000002</v>
      </c>
      <c r="U2248">
        <v>0.42242429999999997</v>
      </c>
      <c r="V2248">
        <v>7.0979600000000004E-3</v>
      </c>
      <c r="W2248">
        <v>-7.264458E-2</v>
      </c>
      <c r="X2248">
        <v>0.99733260000000001</v>
      </c>
      <c r="Y2248">
        <v>0.13748479999999999</v>
      </c>
      <c r="Z2248">
        <v>1.9229940000000001E-2</v>
      </c>
      <c r="AA2248">
        <v>0.99031720000000001</v>
      </c>
      <c r="AB2248">
        <v>44</v>
      </c>
      <c r="AC2248">
        <v>-0.422300000000007</v>
      </c>
      <c r="AD2248">
        <v>-0.18677199999999899</v>
      </c>
      <c r="AE2248">
        <v>9.9200000000052996E-2</v>
      </c>
      <c r="AF2248">
        <v>8.3829546634905702E-2</v>
      </c>
      <c r="AG2248">
        <v>-0.18677199999999899</v>
      </c>
      <c r="AH2248">
        <v>0.35622445902187999</v>
      </c>
      <c r="AI2248">
        <v>117.038329394309</v>
      </c>
      <c r="AJ2248">
        <v>76.757647154013</v>
      </c>
      <c r="AK2248">
        <v>0.41086133680165798</v>
      </c>
      <c r="AL2248">
        <v>94.165897545768104</v>
      </c>
      <c r="AM2248">
        <v>89.592236045353602</v>
      </c>
      <c r="AN2248">
        <v>0.99999996553114801</v>
      </c>
    </row>
    <row r="2249" spans="1:40" x14ac:dyDescent="0.25">
      <c r="A2249" t="str">
        <f>"20190303154811629"</f>
        <v>20190303154811629</v>
      </c>
      <c r="B2249" t="str">
        <f>"1551599291623050"</f>
        <v>1551599291623050</v>
      </c>
      <c r="C2249" t="s">
        <v>40</v>
      </c>
      <c r="D2249">
        <v>5.4086860000000003</v>
      </c>
      <c r="E2249">
        <v>0.55082330000000002</v>
      </c>
      <c r="F2249" t="s">
        <v>42</v>
      </c>
      <c r="G2249">
        <v>-341.61450000000002</v>
      </c>
      <c r="H2249">
        <v>0.90038879999999999</v>
      </c>
      <c r="I2249">
        <v>285.19200000000001</v>
      </c>
      <c r="J2249">
        <v>-341.13029999999998</v>
      </c>
      <c r="K2249">
        <v>1.1200509999999999</v>
      </c>
      <c r="L2249">
        <v>285.077</v>
      </c>
      <c r="M2249">
        <v>-0.99992910000000002</v>
      </c>
      <c r="N2249">
        <v>-1.1917290000000001E-2</v>
      </c>
      <c r="O2249">
        <v>-4.0170169999999999E-4</v>
      </c>
      <c r="P2249">
        <v>-0.99642660000000005</v>
      </c>
      <c r="Q2249">
        <v>-8.4230600000000003E-2</v>
      </c>
      <c r="R2249">
        <v>6.3005830000000002E-3</v>
      </c>
      <c r="S2249">
        <v>-2.939514</v>
      </c>
      <c r="T2249">
        <v>-0.80680450000000004</v>
      </c>
      <c r="U2249">
        <v>0.42129519999999998</v>
      </c>
      <c r="V2249">
        <v>6.6980709999999999E-3</v>
      </c>
      <c r="W2249">
        <v>-7.2350220000000007E-2</v>
      </c>
      <c r="X2249">
        <v>0.99735680000000004</v>
      </c>
      <c r="Y2249">
        <v>0.13706009999999999</v>
      </c>
      <c r="Z2249">
        <v>1.931805E-2</v>
      </c>
      <c r="AA2249">
        <v>0.99037430000000004</v>
      </c>
      <c r="AB2249">
        <v>44</v>
      </c>
      <c r="AC2249">
        <v>-0.48420000000004298</v>
      </c>
      <c r="AD2249">
        <v>-0.2196622</v>
      </c>
      <c r="AE2249">
        <v>0.115000000000009</v>
      </c>
      <c r="AF2249">
        <v>9.6411760507129796E-2</v>
      </c>
      <c r="AG2249">
        <v>-0.2196622</v>
      </c>
      <c r="AH2249">
        <v>0.40521130018465401</v>
      </c>
      <c r="AI2249">
        <v>117.805868535755</v>
      </c>
      <c r="AJ2249">
        <v>76.616484081324202</v>
      </c>
      <c r="AK2249">
        <v>0.47089585628911801</v>
      </c>
      <c r="AL2249">
        <v>94.148987308651101</v>
      </c>
      <c r="AM2249">
        <v>89.615217513246407</v>
      </c>
      <c r="AN2249">
        <v>1.0000000024977</v>
      </c>
    </row>
    <row r="2250" spans="1:40" x14ac:dyDescent="0.25">
      <c r="A2250" t="str">
        <f>"20190303154811644"</f>
        <v>20190303154811644</v>
      </c>
      <c r="B2250" t="str">
        <f>"1551599291632809"</f>
        <v>1551599291632809</v>
      </c>
      <c r="C2250" t="s">
        <v>40</v>
      </c>
      <c r="D2250">
        <v>5.5141169999999997</v>
      </c>
      <c r="E2250">
        <v>0.5503498</v>
      </c>
      <c r="F2250" t="s">
        <v>42</v>
      </c>
      <c r="G2250">
        <v>-341.99799999999999</v>
      </c>
      <c r="H2250">
        <v>0.87827719999999898</v>
      </c>
      <c r="I2250">
        <v>285.20170000000002</v>
      </c>
      <c r="J2250">
        <v>-341.41750000000002</v>
      </c>
      <c r="K2250">
        <v>1.1200479999999999</v>
      </c>
      <c r="L2250">
        <v>285.07690000000002</v>
      </c>
      <c r="M2250">
        <v>-0.99992970000000003</v>
      </c>
      <c r="N2250">
        <v>-1.1853290000000001E-2</v>
      </c>
      <c r="O2250">
        <v>-4.0168199999999999E-4</v>
      </c>
      <c r="P2250">
        <v>-0.99643409999999999</v>
      </c>
      <c r="Q2250">
        <v>-8.4146990000000005E-2</v>
      </c>
      <c r="R2250">
        <v>6.2000900000000001E-3</v>
      </c>
      <c r="S2250">
        <v>-2.9388730000000001</v>
      </c>
      <c r="T2250">
        <v>-0.81892869999999995</v>
      </c>
      <c r="U2250">
        <v>0.42086790000000002</v>
      </c>
      <c r="V2250">
        <v>6.5975929999999997E-3</v>
      </c>
      <c r="W2250">
        <v>-7.2330370000000005E-2</v>
      </c>
      <c r="X2250">
        <v>0.99735890000000005</v>
      </c>
      <c r="Y2250">
        <v>0.1368065</v>
      </c>
      <c r="Z2250">
        <v>1.954987E-2</v>
      </c>
      <c r="AA2250">
        <v>0.99040479999999997</v>
      </c>
      <c r="AB2250">
        <v>44</v>
      </c>
      <c r="AC2250">
        <v>-0.58050000000002899</v>
      </c>
      <c r="AD2250">
        <v>-0.24177080000000001</v>
      </c>
      <c r="AE2250">
        <v>0.124799999999993</v>
      </c>
      <c r="AF2250">
        <v>0.10725111444127899</v>
      </c>
      <c r="AG2250">
        <v>-0.24177080000000001</v>
      </c>
      <c r="AH2250">
        <v>0.49789894726927902</v>
      </c>
      <c r="AI2250">
        <v>115.39340941496</v>
      </c>
      <c r="AJ2250">
        <v>77.843811080224498</v>
      </c>
      <c r="AK2250">
        <v>0.56379010542345698</v>
      </c>
      <c r="AL2250">
        <v>94.147847039156304</v>
      </c>
      <c r="AM2250">
        <v>89.620990277282203</v>
      </c>
      <c r="AN2250">
        <v>0.99999999303346998</v>
      </c>
    </row>
    <row r="2251" spans="1:40" x14ac:dyDescent="0.25">
      <c r="A2251" t="str">
        <f>"20190303154811658"</f>
        <v>20190303154811658</v>
      </c>
      <c r="B2251" t="str">
        <f>"1551599291652530"</f>
        <v>1551599291652530</v>
      </c>
      <c r="C2251" t="s">
        <v>40</v>
      </c>
      <c r="D2251">
        <v>5.5020069999999999</v>
      </c>
      <c r="E2251">
        <v>0.54968119999999998</v>
      </c>
      <c r="F2251" t="s">
        <v>42</v>
      </c>
      <c r="G2251">
        <v>-342.37920000000003</v>
      </c>
      <c r="H2251">
        <v>0.84981509999999905</v>
      </c>
      <c r="I2251">
        <v>285.21350000000001</v>
      </c>
      <c r="J2251">
        <v>-341.70190000000002</v>
      </c>
      <c r="K2251">
        <v>1.1200369999999999</v>
      </c>
      <c r="L2251">
        <v>285.07679999999999</v>
      </c>
      <c r="M2251">
        <v>-0.99993050000000006</v>
      </c>
      <c r="N2251">
        <v>-1.1795140000000001E-2</v>
      </c>
      <c r="O2251">
        <v>-4.0217539999999998E-4</v>
      </c>
      <c r="P2251">
        <v>-0.99645969999999995</v>
      </c>
      <c r="Q2251">
        <v>-8.3836620000000001E-2</v>
      </c>
      <c r="R2251">
        <v>6.3133140000000004E-3</v>
      </c>
      <c r="S2251">
        <v>-2.9384160000000001</v>
      </c>
      <c r="T2251">
        <v>-0.82575540000000003</v>
      </c>
      <c r="U2251">
        <v>0.4167786</v>
      </c>
      <c r="V2251">
        <v>6.7113420000000003E-3</v>
      </c>
      <c r="W2251">
        <v>-7.2077699999999995E-2</v>
      </c>
      <c r="X2251">
        <v>0.99737640000000005</v>
      </c>
      <c r="Y2251">
        <v>0.1354437</v>
      </c>
      <c r="Z2251">
        <v>1.9505850000000002E-2</v>
      </c>
      <c r="AA2251">
        <v>0.99059299999999995</v>
      </c>
      <c r="AB2251">
        <v>44</v>
      </c>
      <c r="AC2251">
        <v>-0.67730000000000201</v>
      </c>
      <c r="AD2251">
        <v>-0.27022190000000001</v>
      </c>
      <c r="AE2251">
        <v>0.136700000000018</v>
      </c>
      <c r="AF2251">
        <v>0.118802082404875</v>
      </c>
      <c r="AG2251">
        <v>-0.27022190000000001</v>
      </c>
      <c r="AH2251">
        <v>0.58740382214686804</v>
      </c>
      <c r="AI2251">
        <v>114.270515903716</v>
      </c>
      <c r="AJ2251">
        <v>78.566196035054901</v>
      </c>
      <c r="AK2251">
        <v>0.65740174953835795</v>
      </c>
      <c r="AL2251">
        <v>94.133332365351706</v>
      </c>
      <c r="AM2251">
        <v>89.614462736594106</v>
      </c>
      <c r="AN2251">
        <v>0.99999996011284398</v>
      </c>
    </row>
    <row r="2252" spans="1:40" x14ac:dyDescent="0.25">
      <c r="A2252" t="str">
        <f>"20190303154811673"</f>
        <v>20190303154811673</v>
      </c>
      <c r="B2252" t="str">
        <f>"1551599291663267"</f>
        <v>1551599291663267</v>
      </c>
      <c r="C2252" t="s">
        <v>40</v>
      </c>
      <c r="D2252">
        <v>5.5073990000000004</v>
      </c>
      <c r="E2252">
        <v>0.54941459999999998</v>
      </c>
      <c r="F2252" t="s">
        <v>42</v>
      </c>
      <c r="G2252">
        <v>-342.40750000000003</v>
      </c>
      <c r="H2252">
        <v>0.91939709999999997</v>
      </c>
      <c r="I2252">
        <v>285.17590000000001</v>
      </c>
      <c r="J2252">
        <v>-341.98360000000002</v>
      </c>
      <c r="K2252">
        <v>1.120034</v>
      </c>
      <c r="L2252">
        <v>285.07670000000002</v>
      </c>
      <c r="M2252">
        <v>-0.99993100000000001</v>
      </c>
      <c r="N2252">
        <v>-1.174294E-2</v>
      </c>
      <c r="O2252">
        <v>-4.0222830000000002E-4</v>
      </c>
      <c r="P2252">
        <v>-0.99648199999999998</v>
      </c>
      <c r="Q2252">
        <v>-8.3544750000000001E-2</v>
      </c>
      <c r="R2252">
        <v>6.6415329999999998E-3</v>
      </c>
      <c r="S2252">
        <v>-2.9377749999999998</v>
      </c>
      <c r="T2252">
        <v>-0.83548690000000003</v>
      </c>
      <c r="U2252">
        <v>0.41177370000000002</v>
      </c>
      <c r="V2252">
        <v>7.0395220000000003E-3</v>
      </c>
      <c r="W2252">
        <v>-7.1837670000000006E-2</v>
      </c>
      <c r="X2252">
        <v>0.99739149999999999</v>
      </c>
      <c r="Y2252">
        <v>0.13376160000000001</v>
      </c>
      <c r="Z2252">
        <v>1.9477029999999999E-2</v>
      </c>
      <c r="AA2252">
        <v>0.99082210000000004</v>
      </c>
      <c r="AB2252">
        <v>44</v>
      </c>
      <c r="AC2252">
        <v>-0.423900000000003</v>
      </c>
      <c r="AD2252">
        <v>-0.20063689999999901</v>
      </c>
      <c r="AE2252">
        <v>9.9199999999996097E-2</v>
      </c>
      <c r="AF2252">
        <v>8.1962317241517799E-2</v>
      </c>
      <c r="AG2252">
        <v>-0.20063689999999901</v>
      </c>
      <c r="AH2252">
        <v>0.34960627105068598</v>
      </c>
      <c r="AI2252">
        <v>119.194020249922</v>
      </c>
      <c r="AJ2252">
        <v>76.805762247582194</v>
      </c>
      <c r="AK2252">
        <v>0.41133627587069799</v>
      </c>
      <c r="AL2252">
        <v>94.119543729634401</v>
      </c>
      <c r="AM2252">
        <v>89.595616963556793</v>
      </c>
      <c r="AN2252">
        <v>1.00000000498663</v>
      </c>
    </row>
    <row r="2253" spans="1:40" x14ac:dyDescent="0.25">
      <c r="A2253" t="str">
        <f>"20190303154811687"</f>
        <v>20190303154811687</v>
      </c>
      <c r="B2253" t="str">
        <f>"1551599291682787"</f>
        <v>1551599291682787</v>
      </c>
      <c r="C2253" t="s">
        <v>40</v>
      </c>
      <c r="D2253">
        <v>5.5212180000000002</v>
      </c>
      <c r="E2253">
        <v>0.54892289999999999</v>
      </c>
      <c r="F2253" t="s">
        <v>42</v>
      </c>
      <c r="G2253">
        <v>-342.78820000000002</v>
      </c>
      <c r="H2253">
        <v>0.890324</v>
      </c>
      <c r="I2253">
        <v>285.18950000000001</v>
      </c>
      <c r="J2253">
        <v>-342.25080000000003</v>
      </c>
      <c r="K2253">
        <v>1.120036</v>
      </c>
      <c r="L2253">
        <v>285.07650000000001</v>
      </c>
      <c r="M2253">
        <v>-0.99993149999999997</v>
      </c>
      <c r="N2253">
        <v>-1.1695870000000001E-2</v>
      </c>
      <c r="O2253">
        <v>-4.0243149999999998E-4</v>
      </c>
      <c r="P2253">
        <v>-0.99647629999999998</v>
      </c>
      <c r="Q2253">
        <v>-8.3593870000000001E-2</v>
      </c>
      <c r="R2253">
        <v>6.8663419999999897E-3</v>
      </c>
      <c r="S2253">
        <v>-2.9375309999999999</v>
      </c>
      <c r="T2253">
        <v>-0.83867099999999895</v>
      </c>
      <c r="U2253">
        <v>0.41067500000000001</v>
      </c>
      <c r="V2253">
        <v>7.2646840000000004E-3</v>
      </c>
      <c r="W2253">
        <v>-7.1933830000000004E-2</v>
      </c>
      <c r="X2253">
        <v>0.99738289999999996</v>
      </c>
      <c r="Y2253">
        <v>0.1333848</v>
      </c>
      <c r="Z2253">
        <v>1.9489650000000001E-2</v>
      </c>
      <c r="AA2253">
        <v>0.99087270000000005</v>
      </c>
      <c r="AB2253">
        <v>44</v>
      </c>
      <c r="AC2253">
        <v>-0.537399999999991</v>
      </c>
      <c r="AD2253">
        <v>-0.229712</v>
      </c>
      <c r="AE2253">
        <v>0.112999999999999</v>
      </c>
      <c r="AF2253">
        <v>9.6356111226819696E-2</v>
      </c>
      <c r="AG2253">
        <v>-0.229712</v>
      </c>
      <c r="AH2253">
        <v>0.457331678929844</v>
      </c>
      <c r="AI2253">
        <v>116.17397537369899</v>
      </c>
      <c r="AJ2253">
        <v>78.102253928057095</v>
      </c>
      <c r="AK2253">
        <v>0.52077285611631596</v>
      </c>
      <c r="AL2253">
        <v>94.125067808355098</v>
      </c>
      <c r="AM2253">
        <v>89.5826794583257</v>
      </c>
      <c r="AN2253">
        <v>0.99999995037224798</v>
      </c>
    </row>
    <row r="2254" spans="1:40" x14ac:dyDescent="0.25">
      <c r="A2254" t="str">
        <f>"20190303154811708"</f>
        <v>20190303154811708</v>
      </c>
      <c r="B2254" t="str">
        <f>"1551599291703282"</f>
        <v>1551599291703282</v>
      </c>
      <c r="C2254" t="s">
        <v>40</v>
      </c>
      <c r="D2254">
        <v>5.4848739999999996</v>
      </c>
      <c r="E2254">
        <v>0.54852800000000002</v>
      </c>
      <c r="F2254" t="s">
        <v>42</v>
      </c>
      <c r="G2254">
        <v>-343.16739999999999</v>
      </c>
      <c r="H2254">
        <v>0.85605599999999904</v>
      </c>
      <c r="I2254">
        <v>285.2038</v>
      </c>
      <c r="J2254">
        <v>-342.66730000000001</v>
      </c>
      <c r="K2254">
        <v>1.1200289999999999</v>
      </c>
      <c r="L2254">
        <v>285.07639999999998</v>
      </c>
      <c r="M2254">
        <v>-0.99993220000000005</v>
      </c>
      <c r="N2254">
        <v>-1.1627419999999999E-2</v>
      </c>
      <c r="O2254">
        <v>-4.0298889999999999E-4</v>
      </c>
      <c r="P2254">
        <v>-0.99646539999999995</v>
      </c>
      <c r="Q2254">
        <v>-8.3660159999999997E-2</v>
      </c>
      <c r="R2254">
        <v>7.6007740000000002E-3</v>
      </c>
      <c r="S2254">
        <v>-2.93689</v>
      </c>
      <c r="T2254">
        <v>-0.84576260000000003</v>
      </c>
      <c r="U2254">
        <v>0.40728760000000003</v>
      </c>
      <c r="V2254">
        <v>7.9996419999999995E-3</v>
      </c>
      <c r="W2254">
        <v>-7.206854E-2</v>
      </c>
      <c r="X2254">
        <v>0.99736760000000002</v>
      </c>
      <c r="Y2254">
        <v>0.13224949999999999</v>
      </c>
      <c r="Z2254">
        <v>1.9476420000000001E-2</v>
      </c>
      <c r="AA2254">
        <v>0.99102509999999999</v>
      </c>
      <c r="AB2254">
        <v>44</v>
      </c>
      <c r="AC2254">
        <v>-0.50009999999997401</v>
      </c>
      <c r="AD2254">
        <v>-0.26397300000000001</v>
      </c>
      <c r="AE2254">
        <v>0.127400000000022</v>
      </c>
      <c r="AF2254">
        <v>0.10113973257746001</v>
      </c>
      <c r="AG2254">
        <v>-0.26397300000000001</v>
      </c>
      <c r="AH2254">
        <v>0.39634932291342201</v>
      </c>
      <c r="AI2254">
        <v>122.835432119125</v>
      </c>
      <c r="AJ2254">
        <v>75.684858332143406</v>
      </c>
      <c r="AK2254">
        <v>0.48683033595778302</v>
      </c>
      <c r="AL2254">
        <v>94.132806006004699</v>
      </c>
      <c r="AM2254">
        <v>89.540454396403902</v>
      </c>
      <c r="AN2254">
        <v>0.99999999912980897</v>
      </c>
    </row>
    <row r="2255" spans="1:40" x14ac:dyDescent="0.25">
      <c r="A2255" t="str">
        <f>"20190303154811722"</f>
        <v>20190303154811722</v>
      </c>
      <c r="B2255" t="str">
        <f>"1551599291713042"</f>
        <v>1551599291713042</v>
      </c>
      <c r="C2255" t="s">
        <v>40</v>
      </c>
      <c r="D2255">
        <v>5.5112959999999998</v>
      </c>
      <c r="E2255">
        <v>0.54827519999999996</v>
      </c>
      <c r="F2255" t="s">
        <v>42</v>
      </c>
      <c r="G2255">
        <v>-343.5625</v>
      </c>
      <c r="H2255">
        <v>0.860344199999999</v>
      </c>
      <c r="I2255">
        <v>285.20049999999998</v>
      </c>
      <c r="J2255">
        <v>-342.95920000000001</v>
      </c>
      <c r="K2255">
        <v>1.1200270000000001</v>
      </c>
      <c r="L2255">
        <v>285.0763</v>
      </c>
      <c r="M2255">
        <v>-0.99993290000000001</v>
      </c>
      <c r="N2255">
        <v>-1.158226E-2</v>
      </c>
      <c r="O2255">
        <v>-4.0356330000000001E-4</v>
      </c>
      <c r="P2255">
        <v>-0.99651889999999999</v>
      </c>
      <c r="Q2255">
        <v>-8.3002080000000006E-2</v>
      </c>
      <c r="R2255">
        <v>7.8141089999999996E-3</v>
      </c>
      <c r="S2255">
        <v>-2.9360050000000002</v>
      </c>
      <c r="T2255">
        <v>-0.8516591</v>
      </c>
      <c r="U2255">
        <v>0.40643309999999999</v>
      </c>
      <c r="V2255">
        <v>8.2135079999999996E-3</v>
      </c>
      <c r="W2255">
        <v>-7.1454920000000005E-2</v>
      </c>
      <c r="X2255">
        <v>0.99741000000000002</v>
      </c>
      <c r="Y2255">
        <v>0.1319438</v>
      </c>
      <c r="Z2255">
        <v>1.9559679999999999E-2</v>
      </c>
      <c r="AA2255">
        <v>0.99106419999999995</v>
      </c>
      <c r="AB2255">
        <v>44</v>
      </c>
      <c r="AC2255">
        <v>-0.60329999999998996</v>
      </c>
      <c r="AD2255">
        <v>-0.25968279999999999</v>
      </c>
      <c r="AE2255">
        <v>0.124199999999973</v>
      </c>
      <c r="AF2255">
        <v>0.10566265635955301</v>
      </c>
      <c r="AG2255">
        <v>-0.25968279999999999</v>
      </c>
      <c r="AH2255">
        <v>0.51220828146818398</v>
      </c>
      <c r="AI2255">
        <v>116.40586273235</v>
      </c>
      <c r="AJ2255">
        <v>78.344045879907497</v>
      </c>
      <c r="AK2255">
        <v>0.58391529965345801</v>
      </c>
      <c r="AL2255">
        <v>94.097557337975104</v>
      </c>
      <c r="AM2255">
        <v>89.528189303977896</v>
      </c>
      <c r="AN2255">
        <v>0.99999998770293597</v>
      </c>
    </row>
    <row r="2256" spans="1:40" x14ac:dyDescent="0.25">
      <c r="A2256" t="str">
        <f>"20190303154811863"</f>
        <v>20190303154811863</v>
      </c>
      <c r="B2256" t="str">
        <f>"1551599291852610"</f>
        <v>1551599291852610</v>
      </c>
      <c r="C2256" t="s">
        <v>40</v>
      </c>
      <c r="D2256">
        <v>5.3687889999999996</v>
      </c>
      <c r="E2256">
        <v>0.52467229999999998</v>
      </c>
      <c r="F2256" t="s">
        <v>42</v>
      </c>
      <c r="G2256">
        <v>-346.31599999999997</v>
      </c>
      <c r="H2256">
        <v>0.84775469999999897</v>
      </c>
      <c r="I2256">
        <v>285.1422</v>
      </c>
      <c r="J2256">
        <v>-345.72329999999999</v>
      </c>
      <c r="K2256">
        <v>1.1199920000000001</v>
      </c>
      <c r="L2256">
        <v>285.0752</v>
      </c>
      <c r="M2256">
        <v>-0.99993600000000005</v>
      </c>
      <c r="N2256">
        <v>-1.130422E-2</v>
      </c>
      <c r="O2256">
        <v>-4.068718E-4</v>
      </c>
      <c r="P2256">
        <v>-0.99643800000000005</v>
      </c>
      <c r="Q2256">
        <v>-8.3962490000000001E-2</v>
      </c>
      <c r="R2256">
        <v>7.8534709999999903E-3</v>
      </c>
      <c r="S2256">
        <v>-2.9318849999999999</v>
      </c>
      <c r="T2256">
        <v>-0.91103400000000001</v>
      </c>
      <c r="U2256">
        <v>0.22326660000000001</v>
      </c>
      <c r="V2256">
        <v>8.2561170000000003E-3</v>
      </c>
      <c r="W2256">
        <v>-7.2693530000000006E-2</v>
      </c>
      <c r="X2256">
        <v>0.99732019999999999</v>
      </c>
      <c r="Y2256">
        <v>7.2775530000000005E-2</v>
      </c>
      <c r="Z2256">
        <v>1.157207E-2</v>
      </c>
      <c r="AA2256">
        <v>0.99728119999999998</v>
      </c>
      <c r="AB2256">
        <v>44</v>
      </c>
      <c r="AC2256">
        <v>-0.59269999999997902</v>
      </c>
      <c r="AD2256">
        <v>-0.27223730000000002</v>
      </c>
      <c r="AE2256">
        <v>6.7000000000007207E-2</v>
      </c>
      <c r="AF2256">
        <v>5.5648915504027903E-2</v>
      </c>
      <c r="AG2256">
        <v>-0.27223730000000002</v>
      </c>
      <c r="AH2256">
        <v>0.49049705587901699</v>
      </c>
      <c r="AI2256">
        <v>118.876091694305</v>
      </c>
      <c r="AJ2256">
        <v>83.527234767905199</v>
      </c>
      <c r="AK2256">
        <v>0.56373514271690395</v>
      </c>
      <c r="AL2256">
        <v>94.168709268632199</v>
      </c>
      <c r="AM2256">
        <v>89.525699114644993</v>
      </c>
      <c r="AN2256">
        <v>1.0000000470499</v>
      </c>
    </row>
    <row r="2257" spans="1:40" x14ac:dyDescent="0.25">
      <c r="A2257" t="str">
        <f>"20190303154811876"</f>
        <v>20190303154811876</v>
      </c>
      <c r="B2257" t="str">
        <f>"1551599291873107"</f>
        <v>1551599291873107</v>
      </c>
      <c r="C2257" t="s">
        <v>40</v>
      </c>
      <c r="D2257">
        <v>5.3042989999999897</v>
      </c>
      <c r="E2257">
        <v>0.52372029999999903</v>
      </c>
      <c r="F2257" t="s">
        <v>42</v>
      </c>
      <c r="G2257">
        <v>-346.69869999999997</v>
      </c>
      <c r="H2257">
        <v>0.8163781</v>
      </c>
      <c r="I2257">
        <v>285.1474</v>
      </c>
      <c r="J2257">
        <v>-345.99099999999999</v>
      </c>
      <c r="K2257">
        <v>1.11999</v>
      </c>
      <c r="L2257">
        <v>285.07510000000002</v>
      </c>
      <c r="M2257">
        <v>-0.99993620000000005</v>
      </c>
      <c r="N2257">
        <v>-1.1288889999999999E-2</v>
      </c>
      <c r="O2257">
        <v>-4.070241E-4</v>
      </c>
      <c r="P2257">
        <v>-0.99645680000000003</v>
      </c>
      <c r="Q2257">
        <v>-8.3740560000000006E-2</v>
      </c>
      <c r="R2257">
        <v>7.8404960000000006E-3</v>
      </c>
      <c r="S2257">
        <v>-2.9321290000000002</v>
      </c>
      <c r="T2257">
        <v>-0.91266510000000001</v>
      </c>
      <c r="U2257">
        <v>0.21630859999999999</v>
      </c>
      <c r="V2257">
        <v>8.2434599999999993E-3</v>
      </c>
      <c r="W2257">
        <v>-7.2486690000000006E-2</v>
      </c>
      <c r="X2257">
        <v>0.99733530000000004</v>
      </c>
      <c r="Y2257">
        <v>7.051412E-2</v>
      </c>
      <c r="Z2257">
        <v>1.123419E-2</v>
      </c>
      <c r="AA2257">
        <v>0.99744750000000004</v>
      </c>
      <c r="AB2257">
        <v>44</v>
      </c>
      <c r="AC2257">
        <v>-0.70769999999998801</v>
      </c>
      <c r="AD2257">
        <v>-0.30361189999999999</v>
      </c>
      <c r="AE2257">
        <v>7.2299999999984196E-2</v>
      </c>
      <c r="AF2257">
        <v>6.1403412525173201E-2</v>
      </c>
      <c r="AG2257">
        <v>-0.30361189999999999</v>
      </c>
      <c r="AH2257">
        <v>0.59862988997069599</v>
      </c>
      <c r="AI2257">
        <v>116.77235000606601</v>
      </c>
      <c r="AJ2257">
        <v>84.143467840710599</v>
      </c>
      <c r="AK2257">
        <v>0.67402396845933799</v>
      </c>
      <c r="AL2257">
        <v>94.156827109625198</v>
      </c>
      <c r="AM2257">
        <v>89.526433375911907</v>
      </c>
      <c r="AN2257">
        <v>0.99999998774300802</v>
      </c>
    </row>
    <row r="2258" spans="1:40" x14ac:dyDescent="0.25">
      <c r="A2258" t="str">
        <f>"20190303154811887"</f>
        <v>20190303154811887</v>
      </c>
      <c r="B2258" t="str">
        <f>"1551599291882867"</f>
        <v>1551599291882867</v>
      </c>
      <c r="C2258" t="s">
        <v>40</v>
      </c>
      <c r="D2258">
        <v>5.2783429999999996</v>
      </c>
      <c r="E2258">
        <v>0.52333799999999997</v>
      </c>
      <c r="F2258" t="s">
        <v>42</v>
      </c>
      <c r="G2258">
        <v>-346.72750000000002</v>
      </c>
      <c r="H2258">
        <v>0.88902929999999902</v>
      </c>
      <c r="I2258">
        <v>285.12779999999998</v>
      </c>
      <c r="J2258">
        <v>-346.22179999999997</v>
      </c>
      <c r="K2258">
        <v>1.1199889999999999</v>
      </c>
      <c r="L2258">
        <v>285.07499999999999</v>
      </c>
      <c r="M2258">
        <v>-0.99993650000000001</v>
      </c>
      <c r="N2258">
        <v>-1.127687E-2</v>
      </c>
      <c r="O2258">
        <v>-4.0755270000000001E-4</v>
      </c>
      <c r="P2258">
        <v>-0.99646590000000002</v>
      </c>
      <c r="Q2258">
        <v>-8.3666889999999994E-2</v>
      </c>
      <c r="R2258">
        <v>7.4705300000000004E-3</v>
      </c>
      <c r="S2258">
        <v>-2.9317630000000001</v>
      </c>
      <c r="T2258">
        <v>-0.91941510000000004</v>
      </c>
      <c r="U2258">
        <v>0.20892330000000001</v>
      </c>
      <c r="V2258">
        <v>7.8739020000000003E-3</v>
      </c>
      <c r="W2258">
        <v>-7.2424899999999903E-2</v>
      </c>
      <c r="X2258">
        <v>0.99734279999999997</v>
      </c>
      <c r="Y2258">
        <v>6.8093249999999994E-2</v>
      </c>
      <c r="Z2258">
        <v>1.0928439999999999E-2</v>
      </c>
      <c r="AA2258">
        <v>0.99761909999999998</v>
      </c>
      <c r="AB2258">
        <v>44</v>
      </c>
      <c r="AC2258">
        <v>-0.505700000000047</v>
      </c>
      <c r="AD2258">
        <v>-0.23095969999999999</v>
      </c>
      <c r="AE2258">
        <v>5.2799999999990598E-2</v>
      </c>
      <c r="AF2258">
        <v>4.3939708025646403E-2</v>
      </c>
      <c r="AG2258">
        <v>-0.23095969999999999</v>
      </c>
      <c r="AH2258">
        <v>0.41918495276020301</v>
      </c>
      <c r="AI2258">
        <v>118.72146520280999</v>
      </c>
      <c r="AJ2258">
        <v>84.016007798802306</v>
      </c>
      <c r="AK2258">
        <v>0.48061325989411002</v>
      </c>
      <c r="AL2258">
        <v>94.153277370202204</v>
      </c>
      <c r="AM2258">
        <v>89.547666078136004</v>
      </c>
      <c r="AN2258">
        <v>1.0000000125922699</v>
      </c>
    </row>
    <row r="2259" spans="1:40" x14ac:dyDescent="0.25">
      <c r="A2259" t="str">
        <f>"20190303154811910"</f>
        <v>20190303154811910</v>
      </c>
      <c r="B2259" t="str">
        <f>"1551599291903363"</f>
        <v>1551599291903363</v>
      </c>
      <c r="C2259" t="s">
        <v>40</v>
      </c>
      <c r="D2259">
        <v>5.2157470000000004</v>
      </c>
      <c r="E2259">
        <v>0.52313169999999998</v>
      </c>
      <c r="F2259" t="s">
        <v>42</v>
      </c>
      <c r="G2259">
        <v>-347.1046</v>
      </c>
      <c r="H2259">
        <v>0.84352249999999995</v>
      </c>
      <c r="I2259">
        <v>285.13690000000003</v>
      </c>
      <c r="J2259">
        <v>-346.6454</v>
      </c>
      <c r="K2259">
        <v>1.119985</v>
      </c>
      <c r="L2259">
        <v>285.07490000000001</v>
      </c>
      <c r="M2259">
        <v>-0.99993659999999995</v>
      </c>
      <c r="N2259">
        <v>-1.125726E-2</v>
      </c>
      <c r="O2259">
        <v>-4.0803889999999998E-4</v>
      </c>
      <c r="P2259">
        <v>-0.99648559999999997</v>
      </c>
      <c r="Q2259">
        <v>-8.3490129999999996E-2</v>
      </c>
      <c r="R2259">
        <v>6.7979570000000003E-3</v>
      </c>
      <c r="S2259">
        <v>-2.932007</v>
      </c>
      <c r="T2259">
        <v>-0.91819600000000001</v>
      </c>
      <c r="U2259">
        <v>0.20532230000000001</v>
      </c>
      <c r="V2259">
        <v>7.2019459999999999E-3</v>
      </c>
      <c r="W2259">
        <v>-7.2267449999999997E-2</v>
      </c>
      <c r="X2259">
        <v>0.99735929999999995</v>
      </c>
      <c r="Y2259">
        <v>6.6934949999999993E-2</v>
      </c>
      <c r="Z2259">
        <v>1.073051E-2</v>
      </c>
      <c r="AA2259">
        <v>0.99769960000000002</v>
      </c>
      <c r="AB2259">
        <v>44</v>
      </c>
      <c r="AC2259">
        <v>-0.45920000000000899</v>
      </c>
      <c r="AD2259">
        <v>-0.276462499999999</v>
      </c>
      <c r="AE2259">
        <v>6.2000000000011803E-2</v>
      </c>
      <c r="AF2259">
        <v>4.5861648460048997E-2</v>
      </c>
      <c r="AG2259">
        <v>-0.276462499999999</v>
      </c>
      <c r="AH2259">
        <v>0.33862992041769502</v>
      </c>
      <c r="AI2259">
        <v>128.97386097800799</v>
      </c>
      <c r="AJ2259">
        <v>82.287191526477898</v>
      </c>
      <c r="AK2259">
        <v>0.43955093869518402</v>
      </c>
      <c r="AL2259">
        <v>94.144232447377505</v>
      </c>
      <c r="AM2259">
        <v>89.586273534338702</v>
      </c>
      <c r="AN2259">
        <v>1.00000001282608</v>
      </c>
    </row>
    <row r="2260" spans="1:40" x14ac:dyDescent="0.25">
      <c r="A2260" t="str">
        <f>"20190303154811925"</f>
        <v>20190303154811925</v>
      </c>
      <c r="B2260" t="str">
        <f>"1551599291913124"</f>
        <v>1551599291913124</v>
      </c>
      <c r="C2260" t="s">
        <v>40</v>
      </c>
      <c r="D2260">
        <v>5.1703710000000003</v>
      </c>
      <c r="E2260">
        <v>0.50847609999999999</v>
      </c>
      <c r="F2260" t="s">
        <v>42</v>
      </c>
      <c r="G2260">
        <v>-347.50389999999999</v>
      </c>
      <c r="H2260">
        <v>0.85322450000000005</v>
      </c>
      <c r="I2260">
        <v>285.1343</v>
      </c>
      <c r="J2260">
        <v>-346.94389999999999</v>
      </c>
      <c r="K2260">
        <v>1.119985</v>
      </c>
      <c r="L2260">
        <v>285.07470000000001</v>
      </c>
      <c r="M2260">
        <v>-0.99993679999999996</v>
      </c>
      <c r="N2260">
        <v>-1.1245150000000001E-2</v>
      </c>
      <c r="O2260">
        <v>-4.0856729999999997E-4</v>
      </c>
      <c r="P2260">
        <v>-0.99647569999999996</v>
      </c>
      <c r="Q2260">
        <v>-8.3625820000000003E-2</v>
      </c>
      <c r="R2260">
        <v>6.5765509999999999E-3</v>
      </c>
      <c r="S2260">
        <v>-2.9328609999999999</v>
      </c>
      <c r="T2260">
        <v>-0.91132919999999995</v>
      </c>
      <c r="U2260">
        <v>0.20187379999999999</v>
      </c>
      <c r="V2260">
        <v>6.9809980000000004E-3</v>
      </c>
      <c r="W2260">
        <v>-7.241533E-2</v>
      </c>
      <c r="X2260">
        <v>0.99735019999999996</v>
      </c>
      <c r="Y2260">
        <v>6.5849889999999994E-2</v>
      </c>
      <c r="Z2260">
        <v>1.0482969999999999E-2</v>
      </c>
      <c r="AA2260">
        <v>0.99777450000000001</v>
      </c>
      <c r="AB2260">
        <v>44</v>
      </c>
      <c r="AC2260">
        <v>-0.56000000000000205</v>
      </c>
      <c r="AD2260">
        <v>-0.26676050000000001</v>
      </c>
      <c r="AE2260">
        <v>5.9599999999989002E-2</v>
      </c>
      <c r="AF2260">
        <v>4.88647549002236E-2</v>
      </c>
      <c r="AG2260">
        <v>-0.26676050000000001</v>
      </c>
      <c r="AH2260">
        <v>0.45735610986508701</v>
      </c>
      <c r="AI2260">
        <v>120.11226233914699</v>
      </c>
      <c r="AJ2260">
        <v>83.901549908510006</v>
      </c>
      <c r="AK2260">
        <v>0.53171753766697805</v>
      </c>
      <c r="AL2260">
        <v>94.152727375972802</v>
      </c>
      <c r="AM2260">
        <v>89.598962139682698</v>
      </c>
      <c r="AN2260">
        <v>1.0000000678960601</v>
      </c>
    </row>
    <row r="2261" spans="1:40" x14ac:dyDescent="0.25">
      <c r="A2261" t="str">
        <f>"20190303154811942"</f>
        <v>20190303154811942</v>
      </c>
      <c r="B2261" t="str">
        <f>"1551599291932643"</f>
        <v>1551599291932643</v>
      </c>
      <c r="C2261" t="s">
        <v>40</v>
      </c>
      <c r="D2261">
        <v>5.1485529999999997</v>
      </c>
      <c r="E2261">
        <v>0.50269710000000001</v>
      </c>
      <c r="F2261" t="s">
        <v>42</v>
      </c>
      <c r="G2261">
        <v>-347.92239999999998</v>
      </c>
      <c r="H2261">
        <v>0.90582280000000004</v>
      </c>
      <c r="I2261">
        <v>285.10320000000002</v>
      </c>
      <c r="J2261">
        <v>-347.28109999999998</v>
      </c>
      <c r="K2261">
        <v>1.119982</v>
      </c>
      <c r="L2261">
        <v>285.07459999999998</v>
      </c>
      <c r="M2261">
        <v>-0.99993690000000002</v>
      </c>
      <c r="N2261">
        <v>-1.1233140000000001E-2</v>
      </c>
      <c r="O2261">
        <v>-4.0897710000000002E-4</v>
      </c>
      <c r="P2261">
        <v>-0.99643959999999998</v>
      </c>
      <c r="Q2261">
        <v>-8.4084480000000003E-2</v>
      </c>
      <c r="R2261">
        <v>6.1702969999999999E-3</v>
      </c>
      <c r="S2261">
        <v>-2.9557500000000001</v>
      </c>
      <c r="T2261">
        <v>-0.64688290000000004</v>
      </c>
      <c r="U2261">
        <v>8.54187E-2</v>
      </c>
      <c r="V2261">
        <v>6.5749479999999997E-3</v>
      </c>
      <c r="W2261">
        <v>-7.2886320000000004E-2</v>
      </c>
      <c r="X2261">
        <v>0.99731860000000006</v>
      </c>
      <c r="Y2261">
        <v>2.857589E-2</v>
      </c>
      <c r="Z2261">
        <v>3.3362140000000001E-3</v>
      </c>
      <c r="AA2261">
        <v>0.99958599999999997</v>
      </c>
      <c r="AB2261">
        <v>44</v>
      </c>
      <c r="AC2261">
        <v>-0.64130000000000098</v>
      </c>
      <c r="AD2261">
        <v>-0.21415919999999899</v>
      </c>
      <c r="AE2261">
        <v>2.8600000000039899E-2</v>
      </c>
      <c r="AF2261">
        <v>2.5971689237578401E-2</v>
      </c>
      <c r="AG2261">
        <v>-0.21415919999999899</v>
      </c>
      <c r="AH2261">
        <v>0.57706226524083304</v>
      </c>
      <c r="AI2261">
        <v>110.341981915728</v>
      </c>
      <c r="AJ2261">
        <v>87.423042984594403</v>
      </c>
      <c r="AK2261">
        <v>0.61606781246172504</v>
      </c>
      <c r="AL2261">
        <v>94.179784824020601</v>
      </c>
      <c r="AM2261">
        <v>89.622275857133602</v>
      </c>
      <c r="AN2261">
        <v>1.00000001774515</v>
      </c>
    </row>
    <row r="2262" spans="1:40" x14ac:dyDescent="0.25">
      <c r="A2262" t="str">
        <f>"20190303154811963"</f>
        <v>20190303154811963</v>
      </c>
      <c r="B2262" t="str">
        <f>"1551599291953139"</f>
        <v>1551599291953139</v>
      </c>
      <c r="C2262" t="s">
        <v>40</v>
      </c>
      <c r="D2262">
        <v>5.2035629999999999</v>
      </c>
      <c r="E2262">
        <v>0.49894300000000003</v>
      </c>
      <c r="F2262" t="s">
        <v>42</v>
      </c>
      <c r="G2262">
        <v>-348.3374</v>
      </c>
      <c r="H2262">
        <v>0.94670770000000004</v>
      </c>
      <c r="I2262">
        <v>285.08870000000002</v>
      </c>
      <c r="J2262">
        <v>-347.71170000000001</v>
      </c>
      <c r="K2262">
        <v>1.1199809999999999</v>
      </c>
      <c r="L2262">
        <v>285.07440000000003</v>
      </c>
      <c r="M2262">
        <v>-0.99993710000000002</v>
      </c>
      <c r="N2262">
        <v>-1.1220320000000001E-2</v>
      </c>
      <c r="O2262">
        <v>-4.0938250000000003E-4</v>
      </c>
      <c r="P2262">
        <v>-0.99643800000000005</v>
      </c>
      <c r="Q2262">
        <v>-8.4102060000000006E-2</v>
      </c>
      <c r="R2262">
        <v>6.2031539999999998E-3</v>
      </c>
      <c r="S2262">
        <v>-2.96936</v>
      </c>
      <c r="T2262">
        <v>-0.48711369999999998</v>
      </c>
      <c r="U2262">
        <v>3.8787839999999997E-2</v>
      </c>
      <c r="V2262">
        <v>6.6083419999999997E-3</v>
      </c>
      <c r="W2262">
        <v>-7.2916690000000006E-2</v>
      </c>
      <c r="X2262">
        <v>0.99731610000000004</v>
      </c>
      <c r="Y2262">
        <v>1.327647E-2</v>
      </c>
      <c r="Z2262">
        <v>1.218867E-3</v>
      </c>
      <c r="AA2262">
        <v>0.99991110000000005</v>
      </c>
      <c r="AB2262">
        <v>44</v>
      </c>
      <c r="AC2262">
        <v>-0.62569999999999404</v>
      </c>
      <c r="AD2262">
        <v>-0.17327329999999899</v>
      </c>
      <c r="AE2262">
        <v>1.42999999999915E-2</v>
      </c>
      <c r="AF2262">
        <v>1.35198853057745E-2</v>
      </c>
      <c r="AG2262">
        <v>-0.17327329999999899</v>
      </c>
      <c r="AH2262">
        <v>0.58114977881339902</v>
      </c>
      <c r="AI2262">
        <v>106.59802218212</v>
      </c>
      <c r="AJ2262">
        <v>88.6673097133379</v>
      </c>
      <c r="AK2262">
        <v>0.60658180751357305</v>
      </c>
      <c r="AL2262">
        <v>94.181529787038599</v>
      </c>
      <c r="AM2262">
        <v>89.620356509831893</v>
      </c>
      <c r="AN2262">
        <v>0.99999995859187596</v>
      </c>
    </row>
    <row r="2263" spans="1:40" x14ac:dyDescent="0.25">
      <c r="A2263" t="str">
        <f>"20190303154811975"</f>
        <v>20190303154811975</v>
      </c>
      <c r="B2263" t="str">
        <f>"1551599291962899"</f>
        <v>1551599291962899</v>
      </c>
      <c r="C2263" t="s">
        <v>40</v>
      </c>
      <c r="D2263">
        <v>5.293596</v>
      </c>
      <c r="E2263">
        <v>0.49729960000000001</v>
      </c>
      <c r="F2263" t="s">
        <v>42</v>
      </c>
      <c r="G2263">
        <v>-348.74959999999999</v>
      </c>
      <c r="H2263">
        <v>0.97985670000000002</v>
      </c>
      <c r="I2263">
        <v>285.07799999999997</v>
      </c>
      <c r="J2263">
        <v>-347.9547</v>
      </c>
      <c r="K2263">
        <v>1.1199790000000001</v>
      </c>
      <c r="L2263">
        <v>285.07429999999999</v>
      </c>
      <c r="M2263">
        <v>-0.99993719999999997</v>
      </c>
      <c r="N2263">
        <v>-1.1214139999999999E-2</v>
      </c>
      <c r="O2263">
        <v>-4.097056E-4</v>
      </c>
      <c r="P2263">
        <v>-0.99645859999999997</v>
      </c>
      <c r="Q2263">
        <v>-8.3882470000000001E-2</v>
      </c>
      <c r="R2263">
        <v>5.8601749999999996E-3</v>
      </c>
      <c r="S2263">
        <v>-2.9767760000000001</v>
      </c>
      <c r="T2263">
        <v>-0.40194859999999999</v>
      </c>
      <c r="U2263">
        <v>9.5520020000000004E-3</v>
      </c>
      <c r="V2263">
        <v>6.2657169999999996E-3</v>
      </c>
      <c r="W2263">
        <v>-7.2703050000000005E-2</v>
      </c>
      <c r="X2263">
        <v>0.9973339</v>
      </c>
      <c r="Y2263">
        <v>3.5802130000000001E-3</v>
      </c>
      <c r="Z2263">
        <v>3.1129200000000001E-4</v>
      </c>
      <c r="AA2263">
        <v>0.99999360000000004</v>
      </c>
      <c r="AB2263">
        <v>44</v>
      </c>
      <c r="AC2263">
        <v>-0.79489999999998395</v>
      </c>
      <c r="AD2263">
        <v>-0.14012230000000001</v>
      </c>
      <c r="AE2263">
        <v>3.69999999998071E-3</v>
      </c>
      <c r="AF2263">
        <v>3.90437530205374E-3</v>
      </c>
      <c r="AG2263">
        <v>-0.14012230000000001</v>
      </c>
      <c r="AH2263">
        <v>0.77094307271505502</v>
      </c>
      <c r="AI2263">
        <v>100.301179982687</v>
      </c>
      <c r="AJ2263">
        <v>89.709832902265404</v>
      </c>
      <c r="AK2263">
        <v>0.78358325943776996</v>
      </c>
      <c r="AL2263">
        <v>94.169256575261002</v>
      </c>
      <c r="AM2263">
        <v>89.640045909723398</v>
      </c>
      <c r="AN2263">
        <v>0.99999995038901701</v>
      </c>
    </row>
    <row r="2264" spans="1:40" x14ac:dyDescent="0.25">
      <c r="A2264" t="str">
        <f>"20190303154811987"</f>
        <v>20190303154811987</v>
      </c>
      <c r="B2264" t="str">
        <f>"1551599291983395"</f>
        <v>1551599291983395</v>
      </c>
      <c r="C2264" t="s">
        <v>40</v>
      </c>
      <c r="D2264">
        <v>5.121848</v>
      </c>
      <c r="E2264">
        <v>0.4963709</v>
      </c>
      <c r="F2264" t="s">
        <v>42</v>
      </c>
      <c r="G2264">
        <v>-348.76760000000002</v>
      </c>
      <c r="H2264">
        <v>1.016913</v>
      </c>
      <c r="I2264">
        <v>285.07330000000002</v>
      </c>
      <c r="J2264">
        <v>-348.1848</v>
      </c>
      <c r="K2264">
        <v>1.1199779999999999</v>
      </c>
      <c r="L2264">
        <v>285.07420000000002</v>
      </c>
      <c r="M2264">
        <v>-0.99993710000000002</v>
      </c>
      <c r="N2264">
        <v>-1.1208849999999999E-2</v>
      </c>
      <c r="O2264">
        <v>-4.1003380000000002E-4</v>
      </c>
      <c r="P2264">
        <v>-0.99647969999999997</v>
      </c>
      <c r="Q2264">
        <v>-8.3627030000000005E-2</v>
      </c>
      <c r="R2264">
        <v>5.9012939999999996E-3</v>
      </c>
      <c r="S2264">
        <v>-2.9788510000000001</v>
      </c>
      <c r="T2264">
        <v>-0.37776480000000001</v>
      </c>
      <c r="U2264">
        <v>-4.5471189999999996E-3</v>
      </c>
      <c r="V2264">
        <v>6.3073169999999998E-3</v>
      </c>
      <c r="W2264">
        <v>-7.2452660000000002E-2</v>
      </c>
      <c r="X2264">
        <v>0.99735189999999996</v>
      </c>
      <c r="Y2264">
        <v>-1.109458E-3</v>
      </c>
      <c r="Z2264" s="1">
        <v>-2.9100919999999999E-5</v>
      </c>
      <c r="AA2264">
        <v>0.99999939999999998</v>
      </c>
      <c r="AB2264">
        <v>44</v>
      </c>
      <c r="AC2264">
        <v>-0.58280000000001997</v>
      </c>
      <c r="AD2264">
        <v>-0.103065</v>
      </c>
      <c r="AE2264">
        <v>-9.0000000000145497E-4</v>
      </c>
      <c r="AF2264">
        <v>-6.4097152291607605E-4</v>
      </c>
      <c r="AG2264">
        <v>-0.103065</v>
      </c>
      <c r="AH2264">
        <v>0.56512659718710501</v>
      </c>
      <c r="AI2264">
        <v>100.335722974578</v>
      </c>
      <c r="AJ2264">
        <v>90.064985345736602</v>
      </c>
      <c r="AK2264">
        <v>0.57444832310467198</v>
      </c>
      <c r="AL2264">
        <v>94.154872179149507</v>
      </c>
      <c r="AM2264">
        <v>89.637662667930499</v>
      </c>
      <c r="AN2264">
        <v>0.99999999131121198</v>
      </c>
    </row>
    <row r="2265" spans="1:40" x14ac:dyDescent="0.25">
      <c r="A2265" t="str">
        <f>"20190303154811999"</f>
        <v>20190303154811999</v>
      </c>
      <c r="B2265" t="str">
        <f>"1551599291993155"</f>
        <v>1551599291993155</v>
      </c>
      <c r="C2265" t="s">
        <v>40</v>
      </c>
      <c r="D2265">
        <v>5.1864720000000002</v>
      </c>
      <c r="E2265">
        <v>0.495585</v>
      </c>
      <c r="F2265" t="s">
        <v>42</v>
      </c>
      <c r="G2265">
        <v>-349.15949999999998</v>
      </c>
      <c r="H2265">
        <v>1.0078009999999999</v>
      </c>
      <c r="I2265">
        <v>285.07080000000002</v>
      </c>
      <c r="J2265">
        <v>-348.42689999999999</v>
      </c>
      <c r="K2265">
        <v>1.1199779999999999</v>
      </c>
      <c r="L2265">
        <v>285.07420000000002</v>
      </c>
      <c r="M2265">
        <v>-0.99993719999999997</v>
      </c>
      <c r="N2265">
        <v>-1.120372E-2</v>
      </c>
      <c r="O2265">
        <v>-4.1036289999999998E-4</v>
      </c>
      <c r="P2265">
        <v>-0.99650689999999997</v>
      </c>
      <c r="Q2265">
        <v>-8.3310949999999995E-2</v>
      </c>
      <c r="R2265">
        <v>5.7884039999999996E-3</v>
      </c>
      <c r="S2265">
        <v>-2.981903</v>
      </c>
      <c r="T2265">
        <v>-0.34328370000000002</v>
      </c>
      <c r="U2265">
        <v>-1.165771E-2</v>
      </c>
      <c r="V2265">
        <v>6.1946730000000004E-3</v>
      </c>
      <c r="W2265">
        <v>-7.214139E-2</v>
      </c>
      <c r="X2265">
        <v>0.99737520000000002</v>
      </c>
      <c r="Y2265">
        <v>-3.4760730000000001E-3</v>
      </c>
      <c r="Z2265">
        <v>-1.764689E-4</v>
      </c>
      <c r="AA2265">
        <v>0.99999389999999999</v>
      </c>
      <c r="AB2265">
        <v>44</v>
      </c>
      <c r="AC2265">
        <v>-0.73259999999999004</v>
      </c>
      <c r="AD2265">
        <v>-0.112177</v>
      </c>
      <c r="AE2265">
        <v>-3.3999999999991802E-3</v>
      </c>
      <c r="AF2265">
        <v>-3.0283470752135002E-3</v>
      </c>
      <c r="AG2265">
        <v>-0.112177</v>
      </c>
      <c r="AH2265">
        <v>0.71581842113094196</v>
      </c>
      <c r="AI2265">
        <v>98.906392416624499</v>
      </c>
      <c r="AJ2265">
        <v>90.242394531947497</v>
      </c>
      <c r="AK2265">
        <v>0.72456115148785205</v>
      </c>
      <c r="AL2265">
        <v>94.136990802454307</v>
      </c>
      <c r="AM2265">
        <v>89.644141889095707</v>
      </c>
      <c r="AN2265">
        <v>1.0000000218498699</v>
      </c>
    </row>
    <row r="2266" spans="1:40" x14ac:dyDescent="0.25">
      <c r="A2266" t="str">
        <f>"20190303154812010"</f>
        <v>20190303154812010</v>
      </c>
      <c r="B2266" t="str">
        <f>"1551599292002914"</f>
        <v>1551599292002914</v>
      </c>
      <c r="C2266" t="s">
        <v>40</v>
      </c>
      <c r="D2266">
        <v>5.1407619999999996</v>
      </c>
      <c r="E2266">
        <v>0.49551469999999997</v>
      </c>
      <c r="F2266" t="s">
        <v>42</v>
      </c>
      <c r="G2266">
        <v>-349.1755</v>
      </c>
      <c r="H2266">
        <v>1.036357</v>
      </c>
      <c r="I2266">
        <v>285.06990000000002</v>
      </c>
      <c r="J2266">
        <v>-348.65190000000001</v>
      </c>
      <c r="K2266">
        <v>1.1199790000000001</v>
      </c>
      <c r="L2266">
        <v>285.07409999999999</v>
      </c>
      <c r="M2266">
        <v>-0.99993730000000003</v>
      </c>
      <c r="N2266">
        <v>-1.119966E-2</v>
      </c>
      <c r="O2266">
        <v>-4.1057870000000001E-4</v>
      </c>
      <c r="P2266">
        <v>-0.99651210000000001</v>
      </c>
      <c r="Q2266">
        <v>-8.324985E-2</v>
      </c>
      <c r="R2266">
        <v>5.774436E-3</v>
      </c>
      <c r="S2266">
        <v>-2.9827880000000002</v>
      </c>
      <c r="T2266">
        <v>-0.33331359999999999</v>
      </c>
      <c r="U2266">
        <v>-1.800537E-2</v>
      </c>
      <c r="V2266">
        <v>6.1810299999999997E-3</v>
      </c>
      <c r="W2266">
        <v>-7.2084289999999995E-2</v>
      </c>
      <c r="X2266">
        <v>0.99737940000000003</v>
      </c>
      <c r="Y2266">
        <v>-5.5894869999999998E-3</v>
      </c>
      <c r="Z2266">
        <v>-3.0158499999999999E-4</v>
      </c>
      <c r="AA2266">
        <v>0.99998430000000005</v>
      </c>
      <c r="AB2266">
        <v>44</v>
      </c>
      <c r="AC2266">
        <v>-0.52359999999998696</v>
      </c>
      <c r="AD2266">
        <v>-8.3622000000000002E-2</v>
      </c>
      <c r="AE2266">
        <v>-4.1999999999688901E-3</v>
      </c>
      <c r="AF2266">
        <v>-3.8858999113953198E-3</v>
      </c>
      <c r="AG2266">
        <v>-8.3622000000000002E-2</v>
      </c>
      <c r="AH2266">
        <v>0.51057968863238301</v>
      </c>
      <c r="AI2266">
        <v>99.300977866283702</v>
      </c>
      <c r="AJ2266">
        <v>90.436056057106697</v>
      </c>
      <c r="AK2266">
        <v>0.51739671195907599</v>
      </c>
      <c r="AL2266">
        <v>94.133710727794806</v>
      </c>
      <c r="AM2266">
        <v>89.644927097611898</v>
      </c>
      <c r="AN2266">
        <v>1.0000000087705101</v>
      </c>
    </row>
    <row r="2267" spans="1:40" x14ac:dyDescent="0.25">
      <c r="A2267" t="str">
        <f>"20190303154812024"</f>
        <v>20190303154812024</v>
      </c>
      <c r="B2267" t="str">
        <f>"1551599292012675"</f>
        <v>1551599292012675</v>
      </c>
      <c r="C2267" t="s">
        <v>40</v>
      </c>
      <c r="D2267">
        <v>5.1506319999999999</v>
      </c>
      <c r="E2267">
        <v>0.49503079999999999</v>
      </c>
      <c r="F2267" t="s">
        <v>42</v>
      </c>
      <c r="G2267">
        <v>-349.56290000000001</v>
      </c>
      <c r="H2267">
        <v>1.0219510000000001</v>
      </c>
      <c r="I2267">
        <v>285.0684</v>
      </c>
      <c r="J2267">
        <v>-348.91449999999998</v>
      </c>
      <c r="K2267">
        <v>1.1199760000000001</v>
      </c>
      <c r="L2267">
        <v>285.07400000000001</v>
      </c>
      <c r="M2267">
        <v>-0.99993719999999997</v>
      </c>
      <c r="N2267">
        <v>-1.1195220000000001E-2</v>
      </c>
      <c r="O2267">
        <v>-4.1091160000000001E-4</v>
      </c>
      <c r="P2267">
        <v>-0.99649980000000005</v>
      </c>
      <c r="Q2267">
        <v>-8.3382440000000002E-2</v>
      </c>
      <c r="R2267">
        <v>5.9394019999999999E-3</v>
      </c>
      <c r="S2267">
        <v>-2.9837950000000002</v>
      </c>
      <c r="T2267">
        <v>-0.32107400000000003</v>
      </c>
      <c r="U2267">
        <v>-1.8737790000000001E-2</v>
      </c>
      <c r="V2267">
        <v>6.3461569999999998E-3</v>
      </c>
      <c r="W2267">
        <v>-7.2221469999999996E-2</v>
      </c>
      <c r="X2267">
        <v>0.99736849999999999</v>
      </c>
      <c r="Y2267">
        <v>-5.8335039999999998E-3</v>
      </c>
      <c r="Z2267">
        <v>-3.0621190000000001E-4</v>
      </c>
      <c r="AA2267">
        <v>0.99998299999999996</v>
      </c>
      <c r="AB2267">
        <v>44</v>
      </c>
      <c r="AC2267">
        <v>-0.64840000000003695</v>
      </c>
      <c r="AD2267">
        <v>-9.8025000000000001E-2</v>
      </c>
      <c r="AE2267">
        <v>-5.6000000000153696E-3</v>
      </c>
      <c r="AF2267">
        <v>-5.2143801909126002E-3</v>
      </c>
      <c r="AG2267">
        <v>-9.8025000000000001E-2</v>
      </c>
      <c r="AH2267">
        <v>0.633914984518541</v>
      </c>
      <c r="AI2267">
        <v>98.789977660813605</v>
      </c>
      <c r="AJ2267">
        <v>90.471285972142894</v>
      </c>
      <c r="AK2267">
        <v>0.64147041863434195</v>
      </c>
      <c r="AL2267">
        <v>94.141590849865096</v>
      </c>
      <c r="AM2267">
        <v>89.635437548635593</v>
      </c>
      <c r="AN2267">
        <v>1.00000006961493</v>
      </c>
    </row>
    <row r="2268" spans="1:40" x14ac:dyDescent="0.25">
      <c r="A2268" t="str">
        <f>"20190303154812037"</f>
        <v>20190303154812037</v>
      </c>
      <c r="B2268" t="str">
        <f>"1551599292033171"</f>
        <v>1551599292033171</v>
      </c>
      <c r="C2268" t="s">
        <v>40</v>
      </c>
      <c r="D2268">
        <v>5.1527560000000001</v>
      </c>
      <c r="E2268">
        <v>0.49458210000000002</v>
      </c>
      <c r="F2268" t="s">
        <v>42</v>
      </c>
      <c r="G2268">
        <v>-349.95400000000001</v>
      </c>
      <c r="H2268">
        <v>1.010338</v>
      </c>
      <c r="I2268">
        <v>285.06659999999999</v>
      </c>
      <c r="J2268">
        <v>-349.16379999999998</v>
      </c>
      <c r="K2268">
        <v>1.119974</v>
      </c>
      <c r="L2268">
        <v>285.07389999999998</v>
      </c>
      <c r="M2268">
        <v>-0.99993739999999998</v>
      </c>
      <c r="N2268">
        <v>-1.119156E-2</v>
      </c>
      <c r="O2268">
        <v>-4.112489E-4</v>
      </c>
      <c r="P2268">
        <v>-0.99650070000000002</v>
      </c>
      <c r="Q2268">
        <v>-8.3359610000000001E-2</v>
      </c>
      <c r="R2268">
        <v>6.1506699999999996E-3</v>
      </c>
      <c r="S2268">
        <v>-2.9843440000000001</v>
      </c>
      <c r="T2268">
        <v>-0.31487619999999999</v>
      </c>
      <c r="U2268">
        <v>-2.215576E-2</v>
      </c>
      <c r="V2268">
        <v>6.5578059999999898E-3</v>
      </c>
      <c r="W2268">
        <v>-7.2202269999999999E-2</v>
      </c>
      <c r="X2268">
        <v>0.99736849999999999</v>
      </c>
      <c r="Y2268">
        <v>-6.9715280000000003E-3</v>
      </c>
      <c r="Z2268">
        <v>-3.6721140000000002E-4</v>
      </c>
      <c r="AA2268">
        <v>0.99997559999999996</v>
      </c>
      <c r="AB2268">
        <v>44</v>
      </c>
      <c r="AC2268">
        <v>-0.79020000000002699</v>
      </c>
      <c r="AD2268">
        <v>-0.109636</v>
      </c>
      <c r="AE2268">
        <v>-7.2999999999865299E-3</v>
      </c>
      <c r="AF2268">
        <v>-6.8432876600033402E-3</v>
      </c>
      <c r="AG2268">
        <v>-0.109636</v>
      </c>
      <c r="AH2268">
        <v>0.77528001448330797</v>
      </c>
      <c r="AI2268">
        <v>98.048784316101006</v>
      </c>
      <c r="AJ2268">
        <v>90.505728654159498</v>
      </c>
      <c r="AK2268">
        <v>0.783023616463281</v>
      </c>
      <c r="AL2268">
        <v>94.140487978237502</v>
      </c>
      <c r="AM2268">
        <v>89.6232794677057</v>
      </c>
      <c r="AN2268">
        <v>1.0000000487024601</v>
      </c>
    </row>
    <row r="2269" spans="1:40" x14ac:dyDescent="0.25">
      <c r="A2269" t="str">
        <f>"20190303154812048"</f>
        <v>20190303154812048</v>
      </c>
      <c r="B2269" t="str">
        <f>"1551599292042931"</f>
        <v>1551599292042931</v>
      </c>
      <c r="C2269" t="s">
        <v>40</v>
      </c>
      <c r="D2269">
        <v>5.1116449999999896</v>
      </c>
      <c r="E2269">
        <v>0.49467349999999999</v>
      </c>
      <c r="F2269" t="s">
        <v>42</v>
      </c>
      <c r="G2269">
        <v>-349.97070000000002</v>
      </c>
      <c r="H2269">
        <v>1.0382929999999999</v>
      </c>
      <c r="I2269">
        <v>285.0675</v>
      </c>
      <c r="J2269">
        <v>-349.40499999999997</v>
      </c>
      <c r="K2269">
        <v>1.119972</v>
      </c>
      <c r="L2269">
        <v>285.07380000000001</v>
      </c>
      <c r="M2269">
        <v>-0.99993739999999998</v>
      </c>
      <c r="N2269">
        <v>-1.118852E-2</v>
      </c>
      <c r="O2269">
        <v>-4.1158969999999999E-4</v>
      </c>
      <c r="P2269">
        <v>-0.99650700000000003</v>
      </c>
      <c r="Q2269">
        <v>-8.3282869999999995E-2</v>
      </c>
      <c r="R2269">
        <v>6.1607659999999998E-3</v>
      </c>
      <c r="S2269">
        <v>-2.9854430000000001</v>
      </c>
      <c r="T2269">
        <v>-0.30232049999999999</v>
      </c>
      <c r="U2269">
        <v>-2.4902339999999999E-2</v>
      </c>
      <c r="V2269">
        <v>6.5682509999999998E-3</v>
      </c>
      <c r="W2269">
        <v>-7.2128499999999998E-2</v>
      </c>
      <c r="X2269">
        <v>0.99737370000000003</v>
      </c>
      <c r="Y2269">
        <v>-7.8862210000000005E-3</v>
      </c>
      <c r="Z2269">
        <v>-4.055401E-4</v>
      </c>
      <c r="AA2269">
        <v>0.99996879999999999</v>
      </c>
      <c r="AB2269">
        <v>44</v>
      </c>
      <c r="AC2269">
        <v>-0.56570000000004905</v>
      </c>
      <c r="AD2269">
        <v>-8.1678999999999793E-2</v>
      </c>
      <c r="AE2269">
        <v>-6.3000000000101803E-3</v>
      </c>
      <c r="AF2269">
        <v>-5.9432633716578302E-3</v>
      </c>
      <c r="AG2269">
        <v>-8.1678999999999793E-2</v>
      </c>
      <c r="AH2269">
        <v>0.55415145220633999</v>
      </c>
      <c r="AI2269">
        <v>98.384248122585404</v>
      </c>
      <c r="AJ2269">
        <v>90.614472543559998</v>
      </c>
      <c r="AK2269">
        <v>0.56017016468471403</v>
      </c>
      <c r="AL2269">
        <v>94.136250504497198</v>
      </c>
      <c r="AM2269">
        <v>89.622681427458105</v>
      </c>
      <c r="AN2269">
        <v>0.99999997994256895</v>
      </c>
    </row>
    <row r="2270" spans="1:40" x14ac:dyDescent="0.25">
      <c r="A2270" t="str">
        <f>"20190303154812065"</f>
        <v>20190303154812065</v>
      </c>
      <c r="B2270" t="str">
        <f>"1551599292063427"</f>
        <v>1551599292063427</v>
      </c>
      <c r="C2270" t="s">
        <v>40</v>
      </c>
      <c r="D2270">
        <v>5.1993330000000002</v>
      </c>
      <c r="E2270">
        <v>0.49417109999999898</v>
      </c>
      <c r="F2270" t="s">
        <v>42</v>
      </c>
      <c r="G2270">
        <v>-350.35840000000002</v>
      </c>
      <c r="H2270">
        <v>1.0258080000000001</v>
      </c>
      <c r="I2270">
        <v>285.06619999999998</v>
      </c>
      <c r="J2270">
        <v>-349.72480000000002</v>
      </c>
      <c r="K2270">
        <v>1.119966</v>
      </c>
      <c r="L2270">
        <v>285.07369999999997</v>
      </c>
      <c r="M2270">
        <v>-0.99993739999999998</v>
      </c>
      <c r="N2270">
        <v>-1.11851E-2</v>
      </c>
      <c r="O2270">
        <v>-4.1204760000000001E-4</v>
      </c>
      <c r="P2270">
        <v>-0.99650510000000003</v>
      </c>
      <c r="Q2270">
        <v>-8.3311189999999993E-2</v>
      </c>
      <c r="R2270">
        <v>6.0963519999999898E-3</v>
      </c>
      <c r="S2270">
        <v>-2.985992</v>
      </c>
      <c r="T2270">
        <v>-0.29498289999999999</v>
      </c>
      <c r="U2270">
        <v>-2.4169920000000001E-2</v>
      </c>
      <c r="V2270">
        <v>6.5044179999999997E-3</v>
      </c>
      <c r="W2270">
        <v>-7.216024E-2</v>
      </c>
      <c r="X2270">
        <v>0.99737189999999998</v>
      </c>
      <c r="Y2270">
        <v>-7.6422549999999997E-3</v>
      </c>
      <c r="Z2270">
        <v>-3.8341230000000002E-4</v>
      </c>
      <c r="AA2270">
        <v>0.99997069999999999</v>
      </c>
      <c r="AB2270">
        <v>44</v>
      </c>
      <c r="AC2270">
        <v>-0.63360000000000105</v>
      </c>
      <c r="AD2270">
        <v>-9.4157999999999895E-2</v>
      </c>
      <c r="AE2270">
        <v>-7.4999999999931797E-3</v>
      </c>
      <c r="AF2270">
        <v>-7.0825189505545798E-3</v>
      </c>
      <c r="AG2270">
        <v>-9.4157999999999895E-2</v>
      </c>
      <c r="AH2270">
        <v>0.61991456064517703</v>
      </c>
      <c r="AI2270">
        <v>98.636012838584605</v>
      </c>
      <c r="AJ2270">
        <v>90.654575347928898</v>
      </c>
      <c r="AK2270">
        <v>0.62706455292783703</v>
      </c>
      <c r="AL2270">
        <v>94.138073503112906</v>
      </c>
      <c r="AM2270">
        <v>89.6263475877589</v>
      </c>
      <c r="AN2270">
        <v>1.0000000572999901</v>
      </c>
    </row>
    <row r="2271" spans="1:40" x14ac:dyDescent="0.25">
      <c r="A2271" t="str">
        <f>"20190303154812077"</f>
        <v>20190303154812077</v>
      </c>
      <c r="B2271" t="str">
        <f>"1551599292073187"</f>
        <v>1551599292073187</v>
      </c>
      <c r="C2271" t="s">
        <v>40</v>
      </c>
      <c r="D2271">
        <v>5.1300369999999997</v>
      </c>
      <c r="E2271">
        <v>0.4939056</v>
      </c>
      <c r="F2271" t="s">
        <v>42</v>
      </c>
      <c r="G2271">
        <v>-350.75299999999999</v>
      </c>
      <c r="H2271">
        <v>1.0205679999999999</v>
      </c>
      <c r="I2271">
        <v>285.06420000000003</v>
      </c>
      <c r="J2271">
        <v>-349.97899999999998</v>
      </c>
      <c r="K2271">
        <v>1.1199650000000001</v>
      </c>
      <c r="L2271">
        <v>285.0736</v>
      </c>
      <c r="M2271">
        <v>-0.99993750000000003</v>
      </c>
      <c r="N2271">
        <v>-1.118296E-2</v>
      </c>
      <c r="O2271">
        <v>-4.1251290000000001E-4</v>
      </c>
      <c r="P2271">
        <v>-0.99649860000000001</v>
      </c>
      <c r="Q2271">
        <v>-8.3398719999999996E-2</v>
      </c>
      <c r="R2271">
        <v>5.9658910000000001E-3</v>
      </c>
      <c r="S2271">
        <v>-2.9865110000000001</v>
      </c>
      <c r="T2271">
        <v>-0.28891159999999999</v>
      </c>
      <c r="U2271">
        <v>-2.838135E-2</v>
      </c>
      <c r="V2271">
        <v>6.3742829999999997E-3</v>
      </c>
      <c r="W2271">
        <v>-7.2249969999999997E-2</v>
      </c>
      <c r="X2271">
        <v>0.99736619999999998</v>
      </c>
      <c r="Y2271">
        <v>-9.0446099999999998E-3</v>
      </c>
      <c r="Z2271">
        <v>-4.5195229999999998E-4</v>
      </c>
      <c r="AA2271">
        <v>0.99995900000000004</v>
      </c>
      <c r="AB2271">
        <v>44</v>
      </c>
      <c r="AC2271">
        <v>-0.77400000000000002</v>
      </c>
      <c r="AD2271">
        <v>-9.9396999999999902E-2</v>
      </c>
      <c r="AE2271">
        <v>-9.3999999999709802E-3</v>
      </c>
      <c r="AF2271">
        <v>-8.9333895022998804E-3</v>
      </c>
      <c r="AG2271">
        <v>-9.9396999999999902E-2</v>
      </c>
      <c r="AH2271">
        <v>0.76144811299838999</v>
      </c>
      <c r="AI2271">
        <v>97.436649225529393</v>
      </c>
      <c r="AJ2271">
        <v>90.672169284507106</v>
      </c>
      <c r="AK2271">
        <v>0.76796015381386096</v>
      </c>
      <c r="AL2271">
        <v>94.143228290359701</v>
      </c>
      <c r="AM2271">
        <v>89.633821016980207</v>
      </c>
      <c r="AN2271">
        <v>1.0000000132756</v>
      </c>
    </row>
    <row r="2272" spans="1:40" x14ac:dyDescent="0.25">
      <c r="A2272" t="str">
        <f>"20190303154812088"</f>
        <v>20190303154812088</v>
      </c>
      <c r="B2272" t="str">
        <f>"1551599292082947"</f>
        <v>1551599292082947</v>
      </c>
      <c r="C2272" t="s">
        <v>40</v>
      </c>
      <c r="D2272">
        <v>5.1232499999999996</v>
      </c>
      <c r="E2272">
        <v>0.4936644</v>
      </c>
      <c r="F2272" t="s">
        <v>52</v>
      </c>
      <c r="G2272">
        <v>-361.66500000000002</v>
      </c>
      <c r="H2272" s="1">
        <v>-6.5076589999999899E-7</v>
      </c>
      <c r="I2272">
        <v>284.95299999999997</v>
      </c>
      <c r="J2272">
        <v>-350.19580000000002</v>
      </c>
      <c r="K2272">
        <v>1.11996299999999</v>
      </c>
      <c r="L2272">
        <v>285.07350000000002</v>
      </c>
      <c r="M2272">
        <v>-0.99993750000000003</v>
      </c>
      <c r="N2272">
        <v>-1.118154E-2</v>
      </c>
      <c r="O2272">
        <v>-4.1274349999999998E-4</v>
      </c>
      <c r="P2272">
        <v>-0.99650839999999996</v>
      </c>
      <c r="Q2272">
        <v>-8.3278480000000002E-2</v>
      </c>
      <c r="R2272">
        <v>6.0009599999999996E-3</v>
      </c>
      <c r="S2272">
        <v>-2.9867249999999999</v>
      </c>
      <c r="T2272">
        <v>-0.28624280000000002</v>
      </c>
      <c r="U2272">
        <v>-3.0822749999999999E-2</v>
      </c>
      <c r="V2272">
        <v>6.4096730000000003E-3</v>
      </c>
      <c r="W2272">
        <v>-7.2131039999999993E-2</v>
      </c>
      <c r="X2272">
        <v>0.9973746</v>
      </c>
      <c r="Y2272">
        <v>-9.8576380000000002E-3</v>
      </c>
      <c r="Z2272">
        <v>-4.9167410000000003E-4</v>
      </c>
      <c r="AA2272">
        <v>0.99995129999999999</v>
      </c>
      <c r="AB2272">
        <v>44</v>
      </c>
      <c r="AC2272">
        <v>-11.469200000000001</v>
      </c>
      <c r="AD2272">
        <v>-1.1199636507659001</v>
      </c>
      <c r="AE2272">
        <v>-0.120500000000049</v>
      </c>
      <c r="AF2272">
        <v>-0.114672522059314</v>
      </c>
      <c r="AG2272">
        <v>-1.1199636507659001</v>
      </c>
      <c r="AH2272">
        <v>11.360929045364299</v>
      </c>
      <c r="AI2272">
        <v>95.629758779653798</v>
      </c>
      <c r="AJ2272">
        <v>90.5783002781465</v>
      </c>
      <c r="AK2272">
        <v>11.416574667568</v>
      </c>
      <c r="AL2272">
        <v>94.136396201038806</v>
      </c>
      <c r="AM2272">
        <v>89.631791149228107</v>
      </c>
      <c r="AN2272">
        <v>1.0000000317822999</v>
      </c>
    </row>
    <row r="2273" spans="1:40" x14ac:dyDescent="0.25">
      <c r="A2273" t="str">
        <f>"20190303154812100"</f>
        <v>20190303154812100</v>
      </c>
      <c r="B2273" t="str">
        <f>"1551599292093682"</f>
        <v>1551599292093682</v>
      </c>
      <c r="C2273" t="s">
        <v>40</v>
      </c>
      <c r="D2273">
        <v>5.1577339999999996</v>
      </c>
      <c r="E2273">
        <v>0.49337920000000002</v>
      </c>
      <c r="F2273" t="s">
        <v>42</v>
      </c>
      <c r="G2273">
        <v>-351.1551</v>
      </c>
      <c r="H2273">
        <v>1.0290809999999999</v>
      </c>
      <c r="I2273">
        <v>285.06310000000002</v>
      </c>
      <c r="J2273">
        <v>-350.43699999999899</v>
      </c>
      <c r="K2273">
        <v>1.119961</v>
      </c>
      <c r="L2273">
        <v>285.07339999999999</v>
      </c>
      <c r="M2273">
        <v>-0.99993739999999998</v>
      </c>
      <c r="N2273">
        <v>-1.118014E-2</v>
      </c>
      <c r="O2273">
        <v>-4.1309350000000002E-4</v>
      </c>
      <c r="P2273">
        <v>-0.99649659999999995</v>
      </c>
      <c r="Q2273">
        <v>-8.3427379999999995E-2</v>
      </c>
      <c r="R2273">
        <v>5.8777100000000004E-3</v>
      </c>
      <c r="S2273">
        <v>-2.9870299999999999</v>
      </c>
      <c r="T2273">
        <v>-0.28301910000000002</v>
      </c>
      <c r="U2273">
        <v>-3.2623289999999999E-2</v>
      </c>
      <c r="V2273">
        <v>6.2867419999999997E-3</v>
      </c>
      <c r="W2273">
        <v>-7.2281499999999999E-2</v>
      </c>
      <c r="X2273">
        <v>0.99736449999999999</v>
      </c>
      <c r="Y2273">
        <v>-1.045696E-2</v>
      </c>
      <c r="Z2273">
        <v>-5.1843579999999998E-4</v>
      </c>
      <c r="AA2273">
        <v>0.99994519999999998</v>
      </c>
      <c r="AB2273">
        <v>44</v>
      </c>
      <c r="AC2273">
        <v>-0.71810000000004903</v>
      </c>
      <c r="AD2273">
        <v>-9.0880000000000002E-2</v>
      </c>
      <c r="AE2273">
        <v>-1.0299999999972401E-2</v>
      </c>
      <c r="AF2273">
        <v>-9.8456775772441801E-3</v>
      </c>
      <c r="AG2273">
        <v>-9.0880000000000002E-2</v>
      </c>
      <c r="AH2273">
        <v>0.70678630128324305</v>
      </c>
      <c r="AI2273">
        <v>97.326299733328099</v>
      </c>
      <c r="AJ2273">
        <v>90.798090293836395</v>
      </c>
      <c r="AK2273">
        <v>0.71267312805282801</v>
      </c>
      <c r="AL2273">
        <v>94.145039442245405</v>
      </c>
      <c r="AM2273">
        <v>89.638849173968893</v>
      </c>
      <c r="AN2273">
        <v>1.0000000421137301</v>
      </c>
    </row>
    <row r="2274" spans="1:40" x14ac:dyDescent="0.25">
      <c r="A2274" t="str">
        <f>"20190303154812115"</f>
        <v>20190303154812115</v>
      </c>
      <c r="B2274" t="str">
        <f>"1551599292103443"</f>
        <v>1551599292103443</v>
      </c>
      <c r="C2274" t="s">
        <v>40</v>
      </c>
      <c r="D2274">
        <v>5.1273229999999996</v>
      </c>
      <c r="E2274">
        <v>0.49313069999999998</v>
      </c>
      <c r="F2274" t="s">
        <v>42</v>
      </c>
      <c r="G2274">
        <v>-351.54539999999997</v>
      </c>
      <c r="H2274">
        <v>1.0154970000000001</v>
      </c>
      <c r="I2274">
        <v>285.06060000000002</v>
      </c>
      <c r="J2274">
        <v>-350.71850000000001</v>
      </c>
      <c r="K2274">
        <v>1.1199589999999999</v>
      </c>
      <c r="L2274">
        <v>285.07330000000002</v>
      </c>
      <c r="M2274">
        <v>-0.99993759999999998</v>
      </c>
      <c r="N2274">
        <v>-1.1179059999999999E-2</v>
      </c>
      <c r="O2274">
        <v>-4.1356459999999999E-4</v>
      </c>
      <c r="P2274">
        <v>-0.99650340000000004</v>
      </c>
      <c r="Q2274">
        <v>-8.3357990000000007E-2</v>
      </c>
      <c r="R2274">
        <v>5.7376609999999998E-3</v>
      </c>
      <c r="S2274">
        <v>-2.9871829999999999</v>
      </c>
      <c r="T2274">
        <v>-0.28165299999999999</v>
      </c>
      <c r="U2274">
        <v>-3.533936E-2</v>
      </c>
      <c r="V2274">
        <v>6.1471919999999897E-3</v>
      </c>
      <c r="W2274">
        <v>-7.2213100000000002E-2</v>
      </c>
      <c r="X2274">
        <v>0.99737030000000004</v>
      </c>
      <c r="Y2274">
        <v>-1.136098E-2</v>
      </c>
      <c r="Z2274">
        <v>-5.6376579999999998E-4</v>
      </c>
      <c r="AA2274">
        <v>0.99993529999999997</v>
      </c>
      <c r="AB2274">
        <v>44</v>
      </c>
      <c r="AC2274">
        <v>-0.826899999999966</v>
      </c>
      <c r="AD2274">
        <v>-0.104462</v>
      </c>
      <c r="AE2274">
        <v>-1.26999999999952E-2</v>
      </c>
      <c r="AF2274">
        <v>-1.21639205657516E-2</v>
      </c>
      <c r="AG2274">
        <v>-0.104462</v>
      </c>
      <c r="AH2274">
        <v>0.81391876562759102</v>
      </c>
      <c r="AI2274">
        <v>97.312808117777294</v>
      </c>
      <c r="AJ2274">
        <v>90.856214968818506</v>
      </c>
      <c r="AK2274">
        <v>0.82068509639707199</v>
      </c>
      <c r="AL2274">
        <v>94.141110244739394</v>
      </c>
      <c r="AM2274">
        <v>89.646867670189593</v>
      </c>
      <c r="AN2274">
        <v>1.00000001755159</v>
      </c>
    </row>
    <row r="2275" spans="1:40" x14ac:dyDescent="0.25">
      <c r="A2275" t="str">
        <f>"20190303154812132"</f>
        <v>20190303154812132</v>
      </c>
      <c r="B2275" t="str">
        <f>"1551599292122962"</f>
        <v>1551599292122962</v>
      </c>
      <c r="C2275" t="s">
        <v>40</v>
      </c>
      <c r="D2275">
        <v>5.1262379999999999</v>
      </c>
      <c r="E2275">
        <v>0.49264200000000002</v>
      </c>
      <c r="F2275" t="s">
        <v>52</v>
      </c>
      <c r="G2275">
        <v>-362.67610000000002</v>
      </c>
      <c r="H2275" s="1">
        <v>-1.1267179999999999E-7</v>
      </c>
      <c r="I2275">
        <v>284.92189999999999</v>
      </c>
      <c r="J2275">
        <v>-351.05930000000001</v>
      </c>
      <c r="K2275">
        <v>1.1199600000000001</v>
      </c>
      <c r="L2275">
        <v>285.07319999999999</v>
      </c>
      <c r="M2275">
        <v>-0.99993759999999998</v>
      </c>
      <c r="N2275">
        <v>-1.117813E-2</v>
      </c>
      <c r="O2275">
        <v>-4.1391730000000002E-4</v>
      </c>
      <c r="P2275">
        <v>-0.99650030000000001</v>
      </c>
      <c r="Q2275">
        <v>-8.3377690000000004E-2</v>
      </c>
      <c r="R2275">
        <v>6.0009390000000003E-3</v>
      </c>
      <c r="S2275">
        <v>-2.9873050000000001</v>
      </c>
      <c r="T2275">
        <v>-0.27979219999999999</v>
      </c>
      <c r="U2275">
        <v>-3.7811280000000003E-2</v>
      </c>
      <c r="V2275">
        <v>6.4108309999999996E-3</v>
      </c>
      <c r="W2275">
        <v>-7.2233720000000001E-2</v>
      </c>
      <c r="X2275">
        <v>0.99736709999999995</v>
      </c>
      <c r="Y2275">
        <v>-1.218409E-2</v>
      </c>
      <c r="Z2275">
        <v>-6.0352059999999996E-4</v>
      </c>
      <c r="AA2275">
        <v>0.99992559999999997</v>
      </c>
      <c r="AB2275">
        <v>44</v>
      </c>
      <c r="AC2275">
        <v>-11.6168</v>
      </c>
      <c r="AD2275">
        <v>-1.1199601126718</v>
      </c>
      <c r="AE2275">
        <v>-0.151299999999992</v>
      </c>
      <c r="AF2275">
        <v>-0.145142476145565</v>
      </c>
      <c r="AG2275">
        <v>-1.1199601126718</v>
      </c>
      <c r="AH2275">
        <v>11.509899525843</v>
      </c>
      <c r="AI2275">
        <v>95.557177770332501</v>
      </c>
      <c r="AJ2275">
        <v>90.7224746431787</v>
      </c>
      <c r="AK2275">
        <v>11.5651703008369</v>
      </c>
      <c r="AL2275">
        <v>94.142294971904903</v>
      </c>
      <c r="AM2275">
        <v>89.631721859532902</v>
      </c>
      <c r="AN2275">
        <v>0.99999997061077905</v>
      </c>
    </row>
    <row r="2276" spans="1:40" x14ac:dyDescent="0.25">
      <c r="A2276" t="str">
        <f>"20190303154812153"</f>
        <v>20190303154812153</v>
      </c>
      <c r="B2276" t="str">
        <f>"1551599292143035"</f>
        <v>1551599292143035</v>
      </c>
      <c r="C2276" t="s">
        <v>40</v>
      </c>
      <c r="D2276">
        <v>5.1438360000000003</v>
      </c>
      <c r="E2276">
        <v>0.49226989999999998</v>
      </c>
      <c r="F2276" t="s">
        <v>42</v>
      </c>
      <c r="G2276">
        <v>-351.9572</v>
      </c>
      <c r="H2276">
        <v>1.0367980000000001</v>
      </c>
      <c r="I2276">
        <v>285.06110000000001</v>
      </c>
      <c r="J2276">
        <v>-351.47590000000002</v>
      </c>
      <c r="K2276">
        <v>1.1199619999999999</v>
      </c>
      <c r="L2276">
        <v>285.07299999999998</v>
      </c>
      <c r="M2276">
        <v>-0.99993750000000003</v>
      </c>
      <c r="N2276">
        <v>-1.117746E-2</v>
      </c>
      <c r="O2276">
        <v>-4.1427150000000003E-4</v>
      </c>
      <c r="P2276">
        <v>-0.99647859999999999</v>
      </c>
      <c r="Q2276">
        <v>-8.3610770000000001E-2</v>
      </c>
      <c r="R2276">
        <v>6.2842030000000004E-3</v>
      </c>
      <c r="S2276">
        <v>-2.9876710000000002</v>
      </c>
      <c r="T2276">
        <v>-0.27672210000000003</v>
      </c>
      <c r="U2276">
        <v>-4.0679930000000003E-2</v>
      </c>
      <c r="V2276">
        <v>6.6941369999999898E-3</v>
      </c>
      <c r="W2276">
        <v>-7.2467740000000003E-2</v>
      </c>
      <c r="X2276">
        <v>0.99734829999999997</v>
      </c>
      <c r="Y2276">
        <v>-1.3138739999999999E-2</v>
      </c>
      <c r="Z2276">
        <v>-6.4708210000000003E-4</v>
      </c>
      <c r="AA2276">
        <v>0.99991350000000001</v>
      </c>
      <c r="AB2276">
        <v>44</v>
      </c>
      <c r="AC2276">
        <v>-0.48129999999997602</v>
      </c>
      <c r="AD2276">
        <v>-8.3164000000000196E-2</v>
      </c>
      <c r="AE2276">
        <v>-1.18999999999687E-2</v>
      </c>
      <c r="AF2276">
        <v>-1.13615875671817E-2</v>
      </c>
      <c r="AG2276">
        <v>-8.3164000000000196E-2</v>
      </c>
      <c r="AH2276">
        <v>0.46735968535624001</v>
      </c>
      <c r="AI2276">
        <v>100.086928439289</v>
      </c>
      <c r="AJ2276">
        <v>91.392595134427296</v>
      </c>
      <c r="AK2276">
        <v>0.47483724797485199</v>
      </c>
      <c r="AL2276">
        <v>94.155738406594494</v>
      </c>
      <c r="AM2276">
        <v>89.615440224694296</v>
      </c>
      <c r="AN2276">
        <v>1.0000000081618801</v>
      </c>
    </row>
    <row r="2277" spans="1:40" x14ac:dyDescent="0.25">
      <c r="A2277" t="str">
        <f>"20190303154812166"</f>
        <v>20190303154812166</v>
      </c>
      <c r="B2277" t="str">
        <f>"1551599292162556"</f>
        <v>1551599292162556</v>
      </c>
      <c r="C2277" t="s">
        <v>40</v>
      </c>
      <c r="D2277">
        <v>5.1417609999999998</v>
      </c>
      <c r="E2277">
        <v>0.49196299999999998</v>
      </c>
      <c r="F2277" t="s">
        <v>52</v>
      </c>
      <c r="G2277">
        <v>-363.66609999999997</v>
      </c>
      <c r="H2277" s="1">
        <v>4.1410799999999999E-7</v>
      </c>
      <c r="I2277">
        <v>284.89729999999997</v>
      </c>
      <c r="J2277">
        <v>-351.7364</v>
      </c>
      <c r="K2277">
        <v>1.1199600000000001</v>
      </c>
      <c r="L2277">
        <v>285.0729</v>
      </c>
      <c r="M2277">
        <v>-0.99993750000000003</v>
      </c>
      <c r="N2277">
        <v>-1.1177289999999999E-2</v>
      </c>
      <c r="O2277">
        <v>-4.1438979999999998E-4</v>
      </c>
      <c r="P2277">
        <v>-0.9964731</v>
      </c>
      <c r="Q2277">
        <v>-8.367115E-2</v>
      </c>
      <c r="R2277">
        <v>6.3841380000000001E-3</v>
      </c>
      <c r="S2277">
        <v>-2.987854</v>
      </c>
      <c r="T2277">
        <v>-0.27450629999999998</v>
      </c>
      <c r="U2277">
        <v>-4.3060300000000003E-2</v>
      </c>
      <c r="V2277">
        <v>6.7944600000000004E-3</v>
      </c>
      <c r="W2277">
        <v>-7.2528350000000005E-2</v>
      </c>
      <c r="X2277">
        <v>0.99734319999999999</v>
      </c>
      <c r="Y2277">
        <v>-1.393143E-2</v>
      </c>
      <c r="Z2277">
        <v>-6.8327209999999999E-4</v>
      </c>
      <c r="AA2277">
        <v>0.99990270000000003</v>
      </c>
      <c r="AB2277">
        <v>44</v>
      </c>
      <c r="AC2277">
        <v>-11.929699999999899</v>
      </c>
      <c r="AD2277">
        <v>-1.119959585892</v>
      </c>
      <c r="AE2277">
        <v>-0.17560000000003101</v>
      </c>
      <c r="AF2277">
        <v>-0.16916552243410199</v>
      </c>
      <c r="AG2277">
        <v>-1.119959585892</v>
      </c>
      <c r="AH2277">
        <v>11.8255703200795</v>
      </c>
      <c r="AI2277">
        <v>95.409601764896706</v>
      </c>
      <c r="AJ2277">
        <v>90.8195638057596</v>
      </c>
      <c r="AK2277">
        <v>11.8796902250504</v>
      </c>
      <c r="AL2277">
        <v>94.159220331703395</v>
      </c>
      <c r="AM2277">
        <v>89.609675125136306</v>
      </c>
      <c r="AN2277">
        <v>0.99999999241332604</v>
      </c>
    </row>
    <row r="2278" spans="1:40" x14ac:dyDescent="0.25">
      <c r="A2278" t="str">
        <f>"20190303154812180"</f>
        <v>20190303154812180</v>
      </c>
      <c r="B2278" t="str">
        <f>"1551599292173291"</f>
        <v>1551599292173291</v>
      </c>
      <c r="C2278" t="s">
        <v>40</v>
      </c>
      <c r="D2278">
        <v>5.0635370000000002</v>
      </c>
      <c r="E2278">
        <v>0.49201519999999999</v>
      </c>
      <c r="F2278" t="s">
        <v>42</v>
      </c>
      <c r="G2278">
        <v>-352.74639999999999</v>
      </c>
      <c r="H2278">
        <v>1.028111</v>
      </c>
      <c r="I2278">
        <v>285.05799999999999</v>
      </c>
      <c r="J2278">
        <v>-352.02120000000002</v>
      </c>
      <c r="K2278">
        <v>1.1199600000000001</v>
      </c>
      <c r="L2278">
        <v>285.07279999999997</v>
      </c>
      <c r="M2278">
        <v>-0.99993759999999998</v>
      </c>
      <c r="N2278">
        <v>-1.1177309999999999E-2</v>
      </c>
      <c r="O2278">
        <v>-4.1474749999999999E-4</v>
      </c>
      <c r="P2278">
        <v>-0.99644960000000005</v>
      </c>
      <c r="Q2278">
        <v>-8.3927559999999998E-2</v>
      </c>
      <c r="R2278">
        <v>6.6852530000000004E-3</v>
      </c>
      <c r="S2278">
        <v>-2.9880979999999999</v>
      </c>
      <c r="T2278">
        <v>-0.2718585</v>
      </c>
      <c r="U2278">
        <v>-4.501343E-2</v>
      </c>
      <c r="V2278">
        <v>7.0959300000000003E-3</v>
      </c>
      <c r="W2278">
        <v>-7.2784979999999999E-2</v>
      </c>
      <c r="X2278">
        <v>0.99732240000000005</v>
      </c>
      <c r="Y2278">
        <v>-1.4581480000000001E-2</v>
      </c>
      <c r="Z2278">
        <v>-7.1057049999999995E-4</v>
      </c>
      <c r="AA2278">
        <v>0.99989340000000004</v>
      </c>
      <c r="AB2278">
        <v>45</v>
      </c>
      <c r="AC2278">
        <v>-0.72519999999997198</v>
      </c>
      <c r="AD2278">
        <v>-9.1849E-2</v>
      </c>
      <c r="AE2278">
        <v>-1.4799999999979699E-2</v>
      </c>
      <c r="AF2278">
        <v>-1.4270388133707399E-2</v>
      </c>
      <c r="AG2278">
        <v>-9.1849E-2</v>
      </c>
      <c r="AH2278">
        <v>0.71376134874424702</v>
      </c>
      <c r="AI2278">
        <v>97.331249841645601</v>
      </c>
      <c r="AJ2278">
        <v>91.145374565033705</v>
      </c>
      <c r="AK2278">
        <v>0.71978826451929101</v>
      </c>
      <c r="AL2278">
        <v>94.173963133130698</v>
      </c>
      <c r="AM2278">
        <v>89.592348491931702</v>
      </c>
      <c r="AN2278">
        <v>0.99999998753896202</v>
      </c>
    </row>
    <row r="2279" spans="1:40" x14ac:dyDescent="0.25">
      <c r="A2279" t="str">
        <f>"20190303154812194"</f>
        <v>20190303154812194</v>
      </c>
      <c r="B2279" t="str">
        <f>"1551599292183053"</f>
        <v>1551599292183053</v>
      </c>
      <c r="C2279" t="s">
        <v>40</v>
      </c>
      <c r="D2279">
        <v>5.077585</v>
      </c>
      <c r="E2279">
        <v>0.49207709999999999</v>
      </c>
      <c r="F2279" t="s">
        <v>52</v>
      </c>
      <c r="G2279">
        <v>-364.45089999999999</v>
      </c>
      <c r="H2279" s="1">
        <v>8.3173319999999901E-7</v>
      </c>
      <c r="I2279">
        <v>284.89109999999999</v>
      </c>
      <c r="J2279">
        <v>-352.29930000000002</v>
      </c>
      <c r="K2279">
        <v>1.119958</v>
      </c>
      <c r="L2279">
        <v>285.0727</v>
      </c>
      <c r="M2279">
        <v>-0.99993750000000003</v>
      </c>
      <c r="N2279">
        <v>-1.117773E-2</v>
      </c>
      <c r="O2279">
        <v>-4.1510720000000002E-4</v>
      </c>
      <c r="P2279">
        <v>-0.99642620000000004</v>
      </c>
      <c r="Q2279">
        <v>-8.4195350000000002E-2</v>
      </c>
      <c r="R2279">
        <v>6.8002710000000001E-3</v>
      </c>
      <c r="S2279">
        <v>-2.9883419999999998</v>
      </c>
      <c r="T2279">
        <v>-0.269262</v>
      </c>
      <c r="U2279">
        <v>-4.3701169999999998E-2</v>
      </c>
      <c r="V2279">
        <v>7.2112629999999999E-3</v>
      </c>
      <c r="W2279">
        <v>-7.3052590000000001E-2</v>
      </c>
      <c r="X2279">
        <v>0.99730200000000002</v>
      </c>
      <c r="Y2279">
        <v>-1.414409E-2</v>
      </c>
      <c r="Z2279">
        <v>-6.8244080000000003E-4</v>
      </c>
      <c r="AA2279">
        <v>0.99989969999999995</v>
      </c>
      <c r="AB2279">
        <v>45</v>
      </c>
      <c r="AC2279">
        <v>-12.151599999999901</v>
      </c>
      <c r="AD2279">
        <v>-1.1199571682667999</v>
      </c>
      <c r="AE2279">
        <v>-0.18160000000000301</v>
      </c>
      <c r="AF2279">
        <v>-0.175068670671954</v>
      </c>
      <c r="AG2279">
        <v>-1.1199571682667999</v>
      </c>
      <c r="AH2279">
        <v>12.049344491894001</v>
      </c>
      <c r="AI2279">
        <v>95.309688581638994</v>
      </c>
      <c r="AJ2279">
        <v>90.832409615398603</v>
      </c>
      <c r="AK2279">
        <v>12.1025474914391</v>
      </c>
      <c r="AL2279">
        <v>94.189337010484095</v>
      </c>
      <c r="AM2279">
        <v>89.585714523520494</v>
      </c>
      <c r="AN2279">
        <v>0.99999998121188105</v>
      </c>
    </row>
    <row r="2280" spans="1:40" x14ac:dyDescent="0.25">
      <c r="A2280" t="str">
        <f>"20190303154812209"</f>
        <v>20190303154812209</v>
      </c>
      <c r="B2280" t="str">
        <f>"1551599292202571"</f>
        <v>1551599292202571</v>
      </c>
      <c r="C2280" t="s">
        <v>40</v>
      </c>
      <c r="D2280">
        <v>5.0739049999999999</v>
      </c>
      <c r="E2280">
        <v>0.4921372</v>
      </c>
      <c r="F2280" t="s">
        <v>52</v>
      </c>
      <c r="G2280">
        <v>-364.83359999999999</v>
      </c>
      <c r="H2280" s="1">
        <v>1.0354019999999999E-6</v>
      </c>
      <c r="I2280">
        <v>284.89330000000001</v>
      </c>
      <c r="J2280">
        <v>-352.5992</v>
      </c>
      <c r="K2280">
        <v>1.1199539999999999</v>
      </c>
      <c r="L2280">
        <v>285.07260000000002</v>
      </c>
      <c r="M2280">
        <v>-0.99993750000000003</v>
      </c>
      <c r="N2280">
        <v>-1.117837E-2</v>
      </c>
      <c r="O2280">
        <v>-4.153491E-4</v>
      </c>
      <c r="P2280">
        <v>-0.99641939999999996</v>
      </c>
      <c r="Q2280">
        <v>-8.4243709999999999E-2</v>
      </c>
      <c r="R2280">
        <v>7.161845E-3</v>
      </c>
      <c r="S2280">
        <v>-2.9885250000000001</v>
      </c>
      <c r="T2280">
        <v>-0.2670304</v>
      </c>
      <c r="U2280">
        <v>-4.278564E-2</v>
      </c>
      <c r="V2280">
        <v>7.5729439999999999E-3</v>
      </c>
      <c r="W2280">
        <v>-7.3100429999999994E-2</v>
      </c>
      <c r="X2280">
        <v>0.99729590000000001</v>
      </c>
      <c r="Y2280">
        <v>-1.383906E-2</v>
      </c>
      <c r="Z2280">
        <v>-6.6213920000000002E-4</v>
      </c>
      <c r="AA2280">
        <v>0.99990400000000002</v>
      </c>
      <c r="AB2280">
        <v>45</v>
      </c>
      <c r="AC2280">
        <v>-12.2343999999999</v>
      </c>
      <c r="AD2280">
        <v>-1.119952964598</v>
      </c>
      <c r="AE2280">
        <v>-0.17930000000001201</v>
      </c>
      <c r="AF2280">
        <v>-0.172770645879715</v>
      </c>
      <c r="AG2280">
        <v>-1.119952964598</v>
      </c>
      <c r="AH2280">
        <v>12.132824479187899</v>
      </c>
      <c r="AI2280">
        <v>95.273364042882307</v>
      </c>
      <c r="AJ2280">
        <v>90.815833101071703</v>
      </c>
      <c r="AK2280">
        <v>12.1856298229419</v>
      </c>
      <c r="AL2280">
        <v>94.192085027531903</v>
      </c>
      <c r="AM2280">
        <v>89.564934148097095</v>
      </c>
      <c r="AN2280">
        <v>1.0000000672519</v>
      </c>
    </row>
    <row r="2281" spans="1:40" x14ac:dyDescent="0.25">
      <c r="A2281" t="str">
        <f>"20190303154812222"</f>
        <v>20190303154812222</v>
      </c>
      <c r="B2281" t="str">
        <f>"1551599292213308"</f>
        <v>1551599292213308</v>
      </c>
      <c r="C2281" t="s">
        <v>40</v>
      </c>
      <c r="D2281">
        <v>5.1328550000000002</v>
      </c>
      <c r="E2281">
        <v>0.49195830000000002</v>
      </c>
      <c r="F2281" t="s">
        <v>42</v>
      </c>
      <c r="G2281">
        <v>-353.55169999999998</v>
      </c>
      <c r="H2281">
        <v>1.036456</v>
      </c>
      <c r="I2281">
        <v>285.05950000000001</v>
      </c>
      <c r="J2281">
        <v>-352.83960000000002</v>
      </c>
      <c r="K2281">
        <v>1.1199509999999999</v>
      </c>
      <c r="L2281">
        <v>285.07249999999999</v>
      </c>
      <c r="M2281">
        <v>-0.99993750000000003</v>
      </c>
      <c r="N2281">
        <v>-1.117902E-2</v>
      </c>
      <c r="O2281">
        <v>-4.1571039999999999E-4</v>
      </c>
      <c r="P2281">
        <v>-0.99640779999999995</v>
      </c>
      <c r="Q2281">
        <v>-8.4362480000000004E-2</v>
      </c>
      <c r="R2281">
        <v>7.3840529999999998E-3</v>
      </c>
      <c r="S2281">
        <v>-2.9889220000000001</v>
      </c>
      <c r="T2281">
        <v>-0.26212170000000001</v>
      </c>
      <c r="U2281">
        <v>-4.1564940000000002E-2</v>
      </c>
      <c r="V2281">
        <v>7.7955409999999996E-3</v>
      </c>
      <c r="W2281">
        <v>-7.3218679999999994E-2</v>
      </c>
      <c r="X2281">
        <v>0.99728539999999999</v>
      </c>
      <c r="Y2281">
        <v>-1.3432360000000001E-2</v>
      </c>
      <c r="Z2281">
        <v>-6.3133999999999998E-4</v>
      </c>
      <c r="AA2281">
        <v>0.99990959999999995</v>
      </c>
      <c r="AB2281">
        <v>45</v>
      </c>
      <c r="AC2281">
        <v>-0.71209999999996398</v>
      </c>
      <c r="AD2281">
        <v>-8.3494999999999805E-2</v>
      </c>
      <c r="AE2281">
        <v>-1.2999999999976799E-2</v>
      </c>
      <c r="AF2281">
        <v>-1.2531724495702E-2</v>
      </c>
      <c r="AG2281">
        <v>-8.3494999999999805E-2</v>
      </c>
      <c r="AH2281">
        <v>0.70245127279450004</v>
      </c>
      <c r="AI2281">
        <v>96.777438431955204</v>
      </c>
      <c r="AJ2281">
        <v>91.0220477816722</v>
      </c>
      <c r="AK2281">
        <v>0.70750706695724896</v>
      </c>
      <c r="AL2281">
        <v>94.198878920179496</v>
      </c>
      <c r="AM2281">
        <v>89.552141742382801</v>
      </c>
      <c r="AN2281">
        <v>0.99999995730679103</v>
      </c>
    </row>
    <row r="2282" spans="1:40" x14ac:dyDescent="0.25">
      <c r="A2282" t="str">
        <f>"20190303154812233"</f>
        <v>20190303154812233</v>
      </c>
      <c r="B2282" t="str">
        <f>"1551599292223068"</f>
        <v>1551599292223068</v>
      </c>
      <c r="C2282" t="s">
        <v>40</v>
      </c>
      <c r="D2282">
        <v>5.0990589999999996</v>
      </c>
      <c r="E2282">
        <v>0.49191439999999997</v>
      </c>
      <c r="F2282" t="s">
        <v>42</v>
      </c>
      <c r="G2282">
        <v>-353.93849999999998</v>
      </c>
      <c r="H2282">
        <v>1.023692</v>
      </c>
      <c r="I2282">
        <v>285.05739999999997</v>
      </c>
      <c r="J2282">
        <v>-353.08539999999999</v>
      </c>
      <c r="K2282">
        <v>1.11995</v>
      </c>
      <c r="L2282">
        <v>285.07240000000002</v>
      </c>
      <c r="M2282">
        <v>-0.99993750000000003</v>
      </c>
      <c r="N2282">
        <v>-1.117988E-2</v>
      </c>
      <c r="O2282">
        <v>-4.160724E-4</v>
      </c>
      <c r="P2282">
        <v>-0.99641089999999999</v>
      </c>
      <c r="Q2282">
        <v>-8.4326390000000001E-2</v>
      </c>
      <c r="R2282">
        <v>7.3797539999999997E-3</v>
      </c>
      <c r="S2282">
        <v>-2.988953</v>
      </c>
      <c r="T2282">
        <v>-0.2620246</v>
      </c>
      <c r="U2282">
        <v>-4.2083740000000001E-2</v>
      </c>
      <c r="V2282">
        <v>7.7916119999999998E-3</v>
      </c>
      <c r="W2282">
        <v>-7.3181689999999994E-2</v>
      </c>
      <c r="X2282">
        <v>0.99728819999999996</v>
      </c>
      <c r="Y2282">
        <v>-1.3604679999999999E-2</v>
      </c>
      <c r="Z2282">
        <v>-6.3961230000000001E-4</v>
      </c>
      <c r="AA2282">
        <v>0.99990730000000005</v>
      </c>
      <c r="AB2282">
        <v>45</v>
      </c>
      <c r="AC2282">
        <v>-0.85309999999998298</v>
      </c>
      <c r="AD2282">
        <v>-9.6257999999999899E-2</v>
      </c>
      <c r="AE2282">
        <v>-1.5000000000043199E-2</v>
      </c>
      <c r="AF2282">
        <v>-1.44609746390664E-2</v>
      </c>
      <c r="AG2282">
        <v>-9.6257999999999899E-2</v>
      </c>
      <c r="AH2282">
        <v>0.84238480310973696</v>
      </c>
      <c r="AI2282">
        <v>96.517872886842</v>
      </c>
      <c r="AJ2282">
        <v>90.983483362263598</v>
      </c>
      <c r="AK2282">
        <v>0.84798990492914605</v>
      </c>
      <c r="AL2282">
        <v>94.196753620723698</v>
      </c>
      <c r="AM2282">
        <v>89.552368713204999</v>
      </c>
      <c r="AN2282">
        <v>1.00000001141402</v>
      </c>
    </row>
    <row r="2283" spans="1:40" x14ac:dyDescent="0.25">
      <c r="A2283" t="str">
        <f>"20190303154812246"</f>
        <v>20190303154812246</v>
      </c>
      <c r="B2283" t="str">
        <f>"1551599292242588"</f>
        <v>1551599292242588</v>
      </c>
      <c r="C2283" t="s">
        <v>40</v>
      </c>
      <c r="D2283">
        <v>5.0709600000000004</v>
      </c>
      <c r="E2283">
        <v>0.49196319999999999</v>
      </c>
      <c r="F2283" t="s">
        <v>52</v>
      </c>
      <c r="G2283">
        <v>-365.98399999999998</v>
      </c>
      <c r="H2283" s="1">
        <v>1.647603E-6</v>
      </c>
      <c r="I2283">
        <v>284.88929999999999</v>
      </c>
      <c r="J2283">
        <v>-353.33499999999998</v>
      </c>
      <c r="K2283">
        <v>1.1199520000000001</v>
      </c>
      <c r="L2283">
        <v>285.07229999999998</v>
      </c>
      <c r="M2283">
        <v>-0.99993759999999998</v>
      </c>
      <c r="N2283">
        <v>-1.1180839999999999E-2</v>
      </c>
      <c r="O2283">
        <v>-4.1655449999999998E-4</v>
      </c>
      <c r="P2283">
        <v>-0.99640680000000004</v>
      </c>
      <c r="Q2283">
        <v>-8.4358299999999997E-2</v>
      </c>
      <c r="R2283">
        <v>7.5901500000000004E-3</v>
      </c>
      <c r="S2283">
        <v>-2.9892270000000001</v>
      </c>
      <c r="T2283">
        <v>-0.25954509999999997</v>
      </c>
      <c r="U2283">
        <v>-4.2419430000000001E-2</v>
      </c>
      <c r="V2283">
        <v>8.0025119999999998E-3</v>
      </c>
      <c r="W2283">
        <v>-7.3212699999999895E-2</v>
      </c>
      <c r="X2283">
        <v>0.99728419999999895</v>
      </c>
      <c r="Y2283">
        <v>-1.3715730000000001E-2</v>
      </c>
      <c r="Z2283">
        <v>-6.3969549999999997E-4</v>
      </c>
      <c r="AA2283">
        <v>0.99990570000000001</v>
      </c>
      <c r="AB2283">
        <v>45</v>
      </c>
      <c r="AC2283">
        <v>-12.648999999999999</v>
      </c>
      <c r="AD2283">
        <v>-1.119950352397</v>
      </c>
      <c r="AE2283">
        <v>-0.182999999999992</v>
      </c>
      <c r="AF2283">
        <v>-0.176348473560589</v>
      </c>
      <c r="AG2283">
        <v>-1.119950352397</v>
      </c>
      <c r="AH2283">
        <v>12.550705199871899</v>
      </c>
      <c r="AI2283">
        <v>95.098728308524699</v>
      </c>
      <c r="AJ2283">
        <v>90.805003244029606</v>
      </c>
      <c r="AK2283">
        <v>12.601808941181901</v>
      </c>
      <c r="AL2283">
        <v>94.1985353681048</v>
      </c>
      <c r="AM2283">
        <v>89.540251091505397</v>
      </c>
      <c r="AN2283">
        <v>0.99999995760461902</v>
      </c>
    </row>
    <row r="2284" spans="1:40" x14ac:dyDescent="0.25">
      <c r="A2284" t="str">
        <f>"20190303154812258"</f>
        <v>20190303154812258</v>
      </c>
      <c r="B2284" t="str">
        <f>"1551599292253324"</f>
        <v>1551599292253324</v>
      </c>
      <c r="C2284" t="s">
        <v>40</v>
      </c>
      <c r="D2284">
        <v>5.083037</v>
      </c>
      <c r="E2284">
        <v>0.49196319999999999</v>
      </c>
      <c r="F2284" t="s">
        <v>42</v>
      </c>
      <c r="G2284">
        <v>-354.34539999999998</v>
      </c>
      <c r="H2284">
        <v>1.0340279999999999</v>
      </c>
      <c r="I2284">
        <v>285.05840000000001</v>
      </c>
      <c r="J2284">
        <v>-353.57190000000003</v>
      </c>
      <c r="K2284">
        <v>1.1199509999999999</v>
      </c>
      <c r="L2284">
        <v>285.07220000000001</v>
      </c>
      <c r="M2284">
        <v>-0.99993739999999998</v>
      </c>
      <c r="N2284">
        <v>-1.118184E-2</v>
      </c>
      <c r="O2284">
        <v>-4.1656009999999999E-4</v>
      </c>
      <c r="P2284">
        <v>-0.99642430000000004</v>
      </c>
      <c r="Q2284">
        <v>-8.4164959999999997E-2</v>
      </c>
      <c r="R2284">
        <v>7.4034259999999899E-3</v>
      </c>
      <c r="S2284">
        <v>-2.9896240000000001</v>
      </c>
      <c r="T2284">
        <v>-0.25428450000000002</v>
      </c>
      <c r="U2284">
        <v>-4.1412350000000001E-2</v>
      </c>
      <c r="V2284">
        <v>7.8157639999999994E-3</v>
      </c>
      <c r="W2284">
        <v>-7.3018189999999997E-2</v>
      </c>
      <c r="X2284">
        <v>0.99729999999999996</v>
      </c>
      <c r="Y2284">
        <v>-1.3380609999999999E-2</v>
      </c>
      <c r="Z2284">
        <v>-6.1224939999999996E-4</v>
      </c>
      <c r="AA2284">
        <v>0.99991030000000003</v>
      </c>
      <c r="AB2284">
        <v>45</v>
      </c>
      <c r="AC2284">
        <v>-0.773499999999955</v>
      </c>
      <c r="AD2284">
        <v>-8.5922999999999694E-2</v>
      </c>
      <c r="AE2284">
        <v>-1.3800000000003299E-2</v>
      </c>
      <c r="AF2284">
        <v>-1.33135390295988E-2</v>
      </c>
      <c r="AG2284">
        <v>-8.5922999999999694E-2</v>
      </c>
      <c r="AH2284">
        <v>0.76408029858156301</v>
      </c>
      <c r="AI2284">
        <v>96.415152807387003</v>
      </c>
      <c r="AJ2284">
        <v>90.998235937547804</v>
      </c>
      <c r="AK2284">
        <v>0.76901151807432899</v>
      </c>
      <c r="AL2284">
        <v>94.187360611322603</v>
      </c>
      <c r="AM2284">
        <v>89.550986540227697</v>
      </c>
      <c r="AN2284">
        <v>1.00000001611888</v>
      </c>
    </row>
    <row r="2285" spans="1:40" x14ac:dyDescent="0.25">
      <c r="A2285" t="str">
        <f>"20190303154812270"</f>
        <v>20190303154812270</v>
      </c>
      <c r="B2285" t="str">
        <f>"1551599292263084"</f>
        <v>1551599292263084</v>
      </c>
      <c r="C2285" t="s">
        <v>40</v>
      </c>
      <c r="D2285">
        <v>5.0795760000000003</v>
      </c>
      <c r="E2285">
        <v>0.50159759999999998</v>
      </c>
      <c r="F2285" t="s">
        <v>52</v>
      </c>
      <c r="G2285">
        <v>-366.77179999999998</v>
      </c>
      <c r="H2285" s="1">
        <v>2.066806E-6</v>
      </c>
      <c r="I2285">
        <v>284.88679999999999</v>
      </c>
      <c r="J2285">
        <v>-353.81979999999999</v>
      </c>
      <c r="K2285">
        <v>1.11995</v>
      </c>
      <c r="L2285">
        <v>285.07209999999998</v>
      </c>
      <c r="M2285">
        <v>-0.99993739999999998</v>
      </c>
      <c r="N2285">
        <v>-1.118301E-2</v>
      </c>
      <c r="O2285">
        <v>-4.1716250000000001E-4</v>
      </c>
      <c r="P2285">
        <v>-0.99645600000000001</v>
      </c>
      <c r="Q2285">
        <v>-8.3818909999999996E-2</v>
      </c>
      <c r="R2285">
        <v>7.0631269999999998E-3</v>
      </c>
      <c r="S2285">
        <v>-2.989716</v>
      </c>
      <c r="T2285">
        <v>-0.25366440000000001</v>
      </c>
      <c r="U2285">
        <v>-4.1992189999999999E-2</v>
      </c>
      <c r="V2285">
        <v>7.4760290000000004E-3</v>
      </c>
      <c r="W2285">
        <v>-7.2670620000000005E-2</v>
      </c>
      <c r="X2285">
        <v>0.99732799999999999</v>
      </c>
      <c r="Y2285">
        <v>-1.357293E-2</v>
      </c>
      <c r="Z2285">
        <v>-6.2012340000000001E-4</v>
      </c>
      <c r="AA2285">
        <v>0.99990769999999995</v>
      </c>
      <c r="AB2285">
        <v>45</v>
      </c>
      <c r="AC2285">
        <v>-12.9519999999999</v>
      </c>
      <c r="AD2285">
        <v>-1.1199479331939901</v>
      </c>
      <c r="AE2285">
        <v>-0.18529999999998301</v>
      </c>
      <c r="AF2285">
        <v>-0.17856174102422001</v>
      </c>
      <c r="AG2285">
        <v>-1.1199479331939901</v>
      </c>
      <c r="AH2285">
        <v>12.8559729311004</v>
      </c>
      <c r="AI2285">
        <v>94.978274182555296</v>
      </c>
      <c r="AJ2285">
        <v>90.795752789692997</v>
      </c>
      <c r="AK2285">
        <v>12.9058981738432</v>
      </c>
      <c r="AL2285">
        <v>94.167393234318297</v>
      </c>
      <c r="AM2285">
        <v>89.570515531038595</v>
      </c>
      <c r="AN2285">
        <v>1.0000000248023899</v>
      </c>
    </row>
    <row r="2286" spans="1:40" x14ac:dyDescent="0.25">
      <c r="A2286" t="str">
        <f>"20190303154812284"</f>
        <v>20190303154812284</v>
      </c>
      <c r="B2286" t="str">
        <f>"1551599292272843"</f>
        <v>1551599292272843</v>
      </c>
      <c r="C2286" t="s">
        <v>40</v>
      </c>
      <c r="D2286">
        <v>5.0973309999999996</v>
      </c>
      <c r="E2286">
        <v>0.50175259999999999</v>
      </c>
      <c r="F2286" t="s">
        <v>52</v>
      </c>
      <c r="G2286">
        <v>-389.29669999999999</v>
      </c>
      <c r="H2286" s="1">
        <v>3.4104509999999999E-6</v>
      </c>
      <c r="I2286">
        <v>285.48469999999998</v>
      </c>
      <c r="J2286">
        <v>-354.08679999999998</v>
      </c>
      <c r="K2286">
        <v>1.1199509999999999</v>
      </c>
      <c r="L2286">
        <v>285.072</v>
      </c>
      <c r="M2286">
        <v>-0.99993739999999998</v>
      </c>
      <c r="N2286">
        <v>-1.1184339999999999E-2</v>
      </c>
      <c r="O2286">
        <v>-4.1740819999999999E-4</v>
      </c>
      <c r="P2286">
        <v>-0.99646769999999996</v>
      </c>
      <c r="Q2286">
        <v>-8.3702529999999997E-2</v>
      </c>
      <c r="R2286">
        <v>6.7848930000000002E-3</v>
      </c>
      <c r="S2286">
        <v>-3.0024410000000001</v>
      </c>
      <c r="T2286">
        <v>-9.4781989999999997E-2</v>
      </c>
      <c r="U2286">
        <v>3.4912110000000003E-2</v>
      </c>
      <c r="V2286">
        <v>7.1980159999999998E-3</v>
      </c>
      <c r="W2286">
        <v>-7.2552790000000006E-2</v>
      </c>
      <c r="X2286">
        <v>0.99733859999999996</v>
      </c>
      <c r="Y2286">
        <v>1.203632E-2</v>
      </c>
      <c r="Z2286">
        <v>2.6577110000000002E-4</v>
      </c>
      <c r="AA2286">
        <v>0.99992749999999997</v>
      </c>
      <c r="AB2286">
        <v>45</v>
      </c>
      <c r="AC2286">
        <v>-35.209899999999998</v>
      </c>
      <c r="AD2286">
        <v>-1.1199475895490001</v>
      </c>
      <c r="AE2286">
        <v>0.41269999999997198</v>
      </c>
      <c r="AF2286">
        <v>0.42696586780759899</v>
      </c>
      <c r="AG2286">
        <v>-1.1199475895490001</v>
      </c>
      <c r="AH2286">
        <v>35.174142712891602</v>
      </c>
      <c r="AI2286">
        <v>91.823551956623803</v>
      </c>
      <c r="AJ2286">
        <v>89.3045419472014</v>
      </c>
      <c r="AK2286">
        <v>35.194557790125401</v>
      </c>
      <c r="AL2286">
        <v>94.160624304060605</v>
      </c>
      <c r="AM2286">
        <v>89.586490709166497</v>
      </c>
      <c r="AN2286">
        <v>1.0000000009105401</v>
      </c>
    </row>
    <row r="2287" spans="1:40" x14ac:dyDescent="0.25">
      <c r="A2287" t="str">
        <f>"20190303154812298"</f>
        <v>20190303154812298</v>
      </c>
      <c r="B2287" t="str">
        <f>"1551599292293344"</f>
        <v>1551599292293344</v>
      </c>
      <c r="C2287" t="s">
        <v>40</v>
      </c>
      <c r="D2287">
        <v>5.1275389999999996</v>
      </c>
      <c r="E2287">
        <v>0.50163749999999996</v>
      </c>
      <c r="F2287" t="s">
        <v>52</v>
      </c>
      <c r="G2287">
        <v>-389.04169999999999</v>
      </c>
      <c r="H2287" s="1">
        <v>3.2747409999999998E-6</v>
      </c>
      <c r="I2287">
        <v>285.48309999999998</v>
      </c>
      <c r="J2287">
        <v>-354.38080000000002</v>
      </c>
      <c r="K2287">
        <v>1.1199490000000001</v>
      </c>
      <c r="L2287">
        <v>285.07190000000003</v>
      </c>
      <c r="M2287">
        <v>-0.99993739999999998</v>
      </c>
      <c r="N2287">
        <v>-1.118593E-2</v>
      </c>
      <c r="O2287">
        <v>-4.17775E-4</v>
      </c>
      <c r="P2287">
        <v>-0.99645839999999997</v>
      </c>
      <c r="Q2287">
        <v>-8.3868819999999997E-2</v>
      </c>
      <c r="R2287">
        <v>6.0837369999999997E-3</v>
      </c>
      <c r="S2287">
        <v>-3.002319</v>
      </c>
      <c r="T2287">
        <v>-9.6193790000000001E-2</v>
      </c>
      <c r="U2287">
        <v>3.5308840000000001E-2</v>
      </c>
      <c r="V2287">
        <v>6.4974789999999996E-3</v>
      </c>
      <c r="W2287">
        <v>-7.2717550000000006E-2</v>
      </c>
      <c r="X2287">
        <v>0.99733139999999998</v>
      </c>
      <c r="Y2287">
        <v>1.2168959999999999E-2</v>
      </c>
      <c r="Z2287">
        <v>2.7168679999999999E-4</v>
      </c>
      <c r="AA2287">
        <v>0.99992590000000003</v>
      </c>
      <c r="AB2287">
        <v>45</v>
      </c>
      <c r="AC2287">
        <v>-34.660899999999899</v>
      </c>
      <c r="AD2287">
        <v>-1.1199457252589999</v>
      </c>
      <c r="AE2287">
        <v>0.41119999999995099</v>
      </c>
      <c r="AF2287">
        <v>0.425237427389273</v>
      </c>
      <c r="AG2287">
        <v>-1.1199457252589999</v>
      </c>
      <c r="AH2287">
        <v>34.624581052153601</v>
      </c>
      <c r="AI2287">
        <v>91.852469073128702</v>
      </c>
      <c r="AJ2287">
        <v>89.296364482191294</v>
      </c>
      <c r="AK2287">
        <v>34.6452986469208</v>
      </c>
      <c r="AL2287">
        <v>94.170089401940103</v>
      </c>
      <c r="AM2287">
        <v>89.626731037060395</v>
      </c>
      <c r="AN2287">
        <v>0.99999999036865805</v>
      </c>
    </row>
    <row r="2288" spans="1:40" x14ac:dyDescent="0.25">
      <c r="A2288" t="str">
        <f>"20190303154812311"</f>
        <v>20190303154812311</v>
      </c>
      <c r="B2288" t="str">
        <f>"1551599292303100"</f>
        <v>1551599292303100</v>
      </c>
      <c r="C2288" t="s">
        <v>40</v>
      </c>
      <c r="D2288">
        <v>5.1071220000000004</v>
      </c>
      <c r="E2288">
        <v>0.5017104</v>
      </c>
      <c r="F2288" t="s">
        <v>52</v>
      </c>
      <c r="G2288">
        <v>-385.66640000000001</v>
      </c>
      <c r="H2288" s="1">
        <v>1.4785769999999999E-6</v>
      </c>
      <c r="I2288">
        <v>285.40690000000001</v>
      </c>
      <c r="J2288">
        <v>-354.6311</v>
      </c>
      <c r="K2288">
        <v>1.1199460000000001</v>
      </c>
      <c r="L2288">
        <v>285.0718</v>
      </c>
      <c r="M2288">
        <v>-0.99993750000000003</v>
      </c>
      <c r="N2288">
        <v>-1.118739E-2</v>
      </c>
      <c r="O2288">
        <v>-4.182597E-4</v>
      </c>
      <c r="P2288">
        <v>-0.99643570000000004</v>
      </c>
      <c r="Q2288">
        <v>-8.4154549999999995E-2</v>
      </c>
      <c r="R2288">
        <v>5.8531969999999897E-3</v>
      </c>
      <c r="S2288">
        <v>-3.001465</v>
      </c>
      <c r="T2288">
        <v>-0.107445</v>
      </c>
      <c r="U2288">
        <v>3.2135009999999999E-2</v>
      </c>
      <c r="V2288">
        <v>6.267285E-3</v>
      </c>
      <c r="W2288">
        <v>-7.3002029999999996E-2</v>
      </c>
      <c r="X2288">
        <v>0.99731210000000003</v>
      </c>
      <c r="Y2288">
        <v>1.111462E-2</v>
      </c>
      <c r="Z2288">
        <v>2.7135940000000002E-4</v>
      </c>
      <c r="AA2288">
        <v>0.9999382</v>
      </c>
      <c r="AB2288">
        <v>45</v>
      </c>
      <c r="AC2288">
        <v>-31.035299999999999</v>
      </c>
      <c r="AD2288">
        <v>-1.1199445214229999</v>
      </c>
      <c r="AE2288">
        <v>0.335100000000011</v>
      </c>
      <c r="AF2288">
        <v>0.34762896292449003</v>
      </c>
      <c r="AG2288">
        <v>-1.1199445214229999</v>
      </c>
      <c r="AH2288">
        <v>30.9948000747086</v>
      </c>
      <c r="AI2288">
        <v>92.069255471683107</v>
      </c>
      <c r="AJ2288">
        <v>89.357413589908404</v>
      </c>
      <c r="AK2288">
        <v>31.016975244180198</v>
      </c>
      <c r="AL2288">
        <v>94.186432301379995</v>
      </c>
      <c r="AM2288">
        <v>89.639947963425399</v>
      </c>
      <c r="AN2288">
        <v>1.0000000000258999</v>
      </c>
    </row>
    <row r="2289" spans="1:40" x14ac:dyDescent="0.25">
      <c r="A2289" t="str">
        <f>"20190303154812333"</f>
        <v>20190303154812333</v>
      </c>
      <c r="B2289" t="str">
        <f>"1551599292322619"</f>
        <v>1551599292322619</v>
      </c>
      <c r="C2289" t="s">
        <v>40</v>
      </c>
      <c r="D2289">
        <v>5.1098220000000003</v>
      </c>
      <c r="E2289">
        <v>0.50221439999999995</v>
      </c>
      <c r="F2289" t="s">
        <v>52</v>
      </c>
      <c r="G2289">
        <v>-385.40219999999999</v>
      </c>
      <c r="H2289" s="1">
        <v>1.3379670000000001E-6</v>
      </c>
      <c r="I2289">
        <v>285.40190000000001</v>
      </c>
      <c r="J2289">
        <v>-355.05489999999998</v>
      </c>
      <c r="K2289">
        <v>1.1199399999999999</v>
      </c>
      <c r="L2289">
        <v>285.07170000000002</v>
      </c>
      <c r="M2289">
        <v>-0.99993730000000003</v>
      </c>
      <c r="N2289">
        <v>-1.119328E-2</v>
      </c>
      <c r="O2289">
        <v>-4.186506E-4</v>
      </c>
      <c r="P2289">
        <v>-0.99639800000000001</v>
      </c>
      <c r="Q2289">
        <v>-8.4590639999999995E-2</v>
      </c>
      <c r="R2289">
        <v>5.9703930000000001E-3</v>
      </c>
      <c r="S2289">
        <v>-3.0012819999999998</v>
      </c>
      <c r="T2289">
        <v>-0.1092349</v>
      </c>
      <c r="U2289">
        <v>3.2196040000000002E-2</v>
      </c>
      <c r="V2289">
        <v>6.3848150000000003E-3</v>
      </c>
      <c r="W2289">
        <v>-7.3432650000000002E-2</v>
      </c>
      <c r="X2289">
        <v>0.99727980000000005</v>
      </c>
      <c r="Y2289">
        <v>1.113569E-2</v>
      </c>
      <c r="Z2289">
        <v>2.7547489999999998E-4</v>
      </c>
      <c r="AA2289">
        <v>0.99993799999999999</v>
      </c>
      <c r="AB2289">
        <v>45</v>
      </c>
      <c r="AC2289">
        <v>-30.347300000000001</v>
      </c>
      <c r="AD2289">
        <v>-1.1199386620330001</v>
      </c>
      <c r="AE2289">
        <v>0.33019999999999</v>
      </c>
      <c r="AF2289">
        <v>0.34243936561159</v>
      </c>
      <c r="AG2289">
        <v>-1.1199386620330001</v>
      </c>
      <c r="AH2289">
        <v>30.305890088908299</v>
      </c>
      <c r="AI2289">
        <v>92.116238199035394</v>
      </c>
      <c r="AJ2289">
        <v>89.352617746178296</v>
      </c>
      <c r="AK2289">
        <v>30.328509712922301</v>
      </c>
      <c r="AL2289">
        <v>94.211171157871902</v>
      </c>
      <c r="AM2289">
        <v>89.633184233341296</v>
      </c>
      <c r="AN2289">
        <v>1.0000000597183201</v>
      </c>
    </row>
    <row r="2290" spans="1:40" x14ac:dyDescent="0.25">
      <c r="A2290" t="str">
        <f>"20190303154812348"</f>
        <v>20190303154812348</v>
      </c>
      <c r="B2290" t="str">
        <f>"1551599292342705"</f>
        <v>1551599292342705</v>
      </c>
      <c r="C2290" t="s">
        <v>40</v>
      </c>
      <c r="D2290">
        <v>5.1056749999999997</v>
      </c>
      <c r="E2290">
        <v>0.50289459999999997</v>
      </c>
      <c r="F2290" t="s">
        <v>52</v>
      </c>
      <c r="G2290">
        <v>-386.58620000000002</v>
      </c>
      <c r="H2290" s="1">
        <v>1.9680410000000001E-6</v>
      </c>
      <c r="I2290">
        <v>285.45609999999999</v>
      </c>
      <c r="J2290">
        <v>-355.37470000000002</v>
      </c>
      <c r="K2290">
        <v>1.1199380000000001</v>
      </c>
      <c r="L2290">
        <v>285.07159999999999</v>
      </c>
      <c r="M2290">
        <v>-0.99993719999999997</v>
      </c>
      <c r="N2290">
        <v>-1.120204E-2</v>
      </c>
      <c r="O2290">
        <v>-4.1905730000000002E-4</v>
      </c>
      <c r="P2290">
        <v>-0.99638110000000002</v>
      </c>
      <c r="Q2290">
        <v>-8.4783869999999997E-2</v>
      </c>
      <c r="R2290">
        <v>6.0525639999999999E-3</v>
      </c>
      <c r="S2290">
        <v>-3.0015559999999999</v>
      </c>
      <c r="T2290">
        <v>-0.10661030000000001</v>
      </c>
      <c r="U2290">
        <v>3.6590579999999998E-2</v>
      </c>
      <c r="V2290">
        <v>6.4674340000000002E-3</v>
      </c>
      <c r="W2290">
        <v>-7.361732E-2</v>
      </c>
      <c r="X2290">
        <v>0.99726559999999997</v>
      </c>
      <c r="Y2290">
        <v>1.2598109999999999E-2</v>
      </c>
      <c r="Z2290">
        <v>3.0443510000000002E-4</v>
      </c>
      <c r="AA2290">
        <v>0.99992060000000005</v>
      </c>
      <c r="AB2290">
        <v>45</v>
      </c>
      <c r="AC2290">
        <v>-31.211500000000001</v>
      </c>
      <c r="AD2290">
        <v>-1.1199360319589999</v>
      </c>
      <c r="AE2290">
        <v>0.38450000000000201</v>
      </c>
      <c r="AF2290">
        <v>0.39706903296657098</v>
      </c>
      <c r="AG2290">
        <v>-1.1199360319589999</v>
      </c>
      <c r="AH2290">
        <v>31.171208364334198</v>
      </c>
      <c r="AI2290">
        <v>92.057501889906504</v>
      </c>
      <c r="AJ2290">
        <v>89.2701871198459</v>
      </c>
      <c r="AK2290">
        <v>31.193847974005401</v>
      </c>
      <c r="AL2290">
        <v>94.221780906879104</v>
      </c>
      <c r="AM2290">
        <v>89.628432508122003</v>
      </c>
      <c r="AN2290">
        <v>1.00000000722494</v>
      </c>
    </row>
    <row r="2291" spans="1:40" x14ac:dyDescent="0.25">
      <c r="A2291" t="str">
        <f>"20190303154812367"</f>
        <v>20190303154812367</v>
      </c>
      <c r="B2291" t="str">
        <f>"1551599292363145"</f>
        <v>1551599292363145</v>
      </c>
      <c r="C2291" t="s">
        <v>40</v>
      </c>
      <c r="D2291">
        <v>5.1420469999999998</v>
      </c>
      <c r="E2291">
        <v>0.50326229999999905</v>
      </c>
      <c r="F2291" t="s">
        <v>52</v>
      </c>
      <c r="G2291">
        <v>-387.4631</v>
      </c>
      <c r="H2291" s="1">
        <v>2.4346820000000001E-6</v>
      </c>
      <c r="I2291">
        <v>285.52339999999998</v>
      </c>
      <c r="J2291">
        <v>-355.73520000000002</v>
      </c>
      <c r="K2291">
        <v>1.119934</v>
      </c>
      <c r="L2291">
        <v>285.07139999999998</v>
      </c>
      <c r="M2291">
        <v>-0.99993710000000002</v>
      </c>
      <c r="N2291">
        <v>-1.121548E-2</v>
      </c>
      <c r="O2291">
        <v>-4.1948989999999998E-4</v>
      </c>
      <c r="P2291">
        <v>-0.99635070000000003</v>
      </c>
      <c r="Q2291">
        <v>-8.513271E-2</v>
      </c>
      <c r="R2291">
        <v>6.1848440000000001E-3</v>
      </c>
      <c r="S2291">
        <v>-3.0017399999999999</v>
      </c>
      <c r="T2291">
        <v>-0.10476539999999999</v>
      </c>
      <c r="U2291">
        <v>4.2266850000000002E-2</v>
      </c>
      <c r="V2291">
        <v>6.6002269999999898E-3</v>
      </c>
      <c r="W2291">
        <v>-7.3953099999999994E-2</v>
      </c>
      <c r="X2291">
        <v>0.99723989999999996</v>
      </c>
      <c r="Y2291">
        <v>1.4487089999999999E-2</v>
      </c>
      <c r="Z2291">
        <v>3.4393269999999999E-4</v>
      </c>
      <c r="AA2291">
        <v>0.99989499999999998</v>
      </c>
      <c r="AB2291">
        <v>45</v>
      </c>
      <c r="AC2291">
        <v>-31.727899999999899</v>
      </c>
      <c r="AD2291">
        <v>-1.119931565318</v>
      </c>
      <c r="AE2291">
        <v>0.45199999999999801</v>
      </c>
      <c r="AF2291">
        <v>0.46473141565889098</v>
      </c>
      <c r="AG2291">
        <v>-1.119931565318</v>
      </c>
      <c r="AH2291">
        <v>31.688233670525101</v>
      </c>
      <c r="AI2291">
        <v>92.023898372832704</v>
      </c>
      <c r="AJ2291">
        <v>89.159775195315007</v>
      </c>
      <c r="AK2291">
        <v>31.711423417397999</v>
      </c>
      <c r="AL2291">
        <v>94.241072210072105</v>
      </c>
      <c r="AM2291">
        <v>89.620793723457595</v>
      </c>
      <c r="AN2291">
        <v>1.0000000210740301</v>
      </c>
    </row>
    <row r="2292" spans="1:40" x14ac:dyDescent="0.25">
      <c r="A2292" t="str">
        <f>"20190303154812388"</f>
        <v>20190303154812388</v>
      </c>
      <c r="B2292" t="str">
        <f>"1551599292382668"</f>
        <v>1551599292382668</v>
      </c>
      <c r="C2292" t="s">
        <v>40</v>
      </c>
      <c r="D2292">
        <v>5.1573890000000002</v>
      </c>
      <c r="E2292">
        <v>0.50339970000000001</v>
      </c>
      <c r="F2292" t="s">
        <v>52</v>
      </c>
      <c r="G2292">
        <v>-387.71319999999997</v>
      </c>
      <c r="H2292" s="1">
        <v>2.5677739999999999E-6</v>
      </c>
      <c r="I2292">
        <v>285.55549999999999</v>
      </c>
      <c r="J2292">
        <v>-356.17140000000001</v>
      </c>
      <c r="K2292">
        <v>1.1199349999999999</v>
      </c>
      <c r="L2292">
        <v>285.07130000000001</v>
      </c>
      <c r="M2292">
        <v>-0.99993690000000002</v>
      </c>
      <c r="N2292">
        <v>-1.123419E-2</v>
      </c>
      <c r="O2292">
        <v>-4.200715E-4</v>
      </c>
      <c r="P2292">
        <v>-0.99633380000000005</v>
      </c>
      <c r="Q2292">
        <v>-8.5299449999999999E-2</v>
      </c>
      <c r="R2292">
        <v>6.572423E-3</v>
      </c>
      <c r="S2292">
        <v>-3.0017399999999999</v>
      </c>
      <c r="T2292">
        <v>-0.1051267</v>
      </c>
      <c r="U2292">
        <v>4.5440670000000002E-2</v>
      </c>
      <c r="V2292">
        <v>6.9883250000000001E-3</v>
      </c>
      <c r="W2292">
        <v>-7.410137E-2</v>
      </c>
      <c r="X2292">
        <v>0.99722619999999895</v>
      </c>
      <c r="Y2292">
        <v>1.554372E-2</v>
      </c>
      <c r="Z2292">
        <v>3.6942870000000001E-4</v>
      </c>
      <c r="AA2292">
        <v>0.99987910000000002</v>
      </c>
      <c r="AB2292">
        <v>45</v>
      </c>
      <c r="AC2292">
        <v>-31.541799999999899</v>
      </c>
      <c r="AD2292">
        <v>-1.119932432226</v>
      </c>
      <c r="AE2292">
        <v>0.48419999999998697</v>
      </c>
      <c r="AF2292">
        <v>0.49682440602107902</v>
      </c>
      <c r="AG2292">
        <v>-1.119932432226</v>
      </c>
      <c r="AH2292">
        <v>31.5018888273584</v>
      </c>
      <c r="AI2292">
        <v>92.035827764221594</v>
      </c>
      <c r="AJ2292">
        <v>89.096448406739597</v>
      </c>
      <c r="AK2292">
        <v>31.525705112406602</v>
      </c>
      <c r="AL2292">
        <v>94.249591037932902</v>
      </c>
      <c r="AM2292">
        <v>89.598491321072899</v>
      </c>
      <c r="AN2292">
        <v>0.99999997184431</v>
      </c>
    </row>
    <row r="2293" spans="1:40" x14ac:dyDescent="0.25">
      <c r="A2293" t="str">
        <f>"20190303154812401"</f>
        <v>20190303154812401</v>
      </c>
      <c r="B2293" t="str">
        <f>"1551599292393401"</f>
        <v>1551599292393401</v>
      </c>
      <c r="C2293" t="s">
        <v>40</v>
      </c>
      <c r="D2293">
        <v>5.1438769999999998</v>
      </c>
      <c r="E2293">
        <v>0.50348249999999894</v>
      </c>
      <c r="F2293" t="s">
        <v>52</v>
      </c>
      <c r="G2293">
        <v>-387.54360000000003</v>
      </c>
      <c r="H2293" s="1">
        <v>2.4775239999999998E-6</v>
      </c>
      <c r="I2293">
        <v>285.57170000000002</v>
      </c>
      <c r="J2293">
        <v>-356.42759999999998</v>
      </c>
      <c r="K2293">
        <v>1.119936</v>
      </c>
      <c r="L2293">
        <v>285.0711</v>
      </c>
      <c r="M2293">
        <v>-0.99993679999999996</v>
      </c>
      <c r="N2293">
        <v>-1.124549E-2</v>
      </c>
      <c r="O2293">
        <v>-4.2061159999999998E-4</v>
      </c>
      <c r="P2293">
        <v>-0.99628039999999995</v>
      </c>
      <c r="Q2293">
        <v>-8.5912520000000006E-2</v>
      </c>
      <c r="R2293">
        <v>6.6972869999999997E-3</v>
      </c>
      <c r="S2293">
        <v>-3.0015559999999999</v>
      </c>
      <c r="T2293">
        <v>-0.1071503</v>
      </c>
      <c r="U2293">
        <v>4.788208E-2</v>
      </c>
      <c r="V2293">
        <v>7.1137319999999898E-3</v>
      </c>
      <c r="W2293">
        <v>-7.4703729999999996E-2</v>
      </c>
      <c r="X2293">
        <v>0.99718039999999997</v>
      </c>
      <c r="Y2293">
        <v>1.6357150000000001E-2</v>
      </c>
      <c r="Z2293">
        <v>3.9414909999999998E-4</v>
      </c>
      <c r="AA2293">
        <v>0.99986609999999998</v>
      </c>
      <c r="AB2293">
        <v>45</v>
      </c>
      <c r="AC2293">
        <v>-31.116</v>
      </c>
      <c r="AD2293">
        <v>-1.1199335224760001</v>
      </c>
      <c r="AE2293">
        <v>0.50060000000001903</v>
      </c>
      <c r="AF2293">
        <v>0.51302411283328397</v>
      </c>
      <c r="AG2293">
        <v>-1.1199335224760001</v>
      </c>
      <c r="AH2293">
        <v>31.0755406257834</v>
      </c>
      <c r="AI2293">
        <v>92.063712258379894</v>
      </c>
      <c r="AJ2293">
        <v>89.054193558910598</v>
      </c>
      <c r="AK2293">
        <v>31.099946463295201</v>
      </c>
      <c r="AL2293">
        <v>94.284199523823204</v>
      </c>
      <c r="AM2293">
        <v>89.591267632088304</v>
      </c>
      <c r="AN2293">
        <v>1.00000000130152</v>
      </c>
    </row>
    <row r="2294" spans="1:40" x14ac:dyDescent="0.25">
      <c r="A2294" t="str">
        <f>"20190303154812413"</f>
        <v>20190303154812413</v>
      </c>
      <c r="B2294" t="str">
        <f>"1551599292403160"</f>
        <v>1551599292403160</v>
      </c>
      <c r="C2294" t="s">
        <v>40</v>
      </c>
      <c r="D2294">
        <v>5.1809710000000004</v>
      </c>
      <c r="E2294">
        <v>0.50351970000000001</v>
      </c>
      <c r="F2294" t="s">
        <v>52</v>
      </c>
      <c r="G2294">
        <v>-387.39299999999997</v>
      </c>
      <c r="H2294" s="1">
        <v>2.3974079999999999E-6</v>
      </c>
      <c r="I2294">
        <v>285.57299999999998</v>
      </c>
      <c r="J2294">
        <v>-356.68639999999999</v>
      </c>
      <c r="K2294">
        <v>1.119936</v>
      </c>
      <c r="L2294">
        <v>285.07100000000003</v>
      </c>
      <c r="M2294">
        <v>-0.99993650000000001</v>
      </c>
      <c r="N2294">
        <v>-1.1258260000000001E-2</v>
      </c>
      <c r="O2294">
        <v>-4.2271710000000001E-4</v>
      </c>
      <c r="P2294">
        <v>-0.99625900000000001</v>
      </c>
      <c r="Q2294">
        <v>-8.6137249999999999E-2</v>
      </c>
      <c r="R2294">
        <v>6.9546119999999998E-3</v>
      </c>
      <c r="S2294">
        <v>-3.0015260000000001</v>
      </c>
      <c r="T2294">
        <v>-0.1085569</v>
      </c>
      <c r="U2294">
        <v>4.8645019999999997E-2</v>
      </c>
      <c r="V2294">
        <v>7.3731279999999996E-3</v>
      </c>
      <c r="W2294">
        <v>-7.4915960000000004E-2</v>
      </c>
      <c r="X2294">
        <v>0.99716260000000001</v>
      </c>
      <c r="Y2294">
        <v>1.6612950000000001E-2</v>
      </c>
      <c r="Z2294">
        <v>4.0439460000000002E-4</v>
      </c>
      <c r="AA2294">
        <v>0.99986189999999997</v>
      </c>
      <c r="AB2294">
        <v>45</v>
      </c>
      <c r="AC2294">
        <v>-30.706600000000002</v>
      </c>
      <c r="AD2294">
        <v>-1.1199336025919999</v>
      </c>
      <c r="AE2294">
        <v>0.50200000000000899</v>
      </c>
      <c r="AF2294">
        <v>0.51429704152340305</v>
      </c>
      <c r="AG2294">
        <v>-1.1199336025919999</v>
      </c>
      <c r="AH2294">
        <v>30.665604162191499</v>
      </c>
      <c r="AI2294">
        <v>92.091266575915299</v>
      </c>
      <c r="AJ2294">
        <v>89.039174722819894</v>
      </c>
      <c r="AK2294">
        <v>30.690357302471199</v>
      </c>
      <c r="AL2294">
        <v>94.296393550575601</v>
      </c>
      <c r="AM2294">
        <v>89.576356536404205</v>
      </c>
      <c r="AN2294">
        <v>1.0000000074589901</v>
      </c>
    </row>
    <row r="2295" spans="1:40" x14ac:dyDescent="0.25">
      <c r="A2295" t="str">
        <f>"20190303154812427"</f>
        <v>20190303154812427</v>
      </c>
      <c r="B2295" t="str">
        <f>"1551599292422681"</f>
        <v>1551599292422681</v>
      </c>
      <c r="C2295" t="s">
        <v>40</v>
      </c>
      <c r="D2295">
        <v>5.1534069999999996</v>
      </c>
      <c r="E2295">
        <v>0.50356449999999997</v>
      </c>
      <c r="F2295" t="s">
        <v>52</v>
      </c>
      <c r="G2295">
        <v>-387.37079999999997</v>
      </c>
      <c r="H2295" s="1">
        <v>2.3855630000000001E-6</v>
      </c>
      <c r="I2295">
        <v>285.57990000000001</v>
      </c>
      <c r="J2295">
        <v>-356.94389999999999</v>
      </c>
      <c r="K2295">
        <v>1.119942</v>
      </c>
      <c r="L2295">
        <v>285.07089999999999</v>
      </c>
      <c r="M2295">
        <v>-0.99993650000000001</v>
      </c>
      <c r="N2295">
        <v>-1.12716E-2</v>
      </c>
      <c r="O2295">
        <v>-4.275835E-4</v>
      </c>
      <c r="P2295">
        <v>-0.99623919999999999</v>
      </c>
      <c r="Q2295">
        <v>-8.6339589999999994E-2</v>
      </c>
      <c r="R2295">
        <v>7.2914690000000001E-3</v>
      </c>
      <c r="S2295">
        <v>-3.0014340000000002</v>
      </c>
      <c r="T2295">
        <v>-0.1095479</v>
      </c>
      <c r="U2295">
        <v>4.977417E-2</v>
      </c>
      <c r="V2295">
        <v>7.7151009999999898E-3</v>
      </c>
      <c r="W2295">
        <v>-7.5105179999999994E-2</v>
      </c>
      <c r="X2295">
        <v>0.99714579999999997</v>
      </c>
      <c r="Y2295">
        <v>1.6993790000000002E-2</v>
      </c>
      <c r="Z2295">
        <v>4.1660599999999998E-4</v>
      </c>
      <c r="AA2295">
        <v>0.99985550000000001</v>
      </c>
      <c r="AB2295">
        <v>45</v>
      </c>
      <c r="AC2295">
        <v>-30.4268999999999</v>
      </c>
      <c r="AD2295">
        <v>-1.119939614437</v>
      </c>
      <c r="AE2295">
        <v>0.509000000000014</v>
      </c>
      <c r="AF2295">
        <v>0.52130475502709905</v>
      </c>
      <c r="AG2295">
        <v>-1.119939614437</v>
      </c>
      <c r="AH2295">
        <v>30.3855249039004</v>
      </c>
      <c r="AI2295">
        <v>92.110523063826903</v>
      </c>
      <c r="AJ2295">
        <v>89.017109876930604</v>
      </c>
      <c r="AK2295">
        <v>30.4106255620162</v>
      </c>
      <c r="AL2295">
        <v>94.307265596104799</v>
      </c>
      <c r="AM2295">
        <v>89.556700830194202</v>
      </c>
      <c r="AN2295">
        <v>1.0000000286519499</v>
      </c>
    </row>
    <row r="2296" spans="1:40" x14ac:dyDescent="0.25">
      <c r="A2296" t="str">
        <f>"20190303154812439"</f>
        <v>20190303154812439</v>
      </c>
      <c r="B2296" t="str">
        <f>"1551599292433417"</f>
        <v>1551599292433417</v>
      </c>
      <c r="C2296" t="s">
        <v>40</v>
      </c>
      <c r="D2296">
        <v>5.1645349999999999</v>
      </c>
      <c r="E2296">
        <v>0.50364940000000002</v>
      </c>
      <c r="F2296" t="s">
        <v>52</v>
      </c>
      <c r="G2296">
        <v>-387.1662</v>
      </c>
      <c r="H2296" s="1">
        <v>2.2767179999999998E-6</v>
      </c>
      <c r="I2296">
        <v>285.5872</v>
      </c>
      <c r="J2296">
        <v>-357.20159999999998</v>
      </c>
      <c r="K2296">
        <v>1.1199460000000001</v>
      </c>
      <c r="L2296">
        <v>285.07080000000002</v>
      </c>
      <c r="M2296">
        <v>-0.99993639999999995</v>
      </c>
      <c r="N2296">
        <v>-1.128559E-2</v>
      </c>
      <c r="O2296">
        <v>-4.3473470000000001E-4</v>
      </c>
      <c r="P2296">
        <v>-0.99623309999999998</v>
      </c>
      <c r="Q2296">
        <v>-8.6404930000000005E-2</v>
      </c>
      <c r="R2296">
        <v>7.3749669999999996E-3</v>
      </c>
      <c r="S2296">
        <v>-3.0013429999999999</v>
      </c>
      <c r="T2296">
        <v>-0.11121979999999999</v>
      </c>
      <c r="U2296">
        <v>5.1269530000000001E-2</v>
      </c>
      <c r="V2296">
        <v>7.8064179999999999E-3</v>
      </c>
      <c r="W2296">
        <v>-7.5156559999999997E-2</v>
      </c>
      <c r="X2296">
        <v>0.99714119999999995</v>
      </c>
      <c r="Y2296">
        <v>1.7498590000000001E-2</v>
      </c>
      <c r="Z2296">
        <v>4.3407869999999998E-4</v>
      </c>
      <c r="AA2296">
        <v>0.99984680000000004</v>
      </c>
      <c r="AB2296">
        <v>45</v>
      </c>
      <c r="AC2296">
        <v>-29.964600000000001</v>
      </c>
      <c r="AD2296">
        <v>-1.119943723282</v>
      </c>
      <c r="AE2296">
        <v>0.51639999999997599</v>
      </c>
      <c r="AF2296">
        <v>0.52868910617432596</v>
      </c>
      <c r="AG2296">
        <v>-1.119943723282</v>
      </c>
      <c r="AH2296">
        <v>29.922585234941</v>
      </c>
      <c r="AI2296">
        <v>92.143134032895603</v>
      </c>
      <c r="AJ2296">
        <v>88.987771187551004</v>
      </c>
      <c r="AK2296">
        <v>29.948203506331001</v>
      </c>
      <c r="AL2296">
        <v>94.310217874530395</v>
      </c>
      <c r="AM2296">
        <v>89.551452024033495</v>
      </c>
      <c r="AN2296">
        <v>1.00000001070523</v>
      </c>
    </row>
    <row r="2297" spans="1:40" x14ac:dyDescent="0.25">
      <c r="A2297" t="str">
        <f>"20190303154812455"</f>
        <v>20190303154812455</v>
      </c>
      <c r="B2297" t="str">
        <f>"1551599292452937"</f>
        <v>1551599292452937</v>
      </c>
      <c r="C2297" t="s">
        <v>40</v>
      </c>
      <c r="D2297">
        <v>5.166506</v>
      </c>
      <c r="E2297">
        <v>0.50387439999999994</v>
      </c>
      <c r="F2297" t="s">
        <v>52</v>
      </c>
      <c r="G2297">
        <v>-387.40649999999999</v>
      </c>
      <c r="H2297" s="1">
        <v>2.4045769999999998E-6</v>
      </c>
      <c r="I2297">
        <v>285.59500000000003</v>
      </c>
      <c r="J2297">
        <v>-357.51690000000002</v>
      </c>
      <c r="K2297">
        <v>1.119958</v>
      </c>
      <c r="L2297">
        <v>285.07060000000001</v>
      </c>
      <c r="M2297">
        <v>-0.99993600000000005</v>
      </c>
      <c r="N2297">
        <v>-1.130516E-2</v>
      </c>
      <c r="O2297">
        <v>-4.5437789999999999E-4</v>
      </c>
      <c r="P2297">
        <v>-0.99620719999999996</v>
      </c>
      <c r="Q2297">
        <v>-8.6666110000000005E-2</v>
      </c>
      <c r="R2297">
        <v>7.7552400000000001E-3</v>
      </c>
      <c r="S2297">
        <v>-3.0012819999999998</v>
      </c>
      <c r="T2297">
        <v>-0.11128209999999999</v>
      </c>
      <c r="U2297">
        <v>5.2093510000000003E-2</v>
      </c>
      <c r="V2297">
        <v>8.2074060000000004E-3</v>
      </c>
      <c r="W2297">
        <v>-7.5398380000000001E-2</v>
      </c>
      <c r="X2297">
        <v>0.99711970000000005</v>
      </c>
      <c r="Y2297">
        <v>1.779271E-2</v>
      </c>
      <c r="Z2297">
        <v>4.420583E-4</v>
      </c>
      <c r="AA2297">
        <v>0.9998416</v>
      </c>
      <c r="AB2297">
        <v>45</v>
      </c>
      <c r="AC2297">
        <v>-29.889599999999898</v>
      </c>
      <c r="AD2297">
        <v>-1.119955595423</v>
      </c>
      <c r="AE2297">
        <v>0.52440000000001397</v>
      </c>
      <c r="AF2297">
        <v>0.53722796133846895</v>
      </c>
      <c r="AG2297">
        <v>-1.119955595423</v>
      </c>
      <c r="AH2297">
        <v>29.847466226106</v>
      </c>
      <c r="AI2297">
        <v>92.148532850189099</v>
      </c>
      <c r="AJ2297">
        <v>88.968838050627994</v>
      </c>
      <c r="AK2297">
        <v>29.8733017012968</v>
      </c>
      <c r="AL2297">
        <v>94.324112668361806</v>
      </c>
      <c r="AM2297">
        <v>89.528402552891507</v>
      </c>
      <c r="AN2297">
        <v>0.99999998667398105</v>
      </c>
    </row>
    <row r="2298" spans="1:40" x14ac:dyDescent="0.25">
      <c r="A2298" t="str">
        <f>"20190303154812468"</f>
        <v>20190303154812468</v>
      </c>
      <c r="B2298" t="str">
        <f>"1551599292462697"</f>
        <v>1551599292462697</v>
      </c>
      <c r="C2298" t="s">
        <v>40</v>
      </c>
      <c r="D2298">
        <v>5.1633750000000003</v>
      </c>
      <c r="E2298">
        <v>0.50394380000000005</v>
      </c>
      <c r="F2298" t="s">
        <v>52</v>
      </c>
      <c r="G2298">
        <v>-387.58390000000003</v>
      </c>
      <c r="H2298" s="1">
        <v>2.4989610000000001E-6</v>
      </c>
      <c r="I2298">
        <v>285.62400000000002</v>
      </c>
      <c r="J2298">
        <v>-357.779</v>
      </c>
      <c r="K2298">
        <v>1.1199709999999901</v>
      </c>
      <c r="L2298">
        <v>285.07049999999998</v>
      </c>
      <c r="M2298">
        <v>-0.99993589999999999</v>
      </c>
      <c r="N2298">
        <v>-1.132353E-2</v>
      </c>
      <c r="O2298">
        <v>-4.7927929999999998E-4</v>
      </c>
      <c r="P2298">
        <v>-0.99616910000000003</v>
      </c>
      <c r="Q2298">
        <v>-8.7088460000000006E-2</v>
      </c>
      <c r="R2298">
        <v>7.9310709999999996E-3</v>
      </c>
      <c r="S2298">
        <v>-3.0012210000000001</v>
      </c>
      <c r="T2298">
        <v>-0.11179169999999999</v>
      </c>
      <c r="U2298">
        <v>5.5236819999999999E-2</v>
      </c>
      <c r="V2298">
        <v>8.40959199999999E-3</v>
      </c>
      <c r="W2298">
        <v>-7.5802649999999999E-2</v>
      </c>
      <c r="X2298">
        <v>0.99708739999999996</v>
      </c>
      <c r="Y2298">
        <v>1.8863680000000001E-2</v>
      </c>
      <c r="Z2298">
        <v>4.7045449999999999E-4</v>
      </c>
      <c r="AA2298">
        <v>0.99982199999999999</v>
      </c>
      <c r="AB2298">
        <v>45</v>
      </c>
      <c r="AC2298">
        <v>-29.8049</v>
      </c>
      <c r="AD2298">
        <v>-1.1199685010389999</v>
      </c>
      <c r="AE2298">
        <v>0.55350000000004196</v>
      </c>
      <c r="AF2298">
        <v>0.56698541179483397</v>
      </c>
      <c r="AG2298">
        <v>-1.1199685010389999</v>
      </c>
      <c r="AH2298">
        <v>29.762620792941402</v>
      </c>
      <c r="AI2298">
        <v>92.154634893532801</v>
      </c>
      <c r="AJ2298">
        <v>88.908633000285406</v>
      </c>
      <c r="AK2298">
        <v>29.789081865088299</v>
      </c>
      <c r="AL2298">
        <v>94.347341953250606</v>
      </c>
      <c r="AM2298">
        <v>89.516769839411495</v>
      </c>
      <c r="AN2298">
        <v>1.0000000231116899</v>
      </c>
    </row>
    <row r="2299" spans="1:40" x14ac:dyDescent="0.25">
      <c r="A2299" t="str">
        <f>"20190303154812482"</f>
        <v>20190303154812482</v>
      </c>
      <c r="B2299" t="str">
        <f>"1551599292473433"</f>
        <v>1551599292473433</v>
      </c>
      <c r="C2299" t="s">
        <v>40</v>
      </c>
      <c r="D2299">
        <v>5.1747560000000004</v>
      </c>
      <c r="E2299">
        <v>0.50401249999999997</v>
      </c>
      <c r="F2299" t="s">
        <v>52</v>
      </c>
      <c r="G2299">
        <v>-387.4196</v>
      </c>
      <c r="H2299" s="1">
        <v>2.41154E-6</v>
      </c>
      <c r="I2299">
        <v>285.62509999999997</v>
      </c>
      <c r="J2299">
        <v>-358.05090000000001</v>
      </c>
      <c r="K2299">
        <v>1.1199840000000001</v>
      </c>
      <c r="L2299">
        <v>285.07029999999997</v>
      </c>
      <c r="M2299">
        <v>-0.99993549999999998</v>
      </c>
      <c r="N2299">
        <v>-1.1344129999999999E-2</v>
      </c>
      <c r="O2299">
        <v>-5.1173599999999896E-4</v>
      </c>
      <c r="P2299">
        <v>-0.99618300000000004</v>
      </c>
      <c r="Q2299">
        <v>-8.6909769999999997E-2</v>
      </c>
      <c r="R2299">
        <v>8.1343519999999992E-3</v>
      </c>
      <c r="S2299">
        <v>-3.0011899999999998</v>
      </c>
      <c r="T2299">
        <v>-0.1134</v>
      </c>
      <c r="U2299">
        <v>5.6152340000000002E-2</v>
      </c>
      <c r="V2299">
        <v>8.6473409999999994E-3</v>
      </c>
      <c r="W2299">
        <v>-7.5603050000000005E-2</v>
      </c>
      <c r="X2299">
        <v>0.99710049999999995</v>
      </c>
      <c r="Y2299">
        <v>1.9200439999999999E-2</v>
      </c>
      <c r="Z2299">
        <v>4.8507690000000001E-4</v>
      </c>
      <c r="AA2299">
        <v>0.99981549999999997</v>
      </c>
      <c r="AB2299">
        <v>45</v>
      </c>
      <c r="AC2299">
        <v>-29.368699999999901</v>
      </c>
      <c r="AD2299">
        <v>-1.11998158846</v>
      </c>
      <c r="AE2299">
        <v>0.55479999999999996</v>
      </c>
      <c r="AF2299">
        <v>0.56900271363667099</v>
      </c>
      <c r="AG2299">
        <v>-1.11998158846</v>
      </c>
      <c r="AH2299">
        <v>29.325779123636099</v>
      </c>
      <c r="AI2299">
        <v>92.186710487882294</v>
      </c>
      <c r="AJ2299">
        <v>88.888439974244307</v>
      </c>
      <c r="AK2299">
        <v>29.352673541858199</v>
      </c>
      <c r="AL2299">
        <v>94.335872894316196</v>
      </c>
      <c r="AM2299">
        <v>89.503115561119003</v>
      </c>
      <c r="AN2299">
        <v>1.0000000023879601</v>
      </c>
    </row>
    <row r="2300" spans="1:40" x14ac:dyDescent="0.25">
      <c r="A2300" t="str">
        <f>"20190303154812493"</f>
        <v>20190303154812493</v>
      </c>
      <c r="B2300" t="str">
        <f>"1551599292483193"</f>
        <v>1551599292483193</v>
      </c>
      <c r="C2300" t="s">
        <v>40</v>
      </c>
      <c r="D2300">
        <v>5.1476629999999997</v>
      </c>
      <c r="E2300">
        <v>0.504081</v>
      </c>
      <c r="F2300" t="s">
        <v>52</v>
      </c>
      <c r="G2300">
        <v>-387.91759999999999</v>
      </c>
      <c r="H2300" s="1">
        <v>2.6765440000000001E-6</v>
      </c>
      <c r="I2300">
        <v>285.64190000000002</v>
      </c>
      <c r="J2300">
        <v>-358.29320000000001</v>
      </c>
      <c r="K2300">
        <v>1.1200000000000001</v>
      </c>
      <c r="L2300">
        <v>285.0702</v>
      </c>
      <c r="M2300">
        <v>-0.99993529999999997</v>
      </c>
      <c r="N2300">
        <v>-1.136418E-2</v>
      </c>
      <c r="O2300">
        <v>-5.5243160000000003E-4</v>
      </c>
      <c r="P2300">
        <v>-0.99616059999999995</v>
      </c>
      <c r="Q2300">
        <v>-8.7155280000000002E-2</v>
      </c>
      <c r="R2300">
        <v>8.2508730000000006E-3</v>
      </c>
      <c r="S2300">
        <v>-3.0011899999999998</v>
      </c>
      <c r="T2300">
        <v>-0.1125429</v>
      </c>
      <c r="U2300">
        <v>5.7434079999999998E-2</v>
      </c>
      <c r="V2300">
        <v>8.8067419999999993E-3</v>
      </c>
      <c r="W2300">
        <v>-7.5828530000000005E-2</v>
      </c>
      <c r="X2300">
        <v>0.99708200000000002</v>
      </c>
      <c r="Y2300">
        <v>1.9667770000000001E-2</v>
      </c>
      <c r="Z2300">
        <v>4.9485129999999895E-4</v>
      </c>
      <c r="AA2300">
        <v>0.99980650000000004</v>
      </c>
      <c r="AB2300">
        <v>45</v>
      </c>
      <c r="AC2300">
        <v>-29.624399999999898</v>
      </c>
      <c r="AD2300">
        <v>-1.1199973234559999</v>
      </c>
      <c r="AE2300">
        <v>0.57170000000002097</v>
      </c>
      <c r="AF2300">
        <v>0.58722739009879898</v>
      </c>
      <c r="AG2300">
        <v>-1.1199973234559999</v>
      </c>
      <c r="AH2300">
        <v>29.581812974588999</v>
      </c>
      <c r="AI2300">
        <v>92.167813788431104</v>
      </c>
      <c r="AJ2300">
        <v>88.862773128025694</v>
      </c>
      <c r="AK2300">
        <v>29.608831264941799</v>
      </c>
      <c r="AL2300">
        <v>94.348829062948397</v>
      </c>
      <c r="AM2300">
        <v>89.4939473113389</v>
      </c>
      <c r="AN2300">
        <v>1.0000000196953001</v>
      </c>
    </row>
    <row r="2301" spans="1:40" x14ac:dyDescent="0.25">
      <c r="A2301" t="str">
        <f>"20190303154812510"</f>
        <v>20190303154812510</v>
      </c>
      <c r="B2301" t="str">
        <f>"1551599292502716"</f>
        <v>1551599292502716</v>
      </c>
      <c r="C2301" t="s">
        <v>40</v>
      </c>
      <c r="D2301">
        <v>5.196339</v>
      </c>
      <c r="E2301">
        <v>0.50426590000000004</v>
      </c>
      <c r="F2301" t="s">
        <v>52</v>
      </c>
      <c r="G2301">
        <v>-388.00670000000002</v>
      </c>
      <c r="H2301" s="1">
        <v>2.7239919999999999E-6</v>
      </c>
      <c r="I2301">
        <v>285.6463</v>
      </c>
      <c r="J2301">
        <v>-358.61320000000001</v>
      </c>
      <c r="K2301">
        <v>1.1200190000000001</v>
      </c>
      <c r="L2301">
        <v>285.06990000000002</v>
      </c>
      <c r="M2301">
        <v>-0.99993500000000002</v>
      </c>
      <c r="N2301">
        <v>-1.1392060000000001E-2</v>
      </c>
      <c r="O2301">
        <v>-6.1708680000000004E-4</v>
      </c>
      <c r="P2301">
        <v>-0.99617579999999994</v>
      </c>
      <c r="Q2301">
        <v>-8.6988969999999999E-2</v>
      </c>
      <c r="R2301">
        <v>8.1915930000000005E-3</v>
      </c>
      <c r="S2301">
        <v>-3.0011899999999998</v>
      </c>
      <c r="T2301">
        <v>-0.1131243</v>
      </c>
      <c r="U2301">
        <v>5.8197020000000002E-2</v>
      </c>
      <c r="V2301">
        <v>8.8151440000000005E-3</v>
      </c>
      <c r="W2301">
        <v>-7.5633880000000001E-2</v>
      </c>
      <c r="X2301">
        <v>0.99709669999999895</v>
      </c>
      <c r="Y2301">
        <v>1.9985989999999999E-2</v>
      </c>
      <c r="Z2301">
        <v>5.0662769999999997E-4</v>
      </c>
      <c r="AA2301">
        <v>0.99980009999999997</v>
      </c>
      <c r="AB2301">
        <v>45</v>
      </c>
      <c r="AC2301">
        <v>-29.3935</v>
      </c>
      <c r="AD2301">
        <v>-1.1200162760079999</v>
      </c>
      <c r="AE2301">
        <v>0.57639999999997804</v>
      </c>
      <c r="AF2301">
        <v>0.59367775874074402</v>
      </c>
      <c r="AG2301">
        <v>-1.1200162760079999</v>
      </c>
      <c r="AH2301">
        <v>29.350540104524899</v>
      </c>
      <c r="AI2301">
        <v>92.184899466009696</v>
      </c>
      <c r="AJ2301">
        <v>88.841227724790201</v>
      </c>
      <c r="AK2301">
        <v>29.377901459550699</v>
      </c>
      <c r="AL2301">
        <v>94.337644362841999</v>
      </c>
      <c r="AM2301">
        <v>89.493472008427503</v>
      </c>
      <c r="AN2301">
        <v>1.0000000098592401</v>
      </c>
    </row>
    <row r="2302" spans="1:40" x14ac:dyDescent="0.25">
      <c r="A2302" t="str">
        <f>"20190303154812534"</f>
        <v>20190303154812534</v>
      </c>
      <c r="B2302" t="str">
        <f>"1551599292523209"</f>
        <v>1551599292523209</v>
      </c>
      <c r="C2302" t="s">
        <v>40</v>
      </c>
      <c r="D2302">
        <v>5.1735179999999996</v>
      </c>
      <c r="E2302">
        <v>0.5042915</v>
      </c>
      <c r="F2302" t="s">
        <v>52</v>
      </c>
      <c r="G2302">
        <v>-388.58260000000001</v>
      </c>
      <c r="H2302" s="1">
        <v>3.0304529999999998E-6</v>
      </c>
      <c r="I2302">
        <v>285.66480000000001</v>
      </c>
      <c r="J2302">
        <v>-359.08519999999999</v>
      </c>
      <c r="K2302">
        <v>1.1200559999999999</v>
      </c>
      <c r="L2302">
        <v>285.06950000000001</v>
      </c>
      <c r="M2302">
        <v>-0.9999344</v>
      </c>
      <c r="N2302">
        <v>-1.1436999999999999E-2</v>
      </c>
      <c r="O2302">
        <v>-7.3789009999999998E-4</v>
      </c>
      <c r="P2302">
        <v>-0.99619069999999998</v>
      </c>
      <c r="Q2302">
        <v>-8.6838830000000006E-2</v>
      </c>
      <c r="R2302">
        <v>7.9675279999999998E-3</v>
      </c>
      <c r="S2302">
        <v>-3.0012210000000001</v>
      </c>
      <c r="T2302">
        <v>-0.1121616</v>
      </c>
      <c r="U2302">
        <v>5.9570310000000001E-2</v>
      </c>
      <c r="V2302">
        <v>8.7163810000000005E-3</v>
      </c>
      <c r="W2302">
        <v>-7.5438190000000002E-2</v>
      </c>
      <c r="X2302">
        <v>0.99711240000000001</v>
      </c>
      <c r="Y2302">
        <v>2.0563580000000001E-2</v>
      </c>
      <c r="Z2302">
        <v>5.2086859999999995E-4</v>
      </c>
      <c r="AA2302">
        <v>0.99978840000000002</v>
      </c>
      <c r="AB2302">
        <v>45</v>
      </c>
      <c r="AC2302">
        <v>-29.497399999999999</v>
      </c>
      <c r="AD2302">
        <v>-1.1200529695469901</v>
      </c>
      <c r="AE2302">
        <v>0.59530000000000804</v>
      </c>
      <c r="AF2302">
        <v>0.61617904463913697</v>
      </c>
      <c r="AG2302">
        <v>-1.1200529695469901</v>
      </c>
      <c r="AH2302">
        <v>29.454502010132099</v>
      </c>
      <c r="AI2302">
        <v>92.177235413107496</v>
      </c>
      <c r="AJ2302">
        <v>88.801564871645695</v>
      </c>
      <c r="AK2302">
        <v>29.4822299688222</v>
      </c>
      <c r="AL2302">
        <v>94.326399996549895</v>
      </c>
      <c r="AM2302">
        <v>89.499154635428795</v>
      </c>
      <c r="AN2302">
        <v>1.00000001702098</v>
      </c>
    </row>
    <row r="2303" spans="1:40" x14ac:dyDescent="0.25">
      <c r="A2303" t="str">
        <f>"20190303154812556"</f>
        <v>20190303154812556</v>
      </c>
      <c r="B2303" t="str">
        <f>"1551599292552489"</f>
        <v>1551599292552489</v>
      </c>
      <c r="C2303" t="s">
        <v>40</v>
      </c>
      <c r="D2303">
        <v>5.1379599999999996</v>
      </c>
      <c r="E2303">
        <v>0.50427709999999903</v>
      </c>
      <c r="F2303" t="s">
        <v>52</v>
      </c>
      <c r="G2303">
        <v>-389.21609999999998</v>
      </c>
      <c r="H2303" s="1">
        <v>3.3675789999999998E-6</v>
      </c>
      <c r="I2303">
        <v>285.66269999999997</v>
      </c>
      <c r="J2303">
        <v>-359.52600000000001</v>
      </c>
      <c r="K2303">
        <v>1.12009</v>
      </c>
      <c r="L2303">
        <v>285.06909999999999</v>
      </c>
      <c r="M2303">
        <v>-0.99993379999999998</v>
      </c>
      <c r="N2303">
        <v>-1.148251E-2</v>
      </c>
      <c r="O2303">
        <v>-8.7810890000000004E-4</v>
      </c>
      <c r="P2303">
        <v>-0.99621459999999995</v>
      </c>
      <c r="Q2303">
        <v>-8.6628440000000001E-2</v>
      </c>
      <c r="R2303">
        <v>7.2132280000000003E-3</v>
      </c>
      <c r="S2303">
        <v>-3.0012819999999998</v>
      </c>
      <c r="T2303">
        <v>-0.1115661</v>
      </c>
      <c r="U2303">
        <v>5.9082030000000001E-2</v>
      </c>
      <c r="V2303">
        <v>8.1062789999999992E-3</v>
      </c>
      <c r="W2303">
        <v>-7.5181799999999993E-2</v>
      </c>
      <c r="X2303">
        <v>0.99713689999999999</v>
      </c>
      <c r="Y2303">
        <v>2.0540920000000001E-2</v>
      </c>
      <c r="Z2303">
        <v>5.2216000000000003E-4</v>
      </c>
      <c r="AA2303">
        <v>0.99978889999999998</v>
      </c>
      <c r="AB2303">
        <v>45</v>
      </c>
      <c r="AC2303">
        <v>-29.690099999999902</v>
      </c>
      <c r="AD2303">
        <v>-1.1200866324209999</v>
      </c>
      <c r="AE2303">
        <v>0.59359999999998003</v>
      </c>
      <c r="AF2303">
        <v>0.61879228651765295</v>
      </c>
      <c r="AG2303">
        <v>-1.1200866324209999</v>
      </c>
      <c r="AH2303">
        <v>29.6473886110637</v>
      </c>
      <c r="AI2303">
        <v>92.163150882435801</v>
      </c>
      <c r="AJ2303">
        <v>88.804311572559698</v>
      </c>
      <c r="AK2303">
        <v>29.6749919867455</v>
      </c>
      <c r="AL2303">
        <v>94.311668143037394</v>
      </c>
      <c r="AM2303">
        <v>89.534221085632694</v>
      </c>
      <c r="AN2303">
        <v>1.0000000060760299</v>
      </c>
    </row>
    <row r="2304" spans="1:40" x14ac:dyDescent="0.25">
      <c r="A2304" t="str">
        <f>"20190303154812569"</f>
        <v>20190303154812569</v>
      </c>
      <c r="B2304" t="str">
        <f>"1551599292563225"</f>
        <v>1551599292563225</v>
      </c>
      <c r="C2304" t="s">
        <v>40</v>
      </c>
      <c r="D2304">
        <v>5.1663379999999997</v>
      </c>
      <c r="E2304">
        <v>0.50427619999999995</v>
      </c>
      <c r="F2304" t="s">
        <v>52</v>
      </c>
      <c r="G2304">
        <v>-389.9905</v>
      </c>
      <c r="H2304" s="1">
        <v>-1.5418560000000001E-6</v>
      </c>
      <c r="I2304">
        <v>285.64490000000001</v>
      </c>
      <c r="J2304">
        <v>-359.79910000000001</v>
      </c>
      <c r="K2304">
        <v>1.120109</v>
      </c>
      <c r="L2304">
        <v>285.06880000000001</v>
      </c>
      <c r="M2304">
        <v>-0.99993330000000002</v>
      </c>
      <c r="N2304">
        <v>-1.151221E-2</v>
      </c>
      <c r="O2304">
        <v>-9.7851689999999989E-4</v>
      </c>
      <c r="P2304">
        <v>-0.99623609999999896</v>
      </c>
      <c r="Q2304">
        <v>-8.6422100000000002E-2</v>
      </c>
      <c r="R2304">
        <v>6.7308309999999996E-3</v>
      </c>
      <c r="S2304">
        <v>-3.0014340000000002</v>
      </c>
      <c r="T2304">
        <v>-0.1103542</v>
      </c>
      <c r="U2304">
        <v>5.673218E-2</v>
      </c>
      <c r="V2304">
        <v>7.7268619999999897E-3</v>
      </c>
      <c r="W2304">
        <v>-7.4945399999999995E-2</v>
      </c>
      <c r="X2304">
        <v>0.99715770000000004</v>
      </c>
      <c r="Y2304">
        <v>1.9858779999999999E-2</v>
      </c>
      <c r="Z2304">
        <v>5.0399389999999998E-4</v>
      </c>
      <c r="AA2304">
        <v>0.99980259999999999</v>
      </c>
      <c r="AB2304">
        <v>45</v>
      </c>
      <c r="AC2304">
        <v>-30.191399999999899</v>
      </c>
      <c r="AD2304">
        <v>-1.120110541856</v>
      </c>
      <c r="AE2304">
        <v>0.57609999999999595</v>
      </c>
      <c r="AF2304">
        <v>0.60481229482095</v>
      </c>
      <c r="AG2304">
        <v>-1.120110541856</v>
      </c>
      <c r="AH2304">
        <v>30.149338325293201</v>
      </c>
      <c r="AI2304">
        <v>92.127251055469401</v>
      </c>
      <c r="AJ2304">
        <v>88.850769320550199</v>
      </c>
      <c r="AK2304">
        <v>30.176200009128699</v>
      </c>
      <c r="AL2304">
        <v>94.298085134301999</v>
      </c>
      <c r="AM2304">
        <v>89.5560303843707</v>
      </c>
      <c r="AN2304">
        <v>0.999999998023408</v>
      </c>
    </row>
    <row r="2305" spans="1:40" x14ac:dyDescent="0.25">
      <c r="A2305" t="str">
        <f>"20190303154812582"</f>
        <v>20190303154812582</v>
      </c>
      <c r="B2305" t="str">
        <f>"1551599292572997"</f>
        <v>1551599292572997</v>
      </c>
      <c r="C2305" t="s">
        <v>40</v>
      </c>
      <c r="D2305">
        <v>5.1927589999999997</v>
      </c>
      <c r="E2305">
        <v>0.50427069999999996</v>
      </c>
      <c r="F2305" t="s">
        <v>52</v>
      </c>
      <c r="G2305">
        <v>-390.45170000000002</v>
      </c>
      <c r="H2305" s="1">
        <v>-1.296446E-6</v>
      </c>
      <c r="I2305">
        <v>285.63130000000001</v>
      </c>
      <c r="J2305">
        <v>-360.06060000000002</v>
      </c>
      <c r="K2305">
        <v>1.1201270000000001</v>
      </c>
      <c r="L2305">
        <v>285.0684</v>
      </c>
      <c r="M2305">
        <v>-0.99993279999999995</v>
      </c>
      <c r="N2305">
        <v>-1.154203E-2</v>
      </c>
      <c r="O2305">
        <v>-1.0805820000000001E-3</v>
      </c>
      <c r="P2305">
        <v>-0.99621709999999997</v>
      </c>
      <c r="Q2305">
        <v>-8.6670510000000006E-2</v>
      </c>
      <c r="R2305">
        <v>6.2818070000000004E-3</v>
      </c>
      <c r="S2305">
        <v>-3.0014340000000002</v>
      </c>
      <c r="T2305">
        <v>-0.109679</v>
      </c>
      <c r="U2305">
        <v>5.5084229999999998E-2</v>
      </c>
      <c r="V2305">
        <v>7.3820400000000003E-3</v>
      </c>
      <c r="W2305">
        <v>-7.5164149999999999E-2</v>
      </c>
      <c r="X2305">
        <v>0.99714389999999997</v>
      </c>
      <c r="Y2305">
        <v>1.941263E-2</v>
      </c>
      <c r="Z2305">
        <v>4.9363650000000005E-4</v>
      </c>
      <c r="AA2305">
        <v>0.99981140000000002</v>
      </c>
      <c r="AB2305">
        <v>45</v>
      </c>
      <c r="AC2305">
        <v>-30.391099999999899</v>
      </c>
      <c r="AD2305">
        <v>-1.120128296446</v>
      </c>
      <c r="AE2305">
        <v>0.56290000000001295</v>
      </c>
      <c r="AF2305">
        <v>0.59493402558493402</v>
      </c>
      <c r="AG2305">
        <v>-1.120128296446</v>
      </c>
      <c r="AH2305">
        <v>30.3492602316791</v>
      </c>
      <c r="AI2305">
        <v>92.113303426669603</v>
      </c>
      <c r="AJ2305">
        <v>88.876979431425895</v>
      </c>
      <c r="AK2305">
        <v>30.375750698632501</v>
      </c>
      <c r="AL2305">
        <v>94.310653810600101</v>
      </c>
      <c r="AM2305">
        <v>89.575836537354206</v>
      </c>
      <c r="AN2305">
        <v>1.0000000506334901</v>
      </c>
    </row>
    <row r="2306" spans="1:40" x14ac:dyDescent="0.25">
      <c r="A2306" t="str">
        <f>"20190303154812601"</f>
        <v>20190303154812601</v>
      </c>
      <c r="B2306" t="str">
        <f>"1551599292592505"</f>
        <v>1551599292592505</v>
      </c>
      <c r="C2306" t="s">
        <v>40</v>
      </c>
      <c r="D2306">
        <v>5.211468</v>
      </c>
      <c r="E2306">
        <v>0.50414409999999998</v>
      </c>
      <c r="F2306" t="s">
        <v>52</v>
      </c>
      <c r="G2306">
        <v>-390.50409999999999</v>
      </c>
      <c r="H2306" s="1">
        <v>-1.268547E-6</v>
      </c>
      <c r="I2306">
        <v>285.61259999999999</v>
      </c>
      <c r="J2306">
        <v>-360.42649999999998</v>
      </c>
      <c r="K2306">
        <v>1.1201540000000001</v>
      </c>
      <c r="L2306">
        <v>285.06790000000001</v>
      </c>
      <c r="M2306">
        <v>-0.99993209999999999</v>
      </c>
      <c r="N2306">
        <v>-1.159085E-2</v>
      </c>
      <c r="O2306">
        <v>-1.237068E-3</v>
      </c>
      <c r="P2306">
        <v>-0.99618079999999998</v>
      </c>
      <c r="Q2306">
        <v>-8.7166049999999995E-2</v>
      </c>
      <c r="R2306">
        <v>5.1087559999999999E-3</v>
      </c>
      <c r="S2306">
        <v>-3.0014340000000002</v>
      </c>
      <c r="T2306">
        <v>-0.11043409999999999</v>
      </c>
      <c r="U2306">
        <v>5.36499E-2</v>
      </c>
      <c r="V2306">
        <v>6.3684869999999999E-3</v>
      </c>
      <c r="W2306">
        <v>-7.5611410000000004E-2</v>
      </c>
      <c r="X2306">
        <v>0.99711700000000003</v>
      </c>
      <c r="Y2306">
        <v>1.9091460000000001E-2</v>
      </c>
      <c r="Z2306">
        <v>4.9294430000000004E-4</v>
      </c>
      <c r="AA2306">
        <v>0.99981759999999997</v>
      </c>
      <c r="AB2306">
        <v>45</v>
      </c>
      <c r="AC2306">
        <v>-30.0776</v>
      </c>
      <c r="AD2306">
        <v>-1.120155268547</v>
      </c>
      <c r="AE2306">
        <v>0.54469999999997698</v>
      </c>
      <c r="AF2306">
        <v>0.58110440201404701</v>
      </c>
      <c r="AG2306">
        <v>-1.120155268547</v>
      </c>
      <c r="AH2306">
        <v>30.0352584716363</v>
      </c>
      <c r="AI2306">
        <v>92.135438463334907</v>
      </c>
      <c r="AJ2306">
        <v>88.891613457403196</v>
      </c>
      <c r="AK2306">
        <v>30.061756129835398</v>
      </c>
      <c r="AL2306">
        <v>94.336353370915504</v>
      </c>
      <c r="AM2306">
        <v>89.634062536744494</v>
      </c>
      <c r="AN2306">
        <v>0.99999997731892798</v>
      </c>
    </row>
    <row r="2307" spans="1:40" x14ac:dyDescent="0.25">
      <c r="A2307" t="str">
        <f>"20190303154812615"</f>
        <v>20190303154812615</v>
      </c>
      <c r="B2307" t="str">
        <f>"1551599292613002"</f>
        <v>1551599292613002</v>
      </c>
      <c r="C2307" t="s">
        <v>40</v>
      </c>
      <c r="D2307">
        <v>5.2102300000000001</v>
      </c>
      <c r="E2307">
        <v>0.50415779999999999</v>
      </c>
      <c r="F2307" t="s">
        <v>52</v>
      </c>
      <c r="G2307">
        <v>-389.92860000000002</v>
      </c>
      <c r="H2307" s="1">
        <v>3.746705E-6</v>
      </c>
      <c r="I2307">
        <v>285.54849999999999</v>
      </c>
      <c r="J2307">
        <v>-360.73050000000001</v>
      </c>
      <c r="K2307">
        <v>1.1201760000000001</v>
      </c>
      <c r="L2307">
        <v>285.06740000000002</v>
      </c>
      <c r="M2307">
        <v>-0.99993129999999997</v>
      </c>
      <c r="N2307">
        <v>-1.1643010000000001E-2</v>
      </c>
      <c r="O2307">
        <v>-1.376826E-3</v>
      </c>
      <c r="P2307">
        <v>-0.99615549999999997</v>
      </c>
      <c r="Q2307">
        <v>-8.7486889999999998E-2</v>
      </c>
      <c r="R2307">
        <v>4.5051429999999996E-3</v>
      </c>
      <c r="S2307">
        <v>-3.0012509999999999</v>
      </c>
      <c r="T2307">
        <v>-0.1139531</v>
      </c>
      <c r="U2307">
        <v>4.8889160000000001E-2</v>
      </c>
      <c r="V2307">
        <v>5.9070449999999997E-3</v>
      </c>
      <c r="W2307">
        <v>-7.5880459999999997E-2</v>
      </c>
      <c r="X2307">
        <v>0.99709939999999997</v>
      </c>
      <c r="Y2307">
        <v>1.7647059999999999E-2</v>
      </c>
      <c r="Z2307">
        <v>4.7389300000000002E-4</v>
      </c>
      <c r="AA2307">
        <v>0.99984419999999996</v>
      </c>
      <c r="AB2307">
        <v>45</v>
      </c>
      <c r="AC2307">
        <v>-29.1981</v>
      </c>
      <c r="AD2307">
        <v>-1.120172253295</v>
      </c>
      <c r="AE2307">
        <v>0.481099999999969</v>
      </c>
      <c r="AF2307">
        <v>0.52053703204750701</v>
      </c>
      <c r="AG2307">
        <v>-1.120172253295</v>
      </c>
      <c r="AH2307">
        <v>29.154510773518901</v>
      </c>
      <c r="AI2307">
        <v>92.199981204118501</v>
      </c>
      <c r="AJ2307">
        <v>88.977125471596295</v>
      </c>
      <c r="AK2307">
        <v>29.180665570237</v>
      </c>
      <c r="AL2307">
        <v>94.351813222816702</v>
      </c>
      <c r="AM2307">
        <v>89.660570662741094</v>
      </c>
      <c r="AN2307">
        <v>0.99999997543540098</v>
      </c>
    </row>
    <row r="2308" spans="1:40" x14ac:dyDescent="0.25">
      <c r="A2308" t="str">
        <f>"20190303154812634"</f>
        <v>20190303154812634</v>
      </c>
      <c r="B2308" t="str">
        <f>"1551599292622761"</f>
        <v>1551599292622761</v>
      </c>
      <c r="C2308" t="s">
        <v>40</v>
      </c>
      <c r="D2308">
        <v>5.1961009999999996</v>
      </c>
      <c r="E2308">
        <v>0.50418149999999995</v>
      </c>
      <c r="F2308" t="s">
        <v>52</v>
      </c>
      <c r="G2308">
        <v>-389.88470000000001</v>
      </c>
      <c r="H2308" s="1">
        <v>3.7233450000000002E-6</v>
      </c>
      <c r="I2308">
        <v>285.52609999999999</v>
      </c>
      <c r="J2308">
        <v>-361.1019</v>
      </c>
      <c r="K2308">
        <v>1.1202019999999999</v>
      </c>
      <c r="L2308">
        <v>285.0668</v>
      </c>
      <c r="M2308">
        <v>-0.99993019999999999</v>
      </c>
      <c r="N2308">
        <v>-1.171959E-2</v>
      </c>
      <c r="O2308">
        <v>-1.5558810000000001E-3</v>
      </c>
      <c r="P2308">
        <v>-0.99613879999999999</v>
      </c>
      <c r="Q2308">
        <v>-8.7716619999999995E-2</v>
      </c>
      <c r="R2308">
        <v>3.6595450000000002E-3</v>
      </c>
      <c r="S2308">
        <v>-3.0012210000000001</v>
      </c>
      <c r="T2308">
        <v>-0.115313899999999</v>
      </c>
      <c r="U2308">
        <v>4.721069E-2</v>
      </c>
      <c r="V2308">
        <v>5.2430259999999996E-3</v>
      </c>
      <c r="W2308">
        <v>-7.6034039999999997E-2</v>
      </c>
      <c r="X2308">
        <v>0.99709139999999996</v>
      </c>
      <c r="Y2308">
        <v>1.7267149999999998E-2</v>
      </c>
      <c r="Z2308">
        <v>4.7434559999999997E-4</v>
      </c>
      <c r="AA2308">
        <v>0.99985080000000004</v>
      </c>
      <c r="AB2308">
        <v>45</v>
      </c>
      <c r="AC2308">
        <v>-28.782800000000002</v>
      </c>
      <c r="AD2308">
        <v>-1.120198276655</v>
      </c>
      <c r="AE2308">
        <v>0.459299999999984</v>
      </c>
      <c r="AF2308">
        <v>0.503322943390212</v>
      </c>
      <c r="AG2308">
        <v>-1.120198276655</v>
      </c>
      <c r="AH2308">
        <v>28.738531610818601</v>
      </c>
      <c r="AI2308">
        <v>92.231858331267205</v>
      </c>
      <c r="AJ2308">
        <v>88.996631673990393</v>
      </c>
      <c r="AK2308">
        <v>28.764759295192899</v>
      </c>
      <c r="AL2308">
        <v>94.360638261143606</v>
      </c>
      <c r="AM2308">
        <v>89.698723213324996</v>
      </c>
      <c r="AN2308">
        <v>0.99999996225715804</v>
      </c>
    </row>
    <row r="2309" spans="1:40" x14ac:dyDescent="0.25">
      <c r="A2309" t="str">
        <f>"20190303154812650"</f>
        <v>20190303154812650</v>
      </c>
      <c r="B2309" t="str">
        <f>"1551599292643257"</f>
        <v>1551599292643257</v>
      </c>
      <c r="C2309" t="s">
        <v>40</v>
      </c>
      <c r="D2309">
        <v>5.2232260000000004</v>
      </c>
      <c r="E2309">
        <v>0.50420509999999996</v>
      </c>
      <c r="F2309" t="s">
        <v>52</v>
      </c>
      <c r="G2309">
        <v>-390.01510000000002</v>
      </c>
      <c r="H2309" s="1">
        <v>-1.5287559999999999E-6</v>
      </c>
      <c r="I2309">
        <v>285.49950000000001</v>
      </c>
      <c r="J2309">
        <v>-361.40660000000003</v>
      </c>
      <c r="K2309">
        <v>1.120231</v>
      </c>
      <c r="L2309">
        <v>285.06619999999998</v>
      </c>
      <c r="M2309">
        <v>-0.99992890000000001</v>
      </c>
      <c r="N2309">
        <v>-1.1800629999999999E-2</v>
      </c>
      <c r="O2309">
        <v>-1.7055869999999999E-3</v>
      </c>
      <c r="P2309">
        <v>-0.99611970000000005</v>
      </c>
      <c r="Q2309">
        <v>-8.7952749999999996E-2</v>
      </c>
      <c r="R2309">
        <v>3.1773750000000001E-3</v>
      </c>
      <c r="S2309">
        <v>-3.0012210000000001</v>
      </c>
      <c r="T2309">
        <v>-0.1162783</v>
      </c>
      <c r="U2309">
        <v>4.4921879999999997E-2</v>
      </c>
      <c r="V2309">
        <v>4.9126300000000003E-3</v>
      </c>
      <c r="W2309">
        <v>-7.6189560000000003E-2</v>
      </c>
      <c r="X2309">
        <v>0.9970812</v>
      </c>
      <c r="Y2309">
        <v>1.6654760000000001E-2</v>
      </c>
      <c r="Z2309">
        <v>4.6675079999999999E-4</v>
      </c>
      <c r="AA2309">
        <v>0.99986120000000001</v>
      </c>
      <c r="AB2309">
        <v>45</v>
      </c>
      <c r="AC2309">
        <v>-28.6084999999999</v>
      </c>
      <c r="AD2309">
        <v>-1.120232528756</v>
      </c>
      <c r="AE2309">
        <v>0.43330000000003099</v>
      </c>
      <c r="AF2309">
        <v>0.48135915678793301</v>
      </c>
      <c r="AG2309">
        <v>-1.120232528756</v>
      </c>
      <c r="AH2309">
        <v>28.563932363491201</v>
      </c>
      <c r="AI2309">
        <v>92.2455809101629</v>
      </c>
      <c r="AJ2309">
        <v>89.034543374112403</v>
      </c>
      <c r="AK2309">
        <v>28.589943330171302</v>
      </c>
      <c r="AL2309">
        <v>94.369574871950604</v>
      </c>
      <c r="AM2309">
        <v>89.717705350661404</v>
      </c>
      <c r="AN2309">
        <v>0.99999995118997398</v>
      </c>
    </row>
    <row r="2310" spans="1:40" x14ac:dyDescent="0.25">
      <c r="A2310" t="str">
        <f>"20190303154812664"</f>
        <v>20190303154812664</v>
      </c>
      <c r="B2310" t="str">
        <f>"1551599292653017"</f>
        <v>1551599292653017</v>
      </c>
      <c r="C2310" t="s">
        <v>40</v>
      </c>
      <c r="D2310">
        <v>5.223541</v>
      </c>
      <c r="E2310">
        <v>0.5041968</v>
      </c>
      <c r="F2310" t="s">
        <v>52</v>
      </c>
      <c r="G2310">
        <v>-390.00220000000002</v>
      </c>
      <c r="H2310" s="1">
        <v>-1.535615E-6</v>
      </c>
      <c r="I2310">
        <v>285.47969999999998</v>
      </c>
      <c r="J2310">
        <v>-361.70249999999999</v>
      </c>
      <c r="K2310">
        <v>1.1202620000000001</v>
      </c>
      <c r="L2310">
        <v>285.06560000000002</v>
      </c>
      <c r="M2310">
        <v>-0.99992749999999997</v>
      </c>
      <c r="N2310">
        <v>-1.1896240000000001E-2</v>
      </c>
      <c r="O2310">
        <v>-1.8502460000000001E-3</v>
      </c>
      <c r="P2310">
        <v>-0.99610480000000001</v>
      </c>
      <c r="Q2310">
        <v>-8.8137510000000002E-2</v>
      </c>
      <c r="R2310">
        <v>2.6800550000000002E-3</v>
      </c>
      <c r="S2310">
        <v>-3.0011899999999998</v>
      </c>
      <c r="T2310">
        <v>-0.1175717</v>
      </c>
      <c r="U2310">
        <v>4.3395999999999997E-2</v>
      </c>
      <c r="V2310">
        <v>4.5618309999999997E-3</v>
      </c>
      <c r="W2310">
        <v>-7.6279169999999993E-2</v>
      </c>
      <c r="X2310">
        <v>0.99707610000000002</v>
      </c>
      <c r="Y2310">
        <v>1.6291259999999998E-2</v>
      </c>
      <c r="Z2310">
        <v>4.6637319999999998E-4</v>
      </c>
      <c r="AA2310">
        <v>0.99986719999999896</v>
      </c>
      <c r="AB2310">
        <v>45</v>
      </c>
      <c r="AC2310">
        <v>-28.299700000000001</v>
      </c>
      <c r="AD2310">
        <v>-1.1202635356149999</v>
      </c>
      <c r="AE2310">
        <v>0.414099999999962</v>
      </c>
      <c r="AF2310">
        <v>0.46573474152349997</v>
      </c>
      <c r="AG2310">
        <v>-1.1202635356149999</v>
      </c>
      <c r="AH2310">
        <v>28.254619012234802</v>
      </c>
      <c r="AI2310">
        <v>92.270215195850298</v>
      </c>
      <c r="AJ2310">
        <v>89.055651089922804</v>
      </c>
      <c r="AK2310">
        <v>28.280654072443799</v>
      </c>
      <c r="AL2310">
        <v>94.374723761589394</v>
      </c>
      <c r="AM2310">
        <v>89.737861694370807</v>
      </c>
      <c r="AN2310">
        <v>1.00000003563458</v>
      </c>
    </row>
    <row r="2311" spans="1:40" x14ac:dyDescent="0.25">
      <c r="A2311" t="str">
        <f>"20190303154812678"</f>
        <v>20190303154812678</v>
      </c>
      <c r="B2311" t="str">
        <f>"1551599292672538"</f>
        <v>1551599292672538</v>
      </c>
      <c r="C2311" t="s">
        <v>40</v>
      </c>
      <c r="D2311">
        <v>5.2339289999999998</v>
      </c>
      <c r="E2311">
        <v>0.50418980000000002</v>
      </c>
      <c r="F2311" t="s">
        <v>52</v>
      </c>
      <c r="G2311">
        <v>-390.10410000000002</v>
      </c>
      <c r="H2311" s="1">
        <v>-1.481418E-6</v>
      </c>
      <c r="I2311">
        <v>285.46300000000002</v>
      </c>
      <c r="J2311">
        <v>-361.9837</v>
      </c>
      <c r="K2311">
        <v>1.1202970000000001</v>
      </c>
      <c r="L2311">
        <v>285.065</v>
      </c>
      <c r="M2311">
        <v>-0.99992610000000004</v>
      </c>
      <c r="N2311">
        <v>-1.2007169999999999E-2</v>
      </c>
      <c r="O2311">
        <v>-1.9850890000000002E-3</v>
      </c>
      <c r="P2311">
        <v>-0.99611170000000004</v>
      </c>
      <c r="Q2311">
        <v>-8.8076680000000004E-2</v>
      </c>
      <c r="R2311">
        <v>2.1260620000000002E-3</v>
      </c>
      <c r="S2311">
        <v>-3.0011290000000002</v>
      </c>
      <c r="T2311">
        <v>-0.1183757</v>
      </c>
      <c r="U2311">
        <v>4.1992189999999999E-2</v>
      </c>
      <c r="V2311">
        <v>4.144132E-3</v>
      </c>
      <c r="W2311">
        <v>-7.6107729999999998E-2</v>
      </c>
      <c r="X2311">
        <v>0.99709099999999995</v>
      </c>
      <c r="Y2311">
        <v>1.5958839999999998E-2</v>
      </c>
      <c r="Z2311">
        <v>4.6490380000000002E-4</v>
      </c>
      <c r="AA2311">
        <v>0.9998726</v>
      </c>
      <c r="AB2311">
        <v>45</v>
      </c>
      <c r="AC2311">
        <v>-28.1204</v>
      </c>
      <c r="AD2311">
        <v>-1.1202984814179999</v>
      </c>
      <c r="AE2311">
        <v>0.39799999999996699</v>
      </c>
      <c r="AF2311">
        <v>0.45310571441145803</v>
      </c>
      <c r="AG2311">
        <v>-1.1202984814179999</v>
      </c>
      <c r="AH2311">
        <v>28.075003476756098</v>
      </c>
      <c r="AI2311">
        <v>92.284808027737697</v>
      </c>
      <c r="AJ2311">
        <v>89.075377089471402</v>
      </c>
      <c r="AK2311">
        <v>28.100999870035999</v>
      </c>
      <c r="AL2311">
        <v>94.364872442181706</v>
      </c>
      <c r="AM2311">
        <v>89.761867366009895</v>
      </c>
      <c r="AN2311">
        <v>1.00000001133839</v>
      </c>
    </row>
    <row r="2312" spans="1:40" x14ac:dyDescent="0.25">
      <c r="A2312" t="str">
        <f>"20190303154812691"</f>
        <v>20190303154812691</v>
      </c>
      <c r="B2312" t="str">
        <f>"1551599292683273"</f>
        <v>1551599292683273</v>
      </c>
      <c r="C2312" t="s">
        <v>40</v>
      </c>
      <c r="D2312">
        <v>5.2165179999999998</v>
      </c>
      <c r="E2312">
        <v>0.50421890000000003</v>
      </c>
      <c r="F2312" t="s">
        <v>52</v>
      </c>
      <c r="G2312">
        <v>-390.32130000000001</v>
      </c>
      <c r="H2312" s="1">
        <v>-1.3658309999999999E-6</v>
      </c>
      <c r="I2312">
        <v>285.44389999999999</v>
      </c>
      <c r="J2312">
        <v>-362.24020000000002</v>
      </c>
      <c r="K2312">
        <v>1.1203179999999999</v>
      </c>
      <c r="L2312">
        <v>285.0643</v>
      </c>
      <c r="M2312">
        <v>-0.99992440000000005</v>
      </c>
      <c r="N2312">
        <v>-1.212455E-2</v>
      </c>
      <c r="O2312">
        <v>-2.1109710000000001E-3</v>
      </c>
      <c r="P2312">
        <v>-0.99610290000000001</v>
      </c>
      <c r="Q2312">
        <v>-8.8174180000000005E-2</v>
      </c>
      <c r="R2312">
        <v>2.1861820000000001E-3</v>
      </c>
      <c r="S2312">
        <v>-3.0011290000000002</v>
      </c>
      <c r="T2312">
        <v>-0.1186466</v>
      </c>
      <c r="U2312">
        <v>4.0130619999999999E-2</v>
      </c>
      <c r="V2312">
        <v>4.3308729999999998E-3</v>
      </c>
      <c r="W2312">
        <v>-7.6088149999999993E-2</v>
      </c>
      <c r="X2312">
        <v>0.99709170000000003</v>
      </c>
      <c r="Y2312">
        <v>1.546497E-2</v>
      </c>
      <c r="Z2312">
        <v>4.5720299999999999E-4</v>
      </c>
      <c r="AA2312">
        <v>0.99988030000000006</v>
      </c>
      <c r="AB2312">
        <v>45</v>
      </c>
      <c r="AC2312">
        <v>-28.0810999999999</v>
      </c>
      <c r="AD2312">
        <v>-1.120319365831</v>
      </c>
      <c r="AE2312">
        <v>0.37959999999998201</v>
      </c>
      <c r="AF2312">
        <v>0.43818456981322101</v>
      </c>
      <c r="AG2312">
        <v>-1.120319365831</v>
      </c>
      <c r="AH2312">
        <v>28.0356204876609</v>
      </c>
      <c r="AI2312">
        <v>92.288075301528394</v>
      </c>
      <c r="AJ2312">
        <v>89.104564763504996</v>
      </c>
      <c r="AK2312">
        <v>28.0614172366049</v>
      </c>
      <c r="AL2312">
        <v>94.363747331533304</v>
      </c>
      <c r="AM2312">
        <v>89.751137047828905</v>
      </c>
      <c r="AN2312">
        <v>1.0000000106201199</v>
      </c>
    </row>
    <row r="2313" spans="1:40" x14ac:dyDescent="0.25">
      <c r="A2313" t="str">
        <f>"20190303154812705"</f>
        <v>20190303154812705</v>
      </c>
      <c r="B2313" t="str">
        <f>"1551599292702793"</f>
        <v>1551599292702793</v>
      </c>
      <c r="C2313" t="s">
        <v>40</v>
      </c>
      <c r="D2313">
        <v>5.2159890000000004</v>
      </c>
      <c r="E2313">
        <v>0.5043185</v>
      </c>
      <c r="F2313" t="s">
        <v>52</v>
      </c>
      <c r="G2313">
        <v>-390.46690000000001</v>
      </c>
      <c r="H2313" s="1">
        <v>-1.288316E-6</v>
      </c>
      <c r="I2313">
        <v>285.44869999999997</v>
      </c>
      <c r="J2313">
        <v>-362.52249999999998</v>
      </c>
      <c r="K2313">
        <v>1.1203510000000001</v>
      </c>
      <c r="L2313">
        <v>285.06360000000001</v>
      </c>
      <c r="M2313">
        <v>-0.99992239999999999</v>
      </c>
      <c r="N2313">
        <v>-1.226346E-2</v>
      </c>
      <c r="O2313">
        <v>-2.2534349999999998E-3</v>
      </c>
      <c r="P2313">
        <v>-0.99609639999999999</v>
      </c>
      <c r="Q2313">
        <v>-8.8250120000000001E-2</v>
      </c>
      <c r="R2313">
        <v>2.0681699999999998E-3</v>
      </c>
      <c r="S2313">
        <v>-3.001099</v>
      </c>
      <c r="T2313">
        <v>-0.11911380000000001</v>
      </c>
      <c r="U2313">
        <v>4.0863040000000003E-2</v>
      </c>
      <c r="V2313">
        <v>4.35565E-3</v>
      </c>
      <c r="W2313">
        <v>-7.6025529999999994E-2</v>
      </c>
      <c r="X2313">
        <v>0.99709639999999999</v>
      </c>
      <c r="Y2313">
        <v>1.5850940000000001E-2</v>
      </c>
      <c r="Z2313">
        <v>4.7344889999999999E-4</v>
      </c>
      <c r="AA2313">
        <v>0.99987420000000005</v>
      </c>
      <c r="AB2313">
        <v>45</v>
      </c>
      <c r="AC2313">
        <v>-27.944400000000002</v>
      </c>
      <c r="AD2313">
        <v>-1.120352288316</v>
      </c>
      <c r="AE2313">
        <v>0.38509999999996503</v>
      </c>
      <c r="AF2313">
        <v>0.44735570225631699</v>
      </c>
      <c r="AG2313">
        <v>-1.120352288316</v>
      </c>
      <c r="AH2313">
        <v>27.898625886746199</v>
      </c>
      <c r="AI2313">
        <v>92.299351489230204</v>
      </c>
      <c r="AJ2313">
        <v>89.081338367623303</v>
      </c>
      <c r="AK2313">
        <v>27.924695929282699</v>
      </c>
      <c r="AL2313">
        <v>94.360148910738403</v>
      </c>
      <c r="AM2313">
        <v>89.749714496355907</v>
      </c>
      <c r="AN2313">
        <v>1.0000000418958299</v>
      </c>
    </row>
    <row r="2314" spans="1:40" x14ac:dyDescent="0.25">
      <c r="A2314" t="str">
        <f>"20190303154812718"</f>
        <v>20190303154812718</v>
      </c>
      <c r="B2314" t="str">
        <f>"1551599292712554"</f>
        <v>1551599292712554</v>
      </c>
      <c r="C2314" t="s">
        <v>40</v>
      </c>
      <c r="D2314">
        <v>5.2130769999999904</v>
      </c>
      <c r="E2314">
        <v>0.50434489999999998</v>
      </c>
      <c r="F2314" t="s">
        <v>52</v>
      </c>
      <c r="G2314">
        <v>-390.61829999999998</v>
      </c>
      <c r="H2314" s="1">
        <v>-1.2077319999999999E-6</v>
      </c>
      <c r="I2314">
        <v>285.44850000000002</v>
      </c>
      <c r="J2314">
        <v>-362.78530000000001</v>
      </c>
      <c r="K2314">
        <v>1.1203809999999901</v>
      </c>
      <c r="L2314">
        <v>285.06290000000001</v>
      </c>
      <c r="M2314">
        <v>-0.99992040000000004</v>
      </c>
      <c r="N2314">
        <v>-1.240404E-2</v>
      </c>
      <c r="O2314">
        <v>-2.3920809999999999E-3</v>
      </c>
      <c r="P2314">
        <v>-0.99609639999999999</v>
      </c>
      <c r="Q2314">
        <v>-8.8252990000000003E-2</v>
      </c>
      <c r="R2314">
        <v>1.9134169999999999E-3</v>
      </c>
      <c r="S2314">
        <v>-3.0010379999999999</v>
      </c>
      <c r="T2314">
        <v>-0.1196697</v>
      </c>
      <c r="U2314">
        <v>4.110718E-2</v>
      </c>
      <c r="V2314">
        <v>4.3396040000000004E-3</v>
      </c>
      <c r="W2314">
        <v>-7.5888209999999998E-2</v>
      </c>
      <c r="X2314">
        <v>0.99710690000000002</v>
      </c>
      <c r="Y2314">
        <v>1.6070729999999998E-2</v>
      </c>
      <c r="Z2314">
        <v>4.8568990000000001E-4</v>
      </c>
      <c r="AA2314">
        <v>0.9998707</v>
      </c>
      <c r="AB2314">
        <v>45</v>
      </c>
      <c r="AC2314">
        <v>-27.832999999999899</v>
      </c>
      <c r="AD2314">
        <v>-1.12038220773199</v>
      </c>
      <c r="AE2314">
        <v>0.38560000000000999</v>
      </c>
      <c r="AF2314">
        <v>0.45145142176827102</v>
      </c>
      <c r="AG2314">
        <v>-1.12038220773199</v>
      </c>
      <c r="AH2314">
        <v>27.7869815377972</v>
      </c>
      <c r="AI2314">
        <v>92.308633700102703</v>
      </c>
      <c r="AJ2314">
        <v>89.069204924061495</v>
      </c>
      <c r="AK2314">
        <v>27.813223611431699</v>
      </c>
      <c r="AL2314">
        <v>94.352258392751693</v>
      </c>
      <c r="AM2314">
        <v>89.750639150035397</v>
      </c>
      <c r="AN2314">
        <v>1.0000000113037399</v>
      </c>
    </row>
    <row r="2315" spans="1:40" x14ac:dyDescent="0.25">
      <c r="A2315" t="str">
        <f>"20190303154812735"</f>
        <v>20190303154812735</v>
      </c>
      <c r="B2315" t="str">
        <f>"1551599292723289"</f>
        <v>1551599292723289</v>
      </c>
      <c r="C2315" t="s">
        <v>40</v>
      </c>
      <c r="D2315">
        <v>5.268751</v>
      </c>
      <c r="E2315">
        <v>0.50442109999999996</v>
      </c>
      <c r="F2315" t="s">
        <v>52</v>
      </c>
      <c r="G2315">
        <v>-390.81610000000001</v>
      </c>
      <c r="H2315" s="1">
        <v>-1.1025199999999999E-6</v>
      </c>
      <c r="I2315">
        <v>285.44490000000002</v>
      </c>
      <c r="J2315">
        <v>-363.11059999999998</v>
      </c>
      <c r="K2315">
        <v>1.120417</v>
      </c>
      <c r="L2315">
        <v>285.06200000000001</v>
      </c>
      <c r="M2315">
        <v>-0.99991770000000002</v>
      </c>
      <c r="N2315">
        <v>-1.25877E-2</v>
      </c>
      <c r="O2315">
        <v>-2.574439E-3</v>
      </c>
      <c r="P2315">
        <v>-0.99610799999999999</v>
      </c>
      <c r="Q2315">
        <v>-8.8117379999999995E-2</v>
      </c>
      <c r="R2315">
        <v>2.106138E-3</v>
      </c>
      <c r="S2315">
        <v>-3.0010379999999999</v>
      </c>
      <c r="T2315">
        <v>-0.1199505</v>
      </c>
      <c r="U2315">
        <v>4.0893550000000001E-2</v>
      </c>
      <c r="V2315">
        <v>4.7147550000000002E-3</v>
      </c>
      <c r="W2315">
        <v>-7.5569059999999993E-2</v>
      </c>
      <c r="X2315">
        <v>0.99712940000000005</v>
      </c>
      <c r="Y2315">
        <v>1.6181609999999999E-2</v>
      </c>
      <c r="Z2315">
        <v>4.9560680000000005E-4</v>
      </c>
      <c r="AA2315">
        <v>0.99986889999999995</v>
      </c>
      <c r="AB2315">
        <v>45</v>
      </c>
      <c r="AC2315">
        <v>-27.705500000000001</v>
      </c>
      <c r="AD2315">
        <v>-1.12041810252</v>
      </c>
      <c r="AE2315">
        <v>0.38290000000000601</v>
      </c>
      <c r="AF2315">
        <v>0.45348898330906301</v>
      </c>
      <c r="AG2315">
        <v>-1.12041810252</v>
      </c>
      <c r="AH2315">
        <v>27.659196687048599</v>
      </c>
      <c r="AI2315">
        <v>92.319356515767893</v>
      </c>
      <c r="AJ2315">
        <v>89.060685772730594</v>
      </c>
      <c r="AK2315">
        <v>27.685594636114899</v>
      </c>
      <c r="AL2315">
        <v>94.333919937981193</v>
      </c>
      <c r="AM2315">
        <v>89.729088772412993</v>
      </c>
      <c r="AN2315">
        <v>0.99999997604417601</v>
      </c>
    </row>
    <row r="2316" spans="1:40" x14ac:dyDescent="0.25">
      <c r="A2316" t="str">
        <f>"20190303154812758"</f>
        <v>20190303154812758</v>
      </c>
      <c r="B2316" t="str">
        <f>"1551599292752569"</f>
        <v>1551599292752569</v>
      </c>
      <c r="C2316" t="s">
        <v>40</v>
      </c>
      <c r="D2316">
        <v>5.2354479999999999</v>
      </c>
      <c r="E2316">
        <v>0.50431720000000002</v>
      </c>
      <c r="F2316" t="s">
        <v>52</v>
      </c>
      <c r="G2316">
        <v>-391.23540000000003</v>
      </c>
      <c r="H2316" s="1">
        <v>-8.7938760000000002E-7</v>
      </c>
      <c r="I2316">
        <v>285.45440000000002</v>
      </c>
      <c r="J2316">
        <v>-363.57650000000001</v>
      </c>
      <c r="K2316">
        <v>1.1204769999999999</v>
      </c>
      <c r="L2316">
        <v>285.06060000000002</v>
      </c>
      <c r="M2316">
        <v>-0.99991319999999995</v>
      </c>
      <c r="N2316">
        <v>-1.2863950000000001E-2</v>
      </c>
      <c r="O2316">
        <v>-2.8530309999999998E-3</v>
      </c>
      <c r="P2316">
        <v>-0.99613229999999997</v>
      </c>
      <c r="Q2316">
        <v>-8.7834670000000004E-2</v>
      </c>
      <c r="R2316">
        <v>2.420733E-3</v>
      </c>
      <c r="S2316">
        <v>-3.0010680000000001</v>
      </c>
      <c r="T2316">
        <v>-0.11955490000000001</v>
      </c>
      <c r="U2316">
        <v>4.1870119999999997E-2</v>
      </c>
      <c r="V2316">
        <v>5.3089909999999999E-3</v>
      </c>
      <c r="W2316">
        <v>-7.5010110000000005E-2</v>
      </c>
      <c r="X2316">
        <v>0.99716870000000002</v>
      </c>
      <c r="Y2316">
        <v>1.678466E-2</v>
      </c>
      <c r="Z2316">
        <v>5.1912149999999995E-4</v>
      </c>
      <c r="AA2316">
        <v>0.99985900000000005</v>
      </c>
      <c r="AB2316">
        <v>45</v>
      </c>
      <c r="AC2316">
        <v>-27.658899999999999</v>
      </c>
      <c r="AD2316">
        <v>-1.1204778793876</v>
      </c>
      <c r="AE2316">
        <v>0.39379999999999798</v>
      </c>
      <c r="AF2316">
        <v>0.471942274456082</v>
      </c>
      <c r="AG2316">
        <v>-1.1204778793876</v>
      </c>
      <c r="AH2316">
        <v>27.612358159378498</v>
      </c>
      <c r="AI2316">
        <v>92.323383280122201</v>
      </c>
      <c r="AJ2316">
        <v>89.020812791726897</v>
      </c>
      <c r="AK2316">
        <v>27.639112201921598</v>
      </c>
      <c r="AL2316">
        <v>94.301802946480393</v>
      </c>
      <c r="AM2316">
        <v>89.694956426396203</v>
      </c>
      <c r="AN2316">
        <v>1.00000005912366</v>
      </c>
    </row>
    <row r="2317" spans="1:40" x14ac:dyDescent="0.25">
      <c r="A2317" t="str">
        <f>"20190303154812778"</f>
        <v>20190303154812778</v>
      </c>
      <c r="B2317" t="str">
        <f>"1551599292773068"</f>
        <v>1551599292773068</v>
      </c>
      <c r="C2317" t="s">
        <v>40</v>
      </c>
      <c r="D2317">
        <v>5.231662</v>
      </c>
      <c r="E2317">
        <v>0.50430540000000001</v>
      </c>
      <c r="F2317" t="s">
        <v>52</v>
      </c>
      <c r="G2317">
        <v>-391.22579999999999</v>
      </c>
      <c r="H2317" s="1">
        <v>-8.8446919999999898E-7</v>
      </c>
      <c r="I2317">
        <v>285.44920000000002</v>
      </c>
      <c r="J2317">
        <v>-363.9982</v>
      </c>
      <c r="K2317">
        <v>1.1205350000000001</v>
      </c>
      <c r="L2317">
        <v>285.05919999999998</v>
      </c>
      <c r="M2317">
        <v>-0.99990900000000005</v>
      </c>
      <c r="N2317">
        <v>-1.312309E-2</v>
      </c>
      <c r="O2317">
        <v>-3.124847E-3</v>
      </c>
      <c r="P2317">
        <v>-0.99614669999999905</v>
      </c>
      <c r="Q2317">
        <v>-8.7644089999999994E-2</v>
      </c>
      <c r="R2317">
        <v>3.2942539999999999E-3</v>
      </c>
      <c r="S2317">
        <v>-3.0008240000000002</v>
      </c>
      <c r="T2317">
        <v>-0.1216071</v>
      </c>
      <c r="U2317">
        <v>4.2175289999999997E-2</v>
      </c>
      <c r="V2317">
        <v>6.4565439999999998E-3</v>
      </c>
      <c r="W2317">
        <v>-7.4559979999999998E-2</v>
      </c>
      <c r="X2317">
        <v>0.99719559999999996</v>
      </c>
      <c r="Y2317">
        <v>1.7158110000000001E-2</v>
      </c>
      <c r="Z2317">
        <v>5.4573739999999897E-4</v>
      </c>
      <c r="AA2317">
        <v>0.99985270000000004</v>
      </c>
      <c r="AB2317">
        <v>45</v>
      </c>
      <c r="AC2317">
        <v>-27.227599999999899</v>
      </c>
      <c r="AD2317">
        <v>-1.1205358844691999</v>
      </c>
      <c r="AE2317">
        <v>0.39000000000004298</v>
      </c>
      <c r="AF2317">
        <v>0.47428438350770402</v>
      </c>
      <c r="AG2317">
        <v>-1.1205358844691999</v>
      </c>
      <c r="AH2317">
        <v>27.1802229359132</v>
      </c>
      <c r="AI2317">
        <v>92.360388512023704</v>
      </c>
      <c r="AJ2317">
        <v>89.000312252027101</v>
      </c>
      <c r="AK2317">
        <v>27.207445032394499</v>
      </c>
      <c r="AL2317">
        <v>94.275940350902204</v>
      </c>
      <c r="AM2317">
        <v>89.629032105476497</v>
      </c>
      <c r="AN2317">
        <v>0.99999997111869099</v>
      </c>
    </row>
    <row r="2318" spans="1:40" x14ac:dyDescent="0.25">
      <c r="A2318" t="str">
        <f>"20190303154812792"</f>
        <v>20190303154812792</v>
      </c>
      <c r="B2318" t="str">
        <f>"1551599292782826"</f>
        <v>1551599292782826</v>
      </c>
      <c r="C2318" t="s">
        <v>40</v>
      </c>
      <c r="D2318">
        <v>5.229622</v>
      </c>
      <c r="E2318">
        <v>0.50428629999999997</v>
      </c>
      <c r="F2318" t="s">
        <v>52</v>
      </c>
      <c r="G2318">
        <v>-391.52159999999998</v>
      </c>
      <c r="H2318" s="1">
        <v>-7.2704899999999996E-7</v>
      </c>
      <c r="I2318">
        <v>285.4676</v>
      </c>
      <c r="J2318">
        <v>-364.2491</v>
      </c>
      <c r="K2318">
        <v>1.120568</v>
      </c>
      <c r="L2318">
        <v>285.05829999999997</v>
      </c>
      <c r="M2318">
        <v>-0.99990659999999998</v>
      </c>
      <c r="N2318">
        <v>-1.3275250000000001E-2</v>
      </c>
      <c r="O2318">
        <v>-3.2975499999999998E-3</v>
      </c>
      <c r="P2318">
        <v>-0.99616170000000004</v>
      </c>
      <c r="Q2318">
        <v>-8.7470339999999994E-2</v>
      </c>
      <c r="R2318">
        <v>3.391219E-3</v>
      </c>
      <c r="S2318">
        <v>-3.000702</v>
      </c>
      <c r="T2318">
        <v>-0.1221646</v>
      </c>
      <c r="U2318">
        <v>4.4525149999999999E-2</v>
      </c>
      <c r="V2318">
        <v>6.7279159999999996E-3</v>
      </c>
      <c r="W2318">
        <v>-7.4233919999999995E-2</v>
      </c>
      <c r="X2318">
        <v>0.9972181</v>
      </c>
      <c r="Y2318">
        <v>1.811287E-2</v>
      </c>
      <c r="Z2318">
        <v>5.7926180000000002E-4</v>
      </c>
      <c r="AA2318">
        <v>0.99983580000000005</v>
      </c>
      <c r="AB2318">
        <v>45</v>
      </c>
      <c r="AC2318">
        <v>-27.272499999999901</v>
      </c>
      <c r="AD2318">
        <v>-1.1205687270489999</v>
      </c>
      <c r="AE2318">
        <v>0.40930000000002997</v>
      </c>
      <c r="AF2318">
        <v>0.49839690764394101</v>
      </c>
      <c r="AG2318">
        <v>-1.1205687270489999</v>
      </c>
      <c r="AH2318">
        <v>27.225050570065999</v>
      </c>
      <c r="AI2318">
        <v>92.356539318919204</v>
      </c>
      <c r="AJ2318">
        <v>88.951228762526796</v>
      </c>
      <c r="AK2318">
        <v>27.2526595453038</v>
      </c>
      <c r="AL2318">
        <v>94.257206707109006</v>
      </c>
      <c r="AM2318">
        <v>89.613449311507296</v>
      </c>
      <c r="AN2318">
        <v>0.99999993934993703</v>
      </c>
    </row>
    <row r="2319" spans="1:40" x14ac:dyDescent="0.25">
      <c r="A2319" t="str">
        <f>"20190303154812806"</f>
        <v>20190303154812806</v>
      </c>
      <c r="B2319" t="str">
        <f>"1551599292803320"</f>
        <v>1551599292803320</v>
      </c>
      <c r="C2319" t="s">
        <v>40</v>
      </c>
      <c r="D2319">
        <v>5.2132230000000002</v>
      </c>
      <c r="E2319">
        <v>0.5042548</v>
      </c>
      <c r="F2319" t="s">
        <v>52</v>
      </c>
      <c r="G2319">
        <v>-391.76240000000001</v>
      </c>
      <c r="H2319" s="1">
        <v>-5.9893329999999998E-7</v>
      </c>
      <c r="I2319">
        <v>285.4674</v>
      </c>
      <c r="J2319">
        <v>-364.53059999999999</v>
      </c>
      <c r="K2319">
        <v>1.1206050000000001</v>
      </c>
      <c r="L2319">
        <v>285.05720000000002</v>
      </c>
      <c r="M2319">
        <v>-0.9999036</v>
      </c>
      <c r="N2319">
        <v>-1.3442030000000001E-2</v>
      </c>
      <c r="O2319">
        <v>-3.4973679999999998E-3</v>
      </c>
      <c r="P2319">
        <v>-0.99616439999999995</v>
      </c>
      <c r="Q2319">
        <v>-8.7429889999999996E-2</v>
      </c>
      <c r="R2319">
        <v>3.5879010000000001E-3</v>
      </c>
      <c r="S2319">
        <v>-3.0006710000000001</v>
      </c>
      <c r="T2319">
        <v>-0.12221219999999999</v>
      </c>
      <c r="U2319">
        <v>4.4616700000000002E-2</v>
      </c>
      <c r="V2319">
        <v>7.1264830000000003E-3</v>
      </c>
      <c r="W2319">
        <v>-7.402657E-2</v>
      </c>
      <c r="X2319">
        <v>0.99723079999999997</v>
      </c>
      <c r="Y2319">
        <v>1.8342939999999999E-2</v>
      </c>
      <c r="Z2319">
        <v>5.9210399999999998E-4</v>
      </c>
      <c r="AA2319">
        <v>0.99983160000000004</v>
      </c>
      <c r="AB2319">
        <v>45</v>
      </c>
      <c r="AC2319">
        <v>-27.2318</v>
      </c>
      <c r="AD2319">
        <v>-1.1206055989332999</v>
      </c>
      <c r="AE2319">
        <v>0.41019999999997397</v>
      </c>
      <c r="AF2319">
        <v>0.50459144791454003</v>
      </c>
      <c r="AG2319">
        <v>-1.1206055989332999</v>
      </c>
      <c r="AH2319">
        <v>27.184176141981801</v>
      </c>
      <c r="AI2319">
        <v>92.360145108092098</v>
      </c>
      <c r="AJ2319">
        <v>88.936600451220997</v>
      </c>
      <c r="AK2319">
        <v>27.211942267246599</v>
      </c>
      <c r="AL2319">
        <v>94.245293415454995</v>
      </c>
      <c r="AM2319">
        <v>89.590555718827503</v>
      </c>
      <c r="AN2319">
        <v>0.99999999414727703</v>
      </c>
    </row>
    <row r="2320" spans="1:40" x14ac:dyDescent="0.25">
      <c r="A2320" t="str">
        <f>"20190303154812822"</f>
        <v>20190303154812822</v>
      </c>
      <c r="B2320" t="str">
        <f>"1551599292813081"</f>
        <v>1551599292813081</v>
      </c>
      <c r="C2320" t="s">
        <v>40</v>
      </c>
      <c r="D2320">
        <v>5.2203650000000001</v>
      </c>
      <c r="E2320">
        <v>0.50422040000000001</v>
      </c>
      <c r="F2320" t="s">
        <v>52</v>
      </c>
      <c r="G2320">
        <v>-391.69760000000002</v>
      </c>
      <c r="H2320" s="1">
        <v>-6.3343009999999997E-7</v>
      </c>
      <c r="I2320">
        <v>285.46260000000001</v>
      </c>
      <c r="J2320">
        <v>-364.85289999999998</v>
      </c>
      <c r="K2320">
        <v>1.120649</v>
      </c>
      <c r="L2320">
        <v>285.05590000000001</v>
      </c>
      <c r="M2320">
        <v>-0.99990029999999996</v>
      </c>
      <c r="N2320">
        <v>-1.3624850000000001E-2</v>
      </c>
      <c r="O2320">
        <v>-3.7372149999999999E-3</v>
      </c>
      <c r="P2320">
        <v>-0.99613620000000003</v>
      </c>
      <c r="Q2320">
        <v>-8.774477E-2</v>
      </c>
      <c r="R2320">
        <v>3.6846240000000001E-3</v>
      </c>
      <c r="S2320">
        <v>-3.0004879999999998</v>
      </c>
      <c r="T2320">
        <v>-0.1237665</v>
      </c>
      <c r="U2320">
        <v>4.4769290000000003E-2</v>
      </c>
      <c r="V2320">
        <v>7.4659390000000004E-3</v>
      </c>
      <c r="W2320">
        <v>-7.4158849999999998E-2</v>
      </c>
      <c r="X2320">
        <v>0.99721850000000001</v>
      </c>
      <c r="Y2320">
        <v>1.8633540000000001E-2</v>
      </c>
      <c r="Z2320">
        <v>6.1432390000000004E-4</v>
      </c>
      <c r="AA2320">
        <v>0.9998262</v>
      </c>
      <c r="AB2320">
        <v>45</v>
      </c>
      <c r="AC2320">
        <v>-26.8447</v>
      </c>
      <c r="AD2320">
        <v>-1.1206496334300999</v>
      </c>
      <c r="AE2320">
        <v>0.40670000000000001</v>
      </c>
      <c r="AF2320">
        <v>0.50614901395810397</v>
      </c>
      <c r="AG2320">
        <v>-1.1206496334300999</v>
      </c>
      <c r="AH2320">
        <v>26.796305229813701</v>
      </c>
      <c r="AI2320">
        <v>92.394347585027802</v>
      </c>
      <c r="AJ2320">
        <v>88.917882377988803</v>
      </c>
      <c r="AK2320">
        <v>26.824504028864698</v>
      </c>
      <c r="AL2320">
        <v>94.252893340288097</v>
      </c>
      <c r="AM2320">
        <v>89.571048067470301</v>
      </c>
      <c r="AN2320">
        <v>1.00000000601036</v>
      </c>
    </row>
    <row r="2321" spans="1:40" x14ac:dyDescent="0.25">
      <c r="A2321" t="str">
        <f>"20190303154812835"</f>
        <v>20190303154812835</v>
      </c>
      <c r="B2321" t="str">
        <f>"1551599292832601"</f>
        <v>1551599292832601</v>
      </c>
      <c r="C2321" t="s">
        <v>40</v>
      </c>
      <c r="D2321">
        <v>5.1828880000000002</v>
      </c>
      <c r="E2321">
        <v>0.50415459999999901</v>
      </c>
      <c r="F2321" t="s">
        <v>52</v>
      </c>
      <c r="G2321">
        <v>-391.62830000000002</v>
      </c>
      <c r="H2321" s="1">
        <v>-6.703137E-7</v>
      </c>
      <c r="I2321">
        <v>285.45679999999999</v>
      </c>
      <c r="J2321">
        <v>-365.12419999999997</v>
      </c>
      <c r="K2321">
        <v>1.1206830000000001</v>
      </c>
      <c r="L2321">
        <v>285.05470000000003</v>
      </c>
      <c r="M2321">
        <v>-0.99989729999999999</v>
      </c>
      <c r="N2321">
        <v>-1.3767669999999999E-2</v>
      </c>
      <c r="O2321">
        <v>-3.9524259999999898E-3</v>
      </c>
      <c r="P2321">
        <v>-0.99609610000000004</v>
      </c>
      <c r="Q2321">
        <v>-8.8180709999999995E-2</v>
      </c>
      <c r="R2321">
        <v>4.0781139999999999E-3</v>
      </c>
      <c r="S2321">
        <v>-3.000397</v>
      </c>
      <c r="T2321">
        <v>-0.12557789999999999</v>
      </c>
      <c r="U2321">
        <v>4.4921879999999997E-2</v>
      </c>
      <c r="V2321">
        <v>8.0773990000000007E-3</v>
      </c>
      <c r="W2321">
        <v>-7.4452069999999995E-2</v>
      </c>
      <c r="X2321">
        <v>0.99719190000000002</v>
      </c>
      <c r="Y2321">
        <v>1.8898990000000001E-2</v>
      </c>
      <c r="Z2321">
        <v>6.3643290000000002E-4</v>
      </c>
      <c r="AA2321">
        <v>0.99982119999999997</v>
      </c>
      <c r="AB2321">
        <v>45</v>
      </c>
      <c r="AC2321">
        <v>-26.504100000000001</v>
      </c>
      <c r="AD2321">
        <v>-1.1206836703137</v>
      </c>
      <c r="AE2321">
        <v>0.40209999999996099</v>
      </c>
      <c r="AF2321">
        <v>0.50595790643330296</v>
      </c>
      <c r="AG2321">
        <v>-1.1206836703137</v>
      </c>
      <c r="AH2321">
        <v>26.455015835657999</v>
      </c>
      <c r="AI2321">
        <v>92.425262492560293</v>
      </c>
      <c r="AJ2321">
        <v>88.904339384962498</v>
      </c>
      <c r="AK2321">
        <v>26.483575818927999</v>
      </c>
      <c r="AL2321">
        <v>94.269740120363494</v>
      </c>
      <c r="AM2321">
        <v>89.535906026990205</v>
      </c>
      <c r="AN2321">
        <v>1.00000002026375</v>
      </c>
    </row>
    <row r="2322" spans="1:40" x14ac:dyDescent="0.25">
      <c r="A2322" t="str">
        <f>"20190303154812849"</f>
        <v>20190303154812849</v>
      </c>
      <c r="B2322" t="str">
        <f>"1551599292843337"</f>
        <v>1551599292843337</v>
      </c>
      <c r="C2322" t="s">
        <v>40</v>
      </c>
      <c r="D2322">
        <v>5.2219850000000001</v>
      </c>
      <c r="E2322">
        <v>0.50413599999999903</v>
      </c>
      <c r="F2322" t="s">
        <v>52</v>
      </c>
      <c r="G2322">
        <v>-391.27719999999999</v>
      </c>
      <c r="H2322" s="1">
        <v>-8.5713979999999997E-7</v>
      </c>
      <c r="I2322">
        <v>285.45060000000001</v>
      </c>
      <c r="J2322">
        <v>-365.38319999999999</v>
      </c>
      <c r="K2322">
        <v>1.1207100000000001</v>
      </c>
      <c r="L2322">
        <v>285.05360000000002</v>
      </c>
      <c r="M2322">
        <v>-0.99989490000000003</v>
      </c>
      <c r="N2322">
        <v>-1.389613E-2</v>
      </c>
      <c r="O2322">
        <v>-4.1658529999999997E-3</v>
      </c>
      <c r="P2322">
        <v>-0.9960791</v>
      </c>
      <c r="Q2322">
        <v>-8.8378559999999995E-2</v>
      </c>
      <c r="R2322">
        <v>4.0330790000000002E-3</v>
      </c>
      <c r="S2322">
        <v>-3.0001829999999998</v>
      </c>
      <c r="T2322">
        <v>-0.12856110000000001</v>
      </c>
      <c r="U2322">
        <v>4.5410159999999998E-2</v>
      </c>
      <c r="V2322">
        <v>8.2480309999999994E-3</v>
      </c>
      <c r="W2322">
        <v>-7.4521569999999995E-2</v>
      </c>
      <c r="X2322">
        <v>0.99718530000000005</v>
      </c>
      <c r="Y2322">
        <v>1.927454E-2</v>
      </c>
      <c r="Z2322">
        <v>6.6732070000000002E-4</v>
      </c>
      <c r="AA2322">
        <v>0.99981399999999998</v>
      </c>
      <c r="AB2322">
        <v>45</v>
      </c>
      <c r="AC2322">
        <v>-25.893999999999998</v>
      </c>
      <c r="AD2322">
        <v>-1.1207108571397999</v>
      </c>
      <c r="AE2322">
        <v>0.39699999999999103</v>
      </c>
      <c r="AF2322">
        <v>0.50393379695456597</v>
      </c>
      <c r="AG2322">
        <v>-1.1207108571397999</v>
      </c>
      <c r="AH2322">
        <v>25.843721657174399</v>
      </c>
      <c r="AI2322">
        <v>92.482599711899695</v>
      </c>
      <c r="AJ2322">
        <v>88.882915490208603</v>
      </c>
      <c r="AK2322">
        <v>25.872918103502101</v>
      </c>
      <c r="AL2322">
        <v>94.273733320418799</v>
      </c>
      <c r="AM2322">
        <v>89.5260995233578</v>
      </c>
      <c r="AN2322">
        <v>1.00000000847336</v>
      </c>
    </row>
    <row r="2323" spans="1:40" x14ac:dyDescent="0.25">
      <c r="A2323" t="str">
        <f>"20190303154812861"</f>
        <v>20190303154812861</v>
      </c>
      <c r="B2323" t="str">
        <f>"1551599292853098"</f>
        <v>1551599292853098</v>
      </c>
      <c r="C2323" t="s">
        <v>40</v>
      </c>
      <c r="D2323">
        <v>5.1792350000000003</v>
      </c>
      <c r="E2323">
        <v>0.50412769999999996</v>
      </c>
      <c r="F2323" t="s">
        <v>52</v>
      </c>
      <c r="G2323">
        <v>-391.28919999999999</v>
      </c>
      <c r="H2323" s="1">
        <v>-8.5073589999999996E-7</v>
      </c>
      <c r="I2323">
        <v>285.44229999999999</v>
      </c>
      <c r="J2323">
        <v>-365.63990000000001</v>
      </c>
      <c r="K2323">
        <v>1.1207370000000001</v>
      </c>
      <c r="L2323">
        <v>285.0523</v>
      </c>
      <c r="M2323">
        <v>-0.99989220000000001</v>
      </c>
      <c r="N2323">
        <v>-1.4017709999999999E-2</v>
      </c>
      <c r="O2323">
        <v>-4.3825670000000004E-3</v>
      </c>
      <c r="P2323">
        <v>-0.99607140000000005</v>
      </c>
      <c r="Q2323">
        <v>-8.8471090000000002E-2</v>
      </c>
      <c r="R2323">
        <v>3.8544370000000001E-3</v>
      </c>
      <c r="S2323">
        <v>-3.000092</v>
      </c>
      <c r="T2323">
        <v>-0.12978609999999999</v>
      </c>
      <c r="U2323">
        <v>4.501343E-2</v>
      </c>
      <c r="V2323">
        <v>8.2880809999999992E-3</v>
      </c>
      <c r="W2323">
        <v>-7.4492630000000004E-2</v>
      </c>
      <c r="X2323">
        <v>0.99718709999999999</v>
      </c>
      <c r="Y2323">
        <v>1.9358839999999999E-2</v>
      </c>
      <c r="Z2323">
        <v>6.8238259999999905E-4</v>
      </c>
      <c r="AA2323">
        <v>0.99981240000000005</v>
      </c>
      <c r="AB2323">
        <v>44</v>
      </c>
      <c r="AC2323">
        <v>-25.649299999999901</v>
      </c>
      <c r="AD2323">
        <v>-1.1207378507359</v>
      </c>
      <c r="AE2323">
        <v>0.38999999999998602</v>
      </c>
      <c r="AF2323">
        <v>0.50145989056481299</v>
      </c>
      <c r="AG2323">
        <v>-1.1207378507359</v>
      </c>
      <c r="AH2323">
        <v>25.598482301639201</v>
      </c>
      <c r="AI2323">
        <v>92.506409284894005</v>
      </c>
      <c r="AJ2323">
        <v>88.877751398418994</v>
      </c>
      <c r="AK2323">
        <v>25.627910790762002</v>
      </c>
      <c r="AL2323">
        <v>94.272070688005101</v>
      </c>
      <c r="AM2323">
        <v>89.523799368006095</v>
      </c>
      <c r="AN2323">
        <v>0.99999997830869403</v>
      </c>
    </row>
    <row r="2324" spans="1:40" x14ac:dyDescent="0.25">
      <c r="A2324" t="str">
        <f>"20190303154812881"</f>
        <v>20190303154812881</v>
      </c>
      <c r="B2324" t="str">
        <f>"1551599292872617"</f>
        <v>1551599292872617</v>
      </c>
      <c r="C2324" t="s">
        <v>40</v>
      </c>
      <c r="D2324">
        <v>5.1396750000000004</v>
      </c>
      <c r="E2324">
        <v>0.50413359999999996</v>
      </c>
      <c r="F2324" t="s">
        <v>52</v>
      </c>
      <c r="G2324">
        <v>-391.40230000000003</v>
      </c>
      <c r="H2324" s="1">
        <v>-7.9057469999999896E-7</v>
      </c>
      <c r="I2324">
        <v>285.43520000000001</v>
      </c>
      <c r="J2324">
        <v>-366.01760000000002</v>
      </c>
      <c r="K2324">
        <v>1.1207689999999999</v>
      </c>
      <c r="L2324">
        <v>285.05040000000002</v>
      </c>
      <c r="M2324">
        <v>-0.99988849999999996</v>
      </c>
      <c r="N2324">
        <v>-1.418026E-2</v>
      </c>
      <c r="O2324">
        <v>-4.7178209999999996E-3</v>
      </c>
      <c r="P2324">
        <v>-0.9960871</v>
      </c>
      <c r="Q2324">
        <v>-8.8334049999999997E-2</v>
      </c>
      <c r="R2324">
        <v>2.7755789999999998E-3</v>
      </c>
      <c r="S2324">
        <v>-3.0000309999999999</v>
      </c>
      <c r="T2324">
        <v>-0.13051019999999999</v>
      </c>
      <c r="U2324">
        <v>4.4586180000000003E-2</v>
      </c>
      <c r="V2324">
        <v>7.5468690000000003E-3</v>
      </c>
      <c r="W2324">
        <v>-7.4193510000000004E-2</v>
      </c>
      <c r="X2324">
        <v>0.99721530000000003</v>
      </c>
      <c r="Y2324">
        <v>1.9551329999999999E-2</v>
      </c>
      <c r="Z2324">
        <v>7.0202299999999997E-4</v>
      </c>
      <c r="AA2324">
        <v>0.99980860000000005</v>
      </c>
      <c r="AB2324">
        <v>44</v>
      </c>
      <c r="AC2324">
        <v>-25.384699999999999</v>
      </c>
      <c r="AD2324">
        <v>-1.1207697905746901</v>
      </c>
      <c r="AE2324">
        <v>0.38479999999998399</v>
      </c>
      <c r="AF2324">
        <v>0.503586770049266</v>
      </c>
      <c r="AG2324">
        <v>-1.1207697905746901</v>
      </c>
      <c r="AH2324">
        <v>25.333229971447601</v>
      </c>
      <c r="AI2324">
        <v>92.532676382863201</v>
      </c>
      <c r="AJ2324">
        <v>88.861195475097901</v>
      </c>
      <c r="AK2324">
        <v>25.363009784816299</v>
      </c>
      <c r="AL2324">
        <v>94.254884751822701</v>
      </c>
      <c r="AM2324">
        <v>89.5663970584975</v>
      </c>
      <c r="AN2324">
        <v>0.99999999335595602</v>
      </c>
    </row>
    <row r="2325" spans="1:40" x14ac:dyDescent="0.25">
      <c r="A2325" t="str">
        <f>"20190303154812901"</f>
        <v>20190303154812901</v>
      </c>
      <c r="B2325" t="str">
        <f>"1551599292893112"</f>
        <v>1551599292893112</v>
      </c>
      <c r="C2325" t="s">
        <v>40</v>
      </c>
      <c r="D2325">
        <v>5.1446189999999996</v>
      </c>
      <c r="E2325">
        <v>0.50414229999999904</v>
      </c>
      <c r="F2325" t="s">
        <v>52</v>
      </c>
      <c r="G2325">
        <v>-391.70339999999999</v>
      </c>
      <c r="H2325" s="1">
        <v>-6.3033519999999896E-7</v>
      </c>
      <c r="I2325">
        <v>285.4042</v>
      </c>
      <c r="J2325">
        <v>-366.4239</v>
      </c>
      <c r="K2325">
        <v>1.1207959999999999</v>
      </c>
      <c r="L2325">
        <v>285.04820000000001</v>
      </c>
      <c r="M2325">
        <v>-0.99988429999999995</v>
      </c>
      <c r="N2325">
        <v>-1.4336420000000001E-2</v>
      </c>
      <c r="O2325">
        <v>-5.0936669999999996E-3</v>
      </c>
      <c r="P2325">
        <v>-0.99610240000000005</v>
      </c>
      <c r="Q2325">
        <v>-8.8194179999999997E-2</v>
      </c>
      <c r="R2325">
        <v>1.4212179999999999E-3</v>
      </c>
      <c r="S2325">
        <v>-3.0000309999999999</v>
      </c>
      <c r="T2325">
        <v>-0.13090309999999999</v>
      </c>
      <c r="U2325">
        <v>4.1320799999999998E-2</v>
      </c>
      <c r="V2325">
        <v>6.5704159999999999E-3</v>
      </c>
      <c r="W2325">
        <v>-7.3898259999999993E-2</v>
      </c>
      <c r="X2325">
        <v>0.99724409999999997</v>
      </c>
      <c r="Y2325">
        <v>1.8839680000000001E-2</v>
      </c>
      <c r="Z2325">
        <v>6.9509550000000002E-4</v>
      </c>
      <c r="AA2325">
        <v>0.99982230000000005</v>
      </c>
      <c r="AB2325">
        <v>44</v>
      </c>
      <c r="AC2325">
        <v>-25.279499999999899</v>
      </c>
      <c r="AD2325">
        <v>-1.1207966303351999</v>
      </c>
      <c r="AE2325">
        <v>0.35599999999999399</v>
      </c>
      <c r="AF2325">
        <v>0.48382310328421502</v>
      </c>
      <c r="AG2325">
        <v>-1.1207966303351999</v>
      </c>
      <c r="AH2325">
        <v>25.227778108506701</v>
      </c>
      <c r="AI2325">
        <v>92.543344622112002</v>
      </c>
      <c r="AJ2325">
        <v>88.901305384277904</v>
      </c>
      <c r="AK2325">
        <v>25.257297127244101</v>
      </c>
      <c r="AL2325">
        <v>94.237921751597199</v>
      </c>
      <c r="AM2325">
        <v>89.622508010485504</v>
      </c>
      <c r="AN2325">
        <v>0.99999995909112405</v>
      </c>
    </row>
    <row r="2326" spans="1:40" x14ac:dyDescent="0.25">
      <c r="A2326" t="str">
        <f>"20190303154812914"</f>
        <v>20190303154812914</v>
      </c>
      <c r="B2326" t="str">
        <f>"1551599292902873"</f>
        <v>1551599292902873</v>
      </c>
      <c r="C2326" t="s">
        <v>40</v>
      </c>
      <c r="D2326">
        <v>5.1373309999999996</v>
      </c>
      <c r="E2326">
        <v>0.50414820000000005</v>
      </c>
      <c r="F2326" t="s">
        <v>52</v>
      </c>
      <c r="G2326">
        <v>-392.04939999999999</v>
      </c>
      <c r="H2326" s="1">
        <v>-4.4617820000000002E-7</v>
      </c>
      <c r="I2326">
        <v>285.36860000000001</v>
      </c>
      <c r="J2326">
        <v>-366.6936</v>
      </c>
      <c r="K2326">
        <v>1.1208119999999999</v>
      </c>
      <c r="L2326">
        <v>285.04660000000001</v>
      </c>
      <c r="M2326">
        <v>-0.99988169999999998</v>
      </c>
      <c r="N2326">
        <v>-1.4429340000000001E-2</v>
      </c>
      <c r="O2326">
        <v>-5.3506300000000003E-3</v>
      </c>
      <c r="P2326">
        <v>-0.99606450000000002</v>
      </c>
      <c r="Q2326">
        <v>-8.8630650000000005E-2</v>
      </c>
      <c r="R2326">
        <v>6.1924759999999995E-4</v>
      </c>
      <c r="S2326">
        <v>-3.0000610000000001</v>
      </c>
      <c r="T2326">
        <v>-0.131215</v>
      </c>
      <c r="U2326">
        <v>3.7506100000000001E-2</v>
      </c>
      <c r="V2326">
        <v>6.0263479999999999E-3</v>
      </c>
      <c r="W2326">
        <v>-7.4242900000000001E-2</v>
      </c>
      <c r="X2326">
        <v>0.99722200000000005</v>
      </c>
      <c r="Y2326">
        <v>1.7826430000000001E-2</v>
      </c>
      <c r="Z2326">
        <v>6.7506599999999999E-4</v>
      </c>
      <c r="AA2326">
        <v>0.99984090000000003</v>
      </c>
      <c r="AB2326">
        <v>44</v>
      </c>
      <c r="AC2326">
        <v>-25.355799999999899</v>
      </c>
      <c r="AD2326">
        <v>-1.1208124461781901</v>
      </c>
      <c r="AE2326">
        <v>0.32200000000000201</v>
      </c>
      <c r="AF2326">
        <v>0.456786612968477</v>
      </c>
      <c r="AG2326">
        <v>-1.1208124461781901</v>
      </c>
      <c r="AH2326">
        <v>25.3042788075761</v>
      </c>
      <c r="AI2326">
        <v>92.535754370398806</v>
      </c>
      <c r="AJ2326">
        <v>88.965823014817104</v>
      </c>
      <c r="AK2326">
        <v>25.3332074661074</v>
      </c>
      <c r="AL2326">
        <v>94.257722297924204</v>
      </c>
      <c r="AM2326">
        <v>89.6537580366589</v>
      </c>
      <c r="AN2326">
        <v>1.0000000211773099</v>
      </c>
    </row>
    <row r="2327" spans="1:40" x14ac:dyDescent="0.25">
      <c r="A2327" t="str">
        <f>"20190303154812927"</f>
        <v>20190303154812927</v>
      </c>
      <c r="B2327" t="str">
        <f>"1551599292923369"</f>
        <v>1551599292923369</v>
      </c>
      <c r="C2327" t="s">
        <v>40</v>
      </c>
      <c r="D2327">
        <v>5.1607269999999996</v>
      </c>
      <c r="E2327">
        <v>0.50412239999999997</v>
      </c>
      <c r="F2327" t="s">
        <v>52</v>
      </c>
      <c r="G2327">
        <v>-392.01</v>
      </c>
      <c r="H2327" s="1">
        <v>-4.6714939999999999E-7</v>
      </c>
      <c r="I2327">
        <v>285.34249999999997</v>
      </c>
      <c r="J2327">
        <v>-366.93090000000001</v>
      </c>
      <c r="K2327">
        <v>1.120824</v>
      </c>
      <c r="L2327">
        <v>285.04520000000002</v>
      </c>
      <c r="M2327">
        <v>-0.99987919999999997</v>
      </c>
      <c r="N2327">
        <v>-1.450621E-2</v>
      </c>
      <c r="O2327">
        <v>-5.5790630000000004E-3</v>
      </c>
      <c r="P2327">
        <v>-0.99605949999999999</v>
      </c>
      <c r="Q2327">
        <v>-8.8687429999999998E-2</v>
      </c>
      <c r="R2327" s="1">
        <v>3.3871500000000003E-5</v>
      </c>
      <c r="S2327">
        <v>-2.9999690000000001</v>
      </c>
      <c r="T2327">
        <v>-0.13281519999999999</v>
      </c>
      <c r="U2327">
        <v>3.5064699999999997E-2</v>
      </c>
      <c r="V2327">
        <v>5.6701109999999898E-3</v>
      </c>
      <c r="W2327">
        <v>-7.4223339999999999E-2</v>
      </c>
      <c r="X2327">
        <v>0.99722549999999999</v>
      </c>
      <c r="Y2327">
        <v>1.724175E-2</v>
      </c>
      <c r="Z2327">
        <v>6.7257709999999997E-4</v>
      </c>
      <c r="AA2327">
        <v>0.99985109999999999</v>
      </c>
      <c r="AB2327">
        <v>44</v>
      </c>
      <c r="AC2327">
        <v>-25.079099999999901</v>
      </c>
      <c r="AD2327">
        <v>-1.1208244671493901</v>
      </c>
      <c r="AE2327">
        <v>0.29729999999994999</v>
      </c>
      <c r="AF2327">
        <v>0.436356548300735</v>
      </c>
      <c r="AG2327">
        <v>-1.1208244671493901</v>
      </c>
      <c r="AH2327">
        <v>25.027070313761602</v>
      </c>
      <c r="AI2327">
        <v>92.563859445838006</v>
      </c>
      <c r="AJ2327">
        <v>89.001127366607903</v>
      </c>
      <c r="AK2327">
        <v>25.055955440041998</v>
      </c>
      <c r="AL2327">
        <v>94.256598684033904</v>
      </c>
      <c r="AM2327">
        <v>89.674226211863598</v>
      </c>
      <c r="AN2327">
        <v>0.99999997610487801</v>
      </c>
    </row>
    <row r="2328" spans="1:40" x14ac:dyDescent="0.25">
      <c r="A2328" t="str">
        <f>"20190303154812942"</f>
        <v>20190303154812942</v>
      </c>
      <c r="B2328" t="str">
        <f>"1551599292933129"</f>
        <v>1551599292933129</v>
      </c>
      <c r="C2328" t="s">
        <v>40</v>
      </c>
      <c r="D2328">
        <v>5.1321399999999997</v>
      </c>
      <c r="E2328">
        <v>0.5041253</v>
      </c>
      <c r="F2328" t="s">
        <v>52</v>
      </c>
      <c r="G2328">
        <v>-391.9932</v>
      </c>
      <c r="H2328" s="1">
        <v>-4.761173E-7</v>
      </c>
      <c r="I2328">
        <v>285.32279999999997</v>
      </c>
      <c r="J2328">
        <v>-367.22620000000001</v>
      </c>
      <c r="K2328">
        <v>1.120841</v>
      </c>
      <c r="L2328">
        <v>285.04329999999999</v>
      </c>
      <c r="M2328">
        <v>-0.99987630000000005</v>
      </c>
      <c r="N2328">
        <v>-1.45956E-2</v>
      </c>
      <c r="O2328">
        <v>-5.866858E-3</v>
      </c>
      <c r="P2328">
        <v>-0.99603830000000004</v>
      </c>
      <c r="Q2328">
        <v>-8.892506E-2</v>
      </c>
      <c r="R2328">
        <v>-3.429498E-4</v>
      </c>
      <c r="S2328">
        <v>-2.999908</v>
      </c>
      <c r="T2328">
        <v>-0.13416049999999999</v>
      </c>
      <c r="U2328">
        <v>3.3233640000000002E-2</v>
      </c>
      <c r="V2328">
        <v>5.5817169999999999E-3</v>
      </c>
      <c r="W2328">
        <v>-7.4372049999999995E-2</v>
      </c>
      <c r="X2328">
        <v>0.99721490000000002</v>
      </c>
      <c r="Y2328">
        <v>1.6919380000000001E-2</v>
      </c>
      <c r="Z2328">
        <v>6.7832999999999999E-4</v>
      </c>
      <c r="AA2328">
        <v>0.99985670000000004</v>
      </c>
      <c r="AB2328">
        <v>44</v>
      </c>
      <c r="AC2328">
        <v>-24.766999999999999</v>
      </c>
      <c r="AD2328">
        <v>-1.1208414761173</v>
      </c>
      <c r="AE2328">
        <v>0.27949999999998398</v>
      </c>
      <c r="AF2328">
        <v>0.42394697956000699</v>
      </c>
      <c r="AG2328">
        <v>-1.1208414761173</v>
      </c>
      <c r="AH2328">
        <v>24.714323858907498</v>
      </c>
      <c r="AI2328">
        <v>92.596311552878802</v>
      </c>
      <c r="AJ2328">
        <v>89.017250453850394</v>
      </c>
      <c r="AK2328">
        <v>24.7433591183377</v>
      </c>
      <c r="AL2328">
        <v>94.265142835794407</v>
      </c>
      <c r="AM2328">
        <v>89.679301335402599</v>
      </c>
      <c r="AN2328">
        <v>0.99999995708393896</v>
      </c>
    </row>
    <row r="2329" spans="1:40" x14ac:dyDescent="0.25">
      <c r="A2329" t="str">
        <f>"20190303154812958"</f>
        <v>20190303154812958</v>
      </c>
      <c r="B2329" t="str">
        <f>"1551599292952649"</f>
        <v>1551599292952649</v>
      </c>
      <c r="C2329" t="s">
        <v>40</v>
      </c>
      <c r="D2329">
        <v>5.143186</v>
      </c>
      <c r="E2329">
        <v>0.4953399</v>
      </c>
      <c r="F2329" t="s">
        <v>52</v>
      </c>
      <c r="G2329">
        <v>-392.1121</v>
      </c>
      <c r="H2329" s="1">
        <v>-4.1283070000000002E-7</v>
      </c>
      <c r="I2329">
        <v>285.3109</v>
      </c>
      <c r="J2329">
        <v>-367.55160000000001</v>
      </c>
      <c r="K2329">
        <v>1.1208549999999999</v>
      </c>
      <c r="L2329">
        <v>285.04109999999997</v>
      </c>
      <c r="M2329">
        <v>-0.99987300000000001</v>
      </c>
      <c r="N2329">
        <v>-1.4683450000000001E-2</v>
      </c>
      <c r="O2329">
        <v>-6.1872960000000001E-3</v>
      </c>
      <c r="P2329">
        <v>-0.99604230000000005</v>
      </c>
      <c r="Q2329">
        <v>-8.8879849999999996E-2</v>
      </c>
      <c r="R2329" s="1">
        <v>3.0951339999999999E-5</v>
      </c>
      <c r="S2329">
        <v>-2.9998779999999998</v>
      </c>
      <c r="T2329">
        <v>-0.13511199999999901</v>
      </c>
      <c r="U2329">
        <v>3.225708E-2</v>
      </c>
      <c r="V2329">
        <v>6.2761529999999996E-3</v>
      </c>
      <c r="W2329">
        <v>-7.423834E-2</v>
      </c>
      <c r="X2329">
        <v>0.99722080000000002</v>
      </c>
      <c r="Y2329">
        <v>1.691399E-2</v>
      </c>
      <c r="Z2329">
        <v>6.9266439999999998E-4</v>
      </c>
      <c r="AA2329">
        <v>0.99985670000000004</v>
      </c>
      <c r="AB2329">
        <v>44</v>
      </c>
      <c r="AC2329">
        <v>-24.560499999999902</v>
      </c>
      <c r="AD2329">
        <v>-1.1208554128307</v>
      </c>
      <c r="AE2329">
        <v>0.26980000000003201</v>
      </c>
      <c r="AF2329">
        <v>0.42089781568177498</v>
      </c>
      <c r="AG2329">
        <v>-1.1208554128307</v>
      </c>
      <c r="AH2329">
        <v>24.507325241267399</v>
      </c>
      <c r="AI2329">
        <v>92.618242236653401</v>
      </c>
      <c r="AJ2329">
        <v>89.016077944726803</v>
      </c>
      <c r="AK2329">
        <v>24.536553594769099</v>
      </c>
      <c r="AL2329">
        <v>94.257460300156495</v>
      </c>
      <c r="AM2329">
        <v>89.639405505063493</v>
      </c>
      <c r="AN2329">
        <v>1.0000000225875301</v>
      </c>
    </row>
    <row r="2330" spans="1:40" x14ac:dyDescent="0.25">
      <c r="A2330" t="str">
        <f>"20190303154812979"</f>
        <v>20190303154812979</v>
      </c>
      <c r="B2330" t="str">
        <f>"1551599292973145"</f>
        <v>1551599292973145</v>
      </c>
      <c r="C2330" t="s">
        <v>40</v>
      </c>
      <c r="D2330">
        <v>5.1595550000000001</v>
      </c>
      <c r="E2330">
        <v>0.49399929999999997</v>
      </c>
      <c r="F2330" t="s">
        <v>52</v>
      </c>
      <c r="G2330">
        <v>-388.6979</v>
      </c>
      <c r="H2330" s="1">
        <v>3.091808E-6</v>
      </c>
      <c r="I2330">
        <v>284.7817</v>
      </c>
      <c r="J2330">
        <v>-367.97919999999999</v>
      </c>
      <c r="K2330">
        <v>1.1208750000000001</v>
      </c>
      <c r="L2330">
        <v>285.03809999999999</v>
      </c>
      <c r="M2330">
        <v>-0.99986889999999995</v>
      </c>
      <c r="N2330">
        <v>-1.4786860000000001E-2</v>
      </c>
      <c r="O2330">
        <v>-6.6111140000000004E-3</v>
      </c>
      <c r="P2330">
        <v>-0.99606689999999998</v>
      </c>
      <c r="Q2330">
        <v>-8.8601089999999993E-2</v>
      </c>
      <c r="R2330">
        <v>9.1776759999999998E-4</v>
      </c>
      <c r="S2330">
        <v>-2.9977420000000001</v>
      </c>
      <c r="T2330">
        <v>-0.15889439999999999</v>
      </c>
      <c r="U2330">
        <v>-3.6773680000000003E-2</v>
      </c>
      <c r="V2330">
        <v>7.5868289999999998E-3</v>
      </c>
      <c r="W2330">
        <v>-7.3854610000000001E-2</v>
      </c>
      <c r="X2330">
        <v>0.99724020000000002</v>
      </c>
      <c r="Y2330">
        <v>-5.6492769999999899E-3</v>
      </c>
      <c r="Z2330" s="1">
        <v>6.1027009999999998E-5</v>
      </c>
      <c r="AA2330">
        <v>0.99998399999999998</v>
      </c>
      <c r="AB2330">
        <v>44</v>
      </c>
      <c r="AC2330">
        <v>-20.718699999999998</v>
      </c>
      <c r="AD2330">
        <v>-1.120871908192</v>
      </c>
      <c r="AE2330">
        <v>-0.25639999999998497</v>
      </c>
      <c r="AF2330">
        <v>-0.11905734388562</v>
      </c>
      <c r="AG2330">
        <v>-1.120871908192</v>
      </c>
      <c r="AH2330">
        <v>20.659486317381798</v>
      </c>
      <c r="AI2330">
        <v>93.105462716567402</v>
      </c>
      <c r="AJ2330">
        <v>90.330182837404394</v>
      </c>
      <c r="AK2330">
        <v>20.6902127438021</v>
      </c>
      <c r="AL2330">
        <v>94.2354135948015</v>
      </c>
      <c r="AM2330">
        <v>89.564112141346797</v>
      </c>
      <c r="AN2330">
        <v>1.0000000399442801</v>
      </c>
    </row>
    <row r="2331" spans="1:40" x14ac:dyDescent="0.25">
      <c r="A2331" t="str">
        <f>"20190303154812994"</f>
        <v>20190303154812994</v>
      </c>
      <c r="B2331" t="str">
        <f>"1551599292982906"</f>
        <v>1551599292982906</v>
      </c>
      <c r="C2331" t="s">
        <v>40</v>
      </c>
      <c r="D2331">
        <v>5.1481960000000004</v>
      </c>
      <c r="E2331">
        <v>0.49357069999999997</v>
      </c>
      <c r="F2331" t="s">
        <v>52</v>
      </c>
      <c r="G2331">
        <v>-390.28449999999998</v>
      </c>
      <c r="H2331" s="1">
        <v>-1.385418E-6</v>
      </c>
      <c r="I2331">
        <v>284.70400000000001</v>
      </c>
      <c r="J2331">
        <v>-368.25029999999998</v>
      </c>
      <c r="K2331">
        <v>1.1208830000000001</v>
      </c>
      <c r="L2331">
        <v>285.03609999999998</v>
      </c>
      <c r="M2331">
        <v>-0.99986609999999998</v>
      </c>
      <c r="N2331">
        <v>-1.4843800000000001E-2</v>
      </c>
      <c r="O2331">
        <v>-6.8807089999999996E-3</v>
      </c>
      <c r="P2331">
        <v>-0.99606709999999998</v>
      </c>
      <c r="Q2331">
        <v>-8.8589959999999995E-2</v>
      </c>
      <c r="R2331">
        <v>1.504168E-3</v>
      </c>
      <c r="S2331">
        <v>-2.9984440000000001</v>
      </c>
      <c r="T2331">
        <v>-0.15067710000000001</v>
      </c>
      <c r="U2331">
        <v>-4.4921879999999997E-2</v>
      </c>
      <c r="V2331">
        <v>8.4427080000000002E-3</v>
      </c>
      <c r="W2331">
        <v>-7.3785699999999996E-2</v>
      </c>
      <c r="X2331">
        <v>0.99723839999999997</v>
      </c>
      <c r="Y2331">
        <v>-8.0900840000000009E-3</v>
      </c>
      <c r="Z2331" s="1">
        <v>-1.9798909999999998E-5</v>
      </c>
      <c r="AA2331">
        <v>0.9999673</v>
      </c>
      <c r="AB2331">
        <v>44</v>
      </c>
      <c r="AC2331">
        <v>-22.034199999999998</v>
      </c>
      <c r="AD2331">
        <v>-1.120884385418</v>
      </c>
      <c r="AE2331">
        <v>-0.33209999999996798</v>
      </c>
      <c r="AF2331">
        <v>-0.17999881403492801</v>
      </c>
      <c r="AG2331">
        <v>-1.120884385418</v>
      </c>
      <c r="AH2331">
        <v>21.9790995000536</v>
      </c>
      <c r="AI2331">
        <v>92.919328332372203</v>
      </c>
      <c r="AJ2331">
        <v>90.469215847870998</v>
      </c>
      <c r="AK2331">
        <v>22.0083983109127</v>
      </c>
      <c r="AL2331">
        <v>94.231454635349095</v>
      </c>
      <c r="AM2331">
        <v>89.514940480167098</v>
      </c>
      <c r="AN2331">
        <v>1.00000001763871</v>
      </c>
    </row>
    <row r="2332" spans="1:40" x14ac:dyDescent="0.25">
      <c r="A2332" t="str">
        <f>"20190303154813008"</f>
        <v>20190303154813008</v>
      </c>
      <c r="B2332" t="str">
        <f>"1551599293003401"</f>
        <v>1551599293003401</v>
      </c>
      <c r="C2332" t="s">
        <v>40</v>
      </c>
      <c r="D2332">
        <v>5.141521</v>
      </c>
      <c r="E2332">
        <v>0.49308629999999998</v>
      </c>
      <c r="F2332" t="s">
        <v>52</v>
      </c>
      <c r="G2332">
        <v>-390.91680000000002</v>
      </c>
      <c r="H2332" s="1">
        <v>-1.048921E-6</v>
      </c>
      <c r="I2332">
        <v>284.68389999999999</v>
      </c>
      <c r="J2332">
        <v>-368.52699999999999</v>
      </c>
      <c r="K2332">
        <v>1.1208910000000001</v>
      </c>
      <c r="L2332">
        <v>285.03399999999999</v>
      </c>
      <c r="M2332">
        <v>-0.99986359999999996</v>
      </c>
      <c r="N2332">
        <v>-1.489793E-2</v>
      </c>
      <c r="O2332">
        <v>-7.1561169999999896E-3</v>
      </c>
      <c r="P2332">
        <v>-0.99607000000000001</v>
      </c>
      <c r="Q2332">
        <v>-8.8550690000000001E-2</v>
      </c>
      <c r="R2332">
        <v>1.847069E-3</v>
      </c>
      <c r="S2332">
        <v>-2.9987180000000002</v>
      </c>
      <c r="T2332">
        <v>-0.1482899</v>
      </c>
      <c r="U2332">
        <v>-4.6600339999999997E-2</v>
      </c>
      <c r="V2332">
        <v>9.0607029999999998E-3</v>
      </c>
      <c r="W2332">
        <v>-7.3691690000000004E-2</v>
      </c>
      <c r="X2332">
        <v>0.99723989999999996</v>
      </c>
      <c r="Y2332">
        <v>-8.3727179999999995E-3</v>
      </c>
      <c r="Z2332" s="1">
        <v>-2.2240359999999999E-5</v>
      </c>
      <c r="AA2332">
        <v>0.99996499999999999</v>
      </c>
      <c r="AB2332">
        <v>44</v>
      </c>
      <c r="AC2332">
        <v>-22.389800000000001</v>
      </c>
      <c r="AD2332">
        <v>-1.1208920489209999</v>
      </c>
      <c r="AE2332">
        <v>-0.35009999999999702</v>
      </c>
      <c r="AF2332">
        <v>-0.189374744250182</v>
      </c>
      <c r="AG2332">
        <v>-1.1208920489209999</v>
      </c>
      <c r="AH2332">
        <v>22.3357665221641</v>
      </c>
      <c r="AI2332">
        <v>92.872802679184304</v>
      </c>
      <c r="AJ2332">
        <v>90.485773058061397</v>
      </c>
      <c r="AK2332">
        <v>22.364675895521501</v>
      </c>
      <c r="AL2332">
        <v>94.226053673014505</v>
      </c>
      <c r="AM2332">
        <v>89.479437438492397</v>
      </c>
      <c r="AN2332">
        <v>0.99999998983296001</v>
      </c>
    </row>
    <row r="2333" spans="1:40" x14ac:dyDescent="0.25">
      <c r="A2333" t="str">
        <f>"20190303154813021"</f>
        <v>20190303154813021</v>
      </c>
      <c r="B2333" t="str">
        <f>"1551599293013161"</f>
        <v>1551599293013161</v>
      </c>
      <c r="C2333" t="s">
        <v>40</v>
      </c>
      <c r="D2333">
        <v>5.1403679999999996</v>
      </c>
      <c r="E2333">
        <v>0.49282609999999899</v>
      </c>
      <c r="F2333" t="s">
        <v>52</v>
      </c>
      <c r="G2333">
        <v>-391.28590000000003</v>
      </c>
      <c r="H2333" s="1">
        <v>-8.5249659999999899E-7</v>
      </c>
      <c r="I2333">
        <v>284.66000000000003</v>
      </c>
      <c r="J2333">
        <v>-368.80149999999998</v>
      </c>
      <c r="K2333">
        <v>1.1208979999999999</v>
      </c>
      <c r="L2333">
        <v>285.03190000000001</v>
      </c>
      <c r="M2333">
        <v>-0.99986059999999999</v>
      </c>
      <c r="N2333">
        <v>-1.494765E-2</v>
      </c>
      <c r="O2333">
        <v>-7.4293369999999899E-3</v>
      </c>
      <c r="P2333">
        <v>-0.99609210000000004</v>
      </c>
      <c r="Q2333">
        <v>-8.8295209999999999E-2</v>
      </c>
      <c r="R2333">
        <v>2.1865040000000001E-3</v>
      </c>
      <c r="S2333">
        <v>-2.9987789999999999</v>
      </c>
      <c r="T2333">
        <v>-0.14769179999999901</v>
      </c>
      <c r="U2333">
        <v>-4.9285889999999999E-2</v>
      </c>
      <c r="V2333">
        <v>9.6730849999999997E-3</v>
      </c>
      <c r="W2333">
        <v>-7.3385580000000006E-2</v>
      </c>
      <c r="X2333">
        <v>0.99725680000000005</v>
      </c>
      <c r="Y2333">
        <v>-8.9936369999999901E-3</v>
      </c>
      <c r="Z2333" s="1">
        <v>-3.3960490000000001E-5</v>
      </c>
      <c r="AA2333">
        <v>0.9999595</v>
      </c>
      <c r="AB2333">
        <v>44</v>
      </c>
      <c r="AC2333">
        <v>-22.484400000000001</v>
      </c>
      <c r="AD2333">
        <v>-1.1208988524965999</v>
      </c>
      <c r="AE2333">
        <v>-0.37189999999998202</v>
      </c>
      <c r="AF2333">
        <v>-0.20431922607709799</v>
      </c>
      <c r="AG2333">
        <v>-1.1208988524965999</v>
      </c>
      <c r="AH2333">
        <v>22.430811669951702</v>
      </c>
      <c r="AI2333">
        <v>92.860651639825093</v>
      </c>
      <c r="AJ2333">
        <v>90.5218850634608</v>
      </c>
      <c r="AK2333">
        <v>22.459730024123498</v>
      </c>
      <c r="AL2333">
        <v>94.208466912322294</v>
      </c>
      <c r="AM2333">
        <v>89.444265945293495</v>
      </c>
      <c r="AN2333">
        <v>1.0000000685357899</v>
      </c>
    </row>
    <row r="2334" spans="1:40" x14ac:dyDescent="0.25">
      <c r="A2334" t="str">
        <f>"20190303154813035"</f>
        <v>20190303154813035</v>
      </c>
      <c r="B2334" t="str">
        <f>"1551599293032681"</f>
        <v>1551599293032681</v>
      </c>
      <c r="C2334" t="s">
        <v>40</v>
      </c>
      <c r="D2334">
        <v>5.1491309999999997</v>
      </c>
      <c r="E2334">
        <v>0.49239880000000003</v>
      </c>
      <c r="F2334" t="s">
        <v>52</v>
      </c>
      <c r="G2334">
        <v>-391.52530000000002</v>
      </c>
      <c r="H2334" s="1">
        <v>-7.2511330000000002E-7</v>
      </c>
      <c r="I2334">
        <v>284.64870000000002</v>
      </c>
      <c r="J2334">
        <v>-369.07690000000002</v>
      </c>
      <c r="K2334">
        <v>1.1209020000000001</v>
      </c>
      <c r="L2334">
        <v>285.02960000000002</v>
      </c>
      <c r="M2334">
        <v>-0.99985809999999997</v>
      </c>
      <c r="N2334">
        <v>-1.499165E-2</v>
      </c>
      <c r="O2334">
        <v>-7.7044030000000003E-3</v>
      </c>
      <c r="P2334">
        <v>-0.99608810000000003</v>
      </c>
      <c r="Q2334">
        <v>-8.831754E-2</v>
      </c>
      <c r="R2334">
        <v>2.9758139999999998E-3</v>
      </c>
      <c r="S2334">
        <v>-2.9987490000000001</v>
      </c>
      <c r="T2334">
        <v>-0.14791949999999901</v>
      </c>
      <c r="U2334">
        <v>-5.0567630000000002E-2</v>
      </c>
      <c r="V2334">
        <v>1.073675E-2</v>
      </c>
      <c r="W2334">
        <v>-7.3362860000000002E-2</v>
      </c>
      <c r="X2334">
        <v>0.99724749999999995</v>
      </c>
      <c r="Y2334">
        <v>-9.145874E-3</v>
      </c>
      <c r="Z2334" s="1">
        <v>-2.9720509999999998E-5</v>
      </c>
      <c r="AA2334">
        <v>0.99995820000000002</v>
      </c>
      <c r="AB2334">
        <v>44</v>
      </c>
      <c r="AC2334">
        <v>-22.4483999999999</v>
      </c>
      <c r="AD2334">
        <v>-1.1209027251132999</v>
      </c>
      <c r="AE2334">
        <v>-0.38089999999999602</v>
      </c>
      <c r="AF2334">
        <v>-0.20740080963077101</v>
      </c>
      <c r="AG2334">
        <v>-1.1209027251132999</v>
      </c>
      <c r="AH2334">
        <v>22.394848745139502</v>
      </c>
      <c r="AI2334">
        <v>92.865243671951106</v>
      </c>
      <c r="AJ2334">
        <v>90.530606456875603</v>
      </c>
      <c r="AK2334">
        <v>22.423841961909201</v>
      </c>
      <c r="AL2334">
        <v>94.207162000130396</v>
      </c>
      <c r="AM2334">
        <v>89.383155442182897</v>
      </c>
      <c r="AN2334">
        <v>0.99999998164209503</v>
      </c>
    </row>
    <row r="2335" spans="1:40" x14ac:dyDescent="0.25">
      <c r="A2335" t="str">
        <f>"20190303154813048"</f>
        <v>20190303154813048</v>
      </c>
      <c r="B2335" t="str">
        <f>"1551599293043418"</f>
        <v>1551599293043418</v>
      </c>
      <c r="C2335" t="s">
        <v>40</v>
      </c>
      <c r="D2335">
        <v>5.1440890000000001</v>
      </c>
      <c r="E2335">
        <v>0.49218770000000001</v>
      </c>
      <c r="F2335" t="s">
        <v>52</v>
      </c>
      <c r="G2335">
        <v>-391.99189999999999</v>
      </c>
      <c r="H2335" s="1">
        <v>-4.7679859999999999E-7</v>
      </c>
      <c r="I2335">
        <v>284.63499999999999</v>
      </c>
      <c r="J2335">
        <v>-369.3254</v>
      </c>
      <c r="K2335">
        <v>1.1209089999999999</v>
      </c>
      <c r="L2335">
        <v>285.02749999999997</v>
      </c>
      <c r="M2335">
        <v>-0.99985559999999996</v>
      </c>
      <c r="N2335">
        <v>-1.5028150000000001E-2</v>
      </c>
      <c r="O2335">
        <v>-7.952219E-3</v>
      </c>
      <c r="P2335">
        <v>-0.99607089999999998</v>
      </c>
      <c r="Q2335">
        <v>-8.8505669999999995E-2</v>
      </c>
      <c r="R2335">
        <v>3.126378E-3</v>
      </c>
      <c r="S2335">
        <v>-2.9989319999999999</v>
      </c>
      <c r="T2335">
        <v>-0.14669489999999999</v>
      </c>
      <c r="U2335">
        <v>-5.1635739999999999E-2</v>
      </c>
      <c r="V2335">
        <v>1.1134649999999999E-2</v>
      </c>
      <c r="W2335">
        <v>-7.3514360000000001E-2</v>
      </c>
      <c r="X2335">
        <v>0.99723200000000001</v>
      </c>
      <c r="Y2335">
        <v>-9.2531100000000002E-3</v>
      </c>
      <c r="Z2335" s="1">
        <v>-2.6492179999999999E-5</v>
      </c>
      <c r="AA2335">
        <v>0.99995719999999999</v>
      </c>
      <c r="AB2335">
        <v>44</v>
      </c>
      <c r="AC2335">
        <v>-22.6664999999999</v>
      </c>
      <c r="AD2335">
        <v>-1.1209094767986001</v>
      </c>
      <c r="AE2335">
        <v>-0.39249999999998397</v>
      </c>
      <c r="AF2335">
        <v>-0.21170072012223401</v>
      </c>
      <c r="AG2335">
        <v>-1.1209094767986001</v>
      </c>
      <c r="AH2335">
        <v>22.6136191361995</v>
      </c>
      <c r="AI2335">
        <v>92.837584449215001</v>
      </c>
      <c r="AJ2335">
        <v>90.536367194560498</v>
      </c>
      <c r="AK2335">
        <v>22.642372351128898</v>
      </c>
      <c r="AL2335">
        <v>94.215865728784095</v>
      </c>
      <c r="AM2335">
        <v>89.360287333768696</v>
      </c>
      <c r="AN2335">
        <v>1.00000000169041</v>
      </c>
    </row>
    <row r="2336" spans="1:40" x14ac:dyDescent="0.25">
      <c r="A2336" t="str">
        <f>"20190303154813069"</f>
        <v>20190303154813069</v>
      </c>
      <c r="B2336" t="str">
        <f>"1551599293062937"</f>
        <v>1551599293062937</v>
      </c>
      <c r="C2336" t="s">
        <v>40</v>
      </c>
      <c r="D2336">
        <v>5.1529550000000004</v>
      </c>
      <c r="E2336">
        <v>0.49195889999999998</v>
      </c>
      <c r="F2336" t="s">
        <v>52</v>
      </c>
      <c r="G2336">
        <v>-391.8999</v>
      </c>
      <c r="H2336" s="1">
        <v>-5.2577709999999995E-7</v>
      </c>
      <c r="I2336">
        <v>284.62889999999999</v>
      </c>
      <c r="J2336">
        <v>-369.74110000000002</v>
      </c>
      <c r="K2336">
        <v>1.1209180000000001</v>
      </c>
      <c r="L2336">
        <v>285.02379999999999</v>
      </c>
      <c r="M2336">
        <v>-0.9998513</v>
      </c>
      <c r="N2336">
        <v>-1.50828E-2</v>
      </c>
      <c r="O2336">
        <v>-8.3670889999999994E-3</v>
      </c>
      <c r="P2336">
        <v>-0.99604820000000005</v>
      </c>
      <c r="Q2336">
        <v>-8.8772429999999999E-2</v>
      </c>
      <c r="R2336">
        <v>2.8662290000000001E-3</v>
      </c>
      <c r="S2336">
        <v>-2.9987789999999999</v>
      </c>
      <c r="T2336">
        <v>-0.14890120000000001</v>
      </c>
      <c r="U2336">
        <v>-5.2948000000000002E-2</v>
      </c>
      <c r="V2336">
        <v>1.128885E-2</v>
      </c>
      <c r="W2336">
        <v>-7.3726659999999999E-2</v>
      </c>
      <c r="X2336">
        <v>0.99721459999999995</v>
      </c>
      <c r="Y2336">
        <v>-9.2765060000000003E-3</v>
      </c>
      <c r="Z2336" s="1">
        <v>-1.1157540000000001E-5</v>
      </c>
      <c r="AA2336">
        <v>0.99995699999999998</v>
      </c>
      <c r="AB2336">
        <v>44</v>
      </c>
      <c r="AC2336">
        <v>-22.1587999999999</v>
      </c>
      <c r="AD2336">
        <v>-1.1209185257770999</v>
      </c>
      <c r="AE2336">
        <v>-0.39490000000000602</v>
      </c>
      <c r="AF2336">
        <v>-0.208925986669492</v>
      </c>
      <c r="AG2336">
        <v>-1.1209185257770999</v>
      </c>
      <c r="AH2336">
        <v>22.104782431819899</v>
      </c>
      <c r="AI2336">
        <v>92.9028141474422</v>
      </c>
      <c r="AJ2336">
        <v>90.541521766455304</v>
      </c>
      <c r="AK2336">
        <v>22.1341707494866</v>
      </c>
      <c r="AL2336">
        <v>94.228062692605604</v>
      </c>
      <c r="AM2336">
        <v>89.351417605430498</v>
      </c>
      <c r="AN2336">
        <v>1.00000000849111</v>
      </c>
    </row>
    <row r="2337" spans="1:40" x14ac:dyDescent="0.25">
      <c r="A2337" t="str">
        <f>"20190303154813083"</f>
        <v>20190303154813083</v>
      </c>
      <c r="B2337" t="str">
        <f>"1551599293072697"</f>
        <v>1551599293072697</v>
      </c>
      <c r="C2337" t="s">
        <v>40</v>
      </c>
      <c r="D2337">
        <v>5.2141479999999998</v>
      </c>
      <c r="E2337">
        <v>0.49194320000000002</v>
      </c>
      <c r="F2337" t="s">
        <v>52</v>
      </c>
      <c r="G2337">
        <v>-392.5204</v>
      </c>
      <c r="H2337" s="1">
        <v>-1.9558939999999999E-7</v>
      </c>
      <c r="I2337">
        <v>284.60379999999998</v>
      </c>
      <c r="J2337">
        <v>-370.00119999999998</v>
      </c>
      <c r="K2337">
        <v>1.1209229999999999</v>
      </c>
      <c r="L2337">
        <v>285.0215</v>
      </c>
      <c r="M2337">
        <v>-0.99984870000000003</v>
      </c>
      <c r="N2337">
        <v>-1.5113619999999999E-2</v>
      </c>
      <c r="O2337">
        <v>-8.6270010000000005E-3</v>
      </c>
      <c r="P2337">
        <v>-0.99605509999999997</v>
      </c>
      <c r="Q2337">
        <v>-8.8704539999999998E-2</v>
      </c>
      <c r="R2337">
        <v>2.463561E-3</v>
      </c>
      <c r="S2337">
        <v>-2.9989319999999999</v>
      </c>
      <c r="T2337">
        <v>-0.14757100000000001</v>
      </c>
      <c r="U2337">
        <v>-5.5297850000000003E-2</v>
      </c>
      <c r="V2337">
        <v>1.1145489999999999E-2</v>
      </c>
      <c r="W2337">
        <v>-7.3628070000000004E-2</v>
      </c>
      <c r="X2337">
        <v>0.99722350000000004</v>
      </c>
      <c r="Y2337">
        <v>-9.7983540000000004E-3</v>
      </c>
      <c r="Z2337" s="1">
        <v>-2.114473E-5</v>
      </c>
      <c r="AA2337">
        <v>0.99995199999999995</v>
      </c>
      <c r="AB2337">
        <v>44</v>
      </c>
      <c r="AC2337">
        <v>-22.519200000000001</v>
      </c>
      <c r="AD2337">
        <v>-1.1209231955893999</v>
      </c>
      <c r="AE2337">
        <v>-0.417700000000024</v>
      </c>
      <c r="AF2337">
        <v>-0.222837195748332</v>
      </c>
      <c r="AG2337">
        <v>-1.1209231955893999</v>
      </c>
      <c r="AH2337">
        <v>22.466320422793899</v>
      </c>
      <c r="AI2337">
        <v>92.856177736258601</v>
      </c>
      <c r="AJ2337">
        <v>90.568282296419497</v>
      </c>
      <c r="AK2337">
        <v>22.495370158454001</v>
      </c>
      <c r="AL2337">
        <v>94.222398493248306</v>
      </c>
      <c r="AM2337">
        <v>89.359659143740998</v>
      </c>
      <c r="AN2337">
        <v>1.0000000117957499</v>
      </c>
    </row>
    <row r="2338" spans="1:40" x14ac:dyDescent="0.25">
      <c r="A2338" t="str">
        <f>"20190303154813096"</f>
        <v>20190303154813096</v>
      </c>
      <c r="B2338" t="str">
        <f>"1551599293093193"</f>
        <v>1551599293093193</v>
      </c>
      <c r="C2338" t="s">
        <v>40</v>
      </c>
      <c r="D2338">
        <v>5.1402970000000003</v>
      </c>
      <c r="E2338">
        <v>0.49166070000000001</v>
      </c>
      <c r="F2338" t="s">
        <v>52</v>
      </c>
      <c r="G2338">
        <v>-392.93880000000001</v>
      </c>
      <c r="H2338" s="1">
        <v>2.7090609999999999E-8</v>
      </c>
      <c r="I2338">
        <v>284.58800000000002</v>
      </c>
      <c r="J2338">
        <v>-370.2586</v>
      </c>
      <c r="K2338">
        <v>1.1209309999999999</v>
      </c>
      <c r="L2338">
        <v>285.01900000000001</v>
      </c>
      <c r="M2338">
        <v>-0.99984600000000001</v>
      </c>
      <c r="N2338">
        <v>-1.5140799999999999E-2</v>
      </c>
      <c r="O2338">
        <v>-8.8848499999999997E-3</v>
      </c>
      <c r="P2338">
        <v>-0.9960658</v>
      </c>
      <c r="Q2338">
        <v>-8.8599579999999997E-2</v>
      </c>
      <c r="R2338">
        <v>1.8459100000000001E-3</v>
      </c>
      <c r="S2338">
        <v>-2.9989620000000001</v>
      </c>
      <c r="T2338">
        <v>-0.14655409999999999</v>
      </c>
      <c r="U2338">
        <v>-5.6671140000000002E-2</v>
      </c>
      <c r="V2338">
        <v>1.0784719999999999E-2</v>
      </c>
      <c r="W2338">
        <v>-7.3496160000000005E-2</v>
      </c>
      <c r="X2338">
        <v>0.99723720000000005</v>
      </c>
      <c r="Y2338">
        <v>-9.9979370000000001E-3</v>
      </c>
      <c r="Z2338" s="1">
        <v>-2.0474050000000001E-5</v>
      </c>
      <c r="AA2338">
        <v>0.99995000000000001</v>
      </c>
      <c r="AB2338">
        <v>44</v>
      </c>
      <c r="AC2338">
        <v>-22.680199999999999</v>
      </c>
      <c r="AD2338">
        <v>-1.1209309729093899</v>
      </c>
      <c r="AE2338">
        <v>-0.43100000000004002</v>
      </c>
      <c r="AF2338">
        <v>-0.228890826761321</v>
      </c>
      <c r="AG2338">
        <v>-1.1209309729093899</v>
      </c>
      <c r="AH2338">
        <v>22.627882001302002</v>
      </c>
      <c r="AI2338">
        <v>92.835832289193405</v>
      </c>
      <c r="AJ2338">
        <v>90.579551858612305</v>
      </c>
      <c r="AK2338">
        <v>22.656785321873201</v>
      </c>
      <c r="AL2338">
        <v>94.214820063408695</v>
      </c>
      <c r="AM2338">
        <v>89.380393299368393</v>
      </c>
      <c r="AN2338">
        <v>1.00000001439203</v>
      </c>
    </row>
    <row r="2339" spans="1:40" x14ac:dyDescent="0.25">
      <c r="A2339" t="str">
        <f>"20190303154813114"</f>
        <v>20190303154813114</v>
      </c>
      <c r="B2339" t="str">
        <f>"1551599293102953"</f>
        <v>1551599293102953</v>
      </c>
      <c r="C2339" t="s">
        <v>40</v>
      </c>
      <c r="D2339">
        <v>5.2159570000000004</v>
      </c>
      <c r="E2339">
        <v>0.49166070000000001</v>
      </c>
      <c r="F2339" t="s">
        <v>52</v>
      </c>
      <c r="G2339">
        <v>-393.3879</v>
      </c>
      <c r="H2339" s="1">
        <v>2.6609649999999999E-7</v>
      </c>
      <c r="I2339">
        <v>284.54829999999998</v>
      </c>
      <c r="J2339">
        <v>-370.61649999999997</v>
      </c>
      <c r="K2339">
        <v>1.120935</v>
      </c>
      <c r="L2339">
        <v>285.01560000000001</v>
      </c>
      <c r="M2339">
        <v>-0.99984229999999996</v>
      </c>
      <c r="N2339">
        <v>-1.5174740000000001E-2</v>
      </c>
      <c r="O2339">
        <v>-9.2428939999999998E-3</v>
      </c>
      <c r="P2339">
        <v>-0.99600929999999999</v>
      </c>
      <c r="Q2339">
        <v>-8.9251140000000007E-2</v>
      </c>
      <c r="R2339">
        <v>4.232668E-4</v>
      </c>
      <c r="S2339">
        <v>-2.998993</v>
      </c>
      <c r="T2339">
        <v>-0.1453422</v>
      </c>
      <c r="U2339">
        <v>-6.1035159999999998E-2</v>
      </c>
      <c r="V2339">
        <v>9.7194710000000004E-3</v>
      </c>
      <c r="W2339">
        <v>-7.4115749999999994E-2</v>
      </c>
      <c r="X2339">
        <v>0.99720229999999999</v>
      </c>
      <c r="Y2339">
        <v>-1.109278E-2</v>
      </c>
      <c r="Z2339" s="1">
        <v>-4.5436409999999998E-5</v>
      </c>
      <c r="AA2339">
        <v>0.99993849999999995</v>
      </c>
      <c r="AB2339">
        <v>44</v>
      </c>
      <c r="AC2339">
        <v>-22.7714</v>
      </c>
      <c r="AD2339">
        <v>-1.1209347339035001</v>
      </c>
      <c r="AE2339">
        <v>-0.46730000000002198</v>
      </c>
      <c r="AF2339">
        <v>-0.256161736530787</v>
      </c>
      <c r="AG2339">
        <v>-1.1209347339035001</v>
      </c>
      <c r="AH2339">
        <v>22.719716544475201</v>
      </c>
      <c r="AI2339">
        <v>92.8243627708205</v>
      </c>
      <c r="AJ2339">
        <v>90.645974806472495</v>
      </c>
      <c r="AK2339">
        <v>22.7487941081332</v>
      </c>
      <c r="AL2339">
        <v>94.250417018834995</v>
      </c>
      <c r="AM2339">
        <v>89.441570648280305</v>
      </c>
      <c r="AN2339">
        <v>1.0000000198199299</v>
      </c>
    </row>
    <row r="2340" spans="1:40" x14ac:dyDescent="0.25">
      <c r="A2340" t="str">
        <f>"20190303154813128"</f>
        <v>20190303154813128</v>
      </c>
      <c r="B2340" t="str">
        <f>"1551599293123449"</f>
        <v>1551599293123449</v>
      </c>
      <c r="C2340" t="s">
        <v>40</v>
      </c>
      <c r="D2340">
        <v>5.143548</v>
      </c>
      <c r="E2340">
        <v>0.49136669999999999</v>
      </c>
      <c r="F2340" t="s">
        <v>52</v>
      </c>
      <c r="G2340">
        <v>-393.43049999999999</v>
      </c>
      <c r="H2340" s="1">
        <v>2.8877239999999998E-7</v>
      </c>
      <c r="I2340">
        <v>284.51780000000002</v>
      </c>
      <c r="J2340">
        <v>-370.88279999999997</v>
      </c>
      <c r="K2340">
        <v>1.120933</v>
      </c>
      <c r="L2340">
        <v>285.0129</v>
      </c>
      <c r="M2340">
        <v>-0.99983940000000004</v>
      </c>
      <c r="N2340">
        <v>-1.5197230000000001E-2</v>
      </c>
      <c r="O2340">
        <v>-9.5095209999999999E-3</v>
      </c>
      <c r="P2340">
        <v>-0.99600960000000005</v>
      </c>
      <c r="Q2340">
        <v>-8.9244820000000002E-2</v>
      </c>
      <c r="R2340">
        <v>-6.1361930000000003E-4</v>
      </c>
      <c r="S2340">
        <v>-2.99884</v>
      </c>
      <c r="T2340">
        <v>-0.14734340000000001</v>
      </c>
      <c r="U2340">
        <v>-6.5429689999999999E-2</v>
      </c>
      <c r="V2340">
        <v>8.9483099999999993E-3</v>
      </c>
      <c r="W2340">
        <v>-7.4087810000000004E-2</v>
      </c>
      <c r="X2340">
        <v>0.99721159999999998</v>
      </c>
      <c r="Y2340">
        <v>-1.228986E-2</v>
      </c>
      <c r="Z2340" s="1">
        <v>-7.2753490000000007E-5</v>
      </c>
      <c r="AA2340">
        <v>0.99992449999999999</v>
      </c>
      <c r="AB2340">
        <v>44</v>
      </c>
      <c r="AC2340">
        <v>-22.547699999999999</v>
      </c>
      <c r="AD2340">
        <v>-1.1209327112276</v>
      </c>
      <c r="AE2340">
        <v>-0.495099999999979</v>
      </c>
      <c r="AF2340">
        <v>-0.27994350212847502</v>
      </c>
      <c r="AG2340">
        <v>-1.1209327112276</v>
      </c>
      <c r="AH2340">
        <v>22.4958180936252</v>
      </c>
      <c r="AI2340">
        <v>92.852382526708894</v>
      </c>
      <c r="AJ2340">
        <v>90.712965993278402</v>
      </c>
      <c r="AK2340">
        <v>22.525467591350001</v>
      </c>
      <c r="AL2340">
        <v>94.248811737212904</v>
      </c>
      <c r="AM2340">
        <v>89.485879790762795</v>
      </c>
      <c r="AN2340">
        <v>1.0000000255085</v>
      </c>
    </row>
    <row r="2341" spans="1:40" x14ac:dyDescent="0.25">
      <c r="A2341" t="str">
        <f>"20190303154813143"</f>
        <v>20190303154813143</v>
      </c>
      <c r="B2341" t="str">
        <f>"1551599293133209"</f>
        <v>1551599293133209</v>
      </c>
      <c r="C2341" t="s">
        <v>40</v>
      </c>
      <c r="D2341">
        <v>5.3378639999999997</v>
      </c>
      <c r="E2341">
        <v>0.49129240000000002</v>
      </c>
      <c r="F2341" t="s">
        <v>52</v>
      </c>
      <c r="G2341">
        <v>-393.79539999999997</v>
      </c>
      <c r="H2341" s="1">
        <v>4.8295040000000004E-7</v>
      </c>
      <c r="I2341">
        <v>284.47219999999999</v>
      </c>
      <c r="J2341">
        <v>-371.17360000000002</v>
      </c>
      <c r="K2341">
        <v>1.1209389999999999</v>
      </c>
      <c r="L2341">
        <v>285.00990000000002</v>
      </c>
      <c r="M2341">
        <v>-0.99983630000000001</v>
      </c>
      <c r="N2341">
        <v>-1.521959E-2</v>
      </c>
      <c r="O2341">
        <v>-9.8005750000000006E-3</v>
      </c>
      <c r="P2341">
        <v>-0.99600699999999998</v>
      </c>
      <c r="Q2341">
        <v>-8.9263149999999999E-2</v>
      </c>
      <c r="R2341">
        <v>-1.5894069999999999E-3</v>
      </c>
      <c r="S2341">
        <v>-2.9988709999999998</v>
      </c>
      <c r="T2341">
        <v>-0.1467108</v>
      </c>
      <c r="U2341">
        <v>-7.0770260000000001E-2</v>
      </c>
      <c r="V2341">
        <v>8.2625849999999994E-3</v>
      </c>
      <c r="W2341">
        <v>-7.4084570000000002E-2</v>
      </c>
      <c r="X2341">
        <v>0.99721769999999998</v>
      </c>
      <c r="Y2341">
        <v>-1.377625E-2</v>
      </c>
      <c r="Z2341">
        <v>-1.116722E-4</v>
      </c>
      <c r="AA2341">
        <v>0.99990509999999999</v>
      </c>
      <c r="AB2341">
        <v>44</v>
      </c>
      <c r="AC2341">
        <v>-22.621799999999901</v>
      </c>
      <c r="AD2341">
        <v>-1.1209385170496</v>
      </c>
      <c r="AE2341">
        <v>-0.53770000000002904</v>
      </c>
      <c r="AF2341">
        <v>-0.31516847065394799</v>
      </c>
      <c r="AG2341">
        <v>-1.1209385170496</v>
      </c>
      <c r="AH2341">
        <v>22.5705967804289</v>
      </c>
      <c r="AI2341">
        <v>92.842905589993407</v>
      </c>
      <c r="AJ2341">
        <v>90.800007631767301</v>
      </c>
      <c r="AK2341">
        <v>22.600612233933099</v>
      </c>
      <c r="AL2341">
        <v>94.248625834197298</v>
      </c>
      <c r="AM2341">
        <v>89.525278767812694</v>
      </c>
      <c r="AN2341">
        <v>0.99999996750812803</v>
      </c>
    </row>
    <row r="2342" spans="1:40" x14ac:dyDescent="0.25">
      <c r="A2342" t="str">
        <f>"20190303154813159"</f>
        <v>20190303154813159</v>
      </c>
      <c r="B2342" t="str">
        <f>"1551599293152914"</f>
        <v>1551599293152914</v>
      </c>
      <c r="C2342" t="s">
        <v>40</v>
      </c>
      <c r="D2342">
        <v>5.1727759999999998</v>
      </c>
      <c r="E2342">
        <v>0.49119499999999999</v>
      </c>
      <c r="F2342" t="s">
        <v>52</v>
      </c>
      <c r="G2342">
        <v>-394.15969999999999</v>
      </c>
      <c r="H2342" s="1">
        <v>6.7680339999999997E-7</v>
      </c>
      <c r="I2342">
        <v>284.44029999999998</v>
      </c>
      <c r="J2342">
        <v>-371.49329999999998</v>
      </c>
      <c r="K2342">
        <v>1.120946</v>
      </c>
      <c r="L2342">
        <v>285.00659999999999</v>
      </c>
      <c r="M2342">
        <v>-0.99983279999999997</v>
      </c>
      <c r="N2342">
        <v>-1.5241029999999999E-2</v>
      </c>
      <c r="O2342">
        <v>-1.0117350000000001E-2</v>
      </c>
      <c r="P2342">
        <v>-0.99600849999999996</v>
      </c>
      <c r="Q2342">
        <v>-8.9210150000000002E-2</v>
      </c>
      <c r="R2342">
        <v>-3.0089259999999999E-3</v>
      </c>
      <c r="S2342">
        <v>-2.9987789999999999</v>
      </c>
      <c r="T2342">
        <v>-0.14623839999999999</v>
      </c>
      <c r="U2342">
        <v>-7.4310299999999996E-2</v>
      </c>
      <c r="V2342">
        <v>7.1585779999999996E-3</v>
      </c>
      <c r="W2342">
        <v>-7.4011309999999997E-2</v>
      </c>
      <c r="X2342">
        <v>0.99723170000000005</v>
      </c>
      <c r="Y2342">
        <v>-1.4638750000000001E-2</v>
      </c>
      <c r="Z2342">
        <v>-1.2947100000000001E-4</v>
      </c>
      <c r="AA2342">
        <v>0.99989280000000003</v>
      </c>
      <c r="AB2342">
        <v>44</v>
      </c>
      <c r="AC2342">
        <v>-22.666399999999999</v>
      </c>
      <c r="AD2342">
        <v>-1.1209453231966</v>
      </c>
      <c r="AE2342">
        <v>-0.56630000000001202</v>
      </c>
      <c r="AF2342">
        <v>-0.33609901386862001</v>
      </c>
      <c r="AG2342">
        <v>-1.1209453231966</v>
      </c>
      <c r="AH2342">
        <v>22.6156929762458</v>
      </c>
      <c r="AI2342">
        <v>92.8372266052707</v>
      </c>
      <c r="AJ2342">
        <v>90.8514281434868</v>
      </c>
      <c r="AK2342">
        <v>22.6459499637471</v>
      </c>
      <c r="AL2342">
        <v>94.244416688643398</v>
      </c>
      <c r="AM2342">
        <v>89.588712170105595</v>
      </c>
      <c r="AN2342">
        <v>0.99999999136589401</v>
      </c>
    </row>
    <row r="2343" spans="1:40" x14ac:dyDescent="0.25">
      <c r="A2343" t="str">
        <f>"20190303154813182"</f>
        <v>20190303154813182</v>
      </c>
      <c r="B2343" t="str">
        <f>"1551599293173410"</f>
        <v>1551599293173410</v>
      </c>
      <c r="C2343" t="s">
        <v>40</v>
      </c>
      <c r="D2343">
        <v>5.2118589999999996</v>
      </c>
      <c r="E2343">
        <v>0.49117430000000001</v>
      </c>
      <c r="F2343" t="s">
        <v>52</v>
      </c>
      <c r="G2343">
        <v>-394.62470000000002</v>
      </c>
      <c r="H2343" s="1">
        <v>9.2422780000000002E-7</v>
      </c>
      <c r="I2343">
        <v>284.39460000000003</v>
      </c>
      <c r="J2343">
        <v>-371.9271</v>
      </c>
      <c r="K2343">
        <v>1.1209450000000001</v>
      </c>
      <c r="L2343">
        <v>285.0018</v>
      </c>
      <c r="M2343">
        <v>-0.99982789999999999</v>
      </c>
      <c r="N2343">
        <v>-1.526599E-2</v>
      </c>
      <c r="O2343">
        <v>-1.05392E-2</v>
      </c>
      <c r="P2343">
        <v>-0.99596640000000003</v>
      </c>
      <c r="Q2343">
        <v>-8.9625510000000005E-2</v>
      </c>
      <c r="R2343">
        <v>-4.2836719999999997E-3</v>
      </c>
      <c r="S2343">
        <v>-2.9988100000000002</v>
      </c>
      <c r="T2343">
        <v>-0.14532229999999999</v>
      </c>
      <c r="U2343">
        <v>-7.9345700000000005E-2</v>
      </c>
      <c r="V2343">
        <v>6.3035460000000001E-3</v>
      </c>
      <c r="W2343">
        <v>-7.4403319999999995E-2</v>
      </c>
      <c r="X2343">
        <v>0.99720830000000005</v>
      </c>
      <c r="Y2343">
        <v>-1.5892880000000002E-2</v>
      </c>
      <c r="Z2343">
        <v>-1.5672329999999999E-4</v>
      </c>
      <c r="AA2343">
        <v>0.99987369999999998</v>
      </c>
      <c r="AB2343">
        <v>44</v>
      </c>
      <c r="AC2343">
        <v>-22.697600000000001</v>
      </c>
      <c r="AD2343">
        <v>-1.1209440757722</v>
      </c>
      <c r="AE2343">
        <v>-0.60719999999997698</v>
      </c>
      <c r="AF2343">
        <v>-0.36702930169465903</v>
      </c>
      <c r="AG2343">
        <v>-1.1209440757722</v>
      </c>
      <c r="AH2343">
        <v>22.647541883276499</v>
      </c>
      <c r="AI2343">
        <v>92.833180937390196</v>
      </c>
      <c r="AJ2343">
        <v>90.928462316603998</v>
      </c>
      <c r="AK2343">
        <v>22.6782358106638</v>
      </c>
      <c r="AL2343">
        <v>94.266939306962797</v>
      </c>
      <c r="AM2343">
        <v>89.637827150609894</v>
      </c>
      <c r="AN2343">
        <v>0.99999999115404303</v>
      </c>
    </row>
    <row r="2344" spans="1:40" x14ac:dyDescent="0.25">
      <c r="A2344" t="str">
        <f>"20190303154813203"</f>
        <v>20190303154813203</v>
      </c>
      <c r="B2344" t="str">
        <f>"1551599293192931"</f>
        <v>1551599293192931</v>
      </c>
      <c r="C2344" t="s">
        <v>40</v>
      </c>
      <c r="D2344">
        <v>5.2500839999999904</v>
      </c>
      <c r="E2344">
        <v>0.48214380000000001</v>
      </c>
      <c r="F2344" t="s">
        <v>52</v>
      </c>
      <c r="G2344">
        <v>-394.88589999999999</v>
      </c>
      <c r="H2344" s="1">
        <v>1.0632320000000001E-6</v>
      </c>
      <c r="I2344">
        <v>284.36180000000002</v>
      </c>
      <c r="J2344">
        <v>-372.36329999999998</v>
      </c>
      <c r="K2344">
        <v>1.1209279999999999</v>
      </c>
      <c r="L2344">
        <v>284.99680000000001</v>
      </c>
      <c r="M2344">
        <v>-0.99982340000000003</v>
      </c>
      <c r="N2344">
        <v>-1.5286900000000001E-2</v>
      </c>
      <c r="O2344">
        <v>-1.094093E-2</v>
      </c>
      <c r="P2344">
        <v>-0.99587780000000004</v>
      </c>
      <c r="Q2344">
        <v>-9.0588959999999996E-2</v>
      </c>
      <c r="R2344">
        <v>-4.6154200000000003E-3</v>
      </c>
      <c r="S2344">
        <v>-2.9986269999999999</v>
      </c>
      <c r="T2344">
        <v>-0.1464057</v>
      </c>
      <c r="U2344">
        <v>-8.3587649999999999E-2</v>
      </c>
      <c r="V2344">
        <v>6.369675E-3</v>
      </c>
      <c r="W2344">
        <v>-7.5347269999999994E-2</v>
      </c>
      <c r="X2344">
        <v>0.99713700000000005</v>
      </c>
      <c r="Y2344">
        <v>-1.6904570000000001E-2</v>
      </c>
      <c r="Z2344">
        <v>-1.751317E-4</v>
      </c>
      <c r="AA2344">
        <v>0.99985710000000005</v>
      </c>
      <c r="AB2344">
        <v>44</v>
      </c>
      <c r="AC2344">
        <v>-22.522600000000001</v>
      </c>
      <c r="AD2344">
        <v>-1.1209269367679999</v>
      </c>
      <c r="AE2344">
        <v>-0.63499999999999002</v>
      </c>
      <c r="AF2344">
        <v>-0.38755582926594001</v>
      </c>
      <c r="AG2344">
        <v>-1.1209269367679999</v>
      </c>
      <c r="AH2344">
        <v>22.472580635906201</v>
      </c>
      <c r="AI2344">
        <v>92.855109299301802</v>
      </c>
      <c r="AJ2344">
        <v>90.988009018565805</v>
      </c>
      <c r="AK2344">
        <v>22.503856495180401</v>
      </c>
      <c r="AL2344">
        <v>94.321175911491906</v>
      </c>
      <c r="AM2344">
        <v>89.634001616270297</v>
      </c>
      <c r="AN2344">
        <v>0.99999999031252895</v>
      </c>
    </row>
    <row r="2345" spans="1:40" x14ac:dyDescent="0.25">
      <c r="A2345" t="str">
        <f>"20190303154813217"</f>
        <v>20190303154813217</v>
      </c>
      <c r="B2345" t="str">
        <f>"1551599293213426"</f>
        <v>1551599293213426</v>
      </c>
      <c r="C2345" t="s">
        <v>40</v>
      </c>
      <c r="D2345">
        <v>5.2428980000000003</v>
      </c>
      <c r="E2345">
        <v>0.4548275</v>
      </c>
      <c r="F2345" t="s">
        <v>52</v>
      </c>
      <c r="G2345">
        <v>-389.90980000000002</v>
      </c>
      <c r="H2345" s="1">
        <v>3.7367140000000001E-6</v>
      </c>
      <c r="I2345">
        <v>284.08049999999997</v>
      </c>
      <c r="J2345">
        <v>-372.61959999999999</v>
      </c>
      <c r="K2345">
        <v>1.1209169999999999</v>
      </c>
      <c r="L2345">
        <v>284.99380000000002</v>
      </c>
      <c r="M2345">
        <v>-0.99982070000000001</v>
      </c>
      <c r="N2345">
        <v>-1.529755E-2</v>
      </c>
      <c r="O2345">
        <v>-1.116644E-2</v>
      </c>
      <c r="P2345">
        <v>-0.99580869999999999</v>
      </c>
      <c r="Q2345">
        <v>-9.1348960000000007E-2</v>
      </c>
      <c r="R2345">
        <v>-4.5575190000000003E-3</v>
      </c>
      <c r="S2345">
        <v>-2.9942929999999999</v>
      </c>
      <c r="T2345">
        <v>-0.19128500000000001</v>
      </c>
      <c r="U2345">
        <v>-0.15637210000000001</v>
      </c>
      <c r="V2345">
        <v>6.6501759999999998E-3</v>
      </c>
      <c r="W2345">
        <v>-7.6097479999999995E-2</v>
      </c>
      <c r="X2345">
        <v>0.99707820000000003</v>
      </c>
      <c r="Y2345">
        <v>-4.0906480000000002E-2</v>
      </c>
      <c r="Z2345">
        <v>-1.0764329999999999E-3</v>
      </c>
      <c r="AA2345">
        <v>0.99916240000000001</v>
      </c>
      <c r="AB2345">
        <v>44</v>
      </c>
      <c r="AC2345">
        <v>-17.290199999999999</v>
      </c>
      <c r="AD2345">
        <v>-1.1209132632859999</v>
      </c>
      <c r="AE2345">
        <v>-0.91330000000004896</v>
      </c>
      <c r="AF2345">
        <v>-0.71714481670916796</v>
      </c>
      <c r="AG2345">
        <v>-1.1209132632859999</v>
      </c>
      <c r="AH2345">
        <v>17.2271197019843</v>
      </c>
      <c r="AI2345">
        <v>93.719591755204206</v>
      </c>
      <c r="AJ2345">
        <v>92.383779833925303</v>
      </c>
      <c r="AK2345">
        <v>17.278437326866101</v>
      </c>
      <c r="AL2345">
        <v>94.364283527711805</v>
      </c>
      <c r="AM2345">
        <v>89.617862101438703</v>
      </c>
      <c r="AN2345">
        <v>0.99999999410921003</v>
      </c>
    </row>
    <row r="2346" spans="1:40" x14ac:dyDescent="0.25">
      <c r="A2346" t="str">
        <f>"20190303154813231"</f>
        <v>20190303154813231</v>
      </c>
      <c r="B2346" t="str">
        <f>"1551599293223185"</f>
        <v>1551599293223185</v>
      </c>
      <c r="C2346" t="s">
        <v>40</v>
      </c>
      <c r="D2346">
        <v>5.3389730000000002</v>
      </c>
      <c r="E2346">
        <v>0.45462320000000001</v>
      </c>
      <c r="F2346" t="s">
        <v>52</v>
      </c>
      <c r="G2346">
        <v>-387.7226</v>
      </c>
      <c r="H2346" s="1">
        <v>2.5728120000000001E-6</v>
      </c>
      <c r="I2346">
        <v>283.10430000000002</v>
      </c>
      <c r="J2346">
        <v>-372.90069999999997</v>
      </c>
      <c r="K2346">
        <v>1.1209009999999999</v>
      </c>
      <c r="L2346">
        <v>284.9905</v>
      </c>
      <c r="M2346">
        <v>-0.99981779999999998</v>
      </c>
      <c r="N2346">
        <v>-1.530783E-2</v>
      </c>
      <c r="O2346">
        <v>-1.140058E-2</v>
      </c>
      <c r="P2346">
        <v>-0.99577470000000001</v>
      </c>
      <c r="Q2346">
        <v>-9.1721479999999994E-2</v>
      </c>
      <c r="R2346">
        <v>-4.5119469999999997E-3</v>
      </c>
      <c r="S2346">
        <v>-2.99057</v>
      </c>
      <c r="T2346">
        <v>-0.22195400000000001</v>
      </c>
      <c r="U2346">
        <v>-0.37414550000000002</v>
      </c>
      <c r="V2346">
        <v>6.9263040000000003E-3</v>
      </c>
      <c r="W2346">
        <v>-7.6460210000000001E-2</v>
      </c>
      <c r="X2346">
        <v>0.99704859999999995</v>
      </c>
      <c r="Y2346">
        <v>-0.11247</v>
      </c>
      <c r="Z2346">
        <v>-4.3496000000000003E-3</v>
      </c>
      <c r="AA2346">
        <v>0.99364560000000002</v>
      </c>
      <c r="AB2346">
        <v>44</v>
      </c>
      <c r="AC2346">
        <v>-14.821899999999999</v>
      </c>
      <c r="AD2346">
        <v>-1.120898427188</v>
      </c>
      <c r="AE2346">
        <v>-1.8861999999999699</v>
      </c>
      <c r="AF2346">
        <v>-1.70746982199584</v>
      </c>
      <c r="AG2346">
        <v>-1.120898427188</v>
      </c>
      <c r="AH2346">
        <v>14.7593782118932</v>
      </c>
      <c r="AI2346">
        <v>94.314316662123204</v>
      </c>
      <c r="AJ2346">
        <v>96.599048058186895</v>
      </c>
      <c r="AK2346">
        <v>14.900037304611301</v>
      </c>
      <c r="AL2346">
        <v>94.3851270217544</v>
      </c>
      <c r="AM2346">
        <v>89.601983691370506</v>
      </c>
      <c r="AN2346">
        <v>1.00000002408115</v>
      </c>
    </row>
    <row r="2347" spans="1:40" x14ac:dyDescent="0.25">
      <c r="A2347" t="str">
        <f>"20190303154813247"</f>
        <v>20190303154813247</v>
      </c>
      <c r="B2347" t="str">
        <f>"1551599293242706"</f>
        <v>1551599293242706</v>
      </c>
      <c r="C2347" t="s">
        <v>40</v>
      </c>
      <c r="D2347">
        <v>5.2223309999999996</v>
      </c>
      <c r="E2347">
        <v>0.45421479999999997</v>
      </c>
      <c r="F2347" t="s">
        <v>52</v>
      </c>
      <c r="G2347">
        <v>-387.74299999999999</v>
      </c>
      <c r="H2347" s="1">
        <v>2.5836679999999999E-6</v>
      </c>
      <c r="I2347">
        <v>283.1266</v>
      </c>
      <c r="J2347">
        <v>-373.214</v>
      </c>
      <c r="K2347">
        <v>1.1208819999999999</v>
      </c>
      <c r="L2347">
        <v>284.98680000000002</v>
      </c>
      <c r="M2347">
        <v>-0.99981500000000001</v>
      </c>
      <c r="N2347">
        <v>-1.531797E-2</v>
      </c>
      <c r="O2347">
        <v>-1.164462E-2</v>
      </c>
      <c r="P2347">
        <v>-0.99573880000000003</v>
      </c>
      <c r="Q2347">
        <v>-9.2138639999999994E-2</v>
      </c>
      <c r="R2347">
        <v>-3.8395809999999999E-3</v>
      </c>
      <c r="S2347">
        <v>-2.9902340000000001</v>
      </c>
      <c r="T2347">
        <v>-0.225824</v>
      </c>
      <c r="U2347">
        <v>-0.37551879999999999</v>
      </c>
      <c r="V2347">
        <v>7.8376390000000004E-3</v>
      </c>
      <c r="W2347">
        <v>-7.6867279999999996E-2</v>
      </c>
      <c r="X2347">
        <v>0.99701050000000002</v>
      </c>
      <c r="Y2347">
        <v>-0.11267919999999999</v>
      </c>
      <c r="Z2347">
        <v>-4.403049E-3</v>
      </c>
      <c r="AA2347">
        <v>0.99362159999999999</v>
      </c>
      <c r="AB2347">
        <v>44</v>
      </c>
      <c r="AC2347">
        <v>-14.529</v>
      </c>
      <c r="AD2347">
        <v>-1.1208794163319999</v>
      </c>
      <c r="AE2347">
        <v>-1.8602000000000201</v>
      </c>
      <c r="AF2347">
        <v>-1.6810256156607799</v>
      </c>
      <c r="AG2347">
        <v>-1.1208794163319999</v>
      </c>
      <c r="AH2347">
        <v>14.464974822338901</v>
      </c>
      <c r="AI2347">
        <v>94.4014451842868</v>
      </c>
      <c r="AJ2347">
        <v>96.628808866998796</v>
      </c>
      <c r="AK2347">
        <v>14.605400179295501</v>
      </c>
      <c r="AL2347">
        <v>94.408519486670997</v>
      </c>
      <c r="AM2347">
        <v>89.549599140580298</v>
      </c>
      <c r="AN2347">
        <v>0.99999997221497094</v>
      </c>
    </row>
    <row r="2348" spans="1:40" x14ac:dyDescent="0.25">
      <c r="A2348" t="str">
        <f>"20190303154813270"</f>
        <v>20190303154813270</v>
      </c>
      <c r="B2348" t="str">
        <f>"1551599293263205"</f>
        <v>1551599293263205</v>
      </c>
      <c r="C2348" t="s">
        <v>40</v>
      </c>
      <c r="D2348">
        <v>5.2429290000000002</v>
      </c>
      <c r="E2348">
        <v>0.45433669999999998</v>
      </c>
      <c r="F2348" t="s">
        <v>52</v>
      </c>
      <c r="G2348">
        <v>-388.18239999999997</v>
      </c>
      <c r="H2348" s="1">
        <v>2.8174770000000001E-6</v>
      </c>
      <c r="I2348">
        <v>283.09980000000002</v>
      </c>
      <c r="J2348">
        <v>-373.65219999999999</v>
      </c>
      <c r="K2348">
        <v>1.120851</v>
      </c>
      <c r="L2348">
        <v>284.98140000000001</v>
      </c>
      <c r="M2348">
        <v>-0.99981120000000001</v>
      </c>
      <c r="N2348">
        <v>-1.532977E-2</v>
      </c>
      <c r="O2348">
        <v>-1.194534E-2</v>
      </c>
      <c r="P2348">
        <v>-0.99578520000000004</v>
      </c>
      <c r="Q2348">
        <v>-9.1648209999999994E-2</v>
      </c>
      <c r="R2348">
        <v>-3.520787E-3</v>
      </c>
      <c r="S2348">
        <v>-2.9906619999999999</v>
      </c>
      <c r="T2348">
        <v>-0.22394910000000001</v>
      </c>
      <c r="U2348">
        <v>-0.37701420000000002</v>
      </c>
      <c r="V2348">
        <v>8.4493169999999996E-3</v>
      </c>
      <c r="W2348">
        <v>-7.6364660000000001E-2</v>
      </c>
      <c r="X2348">
        <v>0.99704409999999999</v>
      </c>
      <c r="Y2348">
        <v>-0.1128572</v>
      </c>
      <c r="Z2348">
        <v>-4.3656830000000004E-3</v>
      </c>
      <c r="AA2348">
        <v>0.99360159999999997</v>
      </c>
      <c r="AB2348">
        <v>43</v>
      </c>
      <c r="AC2348">
        <v>-14.530199999999899</v>
      </c>
      <c r="AD2348">
        <v>-1.1208481825229999</v>
      </c>
      <c r="AE2348">
        <v>-1.8815999999999899</v>
      </c>
      <c r="AF2348">
        <v>-1.6979402646919299</v>
      </c>
      <c r="AG2348">
        <v>-1.1208481825229999</v>
      </c>
      <c r="AH2348">
        <v>14.4669766751203</v>
      </c>
      <c r="AI2348">
        <v>94.400134040098294</v>
      </c>
      <c r="AJ2348">
        <v>96.693988121743004</v>
      </c>
      <c r="AK2348">
        <v>14.6093366005853</v>
      </c>
      <c r="AL2348">
        <v>94.379636704974999</v>
      </c>
      <c r="AM2348">
        <v>89.514466195031304</v>
      </c>
      <c r="AN2348">
        <v>0.99999994479974397</v>
      </c>
    </row>
    <row r="2349" spans="1:40" x14ac:dyDescent="0.25">
      <c r="A2349" t="str">
        <f>"20190303154813284"</f>
        <v>20190303154813284</v>
      </c>
      <c r="B2349" t="str">
        <f>"1551599293272962"</f>
        <v>1551599293272962</v>
      </c>
      <c r="C2349" t="s">
        <v>40</v>
      </c>
      <c r="D2349">
        <v>5.2458239999999998</v>
      </c>
      <c r="E2349">
        <v>0.45431670000000002</v>
      </c>
      <c r="F2349" t="s">
        <v>52</v>
      </c>
      <c r="G2349">
        <v>-388.8098</v>
      </c>
      <c r="H2349" s="1">
        <v>3.151329E-6</v>
      </c>
      <c r="I2349">
        <v>283.08150000000001</v>
      </c>
      <c r="J2349">
        <v>-373.91520000000003</v>
      </c>
      <c r="K2349">
        <v>1.1208320000000001</v>
      </c>
      <c r="L2349">
        <v>284.97809999999998</v>
      </c>
      <c r="M2349">
        <v>-0.99980919999999895</v>
      </c>
      <c r="N2349">
        <v>-1.533581E-2</v>
      </c>
      <c r="O2349">
        <v>-1.2104760000000001E-2</v>
      </c>
      <c r="P2349">
        <v>-0.99579609999999996</v>
      </c>
      <c r="Q2349">
        <v>-9.1531749999999995E-2</v>
      </c>
      <c r="R2349">
        <v>-3.4490469999999998E-3</v>
      </c>
      <c r="S2349">
        <v>-2.991028</v>
      </c>
      <c r="T2349">
        <v>-0.22117609999999999</v>
      </c>
      <c r="U2349">
        <v>-0.37490839999999998</v>
      </c>
      <c r="V2349">
        <v>8.6753819999999902E-3</v>
      </c>
      <c r="W2349">
        <v>-7.624235E-2</v>
      </c>
      <c r="X2349">
        <v>0.99705160000000004</v>
      </c>
      <c r="Y2349">
        <v>-0.11200590000000001</v>
      </c>
      <c r="Z2349">
        <v>-4.2777049999999997E-3</v>
      </c>
      <c r="AA2349">
        <v>0.99369839999999998</v>
      </c>
      <c r="AB2349">
        <v>43</v>
      </c>
      <c r="AC2349">
        <v>-14.894599999999899</v>
      </c>
      <c r="AD2349">
        <v>-1.1208288486710001</v>
      </c>
      <c r="AE2349">
        <v>-1.8965999999999701</v>
      </c>
      <c r="AF2349">
        <v>-1.70663435746091</v>
      </c>
      <c r="AG2349">
        <v>-1.1208288486710001</v>
      </c>
      <c r="AH2349">
        <v>14.833810404215001</v>
      </c>
      <c r="AI2349">
        <v>94.292794264726993</v>
      </c>
      <c r="AJ2349">
        <v>96.563040822799096</v>
      </c>
      <c r="AK2349">
        <v>14.973669865676801</v>
      </c>
      <c r="AL2349">
        <v>94.372608013538297</v>
      </c>
      <c r="AM2349">
        <v>89.501479932480507</v>
      </c>
      <c r="AN2349">
        <v>1.0000000256244601</v>
      </c>
    </row>
    <row r="2350" spans="1:40" x14ac:dyDescent="0.25">
      <c r="A2350" t="str">
        <f>"20190303154813297"</f>
        <v>20190303154813297</v>
      </c>
      <c r="B2350" t="str">
        <f>"1551599293293458"</f>
        <v>1551599293293458</v>
      </c>
      <c r="C2350" t="s">
        <v>40</v>
      </c>
      <c r="D2350">
        <v>5.2659449999999897</v>
      </c>
      <c r="E2350">
        <v>0.45444509999999999</v>
      </c>
      <c r="F2350" t="s">
        <v>52</v>
      </c>
      <c r="G2350">
        <v>-389.25400000000002</v>
      </c>
      <c r="H2350" s="1">
        <v>3.3877479999999998E-6</v>
      </c>
      <c r="I2350">
        <v>283.05549999999999</v>
      </c>
      <c r="J2350">
        <v>-374.18090000000001</v>
      </c>
      <c r="K2350">
        <v>1.120816</v>
      </c>
      <c r="L2350">
        <v>284.97480000000002</v>
      </c>
      <c r="M2350">
        <v>-0.99980740000000001</v>
      </c>
      <c r="N2350">
        <v>-1.5340990000000001E-2</v>
      </c>
      <c r="O2350">
        <v>-1.22465E-2</v>
      </c>
      <c r="P2350">
        <v>-0.99583750000000004</v>
      </c>
      <c r="Q2350">
        <v>-9.108252E-2</v>
      </c>
      <c r="R2350">
        <v>-3.4274829999999998E-3</v>
      </c>
      <c r="S2350">
        <v>-2.991241</v>
      </c>
      <c r="T2350">
        <v>-0.2185743</v>
      </c>
      <c r="U2350">
        <v>-0.37493900000000002</v>
      </c>
      <c r="V2350">
        <v>8.8332910000000001E-3</v>
      </c>
      <c r="W2350">
        <v>-7.5787779999999999E-2</v>
      </c>
      <c r="X2350">
        <v>0.99708490000000005</v>
      </c>
      <c r="Y2350">
        <v>-0.1118741</v>
      </c>
      <c r="Z2350">
        <v>-4.2259790000000004E-3</v>
      </c>
      <c r="AA2350">
        <v>0.99371339999999997</v>
      </c>
      <c r="AB2350">
        <v>43</v>
      </c>
      <c r="AC2350">
        <v>-15.0731</v>
      </c>
      <c r="AD2350">
        <v>-1.1208126122519999</v>
      </c>
      <c r="AE2350">
        <v>-1.91930000000002</v>
      </c>
      <c r="AF2350">
        <v>-1.7251550992761899</v>
      </c>
      <c r="AG2350">
        <v>-1.1208126122519999</v>
      </c>
      <c r="AH2350">
        <v>15.0137873824529</v>
      </c>
      <c r="AI2350">
        <v>94.241532148995901</v>
      </c>
      <c r="AJ2350">
        <v>96.554808696144093</v>
      </c>
      <c r="AK2350">
        <v>15.154081713975399</v>
      </c>
      <c r="AL2350">
        <v>94.346487362962804</v>
      </c>
      <c r="AM2350">
        <v>89.492423309565297</v>
      </c>
      <c r="AN2350">
        <v>1.0000000562176099</v>
      </c>
    </row>
    <row r="2351" spans="1:40" x14ac:dyDescent="0.25">
      <c r="A2351" t="str">
        <f>"20190303154813310"</f>
        <v>20190303154813310</v>
      </c>
      <c r="B2351" t="str">
        <f>"1551599293303218"</f>
        <v>1551599293303218</v>
      </c>
      <c r="C2351" t="s">
        <v>40</v>
      </c>
      <c r="D2351">
        <v>5.2150780000000001</v>
      </c>
      <c r="E2351">
        <v>0.45456489999999999</v>
      </c>
      <c r="F2351" t="s">
        <v>52</v>
      </c>
      <c r="G2351">
        <v>-389.96199999999999</v>
      </c>
      <c r="H2351" s="1">
        <v>-1.557011E-6</v>
      </c>
      <c r="I2351">
        <v>283.00319999999999</v>
      </c>
      <c r="J2351">
        <v>-374.41399999999999</v>
      </c>
      <c r="K2351">
        <v>1.120798</v>
      </c>
      <c r="L2351">
        <v>284.97190000000001</v>
      </c>
      <c r="M2351">
        <v>-0.99980599999999997</v>
      </c>
      <c r="N2351">
        <v>-1.534487E-2</v>
      </c>
      <c r="O2351">
        <v>-1.2354540000000001E-2</v>
      </c>
      <c r="P2351">
        <v>-0.99584870000000003</v>
      </c>
      <c r="Q2351">
        <v>-9.0954419999999994E-2</v>
      </c>
      <c r="R2351">
        <v>-3.50833E-3</v>
      </c>
      <c r="S2351">
        <v>-2.9918209999999998</v>
      </c>
      <c r="T2351">
        <v>-0.21248810000000001</v>
      </c>
      <c r="U2351">
        <v>-0.37377929999999998</v>
      </c>
      <c r="V2351">
        <v>8.8557250000000001E-3</v>
      </c>
      <c r="W2351">
        <v>-7.5656150000000005E-2</v>
      </c>
      <c r="X2351">
        <v>0.99709460000000005</v>
      </c>
      <c r="Y2351">
        <v>-0.11138190000000001</v>
      </c>
      <c r="Z2351">
        <v>-4.1102680000000003E-3</v>
      </c>
      <c r="AA2351">
        <v>0.99376920000000002</v>
      </c>
      <c r="AB2351">
        <v>43</v>
      </c>
      <c r="AC2351">
        <v>-15.548</v>
      </c>
      <c r="AD2351">
        <v>-1.1207995570110001</v>
      </c>
      <c r="AE2351">
        <v>-1.9687000000000101</v>
      </c>
      <c r="AF2351">
        <v>-1.7673994397717401</v>
      </c>
      <c r="AG2351">
        <v>-1.1207995570110001</v>
      </c>
      <c r="AH2351">
        <v>15.4919057320528</v>
      </c>
      <c r="AI2351">
        <v>94.111415636721404</v>
      </c>
      <c r="AJ2351">
        <v>96.508469303101293</v>
      </c>
      <c r="AK2351">
        <v>15.632627278788201</v>
      </c>
      <c r="AL2351">
        <v>94.338924226818904</v>
      </c>
      <c r="AM2351">
        <v>89.491139229645896</v>
      </c>
      <c r="AN2351">
        <v>0.99999995912362805</v>
      </c>
    </row>
    <row r="2352" spans="1:40" x14ac:dyDescent="0.25">
      <c r="A2352" t="str">
        <f>"20190303154813322"</f>
        <v>20190303154813322</v>
      </c>
      <c r="B2352" t="str">
        <f>"1551599293312978"</f>
        <v>1551599293312978</v>
      </c>
      <c r="C2352" t="s">
        <v>40</v>
      </c>
      <c r="D2352">
        <v>5.2923260000000001</v>
      </c>
      <c r="E2352">
        <v>0.4547292</v>
      </c>
      <c r="F2352" t="s">
        <v>52</v>
      </c>
      <c r="G2352">
        <v>-390.49310000000003</v>
      </c>
      <c r="H2352" s="1">
        <v>-1.2743809999999999E-6</v>
      </c>
      <c r="I2352">
        <v>282.9667</v>
      </c>
      <c r="J2352">
        <v>-374.65640000000002</v>
      </c>
      <c r="K2352">
        <v>1.1207769999999999</v>
      </c>
      <c r="L2352">
        <v>284.96879999999999</v>
      </c>
      <c r="M2352">
        <v>-0.99980460000000004</v>
      </c>
      <c r="N2352">
        <v>-1.534859E-2</v>
      </c>
      <c r="O2352">
        <v>-1.2458749999999999E-2</v>
      </c>
      <c r="P2352">
        <v>-0.99586260000000004</v>
      </c>
      <c r="Q2352">
        <v>-9.0803300000000003E-2</v>
      </c>
      <c r="R2352">
        <v>-3.5049920000000002E-3</v>
      </c>
      <c r="S2352">
        <v>-2.9921570000000002</v>
      </c>
      <c r="T2352">
        <v>-0.20856959999999999</v>
      </c>
      <c r="U2352">
        <v>-0.37313839999999998</v>
      </c>
      <c r="V2352">
        <v>8.9585519999999998E-3</v>
      </c>
      <c r="W2352">
        <v>-7.5501579999999999E-2</v>
      </c>
      <c r="X2352">
        <v>0.99710540000000003</v>
      </c>
      <c r="Y2352">
        <v>-0.1110664</v>
      </c>
      <c r="Z2352">
        <v>-4.0348440000000001E-3</v>
      </c>
      <c r="AA2352">
        <v>0.99380480000000004</v>
      </c>
      <c r="AB2352">
        <v>43</v>
      </c>
      <c r="AC2352">
        <v>-15.8367</v>
      </c>
      <c r="AD2352">
        <v>-1.120778274381</v>
      </c>
      <c r="AE2352">
        <v>-2.00209999999998</v>
      </c>
      <c r="AF2352">
        <v>-1.79576320473541</v>
      </c>
      <c r="AG2352">
        <v>-1.120778274381</v>
      </c>
      <c r="AH2352">
        <v>15.782613026768299</v>
      </c>
      <c r="AI2352">
        <v>94.035999416663103</v>
      </c>
      <c r="AJ2352">
        <v>96.491261100413297</v>
      </c>
      <c r="AK2352">
        <v>15.9239374333273</v>
      </c>
      <c r="AL2352">
        <v>94.330042604670894</v>
      </c>
      <c r="AM2352">
        <v>89.485236556158895</v>
      </c>
      <c r="AN2352">
        <v>0.99999996147279502</v>
      </c>
    </row>
    <row r="2353" spans="1:40" x14ac:dyDescent="0.25">
      <c r="A2353" t="str">
        <f>"20190303154813336"</f>
        <v>20190303154813336</v>
      </c>
      <c r="B2353" t="str">
        <f>"1551599293332498"</f>
        <v>1551599293332498</v>
      </c>
      <c r="C2353" t="s">
        <v>40</v>
      </c>
      <c r="D2353">
        <v>5.289968</v>
      </c>
      <c r="E2353">
        <v>0.4546655</v>
      </c>
      <c r="F2353" t="s">
        <v>52</v>
      </c>
      <c r="G2353">
        <v>-390.75110000000001</v>
      </c>
      <c r="H2353" s="1">
        <v>-1.1370770000000001E-6</v>
      </c>
      <c r="I2353">
        <v>282.96910000000003</v>
      </c>
      <c r="J2353">
        <v>-374.9434</v>
      </c>
      <c r="K2353">
        <v>1.1207499999999999</v>
      </c>
      <c r="L2353">
        <v>284.96510000000001</v>
      </c>
      <c r="M2353">
        <v>-0.99980329999999995</v>
      </c>
      <c r="N2353">
        <v>-1.535214E-2</v>
      </c>
      <c r="O2353">
        <v>-1.2560979999999999E-2</v>
      </c>
      <c r="P2353">
        <v>-0.99585360000000001</v>
      </c>
      <c r="Q2353">
        <v>-9.0892929999999997E-2</v>
      </c>
      <c r="R2353">
        <v>-3.7510899999999999E-3</v>
      </c>
      <c r="S2353">
        <v>-2.9921259999999998</v>
      </c>
      <c r="T2353">
        <v>-0.2083613</v>
      </c>
      <c r="U2353">
        <v>-0.37176510000000001</v>
      </c>
      <c r="V2353">
        <v>8.809084E-3</v>
      </c>
      <c r="W2353">
        <v>-7.5588459999999996E-2</v>
      </c>
      <c r="X2353">
        <v>0.99710019999999999</v>
      </c>
      <c r="Y2353">
        <v>-0.1105191</v>
      </c>
      <c r="Z2353">
        <v>-4.0034999999999897E-3</v>
      </c>
      <c r="AA2353">
        <v>0.99386589999999997</v>
      </c>
      <c r="AB2353">
        <v>43</v>
      </c>
      <c r="AC2353">
        <v>-15.807700000000001</v>
      </c>
      <c r="AD2353">
        <v>-1.12075113707699</v>
      </c>
      <c r="AE2353">
        <v>-1.99599999999998</v>
      </c>
      <c r="AF2353">
        <v>-1.7884102155609001</v>
      </c>
      <c r="AG2353">
        <v>-1.12075113707699</v>
      </c>
      <c r="AH2353">
        <v>15.7535818225643</v>
      </c>
      <c r="AI2353">
        <v>94.043431101188204</v>
      </c>
      <c r="AJ2353">
        <v>96.476719854007499</v>
      </c>
      <c r="AK2353">
        <v>15.8943334069288</v>
      </c>
      <c r="AL2353">
        <v>94.335034508077001</v>
      </c>
      <c r="AM2353">
        <v>89.493821981341299</v>
      </c>
      <c r="AN2353">
        <v>1.0000000120430601</v>
      </c>
    </row>
    <row r="2354" spans="1:40" x14ac:dyDescent="0.25">
      <c r="A2354" t="str">
        <f>"20190303154813352"</f>
        <v>20190303154813352</v>
      </c>
      <c r="B2354" t="str">
        <f>"1551599293343234"</f>
        <v>1551599293343234</v>
      </c>
      <c r="C2354" t="s">
        <v>40</v>
      </c>
      <c r="D2354">
        <v>5.3168899999999999</v>
      </c>
      <c r="E2354">
        <v>0.45458100000000001</v>
      </c>
      <c r="F2354" t="s">
        <v>52</v>
      </c>
      <c r="G2354">
        <v>-391.39960000000002</v>
      </c>
      <c r="H2354" s="1">
        <v>-7.9201749999999995E-7</v>
      </c>
      <c r="I2354">
        <v>282.91449999999998</v>
      </c>
      <c r="J2354">
        <v>-375.23970000000003</v>
      </c>
      <c r="K2354">
        <v>1.1207279999999999</v>
      </c>
      <c r="L2354">
        <v>284.96129999999999</v>
      </c>
      <c r="M2354">
        <v>-0.99980219999999997</v>
      </c>
      <c r="N2354">
        <v>-1.535514E-2</v>
      </c>
      <c r="O2354">
        <v>-1.265084E-2</v>
      </c>
      <c r="P2354">
        <v>-0.99588080000000001</v>
      </c>
      <c r="Q2354">
        <v>-9.0585460000000007E-2</v>
      </c>
      <c r="R2354">
        <v>-4.0117470000000004E-3</v>
      </c>
      <c r="S2354">
        <v>-2.9924930000000001</v>
      </c>
      <c r="T2354">
        <v>-0.2038045</v>
      </c>
      <c r="U2354">
        <v>-0.37289430000000001</v>
      </c>
      <c r="V2354">
        <v>8.6332490000000008E-3</v>
      </c>
      <c r="W2354">
        <v>-7.5278239999999996E-2</v>
      </c>
      <c r="X2354">
        <v>0.99712520000000004</v>
      </c>
      <c r="Y2354">
        <v>-0.1107953</v>
      </c>
      <c r="Z2354">
        <v>-3.9454829999999996E-3</v>
      </c>
      <c r="AA2354">
        <v>0.99383540000000004</v>
      </c>
      <c r="AB2354">
        <v>43</v>
      </c>
      <c r="AC2354">
        <v>-16.159899999999901</v>
      </c>
      <c r="AD2354">
        <v>-1.1207287920175</v>
      </c>
      <c r="AE2354">
        <v>-2.0468000000000202</v>
      </c>
      <c r="AF2354">
        <v>-1.8334963350982501</v>
      </c>
      <c r="AG2354">
        <v>-1.1207287920175</v>
      </c>
      <c r="AH2354">
        <v>16.1082497178067</v>
      </c>
      <c r="AI2354">
        <v>93.954478329373799</v>
      </c>
      <c r="AJ2354">
        <v>96.493655297303206</v>
      </c>
      <c r="AK2354">
        <v>16.2509523046281</v>
      </c>
      <c r="AL2354">
        <v>94.317209453651699</v>
      </c>
      <c r="AM2354">
        <v>89.503937548101803</v>
      </c>
      <c r="AN2354">
        <v>1.0000000054404099</v>
      </c>
    </row>
    <row r="2355" spans="1:40" x14ac:dyDescent="0.25">
      <c r="A2355" t="str">
        <f>"20190303154813372"</f>
        <v>20190303154813372</v>
      </c>
      <c r="B2355" t="str">
        <f>"1551599293362754"</f>
        <v>1551599293362754</v>
      </c>
      <c r="C2355" t="s">
        <v>40</v>
      </c>
      <c r="D2355">
        <v>5.326314</v>
      </c>
      <c r="E2355">
        <v>0.45443099999999997</v>
      </c>
      <c r="F2355" t="s">
        <v>52</v>
      </c>
      <c r="G2355">
        <v>-391.91399999999999</v>
      </c>
      <c r="H2355" s="1">
        <v>-5.1825519999999999E-7</v>
      </c>
      <c r="I2355">
        <v>282.8734</v>
      </c>
      <c r="J2355">
        <v>-375.61259999999999</v>
      </c>
      <c r="K2355">
        <v>1.120708</v>
      </c>
      <c r="L2355">
        <v>284.95650000000001</v>
      </c>
      <c r="M2355">
        <v>-0.99980100000000005</v>
      </c>
      <c r="N2355">
        <v>-1.535809E-2</v>
      </c>
      <c r="O2355">
        <v>-1.274612E-2</v>
      </c>
      <c r="P2355">
        <v>-0.99592139999999996</v>
      </c>
      <c r="Q2355">
        <v>-9.0134980000000003E-2</v>
      </c>
      <c r="R2355">
        <v>-4.0724209999999997E-3</v>
      </c>
      <c r="S2355">
        <v>-2.9926149999999998</v>
      </c>
      <c r="T2355">
        <v>-0.2011425</v>
      </c>
      <c r="U2355">
        <v>-0.37472529999999998</v>
      </c>
      <c r="V2355">
        <v>8.6621800000000002E-3</v>
      </c>
      <c r="W2355">
        <v>-7.4824879999999996E-2</v>
      </c>
      <c r="X2355">
        <v>0.99715909999999996</v>
      </c>
      <c r="Y2355">
        <v>-0.1112998</v>
      </c>
      <c r="Z2355">
        <v>-3.9235659999999999E-3</v>
      </c>
      <c r="AA2355">
        <v>0.99377910000000003</v>
      </c>
      <c r="AB2355">
        <v>43</v>
      </c>
      <c r="AC2355">
        <v>-16.301400000000001</v>
      </c>
      <c r="AD2355">
        <v>-1.1207085182551999</v>
      </c>
      <c r="AE2355">
        <v>-2.0831</v>
      </c>
      <c r="AF2355">
        <v>-1.86644673028644</v>
      </c>
      <c r="AG2355">
        <v>-1.1207085182551999</v>
      </c>
      <c r="AH2355">
        <v>16.251054241126301</v>
      </c>
      <c r="AI2355">
        <v>93.919313804357401</v>
      </c>
      <c r="AJ2355">
        <v>96.551759827581606</v>
      </c>
      <c r="AK2355">
        <v>16.396230509721299</v>
      </c>
      <c r="AL2355">
        <v>94.291160251475105</v>
      </c>
      <c r="AM2355">
        <v>89.502292189943603</v>
      </c>
      <c r="AN2355">
        <v>1.0000000333710799</v>
      </c>
    </row>
    <row r="2356" spans="1:40" x14ac:dyDescent="0.25">
      <c r="A2356" t="str">
        <f>"20190303154813394"</f>
        <v>20190303154813394</v>
      </c>
      <c r="B2356" t="str">
        <f>"1551599293383251"</f>
        <v>1551599293383251</v>
      </c>
      <c r="C2356" t="s">
        <v>40</v>
      </c>
      <c r="D2356">
        <v>5.2765259999999996</v>
      </c>
      <c r="E2356">
        <v>0.45437420000000001</v>
      </c>
      <c r="F2356" t="s">
        <v>52</v>
      </c>
      <c r="G2356">
        <v>-392.76150000000001</v>
      </c>
      <c r="H2356" s="1">
        <v>-6.7257190000000006E-8</v>
      </c>
      <c r="I2356">
        <v>282.80360000000002</v>
      </c>
      <c r="J2356">
        <v>-376.03649999999999</v>
      </c>
      <c r="K2356">
        <v>1.120684</v>
      </c>
      <c r="L2356">
        <v>284.95100000000002</v>
      </c>
      <c r="M2356">
        <v>-0.99979980000000002</v>
      </c>
      <c r="N2356">
        <v>-1.5360399999999899E-2</v>
      </c>
      <c r="O2356">
        <v>-1.2834979999999999E-2</v>
      </c>
      <c r="P2356">
        <v>-0.9959519</v>
      </c>
      <c r="Q2356">
        <v>-8.9811859999999993E-2</v>
      </c>
      <c r="R2356">
        <v>-3.7262660000000002E-3</v>
      </c>
      <c r="S2356">
        <v>-2.993042</v>
      </c>
      <c r="T2356">
        <v>-0.19560060000000001</v>
      </c>
      <c r="U2356">
        <v>-0.37576290000000001</v>
      </c>
      <c r="V2356">
        <v>9.0918040000000002E-3</v>
      </c>
      <c r="W2356">
        <v>-7.4499510000000005E-2</v>
      </c>
      <c r="X2356">
        <v>0.99717960000000005</v>
      </c>
      <c r="Y2356">
        <v>-0.1115466</v>
      </c>
      <c r="Z2356">
        <v>-3.849856E-3</v>
      </c>
      <c r="AA2356">
        <v>0.99375179999999996</v>
      </c>
      <c r="AB2356">
        <v>43</v>
      </c>
      <c r="AC2356">
        <v>-16.725000000000001</v>
      </c>
      <c r="AD2356">
        <v>-1.1206840672571801</v>
      </c>
      <c r="AE2356">
        <v>-2.1473999999999398</v>
      </c>
      <c r="AF2356">
        <v>-1.9240341678966399</v>
      </c>
      <c r="AG2356">
        <v>-1.1206840672571801</v>
      </c>
      <c r="AH2356">
        <v>16.6775215134105</v>
      </c>
      <c r="AI2356">
        <v>93.819085703679406</v>
      </c>
      <c r="AJ2356">
        <v>96.580943688460394</v>
      </c>
      <c r="AK2356">
        <v>16.825503382903801</v>
      </c>
      <c r="AL2356">
        <v>94.272465904480299</v>
      </c>
      <c r="AM2356">
        <v>89.477619113469103</v>
      </c>
      <c r="AN2356">
        <v>0.99999999627318703</v>
      </c>
    </row>
    <row r="2357" spans="1:40" x14ac:dyDescent="0.25">
      <c r="A2357" t="str">
        <f>"20190303154813416"</f>
        <v>20190303154813416</v>
      </c>
      <c r="B2357" t="str">
        <f>"1551599293412531"</f>
        <v>1551599293412531</v>
      </c>
      <c r="C2357" t="s">
        <v>40</v>
      </c>
      <c r="D2357">
        <v>5.2693089999999998</v>
      </c>
      <c r="E2357">
        <v>0.453926</v>
      </c>
      <c r="F2357" t="s">
        <v>52</v>
      </c>
      <c r="G2357">
        <v>-393.50170000000003</v>
      </c>
      <c r="H2357" s="1">
        <v>3.2664049999999998E-7</v>
      </c>
      <c r="I2357">
        <v>282.76240000000001</v>
      </c>
      <c r="J2357">
        <v>-376.47059999999999</v>
      </c>
      <c r="K2357">
        <v>1.120665</v>
      </c>
      <c r="L2357">
        <v>284.94540000000001</v>
      </c>
      <c r="M2357">
        <v>-0.99979870000000004</v>
      </c>
      <c r="N2357">
        <v>-1.536181E-2</v>
      </c>
      <c r="O2357">
        <v>-1.291117E-2</v>
      </c>
      <c r="P2357">
        <v>-0.99593469999999995</v>
      </c>
      <c r="Q2357">
        <v>-9.0012780000000001E-2</v>
      </c>
      <c r="R2357">
        <v>-3.5045100000000002E-3</v>
      </c>
      <c r="S2357">
        <v>-2.9934690000000002</v>
      </c>
      <c r="T2357">
        <v>-0.19208059999999999</v>
      </c>
      <c r="U2357">
        <v>-0.37512210000000001</v>
      </c>
      <c r="V2357">
        <v>9.3849439999999992E-3</v>
      </c>
      <c r="W2357">
        <v>-7.4699769999999999E-2</v>
      </c>
      <c r="X2357">
        <v>0.99716190000000005</v>
      </c>
      <c r="Y2357">
        <v>-0.1112534</v>
      </c>
      <c r="Z2357">
        <v>-3.7840920000000002E-3</v>
      </c>
      <c r="AA2357">
        <v>0.99378480000000002</v>
      </c>
      <c r="AB2357">
        <v>43</v>
      </c>
      <c r="AC2357">
        <v>-17.031099999999999</v>
      </c>
      <c r="AD2357">
        <v>-1.1206646733595</v>
      </c>
      <c r="AE2357">
        <v>-2.1829999999999901</v>
      </c>
      <c r="AF2357">
        <v>-1.95457454669495</v>
      </c>
      <c r="AG2357">
        <v>-1.1206646733595</v>
      </c>
      <c r="AH2357">
        <v>16.985513673478099</v>
      </c>
      <c r="AI2357">
        <v>93.750095269453098</v>
      </c>
      <c r="AJ2357">
        <v>96.564326135732998</v>
      </c>
      <c r="AK2357">
        <v>17.1342909313638</v>
      </c>
      <c r="AL2357">
        <v>94.283972028953997</v>
      </c>
      <c r="AM2357">
        <v>89.460767798956795</v>
      </c>
      <c r="AN2357">
        <v>0.99999999381177296</v>
      </c>
    </row>
    <row r="2358" spans="1:40" x14ac:dyDescent="0.25">
      <c r="A2358" t="str">
        <f>"20190303154813437"</f>
        <v>20190303154813437</v>
      </c>
      <c r="B2358" t="str">
        <f>"1551599293433026"</f>
        <v>1551599293433026</v>
      </c>
      <c r="C2358" t="s">
        <v>40</v>
      </c>
      <c r="D2358">
        <v>5.272551</v>
      </c>
      <c r="E2358">
        <v>0.45375169999999998</v>
      </c>
      <c r="F2358" t="s">
        <v>52</v>
      </c>
      <c r="G2358">
        <v>-394.09190000000001</v>
      </c>
      <c r="H2358" s="1">
        <v>6.4070609999999996E-7</v>
      </c>
      <c r="I2358">
        <v>282.71910000000003</v>
      </c>
      <c r="J2358">
        <v>-376.88499999999999</v>
      </c>
      <c r="K2358">
        <v>1.1206480000000001</v>
      </c>
      <c r="L2358">
        <v>284.94</v>
      </c>
      <c r="M2358">
        <v>-0.99979790000000002</v>
      </c>
      <c r="N2358">
        <v>-1.5362290000000001E-2</v>
      </c>
      <c r="O2358">
        <v>-1.297565E-2</v>
      </c>
      <c r="P2358">
        <v>-0.99592840000000005</v>
      </c>
      <c r="Q2358">
        <v>-9.0075219999999998E-2</v>
      </c>
      <c r="R2358">
        <v>-3.6426620000000001E-3</v>
      </c>
      <c r="S2358">
        <v>-2.9937130000000001</v>
      </c>
      <c r="T2358">
        <v>-0.19039149999999999</v>
      </c>
      <c r="U2358">
        <v>-0.37823489999999999</v>
      </c>
      <c r="V2358">
        <v>9.3072280000000007E-3</v>
      </c>
      <c r="W2358">
        <v>-7.4762259999999997E-2</v>
      </c>
      <c r="X2358">
        <v>0.99715790000000004</v>
      </c>
      <c r="Y2358">
        <v>-0.1121983</v>
      </c>
      <c r="Z2358">
        <v>-3.7939279999999998E-3</v>
      </c>
      <c r="AA2358">
        <v>0.99367859999999997</v>
      </c>
      <c r="AB2358">
        <v>43</v>
      </c>
      <c r="AC2358">
        <v>-17.206900000000001</v>
      </c>
      <c r="AD2358">
        <v>-1.1206473592938999</v>
      </c>
      <c r="AE2358">
        <v>-2.2208999999999701</v>
      </c>
      <c r="AF2358">
        <v>-1.98911710001481</v>
      </c>
      <c r="AG2358">
        <v>-1.1206473592938999</v>
      </c>
      <c r="AH2358">
        <v>17.162667283479699</v>
      </c>
      <c r="AI2358">
        <v>93.711090330117102</v>
      </c>
      <c r="AJ2358">
        <v>96.610965613885199</v>
      </c>
      <c r="AK2358">
        <v>17.3138553079575</v>
      </c>
      <c r="AL2358">
        <v>94.287562675590195</v>
      </c>
      <c r="AM2358">
        <v>89.465230733926305</v>
      </c>
      <c r="AN2358">
        <v>0.99999994877287901</v>
      </c>
    </row>
    <row r="2359" spans="1:40" x14ac:dyDescent="0.25">
      <c r="A2359" t="str">
        <f>"20190303154813451"</f>
        <v>20190303154813451</v>
      </c>
      <c r="B2359" t="str">
        <f>"1551599293442787"</f>
        <v>1551599293442787</v>
      </c>
      <c r="C2359" t="s">
        <v>40</v>
      </c>
      <c r="D2359">
        <v>5.2710970000000001</v>
      </c>
      <c r="E2359">
        <v>0.45363579999999998</v>
      </c>
      <c r="F2359" t="s">
        <v>52</v>
      </c>
      <c r="G2359">
        <v>-394.65109999999999</v>
      </c>
      <c r="H2359" s="1">
        <v>9.3828910000000004E-7</v>
      </c>
      <c r="I2359">
        <v>282.68459999999999</v>
      </c>
      <c r="J2359">
        <v>-377.14010000000002</v>
      </c>
      <c r="K2359">
        <v>1.1206400000000001</v>
      </c>
      <c r="L2359">
        <v>284.9366</v>
      </c>
      <c r="M2359">
        <v>-0.9997973</v>
      </c>
      <c r="N2359">
        <v>-1.536218E-2</v>
      </c>
      <c r="O2359">
        <v>-1.3012889999999999E-2</v>
      </c>
      <c r="P2359">
        <v>-0.99591700000000005</v>
      </c>
      <c r="Q2359">
        <v>-9.0199109999999999E-2</v>
      </c>
      <c r="R2359">
        <v>-3.6858310000000001E-3</v>
      </c>
      <c r="S2359">
        <v>-2.9938349999999998</v>
      </c>
      <c r="T2359">
        <v>-0.18884490000000001</v>
      </c>
      <c r="U2359">
        <v>-0.38006590000000001</v>
      </c>
      <c r="V2359">
        <v>9.2993629999999997E-3</v>
      </c>
      <c r="W2359">
        <v>-7.4886659999999994E-2</v>
      </c>
      <c r="X2359">
        <v>0.9971487</v>
      </c>
      <c r="Y2359">
        <v>-0.1127568</v>
      </c>
      <c r="Z2359">
        <v>-3.7916690000000001E-3</v>
      </c>
      <c r="AA2359">
        <v>0.99361540000000004</v>
      </c>
      <c r="AB2359">
        <v>43</v>
      </c>
      <c r="AC2359">
        <v>-17.5109999999999</v>
      </c>
      <c r="AD2359">
        <v>-1.1206390617109001</v>
      </c>
      <c r="AE2359">
        <v>-2.2519999999999998</v>
      </c>
      <c r="AF2359">
        <v>-2.0157922560357102</v>
      </c>
      <c r="AG2359">
        <v>-1.1206390617109001</v>
      </c>
      <c r="AH2359">
        <v>17.468446996390998</v>
      </c>
      <c r="AI2359">
        <v>93.646486949117502</v>
      </c>
      <c r="AJ2359">
        <v>96.582599206460998</v>
      </c>
      <c r="AK2359">
        <v>17.6200423039177</v>
      </c>
      <c r="AL2359">
        <v>94.294710044488895</v>
      </c>
      <c r="AM2359">
        <v>89.465677680797597</v>
      </c>
      <c r="AN2359">
        <v>1.00000000995492</v>
      </c>
    </row>
    <row r="2360" spans="1:40" x14ac:dyDescent="0.25">
      <c r="A2360" t="str">
        <f>"20190303154813471"</f>
        <v>20190303154813471</v>
      </c>
      <c r="B2360" t="str">
        <f>"1551599293463285"</f>
        <v>1551599293463285</v>
      </c>
      <c r="C2360" t="s">
        <v>40</v>
      </c>
      <c r="D2360">
        <v>5.3820800000000002</v>
      </c>
      <c r="E2360">
        <v>0.45377289999999998</v>
      </c>
      <c r="F2360" t="s">
        <v>52</v>
      </c>
      <c r="G2360">
        <v>-394.92829999999998</v>
      </c>
      <c r="H2360" s="1">
        <v>1.0858E-6</v>
      </c>
      <c r="I2360">
        <v>282.67189999999999</v>
      </c>
      <c r="J2360">
        <v>-377.52269999999999</v>
      </c>
      <c r="K2360">
        <v>1.1206309999999999</v>
      </c>
      <c r="L2360">
        <v>284.9316</v>
      </c>
      <c r="M2360">
        <v>-0.99979669999999998</v>
      </c>
      <c r="N2360">
        <v>-1.5361639999999999E-2</v>
      </c>
      <c r="O2360">
        <v>-1.3067580000000001E-2</v>
      </c>
      <c r="P2360">
        <v>-0.99590710000000005</v>
      </c>
      <c r="Q2360">
        <v>-9.0292830000000004E-2</v>
      </c>
      <c r="R2360">
        <v>-4.0823229999999997E-3</v>
      </c>
      <c r="S2360">
        <v>-2.9937740000000002</v>
      </c>
      <c r="T2360">
        <v>-0.1886053</v>
      </c>
      <c r="U2360">
        <v>-0.38116460000000002</v>
      </c>
      <c r="V2360">
        <v>8.9549050000000009E-3</v>
      </c>
      <c r="W2360">
        <v>-7.4981370000000006E-2</v>
      </c>
      <c r="X2360">
        <v>0.99714469999999999</v>
      </c>
      <c r="Y2360">
        <v>-0.1130637</v>
      </c>
      <c r="Z2360">
        <v>-3.7975869999999998E-3</v>
      </c>
      <c r="AA2360">
        <v>0.99358049999999998</v>
      </c>
      <c r="AB2360">
        <v>43</v>
      </c>
      <c r="AC2360">
        <v>-17.4055999999999</v>
      </c>
      <c r="AD2360">
        <v>-1.1206299142</v>
      </c>
      <c r="AE2360">
        <v>-2.2597</v>
      </c>
      <c r="AF2360">
        <v>-2.0237811754621</v>
      </c>
      <c r="AG2360">
        <v>-1.1206299142</v>
      </c>
      <c r="AH2360">
        <v>17.362866044786902</v>
      </c>
      <c r="AI2360">
        <v>93.668084050326001</v>
      </c>
      <c r="AJ2360">
        <v>96.648283199677095</v>
      </c>
      <c r="AK2360">
        <v>17.5162958110432</v>
      </c>
      <c r="AL2360">
        <v>94.3001519802622</v>
      </c>
      <c r="AM2360">
        <v>89.485466382346303</v>
      </c>
      <c r="AN2360">
        <v>0.99999997445436195</v>
      </c>
    </row>
    <row r="2361" spans="1:40" x14ac:dyDescent="0.25">
      <c r="A2361" t="str">
        <f>"20190303154813484"</f>
        <v>20190303154813484</v>
      </c>
      <c r="B2361" t="str">
        <f>"1551599293473043"</f>
        <v>1551599293473043</v>
      </c>
      <c r="C2361" t="s">
        <v>40</v>
      </c>
      <c r="D2361">
        <v>5.3605390000000002</v>
      </c>
      <c r="E2361">
        <v>0.4562792</v>
      </c>
      <c r="F2361" t="s">
        <v>52</v>
      </c>
      <c r="G2361">
        <v>-395.3057</v>
      </c>
      <c r="H2361" s="1">
        <v>1.286618E-6</v>
      </c>
      <c r="I2361">
        <v>282.6669</v>
      </c>
      <c r="J2361">
        <v>-377.78309999999999</v>
      </c>
      <c r="K2361">
        <v>1.120625</v>
      </c>
      <c r="L2361">
        <v>284.9282</v>
      </c>
      <c r="M2361">
        <v>-0.99979609999999997</v>
      </c>
      <c r="N2361">
        <v>-1.536101E-2</v>
      </c>
      <c r="O2361">
        <v>-1.310426E-2</v>
      </c>
      <c r="P2361">
        <v>-0.99587360000000003</v>
      </c>
      <c r="Q2361">
        <v>-9.0644569999999994E-2</v>
      </c>
      <c r="R2361">
        <v>-4.3945870000000001E-3</v>
      </c>
      <c r="S2361">
        <v>-2.993652</v>
      </c>
      <c r="T2361">
        <v>-0.18865080000000001</v>
      </c>
      <c r="U2361">
        <v>-0.38125609999999999</v>
      </c>
      <c r="V2361">
        <v>8.6774260000000002E-3</v>
      </c>
      <c r="W2361">
        <v>-7.5334399999999996E-2</v>
      </c>
      <c r="X2361">
        <v>0.99712060000000002</v>
      </c>
      <c r="Y2361">
        <v>-0.1130622</v>
      </c>
      <c r="Z2361">
        <v>-3.7965099999999999E-3</v>
      </c>
      <c r="AA2361">
        <v>0.99358060000000004</v>
      </c>
      <c r="AB2361">
        <v>43</v>
      </c>
      <c r="AC2361">
        <v>-17.522600000000001</v>
      </c>
      <c r="AD2361">
        <v>-1.1206237133820001</v>
      </c>
      <c r="AE2361">
        <v>-2.2612999999999999</v>
      </c>
      <c r="AF2361">
        <v>-2.0233181822092301</v>
      </c>
      <c r="AG2361">
        <v>-1.1206237133820001</v>
      </c>
      <c r="AH2361">
        <v>17.4804076690031</v>
      </c>
      <c r="AI2361">
        <v>93.643803138946396</v>
      </c>
      <c r="AJ2361">
        <v>96.602477574199597</v>
      </c>
      <c r="AK2361">
        <v>17.632761163470601</v>
      </c>
      <c r="AL2361">
        <v>94.320436240176804</v>
      </c>
      <c r="AM2361">
        <v>89.501396986086704</v>
      </c>
      <c r="AN2361">
        <v>1.00000003024485</v>
      </c>
    </row>
    <row r="2362" spans="1:40" x14ac:dyDescent="0.25">
      <c r="A2362" t="str">
        <f>"20190303154813498"</f>
        <v>20190303154813498</v>
      </c>
      <c r="B2362" t="str">
        <f>"1551599293493538"</f>
        <v>1551599293493538</v>
      </c>
      <c r="C2362" t="s">
        <v>40</v>
      </c>
      <c r="D2362">
        <v>5.2028930000000004</v>
      </c>
      <c r="E2362">
        <v>0.52571499999999904</v>
      </c>
      <c r="F2362" t="s">
        <v>52</v>
      </c>
      <c r="G2362">
        <v>-394.55509999999998</v>
      </c>
      <c r="H2362" s="1">
        <v>8.8719389999999995E-7</v>
      </c>
      <c r="I2362">
        <v>282.89890000000003</v>
      </c>
      <c r="J2362">
        <v>-378.04730000000001</v>
      </c>
      <c r="K2362">
        <v>1.1206119999999999</v>
      </c>
      <c r="L2362">
        <v>284.92469999999997</v>
      </c>
      <c r="M2362">
        <v>-0.99979560000000001</v>
      </c>
      <c r="N2362">
        <v>-1.536014E-2</v>
      </c>
      <c r="O2362">
        <v>-1.3141419999999999E-2</v>
      </c>
      <c r="P2362">
        <v>-0.99585369999999995</v>
      </c>
      <c r="Q2362">
        <v>-9.0855019999999995E-2</v>
      </c>
      <c r="R2362">
        <v>-4.5452890000000001E-3</v>
      </c>
      <c r="S2362">
        <v>-2.992645</v>
      </c>
      <c r="T2362">
        <v>-0.19995489999999999</v>
      </c>
      <c r="U2362">
        <v>-0.3620911</v>
      </c>
      <c r="V2362">
        <v>8.5621699999999992E-3</v>
      </c>
      <c r="W2362">
        <v>-7.5546180000000004E-2</v>
      </c>
      <c r="X2362">
        <v>0.99710549999999998</v>
      </c>
      <c r="Y2362">
        <v>-0.1067872</v>
      </c>
      <c r="Z2362">
        <v>-3.702215E-3</v>
      </c>
      <c r="AA2362">
        <v>0.99427500000000002</v>
      </c>
      <c r="AB2362">
        <v>43</v>
      </c>
      <c r="AC2362">
        <v>-16.5077999999999</v>
      </c>
      <c r="AD2362">
        <v>-1.1206111128061</v>
      </c>
      <c r="AE2362">
        <v>-2.0257999999999399</v>
      </c>
      <c r="AF2362">
        <v>-1.8004895615562599</v>
      </c>
      <c r="AG2362">
        <v>-1.1206111128061</v>
      </c>
      <c r="AH2362">
        <v>16.458281359044701</v>
      </c>
      <c r="AI2362">
        <v>93.872111585165399</v>
      </c>
      <c r="AJ2362">
        <v>96.243170118538004</v>
      </c>
      <c r="AK2362">
        <v>16.594353172718002</v>
      </c>
      <c r="AL2362">
        <v>94.332605334642196</v>
      </c>
      <c r="AM2362">
        <v>89.508011793000506</v>
      </c>
      <c r="AN2362">
        <v>0.99999995709897405</v>
      </c>
    </row>
    <row r="2363" spans="1:40" x14ac:dyDescent="0.25">
      <c r="A2363" t="str">
        <f>"20190303154813510"</f>
        <v>20190303154813510</v>
      </c>
      <c r="B2363" t="str">
        <f>"1551599293503298"</f>
        <v>1551599293503298</v>
      </c>
      <c r="C2363" t="s">
        <v>40</v>
      </c>
      <c r="D2363">
        <v>5.5603660000000001</v>
      </c>
      <c r="E2363">
        <v>0.524028299999999</v>
      </c>
      <c r="F2363" t="s">
        <v>42</v>
      </c>
      <c r="G2363">
        <v>-378.77609999999999</v>
      </c>
      <c r="H2363">
        <v>0.95396999999999998</v>
      </c>
      <c r="I2363">
        <v>284.97230000000002</v>
      </c>
      <c r="J2363">
        <v>-378.28050000000002</v>
      </c>
      <c r="K2363">
        <v>1.120606</v>
      </c>
      <c r="L2363">
        <v>284.92149999999998</v>
      </c>
      <c r="M2363">
        <v>-0.99979530000000005</v>
      </c>
      <c r="N2363">
        <v>-1.535919E-2</v>
      </c>
      <c r="O2363">
        <v>-1.31748E-2</v>
      </c>
      <c r="P2363">
        <v>-0.99587579999999998</v>
      </c>
      <c r="Q2363">
        <v>-9.0596739999999995E-2</v>
      </c>
      <c r="R2363">
        <v>-4.8727689999999999E-3</v>
      </c>
      <c r="S2363">
        <v>-2.9517820000000001</v>
      </c>
      <c r="T2363">
        <v>-0.67504200000000003</v>
      </c>
      <c r="U2363">
        <v>0.19226070000000001</v>
      </c>
      <c r="V2363">
        <v>8.2670939999999991E-3</v>
      </c>
      <c r="W2363">
        <v>-7.5288640000000004E-2</v>
      </c>
      <c r="X2363">
        <v>0.99712750000000006</v>
      </c>
      <c r="Y2363">
        <v>7.5761289999999995E-2</v>
      </c>
      <c r="Z2363">
        <v>1.1906190000000001E-2</v>
      </c>
      <c r="AA2363">
        <v>0.99705489999999997</v>
      </c>
      <c r="AB2363">
        <v>43</v>
      </c>
      <c r="AC2363">
        <v>-0.49559999999996701</v>
      </c>
      <c r="AD2363">
        <v>-0.16663599999999901</v>
      </c>
      <c r="AE2363">
        <v>5.0800000000037898E-2</v>
      </c>
      <c r="AF2363">
        <v>5.1557731789095299E-2</v>
      </c>
      <c r="AG2363">
        <v>-0.16663599999999901</v>
      </c>
      <c r="AH2363">
        <v>0.44509256147125498</v>
      </c>
      <c r="AI2363">
        <v>110.400082289084</v>
      </c>
      <c r="AJ2363">
        <v>83.392535314011695</v>
      </c>
      <c r="AK2363">
        <v>0.47805140359618098</v>
      </c>
      <c r="AL2363">
        <v>94.317807102277698</v>
      </c>
      <c r="AM2363">
        <v>89.524976753459001</v>
      </c>
      <c r="AN2363">
        <v>0.99999998770625198</v>
      </c>
    </row>
    <row r="2364" spans="1:40" x14ac:dyDescent="0.25">
      <c r="A2364" t="str">
        <f>"20190303154813524"</f>
        <v>20190303154813524</v>
      </c>
      <c r="B2364" t="str">
        <f>"1551599293522818"</f>
        <v>1551599293522818</v>
      </c>
      <c r="C2364" t="s">
        <v>40</v>
      </c>
      <c r="D2364">
        <v>5.5196610000000002</v>
      </c>
      <c r="E2364">
        <v>0.52249259999999997</v>
      </c>
      <c r="F2364" t="s">
        <v>42</v>
      </c>
      <c r="G2364">
        <v>-379.12990000000002</v>
      </c>
      <c r="H2364">
        <v>0.89291849999999995</v>
      </c>
      <c r="I2364">
        <v>284.97309999999999</v>
      </c>
      <c r="J2364">
        <v>-378.55860000000001</v>
      </c>
      <c r="K2364">
        <v>1.1206020000000001</v>
      </c>
      <c r="L2364">
        <v>284.9178</v>
      </c>
      <c r="M2364">
        <v>-0.99979499999999999</v>
      </c>
      <c r="N2364">
        <v>-1.535794E-2</v>
      </c>
      <c r="O2364">
        <v>-1.3214490000000001E-2</v>
      </c>
      <c r="P2364">
        <v>-0.99587289999999995</v>
      </c>
      <c r="Q2364">
        <v>-9.0614330000000007E-2</v>
      </c>
      <c r="R2364">
        <v>-5.1413700000000001E-3</v>
      </c>
      <c r="S2364">
        <v>-2.9415589999999998</v>
      </c>
      <c r="T2364">
        <v>-0.78851000000000004</v>
      </c>
      <c r="U2364">
        <v>0.17813109999999999</v>
      </c>
      <c r="V2364">
        <v>8.0368839999999993E-3</v>
      </c>
      <c r="W2364">
        <v>-7.5307659999999998E-2</v>
      </c>
      <c r="X2364">
        <v>0.99712800000000001</v>
      </c>
      <c r="Y2364">
        <v>7.0587949999999997E-2</v>
      </c>
      <c r="Z2364">
        <v>1.3119769999999999E-2</v>
      </c>
      <c r="AA2364">
        <v>0.99741930000000001</v>
      </c>
      <c r="AB2364">
        <v>43</v>
      </c>
      <c r="AC2364">
        <v>-0.57130000000000702</v>
      </c>
      <c r="AD2364">
        <v>-0.22768350000000001</v>
      </c>
      <c r="AE2364">
        <v>5.5299999999988303E-2</v>
      </c>
      <c r="AF2364">
        <v>5.4300901907351297E-2</v>
      </c>
      <c r="AG2364">
        <v>-0.22768350000000001</v>
      </c>
      <c r="AH2364">
        <v>0.49295035851866698</v>
      </c>
      <c r="AI2364">
        <v>114.659957817489</v>
      </c>
      <c r="AJ2364">
        <v>83.713932134741</v>
      </c>
      <c r="AK2364">
        <v>0.54569993593905097</v>
      </c>
      <c r="AL2364">
        <v>94.318899736654302</v>
      </c>
      <c r="AM2364">
        <v>89.538204159871896</v>
      </c>
      <c r="AN2364">
        <v>1.00000004177155</v>
      </c>
    </row>
    <row r="2365" spans="1:40" x14ac:dyDescent="0.25">
      <c r="A2365" t="str">
        <f>"20190303154813537"</f>
        <v>20190303154813537</v>
      </c>
      <c r="B2365" t="str">
        <f>"1551599293532579"</f>
        <v>1551599293532579</v>
      </c>
      <c r="C2365" t="s">
        <v>40</v>
      </c>
      <c r="D2365">
        <v>5.3684200000000004</v>
      </c>
      <c r="E2365">
        <v>0.52330639999999995</v>
      </c>
      <c r="F2365" t="s">
        <v>42</v>
      </c>
      <c r="G2365">
        <v>-379.49299999999999</v>
      </c>
      <c r="H2365">
        <v>0.84494829999999999</v>
      </c>
      <c r="I2365">
        <v>284.97050000000002</v>
      </c>
      <c r="J2365">
        <v>-378.80200000000002</v>
      </c>
      <c r="K2365">
        <v>1.1205969999999901</v>
      </c>
      <c r="L2365">
        <v>284.91460000000001</v>
      </c>
      <c r="M2365">
        <v>-0.99979450000000003</v>
      </c>
      <c r="N2365">
        <v>-1.5356669999999999E-2</v>
      </c>
      <c r="O2365">
        <v>-1.324883E-2</v>
      </c>
      <c r="P2365">
        <v>-0.99590199999999995</v>
      </c>
      <c r="Q2365">
        <v>-9.0289419999999995E-2</v>
      </c>
      <c r="R2365">
        <v>-5.2339270000000002E-3</v>
      </c>
      <c r="S2365">
        <v>-2.9345089999999998</v>
      </c>
      <c r="T2365">
        <v>-0.86571710000000002</v>
      </c>
      <c r="U2365">
        <v>0.1649475</v>
      </c>
      <c r="V2365">
        <v>7.9780570000000002E-3</v>
      </c>
      <c r="W2365">
        <v>-7.4983690000000006E-2</v>
      </c>
      <c r="X2365">
        <v>0.99715290000000001</v>
      </c>
      <c r="Y2365">
        <v>6.5888150000000006E-2</v>
      </c>
      <c r="Z2365">
        <v>1.3651750000000001E-2</v>
      </c>
      <c r="AA2365">
        <v>0.9977336</v>
      </c>
      <c r="AB2365">
        <v>43</v>
      </c>
      <c r="AC2365">
        <v>-0.69100000000008699</v>
      </c>
      <c r="AD2365">
        <v>-0.27564869999999903</v>
      </c>
      <c r="AE2365">
        <v>5.59000000000082E-2</v>
      </c>
      <c r="AF2365">
        <v>5.6170706947531499E-2</v>
      </c>
      <c r="AG2365">
        <v>-0.27564869999999903</v>
      </c>
      <c r="AH2365">
        <v>0.59597667768316698</v>
      </c>
      <c r="AI2365">
        <v>114.72489955408901</v>
      </c>
      <c r="AJ2365">
        <v>84.615787029044</v>
      </c>
      <c r="AK2365">
        <v>0.65903380374070397</v>
      </c>
      <c r="AL2365">
        <v>94.300284936574101</v>
      </c>
      <c r="AM2365">
        <v>89.541595635441396</v>
      </c>
      <c r="AN2365">
        <v>1.00000005456895</v>
      </c>
    </row>
    <row r="2366" spans="1:40" x14ac:dyDescent="0.25">
      <c r="A2366" t="str">
        <f>"20190303154813552"</f>
        <v>20190303154813552</v>
      </c>
      <c r="B2366" t="str">
        <f>"1551599293543314"</f>
        <v>1551599293543314</v>
      </c>
      <c r="C2366" t="s">
        <v>40</v>
      </c>
      <c r="D2366">
        <v>5.3818239999999999</v>
      </c>
      <c r="E2366">
        <v>0.52402649999999995</v>
      </c>
      <c r="F2366" t="s">
        <v>42</v>
      </c>
      <c r="G2366">
        <v>-379.51929999999999</v>
      </c>
      <c r="H2366">
        <v>0.90812389999999998</v>
      </c>
      <c r="I2366">
        <v>284.95659999999998</v>
      </c>
      <c r="J2366">
        <v>-379.05700000000002</v>
      </c>
      <c r="K2366">
        <v>1.120595</v>
      </c>
      <c r="L2366">
        <v>284.91120000000001</v>
      </c>
      <c r="M2366">
        <v>-0.99979390000000001</v>
      </c>
      <c r="N2366">
        <v>-1.535504E-2</v>
      </c>
      <c r="O2366">
        <v>-1.328439E-2</v>
      </c>
      <c r="P2366">
        <v>-0.9958996</v>
      </c>
      <c r="Q2366">
        <v>-9.0312530000000002E-2</v>
      </c>
      <c r="R2366">
        <v>-5.2973539999999998E-3</v>
      </c>
      <c r="S2366">
        <v>-2.9344480000000002</v>
      </c>
      <c r="T2366">
        <v>-0.86914159999999996</v>
      </c>
      <c r="U2366">
        <v>0.17089840000000001</v>
      </c>
      <c r="V2366">
        <v>7.9494189999999992E-3</v>
      </c>
      <c r="W2366">
        <v>-7.5008530000000004E-2</v>
      </c>
      <c r="X2366">
        <v>0.99715120000000002</v>
      </c>
      <c r="Y2366">
        <v>6.7826380000000006E-2</v>
      </c>
      <c r="Z2366">
        <v>1.4007769999999999E-2</v>
      </c>
      <c r="AA2366">
        <v>0.99759880000000001</v>
      </c>
      <c r="AB2366">
        <v>43</v>
      </c>
      <c r="AC2366">
        <v>-0.46230000000002702</v>
      </c>
      <c r="AD2366">
        <v>-0.2124711</v>
      </c>
      <c r="AE2366">
        <v>4.5399999999972303E-2</v>
      </c>
      <c r="AF2366">
        <v>4.26212701981925E-2</v>
      </c>
      <c r="AG2366">
        <v>-0.2124711</v>
      </c>
      <c r="AH2366">
        <v>0.381782980781251</v>
      </c>
      <c r="AI2366">
        <v>118.946427140121</v>
      </c>
      <c r="AJ2366">
        <v>83.630021968745297</v>
      </c>
      <c r="AK2366">
        <v>0.43899747769518499</v>
      </c>
      <c r="AL2366">
        <v>94.301712443003694</v>
      </c>
      <c r="AM2366">
        <v>89.543240273312705</v>
      </c>
      <c r="AN2366">
        <v>0.99999999424831898</v>
      </c>
    </row>
    <row r="2367" spans="1:40" x14ac:dyDescent="0.25">
      <c r="A2367" t="str">
        <f>"20190303154813572"</f>
        <v>20190303154813572</v>
      </c>
      <c r="B2367" t="str">
        <f>"1551599293562835"</f>
        <v>1551599293562835</v>
      </c>
      <c r="C2367" t="s">
        <v>40</v>
      </c>
      <c r="D2367">
        <v>5.5156479999999997</v>
      </c>
      <c r="E2367">
        <v>0.5233293</v>
      </c>
      <c r="F2367" t="s">
        <v>42</v>
      </c>
      <c r="G2367">
        <v>-379.88580000000002</v>
      </c>
      <c r="H2367">
        <v>0.87215419999999999</v>
      </c>
      <c r="I2367">
        <v>284.96140000000003</v>
      </c>
      <c r="J2367">
        <v>-379.45389999999998</v>
      </c>
      <c r="K2367">
        <v>1.1205879999999999</v>
      </c>
      <c r="L2367">
        <v>284.90589999999997</v>
      </c>
      <c r="M2367">
        <v>-0.99979320000000005</v>
      </c>
      <c r="N2367">
        <v>-1.5352289999999999E-2</v>
      </c>
      <c r="O2367">
        <v>-1.3339810000000001E-2</v>
      </c>
      <c r="P2367">
        <v>-0.99593339999999997</v>
      </c>
      <c r="Q2367">
        <v>-8.9952359999999995E-2</v>
      </c>
      <c r="R2367">
        <v>-5.0595390000000001E-3</v>
      </c>
      <c r="S2367">
        <v>-2.9335330000000002</v>
      </c>
      <c r="T2367">
        <v>-0.87937339999999997</v>
      </c>
      <c r="U2367">
        <v>0.1764221</v>
      </c>
      <c r="V2367">
        <v>8.2414930000000008E-3</v>
      </c>
      <c r="W2367">
        <v>-7.4650750000000002E-2</v>
      </c>
      <c r="X2367">
        <v>0.9971757</v>
      </c>
      <c r="Y2367">
        <v>6.9603730000000003E-2</v>
      </c>
      <c r="Z2367">
        <v>1.4455610000000001E-2</v>
      </c>
      <c r="AA2367">
        <v>0.99746999999999997</v>
      </c>
      <c r="AB2367">
        <v>43</v>
      </c>
      <c r="AC2367">
        <v>-0.43190000000004097</v>
      </c>
      <c r="AD2367">
        <v>-0.24843379999999901</v>
      </c>
      <c r="AE2367">
        <v>5.55000000000518E-2</v>
      </c>
      <c r="AF2367">
        <v>4.6214643885923501E-2</v>
      </c>
      <c r="AG2367">
        <v>-0.24843379999999901</v>
      </c>
      <c r="AH2367">
        <v>0.32525332039737098</v>
      </c>
      <c r="AI2367">
        <v>127.09732955011199</v>
      </c>
      <c r="AJ2367">
        <v>81.913080904965796</v>
      </c>
      <c r="AK2367">
        <v>0.41187967748052001</v>
      </c>
      <c r="AL2367">
        <v>94.281155427810106</v>
      </c>
      <c r="AM2367">
        <v>89.526470596341994</v>
      </c>
      <c r="AN2367">
        <v>1.00000001667646</v>
      </c>
    </row>
    <row r="2368" spans="1:40" x14ac:dyDescent="0.25">
      <c r="A2368" t="str">
        <f>"20190303154813596"</f>
        <v>20190303154813596</v>
      </c>
      <c r="B2368" t="str">
        <f>"1551599293583330"</f>
        <v>1551599293583330</v>
      </c>
      <c r="C2368" t="s">
        <v>40</v>
      </c>
      <c r="D2368">
        <v>5.4504789999999996</v>
      </c>
      <c r="E2368">
        <v>0.52361650000000004</v>
      </c>
      <c r="F2368" t="s">
        <v>42</v>
      </c>
      <c r="G2368">
        <v>-380.26639999999998</v>
      </c>
      <c r="H2368">
        <v>0.87</v>
      </c>
      <c r="I2368">
        <v>284.95359999999999</v>
      </c>
      <c r="J2368">
        <v>-379.90089999999998</v>
      </c>
      <c r="K2368">
        <v>1.1205940000000001</v>
      </c>
      <c r="L2368">
        <v>284.8999</v>
      </c>
      <c r="M2368">
        <v>-0.99979249999999997</v>
      </c>
      <c r="N2368">
        <v>-1.5349150000000001E-2</v>
      </c>
      <c r="O2368">
        <v>-1.34018E-2</v>
      </c>
      <c r="P2368">
        <v>-0.99595100000000003</v>
      </c>
      <c r="Q2368">
        <v>-8.9809979999999998E-2</v>
      </c>
      <c r="R2368">
        <v>-4.0287919999999998E-3</v>
      </c>
      <c r="S2368">
        <v>-2.9314879999999999</v>
      </c>
      <c r="T2368">
        <v>-0.90420060000000002</v>
      </c>
      <c r="U2368">
        <v>0.17135619999999999</v>
      </c>
      <c r="V2368">
        <v>9.3334179999999996E-3</v>
      </c>
      <c r="W2368">
        <v>-7.4511369999999993E-2</v>
      </c>
      <c r="X2368">
        <v>0.99717650000000002</v>
      </c>
      <c r="Y2368">
        <v>6.7859470000000005E-2</v>
      </c>
      <c r="Z2368">
        <v>1.4588999999999901E-2</v>
      </c>
      <c r="AA2368">
        <v>0.99758820000000004</v>
      </c>
      <c r="AB2368">
        <v>43</v>
      </c>
      <c r="AC2368">
        <v>-0.36549999999999699</v>
      </c>
      <c r="AD2368">
        <v>-0.25059399999999998</v>
      </c>
      <c r="AE2368">
        <v>5.3699999999991997E-2</v>
      </c>
      <c r="AF2368">
        <v>4.0129057315730902E-2</v>
      </c>
      <c r="AG2368">
        <v>-0.25059399999999998</v>
      </c>
      <c r="AH2368">
        <v>0.24980274327129301</v>
      </c>
      <c r="AI2368">
        <v>134.72564667842499</v>
      </c>
      <c r="AJ2368">
        <v>80.873806160354604</v>
      </c>
      <c r="AK2368">
        <v>0.356102660230042</v>
      </c>
      <c r="AL2368">
        <v>94.273147248115706</v>
      </c>
      <c r="AM2368">
        <v>89.463736014331403</v>
      </c>
      <c r="AN2368">
        <v>1.00000001455154</v>
      </c>
    </row>
    <row r="2369" spans="1:40" x14ac:dyDescent="0.25">
      <c r="A2369" t="str">
        <f>"20190303154813617"</f>
        <v>20190303154813617</v>
      </c>
      <c r="B2369" t="str">
        <f>"1551599293612611"</f>
        <v>1551599293612611</v>
      </c>
      <c r="C2369" t="s">
        <v>40</v>
      </c>
      <c r="D2369">
        <v>5.450666</v>
      </c>
      <c r="E2369">
        <v>0.52351519999999996</v>
      </c>
      <c r="F2369" t="s">
        <v>42</v>
      </c>
      <c r="G2369">
        <v>-380.65359999999998</v>
      </c>
      <c r="H2369">
        <v>0.88546429999999998</v>
      </c>
      <c r="I2369">
        <v>284.94580000000002</v>
      </c>
      <c r="J2369">
        <v>-380.30720000000002</v>
      </c>
      <c r="K2369">
        <v>1.1205940000000001</v>
      </c>
      <c r="L2369">
        <v>284.89440000000002</v>
      </c>
      <c r="M2369">
        <v>-0.99979169999999995</v>
      </c>
      <c r="N2369">
        <v>-1.534626E-2</v>
      </c>
      <c r="O2369">
        <v>-1.345737E-2</v>
      </c>
      <c r="P2369">
        <v>-0.99594249999999995</v>
      </c>
      <c r="Q2369">
        <v>-8.9938899999999905E-2</v>
      </c>
      <c r="R2369">
        <v>-3.0940189999999999E-3</v>
      </c>
      <c r="S2369">
        <v>-2.9303889999999999</v>
      </c>
      <c r="T2369">
        <v>-0.91538129999999995</v>
      </c>
      <c r="U2369">
        <v>0.1767273</v>
      </c>
      <c r="V2369">
        <v>1.032255E-2</v>
      </c>
      <c r="W2369">
        <v>-7.4643429999999997E-2</v>
      </c>
      <c r="X2369">
        <v>0.99715690000000001</v>
      </c>
      <c r="Y2369">
        <v>6.9575209999999998E-2</v>
      </c>
      <c r="Z2369">
        <v>1.505329E-2</v>
      </c>
      <c r="AA2369">
        <v>0.99746310000000005</v>
      </c>
      <c r="AB2369">
        <v>43</v>
      </c>
      <c r="AC2369">
        <v>-0.34639999999996002</v>
      </c>
      <c r="AD2369">
        <v>-0.2351297</v>
      </c>
      <c r="AE2369">
        <v>5.1400000000000903E-2</v>
      </c>
      <c r="AF2369">
        <v>3.8638577093124897E-2</v>
      </c>
      <c r="AG2369">
        <v>-0.2351297</v>
      </c>
      <c r="AH2369">
        <v>0.23826347501349099</v>
      </c>
      <c r="AI2369">
        <v>134.24896604290399</v>
      </c>
      <c r="AJ2369">
        <v>80.788678972787807</v>
      </c>
      <c r="AK2369">
        <v>0.336969433313136</v>
      </c>
      <c r="AL2369">
        <v>94.280734749493007</v>
      </c>
      <c r="AM2369">
        <v>89.406896323646606</v>
      </c>
      <c r="AN2369">
        <v>1.00000003994913</v>
      </c>
    </row>
    <row r="2370" spans="1:40" x14ac:dyDescent="0.25">
      <c r="A2370" t="str">
        <f>"20190303154813638"</f>
        <v>20190303154813638</v>
      </c>
      <c r="B2370" t="str">
        <f>"1551599293633107"</f>
        <v>1551599293633107</v>
      </c>
      <c r="C2370" t="s">
        <v>40</v>
      </c>
      <c r="D2370">
        <v>5.4154929999999997</v>
      </c>
      <c r="E2370">
        <v>0.52331110000000003</v>
      </c>
      <c r="F2370" t="s">
        <v>42</v>
      </c>
      <c r="G2370">
        <v>-381.03629999999998</v>
      </c>
      <c r="H2370">
        <v>0.88993239999999996</v>
      </c>
      <c r="I2370">
        <v>284.93889999999999</v>
      </c>
      <c r="J2370">
        <v>-380.73329999999999</v>
      </c>
      <c r="K2370">
        <v>1.120593</v>
      </c>
      <c r="L2370">
        <v>284.8886</v>
      </c>
      <c r="M2370">
        <v>-0.99979090000000004</v>
      </c>
      <c r="N2370">
        <v>-1.534308E-2</v>
      </c>
      <c r="O2370">
        <v>-1.3515579999999999E-2</v>
      </c>
      <c r="P2370">
        <v>-0.99599780000000004</v>
      </c>
      <c r="Q2370">
        <v>-8.934462E-2</v>
      </c>
      <c r="R2370">
        <v>-2.4865880000000001E-3</v>
      </c>
      <c r="S2370">
        <v>-2.9291079999999998</v>
      </c>
      <c r="T2370">
        <v>-0.92670580000000002</v>
      </c>
      <c r="U2370">
        <v>0.178558299999999</v>
      </c>
      <c r="V2370">
        <v>1.098825E-2</v>
      </c>
      <c r="W2370">
        <v>-7.4051649999999997E-2</v>
      </c>
      <c r="X2370">
        <v>0.99719389999999997</v>
      </c>
      <c r="Y2370">
        <v>7.0148180000000004E-2</v>
      </c>
      <c r="Z2370">
        <v>1.534315E-2</v>
      </c>
      <c r="AA2370">
        <v>0.99741860000000004</v>
      </c>
      <c r="AB2370">
        <v>43</v>
      </c>
      <c r="AC2370">
        <v>-0.30299999999999699</v>
      </c>
      <c r="AD2370">
        <v>-0.23066059999999899</v>
      </c>
      <c r="AE2370">
        <v>5.0299999999992899E-2</v>
      </c>
      <c r="AF2370">
        <v>3.4777614630167902E-2</v>
      </c>
      <c r="AG2370">
        <v>-0.23066059999999899</v>
      </c>
      <c r="AH2370">
        <v>0.193285432150266</v>
      </c>
      <c r="AI2370">
        <v>139.588232564653</v>
      </c>
      <c r="AJ2370">
        <v>79.799978114741407</v>
      </c>
      <c r="AK2370">
        <v>0.30294067596352803</v>
      </c>
      <c r="AL2370">
        <v>94.246734190200698</v>
      </c>
      <c r="AM2370">
        <v>89.368673565462899</v>
      </c>
      <c r="AN2370">
        <v>1.0000000313514901</v>
      </c>
    </row>
    <row r="2371" spans="1:40" x14ac:dyDescent="0.25">
      <c r="A2371" t="str">
        <f>"20190303154813661"</f>
        <v>20190303154813661</v>
      </c>
      <c r="B2371" t="str">
        <f>"1551599293652795"</f>
        <v>1551599293652795</v>
      </c>
      <c r="C2371" t="s">
        <v>40</v>
      </c>
      <c r="D2371">
        <v>5.2607059999999999</v>
      </c>
      <c r="E2371">
        <v>0.52372149999999995</v>
      </c>
      <c r="F2371" t="s">
        <v>42</v>
      </c>
      <c r="G2371">
        <v>-381.42200000000003</v>
      </c>
      <c r="H2371">
        <v>0.90181849999999997</v>
      </c>
      <c r="I2371">
        <v>284.93079999999998</v>
      </c>
      <c r="J2371">
        <v>-381.15140000000002</v>
      </c>
      <c r="K2371">
        <v>1.120595</v>
      </c>
      <c r="L2371">
        <v>284.88290000000001</v>
      </c>
      <c r="M2371">
        <v>-0.99979019999999996</v>
      </c>
      <c r="N2371">
        <v>-1.533969E-2</v>
      </c>
      <c r="O2371">
        <v>-1.357297E-2</v>
      </c>
      <c r="P2371">
        <v>-0.99599700000000002</v>
      </c>
      <c r="Q2371">
        <v>-8.9347560000000006E-2</v>
      </c>
      <c r="R2371">
        <v>-2.675326E-3</v>
      </c>
      <c r="S2371">
        <v>-2.9290470000000002</v>
      </c>
      <c r="T2371">
        <v>-0.93044190000000004</v>
      </c>
      <c r="U2371">
        <v>0.17877199999999999</v>
      </c>
      <c r="V2371">
        <v>1.0856080000000001E-2</v>
      </c>
      <c r="W2371">
        <v>-7.4058040000000006E-2</v>
      </c>
      <c r="X2371">
        <v>0.99719480000000005</v>
      </c>
      <c r="Y2371">
        <v>7.0239170000000004E-2</v>
      </c>
      <c r="Z2371">
        <v>1.543284E-2</v>
      </c>
      <c r="AA2371">
        <v>0.99741080000000004</v>
      </c>
      <c r="AB2371">
        <v>43</v>
      </c>
      <c r="AC2371">
        <v>-0.270599999999944</v>
      </c>
      <c r="AD2371">
        <v>-0.21877650000000001</v>
      </c>
      <c r="AE2371">
        <v>4.7899999999970001E-2</v>
      </c>
      <c r="AF2371">
        <v>3.1563919547545602E-2</v>
      </c>
      <c r="AG2371">
        <v>-0.21877650000000001</v>
      </c>
      <c r="AH2371">
        <v>0.16521376207866501</v>
      </c>
      <c r="AI2371">
        <v>142.44584832081199</v>
      </c>
      <c r="AJ2371">
        <v>79.184036445799606</v>
      </c>
      <c r="AK2371">
        <v>0.275961999466665</v>
      </c>
      <c r="AL2371">
        <v>94.247101628461493</v>
      </c>
      <c r="AM2371">
        <v>89.376267310385103</v>
      </c>
      <c r="AN2371">
        <v>0.99999995845432299</v>
      </c>
    </row>
    <row r="2372" spans="1:40" x14ac:dyDescent="0.25">
      <c r="A2372" t="str">
        <f>"20190303154813675"</f>
        <v>20190303154813675</v>
      </c>
      <c r="B2372" t="str">
        <f>"1551599293663531"</f>
        <v>1551599293663531</v>
      </c>
      <c r="C2372" t="s">
        <v>40</v>
      </c>
      <c r="D2372">
        <v>5.3274790000000003</v>
      </c>
      <c r="E2372">
        <v>0.52372149999999995</v>
      </c>
      <c r="F2372" t="s">
        <v>42</v>
      </c>
      <c r="G2372">
        <v>-382.14249999999998</v>
      </c>
      <c r="H2372">
        <v>0.80632930000000003</v>
      </c>
      <c r="I2372">
        <v>284.9443</v>
      </c>
      <c r="J2372">
        <v>-381.42099999999999</v>
      </c>
      <c r="K2372">
        <v>1.120595</v>
      </c>
      <c r="L2372">
        <v>284.87920000000003</v>
      </c>
      <c r="M2372">
        <v>-0.99978979999999995</v>
      </c>
      <c r="N2372">
        <v>-1.533728E-2</v>
      </c>
      <c r="O2372">
        <v>-1.360952E-2</v>
      </c>
      <c r="P2372">
        <v>-0.9959827</v>
      </c>
      <c r="Q2372">
        <v>-8.9496339999999994E-2</v>
      </c>
      <c r="R2372">
        <v>-2.9819820000000002E-3</v>
      </c>
      <c r="S2372">
        <v>-2.9291990000000001</v>
      </c>
      <c r="T2372">
        <v>-0.92875529999999995</v>
      </c>
      <c r="U2372">
        <v>0.18130489999999999</v>
      </c>
      <c r="V2372">
        <v>1.058541E-2</v>
      </c>
      <c r="W2372">
        <v>-7.4209440000000002E-2</v>
      </c>
      <c r="X2372">
        <v>0.99718649999999998</v>
      </c>
      <c r="Y2372">
        <v>7.1101220000000007E-2</v>
      </c>
      <c r="Z2372">
        <v>1.555637E-2</v>
      </c>
      <c r="AA2372">
        <v>0.99734780000000001</v>
      </c>
      <c r="AB2372">
        <v>42</v>
      </c>
      <c r="AC2372">
        <v>-0.72149999999999104</v>
      </c>
      <c r="AD2372">
        <v>-0.31426569999999998</v>
      </c>
      <c r="AE2372">
        <v>6.5099999999972596E-2</v>
      </c>
      <c r="AF2372">
        <v>6.3049091747301306E-2</v>
      </c>
      <c r="AG2372">
        <v>-0.31426569999999998</v>
      </c>
      <c r="AH2372">
        <v>0.60642337553451897</v>
      </c>
      <c r="AI2372">
        <v>117.268833761607</v>
      </c>
      <c r="AJ2372">
        <v>84.064354172925107</v>
      </c>
      <c r="AK2372">
        <v>0.68592086173357503</v>
      </c>
      <c r="AL2372">
        <v>94.255799951995101</v>
      </c>
      <c r="AM2372">
        <v>89.391812325963798</v>
      </c>
      <c r="AN2372">
        <v>1.0000000038361101</v>
      </c>
    </row>
    <row r="2373" spans="1:40" x14ac:dyDescent="0.25">
      <c r="A2373" t="str">
        <f>"20190303154813694"</f>
        <v>20190303154813694</v>
      </c>
      <c r="B2373" t="str">
        <f>"1551599293683051"</f>
        <v>1551599293683051</v>
      </c>
      <c r="C2373" t="s">
        <v>40</v>
      </c>
      <c r="D2373">
        <v>5.3316739999999996</v>
      </c>
      <c r="E2373">
        <v>0.55509609999999998</v>
      </c>
      <c r="F2373" t="s">
        <v>42</v>
      </c>
      <c r="G2373">
        <v>-382.17250000000001</v>
      </c>
      <c r="H2373">
        <v>0.88220239999999905</v>
      </c>
      <c r="I2373">
        <v>284.92559999999997</v>
      </c>
      <c r="J2373">
        <v>-381.79090000000002</v>
      </c>
      <c r="K2373">
        <v>1.120595</v>
      </c>
      <c r="L2373">
        <v>284.8741</v>
      </c>
      <c r="M2373">
        <v>-0.99978909999999999</v>
      </c>
      <c r="N2373">
        <v>-1.533385E-2</v>
      </c>
      <c r="O2373">
        <v>-1.365977E-2</v>
      </c>
      <c r="P2373">
        <v>-0.99594579999999999</v>
      </c>
      <c r="Q2373">
        <v>-8.9867279999999994E-2</v>
      </c>
      <c r="R2373">
        <v>-3.974249E-3</v>
      </c>
      <c r="S2373">
        <v>-2.9291079999999998</v>
      </c>
      <c r="T2373">
        <v>-0.9291528</v>
      </c>
      <c r="U2373">
        <v>0.18038940000000001</v>
      </c>
      <c r="V2373">
        <v>9.6426480000000002E-3</v>
      </c>
      <c r="W2373">
        <v>-7.4584250000000005E-2</v>
      </c>
      <c r="X2373">
        <v>0.9971681</v>
      </c>
      <c r="Y2373">
        <v>7.0849590000000004E-2</v>
      </c>
      <c r="Z2373">
        <v>1.5536990000000001E-2</v>
      </c>
      <c r="AA2373">
        <v>0.99736599999999997</v>
      </c>
      <c r="AB2373">
        <v>42</v>
      </c>
      <c r="AC2373">
        <v>-0.381599999999991</v>
      </c>
      <c r="AD2373">
        <v>-0.23839260000000001</v>
      </c>
      <c r="AE2373">
        <v>5.1499999999975898E-2</v>
      </c>
      <c r="AF2373">
        <v>4.0995227817773199E-2</v>
      </c>
      <c r="AG2373">
        <v>-0.23839260000000001</v>
      </c>
      <c r="AH2373">
        <v>0.27532928501695603</v>
      </c>
      <c r="AI2373">
        <v>130.57689176030999</v>
      </c>
      <c r="AJ2373">
        <v>81.531148021008306</v>
      </c>
      <c r="AK2373">
        <v>0.36649400489849698</v>
      </c>
      <c r="AL2373">
        <v>94.277334655570101</v>
      </c>
      <c r="AM2373">
        <v>89.445965215005501</v>
      </c>
      <c r="AN2373">
        <v>1.00000000533306</v>
      </c>
    </row>
    <row r="2374" spans="1:40" x14ac:dyDescent="0.25">
      <c r="A2374" t="str">
        <f>"20190303154813708"</f>
        <v>20190303154813708</v>
      </c>
      <c r="B2374" t="str">
        <f>"1551599293702571"</f>
        <v>1551599293702571</v>
      </c>
      <c r="C2374" t="s">
        <v>40</v>
      </c>
      <c r="D2374">
        <v>5.3409300000000002</v>
      </c>
      <c r="E2374">
        <v>0.55491939999999995</v>
      </c>
      <c r="F2374" t="s">
        <v>42</v>
      </c>
      <c r="G2374">
        <v>-382.56420000000003</v>
      </c>
      <c r="H2374">
        <v>0.90516700000000005</v>
      </c>
      <c r="I2374">
        <v>284.98669999999998</v>
      </c>
      <c r="J2374">
        <v>-382.04680000000002</v>
      </c>
      <c r="K2374">
        <v>1.120595</v>
      </c>
      <c r="L2374">
        <v>284.87060000000002</v>
      </c>
      <c r="M2374">
        <v>-0.99978869999999997</v>
      </c>
      <c r="N2374">
        <v>-1.533145E-2</v>
      </c>
      <c r="O2374">
        <v>-1.369478E-2</v>
      </c>
      <c r="P2374">
        <v>-0.99592619999999998</v>
      </c>
      <c r="Q2374">
        <v>-9.0081519999999998E-2</v>
      </c>
      <c r="R2374">
        <v>-4.0637039999999996E-3</v>
      </c>
      <c r="S2374">
        <v>-2.9400019999999998</v>
      </c>
      <c r="T2374">
        <v>-0.81899489999999997</v>
      </c>
      <c r="U2374">
        <v>0.42773440000000001</v>
      </c>
      <c r="V2374">
        <v>9.5876869999999993E-3</v>
      </c>
      <c r="W2374">
        <v>-7.4801210000000007E-2</v>
      </c>
      <c r="X2374">
        <v>0.99715240000000005</v>
      </c>
      <c r="Y2374">
        <v>0.1510901</v>
      </c>
      <c r="Z2374">
        <v>2.5256629999999999E-2</v>
      </c>
      <c r="AA2374">
        <v>0.98819729999999995</v>
      </c>
      <c r="AB2374">
        <v>42</v>
      </c>
      <c r="AC2374">
        <v>-0.51740000000000896</v>
      </c>
      <c r="AD2374">
        <v>-0.21542799999999901</v>
      </c>
      <c r="AE2374">
        <v>0.11609999999996</v>
      </c>
      <c r="AF2374">
        <v>0.105725564966744</v>
      </c>
      <c r="AG2374">
        <v>-0.21542799999999901</v>
      </c>
      <c r="AH2374">
        <v>0.442694389248243</v>
      </c>
      <c r="AI2374">
        <v>115.32904365066101</v>
      </c>
      <c r="AJ2374">
        <v>76.568052586404306</v>
      </c>
      <c r="AK2374">
        <v>0.50355281802747598</v>
      </c>
      <c r="AL2374">
        <v>94.289800277391294</v>
      </c>
      <c r="AM2374">
        <v>89.449114224888504</v>
      </c>
      <c r="AN2374">
        <v>1.0000000267926099</v>
      </c>
    </row>
    <row r="2375" spans="1:40" x14ac:dyDescent="0.25">
      <c r="A2375" t="str">
        <f>"20190303154813721"</f>
        <v>20190303154813721</v>
      </c>
      <c r="B2375" t="str">
        <f>"1551599293713307"</f>
        <v>1551599293713307</v>
      </c>
      <c r="C2375" t="s">
        <v>40</v>
      </c>
      <c r="D2375">
        <v>5.3200560000000001</v>
      </c>
      <c r="E2375">
        <v>0.55493939999999997</v>
      </c>
      <c r="F2375" t="s">
        <v>42</v>
      </c>
      <c r="G2375">
        <v>-382.93009999999998</v>
      </c>
      <c r="H2375">
        <v>0.873364899999999</v>
      </c>
      <c r="I2375">
        <v>284.99900000000002</v>
      </c>
      <c r="J2375">
        <v>-382.29649999999998</v>
      </c>
      <c r="K2375">
        <v>1.120593</v>
      </c>
      <c r="L2375">
        <v>284.86720000000003</v>
      </c>
      <c r="M2375">
        <v>-0.99978829999999996</v>
      </c>
      <c r="N2375">
        <v>-1.532911E-2</v>
      </c>
      <c r="O2375">
        <v>-1.3729069999999999E-2</v>
      </c>
      <c r="P2375">
        <v>-0.99593790000000004</v>
      </c>
      <c r="Q2375">
        <v>-8.9940530000000005E-2</v>
      </c>
      <c r="R2375">
        <v>-4.2871200000000002E-3</v>
      </c>
      <c r="S2375">
        <v>-2.939575</v>
      </c>
      <c r="T2375">
        <v>-0.82273439999999998</v>
      </c>
      <c r="U2375">
        <v>0.42614750000000001</v>
      </c>
      <c r="V2375">
        <v>9.3984120000000001E-3</v>
      </c>
      <c r="W2375">
        <v>-7.4662370000000006E-2</v>
      </c>
      <c r="X2375">
        <v>0.99716459999999996</v>
      </c>
      <c r="Y2375">
        <v>0.1505821</v>
      </c>
      <c r="Z2375">
        <v>2.530321E-2</v>
      </c>
      <c r="AA2375">
        <v>0.98827359999999997</v>
      </c>
      <c r="AB2375">
        <v>42</v>
      </c>
      <c r="AC2375">
        <v>-0.63360000000000105</v>
      </c>
      <c r="AD2375">
        <v>-0.24722810000000001</v>
      </c>
      <c r="AE2375">
        <v>0.131799999999998</v>
      </c>
      <c r="AF2375">
        <v>0.12259594319858499</v>
      </c>
      <c r="AG2375">
        <v>-0.24722810000000001</v>
      </c>
      <c r="AH2375">
        <v>0.55127819375047704</v>
      </c>
      <c r="AI2375">
        <v>113.642317446977</v>
      </c>
      <c r="AJ2375">
        <v>77.462310746725294</v>
      </c>
      <c r="AK2375">
        <v>0.61648937186552499</v>
      </c>
      <c r="AL2375">
        <v>94.281823055534105</v>
      </c>
      <c r="AM2375">
        <v>89.459995473833402</v>
      </c>
      <c r="AN2375">
        <v>1.00000001956764</v>
      </c>
    </row>
    <row r="2376" spans="1:40" x14ac:dyDescent="0.25">
      <c r="A2376" t="str">
        <f>"20190303154813735"</f>
        <v>20190303154813735</v>
      </c>
      <c r="B2376" t="str">
        <f>"1551599293723067"</f>
        <v>1551599293723067</v>
      </c>
      <c r="C2376" t="s">
        <v>40</v>
      </c>
      <c r="D2376">
        <v>5.3053839999999903</v>
      </c>
      <c r="E2376">
        <v>0.55489370000000005</v>
      </c>
      <c r="F2376" t="s">
        <v>42</v>
      </c>
      <c r="G2376">
        <v>-383.29559999999998</v>
      </c>
      <c r="H2376">
        <v>0.84131119999999904</v>
      </c>
      <c r="I2376">
        <v>285.01170000000002</v>
      </c>
      <c r="J2376">
        <v>-382.56650000000002</v>
      </c>
      <c r="K2376">
        <v>1.1205940000000001</v>
      </c>
      <c r="L2376">
        <v>284.86340000000001</v>
      </c>
      <c r="M2376">
        <v>-0.99978789999999995</v>
      </c>
      <c r="N2376">
        <v>-1.532653E-2</v>
      </c>
      <c r="O2376">
        <v>-1.3765879999999999E-2</v>
      </c>
      <c r="P2376">
        <v>-0.99590690000000004</v>
      </c>
      <c r="Q2376">
        <v>-9.0272820000000004E-2</v>
      </c>
      <c r="R2376">
        <v>-4.512042E-3</v>
      </c>
      <c r="S2376">
        <v>-2.9398499999999999</v>
      </c>
      <c r="T2376">
        <v>-0.8218799</v>
      </c>
      <c r="U2376">
        <v>0.42529299999999998</v>
      </c>
      <c r="V2376">
        <v>9.2095079999999999E-3</v>
      </c>
      <c r="W2376">
        <v>-7.4997690000000006E-2</v>
      </c>
      <c r="X2376">
        <v>0.99714119999999995</v>
      </c>
      <c r="Y2376">
        <v>0.15034600000000001</v>
      </c>
      <c r="Z2376">
        <v>2.5252340000000002E-2</v>
      </c>
      <c r="AA2376">
        <v>0.98831089999999999</v>
      </c>
      <c r="AB2376">
        <v>42</v>
      </c>
      <c r="AC2376">
        <v>-0.729099999999959</v>
      </c>
      <c r="AD2376">
        <v>-0.2792828</v>
      </c>
      <c r="AE2376">
        <v>0.14830000000000601</v>
      </c>
      <c r="AF2376">
        <v>0.13877110196112999</v>
      </c>
      <c r="AG2376">
        <v>-0.2792828</v>
      </c>
      <c r="AH2376">
        <v>0.63720724989498501</v>
      </c>
      <c r="AI2376">
        <v>113.183219876148</v>
      </c>
      <c r="AJ2376">
        <v>77.713953168038799</v>
      </c>
      <c r="AK2376">
        <v>0.70942891147321896</v>
      </c>
      <c r="AL2376">
        <v>94.301089488667401</v>
      </c>
      <c r="AM2376">
        <v>89.470836289890201</v>
      </c>
      <c r="AN2376">
        <v>1.00000002064018</v>
      </c>
    </row>
    <row r="2377" spans="1:40" x14ac:dyDescent="0.25">
      <c r="A2377" t="str">
        <f>"20190303154813751"</f>
        <v>20190303154813751</v>
      </c>
      <c r="B2377" t="str">
        <f>"1551599293742588"</f>
        <v>1551599293742588</v>
      </c>
      <c r="C2377" t="s">
        <v>40</v>
      </c>
      <c r="D2377">
        <v>5.3283839999999998</v>
      </c>
      <c r="E2377">
        <v>0.55527689999999996</v>
      </c>
      <c r="F2377" t="s">
        <v>42</v>
      </c>
      <c r="G2377">
        <v>-383.32229999999998</v>
      </c>
      <c r="H2377">
        <v>0.90865059999999997</v>
      </c>
      <c r="I2377">
        <v>284.9726</v>
      </c>
      <c r="J2377">
        <v>-382.85149999999999</v>
      </c>
      <c r="K2377">
        <v>1.120595</v>
      </c>
      <c r="L2377">
        <v>284.85950000000003</v>
      </c>
      <c r="M2377">
        <v>-0.99978730000000005</v>
      </c>
      <c r="N2377">
        <v>-1.5323750000000001E-2</v>
      </c>
      <c r="O2377">
        <v>-1.380458E-2</v>
      </c>
      <c r="P2377">
        <v>-0.99591350000000001</v>
      </c>
      <c r="Q2377">
        <v>-9.01864E-2</v>
      </c>
      <c r="R2377">
        <v>-4.7660380000000002E-3</v>
      </c>
      <c r="S2377">
        <v>-2.9395449999999999</v>
      </c>
      <c r="T2377">
        <v>-0.8244127</v>
      </c>
      <c r="U2377">
        <v>0.42431639999999998</v>
      </c>
      <c r="V2377">
        <v>8.9939749999999995E-3</v>
      </c>
      <c r="W2377">
        <v>-7.4913930000000004E-2</v>
      </c>
      <c r="X2377">
        <v>0.99714950000000002</v>
      </c>
      <c r="Y2377">
        <v>0.15004790000000001</v>
      </c>
      <c r="Z2377">
        <v>2.5294199999999999E-2</v>
      </c>
      <c r="AA2377">
        <v>0.98835510000000004</v>
      </c>
      <c r="AB2377">
        <v>42</v>
      </c>
      <c r="AC2377">
        <v>-0.470799999999997</v>
      </c>
      <c r="AD2377">
        <v>-0.21194440000000001</v>
      </c>
      <c r="AE2377">
        <v>0.113099999999974</v>
      </c>
      <c r="AF2377">
        <v>0.100359843969249</v>
      </c>
      <c r="AG2377">
        <v>-0.21194440000000001</v>
      </c>
      <c r="AH2377">
        <v>0.39374967914341003</v>
      </c>
      <c r="AI2377">
        <v>117.54635489428399</v>
      </c>
      <c r="AJ2377">
        <v>75.700777558476901</v>
      </c>
      <c r="AK2377">
        <v>0.458291759470351</v>
      </c>
      <c r="AL2377">
        <v>94.296276699475001</v>
      </c>
      <c r="AM2377">
        <v>89.483224095542397</v>
      </c>
      <c r="AN2377">
        <v>1.00000005692229</v>
      </c>
    </row>
    <row r="2378" spans="1:40" x14ac:dyDescent="0.25">
      <c r="A2378" t="str">
        <f>"20190303154813773"</f>
        <v>20190303154813773</v>
      </c>
      <c r="B2378" t="str">
        <f>"1551599293763083"</f>
        <v>1551599293763083</v>
      </c>
      <c r="C2378" t="s">
        <v>40</v>
      </c>
      <c r="D2378">
        <v>5.2800789999999997</v>
      </c>
      <c r="E2378">
        <v>0.55547400000000002</v>
      </c>
      <c r="F2378" t="s">
        <v>42</v>
      </c>
      <c r="G2378">
        <v>-383.69139999999999</v>
      </c>
      <c r="H2378">
        <v>0.88682700000000003</v>
      </c>
      <c r="I2378">
        <v>284.98160000000001</v>
      </c>
      <c r="J2378">
        <v>-383.28050000000002</v>
      </c>
      <c r="K2378">
        <v>1.120598</v>
      </c>
      <c r="L2378">
        <v>284.8535</v>
      </c>
      <c r="M2378">
        <v>-0.99978659999999997</v>
      </c>
      <c r="N2378">
        <v>-1.531946E-2</v>
      </c>
      <c r="O2378">
        <v>-1.3862589999999999E-2</v>
      </c>
      <c r="P2378">
        <v>-0.99593140000000002</v>
      </c>
      <c r="Q2378">
        <v>-8.9978580000000002E-2</v>
      </c>
      <c r="R2378">
        <v>-5.0129709999999997E-3</v>
      </c>
      <c r="S2378">
        <v>-2.940277</v>
      </c>
      <c r="T2378">
        <v>-0.81840170000000001</v>
      </c>
      <c r="U2378">
        <v>0.4266663</v>
      </c>
      <c r="V2378">
        <v>8.8052540000000002E-3</v>
      </c>
      <c r="W2378">
        <v>-7.471013E-2</v>
      </c>
      <c r="X2378">
        <v>0.99716640000000001</v>
      </c>
      <c r="Y2378">
        <v>0.150902799999999</v>
      </c>
      <c r="Z2378">
        <v>2.525347E-2</v>
      </c>
      <c r="AA2378">
        <v>0.98822600000000005</v>
      </c>
      <c r="AB2378">
        <v>42</v>
      </c>
      <c r="AC2378">
        <v>-0.41089999999996901</v>
      </c>
      <c r="AD2378">
        <v>-0.23377099999999901</v>
      </c>
      <c r="AE2378">
        <v>0.12810000000001701</v>
      </c>
      <c r="AF2378">
        <v>0.103308232991445</v>
      </c>
      <c r="AG2378">
        <v>-0.23377099999999901</v>
      </c>
      <c r="AH2378">
        <v>0.31589458214010602</v>
      </c>
      <c r="AI2378">
        <v>125.121427526443</v>
      </c>
      <c r="AJ2378">
        <v>71.890501263860898</v>
      </c>
      <c r="AK2378">
        <v>0.406338354663065</v>
      </c>
      <c r="AL2378">
        <v>94.2845673244328</v>
      </c>
      <c r="AM2378">
        <v>89.494075633048894</v>
      </c>
      <c r="AN2378">
        <v>0.99999998265579004</v>
      </c>
    </row>
    <row r="2379" spans="1:40" x14ac:dyDescent="0.25">
      <c r="A2379" t="str">
        <f>"20190303154813795"</f>
        <v>20190303154813795</v>
      </c>
      <c r="B2379" t="str">
        <f>"1551599293793464"</f>
        <v>1551599293793464</v>
      </c>
      <c r="C2379" t="s">
        <v>40</v>
      </c>
      <c r="D2379">
        <v>5.2345680000000003</v>
      </c>
      <c r="E2379">
        <v>0.55541490000000004</v>
      </c>
      <c r="F2379" t="s">
        <v>42</v>
      </c>
      <c r="G2379">
        <v>-384.07369999999997</v>
      </c>
      <c r="H2379">
        <v>0.89926510000000004</v>
      </c>
      <c r="I2379">
        <v>284.96890000000002</v>
      </c>
      <c r="J2379">
        <v>-383.69200000000001</v>
      </c>
      <c r="K2379">
        <v>1.1206039999999999</v>
      </c>
      <c r="L2379">
        <v>284.84769999999997</v>
      </c>
      <c r="M2379">
        <v>-0.99978590000000001</v>
      </c>
      <c r="N2379">
        <v>-1.5315250000000001E-2</v>
      </c>
      <c r="O2379">
        <v>-1.3917860000000001E-2</v>
      </c>
      <c r="P2379">
        <v>-0.99595160000000005</v>
      </c>
      <c r="Q2379">
        <v>-8.9745770000000002E-2</v>
      </c>
      <c r="R2379">
        <v>-5.1257589999999997E-3</v>
      </c>
      <c r="S2379">
        <v>-2.9402469999999998</v>
      </c>
      <c r="T2379">
        <v>-0.8204458</v>
      </c>
      <c r="U2379">
        <v>0.42764279999999999</v>
      </c>
      <c r="V2379">
        <v>8.7475230000000001E-3</v>
      </c>
      <c r="W2379">
        <v>-7.4481249999999999E-2</v>
      </c>
      <c r="X2379">
        <v>0.99718399999999996</v>
      </c>
      <c r="Y2379">
        <v>0.1512347</v>
      </c>
      <c r="Z2379">
        <v>2.5373550000000002E-2</v>
      </c>
      <c r="AA2379">
        <v>0.98817219999999995</v>
      </c>
      <c r="AB2379">
        <v>42</v>
      </c>
      <c r="AC2379">
        <v>-0.38170000000002302</v>
      </c>
      <c r="AD2379">
        <v>-0.22133890000000001</v>
      </c>
      <c r="AE2379">
        <v>0.12120000000004399</v>
      </c>
      <c r="AF2379">
        <v>9.6901767733661298E-2</v>
      </c>
      <c r="AG2379">
        <v>-0.22133890000000001</v>
      </c>
      <c r="AH2379">
        <v>0.29106685713917801</v>
      </c>
      <c r="AI2379">
        <v>125.81068822427</v>
      </c>
      <c r="AJ2379">
        <v>71.586405123903702</v>
      </c>
      <c r="AK2379">
        <v>0.37828663281696501</v>
      </c>
      <c r="AL2379">
        <v>94.271416954764803</v>
      </c>
      <c r="AM2379">
        <v>89.497401388628802</v>
      </c>
      <c r="AN2379">
        <v>0.99999995280809695</v>
      </c>
    </row>
    <row r="2380" spans="1:40" x14ac:dyDescent="0.25">
      <c r="A2380" t="str">
        <f>"20190303154813809"</f>
        <v>20190303154813809</v>
      </c>
      <c r="B2380" t="str">
        <f>"1551599293803224"</f>
        <v>1551599293803224</v>
      </c>
      <c r="C2380" t="s">
        <v>40</v>
      </c>
      <c r="D2380">
        <v>5.2295470000000002</v>
      </c>
      <c r="E2380">
        <v>0.55527729999999997</v>
      </c>
      <c r="F2380" t="s">
        <v>42</v>
      </c>
      <c r="G2380">
        <v>-384.45429999999999</v>
      </c>
      <c r="H2380">
        <v>0.90850129999999996</v>
      </c>
      <c r="I2380">
        <v>284.95859999999999</v>
      </c>
      <c r="J2380">
        <v>-383.9554</v>
      </c>
      <c r="K2380">
        <v>1.1206050000000001</v>
      </c>
      <c r="L2380">
        <v>284.84399999999999</v>
      </c>
      <c r="M2380">
        <v>-0.99978540000000005</v>
      </c>
      <c r="N2380">
        <v>-1.531249E-2</v>
      </c>
      <c r="O2380">
        <v>-1.3953E-2</v>
      </c>
      <c r="P2380">
        <v>-0.99598750000000003</v>
      </c>
      <c r="Q2380">
        <v>-8.9333860000000001E-2</v>
      </c>
      <c r="R2380">
        <v>-5.33987E-3</v>
      </c>
      <c r="S2380">
        <v>-2.940674</v>
      </c>
      <c r="T2380">
        <v>-0.81819180000000002</v>
      </c>
      <c r="U2380">
        <v>0.42694090000000001</v>
      </c>
      <c r="V2380">
        <v>8.5688680000000003E-3</v>
      </c>
      <c r="W2380">
        <v>-7.4071590000000007E-2</v>
      </c>
      <c r="X2380">
        <v>0.99721610000000005</v>
      </c>
      <c r="Y2380">
        <v>0.15105929999999901</v>
      </c>
      <c r="Z2380">
        <v>2.5289450000000002E-2</v>
      </c>
      <c r="AA2380">
        <v>0.98820110000000005</v>
      </c>
      <c r="AB2380">
        <v>42</v>
      </c>
      <c r="AC2380">
        <v>-0.49889999999999102</v>
      </c>
      <c r="AD2380">
        <v>-0.21210369999999901</v>
      </c>
      <c r="AE2380">
        <v>0.114599999999995</v>
      </c>
      <c r="AF2380">
        <v>0.103739971276788</v>
      </c>
      <c r="AG2380">
        <v>-0.21210369999999901</v>
      </c>
      <c r="AH2380">
        <v>0.42438986123892403</v>
      </c>
      <c r="AI2380">
        <v>115.89613832196299</v>
      </c>
      <c r="AJ2380">
        <v>76.263702722378596</v>
      </c>
      <c r="AK2380">
        <v>0.48565081644798203</v>
      </c>
      <c r="AL2380">
        <v>94.247879998671607</v>
      </c>
      <c r="AM2380">
        <v>89.507681546027797</v>
      </c>
      <c r="AN2380">
        <v>0.99999998802156898</v>
      </c>
    </row>
    <row r="2381" spans="1:40" x14ac:dyDescent="0.25">
      <c r="A2381" t="str">
        <f>"20190303154813827"</f>
        <v>20190303154813827</v>
      </c>
      <c r="B2381" t="str">
        <f>"1551599293822745"</f>
        <v>1551599293822745</v>
      </c>
      <c r="C2381" t="s">
        <v>40</v>
      </c>
      <c r="D2381">
        <v>5.1224439999999998</v>
      </c>
      <c r="E2381">
        <v>0.55552919999999995</v>
      </c>
      <c r="F2381" t="s">
        <v>42</v>
      </c>
      <c r="G2381">
        <v>-384.81950000000001</v>
      </c>
      <c r="H2381">
        <v>0.88036749999999997</v>
      </c>
      <c r="I2381">
        <v>284.96899999999999</v>
      </c>
      <c r="J2381">
        <v>-384.2681</v>
      </c>
      <c r="K2381">
        <v>1.120606</v>
      </c>
      <c r="L2381">
        <v>284.83960000000002</v>
      </c>
      <c r="M2381">
        <v>-0.99978489999999998</v>
      </c>
      <c r="N2381">
        <v>-1.530918E-2</v>
      </c>
      <c r="O2381">
        <v>-1.399481E-2</v>
      </c>
      <c r="P2381">
        <v>-0.99602000000000002</v>
      </c>
      <c r="Q2381">
        <v>-8.8965219999999998E-2</v>
      </c>
      <c r="R2381">
        <v>-5.4257810000000002E-3</v>
      </c>
      <c r="S2381">
        <v>-2.9410400000000001</v>
      </c>
      <c r="T2381">
        <v>-0.81759749999999998</v>
      </c>
      <c r="U2381">
        <v>0.42544559999999998</v>
      </c>
      <c r="V2381">
        <v>8.5249650000000007E-3</v>
      </c>
      <c r="W2381">
        <v>-7.3705809999999997E-2</v>
      </c>
      <c r="X2381">
        <v>0.99724360000000001</v>
      </c>
      <c r="Y2381">
        <v>0.150617</v>
      </c>
      <c r="Z2381">
        <v>2.5217300000000002E-2</v>
      </c>
      <c r="AA2381">
        <v>0.98827050000000005</v>
      </c>
      <c r="AB2381">
        <v>42</v>
      </c>
      <c r="AC2381">
        <v>-0.551400000000001</v>
      </c>
      <c r="AD2381">
        <v>-0.24023849999999999</v>
      </c>
      <c r="AE2381">
        <v>0.12939999999997501</v>
      </c>
      <c r="AF2381">
        <v>0.116198938582931</v>
      </c>
      <c r="AG2381">
        <v>-0.24023849999999999</v>
      </c>
      <c r="AH2381">
        <v>0.46574071910720299</v>
      </c>
      <c r="AI2381">
        <v>116.586995117542</v>
      </c>
      <c r="AJ2381">
        <v>75.991112804258293</v>
      </c>
      <c r="AK2381">
        <v>0.53677849029608504</v>
      </c>
      <c r="AL2381">
        <v>94.226864811810898</v>
      </c>
      <c r="AM2381">
        <v>89.510217345647405</v>
      </c>
      <c r="AN2381">
        <v>1.00000000959848</v>
      </c>
    </row>
    <row r="2382" spans="1:40" x14ac:dyDescent="0.25">
      <c r="A2382" t="str">
        <f>"20190303154813839"</f>
        <v>20190303154813839</v>
      </c>
      <c r="B2382" t="str">
        <f>"1551599293833480"</f>
        <v>1551599293833480</v>
      </c>
      <c r="C2382" t="s">
        <v>40</v>
      </c>
      <c r="D2382">
        <v>5.2053159999999998</v>
      </c>
      <c r="E2382">
        <v>0.55542040000000004</v>
      </c>
      <c r="F2382" t="s">
        <v>42</v>
      </c>
      <c r="G2382">
        <v>-385.18979999999999</v>
      </c>
      <c r="H2382">
        <v>0.86539659999999996</v>
      </c>
      <c r="I2382">
        <v>284.97390000000001</v>
      </c>
      <c r="J2382">
        <v>-384.5224</v>
      </c>
      <c r="K2382">
        <v>1.1206069999999999</v>
      </c>
      <c r="L2382">
        <v>284.83609999999999</v>
      </c>
      <c r="M2382">
        <v>-0.99978449999999996</v>
      </c>
      <c r="N2382">
        <v>-1.5306459999999999E-2</v>
      </c>
      <c r="O2382">
        <v>-1.4029460000000001E-2</v>
      </c>
      <c r="P2382">
        <v>-0.99596070000000003</v>
      </c>
      <c r="Q2382">
        <v>-8.9616429999999997E-2</v>
      </c>
      <c r="R2382">
        <v>-5.6010859999999999E-3</v>
      </c>
      <c r="S2382">
        <v>-2.9415589999999998</v>
      </c>
      <c r="T2382">
        <v>-0.81456459999999997</v>
      </c>
      <c r="U2382">
        <v>0.4274597</v>
      </c>
      <c r="V2382">
        <v>8.3833169999999995E-3</v>
      </c>
      <c r="W2382">
        <v>-7.4360549999999997E-2</v>
      </c>
      <c r="X2382">
        <v>0.99719619999999998</v>
      </c>
      <c r="Y2382">
        <v>0.15130959999999999</v>
      </c>
      <c r="Z2382">
        <v>2.523303E-2</v>
      </c>
      <c r="AA2382">
        <v>0.9881643</v>
      </c>
      <c r="AB2382">
        <v>42</v>
      </c>
      <c r="AC2382">
        <v>-0.667399999999986</v>
      </c>
      <c r="AD2382">
        <v>-0.255210399999999</v>
      </c>
      <c r="AE2382">
        <v>0.13780000000002601</v>
      </c>
      <c r="AF2382">
        <v>0.12905167801456799</v>
      </c>
      <c r="AG2382">
        <v>-0.255210399999999</v>
      </c>
      <c r="AH2382">
        <v>0.58355847140206596</v>
      </c>
      <c r="AI2382">
        <v>113.12333571282601</v>
      </c>
      <c r="AJ2382">
        <v>77.529961598843997</v>
      </c>
      <c r="AK2382">
        <v>0.64986704287234898</v>
      </c>
      <c r="AL2382">
        <v>94.264481851537298</v>
      </c>
      <c r="AM2382">
        <v>89.518332132599696</v>
      </c>
      <c r="AN2382">
        <v>1.0000000163473299</v>
      </c>
    </row>
    <row r="2383" spans="1:40" x14ac:dyDescent="0.25">
      <c r="A2383" t="str">
        <f>"20190303154813862"</f>
        <v>20190303154813862</v>
      </c>
      <c r="B2383" t="str">
        <f>"1551599293853004"</f>
        <v>1551599293853004</v>
      </c>
      <c r="C2383" t="s">
        <v>40</v>
      </c>
      <c r="D2383">
        <v>5.1994309999999997</v>
      </c>
      <c r="E2383">
        <v>0.55538520000000002</v>
      </c>
      <c r="F2383" t="s">
        <v>42</v>
      </c>
      <c r="G2383">
        <v>-385.21510000000001</v>
      </c>
      <c r="H2383">
        <v>0.92808780000000002</v>
      </c>
      <c r="I2383">
        <v>284.93689999999998</v>
      </c>
      <c r="J2383">
        <v>-384.93740000000003</v>
      </c>
      <c r="K2383">
        <v>1.120609</v>
      </c>
      <c r="L2383">
        <v>284.83019999999999</v>
      </c>
      <c r="M2383">
        <v>-0.9997838</v>
      </c>
      <c r="N2383">
        <v>-1.530198E-2</v>
      </c>
      <c r="O2383">
        <v>-1.4085210000000001E-2</v>
      </c>
      <c r="P2383">
        <v>-0.99596490000000004</v>
      </c>
      <c r="Q2383">
        <v>-8.9561639999999998E-2</v>
      </c>
      <c r="R2383">
        <v>-5.7340100000000003E-3</v>
      </c>
      <c r="S2383">
        <v>-2.9410099999999999</v>
      </c>
      <c r="T2383">
        <v>-0.81745760000000001</v>
      </c>
      <c r="U2383">
        <v>0.42636109999999999</v>
      </c>
      <c r="V2383">
        <v>8.3060979999999996E-3</v>
      </c>
      <c r="W2383">
        <v>-7.4310150000000005E-2</v>
      </c>
      <c r="X2383">
        <v>0.99720059999999999</v>
      </c>
      <c r="Y2383">
        <v>0.15099370000000001</v>
      </c>
      <c r="Z2383">
        <v>2.5289860000000001E-2</v>
      </c>
      <c r="AA2383">
        <v>0.98821119999999996</v>
      </c>
      <c r="AB2383">
        <v>42</v>
      </c>
      <c r="AC2383">
        <v>-0.27769999999998102</v>
      </c>
      <c r="AD2383">
        <v>-0.192521199999999</v>
      </c>
      <c r="AE2383">
        <v>0.106699999999989</v>
      </c>
      <c r="AF2383">
        <v>7.7954326121042902E-2</v>
      </c>
      <c r="AG2383">
        <v>-0.192521199999999</v>
      </c>
      <c r="AH2383">
        <v>0.194650435962885</v>
      </c>
      <c r="AI2383">
        <v>132.557126425413</v>
      </c>
      <c r="AJ2383">
        <v>68.174703319572004</v>
      </c>
      <c r="AK2383">
        <v>0.28465783254807298</v>
      </c>
      <c r="AL2383">
        <v>94.261586146369794</v>
      </c>
      <c r="AM2383">
        <v>89.522770690138003</v>
      </c>
      <c r="AN2383">
        <v>1.0000000131486799</v>
      </c>
    </row>
    <row r="2384" spans="1:40" x14ac:dyDescent="0.25">
      <c r="A2384" t="str">
        <f>"20190303154813875"</f>
        <v>20190303154813875</v>
      </c>
      <c r="B2384" t="str">
        <f>"1551599293873498"</f>
        <v>1551599293873498</v>
      </c>
      <c r="C2384" t="s">
        <v>40</v>
      </c>
      <c r="D2384">
        <v>5.1810919999999996</v>
      </c>
      <c r="E2384">
        <v>0.55536759999999996</v>
      </c>
      <c r="F2384" t="s">
        <v>42</v>
      </c>
      <c r="G2384">
        <v>-385.93209999999999</v>
      </c>
      <c r="H2384">
        <v>0.84410739999999995</v>
      </c>
      <c r="I2384">
        <v>284.97410000000002</v>
      </c>
      <c r="J2384">
        <v>-385.20280000000002</v>
      </c>
      <c r="K2384">
        <v>1.1206100000000001</v>
      </c>
      <c r="L2384">
        <v>284.82639999999998</v>
      </c>
      <c r="M2384">
        <v>-0.99978330000000004</v>
      </c>
      <c r="N2384">
        <v>-1.529906E-2</v>
      </c>
      <c r="O2384">
        <v>-1.4121180000000001E-2</v>
      </c>
      <c r="P2384">
        <v>-0.99597279999999999</v>
      </c>
      <c r="Q2384">
        <v>-8.9464470000000004E-2</v>
      </c>
      <c r="R2384">
        <v>-5.855786E-3</v>
      </c>
      <c r="S2384">
        <v>-2.941071</v>
      </c>
      <c r="T2384">
        <v>-0.81757919999999995</v>
      </c>
      <c r="U2384">
        <v>0.42498780000000003</v>
      </c>
      <c r="V2384">
        <v>8.2201050000000001E-3</v>
      </c>
      <c r="W2384">
        <v>-7.4215809999999993E-2</v>
      </c>
      <c r="X2384">
        <v>0.99720830000000005</v>
      </c>
      <c r="Y2384">
        <v>0.1505872</v>
      </c>
      <c r="Z2384">
        <v>2.5244260000000001E-2</v>
      </c>
      <c r="AA2384">
        <v>0.9882744</v>
      </c>
      <c r="AB2384">
        <v>42</v>
      </c>
      <c r="AC2384">
        <v>-0.72929999999996598</v>
      </c>
      <c r="AD2384">
        <v>-0.27650259999999999</v>
      </c>
      <c r="AE2384">
        <v>0.14770000000004299</v>
      </c>
      <c r="AF2384">
        <v>0.13881725237131101</v>
      </c>
      <c r="AG2384">
        <v>-0.27650259999999999</v>
      </c>
      <c r="AH2384">
        <v>0.63891969469533305</v>
      </c>
      <c r="AI2384">
        <v>112.92346702281399</v>
      </c>
      <c r="AJ2384">
        <v>77.741934077741206</v>
      </c>
      <c r="AK2384">
        <v>0.709888930490015</v>
      </c>
      <c r="AL2384">
        <v>94.256166057926905</v>
      </c>
      <c r="AM2384">
        <v>89.527714864976005</v>
      </c>
      <c r="AN2384">
        <v>0.99999997508452798</v>
      </c>
    </row>
    <row r="2385" spans="1:40" x14ac:dyDescent="0.25">
      <c r="A2385" t="str">
        <f>"20190303154813896"</f>
        <v>20190303154813896</v>
      </c>
      <c r="B2385" t="str">
        <f>"1551599293893016"</f>
        <v>1551599293893016</v>
      </c>
      <c r="C2385" t="s">
        <v>40</v>
      </c>
      <c r="D2385">
        <v>5.0623189999999996</v>
      </c>
      <c r="E2385">
        <v>0.55572339999999998</v>
      </c>
      <c r="F2385" t="s">
        <v>42</v>
      </c>
      <c r="G2385">
        <v>-385.95830000000001</v>
      </c>
      <c r="H2385">
        <v>0.91038629999999998</v>
      </c>
      <c r="I2385">
        <v>284.93549999999999</v>
      </c>
      <c r="J2385">
        <v>-385.5865</v>
      </c>
      <c r="K2385">
        <v>1.1206119999999999</v>
      </c>
      <c r="L2385">
        <v>284.82089999999999</v>
      </c>
      <c r="M2385">
        <v>-0.99978259999999997</v>
      </c>
      <c r="N2385">
        <v>-1.5294810000000001E-2</v>
      </c>
      <c r="O2385">
        <v>-1.417299E-2</v>
      </c>
      <c r="P2385">
        <v>-0.99594649999999996</v>
      </c>
      <c r="Q2385">
        <v>-8.9785619999999997E-2</v>
      </c>
      <c r="R2385">
        <v>-5.4023600000000001E-3</v>
      </c>
      <c r="S2385">
        <v>-2.9411010000000002</v>
      </c>
      <c r="T2385">
        <v>-0.81836819999999999</v>
      </c>
      <c r="U2385">
        <v>0.42398069999999999</v>
      </c>
      <c r="V2385">
        <v>8.7248099999999995E-3</v>
      </c>
      <c r="W2385">
        <v>-7.4541579999999996E-2</v>
      </c>
      <c r="X2385">
        <v>0.9971797</v>
      </c>
      <c r="Y2385">
        <v>0.15030279999999999</v>
      </c>
      <c r="Z2385">
        <v>2.5239350000000001E-2</v>
      </c>
      <c r="AA2385">
        <v>0.98831780000000002</v>
      </c>
      <c r="AB2385">
        <v>42</v>
      </c>
      <c r="AC2385">
        <v>-0.37180000000000701</v>
      </c>
      <c r="AD2385">
        <v>-0.21022569999999999</v>
      </c>
      <c r="AE2385">
        <v>0.114599999999995</v>
      </c>
      <c r="AF2385">
        <v>9.2772073009907002E-2</v>
      </c>
      <c r="AG2385">
        <v>-0.21022569999999999</v>
      </c>
      <c r="AH2385">
        <v>0.28649162590488803</v>
      </c>
      <c r="AI2385">
        <v>124.91905258904499</v>
      </c>
      <c r="AJ2385">
        <v>72.056945428978096</v>
      </c>
      <c r="AK2385">
        <v>0.367258701986314</v>
      </c>
      <c r="AL2385">
        <v>94.274883206632197</v>
      </c>
      <c r="AM2385">
        <v>89.498704160938999</v>
      </c>
      <c r="AN2385">
        <v>0.99999996177525996</v>
      </c>
    </row>
    <row r="2386" spans="1:40" x14ac:dyDescent="0.25">
      <c r="A2386" t="str">
        <f>"20190303154813919"</f>
        <v>20190303154813919</v>
      </c>
      <c r="B2386" t="str">
        <f>"1551599293913513"</f>
        <v>1551599293913513</v>
      </c>
      <c r="C2386" t="s">
        <v>40</v>
      </c>
      <c r="D2386">
        <v>5.0418539999999998</v>
      </c>
      <c r="E2386">
        <v>0.55613069999999998</v>
      </c>
      <c r="F2386" t="s">
        <v>42</v>
      </c>
      <c r="G2386">
        <v>-386.33429999999998</v>
      </c>
      <c r="H2386">
        <v>0.91305320000000001</v>
      </c>
      <c r="I2386">
        <v>284.92989999999998</v>
      </c>
      <c r="J2386">
        <v>-386.00229999999999</v>
      </c>
      <c r="K2386">
        <v>1.1206130000000001</v>
      </c>
      <c r="L2386">
        <v>284.81490000000002</v>
      </c>
      <c r="M2386">
        <v>-0.9997819</v>
      </c>
      <c r="N2386">
        <v>-1.529017E-2</v>
      </c>
      <c r="O2386">
        <v>-1.4229459999999999E-2</v>
      </c>
      <c r="P2386">
        <v>-0.99598830000000005</v>
      </c>
      <c r="Q2386">
        <v>-8.9347259999999998E-2</v>
      </c>
      <c r="R2386">
        <v>-4.9519960000000002E-3</v>
      </c>
      <c r="S2386">
        <v>-2.9409480000000001</v>
      </c>
      <c r="T2386">
        <v>-0.81628500000000004</v>
      </c>
      <c r="U2386">
        <v>0.42837520000000001</v>
      </c>
      <c r="V2386">
        <v>9.2318190000000005E-3</v>
      </c>
      <c r="W2386">
        <v>-7.4107300000000001E-2</v>
      </c>
      <c r="X2386">
        <v>0.99720750000000002</v>
      </c>
      <c r="Y2386">
        <v>0.15178440000000001</v>
      </c>
      <c r="Z2386">
        <v>2.540514E-2</v>
      </c>
      <c r="AA2386">
        <v>0.9880871</v>
      </c>
      <c r="AB2386">
        <v>42</v>
      </c>
      <c r="AC2386">
        <v>-0.33199999999999302</v>
      </c>
      <c r="AD2386">
        <v>-0.20755979999999999</v>
      </c>
      <c r="AE2386">
        <v>0.114999999999952</v>
      </c>
      <c r="AF2386">
        <v>8.8743497357884393E-2</v>
      </c>
      <c r="AG2386">
        <v>-0.20755979999999999</v>
      </c>
      <c r="AH2386">
        <v>0.24487399389721001</v>
      </c>
      <c r="AI2386">
        <v>128.55138755669799</v>
      </c>
      <c r="AJ2386">
        <v>70.079243308544406</v>
      </c>
      <c r="AK2386">
        <v>0.33304617065283798</v>
      </c>
      <c r="AL2386">
        <v>94.249931796658004</v>
      </c>
      <c r="AM2386">
        <v>89.469589673420501</v>
      </c>
      <c r="AN2386">
        <v>0.99999995822579302</v>
      </c>
    </row>
    <row r="2387" spans="1:40" x14ac:dyDescent="0.25">
      <c r="A2387" t="str">
        <f>"20190303154813939"</f>
        <v>20190303154813939</v>
      </c>
      <c r="B2387" t="str">
        <f>"1551599293933036"</f>
        <v>1551599293933036</v>
      </c>
      <c r="C2387" t="s">
        <v>40</v>
      </c>
      <c r="D2387">
        <v>5.0542579999999999</v>
      </c>
      <c r="E2387">
        <v>0.55643169999999897</v>
      </c>
      <c r="F2387" t="s">
        <v>42</v>
      </c>
      <c r="G2387">
        <v>-386.71359999999999</v>
      </c>
      <c r="H2387">
        <v>0.9243268</v>
      </c>
      <c r="I2387">
        <v>284.92009999999999</v>
      </c>
      <c r="J2387">
        <v>-386.404</v>
      </c>
      <c r="K2387">
        <v>1.1206130000000001</v>
      </c>
      <c r="L2387">
        <v>284.80919999999998</v>
      </c>
      <c r="M2387">
        <v>-0.99978109999999998</v>
      </c>
      <c r="N2387">
        <v>-1.5285669999999999E-2</v>
      </c>
      <c r="O2387">
        <v>-1.4283769999999999E-2</v>
      </c>
      <c r="P2387">
        <v>-0.99604079999999995</v>
      </c>
      <c r="Q2387">
        <v>-8.8777410000000001E-2</v>
      </c>
      <c r="R2387">
        <v>-4.6245649999999998E-3</v>
      </c>
      <c r="S2387">
        <v>-2.9414060000000002</v>
      </c>
      <c r="T2387">
        <v>-0.81174919999999995</v>
      </c>
      <c r="U2387">
        <v>0.43356319999999998</v>
      </c>
      <c r="V2387">
        <v>9.6138760000000004E-3</v>
      </c>
      <c r="W2387">
        <v>-7.3541270000000006E-2</v>
      </c>
      <c r="X2387">
        <v>0.99724579999999996</v>
      </c>
      <c r="Y2387">
        <v>0.1535251</v>
      </c>
      <c r="Z2387">
        <v>2.5529349999999999E-2</v>
      </c>
      <c r="AA2387">
        <v>0.98781490000000005</v>
      </c>
      <c r="AB2387">
        <v>42</v>
      </c>
      <c r="AC2387">
        <v>-0.309599999999989</v>
      </c>
      <c r="AD2387">
        <v>-0.19628619999999899</v>
      </c>
      <c r="AE2387">
        <v>0.110900000000015</v>
      </c>
      <c r="AF2387">
        <v>8.50225674751897E-2</v>
      </c>
      <c r="AG2387">
        <v>-0.19628619999999899</v>
      </c>
      <c r="AH2387">
        <v>0.227085880150483</v>
      </c>
      <c r="AI2387">
        <v>128.98990821469499</v>
      </c>
      <c r="AJ2387">
        <v>69.473742725143794</v>
      </c>
      <c r="AK2387">
        <v>0.31196972009192298</v>
      </c>
      <c r="AL2387">
        <v>94.217411896714395</v>
      </c>
      <c r="AM2387">
        <v>89.4476612926765</v>
      </c>
      <c r="AN2387">
        <v>0.99999996531129698</v>
      </c>
    </row>
    <row r="2388" spans="1:40" x14ac:dyDescent="0.25">
      <c r="A2388" t="str">
        <f>"20190303154813963"</f>
        <v>20190303154813963</v>
      </c>
      <c r="B2388" t="str">
        <f>"1551599293952553"</f>
        <v>1551599293952553</v>
      </c>
      <c r="C2388" t="s">
        <v>40</v>
      </c>
      <c r="D2388">
        <v>5.0551810000000001</v>
      </c>
      <c r="E2388">
        <v>0.55662449999999997</v>
      </c>
      <c r="F2388" t="s">
        <v>42</v>
      </c>
      <c r="G2388">
        <v>-387.09109999999998</v>
      </c>
      <c r="H2388">
        <v>0.93212950000000006</v>
      </c>
      <c r="I2388">
        <v>284.91129999999998</v>
      </c>
      <c r="J2388">
        <v>-386.82960000000003</v>
      </c>
      <c r="K2388">
        <v>1.120617</v>
      </c>
      <c r="L2388">
        <v>284.80309999999997</v>
      </c>
      <c r="M2388">
        <v>-0.99978049999999996</v>
      </c>
      <c r="N2388">
        <v>-1.528089E-2</v>
      </c>
      <c r="O2388">
        <v>-1.434096E-2</v>
      </c>
      <c r="P2388">
        <v>-0.9960426</v>
      </c>
      <c r="Q2388">
        <v>-8.8733030000000004E-2</v>
      </c>
      <c r="R2388">
        <v>-5.0659909999999997E-3</v>
      </c>
      <c r="S2388">
        <v>-2.9420169999999999</v>
      </c>
      <c r="T2388">
        <v>-0.80704089999999995</v>
      </c>
      <c r="U2388">
        <v>0.43695070000000003</v>
      </c>
      <c r="V2388">
        <v>9.2294630000000003E-3</v>
      </c>
      <c r="W2388">
        <v>-7.3501549999999999E-2</v>
      </c>
      <c r="X2388">
        <v>0.99725240000000004</v>
      </c>
      <c r="Y2388">
        <v>0.15469349999999901</v>
      </c>
      <c r="Z2388">
        <v>2.5564920000000001E-2</v>
      </c>
      <c r="AA2388">
        <v>0.9876317</v>
      </c>
      <c r="AB2388">
        <v>42</v>
      </c>
      <c r="AC2388">
        <v>-0.26149999999995499</v>
      </c>
      <c r="AD2388">
        <v>-0.188487499999999</v>
      </c>
      <c r="AE2388">
        <v>0.10820000000001</v>
      </c>
      <c r="AF2388">
        <v>7.75419950280231E-2</v>
      </c>
      <c r="AG2388">
        <v>-0.188487499999999</v>
      </c>
      <c r="AH2388">
        <v>0.18005097598308401</v>
      </c>
      <c r="AI2388">
        <v>133.87500999583401</v>
      </c>
      <c r="AJ2388">
        <v>66.700055252246699</v>
      </c>
      <c r="AK2388">
        <v>0.27195340152613801</v>
      </c>
      <c r="AL2388">
        <v>94.215129764550795</v>
      </c>
      <c r="AM2388">
        <v>89.469748902273196</v>
      </c>
      <c r="AN2388">
        <v>1.00000000507271</v>
      </c>
    </row>
    <row r="2389" spans="1:40" x14ac:dyDescent="0.25">
      <c r="A2389" t="str">
        <f>"20190303154813987"</f>
        <v>20190303154813987</v>
      </c>
      <c r="B2389" t="str">
        <f>"1551599293982808"</f>
        <v>1551599293982808</v>
      </c>
      <c r="C2389" t="s">
        <v>40</v>
      </c>
      <c r="D2389">
        <v>5.0263970000000002</v>
      </c>
      <c r="E2389">
        <v>0.55685099999999998</v>
      </c>
      <c r="F2389" t="s">
        <v>42</v>
      </c>
      <c r="G2389">
        <v>-387.80610000000001</v>
      </c>
      <c r="H2389">
        <v>0.85340509999999903</v>
      </c>
      <c r="I2389">
        <v>284.94839999999999</v>
      </c>
      <c r="J2389">
        <v>-387.27550000000002</v>
      </c>
      <c r="K2389">
        <v>1.120622</v>
      </c>
      <c r="L2389">
        <v>284.79660000000001</v>
      </c>
      <c r="M2389">
        <v>-0.99977969999999905</v>
      </c>
      <c r="N2389">
        <v>-1.527592E-2</v>
      </c>
      <c r="O2389">
        <v>-1.440135E-2</v>
      </c>
      <c r="P2389">
        <v>-0.9960251</v>
      </c>
      <c r="Q2389">
        <v>-8.8910890000000006E-2</v>
      </c>
      <c r="R2389">
        <v>-5.3819459999999899E-3</v>
      </c>
      <c r="S2389">
        <v>-2.9424130000000002</v>
      </c>
      <c r="T2389">
        <v>-0.80524410000000002</v>
      </c>
      <c r="U2389">
        <v>0.43746950000000001</v>
      </c>
      <c r="V2389">
        <v>8.9733339999999995E-3</v>
      </c>
      <c r="W2389">
        <v>-7.3684630000000001E-2</v>
      </c>
      <c r="X2389">
        <v>0.99724120000000005</v>
      </c>
      <c r="Y2389">
        <v>0.1549227</v>
      </c>
      <c r="Z2389">
        <v>2.5555930000000001E-2</v>
      </c>
      <c r="AA2389">
        <v>0.98759600000000003</v>
      </c>
      <c r="AB2389">
        <v>42</v>
      </c>
      <c r="AC2389">
        <v>-0.53059999999999197</v>
      </c>
      <c r="AD2389">
        <v>-0.26721689999999998</v>
      </c>
      <c r="AE2389">
        <v>0.15179999999998001</v>
      </c>
      <c r="AF2389">
        <v>0.129149110210761</v>
      </c>
      <c r="AG2389">
        <v>-0.26721689999999998</v>
      </c>
      <c r="AH2389">
        <v>0.42801566970418897</v>
      </c>
      <c r="AI2389">
        <v>120.86672353096699</v>
      </c>
      <c r="AJ2389">
        <v>73.209378102696903</v>
      </c>
      <c r="AK2389">
        <v>0.52084717319590701</v>
      </c>
      <c r="AL2389">
        <v>94.225648111334294</v>
      </c>
      <c r="AM2389">
        <v>89.484457430063898</v>
      </c>
      <c r="AN2389">
        <v>0.99999997819937603</v>
      </c>
    </row>
    <row r="2390" spans="1:40" x14ac:dyDescent="0.25">
      <c r="A2390" t="str">
        <f>"20190303154814007"</f>
        <v>20190303154814007</v>
      </c>
      <c r="B2390" t="str">
        <f>"1551599294003305"</f>
        <v>1551599294003305</v>
      </c>
      <c r="C2390" t="s">
        <v>40</v>
      </c>
      <c r="D2390">
        <v>5.037344</v>
      </c>
      <c r="E2390">
        <v>0.55693909999999902</v>
      </c>
      <c r="F2390" t="s">
        <v>42</v>
      </c>
      <c r="G2390">
        <v>-388.18619999999999</v>
      </c>
      <c r="H2390">
        <v>0.87200429999999995</v>
      </c>
      <c r="I2390">
        <v>284.93270000000001</v>
      </c>
      <c r="J2390">
        <v>-387.65140000000002</v>
      </c>
      <c r="K2390">
        <v>1.120625</v>
      </c>
      <c r="L2390">
        <v>284.7912</v>
      </c>
      <c r="M2390">
        <v>-0.99977899999999997</v>
      </c>
      <c r="N2390">
        <v>-1.527179E-2</v>
      </c>
      <c r="O2390">
        <v>-1.445185E-2</v>
      </c>
      <c r="P2390">
        <v>-0.99600489999999997</v>
      </c>
      <c r="Q2390">
        <v>-8.9056999999999997E-2</v>
      </c>
      <c r="R2390">
        <v>-6.594295E-3</v>
      </c>
      <c r="S2390">
        <v>-2.9426269999999999</v>
      </c>
      <c r="T2390">
        <v>-0.80337799999999904</v>
      </c>
      <c r="U2390">
        <v>0.43890380000000001</v>
      </c>
      <c r="V2390">
        <v>7.811269E-3</v>
      </c>
      <c r="W2390">
        <v>-7.3835020000000001E-2</v>
      </c>
      <c r="X2390">
        <v>0.99723989999999996</v>
      </c>
      <c r="Y2390">
        <v>0.15544160000000001</v>
      </c>
      <c r="Z2390">
        <v>2.558411E-2</v>
      </c>
      <c r="AA2390">
        <v>0.98751369999999905</v>
      </c>
      <c r="AB2390">
        <v>42</v>
      </c>
      <c r="AC2390">
        <v>-0.53479999999996097</v>
      </c>
      <c r="AD2390">
        <v>-0.2486207</v>
      </c>
      <c r="AE2390">
        <v>0.14150000000000701</v>
      </c>
      <c r="AF2390">
        <v>0.124141093946546</v>
      </c>
      <c r="AG2390">
        <v>-0.2486207</v>
      </c>
      <c r="AH2390">
        <v>0.44318496961311699</v>
      </c>
      <c r="AI2390">
        <v>118.37765258060099</v>
      </c>
      <c r="AJ2390">
        <v>74.3518431855925</v>
      </c>
      <c r="AK2390">
        <v>0.52310245742656802</v>
      </c>
      <c r="AL2390">
        <v>94.234288173212704</v>
      </c>
      <c r="AM2390">
        <v>89.551217722429101</v>
      </c>
      <c r="AN2390">
        <v>1.0000000221269001</v>
      </c>
    </row>
    <row r="2391" spans="1:40" x14ac:dyDescent="0.25">
      <c r="A2391" t="str">
        <f>"20190303154814018"</f>
        <v>20190303154814018</v>
      </c>
      <c r="B2391" t="str">
        <f>"1551599294013065"</f>
        <v>1551599294013065</v>
      </c>
      <c r="C2391" t="s">
        <v>40</v>
      </c>
      <c r="D2391">
        <v>5.0526669999999996</v>
      </c>
      <c r="E2391">
        <v>0.55699399999999999</v>
      </c>
      <c r="F2391" t="s">
        <v>42</v>
      </c>
      <c r="G2391">
        <v>-388.55889999999999</v>
      </c>
      <c r="H2391">
        <v>0.87315419999999999</v>
      </c>
      <c r="I2391">
        <v>284.92579999999998</v>
      </c>
      <c r="J2391">
        <v>-387.88420000000002</v>
      </c>
      <c r="K2391">
        <v>1.120625</v>
      </c>
      <c r="L2391">
        <v>284.7878</v>
      </c>
      <c r="M2391">
        <v>-0.99977859999999996</v>
      </c>
      <c r="N2391">
        <v>-1.526914E-2</v>
      </c>
      <c r="O2391">
        <v>-1.448342E-2</v>
      </c>
      <c r="P2391">
        <v>-0.99600489999999997</v>
      </c>
      <c r="Q2391">
        <v>-8.9032689999999998E-2</v>
      </c>
      <c r="R2391">
        <v>-6.9205419999999896E-3</v>
      </c>
      <c r="S2391">
        <v>-2.943146</v>
      </c>
      <c r="T2391">
        <v>-0.80262469999999997</v>
      </c>
      <c r="U2391">
        <v>0.43634030000000001</v>
      </c>
      <c r="V2391">
        <v>7.5164050000000003E-3</v>
      </c>
      <c r="W2391">
        <v>-7.3813329999999996E-2</v>
      </c>
      <c r="X2391">
        <v>0.99724380000000001</v>
      </c>
      <c r="Y2391">
        <v>0.1546476</v>
      </c>
      <c r="Z2391">
        <v>2.5454839999999999E-2</v>
      </c>
      <c r="AA2391">
        <v>0.98764180000000001</v>
      </c>
      <c r="AB2391">
        <v>42</v>
      </c>
      <c r="AC2391">
        <v>-0.67469999999997299</v>
      </c>
      <c r="AD2391">
        <v>-0.24747079999999999</v>
      </c>
      <c r="AE2391">
        <v>0.137999999999976</v>
      </c>
      <c r="AF2391">
        <v>0.13086057683514399</v>
      </c>
      <c r="AG2391">
        <v>-0.24747079999999999</v>
      </c>
      <c r="AH2391">
        <v>0.59570658395842202</v>
      </c>
      <c r="AI2391">
        <v>112.08482315288001</v>
      </c>
      <c r="AJ2391">
        <v>77.6104604077792</v>
      </c>
      <c r="AK2391">
        <v>0.65820408810161501</v>
      </c>
      <c r="AL2391">
        <v>94.2330419077703</v>
      </c>
      <c r="AM2391">
        <v>89.568159632789303</v>
      </c>
      <c r="AN2391">
        <v>1.00000005033412</v>
      </c>
    </row>
    <row r="2392" spans="1:40" x14ac:dyDescent="0.25">
      <c r="A2392" t="str">
        <f>"20190303154814040"</f>
        <v>20190303154814040</v>
      </c>
      <c r="B2392" t="str">
        <f>"1551599294032584"</f>
        <v>1551599294032584</v>
      </c>
      <c r="C2392" t="s">
        <v>40</v>
      </c>
      <c r="D2392">
        <v>5.1381959999999998</v>
      </c>
      <c r="E2392">
        <v>0.53649480000000005</v>
      </c>
      <c r="F2392" t="s">
        <v>42</v>
      </c>
      <c r="G2392">
        <v>-388.58210000000003</v>
      </c>
      <c r="H2392">
        <v>0.93054219999999999</v>
      </c>
      <c r="I2392">
        <v>284.89109999999999</v>
      </c>
      <c r="J2392">
        <v>-388.2747</v>
      </c>
      <c r="K2392">
        <v>1.12063</v>
      </c>
      <c r="L2392">
        <v>284.78199999999998</v>
      </c>
      <c r="M2392">
        <v>-0.9997779</v>
      </c>
      <c r="N2392">
        <v>-1.5264710000000001E-2</v>
      </c>
      <c r="O2392">
        <v>-1.4536189999999999E-2</v>
      </c>
      <c r="P2392">
        <v>-0.99604749999999997</v>
      </c>
      <c r="Q2392">
        <v>-8.8482489999999997E-2</v>
      </c>
      <c r="R2392">
        <v>-7.7632339999999999E-3</v>
      </c>
      <c r="S2392">
        <v>-2.9433590000000001</v>
      </c>
      <c r="T2392">
        <v>-0.80169000000000001</v>
      </c>
      <c r="U2392">
        <v>0.43569950000000002</v>
      </c>
      <c r="V2392">
        <v>6.7268429999999997E-3</v>
      </c>
      <c r="W2392">
        <v>-7.3266890000000001E-2</v>
      </c>
      <c r="X2392">
        <v>0.99728969999999995</v>
      </c>
      <c r="Y2392">
        <v>0.15449769999999999</v>
      </c>
      <c r="Z2392">
        <v>2.5417789999999999E-2</v>
      </c>
      <c r="AA2392">
        <v>0.98766609999999999</v>
      </c>
      <c r="AB2392">
        <v>42</v>
      </c>
      <c r="AC2392">
        <v>-0.30740000000002898</v>
      </c>
      <c r="AD2392">
        <v>-0.1900878</v>
      </c>
      <c r="AE2392">
        <v>0.10910000000001201</v>
      </c>
      <c r="AF2392">
        <v>8.4769194021959898E-2</v>
      </c>
      <c r="AG2392">
        <v>-0.1900878</v>
      </c>
      <c r="AH2392">
        <v>0.228262023645461</v>
      </c>
      <c r="AI2392">
        <v>127.977984493158</v>
      </c>
      <c r="AJ2392">
        <v>69.626618381737401</v>
      </c>
      <c r="AK2392">
        <v>0.30890571280358903</v>
      </c>
      <c r="AL2392">
        <v>94.201648338955096</v>
      </c>
      <c r="AM2392">
        <v>89.613538705555598</v>
      </c>
      <c r="AN2392">
        <v>1.0000000166565499</v>
      </c>
    </row>
    <row r="2393" spans="1:40" x14ac:dyDescent="0.25">
      <c r="A2393" t="str">
        <f>"20190303154814054"</f>
        <v>20190303154814054</v>
      </c>
      <c r="B2393" t="str">
        <f>"1551599294043321"</f>
        <v>1551599294043321</v>
      </c>
      <c r="C2393" t="s">
        <v>40</v>
      </c>
      <c r="D2393">
        <v>5.0636919999999996</v>
      </c>
      <c r="E2393">
        <v>0.53649480000000005</v>
      </c>
      <c r="F2393" t="s">
        <v>42</v>
      </c>
      <c r="G2393">
        <v>-388.96469999999999</v>
      </c>
      <c r="H2393">
        <v>0.95564729999999998</v>
      </c>
      <c r="I2393">
        <v>284.84530000000001</v>
      </c>
      <c r="J2393">
        <v>-388.52330000000001</v>
      </c>
      <c r="K2393">
        <v>1.120633</v>
      </c>
      <c r="L2393">
        <v>284.77839999999998</v>
      </c>
      <c r="M2393">
        <v>-0.99977749999999999</v>
      </c>
      <c r="N2393">
        <v>-1.526187E-2</v>
      </c>
      <c r="O2393">
        <v>-1.4569779999999999E-2</v>
      </c>
      <c r="P2393">
        <v>-0.99609130000000001</v>
      </c>
      <c r="Q2393">
        <v>-8.7947800000000007E-2</v>
      </c>
      <c r="R2393">
        <v>-8.2309140000000006E-3</v>
      </c>
      <c r="S2393">
        <v>-2.9513240000000001</v>
      </c>
      <c r="T2393">
        <v>-0.70574159999999997</v>
      </c>
      <c r="U2393">
        <v>0.26950069999999998</v>
      </c>
      <c r="V2393">
        <v>6.2934369999999998E-3</v>
      </c>
      <c r="W2393">
        <v>-7.2734359999999998E-2</v>
      </c>
      <c r="X2393">
        <v>0.99733150000000004</v>
      </c>
      <c r="Y2393">
        <v>0.1020383</v>
      </c>
      <c r="Z2393">
        <v>1.6008479999999999E-2</v>
      </c>
      <c r="AA2393">
        <v>0.99465170000000003</v>
      </c>
      <c r="AB2393">
        <v>42</v>
      </c>
      <c r="AC2393">
        <v>-0.44139999999998702</v>
      </c>
      <c r="AD2393">
        <v>-0.16498570000000001</v>
      </c>
      <c r="AE2393">
        <v>6.6900000000032295E-2</v>
      </c>
      <c r="AF2393">
        <v>6.4513897867475203E-2</v>
      </c>
      <c r="AG2393">
        <v>-0.16498570000000001</v>
      </c>
      <c r="AH2393">
        <v>0.38746156477888199</v>
      </c>
      <c r="AI2393">
        <v>112.783829390752</v>
      </c>
      <c r="AJ2393">
        <v>80.546746611414704</v>
      </c>
      <c r="AK2393">
        <v>0.42603848230347102</v>
      </c>
      <c r="AL2393">
        <v>94.1710550288646</v>
      </c>
      <c r="AM2393">
        <v>89.638452618111899</v>
      </c>
      <c r="AN2393">
        <v>1.00000000768306</v>
      </c>
    </row>
    <row r="2394" spans="1:40" x14ac:dyDescent="0.25">
      <c r="A2394" t="str">
        <f>"20190303154814067"</f>
        <v>20190303154814067</v>
      </c>
      <c r="B2394" t="str">
        <f>"1551599294062842"</f>
        <v>1551599294062842</v>
      </c>
      <c r="C2394" t="s">
        <v>40</v>
      </c>
      <c r="D2394">
        <v>5.1571160000000003</v>
      </c>
      <c r="E2394">
        <v>0.50424869999999999</v>
      </c>
      <c r="F2394" t="s">
        <v>42</v>
      </c>
      <c r="G2394">
        <v>-389.32369999999997</v>
      </c>
      <c r="H2394">
        <v>0.92974109999999999</v>
      </c>
      <c r="I2394">
        <v>284.85129999999998</v>
      </c>
      <c r="J2394">
        <v>-388.76819999999998</v>
      </c>
      <c r="K2394">
        <v>1.120636</v>
      </c>
      <c r="L2394">
        <v>284.77480000000003</v>
      </c>
      <c r="M2394">
        <v>-0.99977689999999997</v>
      </c>
      <c r="N2394">
        <v>-1.525897E-2</v>
      </c>
      <c r="O2394">
        <v>-1.460301E-2</v>
      </c>
      <c r="P2394">
        <v>-0.99610370000000004</v>
      </c>
      <c r="Q2394">
        <v>-8.7766170000000004E-2</v>
      </c>
      <c r="R2394">
        <v>-8.6387700000000005E-3</v>
      </c>
      <c r="S2394">
        <v>-2.9518430000000002</v>
      </c>
      <c r="T2394">
        <v>-0.70405099999999998</v>
      </c>
      <c r="U2394">
        <v>0.26809690000000003</v>
      </c>
      <c r="V2394">
        <v>5.9188160000000004E-3</v>
      </c>
      <c r="W2394">
        <v>-7.2555419999999995E-2</v>
      </c>
      <c r="X2394">
        <v>0.99734679999999998</v>
      </c>
      <c r="Y2394">
        <v>0.10161480000000001</v>
      </c>
      <c r="Z2394">
        <v>1.5924319999999999E-2</v>
      </c>
      <c r="AA2394">
        <v>0.99469640000000004</v>
      </c>
      <c r="AB2394">
        <v>42</v>
      </c>
      <c r="AC2394">
        <v>-0.555499999999995</v>
      </c>
      <c r="AD2394">
        <v>-0.19089490000000001</v>
      </c>
      <c r="AE2394">
        <v>7.6499999999953106E-2</v>
      </c>
      <c r="AF2394">
        <v>7.58179113156741E-2</v>
      </c>
      <c r="AG2394">
        <v>-0.19089490000000001</v>
      </c>
      <c r="AH2394">
        <v>0.49675278943259699</v>
      </c>
      <c r="AI2394">
        <v>110.80109609226599</v>
      </c>
      <c r="AJ2394">
        <v>81.322084867681099</v>
      </c>
      <c r="AK2394">
        <v>0.53754307021051495</v>
      </c>
      <c r="AL2394">
        <v>94.160775475590398</v>
      </c>
      <c r="AM2394">
        <v>89.659978659977398</v>
      </c>
      <c r="AN2394">
        <v>0.99999998041222904</v>
      </c>
    </row>
    <row r="2395" spans="1:40" x14ac:dyDescent="0.25">
      <c r="A2395" t="str">
        <f>"20190303154814085"</f>
        <v>20190303154814085</v>
      </c>
      <c r="B2395" t="str">
        <f>"1551599294072601"</f>
        <v>1551599294072601</v>
      </c>
      <c r="C2395" t="s">
        <v>40</v>
      </c>
      <c r="D2395">
        <v>5.145219</v>
      </c>
      <c r="E2395">
        <v>0.50359929999999997</v>
      </c>
      <c r="F2395" t="s">
        <v>42</v>
      </c>
      <c r="G2395">
        <v>-389.74430000000001</v>
      </c>
      <c r="H2395">
        <v>1.0309969999999999</v>
      </c>
      <c r="I2395">
        <v>284.77760000000001</v>
      </c>
      <c r="J2395">
        <v>-389.10809999999998</v>
      </c>
      <c r="K2395">
        <v>1.120638</v>
      </c>
      <c r="L2395">
        <v>284.76979999999998</v>
      </c>
      <c r="M2395">
        <v>-0.99977640000000001</v>
      </c>
      <c r="N2395">
        <v>-1.525485E-2</v>
      </c>
      <c r="O2395">
        <v>-1.464934E-2</v>
      </c>
      <c r="P2395">
        <v>-0.9961373</v>
      </c>
      <c r="Q2395">
        <v>-8.7331519999999996E-2</v>
      </c>
      <c r="R2395">
        <v>-9.1693669999999994E-3</v>
      </c>
      <c r="S2395">
        <v>-2.9876100000000001</v>
      </c>
      <c r="T2395">
        <v>-0.27438319999999999</v>
      </c>
      <c r="U2395">
        <v>8.1481929999999998E-3</v>
      </c>
      <c r="V2395">
        <v>5.4349089999999999E-3</v>
      </c>
      <c r="W2395">
        <v>-7.212433E-2</v>
      </c>
      <c r="X2395">
        <v>0.99738090000000001</v>
      </c>
      <c r="Y2395">
        <v>1.7250439999999999E-2</v>
      </c>
      <c r="Z2395">
        <v>2.0418300000000001E-3</v>
      </c>
      <c r="AA2395">
        <v>0.99984910000000005</v>
      </c>
      <c r="AB2395">
        <v>42</v>
      </c>
      <c r="AC2395">
        <v>-0.63620000000002996</v>
      </c>
      <c r="AD2395">
        <v>-8.9640999999999998E-2</v>
      </c>
      <c r="AE2395">
        <v>7.8000000000315499E-3</v>
      </c>
      <c r="AF2395">
        <v>1.67869358795248E-2</v>
      </c>
      <c r="AG2395">
        <v>-8.9640999999999998E-2</v>
      </c>
      <c r="AH2395">
        <v>0.623638210902975</v>
      </c>
      <c r="AI2395">
        <v>98.176678773204998</v>
      </c>
      <c r="AJ2395">
        <v>88.458099006074605</v>
      </c>
      <c r="AK2395">
        <v>0.63027131316242402</v>
      </c>
      <c r="AL2395">
        <v>94.136010631920598</v>
      </c>
      <c r="AM2395">
        <v>89.687788019977106</v>
      </c>
      <c r="AN2395">
        <v>1.0000000584492901</v>
      </c>
    </row>
    <row r="2396" spans="1:40" x14ac:dyDescent="0.25">
      <c r="A2396" t="str">
        <f>"20190303154814107"</f>
        <v>20190303154814107</v>
      </c>
      <c r="B2396" t="str">
        <f>"1551599294102857"</f>
        <v>1551599294102857</v>
      </c>
      <c r="C2396" t="s">
        <v>40</v>
      </c>
      <c r="D2396">
        <v>5.1607880000000002</v>
      </c>
      <c r="E2396">
        <v>0.50257580000000002</v>
      </c>
      <c r="F2396" t="s">
        <v>42</v>
      </c>
      <c r="G2396">
        <v>-390.11959999999999</v>
      </c>
      <c r="H2396">
        <v>1.0379529999999999</v>
      </c>
      <c r="I2396">
        <v>284.77019999999999</v>
      </c>
      <c r="J2396">
        <v>-389.51560000000001</v>
      </c>
      <c r="K2396">
        <v>1.1206400000000001</v>
      </c>
      <c r="L2396">
        <v>284.76369999999997</v>
      </c>
      <c r="M2396">
        <v>-0.99977570000000004</v>
      </c>
      <c r="N2396">
        <v>-1.5250120000000001E-2</v>
      </c>
      <c r="O2396">
        <v>-1.4704500000000001E-2</v>
      </c>
      <c r="P2396">
        <v>-0.99609930000000002</v>
      </c>
      <c r="Q2396">
        <v>-8.7735530000000006E-2</v>
      </c>
      <c r="R2396">
        <v>-9.4240139999999997E-3</v>
      </c>
      <c r="S2396">
        <v>-2.9902039999999999</v>
      </c>
      <c r="T2396">
        <v>-0.24441640000000001</v>
      </c>
      <c r="U2396">
        <v>1.159668E-3</v>
      </c>
      <c r="V2396">
        <v>5.2343989999999998E-3</v>
      </c>
      <c r="W2396">
        <v>-7.2533630000000002E-2</v>
      </c>
      <c r="X2396">
        <v>0.99735220000000002</v>
      </c>
      <c r="Y2396">
        <v>1.5002140000000001E-2</v>
      </c>
      <c r="Z2396">
        <v>1.7026719999999999E-3</v>
      </c>
      <c r="AA2396">
        <v>0.99988600000000005</v>
      </c>
      <c r="AB2396">
        <v>42</v>
      </c>
      <c r="AC2396">
        <v>-0.60399999999998499</v>
      </c>
      <c r="AD2396">
        <v>-8.2686999999999705E-2</v>
      </c>
      <c r="AE2396">
        <v>6.5000000000168196E-3</v>
      </c>
      <c r="AF2396">
        <v>1.50989060321372E-2</v>
      </c>
      <c r="AG2396">
        <v>-8.2686999999999705E-2</v>
      </c>
      <c r="AH2396">
        <v>0.59273179130234399</v>
      </c>
      <c r="AI2396">
        <v>97.939055516528498</v>
      </c>
      <c r="AJ2396">
        <v>88.540796097136194</v>
      </c>
      <c r="AK2396">
        <v>0.59866191907691402</v>
      </c>
      <c r="AL2396">
        <v>94.159523751423905</v>
      </c>
      <c r="AM2396">
        <v>89.699297582731205</v>
      </c>
      <c r="AN2396">
        <v>0.99999996862935303</v>
      </c>
    </row>
    <row r="2397" spans="1:40" x14ac:dyDescent="0.25">
      <c r="A2397" t="str">
        <f>"20190303154814130"</f>
        <v>20190303154814130</v>
      </c>
      <c r="B2397" t="str">
        <f>"1551599294123352"</f>
        <v>1551599294123352</v>
      </c>
      <c r="C2397" t="s">
        <v>40</v>
      </c>
      <c r="D2397">
        <v>5.1630200000000004</v>
      </c>
      <c r="E2397">
        <v>0.50193980000000005</v>
      </c>
      <c r="F2397" t="s">
        <v>54</v>
      </c>
      <c r="G2397">
        <v>-405.79140000000001</v>
      </c>
      <c r="H2397" s="1">
        <v>5.8124569999999997E-6</v>
      </c>
      <c r="I2397">
        <v>284.72059999999999</v>
      </c>
      <c r="J2397">
        <v>-389.93529999999998</v>
      </c>
      <c r="K2397">
        <v>1.1206389999999999</v>
      </c>
      <c r="L2397">
        <v>284.75749999999999</v>
      </c>
      <c r="M2397">
        <v>-0.99977490000000002</v>
      </c>
      <c r="N2397">
        <v>-1.524548E-2</v>
      </c>
      <c r="O2397">
        <v>-1.476156E-2</v>
      </c>
      <c r="P2397">
        <v>-0.99612520000000004</v>
      </c>
      <c r="Q2397">
        <v>-8.7485339999999995E-2</v>
      </c>
      <c r="R2397">
        <v>-9.0082300000000008E-3</v>
      </c>
      <c r="S2397">
        <v>-2.9935610000000001</v>
      </c>
      <c r="T2397">
        <v>-0.2061144</v>
      </c>
      <c r="U2397">
        <v>-7.9345700000000002E-3</v>
      </c>
      <c r="V2397">
        <v>5.7075529999999998E-3</v>
      </c>
      <c r="W2397">
        <v>-7.228772E-2</v>
      </c>
      <c r="X2397">
        <v>0.99736749999999996</v>
      </c>
      <c r="Y2397">
        <v>1.2056910000000001E-2</v>
      </c>
      <c r="Z2397">
        <v>1.296904E-3</v>
      </c>
      <c r="AA2397">
        <v>0.99992639999999999</v>
      </c>
      <c r="AB2397">
        <v>41</v>
      </c>
      <c r="AC2397">
        <v>-15.8561</v>
      </c>
      <c r="AD2397">
        <v>-1.120633187543</v>
      </c>
      <c r="AE2397">
        <v>-3.6900000000002799E-2</v>
      </c>
      <c r="AF2397">
        <v>0.19621190725851501</v>
      </c>
      <c r="AG2397">
        <v>-1.120633187543</v>
      </c>
      <c r="AH2397">
        <v>15.776115680380901</v>
      </c>
      <c r="AI2397">
        <v>94.062783677593004</v>
      </c>
      <c r="AJ2397">
        <v>89.287433307894901</v>
      </c>
      <c r="AK2397">
        <v>15.8170839225925</v>
      </c>
      <c r="AL2397">
        <v>94.1453968886415</v>
      </c>
      <c r="AM2397">
        <v>89.672121731916604</v>
      </c>
      <c r="AN2397">
        <v>1.0000000103401401</v>
      </c>
    </row>
    <row r="2398" spans="1:40" x14ac:dyDescent="0.25">
      <c r="A2398" t="str">
        <f>"20190303154814151"</f>
        <v>20190303154814151</v>
      </c>
      <c r="B2398" t="str">
        <f>"1551599294142873"</f>
        <v>1551599294142873</v>
      </c>
      <c r="C2398" t="s">
        <v>40</v>
      </c>
      <c r="D2398">
        <v>5.1519279999999998</v>
      </c>
      <c r="E2398">
        <v>0.50192519999999996</v>
      </c>
      <c r="F2398" t="s">
        <v>54</v>
      </c>
      <c r="G2398">
        <v>-407.2491</v>
      </c>
      <c r="H2398" s="1">
        <v>5.1724900000000002E-6</v>
      </c>
      <c r="I2398">
        <v>284.68939999999998</v>
      </c>
      <c r="J2398">
        <v>-390.34019999999998</v>
      </c>
      <c r="K2398">
        <v>1.120641</v>
      </c>
      <c r="L2398">
        <v>284.75150000000002</v>
      </c>
      <c r="M2398">
        <v>-0.99977419999999995</v>
      </c>
      <c r="N2398">
        <v>-1.5241070000000001E-2</v>
      </c>
      <c r="O2398">
        <v>-1.4816360000000001E-2</v>
      </c>
      <c r="P2398">
        <v>-0.99618799999999996</v>
      </c>
      <c r="Q2398">
        <v>-8.6798840000000002E-2</v>
      </c>
      <c r="R2398">
        <v>-8.7039030000000007E-3</v>
      </c>
      <c r="S2398">
        <v>-2.9945369999999998</v>
      </c>
      <c r="T2398">
        <v>-0.19382150000000001</v>
      </c>
      <c r="U2398">
        <v>-1.177979E-2</v>
      </c>
      <c r="V2398">
        <v>6.0672169999999997E-3</v>
      </c>
      <c r="W2398">
        <v>-7.1604749999999995E-2</v>
      </c>
      <c r="X2398">
        <v>0.99741460000000004</v>
      </c>
      <c r="Y2398">
        <v>1.0838520000000001E-2</v>
      </c>
      <c r="Z2398">
        <v>1.1653939999999999E-3</v>
      </c>
      <c r="AA2398">
        <v>0.99994059999999996</v>
      </c>
      <c r="AB2398">
        <v>41</v>
      </c>
      <c r="AC2398">
        <v>-16.908899999999999</v>
      </c>
      <c r="AD2398">
        <v>-1.1206358275099999</v>
      </c>
      <c r="AE2398">
        <v>-6.2100000000043502E-2</v>
      </c>
      <c r="AF2398">
        <v>0.187640064916622</v>
      </c>
      <c r="AG2398">
        <v>-1.1206358275099999</v>
      </c>
      <c r="AH2398">
        <v>16.8340235541331</v>
      </c>
      <c r="AI2398">
        <v>93.808307486870703</v>
      </c>
      <c r="AJ2398">
        <v>89.361380329685801</v>
      </c>
      <c r="AK2398">
        <v>16.872325935477001</v>
      </c>
      <c r="AL2398">
        <v>94.106164092853106</v>
      </c>
      <c r="AM2398">
        <v>89.651477289440905</v>
      </c>
      <c r="AN2398">
        <v>0.99999996781892297</v>
      </c>
    </row>
    <row r="2399" spans="1:40" x14ac:dyDescent="0.25">
      <c r="A2399" t="str">
        <f>"20190303154814176"</f>
        <v>20190303154814176</v>
      </c>
      <c r="B2399" t="str">
        <f>"1551599294163368"</f>
        <v>1551599294163368</v>
      </c>
      <c r="C2399" t="s">
        <v>40</v>
      </c>
      <c r="D2399">
        <v>5.2150809999999996</v>
      </c>
      <c r="E2399">
        <v>0.50212889999999999</v>
      </c>
      <c r="F2399" t="s">
        <v>54</v>
      </c>
      <c r="G2399">
        <v>-408.36660000000001</v>
      </c>
      <c r="H2399" s="1">
        <v>4.6776900000000003E-6</v>
      </c>
      <c r="I2399">
        <v>284.68549999999999</v>
      </c>
      <c r="J2399">
        <v>-390.77269999999999</v>
      </c>
      <c r="K2399">
        <v>1.1206469999999999</v>
      </c>
      <c r="L2399">
        <v>284.745</v>
      </c>
      <c r="M2399">
        <v>-0.99977320000000003</v>
      </c>
      <c r="N2399">
        <v>-1.5236339999999999E-2</v>
      </c>
      <c r="O2399">
        <v>-1.4874729999999999E-2</v>
      </c>
      <c r="P2399">
        <v>-0.99628119999999998</v>
      </c>
      <c r="Q2399">
        <v>-8.5752110000000006E-2</v>
      </c>
      <c r="R2399">
        <v>-8.3895989999999993E-3</v>
      </c>
      <c r="S2399">
        <v>-2.995117</v>
      </c>
      <c r="T2399">
        <v>-0.186195</v>
      </c>
      <c r="U2399">
        <v>-1.095581E-2</v>
      </c>
      <c r="V2399">
        <v>6.4409530000000001E-3</v>
      </c>
      <c r="W2399">
        <v>-7.0561490000000004E-2</v>
      </c>
      <c r="X2399">
        <v>0.99748669999999995</v>
      </c>
      <c r="Y2399">
        <v>1.117566E-2</v>
      </c>
      <c r="Z2399">
        <v>1.129571E-3</v>
      </c>
      <c r="AA2399">
        <v>0.99993690000000002</v>
      </c>
      <c r="AB2399">
        <v>41</v>
      </c>
      <c r="AC2399">
        <v>-17.593900000000001</v>
      </c>
      <c r="AD2399">
        <v>-1.1206423223099999</v>
      </c>
      <c r="AE2399">
        <v>-5.9500000000014097E-2</v>
      </c>
      <c r="AF2399">
        <v>0.20142431940958999</v>
      </c>
      <c r="AG2399">
        <v>-1.1206423223099999</v>
      </c>
      <c r="AH2399">
        <v>17.5217524758251</v>
      </c>
      <c r="AI2399">
        <v>93.6592525009045</v>
      </c>
      <c r="AJ2399">
        <v>89.341375522954195</v>
      </c>
      <c r="AK2399">
        <v>17.558707833866499</v>
      </c>
      <c r="AL2399">
        <v>94.046237717547896</v>
      </c>
      <c r="AM2399">
        <v>89.630035875151705</v>
      </c>
      <c r="AN2399">
        <v>1.0000000632117201</v>
      </c>
    </row>
    <row r="2400" spans="1:40" x14ac:dyDescent="0.25">
      <c r="A2400" t="str">
        <f>"20190303154814196"</f>
        <v>20190303154814196</v>
      </c>
      <c r="B2400" t="str">
        <f>"1551599294192649"</f>
        <v>1551599294192649</v>
      </c>
      <c r="C2400" t="s">
        <v>40</v>
      </c>
      <c r="D2400">
        <v>5.142436</v>
      </c>
      <c r="E2400">
        <v>0.50202769999999997</v>
      </c>
      <c r="F2400" t="s">
        <v>54</v>
      </c>
      <c r="G2400">
        <v>-409.5274</v>
      </c>
      <c r="H2400" s="1">
        <v>4.16176999999999E-6</v>
      </c>
      <c r="I2400">
        <v>284.69119999999998</v>
      </c>
      <c r="J2400">
        <v>-391.1644</v>
      </c>
      <c r="K2400">
        <v>1.1206480000000001</v>
      </c>
      <c r="L2400">
        <v>284.73919999999998</v>
      </c>
      <c r="M2400">
        <v>-0.99977260000000001</v>
      </c>
      <c r="N2400">
        <v>-1.5232040000000001E-2</v>
      </c>
      <c r="O2400">
        <v>-1.492798E-2</v>
      </c>
      <c r="P2400">
        <v>-0.99629659999999998</v>
      </c>
      <c r="Q2400">
        <v>-8.5572369999999995E-2</v>
      </c>
      <c r="R2400">
        <v>-8.4068739999999999E-3</v>
      </c>
      <c r="S2400">
        <v>-2.9957280000000002</v>
      </c>
      <c r="T2400">
        <v>-0.1790023</v>
      </c>
      <c r="U2400">
        <v>-8.6059569999999991E-3</v>
      </c>
      <c r="V2400">
        <v>6.4769110000000001E-3</v>
      </c>
      <c r="W2400">
        <v>-7.0385829999999996E-2</v>
      </c>
      <c r="X2400">
        <v>0.99749880000000002</v>
      </c>
      <c r="Y2400">
        <v>1.201556E-2</v>
      </c>
      <c r="Z2400">
        <v>1.1141829999999999E-3</v>
      </c>
      <c r="AA2400">
        <v>0.99992720000000002</v>
      </c>
      <c r="AB2400">
        <v>41</v>
      </c>
      <c r="AC2400">
        <v>-18.363</v>
      </c>
      <c r="AD2400">
        <v>-1.1206438382299999</v>
      </c>
      <c r="AE2400">
        <v>-4.8000000000001798E-2</v>
      </c>
      <c r="AF2400">
        <v>0.225320475419929</v>
      </c>
      <c r="AG2400">
        <v>-1.1206438382299999</v>
      </c>
      <c r="AH2400">
        <v>18.2935393109145</v>
      </c>
      <c r="AI2400">
        <v>93.505236064466501</v>
      </c>
      <c r="AJ2400">
        <v>89.294326850711002</v>
      </c>
      <c r="AK2400">
        <v>18.3292169076799</v>
      </c>
      <c r="AL2400">
        <v>94.036148368299607</v>
      </c>
      <c r="AM2400">
        <v>89.627975041773993</v>
      </c>
      <c r="AN2400">
        <v>0.999999985721165</v>
      </c>
    </row>
    <row r="2401" spans="1:40" x14ac:dyDescent="0.25">
      <c r="A2401" t="str">
        <f>"20190303154814219"</f>
        <v>20190303154814219</v>
      </c>
      <c r="B2401" t="str">
        <f>"1551599294213147"</f>
        <v>1551599294213147</v>
      </c>
      <c r="C2401" t="s">
        <v>40</v>
      </c>
      <c r="D2401">
        <v>5.1483569999999999</v>
      </c>
      <c r="E2401">
        <v>0.502197</v>
      </c>
      <c r="F2401" t="s">
        <v>54</v>
      </c>
      <c r="G2401">
        <v>-409.93049999999999</v>
      </c>
      <c r="H2401" s="1">
        <v>3.9852130000000001E-6</v>
      </c>
      <c r="I2401">
        <v>284.6807</v>
      </c>
      <c r="J2401">
        <v>-391.58839999999998</v>
      </c>
      <c r="K2401">
        <v>1.120652</v>
      </c>
      <c r="L2401">
        <v>284.7328</v>
      </c>
      <c r="M2401">
        <v>-0.99977179999999999</v>
      </c>
      <c r="N2401">
        <v>-1.522719E-2</v>
      </c>
      <c r="O2401">
        <v>-1.498551E-2</v>
      </c>
      <c r="P2401">
        <v>-0.99626020000000004</v>
      </c>
      <c r="Q2401">
        <v>-8.5979600000000003E-2</v>
      </c>
      <c r="R2401">
        <v>-8.5469959999999994E-3</v>
      </c>
      <c r="S2401">
        <v>-2.9956969999999998</v>
      </c>
      <c r="T2401">
        <v>-0.17889240000000001</v>
      </c>
      <c r="U2401">
        <v>-9.3383790000000008E-3</v>
      </c>
      <c r="V2401">
        <v>6.3934739999999997E-3</v>
      </c>
      <c r="W2401">
        <v>-7.0798390000000003E-2</v>
      </c>
      <c r="X2401">
        <v>0.99747010000000003</v>
      </c>
      <c r="Y2401">
        <v>1.1829009999999999E-2</v>
      </c>
      <c r="Z2401">
        <v>1.109042E-3</v>
      </c>
      <c r="AA2401">
        <v>0.99992939999999997</v>
      </c>
      <c r="AB2401">
        <v>41</v>
      </c>
      <c r="AC2401">
        <v>-18.342099999999999</v>
      </c>
      <c r="AD2401">
        <v>-1.1206480147869999</v>
      </c>
      <c r="AE2401">
        <v>-5.2099999999995802E-2</v>
      </c>
      <c r="AF2401">
        <v>0.221974842921215</v>
      </c>
      <c r="AG2401">
        <v>-1.1206480147869999</v>
      </c>
      <c r="AH2401">
        <v>18.2726124014467</v>
      </c>
      <c r="AI2401">
        <v>93.509260729175693</v>
      </c>
      <c r="AJ2401">
        <v>89.304007778834105</v>
      </c>
      <c r="AK2401">
        <v>18.308290165316901</v>
      </c>
      <c r="AL2401">
        <v>94.059845601273807</v>
      </c>
      <c r="AM2401">
        <v>89.632756851441002</v>
      </c>
      <c r="AN2401">
        <v>0.99999994446519302</v>
      </c>
    </row>
    <row r="2402" spans="1:40" x14ac:dyDescent="0.25">
      <c r="A2402" t="str">
        <f>"20190303154814233"</f>
        <v>20190303154814233</v>
      </c>
      <c r="B2402" t="str">
        <f>"1551599294222905"</f>
        <v>1551599294222905</v>
      </c>
      <c r="C2402" t="s">
        <v>40</v>
      </c>
      <c r="D2402">
        <v>5.1624990000000004</v>
      </c>
      <c r="E2402">
        <v>0.50224670000000005</v>
      </c>
      <c r="F2402" t="s">
        <v>54</v>
      </c>
      <c r="G2402">
        <v>-410.43060000000003</v>
      </c>
      <c r="H2402" s="1">
        <v>2.2766579999999998E-6</v>
      </c>
      <c r="I2402">
        <v>284.67899999999997</v>
      </c>
      <c r="J2402">
        <v>-391.84559999999999</v>
      </c>
      <c r="K2402">
        <v>1.1206529999999999</v>
      </c>
      <c r="L2402">
        <v>284.72890000000001</v>
      </c>
      <c r="M2402">
        <v>-0.99977139999999998</v>
      </c>
      <c r="N2402">
        <v>-1.522423E-2</v>
      </c>
      <c r="O2402">
        <v>-1.5020540000000001E-2</v>
      </c>
      <c r="P2402">
        <v>-0.99624170000000001</v>
      </c>
      <c r="Q2402">
        <v>-8.6196449999999994E-2</v>
      </c>
      <c r="R2402">
        <v>-8.5411059999999997E-3</v>
      </c>
      <c r="S2402">
        <v>-2.995819</v>
      </c>
      <c r="T2402">
        <v>-0.17817720000000001</v>
      </c>
      <c r="U2402">
        <v>-8.5449219999999999E-3</v>
      </c>
      <c r="V2402">
        <v>6.4340990000000004E-3</v>
      </c>
      <c r="W2402">
        <v>-7.1018449999999997E-2</v>
      </c>
      <c r="X2402">
        <v>0.99745419999999996</v>
      </c>
      <c r="Y2402">
        <v>1.212865E-2</v>
      </c>
      <c r="Z2402">
        <v>1.116775E-3</v>
      </c>
      <c r="AA2402">
        <v>0.99992579999999998</v>
      </c>
      <c r="AB2402">
        <v>41</v>
      </c>
      <c r="AC2402">
        <v>-18.585000000000001</v>
      </c>
      <c r="AD2402">
        <v>-1.120650723342</v>
      </c>
      <c r="AE2402">
        <v>-4.98999999999796E-2</v>
      </c>
      <c r="AF2402">
        <v>0.22846401600080599</v>
      </c>
      <c r="AG2402">
        <v>-1.120650723342</v>
      </c>
      <c r="AH2402">
        <v>18.516328889438601</v>
      </c>
      <c r="AI2402">
        <v>93.463184431373406</v>
      </c>
      <c r="AJ2402">
        <v>89.293090992513001</v>
      </c>
      <c r="AK2402">
        <v>18.551616894281501</v>
      </c>
      <c r="AL2402">
        <v>94.072485908624799</v>
      </c>
      <c r="AM2402">
        <v>89.630417512139203</v>
      </c>
      <c r="AN2402">
        <v>0.99999994948399096</v>
      </c>
    </row>
    <row r="2403" spans="1:40" x14ac:dyDescent="0.25">
      <c r="A2403" t="str">
        <f>"20190303154814253"</f>
        <v>20190303154814253</v>
      </c>
      <c r="B2403" t="str">
        <f>"1551599294243400"</f>
        <v>1551599294243400</v>
      </c>
      <c r="C2403" t="s">
        <v>40</v>
      </c>
      <c r="D2403">
        <v>5.1733510000000003</v>
      </c>
      <c r="E2403">
        <v>0.5023455</v>
      </c>
      <c r="F2403" t="s">
        <v>54</v>
      </c>
      <c r="G2403">
        <v>-410.61869999999999</v>
      </c>
      <c r="H2403" s="1">
        <v>2.3099429999999998E-6</v>
      </c>
      <c r="I2403">
        <v>284.67989999999998</v>
      </c>
      <c r="J2403">
        <v>-392.19349999999997</v>
      </c>
      <c r="K2403">
        <v>1.120655</v>
      </c>
      <c r="L2403">
        <v>284.72359999999998</v>
      </c>
      <c r="M2403">
        <v>-0.99977059999999995</v>
      </c>
      <c r="N2403">
        <v>-1.5220259999999999E-2</v>
      </c>
      <c r="O2403">
        <v>-1.5067469999999999E-2</v>
      </c>
      <c r="P2403">
        <v>-0.99622279999999996</v>
      </c>
      <c r="Q2403">
        <v>-8.6414050000000006E-2</v>
      </c>
      <c r="R2403">
        <v>-8.5368849999999993E-3</v>
      </c>
      <c r="S2403">
        <v>-2.9957280000000002</v>
      </c>
      <c r="T2403">
        <v>-0.17882819999999999</v>
      </c>
      <c r="U2403">
        <v>-7.8125E-3</v>
      </c>
      <c r="V2403">
        <v>6.4849089999999996E-3</v>
      </c>
      <c r="W2403">
        <v>-7.1240280000000003E-2</v>
      </c>
      <c r="X2403">
        <v>0.99743809999999999</v>
      </c>
      <c r="Y2403">
        <v>1.241895E-2</v>
      </c>
      <c r="Z2403">
        <v>1.134375E-3</v>
      </c>
      <c r="AA2403">
        <v>0.99992219999999998</v>
      </c>
      <c r="AB2403">
        <v>41</v>
      </c>
      <c r="AC2403">
        <v>-18.4252</v>
      </c>
      <c r="AD2403">
        <v>-1.120652690057</v>
      </c>
      <c r="AE2403">
        <v>-4.3700000000001099E-2</v>
      </c>
      <c r="AF2403">
        <v>0.233095997447029</v>
      </c>
      <c r="AG2403">
        <v>-1.120652690057</v>
      </c>
      <c r="AH2403">
        <v>18.355863230911801</v>
      </c>
      <c r="AI2403">
        <v>93.4933750978918</v>
      </c>
      <c r="AJ2403">
        <v>89.272455951029002</v>
      </c>
      <c r="AK2403">
        <v>18.391517369366198</v>
      </c>
      <c r="AL2403">
        <v>94.085227910568406</v>
      </c>
      <c r="AM2403">
        <v>89.627492993234796</v>
      </c>
      <c r="AN2403">
        <v>0.99999999743541301</v>
      </c>
    </row>
    <row r="2404" spans="1:40" x14ac:dyDescent="0.25">
      <c r="A2404" t="str">
        <f>"20190303154814275"</f>
        <v>20190303154814275</v>
      </c>
      <c r="B2404" t="str">
        <f>"1551599294262920"</f>
        <v>1551599294262920</v>
      </c>
      <c r="C2404" t="s">
        <v>40</v>
      </c>
      <c r="D2404">
        <v>5.1410450000000001</v>
      </c>
      <c r="E2404">
        <v>0.50248689999999996</v>
      </c>
      <c r="F2404" t="s">
        <v>54</v>
      </c>
      <c r="G2404">
        <v>-411.02460000000002</v>
      </c>
      <c r="H2404" s="1">
        <v>2.382024E-6</v>
      </c>
      <c r="I2404">
        <v>284.6789</v>
      </c>
      <c r="J2404">
        <v>-392.60789999999997</v>
      </c>
      <c r="K2404">
        <v>1.1206529999999999</v>
      </c>
      <c r="L2404">
        <v>284.71730000000002</v>
      </c>
      <c r="M2404">
        <v>-0.99976989999999999</v>
      </c>
      <c r="N2404">
        <v>-1.5215589999999999E-2</v>
      </c>
      <c r="O2404">
        <v>-1.512381E-2</v>
      </c>
      <c r="P2404">
        <v>-0.99623479999999998</v>
      </c>
      <c r="Q2404">
        <v>-8.6313260000000003E-2</v>
      </c>
      <c r="R2404">
        <v>-8.1331909999999997E-3</v>
      </c>
      <c r="S2404">
        <v>-2.9958800000000001</v>
      </c>
      <c r="T2404">
        <v>-0.1782871</v>
      </c>
      <c r="U2404">
        <v>-7.1105959999999899E-3</v>
      </c>
      <c r="V2404">
        <v>6.9447479999999997E-3</v>
      </c>
      <c r="W2404">
        <v>-7.1144009999999994E-2</v>
      </c>
      <c r="X2404">
        <v>0.99744189999999999</v>
      </c>
      <c r="Y2404">
        <v>1.270928E-2</v>
      </c>
      <c r="Z2404">
        <v>1.1438539999999999E-3</v>
      </c>
      <c r="AA2404">
        <v>0.99991859999999999</v>
      </c>
      <c r="AB2404">
        <v>41</v>
      </c>
      <c r="AC2404">
        <v>-18.416699999999999</v>
      </c>
      <c r="AD2404">
        <v>-1.1206506179760001</v>
      </c>
      <c r="AE2404">
        <v>-3.8400000000024102E-2</v>
      </c>
      <c r="AF2404">
        <v>0.23928131887076901</v>
      </c>
      <c r="AG2404">
        <v>-1.1206506179760001</v>
      </c>
      <c r="AH2404">
        <v>18.347240223313801</v>
      </c>
      <c r="AI2404">
        <v>93.494991039839704</v>
      </c>
      <c r="AJ2404">
        <v>89.252801385691896</v>
      </c>
      <c r="AK2404">
        <v>18.382990430534299</v>
      </c>
      <c r="AL2404">
        <v>94.079697914925703</v>
      </c>
      <c r="AM2404">
        <v>89.601081205235104</v>
      </c>
      <c r="AN2404">
        <v>1.0000000217796301</v>
      </c>
    </row>
    <row r="2405" spans="1:40" x14ac:dyDescent="0.25">
      <c r="A2405" t="str">
        <f>"20190303154814297"</f>
        <v>20190303154814297</v>
      </c>
      <c r="B2405" t="str">
        <f>"1551599294293177"</f>
        <v>1551599294293177</v>
      </c>
      <c r="C2405" t="s">
        <v>40</v>
      </c>
      <c r="D2405">
        <v>5.1349830000000001</v>
      </c>
      <c r="E2405">
        <v>0.50269520000000001</v>
      </c>
      <c r="F2405" t="s">
        <v>54</v>
      </c>
      <c r="G2405">
        <v>-411.51429999999999</v>
      </c>
      <c r="H2405" s="1">
        <v>2.4681760000000001E-6</v>
      </c>
      <c r="I2405">
        <v>284.68709999999999</v>
      </c>
      <c r="J2405">
        <v>-393.0111</v>
      </c>
      <c r="K2405">
        <v>1.120654</v>
      </c>
      <c r="L2405">
        <v>284.71120000000002</v>
      </c>
      <c r="M2405">
        <v>-0.99976920000000002</v>
      </c>
      <c r="N2405">
        <v>-1.521105E-2</v>
      </c>
      <c r="O2405">
        <v>-1.517814E-2</v>
      </c>
      <c r="P2405">
        <v>-0.99624740000000001</v>
      </c>
      <c r="Q2405">
        <v>-8.6199979999999995E-2</v>
      </c>
      <c r="R2405">
        <v>-7.8156800000000002E-3</v>
      </c>
      <c r="S2405">
        <v>-2.995911</v>
      </c>
      <c r="T2405">
        <v>-0.1775786</v>
      </c>
      <c r="U2405">
        <v>-4.7912600000000003E-3</v>
      </c>
      <c r="V2405">
        <v>7.3165649999999997E-3</v>
      </c>
      <c r="W2405">
        <v>-7.1035130000000002E-2</v>
      </c>
      <c r="X2405">
        <v>0.99744699999999997</v>
      </c>
      <c r="Y2405">
        <v>1.353621E-2</v>
      </c>
      <c r="Z2405">
        <v>1.1719879999999999E-3</v>
      </c>
      <c r="AA2405">
        <v>0.99990769999999995</v>
      </c>
      <c r="AB2405">
        <v>41</v>
      </c>
      <c r="AC2405">
        <v>-18.5032</v>
      </c>
      <c r="AD2405">
        <v>-1.120651531824</v>
      </c>
      <c r="AE2405">
        <v>-2.4100000000032599E-2</v>
      </c>
      <c r="AF2405">
        <v>0.25584094175917199</v>
      </c>
      <c r="AG2405">
        <v>-1.120651531824</v>
      </c>
      <c r="AH2405">
        <v>18.433815923569899</v>
      </c>
      <c r="AI2405">
        <v>93.478580711459699</v>
      </c>
      <c r="AJ2405">
        <v>89.204849112037493</v>
      </c>
      <c r="AK2405">
        <v>18.469620568580101</v>
      </c>
      <c r="AL2405">
        <v>94.073443735113102</v>
      </c>
      <c r="AM2405">
        <v>89.579726264589198</v>
      </c>
      <c r="AN2405">
        <v>1.0000000198132499</v>
      </c>
    </row>
    <row r="2406" spans="1:40" x14ac:dyDescent="0.25">
      <c r="A2406" t="str">
        <f>"20190303154814319"</f>
        <v>20190303154814319</v>
      </c>
      <c r="B2406" t="str">
        <f>"1551599294312697"</f>
        <v>1551599294312697</v>
      </c>
      <c r="C2406" t="s">
        <v>40</v>
      </c>
      <c r="D2406">
        <v>5.1468099999999897</v>
      </c>
      <c r="E2406">
        <v>0.50292409999999999</v>
      </c>
      <c r="F2406" t="s">
        <v>54</v>
      </c>
      <c r="G2406">
        <v>-411.99029999999999</v>
      </c>
      <c r="H2406" s="1">
        <v>2.5517329999999999E-6</v>
      </c>
      <c r="I2406">
        <v>284.69709999999998</v>
      </c>
      <c r="J2406">
        <v>-393.42860000000002</v>
      </c>
      <c r="K2406">
        <v>1.120654</v>
      </c>
      <c r="L2406">
        <v>284.70479999999998</v>
      </c>
      <c r="M2406">
        <v>-0.99976830000000005</v>
      </c>
      <c r="N2406">
        <v>-1.5206310000000001E-2</v>
      </c>
      <c r="O2406">
        <v>-1.5235189999999999E-2</v>
      </c>
      <c r="P2406">
        <v>-0.99626420000000004</v>
      </c>
      <c r="Q2406">
        <v>-8.6038340000000005E-2</v>
      </c>
      <c r="R2406">
        <v>-7.4171109999999997E-3</v>
      </c>
      <c r="S2406">
        <v>-2.9959720000000001</v>
      </c>
      <c r="T2406">
        <v>-0.17690120000000001</v>
      </c>
      <c r="U2406">
        <v>-2.2277830000000001E-3</v>
      </c>
      <c r="V2406">
        <v>7.7722299999999998E-3</v>
      </c>
      <c r="W2406">
        <v>-7.0878029999999995E-2</v>
      </c>
      <c r="X2406">
        <v>0.99745470000000003</v>
      </c>
      <c r="Y2406">
        <v>1.444717E-2</v>
      </c>
      <c r="Z2406">
        <v>1.203357E-3</v>
      </c>
      <c r="AA2406">
        <v>0.99989490000000003</v>
      </c>
      <c r="AB2406">
        <v>41</v>
      </c>
      <c r="AC2406">
        <v>-18.561699999999899</v>
      </c>
      <c r="AD2406">
        <v>-1.120651448267</v>
      </c>
      <c r="AE2406">
        <v>-7.6999999999998103E-3</v>
      </c>
      <c r="AF2406">
        <v>0.27412541585004602</v>
      </c>
      <c r="AG2406">
        <v>-1.120651448267</v>
      </c>
      <c r="AH2406">
        <v>18.492256994127398</v>
      </c>
      <c r="AI2406">
        <v>93.467567065590998</v>
      </c>
      <c r="AJ2406">
        <v>89.150721348528506</v>
      </c>
      <c r="AK2406">
        <v>18.528210198207798</v>
      </c>
      <c r="AL2406">
        <v>94.064419941531398</v>
      </c>
      <c r="AM2406">
        <v>89.553556703783201</v>
      </c>
      <c r="AN2406">
        <v>0.99999999062397105</v>
      </c>
    </row>
    <row r="2407" spans="1:40" x14ac:dyDescent="0.25">
      <c r="A2407" t="str">
        <f>"20190303154814341"</f>
        <v>20190303154814341</v>
      </c>
      <c r="B2407" t="str">
        <f>"1551599294333196"</f>
        <v>1551599294333196</v>
      </c>
      <c r="C2407" t="s">
        <v>40</v>
      </c>
      <c r="D2407">
        <v>5.1372790000000004</v>
      </c>
      <c r="E2407">
        <v>0.50289470000000003</v>
      </c>
      <c r="F2407" t="s">
        <v>54</v>
      </c>
      <c r="G2407">
        <v>-412.53879999999998</v>
      </c>
      <c r="H2407" s="1">
        <v>2.647905E-6</v>
      </c>
      <c r="I2407">
        <v>284.71010000000001</v>
      </c>
      <c r="J2407">
        <v>-393.8227</v>
      </c>
      <c r="K2407">
        <v>1.1206529999999999</v>
      </c>
      <c r="L2407">
        <v>284.69880000000001</v>
      </c>
      <c r="M2407">
        <v>-0.99976759999999998</v>
      </c>
      <c r="N2407">
        <v>-1.520177E-2</v>
      </c>
      <c r="O2407">
        <v>-1.528904E-2</v>
      </c>
      <c r="P2407">
        <v>-0.99628969999999994</v>
      </c>
      <c r="Q2407">
        <v>-8.5697040000000002E-2</v>
      </c>
      <c r="R2407">
        <v>-7.9617219999999992E-3</v>
      </c>
      <c r="S2407">
        <v>-2.996124</v>
      </c>
      <c r="T2407">
        <v>-0.17569699999999999</v>
      </c>
      <c r="U2407">
        <v>8.2397459999999998E-4</v>
      </c>
      <c r="V2407">
        <v>7.281666E-3</v>
      </c>
      <c r="W2407">
        <v>-7.0540820000000004E-2</v>
      </c>
      <c r="X2407">
        <v>0.99748230000000004</v>
      </c>
      <c r="Y2407">
        <v>1.551779E-2</v>
      </c>
      <c r="Z2407">
        <v>1.2361679999999999E-3</v>
      </c>
      <c r="AA2407">
        <v>0.99987879999999996</v>
      </c>
      <c r="AB2407">
        <v>41</v>
      </c>
      <c r="AC2407">
        <v>-18.716099999999901</v>
      </c>
      <c r="AD2407">
        <v>-1.120650352095</v>
      </c>
      <c r="AE2407">
        <v>1.1300000000005601E-2</v>
      </c>
      <c r="AF2407">
        <v>0.29642021939333402</v>
      </c>
      <c r="AG2407">
        <v>-1.120650352095</v>
      </c>
      <c r="AH2407">
        <v>18.646886888261999</v>
      </c>
      <c r="AI2407">
        <v>93.438821584042998</v>
      </c>
      <c r="AJ2407">
        <v>89.089274404241706</v>
      </c>
      <c r="AK2407">
        <v>18.6828828819792</v>
      </c>
      <c r="AL2407">
        <v>94.045050774806995</v>
      </c>
      <c r="AM2407">
        <v>89.5817456422524</v>
      </c>
      <c r="AN2407">
        <v>0.99999998437964899</v>
      </c>
    </row>
    <row r="2408" spans="1:40" x14ac:dyDescent="0.25">
      <c r="A2408" t="str">
        <f>"20190303154814365"</f>
        <v>20190303154814365</v>
      </c>
      <c r="B2408" t="str">
        <f>"1551599294352713"</f>
        <v>1551599294352713</v>
      </c>
      <c r="C2408" t="s">
        <v>40</v>
      </c>
      <c r="D2408">
        <v>5.1493479999999998</v>
      </c>
      <c r="E2408">
        <v>0.50237419999999999</v>
      </c>
      <c r="F2408" t="s">
        <v>54</v>
      </c>
      <c r="G2408">
        <v>-413.18599999999998</v>
      </c>
      <c r="H2408" s="1">
        <v>2.7643139999999999E-6</v>
      </c>
      <c r="I2408">
        <v>284.69170000000003</v>
      </c>
      <c r="J2408">
        <v>-394.25130000000001</v>
      </c>
      <c r="K2408">
        <v>1.12066</v>
      </c>
      <c r="L2408">
        <v>284.69209999999998</v>
      </c>
      <c r="M2408">
        <v>-0.99976679999999996</v>
      </c>
      <c r="N2408">
        <v>-1.519679E-2</v>
      </c>
      <c r="O2408">
        <v>-1.534752E-2</v>
      </c>
      <c r="P2408">
        <v>-0.9962742</v>
      </c>
      <c r="Q2408">
        <v>-8.5835839999999997E-2</v>
      </c>
      <c r="R2408">
        <v>-8.3708069999999992E-3</v>
      </c>
      <c r="S2408">
        <v>-2.996216</v>
      </c>
      <c r="T2408">
        <v>-0.17340529999999901</v>
      </c>
      <c r="U2408">
        <v>-1.0986329999999999E-3</v>
      </c>
      <c r="V2408">
        <v>6.9305180000000001E-3</v>
      </c>
      <c r="W2408">
        <v>-7.0684780000000003E-2</v>
      </c>
      <c r="X2408">
        <v>0.99747459999999999</v>
      </c>
      <c r="Y2408">
        <v>1.493713E-2</v>
      </c>
      <c r="Z2408">
        <v>1.1998600000000001E-3</v>
      </c>
      <c r="AA2408">
        <v>0.99988770000000005</v>
      </c>
      <c r="AB2408">
        <v>41</v>
      </c>
      <c r="AC2408">
        <v>-18.9346999999999</v>
      </c>
      <c r="AD2408">
        <v>-1.1206572356860001</v>
      </c>
      <c r="AE2408">
        <v>-3.9999999995643499E-4</v>
      </c>
      <c r="AF2408">
        <v>0.28922115994339598</v>
      </c>
      <c r="AG2408">
        <v>-1.1206572356860001</v>
      </c>
      <c r="AH2408">
        <v>18.8663882695874</v>
      </c>
      <c r="AI2408">
        <v>93.398957707840594</v>
      </c>
      <c r="AJ2408">
        <v>89.121726234015199</v>
      </c>
      <c r="AK2408">
        <v>18.901855143294299</v>
      </c>
      <c r="AL2408">
        <v>94.053319758737899</v>
      </c>
      <c r="AM2408">
        <v>89.601911626106499</v>
      </c>
      <c r="AN2408">
        <v>0.99999997392427797</v>
      </c>
    </row>
    <row r="2409" spans="1:40" x14ac:dyDescent="0.25">
      <c r="A2409" t="str">
        <f>"20190303154814397"</f>
        <v>20190303154814397</v>
      </c>
      <c r="B2409" t="str">
        <f>"1551599294392729"</f>
        <v>1551599294392729</v>
      </c>
      <c r="C2409" t="s">
        <v>40</v>
      </c>
      <c r="D2409">
        <v>5.1197540000000004</v>
      </c>
      <c r="E2409">
        <v>0.50183299999999997</v>
      </c>
      <c r="F2409" t="s">
        <v>52</v>
      </c>
      <c r="G2409">
        <v>-446.62189999999998</v>
      </c>
      <c r="H2409" s="1">
        <v>1.9889780000000002E-6</v>
      </c>
      <c r="I2409">
        <v>284.57299999999998</v>
      </c>
      <c r="J2409">
        <v>-394.851</v>
      </c>
      <c r="K2409">
        <v>1.120665</v>
      </c>
      <c r="L2409">
        <v>284.68290000000002</v>
      </c>
      <c r="M2409">
        <v>-0.99976569999999998</v>
      </c>
      <c r="N2409">
        <v>-1.518981E-2</v>
      </c>
      <c r="O2409">
        <v>-1.542877E-2</v>
      </c>
      <c r="P2409">
        <v>-0.99630269999999999</v>
      </c>
      <c r="Q2409">
        <v>-8.5442959999999998E-2</v>
      </c>
      <c r="R2409">
        <v>-8.9921710000000002E-3</v>
      </c>
      <c r="S2409">
        <v>-3.0056150000000001</v>
      </c>
      <c r="T2409">
        <v>-6.4315919999999999E-2</v>
      </c>
      <c r="U2409">
        <v>-6.8359379999999997E-3</v>
      </c>
      <c r="V2409">
        <v>6.3906479999999996E-3</v>
      </c>
      <c r="W2409">
        <v>-7.0298390000000002E-2</v>
      </c>
      <c r="X2409">
        <v>0.99750550000000004</v>
      </c>
      <c r="Y2409">
        <v>1.315095E-2</v>
      </c>
      <c r="Z2409">
        <v>3.3632619999999998E-4</v>
      </c>
      <c r="AA2409">
        <v>0.99991350000000001</v>
      </c>
      <c r="AB2409">
        <v>41</v>
      </c>
      <c r="AC2409">
        <v>-51.770899999999898</v>
      </c>
      <c r="AD2409">
        <v>-1.1206630110219999</v>
      </c>
      <c r="AE2409">
        <v>-0.109900000000038</v>
      </c>
      <c r="AF2409">
        <v>0.68864378623023803</v>
      </c>
      <c r="AG2409">
        <v>-1.1206630110219999</v>
      </c>
      <c r="AH2409">
        <v>51.742187117522498</v>
      </c>
      <c r="AI2409">
        <v>91.240642186646298</v>
      </c>
      <c r="AJ2409">
        <v>89.237487719259803</v>
      </c>
      <c r="AK2409">
        <v>51.758903036611002</v>
      </c>
      <c r="AL2409">
        <v>94.031126075083705</v>
      </c>
      <c r="AM2409">
        <v>89.632932200124003</v>
      </c>
      <c r="AN2409">
        <v>0.99999996327435003</v>
      </c>
    </row>
    <row r="2410" spans="1:40" x14ac:dyDescent="0.25">
      <c r="A2410" t="str">
        <f>"20190303154814420"</f>
        <v>20190303154814420</v>
      </c>
      <c r="B2410" t="str">
        <f>"1551599294413226"</f>
        <v>1551599294413226</v>
      </c>
      <c r="C2410" t="s">
        <v>40</v>
      </c>
      <c r="D2410">
        <v>5.1223749999999999</v>
      </c>
      <c r="E2410">
        <v>0.50180990000000003</v>
      </c>
      <c r="F2410" t="s">
        <v>54</v>
      </c>
      <c r="G2410">
        <v>-439.11989999999997</v>
      </c>
      <c r="H2410" s="1">
        <v>6.2722709999999999E-6</v>
      </c>
      <c r="I2410">
        <v>284.49090000000001</v>
      </c>
      <c r="J2410">
        <v>-395.25880000000001</v>
      </c>
      <c r="K2410">
        <v>1.1206640000000001</v>
      </c>
      <c r="L2410">
        <v>284.67649999999998</v>
      </c>
      <c r="M2410">
        <v>-0.99976489999999996</v>
      </c>
      <c r="N2410">
        <v>-1.518502E-2</v>
      </c>
      <c r="O2410">
        <v>-1.548451E-2</v>
      </c>
      <c r="P2410">
        <v>-0.99628910000000004</v>
      </c>
      <c r="Q2410">
        <v>-8.5547869999999998E-2</v>
      </c>
      <c r="R2410">
        <v>-9.4670919999999999E-3</v>
      </c>
      <c r="S2410">
        <v>-3.0045169999999999</v>
      </c>
      <c r="T2410">
        <v>-7.6058749999999994E-2</v>
      </c>
      <c r="U2410">
        <v>-1.3031010000000001E-2</v>
      </c>
      <c r="V2410">
        <v>5.9709990000000003E-3</v>
      </c>
      <c r="W2410">
        <v>-7.0408230000000002E-2</v>
      </c>
      <c r="X2410">
        <v>0.99750039999999995</v>
      </c>
      <c r="Y2410">
        <v>1.114307E-2</v>
      </c>
      <c r="Z2410">
        <v>3.8241860000000003E-4</v>
      </c>
      <c r="AA2410">
        <v>0.99993779999999999</v>
      </c>
      <c r="AB2410">
        <v>41</v>
      </c>
      <c r="AC2410">
        <v>-43.861099999999901</v>
      </c>
      <c r="AD2410">
        <v>-1.120657727729</v>
      </c>
      <c r="AE2410">
        <v>-0.18559999999996499</v>
      </c>
      <c r="AF2410">
        <v>0.49334608811674102</v>
      </c>
      <c r="AG2410">
        <v>-1.120657727729</v>
      </c>
      <c r="AH2410">
        <v>43.830102213895003</v>
      </c>
      <c r="AI2410">
        <v>91.464539301517505</v>
      </c>
      <c r="AJ2410">
        <v>89.355113184623207</v>
      </c>
      <c r="AK2410">
        <v>43.847202010913598</v>
      </c>
      <c r="AL2410">
        <v>94.037434888269203</v>
      </c>
      <c r="AM2410">
        <v>89.657033765503499</v>
      </c>
      <c r="AN2410">
        <v>1.00000000984047</v>
      </c>
    </row>
    <row r="2411" spans="1:40" x14ac:dyDescent="0.25">
      <c r="A2411" t="str">
        <f>"20190303154814442"</f>
        <v>20190303154814442</v>
      </c>
      <c r="B2411" t="str">
        <f>"1551599294432745"</f>
        <v>1551599294432745</v>
      </c>
      <c r="C2411" t="s">
        <v>40</v>
      </c>
      <c r="D2411">
        <v>5.1483869999999996</v>
      </c>
      <c r="E2411">
        <v>0.50222749999999905</v>
      </c>
      <c r="F2411" t="s">
        <v>54</v>
      </c>
      <c r="G2411">
        <v>-439.40699999999998</v>
      </c>
      <c r="H2411" s="1">
        <v>6.4020179999999999E-6</v>
      </c>
      <c r="I2411">
        <v>284.4631</v>
      </c>
      <c r="J2411">
        <v>-395.65929999999997</v>
      </c>
      <c r="K2411">
        <v>1.1206640000000001</v>
      </c>
      <c r="L2411">
        <v>284.6703</v>
      </c>
      <c r="M2411">
        <v>-0.99976399999999999</v>
      </c>
      <c r="N2411">
        <v>-1.518035E-2</v>
      </c>
      <c r="O2411">
        <v>-1.5538710000000001E-2</v>
      </c>
      <c r="P2411">
        <v>-0.99628649999999996</v>
      </c>
      <c r="Q2411">
        <v>-8.552659E-2</v>
      </c>
      <c r="R2411">
        <v>-9.9391429999999992E-3</v>
      </c>
      <c r="S2411">
        <v>-3.004486</v>
      </c>
      <c r="T2411">
        <v>-7.6265689999999997E-2</v>
      </c>
      <c r="U2411">
        <v>-1.452637E-2</v>
      </c>
      <c r="V2411">
        <v>5.5530340000000001E-3</v>
      </c>
      <c r="W2411">
        <v>-7.0391599999999999E-2</v>
      </c>
      <c r="X2411">
        <v>0.99750399999999995</v>
      </c>
      <c r="Y2411">
        <v>1.0699749999999999E-2</v>
      </c>
      <c r="Z2411">
        <v>3.7548030000000002E-4</v>
      </c>
      <c r="AA2411">
        <v>0.99994269999999996</v>
      </c>
      <c r="AB2411">
        <v>41</v>
      </c>
      <c r="AC2411">
        <v>-43.747700000000002</v>
      </c>
      <c r="AD2411">
        <v>-1.1206575979819999</v>
      </c>
      <c r="AE2411">
        <v>-0.2072</v>
      </c>
      <c r="AF2411">
        <v>0.47237623542447399</v>
      </c>
      <c r="AG2411">
        <v>-1.1206575979819999</v>
      </c>
      <c r="AH2411">
        <v>43.716950614259801</v>
      </c>
      <c r="AI2411">
        <v>91.468335401529501</v>
      </c>
      <c r="AJ2411">
        <v>89.380924081108105</v>
      </c>
      <c r="AK2411">
        <v>43.733863124235199</v>
      </c>
      <c r="AL2411">
        <v>94.036479641212196</v>
      </c>
      <c r="AM2411">
        <v>89.681041755189995</v>
      </c>
      <c r="AN2411">
        <v>1.0000000217765801</v>
      </c>
    </row>
    <row r="2412" spans="1:40" x14ac:dyDescent="0.25">
      <c r="A2412" t="str">
        <f>"20190303154814464"</f>
        <v>20190303154814464</v>
      </c>
      <c r="B2412" t="str">
        <f>"1551599294453241"</f>
        <v>1551599294453241</v>
      </c>
      <c r="C2412" t="s">
        <v>40</v>
      </c>
      <c r="D2412">
        <v>5.2211959999999999</v>
      </c>
      <c r="E2412">
        <v>0.50253879999999995</v>
      </c>
      <c r="F2412" t="s">
        <v>52</v>
      </c>
      <c r="G2412">
        <v>-440.22460000000001</v>
      </c>
      <c r="H2412" s="1">
        <v>-1.4115519999999999E-6</v>
      </c>
      <c r="I2412">
        <v>284.48509999999999</v>
      </c>
      <c r="J2412">
        <v>-396.07100000000003</v>
      </c>
      <c r="K2412">
        <v>1.1206579999999999</v>
      </c>
      <c r="L2412">
        <v>284.66379999999998</v>
      </c>
      <c r="M2412">
        <v>-0.99976330000000002</v>
      </c>
      <c r="N2412">
        <v>-1.517554E-2</v>
      </c>
      <c r="O2412">
        <v>-1.559494E-2</v>
      </c>
      <c r="P2412">
        <v>-0.9962685</v>
      </c>
      <c r="Q2412">
        <v>-8.5735820000000004E-2</v>
      </c>
      <c r="R2412">
        <v>-9.9308929999999997E-3</v>
      </c>
      <c r="S2412">
        <v>-3.0046390000000001</v>
      </c>
      <c r="T2412">
        <v>-7.5556520000000002E-2</v>
      </c>
      <c r="U2412">
        <v>-1.248169E-2</v>
      </c>
      <c r="V2412">
        <v>5.6170119999999898E-3</v>
      </c>
      <c r="W2412">
        <v>-7.0605890000000004E-2</v>
      </c>
      <c r="X2412">
        <v>0.9974885</v>
      </c>
      <c r="Y2412">
        <v>1.1436429999999999E-2</v>
      </c>
      <c r="Z2412">
        <v>3.8598750000000002E-4</v>
      </c>
      <c r="AA2412">
        <v>0.99993460000000001</v>
      </c>
      <c r="AB2412">
        <v>41</v>
      </c>
      <c r="AC2412">
        <v>-44.153599999999997</v>
      </c>
      <c r="AD2412">
        <v>-1.1206594115520001</v>
      </c>
      <c r="AE2412">
        <v>-0.178699999999992</v>
      </c>
      <c r="AF2412">
        <v>0.50964542367568599</v>
      </c>
      <c r="AG2412">
        <v>-1.1206594115520001</v>
      </c>
      <c r="AH2412">
        <v>44.122593510731299</v>
      </c>
      <c r="AI2412">
        <v>91.454832266838494</v>
      </c>
      <c r="AJ2412">
        <v>89.338224909721205</v>
      </c>
      <c r="AK2412">
        <v>44.1397652246566</v>
      </c>
      <c r="AL2412">
        <v>94.048788165429997</v>
      </c>
      <c r="AM2412">
        <v>89.6773620153064</v>
      </c>
      <c r="AN2412">
        <v>1.0000000250793699</v>
      </c>
    </row>
    <row r="2413" spans="1:40" x14ac:dyDescent="0.25">
      <c r="A2413" t="str">
        <f>"20190303154814487"</f>
        <v>20190303154814487</v>
      </c>
      <c r="B2413" t="str">
        <f>"1551599294483498"</f>
        <v>1551599294483498</v>
      </c>
      <c r="C2413" t="s">
        <v>40</v>
      </c>
      <c r="D2413">
        <v>5.156847</v>
      </c>
      <c r="E2413">
        <v>0.50260340000000003</v>
      </c>
      <c r="F2413" t="s">
        <v>54</v>
      </c>
      <c r="G2413">
        <v>-439.40230000000003</v>
      </c>
      <c r="H2413" s="1">
        <v>6.3951640000000001E-6</v>
      </c>
      <c r="I2413">
        <v>284.51769999999999</v>
      </c>
      <c r="J2413">
        <v>-396.47559999999999</v>
      </c>
      <c r="K2413">
        <v>1.120665</v>
      </c>
      <c r="L2413">
        <v>284.65750000000003</v>
      </c>
      <c r="M2413">
        <v>-0.99976259999999995</v>
      </c>
      <c r="N2413">
        <v>-1.51708E-2</v>
      </c>
      <c r="O2413">
        <v>-1.5650089999999998E-2</v>
      </c>
      <c r="P2413">
        <v>-0.99624080000000004</v>
      </c>
      <c r="Q2413">
        <v>-8.6110160000000005E-2</v>
      </c>
      <c r="R2413">
        <v>-9.4694080000000003E-3</v>
      </c>
      <c r="S2413">
        <v>-3.0044559999999998</v>
      </c>
      <c r="T2413">
        <v>-7.7702399999999894E-2</v>
      </c>
      <c r="U2413">
        <v>-1.013184E-2</v>
      </c>
      <c r="V2413">
        <v>6.1330279999999996E-3</v>
      </c>
      <c r="W2413">
        <v>-7.0985389999999995E-2</v>
      </c>
      <c r="X2413">
        <v>0.99745850000000003</v>
      </c>
      <c r="Y2413">
        <v>1.227256E-2</v>
      </c>
      <c r="Z2413">
        <v>4.1902939999999999E-4</v>
      </c>
      <c r="AA2413">
        <v>0.99992460000000005</v>
      </c>
      <c r="AB2413">
        <v>41</v>
      </c>
      <c r="AC2413">
        <v>-42.926699999999997</v>
      </c>
      <c r="AD2413">
        <v>-1.1206586048360001</v>
      </c>
      <c r="AE2413">
        <v>-0.13980000000003601</v>
      </c>
      <c r="AF2413">
        <v>0.53173865614898397</v>
      </c>
      <c r="AG2413">
        <v>-1.1206586048360001</v>
      </c>
      <c r="AH2413">
        <v>42.894395728884597</v>
      </c>
      <c r="AI2413">
        <v>91.496453664677702</v>
      </c>
      <c r="AJ2413">
        <v>89.289771546716096</v>
      </c>
      <c r="AK2413">
        <v>42.912326977841602</v>
      </c>
      <c r="AL2413">
        <v>94.070586713715301</v>
      </c>
      <c r="AM2413">
        <v>89.647712469400005</v>
      </c>
      <c r="AN2413">
        <v>0.99999999942407503</v>
      </c>
    </row>
    <row r="2414" spans="1:40" x14ac:dyDescent="0.25">
      <c r="A2414" t="str">
        <f>"20190303154814509"</f>
        <v>20190303154814509</v>
      </c>
      <c r="B2414" t="str">
        <f>"1551599294503017"</f>
        <v>1551599294503017</v>
      </c>
      <c r="C2414" t="s">
        <v>40</v>
      </c>
      <c r="D2414">
        <v>5.2050409999999996</v>
      </c>
      <c r="E2414">
        <v>0.50280709999999995</v>
      </c>
      <c r="F2414" t="s">
        <v>54</v>
      </c>
      <c r="G2414">
        <v>-438.1037</v>
      </c>
      <c r="H2414" s="1">
        <v>5.8167660000000003E-6</v>
      </c>
      <c r="I2414">
        <v>284.5462</v>
      </c>
      <c r="J2414">
        <v>-396.88069999999999</v>
      </c>
      <c r="K2414">
        <v>1.1206640000000001</v>
      </c>
      <c r="L2414">
        <v>284.65109999999999</v>
      </c>
      <c r="M2414">
        <v>-0.99976169999999998</v>
      </c>
      <c r="N2414">
        <v>-1.516606E-2</v>
      </c>
      <c r="O2414">
        <v>-1.5705119999999999E-2</v>
      </c>
      <c r="P2414">
        <v>-0.99626820000000005</v>
      </c>
      <c r="Q2414">
        <v>-8.5812150000000004E-2</v>
      </c>
      <c r="R2414">
        <v>-9.2757359999999997E-3</v>
      </c>
      <c r="S2414">
        <v>-3.0042110000000002</v>
      </c>
      <c r="T2414">
        <v>-8.0875520000000006E-2</v>
      </c>
      <c r="U2414">
        <v>-8.0261229999999996E-3</v>
      </c>
      <c r="V2414">
        <v>6.3817980000000002E-3</v>
      </c>
      <c r="W2414">
        <v>-7.0691749999999998E-2</v>
      </c>
      <c r="X2414">
        <v>0.99747779999999997</v>
      </c>
      <c r="Y2414">
        <v>1.302712E-2</v>
      </c>
      <c r="Z2414">
        <v>4.5864920000000001E-4</v>
      </c>
      <c r="AA2414">
        <v>0.99991509999999995</v>
      </c>
      <c r="AB2414">
        <v>41</v>
      </c>
      <c r="AC2414">
        <v>-41.222999999999999</v>
      </c>
      <c r="AD2414">
        <v>-1.1206581832339999</v>
      </c>
      <c r="AE2414">
        <v>-0.104899999999986</v>
      </c>
      <c r="AF2414">
        <v>0.54219882948451303</v>
      </c>
      <c r="AG2414">
        <v>-1.1206581832339999</v>
      </c>
      <c r="AH2414">
        <v>41.189122175311603</v>
      </c>
      <c r="AI2414">
        <v>91.558362642195505</v>
      </c>
      <c r="AJ2414">
        <v>89.245822470540105</v>
      </c>
      <c r="AK2414">
        <v>41.207931759639301</v>
      </c>
      <c r="AL2414">
        <v>94.053719980865097</v>
      </c>
      <c r="AM2414">
        <v>89.633430335886899</v>
      </c>
      <c r="AN2414">
        <v>1.0000000061783001</v>
      </c>
    </row>
    <row r="2415" spans="1:40" x14ac:dyDescent="0.25">
      <c r="A2415" t="str">
        <f>"20190303154814532"</f>
        <v>20190303154814532</v>
      </c>
      <c r="B2415" t="str">
        <f>"1551599294523513"</f>
        <v>1551599294523513</v>
      </c>
      <c r="C2415" t="s">
        <v>40</v>
      </c>
      <c r="D2415">
        <v>5.1934259999999997</v>
      </c>
      <c r="E2415">
        <v>0.50296399999999997</v>
      </c>
      <c r="F2415" t="s">
        <v>54</v>
      </c>
      <c r="G2415">
        <v>-438.35359999999997</v>
      </c>
      <c r="H2415" s="1">
        <v>5.9253739999999998E-6</v>
      </c>
      <c r="I2415">
        <v>284.57139999999998</v>
      </c>
      <c r="J2415">
        <v>-397.28629999999998</v>
      </c>
      <c r="K2415">
        <v>1.1206670000000001</v>
      </c>
      <c r="L2415">
        <v>284.6447</v>
      </c>
      <c r="M2415">
        <v>-0.99976089999999995</v>
      </c>
      <c r="N2415">
        <v>-1.5161350000000001E-2</v>
      </c>
      <c r="O2415">
        <v>-1.5758939999999999E-2</v>
      </c>
      <c r="P2415">
        <v>-0.99631740000000002</v>
      </c>
      <c r="Q2415">
        <v>-8.5222060000000002E-2</v>
      </c>
      <c r="R2415">
        <v>-9.417333E-3</v>
      </c>
      <c r="S2415">
        <v>-3.0041500000000001</v>
      </c>
      <c r="T2415">
        <v>-8.1176520000000002E-2</v>
      </c>
      <c r="U2415">
        <v>-5.7678219999999997E-3</v>
      </c>
      <c r="V2415">
        <v>6.2942719999999897E-3</v>
      </c>
      <c r="W2415">
        <v>-7.0105680000000004E-2</v>
      </c>
      <c r="X2415">
        <v>0.99751970000000001</v>
      </c>
      <c r="Y2415">
        <v>1.383203E-2</v>
      </c>
      <c r="Z2415">
        <v>4.7854579999999998E-4</v>
      </c>
      <c r="AA2415">
        <v>0.99990420000000002</v>
      </c>
      <c r="AB2415">
        <v>41</v>
      </c>
      <c r="AC2415">
        <v>-41.067299999999904</v>
      </c>
      <c r="AD2415">
        <v>-1.120661074626</v>
      </c>
      <c r="AE2415">
        <v>-7.3300000000017407E-2</v>
      </c>
      <c r="AF2415">
        <v>0.57353350978452999</v>
      </c>
      <c r="AG2415">
        <v>-1.120661074626</v>
      </c>
      <c r="AH2415">
        <v>41.032799097978902</v>
      </c>
      <c r="AI2415">
        <v>91.564283378374995</v>
      </c>
      <c r="AJ2415">
        <v>89.199203795872705</v>
      </c>
      <c r="AK2415">
        <v>41.052106203532702</v>
      </c>
      <c r="AL2415">
        <v>94.020057196229899</v>
      </c>
      <c r="AM2415">
        <v>89.638472869682005</v>
      </c>
      <c r="AN2415">
        <v>0.99999998805818102</v>
      </c>
    </row>
    <row r="2416" spans="1:40" x14ac:dyDescent="0.25">
      <c r="A2416" t="str">
        <f>"20190303154814554"</f>
        <v>20190303154814554</v>
      </c>
      <c r="B2416" t="str">
        <f>"1551599294543033"</f>
        <v>1551599294543033</v>
      </c>
      <c r="C2416" t="s">
        <v>40</v>
      </c>
      <c r="D2416">
        <v>5.1873379999999996</v>
      </c>
      <c r="E2416">
        <v>0.50300159999999905</v>
      </c>
      <c r="F2416" t="s">
        <v>54</v>
      </c>
      <c r="G2416">
        <v>-439.3664</v>
      </c>
      <c r="H2416" s="1">
        <v>6.3737810000000004E-6</v>
      </c>
      <c r="I2416">
        <v>284.58010000000002</v>
      </c>
      <c r="J2416">
        <v>-397.69729999999998</v>
      </c>
      <c r="K2416">
        <v>1.1206659999999999</v>
      </c>
      <c r="L2416">
        <v>284.63819999999998</v>
      </c>
      <c r="M2416">
        <v>-0.99976030000000005</v>
      </c>
      <c r="N2416">
        <v>-1.5156579999999999E-2</v>
      </c>
      <c r="O2416">
        <v>-1.5808920000000001E-2</v>
      </c>
      <c r="P2416">
        <v>-0.99632259999999995</v>
      </c>
      <c r="Q2416">
        <v>-8.5223049999999995E-2</v>
      </c>
      <c r="R2416">
        <v>-8.8803189999999994E-3</v>
      </c>
      <c r="S2416">
        <v>-3.0042110000000002</v>
      </c>
      <c r="T2416">
        <v>-8.0006960000000002E-2</v>
      </c>
      <c r="U2416">
        <v>-4.6081539999999997E-3</v>
      </c>
      <c r="V2416">
        <v>6.8808769999999997E-3</v>
      </c>
      <c r="W2416">
        <v>-7.0111469999999995E-2</v>
      </c>
      <c r="X2416">
        <v>0.99751540000000005</v>
      </c>
      <c r="Y2416">
        <v>1.4268029999999999E-2</v>
      </c>
      <c r="Z2416">
        <v>4.7943479999999999E-4</v>
      </c>
      <c r="AA2416">
        <v>0.99989810000000001</v>
      </c>
      <c r="AB2416">
        <v>40</v>
      </c>
      <c r="AC2416">
        <v>-41.6691</v>
      </c>
      <c r="AD2416">
        <v>-1.1206596262189901</v>
      </c>
      <c r="AE2416">
        <v>-5.8099999999967601E-2</v>
      </c>
      <c r="AF2416">
        <v>0.60029211719732201</v>
      </c>
      <c r="AG2416">
        <v>-1.1206596262189901</v>
      </c>
      <c r="AH2416">
        <v>41.634695703243302</v>
      </c>
      <c r="AI2416">
        <v>91.541668505823793</v>
      </c>
      <c r="AJ2416">
        <v>89.173962455884094</v>
      </c>
      <c r="AK2416">
        <v>41.654100817632298</v>
      </c>
      <c r="AL2416">
        <v>94.020389833993903</v>
      </c>
      <c r="AM2416">
        <v>89.604779075537493</v>
      </c>
      <c r="AN2416">
        <v>0.99999996896550403</v>
      </c>
    </row>
    <row r="2417" spans="1:40" x14ac:dyDescent="0.25">
      <c r="A2417" t="str">
        <f>"20190303154814577"</f>
        <v>20190303154814577</v>
      </c>
      <c r="B2417" t="str">
        <f>"1551599294573289"</f>
        <v>1551599294573289</v>
      </c>
      <c r="C2417" t="s">
        <v>40</v>
      </c>
      <c r="D2417">
        <v>5.237527</v>
      </c>
      <c r="E2417">
        <v>0.50304159999999998</v>
      </c>
      <c r="F2417" t="s">
        <v>54</v>
      </c>
      <c r="G2417">
        <v>-438.91969999999998</v>
      </c>
      <c r="H2417" s="1">
        <v>6.1741639999999898E-6</v>
      </c>
      <c r="I2417">
        <v>284.59750000000003</v>
      </c>
      <c r="J2417">
        <v>-398.10059999999999</v>
      </c>
      <c r="K2417">
        <v>1.12066</v>
      </c>
      <c r="L2417">
        <v>284.63170000000002</v>
      </c>
      <c r="M2417">
        <v>-0.99975970000000003</v>
      </c>
      <c r="N2417">
        <v>-1.5151909999999999E-2</v>
      </c>
      <c r="O2417">
        <v>-1.5848230000000001E-2</v>
      </c>
      <c r="P2417">
        <v>-0.99630059999999998</v>
      </c>
      <c r="Q2417">
        <v>-8.5525399999999904E-2</v>
      </c>
      <c r="R2417">
        <v>-8.4221790000000001E-3</v>
      </c>
      <c r="S2417">
        <v>-3.0040589999999998</v>
      </c>
      <c r="T2417">
        <v>-8.1667420000000004E-2</v>
      </c>
      <c r="U2417">
        <v>-2.960205E-3</v>
      </c>
      <c r="V2417">
        <v>7.3767219999999996E-3</v>
      </c>
      <c r="W2417">
        <v>-7.0418919999999996E-2</v>
      </c>
      <c r="X2417">
        <v>0.99749019999999999</v>
      </c>
      <c r="Y2417">
        <v>1.485507E-2</v>
      </c>
      <c r="Z2417">
        <v>5.0508370000000005E-4</v>
      </c>
      <c r="AA2417">
        <v>0.99988960000000005</v>
      </c>
      <c r="AB2417">
        <v>40</v>
      </c>
      <c r="AC2417">
        <v>-40.819099999999899</v>
      </c>
      <c r="AD2417">
        <v>-1.1206538258359999</v>
      </c>
      <c r="AE2417">
        <v>-3.4199999999998398E-2</v>
      </c>
      <c r="AF2417">
        <v>0.61232745741002004</v>
      </c>
      <c r="AG2417">
        <v>-1.1206538258359999</v>
      </c>
      <c r="AH2417">
        <v>40.783774426092101</v>
      </c>
      <c r="AI2417">
        <v>91.573796257503403</v>
      </c>
      <c r="AJ2417">
        <v>89.139825981204098</v>
      </c>
      <c r="AK2417">
        <v>40.803762894503002</v>
      </c>
      <c r="AL2417">
        <v>94.038049066527904</v>
      </c>
      <c r="AM2417">
        <v>89.576289238266398</v>
      </c>
      <c r="AN2417">
        <v>0.99999996970873495</v>
      </c>
    </row>
    <row r="2418" spans="1:40" x14ac:dyDescent="0.25">
      <c r="A2418" t="str">
        <f>"20190303154814600"</f>
        <v>20190303154814600</v>
      </c>
      <c r="B2418" t="str">
        <f>"1551599294592809"</f>
        <v>1551599294592809</v>
      </c>
      <c r="C2418" t="s">
        <v>40</v>
      </c>
      <c r="D2418">
        <v>5.2758469999999997</v>
      </c>
      <c r="E2418">
        <v>0.50300920000000005</v>
      </c>
      <c r="F2418" t="s">
        <v>54</v>
      </c>
      <c r="G2418">
        <v>-437.52659999999997</v>
      </c>
      <c r="H2418" s="1">
        <v>5.5548249999999998E-6</v>
      </c>
      <c r="I2418">
        <v>284.61489999999998</v>
      </c>
      <c r="J2418">
        <v>-398.5095</v>
      </c>
      <c r="K2418">
        <v>1.1206469999999999</v>
      </c>
      <c r="L2418">
        <v>284.62520000000001</v>
      </c>
      <c r="M2418">
        <v>-0.99975930000000002</v>
      </c>
      <c r="N2418">
        <v>-1.514717E-2</v>
      </c>
      <c r="O2418">
        <v>-1.5878070000000001E-2</v>
      </c>
      <c r="P2418">
        <v>-0.99631769999999997</v>
      </c>
      <c r="Q2418">
        <v>-8.5346859999999997E-2</v>
      </c>
      <c r="R2418">
        <v>-8.1886300000000006E-3</v>
      </c>
      <c r="S2418">
        <v>-3.0038149999999999</v>
      </c>
      <c r="T2418">
        <v>-8.5381390000000001E-2</v>
      </c>
      <c r="U2418">
        <v>-1.2817379999999999E-3</v>
      </c>
      <c r="V2418">
        <v>7.6386300000000004E-3</v>
      </c>
      <c r="W2418">
        <v>-7.0245109999999999E-2</v>
      </c>
      <c r="X2418">
        <v>0.99750050000000001</v>
      </c>
      <c r="Y2418">
        <v>1.5442279999999999E-2</v>
      </c>
      <c r="Z2418">
        <v>5.471311E-4</v>
      </c>
      <c r="AA2418">
        <v>0.99988060000000001</v>
      </c>
      <c r="AB2418">
        <v>40</v>
      </c>
      <c r="AC2418">
        <v>-39.0170999999999</v>
      </c>
      <c r="AD2418">
        <v>-1.120641445175</v>
      </c>
      <c r="AE2418">
        <v>-1.0300000000029201E-2</v>
      </c>
      <c r="AF2418">
        <v>0.608786348140258</v>
      </c>
      <c r="AG2418">
        <v>-1.120641445175</v>
      </c>
      <c r="AH2418">
        <v>38.980187374463299</v>
      </c>
      <c r="AI2418">
        <v>91.646542154140704</v>
      </c>
      <c r="AJ2418">
        <v>89.105236400216796</v>
      </c>
      <c r="AK2418">
        <v>39.001044419535603</v>
      </c>
      <c r="AL2418">
        <v>94.028065699482099</v>
      </c>
      <c r="AM2418">
        <v>89.561250640443106</v>
      </c>
      <c r="AN2418">
        <v>0.99999998582371896</v>
      </c>
    </row>
    <row r="2419" spans="1:40" x14ac:dyDescent="0.25">
      <c r="A2419" t="str">
        <f>"20190303154814624"</f>
        <v>20190303154814624</v>
      </c>
      <c r="B2419" t="str">
        <f>"1551599294613305"</f>
        <v>1551599294613305</v>
      </c>
      <c r="C2419" t="s">
        <v>40</v>
      </c>
      <c r="D2419">
        <v>5.2834979999999998</v>
      </c>
      <c r="E2419">
        <v>0.50303140000000002</v>
      </c>
      <c r="F2419" t="s">
        <v>54</v>
      </c>
      <c r="G2419">
        <v>-437.18329999999997</v>
      </c>
      <c r="H2419" s="1">
        <v>5.4026509999999899E-6</v>
      </c>
      <c r="I2419">
        <v>284.6146</v>
      </c>
      <c r="J2419">
        <v>-398.91219999999998</v>
      </c>
      <c r="K2419">
        <v>1.120635</v>
      </c>
      <c r="L2419">
        <v>284.61880000000002</v>
      </c>
      <c r="M2419">
        <v>-0.99975899999999995</v>
      </c>
      <c r="N2419">
        <v>-1.51425E-2</v>
      </c>
      <c r="O2419">
        <v>-1.589778E-2</v>
      </c>
      <c r="P2419">
        <v>-0.99627330000000003</v>
      </c>
      <c r="Q2419">
        <v>-8.5905629999999997E-2</v>
      </c>
      <c r="R2419">
        <v>-7.7349899999999997E-3</v>
      </c>
      <c r="S2419">
        <v>-3.0036320000000001</v>
      </c>
      <c r="T2419">
        <v>-8.7035420000000002E-2</v>
      </c>
      <c r="U2419">
        <v>-8.2397459999999998E-4</v>
      </c>
      <c r="V2419">
        <v>8.1095939999999995E-3</v>
      </c>
      <c r="W2419">
        <v>-7.080939E-2</v>
      </c>
      <c r="X2419">
        <v>0.99745689999999998</v>
      </c>
      <c r="Y2419">
        <v>1.5613810000000001E-2</v>
      </c>
      <c r="Z2419">
        <v>5.6425639999999999E-4</v>
      </c>
      <c r="AA2419">
        <v>0.99987789999999999</v>
      </c>
      <c r="AB2419">
        <v>40</v>
      </c>
      <c r="AC2419">
        <v>-38.271099999999898</v>
      </c>
      <c r="AD2419">
        <v>-1.1206295973489999</v>
      </c>
      <c r="AE2419">
        <v>-4.20000000002573E-3</v>
      </c>
      <c r="AF2419">
        <v>0.603778119451017</v>
      </c>
      <c r="AG2419">
        <v>-1.1206295973489999</v>
      </c>
      <c r="AH2419">
        <v>38.233547702798099</v>
      </c>
      <c r="AI2419">
        <v>91.6786559307224</v>
      </c>
      <c r="AJ2419">
        <v>89.095269343005896</v>
      </c>
      <c r="AK2419">
        <v>38.254732107990499</v>
      </c>
      <c r="AL2419">
        <v>94.060477209506899</v>
      </c>
      <c r="AM2419">
        <v>89.534180101133998</v>
      </c>
      <c r="AN2419">
        <v>1.00000000129231</v>
      </c>
    </row>
    <row r="2420" spans="1:40" x14ac:dyDescent="0.25">
      <c r="A2420" t="str">
        <f>"20190303154814645"</f>
        <v>20190303154814645</v>
      </c>
      <c r="B2420" t="str">
        <f>"1551599294632825"</f>
        <v>1551599294632825</v>
      </c>
      <c r="C2420" t="s">
        <v>40</v>
      </c>
      <c r="D2420">
        <v>5.2530659999999996</v>
      </c>
      <c r="E2420">
        <v>0.50295649999999903</v>
      </c>
      <c r="F2420" t="s">
        <v>54</v>
      </c>
      <c r="G2420">
        <v>-436.34750000000003</v>
      </c>
      <c r="H2420" s="1">
        <v>5.0306109999999998E-6</v>
      </c>
      <c r="I2420">
        <v>284.63060000000002</v>
      </c>
      <c r="J2420">
        <v>-399.32639999999998</v>
      </c>
      <c r="K2420">
        <v>1.1206320000000001</v>
      </c>
      <c r="L2420">
        <v>284.61219999999997</v>
      </c>
      <c r="M2420">
        <v>-0.99975890000000001</v>
      </c>
      <c r="N2420">
        <v>-1.513815E-2</v>
      </c>
      <c r="O2420">
        <v>-1.5911660000000001E-2</v>
      </c>
      <c r="P2420">
        <v>-0.99626020000000004</v>
      </c>
      <c r="Q2420">
        <v>-8.6062250000000007E-2</v>
      </c>
      <c r="R2420">
        <v>-7.7032309999999996E-3</v>
      </c>
      <c r="S2420">
        <v>-3.0035099999999999</v>
      </c>
      <c r="T2420">
        <v>-8.991027E-2</v>
      </c>
      <c r="U2420">
        <v>9.4604490000000003E-4</v>
      </c>
      <c r="V2420">
        <v>8.1536990000000004E-3</v>
      </c>
      <c r="W2420">
        <v>-7.097067E-2</v>
      </c>
      <c r="X2420">
        <v>0.99744509999999997</v>
      </c>
      <c r="Y2420">
        <v>1.6215750000000001E-2</v>
      </c>
      <c r="Z2420">
        <v>6.0076949999999997E-4</v>
      </c>
      <c r="AA2420">
        <v>0.99986830000000004</v>
      </c>
      <c r="AB2420">
        <v>40</v>
      </c>
      <c r="AC2420">
        <v>-37.021099999999997</v>
      </c>
      <c r="AD2420">
        <v>-1.1206269693889901</v>
      </c>
      <c r="AE2420">
        <v>1.8400000000042299E-2</v>
      </c>
      <c r="AF2420">
        <v>0.60697612043204496</v>
      </c>
      <c r="AG2420">
        <v>-1.1206269693889901</v>
      </c>
      <c r="AH2420">
        <v>36.982233598121098</v>
      </c>
      <c r="AI2420">
        <v>91.735398608718299</v>
      </c>
      <c r="AJ2420">
        <v>89.059709368802601</v>
      </c>
      <c r="AK2420">
        <v>37.004186610724098</v>
      </c>
      <c r="AL2420">
        <v>94.069741090555397</v>
      </c>
      <c r="AM2420">
        <v>89.531641255792906</v>
      </c>
      <c r="AN2420">
        <v>1.0000000231608199</v>
      </c>
    </row>
    <row r="2421" spans="1:40" x14ac:dyDescent="0.25">
      <c r="A2421" t="str">
        <f>"20190303154814666"</f>
        <v>20190303154814666</v>
      </c>
      <c r="B2421" t="str">
        <f>"1551599294663081"</f>
        <v>1551599294663081</v>
      </c>
      <c r="C2421" t="s">
        <v>40</v>
      </c>
      <c r="D2421">
        <v>5.2934929999999998</v>
      </c>
      <c r="E2421">
        <v>0.50281690000000001</v>
      </c>
      <c r="F2421" t="s">
        <v>54</v>
      </c>
      <c r="G2421">
        <v>-436.20060000000001</v>
      </c>
      <c r="H2421" s="1">
        <v>4.9662720000000003E-6</v>
      </c>
      <c r="I2421">
        <v>284.62119999999999</v>
      </c>
      <c r="J2421">
        <v>-399.7045</v>
      </c>
      <c r="K2421">
        <v>1.1206229999999999</v>
      </c>
      <c r="L2421">
        <v>284.6062</v>
      </c>
      <c r="M2421">
        <v>-0.99975879999999995</v>
      </c>
      <c r="N2421">
        <v>-1.513393E-2</v>
      </c>
      <c r="O2421">
        <v>-1.59188E-2</v>
      </c>
      <c r="P2421">
        <v>-0.99629259999999997</v>
      </c>
      <c r="Q2421">
        <v>-8.5714579999999999E-2</v>
      </c>
      <c r="R2421">
        <v>-7.3668919999999999E-3</v>
      </c>
      <c r="S2421">
        <v>-3.003387</v>
      </c>
      <c r="T2421">
        <v>-9.1274499999999995E-2</v>
      </c>
      <c r="U2421">
        <v>7.3242190000000001E-4</v>
      </c>
      <c r="V2421">
        <v>8.4967059999999997E-3</v>
      </c>
      <c r="W2421">
        <v>-7.0626969999999997E-2</v>
      </c>
      <c r="X2421">
        <v>0.99746659999999998</v>
      </c>
      <c r="Y2421">
        <v>1.6151430000000001E-2</v>
      </c>
      <c r="Z2421">
        <v>6.1038140000000004E-4</v>
      </c>
      <c r="AA2421">
        <v>0.99986929999999996</v>
      </c>
      <c r="AB2421">
        <v>40</v>
      </c>
      <c r="AC2421">
        <v>-36.496099999999998</v>
      </c>
      <c r="AD2421">
        <v>-1.1206180337279901</v>
      </c>
      <c r="AE2421">
        <v>1.49999999999863E-2</v>
      </c>
      <c r="AF2421">
        <v>0.59547730980497804</v>
      </c>
      <c r="AG2421">
        <v>-1.1206180337279901</v>
      </c>
      <c r="AH2421">
        <v>36.4568638921684</v>
      </c>
      <c r="AI2421">
        <v>91.760379574101904</v>
      </c>
      <c r="AJ2421">
        <v>89.064228259606494</v>
      </c>
      <c r="AK2421">
        <v>36.478943280420097</v>
      </c>
      <c r="AL2421">
        <v>94.049999123425295</v>
      </c>
      <c r="AM2421">
        <v>89.511949954817695</v>
      </c>
      <c r="AN2421">
        <v>0.99999999050989496</v>
      </c>
    </row>
    <row r="2422" spans="1:40" x14ac:dyDescent="0.25">
      <c r="A2422" t="str">
        <f>"20190303154814681"</f>
        <v>20190303154814681</v>
      </c>
      <c r="B2422" t="str">
        <f>"1551599294672842"</f>
        <v>1551599294672842</v>
      </c>
      <c r="C2422" t="s">
        <v>40</v>
      </c>
      <c r="D2422">
        <v>5.3014700000000001</v>
      </c>
      <c r="E2422">
        <v>0.50272090000000003</v>
      </c>
      <c r="F2422" t="s">
        <v>54</v>
      </c>
      <c r="G2422">
        <v>-436.1902</v>
      </c>
      <c r="H2422" s="1">
        <v>4.9621880000000002E-6</v>
      </c>
      <c r="I2422">
        <v>284.61509999999998</v>
      </c>
      <c r="J2422">
        <v>-399.96820000000002</v>
      </c>
      <c r="K2422">
        <v>1.120622</v>
      </c>
      <c r="L2422">
        <v>284.60199999999998</v>
      </c>
      <c r="M2422">
        <v>-0.99975879999999995</v>
      </c>
      <c r="N2422">
        <v>-1.5130879999999999E-2</v>
      </c>
      <c r="O2422">
        <v>-1.5921459999999998E-2</v>
      </c>
      <c r="P2422">
        <v>-0.99630779999999997</v>
      </c>
      <c r="Q2422">
        <v>-8.5542259999999995E-2</v>
      </c>
      <c r="R2422">
        <v>-7.320015E-3</v>
      </c>
      <c r="S2422">
        <v>-3.0032350000000001</v>
      </c>
      <c r="T2422">
        <v>-9.2241050000000005E-2</v>
      </c>
      <c r="U2422">
        <v>7.3242190000000001E-4</v>
      </c>
      <c r="V2422">
        <v>8.5460069999999996E-3</v>
      </c>
      <c r="W2422">
        <v>-7.0457549999999994E-2</v>
      </c>
      <c r="X2422">
        <v>0.99747819999999998</v>
      </c>
      <c r="Y2422">
        <v>1.6153830000000001E-2</v>
      </c>
      <c r="Z2422">
        <v>6.1825710000000002E-4</v>
      </c>
      <c r="AA2422">
        <v>0.99986929999999996</v>
      </c>
      <c r="AB2422">
        <v>40</v>
      </c>
      <c r="AC2422">
        <v>-36.221999999999902</v>
      </c>
      <c r="AD2422">
        <v>-1.1206170378119999</v>
      </c>
      <c r="AE2422">
        <v>1.3099999999951701E-2</v>
      </c>
      <c r="AF2422">
        <v>0.58930742198980202</v>
      </c>
      <c r="AG2422">
        <v>-1.1206170378119999</v>
      </c>
      <c r="AH2422">
        <v>36.182567743531102</v>
      </c>
      <c r="AI2422">
        <v>91.773716103826303</v>
      </c>
      <c r="AJ2422">
        <v>89.066903066341098</v>
      </c>
      <c r="AK2422">
        <v>36.204713426545197</v>
      </c>
      <c r="AL2422">
        <v>94.040267669733296</v>
      </c>
      <c r="AM2422">
        <v>89.509123956233594</v>
      </c>
      <c r="AN2422">
        <v>1.00000003003144</v>
      </c>
    </row>
    <row r="2423" spans="1:40" x14ac:dyDescent="0.25">
      <c r="A2423" t="str">
        <f>"20190303154814699"</f>
        <v>20190303154814699</v>
      </c>
      <c r="B2423" t="str">
        <f>"1551599294693337"</f>
        <v>1551599294693337</v>
      </c>
      <c r="C2423" t="s">
        <v>40</v>
      </c>
      <c r="D2423">
        <v>5.3086190000000002</v>
      </c>
      <c r="E2423">
        <v>0.50261869999999997</v>
      </c>
      <c r="F2423" t="s">
        <v>54</v>
      </c>
      <c r="G2423">
        <v>-436.3442</v>
      </c>
      <c r="H2423" s="1">
        <v>5.0317179999999997E-6</v>
      </c>
      <c r="I2423">
        <v>284.60129999999998</v>
      </c>
      <c r="J2423">
        <v>-400.30329999999998</v>
      </c>
      <c r="K2423">
        <v>1.120627</v>
      </c>
      <c r="L2423">
        <v>284.5967</v>
      </c>
      <c r="M2423">
        <v>-0.99975879999999995</v>
      </c>
      <c r="N2423">
        <v>-1.512693E-2</v>
      </c>
      <c r="O2423">
        <v>-1.5921370000000001E-2</v>
      </c>
      <c r="P2423">
        <v>-0.99635339999999994</v>
      </c>
      <c r="Q2423">
        <v>-8.5032109999999994E-2</v>
      </c>
      <c r="R2423">
        <v>-7.0351459999999999E-3</v>
      </c>
      <c r="S2423">
        <v>-3.003174</v>
      </c>
      <c r="T2423">
        <v>-9.2517020000000005E-2</v>
      </c>
      <c r="U2423" s="1">
        <v>-6.1035159999999999E-5</v>
      </c>
      <c r="V2423">
        <v>8.8308180000000007E-3</v>
      </c>
      <c r="W2423">
        <v>-6.9950860000000004E-2</v>
      </c>
      <c r="X2423">
        <v>0.99751129999999999</v>
      </c>
      <c r="Y2423">
        <v>1.5889670000000002E-2</v>
      </c>
      <c r="Z2423">
        <v>6.1443900000000004E-4</v>
      </c>
      <c r="AA2423">
        <v>0.99987360000000003</v>
      </c>
      <c r="AB2423">
        <v>40</v>
      </c>
      <c r="AC2423">
        <v>-36.040900000000001</v>
      </c>
      <c r="AD2423">
        <v>-1.120621968282</v>
      </c>
      <c r="AE2423">
        <v>4.5999999999821696E-3</v>
      </c>
      <c r="AF2423">
        <v>0.57792686474413801</v>
      </c>
      <c r="AG2423">
        <v>-1.120621968282</v>
      </c>
      <c r="AH2423">
        <v>36.001451982538399</v>
      </c>
      <c r="AI2423">
        <v>91.782648137143198</v>
      </c>
      <c r="AJ2423">
        <v>89.080316917696706</v>
      </c>
      <c r="AK2423">
        <v>36.023524784615503</v>
      </c>
      <c r="AL2423">
        <v>94.011164986173597</v>
      </c>
      <c r="AM2423">
        <v>89.492782303734302</v>
      </c>
      <c r="AN2423">
        <v>0.99999994989448804</v>
      </c>
    </row>
    <row r="2424" spans="1:40" x14ac:dyDescent="0.25">
      <c r="A2424" t="str">
        <f>"20190303154814712"</f>
        <v>20190303154814712</v>
      </c>
      <c r="B2424" t="str">
        <f>"1551599294703098"</f>
        <v>1551599294703098</v>
      </c>
      <c r="C2424" t="s">
        <v>40</v>
      </c>
      <c r="D2424">
        <v>5.3240530000000001</v>
      </c>
      <c r="E2424">
        <v>0.50259880000000001</v>
      </c>
      <c r="F2424" t="s">
        <v>54</v>
      </c>
      <c r="G2424">
        <v>-436.90050000000002</v>
      </c>
      <c r="H2424" s="1">
        <v>5.2788140000000001E-6</v>
      </c>
      <c r="I2424">
        <v>284.5967</v>
      </c>
      <c r="J2424">
        <v>-400.54050000000001</v>
      </c>
      <c r="K2424">
        <v>1.120625</v>
      </c>
      <c r="L2424">
        <v>284.59289999999999</v>
      </c>
      <c r="M2424">
        <v>-0.99975890000000001</v>
      </c>
      <c r="N2424">
        <v>-1.5124159999999999E-2</v>
      </c>
      <c r="O2424">
        <v>-1.591687E-2</v>
      </c>
      <c r="P2424">
        <v>-0.99634319999999998</v>
      </c>
      <c r="Q2424">
        <v>-8.5171010000000005E-2</v>
      </c>
      <c r="R2424">
        <v>-6.7989359999999898E-3</v>
      </c>
      <c r="S2424">
        <v>-3.0031129999999999</v>
      </c>
      <c r="T2424">
        <v>-9.1956380000000004E-2</v>
      </c>
      <c r="U2424">
        <v>0</v>
      </c>
      <c r="V2424">
        <v>9.061744E-3</v>
      </c>
      <c r="W2424">
        <v>-7.0092799999999997E-2</v>
      </c>
      <c r="X2424">
        <v>0.99749929999999998</v>
      </c>
      <c r="Y2424">
        <v>1.590565E-2</v>
      </c>
      <c r="Z2424">
        <v>6.1031849999999995E-4</v>
      </c>
      <c r="AA2424">
        <v>0.99987329999999996</v>
      </c>
      <c r="AB2424">
        <v>40</v>
      </c>
      <c r="AC2424">
        <v>-36.36</v>
      </c>
      <c r="AD2424">
        <v>-1.1206197211860001</v>
      </c>
      <c r="AE2424">
        <v>3.8000000000124601E-3</v>
      </c>
      <c r="AF2424">
        <v>0.58205025128486199</v>
      </c>
      <c r="AG2424">
        <v>-1.1206197211860001</v>
      </c>
      <c r="AH2424">
        <v>36.3208318853601</v>
      </c>
      <c r="AI2424">
        <v>91.766980003269495</v>
      </c>
      <c r="AJ2424">
        <v>89.081899648185498</v>
      </c>
      <c r="AK2424">
        <v>36.342776447309603</v>
      </c>
      <c r="AL2424">
        <v>94.019317420402899</v>
      </c>
      <c r="AM2424">
        <v>89.479513013999394</v>
      </c>
      <c r="AN2424">
        <v>0.99999998465832496</v>
      </c>
    </row>
    <row r="2425" spans="1:40" x14ac:dyDescent="0.25">
      <c r="A2425" t="str">
        <f>"20190303154814733"</f>
        <v>20190303154814733</v>
      </c>
      <c r="B2425" t="str">
        <f>"1551599294723594"</f>
        <v>1551599294723594</v>
      </c>
      <c r="C2425" t="s">
        <v>40</v>
      </c>
      <c r="D2425">
        <v>5.3298459999999999</v>
      </c>
      <c r="E2425">
        <v>0.50252039999999998</v>
      </c>
      <c r="F2425" t="s">
        <v>54</v>
      </c>
      <c r="G2425">
        <v>-437.12220000000002</v>
      </c>
      <c r="H2425" s="1">
        <v>5.37691E-6</v>
      </c>
      <c r="I2425">
        <v>284.59879999999998</v>
      </c>
      <c r="J2425">
        <v>-400.89760000000001</v>
      </c>
      <c r="K2425">
        <v>1.1206240000000001</v>
      </c>
      <c r="L2425">
        <v>284.5872</v>
      </c>
      <c r="M2425">
        <v>-0.99975930000000002</v>
      </c>
      <c r="N2425">
        <v>-1.511999E-2</v>
      </c>
      <c r="O2425">
        <v>-1.5902280000000001E-2</v>
      </c>
      <c r="P2425">
        <v>-0.99633850000000002</v>
      </c>
      <c r="Q2425">
        <v>-8.526968E-2</v>
      </c>
      <c r="R2425">
        <v>-6.2217959999999999E-3</v>
      </c>
      <c r="S2425">
        <v>-3.0031430000000001</v>
      </c>
      <c r="T2425">
        <v>-9.1996430000000004E-2</v>
      </c>
      <c r="U2425">
        <v>4.8828130000000002E-4</v>
      </c>
      <c r="V2425">
        <v>9.6227069999999994E-3</v>
      </c>
      <c r="W2425">
        <v>-7.019599E-2</v>
      </c>
      <c r="X2425">
        <v>0.99748680000000001</v>
      </c>
      <c r="Y2425">
        <v>1.6053499999999998E-2</v>
      </c>
      <c r="Z2425">
        <v>6.1381879999999997E-4</v>
      </c>
      <c r="AA2425">
        <v>0.99987099999999995</v>
      </c>
      <c r="AB2425">
        <v>40</v>
      </c>
      <c r="AC2425">
        <v>-36.224600000000002</v>
      </c>
      <c r="AD2425">
        <v>-1.1206186230899999</v>
      </c>
      <c r="AE2425">
        <v>1.15999999999871E-2</v>
      </c>
      <c r="AF2425">
        <v>0.58715617478801596</v>
      </c>
      <c r="AG2425">
        <v>-1.1206186230899999</v>
      </c>
      <c r="AH2425">
        <v>36.185204930848002</v>
      </c>
      <c r="AI2425">
        <v>91.773591171674298</v>
      </c>
      <c r="AJ2425">
        <v>89.070376451064902</v>
      </c>
      <c r="AK2425">
        <v>36.207314100323302</v>
      </c>
      <c r="AL2425">
        <v>94.025244329918806</v>
      </c>
      <c r="AM2425">
        <v>89.447287526724296</v>
      </c>
      <c r="AN2425">
        <v>0.99999999483816304</v>
      </c>
    </row>
    <row r="2426" spans="1:40" x14ac:dyDescent="0.25">
      <c r="A2426" t="str">
        <f>"20190303154814755"</f>
        <v>20190303154814755</v>
      </c>
      <c r="B2426" t="str">
        <f>"1551599294743114"</f>
        <v>1551599294743114</v>
      </c>
      <c r="C2426" t="s">
        <v>40</v>
      </c>
      <c r="D2426">
        <v>5.3799609999999998</v>
      </c>
      <c r="E2426">
        <v>0.50248839999999995</v>
      </c>
      <c r="F2426" t="s">
        <v>54</v>
      </c>
      <c r="G2426">
        <v>-437.12369999999999</v>
      </c>
      <c r="H2426" s="1">
        <v>5.3766749999999996E-6</v>
      </c>
      <c r="I2426">
        <v>284.60930000000002</v>
      </c>
      <c r="J2426">
        <v>-401.303</v>
      </c>
      <c r="K2426">
        <v>1.120608</v>
      </c>
      <c r="L2426">
        <v>284.58080000000001</v>
      </c>
      <c r="M2426">
        <v>-0.99975990000000003</v>
      </c>
      <c r="N2426">
        <v>-1.511528E-2</v>
      </c>
      <c r="O2426">
        <v>-1.5870760000000001E-2</v>
      </c>
      <c r="P2426">
        <v>-0.99632270000000001</v>
      </c>
      <c r="Q2426">
        <v>-8.5468929999999999E-2</v>
      </c>
      <c r="R2426">
        <v>-6.0378489999999996E-3</v>
      </c>
      <c r="S2426">
        <v>-3.003082</v>
      </c>
      <c r="T2426">
        <v>-9.2897300000000002E-2</v>
      </c>
      <c r="U2426">
        <v>1.8310550000000001E-3</v>
      </c>
      <c r="V2426">
        <v>9.7726280000000002E-3</v>
      </c>
      <c r="W2426">
        <v>-7.0400539999999998E-2</v>
      </c>
      <c r="X2426">
        <v>0.99747090000000005</v>
      </c>
      <c r="Y2426">
        <v>1.6468509999999999E-2</v>
      </c>
      <c r="Z2426">
        <v>6.3010289999999999E-4</v>
      </c>
      <c r="AA2426">
        <v>0.99986419999999998</v>
      </c>
      <c r="AB2426">
        <v>40</v>
      </c>
      <c r="AC2426">
        <v>-35.820699999999903</v>
      </c>
      <c r="AD2426">
        <v>-1.1206026233249999</v>
      </c>
      <c r="AE2426">
        <v>2.8500000000008099E-2</v>
      </c>
      <c r="AF2426">
        <v>0.596479282498795</v>
      </c>
      <c r="AG2426">
        <v>-1.1206026233249999</v>
      </c>
      <c r="AH2426">
        <v>35.7807176396011</v>
      </c>
      <c r="AI2426">
        <v>91.793589237830005</v>
      </c>
      <c r="AJ2426">
        <v>89.044944249494094</v>
      </c>
      <c r="AK2426">
        <v>35.803230197549397</v>
      </c>
      <c r="AL2426">
        <v>94.036993355565002</v>
      </c>
      <c r="AM2426">
        <v>89.438667910580193</v>
      </c>
      <c r="AN2426">
        <v>0.99999996831856297</v>
      </c>
    </row>
    <row r="2427" spans="1:40" x14ac:dyDescent="0.25">
      <c r="A2427" t="str">
        <f>"20190303154814769"</f>
        <v>20190303154814769</v>
      </c>
      <c r="B2427" t="str">
        <f>"1551599294763609"</f>
        <v>1551599294763609</v>
      </c>
      <c r="C2427" t="s">
        <v>40</v>
      </c>
      <c r="D2427">
        <v>5.4127989999999997</v>
      </c>
      <c r="E2427">
        <v>0.47489619999999999</v>
      </c>
      <c r="F2427" t="s">
        <v>54</v>
      </c>
      <c r="G2427">
        <v>-437.15809999999999</v>
      </c>
      <c r="H2427" s="1">
        <v>5.3923349999999999E-6</v>
      </c>
      <c r="I2427">
        <v>284.60449999999997</v>
      </c>
      <c r="J2427">
        <v>-401.54340000000002</v>
      </c>
      <c r="K2427">
        <v>1.1205969999999901</v>
      </c>
      <c r="L2427">
        <v>284.577</v>
      </c>
      <c r="M2427">
        <v>-0.99976030000000005</v>
      </c>
      <c r="N2427">
        <v>-1.5112540000000001E-2</v>
      </c>
      <c r="O2427">
        <v>-1.5843019999999999E-2</v>
      </c>
      <c r="P2427">
        <v>-0.99632889999999996</v>
      </c>
      <c r="Q2427">
        <v>-8.5407910000000004E-2</v>
      </c>
      <c r="R2427">
        <v>-5.85324E-3</v>
      </c>
      <c r="S2427">
        <v>-3.0030209999999999</v>
      </c>
      <c r="T2427">
        <v>-9.3855380000000002E-2</v>
      </c>
      <c r="U2427">
        <v>1.9836430000000002E-3</v>
      </c>
      <c r="V2427">
        <v>9.9280059999999996E-3</v>
      </c>
      <c r="W2427">
        <v>-7.0342450000000001E-2</v>
      </c>
      <c r="X2427">
        <v>0.99747350000000001</v>
      </c>
      <c r="Y2427">
        <v>1.6491289999999999E-2</v>
      </c>
      <c r="Z2427">
        <v>6.379062E-4</v>
      </c>
      <c r="AA2427">
        <v>0.99986379999999997</v>
      </c>
      <c r="AB2427">
        <v>40</v>
      </c>
      <c r="AC2427">
        <v>-35.6146999999999</v>
      </c>
      <c r="AD2427">
        <v>-1.12059160766499</v>
      </c>
      <c r="AE2427">
        <v>2.7499999999974899E-2</v>
      </c>
      <c r="AF2427">
        <v>0.59122007448235503</v>
      </c>
      <c r="AG2427">
        <v>-1.12059160766499</v>
      </c>
      <c r="AH2427">
        <v>35.5745744128469</v>
      </c>
      <c r="AI2427">
        <v>91.803959478898804</v>
      </c>
      <c r="AJ2427">
        <v>89.047879069906202</v>
      </c>
      <c r="AK2427">
        <v>35.597129257607499</v>
      </c>
      <c r="AL2427">
        <v>94.033656626010398</v>
      </c>
      <c r="AM2427">
        <v>89.429745191183997</v>
      </c>
      <c r="AN2427">
        <v>1.0000000043886901</v>
      </c>
    </row>
    <row r="2428" spans="1:40" x14ac:dyDescent="0.25">
      <c r="A2428" t="str">
        <f>"20190303154814784"</f>
        <v>20190303154814784</v>
      </c>
      <c r="B2428" t="str">
        <f>"1551599294773369"</f>
        <v>1551599294773369</v>
      </c>
      <c r="C2428" t="s">
        <v>40</v>
      </c>
      <c r="D2428">
        <v>5.4677509999999998</v>
      </c>
      <c r="E2428">
        <v>0.4665533</v>
      </c>
      <c r="F2428" t="s">
        <v>54</v>
      </c>
      <c r="G2428">
        <v>-423.6062</v>
      </c>
      <c r="H2428" s="1">
        <v>3.4684140000000001E-6</v>
      </c>
      <c r="I2428">
        <v>282.97500000000002</v>
      </c>
      <c r="J2428">
        <v>-401.79599999999999</v>
      </c>
      <c r="K2428">
        <v>1.1205860000000001</v>
      </c>
      <c r="L2428">
        <v>284.57299999999998</v>
      </c>
      <c r="M2428">
        <v>-0.99976089999999995</v>
      </c>
      <c r="N2428">
        <v>-1.510968E-2</v>
      </c>
      <c r="O2428">
        <v>-1.5807740000000001E-2</v>
      </c>
      <c r="P2428">
        <v>-0.99632500000000002</v>
      </c>
      <c r="Q2428">
        <v>-8.5447369999999995E-2</v>
      </c>
      <c r="R2428">
        <v>-5.9498019999999997E-3</v>
      </c>
      <c r="S2428">
        <v>-2.9967350000000001</v>
      </c>
      <c r="T2428">
        <v>-0.1522076</v>
      </c>
      <c r="U2428">
        <v>-0.21759029999999999</v>
      </c>
      <c r="V2428">
        <v>9.7943820000000008E-3</v>
      </c>
      <c r="W2428">
        <v>-7.0385080000000003E-2</v>
      </c>
      <c r="X2428">
        <v>0.99747180000000002</v>
      </c>
      <c r="Y2428">
        <v>-5.6557200000000002E-2</v>
      </c>
      <c r="Z2428">
        <v>-1.299017E-3</v>
      </c>
      <c r="AA2428">
        <v>0.99839849999999997</v>
      </c>
      <c r="AB2428">
        <v>40</v>
      </c>
      <c r="AC2428">
        <v>-21.810199999999998</v>
      </c>
      <c r="AD2428">
        <v>-1.1205825315860001</v>
      </c>
      <c r="AE2428">
        <v>-1.5979999999999499</v>
      </c>
      <c r="AF2428">
        <v>-1.24970960980368</v>
      </c>
      <c r="AG2428">
        <v>-1.1205825315860001</v>
      </c>
      <c r="AH2428">
        <v>21.775561996615998</v>
      </c>
      <c r="AI2428">
        <v>92.941043197085094</v>
      </c>
      <c r="AJ2428">
        <v>93.284628385557696</v>
      </c>
      <c r="AK2428">
        <v>21.840159788504302</v>
      </c>
      <c r="AL2428">
        <v>94.036105269898201</v>
      </c>
      <c r="AM2428">
        <v>89.437418965673601</v>
      </c>
      <c r="AN2428">
        <v>0.99999999060030398</v>
      </c>
    </row>
    <row r="2429" spans="1:40" x14ac:dyDescent="0.25">
      <c r="A2429" t="str">
        <f>"20190303154814801"</f>
        <v>20190303154814801</v>
      </c>
      <c r="B2429" t="str">
        <f>"1551599294792889"</f>
        <v>1551599294792889</v>
      </c>
      <c r="C2429" t="s">
        <v>40</v>
      </c>
      <c r="D2429">
        <v>5.452337</v>
      </c>
      <c r="E2429">
        <v>0.45757700000000001</v>
      </c>
      <c r="F2429" t="s">
        <v>54</v>
      </c>
      <c r="G2429">
        <v>-421.60289999999998</v>
      </c>
      <c r="H2429" s="1">
        <v>3.8486169999999997E-6</v>
      </c>
      <c r="I2429">
        <v>282.69080000000002</v>
      </c>
      <c r="J2429">
        <v>-402.11320000000001</v>
      </c>
      <c r="K2429">
        <v>1.120576</v>
      </c>
      <c r="L2429">
        <v>284.56810000000002</v>
      </c>
      <c r="M2429">
        <v>-0.99976189999999998</v>
      </c>
      <c r="N2429">
        <v>-1.5106100000000001E-2</v>
      </c>
      <c r="O2429">
        <v>-1.5750569999999998E-2</v>
      </c>
      <c r="P2429">
        <v>-0.99632719999999997</v>
      </c>
      <c r="Q2429">
        <v>-8.5414710000000005E-2</v>
      </c>
      <c r="R2429">
        <v>-6.0674910000000004E-3</v>
      </c>
      <c r="S2429">
        <v>-2.9948730000000001</v>
      </c>
      <c r="T2429">
        <v>-0.16943649999999999</v>
      </c>
      <c r="U2429">
        <v>-0.2846069</v>
      </c>
      <c r="V2429">
        <v>9.6169370000000007E-3</v>
      </c>
      <c r="W2429">
        <v>-7.035624E-2</v>
      </c>
      <c r="X2429">
        <v>0.99747560000000002</v>
      </c>
      <c r="Y2429">
        <v>-7.8766680000000006E-2</v>
      </c>
      <c r="Z2429">
        <v>-2.1673859999999999E-3</v>
      </c>
      <c r="AA2429">
        <v>0.99689070000000002</v>
      </c>
      <c r="AB2429">
        <v>40</v>
      </c>
      <c r="AC2429">
        <v>-19.4896999999999</v>
      </c>
      <c r="AD2429">
        <v>-1.120572151383</v>
      </c>
      <c r="AE2429">
        <v>-1.87729999999999</v>
      </c>
      <c r="AF2429">
        <v>-1.5649324659825601</v>
      </c>
      <c r="AG2429">
        <v>-1.120572151383</v>
      </c>
      <c r="AH2429">
        <v>19.453137757604299</v>
      </c>
      <c r="AI2429">
        <v>93.286211001147507</v>
      </c>
      <c r="AJ2429">
        <v>94.599327414950196</v>
      </c>
      <c r="AK2429">
        <v>19.5481268715412</v>
      </c>
      <c r="AL2429">
        <v>94.034448596601194</v>
      </c>
      <c r="AM2429">
        <v>89.447612723557398</v>
      </c>
      <c r="AN2429">
        <v>1.0000000292897699</v>
      </c>
    </row>
    <row r="2430" spans="1:40" x14ac:dyDescent="0.25">
      <c r="A2430" t="str">
        <f>"20190303154814824"</f>
        <v>20190303154814824</v>
      </c>
      <c r="B2430" t="str">
        <f>"1551599294813385"</f>
        <v>1551599294813385</v>
      </c>
      <c r="C2430" t="s">
        <v>40</v>
      </c>
      <c r="D2430">
        <v>5.487635</v>
      </c>
      <c r="E2430">
        <v>0.45319120000000002</v>
      </c>
      <c r="F2430" t="s">
        <v>54</v>
      </c>
      <c r="G2430">
        <v>-420.20179999999999</v>
      </c>
      <c r="H2430" s="1">
        <v>4.1213319999999999E-6</v>
      </c>
      <c r="I2430">
        <v>282.41399999999999</v>
      </c>
      <c r="J2430">
        <v>-402.50920000000002</v>
      </c>
      <c r="K2430">
        <v>1.1205560000000001</v>
      </c>
      <c r="L2430">
        <v>284.56189999999998</v>
      </c>
      <c r="M2430">
        <v>-0.99976350000000003</v>
      </c>
      <c r="N2430">
        <v>-1.510163E-2</v>
      </c>
      <c r="O2430">
        <v>-1.565803E-2</v>
      </c>
      <c r="P2430">
        <v>-0.99630339999999995</v>
      </c>
      <c r="Q2430">
        <v>-8.5681599999999997E-2</v>
      </c>
      <c r="R2430">
        <v>-6.1917129999999997E-3</v>
      </c>
      <c r="S2430">
        <v>-2.9930110000000001</v>
      </c>
      <c r="T2430">
        <v>-0.18541350000000001</v>
      </c>
      <c r="U2430">
        <v>-0.35641479999999998</v>
      </c>
      <c r="V2430">
        <v>9.3966999999999992E-3</v>
      </c>
      <c r="W2430">
        <v>-7.0628319999999994E-2</v>
      </c>
      <c r="X2430">
        <v>0.99745850000000003</v>
      </c>
      <c r="Y2430">
        <v>-0.1024579</v>
      </c>
      <c r="Z2430">
        <v>-3.2068499999999998E-3</v>
      </c>
      <c r="AA2430">
        <v>0.99473210000000001</v>
      </c>
      <c r="AB2430">
        <v>40</v>
      </c>
      <c r="AC2430">
        <v>-17.692599999999899</v>
      </c>
      <c r="AD2430">
        <v>-1.120551878668</v>
      </c>
      <c r="AE2430">
        <v>-2.1478999999999902</v>
      </c>
      <c r="AF2430">
        <v>-1.8632085428640299</v>
      </c>
      <c r="AG2430">
        <v>-1.120551878668</v>
      </c>
      <c r="AH2430">
        <v>17.6542788739469</v>
      </c>
      <c r="AI2430">
        <v>93.611798557361894</v>
      </c>
      <c r="AJ2430">
        <v>96.0246163690922</v>
      </c>
      <c r="AK2430">
        <v>17.787657101093298</v>
      </c>
      <c r="AL2430">
        <v>94.050076390995798</v>
      </c>
      <c r="AM2430">
        <v>89.460252907706007</v>
      </c>
      <c r="AN2430">
        <v>1.0000000583895701</v>
      </c>
    </row>
    <row r="2431" spans="1:40" x14ac:dyDescent="0.25">
      <c r="A2431" t="str">
        <f>"20190303154814845"</f>
        <v>20190303154814845</v>
      </c>
      <c r="B2431" t="str">
        <f>"1551599294832905"</f>
        <v>1551599294832905</v>
      </c>
      <c r="C2431" t="s">
        <v>40</v>
      </c>
      <c r="D2431">
        <v>5.4494280000000002</v>
      </c>
      <c r="E2431">
        <v>0.45064929999999997</v>
      </c>
      <c r="F2431" t="s">
        <v>54</v>
      </c>
      <c r="G2431">
        <v>-419.78960000000001</v>
      </c>
      <c r="H2431" s="1">
        <v>4.1448270000000002E-6</v>
      </c>
      <c r="I2431">
        <v>282.29930000000002</v>
      </c>
      <c r="J2431">
        <v>-402.8997</v>
      </c>
      <c r="K2431">
        <v>1.12053799999999</v>
      </c>
      <c r="L2431">
        <v>284.55590000000001</v>
      </c>
      <c r="M2431">
        <v>-0.99976529999999997</v>
      </c>
      <c r="N2431">
        <v>-1.5097289999999999E-2</v>
      </c>
      <c r="O2431">
        <v>-1.554524E-2</v>
      </c>
      <c r="P2431">
        <v>-0.9963398</v>
      </c>
      <c r="Q2431">
        <v>-8.5262329999999997E-2</v>
      </c>
      <c r="R2431">
        <v>-6.1276430000000003E-3</v>
      </c>
      <c r="S2431">
        <v>-2.9920040000000001</v>
      </c>
      <c r="T2431">
        <v>-0.19401669999999999</v>
      </c>
      <c r="U2431">
        <v>-0.3917542</v>
      </c>
      <c r="V2431">
        <v>9.3456100000000007E-3</v>
      </c>
      <c r="W2431">
        <v>-7.0213300000000006E-2</v>
      </c>
      <c r="X2431">
        <v>0.99748820000000005</v>
      </c>
      <c r="Y2431">
        <v>-0.114122</v>
      </c>
      <c r="Z2431">
        <v>-3.7780259999999999E-3</v>
      </c>
      <c r="AA2431">
        <v>0.9934596</v>
      </c>
      <c r="AB2431">
        <v>40</v>
      </c>
      <c r="AC2431">
        <v>-16.889900000000001</v>
      </c>
      <c r="AD2431">
        <v>-1.12053385517299</v>
      </c>
      <c r="AE2431">
        <v>-2.2565999999999899</v>
      </c>
      <c r="AF2431">
        <v>-1.98515549037025</v>
      </c>
      <c r="AG2431">
        <v>-1.12053385517299</v>
      </c>
      <c r="AH2431">
        <v>16.850077927654301</v>
      </c>
      <c r="AI2431">
        <v>93.778524270191497</v>
      </c>
      <c r="AJ2431">
        <v>96.719205366710497</v>
      </c>
      <c r="AK2431">
        <v>17.0035750537808</v>
      </c>
      <c r="AL2431">
        <v>94.026238638817006</v>
      </c>
      <c r="AM2431">
        <v>89.4632033311551</v>
      </c>
      <c r="AN2431">
        <v>0.99999997853120004</v>
      </c>
    </row>
    <row r="2432" spans="1:40" x14ac:dyDescent="0.25">
      <c r="A2432" t="str">
        <f>"20190303154814859"</f>
        <v>20190303154814859</v>
      </c>
      <c r="B2432" t="str">
        <f>"1551599294853401"</f>
        <v>1551599294853401</v>
      </c>
      <c r="C2432" t="s">
        <v>40</v>
      </c>
      <c r="D2432">
        <v>5.4225159999999999</v>
      </c>
      <c r="E2432">
        <v>0.44927729999999999</v>
      </c>
      <c r="F2432" t="s">
        <v>54</v>
      </c>
      <c r="G2432">
        <v>-419.8048</v>
      </c>
      <c r="H2432" s="1">
        <v>4.1536780000000004E-6</v>
      </c>
      <c r="I2432">
        <v>282.22890000000001</v>
      </c>
      <c r="J2432">
        <v>-403.1583</v>
      </c>
      <c r="K2432">
        <v>1.1205290000000001</v>
      </c>
      <c r="L2432">
        <v>284.55189999999999</v>
      </c>
      <c r="M2432">
        <v>-0.9997665</v>
      </c>
      <c r="N2432">
        <v>-1.5094440000000001E-2</v>
      </c>
      <c r="O2432">
        <v>-1.545963E-2</v>
      </c>
      <c r="P2432">
        <v>-0.99635019999999996</v>
      </c>
      <c r="Q2432">
        <v>-8.5142659999999995E-2</v>
      </c>
      <c r="R2432">
        <v>-6.089995E-3</v>
      </c>
      <c r="S2432">
        <v>-2.9915470000000002</v>
      </c>
      <c r="T2432">
        <v>-0.19828999999999999</v>
      </c>
      <c r="U2432">
        <v>-0.41177370000000002</v>
      </c>
      <c r="V2432">
        <v>9.2959219999999999E-3</v>
      </c>
      <c r="W2432">
        <v>-7.0096610000000004E-2</v>
      </c>
      <c r="X2432">
        <v>0.99749690000000002</v>
      </c>
      <c r="Y2432">
        <v>-0.1207265</v>
      </c>
      <c r="Z2432">
        <v>-4.1083309999999998E-3</v>
      </c>
      <c r="AA2432">
        <v>0.99267729999999998</v>
      </c>
      <c r="AB2432">
        <v>40</v>
      </c>
      <c r="AC2432">
        <v>-16.6465</v>
      </c>
      <c r="AD2432">
        <v>-1.1205248463219999</v>
      </c>
      <c r="AE2432">
        <v>-2.3229999999999702</v>
      </c>
      <c r="AF2432">
        <v>-2.0562054896466999</v>
      </c>
      <c r="AG2432">
        <v>-1.1205248463219999</v>
      </c>
      <c r="AH2432">
        <v>16.6066191881681</v>
      </c>
      <c r="AI2432">
        <v>93.830991551578705</v>
      </c>
      <c r="AJ2432">
        <v>97.058349144658706</v>
      </c>
      <c r="AK2432">
        <v>16.770908079400801</v>
      </c>
      <c r="AL2432">
        <v>94.019536164812095</v>
      </c>
      <c r="AM2432">
        <v>89.466061820237201</v>
      </c>
      <c r="AN2432">
        <v>1.0000000072044599</v>
      </c>
    </row>
    <row r="2433" spans="1:40" x14ac:dyDescent="0.25">
      <c r="A2433" t="str">
        <f>"20190303154814873"</f>
        <v>20190303154814873</v>
      </c>
      <c r="B2433" t="str">
        <f>"1551599294863161"</f>
        <v>1551599294863161</v>
      </c>
      <c r="C2433" t="s">
        <v>40</v>
      </c>
      <c r="D2433">
        <v>5.4542010000000003</v>
      </c>
      <c r="E2433">
        <v>0.44898919999999998</v>
      </c>
      <c r="F2433" t="s">
        <v>54</v>
      </c>
      <c r="G2433">
        <v>-420.28809999999999</v>
      </c>
      <c r="H2433" s="1">
        <v>4.1307010000000003E-6</v>
      </c>
      <c r="I2433">
        <v>282.1318</v>
      </c>
      <c r="J2433">
        <v>-403.40230000000003</v>
      </c>
      <c r="K2433">
        <v>1.120517</v>
      </c>
      <c r="L2433">
        <v>284.54820000000001</v>
      </c>
      <c r="M2433">
        <v>-0.99976810000000005</v>
      </c>
      <c r="N2433">
        <v>-1.5091780000000001E-2</v>
      </c>
      <c r="O2433">
        <v>-1.5365449999999999E-2</v>
      </c>
      <c r="P2433">
        <v>-0.99639710000000004</v>
      </c>
      <c r="Q2433">
        <v>-8.4601049999999997E-2</v>
      </c>
      <c r="R2433">
        <v>-5.9532639999999998E-3</v>
      </c>
      <c r="S2433">
        <v>-2.9916689999999999</v>
      </c>
      <c r="T2433">
        <v>-0.19569600000000001</v>
      </c>
      <c r="U2433">
        <v>-0.4226685</v>
      </c>
      <c r="V2433">
        <v>9.3375650000000008E-3</v>
      </c>
      <c r="W2433">
        <v>-6.9557369999999993E-2</v>
      </c>
      <c r="X2433">
        <v>0.99753429999999998</v>
      </c>
      <c r="Y2433">
        <v>-0.1243573</v>
      </c>
      <c r="Z2433">
        <v>-4.2191210000000002E-3</v>
      </c>
      <c r="AA2433">
        <v>0.99222849999999996</v>
      </c>
      <c r="AB2433">
        <v>40</v>
      </c>
      <c r="AC2433">
        <v>-16.8857999999999</v>
      </c>
      <c r="AD2433">
        <v>-1.1205128692990001</v>
      </c>
      <c r="AE2433">
        <v>-2.4163999999999999</v>
      </c>
      <c r="AF2433">
        <v>-2.1473612242865601</v>
      </c>
      <c r="AG2433">
        <v>-1.1205128692990001</v>
      </c>
      <c r="AH2433">
        <v>16.848238260512701</v>
      </c>
      <c r="AI2433">
        <v>93.774479201460395</v>
      </c>
      <c r="AJ2433">
        <v>97.263367685481001</v>
      </c>
      <c r="AK2433">
        <v>17.021452399864</v>
      </c>
      <c r="AL2433">
        <v>93.988564224013004</v>
      </c>
      <c r="AM2433">
        <v>89.463690180584393</v>
      </c>
      <c r="AN2433">
        <v>1.00000004875896</v>
      </c>
    </row>
    <row r="2434" spans="1:40" x14ac:dyDescent="0.25">
      <c r="A2434" t="str">
        <f>"20190303154814889"</f>
        <v>20190303154814889</v>
      </c>
      <c r="B2434" t="str">
        <f>"1551599294882681"</f>
        <v>1551599294882681</v>
      </c>
      <c r="C2434" t="s">
        <v>40</v>
      </c>
      <c r="D2434">
        <v>5.3859680000000001</v>
      </c>
      <c r="E2434">
        <v>0.44823410000000002</v>
      </c>
      <c r="F2434" t="s">
        <v>54</v>
      </c>
      <c r="G2434">
        <v>-420.72800000000001</v>
      </c>
      <c r="H2434" s="1">
        <v>4.0562649999999997E-6</v>
      </c>
      <c r="I2434">
        <v>282.09070000000003</v>
      </c>
      <c r="J2434">
        <v>-403.68290000000002</v>
      </c>
      <c r="K2434">
        <v>1.1205039999999999</v>
      </c>
      <c r="L2434">
        <v>284.54399999999998</v>
      </c>
      <c r="M2434">
        <v>-0.99976960000000004</v>
      </c>
      <c r="N2434">
        <v>-1.5119290000000001E-2</v>
      </c>
      <c r="O2434">
        <v>-1.524817E-2</v>
      </c>
      <c r="P2434">
        <v>-0.99641809999999997</v>
      </c>
      <c r="Q2434">
        <v>-8.436254E-2</v>
      </c>
      <c r="R2434">
        <v>-5.8674749999999996E-3</v>
      </c>
      <c r="S2434">
        <v>-2.9918819999999999</v>
      </c>
      <c r="T2434">
        <v>-0.19349540000000001</v>
      </c>
      <c r="U2434">
        <v>-0.42437740000000002</v>
      </c>
      <c r="V2434">
        <v>9.3040190000000002E-3</v>
      </c>
      <c r="W2434">
        <v>-6.9291450000000004E-2</v>
      </c>
      <c r="X2434">
        <v>0.99755309999999997</v>
      </c>
      <c r="Y2434">
        <v>-0.12502360000000001</v>
      </c>
      <c r="Z2434">
        <v>-4.2190329999999996E-3</v>
      </c>
      <c r="AA2434">
        <v>0.99214480000000005</v>
      </c>
      <c r="AB2434">
        <v>40</v>
      </c>
      <c r="AC2434">
        <v>-17.045099999999898</v>
      </c>
      <c r="AD2434">
        <v>-1.1204999437350001</v>
      </c>
      <c r="AE2434">
        <v>-2.4533000000000098</v>
      </c>
      <c r="AF2434">
        <v>-2.1838327806181801</v>
      </c>
      <c r="AG2434">
        <v>-1.1204999437350001</v>
      </c>
      <c r="AH2434">
        <v>17.008521569180399</v>
      </c>
      <c r="AI2434">
        <v>93.738525383000294</v>
      </c>
      <c r="AJ2434">
        <v>97.316540598952898</v>
      </c>
      <c r="AK2434">
        <v>17.1847156423051</v>
      </c>
      <c r="AL2434">
        <v>93.973291361056098</v>
      </c>
      <c r="AM2434">
        <v>89.465626877957007</v>
      </c>
      <c r="AN2434">
        <v>1.0000000285661299</v>
      </c>
    </row>
    <row r="2435" spans="1:40" x14ac:dyDescent="0.25">
      <c r="A2435" t="str">
        <f>"20190303154814903"</f>
        <v>20190303154814903</v>
      </c>
      <c r="B2435" t="str">
        <f>"1551599294893418"</f>
        <v>1551599294893418</v>
      </c>
      <c r="C2435" t="s">
        <v>40</v>
      </c>
      <c r="D2435">
        <v>5.3948809999999998</v>
      </c>
      <c r="E2435">
        <v>0.447934</v>
      </c>
      <c r="F2435" t="s">
        <v>54</v>
      </c>
      <c r="G2435">
        <v>-421.40289999999999</v>
      </c>
      <c r="H2435" s="1">
        <v>3.9447910000000003E-6</v>
      </c>
      <c r="I2435">
        <v>281.99639999999999</v>
      </c>
      <c r="J2435">
        <v>-403.92110000000002</v>
      </c>
      <c r="K2435">
        <v>1.120509</v>
      </c>
      <c r="L2435">
        <v>284.54050000000001</v>
      </c>
      <c r="M2435">
        <v>-0.99977000000000005</v>
      </c>
      <c r="N2435">
        <v>-1.5186420000000001E-2</v>
      </c>
      <c r="O2435">
        <v>-1.514014E-2</v>
      </c>
      <c r="P2435">
        <v>-0.99642540000000002</v>
      </c>
      <c r="Q2435">
        <v>-8.4287280000000006E-2</v>
      </c>
      <c r="R2435">
        <v>-5.7104919999999898E-3</v>
      </c>
      <c r="S2435">
        <v>-2.9922490000000002</v>
      </c>
      <c r="T2435">
        <v>-0.18921089999999999</v>
      </c>
      <c r="U2435">
        <v>-0.43020629999999999</v>
      </c>
      <c r="V2435">
        <v>9.3509660000000005E-3</v>
      </c>
      <c r="W2435">
        <v>-6.9149489999999994E-2</v>
      </c>
      <c r="X2435">
        <v>0.99756250000000002</v>
      </c>
      <c r="Y2435">
        <v>-0.12701399999999999</v>
      </c>
      <c r="Z2435">
        <v>-4.2393359999999998E-3</v>
      </c>
      <c r="AA2435">
        <v>0.99189190000000005</v>
      </c>
      <c r="AB2435">
        <v>40</v>
      </c>
      <c r="AC2435">
        <v>-17.4817999999999</v>
      </c>
      <c r="AD2435">
        <v>-1.1205050552089999</v>
      </c>
      <c r="AE2435">
        <v>-2.54410000000001</v>
      </c>
      <c r="AF2435">
        <v>-2.2699687329130902</v>
      </c>
      <c r="AG2435">
        <v>-1.1205050552089999</v>
      </c>
      <c r="AH2435">
        <v>17.448123884995301</v>
      </c>
      <c r="AI2435">
        <v>93.643821392593495</v>
      </c>
      <c r="AJ2435">
        <v>97.412442485958806</v>
      </c>
      <c r="AK2435">
        <v>17.630805901412899</v>
      </c>
      <c r="AL2435">
        <v>93.965138141948302</v>
      </c>
      <c r="AM2435">
        <v>89.462935711242295</v>
      </c>
      <c r="AN2435">
        <v>1.0000000169693199</v>
      </c>
    </row>
    <row r="2436" spans="1:40" x14ac:dyDescent="0.25">
      <c r="A2436" t="str">
        <f>"20190303154814915"</f>
        <v>20190303154814915</v>
      </c>
      <c r="B2436" t="str">
        <f>"1551599294912938"</f>
        <v>1551599294912938</v>
      </c>
      <c r="C2436" t="s">
        <v>40</v>
      </c>
      <c r="D2436">
        <v>5.4188780000000003</v>
      </c>
      <c r="E2436">
        <v>0.44744230000000002</v>
      </c>
      <c r="F2436" t="s">
        <v>54</v>
      </c>
      <c r="G2436">
        <v>-421.71870000000001</v>
      </c>
      <c r="H2436" s="1">
        <v>3.8909859999999997E-6</v>
      </c>
      <c r="I2436">
        <v>281.97109999999998</v>
      </c>
      <c r="J2436">
        <v>-404.16829999999999</v>
      </c>
      <c r="K2436">
        <v>1.1205419999999999</v>
      </c>
      <c r="L2436">
        <v>284.5369</v>
      </c>
      <c r="M2436">
        <v>-0.99976909999999997</v>
      </c>
      <c r="N2436">
        <v>-1.538016E-2</v>
      </c>
      <c r="O2436">
        <v>-1.501561E-2</v>
      </c>
      <c r="P2436">
        <v>-0.99643590000000004</v>
      </c>
      <c r="Q2436">
        <v>-8.4182190000000004E-2</v>
      </c>
      <c r="R2436">
        <v>-5.4039369999999897E-3</v>
      </c>
      <c r="S2436">
        <v>-2.9924010000000001</v>
      </c>
      <c r="T2436">
        <v>-0.1883956</v>
      </c>
      <c r="U2436">
        <v>-0.43200680000000002</v>
      </c>
      <c r="V2436">
        <v>9.5308839999999999E-3</v>
      </c>
      <c r="W2436">
        <v>-6.8851490000000001E-2</v>
      </c>
      <c r="X2436">
        <v>0.99758139999999995</v>
      </c>
      <c r="Y2436">
        <v>-0.12771459999999901</v>
      </c>
      <c r="Z2436">
        <v>-4.2745320000000002E-3</v>
      </c>
      <c r="AA2436">
        <v>0.99180170000000001</v>
      </c>
      <c r="AB2436">
        <v>40</v>
      </c>
      <c r="AC2436">
        <v>-17.5504</v>
      </c>
      <c r="AD2436">
        <v>-1.1205381090140001</v>
      </c>
      <c r="AE2436">
        <v>-2.5658000000000198</v>
      </c>
      <c r="AF2436">
        <v>-2.29279872772744</v>
      </c>
      <c r="AG2436">
        <v>-1.1205381090140001</v>
      </c>
      <c r="AH2436">
        <v>17.517039895423999</v>
      </c>
      <c r="AI2436">
        <v>93.629263356090803</v>
      </c>
      <c r="AJ2436">
        <v>97.457030889151099</v>
      </c>
      <c r="AK2436">
        <v>17.701955212842901</v>
      </c>
      <c r="AL2436">
        <v>93.948023245935701</v>
      </c>
      <c r="AM2436">
        <v>89.452613276480903</v>
      </c>
      <c r="AN2436">
        <v>1.0000000075255</v>
      </c>
    </row>
    <row r="2437" spans="1:40" x14ac:dyDescent="0.25">
      <c r="A2437" t="str">
        <f>"20190303154814935"</f>
        <v>20190303154814935</v>
      </c>
      <c r="B2437" t="str">
        <f>"1551599294922697"</f>
        <v>1551599294922697</v>
      </c>
      <c r="C2437" t="s">
        <v>40</v>
      </c>
      <c r="D2437">
        <v>5.4136389999999999</v>
      </c>
      <c r="E2437">
        <v>0.44710490000000003</v>
      </c>
      <c r="F2437" t="s">
        <v>54</v>
      </c>
      <c r="G2437">
        <v>-422.07909999999998</v>
      </c>
      <c r="H2437" s="1">
        <v>3.8303210000000004E-6</v>
      </c>
      <c r="I2437">
        <v>281.93369999999999</v>
      </c>
      <c r="J2437">
        <v>-404.47949999999997</v>
      </c>
      <c r="K2437">
        <v>1.1206210000000001</v>
      </c>
      <c r="L2437">
        <v>284.5324</v>
      </c>
      <c r="M2437">
        <v>-0.99976560000000003</v>
      </c>
      <c r="N2437">
        <v>-1.5765479999999998E-2</v>
      </c>
      <c r="O2437">
        <v>-1.484252E-2</v>
      </c>
      <c r="P2437">
        <v>-0.99637339999999996</v>
      </c>
      <c r="Q2437">
        <v>-8.4928820000000002E-2</v>
      </c>
      <c r="R2437">
        <v>-5.2392569999999998E-3</v>
      </c>
      <c r="S2437">
        <v>-2.9925229999999998</v>
      </c>
      <c r="T2437">
        <v>-0.1872183</v>
      </c>
      <c r="U2437">
        <v>-0.4349365</v>
      </c>
      <c r="V2437">
        <v>9.5184650000000003E-3</v>
      </c>
      <c r="W2437">
        <v>-6.9215070000000004E-2</v>
      </c>
      <c r="X2437">
        <v>0.99755629999999995</v>
      </c>
      <c r="Y2437">
        <v>-0.12883</v>
      </c>
      <c r="Z2437">
        <v>-4.3372740000000003E-3</v>
      </c>
      <c r="AA2437">
        <v>0.99165720000000002</v>
      </c>
      <c r="AB2437">
        <v>40</v>
      </c>
      <c r="AC2437">
        <v>-17.599599999999999</v>
      </c>
      <c r="AD2437">
        <v>-1.1206171696789999</v>
      </c>
      <c r="AE2437">
        <v>-2.5987</v>
      </c>
      <c r="AF2437">
        <v>-2.3279222309802301</v>
      </c>
      <c r="AG2437">
        <v>-1.1206171696789999</v>
      </c>
      <c r="AH2437">
        <v>17.5665376037405</v>
      </c>
      <c r="AI2437">
        <v>93.618557032826004</v>
      </c>
      <c r="AJ2437">
        <v>97.548866877349198</v>
      </c>
      <c r="AK2437">
        <v>17.755513175858901</v>
      </c>
      <c r="AL2437">
        <v>93.968904892144494</v>
      </c>
      <c r="AM2437">
        <v>89.453312738608801</v>
      </c>
      <c r="AN2437">
        <v>0.99999994938037395</v>
      </c>
    </row>
    <row r="2438" spans="1:40" x14ac:dyDescent="0.25">
      <c r="A2438" t="str">
        <f>"20190303154814949"</f>
        <v>20190303154814949</v>
      </c>
      <c r="B2438" t="str">
        <f>"1551599294943193"</f>
        <v>1551599294943193</v>
      </c>
      <c r="C2438" t="s">
        <v>40</v>
      </c>
      <c r="D2438">
        <v>5.4365949999999996</v>
      </c>
      <c r="E2438">
        <v>0.44664569999999998</v>
      </c>
      <c r="F2438" t="s">
        <v>54</v>
      </c>
      <c r="G2438">
        <v>-422.20960000000002</v>
      </c>
      <c r="H2438" s="1">
        <v>3.8064640000000002E-6</v>
      </c>
      <c r="I2438">
        <v>281.94189999999998</v>
      </c>
      <c r="J2438">
        <v>-404.73410000000001</v>
      </c>
      <c r="K2438">
        <v>1.1206940000000001</v>
      </c>
      <c r="L2438">
        <v>284.52870000000001</v>
      </c>
      <c r="M2438">
        <v>-0.99976149999999997</v>
      </c>
      <c r="N2438">
        <v>-1.6162889999999999E-2</v>
      </c>
      <c r="O2438">
        <v>-1.468765E-2</v>
      </c>
      <c r="P2438">
        <v>-0.99633530000000003</v>
      </c>
      <c r="Q2438">
        <v>-8.5397210000000001E-2</v>
      </c>
      <c r="R2438">
        <v>-4.8500280000000002E-3</v>
      </c>
      <c r="S2438">
        <v>-2.9924930000000001</v>
      </c>
      <c r="T2438">
        <v>-0.18913849999999999</v>
      </c>
      <c r="U2438">
        <v>-0.43722529999999998</v>
      </c>
      <c r="V2438">
        <v>9.7501489999999996E-3</v>
      </c>
      <c r="W2438">
        <v>-6.9288080000000002E-2</v>
      </c>
      <c r="X2438">
        <v>0.99754909999999997</v>
      </c>
      <c r="Y2438">
        <v>-0.1297181</v>
      </c>
      <c r="Z2438">
        <v>-4.4427410000000001E-3</v>
      </c>
      <c r="AA2438">
        <v>0.99154100000000001</v>
      </c>
      <c r="AB2438">
        <v>39</v>
      </c>
      <c r="AC2438">
        <v>-17.4755</v>
      </c>
      <c r="AD2438">
        <v>-1.1206901935359901</v>
      </c>
      <c r="AE2438">
        <v>-2.58680000000003</v>
      </c>
      <c r="AF2438">
        <v>-2.3204748650298002</v>
      </c>
      <c r="AG2438">
        <v>-1.1206901935359901</v>
      </c>
      <c r="AH2438">
        <v>17.441422537315599</v>
      </c>
      <c r="AI2438">
        <v>93.644433343588702</v>
      </c>
      <c r="AJ2438">
        <v>97.578349072398794</v>
      </c>
      <c r="AK2438">
        <v>17.630762043493899</v>
      </c>
      <c r="AL2438">
        <v>93.973097703215004</v>
      </c>
      <c r="AM2438">
        <v>89.440002904390994</v>
      </c>
      <c r="AN2438">
        <v>1.0000000551732</v>
      </c>
    </row>
    <row r="2439" spans="1:40" x14ac:dyDescent="0.25">
      <c r="A2439" t="str">
        <f>"20190303154814962"</f>
        <v>20190303154814962</v>
      </c>
      <c r="B2439" t="str">
        <f>"1551599294952954"</f>
        <v>1551599294952954</v>
      </c>
      <c r="C2439" t="s">
        <v>40</v>
      </c>
      <c r="D2439">
        <v>5.4120819999999998</v>
      </c>
      <c r="E2439">
        <v>0.44652959999999903</v>
      </c>
      <c r="F2439" t="s">
        <v>54</v>
      </c>
      <c r="G2439">
        <v>-422.43770000000001</v>
      </c>
      <c r="H2439" s="1">
        <v>3.7672530000000001E-6</v>
      </c>
      <c r="I2439">
        <v>281.92759999999998</v>
      </c>
      <c r="J2439">
        <v>-404.97089999999997</v>
      </c>
      <c r="K2439">
        <v>1.1207670000000001</v>
      </c>
      <c r="L2439">
        <v>284.52530000000002</v>
      </c>
      <c r="M2439">
        <v>-0.99975720000000001</v>
      </c>
      <c r="N2439">
        <v>-1.6571329999999999E-2</v>
      </c>
      <c r="O2439">
        <v>-1.453569E-2</v>
      </c>
      <c r="P2439">
        <v>-0.99629570000000001</v>
      </c>
      <c r="Q2439">
        <v>-8.5872850000000001E-2</v>
      </c>
      <c r="R2439">
        <v>-4.5819609999999998E-3</v>
      </c>
      <c r="S2439">
        <v>-2.992645</v>
      </c>
      <c r="T2439">
        <v>-0.1894431</v>
      </c>
      <c r="U2439">
        <v>-0.43969730000000001</v>
      </c>
      <c r="V2439">
        <v>9.8634729999999993E-3</v>
      </c>
      <c r="W2439">
        <v>-6.935732E-2</v>
      </c>
      <c r="X2439">
        <v>0.99754310000000002</v>
      </c>
      <c r="Y2439">
        <v>-0.130658</v>
      </c>
      <c r="Z2439">
        <v>-4.5246039999999998E-3</v>
      </c>
      <c r="AA2439">
        <v>0.9914172</v>
      </c>
      <c r="AB2439">
        <v>39</v>
      </c>
      <c r="AC2439">
        <v>-17.466799999999999</v>
      </c>
      <c r="AD2439">
        <v>-1.1207632327470001</v>
      </c>
      <c r="AE2439">
        <v>-2.5977000000000299</v>
      </c>
      <c r="AF2439">
        <v>-2.3340967007127298</v>
      </c>
      <c r="AG2439">
        <v>-1.1207632327470001</v>
      </c>
      <c r="AH2439">
        <v>17.432498895996002</v>
      </c>
      <c r="AI2439">
        <v>93.646125786737798</v>
      </c>
      <c r="AJ2439">
        <v>97.626170488104194</v>
      </c>
      <c r="AK2439">
        <v>17.623737838241301</v>
      </c>
      <c r="AL2439">
        <v>93.9770747245081</v>
      </c>
      <c r="AM2439">
        <v>89.433491186544899</v>
      </c>
      <c r="AN2439">
        <v>0.99999998114740596</v>
      </c>
    </row>
    <row r="2440" spans="1:40" x14ac:dyDescent="0.25">
      <c r="A2440" t="str">
        <f>"20190303154814978"</f>
        <v>20190303154814978</v>
      </c>
      <c r="B2440" t="str">
        <f>"1551599294973449"</f>
        <v>1551599294973449</v>
      </c>
      <c r="C2440" t="s">
        <v>40</v>
      </c>
      <c r="D2440">
        <v>5.4132049999999996</v>
      </c>
      <c r="E2440">
        <v>0.4462798</v>
      </c>
      <c r="F2440" t="s">
        <v>54</v>
      </c>
      <c r="G2440">
        <v>-422.6737</v>
      </c>
      <c r="H2440" s="1">
        <v>3.725724E-6</v>
      </c>
      <c r="I2440">
        <v>281.9237</v>
      </c>
      <c r="J2440">
        <v>-405.25880000000001</v>
      </c>
      <c r="K2440">
        <v>1.120849</v>
      </c>
      <c r="L2440">
        <v>284.52140000000003</v>
      </c>
      <c r="M2440">
        <v>-0.99975119999999895</v>
      </c>
      <c r="N2440">
        <v>-1.7098060000000002E-2</v>
      </c>
      <c r="O2440">
        <v>-1.4337239999999999E-2</v>
      </c>
      <c r="P2440">
        <v>-0.99628320000000004</v>
      </c>
      <c r="Q2440">
        <v>-8.6067809999999995E-2</v>
      </c>
      <c r="R2440">
        <v>-3.5296920000000001E-3</v>
      </c>
      <c r="S2440">
        <v>-2.9927980000000001</v>
      </c>
      <c r="T2440">
        <v>-0.18947430000000001</v>
      </c>
      <c r="U2440">
        <v>-0.43981930000000002</v>
      </c>
      <c r="V2440">
        <v>1.0714889999999999E-2</v>
      </c>
      <c r="W2440">
        <v>-6.9028140000000002E-2</v>
      </c>
      <c r="X2440">
        <v>0.99755720000000003</v>
      </c>
      <c r="Y2440">
        <v>-0.13088359999999999</v>
      </c>
      <c r="Z2440">
        <v>-4.5853730000000002E-3</v>
      </c>
      <c r="AA2440">
        <v>0.99138709999999997</v>
      </c>
      <c r="AB2440">
        <v>39</v>
      </c>
      <c r="AC2440">
        <v>-17.4148999999999</v>
      </c>
      <c r="AD2440">
        <v>-1.120845274276</v>
      </c>
      <c r="AE2440">
        <v>-2.5977000000000299</v>
      </c>
      <c r="AF2440">
        <v>-2.33823981880861</v>
      </c>
      <c r="AG2440">
        <v>-1.120845274276</v>
      </c>
      <c r="AH2440">
        <v>17.379931639715501</v>
      </c>
      <c r="AI2440">
        <v>93.657081570861195</v>
      </c>
      <c r="AJ2440">
        <v>97.662379949284897</v>
      </c>
      <c r="AK2440">
        <v>17.572298750599298</v>
      </c>
      <c r="AL2440">
        <v>93.958168593539696</v>
      </c>
      <c r="AM2440">
        <v>89.384602339629495</v>
      </c>
      <c r="AN2440">
        <v>1.0000000301256999</v>
      </c>
    </row>
    <row r="2441" spans="1:40" x14ac:dyDescent="0.25">
      <c r="A2441" t="str">
        <f>"20190303154815002"</f>
        <v>20190303154815002</v>
      </c>
      <c r="B2441" t="str">
        <f>"1551599294992969"</f>
        <v>1551599294992969</v>
      </c>
      <c r="C2441" t="s">
        <v>40</v>
      </c>
      <c r="D2441">
        <v>5.4102670000000002</v>
      </c>
      <c r="E2441">
        <v>0.44601649999999998</v>
      </c>
      <c r="F2441" t="s">
        <v>54</v>
      </c>
      <c r="G2441">
        <v>-422.98660000000001</v>
      </c>
      <c r="H2441" s="1">
        <v>3.6702590000000002E-6</v>
      </c>
      <c r="I2441">
        <v>281.92340000000002</v>
      </c>
      <c r="J2441">
        <v>-405.64670000000001</v>
      </c>
      <c r="K2441">
        <v>1.1209420000000001</v>
      </c>
      <c r="L2441">
        <v>284.51609999999999</v>
      </c>
      <c r="M2441">
        <v>-0.99974289999999999</v>
      </c>
      <c r="N2441">
        <v>-1.780294E-2</v>
      </c>
      <c r="O2441">
        <v>-1.4054570000000001E-2</v>
      </c>
      <c r="P2441">
        <v>-0.99625609999999998</v>
      </c>
      <c r="Q2441">
        <v>-8.6417880000000002E-2</v>
      </c>
      <c r="R2441">
        <v>-2.4677449999999999E-3</v>
      </c>
      <c r="S2441">
        <v>-2.9932859999999999</v>
      </c>
      <c r="T2441">
        <v>-0.18925130000000001</v>
      </c>
      <c r="U2441">
        <v>-0.43865969999999999</v>
      </c>
      <c r="V2441">
        <v>1.1490520000000001E-2</v>
      </c>
      <c r="W2441">
        <v>-6.8676749999999995E-2</v>
      </c>
      <c r="X2441">
        <v>0.99757280000000004</v>
      </c>
      <c r="Y2441">
        <v>-0.13076179999999901</v>
      </c>
      <c r="Z2441">
        <v>-4.6454740000000001E-3</v>
      </c>
      <c r="AA2441">
        <v>0.99140289999999998</v>
      </c>
      <c r="AB2441">
        <v>39</v>
      </c>
      <c r="AC2441">
        <v>-17.3399</v>
      </c>
      <c r="AD2441">
        <v>-1.1209383297409901</v>
      </c>
      <c r="AE2441">
        <v>-2.5926999999999798</v>
      </c>
      <c r="AF2441">
        <v>-2.3391389606871602</v>
      </c>
      <c r="AG2441">
        <v>-1.1209383297409901</v>
      </c>
      <c r="AH2441">
        <v>17.3039005259863</v>
      </c>
      <c r="AI2441">
        <v>93.673098514127901</v>
      </c>
      <c r="AJ2441">
        <v>97.698568654480596</v>
      </c>
      <c r="AK2441">
        <v>17.497229701576099</v>
      </c>
      <c r="AL2441">
        <v>93.937987618178994</v>
      </c>
      <c r="AM2441">
        <v>89.340069028786104</v>
      </c>
      <c r="AN2441">
        <v>1.00000000967013</v>
      </c>
    </row>
    <row r="2442" spans="1:40" x14ac:dyDescent="0.25">
      <c r="A2442" t="str">
        <f>"20190303154815024"</f>
        <v>20190303154815024</v>
      </c>
      <c r="B2442" t="str">
        <f>"1551599295013465"</f>
        <v>1551599295013465</v>
      </c>
      <c r="C2442" t="s">
        <v>40</v>
      </c>
      <c r="D2442">
        <v>5.411238</v>
      </c>
      <c r="E2442">
        <v>0.4457392</v>
      </c>
      <c r="F2442" t="s">
        <v>54</v>
      </c>
      <c r="G2442">
        <v>-423.33249999999998</v>
      </c>
      <c r="H2442" s="1">
        <v>3.608177E-6</v>
      </c>
      <c r="I2442">
        <v>281.93150000000003</v>
      </c>
      <c r="J2442">
        <v>-406.02789999999999</v>
      </c>
      <c r="K2442">
        <v>1.1210089999999999</v>
      </c>
      <c r="L2442">
        <v>284.5111</v>
      </c>
      <c r="M2442">
        <v>-0.99973489999999998</v>
      </c>
      <c r="N2442">
        <v>-1.8462590000000001E-2</v>
      </c>
      <c r="O2442">
        <v>-1.37644E-2</v>
      </c>
      <c r="P2442">
        <v>-0.99620580000000003</v>
      </c>
      <c r="Q2442">
        <v>-8.7024770000000001E-2</v>
      </c>
      <c r="R2442">
        <v>-1.080377E-3</v>
      </c>
      <c r="S2442">
        <v>-2.993744</v>
      </c>
      <c r="T2442">
        <v>-0.18974489999999999</v>
      </c>
      <c r="U2442">
        <v>-0.4375</v>
      </c>
      <c r="V2442">
        <v>1.2584700000000001E-2</v>
      </c>
      <c r="W2442">
        <v>-6.862799E-2</v>
      </c>
      <c r="X2442">
        <v>0.99756290000000003</v>
      </c>
      <c r="Y2442">
        <v>-0.13064719999999999</v>
      </c>
      <c r="Z2442">
        <v>-4.7143649999999999E-3</v>
      </c>
      <c r="AA2442">
        <v>0.99141769999999996</v>
      </c>
      <c r="AB2442">
        <v>39</v>
      </c>
      <c r="AC2442">
        <v>-17.304599999999901</v>
      </c>
      <c r="AD2442">
        <v>-1.1210053918230001</v>
      </c>
      <c r="AE2442">
        <v>-2.5795999999999699</v>
      </c>
      <c r="AF2442">
        <v>-2.3315557390077601</v>
      </c>
      <c r="AG2442">
        <v>-1.1210053918230001</v>
      </c>
      <c r="AH2442">
        <v>17.267583837535099</v>
      </c>
      <c r="AI2442">
        <v>93.681097482906594</v>
      </c>
      <c r="AJ2442">
        <v>97.689855275475693</v>
      </c>
      <c r="AK2442">
        <v>17.4603051759956</v>
      </c>
      <c r="AL2442">
        <v>93.935187474315597</v>
      </c>
      <c r="AM2442">
        <v>89.277226580390504</v>
      </c>
      <c r="AN2442">
        <v>0.99999995757096904</v>
      </c>
    </row>
    <row r="2443" spans="1:40" x14ac:dyDescent="0.25">
      <c r="A2443" t="str">
        <f>"20190303154815045"</f>
        <v>20190303154815045</v>
      </c>
      <c r="B2443" t="str">
        <f>"1551599295042745"</f>
        <v>1551599295042745</v>
      </c>
      <c r="C2443" t="s">
        <v>40</v>
      </c>
      <c r="D2443">
        <v>5.371308</v>
      </c>
      <c r="E2443">
        <v>0.4453357</v>
      </c>
      <c r="F2443" t="s">
        <v>54</v>
      </c>
      <c r="G2443">
        <v>-423.59429999999998</v>
      </c>
      <c r="H2443" s="1">
        <v>3.5595840000000002E-6</v>
      </c>
      <c r="I2443">
        <v>281.95620000000002</v>
      </c>
      <c r="J2443">
        <v>-406.40260000000001</v>
      </c>
      <c r="K2443">
        <v>1.1210639999999901</v>
      </c>
      <c r="L2443">
        <v>284.50619999999998</v>
      </c>
      <c r="M2443">
        <v>-0.99972760000000005</v>
      </c>
      <c r="N2443">
        <v>-1.906689E-2</v>
      </c>
      <c r="O2443">
        <v>-1.3469170000000001E-2</v>
      </c>
      <c r="P2443">
        <v>-0.99619820000000003</v>
      </c>
      <c r="Q2443">
        <v>-8.7114330000000004E-2</v>
      </c>
      <c r="R2443">
        <v>9.5130499999999995E-4</v>
      </c>
      <c r="S2443">
        <v>-2.9942319999999998</v>
      </c>
      <c r="T2443">
        <v>-0.19107750000000001</v>
      </c>
      <c r="U2443">
        <v>-0.43548579999999998</v>
      </c>
      <c r="V2443">
        <v>1.4320070000000001E-2</v>
      </c>
      <c r="W2443">
        <v>-6.8116979999999994E-2</v>
      </c>
      <c r="X2443">
        <v>0.99757459999999998</v>
      </c>
      <c r="Y2443">
        <v>-0.1302576</v>
      </c>
      <c r="Z2443">
        <v>-4.7817800000000002E-3</v>
      </c>
      <c r="AA2443">
        <v>0.99146869999999998</v>
      </c>
      <c r="AB2443">
        <v>38</v>
      </c>
      <c r="AC2443">
        <v>-17.191699999999901</v>
      </c>
      <c r="AD2443">
        <v>-1.1210604404159901</v>
      </c>
      <c r="AE2443">
        <v>-2.5499999999999501</v>
      </c>
      <c r="AF2443">
        <v>-2.3085632935923202</v>
      </c>
      <c r="AG2443">
        <v>-1.1210604404159901</v>
      </c>
      <c r="AH2443">
        <v>17.1531231009713</v>
      </c>
      <c r="AI2443">
        <v>93.705989255589103</v>
      </c>
      <c r="AJ2443">
        <v>97.665127864266097</v>
      </c>
      <c r="AK2443">
        <v>17.344044312347201</v>
      </c>
      <c r="AL2443">
        <v>93.905839776778905</v>
      </c>
      <c r="AM2443">
        <v>89.177582084050201</v>
      </c>
      <c r="AN2443">
        <v>1.0000000349671401</v>
      </c>
    </row>
    <row r="2444" spans="1:40" x14ac:dyDescent="0.25">
      <c r="A2444" t="str">
        <f>"20190303154815068"</f>
        <v>20190303154815068</v>
      </c>
      <c r="B2444" t="str">
        <f>"1551599295063245"</f>
        <v>1551599295063245</v>
      </c>
      <c r="C2444" t="s">
        <v>40</v>
      </c>
      <c r="D2444">
        <v>5.3427800000000003</v>
      </c>
      <c r="E2444">
        <v>0.44495449999999998</v>
      </c>
      <c r="F2444" t="s">
        <v>54</v>
      </c>
      <c r="G2444">
        <v>-424.01389999999998</v>
      </c>
      <c r="H2444" s="1">
        <v>3.4845529999999998E-6</v>
      </c>
      <c r="I2444">
        <v>281.96319999999997</v>
      </c>
      <c r="J2444">
        <v>-406.78649999999999</v>
      </c>
      <c r="K2444">
        <v>1.121111</v>
      </c>
      <c r="L2444">
        <v>284.50139999999999</v>
      </c>
      <c r="M2444">
        <v>-0.99972079999999997</v>
      </c>
      <c r="N2444">
        <v>-1.9634849999999999E-2</v>
      </c>
      <c r="O2444">
        <v>-1.3157429999999999E-2</v>
      </c>
      <c r="P2444">
        <v>-0.99621680000000001</v>
      </c>
      <c r="Q2444">
        <v>-8.6873720000000001E-2</v>
      </c>
      <c r="R2444">
        <v>2.2734840000000001E-3</v>
      </c>
      <c r="S2444">
        <v>-2.9951479999999999</v>
      </c>
      <c r="T2444">
        <v>-0.1906582</v>
      </c>
      <c r="U2444">
        <v>-0.43249510000000002</v>
      </c>
      <c r="V2444">
        <v>1.5330470000000001E-2</v>
      </c>
      <c r="W2444">
        <v>-6.7310770000000006E-2</v>
      </c>
      <c r="X2444">
        <v>0.99761429999999995</v>
      </c>
      <c r="Y2444">
        <v>-0.129554</v>
      </c>
      <c r="Z2444">
        <v>-4.8030440000000002E-3</v>
      </c>
      <c r="AA2444">
        <v>0.99156080000000002</v>
      </c>
      <c r="AB2444">
        <v>38</v>
      </c>
      <c r="AC2444">
        <v>-17.2273999999999</v>
      </c>
      <c r="AD2444">
        <v>-1.121107515447</v>
      </c>
      <c r="AE2444">
        <v>-2.53820000000001</v>
      </c>
      <c r="AF2444">
        <v>-2.30172747708587</v>
      </c>
      <c r="AG2444">
        <v>-1.121107515447</v>
      </c>
      <c r="AH2444">
        <v>17.1880656280109</v>
      </c>
      <c r="AI2444">
        <v>93.698957498747305</v>
      </c>
      <c r="AJ2444">
        <v>97.627345400938296</v>
      </c>
      <c r="AK2444">
        <v>17.3776992571736</v>
      </c>
      <c r="AL2444">
        <v>93.859541110678705</v>
      </c>
      <c r="AM2444">
        <v>89.119597527155904</v>
      </c>
      <c r="AN2444">
        <v>1.00000002731645</v>
      </c>
    </row>
    <row r="2445" spans="1:40" x14ac:dyDescent="0.25">
      <c r="A2445" t="str">
        <f>"20190303154815081"</f>
        <v>20190303154815081</v>
      </c>
      <c r="B2445" t="str">
        <f>"1551599295073002"</f>
        <v>1551599295073002</v>
      </c>
      <c r="C2445" t="s">
        <v>40</v>
      </c>
      <c r="D2445">
        <v>5.4032</v>
      </c>
      <c r="E2445">
        <v>0.44476169999999998</v>
      </c>
      <c r="F2445" t="s">
        <v>54</v>
      </c>
      <c r="G2445">
        <v>-424.48289999999997</v>
      </c>
      <c r="H2445" s="1">
        <v>3.4023739999999999E-6</v>
      </c>
      <c r="I2445">
        <v>281.95139999999998</v>
      </c>
      <c r="J2445">
        <v>-407.01490000000001</v>
      </c>
      <c r="K2445">
        <v>1.1211359999999999</v>
      </c>
      <c r="L2445">
        <v>284.49860000000001</v>
      </c>
      <c r="M2445">
        <v>-0.99971690000000002</v>
      </c>
      <c r="N2445">
        <v>-1.995127E-2</v>
      </c>
      <c r="O2445">
        <v>-1.296887E-2</v>
      </c>
      <c r="P2445">
        <v>-0.99618269999999998</v>
      </c>
      <c r="Q2445">
        <v>-8.7250590000000003E-2</v>
      </c>
      <c r="R2445">
        <v>2.7444869999999999E-3</v>
      </c>
      <c r="S2445">
        <v>-2.9957889999999998</v>
      </c>
      <c r="T2445">
        <v>-0.18978970000000001</v>
      </c>
      <c r="U2445">
        <v>-0.43167109999999898</v>
      </c>
      <c r="V2445">
        <v>1.5612529999999999E-2</v>
      </c>
      <c r="W2445">
        <v>-6.7372959999999996E-2</v>
      </c>
      <c r="X2445">
        <v>0.99760570000000004</v>
      </c>
      <c r="Y2445">
        <v>-0.129445</v>
      </c>
      <c r="Z2445">
        <v>-4.8159190000000001E-3</v>
      </c>
      <c r="AA2445">
        <v>0.99157490000000004</v>
      </c>
      <c r="AB2445">
        <v>38</v>
      </c>
      <c r="AC2445">
        <v>-17.4679999999999</v>
      </c>
      <c r="AD2445">
        <v>-1.121132597626</v>
      </c>
      <c r="AE2445">
        <v>-2.5472000000000299</v>
      </c>
      <c r="AF2445">
        <v>-2.31107849029351</v>
      </c>
      <c r="AG2445">
        <v>-1.121132597626</v>
      </c>
      <c r="AH2445">
        <v>17.429269058338399</v>
      </c>
      <c r="AI2445">
        <v>93.648615524854094</v>
      </c>
      <c r="AJ2445">
        <v>97.553218845971003</v>
      </c>
      <c r="AK2445">
        <v>17.617532233480102</v>
      </c>
      <c r="AL2445">
        <v>93.863112548819501</v>
      </c>
      <c r="AM2445">
        <v>89.103394199832707</v>
      </c>
      <c r="AN2445">
        <v>0.99999999975232601</v>
      </c>
    </row>
    <row r="2446" spans="1:40" x14ac:dyDescent="0.25">
      <c r="A2446" t="str">
        <f>"20190303154815095"</f>
        <v>20190303154815095</v>
      </c>
      <c r="B2446" t="str">
        <f>"1551599295093498"</f>
        <v>1551599295093498</v>
      </c>
      <c r="C2446" t="s">
        <v>40</v>
      </c>
      <c r="D2446">
        <v>5.3303529999999997</v>
      </c>
      <c r="E2446">
        <v>0.4444128</v>
      </c>
      <c r="F2446" t="s">
        <v>54</v>
      </c>
      <c r="G2446">
        <v>-424.5693</v>
      </c>
      <c r="H2446" s="1">
        <v>3.3854499999999999E-6</v>
      </c>
      <c r="I2446">
        <v>281.96980000000002</v>
      </c>
      <c r="J2446">
        <v>-407.25599999999997</v>
      </c>
      <c r="K2446">
        <v>1.121159</v>
      </c>
      <c r="L2446">
        <v>284.4957</v>
      </c>
      <c r="M2446">
        <v>-0.99971339999999997</v>
      </c>
      <c r="N2446">
        <v>-2.025238E-2</v>
      </c>
      <c r="O2446">
        <v>-1.276679E-2</v>
      </c>
      <c r="P2446">
        <v>-0.99620129999999996</v>
      </c>
      <c r="Q2446">
        <v>-8.7032209999999999E-2</v>
      </c>
      <c r="R2446">
        <v>2.896493E-3</v>
      </c>
      <c r="S2446">
        <v>-2.9959410000000002</v>
      </c>
      <c r="T2446">
        <v>-0.19133929999999999</v>
      </c>
      <c r="U2446">
        <v>-0.43157960000000001</v>
      </c>
      <c r="V2446">
        <v>1.556363E-2</v>
      </c>
      <c r="W2446">
        <v>-6.6853780000000002E-2</v>
      </c>
      <c r="X2446">
        <v>0.99764140000000001</v>
      </c>
      <c r="Y2446">
        <v>-0.12960199999999999</v>
      </c>
      <c r="Z2446">
        <v>-4.8811790000000002E-3</v>
      </c>
      <c r="AA2446">
        <v>0.99155409999999999</v>
      </c>
      <c r="AB2446">
        <v>38</v>
      </c>
      <c r="AC2446">
        <v>-17.313300000000002</v>
      </c>
      <c r="AD2446">
        <v>-1.1211556145499999</v>
      </c>
      <c r="AE2446">
        <v>-2.5258999999999698</v>
      </c>
      <c r="AF2446">
        <v>-2.2951892704049701</v>
      </c>
      <c r="AG2446">
        <v>-1.1211556145499999</v>
      </c>
      <c r="AH2446">
        <v>17.2732178118309</v>
      </c>
      <c r="AI2446">
        <v>93.681430145014403</v>
      </c>
      <c r="AJ2446">
        <v>97.568874028729198</v>
      </c>
      <c r="AK2446">
        <v>17.4610691904583</v>
      </c>
      <c r="AL2446">
        <v>93.833298471122305</v>
      </c>
      <c r="AM2446">
        <v>89.1062339811089</v>
      </c>
      <c r="AN2446">
        <v>1.00000000873651</v>
      </c>
    </row>
    <row r="2447" spans="1:40" x14ac:dyDescent="0.25">
      <c r="A2447" t="str">
        <f>"20190303154815113"</f>
        <v>20190303154815113</v>
      </c>
      <c r="B2447" t="str">
        <f>"1551599295103257"</f>
        <v>1551599295103257</v>
      </c>
      <c r="C2447" t="s">
        <v>40</v>
      </c>
      <c r="D2447">
        <v>5.3248300000000004</v>
      </c>
      <c r="E2447">
        <v>0.44426900000000002</v>
      </c>
      <c r="F2447" t="s">
        <v>54</v>
      </c>
      <c r="G2447">
        <v>-424.95190000000002</v>
      </c>
      <c r="H2447" s="1">
        <v>3.320913E-6</v>
      </c>
      <c r="I2447">
        <v>281.93169999999998</v>
      </c>
      <c r="J2447">
        <v>-407.54</v>
      </c>
      <c r="K2447">
        <v>1.121176</v>
      </c>
      <c r="L2447">
        <v>284.4923</v>
      </c>
      <c r="M2447">
        <v>-0.99970999999999999</v>
      </c>
      <c r="N2447">
        <v>-2.057026E-2</v>
      </c>
      <c r="O2447">
        <v>-1.25282E-2</v>
      </c>
      <c r="P2447">
        <v>-0.99619650000000004</v>
      </c>
      <c r="Q2447">
        <v>-8.7076189999999998E-2</v>
      </c>
      <c r="R2447">
        <v>3.2581620000000002E-3</v>
      </c>
      <c r="S2447">
        <v>-2.996124</v>
      </c>
      <c r="T2447">
        <v>-0.18982460000000001</v>
      </c>
      <c r="U2447">
        <v>-0.43411250000000001</v>
      </c>
      <c r="V2447">
        <v>1.5687610000000001E-2</v>
      </c>
      <c r="W2447">
        <v>-6.6580849999999997E-2</v>
      </c>
      <c r="X2447">
        <v>0.99765769999999998</v>
      </c>
      <c r="Y2447">
        <v>-0.1306512</v>
      </c>
      <c r="Z2447">
        <v>-4.933542E-3</v>
      </c>
      <c r="AA2447">
        <v>0.99141610000000002</v>
      </c>
      <c r="AB2447">
        <v>38</v>
      </c>
      <c r="AC2447">
        <v>-17.411899999999999</v>
      </c>
      <c r="AD2447">
        <v>-1.121172679087</v>
      </c>
      <c r="AE2447">
        <v>-2.56060000000002</v>
      </c>
      <c r="AF2447">
        <v>-2.3327457073026601</v>
      </c>
      <c r="AG2447">
        <v>-1.121172679087</v>
      </c>
      <c r="AH2447">
        <v>17.3721155144795</v>
      </c>
      <c r="AI2447">
        <v>93.659911567071603</v>
      </c>
      <c r="AJ2447">
        <v>97.647987757610494</v>
      </c>
      <c r="AK2447">
        <v>17.563858578333299</v>
      </c>
      <c r="AL2447">
        <v>93.817625853154695</v>
      </c>
      <c r="AM2447">
        <v>89.0991301191454</v>
      </c>
      <c r="AN2447">
        <v>0.99999999853176202</v>
      </c>
    </row>
    <row r="2448" spans="1:40" x14ac:dyDescent="0.25">
      <c r="A2448" t="str">
        <f>"20190303154815135"</f>
        <v>20190303154815135</v>
      </c>
      <c r="B2448" t="str">
        <f>"1551599295122778"</f>
        <v>1551599295122778</v>
      </c>
      <c r="C2448" t="s">
        <v>40</v>
      </c>
      <c r="D2448">
        <v>5.2603759999999999</v>
      </c>
      <c r="E2448">
        <v>0.44392280000000001</v>
      </c>
      <c r="F2448" t="s">
        <v>54</v>
      </c>
      <c r="G2448">
        <v>-425.2842</v>
      </c>
      <c r="H2448" s="1">
        <v>3.262834E-6</v>
      </c>
      <c r="I2448">
        <v>281.92180000000002</v>
      </c>
      <c r="J2448">
        <v>-407.91730000000001</v>
      </c>
      <c r="K2448">
        <v>1.121181</v>
      </c>
      <c r="L2448">
        <v>284.48790000000002</v>
      </c>
      <c r="M2448">
        <v>-0.99970669999999995</v>
      </c>
      <c r="N2448">
        <v>-2.0917910000000001E-2</v>
      </c>
      <c r="O2448">
        <v>-1.2209879999999999E-2</v>
      </c>
      <c r="P2448">
        <v>-0.99617860000000003</v>
      </c>
      <c r="Q2448">
        <v>-8.7276090000000001E-2</v>
      </c>
      <c r="R2448">
        <v>3.2992099999999999E-3</v>
      </c>
      <c r="S2448">
        <v>-2.9963380000000002</v>
      </c>
      <c r="T2448">
        <v>-0.1893251</v>
      </c>
      <c r="U2448">
        <v>-0.43405149999999998</v>
      </c>
      <c r="V2448">
        <v>1.541091E-2</v>
      </c>
      <c r="W2448">
        <v>-6.6433939999999997E-2</v>
      </c>
      <c r="X2448">
        <v>0.9976718</v>
      </c>
      <c r="Y2448">
        <v>-0.13093589999999999</v>
      </c>
      <c r="Z2448">
        <v>-4.9770700000000001E-3</v>
      </c>
      <c r="AA2448">
        <v>0.99137839999999999</v>
      </c>
      <c r="AB2448">
        <v>38</v>
      </c>
      <c r="AC2448">
        <v>-17.366899999999902</v>
      </c>
      <c r="AD2448">
        <v>-1.1211777371660001</v>
      </c>
      <c r="AE2448">
        <v>-2.5661</v>
      </c>
      <c r="AF2448">
        <v>-2.34425290455416</v>
      </c>
      <c r="AG2448">
        <v>-1.1211777371660001</v>
      </c>
      <c r="AH2448">
        <v>17.3262743324008</v>
      </c>
      <c r="AI2448">
        <v>93.669091055943596</v>
      </c>
      <c r="AJ2448">
        <v>97.705354112649601</v>
      </c>
      <c r="AK2448">
        <v>17.520055463395</v>
      </c>
      <c r="AL2448">
        <v>93.809189875209995</v>
      </c>
      <c r="AM2448">
        <v>89.115029728792905</v>
      </c>
      <c r="AN2448">
        <v>0.99999999252309502</v>
      </c>
    </row>
    <row r="2449" spans="1:40" x14ac:dyDescent="0.25">
      <c r="A2449" t="str">
        <f>"20190303154815156"</f>
        <v>20190303154815156</v>
      </c>
      <c r="B2449" t="str">
        <f>"1551599295153034"</f>
        <v>1551599295153034</v>
      </c>
      <c r="C2449" t="s">
        <v>40</v>
      </c>
      <c r="D2449">
        <v>5.249568</v>
      </c>
      <c r="E2449">
        <v>0.44330399999999998</v>
      </c>
      <c r="F2449" t="s">
        <v>54</v>
      </c>
      <c r="G2449">
        <v>-425.67610000000002</v>
      </c>
      <c r="H2449" s="1">
        <v>3.1951690000000001E-6</v>
      </c>
      <c r="I2449">
        <v>281.90069999999997</v>
      </c>
      <c r="J2449">
        <v>-408.28410000000002</v>
      </c>
      <c r="K2449">
        <v>1.1211660000000001</v>
      </c>
      <c r="L2449">
        <v>284.48379999999997</v>
      </c>
      <c r="M2449">
        <v>-0.99970519999999996</v>
      </c>
      <c r="N2449">
        <v>-2.1163060000000001E-2</v>
      </c>
      <c r="O2449">
        <v>-1.1900020000000001E-2</v>
      </c>
      <c r="P2449">
        <v>-0.99611419999999995</v>
      </c>
      <c r="Q2449">
        <v>-8.8024420000000006E-2</v>
      </c>
      <c r="R2449">
        <v>2.8997609999999998E-3</v>
      </c>
      <c r="S2449">
        <v>-2.9963380000000002</v>
      </c>
      <c r="T2449">
        <v>-0.18917020000000001</v>
      </c>
      <c r="U2449">
        <v>-0.43652340000000001</v>
      </c>
      <c r="V2449">
        <v>1.4701840000000001E-2</v>
      </c>
      <c r="W2449">
        <v>-6.6938049999999999E-2</v>
      </c>
      <c r="X2449">
        <v>0.9976488</v>
      </c>
      <c r="Y2449">
        <v>-0.13204009999999999</v>
      </c>
      <c r="Z2449">
        <v>-5.0526640000000001E-3</v>
      </c>
      <c r="AA2449">
        <v>0.99123150000000004</v>
      </c>
      <c r="AB2449">
        <v>38</v>
      </c>
      <c r="AC2449">
        <v>-17.3919999999999</v>
      </c>
      <c r="AD2449">
        <v>-1.1211628048309901</v>
      </c>
      <c r="AE2449">
        <v>-2.5831</v>
      </c>
      <c r="AF2449">
        <v>-2.3662842993697701</v>
      </c>
      <c r="AG2449">
        <v>-1.1211628048309901</v>
      </c>
      <c r="AH2449">
        <v>17.350965570703501</v>
      </c>
      <c r="AI2449">
        <v>93.663310400536403</v>
      </c>
      <c r="AJ2449">
        <v>97.765955544410005</v>
      </c>
      <c r="AK2449">
        <v>17.5474304003782</v>
      </c>
      <c r="AL2449">
        <v>93.838137708381396</v>
      </c>
      <c r="AM2449">
        <v>89.155722520070995</v>
      </c>
      <c r="AN2449">
        <v>0.99999998738931395</v>
      </c>
    </row>
    <row r="2450" spans="1:40" x14ac:dyDescent="0.25">
      <c r="A2450" t="str">
        <f>"20190303154815180"</f>
        <v>20190303154815180</v>
      </c>
      <c r="B2450" t="str">
        <f>"1551599295173529"</f>
        <v>1551599295173529</v>
      </c>
      <c r="C2450" t="s">
        <v>40</v>
      </c>
      <c r="D2450">
        <v>5.2351089999999996</v>
      </c>
      <c r="E2450">
        <v>0.4428935</v>
      </c>
      <c r="F2450" t="s">
        <v>54</v>
      </c>
      <c r="G2450">
        <v>-425.83800000000002</v>
      </c>
      <c r="H2450" s="1">
        <v>3.167411E-6</v>
      </c>
      <c r="I2450">
        <v>281.8897</v>
      </c>
      <c r="J2450">
        <v>-408.65989999999999</v>
      </c>
      <c r="K2450">
        <v>1.121138</v>
      </c>
      <c r="L2450">
        <v>284.4796</v>
      </c>
      <c r="M2450">
        <v>-0.99970579999999998</v>
      </c>
      <c r="N2450">
        <v>-2.1312669999999999E-2</v>
      </c>
      <c r="O2450">
        <v>-1.1581859999999999E-2</v>
      </c>
      <c r="P2450">
        <v>-0.99603799999999998</v>
      </c>
      <c r="Q2450">
        <v>-8.8904269999999994E-2</v>
      </c>
      <c r="R2450">
        <v>2.212889E-3</v>
      </c>
      <c r="S2450">
        <v>-2.9960939999999998</v>
      </c>
      <c r="T2450">
        <v>-0.1913598</v>
      </c>
      <c r="U2450">
        <v>-0.442749</v>
      </c>
      <c r="V2450">
        <v>1.369681E-2</v>
      </c>
      <c r="W2450">
        <v>-6.7668909999999999E-2</v>
      </c>
      <c r="X2450">
        <v>0.9976138</v>
      </c>
      <c r="Y2450">
        <v>-0.13436919999999999</v>
      </c>
      <c r="Z2450">
        <v>-5.215908E-3</v>
      </c>
      <c r="AA2450">
        <v>0.99091759999999995</v>
      </c>
      <c r="AB2450">
        <v>37</v>
      </c>
      <c r="AC2450">
        <v>-17.178100000000001</v>
      </c>
      <c r="AD2450">
        <v>-1.121134832589</v>
      </c>
      <c r="AE2450">
        <v>-2.5899000000000001</v>
      </c>
      <c r="AF2450">
        <v>-2.38081083901218</v>
      </c>
      <c r="AG2450">
        <v>-1.121134832589</v>
      </c>
      <c r="AH2450">
        <v>17.135582076283001</v>
      </c>
      <c r="AI2450">
        <v>93.707855903619404</v>
      </c>
      <c r="AJ2450">
        <v>97.910012964679296</v>
      </c>
      <c r="AK2450">
        <v>17.336475323924201</v>
      </c>
      <c r="AL2450">
        <v>93.880108062831397</v>
      </c>
      <c r="AM2450">
        <v>89.213402920654602</v>
      </c>
      <c r="AN2450">
        <v>0.999999988967602</v>
      </c>
    </row>
    <row r="2451" spans="1:40" x14ac:dyDescent="0.25">
      <c r="A2451" t="str">
        <f>"20190303154815202"</f>
        <v>20190303154815202</v>
      </c>
      <c r="B2451" t="str">
        <f>"1551599295193050"</f>
        <v>1551599295193050</v>
      </c>
      <c r="C2451" t="s">
        <v>40</v>
      </c>
      <c r="D2451">
        <v>5.2873340000000004</v>
      </c>
      <c r="E2451">
        <v>0.4427122</v>
      </c>
      <c r="F2451" t="s">
        <v>54</v>
      </c>
      <c r="G2451">
        <v>-425.97539999999998</v>
      </c>
      <c r="H2451" s="1">
        <v>3.1429739999999999E-6</v>
      </c>
      <c r="I2451">
        <v>281.8904</v>
      </c>
      <c r="J2451">
        <v>-409.02850000000001</v>
      </c>
      <c r="K2451">
        <v>1.121092</v>
      </c>
      <c r="L2451">
        <v>284.47570000000002</v>
      </c>
      <c r="M2451">
        <v>-0.99970879999999995</v>
      </c>
      <c r="N2451">
        <v>-2.1342179999999999E-2</v>
      </c>
      <c r="O2451">
        <v>-1.126682E-2</v>
      </c>
      <c r="P2451">
        <v>-0.99597480000000005</v>
      </c>
      <c r="Q2451">
        <v>-8.9609999999999995E-2</v>
      </c>
      <c r="R2451">
        <v>2.0630449999999999E-3</v>
      </c>
      <c r="S2451">
        <v>-2.9956049999999999</v>
      </c>
      <c r="T2451">
        <v>-0.1939582</v>
      </c>
      <c r="U2451">
        <v>-0.44793699999999997</v>
      </c>
      <c r="V2451">
        <v>1.3231919999999999E-2</v>
      </c>
      <c r="W2451">
        <v>-6.8345829999999996E-2</v>
      </c>
      <c r="X2451">
        <v>0.99757390000000001</v>
      </c>
      <c r="Y2451">
        <v>-0.1363695</v>
      </c>
      <c r="Z2451">
        <v>-5.3657779999999999E-3</v>
      </c>
      <c r="AA2451">
        <v>0.99064350000000001</v>
      </c>
      <c r="AB2451">
        <v>37</v>
      </c>
      <c r="AC2451">
        <v>-16.9468999999999</v>
      </c>
      <c r="AD2451">
        <v>-1.121088857026</v>
      </c>
      <c r="AE2451">
        <v>-2.5853000000000099</v>
      </c>
      <c r="AF2451">
        <v>-2.3839592024315799</v>
      </c>
      <c r="AG2451">
        <v>-1.121088857026</v>
      </c>
      <c r="AH2451">
        <v>16.902671021918099</v>
      </c>
      <c r="AI2451">
        <v>93.757568410471805</v>
      </c>
      <c r="AJ2451">
        <v>98.028065716432707</v>
      </c>
      <c r="AK2451">
        <v>17.106735205158099</v>
      </c>
      <c r="AL2451">
        <v>93.918982834459598</v>
      </c>
      <c r="AM2451">
        <v>89.240067613550494</v>
      </c>
      <c r="AN2451">
        <v>0.99999996107324196</v>
      </c>
    </row>
    <row r="2452" spans="1:40" x14ac:dyDescent="0.25">
      <c r="A2452" t="str">
        <f>"20190303154815225"</f>
        <v>20190303154815225</v>
      </c>
      <c r="B2452" t="str">
        <f>"1551599295213545"</f>
        <v>1551599295213545</v>
      </c>
      <c r="C2452" t="s">
        <v>40</v>
      </c>
      <c r="D2452">
        <v>5.3050420000000003</v>
      </c>
      <c r="E2452">
        <v>0.47209770000000001</v>
      </c>
      <c r="F2452" t="s">
        <v>54</v>
      </c>
      <c r="G2452">
        <v>-426.20409999999998</v>
      </c>
      <c r="H2452" s="1">
        <v>3.1018480000000002E-6</v>
      </c>
      <c r="I2452">
        <v>281.89679999999998</v>
      </c>
      <c r="J2452">
        <v>-409.40050000000002</v>
      </c>
      <c r="K2452">
        <v>1.1210439999999999</v>
      </c>
      <c r="L2452">
        <v>284.47190000000001</v>
      </c>
      <c r="M2452">
        <v>-0.99971410000000005</v>
      </c>
      <c r="N2452">
        <v>-2.125753E-2</v>
      </c>
      <c r="O2452">
        <v>-1.094764E-2</v>
      </c>
      <c r="P2452">
        <v>-0.99590809999999996</v>
      </c>
      <c r="Q2452">
        <v>-9.0347899999999995E-2</v>
      </c>
      <c r="R2452">
        <v>2.1045059999999999E-3</v>
      </c>
      <c r="S2452">
        <v>-2.9954529999999999</v>
      </c>
      <c r="T2452">
        <v>-0.19551930000000001</v>
      </c>
      <c r="U2452">
        <v>-0.4497681</v>
      </c>
      <c r="V2452">
        <v>1.295439E-2</v>
      </c>
      <c r="W2452">
        <v>-6.9169120000000001E-2</v>
      </c>
      <c r="X2452">
        <v>0.99752090000000004</v>
      </c>
      <c r="Y2452">
        <v>-0.13727790000000001</v>
      </c>
      <c r="Z2452">
        <v>-5.4416380000000004E-3</v>
      </c>
      <c r="AA2452">
        <v>0.9905176</v>
      </c>
      <c r="AB2452">
        <v>37</v>
      </c>
      <c r="AC2452">
        <v>-16.8035999999999</v>
      </c>
      <c r="AD2452">
        <v>-1.1210408981519999</v>
      </c>
      <c r="AE2452">
        <v>-2.5751000000000199</v>
      </c>
      <c r="AF2452">
        <v>-2.3805918517776901</v>
      </c>
      <c r="AG2452">
        <v>-1.1210408981519999</v>
      </c>
      <c r="AH2452">
        <v>16.7579154679098</v>
      </c>
      <c r="AI2452">
        <v>93.7892371500255</v>
      </c>
      <c r="AJ2452">
        <v>98.085211826504406</v>
      </c>
      <c r="AK2452">
        <v>16.963245004706199</v>
      </c>
      <c r="AL2452">
        <v>93.966265368078595</v>
      </c>
      <c r="AM2452">
        <v>89.2559653123635</v>
      </c>
      <c r="AN2452">
        <v>1.0000000646593199</v>
      </c>
    </row>
    <row r="2453" spans="1:40" x14ac:dyDescent="0.25">
      <c r="A2453" t="str">
        <f>"20190303154815246"</f>
        <v>20190303154815246</v>
      </c>
      <c r="B2453" t="str">
        <f>"1551599295242826"</f>
        <v>1551599295242826</v>
      </c>
      <c r="C2453" t="s">
        <v>40</v>
      </c>
      <c r="D2453">
        <v>5.1645300000000001</v>
      </c>
      <c r="E2453">
        <v>0.49758360000000001</v>
      </c>
      <c r="F2453" t="s">
        <v>54</v>
      </c>
      <c r="G2453">
        <v>-435.13729999999998</v>
      </c>
      <c r="H2453" s="1">
        <v>4.6687800000000004E-6</v>
      </c>
      <c r="I2453">
        <v>282.63040000000001</v>
      </c>
      <c r="J2453">
        <v>-409.75689999999997</v>
      </c>
      <c r="K2453">
        <v>1.1209849999999999</v>
      </c>
      <c r="L2453">
        <v>284.4683</v>
      </c>
      <c r="M2453">
        <v>-0.99972090000000002</v>
      </c>
      <c r="N2453">
        <v>-2.1092590000000001E-2</v>
      </c>
      <c r="O2453">
        <v>-1.0640169999999999E-2</v>
      </c>
      <c r="P2453">
        <v>-0.99587060000000005</v>
      </c>
      <c r="Q2453">
        <v>-9.0746980000000005E-2</v>
      </c>
      <c r="R2453">
        <v>2.6679949999999998E-3</v>
      </c>
      <c r="S2453">
        <v>-3.0009769999999998</v>
      </c>
      <c r="T2453">
        <v>-0.13071579999999999</v>
      </c>
      <c r="U2453">
        <v>-0.21472169999999999</v>
      </c>
      <c r="V2453">
        <v>1.321108E-2</v>
      </c>
      <c r="W2453">
        <v>-6.9733630000000005E-2</v>
      </c>
      <c r="X2453">
        <v>0.99747819999999998</v>
      </c>
      <c r="Y2453">
        <v>-6.0666289999999998E-2</v>
      </c>
      <c r="Z2453">
        <v>-1.721612E-3</v>
      </c>
      <c r="AA2453">
        <v>0.99815659999999895</v>
      </c>
      <c r="AB2453">
        <v>37</v>
      </c>
      <c r="AC2453">
        <v>-25.380400000000002</v>
      </c>
      <c r="AD2453">
        <v>-1.12098033122</v>
      </c>
      <c r="AE2453">
        <v>-1.8378999999999901</v>
      </c>
      <c r="AF2453">
        <v>-1.5646477516383199</v>
      </c>
      <c r="AG2453">
        <v>-1.12098033122</v>
      </c>
      <c r="AH2453">
        <v>25.3493305791227</v>
      </c>
      <c r="AI2453">
        <v>92.527240887319607</v>
      </c>
      <c r="AJ2453">
        <v>93.532011456982801</v>
      </c>
      <c r="AK2453">
        <v>25.4222988791206</v>
      </c>
      <c r="AL2453">
        <v>93.998687812134094</v>
      </c>
      <c r="AM2453">
        <v>89.241191565229101</v>
      </c>
      <c r="AN2453">
        <v>1.00000003563149</v>
      </c>
    </row>
    <row r="2454" spans="1:40" x14ac:dyDescent="0.25">
      <c r="A2454" t="str">
        <f>"20190303154815268"</f>
        <v>20190303154815268</v>
      </c>
      <c r="B2454" t="str">
        <f>"1551599295262871"</f>
        <v>1551599295262871</v>
      </c>
      <c r="C2454" t="s">
        <v>40</v>
      </c>
      <c r="D2454">
        <v>5.1399869999999996</v>
      </c>
      <c r="E2454">
        <v>0.50320640000000005</v>
      </c>
      <c r="F2454" t="s">
        <v>52</v>
      </c>
      <c r="G2454">
        <v>-444.72430000000003</v>
      </c>
      <c r="H2454" s="1">
        <v>9.8841769999999997E-7</v>
      </c>
      <c r="I2454">
        <v>284.36059999999998</v>
      </c>
      <c r="J2454">
        <v>-410.13029999999998</v>
      </c>
      <c r="K2454">
        <v>1.120935</v>
      </c>
      <c r="L2454">
        <v>284.46460000000002</v>
      </c>
      <c r="M2454">
        <v>-0.99972919999999998</v>
      </c>
      <c r="N2454">
        <v>-2.0864959999999998E-2</v>
      </c>
      <c r="O2454">
        <v>-1.031755E-2</v>
      </c>
      <c r="P2454">
        <v>-0.99586609999999998</v>
      </c>
      <c r="Q2454">
        <v>-9.0764280000000003E-2</v>
      </c>
      <c r="R2454">
        <v>3.5879089999999998E-3</v>
      </c>
      <c r="S2454">
        <v>-3.0037229999999999</v>
      </c>
      <c r="T2454">
        <v>-9.6293329999999996E-2</v>
      </c>
      <c r="U2454">
        <v>-9.2468259999999997E-3</v>
      </c>
      <c r="V2454">
        <v>1.3809689999999999E-2</v>
      </c>
      <c r="W2454">
        <v>-6.9978639999999995E-2</v>
      </c>
      <c r="X2454">
        <v>0.99745289999999998</v>
      </c>
      <c r="Y2454">
        <v>7.2346819999999897E-3</v>
      </c>
      <c r="Z2454">
        <v>3.0683650000000001E-4</v>
      </c>
      <c r="AA2454">
        <v>0.99997380000000002</v>
      </c>
      <c r="AB2454">
        <v>37</v>
      </c>
      <c r="AC2454">
        <v>-34.594000000000001</v>
      </c>
      <c r="AD2454">
        <v>-1.1209340115823001</v>
      </c>
      <c r="AE2454">
        <v>-0.104000000000041</v>
      </c>
      <c r="AF2454">
        <v>0.25274317357609999</v>
      </c>
      <c r="AG2454">
        <v>-1.1209340115823001</v>
      </c>
      <c r="AH2454">
        <v>34.556949212503604</v>
      </c>
      <c r="AI2454">
        <v>91.857819120687296</v>
      </c>
      <c r="AJ2454">
        <v>89.580956673623902</v>
      </c>
      <c r="AK2454">
        <v>34.576048227720698</v>
      </c>
      <c r="AL2454">
        <v>94.012760360984004</v>
      </c>
      <c r="AM2454">
        <v>89.206793219306803</v>
      </c>
      <c r="AN2454">
        <v>1.0000000026562701</v>
      </c>
    </row>
    <row r="2455" spans="1:40" x14ac:dyDescent="0.25">
      <c r="A2455" t="str">
        <f>"20190303154815291"</f>
        <v>20190303154815291</v>
      </c>
      <c r="B2455" t="str">
        <f>"1551599295283364"</f>
        <v>1551599295283364</v>
      </c>
      <c r="C2455" t="s">
        <v>40</v>
      </c>
      <c r="D2455">
        <v>5.1070970000000004</v>
      </c>
      <c r="E2455">
        <v>0.50630500000000001</v>
      </c>
      <c r="F2455" t="s">
        <v>52</v>
      </c>
      <c r="G2455">
        <v>-447.16820000000001</v>
      </c>
      <c r="H2455" s="1">
        <v>2.263728E-6</v>
      </c>
      <c r="I2455">
        <v>284.93759999999997</v>
      </c>
      <c r="J2455">
        <v>-410.48779999999999</v>
      </c>
      <c r="K2455">
        <v>1.120892</v>
      </c>
      <c r="L2455">
        <v>284.46129999999999</v>
      </c>
      <c r="M2455">
        <v>-0.99973780000000001</v>
      </c>
      <c r="N2455">
        <v>-2.060267E-2</v>
      </c>
      <c r="O2455">
        <v>-1.0008889999999999E-2</v>
      </c>
      <c r="P2455">
        <v>-0.99592729999999996</v>
      </c>
      <c r="Q2455">
        <v>-9.0087120000000007E-2</v>
      </c>
      <c r="R2455">
        <v>3.6667549999999998E-3</v>
      </c>
      <c r="S2455">
        <v>-3.0039980000000002</v>
      </c>
      <c r="T2455">
        <v>-9.0914369999999994E-2</v>
      </c>
      <c r="U2455">
        <v>3.8360600000000002E-2</v>
      </c>
      <c r="V2455">
        <v>1.358207E-2</v>
      </c>
      <c r="W2455">
        <v>-6.9561719999999994E-2</v>
      </c>
      <c r="X2455">
        <v>0.99748519999999896</v>
      </c>
      <c r="Y2455">
        <v>2.276038E-2</v>
      </c>
      <c r="Z2455">
        <v>6.7553479999999896E-4</v>
      </c>
      <c r="AA2455">
        <v>0.99974070000000004</v>
      </c>
      <c r="AB2455">
        <v>37</v>
      </c>
      <c r="AC2455">
        <v>-36.680399999999999</v>
      </c>
      <c r="AD2455">
        <v>-1.1208897362720001</v>
      </c>
      <c r="AE2455">
        <v>0.47629999999998002</v>
      </c>
      <c r="AF2455">
        <v>0.84269732022147503</v>
      </c>
      <c r="AG2455">
        <v>-1.1208897362720001</v>
      </c>
      <c r="AH2455">
        <v>36.639585071312702</v>
      </c>
      <c r="AI2455">
        <v>91.751801055490802</v>
      </c>
      <c r="AJ2455">
        <v>88.682449901494095</v>
      </c>
      <c r="AK2455">
        <v>36.6664114247952</v>
      </c>
      <c r="AL2455">
        <v>93.988814201215902</v>
      </c>
      <c r="AM2455">
        <v>89.219890981936999</v>
      </c>
      <c r="AN2455">
        <v>1.0000000148669399</v>
      </c>
    </row>
    <row r="2456" spans="1:40" x14ac:dyDescent="0.25">
      <c r="A2456" t="str">
        <f>"20190303154815313"</f>
        <v>20190303154815313</v>
      </c>
      <c r="B2456" t="str">
        <f>"1551599295302883"</f>
        <v>1551599295302883</v>
      </c>
      <c r="C2456" t="s">
        <v>40</v>
      </c>
      <c r="D2456">
        <v>5.0670299999999999</v>
      </c>
      <c r="E2456">
        <v>0.50823640000000003</v>
      </c>
      <c r="F2456" t="s">
        <v>52</v>
      </c>
      <c r="G2456">
        <v>-451.35039999999998</v>
      </c>
      <c r="H2456" s="1">
        <v>-8.4918630000000002E-7</v>
      </c>
      <c r="I2456">
        <v>285.32580000000002</v>
      </c>
      <c r="J2456">
        <v>-410.8562</v>
      </c>
      <c r="K2456">
        <v>1.1208450000000001</v>
      </c>
      <c r="L2456">
        <v>284.4579</v>
      </c>
      <c r="M2456">
        <v>-0.99974730000000001</v>
      </c>
      <c r="N2456">
        <v>-2.0292230000000001E-2</v>
      </c>
      <c r="O2456">
        <v>-9.6919090000000003E-3</v>
      </c>
      <c r="P2456">
        <v>-0.99603350000000002</v>
      </c>
      <c r="Q2456">
        <v>-8.8889140000000005E-2</v>
      </c>
      <c r="R2456">
        <v>4.0314239999999996E-3</v>
      </c>
      <c r="S2456">
        <v>-3.004578</v>
      </c>
      <c r="T2456">
        <v>-8.2417850000000001E-2</v>
      </c>
      <c r="U2456">
        <v>6.3568120000000006E-2</v>
      </c>
      <c r="V2456">
        <v>1.3632780000000001E-2</v>
      </c>
      <c r="W2456">
        <v>-6.8671579999999996E-2</v>
      </c>
      <c r="X2456">
        <v>0.99754620000000005</v>
      </c>
      <c r="Y2456">
        <v>3.0822680000000002E-2</v>
      </c>
      <c r="Z2456">
        <v>8.0464199999999897E-4</v>
      </c>
      <c r="AA2456">
        <v>0.99952450000000004</v>
      </c>
      <c r="AB2456">
        <v>37</v>
      </c>
      <c r="AC2456">
        <v>-40.4941999999999</v>
      </c>
      <c r="AD2456">
        <v>-1.1208458491863</v>
      </c>
      <c r="AE2456">
        <v>0.86790000000001999</v>
      </c>
      <c r="AF2456">
        <v>1.2594416161152</v>
      </c>
      <c r="AG2456">
        <v>-1.1208458491863</v>
      </c>
      <c r="AH2456">
        <v>40.452905745343003</v>
      </c>
      <c r="AI2456">
        <v>91.586344210344606</v>
      </c>
      <c r="AJ2456">
        <v>88.216756340895401</v>
      </c>
      <c r="AK2456">
        <v>40.488023807586003</v>
      </c>
      <c r="AL2456">
        <v>93.937690618379605</v>
      </c>
      <c r="AM2456">
        <v>89.217026605653601</v>
      </c>
      <c r="AN2456">
        <v>1.0000000298623299</v>
      </c>
    </row>
    <row r="2457" spans="1:40" x14ac:dyDescent="0.25">
      <c r="A2457" t="str">
        <f>"20190303154815336"</f>
        <v>20190303154815336</v>
      </c>
      <c r="B2457" t="str">
        <f>"1551599295333139"</f>
        <v>1551599295333139</v>
      </c>
      <c r="C2457" t="s">
        <v>40</v>
      </c>
      <c r="D2457">
        <v>5.0531300000000003</v>
      </c>
      <c r="E2457">
        <v>0.51017479999999904</v>
      </c>
      <c r="F2457" t="s">
        <v>52</v>
      </c>
      <c r="G2457">
        <v>-455.39440000000002</v>
      </c>
      <c r="H2457" s="1">
        <v>1.289028E-6</v>
      </c>
      <c r="I2457">
        <v>285.64210000000003</v>
      </c>
      <c r="J2457">
        <v>-411.21339999999998</v>
      </c>
      <c r="K2457">
        <v>1.1208</v>
      </c>
      <c r="L2457">
        <v>284.45479999999998</v>
      </c>
      <c r="M2457">
        <v>-0.99975670000000005</v>
      </c>
      <c r="N2457">
        <v>-1.9959060000000001E-2</v>
      </c>
      <c r="O2457">
        <v>-9.3894949999999994E-3</v>
      </c>
      <c r="P2457">
        <v>-0.99609910000000002</v>
      </c>
      <c r="Q2457">
        <v>-8.8139579999999995E-2</v>
      </c>
      <c r="R2457">
        <v>4.2726500000000002E-3</v>
      </c>
      <c r="S2457">
        <v>-3.0049130000000002</v>
      </c>
      <c r="T2457">
        <v>-7.5621250000000001E-2</v>
      </c>
      <c r="U2457">
        <v>7.9895019999999997E-2</v>
      </c>
      <c r="V2457">
        <v>1.357331E-2</v>
      </c>
      <c r="W2457">
        <v>-6.8253250000000001E-2</v>
      </c>
      <c r="X2457">
        <v>0.99757569999999995</v>
      </c>
      <c r="Y2457">
        <v>3.5945089999999999E-2</v>
      </c>
      <c r="Z2457">
        <v>8.5989839999999905E-4</v>
      </c>
      <c r="AA2457">
        <v>0.99935339999999995</v>
      </c>
      <c r="AB2457">
        <v>36</v>
      </c>
      <c r="AC2457">
        <v>-44.180999999999997</v>
      </c>
      <c r="AD2457">
        <v>-1.1207987109719999</v>
      </c>
      <c r="AE2457">
        <v>1.18730000000005</v>
      </c>
      <c r="AF2457">
        <v>1.60113790149225</v>
      </c>
      <c r="AG2457">
        <v>-1.1207987109719999</v>
      </c>
      <c r="AH2457">
        <v>44.139515648180002</v>
      </c>
      <c r="AI2457">
        <v>91.453596802198803</v>
      </c>
      <c r="AJ2457">
        <v>87.922536372940797</v>
      </c>
      <c r="AK2457">
        <v>44.182764444815298</v>
      </c>
      <c r="AL2457">
        <v>93.913665787294406</v>
      </c>
      <c r="AM2457">
        <v>89.220464782209703</v>
      </c>
      <c r="AN2457">
        <v>1.0000000090551999</v>
      </c>
    </row>
    <row r="2458" spans="1:40" x14ac:dyDescent="0.25">
      <c r="A2458" t="str">
        <f>"20190303154815358"</f>
        <v>20190303154815358</v>
      </c>
      <c r="B2458" t="str">
        <f>"1551599295352662"</f>
        <v>1551599295352662</v>
      </c>
      <c r="C2458" t="s">
        <v>40</v>
      </c>
      <c r="D2458">
        <v>5.0590809999999999</v>
      </c>
      <c r="E2458">
        <v>0.51089790000000002</v>
      </c>
      <c r="F2458" t="s">
        <v>52</v>
      </c>
      <c r="G2458">
        <v>-458.68090000000001</v>
      </c>
      <c r="H2458" s="1">
        <v>3.0235189999999998E-6</v>
      </c>
      <c r="I2458">
        <v>285.97129999999999</v>
      </c>
      <c r="J2458">
        <v>-411.57830000000001</v>
      </c>
      <c r="K2458">
        <v>1.1207560000000001</v>
      </c>
      <c r="L2458">
        <v>284.45170000000002</v>
      </c>
      <c r="M2458">
        <v>-0.99976659999999995</v>
      </c>
      <c r="N2458">
        <v>-1.9598549999999999E-2</v>
      </c>
      <c r="O2458">
        <v>-9.0869750000000006E-3</v>
      </c>
      <c r="P2458">
        <v>-0.99616309999999997</v>
      </c>
      <c r="Q2458">
        <v>-8.7403770000000006E-2</v>
      </c>
      <c r="R2458">
        <v>4.4714079999999996E-3</v>
      </c>
      <c r="S2458">
        <v>-3.0050659999999998</v>
      </c>
      <c r="T2458">
        <v>-7.0955279999999996E-2</v>
      </c>
      <c r="U2458">
        <v>9.6008300000000005E-2</v>
      </c>
      <c r="V2458">
        <v>1.3470920000000001E-2</v>
      </c>
      <c r="W2458">
        <v>-6.7876000000000006E-2</v>
      </c>
      <c r="X2458">
        <v>0.99760280000000001</v>
      </c>
      <c r="Y2458">
        <v>4.0994320000000001E-2</v>
      </c>
      <c r="Z2458">
        <v>9.2217109999999998E-4</v>
      </c>
      <c r="AA2458">
        <v>0.99915900000000002</v>
      </c>
      <c r="AB2458">
        <v>36</v>
      </c>
      <c r="AC2458">
        <v>-47.102600000000002</v>
      </c>
      <c r="AD2458">
        <v>-1.12075297648099</v>
      </c>
      <c r="AE2458">
        <v>1.5195999999999601</v>
      </c>
      <c r="AF2458">
        <v>1.94653874126301</v>
      </c>
      <c r="AG2458">
        <v>-1.12075297648099</v>
      </c>
      <c r="AH2458">
        <v>47.060227931345999</v>
      </c>
      <c r="AI2458">
        <v>91.363092622444398</v>
      </c>
      <c r="AJ2458">
        <v>87.631441220553498</v>
      </c>
      <c r="AK2458">
        <v>47.113800029882597</v>
      </c>
      <c r="AL2458">
        <v>93.892000817555399</v>
      </c>
      <c r="AM2458">
        <v>89.226365487395398</v>
      </c>
      <c r="AN2458">
        <v>0.99999998181474303</v>
      </c>
    </row>
    <row r="2459" spans="1:40" x14ac:dyDescent="0.25">
      <c r="A2459" t="str">
        <f>"20190303154815379"</f>
        <v>20190303154815379</v>
      </c>
      <c r="B2459" t="str">
        <f>"1551599295373155"</f>
        <v>1551599295373155</v>
      </c>
      <c r="C2459" t="s">
        <v>40</v>
      </c>
      <c r="D2459">
        <v>5.0442</v>
      </c>
      <c r="E2459">
        <v>0.51155349999999999</v>
      </c>
      <c r="F2459" t="s">
        <v>52</v>
      </c>
      <c r="G2459">
        <v>-460.92489999999998</v>
      </c>
      <c r="H2459" s="1">
        <v>-1.1106340000000001E-6</v>
      </c>
      <c r="I2459">
        <v>286.12700000000001</v>
      </c>
      <c r="J2459">
        <v>-411.9323</v>
      </c>
      <c r="K2459">
        <v>1.1207199999999999</v>
      </c>
      <c r="L2459">
        <v>284.44889999999998</v>
      </c>
      <c r="M2459">
        <v>-0.99977660000000002</v>
      </c>
      <c r="N2459">
        <v>-1.922977E-2</v>
      </c>
      <c r="O2459">
        <v>-8.7902620000000001E-3</v>
      </c>
      <c r="P2459">
        <v>-0.99614499999999995</v>
      </c>
      <c r="Q2459">
        <v>-8.7606610000000001E-2</v>
      </c>
      <c r="R2459">
        <v>4.5839409999999898E-3</v>
      </c>
      <c r="S2459">
        <v>-3.0050659999999998</v>
      </c>
      <c r="T2459">
        <v>-6.8250889999999995E-2</v>
      </c>
      <c r="U2459">
        <v>0.10202029999999999</v>
      </c>
      <c r="V2459">
        <v>1.328762E-2</v>
      </c>
      <c r="W2459">
        <v>-6.8446859999999998E-2</v>
      </c>
      <c r="X2459">
        <v>0.99756630000000002</v>
      </c>
      <c r="Y2459">
        <v>4.269502E-2</v>
      </c>
      <c r="Z2459">
        <v>9.2597540000000002E-4</v>
      </c>
      <c r="AA2459">
        <v>0.99908779999999997</v>
      </c>
      <c r="AB2459">
        <v>36</v>
      </c>
      <c r="AC2459">
        <v>-48.992599999999896</v>
      </c>
      <c r="AD2459">
        <v>-1.120721110634</v>
      </c>
      <c r="AE2459">
        <v>1.6781000000000199</v>
      </c>
      <c r="AF2459">
        <v>2.1076709050103601</v>
      </c>
      <c r="AG2459">
        <v>-1.120721110634</v>
      </c>
      <c r="AH2459">
        <v>48.9503680698339</v>
      </c>
      <c r="AI2459">
        <v>91.3103469261318</v>
      </c>
      <c r="AJ2459">
        <v>87.534521030192593</v>
      </c>
      <c r="AK2459">
        <v>49.008538303278002</v>
      </c>
      <c r="AL2459">
        <v>93.924784750834505</v>
      </c>
      <c r="AM2459">
        <v>89.236863229066998</v>
      </c>
      <c r="AN2459">
        <v>1.0000000281924</v>
      </c>
    </row>
    <row r="2460" spans="1:40" x14ac:dyDescent="0.25">
      <c r="A2460" t="str">
        <f>"20190303154815403"</f>
        <v>20190303154815403</v>
      </c>
      <c r="B2460" t="str">
        <f>"1551599295392675"</f>
        <v>1551599295392675</v>
      </c>
      <c r="C2460" t="s">
        <v>40</v>
      </c>
      <c r="D2460">
        <v>5.0296539999999998</v>
      </c>
      <c r="E2460">
        <v>0.51217259999999998</v>
      </c>
      <c r="F2460" t="s">
        <v>52</v>
      </c>
      <c r="G2460">
        <v>-461.66320000000002</v>
      </c>
      <c r="H2460" s="1">
        <v>-7.2218319999999903E-7</v>
      </c>
      <c r="I2460">
        <v>286.22899999999998</v>
      </c>
      <c r="J2460">
        <v>-412.30079999999998</v>
      </c>
      <c r="K2460">
        <v>1.1206849999999999</v>
      </c>
      <c r="L2460">
        <v>284.44600000000003</v>
      </c>
      <c r="M2460">
        <v>-0.99978690000000003</v>
      </c>
      <c r="N2460">
        <v>-1.8830860000000001E-2</v>
      </c>
      <c r="O2460">
        <v>-8.469374E-3</v>
      </c>
      <c r="P2460">
        <v>-0.99614749999999996</v>
      </c>
      <c r="Q2460">
        <v>-8.7577890000000005E-2</v>
      </c>
      <c r="R2460">
        <v>4.527222E-3</v>
      </c>
      <c r="S2460">
        <v>-3.005188</v>
      </c>
      <c r="T2460">
        <v>-6.7723870000000005E-2</v>
      </c>
      <c r="U2460">
        <v>0.1075745</v>
      </c>
      <c r="V2460">
        <v>1.2911779999999999E-2</v>
      </c>
      <c r="W2460">
        <v>-6.8815509999999996E-2</v>
      </c>
      <c r="X2460">
        <v>0.99754580000000004</v>
      </c>
      <c r="Y2460">
        <v>4.4216859999999997E-2</v>
      </c>
      <c r="Z2460">
        <v>9.4593559999999995E-4</v>
      </c>
      <c r="AA2460">
        <v>0.99902150000000001</v>
      </c>
      <c r="AB2460">
        <v>36</v>
      </c>
      <c r="AC2460">
        <v>-49.362400000000001</v>
      </c>
      <c r="AD2460">
        <v>-1.1206857221831901</v>
      </c>
      <c r="AE2460">
        <v>1.7830000000000701</v>
      </c>
      <c r="AF2460">
        <v>2.1999463072504102</v>
      </c>
      <c r="AG2460">
        <v>-1.1206857221831901</v>
      </c>
      <c r="AH2460">
        <v>49.320137106814201</v>
      </c>
      <c r="AI2460">
        <v>91.300397121490704</v>
      </c>
      <c r="AJ2460">
        <v>87.445989631879897</v>
      </c>
      <c r="AK2460">
        <v>49.381895715713902</v>
      </c>
      <c r="AL2460">
        <v>93.945957047105495</v>
      </c>
      <c r="AM2460">
        <v>89.258430850534793</v>
      </c>
      <c r="AN2460">
        <v>0.999999955788483</v>
      </c>
    </row>
    <row r="2461" spans="1:40" x14ac:dyDescent="0.25">
      <c r="A2461" t="str">
        <f>"20190303154815425"</f>
        <v>20190303154815425</v>
      </c>
      <c r="B2461" t="str">
        <f>"1551599295422931"</f>
        <v>1551599295422931</v>
      </c>
      <c r="C2461" t="s">
        <v>40</v>
      </c>
      <c r="D2461">
        <v>5.0542949999999998</v>
      </c>
      <c r="E2461">
        <v>0.51277659999999903</v>
      </c>
      <c r="F2461" t="s">
        <v>52</v>
      </c>
      <c r="G2461">
        <v>-462.2586</v>
      </c>
      <c r="H2461" s="1">
        <v>-4.0931460000000001E-7</v>
      </c>
      <c r="I2461">
        <v>286.31950000000001</v>
      </c>
      <c r="J2461">
        <v>-412.66480000000001</v>
      </c>
      <c r="K2461">
        <v>1.120654</v>
      </c>
      <c r="L2461">
        <v>284.44319999999999</v>
      </c>
      <c r="M2461">
        <v>-0.99979700000000005</v>
      </c>
      <c r="N2461">
        <v>-1.8428239999999999E-2</v>
      </c>
      <c r="O2461">
        <v>-8.1452929999999996E-3</v>
      </c>
      <c r="P2461">
        <v>-0.99614029999999998</v>
      </c>
      <c r="Q2461">
        <v>-8.7648649999999995E-2</v>
      </c>
      <c r="R2461">
        <v>4.7318869999999997E-3</v>
      </c>
      <c r="S2461">
        <v>-3.0051269999999999</v>
      </c>
      <c r="T2461">
        <v>-6.7412970000000003E-2</v>
      </c>
      <c r="U2461">
        <v>0.11270139999999999</v>
      </c>
      <c r="V2461">
        <v>1.2794099999999999E-2</v>
      </c>
      <c r="W2461">
        <v>-6.9287760000000004E-2</v>
      </c>
      <c r="X2461">
        <v>0.99751469999999998</v>
      </c>
      <c r="Y2461">
        <v>4.5595469999999999E-2</v>
      </c>
      <c r="Z2461">
        <v>9.6415439999999997E-4</v>
      </c>
      <c r="AA2461">
        <v>0.9989595</v>
      </c>
      <c r="AB2461">
        <v>36</v>
      </c>
      <c r="AC2461">
        <v>-49.593799999999902</v>
      </c>
      <c r="AD2461">
        <v>-1.1206544093146</v>
      </c>
      <c r="AE2461">
        <v>1.8763000000000101</v>
      </c>
      <c r="AF2461">
        <v>2.27910031307951</v>
      </c>
      <c r="AG2461">
        <v>-1.1206544093146</v>
      </c>
      <c r="AH2461">
        <v>49.551603293924998</v>
      </c>
      <c r="AI2461">
        <v>91.294207361816106</v>
      </c>
      <c r="AJ2461">
        <v>87.366566271722803</v>
      </c>
      <c r="AK2461">
        <v>49.616645931992601</v>
      </c>
      <c r="AL2461">
        <v>93.973079425772994</v>
      </c>
      <c r="AM2461">
        <v>89.265165977214906</v>
      </c>
      <c r="AN2461">
        <v>1.00000002969835</v>
      </c>
    </row>
    <row r="2462" spans="1:40" x14ac:dyDescent="0.25">
      <c r="A2462" t="str">
        <f>"20190303154815447"</f>
        <v>20190303154815447</v>
      </c>
      <c r="B2462" t="str">
        <f>"1551599295443427"</f>
        <v>1551599295443427</v>
      </c>
      <c r="C2462" t="s">
        <v>40</v>
      </c>
      <c r="D2462">
        <v>5.0195869999999996</v>
      </c>
      <c r="E2462">
        <v>0.51307060000000004</v>
      </c>
      <c r="F2462" t="s">
        <v>52</v>
      </c>
      <c r="G2462">
        <v>-462.51400000000001</v>
      </c>
      <c r="H2462" s="1">
        <v>-2.7717570000000002E-7</v>
      </c>
      <c r="I2462">
        <v>286.40530000000001</v>
      </c>
      <c r="J2462">
        <v>-413.01819999999998</v>
      </c>
      <c r="K2462">
        <v>1.120619</v>
      </c>
      <c r="L2462">
        <v>284.44060000000002</v>
      </c>
      <c r="M2462">
        <v>-0.99980670000000005</v>
      </c>
      <c r="N2462">
        <v>-1.8037620000000001E-2</v>
      </c>
      <c r="O2462">
        <v>-7.8288400000000001E-3</v>
      </c>
      <c r="P2462">
        <v>-0.99618669999999998</v>
      </c>
      <c r="Q2462">
        <v>-8.7108240000000003E-2</v>
      </c>
      <c r="R2462">
        <v>4.9614280000000004E-3</v>
      </c>
      <c r="S2462">
        <v>-3.0051570000000001</v>
      </c>
      <c r="T2462">
        <v>-6.7558649999999998E-2</v>
      </c>
      <c r="U2462">
        <v>0.11828610000000001</v>
      </c>
      <c r="V2462">
        <v>1.2709389999999999E-2</v>
      </c>
      <c r="W2462">
        <v>-6.9136110000000001E-2</v>
      </c>
      <c r="X2462">
        <v>0.99752629999999998</v>
      </c>
      <c r="Y2462">
        <v>4.7131920000000001E-2</v>
      </c>
      <c r="Z2462">
        <v>9.8963359999999995E-4</v>
      </c>
      <c r="AA2462">
        <v>0.9988882</v>
      </c>
      <c r="AB2462">
        <v>36</v>
      </c>
      <c r="AC2462">
        <v>-49.495800000000003</v>
      </c>
      <c r="AD2462">
        <v>-1.1206192771757</v>
      </c>
      <c r="AE2462">
        <v>1.9646999999999899</v>
      </c>
      <c r="AF2462">
        <v>2.3509942790874701</v>
      </c>
      <c r="AG2462">
        <v>-1.1206192771757</v>
      </c>
      <c r="AH2462">
        <v>49.453588760595203</v>
      </c>
      <c r="AI2462">
        <v>91.296637450583503</v>
      </c>
      <c r="AJ2462">
        <v>87.278241776301996</v>
      </c>
      <c r="AK2462">
        <v>49.522120339972801</v>
      </c>
      <c r="AL2462">
        <v>93.964369654461805</v>
      </c>
      <c r="AM2462">
        <v>89.270039287936598</v>
      </c>
      <c r="AN2462">
        <v>1.00000002474589</v>
      </c>
    </row>
    <row r="2463" spans="1:40" x14ac:dyDescent="0.25">
      <c r="A2463" t="str">
        <f>"20190303154815470"</f>
        <v>20190303154815470</v>
      </c>
      <c r="B2463" t="str">
        <f>"1551599295463015"</f>
        <v>1551599295463015</v>
      </c>
      <c r="C2463" t="s">
        <v>40</v>
      </c>
      <c r="D2463">
        <v>4.9709459999999996</v>
      </c>
      <c r="E2463">
        <v>0.51336759999999904</v>
      </c>
      <c r="F2463" t="s">
        <v>52</v>
      </c>
      <c r="G2463">
        <v>-464.24</v>
      </c>
      <c r="H2463" s="1">
        <v>6.3710369999999998E-7</v>
      </c>
      <c r="I2463">
        <v>286.50200000000001</v>
      </c>
      <c r="J2463">
        <v>-413.38260000000002</v>
      </c>
      <c r="K2463">
        <v>1.1205879999999999</v>
      </c>
      <c r="L2463">
        <v>284.43810000000002</v>
      </c>
      <c r="M2463">
        <v>-0.99981609999999999</v>
      </c>
      <c r="N2463">
        <v>-1.765218E-2</v>
      </c>
      <c r="O2463">
        <v>-7.5049340000000004E-3</v>
      </c>
      <c r="P2463">
        <v>-0.99618300000000004</v>
      </c>
      <c r="Q2463">
        <v>-8.7131570000000005E-2</v>
      </c>
      <c r="R2463">
        <v>5.2586239999999999E-3</v>
      </c>
      <c r="S2463">
        <v>-3.0051570000000001</v>
      </c>
      <c r="T2463">
        <v>-6.5746070000000004E-2</v>
      </c>
      <c r="U2463">
        <v>0.1209412</v>
      </c>
      <c r="V2463">
        <v>1.268351E-2</v>
      </c>
      <c r="W2463">
        <v>-6.9543980000000005E-2</v>
      </c>
      <c r="X2463">
        <v>0.99749829999999995</v>
      </c>
      <c r="Y2463">
        <v>4.7690219999999998E-2</v>
      </c>
      <c r="Z2463">
        <v>9.742981E-4</v>
      </c>
      <c r="AA2463">
        <v>0.99886169999999996</v>
      </c>
      <c r="AB2463">
        <v>36</v>
      </c>
      <c r="AC2463">
        <v>-50.857399999999899</v>
      </c>
      <c r="AD2463">
        <v>-1.1205873628962999</v>
      </c>
      <c r="AE2463">
        <v>2.0638999999999799</v>
      </c>
      <c r="AF2463">
        <v>2.4443979503266098</v>
      </c>
      <c r="AG2463">
        <v>-1.1205873628962999</v>
      </c>
      <c r="AH2463">
        <v>50.815845258078397</v>
      </c>
      <c r="AI2463">
        <v>91.261819112588199</v>
      </c>
      <c r="AJ2463">
        <v>87.246020185612693</v>
      </c>
      <c r="AK2463">
        <v>50.886942595035201</v>
      </c>
      <c r="AL2463">
        <v>93.987795176102694</v>
      </c>
      <c r="AM2463">
        <v>89.271505092835099</v>
      </c>
      <c r="AN2463">
        <v>1.0000000475415201</v>
      </c>
    </row>
    <row r="2464" spans="1:40" x14ac:dyDescent="0.25">
      <c r="A2464" t="str">
        <f>"20190303154815492"</f>
        <v>20190303154815492</v>
      </c>
      <c r="B2464" t="str">
        <f>"1551599295483453"</f>
        <v>1551599295483453</v>
      </c>
      <c r="C2464" t="s">
        <v>40</v>
      </c>
      <c r="D2464">
        <v>5.0028439999999996</v>
      </c>
      <c r="E2464">
        <v>0.51358570000000003</v>
      </c>
      <c r="F2464" t="s">
        <v>52</v>
      </c>
      <c r="G2464">
        <v>-465.0582</v>
      </c>
      <c r="H2464" s="1">
        <v>1.069427E-6</v>
      </c>
      <c r="I2464">
        <v>286.57240000000002</v>
      </c>
      <c r="J2464">
        <v>-413.72910000000002</v>
      </c>
      <c r="K2464">
        <v>1.1205590000000001</v>
      </c>
      <c r="L2464">
        <v>284.43579999999997</v>
      </c>
      <c r="M2464">
        <v>-0.99982439999999995</v>
      </c>
      <c r="N2464">
        <v>-1.7312250000000001E-2</v>
      </c>
      <c r="O2464">
        <v>-7.2003859999999996E-3</v>
      </c>
      <c r="P2464">
        <v>-0.99620430000000004</v>
      </c>
      <c r="Q2464">
        <v>-8.6865719999999993E-2</v>
      </c>
      <c r="R2464">
        <v>5.6370569999999896E-3</v>
      </c>
      <c r="S2464">
        <v>-3.005096</v>
      </c>
      <c r="T2464">
        <v>-6.5165639999999997E-2</v>
      </c>
      <c r="U2464">
        <v>0.124115</v>
      </c>
      <c r="V2464">
        <v>1.275827E-2</v>
      </c>
      <c r="W2464">
        <v>-6.9617020000000002E-2</v>
      </c>
      <c r="X2464">
        <v>0.99749219999999905</v>
      </c>
      <c r="Y2464">
        <v>4.8440049999999998E-2</v>
      </c>
      <c r="Z2464">
        <v>9.7598490000000003E-4</v>
      </c>
      <c r="AA2464">
        <v>0.99882559999999998</v>
      </c>
      <c r="AB2464">
        <v>36</v>
      </c>
      <c r="AC2464">
        <v>-51.329099999999897</v>
      </c>
      <c r="AD2464">
        <v>-1.120557930573</v>
      </c>
      <c r="AE2464">
        <v>2.13660000000004</v>
      </c>
      <c r="AF2464">
        <v>2.5049974730705098</v>
      </c>
      <c r="AG2464">
        <v>-1.120557930573</v>
      </c>
      <c r="AH2464">
        <v>51.2879814860446</v>
      </c>
      <c r="AI2464">
        <v>91.250129551387701</v>
      </c>
      <c r="AJ2464">
        <v>87.203792899204799</v>
      </c>
      <c r="AK2464">
        <v>51.361344485212904</v>
      </c>
      <c r="AL2464">
        <v>93.991990433127697</v>
      </c>
      <c r="AM2464">
        <v>89.267207135128203</v>
      </c>
      <c r="AN2464">
        <v>0.99999999599395595</v>
      </c>
    </row>
    <row r="2465" spans="1:40" x14ac:dyDescent="0.25">
      <c r="A2465" t="str">
        <f>"20190303154815514"</f>
        <v>20190303154815514</v>
      </c>
      <c r="B2465" t="str">
        <f>"1551599295502979"</f>
        <v>1551599295502979</v>
      </c>
      <c r="C2465" t="s">
        <v>40</v>
      </c>
      <c r="D2465">
        <v>5.0087120000000001</v>
      </c>
      <c r="E2465">
        <v>0.51375090000000001</v>
      </c>
      <c r="F2465" t="s">
        <v>52</v>
      </c>
      <c r="G2465">
        <v>-465.90170000000001</v>
      </c>
      <c r="H2465" s="1">
        <v>1.515326E-6</v>
      </c>
      <c r="I2465">
        <v>286.64089999999999</v>
      </c>
      <c r="J2465">
        <v>-414.09840000000003</v>
      </c>
      <c r="K2465">
        <v>1.120539</v>
      </c>
      <c r="L2465">
        <v>284.43340000000001</v>
      </c>
      <c r="M2465">
        <v>-0.99983219999999995</v>
      </c>
      <c r="N2465">
        <v>-1.6982239999999999E-2</v>
      </c>
      <c r="O2465">
        <v>-6.8776009999999997E-3</v>
      </c>
      <c r="P2465">
        <v>-0.99621709999999997</v>
      </c>
      <c r="Q2465">
        <v>-8.6707010000000001E-2</v>
      </c>
      <c r="R2465">
        <v>5.7958829999999999E-3</v>
      </c>
      <c r="S2465">
        <v>-3.0051269999999999</v>
      </c>
      <c r="T2465">
        <v>-6.4543719999999999E-2</v>
      </c>
      <c r="U2465">
        <v>0.12701419999999999</v>
      </c>
      <c r="V2465">
        <v>1.259505E-2</v>
      </c>
      <c r="W2465">
        <v>-6.978724E-2</v>
      </c>
      <c r="X2465">
        <v>0.99748239999999999</v>
      </c>
      <c r="Y2465">
        <v>4.907926E-2</v>
      </c>
      <c r="Z2465">
        <v>9.7469370000000002E-4</v>
      </c>
      <c r="AA2465">
        <v>0.99879439999999997</v>
      </c>
      <c r="AB2465">
        <v>36</v>
      </c>
      <c r="AC2465">
        <v>-51.803299999999901</v>
      </c>
      <c r="AD2465">
        <v>-1.1205374846739999</v>
      </c>
      <c r="AE2465">
        <v>2.20749999999998</v>
      </c>
      <c r="AF2465">
        <v>2.5625847488613802</v>
      </c>
      <c r="AG2465">
        <v>-1.1205374846739999</v>
      </c>
      <c r="AH2465">
        <v>51.7627149227771</v>
      </c>
      <c r="AI2465">
        <v>91.238604815272296</v>
      </c>
      <c r="AJ2465">
        <v>87.1658071533884</v>
      </c>
      <c r="AK2465">
        <v>51.838220465466897</v>
      </c>
      <c r="AL2465">
        <v>94.0017670179829</v>
      </c>
      <c r="AM2465">
        <v>89.276573843109205</v>
      </c>
      <c r="AN2465">
        <v>1.00000001623054</v>
      </c>
    </row>
    <row r="2466" spans="1:40" x14ac:dyDescent="0.25">
      <c r="A2466" t="str">
        <f>"20190303154815537"</f>
        <v>20190303154815537</v>
      </c>
      <c r="B2466" t="str">
        <f>"1551599295533229"</f>
        <v>1551599295533229</v>
      </c>
      <c r="C2466" t="s">
        <v>40</v>
      </c>
      <c r="D2466">
        <v>4.9578309999999997</v>
      </c>
      <c r="E2466">
        <v>0.51394719999999905</v>
      </c>
      <c r="F2466" t="s">
        <v>52</v>
      </c>
      <c r="G2466">
        <v>-466.36059999999998</v>
      </c>
      <c r="H2466" s="1">
        <v>1.75807799999999E-6</v>
      </c>
      <c r="I2466">
        <v>286.6737</v>
      </c>
      <c r="J2466">
        <v>-414.45209999999997</v>
      </c>
      <c r="K2466">
        <v>1.12053799999999</v>
      </c>
      <c r="L2466">
        <v>284.43130000000002</v>
      </c>
      <c r="M2466">
        <v>-0.99983909999999998</v>
      </c>
      <c r="N2466">
        <v>-1.669812E-2</v>
      </c>
      <c r="O2466">
        <v>-6.5680010000000004E-3</v>
      </c>
      <c r="P2466">
        <v>-0.99622829999999996</v>
      </c>
      <c r="Q2466">
        <v>-8.6564790000000003E-2</v>
      </c>
      <c r="R2466">
        <v>5.9488170000000003E-3</v>
      </c>
      <c r="S2466">
        <v>-3.0050349999999999</v>
      </c>
      <c r="T2466">
        <v>-6.4430000000000001E-2</v>
      </c>
      <c r="U2466">
        <v>0.1288147</v>
      </c>
      <c r="V2466">
        <v>1.243885E-2</v>
      </c>
      <c r="W2466">
        <v>-6.9928190000000001E-2</v>
      </c>
      <c r="X2466">
        <v>0.99747450000000004</v>
      </c>
      <c r="Y2466">
        <v>4.936869E-2</v>
      </c>
      <c r="Z2466">
        <v>9.7255089999999996E-4</v>
      </c>
      <c r="AA2466">
        <v>0.99878009999999995</v>
      </c>
      <c r="AB2466">
        <v>36</v>
      </c>
      <c r="AC2466">
        <v>-51.908499999999997</v>
      </c>
      <c r="AD2466">
        <v>-1.12053624192199</v>
      </c>
      <c r="AE2466">
        <v>2.2423999999999702</v>
      </c>
      <c r="AF2466">
        <v>2.5821332049312602</v>
      </c>
      <c r="AG2466">
        <v>-1.12053624192199</v>
      </c>
      <c r="AH2466">
        <v>51.8685248114285</v>
      </c>
      <c r="AI2466">
        <v>91.236060638096205</v>
      </c>
      <c r="AJ2466">
        <v>87.150038480487694</v>
      </c>
      <c r="AK2466">
        <v>51.944844589922901</v>
      </c>
      <c r="AL2466">
        <v>94.009862590798605</v>
      </c>
      <c r="AM2466">
        <v>89.285538961741295</v>
      </c>
      <c r="AN2466">
        <v>1.00000002744812</v>
      </c>
    </row>
    <row r="2467" spans="1:40" x14ac:dyDescent="0.25">
      <c r="A2467" t="str">
        <f>"20190303154815559"</f>
        <v>20190303154815559</v>
      </c>
      <c r="B2467" t="str">
        <f>"1551599295552753"</f>
        <v>1551599295552753</v>
      </c>
      <c r="C2467" t="s">
        <v>40</v>
      </c>
      <c r="D2467">
        <v>4.9900349999999998</v>
      </c>
      <c r="E2467">
        <v>0.51411399999999996</v>
      </c>
      <c r="F2467" t="s">
        <v>52</v>
      </c>
      <c r="G2467">
        <v>-465.93369999999999</v>
      </c>
      <c r="H2467" s="1">
        <v>1.531069E-6</v>
      </c>
      <c r="I2467">
        <v>286.6696</v>
      </c>
      <c r="J2467">
        <v>-414.81130000000002</v>
      </c>
      <c r="K2467">
        <v>1.1205320000000001</v>
      </c>
      <c r="L2467">
        <v>284.42919999999998</v>
      </c>
      <c r="M2467">
        <v>-0.99984519999999999</v>
      </c>
      <c r="N2467">
        <v>-1.6439990000000002E-2</v>
      </c>
      <c r="O2467">
        <v>-6.252451E-3</v>
      </c>
      <c r="P2467">
        <v>-0.9963149</v>
      </c>
      <c r="Q2467">
        <v>-8.5578609999999999E-2</v>
      </c>
      <c r="R2467">
        <v>5.7500709999999998E-3</v>
      </c>
      <c r="S2467">
        <v>-3.0048520000000001</v>
      </c>
      <c r="T2467">
        <v>-6.5402979999999999E-2</v>
      </c>
      <c r="U2467">
        <v>0.13064580000000001</v>
      </c>
      <c r="V2467">
        <v>1.1926890000000001E-2</v>
      </c>
      <c r="W2467">
        <v>-6.919778E-2</v>
      </c>
      <c r="X2467">
        <v>0.99753170000000002</v>
      </c>
      <c r="Y2467">
        <v>4.966305E-2</v>
      </c>
      <c r="Z2467">
        <v>9.8196450000000005E-4</v>
      </c>
      <c r="AA2467">
        <v>0.99876549999999997</v>
      </c>
      <c r="AB2467">
        <v>36</v>
      </c>
      <c r="AC2467">
        <v>-51.122399999999899</v>
      </c>
      <c r="AD2467">
        <v>-1.1205304689309901</v>
      </c>
      <c r="AE2467">
        <v>2.2404000000000202</v>
      </c>
      <c r="AF2467">
        <v>2.5588127748571301</v>
      </c>
      <c r="AG2467">
        <v>-1.1205304689309901</v>
      </c>
      <c r="AH2467">
        <v>51.082896149905302</v>
      </c>
      <c r="AI2467">
        <v>91.255038798166893</v>
      </c>
      <c r="AJ2467">
        <v>87.132372152178206</v>
      </c>
      <c r="AK2467">
        <v>51.1592160847934</v>
      </c>
      <c r="AL2467">
        <v>93.967911515018599</v>
      </c>
      <c r="AM2467">
        <v>89.314981269146799</v>
      </c>
      <c r="AN2467">
        <v>1.0000000379834399</v>
      </c>
    </row>
    <row r="2468" spans="1:40" x14ac:dyDescent="0.25">
      <c r="A2468" t="str">
        <f>"20190303154815581"</f>
        <v>20190303154815581</v>
      </c>
      <c r="B2468" t="str">
        <f>"1551599295572769"</f>
        <v>1551599295572769</v>
      </c>
      <c r="C2468" t="s">
        <v>40</v>
      </c>
      <c r="D2468">
        <v>4.9637460000000004</v>
      </c>
      <c r="E2468">
        <v>0.51421989999999995</v>
      </c>
      <c r="F2468" t="s">
        <v>52</v>
      </c>
      <c r="G2468">
        <v>-468.35739999999998</v>
      </c>
      <c r="H2468" s="1">
        <v>2.8164759999999998E-6</v>
      </c>
      <c r="I2468">
        <v>286.76920000000001</v>
      </c>
      <c r="J2468">
        <v>-415.16399999999999</v>
      </c>
      <c r="K2468">
        <v>1.1205320000000001</v>
      </c>
      <c r="L2468">
        <v>284.4273</v>
      </c>
      <c r="M2468">
        <v>-0.99985089999999999</v>
      </c>
      <c r="N2468">
        <v>-1.62157E-2</v>
      </c>
      <c r="O2468">
        <v>-5.9416119999999998E-3</v>
      </c>
      <c r="P2468">
        <v>-0.99633620000000001</v>
      </c>
      <c r="Q2468">
        <v>-8.5339780000000004E-2</v>
      </c>
      <c r="R2468">
        <v>5.6104400000000004E-3</v>
      </c>
      <c r="S2468">
        <v>-3.0049130000000002</v>
      </c>
      <c r="T2468">
        <v>-6.2882179999999996E-2</v>
      </c>
      <c r="U2468">
        <v>0.13131709999999999</v>
      </c>
      <c r="V2468">
        <v>1.1477390000000001E-2</v>
      </c>
      <c r="W2468">
        <v>-6.9182010000000002E-2</v>
      </c>
      <c r="X2468">
        <v>0.99753800000000004</v>
      </c>
      <c r="Y2468">
        <v>4.957578E-2</v>
      </c>
      <c r="Z2468">
        <v>9.4863239999999995E-4</v>
      </c>
      <c r="AA2468">
        <v>0.99876989999999999</v>
      </c>
      <c r="AB2468">
        <v>36</v>
      </c>
      <c r="AC2468">
        <v>-53.193399999999997</v>
      </c>
      <c r="AD2468">
        <v>-1.1205291835240001</v>
      </c>
      <c r="AE2468">
        <v>2.3418999999999999</v>
      </c>
      <c r="AF2468">
        <v>2.6567781002107602</v>
      </c>
      <c r="AG2468">
        <v>-1.1205291835240001</v>
      </c>
      <c r="AH2468">
        <v>53.155002824243297</v>
      </c>
      <c r="AI2468">
        <v>91.206134404488495</v>
      </c>
      <c r="AJ2468">
        <v>87.138639924997406</v>
      </c>
      <c r="AK2468">
        <v>53.233151144471996</v>
      </c>
      <c r="AL2468">
        <v>93.967006055336398</v>
      </c>
      <c r="AM2468">
        <v>89.340800058910105</v>
      </c>
      <c r="AN2468">
        <v>0.99999997121642503</v>
      </c>
    </row>
    <row r="2469" spans="1:40" x14ac:dyDescent="0.25">
      <c r="A2469" t="str">
        <f>"20190303154815605"</f>
        <v>20190303154815605</v>
      </c>
      <c r="B2469" t="str">
        <f>"1551599295593266"</f>
        <v>1551599295593266</v>
      </c>
      <c r="C2469" t="s">
        <v>40</v>
      </c>
      <c r="D2469">
        <v>5.0064919999999997</v>
      </c>
      <c r="E2469">
        <v>0.51429579999999997</v>
      </c>
      <c r="F2469" t="s">
        <v>52</v>
      </c>
      <c r="G2469">
        <v>-468.92660000000001</v>
      </c>
      <c r="H2469" s="1">
        <v>3.1187380000000001E-6</v>
      </c>
      <c r="I2469">
        <v>286.78440000000001</v>
      </c>
      <c r="J2469">
        <v>-415.54340000000002</v>
      </c>
      <c r="K2469">
        <v>1.1205290000000001</v>
      </c>
      <c r="L2469">
        <v>284.42540000000002</v>
      </c>
      <c r="M2469">
        <v>-0.99985630000000003</v>
      </c>
      <c r="N2469">
        <v>-1.6005620000000002E-2</v>
      </c>
      <c r="O2469">
        <v>-5.6054080000000001E-3</v>
      </c>
      <c r="P2469">
        <v>-0.99634679999999998</v>
      </c>
      <c r="Q2469">
        <v>-8.5209229999999997E-2</v>
      </c>
      <c r="R2469">
        <v>5.6969560000000004E-3</v>
      </c>
      <c r="S2469">
        <v>-3.0049130000000002</v>
      </c>
      <c r="T2469">
        <v>-6.2628870000000003E-2</v>
      </c>
      <c r="U2469">
        <v>0.13174439999999901</v>
      </c>
      <c r="V2469">
        <v>1.122886E-2</v>
      </c>
      <c r="W2469">
        <v>-6.9260660000000002E-2</v>
      </c>
      <c r="X2469">
        <v>0.99753539999999996</v>
      </c>
      <c r="Y2469">
        <v>4.9381960000000003E-2</v>
      </c>
      <c r="Z2469">
        <v>9.3688259999999998E-4</v>
      </c>
      <c r="AA2469">
        <v>0.99877950000000004</v>
      </c>
      <c r="AB2469">
        <v>36</v>
      </c>
      <c r="AC2469">
        <v>-53.383199999999903</v>
      </c>
      <c r="AD2469">
        <v>-1.120525881262</v>
      </c>
      <c r="AE2469">
        <v>2.35899999999998</v>
      </c>
      <c r="AF2469">
        <v>2.65706745357592</v>
      </c>
      <c r="AG2469">
        <v>-1.120525881262</v>
      </c>
      <c r="AH2469">
        <v>53.345678500384501</v>
      </c>
      <c r="AI2469">
        <v>91.201831352852693</v>
      </c>
      <c r="AJ2469">
        <v>87.148540487384693</v>
      </c>
      <c r="AK2469">
        <v>53.423562220894802</v>
      </c>
      <c r="AL2469">
        <v>93.9715230880512</v>
      </c>
      <c r="AM2469">
        <v>89.355071394034496</v>
      </c>
      <c r="AN2469">
        <v>1.0000000002868401</v>
      </c>
    </row>
    <row r="2470" spans="1:40" x14ac:dyDescent="0.25">
      <c r="A2470" t="str">
        <f>"20190303154815627"</f>
        <v>20190303154815627</v>
      </c>
      <c r="B2470" t="str">
        <f>"1551599295623521"</f>
        <v>1551599295623521</v>
      </c>
      <c r="C2470" t="s">
        <v>40</v>
      </c>
      <c r="D2470">
        <v>5.0110279999999996</v>
      </c>
      <c r="E2470">
        <v>0.5144301</v>
      </c>
      <c r="F2470" t="s">
        <v>52</v>
      </c>
      <c r="G2470">
        <v>-469.43470000000002</v>
      </c>
      <c r="H2470" s="1">
        <v>3.3884699999999998E-6</v>
      </c>
      <c r="I2470">
        <v>286.79910000000001</v>
      </c>
      <c r="J2470">
        <v>-415.892</v>
      </c>
      <c r="K2470">
        <v>1.1205320000000001</v>
      </c>
      <c r="L2470">
        <v>284.42380000000003</v>
      </c>
      <c r="M2470">
        <v>-0.99986059999999999</v>
      </c>
      <c r="N2470">
        <v>-1.5835689999999999E-2</v>
      </c>
      <c r="O2470">
        <v>-5.2969360000000004E-3</v>
      </c>
      <c r="P2470">
        <v>-0.99638380000000004</v>
      </c>
      <c r="Q2470">
        <v>-8.4778339999999994E-2</v>
      </c>
      <c r="R2470">
        <v>5.6901909999999998E-3</v>
      </c>
      <c r="S2470">
        <v>-3.0049130000000002</v>
      </c>
      <c r="T2470">
        <v>-6.2479140000000002E-2</v>
      </c>
      <c r="U2470">
        <v>0.13235469999999999</v>
      </c>
      <c r="V2470">
        <v>1.0915319999999999E-2</v>
      </c>
      <c r="W2470">
        <v>-6.8998459999999998E-2</v>
      </c>
      <c r="X2470">
        <v>0.99755700000000003</v>
      </c>
      <c r="Y2470">
        <v>4.9276489999999999E-2</v>
      </c>
      <c r="Z2470">
        <v>9.2866650000000004E-4</v>
      </c>
      <c r="AA2470">
        <v>0.99878469999999997</v>
      </c>
      <c r="AB2470">
        <v>36</v>
      </c>
      <c r="AC2470">
        <v>-53.542700000000004</v>
      </c>
      <c r="AD2470">
        <v>-1.1205286115299999</v>
      </c>
      <c r="AE2470">
        <v>2.3752999999999802</v>
      </c>
      <c r="AF2470">
        <v>2.6577527524897202</v>
      </c>
      <c r="AG2470">
        <v>-1.1205286115299999</v>
      </c>
      <c r="AH2470">
        <v>53.5059772406535</v>
      </c>
      <c r="AI2470">
        <v>91.198242860169699</v>
      </c>
      <c r="AJ2470">
        <v>87.156337116592695</v>
      </c>
      <c r="AK2470">
        <v>53.583662011288098</v>
      </c>
      <c r="AL2470">
        <v>93.956464308272501</v>
      </c>
      <c r="AM2470">
        <v>89.373091652549206</v>
      </c>
      <c r="AN2470">
        <v>0.99999994997103503</v>
      </c>
    </row>
    <row r="2471" spans="1:40" x14ac:dyDescent="0.25">
      <c r="A2471" t="str">
        <f>"20190303154815649"</f>
        <v>20190303154815649</v>
      </c>
      <c r="B2471" t="str">
        <f>"1551599295643041"</f>
        <v>1551599295643041</v>
      </c>
      <c r="C2471" t="s">
        <v>40</v>
      </c>
      <c r="D2471">
        <v>5.0228979999999996</v>
      </c>
      <c r="E2471">
        <v>0.51453519999999997</v>
      </c>
      <c r="F2471" t="s">
        <v>52</v>
      </c>
      <c r="G2471">
        <v>-469.6755</v>
      </c>
      <c r="H2471" s="1">
        <v>3.516036E-6</v>
      </c>
      <c r="I2471">
        <v>286.8125</v>
      </c>
      <c r="J2471">
        <v>-416.24959999999999</v>
      </c>
      <c r="K2471">
        <v>1.1205320000000001</v>
      </c>
      <c r="L2471">
        <v>284.42219999999998</v>
      </c>
      <c r="M2471">
        <v>-0.9998648</v>
      </c>
      <c r="N2471">
        <v>-1.5682629999999999E-2</v>
      </c>
      <c r="O2471">
        <v>-4.9802650000000002E-3</v>
      </c>
      <c r="P2471">
        <v>-0.99645070000000002</v>
      </c>
      <c r="Q2471">
        <v>-8.3960279999999998E-2</v>
      </c>
      <c r="R2471">
        <v>6.0559239999999999E-3</v>
      </c>
      <c r="S2471">
        <v>-3.004791</v>
      </c>
      <c r="T2471">
        <v>-6.2601920000000005E-2</v>
      </c>
      <c r="U2471">
        <v>0.1334534</v>
      </c>
      <c r="V2471">
        <v>1.0966099999999999E-2</v>
      </c>
      <c r="W2471">
        <v>-6.8332199999999996E-2</v>
      </c>
      <c r="X2471">
        <v>0.99760230000000005</v>
      </c>
      <c r="Y2471">
        <v>4.9326399999999999E-2</v>
      </c>
      <c r="Z2471">
        <v>9.2623019999999996E-4</v>
      </c>
      <c r="AA2471">
        <v>0.99878230000000001</v>
      </c>
      <c r="AB2471">
        <v>36</v>
      </c>
      <c r="AC2471">
        <v>-53.425899999999999</v>
      </c>
      <c r="AD2471">
        <v>-1.120528483964</v>
      </c>
      <c r="AE2471">
        <v>2.3903000000000199</v>
      </c>
      <c r="AF2471">
        <v>2.65521250347473</v>
      </c>
      <c r="AG2471">
        <v>-1.120528483964</v>
      </c>
      <c r="AH2471">
        <v>53.389892825947904</v>
      </c>
      <c r="AI2471">
        <v>91.2008436769908</v>
      </c>
      <c r="AJ2471">
        <v>87.152883743090499</v>
      </c>
      <c r="AK2471">
        <v>53.467620046979697</v>
      </c>
      <c r="AL2471">
        <v>93.918200118437497</v>
      </c>
      <c r="AM2471">
        <v>89.370203995709304</v>
      </c>
      <c r="AN2471">
        <v>0.99999994693566796</v>
      </c>
    </row>
    <row r="2472" spans="1:40" x14ac:dyDescent="0.25">
      <c r="A2472" t="str">
        <f>"20190303154815671"</f>
        <v>20190303154815671</v>
      </c>
      <c r="B2472" t="str">
        <f>"1551599295663537"</f>
        <v>1551599295663537</v>
      </c>
      <c r="C2472" t="s">
        <v>40</v>
      </c>
      <c r="D2472">
        <v>5.0399159999999998</v>
      </c>
      <c r="E2472">
        <v>0.5145904</v>
      </c>
      <c r="F2472" t="s">
        <v>47</v>
      </c>
      <c r="G2472">
        <v>-471.48750000000001</v>
      </c>
      <c r="H2472" s="1">
        <v>6.1551139999999997E-6</v>
      </c>
      <c r="I2472">
        <v>286.91140000000001</v>
      </c>
      <c r="J2472">
        <v>-416.59480000000002</v>
      </c>
      <c r="K2472">
        <v>1.120533</v>
      </c>
      <c r="L2472">
        <v>284.42079999999999</v>
      </c>
      <c r="M2472">
        <v>-0.99986819999999998</v>
      </c>
      <c r="N2472">
        <v>-1.5553040000000001E-2</v>
      </c>
      <c r="O2472">
        <v>-4.6743899999999996E-3</v>
      </c>
      <c r="P2472">
        <v>-0.99645189999999995</v>
      </c>
      <c r="Q2472">
        <v>-8.3925180000000002E-2</v>
      </c>
      <c r="R2472">
        <v>6.3732819999999897E-3</v>
      </c>
      <c r="S2472">
        <v>-3.0047609999999998</v>
      </c>
      <c r="T2472">
        <v>-6.0952899999999997E-2</v>
      </c>
      <c r="U2472">
        <v>0.13540650000000001</v>
      </c>
      <c r="V2472">
        <v>1.097856E-2</v>
      </c>
      <c r="W2472">
        <v>-6.8426360000000006E-2</v>
      </c>
      <c r="X2472">
        <v>0.99759580000000003</v>
      </c>
      <c r="Y2472">
        <v>4.9669940000000003E-2</v>
      </c>
      <c r="Z2472">
        <v>9.1213120000000001E-4</v>
      </c>
      <c r="AA2472">
        <v>0.99876529999999997</v>
      </c>
      <c r="AB2472">
        <v>36</v>
      </c>
      <c r="AC2472">
        <v>-54.892699999999898</v>
      </c>
      <c r="AD2472">
        <v>-1.120526844886</v>
      </c>
      <c r="AE2472">
        <v>2.4906000000000201</v>
      </c>
      <c r="AF2472">
        <v>2.7460517827022399</v>
      </c>
      <c r="AG2472">
        <v>-1.120526844886</v>
      </c>
      <c r="AH2472">
        <v>54.857644917691701</v>
      </c>
      <c r="AI2472">
        <v>91.168702729635896</v>
      </c>
      <c r="AJ2472">
        <v>87.134292632679006</v>
      </c>
      <c r="AK2472">
        <v>54.937761027538599</v>
      </c>
      <c r="AL2472">
        <v>93.923607389160907</v>
      </c>
      <c r="AM2472">
        <v>89.369484353140507</v>
      </c>
      <c r="AN2472">
        <v>1.00000003785008</v>
      </c>
    </row>
    <row r="2473" spans="1:40" x14ac:dyDescent="0.25">
      <c r="A2473" t="str">
        <f>"20190303154815687"</f>
        <v>20190303154815687</v>
      </c>
      <c r="B2473" t="str">
        <f>"1551599295683057"</f>
        <v>1551599295683057</v>
      </c>
      <c r="C2473" t="s">
        <v>40</v>
      </c>
      <c r="D2473">
        <v>5.0565429999999996</v>
      </c>
      <c r="E2473">
        <v>0.51466149999999999</v>
      </c>
      <c r="F2473" t="s">
        <v>47</v>
      </c>
      <c r="G2473">
        <v>-470.64620000000002</v>
      </c>
      <c r="H2473" s="1">
        <v>6.5252379999999996E-6</v>
      </c>
      <c r="I2473">
        <v>286.8775</v>
      </c>
      <c r="J2473">
        <v>-416.85300000000001</v>
      </c>
      <c r="K2473">
        <v>1.1205320000000001</v>
      </c>
      <c r="L2473">
        <v>284.41980000000001</v>
      </c>
      <c r="M2473">
        <v>-0.99987060000000005</v>
      </c>
      <c r="N2473">
        <v>-1.5466479999999999E-2</v>
      </c>
      <c r="O2473">
        <v>-4.4454859999999898E-3</v>
      </c>
      <c r="P2473">
        <v>-0.99646199999999996</v>
      </c>
      <c r="Q2473">
        <v>-8.3796430000000005E-2</v>
      </c>
      <c r="R2473">
        <v>6.4567940000000001E-3</v>
      </c>
      <c r="S2473">
        <v>-3.0046080000000002</v>
      </c>
      <c r="T2473">
        <v>-6.2287809999999999E-2</v>
      </c>
      <c r="U2473">
        <v>0.1365662</v>
      </c>
      <c r="V2473">
        <v>1.0834069999999999E-2</v>
      </c>
      <c r="W2473">
        <v>-6.8383700000000006E-2</v>
      </c>
      <c r="X2473">
        <v>0.9976003</v>
      </c>
      <c r="Y2473">
        <v>4.9827620000000003E-2</v>
      </c>
      <c r="Z2473">
        <v>9.251649E-4</v>
      </c>
      <c r="AA2473">
        <v>0.99875740000000002</v>
      </c>
      <c r="AB2473">
        <v>36</v>
      </c>
      <c r="AC2473">
        <v>-53.793199999999999</v>
      </c>
      <c r="AD2473">
        <v>-1.1205254747619999</v>
      </c>
      <c r="AE2473">
        <v>2.45769999999998</v>
      </c>
      <c r="AF2473">
        <v>2.69567399711097</v>
      </c>
      <c r="AG2473">
        <v>-1.1205254747619999</v>
      </c>
      <c r="AH2473">
        <v>53.758464194841203</v>
      </c>
      <c r="AI2473">
        <v>91.192585352014007</v>
      </c>
      <c r="AJ2473">
        <v>87.129354643288806</v>
      </c>
      <c r="AK2473">
        <v>53.837669973971799</v>
      </c>
      <c r="AL2473">
        <v>93.921157431487003</v>
      </c>
      <c r="AM2473">
        <v>89.377784786595996</v>
      </c>
      <c r="AN2473">
        <v>1.00000003302927</v>
      </c>
    </row>
    <row r="2474" spans="1:40" x14ac:dyDescent="0.25">
      <c r="A2474" t="str">
        <f>"20190303154815704"</f>
        <v>20190303154815704</v>
      </c>
      <c r="B2474" t="str">
        <f>"1551599295692817"</f>
        <v>1551599295692817</v>
      </c>
      <c r="C2474" t="s">
        <v>40</v>
      </c>
      <c r="D2474">
        <v>5.0739089999999996</v>
      </c>
      <c r="E2474">
        <v>0.51469830000000005</v>
      </c>
      <c r="F2474" t="s">
        <v>47</v>
      </c>
      <c r="G2474">
        <v>-470.3211</v>
      </c>
      <c r="H2474" s="1">
        <v>6.6684329999999998E-6</v>
      </c>
      <c r="I2474">
        <v>286.8664</v>
      </c>
      <c r="J2474">
        <v>-417.12360000000001</v>
      </c>
      <c r="K2474">
        <v>1.1205339999999999</v>
      </c>
      <c r="L2474">
        <v>284.41879999999998</v>
      </c>
      <c r="M2474">
        <v>-0.99987289999999995</v>
      </c>
      <c r="N2474">
        <v>-1.5384460000000001E-2</v>
      </c>
      <c r="O2474">
        <v>-4.2055369999999996E-3</v>
      </c>
      <c r="P2474">
        <v>-0.99645130000000004</v>
      </c>
      <c r="Q2474">
        <v>-8.3911959999999994E-2</v>
      </c>
      <c r="R2474">
        <v>6.6198150000000002E-3</v>
      </c>
      <c r="S2474">
        <v>-3.0045169999999999</v>
      </c>
      <c r="T2474">
        <v>-6.2965389999999996E-2</v>
      </c>
      <c r="U2474">
        <v>0.13748170000000001</v>
      </c>
      <c r="V2474">
        <v>1.075772E-2</v>
      </c>
      <c r="W2474">
        <v>-6.8581069999999994E-2</v>
      </c>
      <c r="X2474">
        <v>0.99758760000000002</v>
      </c>
      <c r="Y2474">
        <v>4.9892699999999998E-2</v>
      </c>
      <c r="Z2474">
        <v>9.2996509999999997E-4</v>
      </c>
      <c r="AA2474">
        <v>0.99875409999999998</v>
      </c>
      <c r="AB2474">
        <v>36</v>
      </c>
      <c r="AC2474">
        <v>-53.197499999999899</v>
      </c>
      <c r="AD2474">
        <v>-1.1205273315669999</v>
      </c>
      <c r="AE2474">
        <v>2.44760000000002</v>
      </c>
      <c r="AF2474">
        <v>2.6701466963073002</v>
      </c>
      <c r="AG2474">
        <v>-1.1205273315669999</v>
      </c>
      <c r="AH2474">
        <v>53.163197536596698</v>
      </c>
      <c r="AI2474">
        <v>91.205931863022002</v>
      </c>
      <c r="AJ2474">
        <v>87.124708533436404</v>
      </c>
      <c r="AK2474">
        <v>53.242002565603997</v>
      </c>
      <c r="AL2474">
        <v>93.932492420961196</v>
      </c>
      <c r="AM2474">
        <v>89.382161463877395</v>
      </c>
      <c r="AN2474">
        <v>1.0000000556878501</v>
      </c>
    </row>
    <row r="2475" spans="1:40" x14ac:dyDescent="0.25">
      <c r="A2475" t="str">
        <f>"20190303154815726"</f>
        <v>20190303154815726</v>
      </c>
      <c r="B2475" t="str">
        <f>"1551599295723073"</f>
        <v>1551599295723073</v>
      </c>
      <c r="C2475" t="s">
        <v>40</v>
      </c>
      <c r="D2475">
        <v>5.1110329999999999</v>
      </c>
      <c r="E2475">
        <v>0.51480619999999999</v>
      </c>
      <c r="F2475" t="s">
        <v>47</v>
      </c>
      <c r="G2475">
        <v>-469.98140000000001</v>
      </c>
      <c r="H2475" s="1">
        <v>6.8174600000000001E-6</v>
      </c>
      <c r="I2475">
        <v>286.84780000000001</v>
      </c>
      <c r="J2475">
        <v>-417.47620000000001</v>
      </c>
      <c r="K2475">
        <v>1.120533</v>
      </c>
      <c r="L2475">
        <v>284.41770000000002</v>
      </c>
      <c r="M2475">
        <v>-0.99987559999999998</v>
      </c>
      <c r="N2475">
        <v>-1.529051E-2</v>
      </c>
      <c r="O2475">
        <v>-3.8927889999999998E-3</v>
      </c>
      <c r="P2475">
        <v>-0.99646579999999996</v>
      </c>
      <c r="Q2475">
        <v>-8.3739480000000005E-2</v>
      </c>
      <c r="R2475">
        <v>6.6390709999999999E-3</v>
      </c>
      <c r="S2475">
        <v>-3.0044249999999999</v>
      </c>
      <c r="T2475">
        <v>-6.3690540000000004E-2</v>
      </c>
      <c r="U2475">
        <v>0.1380615</v>
      </c>
      <c r="V2475">
        <v>1.0465779999999999E-2</v>
      </c>
      <c r="W2475">
        <v>-6.8501850000000003E-2</v>
      </c>
      <c r="X2475">
        <v>0.99759609999999999</v>
      </c>
      <c r="Y2475">
        <v>4.9773779999999997E-2</v>
      </c>
      <c r="Z2475">
        <v>9.3104750000000001E-4</v>
      </c>
      <c r="AA2475">
        <v>0.99876010000000004</v>
      </c>
      <c r="AB2475">
        <v>36</v>
      </c>
      <c r="AC2475">
        <v>-52.505200000000002</v>
      </c>
      <c r="AD2475">
        <v>-1.1205261825399999</v>
      </c>
      <c r="AE2475">
        <v>2.4300999999999799</v>
      </c>
      <c r="AF2475">
        <v>2.6333003588959798</v>
      </c>
      <c r="AG2475">
        <v>-1.1205261825399999</v>
      </c>
      <c r="AH2475">
        <v>52.471494120803598</v>
      </c>
      <c r="AI2475">
        <v>91.221825426514897</v>
      </c>
      <c r="AJ2475">
        <v>87.127001515528406</v>
      </c>
      <c r="AK2475">
        <v>52.549477114196399</v>
      </c>
      <c r="AL2475">
        <v>93.927942940046094</v>
      </c>
      <c r="AM2475">
        <v>89.398932067221594</v>
      </c>
      <c r="AN2475">
        <v>1.0000000073698201</v>
      </c>
    </row>
    <row r="2476" spans="1:40" x14ac:dyDescent="0.25">
      <c r="A2476" t="str">
        <f>"20190303154815749"</f>
        <v>20190303154815749</v>
      </c>
      <c r="B2476" t="str">
        <f>"1551599295743569"</f>
        <v>1551599295743569</v>
      </c>
      <c r="C2476" t="s">
        <v>40</v>
      </c>
      <c r="D2476">
        <v>5.1170819999999999</v>
      </c>
      <c r="E2476">
        <v>0.51480619999999999</v>
      </c>
      <c r="F2476" t="s">
        <v>52</v>
      </c>
      <c r="G2476">
        <v>-469.46629999999999</v>
      </c>
      <c r="H2476" s="1">
        <v>3.4040509999999999E-6</v>
      </c>
      <c r="I2476">
        <v>286.82749999999999</v>
      </c>
      <c r="J2476">
        <v>-417.84010000000001</v>
      </c>
      <c r="K2476">
        <v>1.1205320000000001</v>
      </c>
      <c r="L2476">
        <v>284.41660000000002</v>
      </c>
      <c r="M2476">
        <v>-0.99987809999999999</v>
      </c>
      <c r="N2476">
        <v>-1.520614E-2</v>
      </c>
      <c r="O2476">
        <v>-3.5698660000000001E-3</v>
      </c>
      <c r="P2476">
        <v>-0.9964826</v>
      </c>
      <c r="Q2476">
        <v>-8.3558569999999999E-2</v>
      </c>
      <c r="R2476">
        <v>6.400523E-3</v>
      </c>
      <c r="S2476">
        <v>-3.0042719999999998</v>
      </c>
      <c r="T2476">
        <v>-6.4750310000000005E-2</v>
      </c>
      <c r="U2476">
        <v>0.13925170000000001</v>
      </c>
      <c r="V2476">
        <v>9.9054299999999998E-3</v>
      </c>
      <c r="W2476">
        <v>-6.8404370000000006E-2</v>
      </c>
      <c r="X2476">
        <v>0.99760850000000001</v>
      </c>
      <c r="Y2476">
        <v>4.9847879999999997E-2</v>
      </c>
      <c r="Z2476">
        <v>9.3876259999999998E-4</v>
      </c>
      <c r="AA2476">
        <v>0.99875639999999999</v>
      </c>
      <c r="AB2476">
        <v>35</v>
      </c>
      <c r="AC2476">
        <v>-51.626199999999898</v>
      </c>
      <c r="AD2476">
        <v>-1.1205285959489999</v>
      </c>
      <c r="AE2476">
        <v>2.4108999999999599</v>
      </c>
      <c r="AF2476">
        <v>2.59398519821822</v>
      </c>
      <c r="AG2476">
        <v>-1.1205285959489999</v>
      </c>
      <c r="AH2476">
        <v>51.5930112213737</v>
      </c>
      <c r="AI2476">
        <v>91.242620104298595</v>
      </c>
      <c r="AJ2476">
        <v>87.121715594687203</v>
      </c>
      <c r="AK2476">
        <v>51.670331433344899</v>
      </c>
      <c r="AL2476">
        <v>93.922344655162902</v>
      </c>
      <c r="AM2476">
        <v>89.431118837289802</v>
      </c>
      <c r="AN2476">
        <v>0.999999997325415</v>
      </c>
    </row>
    <row r="2477" spans="1:40" x14ac:dyDescent="0.25">
      <c r="A2477" t="str">
        <f>"20190303154815763"</f>
        <v>20190303154815763</v>
      </c>
      <c r="B2477" t="str">
        <f>"1551599295753330"</f>
        <v>1551599295753330</v>
      </c>
      <c r="C2477" t="s">
        <v>40</v>
      </c>
      <c r="D2477">
        <v>5.1153890000000004</v>
      </c>
      <c r="E2477">
        <v>0.51480400000000004</v>
      </c>
      <c r="F2477" t="s">
        <v>52</v>
      </c>
      <c r="G2477">
        <v>-468.88459999999998</v>
      </c>
      <c r="H2477" s="1">
        <v>3.0970909999999999E-6</v>
      </c>
      <c r="I2477">
        <v>286.76760000000002</v>
      </c>
      <c r="J2477">
        <v>-418.05470000000003</v>
      </c>
      <c r="K2477">
        <v>1.1205240000000001</v>
      </c>
      <c r="L2477">
        <v>284.416</v>
      </c>
      <c r="M2477">
        <v>-0.99987950000000003</v>
      </c>
      <c r="N2477">
        <v>-1.5160989999999999E-2</v>
      </c>
      <c r="O2477">
        <v>-3.3795399999999999E-3</v>
      </c>
      <c r="P2477">
        <v>-0.99651809999999996</v>
      </c>
      <c r="Q2477">
        <v>-8.3122689999999999E-2</v>
      </c>
      <c r="R2477">
        <v>6.5219639999999999E-3</v>
      </c>
      <c r="S2477">
        <v>-3.0042110000000002</v>
      </c>
      <c r="T2477">
        <v>-6.5948489999999999E-2</v>
      </c>
      <c r="U2477">
        <v>0.13836670000000001</v>
      </c>
      <c r="V2477">
        <v>9.8375990000000007E-3</v>
      </c>
      <c r="W2477">
        <v>-6.8012970000000006E-2</v>
      </c>
      <c r="X2477">
        <v>0.99763599999999997</v>
      </c>
      <c r="Y2477">
        <v>4.9364730000000002E-2</v>
      </c>
      <c r="Z2477">
        <v>9.3891109999999999E-4</v>
      </c>
      <c r="AA2477">
        <v>0.99878040000000001</v>
      </c>
      <c r="AB2477">
        <v>35</v>
      </c>
      <c r="AC2477">
        <v>-50.829899999999903</v>
      </c>
      <c r="AD2477">
        <v>-1.120520902909</v>
      </c>
      <c r="AE2477">
        <v>2.3516000000000101</v>
      </c>
      <c r="AF2477">
        <v>2.5221649128406902</v>
      </c>
      <c r="AG2477">
        <v>-1.120520902909</v>
      </c>
      <c r="AH2477">
        <v>50.7970287705378</v>
      </c>
      <c r="AI2477">
        <v>91.262116244908498</v>
      </c>
      <c r="AJ2477">
        <v>87.157494632669497</v>
      </c>
      <c r="AK2477">
        <v>50.871947228863398</v>
      </c>
      <c r="AL2477">
        <v>93.899866471347195</v>
      </c>
      <c r="AM2477">
        <v>89.435029775490406</v>
      </c>
      <c r="AN2477">
        <v>1.0000000654691501</v>
      </c>
    </row>
    <row r="2478" spans="1:40" x14ac:dyDescent="0.25">
      <c r="A2478" t="str">
        <f>"20190303154815776"</f>
        <v>20190303154815776</v>
      </c>
      <c r="B2478" t="str">
        <f>"1551599295772850"</f>
        <v>1551599295772850</v>
      </c>
      <c r="C2478" t="s">
        <v>40</v>
      </c>
      <c r="D2478">
        <v>5.1348209999999996</v>
      </c>
      <c r="E2478">
        <v>0.5148431</v>
      </c>
      <c r="F2478" t="s">
        <v>52</v>
      </c>
      <c r="G2478">
        <v>-469.44920000000002</v>
      </c>
      <c r="H2478" s="1">
        <v>3.3967180000000001E-6</v>
      </c>
      <c r="I2478">
        <v>286.78730000000002</v>
      </c>
      <c r="J2478">
        <v>-418.27269999999999</v>
      </c>
      <c r="K2478">
        <v>1.120522</v>
      </c>
      <c r="L2478">
        <v>284.41539999999998</v>
      </c>
      <c r="M2478">
        <v>-0.99988060000000001</v>
      </c>
      <c r="N2478">
        <v>-1.511969E-2</v>
      </c>
      <c r="O2478">
        <v>-3.1863769999999998E-3</v>
      </c>
      <c r="P2478">
        <v>-0.99650519999999998</v>
      </c>
      <c r="Q2478">
        <v>-8.3278340000000006E-2</v>
      </c>
      <c r="R2478">
        <v>6.4946769999999999E-3</v>
      </c>
      <c r="S2478">
        <v>-3.0041500000000001</v>
      </c>
      <c r="T2478">
        <v>-6.5497520000000004E-2</v>
      </c>
      <c r="U2478">
        <v>0.13861080000000001</v>
      </c>
      <c r="V2478">
        <v>9.6177989999999998E-3</v>
      </c>
      <c r="W2478">
        <v>-6.8209800000000001E-2</v>
      </c>
      <c r="X2478">
        <v>0.99762459999999997</v>
      </c>
      <c r="Y2478">
        <v>4.9253999999999999E-2</v>
      </c>
      <c r="Z2478">
        <v>9.3049880000000004E-4</v>
      </c>
      <c r="AA2478">
        <v>0.9987859</v>
      </c>
      <c r="AB2478">
        <v>35</v>
      </c>
      <c r="AC2478">
        <v>-51.176499999999997</v>
      </c>
      <c r="AD2478">
        <v>-1.120518603282</v>
      </c>
      <c r="AE2478">
        <v>2.3719000000000299</v>
      </c>
      <c r="AF2478">
        <v>2.5337621443151801</v>
      </c>
      <c r="AG2478">
        <v>-1.120518603282</v>
      </c>
      <c r="AH2478">
        <v>51.144215587894898</v>
      </c>
      <c r="AI2478">
        <v>91.253555519134693</v>
      </c>
      <c r="AJ2478">
        <v>87.163798870849703</v>
      </c>
      <c r="AK2478">
        <v>51.219198555281402</v>
      </c>
      <c r="AL2478">
        <v>93.911170659817898</v>
      </c>
      <c r="AM2478">
        <v>89.447645718165703</v>
      </c>
      <c r="AN2478">
        <v>0.999999960699401</v>
      </c>
    </row>
    <row r="2479" spans="1:40" x14ac:dyDescent="0.25">
      <c r="A2479" t="str">
        <f>"20190303154815789"</f>
        <v>20190303154815789</v>
      </c>
      <c r="B2479" t="str">
        <f>"1551599295783585"</f>
        <v>1551599295783585</v>
      </c>
      <c r="C2479" t="s">
        <v>40</v>
      </c>
      <c r="D2479">
        <v>5.1524229999999998</v>
      </c>
      <c r="E2479">
        <v>0.51490800000000003</v>
      </c>
      <c r="F2479" t="s">
        <v>52</v>
      </c>
      <c r="G2479">
        <v>-468.17270000000002</v>
      </c>
      <c r="H2479" s="1">
        <v>2.7202100000000001E-6</v>
      </c>
      <c r="I2479">
        <v>286.7235</v>
      </c>
      <c r="J2479">
        <v>-418.47579999999999</v>
      </c>
      <c r="K2479">
        <v>1.120517</v>
      </c>
      <c r="L2479">
        <v>284.41500000000002</v>
      </c>
      <c r="M2479">
        <v>-0.99988180000000004</v>
      </c>
      <c r="N2479">
        <v>-1.508438E-2</v>
      </c>
      <c r="O2479">
        <v>-3.0063709999999999E-3</v>
      </c>
      <c r="P2479">
        <v>-0.99653820000000004</v>
      </c>
      <c r="Q2479">
        <v>-8.289175E-2</v>
      </c>
      <c r="R2479">
        <v>6.3931750000000001E-3</v>
      </c>
      <c r="S2479">
        <v>-3.0039370000000001</v>
      </c>
      <c r="T2479">
        <v>-6.7454219999999995E-2</v>
      </c>
      <c r="U2479">
        <v>0.1389465</v>
      </c>
      <c r="V2479">
        <v>9.3371949999999995E-3</v>
      </c>
      <c r="W2479">
        <v>-6.7857730000000005E-2</v>
      </c>
      <c r="X2479">
        <v>0.99765130000000002</v>
      </c>
      <c r="Y2479">
        <v>4.9187920000000003E-2</v>
      </c>
      <c r="Z2479">
        <v>9.4532199999999996E-4</v>
      </c>
      <c r="AA2479">
        <v>0.99878909999999999</v>
      </c>
      <c r="AB2479">
        <v>35</v>
      </c>
      <c r="AC2479">
        <v>-49.696899999999999</v>
      </c>
      <c r="AD2479">
        <v>-1.1205142797900001</v>
      </c>
      <c r="AE2479">
        <v>2.30849999999998</v>
      </c>
      <c r="AF2479">
        <v>2.4566676742768001</v>
      </c>
      <c r="AG2479">
        <v>-1.1205142797900001</v>
      </c>
      <c r="AH2479">
        <v>49.6645409796593</v>
      </c>
      <c r="AI2479">
        <v>91.290890604677401</v>
      </c>
      <c r="AJ2479">
        <v>87.168159549642695</v>
      </c>
      <c r="AK2479">
        <v>49.737886957864497</v>
      </c>
      <c r="AL2479">
        <v>93.890951589964104</v>
      </c>
      <c r="AM2479">
        <v>89.463774320369495</v>
      </c>
      <c r="AN2479">
        <v>0.99999998556145497</v>
      </c>
    </row>
    <row r="2480" spans="1:40" x14ac:dyDescent="0.25">
      <c r="A2480" t="str">
        <f>"20190303154815806"</f>
        <v>20190303154815806</v>
      </c>
      <c r="B2480" t="str">
        <f>"1551599295803107"</f>
        <v>1551599295803107</v>
      </c>
      <c r="C2480" t="s">
        <v>40</v>
      </c>
      <c r="D2480">
        <v>5.1540140000000001</v>
      </c>
      <c r="E2480">
        <v>0.51524529999999902</v>
      </c>
      <c r="F2480" t="s">
        <v>52</v>
      </c>
      <c r="G2480">
        <v>-468.6515</v>
      </c>
      <c r="H2480" s="1">
        <v>2.9743180000000001E-6</v>
      </c>
      <c r="I2480">
        <v>286.73939999999999</v>
      </c>
      <c r="J2480">
        <v>-418.72789999999998</v>
      </c>
      <c r="K2480">
        <v>1.1205160000000001</v>
      </c>
      <c r="L2480">
        <v>284.4144</v>
      </c>
      <c r="M2480">
        <v>-0.99988310000000002</v>
      </c>
      <c r="N2480">
        <v>-1.504377E-2</v>
      </c>
      <c r="O2480">
        <v>-2.7830609999999999E-3</v>
      </c>
      <c r="P2480">
        <v>-0.99649259999999995</v>
      </c>
      <c r="Q2480">
        <v>-8.3423449999999996E-2</v>
      </c>
      <c r="R2480">
        <v>6.6051640000000002E-3</v>
      </c>
      <c r="S2480">
        <v>-3.0039370000000001</v>
      </c>
      <c r="T2480">
        <v>-6.7083359999999995E-2</v>
      </c>
      <c r="U2480">
        <v>0.13916020000000001</v>
      </c>
      <c r="V2480">
        <v>9.3262559999999998E-3</v>
      </c>
      <c r="W2480">
        <v>-6.8430539999999998E-2</v>
      </c>
      <c r="X2480">
        <v>0.99761230000000001</v>
      </c>
      <c r="Y2480">
        <v>4.9036009999999998E-2</v>
      </c>
      <c r="Z2480">
        <v>9.3657379999999995E-4</v>
      </c>
      <c r="AA2480">
        <v>0.99879660000000003</v>
      </c>
      <c r="AB2480">
        <v>35</v>
      </c>
      <c r="AC2480">
        <v>-49.9236</v>
      </c>
      <c r="AD2480">
        <v>-1.120513025682</v>
      </c>
      <c r="AE2480">
        <v>2.3249999999999802</v>
      </c>
      <c r="AF2480">
        <v>2.4627091990300798</v>
      </c>
      <c r="AG2480">
        <v>-1.120513025682</v>
      </c>
      <c r="AH2480">
        <v>49.8918562351055</v>
      </c>
      <c r="AI2480">
        <v>91.285016243019101</v>
      </c>
      <c r="AJ2480">
        <v>87.174119746409701</v>
      </c>
      <c r="AK2480">
        <v>49.965165912104702</v>
      </c>
      <c r="AL2480">
        <v>93.923847559682699</v>
      </c>
      <c r="AM2480">
        <v>89.464381562397406</v>
      </c>
      <c r="AN2480">
        <v>1.00000000948347</v>
      </c>
    </row>
    <row r="2481" spans="1:40" x14ac:dyDescent="0.25">
      <c r="A2481" t="str">
        <f>"20190303154815871"</f>
        <v>20190303154815871</v>
      </c>
      <c r="B2481" t="str">
        <f>"1551599295862642"</f>
        <v>1551599295862642</v>
      </c>
      <c r="C2481" t="s">
        <v>40</v>
      </c>
      <c r="D2481">
        <v>3.7938930000000002</v>
      </c>
      <c r="E2481">
        <v>0.51524529999999902</v>
      </c>
      <c r="F2481" t="s">
        <v>52</v>
      </c>
      <c r="G2481">
        <v>-467.649</v>
      </c>
      <c r="H2481" s="1">
        <v>2.4410380000000002E-6</v>
      </c>
      <c r="I2481">
        <v>286.73500000000001</v>
      </c>
      <c r="J2481">
        <v>-419.76799999999997</v>
      </c>
      <c r="K2481">
        <v>1.120501</v>
      </c>
      <c r="L2481">
        <v>284.4128</v>
      </c>
      <c r="M2481">
        <v>-0.99988719999999998</v>
      </c>
      <c r="N2481">
        <v>-1.4912760000000001E-2</v>
      </c>
      <c r="O2481">
        <v>-1.861201E-3</v>
      </c>
      <c r="P2481">
        <v>-0.99639230000000001</v>
      </c>
      <c r="Q2481">
        <v>-8.4312689999999996E-2</v>
      </c>
      <c r="R2481">
        <v>9.7043589999999992E-3</v>
      </c>
      <c r="S2481">
        <v>-3.0038450000000001</v>
      </c>
      <c r="T2481">
        <v>-6.8801520000000005E-2</v>
      </c>
      <c r="U2481">
        <v>0.14248659999999999</v>
      </c>
      <c r="V2481">
        <v>1.15058E-2</v>
      </c>
      <c r="W2481">
        <v>-6.9453490000000007E-2</v>
      </c>
      <c r="X2481">
        <v>0.99751880000000004</v>
      </c>
      <c r="Y2481">
        <v>4.921934E-2</v>
      </c>
      <c r="Z2481">
        <v>9.4544599999999996E-4</v>
      </c>
      <c r="AA2481">
        <v>0.99878750000000005</v>
      </c>
      <c r="AB2481">
        <v>35</v>
      </c>
      <c r="AC2481">
        <v>-47.880999999999901</v>
      </c>
      <c r="AD2481">
        <v>-1.120498558962</v>
      </c>
      <c r="AE2481">
        <v>2.3222</v>
      </c>
      <c r="AF2481">
        <v>2.4100053198589602</v>
      </c>
      <c r="AG2481">
        <v>-1.120498558962</v>
      </c>
      <c r="AH2481">
        <v>47.8504511006659</v>
      </c>
      <c r="AI2481">
        <v>91.339734077299696</v>
      </c>
      <c r="AJ2481">
        <v>87.116713624654196</v>
      </c>
      <c r="AK2481">
        <v>47.924203834801503</v>
      </c>
      <c r="AL2481">
        <v>93.982598249611399</v>
      </c>
      <c r="AM2481">
        <v>89.339155766474406</v>
      </c>
      <c r="AN2481">
        <v>0.99999996353012899</v>
      </c>
    </row>
    <row r="2482" spans="1:40" x14ac:dyDescent="0.25">
      <c r="A2482" t="str">
        <f>"20190303154815905"</f>
        <v>20190303154815905</v>
      </c>
      <c r="B2482" t="str">
        <f>"1551599295903634"</f>
        <v>1551599295903634</v>
      </c>
      <c r="C2482" t="s">
        <v>40</v>
      </c>
      <c r="D2482">
        <v>4.4199159999999997</v>
      </c>
      <c r="E2482">
        <v>0.53080950000000005</v>
      </c>
      <c r="F2482" t="s">
        <v>52</v>
      </c>
      <c r="G2482">
        <v>-466.8879</v>
      </c>
      <c r="H2482" s="1">
        <v>2.033397E-6</v>
      </c>
      <c r="I2482">
        <v>286.79430000000002</v>
      </c>
      <c r="J2482">
        <v>-420.3064</v>
      </c>
      <c r="K2482">
        <v>1.1204909999999999</v>
      </c>
      <c r="L2482">
        <v>284.41230000000002</v>
      </c>
      <c r="M2482">
        <v>-0.99988860000000002</v>
      </c>
      <c r="N2482">
        <v>-1.486261E-2</v>
      </c>
      <c r="O2482">
        <v>-1.383932E-3</v>
      </c>
      <c r="P2482">
        <v>-0.99643630000000005</v>
      </c>
      <c r="Q2482">
        <v>-8.3717879999999995E-2</v>
      </c>
      <c r="R2482">
        <v>1.030507E-2</v>
      </c>
      <c r="S2482">
        <v>-3.003387</v>
      </c>
      <c r="T2482">
        <v>-7.1419839999999998E-2</v>
      </c>
      <c r="U2482">
        <v>0.1517944</v>
      </c>
      <c r="V2482">
        <v>1.1631580000000001E-2</v>
      </c>
      <c r="W2482">
        <v>-6.8908129999999998E-2</v>
      </c>
      <c r="X2482">
        <v>0.99755519999999998</v>
      </c>
      <c r="Y2482">
        <v>5.183509E-2</v>
      </c>
      <c r="Z2482">
        <v>1.0137189999999999E-3</v>
      </c>
      <c r="AA2482">
        <v>0.99865510000000002</v>
      </c>
      <c r="AB2482">
        <v>35</v>
      </c>
      <c r="AC2482">
        <v>-46.581499999999998</v>
      </c>
      <c r="AD2482">
        <v>-1.120488966603</v>
      </c>
      <c r="AE2482">
        <v>2.3820000000000001</v>
      </c>
      <c r="AF2482">
        <v>2.4450594138587398</v>
      </c>
      <c r="AG2482">
        <v>-1.120488966603</v>
      </c>
      <c r="AH2482">
        <v>46.551293555036501</v>
      </c>
      <c r="AI2482">
        <v>91.376945050069295</v>
      </c>
      <c r="AJ2482">
        <v>86.993360217601193</v>
      </c>
      <c r="AK2482">
        <v>46.628926029973698</v>
      </c>
      <c r="AL2482">
        <v>93.951276232397305</v>
      </c>
      <c r="AM2482">
        <v>89.331956524330295</v>
      </c>
      <c r="AN2482">
        <v>1.0000000005402101</v>
      </c>
    </row>
    <row r="2483" spans="1:40" x14ac:dyDescent="0.25">
      <c r="A2483" t="str">
        <f>"20190303154815928"</f>
        <v>20190303154815928</v>
      </c>
      <c r="B2483" t="str">
        <f>"1551599295923154"</f>
        <v>1551599295923154</v>
      </c>
      <c r="C2483" t="s">
        <v>40</v>
      </c>
      <c r="D2483">
        <v>4.7182740000000001</v>
      </c>
      <c r="E2483">
        <v>0.53781859999999904</v>
      </c>
      <c r="F2483" t="s">
        <v>42</v>
      </c>
      <c r="G2483">
        <v>-421.15449999999998</v>
      </c>
      <c r="H2483">
        <v>0.79770580000000002</v>
      </c>
      <c r="I2483">
        <v>284.49160000000001</v>
      </c>
      <c r="J2483">
        <v>-420.65629999999999</v>
      </c>
      <c r="K2483">
        <v>1.1204889999999901</v>
      </c>
      <c r="L2483">
        <v>284.41210000000001</v>
      </c>
      <c r="M2483">
        <v>-0.99988929999999998</v>
      </c>
      <c r="N2483">
        <v>-1.4835020000000001E-2</v>
      </c>
      <c r="O2483">
        <v>-1.0726360000000001E-3</v>
      </c>
      <c r="P2483">
        <v>-0.99639889999999998</v>
      </c>
      <c r="Q2483">
        <v>-8.4145929999999994E-2</v>
      </c>
      <c r="R2483">
        <v>1.040862E-2</v>
      </c>
      <c r="S2483">
        <v>-2.9147340000000002</v>
      </c>
      <c r="T2483">
        <v>-1.1092340000000001</v>
      </c>
      <c r="U2483">
        <v>0.2713623</v>
      </c>
      <c r="V2483">
        <v>1.142467E-2</v>
      </c>
      <c r="W2483">
        <v>-6.9363969999999997E-2</v>
      </c>
      <c r="X2483">
        <v>0.99752600000000002</v>
      </c>
      <c r="Y2483">
        <v>8.7380949999999999E-2</v>
      </c>
      <c r="Z2483">
        <v>1.7084080000000001E-2</v>
      </c>
      <c r="AA2483">
        <v>0.99602849999999998</v>
      </c>
      <c r="AB2483">
        <v>35</v>
      </c>
      <c r="AC2483">
        <v>-0.49819999999999698</v>
      </c>
      <c r="AD2483">
        <v>-0.32278319999999899</v>
      </c>
      <c r="AE2483">
        <v>7.9499999999995893E-2</v>
      </c>
      <c r="AF2483">
        <v>5.6788196113798498E-2</v>
      </c>
      <c r="AG2483">
        <v>-0.32278319999999899</v>
      </c>
      <c r="AH2483">
        <v>0.35343576978501701</v>
      </c>
      <c r="AI2483">
        <v>132.04121303344101</v>
      </c>
      <c r="AJ2483">
        <v>80.872032963907898</v>
      </c>
      <c r="AK2483">
        <v>0.482006988314097</v>
      </c>
      <c r="AL2483">
        <v>93.977456578023805</v>
      </c>
      <c r="AM2483">
        <v>89.343819855682796</v>
      </c>
      <c r="AN2483">
        <v>1.00000000204738</v>
      </c>
    </row>
    <row r="2484" spans="1:40" x14ac:dyDescent="0.25">
      <c r="A2484" t="str">
        <f>"20190303154816006"</f>
        <v>20190303154816006</v>
      </c>
      <c r="B2484" t="str">
        <f>"1551599296003186"</f>
        <v>1551599296003186</v>
      </c>
      <c r="C2484" t="s">
        <v>40</v>
      </c>
      <c r="D2484">
        <v>5.3902409999999996</v>
      </c>
      <c r="E2484">
        <v>0.53908789999999995</v>
      </c>
      <c r="F2484" t="s">
        <v>42</v>
      </c>
      <c r="G2484">
        <v>-422.41579999999999</v>
      </c>
      <c r="H2484">
        <v>0.82236149999999997</v>
      </c>
      <c r="I2484">
        <v>284.5154</v>
      </c>
      <c r="J2484">
        <v>-421.87729999999999</v>
      </c>
      <c r="K2484">
        <v>1.120474</v>
      </c>
      <c r="L2484">
        <v>284.41239999999999</v>
      </c>
      <c r="M2484">
        <v>-0.99989119999999998</v>
      </c>
      <c r="N2484">
        <v>-1.4761059999999999E-2</v>
      </c>
      <c r="O2484" s="1">
        <v>1.2885069999999999E-5</v>
      </c>
      <c r="P2484">
        <v>-0.99632290000000001</v>
      </c>
      <c r="Q2484">
        <v>-8.5192229999999994E-2</v>
      </c>
      <c r="R2484">
        <v>9.1446229999999993E-3</v>
      </c>
      <c r="S2484">
        <v>-2.9219970000000002</v>
      </c>
      <c r="T2484">
        <v>-1.0080020000000001</v>
      </c>
      <c r="U2484">
        <v>0.3475647</v>
      </c>
      <c r="V2484">
        <v>9.0787119999999992E-3</v>
      </c>
      <c r="W2484">
        <v>-7.0483050000000005E-2</v>
      </c>
      <c r="X2484">
        <v>0.99747169999999996</v>
      </c>
      <c r="Y2484">
        <v>0.111454</v>
      </c>
      <c r="Z2484">
        <v>1.9468829999999999E-2</v>
      </c>
      <c r="AA2484">
        <v>0.99357890000000004</v>
      </c>
      <c r="AB2484">
        <v>35</v>
      </c>
      <c r="AC2484">
        <v>-0.53849999999999898</v>
      </c>
      <c r="AD2484">
        <v>-0.2981125</v>
      </c>
      <c r="AE2484">
        <v>0.103000000000008</v>
      </c>
      <c r="AF2484">
        <v>7.9491164687603796E-2</v>
      </c>
      <c r="AG2484">
        <v>-0.2981125</v>
      </c>
      <c r="AH2484">
        <v>0.41562118291837302</v>
      </c>
      <c r="AI2484">
        <v>125.16470338770699</v>
      </c>
      <c r="AJ2484">
        <v>79.172443893036302</v>
      </c>
      <c r="AK2484">
        <v>0.51762039721219399</v>
      </c>
      <c r="AL2484">
        <v>94.041732321897896</v>
      </c>
      <c r="AM2484">
        <v>89.478524034506194</v>
      </c>
      <c r="AN2484">
        <v>1.0000000378248799</v>
      </c>
    </row>
    <row r="2485" spans="1:40" x14ac:dyDescent="0.25">
      <c r="A2485" t="str">
        <f>"20190303154816110"</f>
        <v>20190303154816110</v>
      </c>
      <c r="B2485" t="str">
        <f>"1551599296102738"</f>
        <v>1551599296102738</v>
      </c>
      <c r="C2485" t="s">
        <v>40</v>
      </c>
      <c r="D2485">
        <v>5.1087069999999999</v>
      </c>
      <c r="E2485">
        <v>0.54448479999999999</v>
      </c>
      <c r="F2485" t="s">
        <v>42</v>
      </c>
      <c r="G2485">
        <v>-424.03280000000001</v>
      </c>
      <c r="H2485">
        <v>0.96097120000000003</v>
      </c>
      <c r="I2485">
        <v>284.51499999999999</v>
      </c>
      <c r="J2485">
        <v>-423.49579999999997</v>
      </c>
      <c r="K2485">
        <v>1.1204829999999999</v>
      </c>
      <c r="L2485">
        <v>284.41480000000001</v>
      </c>
      <c r="M2485">
        <v>-0.99989099999999997</v>
      </c>
      <c r="N2485">
        <v>-1.4699169999999999E-2</v>
      </c>
      <c r="O2485">
        <v>1.45300299999999E-3</v>
      </c>
      <c r="P2485">
        <v>-0.99653139999999996</v>
      </c>
      <c r="Q2485">
        <v>-8.2279459999999999E-2</v>
      </c>
      <c r="R2485">
        <v>1.246592E-2</v>
      </c>
      <c r="S2485">
        <v>-2.954895</v>
      </c>
      <c r="T2485">
        <v>-0.61694669999999996</v>
      </c>
      <c r="U2485">
        <v>0.38836670000000001</v>
      </c>
      <c r="V2485">
        <v>1.096715E-2</v>
      </c>
      <c r="W2485">
        <v>-6.7630380000000004E-2</v>
      </c>
      <c r="X2485">
        <v>0.99765009999999998</v>
      </c>
      <c r="Y2485">
        <v>0.12603</v>
      </c>
      <c r="Z2485">
        <v>1.362533E-2</v>
      </c>
      <c r="AA2485">
        <v>0.99193290000000001</v>
      </c>
      <c r="AB2485">
        <v>35</v>
      </c>
      <c r="AC2485">
        <v>-0.53700000000003401</v>
      </c>
      <c r="AD2485">
        <v>-0.15951179999999901</v>
      </c>
      <c r="AE2485">
        <v>0.10019999999997201</v>
      </c>
      <c r="AF2485">
        <v>9.1608497395498797E-2</v>
      </c>
      <c r="AG2485">
        <v>-0.15951179999999901</v>
      </c>
      <c r="AH2485">
        <v>0.494943411742091</v>
      </c>
      <c r="AI2485">
        <v>107.58343174695401</v>
      </c>
      <c r="AJ2485">
        <v>79.513860731831102</v>
      </c>
      <c r="AK2485">
        <v>0.52801999200901595</v>
      </c>
      <c r="AL2485">
        <v>93.877895599599597</v>
      </c>
      <c r="AM2485">
        <v>89.370173873449403</v>
      </c>
      <c r="AN2485">
        <v>0.999999934354036</v>
      </c>
    </row>
    <row r="2486" spans="1:40" x14ac:dyDescent="0.25">
      <c r="A2486" t="str">
        <f>"20190303154816129"</f>
        <v>20190303154816129</v>
      </c>
      <c r="B2486" t="str">
        <f>"1551599296123233"</f>
        <v>1551599296123233</v>
      </c>
      <c r="C2486" t="s">
        <v>40</v>
      </c>
      <c r="D2486">
        <v>5.0789210000000002</v>
      </c>
      <c r="E2486">
        <v>0.57344459999999997</v>
      </c>
      <c r="F2486" t="s">
        <v>42</v>
      </c>
      <c r="G2486">
        <v>-424.33550000000002</v>
      </c>
      <c r="H2486">
        <v>0.94504980000000005</v>
      </c>
      <c r="I2486">
        <v>284.52620000000002</v>
      </c>
      <c r="J2486">
        <v>-423.79169999999999</v>
      </c>
      <c r="K2486">
        <v>1.120485</v>
      </c>
      <c r="L2486">
        <v>284.41559999999998</v>
      </c>
      <c r="M2486">
        <v>-0.99989070000000002</v>
      </c>
      <c r="N2486">
        <v>-1.4690730000000001E-2</v>
      </c>
      <c r="O2486">
        <v>1.716197E-3</v>
      </c>
      <c r="P2486">
        <v>-0.99653570000000002</v>
      </c>
      <c r="Q2486">
        <v>-8.2113430000000001E-2</v>
      </c>
      <c r="R2486">
        <v>1.319654E-2</v>
      </c>
      <c r="S2486">
        <v>-2.95459</v>
      </c>
      <c r="T2486">
        <v>-0.61733579999999999</v>
      </c>
      <c r="U2486">
        <v>0.38995360000000001</v>
      </c>
      <c r="V2486">
        <v>1.143565E-2</v>
      </c>
      <c r="W2486">
        <v>-6.7472980000000002E-2</v>
      </c>
      <c r="X2486">
        <v>0.99765559999999998</v>
      </c>
      <c r="Y2486">
        <v>0.12630089999999999</v>
      </c>
      <c r="Z2486">
        <v>1.361303E-2</v>
      </c>
      <c r="AA2486">
        <v>0.99189850000000002</v>
      </c>
      <c r="AB2486">
        <v>35</v>
      </c>
      <c r="AC2486">
        <v>-0.54380000000003204</v>
      </c>
      <c r="AD2486">
        <v>-0.17543520000000001</v>
      </c>
      <c r="AE2486">
        <v>0.11060000000003301</v>
      </c>
      <c r="AF2486">
        <v>9.9701961057954702E-2</v>
      </c>
      <c r="AG2486">
        <v>-0.17543520000000001</v>
      </c>
      <c r="AH2486">
        <v>0.49456113525946799</v>
      </c>
      <c r="AI2486">
        <v>109.17426305641401</v>
      </c>
      <c r="AJ2486">
        <v>78.602121450928195</v>
      </c>
      <c r="AK2486">
        <v>0.53414296489514501</v>
      </c>
      <c r="AL2486">
        <v>93.868856199761694</v>
      </c>
      <c r="AM2486">
        <v>89.343274585773301</v>
      </c>
      <c r="AN2486">
        <v>1.0000000366661801</v>
      </c>
    </row>
    <row r="2487" spans="1:40" x14ac:dyDescent="0.25">
      <c r="A2487" t="str">
        <f>"20190303154816150"</f>
        <v>20190303154816150</v>
      </c>
      <c r="B2487" t="str">
        <f>"1551599296142755"</f>
        <v>1551599296142755</v>
      </c>
      <c r="C2487" t="s">
        <v>40</v>
      </c>
      <c r="D2487">
        <v>5.0793470000000003</v>
      </c>
      <c r="E2487">
        <v>0.57325969999999904</v>
      </c>
      <c r="F2487" t="s">
        <v>42</v>
      </c>
      <c r="G2487">
        <v>-424.62369999999999</v>
      </c>
      <c r="H2487">
        <v>0.89030030000000004</v>
      </c>
      <c r="I2487">
        <v>284.59210000000002</v>
      </c>
      <c r="J2487">
        <v>-424.12099999999998</v>
      </c>
      <c r="K2487">
        <v>1.120482</v>
      </c>
      <c r="L2487">
        <v>284.41640000000001</v>
      </c>
      <c r="M2487">
        <v>-0.99989030000000001</v>
      </c>
      <c r="N2487">
        <v>-1.468209E-2</v>
      </c>
      <c r="O2487">
        <v>2.0096060000000002E-3</v>
      </c>
      <c r="P2487">
        <v>-0.99646210000000002</v>
      </c>
      <c r="Q2487">
        <v>-8.2964899999999994E-2</v>
      </c>
      <c r="R2487">
        <v>1.342496E-2</v>
      </c>
      <c r="S2487">
        <v>-2.9352719999999999</v>
      </c>
      <c r="T2487">
        <v>-0.81204560000000003</v>
      </c>
      <c r="U2487">
        <v>0.62191770000000002</v>
      </c>
      <c r="V2487">
        <v>1.1371289999999999E-2</v>
      </c>
      <c r="W2487">
        <v>-6.8333969999999994E-2</v>
      </c>
      <c r="X2487">
        <v>0.99759770000000003</v>
      </c>
      <c r="Y2487">
        <v>0.1978519</v>
      </c>
      <c r="Z2487">
        <v>2.7568329999999999E-2</v>
      </c>
      <c r="AA2487">
        <v>0.97984420000000005</v>
      </c>
      <c r="AB2487">
        <v>35</v>
      </c>
      <c r="AC2487">
        <v>-0.50270000000000403</v>
      </c>
      <c r="AD2487">
        <v>-0.23018169999999999</v>
      </c>
      <c r="AE2487">
        <v>0.17570000000000599</v>
      </c>
      <c r="AF2487">
        <v>0.14718861615956499</v>
      </c>
      <c r="AG2487">
        <v>-0.23018169999999999</v>
      </c>
      <c r="AH2487">
        <v>0.42385847822236</v>
      </c>
      <c r="AI2487">
        <v>117.158328847652</v>
      </c>
      <c r="AJ2487">
        <v>70.8499887207076</v>
      </c>
      <c r="AK2487">
        <v>0.504285745686741</v>
      </c>
      <c r="AL2487">
        <v>93.918301544184203</v>
      </c>
      <c r="AM2487">
        <v>89.346932426525399</v>
      </c>
      <c r="AN2487">
        <v>1.00000000436875</v>
      </c>
    </row>
    <row r="2488" spans="1:40" x14ac:dyDescent="0.25">
      <c r="A2488" t="str">
        <f>"20190303154816173"</f>
        <v>20190303154816173</v>
      </c>
      <c r="B2488" t="str">
        <f>"1551599296163250"</f>
        <v>1551599296163250</v>
      </c>
      <c r="C2488" t="s">
        <v>40</v>
      </c>
      <c r="D2488">
        <v>5.0483909999999996</v>
      </c>
      <c r="E2488">
        <v>0.57273430000000003</v>
      </c>
      <c r="F2488" t="s">
        <v>42</v>
      </c>
      <c r="G2488">
        <v>-424.93439999999998</v>
      </c>
      <c r="H2488">
        <v>0.89369940000000003</v>
      </c>
      <c r="I2488">
        <v>284.589</v>
      </c>
      <c r="J2488">
        <v>-424.47890000000001</v>
      </c>
      <c r="K2488">
        <v>1.120479</v>
      </c>
      <c r="L2488">
        <v>284.41739999999999</v>
      </c>
      <c r="M2488">
        <v>-0.99988960000000005</v>
      </c>
      <c r="N2488">
        <v>-1.467332E-2</v>
      </c>
      <c r="O2488">
        <v>2.3287609999999999E-3</v>
      </c>
      <c r="P2488">
        <v>-0.99646849999999998</v>
      </c>
      <c r="Q2488">
        <v>-8.2874420000000004E-2</v>
      </c>
      <c r="R2488">
        <v>1.35155E-2</v>
      </c>
      <c r="S2488">
        <v>-2.9341740000000001</v>
      </c>
      <c r="T2488">
        <v>-0.81814049999999905</v>
      </c>
      <c r="U2488">
        <v>0.62127690000000002</v>
      </c>
      <c r="V2488">
        <v>1.114393E-2</v>
      </c>
      <c r="W2488">
        <v>-6.8251889999999996E-2</v>
      </c>
      <c r="X2488">
        <v>0.99760590000000005</v>
      </c>
      <c r="Y2488">
        <v>0.197327</v>
      </c>
      <c r="Z2488">
        <v>2.760928E-2</v>
      </c>
      <c r="AA2488">
        <v>0.97994890000000001</v>
      </c>
      <c r="AB2488">
        <v>35</v>
      </c>
      <c r="AC2488">
        <v>-0.45549999999997198</v>
      </c>
      <c r="AD2488">
        <v>-0.2267796</v>
      </c>
      <c r="AE2488">
        <v>0.17160000000001199</v>
      </c>
      <c r="AF2488">
        <v>0.140122665891699</v>
      </c>
      <c r="AG2488">
        <v>-0.2267796</v>
      </c>
      <c r="AH2488">
        <v>0.37458778421594402</v>
      </c>
      <c r="AI2488">
        <v>119.55483873320701</v>
      </c>
      <c r="AJ2488">
        <v>69.490602426670307</v>
      </c>
      <c r="AK2488">
        <v>0.45976010761762198</v>
      </c>
      <c r="AL2488">
        <v>93.913587641217802</v>
      </c>
      <c r="AM2488">
        <v>89.3599941620366</v>
      </c>
      <c r="AN2488">
        <v>1.0000000196896099</v>
      </c>
    </row>
    <row r="2489" spans="1:40" x14ac:dyDescent="0.25">
      <c r="A2489" t="str">
        <f>"20190303154816196"</f>
        <v>20190303154816196</v>
      </c>
      <c r="B2489" t="str">
        <f>"1551599296193506"</f>
        <v>1551599296193506</v>
      </c>
      <c r="C2489" t="s">
        <v>40</v>
      </c>
      <c r="D2489">
        <v>5.1083559999999997</v>
      </c>
      <c r="E2489">
        <v>0.57286789999999999</v>
      </c>
      <c r="F2489" t="s">
        <v>42</v>
      </c>
      <c r="G2489">
        <v>-425.24790000000002</v>
      </c>
      <c r="H2489">
        <v>0.90513889999999997</v>
      </c>
      <c r="I2489">
        <v>284.5795</v>
      </c>
      <c r="J2489">
        <v>-424.82240000000002</v>
      </c>
      <c r="K2489">
        <v>1.120485</v>
      </c>
      <c r="L2489">
        <v>284.41860000000003</v>
      </c>
      <c r="M2489">
        <v>-0.99988909999999998</v>
      </c>
      <c r="N2489">
        <v>-1.46655E-2</v>
      </c>
      <c r="O2489">
        <v>2.6350330000000002E-3</v>
      </c>
      <c r="P2489">
        <v>-0.99640740000000005</v>
      </c>
      <c r="Q2489">
        <v>-8.3571179999999995E-2</v>
      </c>
      <c r="R2489">
        <v>1.3724429999999999E-2</v>
      </c>
      <c r="S2489">
        <v>-2.933929</v>
      </c>
      <c r="T2489">
        <v>-0.82163189999999997</v>
      </c>
      <c r="U2489">
        <v>0.61688229999999999</v>
      </c>
      <c r="V2489">
        <v>1.104729E-2</v>
      </c>
      <c r="W2489">
        <v>-6.8957130000000005E-2</v>
      </c>
      <c r="X2489">
        <v>0.99755850000000001</v>
      </c>
      <c r="Y2489">
        <v>0.1956484</v>
      </c>
      <c r="Z2489">
        <v>2.740184E-2</v>
      </c>
      <c r="AA2489">
        <v>0.98029120000000003</v>
      </c>
      <c r="AB2489">
        <v>35</v>
      </c>
      <c r="AC2489">
        <v>-0.42549999999999899</v>
      </c>
      <c r="AD2489">
        <v>-0.21534609999999901</v>
      </c>
      <c r="AE2489">
        <v>0.16089999999996901</v>
      </c>
      <c r="AF2489">
        <v>0.130527578189675</v>
      </c>
      <c r="AG2489">
        <v>-0.21534609999999901</v>
      </c>
      <c r="AH2489">
        <v>0.347949019953668</v>
      </c>
      <c r="AI2489">
        <v>120.09099533752</v>
      </c>
      <c r="AJ2489">
        <v>69.437213817761801</v>
      </c>
      <c r="AK2489">
        <v>0.429511247745609</v>
      </c>
      <c r="AL2489">
        <v>93.954090244927102</v>
      </c>
      <c r="AM2489">
        <v>89.365513683384293</v>
      </c>
      <c r="AN2489">
        <v>1.00000004465821</v>
      </c>
    </row>
    <row r="2490" spans="1:40" x14ac:dyDescent="0.25">
      <c r="A2490" t="str">
        <f>"20190303154816218"</f>
        <v>20190303154816218</v>
      </c>
      <c r="B2490" t="str">
        <f>"1551599296213026"</f>
        <v>1551599296213026</v>
      </c>
      <c r="C2490" t="s">
        <v>40</v>
      </c>
      <c r="D2490">
        <v>5.1239679999999996</v>
      </c>
      <c r="E2490">
        <v>0.57208870000000001</v>
      </c>
      <c r="F2490" t="s">
        <v>42</v>
      </c>
      <c r="G2490">
        <v>-425.55950000000001</v>
      </c>
      <c r="H2490">
        <v>0.91277419999999998</v>
      </c>
      <c r="I2490">
        <v>284.57420000000002</v>
      </c>
      <c r="J2490">
        <v>-425.16070000000002</v>
      </c>
      <c r="K2490">
        <v>1.1204719999999999</v>
      </c>
      <c r="L2490">
        <v>284.41980000000001</v>
      </c>
      <c r="M2490">
        <v>-0.9998882</v>
      </c>
      <c r="N2490">
        <v>-1.4658300000000001E-2</v>
      </c>
      <c r="O2490">
        <v>2.9367780000000001E-3</v>
      </c>
      <c r="P2490">
        <v>-0.99633819999999995</v>
      </c>
      <c r="Q2490">
        <v>-8.4383219999999995E-2</v>
      </c>
      <c r="R2490">
        <v>1.377661E-2</v>
      </c>
      <c r="S2490">
        <v>-2.9329830000000001</v>
      </c>
      <c r="T2490">
        <v>-0.82643129999999998</v>
      </c>
      <c r="U2490">
        <v>0.61749270000000001</v>
      </c>
      <c r="V2490">
        <v>1.079857E-2</v>
      </c>
      <c r="W2490">
        <v>-6.9777039999999999E-2</v>
      </c>
      <c r="X2490">
        <v>0.99750419999999995</v>
      </c>
      <c r="Y2490">
        <v>0.1955382</v>
      </c>
      <c r="Z2490">
        <v>2.7460419999999999E-2</v>
      </c>
      <c r="AA2490">
        <v>0.98031159999999995</v>
      </c>
      <c r="AB2490">
        <v>35</v>
      </c>
      <c r="AC2490">
        <v>-0.39879999999999399</v>
      </c>
      <c r="AD2490">
        <v>-0.20769779999999999</v>
      </c>
      <c r="AE2490">
        <v>0.154400000000009</v>
      </c>
      <c r="AF2490">
        <v>0.123982679500936</v>
      </c>
      <c r="AG2490">
        <v>-0.20769779999999999</v>
      </c>
      <c r="AH2490">
        <v>0.323049945703902</v>
      </c>
      <c r="AI2490">
        <v>120.973871207356</v>
      </c>
      <c r="AJ2490">
        <v>69.003799109212693</v>
      </c>
      <c r="AK2490">
        <v>0.40357322552464497</v>
      </c>
      <c r="AL2490">
        <v>94.001181090779397</v>
      </c>
      <c r="AM2490">
        <v>89.379763696423893</v>
      </c>
      <c r="AN2490">
        <v>1.0000000367214199</v>
      </c>
    </row>
    <row r="2491" spans="1:40" x14ac:dyDescent="0.25">
      <c r="A2491" t="str">
        <f>"20190303154816242"</f>
        <v>20190303154816242</v>
      </c>
      <c r="B2491" t="str">
        <f>"1551599296233522"</f>
        <v>1551599296233522</v>
      </c>
      <c r="C2491" t="s">
        <v>40</v>
      </c>
      <c r="D2491">
        <v>5.1298440000000003</v>
      </c>
      <c r="E2491">
        <v>0.57113080000000005</v>
      </c>
      <c r="F2491" t="s">
        <v>42</v>
      </c>
      <c r="G2491">
        <v>-425.87009999999998</v>
      </c>
      <c r="H2491">
        <v>0.91868309999999997</v>
      </c>
      <c r="I2491">
        <v>284.56810000000002</v>
      </c>
      <c r="J2491">
        <v>-425.5154</v>
      </c>
      <c r="K2491">
        <v>1.1204670000000001</v>
      </c>
      <c r="L2491">
        <v>284.42110000000002</v>
      </c>
      <c r="M2491">
        <v>-0.99988750000000004</v>
      </c>
      <c r="N2491">
        <v>-1.4651249999999999E-2</v>
      </c>
      <c r="O2491">
        <v>3.253063E-3</v>
      </c>
      <c r="P2491">
        <v>-0.99628479999999997</v>
      </c>
      <c r="Q2491">
        <v>-8.4955230000000007E-2</v>
      </c>
      <c r="R2491">
        <v>1.4126100000000001E-2</v>
      </c>
      <c r="S2491">
        <v>-2.9318849999999999</v>
      </c>
      <c r="T2491">
        <v>-0.83397319999999997</v>
      </c>
      <c r="U2491">
        <v>0.61212159999999904</v>
      </c>
      <c r="V2491">
        <v>1.0832710000000001E-2</v>
      </c>
      <c r="W2491">
        <v>-7.0356730000000006E-2</v>
      </c>
      <c r="X2491">
        <v>0.99746299999999999</v>
      </c>
      <c r="Y2491">
        <v>0.1935315</v>
      </c>
      <c r="Z2491">
        <v>2.732683E-2</v>
      </c>
      <c r="AA2491">
        <v>0.98071339999999996</v>
      </c>
      <c r="AB2491">
        <v>35</v>
      </c>
      <c r="AC2491">
        <v>-0.35469999999997898</v>
      </c>
      <c r="AD2491">
        <v>-0.20178389999999999</v>
      </c>
      <c r="AE2491">
        <v>0.146999999999991</v>
      </c>
      <c r="AF2491">
        <v>0.11428144741828</v>
      </c>
      <c r="AG2491">
        <v>-0.20178389999999999</v>
      </c>
      <c r="AH2491">
        <v>0.27830919282251099</v>
      </c>
      <c r="AI2491">
        <v>123.849446901189</v>
      </c>
      <c r="AJ2491">
        <v>67.675591560148902</v>
      </c>
      <c r="AK2491">
        <v>0.36226095336476</v>
      </c>
      <c r="AL2491">
        <v>94.034477155795699</v>
      </c>
      <c r="AM2491">
        <v>89.377777257132394</v>
      </c>
      <c r="AN2491">
        <v>0.999999926715615</v>
      </c>
    </row>
    <row r="2492" spans="1:40" x14ac:dyDescent="0.25">
      <c r="A2492" t="str">
        <f>"20190303154816262"</f>
        <v>20190303154816262</v>
      </c>
      <c r="B2492" t="str">
        <f>"1551599296253041"</f>
        <v>1551599296253041</v>
      </c>
      <c r="C2492" t="s">
        <v>40</v>
      </c>
      <c r="D2492">
        <v>5.1424799999999999</v>
      </c>
      <c r="E2492">
        <v>0.57018409999999997</v>
      </c>
      <c r="F2492" t="s">
        <v>42</v>
      </c>
      <c r="G2492">
        <v>-426.45819999999998</v>
      </c>
      <c r="H2492">
        <v>0.84973240000000005</v>
      </c>
      <c r="I2492">
        <v>284.61660000000001</v>
      </c>
      <c r="J2492">
        <v>-425.84690000000001</v>
      </c>
      <c r="K2492">
        <v>1.1204620000000001</v>
      </c>
      <c r="L2492">
        <v>284.42250000000001</v>
      </c>
      <c r="M2492">
        <v>-0.99988659999999996</v>
      </c>
      <c r="N2492">
        <v>-1.464503E-2</v>
      </c>
      <c r="O2492">
        <v>3.5487790000000002E-3</v>
      </c>
      <c r="P2492">
        <v>-0.99630240000000003</v>
      </c>
      <c r="Q2492">
        <v>-8.4683579999999994E-2</v>
      </c>
      <c r="R2492">
        <v>1.4512489999999999E-2</v>
      </c>
      <c r="S2492">
        <v>-2.930847</v>
      </c>
      <c r="T2492">
        <v>-0.84164019999999995</v>
      </c>
      <c r="U2492">
        <v>0.60644529999999996</v>
      </c>
      <c r="V2492">
        <v>1.092453E-2</v>
      </c>
      <c r="W2492">
        <v>-7.0091039999999993E-2</v>
      </c>
      <c r="X2492">
        <v>0.99748079999999995</v>
      </c>
      <c r="Y2492">
        <v>0.19144240000000001</v>
      </c>
      <c r="Z2492">
        <v>2.718332E-2</v>
      </c>
      <c r="AA2492">
        <v>0.98112739999999998</v>
      </c>
      <c r="AB2492">
        <v>34</v>
      </c>
      <c r="AC2492">
        <v>-0.61129999999997098</v>
      </c>
      <c r="AD2492">
        <v>-0.27072959999999902</v>
      </c>
      <c r="AE2492">
        <v>0.194099999999991</v>
      </c>
      <c r="AF2492">
        <v>0.16290379221314999</v>
      </c>
      <c r="AG2492">
        <v>-0.27072959999999902</v>
      </c>
      <c r="AH2492">
        <v>0.51943475121201599</v>
      </c>
      <c r="AI2492">
        <v>116.44193394161201</v>
      </c>
      <c r="AJ2492">
        <v>72.587665949610297</v>
      </c>
      <c r="AK2492">
        <v>0.607984064429549</v>
      </c>
      <c r="AL2492">
        <v>94.0192161776272</v>
      </c>
      <c r="AM2492">
        <v>89.372514801850002</v>
      </c>
      <c r="AN2492">
        <v>1.0000000228063199</v>
      </c>
    </row>
    <row r="2493" spans="1:40" x14ac:dyDescent="0.25">
      <c r="A2493" t="str">
        <f>"20190303154816286"</f>
        <v>20190303154816286</v>
      </c>
      <c r="B2493" t="str">
        <f>"1551599296283298"</f>
        <v>1551599296283298</v>
      </c>
      <c r="C2493" t="s">
        <v>40</v>
      </c>
      <c r="D2493">
        <v>5.1202560000000004</v>
      </c>
      <c r="E2493">
        <v>0.56852559999999996</v>
      </c>
      <c r="F2493" t="s">
        <v>42</v>
      </c>
      <c r="G2493">
        <v>-426.76740000000001</v>
      </c>
      <c r="H2493">
        <v>0.85497979999999996</v>
      </c>
      <c r="I2493">
        <v>284.6112</v>
      </c>
      <c r="J2493">
        <v>-426.2011</v>
      </c>
      <c r="K2493">
        <v>1.1204620000000001</v>
      </c>
      <c r="L2493">
        <v>284.42410000000001</v>
      </c>
      <c r="M2493">
        <v>-0.99988540000000004</v>
      </c>
      <c r="N2493">
        <v>-1.4638760000000001E-2</v>
      </c>
      <c r="O2493">
        <v>3.8652909999999999E-3</v>
      </c>
      <c r="P2493">
        <v>-0.99634639999999997</v>
      </c>
      <c r="Q2493">
        <v>-8.4156449999999994E-2</v>
      </c>
      <c r="R2493">
        <v>1.4550240000000001E-2</v>
      </c>
      <c r="S2493">
        <v>-2.9305729999999999</v>
      </c>
      <c r="T2493">
        <v>-0.84521679999999999</v>
      </c>
      <c r="U2493">
        <v>0.59951779999999999</v>
      </c>
      <c r="V2493">
        <v>1.064728E-2</v>
      </c>
      <c r="W2493">
        <v>-6.9569300000000001E-2</v>
      </c>
      <c r="X2493">
        <v>0.99752030000000003</v>
      </c>
      <c r="Y2493">
        <v>0.1889699</v>
      </c>
      <c r="Z2493">
        <v>2.6846869999999998E-2</v>
      </c>
      <c r="AA2493">
        <v>0.98161580000000004</v>
      </c>
      <c r="AB2493">
        <v>34</v>
      </c>
      <c r="AC2493">
        <v>-0.56630000000001202</v>
      </c>
      <c r="AD2493">
        <v>-0.2654822</v>
      </c>
      <c r="AE2493">
        <v>0.187099999999986</v>
      </c>
      <c r="AF2493">
        <v>0.154329704551185</v>
      </c>
      <c r="AG2493">
        <v>-0.2654822</v>
      </c>
      <c r="AH2493">
        <v>0.473247201427132</v>
      </c>
      <c r="AI2493">
        <v>118.072654285206</v>
      </c>
      <c r="AJ2493">
        <v>71.938437574294596</v>
      </c>
      <c r="AK2493">
        <v>0.56414658545657104</v>
      </c>
      <c r="AL2493">
        <v>93.989249615353799</v>
      </c>
      <c r="AM2493">
        <v>89.388462528874996</v>
      </c>
      <c r="AN2493">
        <v>1.0000000004929801</v>
      </c>
    </row>
    <row r="2494" spans="1:40" x14ac:dyDescent="0.25">
      <c r="A2494" t="str">
        <f>"20190303154816307"</f>
        <v>20190303154816307</v>
      </c>
      <c r="B2494" t="str">
        <f>"1551599296302821"</f>
        <v>1551599296302821</v>
      </c>
      <c r="C2494" t="s">
        <v>40</v>
      </c>
      <c r="D2494">
        <v>5.1428330000000004</v>
      </c>
      <c r="E2494">
        <v>0.5681716</v>
      </c>
      <c r="F2494" t="s">
        <v>42</v>
      </c>
      <c r="G2494">
        <v>-427.07920000000001</v>
      </c>
      <c r="H2494">
        <v>0.86766219999999905</v>
      </c>
      <c r="I2494">
        <v>284.6001</v>
      </c>
      <c r="J2494">
        <v>-426.53539999999998</v>
      </c>
      <c r="K2494">
        <v>1.120465</v>
      </c>
      <c r="L2494">
        <v>284.42570000000001</v>
      </c>
      <c r="M2494">
        <v>-0.99988429999999995</v>
      </c>
      <c r="N2494">
        <v>-1.463306E-2</v>
      </c>
      <c r="O2494">
        <v>4.1636279999999999E-3</v>
      </c>
      <c r="P2494">
        <v>-0.99642350000000002</v>
      </c>
      <c r="Q2494">
        <v>-8.3338010000000004E-2</v>
      </c>
      <c r="R2494">
        <v>1.3976250000000001E-2</v>
      </c>
      <c r="S2494">
        <v>-2.931152</v>
      </c>
      <c r="T2494">
        <v>-0.84381289999999998</v>
      </c>
      <c r="U2494">
        <v>0.5864258</v>
      </c>
      <c r="V2494">
        <v>9.7765790000000005E-3</v>
      </c>
      <c r="W2494">
        <v>-6.8754830000000003E-2</v>
      </c>
      <c r="X2494">
        <v>0.99758570000000002</v>
      </c>
      <c r="Y2494">
        <v>0.18463399999999999</v>
      </c>
      <c r="Z2494">
        <v>2.6093040000000001E-2</v>
      </c>
      <c r="AA2494">
        <v>0.98246089999999997</v>
      </c>
      <c r="AB2494">
        <v>34</v>
      </c>
      <c r="AC2494">
        <v>-0.54380000000003204</v>
      </c>
      <c r="AD2494">
        <v>-0.25280279999999999</v>
      </c>
      <c r="AE2494">
        <v>0.17439999999999101</v>
      </c>
      <c r="AF2494">
        <v>0.14392958884225701</v>
      </c>
      <c r="AG2494">
        <v>-0.25280279999999999</v>
      </c>
      <c r="AH2494">
        <v>0.45530067341941699</v>
      </c>
      <c r="AI2494">
        <v>117.89765977352199</v>
      </c>
      <c r="AJ2494">
        <v>72.457219645391106</v>
      </c>
      <c r="AK2494">
        <v>0.54029962562296496</v>
      </c>
      <c r="AL2494">
        <v>93.942471837291194</v>
      </c>
      <c r="AM2494">
        <v>89.438505601625295</v>
      </c>
      <c r="AN2494">
        <v>1.0000000184948801</v>
      </c>
    </row>
    <row r="2495" spans="1:40" x14ac:dyDescent="0.25">
      <c r="A2495" t="str">
        <f>"20190303154816329"</f>
        <v>20190303154816329</v>
      </c>
      <c r="B2495" t="str">
        <f>"1551599296323318"</f>
        <v>1551599296323318</v>
      </c>
      <c r="C2495" t="s">
        <v>40</v>
      </c>
      <c r="D2495">
        <v>5.1156169999999896</v>
      </c>
      <c r="E2495">
        <v>0.56780659999999905</v>
      </c>
      <c r="F2495" t="s">
        <v>42</v>
      </c>
      <c r="G2495">
        <v>-427.38869999999997</v>
      </c>
      <c r="H2495">
        <v>0.87511859999999997</v>
      </c>
      <c r="I2495">
        <v>284.5958</v>
      </c>
      <c r="J2495">
        <v>-426.87619999999998</v>
      </c>
      <c r="K2495">
        <v>1.1204769999999999</v>
      </c>
      <c r="L2495">
        <v>284.42739999999998</v>
      </c>
      <c r="M2495">
        <v>-0.99988299999999997</v>
      </c>
      <c r="N2495">
        <v>-1.4627630000000001E-2</v>
      </c>
      <c r="O2495">
        <v>4.4680960000000004E-3</v>
      </c>
      <c r="P2495">
        <v>-0.99643809999999999</v>
      </c>
      <c r="Q2495">
        <v>-8.3193050000000004E-2</v>
      </c>
      <c r="R2495">
        <v>1.378769E-2</v>
      </c>
      <c r="S2495">
        <v>-2.9320979999999999</v>
      </c>
      <c r="T2495">
        <v>-0.84301340000000002</v>
      </c>
      <c r="U2495">
        <v>0.58209230000000001</v>
      </c>
      <c r="V2495">
        <v>9.2846439999999999E-3</v>
      </c>
      <c r="W2495">
        <v>-6.8614699999999904E-2</v>
      </c>
      <c r="X2495">
        <v>0.99760000000000004</v>
      </c>
      <c r="Y2495">
        <v>0.1829721</v>
      </c>
      <c r="Z2495">
        <v>2.5740409999999998E-2</v>
      </c>
      <c r="AA2495">
        <v>0.98278109999999996</v>
      </c>
      <c r="AB2495">
        <v>34</v>
      </c>
      <c r="AC2495">
        <v>-0.51249999999998797</v>
      </c>
      <c r="AD2495">
        <v>-0.2453584</v>
      </c>
      <c r="AE2495">
        <v>0.16840000000001901</v>
      </c>
      <c r="AF2495">
        <v>0.13763609896149501</v>
      </c>
      <c r="AG2495">
        <v>-0.2453584</v>
      </c>
      <c r="AH2495">
        <v>0.42527328329140002</v>
      </c>
      <c r="AI2495">
        <v>118.76287326057</v>
      </c>
      <c r="AJ2495">
        <v>72.066264861017899</v>
      </c>
      <c r="AK2495">
        <v>0.50990372196067202</v>
      </c>
      <c r="AL2495">
        <v>93.934424161930195</v>
      </c>
      <c r="AM2495">
        <v>89.466764678703399</v>
      </c>
      <c r="AN2495">
        <v>0.99999997083514802</v>
      </c>
    </row>
    <row r="2496" spans="1:40" x14ac:dyDescent="0.25">
      <c r="A2496" t="str">
        <f>"20190303154816351"</f>
        <v>20190303154816351</v>
      </c>
      <c r="B2496" t="str">
        <f>"1551599296342835"</f>
        <v>1551599296342835</v>
      </c>
      <c r="C2496" t="s">
        <v>40</v>
      </c>
      <c r="D2496">
        <v>5.0787139999999997</v>
      </c>
      <c r="E2496">
        <v>0.5675462</v>
      </c>
      <c r="F2496" t="s">
        <v>42</v>
      </c>
      <c r="G2496">
        <v>-427.69839999999999</v>
      </c>
      <c r="H2496">
        <v>0.88391980000000003</v>
      </c>
      <c r="I2496">
        <v>284.58999999999997</v>
      </c>
      <c r="J2496">
        <v>-427.21370000000002</v>
      </c>
      <c r="K2496">
        <v>1.120485</v>
      </c>
      <c r="L2496">
        <v>284.42930000000001</v>
      </c>
      <c r="M2496">
        <v>-0.99988169999999998</v>
      </c>
      <c r="N2496">
        <v>-1.462244E-2</v>
      </c>
      <c r="O2496">
        <v>4.7698239999999998E-3</v>
      </c>
      <c r="P2496">
        <v>-0.9964113</v>
      </c>
      <c r="Q2496">
        <v>-8.3487110000000003E-2</v>
      </c>
      <c r="R2496">
        <v>1.394489E-2</v>
      </c>
      <c r="S2496">
        <v>-2.9322810000000001</v>
      </c>
      <c r="T2496">
        <v>-0.84356679999999995</v>
      </c>
      <c r="U2496">
        <v>0.57910159999999999</v>
      </c>
      <c r="V2496">
        <v>9.1411019999999999E-3</v>
      </c>
      <c r="W2496">
        <v>-6.8914139999999999E-2</v>
      </c>
      <c r="X2496">
        <v>0.99758069999999999</v>
      </c>
      <c r="Y2496">
        <v>0.18175050000000001</v>
      </c>
      <c r="Z2496">
        <v>2.5496109999999999E-2</v>
      </c>
      <c r="AA2496">
        <v>0.9830141</v>
      </c>
      <c r="AB2496">
        <v>34</v>
      </c>
      <c r="AC2496">
        <v>-0.48469999999997498</v>
      </c>
      <c r="AD2496">
        <v>-0.236565199999999</v>
      </c>
      <c r="AE2496">
        <v>0.16069999999996201</v>
      </c>
      <c r="AF2496">
        <v>0.130399999165459</v>
      </c>
      <c r="AG2496">
        <v>-0.236565199999999</v>
      </c>
      <c r="AH2496">
        <v>0.39968259743901402</v>
      </c>
      <c r="AI2496">
        <v>119.36610898842601</v>
      </c>
      <c r="AJ2496">
        <v>71.930624450293905</v>
      </c>
      <c r="AK2496">
        <v>0.482403806296125</v>
      </c>
      <c r="AL2496">
        <v>93.951621459201704</v>
      </c>
      <c r="AM2496">
        <v>89.474997956003804</v>
      </c>
      <c r="AN2496">
        <v>0.99999998572510196</v>
      </c>
    </row>
    <row r="2497" spans="1:40" x14ac:dyDescent="0.25">
      <c r="A2497" t="str">
        <f>"20190303154816374"</f>
        <v>20190303154816374</v>
      </c>
      <c r="B2497" t="str">
        <f>"1551599296363330"</f>
        <v>1551599296363330</v>
      </c>
      <c r="C2497" t="s">
        <v>40</v>
      </c>
      <c r="D2497">
        <v>5.0565709999999999</v>
      </c>
      <c r="E2497">
        <v>0.56739530000000005</v>
      </c>
      <c r="F2497" t="s">
        <v>42</v>
      </c>
      <c r="G2497">
        <v>-428.00760000000002</v>
      </c>
      <c r="H2497">
        <v>0.89216260000000003</v>
      </c>
      <c r="I2497">
        <v>284.58620000000002</v>
      </c>
      <c r="J2497">
        <v>-427.56150000000002</v>
      </c>
      <c r="K2497">
        <v>1.1204879999999999</v>
      </c>
      <c r="L2497">
        <v>284.43130000000002</v>
      </c>
      <c r="M2497">
        <v>-0.9998804</v>
      </c>
      <c r="N2497">
        <v>-1.461727E-2</v>
      </c>
      <c r="O2497">
        <v>5.080139E-3</v>
      </c>
      <c r="P2497">
        <v>-0.99642609999999998</v>
      </c>
      <c r="Q2497">
        <v>-8.3260520000000005E-2</v>
      </c>
      <c r="R2497">
        <v>1.4247259999999999E-2</v>
      </c>
      <c r="S2497">
        <v>-2.932007</v>
      </c>
      <c r="T2497">
        <v>-0.8432115</v>
      </c>
      <c r="U2497">
        <v>0.57708740000000003</v>
      </c>
      <c r="V2497">
        <v>9.1343870000000008E-3</v>
      </c>
      <c r="W2497">
        <v>-6.8692429999999999E-2</v>
      </c>
      <c r="X2497">
        <v>0.99759609999999999</v>
      </c>
      <c r="Y2497">
        <v>0.18086430000000001</v>
      </c>
      <c r="Z2497">
        <v>2.5276690000000001E-2</v>
      </c>
      <c r="AA2497">
        <v>0.98318320000000003</v>
      </c>
      <c r="AB2497">
        <v>34</v>
      </c>
      <c r="AC2497">
        <v>-0.446100000000001</v>
      </c>
      <c r="AD2497">
        <v>-0.22832539999999901</v>
      </c>
      <c r="AE2497">
        <v>0.15489999999999701</v>
      </c>
      <c r="AF2497">
        <v>0.123710595364009</v>
      </c>
      <c r="AG2497">
        <v>-0.22832539999999901</v>
      </c>
      <c r="AH2497">
        <v>0.362205318061814</v>
      </c>
      <c r="AI2497">
        <v>120.817783394926</v>
      </c>
      <c r="AJ2497">
        <v>71.142487802538</v>
      </c>
      <c r="AK2497">
        <v>0.44567868708604103</v>
      </c>
      <c r="AL2497">
        <v>93.938888051201303</v>
      </c>
      <c r="AM2497">
        <v>89.475391695976199</v>
      </c>
      <c r="AN2497">
        <v>1.0000000328501899</v>
      </c>
    </row>
    <row r="2498" spans="1:40" x14ac:dyDescent="0.25">
      <c r="A2498" t="str">
        <f>"20190303154816397"</f>
        <v>20190303154816397</v>
      </c>
      <c r="B2498" t="str">
        <f>"1551599296393118"</f>
        <v>1551599296393118</v>
      </c>
      <c r="C2498" t="s">
        <v>40</v>
      </c>
      <c r="D2498">
        <v>4.9886780000000002</v>
      </c>
      <c r="E2498">
        <v>0.56712510000000005</v>
      </c>
      <c r="F2498" t="s">
        <v>42</v>
      </c>
      <c r="G2498">
        <v>-428.3177</v>
      </c>
      <c r="H2498">
        <v>0.90355099999999999</v>
      </c>
      <c r="I2498">
        <v>284.58010000000002</v>
      </c>
      <c r="J2498">
        <v>-427.90629999999999</v>
      </c>
      <c r="K2498">
        <v>1.1204879999999999</v>
      </c>
      <c r="L2498">
        <v>284.43329999999997</v>
      </c>
      <c r="M2498">
        <v>-0.99987879999999996</v>
      </c>
      <c r="N2498">
        <v>-1.461232E-2</v>
      </c>
      <c r="O2498">
        <v>5.3884780000000004E-3</v>
      </c>
      <c r="P2498">
        <v>-0.99643380000000004</v>
      </c>
      <c r="Q2498">
        <v>-8.3100229999999997E-2</v>
      </c>
      <c r="R2498">
        <v>1.4634589999999999E-2</v>
      </c>
      <c r="S2498">
        <v>-2.9322509999999999</v>
      </c>
      <c r="T2498">
        <v>-0.841220999999999</v>
      </c>
      <c r="U2498">
        <v>0.57675169999999998</v>
      </c>
      <c r="V2498">
        <v>9.2146190000000003E-3</v>
      </c>
      <c r="W2498">
        <v>-6.8536929999999996E-2</v>
      </c>
      <c r="X2498">
        <v>0.99760599999999999</v>
      </c>
      <c r="Y2498">
        <v>0.1804973</v>
      </c>
      <c r="Z2498">
        <v>2.508486E-2</v>
      </c>
      <c r="AA2498">
        <v>0.98325560000000001</v>
      </c>
      <c r="AB2498">
        <v>34</v>
      </c>
      <c r="AC2498">
        <v>-0.41140000000001398</v>
      </c>
      <c r="AD2498">
        <v>-0.21693699999999999</v>
      </c>
      <c r="AE2498">
        <v>0.14680000000004101</v>
      </c>
      <c r="AF2498">
        <v>0.115975077327229</v>
      </c>
      <c r="AG2498">
        <v>-0.21693699999999999</v>
      </c>
      <c r="AH2498">
        <v>0.33063310910131899</v>
      </c>
      <c r="AI2498">
        <v>121.76338583373899</v>
      </c>
      <c r="AJ2498">
        <v>70.670829584611994</v>
      </c>
      <c r="AK2498">
        <v>0.41210451752445199</v>
      </c>
      <c r="AL2498">
        <v>93.929957735910904</v>
      </c>
      <c r="AM2498">
        <v>89.470789304963603</v>
      </c>
      <c r="AN2498">
        <v>0.99999997560656895</v>
      </c>
    </row>
    <row r="2499" spans="1:40" x14ac:dyDescent="0.25">
      <c r="A2499" t="str">
        <f>"20190303154816419"</f>
        <v>20190303154816419</v>
      </c>
      <c r="B2499" t="str">
        <f>"1551599296413613"</f>
        <v>1551599296413613</v>
      </c>
      <c r="C2499" t="s">
        <v>40</v>
      </c>
      <c r="D2499">
        <v>4.9632949999999996</v>
      </c>
      <c r="E2499">
        <v>0.56702390000000003</v>
      </c>
      <c r="F2499" t="s">
        <v>42</v>
      </c>
      <c r="G2499">
        <v>-428.62729999999999</v>
      </c>
      <c r="H2499">
        <v>0.91455719999999996</v>
      </c>
      <c r="I2499">
        <v>284.57560000000001</v>
      </c>
      <c r="J2499">
        <v>-428.24290000000002</v>
      </c>
      <c r="K2499">
        <v>1.1204860000000001</v>
      </c>
      <c r="L2499">
        <v>284.43540000000002</v>
      </c>
      <c r="M2499">
        <v>-0.99987729999999997</v>
      </c>
      <c r="N2499">
        <v>-1.460766E-2</v>
      </c>
      <c r="O2499">
        <v>5.6889530000000001E-3</v>
      </c>
      <c r="P2499">
        <v>-0.99643930000000003</v>
      </c>
      <c r="Q2499">
        <v>-8.2891489999999998E-2</v>
      </c>
      <c r="R2499">
        <v>1.5429740000000001E-2</v>
      </c>
      <c r="S2499">
        <v>-2.9324650000000001</v>
      </c>
      <c r="T2499">
        <v>-0.83752939999999998</v>
      </c>
      <c r="U2499">
        <v>0.57617189999999996</v>
      </c>
      <c r="V2499">
        <v>9.7106269999999995E-3</v>
      </c>
      <c r="W2499">
        <v>-6.8333039999999998E-2</v>
      </c>
      <c r="X2499">
        <v>0.99761529999999998</v>
      </c>
      <c r="Y2499">
        <v>0.18008959999999999</v>
      </c>
      <c r="Z2499">
        <v>2.4844339999999999E-2</v>
      </c>
      <c r="AA2499">
        <v>0.9833364</v>
      </c>
      <c r="AB2499">
        <v>34</v>
      </c>
      <c r="AC2499">
        <v>-0.38439999999997099</v>
      </c>
      <c r="AD2499">
        <v>-0.2059288</v>
      </c>
      <c r="AE2499">
        <v>0.140199999999993</v>
      </c>
      <c r="AF2499">
        <v>0.11011816850636599</v>
      </c>
      <c r="AG2499">
        <v>-0.2059288</v>
      </c>
      <c r="AH2499">
        <v>0.30734275286014801</v>
      </c>
      <c r="AI2499">
        <v>122.242310962275</v>
      </c>
      <c r="AJ2499">
        <v>70.287850695491997</v>
      </c>
      <c r="AK2499">
        <v>0.38599514173146099</v>
      </c>
      <c r="AL2499">
        <v>93.918248176081804</v>
      </c>
      <c r="AM2499">
        <v>89.442309703254693</v>
      </c>
      <c r="AN2499">
        <v>0.999999993713232</v>
      </c>
    </row>
    <row r="2500" spans="1:40" x14ac:dyDescent="0.25">
      <c r="A2500" t="str">
        <f>"20190303154816442"</f>
        <v>20190303154816442</v>
      </c>
      <c r="B2500" t="str">
        <f>"1551599296433134"</f>
        <v>1551599296433134</v>
      </c>
      <c r="C2500" t="s">
        <v>40</v>
      </c>
      <c r="D2500">
        <v>4.9172960000000003</v>
      </c>
      <c r="E2500">
        <v>0.56695399999999996</v>
      </c>
      <c r="F2500" t="s">
        <v>42</v>
      </c>
      <c r="G2500">
        <v>-428.93560000000002</v>
      </c>
      <c r="H2500">
        <v>0.92315389999999997</v>
      </c>
      <c r="I2500">
        <v>284.57209999999998</v>
      </c>
      <c r="J2500">
        <v>-428.58690000000001</v>
      </c>
      <c r="K2500">
        <v>1.1204860000000001</v>
      </c>
      <c r="L2500">
        <v>284.43770000000001</v>
      </c>
      <c r="M2500">
        <v>-0.99987539999999997</v>
      </c>
      <c r="N2500">
        <v>-1.4603029999999999E-2</v>
      </c>
      <c r="O2500">
        <v>5.9966960000000001E-3</v>
      </c>
      <c r="P2500">
        <v>-0.99643110000000001</v>
      </c>
      <c r="Q2500">
        <v>-8.2956650000000007E-2</v>
      </c>
      <c r="R2500">
        <v>1.5606389999999999E-2</v>
      </c>
      <c r="S2500">
        <v>-2.9322810000000001</v>
      </c>
      <c r="T2500">
        <v>-0.83530459999999995</v>
      </c>
      <c r="U2500">
        <v>0.5773315</v>
      </c>
      <c r="V2500">
        <v>9.5807549999999998E-3</v>
      </c>
      <c r="W2500">
        <v>-6.8402749999999998E-2</v>
      </c>
      <c r="X2500">
        <v>0.99761180000000005</v>
      </c>
      <c r="Y2500">
        <v>0.18021490000000001</v>
      </c>
      <c r="Z2500">
        <v>2.4722000000000001E-2</v>
      </c>
      <c r="AA2500">
        <v>0.98331650000000004</v>
      </c>
      <c r="AB2500">
        <v>34</v>
      </c>
      <c r="AC2500">
        <v>-0.348700000000007</v>
      </c>
      <c r="AD2500">
        <v>-0.19733210000000001</v>
      </c>
      <c r="AE2500">
        <v>0.13439999999997099</v>
      </c>
      <c r="AF2500">
        <v>0.10345890887802001</v>
      </c>
      <c r="AG2500">
        <v>-0.19733210000000001</v>
      </c>
      <c r="AH2500">
        <v>0.27329659768759601</v>
      </c>
      <c r="AI2500">
        <v>124.03025957091801</v>
      </c>
      <c r="AJ2500">
        <v>69.265384843565698</v>
      </c>
      <c r="AK2500">
        <v>0.35261130700001198</v>
      </c>
      <c r="AL2500">
        <v>93.9222515475237</v>
      </c>
      <c r="AM2500">
        <v>89.449765980439096</v>
      </c>
      <c r="AN2500">
        <v>1.00000001528658</v>
      </c>
    </row>
    <row r="2501" spans="1:40" x14ac:dyDescent="0.25">
      <c r="A2501" t="str">
        <f>"20190303154816464"</f>
        <v>20190303154816464</v>
      </c>
      <c r="B2501" t="str">
        <f>"1551599296452654"</f>
        <v>1551599296452654</v>
      </c>
      <c r="C2501" t="s">
        <v>40</v>
      </c>
      <c r="D2501">
        <v>4.8790230000000001</v>
      </c>
      <c r="E2501">
        <v>0.56692359999999997</v>
      </c>
      <c r="F2501" t="s">
        <v>42</v>
      </c>
      <c r="G2501">
        <v>-429.5172</v>
      </c>
      <c r="H2501">
        <v>0.85589389999999999</v>
      </c>
      <c r="I2501">
        <v>284.62099999999998</v>
      </c>
      <c r="J2501">
        <v>-428.92590000000001</v>
      </c>
      <c r="K2501">
        <v>1.120484</v>
      </c>
      <c r="L2501">
        <v>284.44009999999997</v>
      </c>
      <c r="M2501">
        <v>-0.99987360000000003</v>
      </c>
      <c r="N2501">
        <v>-1.459856E-2</v>
      </c>
      <c r="O2501">
        <v>6.3000869999999898E-3</v>
      </c>
      <c r="P2501">
        <v>-0.99638490000000002</v>
      </c>
      <c r="Q2501">
        <v>-8.346365E-2</v>
      </c>
      <c r="R2501">
        <v>1.5835229999999999E-2</v>
      </c>
      <c r="S2501">
        <v>-2.9322810000000001</v>
      </c>
      <c r="T2501">
        <v>-0.83392379999999999</v>
      </c>
      <c r="U2501">
        <v>0.57696530000000001</v>
      </c>
      <c r="V2501">
        <v>9.5070459999999999E-3</v>
      </c>
      <c r="W2501">
        <v>-6.8914699999999995E-2</v>
      </c>
      <c r="X2501">
        <v>0.9975773</v>
      </c>
      <c r="Y2501">
        <v>0.17984620000000001</v>
      </c>
      <c r="Z2501">
        <v>2.4551440000000001E-2</v>
      </c>
      <c r="AA2501">
        <v>0.98338829999999999</v>
      </c>
      <c r="AB2501">
        <v>34</v>
      </c>
      <c r="AC2501">
        <v>-0.59129999999998895</v>
      </c>
      <c r="AD2501">
        <v>-0.26459009999999999</v>
      </c>
      <c r="AE2501">
        <v>0.180900000000008</v>
      </c>
      <c r="AF2501">
        <v>0.14975206343113301</v>
      </c>
      <c r="AG2501">
        <v>-0.26459009999999999</v>
      </c>
      <c r="AH2501">
        <v>0.50074470828464102</v>
      </c>
      <c r="AI2501">
        <v>116.850350932295</v>
      </c>
      <c r="AJ2501">
        <v>73.350247745719699</v>
      </c>
      <c r="AK2501">
        <v>0.585814701415868</v>
      </c>
      <c r="AL2501">
        <v>93.951653388130495</v>
      </c>
      <c r="AM2501">
        <v>89.453980036024106</v>
      </c>
      <c r="AN2501">
        <v>1.0000000446375099</v>
      </c>
    </row>
    <row r="2502" spans="1:40" x14ac:dyDescent="0.25">
      <c r="A2502" t="str">
        <f>"20190303154816486"</f>
        <v>20190303154816486</v>
      </c>
      <c r="B2502" t="str">
        <f>"1551599296482910"</f>
        <v>1551599296482910</v>
      </c>
      <c r="C2502" t="s">
        <v>40</v>
      </c>
      <c r="D2502">
        <v>4.8205770000000001</v>
      </c>
      <c r="E2502">
        <v>0.56670209999999999</v>
      </c>
      <c r="F2502" t="s">
        <v>42</v>
      </c>
      <c r="G2502">
        <v>-429.82470000000001</v>
      </c>
      <c r="H2502">
        <v>0.86522310000000002</v>
      </c>
      <c r="I2502">
        <v>284.61779999999999</v>
      </c>
      <c r="J2502">
        <v>-429.2586</v>
      </c>
      <c r="K2502">
        <v>1.120482</v>
      </c>
      <c r="L2502">
        <v>284.4425</v>
      </c>
      <c r="M2502">
        <v>-0.99987179999999998</v>
      </c>
      <c r="N2502">
        <v>-1.459425E-2</v>
      </c>
      <c r="O2502">
        <v>6.5976949999999998E-3</v>
      </c>
      <c r="P2502">
        <v>-0.99636860000000005</v>
      </c>
      <c r="Q2502">
        <v>-8.3678999999999906E-2</v>
      </c>
      <c r="R2502">
        <v>1.5738410000000001E-2</v>
      </c>
      <c r="S2502">
        <v>-2.9319459999999999</v>
      </c>
      <c r="T2502">
        <v>-0.83256200000000002</v>
      </c>
      <c r="U2502">
        <v>0.57781979999999999</v>
      </c>
      <c r="V2502">
        <v>9.1138550000000006E-3</v>
      </c>
      <c r="W2502">
        <v>-6.913424E-2</v>
      </c>
      <c r="X2502">
        <v>0.9975657</v>
      </c>
      <c r="Y2502">
        <v>0.17988100000000001</v>
      </c>
      <c r="Z2502">
        <v>2.444371E-2</v>
      </c>
      <c r="AA2502">
        <v>0.98338460000000005</v>
      </c>
      <c r="AB2502">
        <v>34</v>
      </c>
      <c r="AC2502">
        <v>-0.56610000000000504</v>
      </c>
      <c r="AD2502">
        <v>-0.25525890000000001</v>
      </c>
      <c r="AE2502">
        <v>0.17529999999999199</v>
      </c>
      <c r="AF2502">
        <v>0.144712661817231</v>
      </c>
      <c r="AG2502">
        <v>-0.25525890000000001</v>
      </c>
      <c r="AH2502">
        <v>0.47847427018817301</v>
      </c>
      <c r="AI2502">
        <v>117.050719813399</v>
      </c>
      <c r="AJ2502">
        <v>73.172265061547293</v>
      </c>
      <c r="AK2502">
        <v>0.56128111294746297</v>
      </c>
      <c r="AL2502">
        <v>93.964262489007396</v>
      </c>
      <c r="AM2502">
        <v>89.476554878851204</v>
      </c>
      <c r="AN2502">
        <v>0.999999965654913</v>
      </c>
    </row>
    <row r="2503" spans="1:40" x14ac:dyDescent="0.25">
      <c r="A2503" t="str">
        <f>"20190303154816508"</f>
        <v>20190303154816508</v>
      </c>
      <c r="B2503" t="str">
        <f>"1551599296503405"</f>
        <v>1551599296503405</v>
      </c>
      <c r="C2503" t="s">
        <v>40</v>
      </c>
      <c r="D2503">
        <v>4.8044010000000004</v>
      </c>
      <c r="E2503">
        <v>0.56652469999999999</v>
      </c>
      <c r="F2503" t="s">
        <v>42</v>
      </c>
      <c r="G2503">
        <v>-430.13130000000001</v>
      </c>
      <c r="H2503">
        <v>0.8732607</v>
      </c>
      <c r="I2503">
        <v>284.61439999999999</v>
      </c>
      <c r="J2503">
        <v>-429.60169999999999</v>
      </c>
      <c r="K2503">
        <v>1.1204829999999999</v>
      </c>
      <c r="L2503">
        <v>284.44510000000002</v>
      </c>
      <c r="M2503">
        <v>-0.99986969999999997</v>
      </c>
      <c r="N2503">
        <v>-1.458986E-2</v>
      </c>
      <c r="O2503">
        <v>6.9051360000000001E-3</v>
      </c>
      <c r="P2503">
        <v>-0.99633700000000003</v>
      </c>
      <c r="Q2503">
        <v>-8.4016160000000006E-2</v>
      </c>
      <c r="R2503">
        <v>1.5935589999999999E-2</v>
      </c>
      <c r="S2503">
        <v>-2.9320680000000001</v>
      </c>
      <c r="T2503">
        <v>-0.8304975</v>
      </c>
      <c r="U2503">
        <v>0.57626339999999998</v>
      </c>
      <c r="V2503">
        <v>9.0046799999999993E-3</v>
      </c>
      <c r="W2503">
        <v>-6.9476060000000006E-2</v>
      </c>
      <c r="X2503">
        <v>0.99754299999999996</v>
      </c>
      <c r="Y2503">
        <v>0.17914160000000001</v>
      </c>
      <c r="Z2503">
        <v>2.420081E-2</v>
      </c>
      <c r="AA2503">
        <v>0.9835256</v>
      </c>
      <c r="AB2503">
        <v>34</v>
      </c>
      <c r="AC2503">
        <v>-0.52960000000001595</v>
      </c>
      <c r="AD2503">
        <v>-0.24722229999999901</v>
      </c>
      <c r="AE2503">
        <v>0.16929999999996401</v>
      </c>
      <c r="AF2503">
        <v>0.13829644291975601</v>
      </c>
      <c r="AG2503">
        <v>-0.24722229999999901</v>
      </c>
      <c r="AH2503">
        <v>0.44314389813704202</v>
      </c>
      <c r="AI2503">
        <v>118.03759750842799</v>
      </c>
      <c r="AJ2503">
        <v>72.667890051222102</v>
      </c>
      <c r="AK2503">
        <v>0.52594798811065002</v>
      </c>
      <c r="AL2503">
        <v>93.983894313369504</v>
      </c>
      <c r="AM2503">
        <v>89.482813124678898</v>
      </c>
      <c r="AN2503">
        <v>1.00000002201201</v>
      </c>
    </row>
    <row r="2504" spans="1:40" x14ac:dyDescent="0.25">
      <c r="A2504" t="str">
        <f>"20190303154816530"</f>
        <v>20190303154816530</v>
      </c>
      <c r="B2504" t="str">
        <f>"1551599296522926"</f>
        <v>1551599296522926</v>
      </c>
      <c r="C2504" t="s">
        <v>40</v>
      </c>
      <c r="D2504">
        <v>4.8094460000000003</v>
      </c>
      <c r="E2504">
        <v>0.56634770000000001</v>
      </c>
      <c r="F2504" t="s">
        <v>42</v>
      </c>
      <c r="G2504">
        <v>-430.4384</v>
      </c>
      <c r="H2504">
        <v>0.88339380000000001</v>
      </c>
      <c r="I2504">
        <v>284.60939999999999</v>
      </c>
      <c r="J2504">
        <v>-429.93239999999997</v>
      </c>
      <c r="K2504">
        <v>1.1204809999999901</v>
      </c>
      <c r="L2504">
        <v>284.44760000000002</v>
      </c>
      <c r="M2504">
        <v>-0.99986770000000003</v>
      </c>
      <c r="N2504">
        <v>-1.458569E-2</v>
      </c>
      <c r="O2504">
        <v>7.2013140000000003E-3</v>
      </c>
      <c r="P2504">
        <v>-0.99637160000000002</v>
      </c>
      <c r="Q2504">
        <v>-8.3533209999999997E-2</v>
      </c>
      <c r="R2504">
        <v>1.6300129999999999E-2</v>
      </c>
      <c r="S2504">
        <v>-2.9317630000000001</v>
      </c>
      <c r="T2504">
        <v>-0.83067880000000005</v>
      </c>
      <c r="U2504">
        <v>0.57498169999999904</v>
      </c>
      <c r="V2504">
        <v>9.0741209999999992E-3</v>
      </c>
      <c r="W2504">
        <v>-6.8996760000000004E-2</v>
      </c>
      <c r="X2504">
        <v>0.99757560000000001</v>
      </c>
      <c r="Y2504">
        <v>0.17848749999999999</v>
      </c>
      <c r="Z2504">
        <v>2.4035979999999998E-2</v>
      </c>
      <c r="AA2504">
        <v>0.98364850000000004</v>
      </c>
      <c r="AB2504">
        <v>34</v>
      </c>
      <c r="AC2504">
        <v>-0.50600000000002798</v>
      </c>
      <c r="AD2504">
        <v>-0.237087199999999</v>
      </c>
      <c r="AE2504">
        <v>0.16179999999997099</v>
      </c>
      <c r="AF2504">
        <v>0.131883582533941</v>
      </c>
      <c r="AG2504">
        <v>-0.237087199999999</v>
      </c>
      <c r="AH2504">
        <v>0.42291741696798302</v>
      </c>
      <c r="AI2504">
        <v>118.154838413551</v>
      </c>
      <c r="AJ2504">
        <v>72.680307355066105</v>
      </c>
      <c r="AK2504">
        <v>0.50245672581894796</v>
      </c>
      <c r="AL2504">
        <v>93.956366533401507</v>
      </c>
      <c r="AM2504">
        <v>89.478842006909701</v>
      </c>
      <c r="AN2504">
        <v>0.99999998513888999</v>
      </c>
    </row>
    <row r="2505" spans="1:40" x14ac:dyDescent="0.25">
      <c r="A2505" t="str">
        <f>"20190303154816553"</f>
        <v>20190303154816553</v>
      </c>
      <c r="B2505" t="str">
        <f>"1551599296543421"</f>
        <v>1551599296543421</v>
      </c>
      <c r="C2505" t="s">
        <v>40</v>
      </c>
      <c r="D2505">
        <v>4.80816</v>
      </c>
      <c r="E2505">
        <v>0.56617150000000005</v>
      </c>
      <c r="F2505" t="s">
        <v>42</v>
      </c>
      <c r="G2505">
        <v>-430.74430000000001</v>
      </c>
      <c r="H2505">
        <v>0.89110879999999904</v>
      </c>
      <c r="I2505">
        <v>284.60700000000003</v>
      </c>
      <c r="J2505">
        <v>-430.274</v>
      </c>
      <c r="K2505">
        <v>1.1204879999999999</v>
      </c>
      <c r="L2505">
        <v>284.4504</v>
      </c>
      <c r="M2505">
        <v>-0.99986560000000002</v>
      </c>
      <c r="N2505">
        <v>-1.458133E-2</v>
      </c>
      <c r="O2505">
        <v>7.5071469999999996E-3</v>
      </c>
      <c r="P2505">
        <v>-0.99638930000000003</v>
      </c>
      <c r="Q2505">
        <v>-8.3230700000000005E-2</v>
      </c>
      <c r="R2505">
        <v>1.6771830000000001E-2</v>
      </c>
      <c r="S2505">
        <v>-2.9320680000000001</v>
      </c>
      <c r="T2505">
        <v>-0.8283741</v>
      </c>
      <c r="U2505">
        <v>0.57455440000000002</v>
      </c>
      <c r="V2505">
        <v>9.2413370000000005E-3</v>
      </c>
      <c r="W2505">
        <v>-6.8698380000000003E-2</v>
      </c>
      <c r="X2505">
        <v>0.99759469999999995</v>
      </c>
      <c r="Y2505">
        <v>0.17809340000000001</v>
      </c>
      <c r="Z2505">
        <v>2.3836409999999999E-2</v>
      </c>
      <c r="AA2505">
        <v>0.98372479999999995</v>
      </c>
      <c r="AB2505">
        <v>34</v>
      </c>
      <c r="AC2505">
        <v>-0.47030000000000799</v>
      </c>
      <c r="AD2505">
        <v>-0.22937920000000001</v>
      </c>
      <c r="AE2505">
        <v>0.156600000000025</v>
      </c>
      <c r="AF2505">
        <v>0.12606857768978599</v>
      </c>
      <c r="AG2505">
        <v>-0.22937920000000001</v>
      </c>
      <c r="AH2505">
        <v>0.38831059178627803</v>
      </c>
      <c r="AI2505">
        <v>119.32911592598001</v>
      </c>
      <c r="AJ2505">
        <v>72.013504915145603</v>
      </c>
      <c r="AK2505">
        <v>0.46828753919656602</v>
      </c>
      <c r="AL2505">
        <v>93.939229789052902</v>
      </c>
      <c r="AM2505">
        <v>89.469248922480702</v>
      </c>
      <c r="AN2505">
        <v>1.00000002759613</v>
      </c>
    </row>
    <row r="2506" spans="1:40" x14ac:dyDescent="0.25">
      <c r="A2506" t="str">
        <f>"20190303154816575"</f>
        <v>20190303154816575</v>
      </c>
      <c r="B2506" t="str">
        <f>"1551599296562942"</f>
        <v>1551599296562942</v>
      </c>
      <c r="C2506" t="s">
        <v>40</v>
      </c>
      <c r="D2506">
        <v>4.7175050000000001</v>
      </c>
      <c r="E2506">
        <v>0.55436319999999994</v>
      </c>
      <c r="F2506" t="s">
        <v>42</v>
      </c>
      <c r="G2506">
        <v>-431.05079999999998</v>
      </c>
      <c r="H2506">
        <v>0.90148459999999997</v>
      </c>
      <c r="I2506">
        <v>284.60309999999998</v>
      </c>
      <c r="J2506">
        <v>-430.61160000000001</v>
      </c>
      <c r="K2506">
        <v>1.1204959999999999</v>
      </c>
      <c r="L2506">
        <v>284.45330000000001</v>
      </c>
      <c r="M2506">
        <v>-0.99986339999999996</v>
      </c>
      <c r="N2506">
        <v>-1.457723E-2</v>
      </c>
      <c r="O2506">
        <v>7.8094649999999998E-3</v>
      </c>
      <c r="P2506">
        <v>-0.99637929999999997</v>
      </c>
      <c r="Q2506">
        <v>-8.3265560000000002E-2</v>
      </c>
      <c r="R2506">
        <v>1.7197520000000001E-2</v>
      </c>
      <c r="S2506">
        <v>-2.9321290000000002</v>
      </c>
      <c r="T2506">
        <v>-0.82661749999999901</v>
      </c>
      <c r="U2506">
        <v>0.57449340000000004</v>
      </c>
      <c r="V2506">
        <v>9.3658170000000002E-3</v>
      </c>
      <c r="W2506">
        <v>-6.8737469999999995E-2</v>
      </c>
      <c r="X2506">
        <v>0.9975908</v>
      </c>
      <c r="Y2506">
        <v>0.1778217</v>
      </c>
      <c r="Z2506">
        <v>2.3671950000000001E-2</v>
      </c>
      <c r="AA2506">
        <v>0.98377789999999998</v>
      </c>
      <c r="AB2506">
        <v>34</v>
      </c>
      <c r="AC2506">
        <v>-0.439199999999971</v>
      </c>
      <c r="AD2506">
        <v>-0.21901139999999999</v>
      </c>
      <c r="AE2506">
        <v>0.14979999999997001</v>
      </c>
      <c r="AF2506">
        <v>0.11970172983005201</v>
      </c>
      <c r="AG2506">
        <v>-0.21901139999999999</v>
      </c>
      <c r="AH2506">
        <v>0.36013658370674101</v>
      </c>
      <c r="AI2506">
        <v>119.988895695011</v>
      </c>
      <c r="AJ2506">
        <v>71.614292036792605</v>
      </c>
      <c r="AK2506">
        <v>0.43816989442250498</v>
      </c>
      <c r="AL2506">
        <v>93.9414749707515</v>
      </c>
      <c r="AM2506">
        <v>89.462098066471299</v>
      </c>
      <c r="AN2506">
        <v>0.99999998127735901</v>
      </c>
    </row>
    <row r="2507" spans="1:40" x14ac:dyDescent="0.25">
      <c r="A2507" t="str">
        <f>"20190303154816598"</f>
        <v>20190303154816598</v>
      </c>
      <c r="B2507" t="str">
        <f>"1551599296593198"</f>
        <v>1551599296593198</v>
      </c>
      <c r="C2507" t="s">
        <v>40</v>
      </c>
      <c r="D2507">
        <v>4.6701230000000002</v>
      </c>
      <c r="E2507">
        <v>0.52640710000000002</v>
      </c>
      <c r="F2507" t="s">
        <v>42</v>
      </c>
      <c r="G2507">
        <v>-431.36939999999998</v>
      </c>
      <c r="H2507">
        <v>0.94062860000000004</v>
      </c>
      <c r="I2507">
        <v>284.57799999999997</v>
      </c>
      <c r="J2507">
        <v>-430.95600000000002</v>
      </c>
      <c r="K2507">
        <v>1.120492</v>
      </c>
      <c r="L2507">
        <v>284.4563</v>
      </c>
      <c r="M2507">
        <v>-0.99986090000000005</v>
      </c>
      <c r="N2507">
        <v>-1.4572979999999999E-2</v>
      </c>
      <c r="O2507">
        <v>8.1181009999999904E-3</v>
      </c>
      <c r="P2507">
        <v>-0.99635949999999995</v>
      </c>
      <c r="Q2507">
        <v>-8.3319089999999998E-2</v>
      </c>
      <c r="R2507">
        <v>1.8045039999999998E-2</v>
      </c>
      <c r="S2507">
        <v>-2.944153</v>
      </c>
      <c r="T2507">
        <v>-0.69886729999999997</v>
      </c>
      <c r="U2507">
        <v>0.48260500000000001</v>
      </c>
      <c r="V2507">
        <v>9.9059309999999998E-3</v>
      </c>
      <c r="W2507">
        <v>-6.8795729999999999E-2</v>
      </c>
      <c r="X2507">
        <v>0.99758159999999896</v>
      </c>
      <c r="Y2507">
        <v>0.14962729999999999</v>
      </c>
      <c r="Z2507">
        <v>1.6744930000000002E-2</v>
      </c>
      <c r="AA2507">
        <v>0.9886007</v>
      </c>
      <c r="AB2507">
        <v>34</v>
      </c>
      <c r="AC2507">
        <v>-0.41340000000002403</v>
      </c>
      <c r="AD2507">
        <v>-0.17986340000000001</v>
      </c>
      <c r="AE2507">
        <v>0.12169999999997499</v>
      </c>
      <c r="AF2507">
        <v>0.100783141705164</v>
      </c>
      <c r="AG2507">
        <v>-0.17986340000000001</v>
      </c>
      <c r="AH2507">
        <v>0.35289924719203503</v>
      </c>
      <c r="AI2507">
        <v>116.108544256016</v>
      </c>
      <c r="AJ2507">
        <v>74.061391223966098</v>
      </c>
      <c r="AK2507">
        <v>0.408712567680795</v>
      </c>
      <c r="AL2507">
        <v>93.944820813135905</v>
      </c>
      <c r="AM2507">
        <v>89.431074726358901</v>
      </c>
      <c r="AN2507">
        <v>1.0000000142968799</v>
      </c>
    </row>
    <row r="2508" spans="1:40" x14ac:dyDescent="0.25">
      <c r="A2508" t="str">
        <f>"20190303154816620"</f>
        <v>20190303154816620</v>
      </c>
      <c r="B2508" t="str">
        <f>"1551599296612718"</f>
        <v>1551599296612718</v>
      </c>
      <c r="C2508" t="s">
        <v>40</v>
      </c>
      <c r="D2508">
        <v>4.7746849999999998</v>
      </c>
      <c r="E2508">
        <v>0.5154166</v>
      </c>
      <c r="F2508" t="s">
        <v>52</v>
      </c>
      <c r="G2508">
        <v>-458.21089999999998</v>
      </c>
      <c r="H2508" s="1">
        <v>2.7340640000000001E-6</v>
      </c>
      <c r="I2508">
        <v>286.87169999999998</v>
      </c>
      <c r="J2508">
        <v>-431.28500000000003</v>
      </c>
      <c r="K2508">
        <v>1.1204940000000001</v>
      </c>
      <c r="L2508">
        <v>284.45929999999998</v>
      </c>
      <c r="M2508">
        <v>-0.99985860000000004</v>
      </c>
      <c r="N2508">
        <v>-1.456904E-2</v>
      </c>
      <c r="O2508">
        <v>8.413027E-3</v>
      </c>
      <c r="P2508">
        <v>-0.996332</v>
      </c>
      <c r="Q2508">
        <v>-8.3531209999999995E-2</v>
      </c>
      <c r="R2508">
        <v>1.858537E-2</v>
      </c>
      <c r="S2508">
        <v>-2.9958499999999999</v>
      </c>
      <c r="T2508">
        <v>-0.1231636</v>
      </c>
      <c r="U2508">
        <v>0.26550289999999999</v>
      </c>
      <c r="V2508">
        <v>1.0152420000000001E-2</v>
      </c>
      <c r="W2508">
        <v>-6.9012229999999994E-2</v>
      </c>
      <c r="X2508">
        <v>0.99756409999999995</v>
      </c>
      <c r="Y2508">
        <v>7.9805580000000001E-2</v>
      </c>
      <c r="Z2508">
        <v>1.9967090000000002E-3</v>
      </c>
      <c r="AA2508">
        <v>0.99680849999999999</v>
      </c>
      <c r="AB2508">
        <v>34</v>
      </c>
      <c r="AC2508">
        <v>-26.925899999999899</v>
      </c>
      <c r="AD2508">
        <v>-1.120491265936</v>
      </c>
      <c r="AE2508">
        <v>2.4123999999999901</v>
      </c>
      <c r="AF2508">
        <v>2.1820137303781499</v>
      </c>
      <c r="AG2508">
        <v>-1.120491265936</v>
      </c>
      <c r="AH2508">
        <v>26.899034091881401</v>
      </c>
      <c r="AI2508">
        <v>92.377501823473096</v>
      </c>
      <c r="AJ2508">
        <v>85.362397254402595</v>
      </c>
      <c r="AK2508">
        <v>27.010640860090501</v>
      </c>
      <c r="AL2508">
        <v>93.957255169847997</v>
      </c>
      <c r="AM2508">
        <v>89.416908912322398</v>
      </c>
      <c r="AN2508">
        <v>0.99999994656511804</v>
      </c>
    </row>
    <row r="2509" spans="1:40" x14ac:dyDescent="0.25">
      <c r="A2509" t="str">
        <f>"20190303154816644"</f>
        <v>20190303154816644</v>
      </c>
      <c r="B2509" t="str">
        <f>"1551599296633214"</f>
        <v>1551599296633214</v>
      </c>
      <c r="C2509" t="s">
        <v>40</v>
      </c>
      <c r="D2509">
        <v>4.7399899999999997</v>
      </c>
      <c r="E2509">
        <v>0.51081679999999996</v>
      </c>
      <c r="F2509" t="s">
        <v>52</v>
      </c>
      <c r="G2509">
        <v>-469.7921</v>
      </c>
      <c r="H2509" s="1">
        <v>3.5801919999999998E-6</v>
      </c>
      <c r="I2509">
        <v>286.76429999999999</v>
      </c>
      <c r="J2509">
        <v>-431.6377</v>
      </c>
      <c r="K2509">
        <v>1.1204909999999999</v>
      </c>
      <c r="L2509">
        <v>284.46260000000001</v>
      </c>
      <c r="M2509">
        <v>-0.99985590000000002</v>
      </c>
      <c r="N2509">
        <v>-1.4564880000000001E-2</v>
      </c>
      <c r="O2509">
        <v>8.7294690000000001E-3</v>
      </c>
      <c r="P2509">
        <v>-0.99628830000000002</v>
      </c>
      <c r="Q2509">
        <v>-8.39231E-2</v>
      </c>
      <c r="R2509">
        <v>1.9158919999999999E-2</v>
      </c>
      <c r="S2509">
        <v>-3.0003660000000001</v>
      </c>
      <c r="T2509">
        <v>-8.7305549999999996E-2</v>
      </c>
      <c r="U2509">
        <v>0.179595899999999</v>
      </c>
      <c r="V2509">
        <v>1.041105E-2</v>
      </c>
      <c r="W2509">
        <v>-6.9408910000000004E-2</v>
      </c>
      <c r="X2509">
        <v>0.99753400000000003</v>
      </c>
      <c r="Y2509">
        <v>5.100259E-2</v>
      </c>
      <c r="Z2509">
        <v>9.864368000000001E-4</v>
      </c>
      <c r="AA2509">
        <v>0.99869810000000003</v>
      </c>
      <c r="AB2509">
        <v>34</v>
      </c>
      <c r="AC2509">
        <v>-38.154400000000003</v>
      </c>
      <c r="AD2509">
        <v>-1.1204874198079999</v>
      </c>
      <c r="AE2509">
        <v>2.3016999999999799</v>
      </c>
      <c r="AF2509">
        <v>1.9668192254293999</v>
      </c>
      <c r="AG2509">
        <v>-1.1204874198079999</v>
      </c>
      <c r="AH2509">
        <v>38.1402665579866</v>
      </c>
      <c r="AI2509">
        <v>91.680523707237597</v>
      </c>
      <c r="AJ2509">
        <v>87.047983175905003</v>
      </c>
      <c r="AK2509">
        <v>38.207378908238802</v>
      </c>
      <c r="AL2509">
        <v>93.980037543965494</v>
      </c>
      <c r="AM2509">
        <v>89.402037857199801</v>
      </c>
      <c r="AN2509">
        <v>1.00000003395274</v>
      </c>
    </row>
    <row r="2510" spans="1:40" x14ac:dyDescent="0.25">
      <c r="A2510" t="str">
        <f>"20190303154816667"</f>
        <v>20190303154816667</v>
      </c>
      <c r="B2510" t="str">
        <f>"1551599296663470"</f>
        <v>1551599296663470</v>
      </c>
      <c r="C2510" t="s">
        <v>40</v>
      </c>
      <c r="D2510">
        <v>4.7207400000000002</v>
      </c>
      <c r="E2510">
        <v>0.50827319999999998</v>
      </c>
      <c r="F2510" t="s">
        <v>47</v>
      </c>
      <c r="G2510">
        <v>-472.54059999999998</v>
      </c>
      <c r="H2510" s="1">
        <v>5.646496E-6</v>
      </c>
      <c r="I2510">
        <v>286.43549999999999</v>
      </c>
      <c r="J2510">
        <v>-431.98140000000001</v>
      </c>
      <c r="K2510">
        <v>1.1204940000000001</v>
      </c>
      <c r="L2510">
        <v>284.46589999999998</v>
      </c>
      <c r="M2510">
        <v>-0.9998532</v>
      </c>
      <c r="N2510">
        <v>-1.456085E-2</v>
      </c>
      <c r="O2510">
        <v>9.0376250000000005E-3</v>
      </c>
      <c r="P2510">
        <v>-0.99624539999999995</v>
      </c>
      <c r="Q2510">
        <v>-8.4372299999999997E-2</v>
      </c>
      <c r="R2510">
        <v>1.94042E-2</v>
      </c>
      <c r="S2510">
        <v>-3.001465</v>
      </c>
      <c r="T2510">
        <v>-8.2221390000000005E-2</v>
      </c>
      <c r="U2510">
        <v>0.1447754</v>
      </c>
      <c r="V2510">
        <v>1.034912E-2</v>
      </c>
      <c r="W2510">
        <v>-6.9862579999999994E-2</v>
      </c>
      <c r="X2510">
        <v>0.99750289999999997</v>
      </c>
      <c r="Y2510">
        <v>3.9127139999999998E-2</v>
      </c>
      <c r="Z2510">
        <v>7.0478740000000004E-4</v>
      </c>
      <c r="AA2510">
        <v>0.99923399999999996</v>
      </c>
      <c r="AB2510">
        <v>34</v>
      </c>
      <c r="AC2510">
        <v>-40.559199999999898</v>
      </c>
      <c r="AD2510">
        <v>-1.120488353504</v>
      </c>
      <c r="AE2510">
        <v>1.96960000000001</v>
      </c>
      <c r="AF2510">
        <v>1.60170232472659</v>
      </c>
      <c r="AG2510">
        <v>-1.120488353504</v>
      </c>
      <c r="AH2510">
        <v>40.544475025016602</v>
      </c>
      <c r="AI2510">
        <v>91.581791799568805</v>
      </c>
      <c r="AJ2510">
        <v>87.737716723975296</v>
      </c>
      <c r="AK2510">
        <v>40.591568084290202</v>
      </c>
      <c r="AL2510">
        <v>94.0060944694429</v>
      </c>
      <c r="AM2510">
        <v>89.405576040555701</v>
      </c>
      <c r="AN2510">
        <v>0.99999995993871904</v>
      </c>
    </row>
    <row r="2511" spans="1:40" x14ac:dyDescent="0.25">
      <c r="A2511" t="str">
        <f>"20190303154816687"</f>
        <v>20190303154816687</v>
      </c>
      <c r="B2511" t="str">
        <f>"1551599296682993"</f>
        <v>1551599296682993</v>
      </c>
      <c r="C2511" t="s">
        <v>40</v>
      </c>
      <c r="D2511">
        <v>4.6967019999999904</v>
      </c>
      <c r="E2511">
        <v>0.5069572</v>
      </c>
      <c r="F2511" t="s">
        <v>47</v>
      </c>
      <c r="G2511">
        <v>-480.4658</v>
      </c>
      <c r="H2511" s="1">
        <v>2.452085E-6</v>
      </c>
      <c r="I2511">
        <v>286.48899999999998</v>
      </c>
      <c r="J2511">
        <v>-432.3005</v>
      </c>
      <c r="K2511">
        <v>1.120495</v>
      </c>
      <c r="L2511">
        <v>284.46910000000003</v>
      </c>
      <c r="M2511">
        <v>-0.99985069999999998</v>
      </c>
      <c r="N2511">
        <v>-1.455716E-2</v>
      </c>
      <c r="O2511">
        <v>9.3240240000000002E-3</v>
      </c>
      <c r="P2511">
        <v>-0.99619979999999997</v>
      </c>
      <c r="Q2511">
        <v>-8.4935140000000006E-2</v>
      </c>
      <c r="R2511">
        <v>1.9294220000000001E-2</v>
      </c>
      <c r="S2511">
        <v>-3.0030209999999999</v>
      </c>
      <c r="T2511">
        <v>-6.9400909999999996E-2</v>
      </c>
      <c r="U2511">
        <v>0.12530519999999901</v>
      </c>
      <c r="V2511">
        <v>9.9538830000000002E-3</v>
      </c>
      <c r="W2511">
        <v>-7.042938E-2</v>
      </c>
      <c r="X2511">
        <v>0.99746710000000005</v>
      </c>
      <c r="Y2511">
        <v>3.2357660000000003E-2</v>
      </c>
      <c r="Z2511">
        <v>5.2970440000000001E-4</v>
      </c>
      <c r="AA2511">
        <v>0.99947620000000004</v>
      </c>
      <c r="AB2511">
        <v>34</v>
      </c>
      <c r="AC2511">
        <v>-48.165300000000002</v>
      </c>
      <c r="AD2511">
        <v>-1.1204925479150001</v>
      </c>
      <c r="AE2511">
        <v>2.0198999999999998</v>
      </c>
      <c r="AF2511">
        <v>1.5698221532707399</v>
      </c>
      <c r="AG2511">
        <v>-1.1204925479150001</v>
      </c>
      <c r="AH2511">
        <v>48.156025632937101</v>
      </c>
      <c r="AI2511">
        <v>91.332208070055202</v>
      </c>
      <c r="AJ2511">
        <v>88.132895257279401</v>
      </c>
      <c r="AK2511">
        <v>48.194632998944201</v>
      </c>
      <c r="AL2511">
        <v>94.038649763866204</v>
      </c>
      <c r="AM2511">
        <v>89.428255272341104</v>
      </c>
      <c r="AN2511">
        <v>0.99999999646818605</v>
      </c>
    </row>
    <row r="2512" spans="1:40" x14ac:dyDescent="0.25">
      <c r="A2512" t="str">
        <f>"20190303154816710"</f>
        <v>20190303154816710</v>
      </c>
      <c r="B2512" t="str">
        <f>"1551599296703486"</f>
        <v>1551599296703486</v>
      </c>
      <c r="C2512" t="s">
        <v>40</v>
      </c>
      <c r="D2512">
        <v>4.64954</v>
      </c>
      <c r="E2512">
        <v>0.50647350000000002</v>
      </c>
      <c r="F2512" t="s">
        <v>47</v>
      </c>
      <c r="G2512">
        <v>-479.45209999999997</v>
      </c>
      <c r="H2512" s="1">
        <v>2.5664889999999998E-6</v>
      </c>
      <c r="I2512">
        <v>286.26350000000002</v>
      </c>
      <c r="J2512">
        <v>-432.63650000000001</v>
      </c>
      <c r="K2512">
        <v>1.1204940000000001</v>
      </c>
      <c r="L2512">
        <v>284.47250000000003</v>
      </c>
      <c r="M2512">
        <v>-0.99984790000000001</v>
      </c>
      <c r="N2512">
        <v>-1.455333E-2</v>
      </c>
      <c r="O2512">
        <v>9.6257400000000007E-3</v>
      </c>
      <c r="P2512">
        <v>-0.99620620000000004</v>
      </c>
      <c r="Q2512">
        <v>-8.4834530000000005E-2</v>
      </c>
      <c r="R2512">
        <v>1.93966E-2</v>
      </c>
      <c r="S2512">
        <v>-3.0031430000000001</v>
      </c>
      <c r="T2512">
        <v>-7.1365479999999995E-2</v>
      </c>
      <c r="U2512">
        <v>0.1142883</v>
      </c>
      <c r="V2512">
        <v>9.7556670000000009E-3</v>
      </c>
      <c r="W2512">
        <v>-7.03323E-2</v>
      </c>
      <c r="X2512">
        <v>0.99747589999999997</v>
      </c>
      <c r="Y2512">
        <v>2.839465E-2</v>
      </c>
      <c r="Z2512">
        <v>4.5539039999999999E-4</v>
      </c>
      <c r="AA2512">
        <v>0.9995967</v>
      </c>
      <c r="AB2512">
        <v>34</v>
      </c>
      <c r="AC2512">
        <v>-46.815599999999897</v>
      </c>
      <c r="AD2512">
        <v>-1.1204914335109999</v>
      </c>
      <c r="AE2512">
        <v>1.7909999999999899</v>
      </c>
      <c r="AF2512">
        <v>1.33946836317438</v>
      </c>
      <c r="AG2512">
        <v>-1.1204914335109999</v>
      </c>
      <c r="AH2512">
        <v>46.803900046685399</v>
      </c>
      <c r="AI2512">
        <v>91.370845376018096</v>
      </c>
      <c r="AJ2512">
        <v>88.360714774370607</v>
      </c>
      <c r="AK2512">
        <v>46.836468015090901</v>
      </c>
      <c r="AL2512">
        <v>94.033073695031007</v>
      </c>
      <c r="AM2512">
        <v>89.439644883645101</v>
      </c>
      <c r="AN2512">
        <v>0.99999998827135705</v>
      </c>
    </row>
    <row r="2513" spans="1:40" x14ac:dyDescent="0.25">
      <c r="A2513" t="str">
        <f>"20190303154816725"</f>
        <v>20190303154816725</v>
      </c>
      <c r="B2513" t="str">
        <f>"1551599296713246"</f>
        <v>1551599296713246</v>
      </c>
      <c r="C2513" t="s">
        <v>40</v>
      </c>
      <c r="D2513">
        <v>4.6573949999999904</v>
      </c>
      <c r="E2513">
        <v>0.50625779999999998</v>
      </c>
      <c r="F2513" t="s">
        <v>47</v>
      </c>
      <c r="G2513">
        <v>-484.67410000000001</v>
      </c>
      <c r="H2513" s="1">
        <v>3.190071E-6</v>
      </c>
      <c r="I2513">
        <v>286.39170000000001</v>
      </c>
      <c r="J2513">
        <v>-432.86840000000001</v>
      </c>
      <c r="K2513">
        <v>1.1204909999999999</v>
      </c>
      <c r="L2513">
        <v>284.47500000000002</v>
      </c>
      <c r="M2513">
        <v>-0.99984589999999995</v>
      </c>
      <c r="N2513">
        <v>-1.455069E-2</v>
      </c>
      <c r="O2513">
        <v>9.8339410000000006E-3</v>
      </c>
      <c r="P2513">
        <v>-0.99618450000000003</v>
      </c>
      <c r="Q2513">
        <v>-8.5100250000000002E-2</v>
      </c>
      <c r="R2513">
        <v>1.9360860000000001E-2</v>
      </c>
      <c r="S2513">
        <v>-3.0037539999999998</v>
      </c>
      <c r="T2513">
        <v>-6.4677719999999994E-2</v>
      </c>
      <c r="U2513">
        <v>0.1107788</v>
      </c>
      <c r="V2513">
        <v>9.5128590000000002E-3</v>
      </c>
      <c r="W2513">
        <v>-7.060073E-2</v>
      </c>
      <c r="X2513">
        <v>0.99745930000000005</v>
      </c>
      <c r="Y2513">
        <v>2.7014750000000001E-2</v>
      </c>
      <c r="Z2513">
        <v>4.1878279999999998E-4</v>
      </c>
      <c r="AA2513">
        <v>0.99963489999999999</v>
      </c>
      <c r="AB2513">
        <v>34</v>
      </c>
      <c r="AC2513">
        <v>-51.805700000000002</v>
      </c>
      <c r="AD2513">
        <v>-1.1204878099290001</v>
      </c>
      <c r="AE2513">
        <v>1.9166999999999901</v>
      </c>
      <c r="AF2513">
        <v>1.4064421939568901</v>
      </c>
      <c r="AG2513">
        <v>-1.1204878099290001</v>
      </c>
      <c r="AH2513">
        <v>51.797847294278</v>
      </c>
      <c r="AI2513">
        <v>91.238769046425304</v>
      </c>
      <c r="AJ2513">
        <v>88.444657235176507</v>
      </c>
      <c r="AK2513">
        <v>51.8290512830255</v>
      </c>
      <c r="AL2513">
        <v>94.048491855489004</v>
      </c>
      <c r="AM2513">
        <v>89.453581567086204</v>
      </c>
      <c r="AN2513">
        <v>1.0000000063596799</v>
      </c>
    </row>
    <row r="2514" spans="1:40" x14ac:dyDescent="0.25">
      <c r="A2514" t="str">
        <f>"20190303154816744"</f>
        <v>20190303154816744</v>
      </c>
      <c r="B2514" t="str">
        <f>"1551599296732766"</f>
        <v>1551599296732766</v>
      </c>
      <c r="C2514" t="s">
        <v>40</v>
      </c>
      <c r="D2514">
        <v>4.5721509999999999</v>
      </c>
      <c r="E2514">
        <v>0.50607570000000002</v>
      </c>
      <c r="F2514" t="s">
        <v>47</v>
      </c>
      <c r="G2514">
        <v>-486.27229999999997</v>
      </c>
      <c r="H2514" s="1">
        <v>3.475562E-6</v>
      </c>
      <c r="I2514">
        <v>286.41460000000001</v>
      </c>
      <c r="J2514">
        <v>-433.14030000000002</v>
      </c>
      <c r="K2514">
        <v>1.120485</v>
      </c>
      <c r="L2514">
        <v>284.4778</v>
      </c>
      <c r="M2514">
        <v>-0.9998435</v>
      </c>
      <c r="N2514">
        <v>-1.4547579999999999E-2</v>
      </c>
      <c r="O2514">
        <v>1.007796E-2</v>
      </c>
      <c r="P2514">
        <v>-0.99621210000000004</v>
      </c>
      <c r="Q2514">
        <v>-8.4830149999999993E-2</v>
      </c>
      <c r="R2514">
        <v>1.9115400000000001E-2</v>
      </c>
      <c r="S2514">
        <v>-3.0039669999999998</v>
      </c>
      <c r="T2514">
        <v>-6.3027379999999994E-2</v>
      </c>
      <c r="U2514">
        <v>0.1091003</v>
      </c>
      <c r="V2514">
        <v>9.0239940000000005E-3</v>
      </c>
      <c r="W2514">
        <v>-7.0333000000000007E-2</v>
      </c>
      <c r="X2514">
        <v>0.9974828</v>
      </c>
      <c r="Y2514">
        <v>2.6211040000000001E-2</v>
      </c>
      <c r="Z2514">
        <v>4.0084190000000002E-4</v>
      </c>
      <c r="AA2514">
        <v>0.9996564</v>
      </c>
      <c r="AB2514">
        <v>33</v>
      </c>
      <c r="AC2514">
        <v>-53.131999999999898</v>
      </c>
      <c r="AD2514">
        <v>-1.120481524438</v>
      </c>
      <c r="AE2514">
        <v>1.9368000000000001</v>
      </c>
      <c r="AF2514">
        <v>1.40056079434445</v>
      </c>
      <c r="AG2514">
        <v>-1.120481524438</v>
      </c>
      <c r="AH2514">
        <v>53.125227169820299</v>
      </c>
      <c r="AI2514">
        <v>91.207845318809404</v>
      </c>
      <c r="AJ2514">
        <v>88.489839133583999</v>
      </c>
      <c r="AK2514">
        <v>53.155496528865903</v>
      </c>
      <c r="AL2514">
        <v>94.033113652976198</v>
      </c>
      <c r="AM2514">
        <v>89.481672600475704</v>
      </c>
      <c r="AN2514">
        <v>1.00000004982627</v>
      </c>
    </row>
    <row r="2515" spans="1:40" x14ac:dyDescent="0.25">
      <c r="A2515" t="str">
        <f>"20190303154816765"</f>
        <v>20190303154816765</v>
      </c>
      <c r="B2515" t="str">
        <f>"1551599296763021"</f>
        <v>1551599296763021</v>
      </c>
      <c r="C2515" t="s">
        <v>40</v>
      </c>
      <c r="D2515">
        <v>4.6335839999999999</v>
      </c>
      <c r="E2515">
        <v>0.50597550000000002</v>
      </c>
      <c r="F2515" t="s">
        <v>47</v>
      </c>
      <c r="G2515">
        <v>-490.16140000000001</v>
      </c>
      <c r="H2515" s="1">
        <v>4.1008340000000003E-6</v>
      </c>
      <c r="I2515">
        <v>286.50220000000002</v>
      </c>
      <c r="J2515">
        <v>-433.47190000000001</v>
      </c>
      <c r="K2515">
        <v>1.1204889999999901</v>
      </c>
      <c r="L2515">
        <v>284.48149999999998</v>
      </c>
      <c r="M2515">
        <v>-0.99984050000000002</v>
      </c>
      <c r="N2515">
        <v>-1.4543789999999999E-2</v>
      </c>
      <c r="O2515">
        <v>1.037533E-2</v>
      </c>
      <c r="P2515">
        <v>-0.99618200000000001</v>
      </c>
      <c r="Q2515">
        <v>-8.525887E-2</v>
      </c>
      <c r="R2515">
        <v>1.878291E-2</v>
      </c>
      <c r="S2515">
        <v>-3.0043329999999999</v>
      </c>
      <c r="T2515">
        <v>-5.9036020000000002E-2</v>
      </c>
      <c r="U2515">
        <v>0.1066589</v>
      </c>
      <c r="V2515">
        <v>8.3953659999999996E-3</v>
      </c>
      <c r="W2515">
        <v>-7.0765439999999999E-2</v>
      </c>
      <c r="X2515">
        <v>0.9974577</v>
      </c>
      <c r="Y2515">
        <v>2.509925E-2</v>
      </c>
      <c r="Z2515">
        <v>3.7619919999999998E-4</v>
      </c>
      <c r="AA2515">
        <v>0.99968489999999999</v>
      </c>
      <c r="AB2515">
        <v>33</v>
      </c>
      <c r="AC2515">
        <v>-56.689500000000002</v>
      </c>
      <c r="AD2515">
        <v>-1.1204848991659999</v>
      </c>
      <c r="AE2515">
        <v>2.0207000000000299</v>
      </c>
      <c r="AF2515">
        <v>1.4317981376761899</v>
      </c>
      <c r="AG2515">
        <v>-1.1204848991659999</v>
      </c>
      <c r="AH2515">
        <v>56.685298700937899</v>
      </c>
      <c r="AI2515">
        <v>91.132043686141998</v>
      </c>
      <c r="AJ2515">
        <v>88.553089556613202</v>
      </c>
      <c r="AK2515">
        <v>56.714448080986102</v>
      </c>
      <c r="AL2515">
        <v>94.057952543473206</v>
      </c>
      <c r="AM2515">
        <v>89.517766336376496</v>
      </c>
      <c r="AN2515">
        <v>1.00000004647897</v>
      </c>
    </row>
    <row r="2516" spans="1:40" x14ac:dyDescent="0.25">
      <c r="A2516" t="str">
        <f>"20190303154816787"</f>
        <v>20190303154816787</v>
      </c>
      <c r="B2516" t="str">
        <f>"1551599296783518"</f>
        <v>1551599296783518</v>
      </c>
      <c r="C2516" t="s">
        <v>40</v>
      </c>
      <c r="D2516">
        <v>4.5761570000000003</v>
      </c>
      <c r="E2516">
        <v>0.50571909999999998</v>
      </c>
      <c r="F2516" t="s">
        <v>47</v>
      </c>
      <c r="G2516">
        <v>-492.64600000000002</v>
      </c>
      <c r="H2516" s="1">
        <v>3.6645249999999999E-6</v>
      </c>
      <c r="I2516">
        <v>286.55259999999998</v>
      </c>
      <c r="J2516">
        <v>-433.79509999999999</v>
      </c>
      <c r="K2516">
        <v>1.1204860000000001</v>
      </c>
      <c r="L2516">
        <v>284.48520000000002</v>
      </c>
      <c r="M2516">
        <v>-0.99983739999999999</v>
      </c>
      <c r="N2516">
        <v>-1.454008E-2</v>
      </c>
      <c r="O2516">
        <v>1.066549E-2</v>
      </c>
      <c r="P2516">
        <v>-0.99620330000000001</v>
      </c>
      <c r="Q2516">
        <v>-8.5007910000000006E-2</v>
      </c>
      <c r="R2516">
        <v>1.8784220000000001E-2</v>
      </c>
      <c r="S2516">
        <v>-3.0046689999999998</v>
      </c>
      <c r="T2516">
        <v>-5.689466E-2</v>
      </c>
      <c r="U2516">
        <v>0.1051636</v>
      </c>
      <c r="V2516">
        <v>8.1077130000000008E-3</v>
      </c>
      <c r="W2516">
        <v>-7.0517679999999999E-2</v>
      </c>
      <c r="X2516">
        <v>0.99747759999999996</v>
      </c>
      <c r="Y2516">
        <v>2.4308960000000001E-2</v>
      </c>
      <c r="Z2516">
        <v>3.6005839999999999E-4</v>
      </c>
      <c r="AA2516">
        <v>0.99970440000000005</v>
      </c>
      <c r="AB2516">
        <v>33</v>
      </c>
      <c r="AC2516">
        <v>-58.850899999999903</v>
      </c>
      <c r="AD2516">
        <v>-1.120482335475</v>
      </c>
      <c r="AE2516">
        <v>2.0673999999999602</v>
      </c>
      <c r="AF2516">
        <v>1.4390213407804799</v>
      </c>
      <c r="AG2516">
        <v>-1.120482335475</v>
      </c>
      <c r="AH2516">
        <v>58.848298130054303</v>
      </c>
      <c r="AI2516">
        <v>91.090464400760993</v>
      </c>
      <c r="AJ2516">
        <v>88.599221655134698</v>
      </c>
      <c r="AK2516">
        <v>58.8765526834502</v>
      </c>
      <c r="AL2516">
        <v>94.0437214948156</v>
      </c>
      <c r="AM2516">
        <v>89.534297806320296</v>
      </c>
      <c r="AN2516">
        <v>1.0000000203522099</v>
      </c>
    </row>
    <row r="2517" spans="1:40" x14ac:dyDescent="0.25">
      <c r="A2517" t="str">
        <f>"20190303154816804"</f>
        <v>20190303154816804</v>
      </c>
      <c r="B2517" t="str">
        <f>"1551599296793278"</f>
        <v>1551599296793278</v>
      </c>
      <c r="C2517" t="s">
        <v>40</v>
      </c>
      <c r="D2517">
        <v>4.5760420000000002</v>
      </c>
      <c r="E2517">
        <v>0.50558539999999996</v>
      </c>
      <c r="F2517" t="s">
        <v>47</v>
      </c>
      <c r="G2517">
        <v>-494.82139999999998</v>
      </c>
      <c r="H2517" s="1">
        <v>3.280931E-6</v>
      </c>
      <c r="I2517">
        <v>286.57889999999998</v>
      </c>
      <c r="J2517">
        <v>-434.03570000000002</v>
      </c>
      <c r="K2517">
        <v>1.1204860000000001</v>
      </c>
      <c r="L2517">
        <v>284.48790000000002</v>
      </c>
      <c r="M2517">
        <v>-0.99983529999999998</v>
      </c>
      <c r="N2517">
        <v>-1.453729E-2</v>
      </c>
      <c r="O2517">
        <v>1.088108E-2</v>
      </c>
      <c r="P2517">
        <v>-0.99620690000000001</v>
      </c>
      <c r="Q2517">
        <v>-8.4998859999999996E-2</v>
      </c>
      <c r="R2517">
        <v>1.8636639999999999E-2</v>
      </c>
      <c r="S2517">
        <v>-3.0047609999999998</v>
      </c>
      <c r="T2517">
        <v>-5.5169339999999997E-2</v>
      </c>
      <c r="U2517">
        <v>0.1030884</v>
      </c>
      <c r="V2517">
        <v>7.7451669999999999E-3</v>
      </c>
      <c r="W2517">
        <v>-7.0511099999999993E-2</v>
      </c>
      <c r="X2517">
        <v>0.9974809</v>
      </c>
      <c r="Y2517">
        <v>2.340333E-2</v>
      </c>
      <c r="Z2517">
        <v>3.4341850000000002E-4</v>
      </c>
      <c r="AA2517">
        <v>0.99972609999999995</v>
      </c>
      <c r="AB2517">
        <v>33</v>
      </c>
      <c r="AC2517">
        <v>-60.785699999999899</v>
      </c>
      <c r="AD2517">
        <v>-1.1204827190690001</v>
      </c>
      <c r="AE2517">
        <v>2.09099999999995</v>
      </c>
      <c r="AF2517">
        <v>1.4289073875964999</v>
      </c>
      <c r="AG2517">
        <v>-1.1204827190690001</v>
      </c>
      <c r="AH2517">
        <v>60.784226110236901</v>
      </c>
      <c r="AI2517">
        <v>91.055766262006699</v>
      </c>
      <c r="AJ2517">
        <v>88.653346570286601</v>
      </c>
      <c r="AK2517">
        <v>60.811342705670199</v>
      </c>
      <c r="AL2517">
        <v>94.0433437341065</v>
      </c>
      <c r="AM2517">
        <v>89.555122847268905</v>
      </c>
      <c r="AN2517">
        <v>0.99999997434993804</v>
      </c>
    </row>
    <row r="2518" spans="1:40" x14ac:dyDescent="0.25">
      <c r="A2518" t="str">
        <f>"20190303154816821"</f>
        <v>20190303154816821</v>
      </c>
      <c r="B2518" t="str">
        <f>"1551599296812798"</f>
        <v>1551599296812798</v>
      </c>
      <c r="C2518" t="s">
        <v>40</v>
      </c>
      <c r="D2518">
        <v>4.6267129999999996</v>
      </c>
      <c r="E2518">
        <v>0.50522990000000001</v>
      </c>
      <c r="F2518" t="s">
        <v>47</v>
      </c>
      <c r="G2518">
        <v>-496.00150000000002</v>
      </c>
      <c r="H2518" s="1">
        <v>3.0718049999999999E-6</v>
      </c>
      <c r="I2518">
        <v>286.58109999999999</v>
      </c>
      <c r="J2518">
        <v>-434.30130000000003</v>
      </c>
      <c r="K2518">
        <v>1.1204829999999999</v>
      </c>
      <c r="L2518">
        <v>284.49110000000002</v>
      </c>
      <c r="M2518">
        <v>-0.99983270000000002</v>
      </c>
      <c r="N2518">
        <v>-1.453432E-2</v>
      </c>
      <c r="O2518">
        <v>1.1119860000000001E-2</v>
      </c>
      <c r="P2518">
        <v>-0.99618899999999999</v>
      </c>
      <c r="Q2518">
        <v>-8.5237439999999998E-2</v>
      </c>
      <c r="R2518">
        <v>1.85046E-2</v>
      </c>
      <c r="S2518">
        <v>-3.0048520000000001</v>
      </c>
      <c r="T2518">
        <v>-5.4334639999999997E-2</v>
      </c>
      <c r="U2518">
        <v>0.10150149999999999</v>
      </c>
      <c r="V2518">
        <v>7.3753830000000001E-3</v>
      </c>
      <c r="W2518">
        <v>-7.0752599999999999E-2</v>
      </c>
      <c r="X2518">
        <v>0.99746659999999998</v>
      </c>
      <c r="Y2518">
        <v>2.263656E-2</v>
      </c>
      <c r="Z2518">
        <v>3.2977199999999999E-4</v>
      </c>
      <c r="AA2518">
        <v>0.99974370000000001</v>
      </c>
      <c r="AB2518">
        <v>33</v>
      </c>
      <c r="AC2518">
        <v>-61.700200000000002</v>
      </c>
      <c r="AD2518">
        <v>-1.120479928195</v>
      </c>
      <c r="AE2518">
        <v>2.0899999999999701</v>
      </c>
      <c r="AF2518">
        <v>1.4032385585915901</v>
      </c>
      <c r="AG2518">
        <v>-1.120479928195</v>
      </c>
      <c r="AH2518">
        <v>61.699303004190597</v>
      </c>
      <c r="AI2518">
        <v>91.0401271987716</v>
      </c>
      <c r="AJ2518">
        <v>88.697136188891207</v>
      </c>
      <c r="AK2518">
        <v>61.725428673478902</v>
      </c>
      <c r="AL2518">
        <v>94.057215318108106</v>
      </c>
      <c r="AM2518">
        <v>89.576356123357399</v>
      </c>
      <c r="AN2518">
        <v>0.99999997239835803</v>
      </c>
    </row>
    <row r="2519" spans="1:40" x14ac:dyDescent="0.25">
      <c r="A2519" t="str">
        <f>"20190303154816844"</f>
        <v>20190303154816844</v>
      </c>
      <c r="B2519" t="str">
        <f>"1551599296833293"</f>
        <v>1551599296833293</v>
      </c>
      <c r="C2519" t="s">
        <v>40</v>
      </c>
      <c r="D2519">
        <v>4.5668920000000002</v>
      </c>
      <c r="E2519">
        <v>0.50492929999999903</v>
      </c>
      <c r="F2519" t="s">
        <v>47</v>
      </c>
      <c r="G2519">
        <v>-496.05549999999999</v>
      </c>
      <c r="H2519" s="1">
        <v>3.0559989999999998E-6</v>
      </c>
      <c r="I2519">
        <v>286.50990000000002</v>
      </c>
      <c r="J2519">
        <v>-434.63619999999997</v>
      </c>
      <c r="K2519">
        <v>1.120482</v>
      </c>
      <c r="L2519">
        <v>284.49509999999998</v>
      </c>
      <c r="M2519">
        <v>-0.99982930000000003</v>
      </c>
      <c r="N2519">
        <v>-1.4530589999999999E-2</v>
      </c>
      <c r="O2519">
        <v>1.142104E-2</v>
      </c>
      <c r="P2519">
        <v>-0.99615750000000003</v>
      </c>
      <c r="Q2519">
        <v>-8.5557739999999993E-2</v>
      </c>
      <c r="R2519">
        <v>1.8715590000000001E-2</v>
      </c>
      <c r="S2519">
        <v>-3.0049739999999998</v>
      </c>
      <c r="T2519">
        <v>-5.4522870000000001E-2</v>
      </c>
      <c r="U2519">
        <v>9.8236080000000003E-2</v>
      </c>
      <c r="V2519">
        <v>7.2865630000000002E-3</v>
      </c>
      <c r="W2519">
        <v>-7.1076909999999993E-2</v>
      </c>
      <c r="X2519">
        <v>0.9974442</v>
      </c>
      <c r="Y2519">
        <v>2.1249210000000001E-2</v>
      </c>
      <c r="Z2519">
        <v>3.0594800000000001E-4</v>
      </c>
      <c r="AA2519">
        <v>0.99977419999999995</v>
      </c>
      <c r="AB2519">
        <v>33</v>
      </c>
      <c r="AC2519">
        <v>-61.4193</v>
      </c>
      <c r="AD2519">
        <v>-1.1204789440009999</v>
      </c>
      <c r="AE2519">
        <v>2.0148000000000299</v>
      </c>
      <c r="AF2519">
        <v>1.31268588109351</v>
      </c>
      <c r="AG2519">
        <v>-1.1204789440009999</v>
      </c>
      <c r="AH2519">
        <v>61.417888214942302</v>
      </c>
      <c r="AI2519">
        <v>91.044922614368403</v>
      </c>
      <c r="AJ2519">
        <v>88.775602453924904</v>
      </c>
      <c r="AK2519">
        <v>61.442132206406399</v>
      </c>
      <c r="AL2519">
        <v>94.075843795184198</v>
      </c>
      <c r="AM2519">
        <v>89.581448385127999</v>
      </c>
      <c r="AN2519">
        <v>0.99999997662456996</v>
      </c>
    </row>
    <row r="2520" spans="1:40" x14ac:dyDescent="0.25">
      <c r="A2520" t="str">
        <f>"20190303154816867"</f>
        <v>20190303154816867</v>
      </c>
      <c r="B2520" t="str">
        <f>"1551599296863550"</f>
        <v>1551599296863550</v>
      </c>
      <c r="C2520" t="s">
        <v>40</v>
      </c>
      <c r="D2520">
        <v>4.5883669999999999</v>
      </c>
      <c r="E2520">
        <v>0.50455740000000004</v>
      </c>
      <c r="F2520" t="s">
        <v>47</v>
      </c>
      <c r="G2520">
        <v>-496.536</v>
      </c>
      <c r="H2520" s="1">
        <v>2.968123E-6</v>
      </c>
      <c r="I2520">
        <v>286.4796</v>
      </c>
      <c r="J2520">
        <v>-434.97710000000001</v>
      </c>
      <c r="K2520">
        <v>1.120482</v>
      </c>
      <c r="L2520">
        <v>284.49930000000001</v>
      </c>
      <c r="M2520">
        <v>-0.99982570000000004</v>
      </c>
      <c r="N2520">
        <v>-1.452677E-2</v>
      </c>
      <c r="O2520">
        <v>1.172747E-2</v>
      </c>
      <c r="P2520">
        <v>-0.99608560000000002</v>
      </c>
      <c r="Q2520">
        <v>-8.6366310000000002E-2</v>
      </c>
      <c r="R2520">
        <v>1.8829599999999998E-2</v>
      </c>
      <c r="S2520">
        <v>-3.005096</v>
      </c>
      <c r="T2520">
        <v>-5.4396750000000001E-2</v>
      </c>
      <c r="U2520">
        <v>9.6343990000000004E-2</v>
      </c>
      <c r="V2520">
        <v>7.095578E-3</v>
      </c>
      <c r="W2520">
        <v>-7.1890040000000002E-2</v>
      </c>
      <c r="X2520">
        <v>0.99738729999999998</v>
      </c>
      <c r="Y2520">
        <v>2.031293E-2</v>
      </c>
      <c r="Z2520">
        <v>2.895296E-4</v>
      </c>
      <c r="AA2520">
        <v>0.99979359999999995</v>
      </c>
      <c r="AB2520">
        <v>33</v>
      </c>
      <c r="AC2520">
        <v>-61.558900000000001</v>
      </c>
      <c r="AD2520">
        <v>-1.1204790318769999</v>
      </c>
      <c r="AE2520">
        <v>1.9802999999999999</v>
      </c>
      <c r="AF2520">
        <v>1.25774118299558</v>
      </c>
      <c r="AG2520">
        <v>-1.1204790318769999</v>
      </c>
      <c r="AH2520">
        <v>61.5575189873854</v>
      </c>
      <c r="AI2520">
        <v>91.0425735185447</v>
      </c>
      <c r="AJ2520">
        <v>88.829497399632004</v>
      </c>
      <c r="AK2520">
        <v>61.580561300028798</v>
      </c>
      <c r="AL2520">
        <v>94.1225522090444</v>
      </c>
      <c r="AM2520">
        <v>89.592395236845903</v>
      </c>
      <c r="AN2520">
        <v>0.99999997563982201</v>
      </c>
    </row>
    <row r="2521" spans="1:40" x14ac:dyDescent="0.25">
      <c r="A2521" t="str">
        <f>"20190303154816887"</f>
        <v>20190303154816887</v>
      </c>
      <c r="B2521" t="str">
        <f>"1551599296883072"</f>
        <v>1551599296883072</v>
      </c>
      <c r="C2521" t="s">
        <v>40</v>
      </c>
      <c r="D2521">
        <v>4.5995290000000004</v>
      </c>
      <c r="E2521">
        <v>0.50447739999999996</v>
      </c>
      <c r="F2521" t="s">
        <v>47</v>
      </c>
      <c r="G2521">
        <v>-495.70839999999998</v>
      </c>
      <c r="H2521" s="1">
        <v>3.1075829999999999E-6</v>
      </c>
      <c r="I2521">
        <v>286.39569999999998</v>
      </c>
      <c r="J2521">
        <v>-435.29079999999999</v>
      </c>
      <c r="K2521">
        <v>1.1204769999999999</v>
      </c>
      <c r="L2521">
        <v>284.50330000000002</v>
      </c>
      <c r="M2521">
        <v>-0.9998224</v>
      </c>
      <c r="N2521">
        <v>-1.4523289999999999E-2</v>
      </c>
      <c r="O2521">
        <v>1.200963E-2</v>
      </c>
      <c r="P2521">
        <v>-0.99601189999999995</v>
      </c>
      <c r="Q2521">
        <v>-8.7196280000000001E-2</v>
      </c>
      <c r="R2521">
        <v>1.8906869999999999E-2</v>
      </c>
      <c r="S2521">
        <v>-3.0052490000000001</v>
      </c>
      <c r="T2521">
        <v>-5.544615E-2</v>
      </c>
      <c r="U2521">
        <v>9.3841549999999996E-2</v>
      </c>
      <c r="V2521">
        <v>6.8921240000000003E-3</v>
      </c>
      <c r="W2521">
        <v>-7.2724259999999999E-2</v>
      </c>
      <c r="X2521">
        <v>0.99732829999999995</v>
      </c>
      <c r="Y2521">
        <v>1.9197619999999999E-2</v>
      </c>
      <c r="Z2521">
        <v>2.6941310000000001E-4</v>
      </c>
      <c r="AA2521">
        <v>0.99981560000000003</v>
      </c>
      <c r="AB2521">
        <v>33</v>
      </c>
      <c r="AC2521">
        <v>-60.417599999999901</v>
      </c>
      <c r="AD2521">
        <v>-1.1204738924169999</v>
      </c>
      <c r="AE2521">
        <v>1.8923999999999499</v>
      </c>
      <c r="AF2521">
        <v>1.16619323210485</v>
      </c>
      <c r="AG2521">
        <v>-1.1204738924169999</v>
      </c>
      <c r="AH2521">
        <v>60.415212744044702</v>
      </c>
      <c r="AI2521">
        <v>91.062300540092807</v>
      </c>
      <c r="AJ2521">
        <v>88.894158437570198</v>
      </c>
      <c r="AK2521">
        <v>60.4368546443838</v>
      </c>
      <c r="AL2521">
        <v>94.170474717204399</v>
      </c>
      <c r="AM2521">
        <v>89.604058832866997</v>
      </c>
      <c r="AN2521">
        <v>1.0000000286733299</v>
      </c>
    </row>
    <row r="2522" spans="1:40" x14ac:dyDescent="0.25">
      <c r="A2522" t="str">
        <f>"20190303154816910"</f>
        <v>20190303154816910</v>
      </c>
      <c r="B2522" t="str">
        <f>"1551599296903566"</f>
        <v>1551599296903566</v>
      </c>
      <c r="C2522" t="s">
        <v>40</v>
      </c>
      <c r="D2522">
        <v>4.6960410000000001</v>
      </c>
      <c r="E2522">
        <v>0.49182530000000002</v>
      </c>
      <c r="F2522" t="s">
        <v>47</v>
      </c>
      <c r="G2522">
        <v>-494.14830000000001</v>
      </c>
      <c r="H2522" s="1">
        <v>3.3786530000000001E-6</v>
      </c>
      <c r="I2522">
        <v>286.33100000000002</v>
      </c>
      <c r="J2522">
        <v>-435.61959999999999</v>
      </c>
      <c r="K2522">
        <v>1.120476</v>
      </c>
      <c r="L2522">
        <v>284.50760000000002</v>
      </c>
      <c r="M2522">
        <v>-0.99981900000000001</v>
      </c>
      <c r="N2522">
        <v>-1.451966E-2</v>
      </c>
      <c r="O2522">
        <v>1.2305389999999999E-2</v>
      </c>
      <c r="P2522">
        <v>-0.99597849999999999</v>
      </c>
      <c r="Q2522">
        <v>-8.7785479999999999E-2</v>
      </c>
      <c r="R2522">
        <v>1.7916700000000001E-2</v>
      </c>
      <c r="S2522">
        <v>-3.0052490000000001</v>
      </c>
      <c r="T2522">
        <v>-5.7211039999999998E-2</v>
      </c>
      <c r="U2522">
        <v>9.3322749999999996E-2</v>
      </c>
      <c r="V2522">
        <v>5.6074530000000001E-3</v>
      </c>
      <c r="W2522">
        <v>-7.331675E-2</v>
      </c>
      <c r="X2522">
        <v>0.99729290000000004</v>
      </c>
      <c r="Y2522">
        <v>1.8729329999999999E-2</v>
      </c>
      <c r="Z2522">
        <v>2.5872930000000002E-4</v>
      </c>
      <c r="AA2522">
        <v>0.99982459999999995</v>
      </c>
      <c r="AB2522">
        <v>33</v>
      </c>
      <c r="AC2522">
        <v>-58.528700000000001</v>
      </c>
      <c r="AD2522">
        <v>-1.120472621347</v>
      </c>
      <c r="AE2522">
        <v>1.82339999999993</v>
      </c>
      <c r="AF2522">
        <v>1.1025639136924299</v>
      </c>
      <c r="AG2522">
        <v>-1.120472621347</v>
      </c>
      <c r="AH2522">
        <v>58.525279363811798</v>
      </c>
      <c r="AI2522">
        <v>91.096605191141904</v>
      </c>
      <c r="AJ2522">
        <v>88.920726433996606</v>
      </c>
      <c r="AK2522">
        <v>58.546386999465497</v>
      </c>
      <c r="AL2522">
        <v>94.204513053741195</v>
      </c>
      <c r="AM2522">
        <v>89.677847896993796</v>
      </c>
      <c r="AN2522">
        <v>0.99999995887505899</v>
      </c>
    </row>
    <row r="2523" spans="1:40" x14ac:dyDescent="0.25">
      <c r="A2523" t="str">
        <f>"20190303154816932"</f>
        <v>20190303154816932</v>
      </c>
      <c r="B2523" t="str">
        <f>"1551599296923086"</f>
        <v>1551599296923086</v>
      </c>
      <c r="C2523" t="s">
        <v>40</v>
      </c>
      <c r="D2523">
        <v>4.6403720000000002</v>
      </c>
      <c r="E2523">
        <v>0.49245679999999997</v>
      </c>
      <c r="F2523" t="s">
        <v>52</v>
      </c>
      <c r="G2523">
        <v>-463.89299999999997</v>
      </c>
      <c r="H2523" s="1">
        <v>5.4412190000000004E-7</v>
      </c>
      <c r="I2523">
        <v>284.40469999999999</v>
      </c>
      <c r="J2523">
        <v>-435.9545</v>
      </c>
      <c r="K2523">
        <v>1.1204780000000001</v>
      </c>
      <c r="L2523">
        <v>284.512</v>
      </c>
      <c r="M2523">
        <v>-0.99981520000000002</v>
      </c>
      <c r="N2523">
        <v>-1.451595E-2</v>
      </c>
      <c r="O2523">
        <v>1.260728E-2</v>
      </c>
      <c r="P2523">
        <v>-0.99604250000000005</v>
      </c>
      <c r="Q2523">
        <v>-8.7273790000000004E-2</v>
      </c>
      <c r="R2523">
        <v>1.6818369999999999E-2</v>
      </c>
      <c r="S2523">
        <v>-3.00177</v>
      </c>
      <c r="T2523">
        <v>-0.11896</v>
      </c>
      <c r="U2523">
        <v>-1.0925290000000001E-2</v>
      </c>
      <c r="V2523">
        <v>4.2081130000000003E-3</v>
      </c>
      <c r="W2523">
        <v>-7.2807090000000005E-2</v>
      </c>
      <c r="X2523">
        <v>0.99733720000000003</v>
      </c>
      <c r="Y2523">
        <v>-1.622645E-2</v>
      </c>
      <c r="Z2523">
        <v>-7.5568909999999996E-4</v>
      </c>
      <c r="AA2523">
        <v>0.99986799999999998</v>
      </c>
      <c r="AB2523">
        <v>33</v>
      </c>
      <c r="AC2523">
        <v>-27.938500000000001</v>
      </c>
      <c r="AD2523">
        <v>-1.1204774558781001</v>
      </c>
      <c r="AE2523">
        <v>-0.107300000000009</v>
      </c>
      <c r="AF2523">
        <v>-0.45881909831442402</v>
      </c>
      <c r="AG2523">
        <v>-1.1204774558781001</v>
      </c>
      <c r="AH2523">
        <v>27.8900678743979</v>
      </c>
      <c r="AI2523">
        <v>92.300297452643505</v>
      </c>
      <c r="AJ2523">
        <v>90.9424870128436</v>
      </c>
      <c r="AK2523">
        <v>27.916336986299498</v>
      </c>
      <c r="AL2523">
        <v>94.175233112053405</v>
      </c>
      <c r="AM2523">
        <v>89.7582505858324</v>
      </c>
      <c r="AN2523">
        <v>1.0000000355365599</v>
      </c>
    </row>
    <row r="2524" spans="1:40" x14ac:dyDescent="0.25">
      <c r="A2524" t="str">
        <f>"20190303154816955"</f>
        <v>20190303154816955</v>
      </c>
      <c r="B2524" t="str">
        <f>"1551599296943582"</f>
        <v>1551599296943582</v>
      </c>
      <c r="C2524" t="s">
        <v>40</v>
      </c>
      <c r="D2524">
        <v>4.6237700000000004</v>
      </c>
      <c r="E2524">
        <v>0.4923862</v>
      </c>
      <c r="F2524" t="s">
        <v>52</v>
      </c>
      <c r="G2524">
        <v>-467.0643</v>
      </c>
      <c r="H2524" s="1">
        <v>2.2313460000000001E-6</v>
      </c>
      <c r="I2524">
        <v>284.41390000000001</v>
      </c>
      <c r="J2524">
        <v>-436.28829999999999</v>
      </c>
      <c r="K2524">
        <v>1.120484</v>
      </c>
      <c r="L2524">
        <v>284.51650000000001</v>
      </c>
      <c r="M2524">
        <v>-0.99981149999999996</v>
      </c>
      <c r="N2524">
        <v>-1.4512250000000001E-2</v>
      </c>
      <c r="O2524">
        <v>1.290757E-2</v>
      </c>
      <c r="P2524">
        <v>-0.99610770000000004</v>
      </c>
      <c r="Q2524">
        <v>-8.6870450000000002E-2</v>
      </c>
      <c r="R2524">
        <v>1.494674E-2</v>
      </c>
      <c r="S2524">
        <v>-3.0025940000000002</v>
      </c>
      <c r="T2524">
        <v>-0.1081438</v>
      </c>
      <c r="U2524">
        <v>-9.4604489999999992E-3</v>
      </c>
      <c r="V2524">
        <v>2.0370729999999999E-3</v>
      </c>
      <c r="W2524">
        <v>-7.2405360000000002E-2</v>
      </c>
      <c r="X2524">
        <v>0.99737319999999996</v>
      </c>
      <c r="Y2524">
        <v>-1.604177E-2</v>
      </c>
      <c r="Z2524">
        <v>-6.8268880000000004E-4</v>
      </c>
      <c r="AA2524">
        <v>0.99987110000000001</v>
      </c>
      <c r="AB2524">
        <v>33</v>
      </c>
      <c r="AC2524">
        <v>-30.776</v>
      </c>
      <c r="AD2524">
        <v>-1.1204817686540001</v>
      </c>
      <c r="AE2524">
        <v>-0.102599999999995</v>
      </c>
      <c r="AF2524">
        <v>-0.49921490338758701</v>
      </c>
      <c r="AG2524">
        <v>-1.1204817686540001</v>
      </c>
      <c r="AH2524">
        <v>30.731376670521001</v>
      </c>
      <c r="AI2524">
        <v>92.087833361704696</v>
      </c>
      <c r="AJ2524">
        <v>90.930657672802099</v>
      </c>
      <c r="AK2524">
        <v>30.7558483378217</v>
      </c>
      <c r="AL2524">
        <v>94.152154945329301</v>
      </c>
      <c r="AM2524">
        <v>89.8829770810312</v>
      </c>
      <c r="AN2524">
        <v>0.99999999295068798</v>
      </c>
    </row>
    <row r="2525" spans="1:40" x14ac:dyDescent="0.25">
      <c r="A2525" t="str">
        <f>"20190303154816977"</f>
        <v>20190303154816977</v>
      </c>
      <c r="B2525" t="str">
        <f>"1551599296973057"</f>
        <v>1551599296973057</v>
      </c>
      <c r="C2525" t="s">
        <v>40</v>
      </c>
      <c r="D2525">
        <v>4.6624600000000003</v>
      </c>
      <c r="E2525">
        <v>0.49272510000000003</v>
      </c>
      <c r="F2525" t="s">
        <v>52</v>
      </c>
      <c r="G2525">
        <v>-465.74619999999999</v>
      </c>
      <c r="H2525" s="1">
        <v>1.532135E-6</v>
      </c>
      <c r="I2525">
        <v>284.36320000000001</v>
      </c>
      <c r="J2525">
        <v>-436.61779999999999</v>
      </c>
      <c r="K2525">
        <v>1.1204879999999999</v>
      </c>
      <c r="L2525">
        <v>284.52109999999999</v>
      </c>
      <c r="M2525">
        <v>-0.99980769999999997</v>
      </c>
      <c r="N2525">
        <v>-1.450861E-2</v>
      </c>
      <c r="O2525">
        <v>1.32047E-2</v>
      </c>
      <c r="P2525">
        <v>-0.9961681</v>
      </c>
      <c r="Q2525">
        <v>-8.6366239999999997E-2</v>
      </c>
      <c r="R2525">
        <v>1.379739E-2</v>
      </c>
      <c r="S2525">
        <v>-3.0020449999999999</v>
      </c>
      <c r="T2525">
        <v>-0.11418780000000001</v>
      </c>
      <c r="U2525">
        <v>-1.5625E-2</v>
      </c>
      <c r="V2525">
        <v>5.9142289999999996E-4</v>
      </c>
      <c r="W2525">
        <v>-7.1903159999999994E-2</v>
      </c>
      <c r="X2525">
        <v>0.99741139999999995</v>
      </c>
      <c r="Y2525">
        <v>-1.8388140000000001E-2</v>
      </c>
      <c r="Z2525">
        <v>-7.9357199999999998E-4</v>
      </c>
      <c r="AA2525">
        <v>0.99983060000000001</v>
      </c>
      <c r="AB2525">
        <v>33</v>
      </c>
      <c r="AC2525">
        <v>-29.128399999999999</v>
      </c>
      <c r="AD2525">
        <v>-1.1204864678649999</v>
      </c>
      <c r="AE2525">
        <v>-0.157899999999983</v>
      </c>
      <c r="AF2525">
        <v>-0.54175681927073804</v>
      </c>
      <c r="AG2525">
        <v>-1.1204864678649999</v>
      </c>
      <c r="AH2525">
        <v>29.080744503138199</v>
      </c>
      <c r="AI2525">
        <v>92.206143088580305</v>
      </c>
      <c r="AJ2525">
        <v>91.067262535500902</v>
      </c>
      <c r="AK2525">
        <v>29.1073648967525</v>
      </c>
      <c r="AL2525">
        <v>94.123305954946602</v>
      </c>
      <c r="AM2525">
        <v>89.966026022856795</v>
      </c>
      <c r="AN2525">
        <v>0.999999957524495</v>
      </c>
    </row>
    <row r="2526" spans="1:40" x14ac:dyDescent="0.25">
      <c r="A2526" t="str">
        <f>"20190303154817000"</f>
        <v>20190303154817000</v>
      </c>
      <c r="B2526" t="str">
        <f>"1551599296993484"</f>
        <v>1551599296993484</v>
      </c>
      <c r="C2526" t="s">
        <v>40</v>
      </c>
      <c r="D2526">
        <v>4.7388180000000002</v>
      </c>
      <c r="E2526">
        <v>0.49228159999999999</v>
      </c>
      <c r="F2526" t="s">
        <v>52</v>
      </c>
      <c r="G2526">
        <v>-465.45269999999999</v>
      </c>
      <c r="H2526" s="1">
        <v>1.3759010000000001E-6</v>
      </c>
      <c r="I2526">
        <v>284.36340000000001</v>
      </c>
      <c r="J2526">
        <v>-436.9434</v>
      </c>
      <c r="K2526">
        <v>1.1205000000000001</v>
      </c>
      <c r="L2526">
        <v>284.52569999999997</v>
      </c>
      <c r="M2526">
        <v>-0.99980380000000002</v>
      </c>
      <c r="N2526">
        <v>-1.450503E-2</v>
      </c>
      <c r="O2526">
        <v>1.3497769999999999E-2</v>
      </c>
      <c r="P2526">
        <v>-0.99626139999999996</v>
      </c>
      <c r="Q2526">
        <v>-8.5482630000000004E-2</v>
      </c>
      <c r="R2526">
        <v>1.2494069999999999E-2</v>
      </c>
      <c r="S2526">
        <v>-3.001617</v>
      </c>
      <c r="T2526">
        <v>-0.11663900000000001</v>
      </c>
      <c r="U2526">
        <v>-1.6418459999999999E-2</v>
      </c>
      <c r="V2526">
        <v>-1.0048380000000001E-3</v>
      </c>
      <c r="W2526">
        <v>-7.1021050000000002E-2</v>
      </c>
      <c r="X2526">
        <v>0.99747430000000004</v>
      </c>
      <c r="Y2526">
        <v>-1.8944639999999999E-2</v>
      </c>
      <c r="Z2526">
        <v>-8.3396299999999996E-4</v>
      </c>
      <c r="AA2526">
        <v>0.99982020000000005</v>
      </c>
      <c r="AB2526">
        <v>33</v>
      </c>
      <c r="AC2526">
        <v>-28.5093</v>
      </c>
      <c r="AD2526">
        <v>-1.120498624099</v>
      </c>
      <c r="AE2526">
        <v>-0.162299999999959</v>
      </c>
      <c r="AF2526">
        <v>-0.54629378728929501</v>
      </c>
      <c r="AG2526">
        <v>-1.120498624099</v>
      </c>
      <c r="AH2526">
        <v>28.460549233299599</v>
      </c>
      <c r="AI2526">
        <v>92.254169335740599</v>
      </c>
      <c r="AJ2526">
        <v>91.099644454798394</v>
      </c>
      <c r="AK2526">
        <v>28.4878362942802</v>
      </c>
      <c r="AL2526">
        <v>94.072635092743695</v>
      </c>
      <c r="AM2526">
        <v>90.0577187372336</v>
      </c>
      <c r="AN2526">
        <v>0.99999998920149902</v>
      </c>
    </row>
    <row r="2527" spans="1:40" x14ac:dyDescent="0.25">
      <c r="A2527" t="str">
        <f>"20190303154817022"</f>
        <v>20190303154817022</v>
      </c>
      <c r="B2527" t="str">
        <f>"1551599297013005"</f>
        <v>1551599297013005</v>
      </c>
      <c r="C2527" t="s">
        <v>40</v>
      </c>
      <c r="D2527">
        <v>4.7532899999999998</v>
      </c>
      <c r="E2527">
        <v>0.45322570000000001</v>
      </c>
      <c r="F2527" t="s">
        <v>52</v>
      </c>
      <c r="G2527">
        <v>-467.68130000000002</v>
      </c>
      <c r="H2527" s="1">
        <v>2.5654160000000001E-6</v>
      </c>
      <c r="I2527">
        <v>284.28300000000002</v>
      </c>
      <c r="J2527">
        <v>-437.27019999999999</v>
      </c>
      <c r="K2527">
        <v>1.120501</v>
      </c>
      <c r="L2527">
        <v>284.53039999999999</v>
      </c>
      <c r="M2527">
        <v>-0.99979980000000002</v>
      </c>
      <c r="N2527">
        <v>-1.4501399999999999E-2</v>
      </c>
      <c r="O2527">
        <v>1.379293E-2</v>
      </c>
      <c r="P2527">
        <v>-0.99632390000000004</v>
      </c>
      <c r="Q2527">
        <v>-8.4955790000000003E-2</v>
      </c>
      <c r="R2527">
        <v>1.1026849999999999E-2</v>
      </c>
      <c r="S2527">
        <v>-3.002167</v>
      </c>
      <c r="T2527">
        <v>-0.10943849999999999</v>
      </c>
      <c r="U2527">
        <v>-2.3712159999999999E-2</v>
      </c>
      <c r="V2527">
        <v>-2.7662070000000001E-3</v>
      </c>
      <c r="W2527">
        <v>-7.0496059999999999E-2</v>
      </c>
      <c r="X2527">
        <v>0.99750819999999996</v>
      </c>
      <c r="Y2527">
        <v>-2.1667860000000001E-2</v>
      </c>
      <c r="Z2527">
        <v>-8.5461490000000005E-4</v>
      </c>
      <c r="AA2527">
        <v>0.99976489999999996</v>
      </c>
      <c r="AB2527">
        <v>33</v>
      </c>
      <c r="AC2527">
        <v>-30.411100000000001</v>
      </c>
      <c r="AD2527">
        <v>-1.1204984345839999</v>
      </c>
      <c r="AE2527">
        <v>-0.24739999999997001</v>
      </c>
      <c r="AF2527">
        <v>-0.66597466922368997</v>
      </c>
      <c r="AG2527">
        <v>-1.1204984345839999</v>
      </c>
      <c r="AH2527">
        <v>30.363576172082901</v>
      </c>
      <c r="AI2527">
        <v>92.112903177663796</v>
      </c>
      <c r="AJ2527">
        <v>91.256486407414698</v>
      </c>
      <c r="AK2527">
        <v>30.391541536418199</v>
      </c>
      <c r="AL2527">
        <v>94.042479842168007</v>
      </c>
      <c r="AM2527">
        <v>90.158887495946601</v>
      </c>
      <c r="AN2527">
        <v>0.99999997772196403</v>
      </c>
    </row>
    <row r="2528" spans="1:40" x14ac:dyDescent="0.25">
      <c r="A2528" t="str">
        <f>"20190303154817038"</f>
        <v>20190303154817038</v>
      </c>
      <c r="B2528" t="str">
        <f>"1551599297033500"</f>
        <v>1551599297033500</v>
      </c>
      <c r="C2528" t="s">
        <v>40</v>
      </c>
      <c r="D2528">
        <v>4.7643659999999999</v>
      </c>
      <c r="E2528">
        <v>0.43918600000000002</v>
      </c>
      <c r="F2528" t="s">
        <v>52</v>
      </c>
      <c r="G2528">
        <v>-459.44990000000001</v>
      </c>
      <c r="H2528" s="1">
        <v>3.6054639999999999E-6</v>
      </c>
      <c r="I2528">
        <v>282.0204</v>
      </c>
      <c r="J2528">
        <v>-437.5138</v>
      </c>
      <c r="K2528">
        <v>1.120501</v>
      </c>
      <c r="L2528">
        <v>284.53399999999999</v>
      </c>
      <c r="M2528">
        <v>-0.99979680000000004</v>
      </c>
      <c r="N2528">
        <v>-1.449872E-2</v>
      </c>
      <c r="O2528">
        <v>1.4012749999999999E-2</v>
      </c>
      <c r="P2528">
        <v>-0.99635200000000002</v>
      </c>
      <c r="Q2528">
        <v>-8.4745429999999997E-2</v>
      </c>
      <c r="R2528">
        <v>1.0081329999999999E-2</v>
      </c>
      <c r="S2528">
        <v>-3.0018919999999998</v>
      </c>
      <c r="T2528">
        <v>-0.15165279999999901</v>
      </c>
      <c r="U2528">
        <v>-0.33972170000000002</v>
      </c>
      <c r="V2528">
        <v>-3.9306519999999998E-3</v>
      </c>
      <c r="W2528">
        <v>-7.0287379999999997E-2</v>
      </c>
      <c r="X2528">
        <v>0.99751900000000004</v>
      </c>
      <c r="Y2528">
        <v>-0.12615170000000001</v>
      </c>
      <c r="Z2528">
        <v>-4.595539E-3</v>
      </c>
      <c r="AA2528">
        <v>0.99200029999999995</v>
      </c>
      <c r="AB2528">
        <v>33</v>
      </c>
      <c r="AC2528">
        <v>-21.9361</v>
      </c>
      <c r="AD2528">
        <v>-1.1204973945359999</v>
      </c>
      <c r="AE2528">
        <v>-2.5135999999999901</v>
      </c>
      <c r="AF2528">
        <v>-2.8135246875897502</v>
      </c>
      <c r="AG2528">
        <v>-1.1204973945359999</v>
      </c>
      <c r="AH2528">
        <v>21.842467469927101</v>
      </c>
      <c r="AI2528">
        <v>92.912621984007203</v>
      </c>
      <c r="AJ2528">
        <v>97.339843952510407</v>
      </c>
      <c r="AK2528">
        <v>22.051413123735699</v>
      </c>
      <c r="AL2528">
        <v>94.030493695093796</v>
      </c>
      <c r="AM2528">
        <v>90.225768736973095</v>
      </c>
      <c r="AN2528">
        <v>0.99999996058670404</v>
      </c>
    </row>
    <row r="2529" spans="1:40" x14ac:dyDescent="0.25">
      <c r="A2529" t="str">
        <f>"20190303154817056"</f>
        <v>20190303154817056</v>
      </c>
      <c r="B2529" t="str">
        <f>"1551599297053020"</f>
        <v>1551599297053020</v>
      </c>
      <c r="C2529" t="s">
        <v>40</v>
      </c>
      <c r="D2529">
        <v>4.7442399999999996</v>
      </c>
      <c r="E2529">
        <v>0.43546380000000001</v>
      </c>
      <c r="F2529" t="s">
        <v>52</v>
      </c>
      <c r="G2529">
        <v>-457.9905</v>
      </c>
      <c r="H2529" s="1">
        <v>2.8546370000000001E-6</v>
      </c>
      <c r="I2529">
        <v>281.43029999999999</v>
      </c>
      <c r="J2529">
        <v>-437.77109999999999</v>
      </c>
      <c r="K2529">
        <v>1.120509</v>
      </c>
      <c r="L2529">
        <v>284.5378</v>
      </c>
      <c r="M2529">
        <v>-0.99979340000000005</v>
      </c>
      <c r="N2529">
        <v>-1.4495900000000001E-2</v>
      </c>
      <c r="O2529">
        <v>1.424455E-2</v>
      </c>
      <c r="P2529">
        <v>-0.99646369999999895</v>
      </c>
      <c r="Q2529">
        <v>-8.3646499999999999E-2</v>
      </c>
      <c r="R2529">
        <v>7.9533439999999993E-3</v>
      </c>
      <c r="S2529">
        <v>-3.001617</v>
      </c>
      <c r="T2529">
        <v>-0.16425010000000001</v>
      </c>
      <c r="U2529">
        <v>-0.45495609999999997</v>
      </c>
      <c r="V2529">
        <v>-6.2903669999999998E-3</v>
      </c>
      <c r="W2529">
        <v>-6.9188639999999996E-2</v>
      </c>
      <c r="X2529">
        <v>0.99758369999999996</v>
      </c>
      <c r="Y2529">
        <v>-0.16361329999999999</v>
      </c>
      <c r="Z2529">
        <v>-6.2110719999999998E-3</v>
      </c>
      <c r="AA2529">
        <v>0.98650499999999997</v>
      </c>
      <c r="AB2529">
        <v>33</v>
      </c>
      <c r="AC2529">
        <v>-20.2194</v>
      </c>
      <c r="AD2529">
        <v>-1.1205061453630001</v>
      </c>
      <c r="AE2529">
        <v>-3.1075000000000101</v>
      </c>
      <c r="AF2529">
        <v>-3.3850752180155999</v>
      </c>
      <c r="AG2529">
        <v>-1.1205061453630001</v>
      </c>
      <c r="AH2529">
        <v>20.112735913634801</v>
      </c>
      <c r="AI2529">
        <v>93.144588519091897</v>
      </c>
      <c r="AJ2529">
        <v>99.553633766452705</v>
      </c>
      <c r="AK2529">
        <v>20.426365662668299</v>
      </c>
      <c r="AL2529">
        <v>93.967386972515996</v>
      </c>
      <c r="AM2529">
        <v>90.361279664125306</v>
      </c>
      <c r="AN2529">
        <v>0.99999993756386496</v>
      </c>
    </row>
    <row r="2530" spans="1:40" x14ac:dyDescent="0.25">
      <c r="A2530" t="str">
        <f>"20190303154817079"</f>
        <v>20190303154817079</v>
      </c>
      <c r="B2530" t="str">
        <f>"1551599297073069"</f>
        <v>1551599297073069</v>
      </c>
      <c r="C2530" t="s">
        <v>40</v>
      </c>
      <c r="D2530">
        <v>4.7592160000000003</v>
      </c>
      <c r="E2530">
        <v>0.43326949999999997</v>
      </c>
      <c r="F2530" t="s">
        <v>52</v>
      </c>
      <c r="G2530">
        <v>-458.58769999999998</v>
      </c>
      <c r="H2530" s="1">
        <v>3.1853799999999999E-6</v>
      </c>
      <c r="I2530">
        <v>281.13350000000003</v>
      </c>
      <c r="J2530">
        <v>-438.10890000000001</v>
      </c>
      <c r="K2530">
        <v>1.120512</v>
      </c>
      <c r="L2530">
        <v>284.54300000000001</v>
      </c>
      <c r="M2530">
        <v>-0.99978920000000004</v>
      </c>
      <c r="N2530">
        <v>-1.449223E-2</v>
      </c>
      <c r="O2530">
        <v>1.4549309999999999E-2</v>
      </c>
      <c r="P2530">
        <v>-0.99650159999999999</v>
      </c>
      <c r="Q2530">
        <v>-8.3408579999999996E-2</v>
      </c>
      <c r="R2530">
        <v>5.3096840000000003E-3</v>
      </c>
      <c r="S2530">
        <v>-3.001007</v>
      </c>
      <c r="T2530">
        <v>-0.16153670000000001</v>
      </c>
      <c r="U2530">
        <v>-0.49078369999999999</v>
      </c>
      <c r="V2530">
        <v>-9.2378319999999996E-3</v>
      </c>
      <c r="W2530">
        <v>-6.8952449999999998E-2</v>
      </c>
      <c r="X2530">
        <v>0.99757720000000005</v>
      </c>
      <c r="Y2530">
        <v>-0.17541209999999999</v>
      </c>
      <c r="Z2530">
        <v>-6.5355099999999996E-3</v>
      </c>
      <c r="AA2530">
        <v>0.98447340000000005</v>
      </c>
      <c r="AB2530">
        <v>33</v>
      </c>
      <c r="AC2530">
        <v>-20.4787999999999</v>
      </c>
      <c r="AD2530">
        <v>-1.12050881462</v>
      </c>
      <c r="AE2530">
        <v>-3.4094999999999702</v>
      </c>
      <c r="AF2530">
        <v>-3.69635506891077</v>
      </c>
      <c r="AG2530">
        <v>-1.12050881462</v>
      </c>
      <c r="AH2530">
        <v>20.367688841911701</v>
      </c>
      <c r="AI2530">
        <v>93.098388936585394</v>
      </c>
      <c r="AJ2530">
        <v>100.286162259684</v>
      </c>
      <c r="AK2530">
        <v>20.730685699224701</v>
      </c>
      <c r="AL2530">
        <v>93.953821543011699</v>
      </c>
      <c r="AM2530">
        <v>90.530559095516494</v>
      </c>
      <c r="AN2530">
        <v>1.0000000239304501</v>
      </c>
    </row>
    <row r="2531" spans="1:40" x14ac:dyDescent="0.25">
      <c r="A2531" t="str">
        <f>"20190303154817112"</f>
        <v>20190303154817112</v>
      </c>
      <c r="B2531" t="str">
        <f>"1551599297103302"</f>
        <v>1551599297103302</v>
      </c>
      <c r="C2531" t="s">
        <v>40</v>
      </c>
      <c r="D2531">
        <v>4.8184699999999996</v>
      </c>
      <c r="E2531">
        <v>0.43173660000000003</v>
      </c>
      <c r="F2531" t="s">
        <v>52</v>
      </c>
      <c r="G2531">
        <v>-458.35160000000002</v>
      </c>
      <c r="H2531" s="1">
        <v>3.0630309999999902E-6</v>
      </c>
      <c r="I2531">
        <v>281.05829999999997</v>
      </c>
      <c r="J2531">
        <v>-438.58390000000003</v>
      </c>
      <c r="K2531">
        <v>1.1205069999999999</v>
      </c>
      <c r="L2531">
        <v>284.55040000000002</v>
      </c>
      <c r="M2531">
        <v>-0.99978290000000003</v>
      </c>
      <c r="N2531">
        <v>-1.4487099999999999E-2</v>
      </c>
      <c r="O2531">
        <v>1.4977870000000001E-2</v>
      </c>
      <c r="P2531">
        <v>-0.99641760000000001</v>
      </c>
      <c r="Q2531">
        <v>-8.4538290000000002E-2</v>
      </c>
      <c r="R2531">
        <v>2.2808860000000002E-3</v>
      </c>
      <c r="S2531">
        <v>-2.9994200000000002</v>
      </c>
      <c r="T2531">
        <v>-0.16602910000000001</v>
      </c>
      <c r="U2531">
        <v>-0.51632690000000003</v>
      </c>
      <c r="V2531">
        <v>-1.2693070000000001E-2</v>
      </c>
      <c r="W2531">
        <v>-7.0086750000000003E-2</v>
      </c>
      <c r="X2531">
        <v>0.99746009999999996</v>
      </c>
      <c r="Y2531">
        <v>-0.1840309</v>
      </c>
      <c r="Z2531">
        <v>-7.0039489999999998E-3</v>
      </c>
      <c r="AA2531">
        <v>0.98289550000000003</v>
      </c>
      <c r="AB2531">
        <v>33</v>
      </c>
      <c r="AC2531">
        <v>-19.767699999999898</v>
      </c>
      <c r="AD2531">
        <v>-1.120503936969</v>
      </c>
      <c r="AE2531">
        <v>-3.4921000000000499</v>
      </c>
      <c r="AF2531">
        <v>-3.7760519097920602</v>
      </c>
      <c r="AG2531">
        <v>-1.120503936969</v>
      </c>
      <c r="AH2531">
        <v>19.651941045670899</v>
      </c>
      <c r="AI2531">
        <v>93.204827254361803</v>
      </c>
      <c r="AJ2531">
        <v>100.876621140902</v>
      </c>
      <c r="AK2531">
        <v>20.0427763536076</v>
      </c>
      <c r="AL2531">
        <v>94.018970030341904</v>
      </c>
      <c r="AM2531">
        <v>90.729071857099598</v>
      </c>
      <c r="AN2531">
        <v>0.99999995882179704</v>
      </c>
    </row>
    <row r="2532" spans="1:40" x14ac:dyDescent="0.25">
      <c r="A2532" t="str">
        <f>"20190303154817134"</f>
        <v>20190303154817134</v>
      </c>
      <c r="B2532" t="str">
        <f>"1551599297122821"</f>
        <v>1551599297122821</v>
      </c>
      <c r="C2532" t="s">
        <v>40</v>
      </c>
      <c r="D2532">
        <v>4.8104829999999996</v>
      </c>
      <c r="E2532">
        <v>0.43095450000000002</v>
      </c>
      <c r="F2532" t="s">
        <v>52</v>
      </c>
      <c r="G2532">
        <v>-457.73110000000003</v>
      </c>
      <c r="H2532" s="1">
        <v>2.7303879999999998E-6</v>
      </c>
      <c r="I2532">
        <v>281.1148</v>
      </c>
      <c r="J2532">
        <v>-438.9128</v>
      </c>
      <c r="K2532">
        <v>1.1205149999999999</v>
      </c>
      <c r="L2532">
        <v>284.55560000000003</v>
      </c>
      <c r="M2532">
        <v>-0.99977839999999996</v>
      </c>
      <c r="N2532">
        <v>-1.4483269999999999E-2</v>
      </c>
      <c r="O2532">
        <v>1.5274340000000001E-2</v>
      </c>
      <c r="P2532">
        <v>-0.99639429999999996</v>
      </c>
      <c r="Q2532">
        <v>-8.4843050000000003E-2</v>
      </c>
      <c r="R2532">
        <v>4.3957520000000001E-4</v>
      </c>
      <c r="S2532">
        <v>-2.9971619999999999</v>
      </c>
      <c r="T2532">
        <v>-0.17539489999999999</v>
      </c>
      <c r="U2532">
        <v>-0.53778079999999995</v>
      </c>
      <c r="V2532">
        <v>-1.482875E-2</v>
      </c>
      <c r="W2532">
        <v>-7.0394680000000001E-2</v>
      </c>
      <c r="X2532">
        <v>0.99740899999999999</v>
      </c>
      <c r="Y2532">
        <v>-0.19121260000000001</v>
      </c>
      <c r="Z2532">
        <v>-7.6101719999999897E-3</v>
      </c>
      <c r="AA2532">
        <v>0.98151920000000004</v>
      </c>
      <c r="AB2532">
        <v>33</v>
      </c>
      <c r="AC2532">
        <v>-18.818300000000001</v>
      </c>
      <c r="AD2532">
        <v>-1.120512269612</v>
      </c>
      <c r="AE2532">
        <v>-3.4408000000000198</v>
      </c>
      <c r="AF2532">
        <v>-3.7151200937078901</v>
      </c>
      <c r="AG2532">
        <v>-1.120512269612</v>
      </c>
      <c r="AH2532">
        <v>18.699389570963898</v>
      </c>
      <c r="AI2532">
        <v>93.363613357402301</v>
      </c>
      <c r="AJ2532">
        <v>101.23697250686</v>
      </c>
      <c r="AK2532">
        <v>19.097770429652201</v>
      </c>
      <c r="AL2532">
        <v>94.036656606606897</v>
      </c>
      <c r="AM2532">
        <v>90.851769133429102</v>
      </c>
      <c r="AN2532">
        <v>1.0000000080399301</v>
      </c>
    </row>
    <row r="2533" spans="1:40" x14ac:dyDescent="0.25">
      <c r="A2533" t="str">
        <f>"20190303154817156"</f>
        <v>20190303154817156</v>
      </c>
      <c r="B2533" t="str">
        <f>"1551599297153078"</f>
        <v>1551599297153078</v>
      </c>
      <c r="C2533" t="s">
        <v>40</v>
      </c>
      <c r="D2533">
        <v>4.8944789999999996</v>
      </c>
      <c r="E2533">
        <v>0.43054940000000003</v>
      </c>
      <c r="F2533" t="s">
        <v>52</v>
      </c>
      <c r="G2533">
        <v>-457.43</v>
      </c>
      <c r="H2533" s="1">
        <v>2.5681890000000002E-6</v>
      </c>
      <c r="I2533">
        <v>281.15890000000002</v>
      </c>
      <c r="J2533">
        <v>-439.23239999999998</v>
      </c>
      <c r="K2533">
        <v>1.120522</v>
      </c>
      <c r="L2533">
        <v>284.56079999999997</v>
      </c>
      <c r="M2533">
        <v>-0.9997741</v>
      </c>
      <c r="N2533">
        <v>-1.447969E-2</v>
      </c>
      <c r="O2533">
        <v>1.556241E-2</v>
      </c>
      <c r="P2533">
        <v>-0.99646069999999998</v>
      </c>
      <c r="Q2533">
        <v>-8.4051790000000001E-2</v>
      </c>
      <c r="R2533">
        <v>-1.248634E-3</v>
      </c>
      <c r="S2533">
        <v>-2.9956360000000002</v>
      </c>
      <c r="T2533">
        <v>-0.18127270000000001</v>
      </c>
      <c r="U2533">
        <v>-0.54949950000000003</v>
      </c>
      <c r="V2533">
        <v>-1.6804349999999999E-2</v>
      </c>
      <c r="W2533">
        <v>-6.9605239999999999E-2</v>
      </c>
      <c r="X2533">
        <v>0.99743309999999996</v>
      </c>
      <c r="Y2533">
        <v>-0.19526299999999999</v>
      </c>
      <c r="Z2533">
        <v>-7.9909409999999997E-3</v>
      </c>
      <c r="AA2533">
        <v>0.98071839999999999</v>
      </c>
      <c r="AB2533">
        <v>33</v>
      </c>
      <c r="AC2533">
        <v>-18.197600000000001</v>
      </c>
      <c r="AD2533">
        <v>-1.1205194318109899</v>
      </c>
      <c r="AE2533">
        <v>-3.4018999999999502</v>
      </c>
      <c r="AF2533">
        <v>-3.6712665647293501</v>
      </c>
      <c r="AG2533">
        <v>-1.1205194318109899</v>
      </c>
      <c r="AH2533">
        <v>18.076226808703002</v>
      </c>
      <c r="AI2533">
        <v>93.476350089663001</v>
      </c>
      <c r="AJ2533">
        <v>101.48056974558099</v>
      </c>
      <c r="AK2533">
        <v>18.4792786013426</v>
      </c>
      <c r="AL2533">
        <v>93.991313702459493</v>
      </c>
      <c r="AM2533">
        <v>90.965204836334607</v>
      </c>
      <c r="AN2533">
        <v>1.00000003229499</v>
      </c>
    </row>
    <row r="2534" spans="1:40" x14ac:dyDescent="0.25">
      <c r="A2534" t="str">
        <f>"20190303154817179"</f>
        <v>20190303154817179</v>
      </c>
      <c r="B2534" t="str">
        <f>"1551599297173573"</f>
        <v>1551599297173573</v>
      </c>
      <c r="C2534" t="s">
        <v>40</v>
      </c>
      <c r="D2534">
        <v>4.8621239999999997</v>
      </c>
      <c r="E2534">
        <v>0.43044850000000001</v>
      </c>
      <c r="F2534" t="s">
        <v>52</v>
      </c>
      <c r="G2534">
        <v>-457.58179999999999</v>
      </c>
      <c r="H2534" s="1">
        <v>2.6497249999999999E-6</v>
      </c>
      <c r="I2534">
        <v>281.14240000000001</v>
      </c>
      <c r="J2534">
        <v>-439.57229999999998</v>
      </c>
      <c r="K2534">
        <v>1.1205270000000001</v>
      </c>
      <c r="L2534">
        <v>284.56639999999999</v>
      </c>
      <c r="M2534">
        <v>-0.99976929999999997</v>
      </c>
      <c r="N2534">
        <v>-1.4476340000000001E-2</v>
      </c>
      <c r="O2534">
        <v>1.5869319999999999E-2</v>
      </c>
      <c r="P2534">
        <v>-0.99633439999999995</v>
      </c>
      <c r="Q2534">
        <v>-8.5516640000000005E-2</v>
      </c>
      <c r="R2534">
        <v>-2.125385E-3</v>
      </c>
      <c r="S2534">
        <v>-2.9945369999999998</v>
      </c>
      <c r="T2534">
        <v>-0.18286359999999999</v>
      </c>
      <c r="U2534">
        <v>-0.5578613</v>
      </c>
      <c r="V2534">
        <v>-1.7986269999999999E-2</v>
      </c>
      <c r="W2534">
        <v>-7.107463E-2</v>
      </c>
      <c r="X2534">
        <v>0.99730890000000005</v>
      </c>
      <c r="Y2534">
        <v>-0.19826060000000001</v>
      </c>
      <c r="Z2534">
        <v>-8.1780680000000001E-3</v>
      </c>
      <c r="AA2534">
        <v>0.98011519999999996</v>
      </c>
      <c r="AB2534">
        <v>33</v>
      </c>
      <c r="AC2534">
        <v>-18.009499999999999</v>
      </c>
      <c r="AD2534">
        <v>-1.120524350275</v>
      </c>
      <c r="AE2534">
        <v>-3.4239999999999702</v>
      </c>
      <c r="AF2534">
        <v>-3.6955901179614998</v>
      </c>
      <c r="AG2534">
        <v>-1.120524350275</v>
      </c>
      <c r="AH2534">
        <v>17.886065340455001</v>
      </c>
      <c r="AI2534">
        <v>93.5108094155093</v>
      </c>
      <c r="AJ2534">
        <v>101.67408534654</v>
      </c>
      <c r="AK2534">
        <v>18.298204679764599</v>
      </c>
      <c r="AL2534">
        <v>94.075712425999399</v>
      </c>
      <c r="AM2534">
        <v>91.033206114109305</v>
      </c>
      <c r="AN2534">
        <v>1.00000007547867</v>
      </c>
    </row>
    <row r="2535" spans="1:40" x14ac:dyDescent="0.25">
      <c r="A2535" t="str">
        <f>"20190303154817200"</f>
        <v>20190303154817200</v>
      </c>
      <c r="B2535" t="str">
        <f>"1551599297193094"</f>
        <v>1551599297193094</v>
      </c>
      <c r="C2535" t="s">
        <v>40</v>
      </c>
      <c r="D2535">
        <v>4.8791830000000003</v>
      </c>
      <c r="E2535">
        <v>0.4303554</v>
      </c>
      <c r="F2535" t="s">
        <v>52</v>
      </c>
      <c r="G2535">
        <v>-457.2491</v>
      </c>
      <c r="H2535" s="1">
        <v>2.4678829999999999E-6</v>
      </c>
      <c r="I2535">
        <v>281.2518</v>
      </c>
      <c r="J2535">
        <v>-439.88589999999999</v>
      </c>
      <c r="K2535">
        <v>1.120541</v>
      </c>
      <c r="L2535">
        <v>284.57170000000002</v>
      </c>
      <c r="M2535">
        <v>-0.99976489999999996</v>
      </c>
      <c r="N2535">
        <v>-1.447348E-2</v>
      </c>
      <c r="O2535">
        <v>1.6152260000000002E-2</v>
      </c>
      <c r="P2535">
        <v>-0.99642039999999998</v>
      </c>
      <c r="Q2535">
        <v>-8.4461460000000002E-2</v>
      </c>
      <c r="R2535">
        <v>-3.6377649999999998E-3</v>
      </c>
      <c r="S2535">
        <v>-2.9935909999999999</v>
      </c>
      <c r="T2535">
        <v>-0.18976280000000001</v>
      </c>
      <c r="U2535">
        <v>-0.56134030000000001</v>
      </c>
      <c r="V2535">
        <v>-1.9780559999999999E-2</v>
      </c>
      <c r="W2535">
        <v>-7.0020379999999993E-2</v>
      </c>
      <c r="X2535">
        <v>0.99734940000000005</v>
      </c>
      <c r="Y2535">
        <v>-0.1996579</v>
      </c>
      <c r="Z2535">
        <v>-8.5093679999999998E-3</v>
      </c>
      <c r="AA2535">
        <v>0.9798287</v>
      </c>
      <c r="AB2535">
        <v>33</v>
      </c>
      <c r="AC2535">
        <v>-17.363199999999999</v>
      </c>
      <c r="AD2535">
        <v>-1.1205385321170001</v>
      </c>
      <c r="AE2535">
        <v>-3.3199000000000098</v>
      </c>
      <c r="AF2535">
        <v>-3.5855446810568199</v>
      </c>
      <c r="AG2535">
        <v>-1.1205385321170001</v>
      </c>
      <c r="AH2535">
        <v>17.238043985702099</v>
      </c>
      <c r="AI2535">
        <v>93.641487849160697</v>
      </c>
      <c r="AJ2535">
        <v>101.750084031553</v>
      </c>
      <c r="AK2535">
        <v>17.642615954410299</v>
      </c>
      <c r="AL2535">
        <v>94.015157879120196</v>
      </c>
      <c r="AM2535">
        <v>91.136205664952101</v>
      </c>
      <c r="AN2535">
        <v>0.99999997492480797</v>
      </c>
    </row>
    <row r="2536" spans="1:40" x14ac:dyDescent="0.25">
      <c r="A2536" t="str">
        <f>"20190303154817223"</f>
        <v>20190303154817223</v>
      </c>
      <c r="B2536" t="str">
        <f>"1551599297213591"</f>
        <v>1551599297213591</v>
      </c>
      <c r="C2536" t="s">
        <v>40</v>
      </c>
      <c r="D2536">
        <v>4.8856729999999997</v>
      </c>
      <c r="E2536">
        <v>0.43031340000000001</v>
      </c>
      <c r="F2536" t="s">
        <v>52</v>
      </c>
      <c r="G2536">
        <v>-457.66199999999998</v>
      </c>
      <c r="H2536" s="1">
        <v>2.6896399999999999E-6</v>
      </c>
      <c r="I2536">
        <v>281.20620000000002</v>
      </c>
      <c r="J2536">
        <v>-440.2079</v>
      </c>
      <c r="K2536">
        <v>1.1205639999999999</v>
      </c>
      <c r="L2536">
        <v>284.5772</v>
      </c>
      <c r="M2536">
        <v>-0.99976019999999999</v>
      </c>
      <c r="N2536">
        <v>-1.4470480000000001E-2</v>
      </c>
      <c r="O2536">
        <v>1.644319E-2</v>
      </c>
      <c r="P2536">
        <v>-0.99677389999999999</v>
      </c>
      <c r="Q2536">
        <v>-8.0141320000000002E-2</v>
      </c>
      <c r="R2536">
        <v>-4.4263430000000001E-3</v>
      </c>
      <c r="S2536">
        <v>-2.9927060000000001</v>
      </c>
      <c r="T2536">
        <v>-0.18864790000000001</v>
      </c>
      <c r="U2536">
        <v>-0.56658940000000002</v>
      </c>
      <c r="V2536">
        <v>-2.0861970000000001E-2</v>
      </c>
      <c r="W2536">
        <v>-6.5698149999999997E-2</v>
      </c>
      <c r="X2536">
        <v>0.99762139999999999</v>
      </c>
      <c r="Y2536">
        <v>-0.2016549</v>
      </c>
      <c r="Z2536">
        <v>-8.5585360000000003E-3</v>
      </c>
      <c r="AA2536">
        <v>0.97941920000000005</v>
      </c>
      <c r="AB2536">
        <v>33</v>
      </c>
      <c r="AC2536">
        <v>-17.454099999999901</v>
      </c>
      <c r="AD2536">
        <v>-1.1205613103599901</v>
      </c>
      <c r="AE2536">
        <v>-3.37099999999998</v>
      </c>
      <c r="AF2536">
        <v>-3.6430994563737298</v>
      </c>
      <c r="AG2536">
        <v>-1.1205613103599901</v>
      </c>
      <c r="AH2536">
        <v>17.327453591295999</v>
      </c>
      <c r="AI2536">
        <v>93.621194110148295</v>
      </c>
      <c r="AJ2536">
        <v>101.873504776744</v>
      </c>
      <c r="AK2536">
        <v>17.741715792386699</v>
      </c>
      <c r="AL2536">
        <v>93.766940017331393</v>
      </c>
      <c r="AM2536">
        <v>91.197978154702497</v>
      </c>
      <c r="AN2536">
        <v>0.99999996322183105</v>
      </c>
    </row>
    <row r="2537" spans="1:40" x14ac:dyDescent="0.25">
      <c r="A2537" t="str">
        <f>"20190303154817245"</f>
        <v>20190303154817245</v>
      </c>
      <c r="B2537" t="str">
        <f>"1551599297242870"</f>
        <v>1551599297242870</v>
      </c>
      <c r="C2537" t="s">
        <v>40</v>
      </c>
      <c r="D2537">
        <v>4.9063850000000002</v>
      </c>
      <c r="E2537">
        <v>0.4300581</v>
      </c>
      <c r="F2537" t="s">
        <v>52</v>
      </c>
      <c r="G2537">
        <v>-459.16770000000002</v>
      </c>
      <c r="H2537" s="1">
        <v>3.501085E-6</v>
      </c>
      <c r="I2537">
        <v>280.97190000000001</v>
      </c>
      <c r="J2537">
        <v>-440.5401</v>
      </c>
      <c r="K2537">
        <v>1.120568</v>
      </c>
      <c r="L2537">
        <v>284.5829</v>
      </c>
      <c r="M2537">
        <v>-0.99975510000000001</v>
      </c>
      <c r="N2537">
        <v>-1.44674E-2</v>
      </c>
      <c r="O2537">
        <v>1.6743589999999999E-2</v>
      </c>
      <c r="P2537">
        <v>-0.99688880000000002</v>
      </c>
      <c r="Q2537">
        <v>-7.8644309999999995E-2</v>
      </c>
      <c r="R2537">
        <v>-5.3059269999999898E-3</v>
      </c>
      <c r="S2537">
        <v>-2.9929199999999998</v>
      </c>
      <c r="T2537">
        <v>-0.17688760000000001</v>
      </c>
      <c r="U2537">
        <v>-0.56912229999999997</v>
      </c>
      <c r="V2537">
        <v>-2.2041459999999999E-2</v>
      </c>
      <c r="W2537">
        <v>-6.4202250000000002E-2</v>
      </c>
      <c r="X2537">
        <v>0.99769350000000001</v>
      </c>
      <c r="Y2537">
        <v>-0.202789</v>
      </c>
      <c r="Z2537">
        <v>-8.1563859999999998E-3</v>
      </c>
      <c r="AA2537">
        <v>0.97918850000000002</v>
      </c>
      <c r="AB2537">
        <v>33</v>
      </c>
      <c r="AC2537">
        <v>-18.627600000000001</v>
      </c>
      <c r="AD2537">
        <v>-1.1205644989149901</v>
      </c>
      <c r="AE2537">
        <v>-3.61099999999999</v>
      </c>
      <c r="AF2537">
        <v>-3.9087865791876801</v>
      </c>
      <c r="AG2537">
        <v>-1.1205644989149901</v>
      </c>
      <c r="AH2537">
        <v>18.499998323094701</v>
      </c>
      <c r="AI2537">
        <v>93.391536346758897</v>
      </c>
      <c r="AJ2537">
        <v>101.930319006243</v>
      </c>
      <c r="AK2537">
        <v>18.941600124392199</v>
      </c>
      <c r="AL2537">
        <v>93.681049619589402</v>
      </c>
      <c r="AM2537">
        <v>91.265596329970705</v>
      </c>
      <c r="AN2537">
        <v>1.0000000374031199</v>
      </c>
    </row>
    <row r="2538" spans="1:40" x14ac:dyDescent="0.25">
      <c r="A2538" t="str">
        <f>"20190303154817268"</f>
        <v>20190303154817268</v>
      </c>
      <c r="B2538" t="str">
        <f>"1551599297263365"</f>
        <v>1551599297263365</v>
      </c>
      <c r="C2538" t="s">
        <v>40</v>
      </c>
      <c r="D2538">
        <v>4.9184989999999997</v>
      </c>
      <c r="E2538">
        <v>0.43004369999999997</v>
      </c>
      <c r="F2538" t="s">
        <v>52</v>
      </c>
      <c r="G2538">
        <v>-459.61099999999999</v>
      </c>
      <c r="H2538" s="1">
        <v>3.7390020000000002E-6</v>
      </c>
      <c r="I2538">
        <v>280.92630000000003</v>
      </c>
      <c r="J2538">
        <v>-440.86810000000003</v>
      </c>
      <c r="K2538">
        <v>1.1205590000000001</v>
      </c>
      <c r="L2538">
        <v>284.58870000000002</v>
      </c>
      <c r="M2538">
        <v>-0.99975009999999997</v>
      </c>
      <c r="N2538">
        <v>-1.4464309999999999E-2</v>
      </c>
      <c r="O2538">
        <v>1.703994E-2</v>
      </c>
      <c r="P2538">
        <v>-0.99669949999999996</v>
      </c>
      <c r="Q2538">
        <v>-8.0876980000000001E-2</v>
      </c>
      <c r="R2538">
        <v>-7.0021889999999998E-3</v>
      </c>
      <c r="S2538">
        <v>-2.992432</v>
      </c>
      <c r="T2538">
        <v>-0.1758285</v>
      </c>
      <c r="U2538">
        <v>-0.57376099999999997</v>
      </c>
      <c r="V2538">
        <v>-2.4031230000000001E-2</v>
      </c>
      <c r="W2538">
        <v>-6.6439730000000002E-2</v>
      </c>
      <c r="X2538">
        <v>0.99750099999999997</v>
      </c>
      <c r="Y2538">
        <v>-0.20457359999999999</v>
      </c>
      <c r="Z2538">
        <v>-8.1930919999999904E-3</v>
      </c>
      <c r="AA2538">
        <v>0.97881689999999999</v>
      </c>
      <c r="AB2538">
        <v>33</v>
      </c>
      <c r="AC2538">
        <v>-18.742899999999899</v>
      </c>
      <c r="AD2538">
        <v>-1.1205552609980001</v>
      </c>
      <c r="AE2538">
        <v>-3.6623999999999901</v>
      </c>
      <c r="AF2538">
        <v>-3.96761951241999</v>
      </c>
      <c r="AG2538">
        <v>-1.1205552609980001</v>
      </c>
      <c r="AH2538">
        <v>18.613680214691001</v>
      </c>
      <c r="AI2538">
        <v>93.369565831195501</v>
      </c>
      <c r="AJ2538">
        <v>102.032862196788</v>
      </c>
      <c r="AK2538">
        <v>19.0648036922247</v>
      </c>
      <c r="AL2538">
        <v>93.809522356741496</v>
      </c>
      <c r="AM2538">
        <v>91.380070563908106</v>
      </c>
      <c r="AN2538">
        <v>0.99999999136939199</v>
      </c>
    </row>
    <row r="2539" spans="1:40" x14ac:dyDescent="0.25">
      <c r="A2539" t="str">
        <f>"20190303154817290"</f>
        <v>20190303154817290</v>
      </c>
      <c r="B2539" t="str">
        <f>"1551599297282886"</f>
        <v>1551599297282886</v>
      </c>
      <c r="C2539" t="s">
        <v>40</v>
      </c>
      <c r="D2539">
        <v>4.9216129999999998</v>
      </c>
      <c r="E2539">
        <v>0.42999769999999998</v>
      </c>
      <c r="F2539" t="s">
        <v>52</v>
      </c>
      <c r="G2539">
        <v>-458.95420000000001</v>
      </c>
      <c r="H2539" s="1">
        <v>3.382515E-6</v>
      </c>
      <c r="I2539">
        <v>281.08569999999997</v>
      </c>
      <c r="J2539">
        <v>-441.18439999999998</v>
      </c>
      <c r="K2539">
        <v>1.120533</v>
      </c>
      <c r="L2539">
        <v>284.59440000000001</v>
      </c>
      <c r="M2539">
        <v>-0.99974529999999995</v>
      </c>
      <c r="N2539">
        <v>-1.446132E-2</v>
      </c>
      <c r="O2539">
        <v>1.7324909999999999E-2</v>
      </c>
      <c r="P2539">
        <v>-0.99640790000000001</v>
      </c>
      <c r="Q2539">
        <v>-8.426206E-2</v>
      </c>
      <c r="R2539">
        <v>-8.4409110000000006E-3</v>
      </c>
      <c r="S2539">
        <v>-2.9908450000000002</v>
      </c>
      <c r="T2539">
        <v>-0.1853033</v>
      </c>
      <c r="U2539">
        <v>-0.57928469999999999</v>
      </c>
      <c r="V2539">
        <v>-2.575086E-2</v>
      </c>
      <c r="W2539">
        <v>-6.9830980000000001E-2</v>
      </c>
      <c r="X2539">
        <v>0.99722639999999996</v>
      </c>
      <c r="Y2539">
        <v>-0.20664109999999999</v>
      </c>
      <c r="Z2539">
        <v>-8.6612210000000002E-3</v>
      </c>
      <c r="AA2539">
        <v>0.97837850000000004</v>
      </c>
      <c r="AB2539">
        <v>32</v>
      </c>
      <c r="AC2539">
        <v>-17.7698</v>
      </c>
      <c r="AD2539">
        <v>-1.1205296174849999</v>
      </c>
      <c r="AE2539">
        <v>-3.5087000000000299</v>
      </c>
      <c r="AF2539">
        <v>-3.8015168362796401</v>
      </c>
      <c r="AG2539">
        <v>-1.1205296174849999</v>
      </c>
      <c r="AH2539">
        <v>17.638832354442801</v>
      </c>
      <c r="AI2539">
        <v>93.553528523826003</v>
      </c>
      <c r="AJ2539">
        <v>102.162341174198</v>
      </c>
      <c r="AK2539">
        <v>18.078592968157601</v>
      </c>
      <c r="AL2539">
        <v>94.004279398747897</v>
      </c>
      <c r="AM2539">
        <v>91.479190474700303</v>
      </c>
      <c r="AN2539">
        <v>0.99999998270772905</v>
      </c>
    </row>
    <row r="2540" spans="1:40" x14ac:dyDescent="0.25">
      <c r="A2540" t="str">
        <f>"20190303154817313"</f>
        <v>20190303154817313</v>
      </c>
      <c r="B2540" t="str">
        <f>"1551599297303383"</f>
        <v>1551599297303383</v>
      </c>
      <c r="C2540" t="s">
        <v>40</v>
      </c>
      <c r="D2540">
        <v>4.9344130000000002</v>
      </c>
      <c r="E2540">
        <v>0.43014799999999997</v>
      </c>
      <c r="F2540" t="s">
        <v>52</v>
      </c>
      <c r="G2540">
        <v>-458.06670000000003</v>
      </c>
      <c r="H2540" s="1">
        <v>2.9009980000000002E-6</v>
      </c>
      <c r="I2540">
        <v>281.29669999999999</v>
      </c>
      <c r="J2540">
        <v>-441.50720000000001</v>
      </c>
      <c r="K2540">
        <v>1.120495</v>
      </c>
      <c r="L2540">
        <v>284.6003</v>
      </c>
      <c r="M2540">
        <v>-0.99974039999999997</v>
      </c>
      <c r="N2540">
        <v>-1.4457940000000001E-2</v>
      </c>
      <c r="O2540">
        <v>1.7615169999999999E-2</v>
      </c>
      <c r="P2540">
        <v>-0.9955735</v>
      </c>
      <c r="Q2540">
        <v>-9.3591690000000005E-2</v>
      </c>
      <c r="R2540">
        <v>-8.6122130000000005E-3</v>
      </c>
      <c r="S2540">
        <v>-2.9890750000000001</v>
      </c>
      <c r="T2540">
        <v>-0.19839419999999999</v>
      </c>
      <c r="U2540">
        <v>-0.58386229999999995</v>
      </c>
      <c r="V2540">
        <v>-2.620279E-2</v>
      </c>
      <c r="W2540">
        <v>-7.9175019999999999E-2</v>
      </c>
      <c r="X2540">
        <v>0.99651630000000002</v>
      </c>
      <c r="Y2540">
        <v>-0.20840520000000001</v>
      </c>
      <c r="Z2540">
        <v>-9.2723219999999995E-3</v>
      </c>
      <c r="AA2540">
        <v>0.97799860000000005</v>
      </c>
      <c r="AB2540">
        <v>32</v>
      </c>
      <c r="AC2540">
        <v>-16.5595</v>
      </c>
      <c r="AD2540">
        <v>-1.120492099002</v>
      </c>
      <c r="AE2540">
        <v>-3.3036000000000101</v>
      </c>
      <c r="AF2540">
        <v>-3.57905669543067</v>
      </c>
      <c r="AG2540">
        <v>-1.120492099002</v>
      </c>
      <c r="AH2540">
        <v>16.426400985452599</v>
      </c>
      <c r="AI2540">
        <v>93.813077541075003</v>
      </c>
      <c r="AJ2540">
        <v>102.29174891594</v>
      </c>
      <c r="AK2540">
        <v>16.849088957801499</v>
      </c>
      <c r="AL2540">
        <v>94.541147431843498</v>
      </c>
      <c r="AM2540">
        <v>91.506210608564899</v>
      </c>
      <c r="AN2540">
        <v>1.0000000030807299</v>
      </c>
    </row>
    <row r="2541" spans="1:40" x14ac:dyDescent="0.25">
      <c r="A2541" t="str">
        <f>"20190303154817335"</f>
        <v>20190303154817335</v>
      </c>
      <c r="B2541" t="str">
        <f>"1551599297322902"</f>
        <v>1551599297322902</v>
      </c>
      <c r="C2541" t="s">
        <v>40</v>
      </c>
      <c r="D2541">
        <v>5.0581809999999896</v>
      </c>
      <c r="E2541">
        <v>0.47373100000000001</v>
      </c>
      <c r="F2541" t="s">
        <v>52</v>
      </c>
      <c r="G2541">
        <v>-456.18099999999998</v>
      </c>
      <c r="H2541" s="1">
        <v>1.8783070000000001E-6</v>
      </c>
      <c r="I2541">
        <v>281.73660000000001</v>
      </c>
      <c r="J2541">
        <v>-441.83659999999998</v>
      </c>
      <c r="K2541">
        <v>1.120487</v>
      </c>
      <c r="L2541">
        <v>284.60640000000001</v>
      </c>
      <c r="M2541">
        <v>-0.99973520000000005</v>
      </c>
      <c r="N2541">
        <v>-1.445423E-2</v>
      </c>
      <c r="O2541">
        <v>1.7910849999999999E-2</v>
      </c>
      <c r="P2541">
        <v>-0.99546809999999997</v>
      </c>
      <c r="Q2541">
        <v>-9.4706180000000001E-2</v>
      </c>
      <c r="R2541">
        <v>-8.6284940000000004E-3</v>
      </c>
      <c r="S2541">
        <v>-2.9868769999999998</v>
      </c>
      <c r="T2541">
        <v>-0.228079</v>
      </c>
      <c r="U2541">
        <v>-0.58291630000000005</v>
      </c>
      <c r="V2541">
        <v>-2.6511650000000001E-2</v>
      </c>
      <c r="W2541">
        <v>-8.0294580000000004E-2</v>
      </c>
      <c r="X2541">
        <v>0.99641849999999998</v>
      </c>
      <c r="Y2541">
        <v>-0.20836360000000001</v>
      </c>
      <c r="Z2541">
        <v>-1.048985E-2</v>
      </c>
      <c r="AA2541">
        <v>0.97799519999999995</v>
      </c>
      <c r="AB2541">
        <v>32</v>
      </c>
      <c r="AC2541">
        <v>-14.3444</v>
      </c>
      <c r="AD2541">
        <v>-1.1204851216930001</v>
      </c>
      <c r="AE2541">
        <v>-2.8697999999999899</v>
      </c>
      <c r="AF2541">
        <v>-3.1080523589648799</v>
      </c>
      <c r="AG2541">
        <v>-1.1204851216930001</v>
      </c>
      <c r="AH2541">
        <v>14.2073405569258</v>
      </c>
      <c r="AI2541">
        <v>94.405626700660804</v>
      </c>
      <c r="AJ2541">
        <v>102.339843970332</v>
      </c>
      <c r="AK2541">
        <v>14.5864321228487</v>
      </c>
      <c r="AL2541">
        <v>94.605498596178904</v>
      </c>
      <c r="AM2541">
        <v>91.524105940944196</v>
      </c>
      <c r="AN2541">
        <v>0.99999995715267298</v>
      </c>
    </row>
    <row r="2542" spans="1:40" x14ac:dyDescent="0.25">
      <c r="A2542" t="str">
        <f>"20190303154817357"</f>
        <v>20190303154817357</v>
      </c>
      <c r="B2542" t="str">
        <f>"1551599297353161"</f>
        <v>1551599297353161</v>
      </c>
      <c r="C2542" t="s">
        <v>40</v>
      </c>
      <c r="D2542">
        <v>4.93309</v>
      </c>
      <c r="E2542">
        <v>0.49557980000000001</v>
      </c>
      <c r="F2542" t="s">
        <v>52</v>
      </c>
      <c r="G2542">
        <v>-458.51620000000003</v>
      </c>
      <c r="H2542" s="1">
        <v>3.0530179999999999E-6</v>
      </c>
      <c r="I2542">
        <v>283.2921</v>
      </c>
      <c r="J2542">
        <v>-442.15289999999999</v>
      </c>
      <c r="K2542">
        <v>1.1205020000000001</v>
      </c>
      <c r="L2542">
        <v>284.61239999999998</v>
      </c>
      <c r="M2542">
        <v>-0.99973009999999995</v>
      </c>
      <c r="N2542">
        <v>-1.4450910000000001E-2</v>
      </c>
      <c r="O2542">
        <v>1.8193850000000001E-2</v>
      </c>
      <c r="P2542">
        <v>-0.99580780000000002</v>
      </c>
      <c r="Q2542">
        <v>-9.1084700000000005E-2</v>
      </c>
      <c r="R2542">
        <v>-8.4114869999999901E-3</v>
      </c>
      <c r="S2542">
        <v>-2.9924930000000001</v>
      </c>
      <c r="T2542">
        <v>-0.20102610000000001</v>
      </c>
      <c r="U2542">
        <v>-0.2358093</v>
      </c>
      <c r="V2542">
        <v>-2.6580070000000001E-2</v>
      </c>
      <c r="W2542">
        <v>-7.6671989999999995E-2</v>
      </c>
      <c r="X2542">
        <v>0.99670199999999998</v>
      </c>
      <c r="Y2542">
        <v>-9.6395410000000001E-2</v>
      </c>
      <c r="Z2542">
        <v>-4.8845540000000002E-3</v>
      </c>
      <c r="AA2542">
        <v>0.99533110000000002</v>
      </c>
      <c r="AB2542">
        <v>32</v>
      </c>
      <c r="AC2542">
        <v>-16.363299999999999</v>
      </c>
      <c r="AD2542">
        <v>-1.1204989469819999</v>
      </c>
      <c r="AE2542">
        <v>-1.3202999999999701</v>
      </c>
      <c r="AF2542">
        <v>-1.6103219397280499</v>
      </c>
      <c r="AG2542">
        <v>-1.1204989469819999</v>
      </c>
      <c r="AH2542">
        <v>16.260813179358301</v>
      </c>
      <c r="AI2542">
        <v>93.922773973071301</v>
      </c>
      <c r="AJ2542">
        <v>95.655608721233307</v>
      </c>
      <c r="AK2542">
        <v>16.378727053521299</v>
      </c>
      <c r="AL2542">
        <v>94.397297016135795</v>
      </c>
      <c r="AM2542">
        <v>91.527602992307806</v>
      </c>
      <c r="AN2542">
        <v>0.99999998548788205</v>
      </c>
    </row>
    <row r="2543" spans="1:40" x14ac:dyDescent="0.25">
      <c r="A2543" t="str">
        <f>"20190303154817379"</f>
        <v>20190303154817379</v>
      </c>
      <c r="B2543" t="str">
        <f>"1551599297373654"</f>
        <v>1551599297373654</v>
      </c>
      <c r="C2543" t="s">
        <v>40</v>
      </c>
      <c r="D2543">
        <v>4.8906029999999996</v>
      </c>
      <c r="E2543">
        <v>0.49975579999999997</v>
      </c>
      <c r="F2543" t="s">
        <v>52</v>
      </c>
      <c r="G2543">
        <v>-465.3442</v>
      </c>
      <c r="H2543" s="1">
        <v>1.3279499999999999E-6</v>
      </c>
      <c r="I2543">
        <v>284.1404</v>
      </c>
      <c r="J2543">
        <v>-442.47919999999999</v>
      </c>
      <c r="K2543">
        <v>1.120514</v>
      </c>
      <c r="L2543">
        <v>284.61860000000001</v>
      </c>
      <c r="M2543">
        <v>-0.99972470000000002</v>
      </c>
      <c r="N2543">
        <v>-1.444759E-2</v>
      </c>
      <c r="O2543">
        <v>1.848549E-2</v>
      </c>
      <c r="P2543">
        <v>-0.99601209999999996</v>
      </c>
      <c r="Q2543">
        <v>-8.8927080000000006E-2</v>
      </c>
      <c r="R2543">
        <v>-7.2245440000000003E-3</v>
      </c>
      <c r="S2543">
        <v>-2.99884</v>
      </c>
      <c r="T2543">
        <v>-0.14489050000000001</v>
      </c>
      <c r="U2543">
        <v>-6.1035159999999998E-2</v>
      </c>
      <c r="V2543">
        <v>-2.568602E-2</v>
      </c>
      <c r="W2543">
        <v>-7.4515360000000003E-2</v>
      </c>
      <c r="X2543">
        <v>0.99688900000000003</v>
      </c>
      <c r="Y2543">
        <v>-3.8759500000000002E-2</v>
      </c>
      <c r="Z2543">
        <v>-1.8415269999999999E-3</v>
      </c>
      <c r="AA2543">
        <v>0.99924690000000005</v>
      </c>
      <c r="AB2543">
        <v>32</v>
      </c>
      <c r="AC2543">
        <v>-22.864999999999998</v>
      </c>
      <c r="AD2543">
        <v>-1.12051267205</v>
      </c>
      <c r="AE2543">
        <v>-0.478200000000015</v>
      </c>
      <c r="AF2543">
        <v>-0.89867586821229895</v>
      </c>
      <c r="AG2543">
        <v>-1.12051267205</v>
      </c>
      <c r="AH2543">
        <v>22.797526128891398</v>
      </c>
      <c r="AI2543">
        <v>92.811678759010704</v>
      </c>
      <c r="AJ2543">
        <v>92.257424257365997</v>
      </c>
      <c r="AK2543">
        <v>22.842731109957501</v>
      </c>
      <c r="AL2543">
        <v>94.273376581808705</v>
      </c>
      <c r="AM2543">
        <v>91.475966715264306</v>
      </c>
      <c r="AN2543">
        <v>0.99999999441018494</v>
      </c>
    </row>
    <row r="2544" spans="1:40" x14ac:dyDescent="0.25">
      <c r="A2544" t="str">
        <f>"20190303154817401"</f>
        <v>20190303154817401</v>
      </c>
      <c r="B2544" t="str">
        <f>"1551599297393174"</f>
        <v>1551599297393174</v>
      </c>
      <c r="C2544" t="s">
        <v>40</v>
      </c>
      <c r="D2544">
        <v>4.8709119999999997</v>
      </c>
      <c r="E2544">
        <v>0.50242449999999905</v>
      </c>
      <c r="F2544" t="s">
        <v>52</v>
      </c>
      <c r="G2544">
        <v>-469.42939999999999</v>
      </c>
      <c r="H2544" s="1">
        <v>3.4905720000000002E-6</v>
      </c>
      <c r="I2544">
        <v>284.39929999999998</v>
      </c>
      <c r="J2544">
        <v>-442.79230000000001</v>
      </c>
      <c r="K2544">
        <v>1.12052</v>
      </c>
      <c r="L2544">
        <v>284.62470000000002</v>
      </c>
      <c r="M2544">
        <v>-0.99971960000000004</v>
      </c>
      <c r="N2544">
        <v>-1.444438E-2</v>
      </c>
      <c r="O2544">
        <v>1.8765380000000002E-2</v>
      </c>
      <c r="P2544">
        <v>-0.99616579999999999</v>
      </c>
      <c r="Q2544">
        <v>-8.7279199999999904E-2</v>
      </c>
      <c r="R2544">
        <v>-6.0161529999999998E-3</v>
      </c>
      <c r="S2544">
        <v>-3.000702</v>
      </c>
      <c r="T2544">
        <v>-0.1247602</v>
      </c>
      <c r="U2544">
        <v>-2.4414060000000001E-2</v>
      </c>
      <c r="V2544">
        <v>-2.4757810000000002E-2</v>
      </c>
      <c r="W2544">
        <v>-7.2869110000000001E-2</v>
      </c>
      <c r="X2544">
        <v>0.99703419999999998</v>
      </c>
      <c r="Y2544">
        <v>-2.686295E-2</v>
      </c>
      <c r="Z2544">
        <v>-1.26117E-3</v>
      </c>
      <c r="AA2544">
        <v>0.99963829999999998</v>
      </c>
      <c r="AB2544">
        <v>32</v>
      </c>
      <c r="AC2544">
        <v>-26.637099999999901</v>
      </c>
      <c r="AD2544">
        <v>-1.1205165094280001</v>
      </c>
      <c r="AE2544">
        <v>-0.22540000000003599</v>
      </c>
      <c r="AF2544">
        <v>-0.723986705886008</v>
      </c>
      <c r="AG2544">
        <v>-1.1205165094280001</v>
      </c>
      <c r="AH2544">
        <v>26.581145187301299</v>
      </c>
      <c r="AI2544">
        <v>92.412955510651898</v>
      </c>
      <c r="AJ2544">
        <v>91.560170915945207</v>
      </c>
      <c r="AK2544">
        <v>26.614601132960701</v>
      </c>
      <c r="AL2544">
        <v>94.178796099411002</v>
      </c>
      <c r="AM2544">
        <v>91.422445265683507</v>
      </c>
      <c r="AN2544">
        <v>1.0000000261589099</v>
      </c>
    </row>
    <row r="2545" spans="1:40" x14ac:dyDescent="0.25">
      <c r="A2545" t="str">
        <f>"20190303154817424"</f>
        <v>20190303154817424</v>
      </c>
      <c r="B2545" t="str">
        <f>"1551599297413670"</f>
        <v>1551599297413670</v>
      </c>
      <c r="C2545" t="s">
        <v>40</v>
      </c>
      <c r="D2545">
        <v>4.8590109999999997</v>
      </c>
      <c r="E2545">
        <v>0.50450720000000004</v>
      </c>
      <c r="F2545" t="s">
        <v>47</v>
      </c>
      <c r="G2545">
        <v>-472.66039999999998</v>
      </c>
      <c r="H2545" s="1">
        <v>5.4352400000000003E-6</v>
      </c>
      <c r="I2545">
        <v>284.6268</v>
      </c>
      <c r="J2545">
        <v>-443.11849999999998</v>
      </c>
      <c r="K2545">
        <v>1.120519</v>
      </c>
      <c r="L2545">
        <v>284.6311</v>
      </c>
      <c r="M2545">
        <v>-0.99971410000000005</v>
      </c>
      <c r="N2545">
        <v>-1.444106E-2</v>
      </c>
      <c r="O2545">
        <v>1.9056900000000002E-2</v>
      </c>
      <c r="P2545">
        <v>-0.99621769999999998</v>
      </c>
      <c r="Q2545">
        <v>-8.6736869999999994E-2</v>
      </c>
      <c r="R2545">
        <v>-5.1946259999999999E-3</v>
      </c>
      <c r="S2545">
        <v>-3.0016479999999999</v>
      </c>
      <c r="T2545">
        <v>-0.11260779999999999</v>
      </c>
      <c r="U2545">
        <v>2.13623E-4</v>
      </c>
      <c r="V2545">
        <v>-2.422771E-2</v>
      </c>
      <c r="W2545">
        <v>-7.2329660000000004E-2</v>
      </c>
      <c r="X2545">
        <v>0.99708649999999999</v>
      </c>
      <c r="Y2545">
        <v>-1.8964189999999999E-2</v>
      </c>
      <c r="Z2545">
        <v>-9.3207719999999997E-4</v>
      </c>
      <c r="AA2545">
        <v>0.99981980000000004</v>
      </c>
      <c r="AB2545">
        <v>32</v>
      </c>
      <c r="AC2545">
        <v>-29.541899999999998</v>
      </c>
      <c r="AD2545">
        <v>-1.12051356476</v>
      </c>
      <c r="AE2545">
        <v>-4.3000000000006297E-3</v>
      </c>
      <c r="AF2545">
        <v>-0.566519939383474</v>
      </c>
      <c r="AG2545">
        <v>-1.12051356476</v>
      </c>
      <c r="AH2545">
        <v>29.494020351697301</v>
      </c>
      <c r="AI2545">
        <v>92.175288872519999</v>
      </c>
      <c r="AJ2545">
        <v>91.100399678947696</v>
      </c>
      <c r="AK2545">
        <v>29.520733933912702</v>
      </c>
      <c r="AL2545">
        <v>94.147806119229003</v>
      </c>
      <c r="AM2545">
        <v>91.391927813653794</v>
      </c>
      <c r="AN2545">
        <v>1.0000000250648999</v>
      </c>
    </row>
    <row r="2546" spans="1:40" x14ac:dyDescent="0.25">
      <c r="A2546" t="str">
        <f>"20190303154817446"</f>
        <v>20190303154817446</v>
      </c>
      <c r="B2546" t="str">
        <f>"1551599297442950"</f>
        <v>1551599297442950</v>
      </c>
      <c r="C2546" t="s">
        <v>40</v>
      </c>
      <c r="D2546">
        <v>4.9505610000000004</v>
      </c>
      <c r="E2546">
        <v>0.50419720000000001</v>
      </c>
      <c r="F2546" t="s">
        <v>47</v>
      </c>
      <c r="G2546">
        <v>-476.07650000000001</v>
      </c>
      <c r="H2546" s="1">
        <v>3.9392710000000004E-6</v>
      </c>
      <c r="I2546">
        <v>284.84309999999999</v>
      </c>
      <c r="J2546">
        <v>-443.44040000000001</v>
      </c>
      <c r="K2546">
        <v>1.120522</v>
      </c>
      <c r="L2546">
        <v>284.63749999999999</v>
      </c>
      <c r="M2546">
        <v>-0.99970879999999995</v>
      </c>
      <c r="N2546">
        <v>-1.443758E-2</v>
      </c>
      <c r="O2546">
        <v>1.9343599999999999E-2</v>
      </c>
      <c r="P2546">
        <v>-0.99619679999999999</v>
      </c>
      <c r="Q2546">
        <v>-8.7013750000000001E-2</v>
      </c>
      <c r="R2546">
        <v>-4.556414E-3</v>
      </c>
      <c r="S2546">
        <v>-3.0026250000000001</v>
      </c>
      <c r="T2546">
        <v>-0.1020842</v>
      </c>
      <c r="U2546">
        <v>1.9317629999999999E-2</v>
      </c>
      <c r="V2546">
        <v>-2.3874909999999999E-2</v>
      </c>
      <c r="W2546">
        <v>-7.2610480000000005E-2</v>
      </c>
      <c r="X2546">
        <v>0.99707460000000003</v>
      </c>
      <c r="Y2546">
        <v>-1.2898659999999999E-2</v>
      </c>
      <c r="Z2546">
        <v>-6.9051219999999996E-4</v>
      </c>
      <c r="AA2546">
        <v>0.99991660000000004</v>
      </c>
      <c r="AB2546">
        <v>32</v>
      </c>
      <c r="AC2546">
        <v>-32.636099999999999</v>
      </c>
      <c r="AD2546">
        <v>-1.120518060729</v>
      </c>
      <c r="AE2546">
        <v>0.205600000000003</v>
      </c>
      <c r="AF2546">
        <v>-0.42530252249645101</v>
      </c>
      <c r="AG2546">
        <v>-1.120518060729</v>
      </c>
      <c r="AH2546">
        <v>32.595547608797297</v>
      </c>
      <c r="AI2546">
        <v>91.968680723068104</v>
      </c>
      <c r="AJ2546">
        <v>90.747545558291606</v>
      </c>
      <c r="AK2546">
        <v>32.617574509417899</v>
      </c>
      <c r="AL2546">
        <v>94.163938335916498</v>
      </c>
      <c r="AM2546">
        <v>91.371682950903605</v>
      </c>
      <c r="AN2546">
        <v>1.0000000255492401</v>
      </c>
    </row>
    <row r="2547" spans="1:40" x14ac:dyDescent="0.25">
      <c r="A2547" t="str">
        <f>"20190303154817469"</f>
        <v>20190303154817469</v>
      </c>
      <c r="B2547" t="str">
        <f>"1551599297463446"</f>
        <v>1551599297463446</v>
      </c>
      <c r="C2547" t="s">
        <v>40</v>
      </c>
      <c r="D2547">
        <v>4.8556049999999997</v>
      </c>
      <c r="E2547">
        <v>0.50410559999999904</v>
      </c>
      <c r="F2547" t="s">
        <v>47</v>
      </c>
      <c r="G2547">
        <v>-471.33530000000002</v>
      </c>
      <c r="H2547" s="1">
        <v>6.0391030000000002E-6</v>
      </c>
      <c r="I2547">
        <v>284.81259999999997</v>
      </c>
      <c r="J2547">
        <v>-443.76409999999998</v>
      </c>
      <c r="K2547">
        <v>1.1205290000000001</v>
      </c>
      <c r="L2547">
        <v>284.64409999999998</v>
      </c>
      <c r="M2547">
        <v>-0.99970320000000001</v>
      </c>
      <c r="N2547">
        <v>-1.443404E-2</v>
      </c>
      <c r="O2547">
        <v>1.9632859999999999E-2</v>
      </c>
      <c r="P2547">
        <v>-0.99612369999999995</v>
      </c>
      <c r="Q2547">
        <v>-8.7870210000000004E-2</v>
      </c>
      <c r="R2547">
        <v>-4.1148440000000003E-3</v>
      </c>
      <c r="S2547">
        <v>-3.0009769999999998</v>
      </c>
      <c r="T2547">
        <v>-0.1205466</v>
      </c>
      <c r="U2547">
        <v>1.8829350000000002E-2</v>
      </c>
      <c r="V2547">
        <v>-2.372032E-2</v>
      </c>
      <c r="W2547">
        <v>-7.3471499999999995E-2</v>
      </c>
      <c r="X2547">
        <v>0.99701519999999999</v>
      </c>
      <c r="Y2547">
        <v>-1.3340329999999999E-2</v>
      </c>
      <c r="Z2547">
        <v>-8.690808E-4</v>
      </c>
      <c r="AA2547">
        <v>0.99991070000000004</v>
      </c>
      <c r="AB2547">
        <v>32</v>
      </c>
      <c r="AC2547">
        <v>-27.571200000000001</v>
      </c>
      <c r="AD2547">
        <v>-1.120522960897</v>
      </c>
      <c r="AE2547">
        <v>0.16849999999999399</v>
      </c>
      <c r="AF2547">
        <v>-0.37227545173308402</v>
      </c>
      <c r="AG2547">
        <v>-1.120522960897</v>
      </c>
      <c r="AH2547">
        <v>27.523734064095802</v>
      </c>
      <c r="AI2547">
        <v>92.331076900648796</v>
      </c>
      <c r="AJ2547">
        <v>90.774913446901493</v>
      </c>
      <c r="AK2547">
        <v>27.549048940915</v>
      </c>
      <c r="AL2547">
        <v>94.213403329465805</v>
      </c>
      <c r="AM2547">
        <v>91.362885828912596</v>
      </c>
      <c r="AN2547">
        <v>1.00000001196209</v>
      </c>
    </row>
    <row r="2548" spans="1:40" x14ac:dyDescent="0.25">
      <c r="A2548" t="str">
        <f>"20190303154817491"</f>
        <v>20190303154817491</v>
      </c>
      <c r="B2548" t="str">
        <f>"1551599297482966"</f>
        <v>1551599297482966</v>
      </c>
      <c r="C2548" t="s">
        <v>40</v>
      </c>
      <c r="D2548">
        <v>4.9433280000000002</v>
      </c>
      <c r="E2548">
        <v>0.50330220000000003</v>
      </c>
      <c r="F2548" t="s">
        <v>47</v>
      </c>
      <c r="G2548">
        <v>-471.24740000000003</v>
      </c>
      <c r="H2548" s="1">
        <v>6.078842E-6</v>
      </c>
      <c r="I2548">
        <v>284.82100000000003</v>
      </c>
      <c r="J2548">
        <v>-444.08359999999999</v>
      </c>
      <c r="K2548">
        <v>1.120536</v>
      </c>
      <c r="L2548">
        <v>284.65069999999997</v>
      </c>
      <c r="M2548">
        <v>-0.99969739999999996</v>
      </c>
      <c r="N2548">
        <v>-1.443053E-2</v>
      </c>
      <c r="O2548">
        <v>1.9918780000000001E-2</v>
      </c>
      <c r="P2548">
        <v>-0.99612259999999997</v>
      </c>
      <c r="Q2548">
        <v>-8.7896569999999993E-2</v>
      </c>
      <c r="R2548">
        <v>-3.7571890000000002E-3</v>
      </c>
      <c r="S2548">
        <v>-3.0009769999999998</v>
      </c>
      <c r="T2548">
        <v>-0.122353</v>
      </c>
      <c r="U2548">
        <v>1.9317629999999999E-2</v>
      </c>
      <c r="V2548">
        <v>-2.364753E-2</v>
      </c>
      <c r="W2548">
        <v>-7.3501479999999994E-2</v>
      </c>
      <c r="X2548">
        <v>0.99701470000000003</v>
      </c>
      <c r="Y2548">
        <v>-1.3462689999999999E-2</v>
      </c>
      <c r="Z2548">
        <v>-8.9584349999999996E-4</v>
      </c>
      <c r="AA2548">
        <v>0.99990900000000005</v>
      </c>
      <c r="AB2548">
        <v>32</v>
      </c>
      <c r="AC2548">
        <v>-27.163799999999998</v>
      </c>
      <c r="AD2548">
        <v>-1.120529921158</v>
      </c>
      <c r="AE2548">
        <v>0.17029999999999701</v>
      </c>
      <c r="AF2548">
        <v>-0.37022995470630699</v>
      </c>
      <c r="AG2548">
        <v>-1.120529921158</v>
      </c>
      <c r="AH2548">
        <v>27.115663048978199</v>
      </c>
      <c r="AI2548">
        <v>92.366128903632699</v>
      </c>
      <c r="AJ2548">
        <v>90.782252522480405</v>
      </c>
      <c r="AK2548">
        <v>27.141330846317999</v>
      </c>
      <c r="AL2548">
        <v>94.215125795524699</v>
      </c>
      <c r="AM2548">
        <v>91.358705823828501</v>
      </c>
      <c r="AN2548">
        <v>0.99999999262669004</v>
      </c>
    </row>
    <row r="2549" spans="1:40" x14ac:dyDescent="0.25">
      <c r="A2549" t="str">
        <f>"20190303154817514"</f>
        <v>20190303154817514</v>
      </c>
      <c r="B2549" t="str">
        <f>"1551599297503461"</f>
        <v>1551599297503461</v>
      </c>
      <c r="C2549" t="s">
        <v>40</v>
      </c>
      <c r="D2549">
        <v>4.9534269999999996</v>
      </c>
      <c r="E2549">
        <v>0.50296759999999996</v>
      </c>
      <c r="F2549" t="s">
        <v>52</v>
      </c>
      <c r="G2549">
        <v>-468.93720000000002</v>
      </c>
      <c r="H2549" s="1">
        <v>3.2125269999999998E-6</v>
      </c>
      <c r="I2549">
        <v>284.76729999999998</v>
      </c>
      <c r="J2549">
        <v>-444.40219999999999</v>
      </c>
      <c r="K2549">
        <v>1.1205430000000001</v>
      </c>
      <c r="L2549">
        <v>284.65730000000002</v>
      </c>
      <c r="M2549">
        <v>-0.99969189999999997</v>
      </c>
      <c r="N2549">
        <v>-1.4427000000000001E-2</v>
      </c>
      <c r="O2549">
        <v>2.0203510000000001E-2</v>
      </c>
      <c r="P2549">
        <v>-0.99622359999999999</v>
      </c>
      <c r="Q2549">
        <v>-8.6751380000000003E-2</v>
      </c>
      <c r="R2549">
        <v>-3.603298E-3</v>
      </c>
      <c r="S2549">
        <v>-2.9997859999999998</v>
      </c>
      <c r="T2549">
        <v>-0.13524659999999999</v>
      </c>
      <c r="U2549">
        <v>1.4068600000000001E-2</v>
      </c>
      <c r="V2549">
        <v>-2.3778359999999998E-2</v>
      </c>
      <c r="W2549">
        <v>-7.2358480000000003E-2</v>
      </c>
      <c r="X2549">
        <v>0.99709519999999996</v>
      </c>
      <c r="Y2549">
        <v>-1.548628E-2</v>
      </c>
      <c r="Z2549">
        <v>-1.0796670000000001E-3</v>
      </c>
      <c r="AA2549">
        <v>0.99987950000000003</v>
      </c>
      <c r="AB2549">
        <v>32</v>
      </c>
      <c r="AC2549">
        <v>-24.535</v>
      </c>
      <c r="AD2549">
        <v>-1.1205397874730001</v>
      </c>
      <c r="AE2549">
        <v>0.10999999999995599</v>
      </c>
      <c r="AF2549">
        <v>-0.384964155742202</v>
      </c>
      <c r="AG2549">
        <v>-1.1205397874730001</v>
      </c>
      <c r="AH2549">
        <v>24.4811507867533</v>
      </c>
      <c r="AI2549">
        <v>92.620363009374003</v>
      </c>
      <c r="AJ2549">
        <v>90.900897340564896</v>
      </c>
      <c r="AK2549">
        <v>24.509805194253801</v>
      </c>
      <c r="AL2549">
        <v>94.149461830232894</v>
      </c>
      <c r="AM2549">
        <v>91.366109765566804</v>
      </c>
      <c r="AN2549">
        <v>0.99999999894761904</v>
      </c>
    </row>
    <row r="2550" spans="1:40" x14ac:dyDescent="0.25">
      <c r="A2550" t="str">
        <f>"20190303154817536"</f>
        <v>20190303154817536</v>
      </c>
      <c r="B2550" t="str">
        <f>"1551599297532742"</f>
        <v>1551599297532742</v>
      </c>
      <c r="C2550" t="s">
        <v>40</v>
      </c>
      <c r="D2550">
        <v>4.9656129999999896</v>
      </c>
      <c r="E2550">
        <v>0.50237100000000001</v>
      </c>
      <c r="F2550" t="s">
        <v>52</v>
      </c>
      <c r="G2550">
        <v>-469.1377</v>
      </c>
      <c r="H2550" s="1">
        <v>3.3197690000000002E-6</v>
      </c>
      <c r="I2550">
        <v>284.75549999999998</v>
      </c>
      <c r="J2550">
        <v>-444.71850000000001</v>
      </c>
      <c r="K2550">
        <v>1.1205419999999999</v>
      </c>
      <c r="L2550">
        <v>284.66399999999999</v>
      </c>
      <c r="M2550">
        <v>-0.99968619999999997</v>
      </c>
      <c r="N2550">
        <v>-1.4423480000000001E-2</v>
      </c>
      <c r="O2550">
        <v>2.0486460000000001E-2</v>
      </c>
      <c r="P2550">
        <v>-0.9962647</v>
      </c>
      <c r="Q2550">
        <v>-8.6269299999999993E-2</v>
      </c>
      <c r="R2550">
        <v>-3.82767E-3</v>
      </c>
      <c r="S2550">
        <v>-2.999603</v>
      </c>
      <c r="T2550">
        <v>-0.13588449999999999</v>
      </c>
      <c r="U2550">
        <v>1.190186E-2</v>
      </c>
      <c r="V2550">
        <v>-2.4285080000000001E-2</v>
      </c>
      <c r="W2550">
        <v>-7.1879250000000006E-2</v>
      </c>
      <c r="X2550">
        <v>0.99711760000000005</v>
      </c>
      <c r="Y2550">
        <v>-1.6489420000000001E-2</v>
      </c>
      <c r="Z2550">
        <v>-1.124405E-3</v>
      </c>
      <c r="AA2550">
        <v>0.99986339999999996</v>
      </c>
      <c r="AB2550">
        <v>32</v>
      </c>
      <c r="AC2550">
        <v>-24.419199999999901</v>
      </c>
      <c r="AD2550">
        <v>-1.120538680231</v>
      </c>
      <c r="AE2550">
        <v>9.1499999999996307E-2</v>
      </c>
      <c r="AF2550">
        <v>-0.407975108197145</v>
      </c>
      <c r="AG2550">
        <v>-1.120538680231</v>
      </c>
      <c r="AH2550">
        <v>24.364645548490401</v>
      </c>
      <c r="AI2550">
        <v>92.632829189029593</v>
      </c>
      <c r="AJ2550">
        <v>90.959302589296797</v>
      </c>
      <c r="AK2550">
        <v>24.393810758599699</v>
      </c>
      <c r="AL2550">
        <v>94.121932490083196</v>
      </c>
      <c r="AM2550">
        <v>91.395179027834999</v>
      </c>
      <c r="AN2550">
        <v>0.99999994996046304</v>
      </c>
    </row>
    <row r="2551" spans="1:40" x14ac:dyDescent="0.25">
      <c r="A2551" t="str">
        <f>"20190303154817559"</f>
        <v>20190303154817559</v>
      </c>
      <c r="B2551" t="str">
        <f>"1551599297553239"</f>
        <v>1551599297553239</v>
      </c>
      <c r="C2551" t="s">
        <v>40</v>
      </c>
      <c r="D2551">
        <v>4.8552520000000001</v>
      </c>
      <c r="E2551">
        <v>0.50220010000000004</v>
      </c>
      <c r="F2551" t="s">
        <v>52</v>
      </c>
      <c r="G2551">
        <v>-467.98169999999999</v>
      </c>
      <c r="H2551" s="1">
        <v>2.706352E-6</v>
      </c>
      <c r="I2551">
        <v>284.7149</v>
      </c>
      <c r="J2551">
        <v>-445.041</v>
      </c>
      <c r="K2551">
        <v>1.120541</v>
      </c>
      <c r="L2551">
        <v>284.67099999999999</v>
      </c>
      <c r="M2551">
        <v>-0.99968020000000002</v>
      </c>
      <c r="N2551">
        <v>-1.4419899999999901E-2</v>
      </c>
      <c r="O2551">
        <v>2.0775120000000001E-2</v>
      </c>
      <c r="P2551">
        <v>-0.99620469999999905</v>
      </c>
      <c r="Q2551">
        <v>-8.6968199999999996E-2</v>
      </c>
      <c r="R2551">
        <v>-3.6064140000000001E-3</v>
      </c>
      <c r="S2551">
        <v>-2.9987490000000001</v>
      </c>
      <c r="T2551">
        <v>-0.14444379999999901</v>
      </c>
      <c r="U2551">
        <v>6.5612789999999997E-3</v>
      </c>
      <c r="V2551">
        <v>-2.4350879999999998E-2</v>
      </c>
      <c r="W2551">
        <v>-7.2582540000000001E-2</v>
      </c>
      <c r="X2551">
        <v>0.99706510000000004</v>
      </c>
      <c r="Y2551">
        <v>-1.8549929999999999E-2</v>
      </c>
      <c r="Z2551">
        <v>-1.280918E-3</v>
      </c>
      <c r="AA2551">
        <v>0.99982709999999997</v>
      </c>
      <c r="AB2551">
        <v>32</v>
      </c>
      <c r="AC2551">
        <v>-22.9407</v>
      </c>
      <c r="AD2551">
        <v>-1.120538293648</v>
      </c>
      <c r="AE2551">
        <v>4.3900000000007801E-2</v>
      </c>
      <c r="AF2551">
        <v>-0.43172480051711898</v>
      </c>
      <c r="AG2551">
        <v>-1.120538293648</v>
      </c>
      <c r="AH2551">
        <v>22.882067295703099</v>
      </c>
      <c r="AI2551">
        <v>92.803045305410294</v>
      </c>
      <c r="AJ2551">
        <v>91.0808933531832</v>
      </c>
      <c r="AK2551">
        <v>22.913554855063399</v>
      </c>
      <c r="AL2551">
        <v>94.162333354671702</v>
      </c>
      <c r="AM2551">
        <v>91.399031373028393</v>
      </c>
      <c r="AN2551">
        <v>1.00000000205381</v>
      </c>
    </row>
    <row r="2552" spans="1:40" x14ac:dyDescent="0.25">
      <c r="A2552" t="str">
        <f>"20190303154817580"</f>
        <v>20190303154817580</v>
      </c>
      <c r="B2552" t="str">
        <f>"1551599297572758"</f>
        <v>1551599297572758</v>
      </c>
      <c r="C2552" t="s">
        <v>40</v>
      </c>
      <c r="D2552">
        <v>4.8672519999999997</v>
      </c>
      <c r="E2552">
        <v>0.50215739999999998</v>
      </c>
      <c r="F2552" t="s">
        <v>52</v>
      </c>
      <c r="G2552">
        <v>-467.55709999999999</v>
      </c>
      <c r="H2552" s="1">
        <v>2.4804290000000002E-6</v>
      </c>
      <c r="I2552">
        <v>284.71409999999997</v>
      </c>
      <c r="J2552">
        <v>-445.35300000000001</v>
      </c>
      <c r="K2552">
        <v>1.1205400000000001</v>
      </c>
      <c r="L2552">
        <v>284.67770000000002</v>
      </c>
      <c r="M2552">
        <v>-0.99967450000000002</v>
      </c>
      <c r="N2552">
        <v>-1.4416409999999999E-2</v>
      </c>
      <c r="O2552">
        <v>2.105419E-2</v>
      </c>
      <c r="P2552">
        <v>-0.9961544</v>
      </c>
      <c r="Q2552">
        <v>-8.7580350000000001E-2</v>
      </c>
      <c r="R2552">
        <v>-2.523871E-3</v>
      </c>
      <c r="S2552">
        <v>-2.998383</v>
      </c>
      <c r="T2552">
        <v>-0.1492182</v>
      </c>
      <c r="U2552">
        <v>5.7373049999999998E-3</v>
      </c>
      <c r="V2552">
        <v>-2.3545369999999999E-2</v>
      </c>
      <c r="W2552">
        <v>-7.3199150000000004E-2</v>
      </c>
      <c r="X2552">
        <v>0.99703940000000002</v>
      </c>
      <c r="Y2552">
        <v>-1.9099660000000001E-2</v>
      </c>
      <c r="Z2552">
        <v>-1.356405E-3</v>
      </c>
      <c r="AA2552">
        <v>0.9998167</v>
      </c>
      <c r="AB2552">
        <v>32</v>
      </c>
      <c r="AC2552">
        <v>-22.204099999999901</v>
      </c>
      <c r="AD2552">
        <v>-1.1205375195709999</v>
      </c>
      <c r="AE2552">
        <v>3.6399999999957799E-2</v>
      </c>
      <c r="AF2552">
        <v>-0.43005071783432702</v>
      </c>
      <c r="AG2552">
        <v>-1.1205375195709999</v>
      </c>
      <c r="AH2552">
        <v>22.143549627857102</v>
      </c>
      <c r="AI2552">
        <v>92.896341447053402</v>
      </c>
      <c r="AJ2552">
        <v>91.112603640060598</v>
      </c>
      <c r="AK2552">
        <v>22.1760532573776</v>
      </c>
      <c r="AL2552">
        <v>94.197756606271895</v>
      </c>
      <c r="AM2552">
        <v>91.352804745454094</v>
      </c>
      <c r="AN2552">
        <v>1.0000000325807501</v>
      </c>
    </row>
    <row r="2553" spans="1:40" x14ac:dyDescent="0.25">
      <c r="A2553" t="str">
        <f>"20190303154817603"</f>
        <v>20190303154817603</v>
      </c>
      <c r="B2553" t="str">
        <f>"1551599297593255"</f>
        <v>1551599297593255</v>
      </c>
      <c r="C2553" t="s">
        <v>40</v>
      </c>
      <c r="D2553">
        <v>4.868182</v>
      </c>
      <c r="E2553">
        <v>0.50212730000000005</v>
      </c>
      <c r="F2553" t="s">
        <v>52</v>
      </c>
      <c r="G2553">
        <v>-467.66770000000002</v>
      </c>
      <c r="H2553" s="1">
        <v>2.538049E-6</v>
      </c>
      <c r="I2553">
        <v>284.74220000000003</v>
      </c>
      <c r="J2553">
        <v>-445.67689999999999</v>
      </c>
      <c r="K2553">
        <v>1.120536</v>
      </c>
      <c r="L2553">
        <v>284.68490000000003</v>
      </c>
      <c r="M2553">
        <v>-0.99966840000000001</v>
      </c>
      <c r="N2553">
        <v>-1.441282E-2</v>
      </c>
      <c r="O2553">
        <v>2.1344700000000001E-2</v>
      </c>
      <c r="P2553">
        <v>-0.99618629999999997</v>
      </c>
      <c r="Q2553">
        <v>-8.7239570000000002E-2</v>
      </c>
      <c r="R2553">
        <v>-1.6406189999999901E-3</v>
      </c>
      <c r="S2553">
        <v>-2.9984130000000002</v>
      </c>
      <c r="T2553">
        <v>-0.15056620000000001</v>
      </c>
      <c r="U2553">
        <v>8.6669920000000001E-3</v>
      </c>
      <c r="V2553">
        <v>-2.29526E-2</v>
      </c>
      <c r="W2553">
        <v>-7.2861789999999996E-2</v>
      </c>
      <c r="X2553">
        <v>0.99707789999999996</v>
      </c>
      <c r="Y2553">
        <v>-1.8413430000000001E-2</v>
      </c>
      <c r="Z2553">
        <v>-1.3583849999999999E-3</v>
      </c>
      <c r="AA2553">
        <v>0.99982950000000004</v>
      </c>
      <c r="AB2553">
        <v>32</v>
      </c>
      <c r="AC2553">
        <v>-21.9908</v>
      </c>
      <c r="AD2553">
        <v>-1.1205334619509999</v>
      </c>
      <c r="AE2553">
        <v>5.7299999999997901E-2</v>
      </c>
      <c r="AF2553">
        <v>-0.41108147594934202</v>
      </c>
      <c r="AG2553">
        <v>-1.1205334619509999</v>
      </c>
      <c r="AH2553">
        <v>21.930073772122199</v>
      </c>
      <c r="AI2553">
        <v>92.924513923486202</v>
      </c>
      <c r="AJ2553">
        <v>91.0738894784986</v>
      </c>
      <c r="AK2553">
        <v>21.962529883188399</v>
      </c>
      <c r="AL2553">
        <v>94.178375683966195</v>
      </c>
      <c r="AM2553">
        <v>91.318708285698406</v>
      </c>
      <c r="AN2553">
        <v>1.0000000004785801</v>
      </c>
    </row>
    <row r="2554" spans="1:40" x14ac:dyDescent="0.25">
      <c r="A2554" t="str">
        <f>"20190303154817625"</f>
        <v>20190303154817625</v>
      </c>
      <c r="B2554" t="str">
        <f>"1551599297612774"</f>
        <v>1551599297612774</v>
      </c>
      <c r="C2554" t="s">
        <v>40</v>
      </c>
      <c r="D2554">
        <v>4.856007</v>
      </c>
      <c r="E2554">
        <v>0.50200710000000004</v>
      </c>
      <c r="F2554" t="s">
        <v>52</v>
      </c>
      <c r="G2554">
        <v>-468.1508</v>
      </c>
      <c r="H2554" s="1">
        <v>2.793969E-6</v>
      </c>
      <c r="I2554">
        <v>284.76949999999999</v>
      </c>
      <c r="J2554">
        <v>-445.99310000000003</v>
      </c>
      <c r="K2554">
        <v>1.1205400000000001</v>
      </c>
      <c r="L2554">
        <v>284.69200000000001</v>
      </c>
      <c r="M2554">
        <v>-0.99966219999999995</v>
      </c>
      <c r="N2554">
        <v>-1.4409430000000001E-2</v>
      </c>
      <c r="O2554">
        <v>2.1628350000000001E-2</v>
      </c>
      <c r="P2554">
        <v>-0.99610600000000005</v>
      </c>
      <c r="Q2554">
        <v>-8.8156570000000004E-2</v>
      </c>
      <c r="R2554">
        <v>-1.1113200000000001E-3</v>
      </c>
      <c r="S2554">
        <v>-2.998383</v>
      </c>
      <c r="T2554">
        <v>-0.1494972</v>
      </c>
      <c r="U2554">
        <v>1.1291499999999999E-2</v>
      </c>
      <c r="V2554">
        <v>-2.27043E-2</v>
      </c>
      <c r="W2554">
        <v>-7.3783370000000001E-2</v>
      </c>
      <c r="X2554">
        <v>0.99701580000000001</v>
      </c>
      <c r="Y2554">
        <v>-1.7823370000000002E-2</v>
      </c>
      <c r="Z2554">
        <v>-1.33865E-3</v>
      </c>
      <c r="AA2554">
        <v>0.99984030000000002</v>
      </c>
      <c r="AB2554">
        <v>32</v>
      </c>
      <c r="AC2554">
        <v>-22.157699999999899</v>
      </c>
      <c r="AD2554">
        <v>-1.1205372060309999</v>
      </c>
      <c r="AE2554">
        <v>7.7499999999986302E-2</v>
      </c>
      <c r="AF2554">
        <v>-0.400777453266626</v>
      </c>
      <c r="AG2554">
        <v>-1.1205372060309999</v>
      </c>
      <c r="AH2554">
        <v>22.0976796563493</v>
      </c>
      <c r="AI2554">
        <v>92.902412401744698</v>
      </c>
      <c r="AJ2554">
        <v>91.039038472341502</v>
      </c>
      <c r="AK2554">
        <v>22.129701136521899</v>
      </c>
      <c r="AL2554">
        <v>94.231320896140403</v>
      </c>
      <c r="AM2554">
        <v>91.304528746536405</v>
      </c>
      <c r="AN2554">
        <v>0.99999998818834301</v>
      </c>
    </row>
    <row r="2555" spans="1:40" x14ac:dyDescent="0.25">
      <c r="A2555" t="str">
        <f>"20190303154817648"</f>
        <v>20190303154817648</v>
      </c>
      <c r="B2555" t="str">
        <f>"1551599297643031"</f>
        <v>1551599297643031</v>
      </c>
      <c r="C2555" t="s">
        <v>40</v>
      </c>
      <c r="D2555">
        <v>4.8327299999999997</v>
      </c>
      <c r="E2555">
        <v>0.50191220000000003</v>
      </c>
      <c r="F2555" t="s">
        <v>52</v>
      </c>
      <c r="G2555">
        <v>-467.94760000000002</v>
      </c>
      <c r="H2555" s="1">
        <v>2.6854550000000002E-6</v>
      </c>
      <c r="I2555">
        <v>284.77800000000002</v>
      </c>
      <c r="J2555">
        <v>-446.31420000000003</v>
      </c>
      <c r="K2555">
        <v>1.120541</v>
      </c>
      <c r="L2555">
        <v>284.69920000000002</v>
      </c>
      <c r="M2555">
        <v>-0.99965599999999999</v>
      </c>
      <c r="N2555">
        <v>-1.440585E-2</v>
      </c>
      <c r="O2555">
        <v>2.1916189999999999E-2</v>
      </c>
      <c r="P2555">
        <v>-0.99598370000000003</v>
      </c>
      <c r="Q2555">
        <v>-8.9530999999999999E-2</v>
      </c>
      <c r="R2555">
        <v>-7.3323080000000003E-4</v>
      </c>
      <c r="S2555">
        <v>-2.9981689999999999</v>
      </c>
      <c r="T2555">
        <v>-0.15302370000000001</v>
      </c>
      <c r="U2555">
        <v>1.1749269999999999E-2</v>
      </c>
      <c r="V2555">
        <v>-2.2611160000000002E-2</v>
      </c>
      <c r="W2555">
        <v>-7.5163049999999995E-2</v>
      </c>
      <c r="X2555">
        <v>0.99691490000000005</v>
      </c>
      <c r="Y2555">
        <v>-1.7955780000000001E-2</v>
      </c>
      <c r="Z2555">
        <v>-1.3895310000000001E-3</v>
      </c>
      <c r="AA2555">
        <v>0.9998378</v>
      </c>
      <c r="AB2555">
        <v>32</v>
      </c>
      <c r="AC2555">
        <v>-21.633399999999899</v>
      </c>
      <c r="AD2555">
        <v>-1.1205383145450001</v>
      </c>
      <c r="AE2555">
        <v>7.8800000000000994E-2</v>
      </c>
      <c r="AF2555">
        <v>-0.394331910559579</v>
      </c>
      <c r="AG2555">
        <v>-1.1205383145450001</v>
      </c>
      <c r="AH2555">
        <v>21.5720551856943</v>
      </c>
      <c r="AI2555">
        <v>92.973002389382103</v>
      </c>
      <c r="AJ2555">
        <v>91.047236249435699</v>
      </c>
      <c r="AK2555">
        <v>21.604737182032299</v>
      </c>
      <c r="AL2555">
        <v>94.310590681564605</v>
      </c>
      <c r="AM2555">
        <v>91.299310455332503</v>
      </c>
      <c r="AN2555">
        <v>1.0000000332419201</v>
      </c>
    </row>
    <row r="2556" spans="1:40" x14ac:dyDescent="0.25">
      <c r="A2556" t="str">
        <f>"20190303154817672"</f>
        <v>20190303154817672</v>
      </c>
      <c r="B2556" t="str">
        <f>"1551599297663527"</f>
        <v>1551599297663527</v>
      </c>
      <c r="C2556" t="s">
        <v>40</v>
      </c>
      <c r="D2556">
        <v>4.8565389999999997</v>
      </c>
      <c r="E2556">
        <v>0.50175630000000004</v>
      </c>
      <c r="F2556" t="s">
        <v>52</v>
      </c>
      <c r="G2556">
        <v>-467.83370000000002</v>
      </c>
      <c r="H2556" s="1">
        <v>2.6244650000000001E-6</v>
      </c>
      <c r="I2556">
        <v>284.78730000000002</v>
      </c>
      <c r="J2556">
        <v>-446.6497</v>
      </c>
      <c r="K2556">
        <v>1.120539</v>
      </c>
      <c r="L2556">
        <v>284.70690000000002</v>
      </c>
      <c r="M2556">
        <v>-0.99964949999999997</v>
      </c>
      <c r="N2556">
        <v>-1.4402109999999999E-2</v>
      </c>
      <c r="O2556">
        <v>2.2216590000000001E-2</v>
      </c>
      <c r="P2556">
        <v>-0.99593670000000001</v>
      </c>
      <c r="Q2556">
        <v>-9.0054679999999998E-2</v>
      </c>
      <c r="R2556">
        <v>-5.1222119999999995E-4</v>
      </c>
      <c r="S2556">
        <v>-2.9981080000000002</v>
      </c>
      <c r="T2556">
        <v>-0.15611349999999999</v>
      </c>
      <c r="U2556">
        <v>1.2268070000000001E-2</v>
      </c>
      <c r="V2556">
        <v>-2.2689170000000002E-2</v>
      </c>
      <c r="W2556">
        <v>-7.5691099999999997E-2</v>
      </c>
      <c r="X2556">
        <v>0.99687309999999996</v>
      </c>
      <c r="Y2556">
        <v>-1.8080800000000001E-2</v>
      </c>
      <c r="Z2556">
        <v>-1.4368530000000001E-3</v>
      </c>
      <c r="AA2556">
        <v>0.99983549999999999</v>
      </c>
      <c r="AB2556">
        <v>32</v>
      </c>
      <c r="AC2556">
        <v>-21.184000000000001</v>
      </c>
      <c r="AD2556">
        <v>-1.120536375535</v>
      </c>
      <c r="AE2556">
        <v>8.0399999999997293E-2</v>
      </c>
      <c r="AF2556">
        <v>-0.38921589901814202</v>
      </c>
      <c r="AG2556">
        <v>-1.120536375535</v>
      </c>
      <c r="AH2556">
        <v>21.1214613015262</v>
      </c>
      <c r="AI2556">
        <v>93.036295920261594</v>
      </c>
      <c r="AJ2556">
        <v>91.055698955710795</v>
      </c>
      <c r="AK2556">
        <v>21.154744581223699</v>
      </c>
      <c r="AL2556">
        <v>94.340932472082699</v>
      </c>
      <c r="AM2556">
        <v>91.303846268403205</v>
      </c>
      <c r="AN2556">
        <v>0.99999995927905305</v>
      </c>
    </row>
    <row r="2557" spans="1:40" x14ac:dyDescent="0.25">
      <c r="A2557" t="str">
        <f>"20190303154817693"</f>
        <v>20190303154817693</v>
      </c>
      <c r="B2557" t="str">
        <f>"1551599297683046"</f>
        <v>1551599297683046</v>
      </c>
      <c r="C2557" t="s">
        <v>40</v>
      </c>
      <c r="D2557">
        <v>4.8767480000000001</v>
      </c>
      <c r="E2557">
        <v>0.50160709999999997</v>
      </c>
      <c r="F2557" t="s">
        <v>52</v>
      </c>
      <c r="G2557">
        <v>-468.01710000000003</v>
      </c>
      <c r="H2557" s="1">
        <v>2.7220220000000001E-6</v>
      </c>
      <c r="I2557">
        <v>284.78739999999999</v>
      </c>
      <c r="J2557">
        <v>-446.94850000000002</v>
      </c>
      <c r="K2557">
        <v>1.120539</v>
      </c>
      <c r="L2557">
        <v>284.71379999999999</v>
      </c>
      <c r="M2557">
        <v>-0.99964359999999997</v>
      </c>
      <c r="N2557">
        <v>-1.439878E-2</v>
      </c>
      <c r="O2557">
        <v>2.2484279999999999E-2</v>
      </c>
      <c r="P2557">
        <v>-0.99580590000000002</v>
      </c>
      <c r="Q2557">
        <v>-9.1492649999999995E-2</v>
      </c>
      <c r="R2557" s="1">
        <v>6.2569040000000006E-5</v>
      </c>
      <c r="S2557">
        <v>-2.9980769999999999</v>
      </c>
      <c r="T2557">
        <v>-0.15722349999999999</v>
      </c>
      <c r="U2557">
        <v>1.1291499999999999E-2</v>
      </c>
      <c r="V2557">
        <v>-2.2378660000000002E-2</v>
      </c>
      <c r="W2557">
        <v>-7.7134229999999998E-2</v>
      </c>
      <c r="X2557">
        <v>0.99676949999999997</v>
      </c>
      <c r="Y2557">
        <v>-1.8672210000000002E-2</v>
      </c>
      <c r="Z2557">
        <v>-1.478397E-3</v>
      </c>
      <c r="AA2557">
        <v>0.99982459999999995</v>
      </c>
      <c r="AB2557">
        <v>32</v>
      </c>
      <c r="AC2557">
        <v>-21.0686</v>
      </c>
      <c r="AD2557">
        <v>-1.1205362779779999</v>
      </c>
      <c r="AE2557">
        <v>7.3599999999999E-2</v>
      </c>
      <c r="AF2557">
        <v>-0.39905121370909902</v>
      </c>
      <c r="AG2557">
        <v>-1.1205362779779999</v>
      </c>
      <c r="AH2557">
        <v>21.005511009691499</v>
      </c>
      <c r="AI2557">
        <v>93.052991881581704</v>
      </c>
      <c r="AJ2557">
        <v>91.088342977334094</v>
      </c>
      <c r="AK2557">
        <v>21.0391619652423</v>
      </c>
      <c r="AL2557">
        <v>94.423860173361604</v>
      </c>
      <c r="AM2557">
        <v>91.286142282991193</v>
      </c>
      <c r="AN2557">
        <v>0.99999996499566801</v>
      </c>
    </row>
    <row r="2558" spans="1:40" x14ac:dyDescent="0.25">
      <c r="A2558" t="str">
        <f>"20190303154817715"</f>
        <v>20190303154817715</v>
      </c>
      <c r="B2558" t="str">
        <f>"1551599297703543"</f>
        <v>1551599297703543</v>
      </c>
      <c r="C2558" t="s">
        <v>40</v>
      </c>
      <c r="D2558">
        <v>4.9288030000000003</v>
      </c>
      <c r="E2558">
        <v>0.50144880000000003</v>
      </c>
      <c r="F2558" t="s">
        <v>52</v>
      </c>
      <c r="G2558">
        <v>-467.62849999999997</v>
      </c>
      <c r="H2558" s="1">
        <v>2.5147919999999998E-6</v>
      </c>
      <c r="I2558">
        <v>284.798</v>
      </c>
      <c r="J2558">
        <v>-447.25799999999998</v>
      </c>
      <c r="K2558">
        <v>1.1205400000000001</v>
      </c>
      <c r="L2558">
        <v>284.721</v>
      </c>
      <c r="M2558">
        <v>-0.99963740000000001</v>
      </c>
      <c r="N2558">
        <v>-1.4395349999999999E-2</v>
      </c>
      <c r="O2558">
        <v>2.276162E-2</v>
      </c>
      <c r="P2558">
        <v>-0.99575720000000001</v>
      </c>
      <c r="Q2558">
        <v>-9.2021610000000004E-2</v>
      </c>
      <c r="R2558">
        <v>-1.9635259999999999E-4</v>
      </c>
      <c r="S2558">
        <v>-2.997681</v>
      </c>
      <c r="T2558">
        <v>-0.16242770000000001</v>
      </c>
      <c r="U2558">
        <v>1.2207030000000001E-2</v>
      </c>
      <c r="V2558">
        <v>-2.2912890000000002E-2</v>
      </c>
      <c r="W2558">
        <v>-7.7667120000000006E-2</v>
      </c>
      <c r="X2558">
        <v>0.99671600000000005</v>
      </c>
      <c r="Y2558">
        <v>-1.86401E-2</v>
      </c>
      <c r="Z2558">
        <v>-1.543724E-3</v>
      </c>
      <c r="AA2558">
        <v>0.99982510000000002</v>
      </c>
      <c r="AB2558">
        <v>32</v>
      </c>
      <c r="AC2558">
        <v>-20.3704999999999</v>
      </c>
      <c r="AD2558">
        <v>-1.1205374852079999</v>
      </c>
      <c r="AE2558">
        <v>7.6999999999998098E-2</v>
      </c>
      <c r="AF2558">
        <v>-0.38556686875842999</v>
      </c>
      <c r="AG2558">
        <v>-1.1205374852079999</v>
      </c>
      <c r="AH2558">
        <v>20.305533256196401</v>
      </c>
      <c r="AI2558">
        <v>93.158029891738394</v>
      </c>
      <c r="AJ2558">
        <v>91.087816781345794</v>
      </c>
      <c r="AK2558">
        <v>20.340082273298201</v>
      </c>
      <c r="AL2558">
        <v>94.454484311376504</v>
      </c>
      <c r="AM2558">
        <v>91.316905425438605</v>
      </c>
      <c r="AN2558">
        <v>0.99999998335662299</v>
      </c>
    </row>
    <row r="2559" spans="1:40" x14ac:dyDescent="0.25">
      <c r="A2559" t="str">
        <f>"20190303154817736"</f>
        <v>20190303154817736</v>
      </c>
      <c r="B2559" t="str">
        <f>"1551599297732823"</f>
        <v>1551599297732823</v>
      </c>
      <c r="C2559" t="s">
        <v>40</v>
      </c>
      <c r="D2559">
        <v>4.953773</v>
      </c>
      <c r="E2559">
        <v>0.50129899999999905</v>
      </c>
      <c r="F2559" t="s">
        <v>52</v>
      </c>
      <c r="G2559">
        <v>-467.60899999999998</v>
      </c>
      <c r="H2559" s="1">
        <v>2.5047010000000002E-6</v>
      </c>
      <c r="I2559">
        <v>284.79109999999997</v>
      </c>
      <c r="J2559">
        <v>-447.56610000000001</v>
      </c>
      <c r="K2559">
        <v>1.12053</v>
      </c>
      <c r="L2559">
        <v>284.72840000000002</v>
      </c>
      <c r="M2559">
        <v>-0.99963100000000005</v>
      </c>
      <c r="N2559">
        <v>-1.4391950000000001E-2</v>
      </c>
      <c r="O2559">
        <v>2.3037769999999999E-2</v>
      </c>
      <c r="P2559">
        <v>-0.9957281</v>
      </c>
      <c r="Q2559">
        <v>-9.2332079999999997E-2</v>
      </c>
      <c r="R2559">
        <v>-3.6328750000000001E-4</v>
      </c>
      <c r="S2559">
        <v>-2.997528</v>
      </c>
      <c r="T2559">
        <v>-0.16504559999999999</v>
      </c>
      <c r="U2559">
        <v>1.031494E-2</v>
      </c>
      <c r="V2559">
        <v>-2.335431E-2</v>
      </c>
      <c r="W2559">
        <v>-7.7981259999999997E-2</v>
      </c>
      <c r="X2559">
        <v>0.99668120000000004</v>
      </c>
      <c r="Y2559">
        <v>-1.9543430000000001E-2</v>
      </c>
      <c r="Z2559">
        <v>-1.614402E-3</v>
      </c>
      <c r="AA2559">
        <v>0.99980769999999997</v>
      </c>
      <c r="AB2559">
        <v>32</v>
      </c>
      <c r="AC2559">
        <v>-20.042899999999999</v>
      </c>
      <c r="AD2559">
        <v>-1.1205274952990001</v>
      </c>
      <c r="AE2559">
        <v>6.2699999999949796E-2</v>
      </c>
      <c r="AF2559">
        <v>-0.39786466493806899</v>
      </c>
      <c r="AG2559">
        <v>-1.1205274952990001</v>
      </c>
      <c r="AH2559">
        <v>19.9765871902536</v>
      </c>
      <c r="AI2559">
        <v>93.209837601968999</v>
      </c>
      <c r="AJ2559">
        <v>91.140983315526896</v>
      </c>
      <c r="AK2559">
        <v>20.011944281581801</v>
      </c>
      <c r="AL2559">
        <v>94.472538078442994</v>
      </c>
      <c r="AM2559">
        <v>91.342313446287093</v>
      </c>
      <c r="AN2559">
        <v>0.99999995757010096</v>
      </c>
    </row>
    <row r="2560" spans="1:40" x14ac:dyDescent="0.25">
      <c r="A2560" t="str">
        <f>"20190303154817759"</f>
        <v>20190303154817759</v>
      </c>
      <c r="B2560" t="str">
        <f>"1551599297753322"</f>
        <v>1551599297753322</v>
      </c>
      <c r="C2560" t="s">
        <v>40</v>
      </c>
      <c r="D2560">
        <v>4.9355859999999998</v>
      </c>
      <c r="E2560">
        <v>0.50119629999999904</v>
      </c>
      <c r="F2560" t="s">
        <v>52</v>
      </c>
      <c r="G2560">
        <v>-467.53120000000001</v>
      </c>
      <c r="H2560" s="1">
        <v>2.4635779999999998E-6</v>
      </c>
      <c r="I2560">
        <v>284.7851</v>
      </c>
      <c r="J2560">
        <v>-447.88679999999999</v>
      </c>
      <c r="K2560">
        <v>1.1205320000000001</v>
      </c>
      <c r="L2560">
        <v>284.73610000000002</v>
      </c>
      <c r="M2560">
        <v>-0.99962430000000002</v>
      </c>
      <c r="N2560">
        <v>-1.438831E-2</v>
      </c>
      <c r="O2560">
        <v>2.332584E-2</v>
      </c>
      <c r="P2560">
        <v>-0.99572340000000004</v>
      </c>
      <c r="Q2560">
        <v>-9.2384140000000003E-2</v>
      </c>
      <c r="R2560">
        <v>-2.3872579999999999E-4</v>
      </c>
      <c r="S2560">
        <v>-2.9972840000000001</v>
      </c>
      <c r="T2560">
        <v>-0.16822000000000001</v>
      </c>
      <c r="U2560">
        <v>8.5144039999999997E-3</v>
      </c>
      <c r="V2560">
        <v>-2.3516269999999999E-2</v>
      </c>
      <c r="W2560">
        <v>-7.8037019999999999E-2</v>
      </c>
      <c r="X2560">
        <v>0.99667300000000003</v>
      </c>
      <c r="Y2560">
        <v>-2.0427549999999999E-2</v>
      </c>
      <c r="Z2560">
        <v>-1.692446E-3</v>
      </c>
      <c r="AA2560">
        <v>0.99978990000000001</v>
      </c>
      <c r="AB2560">
        <v>32</v>
      </c>
      <c r="AC2560">
        <v>-19.644400000000001</v>
      </c>
      <c r="AD2560">
        <v>-1.12052953642199</v>
      </c>
      <c r="AE2560">
        <v>4.8999999999978103E-2</v>
      </c>
      <c r="AF2560">
        <v>-0.40795560600425701</v>
      </c>
      <c r="AG2560">
        <v>-1.12052953642199</v>
      </c>
      <c r="AH2560">
        <v>19.576502607437899</v>
      </c>
      <c r="AI2560">
        <v>93.275240138190398</v>
      </c>
      <c r="AJ2560">
        <v>91.193816498988696</v>
      </c>
      <c r="AK2560">
        <v>19.612788393226701</v>
      </c>
      <c r="AL2560">
        <v>94.475742779546096</v>
      </c>
      <c r="AM2560">
        <v>91.351629941905102</v>
      </c>
      <c r="AN2560">
        <v>0.99999993018709399</v>
      </c>
    </row>
    <row r="2561" spans="1:40" x14ac:dyDescent="0.25">
      <c r="A2561" t="str">
        <f>"20190303154817781"</f>
        <v>20190303154817781</v>
      </c>
      <c r="B2561" t="str">
        <f>"1551599297772839"</f>
        <v>1551599297772839</v>
      </c>
      <c r="C2561" t="s">
        <v>40</v>
      </c>
      <c r="D2561">
        <v>4.9566800000000004</v>
      </c>
      <c r="E2561">
        <v>0.50106989999999996</v>
      </c>
      <c r="F2561" t="s">
        <v>52</v>
      </c>
      <c r="G2561">
        <v>-467.72379999999998</v>
      </c>
      <c r="H2561" s="1">
        <v>2.5659139999999998E-6</v>
      </c>
      <c r="I2561">
        <v>284.78859999999997</v>
      </c>
      <c r="J2561">
        <v>-448.19760000000002</v>
      </c>
      <c r="K2561">
        <v>1.1205339999999999</v>
      </c>
      <c r="L2561">
        <v>284.74369999999999</v>
      </c>
      <c r="M2561">
        <v>-0.99961789999999995</v>
      </c>
      <c r="N2561">
        <v>-1.4384869999999999E-2</v>
      </c>
      <c r="O2561">
        <v>2.36052E-2</v>
      </c>
      <c r="P2561">
        <v>-0.99572289999999997</v>
      </c>
      <c r="Q2561">
        <v>-9.2387709999999998E-2</v>
      </c>
      <c r="R2561">
        <v>-2.7316020000000001E-4</v>
      </c>
      <c r="S2561">
        <v>-2.9971920000000001</v>
      </c>
      <c r="T2561">
        <v>-0.16930209999999901</v>
      </c>
      <c r="U2561">
        <v>7.9345700000000002E-3</v>
      </c>
      <c r="V2561">
        <v>-2.3828970000000001E-2</v>
      </c>
      <c r="W2561">
        <v>-7.8043989999999994E-2</v>
      </c>
      <c r="X2561">
        <v>0.99666509999999997</v>
      </c>
      <c r="Y2561">
        <v>-2.089827E-2</v>
      </c>
      <c r="Z2561">
        <v>-1.73305299999999E-3</v>
      </c>
      <c r="AA2561">
        <v>0.99978009999999995</v>
      </c>
      <c r="AB2561">
        <v>32</v>
      </c>
      <c r="AC2561">
        <v>-19.5261999999999</v>
      </c>
      <c r="AD2561">
        <v>-1.120531434086</v>
      </c>
      <c r="AE2561">
        <v>4.4899999999984098E-2</v>
      </c>
      <c r="AF2561">
        <v>-0.41471433475175901</v>
      </c>
      <c r="AG2561">
        <v>-1.120531434086</v>
      </c>
      <c r="AH2561">
        <v>19.457740962133499</v>
      </c>
      <c r="AI2561">
        <v>93.295159568637303</v>
      </c>
      <c r="AJ2561">
        <v>91.220993952511094</v>
      </c>
      <c r="AK2561">
        <v>19.494390527116099</v>
      </c>
      <c r="AL2561">
        <v>94.476143026817596</v>
      </c>
      <c r="AM2561">
        <v>91.369606855313904</v>
      </c>
      <c r="AN2561">
        <v>1.00000000287219</v>
      </c>
    </row>
    <row r="2562" spans="1:40" x14ac:dyDescent="0.25">
      <c r="A2562" t="str">
        <f>"20190303154817805"</f>
        <v>20190303154817805</v>
      </c>
      <c r="B2562" t="str">
        <f>"1551599297793334"</f>
        <v>1551599297793334</v>
      </c>
      <c r="C2562" t="s">
        <v>40</v>
      </c>
      <c r="D2562">
        <v>4.9652589999999996</v>
      </c>
      <c r="E2562">
        <v>0.50097380000000002</v>
      </c>
      <c r="F2562" t="s">
        <v>52</v>
      </c>
      <c r="G2562">
        <v>-467.84339999999997</v>
      </c>
      <c r="H2562" s="1">
        <v>2.629585E-6</v>
      </c>
      <c r="I2562">
        <v>284.78750000000002</v>
      </c>
      <c r="J2562">
        <v>-448.52140000000003</v>
      </c>
      <c r="K2562">
        <v>1.120544</v>
      </c>
      <c r="L2562">
        <v>284.7516</v>
      </c>
      <c r="M2562">
        <v>-0.99961109999999997</v>
      </c>
      <c r="N2562">
        <v>-1.4381339999999999E-2</v>
      </c>
      <c r="O2562">
        <v>2.3896359999999998E-2</v>
      </c>
      <c r="P2562">
        <v>-0.99581070000000005</v>
      </c>
      <c r="Q2562">
        <v>-9.1436190000000001E-2</v>
      </c>
      <c r="R2562">
        <v>-6.6453780000000004E-4</v>
      </c>
      <c r="S2562">
        <v>-2.9970699999999999</v>
      </c>
      <c r="T2562">
        <v>-0.1709435</v>
      </c>
      <c r="U2562">
        <v>6.6833500000000002E-3</v>
      </c>
      <c r="V2562">
        <v>-2.451134E-2</v>
      </c>
      <c r="W2562">
        <v>-7.7094670000000004E-2</v>
      </c>
      <c r="X2562">
        <v>0.99672249999999996</v>
      </c>
      <c r="Y2562">
        <v>-2.160376E-2</v>
      </c>
      <c r="Z2562">
        <v>-1.7893780000000001E-3</v>
      </c>
      <c r="AA2562">
        <v>0.99976500000000001</v>
      </c>
      <c r="AB2562">
        <v>31</v>
      </c>
      <c r="AC2562">
        <v>-19.3219999999999</v>
      </c>
      <c r="AD2562">
        <v>-1.120541370415</v>
      </c>
      <c r="AE2562">
        <v>3.5900000000026397E-2</v>
      </c>
      <c r="AF2562">
        <v>-0.42445590647783099</v>
      </c>
      <c r="AG2562">
        <v>-1.120541370415</v>
      </c>
      <c r="AH2562">
        <v>19.252589333768899</v>
      </c>
      <c r="AI2562">
        <v>93.330170178285499</v>
      </c>
      <c r="AJ2562">
        <v>91.262977801817101</v>
      </c>
      <c r="AK2562">
        <v>19.2898411562695</v>
      </c>
      <c r="AL2562">
        <v>94.421586326438899</v>
      </c>
      <c r="AM2562">
        <v>91.408730439688597</v>
      </c>
      <c r="AN2562">
        <v>1.0000000679686201</v>
      </c>
    </row>
    <row r="2563" spans="1:40" x14ac:dyDescent="0.25">
      <c r="A2563" t="str">
        <f>"20190303154817827"</f>
        <v>20190303154817827</v>
      </c>
      <c r="B2563" t="str">
        <f>"1551599297812854"</f>
        <v>1551599297812854</v>
      </c>
      <c r="C2563" t="s">
        <v>40</v>
      </c>
      <c r="D2563">
        <v>4.9557549999999999</v>
      </c>
      <c r="E2563">
        <v>0.50091030000000003</v>
      </c>
      <c r="F2563" t="s">
        <v>52</v>
      </c>
      <c r="G2563">
        <v>-468.37880000000001</v>
      </c>
      <c r="H2563" s="1">
        <v>2.914623E-6</v>
      </c>
      <c r="I2563">
        <v>284.78440000000001</v>
      </c>
      <c r="J2563">
        <v>-448.83139999999997</v>
      </c>
      <c r="K2563">
        <v>1.120555</v>
      </c>
      <c r="L2563">
        <v>284.7593</v>
      </c>
      <c r="M2563">
        <v>-0.9996043</v>
      </c>
      <c r="N2563">
        <v>-1.437799E-2</v>
      </c>
      <c r="O2563">
        <v>2.4175309999999998E-2</v>
      </c>
      <c r="P2563">
        <v>-0.99596070000000003</v>
      </c>
      <c r="Q2563">
        <v>-8.9764949999999996E-2</v>
      </c>
      <c r="R2563">
        <v>-2.1033639999999999E-3</v>
      </c>
      <c r="S2563">
        <v>-2.9971009999999998</v>
      </c>
      <c r="T2563">
        <v>-0.1691251</v>
      </c>
      <c r="U2563">
        <v>4.9438479999999998E-3</v>
      </c>
      <c r="V2563">
        <v>-2.622992E-2</v>
      </c>
      <c r="W2563">
        <v>-7.5424370000000004E-2</v>
      </c>
      <c r="X2563">
        <v>0.99680650000000004</v>
      </c>
      <c r="Y2563">
        <v>-2.246252E-2</v>
      </c>
      <c r="Z2563">
        <v>-1.8105020000000001E-3</v>
      </c>
      <c r="AA2563">
        <v>0.99974600000000002</v>
      </c>
      <c r="AB2563">
        <v>31</v>
      </c>
      <c r="AC2563">
        <v>-19.5474</v>
      </c>
      <c r="AD2563">
        <v>-1.1205520853769999</v>
      </c>
      <c r="AE2563">
        <v>2.5100000000009001E-2</v>
      </c>
      <c r="AF2563">
        <v>-0.44605486586629101</v>
      </c>
      <c r="AG2563">
        <v>-1.1205520853769999</v>
      </c>
      <c r="AH2563">
        <v>19.4782843812491</v>
      </c>
      <c r="AI2563">
        <v>93.2916372583054</v>
      </c>
      <c r="AJ2563">
        <v>91.311850399542607</v>
      </c>
      <c r="AK2563">
        <v>19.5155877276658</v>
      </c>
      <c r="AL2563">
        <v>94.325605887692305</v>
      </c>
      <c r="AM2563">
        <v>91.507330644371905</v>
      </c>
      <c r="AN2563">
        <v>1.0000000213676701</v>
      </c>
    </row>
    <row r="2564" spans="1:40" x14ac:dyDescent="0.25">
      <c r="A2564" t="str">
        <f>"20190303154817848"</f>
        <v>20190303154817848</v>
      </c>
      <c r="B2564" t="str">
        <f>"1551599297843111"</f>
        <v>1551599297843111</v>
      </c>
      <c r="C2564" t="s">
        <v>40</v>
      </c>
      <c r="D2564">
        <v>5.0009059999999996</v>
      </c>
      <c r="E2564">
        <v>0.50080630000000004</v>
      </c>
      <c r="F2564" t="s">
        <v>52</v>
      </c>
      <c r="G2564">
        <v>-469.28199999999998</v>
      </c>
      <c r="H2564" s="1">
        <v>3.3963910000000002E-6</v>
      </c>
      <c r="I2564">
        <v>284.75850000000003</v>
      </c>
      <c r="J2564">
        <v>-449.15190000000001</v>
      </c>
      <c r="K2564">
        <v>1.1205670000000001</v>
      </c>
      <c r="L2564">
        <v>284.76740000000001</v>
      </c>
      <c r="M2564">
        <v>-0.99959750000000003</v>
      </c>
      <c r="N2564">
        <v>-1.437423E-2</v>
      </c>
      <c r="O2564">
        <v>2.4462729999999999E-2</v>
      </c>
      <c r="P2564">
        <v>-0.99618589999999996</v>
      </c>
      <c r="Q2564">
        <v>-8.7161160000000001E-2</v>
      </c>
      <c r="R2564">
        <v>-4.1114150000000002E-3</v>
      </c>
      <c r="S2564">
        <v>-2.9973450000000001</v>
      </c>
      <c r="T2564">
        <v>-0.16423399999999999</v>
      </c>
      <c r="U2564">
        <v>-1.220703E-4</v>
      </c>
      <c r="V2564">
        <v>-2.852735E-2</v>
      </c>
      <c r="W2564">
        <v>-7.2820750000000004E-2</v>
      </c>
      <c r="X2564">
        <v>0.99693699999999996</v>
      </c>
      <c r="Y2564">
        <v>-2.443973E-2</v>
      </c>
      <c r="Z2564">
        <v>-1.832693E-3</v>
      </c>
      <c r="AA2564">
        <v>0.99969969999999997</v>
      </c>
      <c r="AB2564">
        <v>31</v>
      </c>
      <c r="AC2564">
        <v>-20.130099999999899</v>
      </c>
      <c r="AD2564">
        <v>-1.1205636036090001</v>
      </c>
      <c r="AE2564">
        <v>-8.8999999999828001E-3</v>
      </c>
      <c r="AF2564">
        <v>-0.49983651885763303</v>
      </c>
      <c r="AG2564">
        <v>-1.1205636036090001</v>
      </c>
      <c r="AH2564">
        <v>20.061691550361399</v>
      </c>
      <c r="AI2564">
        <v>93.195994933755301</v>
      </c>
      <c r="AJ2564">
        <v>91.427227572863899</v>
      </c>
      <c r="AK2564">
        <v>20.099178271689599</v>
      </c>
      <c r="AL2564">
        <v>94.176017892622099</v>
      </c>
      <c r="AM2564">
        <v>91.639071331720501</v>
      </c>
      <c r="AN2564">
        <v>1.0000000266487901</v>
      </c>
    </row>
    <row r="2565" spans="1:40" x14ac:dyDescent="0.25">
      <c r="A2565" t="str">
        <f>"20190303154817871"</f>
        <v>20190303154817871</v>
      </c>
      <c r="B2565" t="str">
        <f>"1551599297863606"</f>
        <v>1551599297863606</v>
      </c>
      <c r="C2565" t="s">
        <v>40</v>
      </c>
      <c r="D2565">
        <v>5.0075399999999997</v>
      </c>
      <c r="E2565">
        <v>0.50075329999999996</v>
      </c>
      <c r="F2565" t="s">
        <v>47</v>
      </c>
      <c r="G2565">
        <v>-470.476</v>
      </c>
      <c r="H2565" s="1">
        <v>6.4118899999999997E-6</v>
      </c>
      <c r="I2565">
        <v>284.71769999999998</v>
      </c>
      <c r="J2565">
        <v>-449.45710000000003</v>
      </c>
      <c r="K2565">
        <v>1.1205780000000001</v>
      </c>
      <c r="L2565">
        <v>284.77510000000001</v>
      </c>
      <c r="M2565">
        <v>-0.9995908</v>
      </c>
      <c r="N2565">
        <v>-1.437094E-2</v>
      </c>
      <c r="O2565">
        <v>2.4736620000000001E-2</v>
      </c>
      <c r="P2565">
        <v>-0.9964691</v>
      </c>
      <c r="Q2565">
        <v>-8.3707149999999994E-2</v>
      </c>
      <c r="R2565">
        <v>-6.5090290000000004E-3</v>
      </c>
      <c r="S2565">
        <v>-2.9976500000000001</v>
      </c>
      <c r="T2565">
        <v>-0.15752379999999999</v>
      </c>
      <c r="U2565">
        <v>-6.9885249999999998E-3</v>
      </c>
      <c r="V2565">
        <v>-3.1202290000000001E-2</v>
      </c>
      <c r="W2565">
        <v>-6.9365659999999996E-2</v>
      </c>
      <c r="X2565">
        <v>0.99710319999999997</v>
      </c>
      <c r="Y2565">
        <v>-2.700425E-2</v>
      </c>
      <c r="Z2565">
        <v>-1.8467990000000001E-3</v>
      </c>
      <c r="AA2565">
        <v>0.99963360000000001</v>
      </c>
      <c r="AB2565">
        <v>31</v>
      </c>
      <c r="AC2565">
        <v>-21.018899999999899</v>
      </c>
      <c r="AD2565">
        <v>-1.12057158811</v>
      </c>
      <c r="AE2565">
        <v>-5.7400000000029601E-2</v>
      </c>
      <c r="AF2565">
        <v>-0.57573625962307595</v>
      </c>
      <c r="AG2565">
        <v>-1.12057158811</v>
      </c>
      <c r="AH2565">
        <v>20.951498386780699</v>
      </c>
      <c r="AI2565">
        <v>93.060341969503995</v>
      </c>
      <c r="AJ2565">
        <v>91.574062045970095</v>
      </c>
      <c r="AK2565">
        <v>20.989341046731301</v>
      </c>
      <c r="AL2565">
        <v>93.977553711314002</v>
      </c>
      <c r="AM2565">
        <v>91.7923684503494</v>
      </c>
      <c r="AN2565">
        <v>0.99999998456935901</v>
      </c>
    </row>
    <row r="2566" spans="1:40" x14ac:dyDescent="0.25">
      <c r="A2566" t="str">
        <f>"20190303154817894"</f>
        <v>20190303154817894</v>
      </c>
      <c r="B2566" t="str">
        <f>"1551599297883127"</f>
        <v>1551599297883127</v>
      </c>
      <c r="C2566" t="s">
        <v>40</v>
      </c>
      <c r="D2566">
        <v>4.9962309999999999</v>
      </c>
      <c r="E2566">
        <v>0.50068420000000002</v>
      </c>
      <c r="F2566" t="s">
        <v>47</v>
      </c>
      <c r="G2566">
        <v>-472.08420000000001</v>
      </c>
      <c r="H2566" s="1">
        <v>5.6939249999999999E-6</v>
      </c>
      <c r="I2566">
        <v>284.66300000000001</v>
      </c>
      <c r="J2566">
        <v>-449.77229999999997</v>
      </c>
      <c r="K2566">
        <v>1.1205889999999901</v>
      </c>
      <c r="L2566">
        <v>284.78320000000002</v>
      </c>
      <c r="M2566">
        <v>-0.99958380000000002</v>
      </c>
      <c r="N2566">
        <v>-1.4367629999999999E-2</v>
      </c>
      <c r="O2566">
        <v>2.501782E-2</v>
      </c>
      <c r="P2566">
        <v>-0.99670499999999995</v>
      </c>
      <c r="Q2566">
        <v>-8.0544899999999905E-2</v>
      </c>
      <c r="R2566">
        <v>-9.5774620000000001E-3</v>
      </c>
      <c r="S2566">
        <v>-2.9980470000000001</v>
      </c>
      <c r="T2566">
        <v>-0.14847349999999901</v>
      </c>
      <c r="U2566">
        <v>-1.486206E-2</v>
      </c>
      <c r="V2566">
        <v>-3.4552949999999999E-2</v>
      </c>
      <c r="W2566">
        <v>-6.6202899999999995E-2</v>
      </c>
      <c r="X2566">
        <v>0.99720779999999998</v>
      </c>
      <c r="Y2566">
        <v>-2.9912979999999999E-2</v>
      </c>
      <c r="Z2566">
        <v>-1.834104E-3</v>
      </c>
      <c r="AA2566">
        <v>0.99955079999999996</v>
      </c>
      <c r="AB2566">
        <v>31</v>
      </c>
      <c r="AC2566">
        <v>-22.311900000000001</v>
      </c>
      <c r="AD2566">
        <v>-1.1205833060749999</v>
      </c>
      <c r="AE2566">
        <v>-0.12020000000001101</v>
      </c>
      <c r="AF2566">
        <v>-0.67670818096231</v>
      </c>
      <c r="AG2566">
        <v>-1.1205833060749999</v>
      </c>
      <c r="AH2566">
        <v>22.245796274289901</v>
      </c>
      <c r="AI2566">
        <v>92.882381045648302</v>
      </c>
      <c r="AJ2566">
        <v>91.742377277892402</v>
      </c>
      <c r="AK2566">
        <v>22.284279050156499</v>
      </c>
      <c r="AL2566">
        <v>93.795922782152999</v>
      </c>
      <c r="AM2566">
        <v>91.984487568856494</v>
      </c>
      <c r="AN2566">
        <v>1.0000000633514701</v>
      </c>
    </row>
    <row r="2567" spans="1:40" x14ac:dyDescent="0.25">
      <c r="A2567" t="str">
        <f>"20190303154817916"</f>
        <v>20190303154817916</v>
      </c>
      <c r="B2567" t="str">
        <f>"1551599297913383"</f>
        <v>1551599297913383</v>
      </c>
      <c r="C2567" t="s">
        <v>40</v>
      </c>
      <c r="D2567">
        <v>5.0241199999999999</v>
      </c>
      <c r="E2567">
        <v>0.50067950000000006</v>
      </c>
      <c r="F2567" t="s">
        <v>47</v>
      </c>
      <c r="G2567">
        <v>-473.69779999999997</v>
      </c>
      <c r="H2567" s="1">
        <v>4.9714850000000004E-6</v>
      </c>
      <c r="I2567">
        <v>284.58429999999998</v>
      </c>
      <c r="J2567">
        <v>-450.08300000000003</v>
      </c>
      <c r="K2567">
        <v>1.120598</v>
      </c>
      <c r="L2567">
        <v>284.79129999999998</v>
      </c>
      <c r="M2567">
        <v>-0.99957689999999999</v>
      </c>
      <c r="N2567">
        <v>-1.4364409999999999E-2</v>
      </c>
      <c r="O2567">
        <v>2.5290409999999999E-2</v>
      </c>
      <c r="P2567">
        <v>-0.99683869999999997</v>
      </c>
      <c r="Q2567">
        <v>-7.8384120000000002E-2</v>
      </c>
      <c r="R2567">
        <v>-1.297714E-2</v>
      </c>
      <c r="S2567">
        <v>-2.9983219999999999</v>
      </c>
      <c r="T2567">
        <v>-0.14043069999999999</v>
      </c>
      <c r="U2567">
        <v>-2.4932860000000001E-2</v>
      </c>
      <c r="V2567">
        <v>-3.8225210000000003E-2</v>
      </c>
      <c r="W2567">
        <v>-6.4043020000000006E-2</v>
      </c>
      <c r="X2567">
        <v>0.99721479999999996</v>
      </c>
      <c r="Y2567">
        <v>-3.3543419999999997E-2</v>
      </c>
      <c r="Z2567">
        <v>-1.8467920000000001E-3</v>
      </c>
      <c r="AA2567">
        <v>0.99943550000000003</v>
      </c>
      <c r="AB2567">
        <v>31</v>
      </c>
      <c r="AC2567">
        <v>-23.614799999999899</v>
      </c>
      <c r="AD2567">
        <v>-1.1205930285150001</v>
      </c>
      <c r="AE2567">
        <v>-0.206999999999993</v>
      </c>
      <c r="AF2567">
        <v>-0.80241666648324295</v>
      </c>
      <c r="AG2567">
        <v>-1.1205930285150001</v>
      </c>
      <c r="AH2567">
        <v>23.548986282163501</v>
      </c>
      <c r="AI2567">
        <v>92.722822014380498</v>
      </c>
      <c r="AJ2567">
        <v>91.951562030065702</v>
      </c>
      <c r="AK2567">
        <v>23.589284774230201</v>
      </c>
      <c r="AL2567">
        <v>93.671907676820297</v>
      </c>
      <c r="AM2567">
        <v>92.195185490918902</v>
      </c>
      <c r="AN2567">
        <v>1.0000000162146501</v>
      </c>
    </row>
    <row r="2568" spans="1:40" x14ac:dyDescent="0.25">
      <c r="A2568" t="str">
        <f>"20190303154817938"</f>
        <v>20190303154817938</v>
      </c>
      <c r="B2568" t="str">
        <f>"1551599297932906"</f>
        <v>1551599297932906</v>
      </c>
      <c r="C2568" t="s">
        <v>40</v>
      </c>
      <c r="D2568">
        <v>5.0611379999999997</v>
      </c>
      <c r="E2568">
        <v>0.50068359999999901</v>
      </c>
      <c r="F2568" t="s">
        <v>47</v>
      </c>
      <c r="G2568">
        <v>-474.8587</v>
      </c>
      <c r="H2568" s="1">
        <v>4.4493269999999996E-6</v>
      </c>
      <c r="I2568">
        <v>284.50029999999998</v>
      </c>
      <c r="J2568">
        <v>-450.40039999999999</v>
      </c>
      <c r="K2568">
        <v>1.1206160000000001</v>
      </c>
      <c r="L2568">
        <v>284.7996</v>
      </c>
      <c r="M2568">
        <v>-0.99957010000000002</v>
      </c>
      <c r="N2568">
        <v>-1.436115E-2</v>
      </c>
      <c r="O2568">
        <v>2.5559419999999999E-2</v>
      </c>
      <c r="P2568">
        <v>-0.99688759999999998</v>
      </c>
      <c r="Q2568">
        <v>-7.713565E-2</v>
      </c>
      <c r="R2568">
        <v>-1.6288179999999999E-2</v>
      </c>
      <c r="S2568">
        <v>-2.9984130000000002</v>
      </c>
      <c r="T2568">
        <v>-0.13561689999999901</v>
      </c>
      <c r="U2568">
        <v>-3.5217289999999998E-2</v>
      </c>
      <c r="V2568">
        <v>-4.180267E-2</v>
      </c>
      <c r="W2568">
        <v>-6.279709E-2</v>
      </c>
      <c r="X2568">
        <v>0.99715050000000005</v>
      </c>
      <c r="Y2568">
        <v>-3.7238630000000002E-2</v>
      </c>
      <c r="Z2568">
        <v>-1.8976850000000001E-3</v>
      </c>
      <c r="AA2568">
        <v>0.99930459999999999</v>
      </c>
      <c r="AB2568">
        <v>31</v>
      </c>
      <c r="AC2568">
        <v>-24.458300000000001</v>
      </c>
      <c r="AD2568">
        <v>-1.1206115506729999</v>
      </c>
      <c r="AE2568">
        <v>-0.299300000000016</v>
      </c>
      <c r="AF2568">
        <v>-0.92247048780555396</v>
      </c>
      <c r="AG2568">
        <v>-1.1206115506729999</v>
      </c>
      <c r="AH2568">
        <v>24.391461871684399</v>
      </c>
      <c r="AI2568">
        <v>92.628601102387606</v>
      </c>
      <c r="AJ2568">
        <v>92.165859863846606</v>
      </c>
      <c r="AK2568">
        <v>24.434609354074201</v>
      </c>
      <c r="AL2568">
        <v>93.600377101210597</v>
      </c>
      <c r="AM2568">
        <v>92.400555312467006</v>
      </c>
      <c r="AN2568">
        <v>1.0000000286909201</v>
      </c>
    </row>
    <row r="2569" spans="1:40" x14ac:dyDescent="0.25">
      <c r="A2569" t="str">
        <f>"20190303154817960"</f>
        <v>20190303154817960</v>
      </c>
      <c r="B2569" t="str">
        <f>"1551599297953398"</f>
        <v>1551599297953398</v>
      </c>
      <c r="C2569" t="s">
        <v>40</v>
      </c>
      <c r="D2569">
        <v>5.0615809999999897</v>
      </c>
      <c r="E2569">
        <v>0.50071199999999905</v>
      </c>
      <c r="F2569" t="s">
        <v>47</v>
      </c>
      <c r="G2569">
        <v>-475.67219999999998</v>
      </c>
      <c r="H2569" s="1">
        <v>4.0814289999999997E-6</v>
      </c>
      <c r="I2569">
        <v>284.41840000000002</v>
      </c>
      <c r="J2569">
        <v>-450.70060000000001</v>
      </c>
      <c r="K2569">
        <v>1.1206400000000001</v>
      </c>
      <c r="L2569">
        <v>284.8075</v>
      </c>
      <c r="M2569">
        <v>-0.99956420000000001</v>
      </c>
      <c r="N2569">
        <v>-1.4358070000000001E-2</v>
      </c>
      <c r="O2569">
        <v>2.579886E-2</v>
      </c>
      <c r="P2569">
        <v>-0.99689740000000004</v>
      </c>
      <c r="Q2569">
        <v>-7.6480880000000001E-2</v>
      </c>
      <c r="R2569">
        <v>-1.8616609999999999E-2</v>
      </c>
      <c r="S2569">
        <v>-2.9983219999999999</v>
      </c>
      <c r="T2569">
        <v>-0.1329526</v>
      </c>
      <c r="U2569">
        <v>-4.5227049999999998E-2</v>
      </c>
      <c r="V2569">
        <v>-4.4367179999999999E-2</v>
      </c>
      <c r="W2569">
        <v>-6.2145980000000003E-2</v>
      </c>
      <c r="X2569">
        <v>0.99708039999999998</v>
      </c>
      <c r="Y2569">
        <v>-4.0811279999999998E-2</v>
      </c>
      <c r="Z2569">
        <v>-1.9705510000000001E-3</v>
      </c>
      <c r="AA2569">
        <v>0.99916490000000002</v>
      </c>
      <c r="AB2569">
        <v>31</v>
      </c>
      <c r="AC2569">
        <v>-24.971599999999899</v>
      </c>
      <c r="AD2569">
        <v>-1.12063591857099</v>
      </c>
      <c r="AE2569">
        <v>-0.38909999999998401</v>
      </c>
      <c r="AF2569">
        <v>-1.0311993662203001</v>
      </c>
      <c r="AG2569">
        <v>-1.12063591857099</v>
      </c>
      <c r="AH2569">
        <v>24.903107208717699</v>
      </c>
      <c r="AI2569">
        <v>92.574359702446799</v>
      </c>
      <c r="AJ2569">
        <v>92.371175468718306</v>
      </c>
      <c r="AK2569">
        <v>24.949628166443102</v>
      </c>
      <c r="AL2569">
        <v>93.562998528434903</v>
      </c>
      <c r="AM2569">
        <v>92.547815006834298</v>
      </c>
      <c r="AN2569">
        <v>0.99999994677773496</v>
      </c>
    </row>
    <row r="2570" spans="1:40" x14ac:dyDescent="0.25">
      <c r="A2570" t="str">
        <f>"20190303154817983"</f>
        <v>20190303154817983</v>
      </c>
      <c r="B2570" t="str">
        <f>"1551599297972919"</f>
        <v>1551599297972919</v>
      </c>
      <c r="C2570" t="s">
        <v>40</v>
      </c>
      <c r="D2570">
        <v>5.0304129999999896</v>
      </c>
      <c r="E2570">
        <v>0.50075619999999998</v>
      </c>
      <c r="F2570" t="s">
        <v>47</v>
      </c>
      <c r="G2570">
        <v>-476.08870000000002</v>
      </c>
      <c r="H2570" s="1">
        <v>3.8922760000000002E-6</v>
      </c>
      <c r="I2570">
        <v>284.36770000000001</v>
      </c>
      <c r="J2570">
        <v>-451.00889999999998</v>
      </c>
      <c r="K2570">
        <v>1.120663</v>
      </c>
      <c r="L2570">
        <v>284.81569999999999</v>
      </c>
      <c r="M2570">
        <v>-0.99955839999999996</v>
      </c>
      <c r="N2570">
        <v>-1.4355E-2</v>
      </c>
      <c r="O2570">
        <v>2.6021209999999999E-2</v>
      </c>
      <c r="P2570">
        <v>-0.99691960000000002</v>
      </c>
      <c r="Q2570">
        <v>-7.584159E-2</v>
      </c>
      <c r="R2570">
        <v>-1.999658E-2</v>
      </c>
      <c r="S2570">
        <v>-2.9981990000000001</v>
      </c>
      <c r="T2570">
        <v>-0.13234079999999901</v>
      </c>
      <c r="U2570">
        <v>-5.1940920000000002E-2</v>
      </c>
      <c r="V2570">
        <v>-4.5965949999999998E-2</v>
      </c>
      <c r="W2570">
        <v>-6.1511049999999998E-2</v>
      </c>
      <c r="X2570">
        <v>0.99704740000000003</v>
      </c>
      <c r="Y2570">
        <v>-4.3268199999999903E-2</v>
      </c>
      <c r="Z2570">
        <v>-2.039679E-3</v>
      </c>
      <c r="AA2570">
        <v>0.99906139999999999</v>
      </c>
      <c r="AB2570">
        <v>31</v>
      </c>
      <c r="AC2570">
        <v>-25.079799999999999</v>
      </c>
      <c r="AD2570">
        <v>-1.120659107724</v>
      </c>
      <c r="AE2570">
        <v>-0.44799999999997903</v>
      </c>
      <c r="AF2570">
        <v>-1.09832994558001</v>
      </c>
      <c r="AG2570">
        <v>-1.120659107724</v>
      </c>
      <c r="AH2570">
        <v>25.009727905810301</v>
      </c>
      <c r="AI2570">
        <v>92.563179051080894</v>
      </c>
      <c r="AJ2570">
        <v>92.514591981041903</v>
      </c>
      <c r="AK2570">
        <v>25.0589045137203</v>
      </c>
      <c r="AL2570">
        <v>93.526549802461204</v>
      </c>
      <c r="AM2570">
        <v>92.639585093501097</v>
      </c>
      <c r="AN2570">
        <v>0.99999999783913196</v>
      </c>
    </row>
    <row r="2571" spans="1:40" x14ac:dyDescent="0.25">
      <c r="A2571" t="str">
        <f>"20190303154818000"</f>
        <v>20190303154818000</v>
      </c>
      <c r="B2571" t="str">
        <f>"1551599297993405"</f>
        <v>1551599297993405</v>
      </c>
      <c r="C2571" t="s">
        <v>40</v>
      </c>
      <c r="D2571">
        <v>5.044257</v>
      </c>
      <c r="E2571">
        <v>0.50080559999999996</v>
      </c>
      <c r="F2571" t="s">
        <v>47</v>
      </c>
      <c r="G2571">
        <v>-476.47300000000001</v>
      </c>
      <c r="H2571" s="1">
        <v>3.7196259999999998E-6</v>
      </c>
      <c r="I2571">
        <v>284.34210000000002</v>
      </c>
      <c r="J2571">
        <v>-451.26049999999998</v>
      </c>
      <c r="K2571">
        <v>1.1206860000000001</v>
      </c>
      <c r="L2571">
        <v>284.82240000000002</v>
      </c>
      <c r="M2571">
        <v>-0.99955419999999995</v>
      </c>
      <c r="N2571">
        <v>-1.4352220000000001E-2</v>
      </c>
      <c r="O2571">
        <v>2.6184800000000001E-2</v>
      </c>
      <c r="P2571">
        <v>-0.99691390000000002</v>
      </c>
      <c r="Q2571">
        <v>-7.5724840000000002E-2</v>
      </c>
      <c r="R2571">
        <v>-2.070586E-2</v>
      </c>
      <c r="S2571">
        <v>-2.9980769999999999</v>
      </c>
      <c r="T2571">
        <v>-0.1319437</v>
      </c>
      <c r="U2571">
        <v>-5.5755619999999999E-2</v>
      </c>
      <c r="V2571">
        <v>-4.6835340000000003E-2</v>
      </c>
      <c r="W2571">
        <v>-6.1398990000000001E-2</v>
      </c>
      <c r="X2571">
        <v>0.99701390000000001</v>
      </c>
      <c r="Y2571">
        <v>-4.4701619999999997E-2</v>
      </c>
      <c r="Z2571">
        <v>-2.080129E-3</v>
      </c>
      <c r="AA2571">
        <v>0.99899819999999995</v>
      </c>
      <c r="AB2571">
        <v>31</v>
      </c>
      <c r="AC2571">
        <v>-25.212499999999999</v>
      </c>
      <c r="AD2571">
        <v>-1.120682280374</v>
      </c>
      <c r="AE2571">
        <v>-0.48029999999999901</v>
      </c>
      <c r="AF2571">
        <v>-1.13813961017045</v>
      </c>
      <c r="AG2571">
        <v>-1.120682280374</v>
      </c>
      <c r="AH2571">
        <v>25.141619816477998</v>
      </c>
      <c r="AI2571">
        <v>92.549649833440995</v>
      </c>
      <c r="AJ2571">
        <v>92.591961300365995</v>
      </c>
      <c r="AK2571">
        <v>25.192307110348199</v>
      </c>
      <c r="AL2571">
        <v>93.520116891519194</v>
      </c>
      <c r="AM2571">
        <v>92.6895272441825</v>
      </c>
      <c r="AN2571">
        <v>1.0000000509195699</v>
      </c>
    </row>
    <row r="2572" spans="1:40" x14ac:dyDescent="0.25">
      <c r="A2572" t="str">
        <f>"20190303154818016"</f>
        <v>20190303154818016</v>
      </c>
      <c r="B2572" t="str">
        <f>"1551599298003163"</f>
        <v>1551599298003163</v>
      </c>
      <c r="C2572" t="s">
        <v>40</v>
      </c>
      <c r="D2572">
        <v>5.0785929999999997</v>
      </c>
      <c r="E2572">
        <v>0.50081239999999905</v>
      </c>
      <c r="F2572" t="s">
        <v>47</v>
      </c>
      <c r="G2572">
        <v>-476.39600000000002</v>
      </c>
      <c r="H2572" s="1">
        <v>3.753655E-6</v>
      </c>
      <c r="I2572">
        <v>284.34059999999999</v>
      </c>
      <c r="J2572">
        <v>-451.47899999999998</v>
      </c>
      <c r="K2572">
        <v>1.1207100000000001</v>
      </c>
      <c r="L2572">
        <v>284.82830000000001</v>
      </c>
      <c r="M2572">
        <v>-0.99955079999999996</v>
      </c>
      <c r="N2572">
        <v>-1.434976E-2</v>
      </c>
      <c r="O2572">
        <v>2.6313010000000001E-2</v>
      </c>
      <c r="P2572">
        <v>-0.99696689999999999</v>
      </c>
      <c r="Q2572">
        <v>-7.4603509999999998E-2</v>
      </c>
      <c r="R2572">
        <v>-2.21733E-2</v>
      </c>
      <c r="S2572">
        <v>-2.9979550000000001</v>
      </c>
      <c r="T2572">
        <v>-0.1336656</v>
      </c>
      <c r="U2572">
        <v>-5.7464599999999998E-2</v>
      </c>
      <c r="V2572">
        <v>-4.8428369999999998E-2</v>
      </c>
      <c r="W2572">
        <v>-6.0281059999999997E-2</v>
      </c>
      <c r="X2572">
        <v>0.9970059</v>
      </c>
      <c r="Y2572">
        <v>-4.5397020000000003E-2</v>
      </c>
      <c r="Z2572">
        <v>-2.1324209999999998E-3</v>
      </c>
      <c r="AA2572">
        <v>0.99896680000000004</v>
      </c>
      <c r="AB2572">
        <v>31</v>
      </c>
      <c r="AC2572">
        <v>-24.916999999999899</v>
      </c>
      <c r="AD2572">
        <v>-1.1207062463449999</v>
      </c>
      <c r="AE2572">
        <v>-0.48770000000001701</v>
      </c>
      <c r="AF2572">
        <v>-1.1409326516723199</v>
      </c>
      <c r="AG2572">
        <v>-1.1207062463449999</v>
      </c>
      <c r="AH2572">
        <v>24.845294264154202</v>
      </c>
      <c r="AI2572">
        <v>92.579996843214104</v>
      </c>
      <c r="AJ2572">
        <v>92.629259778676499</v>
      </c>
      <c r="AK2572">
        <v>24.8967137766947</v>
      </c>
      <c r="AL2572">
        <v>93.455945732258598</v>
      </c>
      <c r="AM2572">
        <v>92.780888296560406</v>
      </c>
      <c r="AN2572">
        <v>0.99999993892519301</v>
      </c>
    </row>
    <row r="2573" spans="1:40" x14ac:dyDescent="0.25">
      <c r="A2573" t="str">
        <f>"20190303154818038"</f>
        <v>20190303154818038</v>
      </c>
      <c r="B2573" t="str">
        <f>"1551599298033419"</f>
        <v>1551599298033419</v>
      </c>
      <c r="C2573" t="s">
        <v>40</v>
      </c>
      <c r="D2573">
        <v>5.1061110000000003</v>
      </c>
      <c r="E2573">
        <v>0.47099760000000002</v>
      </c>
      <c r="F2573" t="s">
        <v>47</v>
      </c>
      <c r="G2573">
        <v>-477.06299999999999</v>
      </c>
      <c r="H2573" s="1">
        <v>3.4540989999999999E-6</v>
      </c>
      <c r="I2573">
        <v>284.2978</v>
      </c>
      <c r="J2573">
        <v>-451.78870000000001</v>
      </c>
      <c r="K2573">
        <v>1.120738</v>
      </c>
      <c r="L2573">
        <v>284.83659999999998</v>
      </c>
      <c r="M2573">
        <v>-0.99954659999999995</v>
      </c>
      <c r="N2573">
        <v>-1.4346329999999999E-2</v>
      </c>
      <c r="O2573">
        <v>2.6472510000000001E-2</v>
      </c>
      <c r="P2573">
        <v>-0.99700639999999996</v>
      </c>
      <c r="Q2573">
        <v>-7.3660809999999993E-2</v>
      </c>
      <c r="R2573">
        <v>-2.3505829999999998E-2</v>
      </c>
      <c r="S2573">
        <v>-2.997925</v>
      </c>
      <c r="T2573">
        <v>-0.13132379999999999</v>
      </c>
      <c r="U2573">
        <v>-6.216431E-2</v>
      </c>
      <c r="V2573">
        <v>-4.9916780000000001E-2</v>
      </c>
      <c r="W2573">
        <v>-5.9343949999999999E-2</v>
      </c>
      <c r="X2573">
        <v>0.99698880000000001</v>
      </c>
      <c r="Y2573">
        <v>-4.7122150000000002E-2</v>
      </c>
      <c r="Z2573">
        <v>-2.1490459999999999E-3</v>
      </c>
      <c r="AA2573">
        <v>0.99888679999999996</v>
      </c>
      <c r="AB2573">
        <v>31</v>
      </c>
      <c r="AC2573">
        <v>-25.2743</v>
      </c>
      <c r="AD2573">
        <v>-1.1207345459010001</v>
      </c>
      <c r="AE2573">
        <v>-0.53879999999997996</v>
      </c>
      <c r="AF2573">
        <v>-1.20538509401993</v>
      </c>
      <c r="AG2573">
        <v>-1.1207345459010001</v>
      </c>
      <c r="AH2573">
        <v>25.201644537232099</v>
      </c>
      <c r="AI2573">
        <v>92.543401479694197</v>
      </c>
      <c r="AJ2573">
        <v>92.738348514029099</v>
      </c>
      <c r="AK2573">
        <v>25.2553338233384</v>
      </c>
      <c r="AL2573">
        <v>93.402156672715506</v>
      </c>
      <c r="AM2573">
        <v>92.866265513339798</v>
      </c>
      <c r="AN2573">
        <v>1.0000000283263</v>
      </c>
    </row>
    <row r="2574" spans="1:40" x14ac:dyDescent="0.25">
      <c r="A2574" t="str">
        <f>"20190303154818060"</f>
        <v>20190303154818060</v>
      </c>
      <c r="B2574" t="str">
        <f>"1551599298052940"</f>
        <v>1551599298052940</v>
      </c>
      <c r="C2574" t="s">
        <v>40</v>
      </c>
      <c r="D2574">
        <v>5.1658410000000003</v>
      </c>
      <c r="E2574">
        <v>0.45940229999999999</v>
      </c>
      <c r="F2574" t="s">
        <v>52</v>
      </c>
      <c r="G2574">
        <v>-466.1995</v>
      </c>
      <c r="H2574" s="1">
        <v>1.8162639999999999E-6</v>
      </c>
      <c r="I2574">
        <v>283.38139999999999</v>
      </c>
      <c r="J2574">
        <v>-452.09230000000002</v>
      </c>
      <c r="K2574">
        <v>1.120765</v>
      </c>
      <c r="L2574">
        <v>284.84480000000002</v>
      </c>
      <c r="M2574">
        <v>-0.99954339999999997</v>
      </c>
      <c r="N2574">
        <v>-1.4343E-2</v>
      </c>
      <c r="O2574">
        <v>2.6599419999999999E-2</v>
      </c>
      <c r="P2574">
        <v>-0.99703920000000001</v>
      </c>
      <c r="Q2574">
        <v>-7.3057990000000003E-2</v>
      </c>
      <c r="R2574">
        <v>-2.4001410000000001E-2</v>
      </c>
      <c r="S2574">
        <v>-2.9847109999999999</v>
      </c>
      <c r="T2574">
        <v>-0.23212240000000001</v>
      </c>
      <c r="U2574">
        <v>-0.30139159999999998</v>
      </c>
      <c r="V2574">
        <v>-5.0536110000000002E-2</v>
      </c>
      <c r="W2574">
        <v>-5.8746699999999999E-2</v>
      </c>
      <c r="X2574">
        <v>0.99699289999999996</v>
      </c>
      <c r="Y2574">
        <v>-0.12639819999999999</v>
      </c>
      <c r="Z2574">
        <v>-7.4864529999999997E-3</v>
      </c>
      <c r="AA2574">
        <v>0.99195129999999998</v>
      </c>
      <c r="AB2574">
        <v>31</v>
      </c>
      <c r="AC2574">
        <v>-14.107199999999899</v>
      </c>
      <c r="AD2574">
        <v>-1.1207631837359999</v>
      </c>
      <c r="AE2574">
        <v>-1.46340000000003</v>
      </c>
      <c r="AF2574">
        <v>-1.8267568127692</v>
      </c>
      <c r="AG2574">
        <v>-1.1207631837359999</v>
      </c>
      <c r="AH2574">
        <v>13.976004710006</v>
      </c>
      <c r="AI2574">
        <v>94.546342802436797</v>
      </c>
      <c r="AJ2574">
        <v>97.446723940250905</v>
      </c>
      <c r="AK2574">
        <v>14.139372624735699</v>
      </c>
      <c r="AL2574">
        <v>93.367877198560095</v>
      </c>
      <c r="AM2574">
        <v>92.9017556670114</v>
      </c>
      <c r="AN2574">
        <v>0.99999995791261498</v>
      </c>
    </row>
    <row r="2575" spans="1:40" x14ac:dyDescent="0.25">
      <c r="A2575" t="str">
        <f>"20190303154818084"</f>
        <v>20190303154818084</v>
      </c>
      <c r="B2575" t="str">
        <f>"1551599298073435"</f>
        <v>1551599298073435</v>
      </c>
      <c r="C2575" t="s">
        <v>40</v>
      </c>
      <c r="D2575">
        <v>5.1699089999999996</v>
      </c>
      <c r="E2575">
        <v>0.45476220000000001</v>
      </c>
      <c r="F2575" t="s">
        <v>52</v>
      </c>
      <c r="G2575">
        <v>-466.10669999999999</v>
      </c>
      <c r="H2575" s="1">
        <v>1.7841199999999999E-6</v>
      </c>
      <c r="I2575">
        <v>282.98660000000001</v>
      </c>
      <c r="J2575">
        <v>-452.40710000000001</v>
      </c>
      <c r="K2575">
        <v>1.120779</v>
      </c>
      <c r="L2575">
        <v>284.85329999999999</v>
      </c>
      <c r="M2575">
        <v>-0.9995406</v>
      </c>
      <c r="N2575">
        <v>-1.4339589999999999E-2</v>
      </c>
      <c r="O2575">
        <v>2.6703319999999999E-2</v>
      </c>
      <c r="P2575">
        <v>-0.99702860000000004</v>
      </c>
      <c r="Q2575">
        <v>-7.3054030000000006E-2</v>
      </c>
      <c r="R2575">
        <v>-2.4437710000000001E-2</v>
      </c>
      <c r="S2575">
        <v>-2.9819339999999999</v>
      </c>
      <c r="T2575">
        <v>-0.23847309999999999</v>
      </c>
      <c r="U2575">
        <v>-0.39538570000000001</v>
      </c>
      <c r="V2575">
        <v>-5.107329E-2</v>
      </c>
      <c r="W2575">
        <v>-5.8749040000000002E-2</v>
      </c>
      <c r="X2575">
        <v>0.9969654</v>
      </c>
      <c r="Y2575">
        <v>-0.1572306</v>
      </c>
      <c r="Z2575">
        <v>-9.1271919999999993E-3</v>
      </c>
      <c r="AA2575">
        <v>0.9875197</v>
      </c>
      <c r="AB2575">
        <v>31</v>
      </c>
      <c r="AC2575">
        <v>-13.699599999999901</v>
      </c>
      <c r="AD2575">
        <v>-1.12077721588</v>
      </c>
      <c r="AE2575">
        <v>-1.86669999999998</v>
      </c>
      <c r="AF2575">
        <v>-2.2173264879554102</v>
      </c>
      <c r="AG2575">
        <v>-1.12077721588</v>
      </c>
      <c r="AH2575">
        <v>13.5557860857558</v>
      </c>
      <c r="AI2575">
        <v>94.664689220900001</v>
      </c>
      <c r="AJ2575">
        <v>99.289632359735194</v>
      </c>
      <c r="AK2575">
        <v>13.7815824463156</v>
      </c>
      <c r="AL2575">
        <v>93.368011462823503</v>
      </c>
      <c r="AM2575">
        <v>92.932627439142195</v>
      </c>
      <c r="AN2575">
        <v>0.99999996972475202</v>
      </c>
    </row>
    <row r="2576" spans="1:40" x14ac:dyDescent="0.25">
      <c r="A2576" t="str">
        <f>"20190303154818105"</f>
        <v>20190303154818105</v>
      </c>
      <c r="B2576" t="str">
        <f>"1551599298103691"</f>
        <v>1551599298103691</v>
      </c>
      <c r="C2576" t="s">
        <v>40</v>
      </c>
      <c r="D2576">
        <v>5.1633990000000001</v>
      </c>
      <c r="E2576">
        <v>0.45164549999999998</v>
      </c>
      <c r="F2576" t="s">
        <v>52</v>
      </c>
      <c r="G2576">
        <v>-466.02629999999999</v>
      </c>
      <c r="H2576" s="1">
        <v>1.746356E-6</v>
      </c>
      <c r="I2576">
        <v>282.87259999999998</v>
      </c>
      <c r="J2576">
        <v>-452.7192</v>
      </c>
      <c r="K2576">
        <v>1.120795</v>
      </c>
      <c r="L2576">
        <v>284.86169999999998</v>
      </c>
      <c r="M2576">
        <v>-0.9995385</v>
      </c>
      <c r="N2576">
        <v>-1.433618E-2</v>
      </c>
      <c r="O2576">
        <v>2.6785690000000001E-2</v>
      </c>
      <c r="P2576">
        <v>-0.99697630000000004</v>
      </c>
      <c r="Q2576">
        <v>-7.3744729999999994E-2</v>
      </c>
      <c r="R2576">
        <v>-2.4497109999999999E-2</v>
      </c>
      <c r="S2576">
        <v>-2.9803160000000002</v>
      </c>
      <c r="T2576">
        <v>-0.24526149999999999</v>
      </c>
      <c r="U2576">
        <v>-0.43344120000000003</v>
      </c>
      <c r="V2576">
        <v>-5.1209989999999997E-2</v>
      </c>
      <c r="W2576">
        <v>-5.9446190000000003E-2</v>
      </c>
      <c r="X2576">
        <v>0.9969171</v>
      </c>
      <c r="Y2576">
        <v>-0.1696559</v>
      </c>
      <c r="Z2576">
        <v>-9.9662970000000007E-3</v>
      </c>
      <c r="AA2576">
        <v>0.98545300000000002</v>
      </c>
      <c r="AB2576">
        <v>31</v>
      </c>
      <c r="AC2576">
        <v>-13.307099999999901</v>
      </c>
      <c r="AD2576">
        <v>-1.120793253644</v>
      </c>
      <c r="AE2576">
        <v>-1.9891000000000001</v>
      </c>
      <c r="AF2576">
        <v>-2.3287040882985299</v>
      </c>
      <c r="AG2576">
        <v>-1.120793253644</v>
      </c>
      <c r="AH2576">
        <v>13.1577399611804</v>
      </c>
      <c r="AI2576">
        <v>94.794618439901598</v>
      </c>
      <c r="AJ2576">
        <v>100.03648257179999</v>
      </c>
      <c r="AK2576">
        <v>13.4091446831748</v>
      </c>
      <c r="AL2576">
        <v>93.408025021076597</v>
      </c>
      <c r="AM2576">
        <v>92.940605207475301</v>
      </c>
      <c r="AN2576">
        <v>1.0000000084268601</v>
      </c>
    </row>
    <row r="2577" spans="1:40" x14ac:dyDescent="0.25">
      <c r="A2577" t="str">
        <f>"20190303154818139"</f>
        <v>20190303154818139</v>
      </c>
      <c r="B2577" t="str">
        <f>"1551599298132975"</f>
        <v>1551599298132975</v>
      </c>
      <c r="C2577" t="s">
        <v>40</v>
      </c>
      <c r="D2577">
        <v>5.0859990000000002</v>
      </c>
      <c r="E2577">
        <v>0.44972390000000001</v>
      </c>
      <c r="F2577" t="s">
        <v>52</v>
      </c>
      <c r="G2577">
        <v>-465.81369999999998</v>
      </c>
      <c r="H2577" s="1">
        <v>1.6342869999999901E-6</v>
      </c>
      <c r="I2577">
        <v>282.84739999999999</v>
      </c>
      <c r="J2577">
        <v>-453.18470000000002</v>
      </c>
      <c r="K2577">
        <v>1.1208009999999999</v>
      </c>
      <c r="L2577">
        <v>284.87439999999998</v>
      </c>
      <c r="M2577">
        <v>-0.99953590000000003</v>
      </c>
      <c r="N2577">
        <v>-1.433106E-2</v>
      </c>
      <c r="O2577">
        <v>2.688432E-2</v>
      </c>
      <c r="P2577">
        <v>-0.99686430000000004</v>
      </c>
      <c r="Q2577">
        <v>-7.5540239999999995E-2</v>
      </c>
      <c r="R2577">
        <v>-2.3573719999999999E-2</v>
      </c>
      <c r="S2577">
        <v>-2.9789729999999999</v>
      </c>
      <c r="T2577">
        <v>-0.25497880000000001</v>
      </c>
      <c r="U2577">
        <v>-0.45825199999999999</v>
      </c>
      <c r="V2577">
        <v>-5.0380179999999997E-2</v>
      </c>
      <c r="W2577">
        <v>-6.1250590000000001E-2</v>
      </c>
      <c r="X2577">
        <v>0.99685009999999996</v>
      </c>
      <c r="Y2577">
        <v>-0.17774909999999999</v>
      </c>
      <c r="Z2577">
        <v>-1.073503E-2</v>
      </c>
      <c r="AA2577">
        <v>0.98401729999999998</v>
      </c>
      <c r="AB2577">
        <v>31</v>
      </c>
      <c r="AC2577">
        <v>-12.6289999999999</v>
      </c>
      <c r="AD2577">
        <v>-1.120799365713</v>
      </c>
      <c r="AE2577">
        <v>-2.0269999999999802</v>
      </c>
      <c r="AF2577">
        <v>-2.34779676050618</v>
      </c>
      <c r="AG2577">
        <v>-1.120799365713</v>
      </c>
      <c r="AH2577">
        <v>12.474152523013</v>
      </c>
      <c r="AI2577">
        <v>95.046094955913503</v>
      </c>
      <c r="AJ2577">
        <v>100.65911061266701</v>
      </c>
      <c r="AK2577">
        <v>12.7425594765815</v>
      </c>
      <c r="AL2577">
        <v>93.511598485973806</v>
      </c>
      <c r="AM2577">
        <v>92.893231179205401</v>
      </c>
      <c r="AN2577">
        <v>0.999999959591094</v>
      </c>
    </row>
    <row r="2578" spans="1:40" x14ac:dyDescent="0.25">
      <c r="A2578" t="str">
        <f>"20190303154818161"</f>
        <v>20190303154818161</v>
      </c>
      <c r="B2578" t="str">
        <f>"1551599298153467"</f>
        <v>1551599298153467</v>
      </c>
      <c r="C2578" t="s">
        <v>40</v>
      </c>
      <c r="D2578">
        <v>5.0764449999999997</v>
      </c>
      <c r="E2578">
        <v>0.4486542</v>
      </c>
      <c r="F2578" t="s">
        <v>52</v>
      </c>
      <c r="G2578">
        <v>-465.7638</v>
      </c>
      <c r="H2578" s="1">
        <v>1.6060379999999999E-6</v>
      </c>
      <c r="I2578">
        <v>282.88569999999999</v>
      </c>
      <c r="J2578">
        <v>-453.47710000000001</v>
      </c>
      <c r="K2578">
        <v>1.1208049999999901</v>
      </c>
      <c r="L2578">
        <v>284.88229999999999</v>
      </c>
      <c r="M2578">
        <v>-0.99953449999999999</v>
      </c>
      <c r="N2578">
        <v>-1.432783E-2</v>
      </c>
      <c r="O2578">
        <v>2.6936789999999999E-2</v>
      </c>
      <c r="P2578">
        <v>-0.99679479999999998</v>
      </c>
      <c r="Q2578">
        <v>-7.6486189999999996E-2</v>
      </c>
      <c r="R2578">
        <v>-2.3453020000000002E-2</v>
      </c>
      <c r="S2578">
        <v>-2.9781490000000002</v>
      </c>
      <c r="T2578">
        <v>-0.26535429999999999</v>
      </c>
      <c r="U2578">
        <v>-0.4708252</v>
      </c>
      <c r="V2578">
        <v>-5.0309239999999998E-2</v>
      </c>
      <c r="W2578">
        <v>-6.2201579999999999E-2</v>
      </c>
      <c r="X2578">
        <v>0.99679479999999998</v>
      </c>
      <c r="Y2578">
        <v>-0.18181369999999999</v>
      </c>
      <c r="Z2578">
        <v>-1.134665E-2</v>
      </c>
      <c r="AA2578">
        <v>0.98326749999999996</v>
      </c>
      <c r="AB2578">
        <v>31</v>
      </c>
      <c r="AC2578">
        <v>-12.2866999999999</v>
      </c>
      <c r="AD2578">
        <v>-1.1208033939619999</v>
      </c>
      <c r="AE2578">
        <v>-1.9965999999999999</v>
      </c>
      <c r="AF2578">
        <v>-2.30816094229561</v>
      </c>
      <c r="AG2578">
        <v>-1.1208033939619999</v>
      </c>
      <c r="AH2578">
        <v>12.130112395870601</v>
      </c>
      <c r="AI2578">
        <v>95.186511050582197</v>
      </c>
      <c r="AJ2578">
        <v>100.77364686422899</v>
      </c>
      <c r="AK2578">
        <v>12.3985254736162</v>
      </c>
      <c r="AL2578">
        <v>93.566190284877806</v>
      </c>
      <c r="AM2578">
        <v>92.889324159625204</v>
      </c>
      <c r="AN2578">
        <v>0.99999996474545605</v>
      </c>
    </row>
    <row r="2579" spans="1:40" x14ac:dyDescent="0.25">
      <c r="A2579" t="str">
        <f>"20190303154818183"</f>
        <v>20190303154818183</v>
      </c>
      <c r="B2579" t="str">
        <f>"1551599298172987"</f>
        <v>1551599298172987</v>
      </c>
      <c r="C2579" t="s">
        <v>40</v>
      </c>
      <c r="D2579">
        <v>5.092549</v>
      </c>
      <c r="E2579">
        <v>0.44782840000000002</v>
      </c>
      <c r="F2579" t="s">
        <v>52</v>
      </c>
      <c r="G2579">
        <v>-465.85449999999997</v>
      </c>
      <c r="H2579" s="1">
        <v>1.654038E-6</v>
      </c>
      <c r="I2579">
        <v>282.89179999999999</v>
      </c>
      <c r="J2579">
        <v>-453.79050000000001</v>
      </c>
      <c r="K2579">
        <v>1.1208089999999999</v>
      </c>
      <c r="L2579">
        <v>284.89080000000001</v>
      </c>
      <c r="M2579">
        <v>-0.99953309999999995</v>
      </c>
      <c r="N2579">
        <v>-1.432431E-2</v>
      </c>
      <c r="O2579">
        <v>2.6988769999999999E-2</v>
      </c>
      <c r="P2579">
        <v>-0.99676750000000003</v>
      </c>
      <c r="Q2579">
        <v>-7.6688010000000001E-2</v>
      </c>
      <c r="R2579">
        <v>-2.3947050000000001E-2</v>
      </c>
      <c r="S2579">
        <v>-2.9776919999999998</v>
      </c>
      <c r="T2579">
        <v>-0.26963710000000002</v>
      </c>
      <c r="U2579">
        <v>-0.47885129999999998</v>
      </c>
      <c r="V2579">
        <v>-5.0853290000000002E-2</v>
      </c>
      <c r="W2579">
        <v>-6.240797E-2</v>
      </c>
      <c r="X2579">
        <v>0.99675429999999998</v>
      </c>
      <c r="Y2579">
        <v>-0.1844324</v>
      </c>
      <c r="Z2579">
        <v>-1.165416E-2</v>
      </c>
      <c r="AA2579">
        <v>0.98277610000000004</v>
      </c>
      <c r="AB2579">
        <v>31</v>
      </c>
      <c r="AC2579">
        <v>-12.063999999999901</v>
      </c>
      <c r="AD2579">
        <v>-1.120807345962</v>
      </c>
      <c r="AE2579">
        <v>-1.9990000000000201</v>
      </c>
      <c r="AF2579">
        <v>-2.3045378686860598</v>
      </c>
      <c r="AG2579">
        <v>-1.120807345962</v>
      </c>
      <c r="AH2579">
        <v>11.905632793379199</v>
      </c>
      <c r="AI2579">
        <v>95.2805800539616</v>
      </c>
      <c r="AJ2579">
        <v>100.955091713288</v>
      </c>
      <c r="AK2579">
        <v>12.1783084254652</v>
      </c>
      <c r="AL2579">
        <v>93.578038550197505</v>
      </c>
      <c r="AM2579">
        <v>92.920634304466802</v>
      </c>
      <c r="AN2579">
        <v>0.99999997319591705</v>
      </c>
    </row>
    <row r="2580" spans="1:40" x14ac:dyDescent="0.25">
      <c r="A2580" t="str">
        <f>"20190303154818206"</f>
        <v>20190303154818206</v>
      </c>
      <c r="B2580" t="str">
        <f>"1551599298203244"</f>
        <v>1551599298203244</v>
      </c>
      <c r="C2580" t="s">
        <v>40</v>
      </c>
      <c r="D2580">
        <v>5.0735080000000004</v>
      </c>
      <c r="E2580">
        <v>0.44706390000000001</v>
      </c>
      <c r="F2580" t="s">
        <v>52</v>
      </c>
      <c r="G2580">
        <v>-466.17559999999997</v>
      </c>
      <c r="H2580" s="1">
        <v>1.8260960000000001E-6</v>
      </c>
      <c r="I2580">
        <v>282.86509999999998</v>
      </c>
      <c r="J2580">
        <v>-454.09339999999997</v>
      </c>
      <c r="K2580">
        <v>1.1208100000000001</v>
      </c>
      <c r="L2580">
        <v>284.899</v>
      </c>
      <c r="M2580">
        <v>-0.99953179999999997</v>
      </c>
      <c r="N2580">
        <v>-1.4320869999999999E-2</v>
      </c>
      <c r="O2580">
        <v>2.703881E-2</v>
      </c>
      <c r="P2580">
        <v>-0.99670510000000001</v>
      </c>
      <c r="Q2580">
        <v>-7.7350849999999999E-2</v>
      </c>
      <c r="R2580">
        <v>-2.4411550000000001E-2</v>
      </c>
      <c r="S2580">
        <v>-2.9772639999999999</v>
      </c>
      <c r="T2580">
        <v>-0.26943289999999998</v>
      </c>
      <c r="U2580">
        <v>-0.48696899999999999</v>
      </c>
      <c r="V2580">
        <v>-5.1365380000000002E-2</v>
      </c>
      <c r="W2580">
        <v>-6.3075510000000001E-2</v>
      </c>
      <c r="X2580">
        <v>0.99668599999999996</v>
      </c>
      <c r="Y2580">
        <v>-0.18710289999999999</v>
      </c>
      <c r="Z2580">
        <v>-1.178832E-2</v>
      </c>
      <c r="AA2580">
        <v>0.98226959999999996</v>
      </c>
      <c r="AB2580">
        <v>31</v>
      </c>
      <c r="AC2580">
        <v>-12.0822</v>
      </c>
      <c r="AD2580">
        <v>-1.1208081739039999</v>
      </c>
      <c r="AE2580">
        <v>-2.0339000000000098</v>
      </c>
      <c r="AF2580">
        <v>-2.3402938696317599</v>
      </c>
      <c r="AG2580">
        <v>-1.1208081739039999</v>
      </c>
      <c r="AH2580">
        <v>11.9230070603616</v>
      </c>
      <c r="AI2580">
        <v>95.270258054712201</v>
      </c>
      <c r="AJ2580">
        <v>101.105057090681</v>
      </c>
      <c r="AK2580">
        <v>12.202101610802901</v>
      </c>
      <c r="AL2580">
        <v>93.616361355462203</v>
      </c>
      <c r="AM2580">
        <v>92.950195047149293</v>
      </c>
      <c r="AN2580">
        <v>0.99999995241015105</v>
      </c>
    </row>
    <row r="2581" spans="1:40" x14ac:dyDescent="0.25">
      <c r="A2581" t="str">
        <f>"20190303154818228"</f>
        <v>20190303154818228</v>
      </c>
      <c r="B2581" t="str">
        <f>"1551599298222763"</f>
        <v>1551599298222763</v>
      </c>
      <c r="C2581" t="s">
        <v>40</v>
      </c>
      <c r="D2581">
        <v>5.0609359999999999</v>
      </c>
      <c r="E2581">
        <v>0.4465982</v>
      </c>
      <c r="F2581" t="s">
        <v>52</v>
      </c>
      <c r="G2581">
        <v>-466.43180000000001</v>
      </c>
      <c r="H2581" s="1">
        <v>1.96312E-6</v>
      </c>
      <c r="I2581">
        <v>282.84899999999999</v>
      </c>
      <c r="J2581">
        <v>-454.41039999999998</v>
      </c>
      <c r="K2581">
        <v>1.1208209999999901</v>
      </c>
      <c r="L2581">
        <v>284.90769999999998</v>
      </c>
      <c r="M2581">
        <v>-0.99953049999999999</v>
      </c>
      <c r="N2581">
        <v>-1.431729E-2</v>
      </c>
      <c r="O2581">
        <v>2.7090650000000001E-2</v>
      </c>
      <c r="P2581">
        <v>-0.99670579999999998</v>
      </c>
      <c r="Q2581">
        <v>-7.6912750000000002E-2</v>
      </c>
      <c r="R2581">
        <v>-2.573574E-2</v>
      </c>
      <c r="S2581">
        <v>-2.976807</v>
      </c>
      <c r="T2581">
        <v>-0.27041090000000001</v>
      </c>
      <c r="U2581">
        <v>-0.49459839999999999</v>
      </c>
      <c r="V2581">
        <v>-5.2740259999999997E-2</v>
      </c>
      <c r="W2581">
        <v>-6.264161E-2</v>
      </c>
      <c r="X2581">
        <v>0.99664160000000002</v>
      </c>
      <c r="Y2581">
        <v>-0.18961</v>
      </c>
      <c r="Z2581">
        <v>-1.1961930000000001E-2</v>
      </c>
      <c r="AA2581">
        <v>0.98178659999999995</v>
      </c>
      <c r="AB2581">
        <v>31</v>
      </c>
      <c r="AC2581">
        <v>-12.0214</v>
      </c>
      <c r="AD2581">
        <v>-1.12081903688</v>
      </c>
      <c r="AE2581">
        <v>-2.05869999999998</v>
      </c>
      <c r="AF2581">
        <v>-2.3636835103522298</v>
      </c>
      <c r="AG2581">
        <v>-1.12081903688</v>
      </c>
      <c r="AH2581">
        <v>11.8610415196811</v>
      </c>
      <c r="AI2581">
        <v>95.294681835803104</v>
      </c>
      <c r="AJ2581">
        <v>101.270331095835</v>
      </c>
      <c r="AK2581">
        <v>12.1460915928599</v>
      </c>
      <c r="AL2581">
        <v>93.591451310164402</v>
      </c>
      <c r="AM2581">
        <v>93.029151484334704</v>
      </c>
      <c r="AN2581">
        <v>0.99999999258940897</v>
      </c>
    </row>
    <row r="2582" spans="1:40" x14ac:dyDescent="0.25">
      <c r="A2582" t="str">
        <f>"20190303154818250"</f>
        <v>20190303154818250</v>
      </c>
      <c r="B2582" t="str">
        <f>"1551599298243259"</f>
        <v>1551599298243259</v>
      </c>
      <c r="C2582" t="s">
        <v>40</v>
      </c>
      <c r="D2582">
        <v>5.0099210000000003</v>
      </c>
      <c r="E2582">
        <v>0.44633659999999997</v>
      </c>
      <c r="F2582" t="s">
        <v>52</v>
      </c>
      <c r="G2582">
        <v>-466.79899999999998</v>
      </c>
      <c r="H2582" s="1">
        <v>2.159922E-6</v>
      </c>
      <c r="I2582">
        <v>282.81700000000001</v>
      </c>
      <c r="J2582">
        <v>-454.70359999999999</v>
      </c>
      <c r="K2582">
        <v>1.1208279999999999</v>
      </c>
      <c r="L2582">
        <v>284.91559999999998</v>
      </c>
      <c r="M2582">
        <v>-0.99952929999999995</v>
      </c>
      <c r="N2582">
        <v>-1.431399E-2</v>
      </c>
      <c r="O2582">
        <v>2.7136520000000001E-2</v>
      </c>
      <c r="P2582">
        <v>-0.99682760000000004</v>
      </c>
      <c r="Q2582">
        <v>-7.4781749999999994E-2</v>
      </c>
      <c r="R2582">
        <v>-2.7243070000000001E-2</v>
      </c>
      <c r="S2582">
        <v>-2.9761660000000001</v>
      </c>
      <c r="T2582">
        <v>-0.26926090000000003</v>
      </c>
      <c r="U2582">
        <v>-0.50225829999999905</v>
      </c>
      <c r="V2582">
        <v>-5.4295660000000003E-2</v>
      </c>
      <c r="W2582">
        <v>-6.0513200000000003E-2</v>
      </c>
      <c r="X2582">
        <v>0.99668959999999995</v>
      </c>
      <c r="Y2582">
        <v>-0.19214239999999999</v>
      </c>
      <c r="Z2582">
        <v>-1.205088E-2</v>
      </c>
      <c r="AA2582">
        <v>0.98129310000000003</v>
      </c>
      <c r="AB2582">
        <v>31</v>
      </c>
      <c r="AC2582">
        <v>-12.0954</v>
      </c>
      <c r="AD2582">
        <v>-1.120825840078</v>
      </c>
      <c r="AE2582">
        <v>-2.09859999999997</v>
      </c>
      <c r="AF2582">
        <v>-2.4060311370691299</v>
      </c>
      <c r="AG2582">
        <v>-1.120825840078</v>
      </c>
      <c r="AH2582">
        <v>11.9345048784905</v>
      </c>
      <c r="AI2582">
        <v>95.259964962232402</v>
      </c>
      <c r="AJ2582">
        <v>101.39821389674501</v>
      </c>
      <c r="AK2582">
        <v>12.226104984460401</v>
      </c>
      <c r="AL2582">
        <v>93.469270445817997</v>
      </c>
      <c r="AM2582">
        <v>93.118162647520194</v>
      </c>
      <c r="AN2582">
        <v>1.0000000124086099</v>
      </c>
    </row>
    <row r="2583" spans="1:40" x14ac:dyDescent="0.25">
      <c r="A2583" t="str">
        <f>"20190303154818273"</f>
        <v>20190303154818273</v>
      </c>
      <c r="B2583" t="str">
        <f>"1551599298262779"</f>
        <v>1551599298262779</v>
      </c>
      <c r="C2583" t="s">
        <v>40</v>
      </c>
      <c r="D2583">
        <v>4.9988479999999997</v>
      </c>
      <c r="E2583">
        <v>0.44596950000000002</v>
      </c>
      <c r="F2583" t="s">
        <v>52</v>
      </c>
      <c r="G2583">
        <v>-467.43990000000002</v>
      </c>
      <c r="H2583" s="1">
        <v>2.5044909999999999E-6</v>
      </c>
      <c r="I2583">
        <v>282.73750000000001</v>
      </c>
      <c r="J2583">
        <v>-455.01589999999999</v>
      </c>
      <c r="K2583">
        <v>1.1208419999999999</v>
      </c>
      <c r="L2583">
        <v>284.92419999999998</v>
      </c>
      <c r="M2583">
        <v>-0.99952819999999998</v>
      </c>
      <c r="N2583">
        <v>-1.431047E-2</v>
      </c>
      <c r="O2583">
        <v>2.717936E-2</v>
      </c>
      <c r="P2583">
        <v>-0.99701709999999999</v>
      </c>
      <c r="Q2583">
        <v>-7.1819259999999996E-2</v>
      </c>
      <c r="R2583">
        <v>-2.8266960000000001E-2</v>
      </c>
      <c r="S2583">
        <v>-2.9759829999999998</v>
      </c>
      <c r="T2583">
        <v>-0.26189289999999998</v>
      </c>
      <c r="U2583">
        <v>-0.50894170000000005</v>
      </c>
      <c r="V2583">
        <v>-5.5365629999999999E-2</v>
      </c>
      <c r="W2583">
        <v>-5.7552840000000001E-2</v>
      </c>
      <c r="X2583">
        <v>0.99680610000000003</v>
      </c>
      <c r="Y2583">
        <v>-0.19437560000000001</v>
      </c>
      <c r="Z2583">
        <v>-1.1864919999999999E-2</v>
      </c>
      <c r="AA2583">
        <v>0.98085540000000004</v>
      </c>
      <c r="AB2583">
        <v>31</v>
      </c>
      <c r="AC2583">
        <v>-12.423999999999999</v>
      </c>
      <c r="AD2583">
        <v>-1.120839495509</v>
      </c>
      <c r="AE2583">
        <v>-2.1866999999999699</v>
      </c>
      <c r="AF2583">
        <v>-2.5038368575828902</v>
      </c>
      <c r="AG2583">
        <v>-1.120839495509</v>
      </c>
      <c r="AH2583">
        <v>12.263160843239399</v>
      </c>
      <c r="AI2583">
        <v>95.117265627420494</v>
      </c>
      <c r="AJ2583">
        <v>101.53978309520799</v>
      </c>
      <c r="AK2583">
        <v>12.566248209041699</v>
      </c>
      <c r="AL2583">
        <v>93.2993578323413</v>
      </c>
      <c r="AM2583">
        <v>93.179114602110303</v>
      </c>
      <c r="AN2583">
        <v>1.0000000416872801</v>
      </c>
    </row>
    <row r="2584" spans="1:40" x14ac:dyDescent="0.25">
      <c r="A2584" t="str">
        <f>"20190303154818296"</f>
        <v>20190303154818296</v>
      </c>
      <c r="B2584" t="str">
        <f>"1551599298293037"</f>
        <v>1551599298293037</v>
      </c>
      <c r="C2584" t="s">
        <v>40</v>
      </c>
      <c r="D2584">
        <v>4.9565099999999997</v>
      </c>
      <c r="E2584">
        <v>0.44559290000000001</v>
      </c>
      <c r="F2584" t="s">
        <v>52</v>
      </c>
      <c r="G2584">
        <v>-468.20659999999998</v>
      </c>
      <c r="H2584" s="1">
        <v>2.916626E-6</v>
      </c>
      <c r="I2584">
        <v>282.6429</v>
      </c>
      <c r="J2584">
        <v>-455.33670000000001</v>
      </c>
      <c r="K2584">
        <v>1.120859</v>
      </c>
      <c r="L2584">
        <v>284.93299999999999</v>
      </c>
      <c r="M2584">
        <v>-0.99952719999999995</v>
      </c>
      <c r="N2584">
        <v>-1.4306869999999999E-2</v>
      </c>
      <c r="O2584">
        <v>2.7213330000000001E-2</v>
      </c>
      <c r="P2584">
        <v>-0.99711229999999995</v>
      </c>
      <c r="Q2584">
        <v>-6.9971160000000004E-2</v>
      </c>
      <c r="R2584">
        <v>-2.951374E-2</v>
      </c>
      <c r="S2584">
        <v>-2.9761660000000001</v>
      </c>
      <c r="T2584">
        <v>-0.25289010000000001</v>
      </c>
      <c r="U2584">
        <v>-0.51470950000000004</v>
      </c>
      <c r="V2584">
        <v>-5.6646790000000002E-2</v>
      </c>
      <c r="W2584">
        <v>-5.5708649999999998E-2</v>
      </c>
      <c r="X2584">
        <v>0.99683889999999997</v>
      </c>
      <c r="Y2584">
        <v>-0.19629659999999999</v>
      </c>
      <c r="Z2584">
        <v>-1.1587999999999999E-2</v>
      </c>
      <c r="AA2584">
        <v>0.98047609999999996</v>
      </c>
      <c r="AB2584">
        <v>31</v>
      </c>
      <c r="AC2584">
        <v>-12.8698999999999</v>
      </c>
      <c r="AD2584">
        <v>-1.120856083374</v>
      </c>
      <c r="AE2584">
        <v>-2.29009999999999</v>
      </c>
      <c r="AF2584">
        <v>-2.6202560120284599</v>
      </c>
      <c r="AG2584">
        <v>-1.120856083374</v>
      </c>
      <c r="AH2584">
        <v>12.709364512129399</v>
      </c>
      <c r="AI2584">
        <v>94.936657808560497</v>
      </c>
      <c r="AJ2584">
        <v>101.649298284276</v>
      </c>
      <c r="AK2584">
        <v>13.024976246826</v>
      </c>
      <c r="AL2584">
        <v>93.193523639778604</v>
      </c>
      <c r="AM2584">
        <v>93.252416323250003</v>
      </c>
      <c r="AN2584">
        <v>1.00000005252766</v>
      </c>
    </row>
    <row r="2585" spans="1:40" x14ac:dyDescent="0.25">
      <c r="A2585" t="str">
        <f>"20190303154818317"</f>
        <v>20190303154818317</v>
      </c>
      <c r="B2585" t="str">
        <f>"1551599298313532"</f>
        <v>1551599298313532</v>
      </c>
      <c r="C2585" t="s">
        <v>40</v>
      </c>
      <c r="D2585">
        <v>4.9221629999999896</v>
      </c>
      <c r="E2585">
        <v>0.4453067</v>
      </c>
      <c r="F2585" t="s">
        <v>52</v>
      </c>
      <c r="G2585">
        <v>-468.98</v>
      </c>
      <c r="H2585" s="1">
        <v>3.3326309999999999E-6</v>
      </c>
      <c r="I2585">
        <v>282.54090000000002</v>
      </c>
      <c r="J2585">
        <v>-455.62549999999999</v>
      </c>
      <c r="K2585">
        <v>1.120887</v>
      </c>
      <c r="L2585">
        <v>284.94080000000002</v>
      </c>
      <c r="M2585">
        <v>-0.9995269</v>
      </c>
      <c r="N2585">
        <v>-1.4303639999999999E-2</v>
      </c>
      <c r="O2585">
        <v>2.723364E-2</v>
      </c>
      <c r="P2585">
        <v>-0.99727440000000001</v>
      </c>
      <c r="Q2585">
        <v>-6.7801089999999994E-2</v>
      </c>
      <c r="R2585">
        <v>-2.9097680000000001E-2</v>
      </c>
      <c r="S2585">
        <v>-2.976105</v>
      </c>
      <c r="T2585">
        <v>-0.2445</v>
      </c>
      <c r="U2585">
        <v>-0.52178959999999996</v>
      </c>
      <c r="V2585">
        <v>-5.6254190000000003E-2</v>
      </c>
      <c r="W2585">
        <v>-5.3540860000000003E-2</v>
      </c>
      <c r="X2585">
        <v>0.99697979999999997</v>
      </c>
      <c r="Y2585">
        <v>-0.19862840000000001</v>
      </c>
      <c r="Z2585">
        <v>-1.135014E-2</v>
      </c>
      <c r="AA2585">
        <v>0.98000909999999997</v>
      </c>
      <c r="AB2585">
        <v>31</v>
      </c>
      <c r="AC2585">
        <v>-13.3545</v>
      </c>
      <c r="AD2585">
        <v>-1.1208836673689999</v>
      </c>
      <c r="AE2585">
        <v>-2.3999000000000001</v>
      </c>
      <c r="AF2585">
        <v>-2.7440123511255199</v>
      </c>
      <c r="AG2585">
        <v>-1.1208836673689999</v>
      </c>
      <c r="AH2585">
        <v>13.1941394566455</v>
      </c>
      <c r="AI2585">
        <v>94.754544795663307</v>
      </c>
      <c r="AJ2585">
        <v>101.748449057624</v>
      </c>
      <c r="AK2585">
        <v>13.5229915322133</v>
      </c>
      <c r="AL2585">
        <v>93.069133029290398</v>
      </c>
      <c r="AM2585">
        <v>93.229467294186193</v>
      </c>
      <c r="AN2585">
        <v>0.99999993959506595</v>
      </c>
    </row>
    <row r="2586" spans="1:40" x14ac:dyDescent="0.25">
      <c r="A2586" t="str">
        <f>"20190303154818339"</f>
        <v>20190303154818339</v>
      </c>
      <c r="B2586" t="str">
        <f>"1551599298333052"</f>
        <v>1551599298333052</v>
      </c>
      <c r="C2586" t="s">
        <v>40</v>
      </c>
      <c r="D2586">
        <v>4.8876520000000001</v>
      </c>
      <c r="E2586">
        <v>0.44502199999999997</v>
      </c>
      <c r="F2586" t="s">
        <v>52</v>
      </c>
      <c r="G2586">
        <v>-469.6764</v>
      </c>
      <c r="H2586" s="1">
        <v>3.7061430000000001E-6</v>
      </c>
      <c r="I2586">
        <v>282.47410000000002</v>
      </c>
      <c r="J2586">
        <v>-455.92430000000002</v>
      </c>
      <c r="K2586">
        <v>1.1209169999999999</v>
      </c>
      <c r="L2586">
        <v>284.94900000000001</v>
      </c>
      <c r="M2586">
        <v>-0.99952660000000004</v>
      </c>
      <c r="N2586">
        <v>-1.430036E-2</v>
      </c>
      <c r="O2586">
        <v>2.7245620000000002E-2</v>
      </c>
      <c r="P2586">
        <v>-0.99750970000000005</v>
      </c>
      <c r="Q2586">
        <v>-6.4408519999999997E-2</v>
      </c>
      <c r="R2586">
        <v>-2.8748860000000001E-2</v>
      </c>
      <c r="S2586">
        <v>-2.9767459999999999</v>
      </c>
      <c r="T2586">
        <v>-0.2374645</v>
      </c>
      <c r="U2586">
        <v>-0.52258300000000002</v>
      </c>
      <c r="V2586">
        <v>-5.5922720000000002E-2</v>
      </c>
      <c r="W2586">
        <v>-5.0149550000000001E-2</v>
      </c>
      <c r="X2586">
        <v>0.99717489999999998</v>
      </c>
      <c r="Y2586">
        <v>-0.1989013</v>
      </c>
      <c r="Z2586">
        <v>-1.1065439999999999E-2</v>
      </c>
      <c r="AA2586">
        <v>0.97995699999999997</v>
      </c>
      <c r="AB2586">
        <v>31</v>
      </c>
      <c r="AC2586">
        <v>-13.752099999999899</v>
      </c>
      <c r="AD2586">
        <v>-1.1209132938569999</v>
      </c>
      <c r="AE2586">
        <v>-2.4748999999999901</v>
      </c>
      <c r="AF2586">
        <v>-2.8304890010734001</v>
      </c>
      <c r="AG2586">
        <v>-1.1209132938569999</v>
      </c>
      <c r="AH2586">
        <v>13.592088627838301</v>
      </c>
      <c r="AI2586">
        <v>94.615822743974206</v>
      </c>
      <c r="AJ2586">
        <v>101.763456448743</v>
      </c>
      <c r="AK2586">
        <v>13.928854506546999</v>
      </c>
      <c r="AL2586">
        <v>92.874563172431905</v>
      </c>
      <c r="AM2586">
        <v>93.209851205291102</v>
      </c>
      <c r="AN2586">
        <v>1.0000000545837</v>
      </c>
    </row>
    <row r="2587" spans="1:40" x14ac:dyDescent="0.25">
      <c r="A2587" t="str">
        <f>"20190303154818363"</f>
        <v>20190303154818363</v>
      </c>
      <c r="B2587" t="str">
        <f>"1551599298353548"</f>
        <v>1551599298353548</v>
      </c>
      <c r="C2587" t="s">
        <v>40</v>
      </c>
      <c r="D2587">
        <v>4.8278990000000004</v>
      </c>
      <c r="E2587">
        <v>0.44476919999999998</v>
      </c>
      <c r="F2587" t="s">
        <v>47</v>
      </c>
      <c r="G2587">
        <v>-470.64530000000002</v>
      </c>
      <c r="H2587" s="1">
        <v>6.1305750000000002E-6</v>
      </c>
      <c r="I2587">
        <v>282.35849999999999</v>
      </c>
      <c r="J2587">
        <v>-456.22980000000001</v>
      </c>
      <c r="K2587">
        <v>1.120938</v>
      </c>
      <c r="L2587">
        <v>284.95729999999998</v>
      </c>
      <c r="M2587">
        <v>-0.99952629999999998</v>
      </c>
      <c r="N2587">
        <v>-1.429704E-2</v>
      </c>
      <c r="O2587">
        <v>2.7251379999999999E-2</v>
      </c>
      <c r="P2587">
        <v>-0.99766560000000004</v>
      </c>
      <c r="Q2587">
        <v>-6.2462370000000003E-2</v>
      </c>
      <c r="R2587">
        <v>-2.759433E-2</v>
      </c>
      <c r="S2587">
        <v>-2.9777830000000001</v>
      </c>
      <c r="T2587">
        <v>-0.22674059999999999</v>
      </c>
      <c r="U2587">
        <v>-0.52401730000000002</v>
      </c>
      <c r="V2587">
        <v>-5.4777239999999998E-2</v>
      </c>
      <c r="W2587">
        <v>-4.8205159999999997E-2</v>
      </c>
      <c r="X2587">
        <v>0.99733430000000001</v>
      </c>
      <c r="Y2587">
        <v>-0.19937089999999999</v>
      </c>
      <c r="Z2587">
        <v>-1.063179E-2</v>
      </c>
      <c r="AA2587">
        <v>0.97986640000000003</v>
      </c>
      <c r="AB2587">
        <v>31</v>
      </c>
      <c r="AC2587">
        <v>-14.4155</v>
      </c>
      <c r="AD2587">
        <v>-1.1209318694249999</v>
      </c>
      <c r="AE2587">
        <v>-2.5987999999999798</v>
      </c>
      <c r="AF2587">
        <v>-2.9733051028786601</v>
      </c>
      <c r="AG2587">
        <v>-1.1209318694249999</v>
      </c>
      <c r="AH2587">
        <v>14.2558333750843</v>
      </c>
      <c r="AI2587">
        <v>94.401567807097905</v>
      </c>
      <c r="AJ2587">
        <v>101.78115305859301</v>
      </c>
      <c r="AK2587">
        <v>14.605677550489199</v>
      </c>
      <c r="AL2587">
        <v>92.763023028758795</v>
      </c>
      <c r="AM2587">
        <v>93.143734740098395</v>
      </c>
      <c r="AN2587">
        <v>0.99999999471456602</v>
      </c>
    </row>
    <row r="2588" spans="1:40" x14ac:dyDescent="0.25">
      <c r="A2588" t="str">
        <f>"20190303154818384"</f>
        <v>20190303154818384</v>
      </c>
      <c r="B2588" t="str">
        <f>"1551599298373068"</f>
        <v>1551599298373068</v>
      </c>
      <c r="C2588" t="s">
        <v>40</v>
      </c>
      <c r="D2588">
        <v>4.7956880000000002</v>
      </c>
      <c r="E2588">
        <v>0.44448149999999997</v>
      </c>
      <c r="F2588" t="s">
        <v>47</v>
      </c>
      <c r="G2588">
        <v>-471.41460000000001</v>
      </c>
      <c r="H2588" s="1">
        <v>5.7837089999999998E-6</v>
      </c>
      <c r="I2588">
        <v>282.29340000000002</v>
      </c>
      <c r="J2588">
        <v>-456.53480000000002</v>
      </c>
      <c r="K2588">
        <v>1.1209340000000001</v>
      </c>
      <c r="L2588">
        <v>284.96559999999999</v>
      </c>
      <c r="M2588">
        <v>-0.99952660000000004</v>
      </c>
      <c r="N2588">
        <v>-1.429382E-2</v>
      </c>
      <c r="O2588">
        <v>2.725116E-2</v>
      </c>
      <c r="P2588">
        <v>-0.99762309999999998</v>
      </c>
      <c r="Q2588">
        <v>-6.3842010000000005E-2</v>
      </c>
      <c r="R2588">
        <v>-2.593786E-2</v>
      </c>
      <c r="S2588">
        <v>-2.97879</v>
      </c>
      <c r="T2588">
        <v>-0.2198917</v>
      </c>
      <c r="U2588">
        <v>-0.52258300000000002</v>
      </c>
      <c r="V2588">
        <v>-5.3120029999999999E-2</v>
      </c>
      <c r="W2588">
        <v>-4.9588409999999999E-2</v>
      </c>
      <c r="X2588">
        <v>0.99735609999999997</v>
      </c>
      <c r="Y2588">
        <v>-0.19889860000000001</v>
      </c>
      <c r="Z2588">
        <v>-1.031933E-2</v>
      </c>
      <c r="AA2588">
        <v>0.97996570000000005</v>
      </c>
      <c r="AB2588">
        <v>30</v>
      </c>
      <c r="AC2588">
        <v>-14.8797999999999</v>
      </c>
      <c r="AD2588">
        <v>-1.1209282162909999</v>
      </c>
      <c r="AE2588">
        <v>-2.6721999999999699</v>
      </c>
      <c r="AF2588">
        <v>-3.0599182372761899</v>
      </c>
      <c r="AG2588">
        <v>-1.1209282162909999</v>
      </c>
      <c r="AH2588">
        <v>14.720516746285799</v>
      </c>
      <c r="AI2588">
        <v>94.263723389351995</v>
      </c>
      <c r="AJ2588">
        <v>101.742711076303</v>
      </c>
      <c r="AK2588">
        <v>15.076909264254899</v>
      </c>
      <c r="AL2588">
        <v>92.842372410156699</v>
      </c>
      <c r="AM2588">
        <v>93.048741080748997</v>
      </c>
      <c r="AN2588">
        <v>0.99999996910036903</v>
      </c>
    </row>
    <row r="2589" spans="1:40" x14ac:dyDescent="0.25">
      <c r="A2589" t="str">
        <f>"20190303154818407"</f>
        <v>20190303154818407</v>
      </c>
      <c r="B2589" t="str">
        <f>"1551599298403323"</f>
        <v>1551599298403323</v>
      </c>
      <c r="C2589" t="s">
        <v>40</v>
      </c>
      <c r="D2589">
        <v>4.7708149999999998</v>
      </c>
      <c r="E2589">
        <v>0.44409080000000001</v>
      </c>
      <c r="F2589" t="s">
        <v>47</v>
      </c>
      <c r="G2589">
        <v>-471.51940000000002</v>
      </c>
      <c r="H2589" s="1">
        <v>5.7422590000000004E-6</v>
      </c>
      <c r="I2589">
        <v>282.351</v>
      </c>
      <c r="J2589">
        <v>-456.8383</v>
      </c>
      <c r="K2589">
        <v>1.12093</v>
      </c>
      <c r="L2589">
        <v>284.97390000000001</v>
      </c>
      <c r="M2589">
        <v>-0.99952669999999999</v>
      </c>
      <c r="N2589">
        <v>-1.429047E-2</v>
      </c>
      <c r="O2589">
        <v>2.724853E-2</v>
      </c>
      <c r="P2589">
        <v>-0.99738280000000001</v>
      </c>
      <c r="Q2589">
        <v>-6.8308499999999994E-2</v>
      </c>
      <c r="R2589">
        <v>-2.3705980000000001E-2</v>
      </c>
      <c r="S2589">
        <v>-2.9793699999999999</v>
      </c>
      <c r="T2589">
        <v>-0.2228725</v>
      </c>
      <c r="U2589">
        <v>-0.51986690000000002</v>
      </c>
      <c r="V2589">
        <v>-5.0879519999999998E-2</v>
      </c>
      <c r="W2589">
        <v>-5.4060700000000003E-2</v>
      </c>
      <c r="X2589">
        <v>0.99724049999999997</v>
      </c>
      <c r="Y2589">
        <v>-0.1979824</v>
      </c>
      <c r="Z2589">
        <v>-1.040254E-2</v>
      </c>
      <c r="AA2589">
        <v>0.98015030000000003</v>
      </c>
      <c r="AB2589">
        <v>30</v>
      </c>
      <c r="AC2589">
        <v>-14.681100000000001</v>
      </c>
      <c r="AD2589">
        <v>-1.1209242577409999</v>
      </c>
      <c r="AE2589">
        <v>-2.6229000000000098</v>
      </c>
      <c r="AF2589">
        <v>-3.0050289527099099</v>
      </c>
      <c r="AG2589">
        <v>-1.1209242577409999</v>
      </c>
      <c r="AH2589">
        <v>14.522131223476</v>
      </c>
      <c r="AI2589">
        <v>94.322540165068702</v>
      </c>
      <c r="AJ2589">
        <v>101.691072018596</v>
      </c>
      <c r="AK2589">
        <v>14.8720867893538</v>
      </c>
      <c r="AL2589">
        <v>93.098960837658296</v>
      </c>
      <c r="AM2589">
        <v>92.920715942518896</v>
      </c>
      <c r="AN2589">
        <v>0.999999949840084</v>
      </c>
    </row>
    <row r="2590" spans="1:40" x14ac:dyDescent="0.25">
      <c r="A2590" t="str">
        <f>"20190303154818429"</f>
        <v>20190303154818429</v>
      </c>
      <c r="B2590" t="str">
        <f>"1551599298422847"</f>
        <v>1551599298422847</v>
      </c>
      <c r="C2590" t="s">
        <v>40</v>
      </c>
      <c r="D2590">
        <v>4.7766510000000002</v>
      </c>
      <c r="E2590">
        <v>0.44380789999999998</v>
      </c>
      <c r="F2590" t="s">
        <v>47</v>
      </c>
      <c r="G2590">
        <v>-471.03429999999997</v>
      </c>
      <c r="H2590" s="1">
        <v>5.97162299999999E-6</v>
      </c>
      <c r="I2590">
        <v>282.5138</v>
      </c>
      <c r="J2590">
        <v>-457.1447</v>
      </c>
      <c r="K2590">
        <v>1.1209209999999901</v>
      </c>
      <c r="L2590">
        <v>284.98230000000001</v>
      </c>
      <c r="M2590">
        <v>-0.99952669999999999</v>
      </c>
      <c r="N2590">
        <v>-1.42871E-2</v>
      </c>
      <c r="O2590">
        <v>2.7244170000000002E-2</v>
      </c>
      <c r="P2590">
        <v>-0.99722219999999995</v>
      </c>
      <c r="Q2590">
        <v>-7.1418480000000006E-2</v>
      </c>
      <c r="R2590">
        <v>-2.1149210000000002E-2</v>
      </c>
      <c r="S2590">
        <v>-2.979492</v>
      </c>
      <c r="T2590">
        <v>-0.23526279999999999</v>
      </c>
      <c r="U2590">
        <v>-0.51632690000000003</v>
      </c>
      <c r="V2590">
        <v>-4.8315030000000002E-2</v>
      </c>
      <c r="W2590">
        <v>-5.7175339999999998E-2</v>
      </c>
      <c r="X2590">
        <v>0.99719440000000004</v>
      </c>
      <c r="Y2590">
        <v>-0.196771</v>
      </c>
      <c r="Z2590">
        <v>-1.0865440000000001E-2</v>
      </c>
      <c r="AA2590">
        <v>0.98038930000000002</v>
      </c>
      <c r="AB2590">
        <v>30</v>
      </c>
      <c r="AC2590">
        <v>-13.8895999999999</v>
      </c>
      <c r="AD2590">
        <v>-1.12091502837699</v>
      </c>
      <c r="AE2590">
        <v>-2.4685000000000001</v>
      </c>
      <c r="AF2590">
        <v>-2.82817747065367</v>
      </c>
      <c r="AG2590">
        <v>-1.12091502837699</v>
      </c>
      <c r="AH2590">
        <v>13.730498539091601</v>
      </c>
      <c r="AI2590">
        <v>94.5715476399332</v>
      </c>
      <c r="AJ2590">
        <v>101.638878587855</v>
      </c>
      <c r="AK2590">
        <v>14.0634856432661</v>
      </c>
      <c r="AL2590">
        <v>93.277693084024804</v>
      </c>
      <c r="AM2590">
        <v>92.773866562237501</v>
      </c>
      <c r="AN2590">
        <v>1.0000000165096801</v>
      </c>
    </row>
    <row r="2591" spans="1:40" x14ac:dyDescent="0.25">
      <c r="A2591" t="str">
        <f>"20190303154818452"</f>
        <v>20190303154818452</v>
      </c>
      <c r="B2591" t="str">
        <f>"1551599298443340"</f>
        <v>1551599298443340</v>
      </c>
      <c r="C2591" t="s">
        <v>40</v>
      </c>
      <c r="D2591">
        <v>4.7693440000000002</v>
      </c>
      <c r="E2591">
        <v>0.4435093</v>
      </c>
      <c r="F2591" t="s">
        <v>47</v>
      </c>
      <c r="G2591">
        <v>-470.8211</v>
      </c>
      <c r="H2591" s="1">
        <v>6.0769350000000001E-6</v>
      </c>
      <c r="I2591">
        <v>282.637</v>
      </c>
      <c r="J2591">
        <v>-457.44490000000002</v>
      </c>
      <c r="K2591">
        <v>1.120914</v>
      </c>
      <c r="L2591">
        <v>284.99040000000002</v>
      </c>
      <c r="M2591">
        <v>-0.99952700000000005</v>
      </c>
      <c r="N2591">
        <v>-1.4283809999999999E-2</v>
      </c>
      <c r="O2591">
        <v>2.7234649999999999E-2</v>
      </c>
      <c r="P2591">
        <v>-0.99717409999999995</v>
      </c>
      <c r="Q2591">
        <v>-7.2982930000000001E-2</v>
      </c>
      <c r="R2591">
        <v>-1.7814340000000001E-2</v>
      </c>
      <c r="S2591">
        <v>-2.9800420000000001</v>
      </c>
      <c r="T2591">
        <v>-0.24424209999999999</v>
      </c>
      <c r="U2591">
        <v>-0.51101679999999905</v>
      </c>
      <c r="V2591">
        <v>-4.4970290000000003E-2</v>
      </c>
      <c r="W2591">
        <v>-5.8742839999999998E-2</v>
      </c>
      <c r="X2591">
        <v>0.99725969999999997</v>
      </c>
      <c r="Y2591">
        <v>-0.19498570000000001</v>
      </c>
      <c r="Z2591">
        <v>-1.1152860000000001E-2</v>
      </c>
      <c r="AA2591">
        <v>0.98074269999999997</v>
      </c>
      <c r="AB2591">
        <v>30</v>
      </c>
      <c r="AC2591">
        <v>-13.3761999999999</v>
      </c>
      <c r="AD2591">
        <v>-1.1209079230650001</v>
      </c>
      <c r="AE2591">
        <v>-2.3534000000000201</v>
      </c>
      <c r="AF2591">
        <v>-2.6984798105282799</v>
      </c>
      <c r="AG2591">
        <v>-1.1209079230650001</v>
      </c>
      <c r="AH2591">
        <v>13.21711006654</v>
      </c>
      <c r="AI2591">
        <v>94.749978031279397</v>
      </c>
      <c r="AJ2591">
        <v>101.53924170179199</v>
      </c>
      <c r="AK2591">
        <v>13.5362559953205</v>
      </c>
      <c r="AL2591">
        <v>93.367655584025499</v>
      </c>
      <c r="AM2591">
        <v>92.581938761892303</v>
      </c>
      <c r="AN2591">
        <v>0.99999997873901902</v>
      </c>
    </row>
    <row r="2592" spans="1:40" x14ac:dyDescent="0.25">
      <c r="A2592" t="str">
        <f>"20190303154818475"</f>
        <v>20190303154818475</v>
      </c>
      <c r="B2592" t="str">
        <f>"1551599298462860"</f>
        <v>1551599298462860</v>
      </c>
      <c r="C2592" t="s">
        <v>40</v>
      </c>
      <c r="D2592">
        <v>4.7771910000000002</v>
      </c>
      <c r="E2592">
        <v>0.44324940000000002</v>
      </c>
      <c r="F2592" t="s">
        <v>47</v>
      </c>
      <c r="G2592">
        <v>-470.89449999999999</v>
      </c>
      <c r="H2592" s="1">
        <v>6.0515740000000003E-6</v>
      </c>
      <c r="I2592">
        <v>282.71910000000003</v>
      </c>
      <c r="J2592">
        <v>-457.75290000000001</v>
      </c>
      <c r="K2592">
        <v>1.1209180000000001</v>
      </c>
      <c r="L2592">
        <v>284.99880000000002</v>
      </c>
      <c r="M2592">
        <v>-0.99952759999999996</v>
      </c>
      <c r="N2592">
        <v>-1.428045E-2</v>
      </c>
      <c r="O2592">
        <v>2.721428E-2</v>
      </c>
      <c r="P2592">
        <v>-0.99727180000000004</v>
      </c>
      <c r="Q2592">
        <v>-7.2372859999999997E-2</v>
      </c>
      <c r="R2592">
        <v>-1.4535050000000001E-2</v>
      </c>
      <c r="S2592">
        <v>-2.9813230000000002</v>
      </c>
      <c r="T2592">
        <v>-0.2484682</v>
      </c>
      <c r="U2592">
        <v>-0.50347900000000001</v>
      </c>
      <c r="V2592">
        <v>-4.1673250000000002E-2</v>
      </c>
      <c r="W2592">
        <v>-5.8134409999999997E-2</v>
      </c>
      <c r="X2592">
        <v>0.99743859999999995</v>
      </c>
      <c r="Y2592">
        <v>-0.19246849999999999</v>
      </c>
      <c r="Z2592">
        <v>-1.120136E-2</v>
      </c>
      <c r="AA2592">
        <v>0.98123919999999998</v>
      </c>
      <c r="AB2592">
        <v>30</v>
      </c>
      <c r="AC2592">
        <v>-13.141599999999899</v>
      </c>
      <c r="AD2592">
        <v>-1.1209119484259999</v>
      </c>
      <c r="AE2592">
        <v>-2.2796999999999898</v>
      </c>
      <c r="AF2592">
        <v>-2.61804072348838</v>
      </c>
      <c r="AG2592">
        <v>-1.1209119484259999</v>
      </c>
      <c r="AH2592">
        <v>12.982990077444599</v>
      </c>
      <c r="AI2592">
        <v>94.837606665438599</v>
      </c>
      <c r="AJ2592">
        <v>101.400893618886</v>
      </c>
      <c r="AK2592">
        <v>13.291674543750799</v>
      </c>
      <c r="AL2592">
        <v>93.332735311927905</v>
      </c>
      <c r="AM2592">
        <v>92.392441480135403</v>
      </c>
      <c r="AN2592">
        <v>1.00000001508078</v>
      </c>
    </row>
    <row r="2593" spans="1:40" x14ac:dyDescent="0.25">
      <c r="A2593" t="str">
        <f>"20190303154818497"</f>
        <v>20190303154818497</v>
      </c>
      <c r="B2593" t="str">
        <f>"1551599298493624"</f>
        <v>1551599298493624</v>
      </c>
      <c r="C2593" t="s">
        <v>40</v>
      </c>
      <c r="D2593">
        <v>4.820837</v>
      </c>
      <c r="E2593">
        <v>0.47090939999999998</v>
      </c>
      <c r="F2593" t="s">
        <v>47</v>
      </c>
      <c r="G2593">
        <v>-471.26580000000001</v>
      </c>
      <c r="H2593" s="1">
        <v>5.8900119999999998E-6</v>
      </c>
      <c r="I2593">
        <v>282.75439999999998</v>
      </c>
      <c r="J2593">
        <v>-458.05200000000002</v>
      </c>
      <c r="K2593">
        <v>1.120933</v>
      </c>
      <c r="L2593">
        <v>285.00689999999997</v>
      </c>
      <c r="M2593">
        <v>-0.99952859999999999</v>
      </c>
      <c r="N2593">
        <v>-1.427718E-2</v>
      </c>
      <c r="O2593">
        <v>2.7178979999999998E-2</v>
      </c>
      <c r="P2593">
        <v>-0.99724860000000004</v>
      </c>
      <c r="Q2593">
        <v>-7.3163030000000004E-2</v>
      </c>
      <c r="R2593">
        <v>-1.193673E-2</v>
      </c>
      <c r="S2593">
        <v>-2.983063</v>
      </c>
      <c r="T2593">
        <v>-0.24744949999999999</v>
      </c>
      <c r="U2593">
        <v>-0.49548340000000002</v>
      </c>
      <c r="V2593">
        <v>-3.903827E-2</v>
      </c>
      <c r="W2593">
        <v>-5.8928260000000003E-2</v>
      </c>
      <c r="X2593">
        <v>0.99749860000000001</v>
      </c>
      <c r="Y2593">
        <v>-0.18979840000000001</v>
      </c>
      <c r="Z2593">
        <v>-1.1023959999999999E-2</v>
      </c>
      <c r="AA2593">
        <v>0.9817612</v>
      </c>
      <c r="AB2593">
        <v>30</v>
      </c>
      <c r="AC2593">
        <v>-13.213800000000001</v>
      </c>
      <c r="AD2593">
        <v>-1.120927109988</v>
      </c>
      <c r="AE2593">
        <v>-2.2524999999999902</v>
      </c>
      <c r="AF2593">
        <v>-2.59271129208302</v>
      </c>
      <c r="AG2593">
        <v>-1.120927109988</v>
      </c>
      <c r="AH2593">
        <v>13.0563882989318</v>
      </c>
      <c r="AI2593">
        <v>94.813436585973903</v>
      </c>
      <c r="AJ2593">
        <v>101.231569358827</v>
      </c>
      <c r="AK2593">
        <v>13.3584394613474</v>
      </c>
      <c r="AL2593">
        <v>93.378297759585294</v>
      </c>
      <c r="AM2593">
        <v>92.241193326114299</v>
      </c>
      <c r="AN2593">
        <v>0.99999999167659004</v>
      </c>
    </row>
    <row r="2594" spans="1:40" x14ac:dyDescent="0.25">
      <c r="A2594" t="str">
        <f>"20190303154818519"</f>
        <v>20190303154818519</v>
      </c>
      <c r="B2594" t="str">
        <f>"1551599298513143"</f>
        <v>1551599298513143</v>
      </c>
      <c r="C2594" t="s">
        <v>40</v>
      </c>
      <c r="D2594">
        <v>4.6762079999999999</v>
      </c>
      <c r="E2594">
        <v>0.52056780000000002</v>
      </c>
      <c r="F2594" t="s">
        <v>47</v>
      </c>
      <c r="G2594">
        <v>-475.28820000000002</v>
      </c>
      <c r="H2594" s="1">
        <v>4.1679490000000002E-6</v>
      </c>
      <c r="I2594">
        <v>283.46010000000001</v>
      </c>
      <c r="J2594">
        <v>-458.35239999999999</v>
      </c>
      <c r="K2594">
        <v>1.1209469999999999</v>
      </c>
      <c r="L2594">
        <v>285.01510000000002</v>
      </c>
      <c r="M2594">
        <v>-0.99953020000000004</v>
      </c>
      <c r="N2594">
        <v>-1.4273900000000001E-2</v>
      </c>
      <c r="O2594">
        <v>2.7127910000000002E-2</v>
      </c>
      <c r="P2594">
        <v>-0.99707109999999999</v>
      </c>
      <c r="Q2594">
        <v>-7.5829220000000003E-2</v>
      </c>
      <c r="R2594">
        <v>-9.9819729999999999E-3</v>
      </c>
      <c r="S2594">
        <v>-2.9907840000000001</v>
      </c>
      <c r="T2594">
        <v>-0.19450120000000001</v>
      </c>
      <c r="U2594">
        <v>-0.26840209999999998</v>
      </c>
      <c r="V2594">
        <v>-3.7026429999999999E-2</v>
      </c>
      <c r="W2594">
        <v>-6.1600450000000001E-2</v>
      </c>
      <c r="X2594">
        <v>0.99741389999999996</v>
      </c>
      <c r="Y2594">
        <v>-0.1160412</v>
      </c>
      <c r="Z2594">
        <v>-5.9658549999999999E-3</v>
      </c>
      <c r="AA2594">
        <v>0.99322650000000001</v>
      </c>
      <c r="AB2594">
        <v>30</v>
      </c>
      <c r="AC2594">
        <v>-16.9358</v>
      </c>
      <c r="AD2594">
        <v>-1.120942832051</v>
      </c>
      <c r="AE2594">
        <v>-1.5549999999999999</v>
      </c>
      <c r="AF2594">
        <v>-2.00519623177567</v>
      </c>
      <c r="AG2594">
        <v>-1.120942832051</v>
      </c>
      <c r="AH2594">
        <v>16.814332883782701</v>
      </c>
      <c r="AI2594">
        <v>93.787274850702701</v>
      </c>
      <c r="AJ2594">
        <v>96.800700256602795</v>
      </c>
      <c r="AK2594">
        <v>16.970536676466999</v>
      </c>
      <c r="AL2594">
        <v>93.531681663699899</v>
      </c>
      <c r="AM2594">
        <v>92.125982468197606</v>
      </c>
      <c r="AN2594">
        <v>1.0000000299359699</v>
      </c>
    </row>
    <row r="2595" spans="1:40" x14ac:dyDescent="0.25">
      <c r="A2595" t="str">
        <f>"20190303154818541"</f>
        <v>20190303154818541</v>
      </c>
      <c r="B2595" t="str">
        <f>"1551599298533640"</f>
        <v>1551599298533640</v>
      </c>
      <c r="C2595" t="s">
        <v>40</v>
      </c>
      <c r="D2595">
        <v>4.6810400000000003</v>
      </c>
      <c r="E2595">
        <v>0.52474290000000001</v>
      </c>
      <c r="F2595" t="s">
        <v>47</v>
      </c>
      <c r="G2595">
        <v>-481.1354</v>
      </c>
      <c r="H2595" s="1">
        <v>2.5299550000000002E-6</v>
      </c>
      <c r="I2595">
        <v>286.02100000000002</v>
      </c>
      <c r="J2595">
        <v>-458.6474</v>
      </c>
      <c r="K2595">
        <v>1.120967</v>
      </c>
      <c r="L2595">
        <v>285.02300000000002</v>
      </c>
      <c r="M2595">
        <v>-0.99953179999999997</v>
      </c>
      <c r="N2595">
        <v>-1.4270720000000001E-2</v>
      </c>
      <c r="O2595">
        <v>2.7064000000000001E-2</v>
      </c>
      <c r="P2595">
        <v>-0.99692950000000002</v>
      </c>
      <c r="Q2595">
        <v>-7.7813489999999999E-2</v>
      </c>
      <c r="R2595">
        <v>-8.7644369999999999E-3</v>
      </c>
      <c r="S2595">
        <v>-2.9989620000000001</v>
      </c>
      <c r="T2595">
        <v>-0.14755179999999901</v>
      </c>
      <c r="U2595">
        <v>0.1324158</v>
      </c>
      <c r="V2595">
        <v>-3.5739220000000002E-2</v>
      </c>
      <c r="W2595">
        <v>-6.3590259999999996E-2</v>
      </c>
      <c r="X2595">
        <v>0.997336</v>
      </c>
      <c r="Y2595">
        <v>1.7044199999999999E-2</v>
      </c>
      <c r="Z2595">
        <v>-4.0320539999999999E-4</v>
      </c>
      <c r="AA2595">
        <v>0.99985469999999999</v>
      </c>
      <c r="AB2595">
        <v>30</v>
      </c>
      <c r="AC2595">
        <v>-22.488</v>
      </c>
      <c r="AD2595">
        <v>-1.1209644700450001</v>
      </c>
      <c r="AE2595">
        <v>0.99799999999999001</v>
      </c>
      <c r="AF2595">
        <v>0.38799495177200399</v>
      </c>
      <c r="AG2595">
        <v>-1.1209644700450001</v>
      </c>
      <c r="AH2595">
        <v>22.451098029118299</v>
      </c>
      <c r="AI2595">
        <v>92.857930476530996</v>
      </c>
      <c r="AJ2595">
        <v>89.009925462919497</v>
      </c>
      <c r="AK2595">
        <v>22.4824132187535</v>
      </c>
      <c r="AL2595">
        <v>93.645913312888695</v>
      </c>
      <c r="AM2595">
        <v>92.052297962183999</v>
      </c>
      <c r="AN2595">
        <v>1.00000005495453</v>
      </c>
    </row>
    <row r="2596" spans="1:40" x14ac:dyDescent="0.25">
      <c r="A2596" t="str">
        <f>"20190303154818563"</f>
        <v>20190303154818563</v>
      </c>
      <c r="B2596" t="str">
        <f>"1551599298553159"</f>
        <v>1551599298553159</v>
      </c>
      <c r="C2596" t="s">
        <v>40</v>
      </c>
      <c r="D2596">
        <v>4.6925530000000002</v>
      </c>
      <c r="E2596">
        <v>0.52480599999999999</v>
      </c>
      <c r="F2596" t="s">
        <v>47</v>
      </c>
      <c r="G2596">
        <v>-484.09730000000002</v>
      </c>
      <c r="H2596" s="1">
        <v>3.0933539999999999E-6</v>
      </c>
      <c r="I2596">
        <v>286.45580000000001</v>
      </c>
      <c r="J2596">
        <v>-458.94889999999998</v>
      </c>
      <c r="K2596">
        <v>1.120984</v>
      </c>
      <c r="L2596">
        <v>285.03109999999998</v>
      </c>
      <c r="M2596">
        <v>-0.99953409999999998</v>
      </c>
      <c r="N2596">
        <v>-1.4267169999999999E-2</v>
      </c>
      <c r="O2596">
        <v>2.6986039999999999E-2</v>
      </c>
      <c r="P2596">
        <v>-0.99690789999999996</v>
      </c>
      <c r="Q2596">
        <v>-7.8010220000000005E-2</v>
      </c>
      <c r="R2596">
        <v>-9.4559199999999996E-3</v>
      </c>
      <c r="S2596">
        <v>-3.000397</v>
      </c>
      <c r="T2596">
        <v>-0.1321552</v>
      </c>
      <c r="U2596">
        <v>0.1689148</v>
      </c>
      <c r="V2596">
        <v>-3.6350800000000003E-2</v>
      </c>
      <c r="W2596">
        <v>-6.3791849999999997E-2</v>
      </c>
      <c r="X2596">
        <v>0.99730099999999999</v>
      </c>
      <c r="Y2596">
        <v>2.9216389999999998E-2</v>
      </c>
      <c r="Z2596" s="1">
        <v>4.9273110000000002E-5</v>
      </c>
      <c r="AA2596">
        <v>0.99957309999999999</v>
      </c>
      <c r="AB2596">
        <v>30</v>
      </c>
      <c r="AC2596">
        <v>-25.148399999999999</v>
      </c>
      <c r="AD2596">
        <v>-1.1209809066459999</v>
      </c>
      <c r="AE2596">
        <v>1.4247000000000201</v>
      </c>
      <c r="AF2596">
        <v>0.74398280766958103</v>
      </c>
      <c r="AG2596">
        <v>-1.1209809066459999</v>
      </c>
      <c r="AH2596">
        <v>25.127923360589101</v>
      </c>
      <c r="AI2596">
        <v>92.553209045176899</v>
      </c>
      <c r="AJ2596">
        <v>88.304092825540195</v>
      </c>
      <c r="AK2596">
        <v>25.1639154550084</v>
      </c>
      <c r="AL2596">
        <v>93.657487148605696</v>
      </c>
      <c r="AM2596">
        <v>92.087459871182105</v>
      </c>
      <c r="AN2596">
        <v>1.0000000326940299</v>
      </c>
    </row>
    <row r="2597" spans="1:40" x14ac:dyDescent="0.25">
      <c r="A2597" t="str">
        <f>"20190303154818585"</f>
        <v>20190303154818585</v>
      </c>
      <c r="B2597" t="str">
        <f>"1551599298573656"</f>
        <v>1551599298573656</v>
      </c>
      <c r="C2597" t="s">
        <v>40</v>
      </c>
      <c r="D2597">
        <v>4.6843789999999998</v>
      </c>
      <c r="E2597">
        <v>0.52441249999999995</v>
      </c>
      <c r="F2597" t="s">
        <v>47</v>
      </c>
      <c r="G2597">
        <v>-483.26010000000002</v>
      </c>
      <c r="H2597" s="1">
        <v>2.938865E-6</v>
      </c>
      <c r="I2597">
        <v>286.38729999999998</v>
      </c>
      <c r="J2597">
        <v>-459.245</v>
      </c>
      <c r="K2597">
        <v>1.121008</v>
      </c>
      <c r="L2597">
        <v>285.03890000000001</v>
      </c>
      <c r="M2597">
        <v>-0.99953639999999999</v>
      </c>
      <c r="N2597">
        <v>-1.4263949999999999E-2</v>
      </c>
      <c r="O2597">
        <v>2.6901700000000001E-2</v>
      </c>
      <c r="P2597">
        <v>-0.99698059999999999</v>
      </c>
      <c r="Q2597">
        <v>-7.6743220000000001E-2</v>
      </c>
      <c r="R2597">
        <v>-1.185803E-2</v>
      </c>
      <c r="S2597">
        <v>-3.0000610000000001</v>
      </c>
      <c r="T2597">
        <v>-0.1383318</v>
      </c>
      <c r="U2597">
        <v>0.16735839999999999</v>
      </c>
      <c r="V2597">
        <v>-3.8669250000000002E-2</v>
      </c>
      <c r="W2597">
        <v>-6.2528739999999999E-2</v>
      </c>
      <c r="X2597">
        <v>0.99729380000000001</v>
      </c>
      <c r="Y2597">
        <v>2.8789189999999999E-2</v>
      </c>
      <c r="Z2597" s="1">
        <v>1.3447540000000001E-5</v>
      </c>
      <c r="AA2597">
        <v>0.99958550000000002</v>
      </c>
      <c r="AB2597">
        <v>30</v>
      </c>
      <c r="AC2597">
        <v>-24.0151</v>
      </c>
      <c r="AD2597">
        <v>-1.121005061135</v>
      </c>
      <c r="AE2597">
        <v>1.3483999999999601</v>
      </c>
      <c r="AF2597">
        <v>0.70027812937594103</v>
      </c>
      <c r="AG2597">
        <v>-1.121005061135</v>
      </c>
      <c r="AH2597">
        <v>23.990574846818401</v>
      </c>
      <c r="AI2597">
        <v>92.674170535890596</v>
      </c>
      <c r="AJ2597">
        <v>88.328027072320396</v>
      </c>
      <c r="AK2597">
        <v>24.0269582612192</v>
      </c>
      <c r="AL2597">
        <v>93.584971466759399</v>
      </c>
      <c r="AM2597">
        <v>92.220484566986897</v>
      </c>
      <c r="AN2597">
        <v>1.0000000388699899</v>
      </c>
    </row>
    <row r="2598" spans="1:40" x14ac:dyDescent="0.25">
      <c r="A2598" t="str">
        <f>"20190303154818609"</f>
        <v>20190303154818609</v>
      </c>
      <c r="B2598" t="str">
        <f>"1551599298603442"</f>
        <v>1551599298603442</v>
      </c>
      <c r="C2598" t="s">
        <v>40</v>
      </c>
      <c r="D2598">
        <v>4.6691370000000001</v>
      </c>
      <c r="E2598">
        <v>0.52365589999999995</v>
      </c>
      <c r="F2598" t="s">
        <v>47</v>
      </c>
      <c r="G2598">
        <v>-483.79730000000001</v>
      </c>
      <c r="H2598" s="1">
        <v>3.0286009999999999E-6</v>
      </c>
      <c r="I2598">
        <v>286.32380000000001</v>
      </c>
      <c r="J2598">
        <v>-459.55680000000001</v>
      </c>
      <c r="K2598">
        <v>1.1210290000000001</v>
      </c>
      <c r="L2598">
        <v>285.04719999999998</v>
      </c>
      <c r="M2598">
        <v>-0.99953899999999996</v>
      </c>
      <c r="N2598">
        <v>-1.4260800000000001E-2</v>
      </c>
      <c r="O2598">
        <v>2.6808519999999999E-2</v>
      </c>
      <c r="P2598">
        <v>-0.99707679999999999</v>
      </c>
      <c r="Q2598">
        <v>-7.4958919999999998E-2</v>
      </c>
      <c r="R2598">
        <v>-1.4814259999999999E-2</v>
      </c>
      <c r="S2598">
        <v>-3.000397</v>
      </c>
      <c r="T2598">
        <v>-0.13699149999999999</v>
      </c>
      <c r="U2598">
        <v>0.15701289999999901</v>
      </c>
      <c r="V2598">
        <v>-4.1534080000000001E-2</v>
      </c>
      <c r="W2598">
        <v>-6.0748070000000001E-2</v>
      </c>
      <c r="X2598">
        <v>0.99728859999999997</v>
      </c>
      <c r="Y2598">
        <v>2.5444270000000001E-2</v>
      </c>
      <c r="Z2598" s="1">
        <v>-7.8336709999999999E-5</v>
      </c>
      <c r="AA2598">
        <v>0.99967620000000001</v>
      </c>
      <c r="AB2598">
        <v>30</v>
      </c>
      <c r="AC2598">
        <v>-24.240500000000001</v>
      </c>
      <c r="AD2598">
        <v>-1.1210259713990001</v>
      </c>
      <c r="AE2598">
        <v>1.2766000000000299</v>
      </c>
      <c r="AF2598">
        <v>0.62489040003644802</v>
      </c>
      <c r="AG2598">
        <v>-1.1210259713990001</v>
      </c>
      <c r="AH2598">
        <v>24.214369273470901</v>
      </c>
      <c r="AI2598">
        <v>92.649785967036493</v>
      </c>
      <c r="AJ2598">
        <v>88.521719182923405</v>
      </c>
      <c r="AK2598">
        <v>24.248358017660099</v>
      </c>
      <c r="AL2598">
        <v>93.482752422274899</v>
      </c>
      <c r="AM2598">
        <v>92.384819261471307</v>
      </c>
      <c r="AN2598">
        <v>0.99999997975006505</v>
      </c>
    </row>
    <row r="2599" spans="1:40" x14ac:dyDescent="0.25">
      <c r="A2599" t="str">
        <f>"20190303154818630"</f>
        <v>20190303154818630</v>
      </c>
      <c r="B2599" t="str">
        <f>"1551599298622962"</f>
        <v>1551599298622962</v>
      </c>
      <c r="C2599" t="s">
        <v>40</v>
      </c>
      <c r="D2599">
        <v>4.7122580000000003</v>
      </c>
      <c r="E2599">
        <v>0.52346839999999994</v>
      </c>
      <c r="F2599" t="s">
        <v>47</v>
      </c>
      <c r="G2599">
        <v>-484.92469999999997</v>
      </c>
      <c r="H2599" s="1">
        <v>3.2220249999999999E-6</v>
      </c>
      <c r="I2599">
        <v>286.24880000000002</v>
      </c>
      <c r="J2599">
        <v>-459.84449999999998</v>
      </c>
      <c r="K2599">
        <v>1.1210610000000001</v>
      </c>
      <c r="L2599">
        <v>285.0548</v>
      </c>
      <c r="M2599">
        <v>-0.99953999999999998</v>
      </c>
      <c r="N2599">
        <v>-1.435371E-2</v>
      </c>
      <c r="O2599">
        <v>2.6719690000000001E-2</v>
      </c>
      <c r="P2599">
        <v>-0.99730779999999997</v>
      </c>
      <c r="Q2599">
        <v>-7.1341420000000003E-2</v>
      </c>
      <c r="R2599">
        <v>-1.6960349999999999E-2</v>
      </c>
      <c r="S2599">
        <v>-3.0009160000000001</v>
      </c>
      <c r="T2599">
        <v>-0.13261249999999999</v>
      </c>
      <c r="U2599">
        <v>0.1421509</v>
      </c>
      <c r="V2599">
        <v>-4.3597419999999998E-2</v>
      </c>
      <c r="W2599">
        <v>-5.7036259999999998E-2</v>
      </c>
      <c r="X2599">
        <v>0.99741970000000002</v>
      </c>
      <c r="Y2599">
        <v>2.0591979999999999E-2</v>
      </c>
      <c r="Z2599">
        <v>-1.9345079999999999E-4</v>
      </c>
      <c r="AA2599">
        <v>0.99978789999999995</v>
      </c>
      <c r="AB2599">
        <v>30</v>
      </c>
      <c r="AC2599">
        <v>-25.080199999999898</v>
      </c>
      <c r="AD2599">
        <v>-1.1210577779749999</v>
      </c>
      <c r="AE2599">
        <v>1.1940000000000099</v>
      </c>
      <c r="AF2599">
        <v>0.52232821227148596</v>
      </c>
      <c r="AG2599">
        <v>-1.1210577779749999</v>
      </c>
      <c r="AH2599">
        <v>25.0532073054544</v>
      </c>
      <c r="AI2599">
        <v>92.561553575762005</v>
      </c>
      <c r="AJ2599">
        <v>88.805627291914803</v>
      </c>
      <c r="AK2599">
        <v>25.0837157054725</v>
      </c>
      <c r="AL2599">
        <v>93.269711534008295</v>
      </c>
      <c r="AM2599">
        <v>92.5028171589707</v>
      </c>
      <c r="AN2599">
        <v>0.99999996396676605</v>
      </c>
    </row>
    <row r="2600" spans="1:40" x14ac:dyDescent="0.25">
      <c r="A2600" t="str">
        <f>"20190303154818653"</f>
        <v>20190303154818653</v>
      </c>
      <c r="B2600" t="str">
        <f>"1551599298643458"</f>
        <v>1551599298643458</v>
      </c>
      <c r="C2600" t="s">
        <v>40</v>
      </c>
      <c r="D2600">
        <v>4.7009980000000002</v>
      </c>
      <c r="E2600">
        <v>0.52309439999999996</v>
      </c>
      <c r="F2600" t="s">
        <v>47</v>
      </c>
      <c r="G2600">
        <v>-487.51850000000002</v>
      </c>
      <c r="H2600" s="1">
        <v>3.68594E-6</v>
      </c>
      <c r="I2600">
        <v>286.29250000000002</v>
      </c>
      <c r="J2600">
        <v>-460.14490000000001</v>
      </c>
      <c r="K2600">
        <v>1.1211869999999999</v>
      </c>
      <c r="L2600">
        <v>285.06270000000001</v>
      </c>
      <c r="M2600">
        <v>-0.99953639999999999</v>
      </c>
      <c r="N2600">
        <v>-1.4790910000000001E-2</v>
      </c>
      <c r="O2600">
        <v>2.6617829999999999E-2</v>
      </c>
      <c r="P2600">
        <v>-0.99749060000000001</v>
      </c>
      <c r="Q2600">
        <v>-6.8264859999999997E-2</v>
      </c>
      <c r="R2600">
        <v>-1.8783959999999999E-2</v>
      </c>
      <c r="S2600">
        <v>-3.0016479999999999</v>
      </c>
      <c r="T2600">
        <v>-0.1215953</v>
      </c>
      <c r="U2600">
        <v>0.134246799999999</v>
      </c>
      <c r="V2600">
        <v>-4.532361E-2</v>
      </c>
      <c r="W2600">
        <v>-5.3522689999999998E-2</v>
      </c>
      <c r="X2600">
        <v>0.99753749999999997</v>
      </c>
      <c r="Y2600">
        <v>1.8058310000000001E-2</v>
      </c>
      <c r="Z2600">
        <v>-1.8438920000000001E-4</v>
      </c>
      <c r="AA2600">
        <v>0.99983690000000003</v>
      </c>
      <c r="AB2600">
        <v>30</v>
      </c>
      <c r="AC2600">
        <v>-27.3736</v>
      </c>
      <c r="AD2600">
        <v>-1.12118331406</v>
      </c>
      <c r="AE2600">
        <v>1.22980000000001</v>
      </c>
      <c r="AF2600">
        <v>0.49982191327203701</v>
      </c>
      <c r="AG2600">
        <v>-1.12118331406</v>
      </c>
      <c r="AH2600">
        <v>27.3508456670932</v>
      </c>
      <c r="AI2600">
        <v>92.346999459203602</v>
      </c>
      <c r="AJ2600">
        <v>88.953067147608493</v>
      </c>
      <c r="AK2600">
        <v>27.378378927063299</v>
      </c>
      <c r="AL2600">
        <v>93.068090327718295</v>
      </c>
      <c r="AM2600">
        <v>92.601472936089905</v>
      </c>
      <c r="AN2600">
        <v>0.99999998593725903</v>
      </c>
    </row>
    <row r="2601" spans="1:40" x14ac:dyDescent="0.25">
      <c r="A2601" t="str">
        <f>"20190303154818675"</f>
        <v>20190303154818675</v>
      </c>
      <c r="B2601" t="str">
        <f>"1551599298662979"</f>
        <v>1551599298662979</v>
      </c>
      <c r="C2601" t="s">
        <v>40</v>
      </c>
      <c r="D2601">
        <v>4.7117680000000002</v>
      </c>
      <c r="E2601">
        <v>0.52285230000000005</v>
      </c>
      <c r="F2601" t="s">
        <v>47</v>
      </c>
      <c r="G2601">
        <v>-489.92950000000002</v>
      </c>
      <c r="H2601" s="1">
        <v>4.1149220000000004E-6</v>
      </c>
      <c r="I2601">
        <v>286.30739999999997</v>
      </c>
      <c r="J2601">
        <v>-460.43740000000003</v>
      </c>
      <c r="K2601">
        <v>1.1214150000000001</v>
      </c>
      <c r="L2601">
        <v>285.07040000000001</v>
      </c>
      <c r="M2601">
        <v>-0.99952569999999996</v>
      </c>
      <c r="N2601">
        <v>-1.5683570000000001E-2</v>
      </c>
      <c r="O2601">
        <v>2.650835E-2</v>
      </c>
      <c r="P2601">
        <v>-0.99765389999999998</v>
      </c>
      <c r="Q2601">
        <v>-6.5602190000000005E-2</v>
      </c>
      <c r="R2601">
        <v>-1.9582039999999998E-2</v>
      </c>
      <c r="S2601">
        <v>-3.0021360000000001</v>
      </c>
      <c r="T2601">
        <v>-0.1130095</v>
      </c>
      <c r="U2601">
        <v>0.12545780000000001</v>
      </c>
      <c r="V2601">
        <v>-4.6016559999999998E-2</v>
      </c>
      <c r="W2601">
        <v>-4.9968480000000003E-2</v>
      </c>
      <c r="X2601">
        <v>0.99769010000000002</v>
      </c>
      <c r="Y2601">
        <v>1.5240989999999999E-2</v>
      </c>
      <c r="Z2601">
        <v>-1.7497469999999999E-4</v>
      </c>
      <c r="AA2601">
        <v>0.99988379999999999</v>
      </c>
      <c r="AB2601">
        <v>30</v>
      </c>
      <c r="AC2601">
        <v>-29.492099999999901</v>
      </c>
      <c r="AD2601">
        <v>-1.121410885078</v>
      </c>
      <c r="AE2601">
        <v>1.2369999999999599</v>
      </c>
      <c r="AF2601">
        <v>0.45402694469139498</v>
      </c>
      <c r="AG2601">
        <v>-1.121410885078</v>
      </c>
      <c r="AH2601">
        <v>29.4719918029616</v>
      </c>
      <c r="AI2601">
        <v>92.178798025883793</v>
      </c>
      <c r="AJ2601">
        <v>89.117407121017294</v>
      </c>
      <c r="AK2601">
        <v>29.4968134494815</v>
      </c>
      <c r="AL2601">
        <v>92.864175890613197</v>
      </c>
      <c r="AM2601">
        <v>92.640787396919606</v>
      </c>
      <c r="AN2601">
        <v>0.99999995421287602</v>
      </c>
    </row>
    <row r="2602" spans="1:40" x14ac:dyDescent="0.25">
      <c r="A2602" t="str">
        <f>"20190303154818697"</f>
        <v>20190303154818697</v>
      </c>
      <c r="B2602" t="str">
        <f>"1551599298692766"</f>
        <v>1551599298692766</v>
      </c>
      <c r="C2602" t="s">
        <v>40</v>
      </c>
      <c r="D2602">
        <v>4.7237939999999998</v>
      </c>
      <c r="E2602">
        <v>0.52255649999999998</v>
      </c>
      <c r="F2602" t="s">
        <v>47</v>
      </c>
      <c r="G2602">
        <v>-492.3451</v>
      </c>
      <c r="H2602" s="1">
        <v>3.7010120000000001E-6</v>
      </c>
      <c r="I2602">
        <v>286.35950000000003</v>
      </c>
      <c r="J2602">
        <v>-460.73020000000002</v>
      </c>
      <c r="K2602">
        <v>1.1217079999999999</v>
      </c>
      <c r="L2602">
        <v>285.07799999999997</v>
      </c>
      <c r="M2602">
        <v>-0.99950720000000004</v>
      </c>
      <c r="N2602">
        <v>-1.6999110000000001E-2</v>
      </c>
      <c r="O2602">
        <v>2.6390199999999999E-2</v>
      </c>
      <c r="P2602">
        <v>-0.99759560000000003</v>
      </c>
      <c r="Q2602">
        <v>-6.6589300000000004E-2</v>
      </c>
      <c r="R2602">
        <v>-1.921227E-2</v>
      </c>
      <c r="S2602">
        <v>-3.0025019999999998</v>
      </c>
      <c r="T2602">
        <v>-0.1055244</v>
      </c>
      <c r="U2602">
        <v>0.121307399999999</v>
      </c>
      <c r="V2602">
        <v>-4.5526810000000001E-2</v>
      </c>
      <c r="W2602">
        <v>-4.9644489999999999E-2</v>
      </c>
      <c r="X2602">
        <v>0.99772879999999997</v>
      </c>
      <c r="Y2602">
        <v>1.3974139999999999E-2</v>
      </c>
      <c r="Z2602">
        <v>-1.13868E-4</v>
      </c>
      <c r="AA2602">
        <v>0.99990239999999997</v>
      </c>
      <c r="AB2602">
        <v>30</v>
      </c>
      <c r="AC2602">
        <v>-31.614899999999899</v>
      </c>
      <c r="AD2602">
        <v>-1.1217042989879999</v>
      </c>
      <c r="AE2602">
        <v>1.28150000000005</v>
      </c>
      <c r="AF2602">
        <v>0.44604887698920498</v>
      </c>
      <c r="AG2602">
        <v>-1.1217042989879999</v>
      </c>
      <c r="AH2602">
        <v>31.597998031245801</v>
      </c>
      <c r="AI2602">
        <v>92.032899392264696</v>
      </c>
      <c r="AJ2602">
        <v>89.191245574853596</v>
      </c>
      <c r="AK2602">
        <v>31.621047732762602</v>
      </c>
      <c r="AL2602">
        <v>92.845589397528599</v>
      </c>
      <c r="AM2602">
        <v>92.612619693385199</v>
      </c>
      <c r="AN2602">
        <v>1.0000000120827801</v>
      </c>
    </row>
    <row r="2603" spans="1:40" x14ac:dyDescent="0.25">
      <c r="A2603" t="str">
        <f>"20190303154818720"</f>
        <v>20190303154818720</v>
      </c>
      <c r="B2603" t="str">
        <f>"1551599298713262"</f>
        <v>1551599298713262</v>
      </c>
      <c r="C2603" t="s">
        <v>40</v>
      </c>
      <c r="D2603">
        <v>4.7018370000000003</v>
      </c>
      <c r="E2603">
        <v>0.52306560000000002</v>
      </c>
      <c r="F2603" t="s">
        <v>47</v>
      </c>
      <c r="G2603">
        <v>-491.4255</v>
      </c>
      <c r="H2603" s="1">
        <v>3.8592780000000003E-6</v>
      </c>
      <c r="I2603">
        <v>286.30399999999997</v>
      </c>
      <c r="J2603">
        <v>-461.02289999999999</v>
      </c>
      <c r="K2603">
        <v>1.1220019999999999</v>
      </c>
      <c r="L2603">
        <v>285.0856</v>
      </c>
      <c r="M2603">
        <v>-0.9994826</v>
      </c>
      <c r="N2603">
        <v>-1.8570030000000001E-2</v>
      </c>
      <c r="O2603">
        <v>2.626469E-2</v>
      </c>
      <c r="P2603">
        <v>-0.99716539999999998</v>
      </c>
      <c r="Q2603">
        <v>-7.2970930000000003E-2</v>
      </c>
      <c r="R2603">
        <v>-1.8347059999999998E-2</v>
      </c>
      <c r="S2603">
        <v>-3.0021969999999998</v>
      </c>
      <c r="T2603">
        <v>-0.10970969999999999</v>
      </c>
      <c r="U2603">
        <v>0.1199036</v>
      </c>
      <c r="V2603">
        <v>-4.452362E-2</v>
      </c>
      <c r="W2603">
        <v>-5.4465710000000001E-2</v>
      </c>
      <c r="X2603">
        <v>0.99752249999999998</v>
      </c>
      <c r="Y2603">
        <v>1.363524E-2</v>
      </c>
      <c r="Z2603" s="1">
        <v>-9.5590690000000005E-5</v>
      </c>
      <c r="AA2603">
        <v>0.99990699999999999</v>
      </c>
      <c r="AB2603">
        <v>29</v>
      </c>
      <c r="AC2603">
        <v>-30.4026</v>
      </c>
      <c r="AD2603">
        <v>-1.1219981407220001</v>
      </c>
      <c r="AE2603">
        <v>1.2184000000000299</v>
      </c>
      <c r="AF2603">
        <v>0.41875759795829698</v>
      </c>
      <c r="AG2603">
        <v>-1.1219981407220001</v>
      </c>
      <c r="AH2603">
        <v>30.3828009539932</v>
      </c>
      <c r="AI2603">
        <v>92.114698459228293</v>
      </c>
      <c r="AJ2603">
        <v>89.210358388439204</v>
      </c>
      <c r="AK2603">
        <v>30.406394583435901</v>
      </c>
      <c r="AL2603">
        <v>93.122200278825204</v>
      </c>
      <c r="AM2603">
        <v>92.555655117765497</v>
      </c>
      <c r="AN2603">
        <v>1.00000000215497</v>
      </c>
    </row>
    <row r="2604" spans="1:40" x14ac:dyDescent="0.25">
      <c r="A2604" t="str">
        <f>"20190303154818742"</f>
        <v>20190303154818742</v>
      </c>
      <c r="B2604" t="str">
        <f>"1551599298732783"</f>
        <v>1551599298732783</v>
      </c>
      <c r="C2604" t="s">
        <v>40</v>
      </c>
      <c r="D2604">
        <v>4.6445480000000003</v>
      </c>
      <c r="E2604">
        <v>0.52341009999999999</v>
      </c>
      <c r="F2604" t="s">
        <v>47</v>
      </c>
      <c r="G2604">
        <v>-487.3954</v>
      </c>
      <c r="H2604" s="1">
        <v>3.6557960000000001E-6</v>
      </c>
      <c r="I2604">
        <v>286.19760000000002</v>
      </c>
      <c r="J2604">
        <v>-461.29230000000001</v>
      </c>
      <c r="K2604">
        <v>1.1222350000000001</v>
      </c>
      <c r="L2604">
        <v>285.09249999999997</v>
      </c>
      <c r="M2604">
        <v>-0.99945580000000001</v>
      </c>
      <c r="N2604">
        <v>-2.0106929999999999E-2</v>
      </c>
      <c r="O2604">
        <v>2.6151549999999999E-2</v>
      </c>
      <c r="P2604">
        <v>-0.99633130000000003</v>
      </c>
      <c r="Q2604">
        <v>-8.3805790000000005E-2</v>
      </c>
      <c r="R2604">
        <v>-1.7347890000000001E-2</v>
      </c>
      <c r="S2604">
        <v>-3.0015559999999999</v>
      </c>
      <c r="T2604">
        <v>-0.12769949999999999</v>
      </c>
      <c r="U2604">
        <v>0.12655640000000001</v>
      </c>
      <c r="V2604">
        <v>-4.338848E-2</v>
      </c>
      <c r="W2604">
        <v>-6.3781260000000006E-2</v>
      </c>
      <c r="X2604">
        <v>0.99702020000000002</v>
      </c>
      <c r="Y2604">
        <v>1.5963450000000001E-2</v>
      </c>
      <c r="Z2604" s="1">
        <v>-8.5762850000000002E-5</v>
      </c>
      <c r="AA2604">
        <v>0.9998726</v>
      </c>
      <c r="AB2604">
        <v>29</v>
      </c>
      <c r="AC2604">
        <v>-26.103099999999898</v>
      </c>
      <c r="AD2604">
        <v>-1.1222313442039999</v>
      </c>
      <c r="AE2604">
        <v>1.1051000000000499</v>
      </c>
      <c r="AF2604">
        <v>0.421170293122273</v>
      </c>
      <c r="AG2604">
        <v>-1.1222313442039999</v>
      </c>
      <c r="AH2604">
        <v>26.0749657452657</v>
      </c>
      <c r="AI2604">
        <v>92.464091145097001</v>
      </c>
      <c r="AJ2604">
        <v>89.074622677211295</v>
      </c>
      <c r="AK2604">
        <v>26.102502298103499</v>
      </c>
      <c r="AL2604">
        <v>93.656879471977206</v>
      </c>
      <c r="AM2604">
        <v>92.491834393428803</v>
      </c>
      <c r="AN2604">
        <v>0.99999994426596694</v>
      </c>
    </row>
    <row r="2605" spans="1:40" x14ac:dyDescent="0.25">
      <c r="A2605" t="str">
        <f>"20190303154818764"</f>
        <v>20190303154818764</v>
      </c>
      <c r="B2605" t="str">
        <f>"1551599298753279"</f>
        <v>1551599298753279</v>
      </c>
      <c r="C2605" t="s">
        <v>40</v>
      </c>
      <c r="D2605">
        <v>4.6824949999999896</v>
      </c>
      <c r="E2605">
        <v>0.52372099999999999</v>
      </c>
      <c r="F2605" t="s">
        <v>47</v>
      </c>
      <c r="G2605">
        <v>-482.2552</v>
      </c>
      <c r="H2605" s="1">
        <v>2.7281869999999998E-6</v>
      </c>
      <c r="I2605">
        <v>286.01639999999998</v>
      </c>
      <c r="J2605">
        <v>-461.58150000000001</v>
      </c>
      <c r="K2605">
        <v>1.1224479999999999</v>
      </c>
      <c r="L2605">
        <v>285.09989999999999</v>
      </c>
      <c r="M2605">
        <v>-0.99942379999999997</v>
      </c>
      <c r="N2605">
        <v>-2.1763729999999998E-2</v>
      </c>
      <c r="O2605">
        <v>2.6047540000000001E-2</v>
      </c>
      <c r="P2605">
        <v>-0.99572660000000002</v>
      </c>
      <c r="Q2605">
        <v>-9.0779810000000002E-2</v>
      </c>
      <c r="R2605">
        <v>-1.6968E-2</v>
      </c>
      <c r="S2605">
        <v>-2.9998469999999999</v>
      </c>
      <c r="T2605">
        <v>-0.1605943</v>
      </c>
      <c r="U2605">
        <v>0.13220209999999999</v>
      </c>
      <c r="V2605">
        <v>-4.2891140000000001E-2</v>
      </c>
      <c r="W2605">
        <v>-6.9112809999999997E-2</v>
      </c>
      <c r="X2605">
        <v>0.99668639999999997</v>
      </c>
      <c r="Y2605">
        <v>1.7960460000000001E-2</v>
      </c>
      <c r="Z2605">
        <v>-1.4993959999999999E-4</v>
      </c>
      <c r="AA2605">
        <v>0.99983869999999997</v>
      </c>
      <c r="AB2605">
        <v>28</v>
      </c>
      <c r="AC2605">
        <v>-20.6737</v>
      </c>
      <c r="AD2605">
        <v>-1.12244527181299</v>
      </c>
      <c r="AE2605">
        <v>0.91649999999998499</v>
      </c>
      <c r="AF2605">
        <v>0.37645477481610301</v>
      </c>
      <c r="AG2605">
        <v>-1.12244527181299</v>
      </c>
      <c r="AH2605">
        <v>20.629867551723802</v>
      </c>
      <c r="AI2605">
        <v>93.113803578909895</v>
      </c>
      <c r="AJ2605">
        <v>88.954580000425494</v>
      </c>
      <c r="AK2605">
        <v>20.6638098323461</v>
      </c>
      <c r="AL2605">
        <v>93.963031539635097</v>
      </c>
      <c r="AM2605">
        <v>92.464131123534301</v>
      </c>
      <c r="AN2605">
        <v>1.00000000517077</v>
      </c>
    </row>
    <row r="2606" spans="1:40" x14ac:dyDescent="0.25">
      <c r="A2606" t="str">
        <f>"20190303154818787"</f>
        <v>20190303154818787</v>
      </c>
      <c r="B2606" t="str">
        <f>"1551599298783535"</f>
        <v>1551599298783535</v>
      </c>
      <c r="C2606" t="s">
        <v>40</v>
      </c>
      <c r="D2606">
        <v>4.7117959999999997</v>
      </c>
      <c r="E2606">
        <v>0.52390769999999998</v>
      </c>
      <c r="F2606" t="s">
        <v>47</v>
      </c>
      <c r="G2606">
        <v>-480.1157</v>
      </c>
      <c r="H2606" s="1">
        <v>2.342045E-6</v>
      </c>
      <c r="I2606">
        <v>285.94060000000002</v>
      </c>
      <c r="J2606">
        <v>-461.8451</v>
      </c>
      <c r="K2606">
        <v>1.122622</v>
      </c>
      <c r="L2606">
        <v>285.10669999999999</v>
      </c>
      <c r="M2606">
        <v>-0.99939250000000002</v>
      </c>
      <c r="N2606">
        <v>-2.324004E-2</v>
      </c>
      <c r="O2606">
        <v>2.596994E-2</v>
      </c>
      <c r="P2606">
        <v>-0.99570329999999996</v>
      </c>
      <c r="Q2606">
        <v>-9.0884569999999998E-2</v>
      </c>
      <c r="R2606">
        <v>-1.7744900000000001E-2</v>
      </c>
      <c r="S2606">
        <v>-2.998596</v>
      </c>
      <c r="T2606">
        <v>-0.18159719999999999</v>
      </c>
      <c r="U2606">
        <v>0.13601679999999999</v>
      </c>
      <c r="V2606">
        <v>-4.3594809999999998E-2</v>
      </c>
      <c r="W2606">
        <v>-6.7744429999999994E-2</v>
      </c>
      <c r="X2606">
        <v>0.99674980000000002</v>
      </c>
      <c r="Y2606">
        <v>1.9317109999999998E-2</v>
      </c>
      <c r="Z2606">
        <v>-1.5804759999999999E-4</v>
      </c>
      <c r="AA2606">
        <v>0.99981339999999996</v>
      </c>
      <c r="AB2606">
        <v>28</v>
      </c>
      <c r="AC2606">
        <v>-18.270600000000002</v>
      </c>
      <c r="AD2606">
        <v>-1.1226196579549901</v>
      </c>
      <c r="AE2606">
        <v>0.83390000000002795</v>
      </c>
      <c r="AF2606">
        <v>0.35765651970166401</v>
      </c>
      <c r="AG2606">
        <v>-1.1226196579549901</v>
      </c>
      <c r="AH2606">
        <v>18.217461917503002</v>
      </c>
      <c r="AI2606">
        <v>93.525616771226694</v>
      </c>
      <c r="AJ2606">
        <v>88.875278183200393</v>
      </c>
      <c r="AK2606">
        <v>18.255522775264001</v>
      </c>
      <c r="AL2606">
        <v>93.884444990050696</v>
      </c>
      <c r="AM2606">
        <v>92.504347379070097</v>
      </c>
      <c r="AN2606">
        <v>0.99999998952750002</v>
      </c>
    </row>
    <row r="2607" spans="1:40" x14ac:dyDescent="0.25">
      <c r="A2607" t="str">
        <f>"20190303154818809"</f>
        <v>20190303154818809</v>
      </c>
      <c r="B2607" t="str">
        <f>"1551599298803055"</f>
        <v>1551599298803055</v>
      </c>
      <c r="C2607" t="s">
        <v>40</v>
      </c>
      <c r="D2607">
        <v>4.6651749999999996</v>
      </c>
      <c r="E2607">
        <v>0.52376729999999905</v>
      </c>
      <c r="F2607" t="s">
        <v>47</v>
      </c>
      <c r="G2607">
        <v>-480.23590000000002</v>
      </c>
      <c r="H2607" s="1">
        <v>2.3629840000000001E-6</v>
      </c>
      <c r="I2607">
        <v>285.93619999999999</v>
      </c>
      <c r="J2607">
        <v>-462.11829999999998</v>
      </c>
      <c r="K2607">
        <v>1.1227640000000001</v>
      </c>
      <c r="L2607">
        <v>285.11369999999999</v>
      </c>
      <c r="M2607">
        <v>-0.99935909999999994</v>
      </c>
      <c r="N2607">
        <v>-2.4697199999999999E-2</v>
      </c>
      <c r="O2607">
        <v>2.5915629999999999E-2</v>
      </c>
      <c r="P2607">
        <v>-0.99598279999999995</v>
      </c>
      <c r="Q2607">
        <v>-8.7408769999999997E-2</v>
      </c>
      <c r="R2607">
        <v>-1.9451389999999999E-2</v>
      </c>
      <c r="S2607">
        <v>-2.9986570000000001</v>
      </c>
      <c r="T2607">
        <v>-0.1830456</v>
      </c>
      <c r="U2607">
        <v>0.13525390000000001</v>
      </c>
      <c r="V2607">
        <v>-4.525912E-2</v>
      </c>
      <c r="W2607">
        <v>-6.2808279999999994E-2</v>
      </c>
      <c r="X2607">
        <v>0.99699879999999996</v>
      </c>
      <c r="Y2607">
        <v>1.911378E-2</v>
      </c>
      <c r="Z2607">
        <v>-1.206794E-4</v>
      </c>
      <c r="AA2607">
        <v>0.99981730000000002</v>
      </c>
      <c r="AB2607">
        <v>27</v>
      </c>
      <c r="AC2607">
        <v>-18.117599999999999</v>
      </c>
      <c r="AD2607">
        <v>-1.1227616370159901</v>
      </c>
      <c r="AE2607">
        <v>0.82249999999999002</v>
      </c>
      <c r="AF2607">
        <v>0.35120535880586501</v>
      </c>
      <c r="AG2607">
        <v>-1.1227616370159901</v>
      </c>
      <c r="AH2607">
        <v>18.063604936510998</v>
      </c>
      <c r="AI2607">
        <v>93.556031222977595</v>
      </c>
      <c r="AJ2607">
        <v>88.8861553451964</v>
      </c>
      <c r="AK2607">
        <v>18.101871787192501</v>
      </c>
      <c r="AL2607">
        <v>93.601019837588595</v>
      </c>
      <c r="AM2607">
        <v>92.599178140372004</v>
      </c>
      <c r="AN2607">
        <v>0.99999993759058403</v>
      </c>
    </row>
    <row r="2608" spans="1:40" x14ac:dyDescent="0.25">
      <c r="A2608" t="str">
        <f>"20190303154818831"</f>
        <v>20190303154818831</v>
      </c>
      <c r="B2608" t="str">
        <f>"1551599298823550"</f>
        <v>1551599298823550</v>
      </c>
      <c r="C2608" t="s">
        <v>40</v>
      </c>
      <c r="D2608">
        <v>4.7276920000000002</v>
      </c>
      <c r="E2608">
        <v>0.52375490000000002</v>
      </c>
      <c r="F2608" t="s">
        <v>47</v>
      </c>
      <c r="G2608">
        <v>-481.51150000000001</v>
      </c>
      <c r="H2608" s="1">
        <v>2.5903020000000001E-6</v>
      </c>
      <c r="I2608">
        <v>285.94819999999999</v>
      </c>
      <c r="J2608">
        <v>-462.37599999999998</v>
      </c>
      <c r="K2608">
        <v>1.1228689999999999</v>
      </c>
      <c r="L2608">
        <v>285.12040000000002</v>
      </c>
      <c r="M2608">
        <v>-0.99932750000000004</v>
      </c>
      <c r="N2608">
        <v>-2.5961100000000001E-2</v>
      </c>
      <c r="O2608">
        <v>2.5902330000000001E-2</v>
      </c>
      <c r="P2608">
        <v>-0.99623669999999998</v>
      </c>
      <c r="Q2608">
        <v>-8.4086419999999995E-2</v>
      </c>
      <c r="R2608">
        <v>-2.1037989999999999E-2</v>
      </c>
      <c r="S2608">
        <v>-2.9994200000000002</v>
      </c>
      <c r="T2608">
        <v>-0.1736499</v>
      </c>
      <c r="U2608">
        <v>0.1290588</v>
      </c>
      <c r="V2608">
        <v>-4.684381E-2</v>
      </c>
      <c r="W2608">
        <v>-5.8218029999999997E-2</v>
      </c>
      <c r="X2608">
        <v>0.99720419999999999</v>
      </c>
      <c r="Y2608">
        <v>1.7058420000000001E-2</v>
      </c>
      <c r="Z2608">
        <v>-1.102372E-4</v>
      </c>
      <c r="AA2608">
        <v>0.99985449999999998</v>
      </c>
      <c r="AB2608">
        <v>27</v>
      </c>
      <c r="AC2608">
        <v>-19.1355</v>
      </c>
      <c r="AD2608">
        <v>-1.1228664096979999</v>
      </c>
      <c r="AE2608">
        <v>0.82779999999996701</v>
      </c>
      <c r="AF2608">
        <v>0.330564894946071</v>
      </c>
      <c r="AG2608">
        <v>-1.1228664096979999</v>
      </c>
      <c r="AH2608">
        <v>19.084931821573299</v>
      </c>
      <c r="AI2608">
        <v>93.3666251075432</v>
      </c>
      <c r="AJ2608">
        <v>89.007694666751306</v>
      </c>
      <c r="AK2608">
        <v>19.120792995006799</v>
      </c>
      <c r="AL2608">
        <v>93.337534733918602</v>
      </c>
      <c r="AM2608">
        <v>92.689500330123195</v>
      </c>
      <c r="AN2608">
        <v>0.99999994902501699</v>
      </c>
    </row>
    <row r="2609" spans="1:40" x14ac:dyDescent="0.25">
      <c r="A2609" t="str">
        <f>"20190303154818853"</f>
        <v>20190303154818853</v>
      </c>
      <c r="B2609" t="str">
        <f>"1551599298843071"</f>
        <v>1551599298843071</v>
      </c>
      <c r="C2609" t="s">
        <v>40</v>
      </c>
      <c r="D2609">
        <v>4.7131210000000001</v>
      </c>
      <c r="E2609">
        <v>0.5240378</v>
      </c>
      <c r="F2609" t="s">
        <v>47</v>
      </c>
      <c r="G2609">
        <v>-482.84289999999999</v>
      </c>
      <c r="H2609" s="1">
        <v>2.828052E-6</v>
      </c>
      <c r="I2609">
        <v>285.96629999999999</v>
      </c>
      <c r="J2609">
        <v>-462.64060000000001</v>
      </c>
      <c r="K2609">
        <v>1.122898</v>
      </c>
      <c r="L2609">
        <v>285.12720000000002</v>
      </c>
      <c r="M2609">
        <v>-0.99929630000000003</v>
      </c>
      <c r="N2609">
        <v>-2.708907E-2</v>
      </c>
      <c r="O2609">
        <v>2.5943259999999999E-2</v>
      </c>
      <c r="P2609">
        <v>-0.99632189999999998</v>
      </c>
      <c r="Q2609">
        <v>-8.2740789999999995E-2</v>
      </c>
      <c r="R2609">
        <v>-2.228699E-2</v>
      </c>
      <c r="S2609">
        <v>-3.0000309999999999</v>
      </c>
      <c r="T2609">
        <v>-0.16458889999999901</v>
      </c>
      <c r="U2609">
        <v>0.1239929</v>
      </c>
      <c r="V2609">
        <v>-4.8140620000000002E-2</v>
      </c>
      <c r="W2609">
        <v>-5.5742359999999998E-2</v>
      </c>
      <c r="X2609">
        <v>0.9972839</v>
      </c>
      <c r="Y2609">
        <v>1.5326299999999999E-2</v>
      </c>
      <c r="Z2609" s="1">
        <v>-9.0958960000000005E-5</v>
      </c>
      <c r="AA2609">
        <v>0.99988250000000001</v>
      </c>
      <c r="AB2609">
        <v>27</v>
      </c>
      <c r="AC2609">
        <v>-20.202299999999902</v>
      </c>
      <c r="AD2609">
        <v>-1.122895171948</v>
      </c>
      <c r="AE2609">
        <v>0.83909999999997298</v>
      </c>
      <c r="AF2609">
        <v>0.31354442559170198</v>
      </c>
      <c r="AG2609">
        <v>-1.122895171948</v>
      </c>
      <c r="AH2609">
        <v>20.1551118882943</v>
      </c>
      <c r="AI2609">
        <v>93.188419558643204</v>
      </c>
      <c r="AJ2609">
        <v>89.108746039882107</v>
      </c>
      <c r="AK2609">
        <v>20.1888023147404</v>
      </c>
      <c r="AL2609">
        <v>93.195458402749793</v>
      </c>
      <c r="AM2609">
        <v>92.763621219713102</v>
      </c>
      <c r="AN2609">
        <v>0.99999995359577998</v>
      </c>
    </row>
    <row r="2610" spans="1:40" x14ac:dyDescent="0.25">
      <c r="A2610" t="str">
        <f>"20190303154818877"</f>
        <v>20190303154818877</v>
      </c>
      <c r="B2610" t="str">
        <f>"1551599298863566"</f>
        <v>1551599298863566</v>
      </c>
      <c r="C2610" t="s">
        <v>40</v>
      </c>
      <c r="D2610">
        <v>4.7257850000000001</v>
      </c>
      <c r="E2610">
        <v>0.5242407</v>
      </c>
      <c r="F2610" t="s">
        <v>47</v>
      </c>
      <c r="G2610">
        <v>-483.90989999999999</v>
      </c>
      <c r="H2610" s="1">
        <v>3.0199629999999999E-6</v>
      </c>
      <c r="I2610">
        <v>285.9966</v>
      </c>
      <c r="J2610">
        <v>-462.90069999999997</v>
      </c>
      <c r="K2610">
        <v>1.1228659999999999</v>
      </c>
      <c r="L2610">
        <v>285.13409999999999</v>
      </c>
      <c r="M2610">
        <v>-0.99926919999999997</v>
      </c>
      <c r="N2610">
        <v>-2.7980919999999999E-2</v>
      </c>
      <c r="O2610">
        <v>2.604306E-2</v>
      </c>
      <c r="P2610">
        <v>-0.9962588</v>
      </c>
      <c r="Q2610">
        <v>-8.3174799999999993E-2</v>
      </c>
      <c r="R2610">
        <v>-2.34678E-2</v>
      </c>
      <c r="S2610">
        <v>-3.0006710000000001</v>
      </c>
      <c r="T2610">
        <v>-0.15841839999999999</v>
      </c>
      <c r="U2610">
        <v>0.1226501</v>
      </c>
      <c r="V2610">
        <v>-4.9424860000000001E-2</v>
      </c>
      <c r="W2610">
        <v>-5.5284079999999999E-2</v>
      </c>
      <c r="X2610">
        <v>0.99724659999999998</v>
      </c>
      <c r="Y2610">
        <v>1.4771279999999999E-2</v>
      </c>
      <c r="Z2610" s="1">
        <v>-4.8139449999999999E-5</v>
      </c>
      <c r="AA2610">
        <v>0.99989090000000003</v>
      </c>
      <c r="AB2610">
        <v>26</v>
      </c>
      <c r="AC2610">
        <v>-21.0092</v>
      </c>
      <c r="AD2610">
        <v>-1.122862980037</v>
      </c>
      <c r="AE2610">
        <v>0.86250000000001104</v>
      </c>
      <c r="AF2610">
        <v>0.31395378821433301</v>
      </c>
      <c r="AG2610">
        <v>-1.122862980037</v>
      </c>
      <c r="AH2610">
        <v>20.964754397156899</v>
      </c>
      <c r="AI2610">
        <v>93.065464260312496</v>
      </c>
      <c r="AJ2610">
        <v>89.142041819960795</v>
      </c>
      <c r="AK2610">
        <v>20.9971501682057</v>
      </c>
      <c r="AL2610">
        <v>93.169160306377293</v>
      </c>
      <c r="AM2610">
        <v>92.837332968735097</v>
      </c>
      <c r="AN2610">
        <v>0.99999996374951206</v>
      </c>
    </row>
    <row r="2611" spans="1:40" x14ac:dyDescent="0.25">
      <c r="A2611" t="str">
        <f>"20190303154818899"</f>
        <v>20190303154818899</v>
      </c>
      <c r="B2611" t="str">
        <f>"1551599298892847"</f>
        <v>1551599298892847</v>
      </c>
      <c r="C2611" t="s">
        <v>40</v>
      </c>
      <c r="D2611">
        <v>4.6827740000000002</v>
      </c>
      <c r="E2611">
        <v>0.5244434</v>
      </c>
      <c r="F2611" t="s">
        <v>47</v>
      </c>
      <c r="G2611">
        <v>-484.14690000000002</v>
      </c>
      <c r="H2611" s="1">
        <v>3.061253E-6</v>
      </c>
      <c r="I2611">
        <v>285.988</v>
      </c>
      <c r="J2611">
        <v>-463.15600000000001</v>
      </c>
      <c r="K2611">
        <v>1.122787</v>
      </c>
      <c r="L2611">
        <v>285.14089999999999</v>
      </c>
      <c r="M2611">
        <v>-0.99924710000000005</v>
      </c>
      <c r="N2611">
        <v>-2.8623900000000001E-2</v>
      </c>
      <c r="O2611">
        <v>2.6194169999999999E-2</v>
      </c>
      <c r="P2611">
        <v>-0.99605949999999999</v>
      </c>
      <c r="Q2611">
        <v>-8.5294330000000002E-2</v>
      </c>
      <c r="R2611">
        <v>-2.430146E-2</v>
      </c>
      <c r="S2611">
        <v>-3.0008240000000002</v>
      </c>
      <c r="T2611">
        <v>-0.1585937</v>
      </c>
      <c r="U2611">
        <v>0.1206055</v>
      </c>
      <c r="V2611">
        <v>-5.0411169999999998E-2</v>
      </c>
      <c r="W2611">
        <v>-5.676204E-2</v>
      </c>
      <c r="X2611">
        <v>0.99711419999999995</v>
      </c>
      <c r="Y2611">
        <v>1.393849E-2</v>
      </c>
      <c r="Z2611" s="1">
        <v>-6.5243059999999894E-5</v>
      </c>
      <c r="AA2611">
        <v>0.99990279999999998</v>
      </c>
      <c r="AB2611">
        <v>26</v>
      </c>
      <c r="AC2611">
        <v>-20.9909</v>
      </c>
      <c r="AD2611">
        <v>-1.122783938747</v>
      </c>
      <c r="AE2611">
        <v>0.84710000000001096</v>
      </c>
      <c r="AF2611">
        <v>0.295899356040359</v>
      </c>
      <c r="AG2611">
        <v>-1.122783938747</v>
      </c>
      <c r="AH2611">
        <v>20.9460587956148</v>
      </c>
      <c r="AI2611">
        <v>93.068017380556398</v>
      </c>
      <c r="AJ2611">
        <v>89.190651722563501</v>
      </c>
      <c r="AK2611">
        <v>20.978216780064098</v>
      </c>
      <c r="AL2611">
        <v>93.253974364791503</v>
      </c>
      <c r="AM2611">
        <v>92.8942423647688</v>
      </c>
      <c r="AN2611">
        <v>0.99999997154368403</v>
      </c>
    </row>
    <row r="2612" spans="1:40" x14ac:dyDescent="0.25">
      <c r="A2612" t="str">
        <f>"20190303154818922"</f>
        <v>20190303154818922</v>
      </c>
      <c r="B2612" t="str">
        <f>"1551599298913343"</f>
        <v>1551599298913343</v>
      </c>
      <c r="C2612" t="s">
        <v>40</v>
      </c>
      <c r="D2612">
        <v>4.7083969999999997</v>
      </c>
      <c r="E2612">
        <v>0.52465589999999995</v>
      </c>
      <c r="F2612" t="s">
        <v>47</v>
      </c>
      <c r="G2612">
        <v>-483.4683</v>
      </c>
      <c r="H2612" s="1">
        <v>2.9377479999999999E-6</v>
      </c>
      <c r="I2612">
        <v>285.95209999999997</v>
      </c>
      <c r="J2612">
        <v>-463.40440000000001</v>
      </c>
      <c r="K2612">
        <v>1.1226849999999999</v>
      </c>
      <c r="L2612">
        <v>285.14760000000001</v>
      </c>
      <c r="M2612">
        <v>-0.99923030000000002</v>
      </c>
      <c r="N2612">
        <v>-2.9031169999999999E-2</v>
      </c>
      <c r="O2612">
        <v>2.6386980000000001E-2</v>
      </c>
      <c r="P2612">
        <v>-0.99596260000000003</v>
      </c>
      <c r="Q2612">
        <v>-8.6391140000000005E-2</v>
      </c>
      <c r="R2612">
        <v>-2.4401809999999999E-2</v>
      </c>
      <c r="S2612">
        <v>-3.00061</v>
      </c>
      <c r="T2612">
        <v>-0.16586199999999901</v>
      </c>
      <c r="U2612">
        <v>0.1198425</v>
      </c>
      <c r="V2612">
        <v>-5.0706319999999999E-2</v>
      </c>
      <c r="W2612">
        <v>-5.7450439999999998E-2</v>
      </c>
      <c r="X2612">
        <v>0.99705980000000005</v>
      </c>
      <c r="Y2612">
        <v>1.3494229999999999E-2</v>
      </c>
      <c r="Z2612">
        <v>-1.220206E-4</v>
      </c>
      <c r="AA2612">
        <v>0.99990889999999999</v>
      </c>
      <c r="AB2612">
        <v>26</v>
      </c>
      <c r="AC2612">
        <v>-20.063899999999901</v>
      </c>
      <c r="AD2612">
        <v>-1.122682062252</v>
      </c>
      <c r="AE2612">
        <v>0.80449999999996102</v>
      </c>
      <c r="AF2612">
        <v>0.273715114441892</v>
      </c>
      <c r="AG2612">
        <v>-1.122682062252</v>
      </c>
      <c r="AH2612">
        <v>20.0155770455202</v>
      </c>
      <c r="AI2612">
        <v>93.210080705695503</v>
      </c>
      <c r="AJ2612">
        <v>89.2165230450357</v>
      </c>
      <c r="AK2612">
        <v>20.048906689441498</v>
      </c>
      <c r="AL2612">
        <v>93.293481276016294</v>
      </c>
      <c r="AM2612">
        <v>92.911317225452606</v>
      </c>
      <c r="AN2612">
        <v>0.99999996436008698</v>
      </c>
    </row>
    <row r="2613" spans="1:40" x14ac:dyDescent="0.25">
      <c r="A2613" t="str">
        <f>"20190303154818943"</f>
        <v>20190303154818943</v>
      </c>
      <c r="B2613" t="str">
        <f>"1551599298932862"</f>
        <v>1551599298932862</v>
      </c>
      <c r="C2613" t="s">
        <v>40</v>
      </c>
      <c r="D2613">
        <v>4.7238879999999996</v>
      </c>
      <c r="E2613">
        <v>0.52488299999999999</v>
      </c>
      <c r="F2613" t="s">
        <v>47</v>
      </c>
      <c r="G2613">
        <v>-483.28219999999999</v>
      </c>
      <c r="H2613" s="1">
        <v>2.904656E-6</v>
      </c>
      <c r="I2613">
        <v>285.9513</v>
      </c>
      <c r="J2613">
        <v>-463.64429999999999</v>
      </c>
      <c r="K2613">
        <v>1.1225849999999999</v>
      </c>
      <c r="L2613">
        <v>285.1542</v>
      </c>
      <c r="M2613">
        <v>-0.9992181</v>
      </c>
      <c r="N2613">
        <v>-2.9245980000000001E-2</v>
      </c>
      <c r="O2613">
        <v>2.6610990000000001E-2</v>
      </c>
      <c r="P2613">
        <v>-0.99609840000000005</v>
      </c>
      <c r="Q2613">
        <v>-8.5787329999999995E-2</v>
      </c>
      <c r="R2613">
        <v>-2.070992E-2</v>
      </c>
      <c r="S2613">
        <v>-3.0003660000000001</v>
      </c>
      <c r="T2613">
        <v>-0.16945869999999999</v>
      </c>
      <c r="U2613">
        <v>0.121307399999999</v>
      </c>
      <c r="V2613">
        <v>-4.7245660000000002E-2</v>
      </c>
      <c r="W2613">
        <v>-5.6624630000000002E-2</v>
      </c>
      <c r="X2613">
        <v>0.99727699999999997</v>
      </c>
      <c r="Y2613">
        <v>1.3759449999999999E-2</v>
      </c>
      <c r="Z2613">
        <v>-1.331719E-4</v>
      </c>
      <c r="AA2613">
        <v>0.9999053</v>
      </c>
      <c r="AB2613">
        <v>25</v>
      </c>
      <c r="AC2613">
        <v>-19.637899999999998</v>
      </c>
      <c r="AD2613">
        <v>-1.122582095344</v>
      </c>
      <c r="AE2613">
        <v>0.79710000000000003</v>
      </c>
      <c r="AF2613">
        <v>0.27311894636878598</v>
      </c>
      <c r="AG2613">
        <v>-1.122582095344</v>
      </c>
      <c r="AH2613">
        <v>19.5882564276518</v>
      </c>
      <c r="AI2613">
        <v>93.279654285526703</v>
      </c>
      <c r="AJ2613">
        <v>89.201177039712405</v>
      </c>
      <c r="AK2613">
        <v>19.622297887737201</v>
      </c>
      <c r="AL2613">
        <v>93.246088712725197</v>
      </c>
      <c r="AM2613">
        <v>92.712340201160401</v>
      </c>
      <c r="AN2613">
        <v>0.99999995792023499</v>
      </c>
    </row>
    <row r="2614" spans="1:40" x14ac:dyDescent="0.25">
      <c r="A2614" t="str">
        <f>"20190303154818966"</f>
        <v>20190303154818966</v>
      </c>
      <c r="B2614" t="str">
        <f>"1551599298953359"</f>
        <v>1551599298953359</v>
      </c>
      <c r="C2614" t="s">
        <v>40</v>
      </c>
      <c r="D2614">
        <v>4.7362070000000003</v>
      </c>
      <c r="E2614">
        <v>0.52507689999999996</v>
      </c>
      <c r="F2614" t="s">
        <v>47</v>
      </c>
      <c r="G2614">
        <v>-483.71589999999998</v>
      </c>
      <c r="H2614" s="1">
        <v>2.9903640000000001E-6</v>
      </c>
      <c r="I2614">
        <v>286.05149999999998</v>
      </c>
      <c r="J2614">
        <v>-463.89019999999999</v>
      </c>
      <c r="K2614">
        <v>1.122485</v>
      </c>
      <c r="L2614">
        <v>285.16109999999998</v>
      </c>
      <c r="M2614">
        <v>-0.99920929999999997</v>
      </c>
      <c r="N2614">
        <v>-2.9310619999999999E-2</v>
      </c>
      <c r="O2614">
        <v>2.6862690000000002E-2</v>
      </c>
      <c r="P2614">
        <v>-0.99613430000000003</v>
      </c>
      <c r="Q2614">
        <v>-8.6656289999999997E-2</v>
      </c>
      <c r="R2614">
        <v>-1.438676E-2</v>
      </c>
      <c r="S2614">
        <v>-3.000092</v>
      </c>
      <c r="T2614">
        <v>-0.16779179999999999</v>
      </c>
      <c r="U2614">
        <v>0.13412479999999999</v>
      </c>
      <c r="V2614">
        <v>-4.1178869999999999E-2</v>
      </c>
      <c r="W2614">
        <v>-5.7424379999999997E-2</v>
      </c>
      <c r="X2614">
        <v>0.99750019999999995</v>
      </c>
      <c r="Y2614">
        <v>1.7765920000000001E-2</v>
      </c>
      <c r="Z2614" s="1">
        <v>4.3956160000000002E-5</v>
      </c>
      <c r="AA2614">
        <v>0.99984220000000001</v>
      </c>
      <c r="AB2614">
        <v>25</v>
      </c>
      <c r="AC2614">
        <v>-19.825699999999902</v>
      </c>
      <c r="AD2614">
        <v>-1.122482009636</v>
      </c>
      <c r="AE2614">
        <v>0.89039999999999897</v>
      </c>
      <c r="AF2614">
        <v>0.356138522298654</v>
      </c>
      <c r="AG2614">
        <v>-1.122482009636</v>
      </c>
      <c r="AH2614">
        <v>19.779192782883801</v>
      </c>
      <c r="AI2614">
        <v>93.247563371102402</v>
      </c>
      <c r="AJ2614">
        <v>88.968459949934598</v>
      </c>
      <c r="AK2614">
        <v>19.814218825164598</v>
      </c>
      <c r="AL2614">
        <v>93.291985713431302</v>
      </c>
      <c r="AM2614">
        <v>92.363945927294097</v>
      </c>
      <c r="AN2614">
        <v>0.99999995387644902</v>
      </c>
    </row>
    <row r="2615" spans="1:40" x14ac:dyDescent="0.25">
      <c r="A2615" t="str">
        <f>"20190303154818988"</f>
        <v>20190303154818988</v>
      </c>
      <c r="B2615" t="str">
        <f>"1551599298983615"</f>
        <v>1551599298983615</v>
      </c>
      <c r="C2615" t="s">
        <v>40</v>
      </c>
      <c r="D2615">
        <v>4.7250759999999996</v>
      </c>
      <c r="E2615">
        <v>0.52520359999999999</v>
      </c>
      <c r="F2615" t="s">
        <v>47</v>
      </c>
      <c r="G2615">
        <v>-483.51870000000002</v>
      </c>
      <c r="H2615" s="1">
        <v>2.966099E-6</v>
      </c>
      <c r="I2615">
        <v>286.17419999999998</v>
      </c>
      <c r="J2615">
        <v>-464.13319999999999</v>
      </c>
      <c r="K2615">
        <v>1.1223970000000001</v>
      </c>
      <c r="L2615">
        <v>285.16789999999997</v>
      </c>
      <c r="M2615">
        <v>-0.99920419999999999</v>
      </c>
      <c r="N2615">
        <v>-2.9257979999999999E-2</v>
      </c>
      <c r="O2615">
        <v>2.7111929999999999E-2</v>
      </c>
      <c r="P2615">
        <v>-0.9960078</v>
      </c>
      <c r="Q2615">
        <v>-8.8988510000000007E-2</v>
      </c>
      <c r="R2615">
        <v>-7.0496619999999999E-3</v>
      </c>
      <c r="S2615">
        <v>-2.9989319999999999</v>
      </c>
      <c r="T2615">
        <v>-0.17149829999999999</v>
      </c>
      <c r="U2615">
        <v>0.15478520000000001</v>
      </c>
      <c r="V2615">
        <v>-3.4090280000000001E-2</v>
      </c>
      <c r="W2615">
        <v>-5.9809399999999999E-2</v>
      </c>
      <c r="X2615">
        <v>0.99762759999999995</v>
      </c>
      <c r="Y2615">
        <v>2.4388719999999999E-2</v>
      </c>
      <c r="Z2615">
        <v>2.9890739999999998E-4</v>
      </c>
      <c r="AA2615">
        <v>0.99970250000000005</v>
      </c>
      <c r="AB2615">
        <v>24</v>
      </c>
      <c r="AC2615">
        <v>-19.3855</v>
      </c>
      <c r="AD2615">
        <v>-1.1223940339009999</v>
      </c>
      <c r="AE2615">
        <v>1.00630000000001</v>
      </c>
      <c r="AF2615">
        <v>0.47852655318281601</v>
      </c>
      <c r="AG2615">
        <v>-1.1223940339009999</v>
      </c>
      <c r="AH2615">
        <v>19.341000609876598</v>
      </c>
      <c r="AI2615">
        <v>93.320241258236905</v>
      </c>
      <c r="AJ2615">
        <v>88.582702106025394</v>
      </c>
      <c r="AK2615">
        <v>19.379449440597799</v>
      </c>
      <c r="AL2615">
        <v>93.428872304419798</v>
      </c>
      <c r="AM2615">
        <v>91.957112502765099</v>
      </c>
      <c r="AN2615">
        <v>1.00000006990029</v>
      </c>
    </row>
    <row r="2616" spans="1:40" x14ac:dyDescent="0.25">
      <c r="A2616" t="str">
        <f>"20190303154819009"</f>
        <v>20190303154819009</v>
      </c>
      <c r="B2616" t="str">
        <f>"1551599299003135"</f>
        <v>1551599299003135</v>
      </c>
      <c r="C2616" t="s">
        <v>40</v>
      </c>
      <c r="D2616">
        <v>4.7933029999999999</v>
      </c>
      <c r="E2616">
        <v>0.52511730000000001</v>
      </c>
      <c r="F2616" t="s">
        <v>47</v>
      </c>
      <c r="G2616">
        <v>-482.74189999999999</v>
      </c>
      <c r="H2616" s="1">
        <v>2.8368300000000001E-6</v>
      </c>
      <c r="I2616">
        <v>286.27159999999998</v>
      </c>
      <c r="J2616">
        <v>-464.36349999999999</v>
      </c>
      <c r="K2616">
        <v>1.1223259999999999</v>
      </c>
      <c r="L2616">
        <v>285.17450000000002</v>
      </c>
      <c r="M2616">
        <v>-0.99920279999999995</v>
      </c>
      <c r="N2616">
        <v>-2.9097910000000001E-2</v>
      </c>
      <c r="O2616">
        <v>2.7334460000000001E-2</v>
      </c>
      <c r="P2616">
        <v>-0.99583169999999999</v>
      </c>
      <c r="Q2616">
        <v>-9.1205720000000004E-2</v>
      </c>
      <c r="R2616">
        <v>-9.9958079999999997E-4</v>
      </c>
      <c r="S2616">
        <v>-2.997131</v>
      </c>
      <c r="T2616">
        <v>-0.18077399999999999</v>
      </c>
      <c r="U2616">
        <v>0.177764899999999</v>
      </c>
      <c r="V2616">
        <v>-2.8259159999999998E-2</v>
      </c>
      <c r="W2616">
        <v>-6.2189250000000001E-2</v>
      </c>
      <c r="X2616">
        <v>0.9976642</v>
      </c>
      <c r="Y2616">
        <v>3.1815110000000001E-2</v>
      </c>
      <c r="Z2616">
        <v>5.7120670000000001E-4</v>
      </c>
      <c r="AA2616">
        <v>0.99949359999999998</v>
      </c>
      <c r="AB2616">
        <v>24</v>
      </c>
      <c r="AC2616">
        <v>-18.378399999999999</v>
      </c>
      <c r="AD2616">
        <v>-1.1223231631699999</v>
      </c>
      <c r="AE2616">
        <v>1.09709999999995</v>
      </c>
      <c r="AF2616">
        <v>0.59191374027625598</v>
      </c>
      <c r="AG2616">
        <v>-1.1223231631699999</v>
      </c>
      <c r="AH2616">
        <v>18.333401413740301</v>
      </c>
      <c r="AI2616">
        <v>93.5013070835939</v>
      </c>
      <c r="AJ2616">
        <v>88.150785999145796</v>
      </c>
      <c r="AK2616">
        <v>18.377257100988999</v>
      </c>
      <c r="AL2616">
        <v>93.565482440733803</v>
      </c>
      <c r="AM2616">
        <v>91.622487593056505</v>
      </c>
      <c r="AN2616">
        <v>0.99999996945055303</v>
      </c>
    </row>
    <row r="2617" spans="1:40" x14ac:dyDescent="0.25">
      <c r="A2617" t="str">
        <f>"20190303154819032"</f>
        <v>20190303154819032</v>
      </c>
      <c r="B2617" t="str">
        <f>"1551599299023631"</f>
        <v>1551599299023631</v>
      </c>
      <c r="C2617" t="s">
        <v>40</v>
      </c>
      <c r="D2617">
        <v>4.8483879999999999</v>
      </c>
      <c r="E2617">
        <v>0.53070640000000002</v>
      </c>
      <c r="F2617" t="s">
        <v>47</v>
      </c>
      <c r="G2617">
        <v>-481.95499999999998</v>
      </c>
      <c r="H2617" s="1">
        <v>2.7017159999999999E-6</v>
      </c>
      <c r="I2617">
        <v>286.3229</v>
      </c>
      <c r="J2617">
        <v>-464.6028</v>
      </c>
      <c r="K2617">
        <v>1.122266</v>
      </c>
      <c r="L2617">
        <v>285.1814</v>
      </c>
      <c r="M2617">
        <v>-0.99920520000000002</v>
      </c>
      <c r="N2617">
        <v>-2.8811679999999999E-2</v>
      </c>
      <c r="O2617">
        <v>2.7548969999999999E-2</v>
      </c>
      <c r="P2617">
        <v>-0.99573270000000003</v>
      </c>
      <c r="Q2617">
        <v>-9.2253059999999998E-2</v>
      </c>
      <c r="R2617">
        <v>2.390746E-3</v>
      </c>
      <c r="S2617">
        <v>-2.995209</v>
      </c>
      <c r="T2617">
        <v>-0.1910927</v>
      </c>
      <c r="U2617">
        <v>0.19552610000000001</v>
      </c>
      <c r="V2617">
        <v>-2.5079560000000001E-2</v>
      </c>
      <c r="W2617">
        <v>-6.3524629999999999E-2</v>
      </c>
      <c r="X2617">
        <v>0.99766509999999997</v>
      </c>
      <c r="Y2617">
        <v>3.7520650000000003E-2</v>
      </c>
      <c r="Z2617">
        <v>7.7587899999999896E-4</v>
      </c>
      <c r="AA2617">
        <v>0.9992955</v>
      </c>
      <c r="AB2617">
        <v>24</v>
      </c>
      <c r="AC2617">
        <v>-17.3521999999999</v>
      </c>
      <c r="AD2617">
        <v>-1.122263298284</v>
      </c>
      <c r="AE2617">
        <v>1.1415</v>
      </c>
      <c r="AF2617">
        <v>0.66008345410965397</v>
      </c>
      <c r="AG2617">
        <v>-1.122263298284</v>
      </c>
      <c r="AH2617">
        <v>17.304995144284899</v>
      </c>
      <c r="AI2617">
        <v>93.707860073328803</v>
      </c>
      <c r="AJ2617">
        <v>87.815563114661998</v>
      </c>
      <c r="AK2617">
        <v>17.3539056705051</v>
      </c>
      <c r="AL2617">
        <v>93.642145546604695</v>
      </c>
      <c r="AM2617">
        <v>91.440012654849397</v>
      </c>
      <c r="AN2617">
        <v>1.0000000073522199</v>
      </c>
    </row>
    <row r="2618" spans="1:40" x14ac:dyDescent="0.25">
      <c r="A2618" t="str">
        <f>"20190303154819054"</f>
        <v>20190303154819054</v>
      </c>
      <c r="B2618" t="str">
        <f>"1551599299043152"</f>
        <v>1551599299043152</v>
      </c>
      <c r="C2618" t="s">
        <v>40</v>
      </c>
      <c r="D2618">
        <v>4.76783</v>
      </c>
      <c r="E2618">
        <v>0.53843949999999996</v>
      </c>
      <c r="F2618" t="s">
        <v>42</v>
      </c>
      <c r="G2618">
        <v>-465.39980000000003</v>
      </c>
      <c r="H2618">
        <v>1.005471</v>
      </c>
      <c r="I2618">
        <v>285.25020000000001</v>
      </c>
      <c r="J2618">
        <v>-464.83859999999999</v>
      </c>
      <c r="K2618">
        <v>1.1222219999999901</v>
      </c>
      <c r="L2618">
        <v>285.18810000000002</v>
      </c>
      <c r="M2618">
        <v>-0.99921070000000001</v>
      </c>
      <c r="N2618">
        <v>-2.8433389999999999E-2</v>
      </c>
      <c r="O2618">
        <v>2.7744020000000001E-2</v>
      </c>
      <c r="P2618">
        <v>-0.99584760000000005</v>
      </c>
      <c r="Q2618">
        <v>-9.0968469999999996E-2</v>
      </c>
      <c r="R2618">
        <v>3.5601970000000002E-3</v>
      </c>
      <c r="S2618">
        <v>-2.971924</v>
      </c>
      <c r="T2618">
        <v>-0.43576999999999999</v>
      </c>
      <c r="U2618">
        <v>0.25500489999999998</v>
      </c>
      <c r="V2618">
        <v>-2.4104270000000001E-2</v>
      </c>
      <c r="W2618">
        <v>-6.2615690000000002E-2</v>
      </c>
      <c r="X2618">
        <v>0.99774660000000004</v>
      </c>
      <c r="Y2618">
        <v>5.7267520000000002E-2</v>
      </c>
      <c r="Z2618">
        <v>1.7366040000000001E-3</v>
      </c>
      <c r="AA2618">
        <v>0.99835739999999995</v>
      </c>
      <c r="AB2618">
        <v>24</v>
      </c>
      <c r="AC2618">
        <v>-0.561200000000042</v>
      </c>
      <c r="AD2618">
        <v>-0.11675099999999899</v>
      </c>
      <c r="AE2618">
        <v>6.2099999999986701E-2</v>
      </c>
      <c r="AF2618">
        <v>4.4593194711480197E-2</v>
      </c>
      <c r="AG2618">
        <v>-0.11675099999999899</v>
      </c>
      <c r="AH2618">
        <v>0.539634604201924</v>
      </c>
      <c r="AI2618">
        <v>102.167666187319</v>
      </c>
      <c r="AJ2618">
        <v>85.276044622541605</v>
      </c>
      <c r="AK2618">
        <v>0.55391773312265702</v>
      </c>
      <c r="AL2618">
        <v>93.589963222909603</v>
      </c>
      <c r="AM2618">
        <v>91.383922880488399</v>
      </c>
      <c r="AN2618">
        <v>1.00000000913898</v>
      </c>
    </row>
    <row r="2619" spans="1:40" x14ac:dyDescent="0.25">
      <c r="A2619" t="str">
        <f>"20190303154819199"</f>
        <v>20190303154819199</v>
      </c>
      <c r="B2619" t="str">
        <f>"1551599299193455"</f>
        <v>1551599299193455</v>
      </c>
      <c r="C2619" t="s">
        <v>40</v>
      </c>
      <c r="D2619">
        <v>4.875991</v>
      </c>
      <c r="E2619">
        <v>0.57554550000000004</v>
      </c>
      <c r="F2619" t="s">
        <v>42</v>
      </c>
      <c r="G2619">
        <v>-466.80450000000002</v>
      </c>
      <c r="H2619">
        <v>0.98029219999999895</v>
      </c>
      <c r="I2619">
        <v>285.29689999999999</v>
      </c>
      <c r="J2619">
        <v>-466.29349999999999</v>
      </c>
      <c r="K2619">
        <v>1.122139</v>
      </c>
      <c r="L2619">
        <v>285.2303</v>
      </c>
      <c r="M2619">
        <v>-0.9992548</v>
      </c>
      <c r="N2619">
        <v>-2.5829120000000001E-2</v>
      </c>
      <c r="O2619">
        <v>2.8684479999999998E-2</v>
      </c>
      <c r="P2619">
        <v>-0.99688270000000001</v>
      </c>
      <c r="Q2619">
        <v>-7.6569040000000005E-2</v>
      </c>
      <c r="R2619">
        <v>-1.902239E-2</v>
      </c>
      <c r="S2619">
        <v>-2.9680179999999998</v>
      </c>
      <c r="T2619">
        <v>-0.58082119999999904</v>
      </c>
      <c r="U2619">
        <v>0.2976685</v>
      </c>
      <c r="V2619">
        <v>-4.7631020000000003E-2</v>
      </c>
      <c r="W2619">
        <v>-5.0808850000000003E-2</v>
      </c>
      <c r="X2619">
        <v>0.99757189999999996</v>
      </c>
      <c r="Y2619">
        <v>7.0110329999999998E-2</v>
      </c>
      <c r="Z2619">
        <v>2.8854850000000001E-3</v>
      </c>
      <c r="AA2619">
        <v>0.99753499999999995</v>
      </c>
      <c r="AB2619">
        <v>22</v>
      </c>
      <c r="AC2619">
        <v>-0.51100000000002399</v>
      </c>
      <c r="AD2619">
        <v>-0.1418468</v>
      </c>
      <c r="AE2619">
        <v>6.6599999999993997E-2</v>
      </c>
      <c r="AF2619">
        <v>4.8253850437427498E-2</v>
      </c>
      <c r="AG2619">
        <v>-0.1418468</v>
      </c>
      <c r="AH2619">
        <v>0.47659061118226698</v>
      </c>
      <c r="AI2619">
        <v>106.494774881363</v>
      </c>
      <c r="AJ2619">
        <v>84.218617980085099</v>
      </c>
      <c r="AK2619">
        <v>0.49958738917166901</v>
      </c>
      <c r="AL2619">
        <v>92.912386732447899</v>
      </c>
      <c r="AM2619">
        <v>92.733622886645307</v>
      </c>
      <c r="AN2619">
        <v>0.999999974487086</v>
      </c>
    </row>
    <row r="2620" spans="1:40" x14ac:dyDescent="0.25">
      <c r="A2620" t="str">
        <f>"20190303154819222"</f>
        <v>20190303154819222</v>
      </c>
      <c r="B2620" t="str">
        <f>"1551599299212975"</f>
        <v>1551599299212975</v>
      </c>
      <c r="C2620" t="s">
        <v>40</v>
      </c>
      <c r="D2620">
        <v>4.8501859999999999</v>
      </c>
      <c r="E2620">
        <v>0.57745329999999995</v>
      </c>
      <c r="F2620" t="s">
        <v>42</v>
      </c>
      <c r="G2620">
        <v>-466.98140000000001</v>
      </c>
      <c r="H2620">
        <v>0.94551739999999995</v>
      </c>
      <c r="I2620">
        <v>285.35899999999998</v>
      </c>
      <c r="J2620">
        <v>-466.50909999999999</v>
      </c>
      <c r="K2620">
        <v>1.122136</v>
      </c>
      <c r="L2620">
        <v>285.23660000000001</v>
      </c>
      <c r="M2620">
        <v>-0.99925989999999998</v>
      </c>
      <c r="N2620">
        <v>-2.549618E-2</v>
      </c>
      <c r="O2620">
        <v>2.8804369999999999E-2</v>
      </c>
      <c r="P2620">
        <v>-0.99670440000000005</v>
      </c>
      <c r="Q2620">
        <v>-7.7617539999999999E-2</v>
      </c>
      <c r="R2620">
        <v>-2.3577190000000001E-2</v>
      </c>
      <c r="S2620">
        <v>-2.9615170000000002</v>
      </c>
      <c r="T2620">
        <v>-0.76045580000000002</v>
      </c>
      <c r="U2620">
        <v>0.55249019999999904</v>
      </c>
      <c r="V2620">
        <v>-5.2297419999999997E-2</v>
      </c>
      <c r="W2620">
        <v>-5.2197050000000002E-2</v>
      </c>
      <c r="X2620">
        <v>0.99726649999999994</v>
      </c>
      <c r="Y2620">
        <v>0.1505109</v>
      </c>
      <c r="Z2620">
        <v>1.4333830000000001E-2</v>
      </c>
      <c r="AA2620">
        <v>0.98850439999999995</v>
      </c>
      <c r="AB2620">
        <v>22</v>
      </c>
      <c r="AC2620">
        <v>-0.47230000000001798</v>
      </c>
      <c r="AD2620">
        <v>-0.17661859999999899</v>
      </c>
      <c r="AE2620">
        <v>0.122400000000027</v>
      </c>
      <c r="AF2620">
        <v>9.6141938751387407E-2</v>
      </c>
      <c r="AG2620">
        <v>-0.17661859999999899</v>
      </c>
      <c r="AH2620">
        <v>0.420524808348752</v>
      </c>
      <c r="AI2620">
        <v>112.265748506714</v>
      </c>
      <c r="AJ2620">
        <v>77.122152095865601</v>
      </c>
      <c r="AK2620">
        <v>0.46613143713934402</v>
      </c>
      <c r="AL2620">
        <v>92.992030329185894</v>
      </c>
      <c r="AM2620">
        <v>93.0018848673799</v>
      </c>
      <c r="AN2620">
        <v>1.0000000120948001</v>
      </c>
    </row>
    <row r="2621" spans="1:40" x14ac:dyDescent="0.25">
      <c r="A2621" t="str">
        <f>"20190303154819245"</f>
        <v>20190303154819245</v>
      </c>
      <c r="B2621" t="str">
        <f>"1551599299233471"</f>
        <v>1551599299233471</v>
      </c>
      <c r="C2621" t="s">
        <v>40</v>
      </c>
      <c r="D2621">
        <v>4.8103720000000001</v>
      </c>
      <c r="E2621">
        <v>0.57890750000000002</v>
      </c>
      <c r="F2621" t="s">
        <v>42</v>
      </c>
      <c r="G2621">
        <v>-467.34930000000003</v>
      </c>
      <c r="H2621">
        <v>0.90575839999999996</v>
      </c>
      <c r="I2621">
        <v>285.39370000000002</v>
      </c>
      <c r="J2621">
        <v>-466.73</v>
      </c>
      <c r="K2621">
        <v>1.1221380000000001</v>
      </c>
      <c r="L2621">
        <v>285.24310000000003</v>
      </c>
      <c r="M2621">
        <v>-0.99926539999999997</v>
      </c>
      <c r="N2621">
        <v>-2.5163939999999999E-2</v>
      </c>
      <c r="O2621">
        <v>2.891084E-2</v>
      </c>
      <c r="P2621">
        <v>-0.99660610000000005</v>
      </c>
      <c r="Q2621">
        <v>-7.7526360000000002E-2</v>
      </c>
      <c r="R2621">
        <v>-2.7685640000000001E-2</v>
      </c>
      <c r="S2621">
        <v>-2.9636230000000001</v>
      </c>
      <c r="T2621">
        <v>-0.76322909999999999</v>
      </c>
      <c r="U2621">
        <v>0.55368039999999996</v>
      </c>
      <c r="V2621">
        <v>-5.6505649999999998E-2</v>
      </c>
      <c r="W2621">
        <v>-5.2443539999999997E-2</v>
      </c>
      <c r="X2621">
        <v>0.99702389999999996</v>
      </c>
      <c r="Y2621">
        <v>0.15064569999999999</v>
      </c>
      <c r="Z2621">
        <v>1.432634E-2</v>
      </c>
      <c r="AA2621">
        <v>0.98848400000000003</v>
      </c>
      <c r="AB2621">
        <v>22</v>
      </c>
      <c r="AC2621">
        <v>-0.61930000000000895</v>
      </c>
      <c r="AD2621">
        <v>-0.21637959999999901</v>
      </c>
      <c r="AE2621">
        <v>0.15059999999999699</v>
      </c>
      <c r="AF2621">
        <v>0.118920113868821</v>
      </c>
      <c r="AG2621">
        <v>-0.21637959999999901</v>
      </c>
      <c r="AH2621">
        <v>0.55896944510454505</v>
      </c>
      <c r="AI2621">
        <v>110.73819646068701</v>
      </c>
      <c r="AJ2621">
        <v>77.989458641037302</v>
      </c>
      <c r="AK2621">
        <v>0.61107198048938305</v>
      </c>
      <c r="AL2621">
        <v>93.006172766698896</v>
      </c>
      <c r="AM2621">
        <v>93.243729293563106</v>
      </c>
      <c r="AN2621">
        <v>0.99999993527042896</v>
      </c>
    </row>
    <row r="2622" spans="1:40" x14ac:dyDescent="0.25">
      <c r="A2622" t="str">
        <f>"20190303154819266"</f>
        <v>20190303154819266</v>
      </c>
      <c r="B2622" t="str">
        <f>"1551599299263727"</f>
        <v>1551599299263727</v>
      </c>
      <c r="C2622" t="s">
        <v>40</v>
      </c>
      <c r="D2622">
        <v>4.7169790000000003</v>
      </c>
      <c r="E2622">
        <v>0.59557990000000005</v>
      </c>
      <c r="F2622" t="s">
        <v>42</v>
      </c>
      <c r="G2622">
        <v>-467.54349999999999</v>
      </c>
      <c r="H2622">
        <v>0.91346170000000004</v>
      </c>
      <c r="I2622">
        <v>285.39479999999998</v>
      </c>
      <c r="J2622">
        <v>-466.93630000000002</v>
      </c>
      <c r="K2622">
        <v>1.1221410000000001</v>
      </c>
      <c r="L2622">
        <v>285.2491</v>
      </c>
      <c r="M2622">
        <v>-0.9992704</v>
      </c>
      <c r="N2622">
        <v>-2.486232E-2</v>
      </c>
      <c r="O2622">
        <v>2.8995219999999999E-2</v>
      </c>
      <c r="P2622">
        <v>-0.99658800000000003</v>
      </c>
      <c r="Q2622">
        <v>-7.6386960000000004E-2</v>
      </c>
      <c r="R2622">
        <v>-3.126814E-2</v>
      </c>
      <c r="S2622">
        <v>-2.96637</v>
      </c>
      <c r="T2622">
        <v>-0.7609553</v>
      </c>
      <c r="U2622">
        <v>0.55233759999999998</v>
      </c>
      <c r="V2622">
        <v>-6.0168119999999999E-2</v>
      </c>
      <c r="W2622">
        <v>-5.1609479999999999E-2</v>
      </c>
      <c r="X2622">
        <v>0.99685319999999999</v>
      </c>
      <c r="Y2622">
        <v>0.15002760000000001</v>
      </c>
      <c r="Z2622">
        <v>1.41464E-2</v>
      </c>
      <c r="AA2622">
        <v>0.98858060000000003</v>
      </c>
      <c r="AB2622">
        <v>22</v>
      </c>
      <c r="AC2622">
        <v>-0.60719999999997698</v>
      </c>
      <c r="AD2622">
        <v>-0.20867929999999901</v>
      </c>
      <c r="AE2622">
        <v>0.14569999999997599</v>
      </c>
      <c r="AF2622">
        <v>0.11516546296694501</v>
      </c>
      <c r="AG2622">
        <v>-0.20867929999999901</v>
      </c>
      <c r="AH2622">
        <v>0.54977097734122005</v>
      </c>
      <c r="AI2622">
        <v>110.380598093847</v>
      </c>
      <c r="AJ2622">
        <v>78.168815300799295</v>
      </c>
      <c r="AK2622">
        <v>0.59921470412165401</v>
      </c>
      <c r="AL2622">
        <v>92.958319581335104</v>
      </c>
      <c r="AM2622">
        <v>93.454071359520597</v>
      </c>
      <c r="AN2622">
        <v>1.0000000217202201</v>
      </c>
    </row>
    <row r="2623" spans="1:40" x14ac:dyDescent="0.25">
      <c r="A2623" t="str">
        <f>"20190303154819289"</f>
        <v>20190303154819289</v>
      </c>
      <c r="B2623" t="str">
        <f>"1551599299283247"</f>
        <v>1551599299283247</v>
      </c>
      <c r="C2623" t="s">
        <v>40</v>
      </c>
      <c r="D2623">
        <v>4.75624</v>
      </c>
      <c r="E2623">
        <v>0.59645009999999998</v>
      </c>
      <c r="F2623" t="s">
        <v>42</v>
      </c>
      <c r="G2623">
        <v>-467.74439999999998</v>
      </c>
      <c r="H2623">
        <v>0.9373245</v>
      </c>
      <c r="I2623">
        <v>285.43220000000002</v>
      </c>
      <c r="J2623">
        <v>-467.15159999999997</v>
      </c>
      <c r="K2623">
        <v>1.122144</v>
      </c>
      <c r="L2623">
        <v>285.25549999999998</v>
      </c>
      <c r="M2623">
        <v>-0.99927580000000005</v>
      </c>
      <c r="N2623">
        <v>-2.4560370000000002E-2</v>
      </c>
      <c r="O2623">
        <v>2.906593E-2</v>
      </c>
      <c r="P2623">
        <v>-0.99659790000000004</v>
      </c>
      <c r="Q2623">
        <v>-7.4924749999999998E-2</v>
      </c>
      <c r="R2623">
        <v>-3.4342810000000001E-2</v>
      </c>
      <c r="S2623">
        <v>-2.9792179999999999</v>
      </c>
      <c r="T2623">
        <v>-0.68136319999999995</v>
      </c>
      <c r="U2623">
        <v>0.67367549999999998</v>
      </c>
      <c r="V2623">
        <v>-6.331022E-2</v>
      </c>
      <c r="W2623">
        <v>-5.0452379999999998E-2</v>
      </c>
      <c r="X2623">
        <v>0.99671779999999999</v>
      </c>
      <c r="Y2623">
        <v>0.1875426</v>
      </c>
      <c r="Z2623">
        <v>1.7501599999999999E-2</v>
      </c>
      <c r="AA2623">
        <v>0.98210050000000004</v>
      </c>
      <c r="AB2623">
        <v>21</v>
      </c>
      <c r="AC2623">
        <v>-0.59280000000001098</v>
      </c>
      <c r="AD2623">
        <v>-0.184819499999999</v>
      </c>
      <c r="AE2623">
        <v>0.17670000000003899</v>
      </c>
      <c r="AF2623">
        <v>0.146327033089416</v>
      </c>
      <c r="AG2623">
        <v>-0.184819499999999</v>
      </c>
      <c r="AH2623">
        <v>0.54870348902923705</v>
      </c>
      <c r="AI2623">
        <v>108.02776297935399</v>
      </c>
      <c r="AJ2623">
        <v>75.067987886345193</v>
      </c>
      <c r="AK2623">
        <v>0.59719792955590401</v>
      </c>
      <c r="AL2623">
        <v>92.891936203483496</v>
      </c>
      <c r="AM2623">
        <v>93.634470830466697</v>
      </c>
      <c r="AN2623">
        <v>0.99999999972047604</v>
      </c>
    </row>
    <row r="2624" spans="1:40" x14ac:dyDescent="0.25">
      <c r="A2624" t="str">
        <f>"20190303154819312"</f>
        <v>20190303154819312</v>
      </c>
      <c r="B2624" t="str">
        <f>"1551599299303743"</f>
        <v>1551599299303743</v>
      </c>
      <c r="C2624" t="s">
        <v>40</v>
      </c>
      <c r="D2624">
        <v>4.7571139999999996</v>
      </c>
      <c r="E2624">
        <v>0.59660249999999904</v>
      </c>
      <c r="F2624" t="s">
        <v>42</v>
      </c>
      <c r="G2624">
        <v>-467.9357</v>
      </c>
      <c r="H2624">
        <v>0.94433389999999995</v>
      </c>
      <c r="I2624">
        <v>285.43220000000002</v>
      </c>
      <c r="J2624">
        <v>-467.36279999999999</v>
      </c>
      <c r="K2624">
        <v>1.122152</v>
      </c>
      <c r="L2624">
        <v>285.26170000000002</v>
      </c>
      <c r="M2624">
        <v>-0.99928159999999999</v>
      </c>
      <c r="N2624">
        <v>-2.4262300000000001E-2</v>
      </c>
      <c r="O2624">
        <v>2.9115129999999999E-2</v>
      </c>
      <c r="P2624">
        <v>-0.99654169999999997</v>
      </c>
      <c r="Q2624">
        <v>-7.4696700000000005E-2</v>
      </c>
      <c r="R2624">
        <v>-3.6401059999999999E-2</v>
      </c>
      <c r="S2624">
        <v>-2.982513</v>
      </c>
      <c r="T2624">
        <v>-0.67636560000000001</v>
      </c>
      <c r="U2624">
        <v>0.67172240000000005</v>
      </c>
      <c r="V2624">
        <v>-6.5412910000000005E-2</v>
      </c>
      <c r="W2624">
        <v>-5.0526130000000002E-2</v>
      </c>
      <c r="X2624">
        <v>0.99657830000000003</v>
      </c>
      <c r="Y2624">
        <v>0.18674859999999999</v>
      </c>
      <c r="Z2624">
        <v>1.7238969999999999E-2</v>
      </c>
      <c r="AA2624">
        <v>0.98225649999999998</v>
      </c>
      <c r="AB2624">
        <v>21</v>
      </c>
      <c r="AC2624">
        <v>-0.57290000000000396</v>
      </c>
      <c r="AD2624">
        <v>-0.17781810000000001</v>
      </c>
      <c r="AE2624">
        <v>0.17050000000000401</v>
      </c>
      <c r="AF2624">
        <v>0.141242877148714</v>
      </c>
      <c r="AG2624">
        <v>-0.17781810000000001</v>
      </c>
      <c r="AH2624">
        <v>0.53065980074822305</v>
      </c>
      <c r="AI2624">
        <v>107.94272283521001</v>
      </c>
      <c r="AJ2624">
        <v>75.095440308240399</v>
      </c>
      <c r="AK2624">
        <v>0.57720763262711705</v>
      </c>
      <c r="AL2624">
        <v>92.896167094969002</v>
      </c>
      <c r="AM2624">
        <v>93.7553649585778</v>
      </c>
      <c r="AN2624">
        <v>1.0000000233191599</v>
      </c>
    </row>
    <row r="2625" spans="1:40" x14ac:dyDescent="0.25">
      <c r="A2625" t="str">
        <f>"20190303154819333"</f>
        <v>20190303154819333</v>
      </c>
      <c r="B2625" t="str">
        <f>"1551599299323263"</f>
        <v>1551599299323263</v>
      </c>
      <c r="C2625" t="s">
        <v>40</v>
      </c>
      <c r="D2625">
        <v>4.7609370000000002</v>
      </c>
      <c r="E2625">
        <v>0.59691629999999996</v>
      </c>
      <c r="F2625" t="s">
        <v>42</v>
      </c>
      <c r="G2625">
        <v>-468.12450000000001</v>
      </c>
      <c r="H2625">
        <v>0.9494861</v>
      </c>
      <c r="I2625">
        <v>285.43220000000002</v>
      </c>
      <c r="J2625">
        <v>-467.56959999999998</v>
      </c>
      <c r="K2625">
        <v>1.1221460000000001</v>
      </c>
      <c r="L2625">
        <v>285.26769999999999</v>
      </c>
      <c r="M2625">
        <v>-0.99928850000000002</v>
      </c>
      <c r="N2625">
        <v>-2.3942359999999999E-2</v>
      </c>
      <c r="O2625">
        <v>2.9144980000000001E-2</v>
      </c>
      <c r="P2625">
        <v>-0.99659759999999997</v>
      </c>
      <c r="Q2625">
        <v>-7.3120069999999995E-2</v>
      </c>
      <c r="R2625">
        <v>-3.8039759999999999E-2</v>
      </c>
      <c r="S2625">
        <v>-2.98407</v>
      </c>
      <c r="T2625">
        <v>-0.67640259999999996</v>
      </c>
      <c r="U2625">
        <v>0.66696169999999899</v>
      </c>
      <c r="V2625">
        <v>-6.7081199999999994E-2</v>
      </c>
      <c r="W2625">
        <v>-4.9270429999999997E-2</v>
      </c>
      <c r="X2625">
        <v>0.99653020000000003</v>
      </c>
      <c r="Y2625">
        <v>0.1851709</v>
      </c>
      <c r="Z2625">
        <v>1.6995130000000001E-2</v>
      </c>
      <c r="AA2625">
        <v>0.98255939999999997</v>
      </c>
      <c r="AB2625">
        <v>21</v>
      </c>
      <c r="AC2625">
        <v>-0.55490000000003104</v>
      </c>
      <c r="AD2625">
        <v>-0.17265989999999901</v>
      </c>
      <c r="AE2625">
        <v>0.16450000000003201</v>
      </c>
      <c r="AF2625">
        <v>0.13613719879282901</v>
      </c>
      <c r="AG2625">
        <v>-0.17265989999999901</v>
      </c>
      <c r="AH2625">
        <v>0.51373903467509696</v>
      </c>
      <c r="AI2625">
        <v>107.997522503252</v>
      </c>
      <c r="AJ2625">
        <v>75.158152825614195</v>
      </c>
      <c r="AK2625">
        <v>0.55881354109583703</v>
      </c>
      <c r="AL2625">
        <v>92.824131250746206</v>
      </c>
      <c r="AM2625">
        <v>93.851042447440605</v>
      </c>
      <c r="AN2625">
        <v>0.99999995108893103</v>
      </c>
    </row>
    <row r="2626" spans="1:40" x14ac:dyDescent="0.25">
      <c r="A2626" t="str">
        <f>"20190303154819356"</f>
        <v>20190303154819356</v>
      </c>
      <c r="B2626" t="str">
        <f>"1551599299353519"</f>
        <v>1551599299353519</v>
      </c>
      <c r="C2626" t="s">
        <v>40</v>
      </c>
      <c r="D2626">
        <v>4.6510059999999998</v>
      </c>
      <c r="E2626">
        <v>0.59788160000000001</v>
      </c>
      <c r="F2626" t="s">
        <v>42</v>
      </c>
      <c r="G2626">
        <v>-468.31220000000002</v>
      </c>
      <c r="H2626">
        <v>0.95496700000000001</v>
      </c>
      <c r="I2626">
        <v>285.43329999999997</v>
      </c>
      <c r="J2626">
        <v>-467.7697</v>
      </c>
      <c r="K2626">
        <v>1.122125</v>
      </c>
      <c r="L2626">
        <v>285.27359999999999</v>
      </c>
      <c r="M2626">
        <v>-0.9992974</v>
      </c>
      <c r="N2626">
        <v>-2.355134E-2</v>
      </c>
      <c r="O2626">
        <v>2.9158770000000001E-2</v>
      </c>
      <c r="P2626">
        <v>-0.99654849999999995</v>
      </c>
      <c r="Q2626">
        <v>-7.3190729999999996E-2</v>
      </c>
      <c r="R2626">
        <v>-3.9172899999999997E-2</v>
      </c>
      <c r="S2626">
        <v>-2.9862980000000001</v>
      </c>
      <c r="T2626">
        <v>-0.67233050000000005</v>
      </c>
      <c r="U2626">
        <v>0.6645508</v>
      </c>
      <c r="V2626">
        <v>-6.8224770000000004E-2</v>
      </c>
      <c r="W2626">
        <v>-4.9734260000000002E-2</v>
      </c>
      <c r="X2626">
        <v>0.99642960000000003</v>
      </c>
      <c r="Y2626">
        <v>0.1843323</v>
      </c>
      <c r="Z2626">
        <v>1.6750089999999999E-2</v>
      </c>
      <c r="AA2626">
        <v>0.98272130000000002</v>
      </c>
      <c r="AB2626">
        <v>21</v>
      </c>
      <c r="AC2626">
        <v>-0.54250000000001797</v>
      </c>
      <c r="AD2626">
        <v>-0.167158</v>
      </c>
      <c r="AE2626">
        <v>0.15969999999998599</v>
      </c>
      <c r="AF2626">
        <v>0.132254016642014</v>
      </c>
      <c r="AG2626">
        <v>-0.167158</v>
      </c>
      <c r="AH2626">
        <v>0.502981685298036</v>
      </c>
      <c r="AI2626">
        <v>107.817879799021</v>
      </c>
      <c r="AJ2626">
        <v>75.268112348497695</v>
      </c>
      <c r="AK2626">
        <v>0.54628151865791597</v>
      </c>
      <c r="AL2626">
        <v>92.850739144766806</v>
      </c>
      <c r="AM2626">
        <v>93.916884852529904</v>
      </c>
      <c r="AN2626">
        <v>1.00000003180772</v>
      </c>
    </row>
    <row r="2627" spans="1:40" x14ac:dyDescent="0.25">
      <c r="A2627" t="str">
        <f>"20190303154819378"</f>
        <v>20190303154819378</v>
      </c>
      <c r="B2627" t="str">
        <f>"1551599299373039"</f>
        <v>1551599299373039</v>
      </c>
      <c r="C2627" t="s">
        <v>40</v>
      </c>
      <c r="D2627">
        <v>4.6318820000000001</v>
      </c>
      <c r="E2627">
        <v>0.59848419999999902</v>
      </c>
      <c r="F2627" t="s">
        <v>42</v>
      </c>
      <c r="G2627">
        <v>-468.49799999999999</v>
      </c>
      <c r="H2627">
        <v>0.958457</v>
      </c>
      <c r="I2627">
        <v>285.43729999999999</v>
      </c>
      <c r="J2627">
        <v>-467.98050000000001</v>
      </c>
      <c r="K2627">
        <v>1.12206299999999</v>
      </c>
      <c r="L2627">
        <v>285.27980000000002</v>
      </c>
      <c r="M2627">
        <v>-0.99930989999999997</v>
      </c>
      <c r="N2627">
        <v>-2.3010699999999999E-2</v>
      </c>
      <c r="O2627">
        <v>2.9163720000000001E-2</v>
      </c>
      <c r="P2627">
        <v>-0.99656549999999999</v>
      </c>
      <c r="Q2627">
        <v>-7.2123209999999993E-2</v>
      </c>
      <c r="R2627">
        <v>-4.0689900000000001E-2</v>
      </c>
      <c r="S2627">
        <v>-2.9873959999999999</v>
      </c>
      <c r="T2627">
        <v>-0.67141759999999995</v>
      </c>
      <c r="U2627">
        <v>0.66925049999999997</v>
      </c>
      <c r="V2627">
        <v>-6.9745050000000003E-2</v>
      </c>
      <c r="W2627">
        <v>-4.9207710000000002E-2</v>
      </c>
      <c r="X2627">
        <v>0.99635050000000003</v>
      </c>
      <c r="Y2627">
        <v>0.18571670000000001</v>
      </c>
      <c r="Z2627">
        <v>1.6825389999999999E-2</v>
      </c>
      <c r="AA2627">
        <v>0.98245919999999998</v>
      </c>
      <c r="AB2627">
        <v>21</v>
      </c>
      <c r="AC2627">
        <v>-0.51750000000004004</v>
      </c>
      <c r="AD2627">
        <v>-0.163605999999999</v>
      </c>
      <c r="AE2627">
        <v>0.15749999999997</v>
      </c>
      <c r="AF2627">
        <v>0.13040762702630701</v>
      </c>
      <c r="AG2627">
        <v>-0.163605999999999</v>
      </c>
      <c r="AH2627">
        <v>0.47813641848088601</v>
      </c>
      <c r="AI2627">
        <v>108.26889405825401</v>
      </c>
      <c r="AJ2627">
        <v>74.744124462387504</v>
      </c>
      <c r="AK2627">
        <v>0.52190756566691199</v>
      </c>
      <c r="AL2627">
        <v>92.8205330305438</v>
      </c>
      <c r="AM2627">
        <v>94.004202411708206</v>
      </c>
      <c r="AN2627">
        <v>1.00000004478659</v>
      </c>
    </row>
    <row r="2628" spans="1:40" x14ac:dyDescent="0.25">
      <c r="A2628" t="str">
        <f>"20190303154819401"</f>
        <v>20190303154819401</v>
      </c>
      <c r="B2628" t="str">
        <f>"1551599299393535"</f>
        <v>1551599299393535</v>
      </c>
      <c r="C2628" t="s">
        <v>40</v>
      </c>
      <c r="D2628">
        <v>4.7331859999999999</v>
      </c>
      <c r="E2628">
        <v>0.5971516</v>
      </c>
      <c r="F2628" t="s">
        <v>42</v>
      </c>
      <c r="G2628">
        <v>-468.6848</v>
      </c>
      <c r="H2628">
        <v>0.96555219999999997</v>
      </c>
      <c r="I2628">
        <v>285.43770000000001</v>
      </c>
      <c r="J2628">
        <v>-468.18090000000001</v>
      </c>
      <c r="K2628">
        <v>1.121977</v>
      </c>
      <c r="L2628">
        <v>285.28559999999999</v>
      </c>
      <c r="M2628">
        <v>-0.99932430000000005</v>
      </c>
      <c r="N2628">
        <v>-2.2372820000000002E-2</v>
      </c>
      <c r="O2628">
        <v>2.9163910000000001E-2</v>
      </c>
      <c r="P2628">
        <v>-0.99663780000000002</v>
      </c>
      <c r="Q2628">
        <v>-7.0997749999999998E-2</v>
      </c>
      <c r="R2628">
        <v>-4.08981E-2</v>
      </c>
      <c r="S2628">
        <v>-2.9896240000000001</v>
      </c>
      <c r="T2628">
        <v>-0.66444060000000005</v>
      </c>
      <c r="U2628">
        <v>0.66992189999999996</v>
      </c>
      <c r="V2628">
        <v>-6.9954820000000001E-2</v>
      </c>
      <c r="W2628">
        <v>-4.8717410000000003E-2</v>
      </c>
      <c r="X2628">
        <v>0.99635980000000002</v>
      </c>
      <c r="Y2628">
        <v>0.18587200000000001</v>
      </c>
      <c r="Z2628">
        <v>1.6612490000000001E-2</v>
      </c>
      <c r="AA2628">
        <v>0.98243349999999996</v>
      </c>
      <c r="AB2628">
        <v>21</v>
      </c>
      <c r="AC2628">
        <v>-0.50389999999998702</v>
      </c>
      <c r="AD2628">
        <v>-0.1564248</v>
      </c>
      <c r="AE2628">
        <v>0.152100000000018</v>
      </c>
      <c r="AF2628">
        <v>0.12619086007355201</v>
      </c>
      <c r="AG2628">
        <v>-0.1564248</v>
      </c>
      <c r="AH2628">
        <v>0.46688750466270701</v>
      </c>
      <c r="AI2628">
        <v>107.922867739748</v>
      </c>
      <c r="AJ2628">
        <v>74.875415379912994</v>
      </c>
      <c r="AK2628">
        <v>0.50830777412047501</v>
      </c>
      <c r="AL2628">
        <v>92.792407422509399</v>
      </c>
      <c r="AM2628">
        <v>94.016169009267898</v>
      </c>
      <c r="AN2628">
        <v>0.99999995696718902</v>
      </c>
    </row>
    <row r="2629" spans="1:40" x14ac:dyDescent="0.25">
      <c r="A2629" t="str">
        <f>"20190303154819423"</f>
        <v>20190303154819423</v>
      </c>
      <c r="B2629" t="str">
        <f>"1551599299413056"</f>
        <v>1551599299413056</v>
      </c>
      <c r="C2629" t="s">
        <v>40</v>
      </c>
      <c r="D2629">
        <v>4.8064450000000001</v>
      </c>
      <c r="E2629">
        <v>0.59668710000000003</v>
      </c>
      <c r="F2629" t="s">
        <v>42</v>
      </c>
      <c r="G2629">
        <v>-469.0333</v>
      </c>
      <c r="H2629">
        <v>0.93012870000000003</v>
      </c>
      <c r="I2629">
        <v>285.47359999999998</v>
      </c>
      <c r="J2629">
        <v>-468.38650000000001</v>
      </c>
      <c r="K2629">
        <v>1.1218509999999999</v>
      </c>
      <c r="L2629">
        <v>285.29160000000002</v>
      </c>
      <c r="M2629">
        <v>-0.99934199999999995</v>
      </c>
      <c r="N2629">
        <v>-2.1567619999999999E-2</v>
      </c>
      <c r="O2629">
        <v>2.9162569999999999E-2</v>
      </c>
      <c r="P2629">
        <v>-0.99666480000000002</v>
      </c>
      <c r="Q2629">
        <v>-7.0701159999999999E-2</v>
      </c>
      <c r="R2629">
        <v>-4.0750460000000002E-2</v>
      </c>
      <c r="S2629">
        <v>-2.989258</v>
      </c>
      <c r="T2629">
        <v>-0.67278059999999995</v>
      </c>
      <c r="U2629">
        <v>0.65863039999999995</v>
      </c>
      <c r="V2629">
        <v>-6.9805809999999996E-2</v>
      </c>
      <c r="W2629">
        <v>-4.9222700000000001E-2</v>
      </c>
      <c r="X2629">
        <v>0.9963455</v>
      </c>
      <c r="Y2629">
        <v>0.1823719</v>
      </c>
      <c r="Z2629">
        <v>1.6266289999999999E-2</v>
      </c>
      <c r="AA2629">
        <v>0.98309500000000005</v>
      </c>
      <c r="AB2629">
        <v>20</v>
      </c>
      <c r="AC2629">
        <v>-0.64679999999998405</v>
      </c>
      <c r="AD2629">
        <v>-0.19172229999999901</v>
      </c>
      <c r="AE2629">
        <v>0.181999999999959</v>
      </c>
      <c r="AF2629">
        <v>0.150779853795138</v>
      </c>
      <c r="AG2629">
        <v>-0.19172229999999901</v>
      </c>
      <c r="AH2629">
        <v>0.60275908019712798</v>
      </c>
      <c r="AI2629">
        <v>107.14848632636399</v>
      </c>
      <c r="AJ2629">
        <v>75.955697533215599</v>
      </c>
      <c r="AK2629">
        <v>0.65023881258185501</v>
      </c>
      <c r="AL2629">
        <v>92.821392948838394</v>
      </c>
      <c r="AM2629">
        <v>94.0076994487885</v>
      </c>
      <c r="AN2629">
        <v>1.0000000403376399</v>
      </c>
    </row>
    <row r="2630" spans="1:40" x14ac:dyDescent="0.25">
      <c r="A2630" t="str">
        <f>"20190303154819445"</f>
        <v>20190303154819445</v>
      </c>
      <c r="B2630" t="str">
        <f>"1551599299443312"</f>
        <v>1551599299443312</v>
      </c>
      <c r="C2630" t="s">
        <v>40</v>
      </c>
      <c r="D2630">
        <v>4.7051619999999996</v>
      </c>
      <c r="E2630">
        <v>0.5881345</v>
      </c>
      <c r="F2630" t="s">
        <v>42</v>
      </c>
      <c r="G2630">
        <v>-469.21730000000002</v>
      </c>
      <c r="H2630">
        <v>0.93393519999999997</v>
      </c>
      <c r="I2630">
        <v>285.4742</v>
      </c>
      <c r="J2630">
        <v>-468.59010000000001</v>
      </c>
      <c r="K2630">
        <v>1.121715</v>
      </c>
      <c r="L2630">
        <v>285.29750000000001</v>
      </c>
      <c r="M2630">
        <v>-0.99936009999999997</v>
      </c>
      <c r="N2630">
        <v>-2.0714460000000001E-2</v>
      </c>
      <c r="O2630">
        <v>2.916272E-2</v>
      </c>
      <c r="P2630">
        <v>-0.99658440000000004</v>
      </c>
      <c r="Q2630">
        <v>-7.1513969999999996E-2</v>
      </c>
      <c r="R2630">
        <v>-4.1297819999999999E-2</v>
      </c>
      <c r="S2630">
        <v>-2.9887999999999999</v>
      </c>
      <c r="T2630">
        <v>-0.67607209999999995</v>
      </c>
      <c r="U2630">
        <v>0.65499879999999999</v>
      </c>
      <c r="V2630">
        <v>-7.0350540000000003E-2</v>
      </c>
      <c r="W2630">
        <v>-5.0887179999999997E-2</v>
      </c>
      <c r="X2630">
        <v>0.99622350000000004</v>
      </c>
      <c r="Y2630">
        <v>0.18127509999999999</v>
      </c>
      <c r="Z2630">
        <v>1.6098089999999999E-2</v>
      </c>
      <c r="AA2630">
        <v>0.98330070000000003</v>
      </c>
      <c r="AB2630">
        <v>20</v>
      </c>
      <c r="AC2630">
        <v>-0.62720000000001597</v>
      </c>
      <c r="AD2630">
        <v>-0.1877798</v>
      </c>
      <c r="AE2630">
        <v>0.17669999999998201</v>
      </c>
      <c r="AF2630">
        <v>0.146189669048787</v>
      </c>
      <c r="AG2630">
        <v>-0.1877798</v>
      </c>
      <c r="AH2630">
        <v>0.58362036383761495</v>
      </c>
      <c r="AI2630">
        <v>107.33353042048201</v>
      </c>
      <c r="AJ2630">
        <v>75.9374650625453</v>
      </c>
      <c r="AK2630">
        <v>0.63027406872771197</v>
      </c>
      <c r="AL2630">
        <v>92.916880499978305</v>
      </c>
      <c r="AM2630">
        <v>94.039363424617306</v>
      </c>
      <c r="AN2630">
        <v>0.99999998275944602</v>
      </c>
    </row>
    <row r="2631" spans="1:40" x14ac:dyDescent="0.25">
      <c r="A2631" t="str">
        <f>"20190303154819467"</f>
        <v>20190303154819467</v>
      </c>
      <c r="B2631" t="str">
        <f>"1551599299463823"</f>
        <v>1551599299463823</v>
      </c>
      <c r="C2631" t="s">
        <v>40</v>
      </c>
      <c r="D2631">
        <v>4.7150910000000001</v>
      </c>
      <c r="E2631">
        <v>0.58543990000000001</v>
      </c>
      <c r="F2631" t="s">
        <v>42</v>
      </c>
      <c r="G2631">
        <v>-469.38979999999998</v>
      </c>
      <c r="H2631">
        <v>0.91339429999999999</v>
      </c>
      <c r="I2631">
        <v>285.4554</v>
      </c>
      <c r="J2631">
        <v>-468.79469999999998</v>
      </c>
      <c r="K2631">
        <v>1.1215999999999999</v>
      </c>
      <c r="L2631">
        <v>285.30349999999999</v>
      </c>
      <c r="M2631">
        <v>-0.9993765</v>
      </c>
      <c r="N2631">
        <v>-1.989813E-2</v>
      </c>
      <c r="O2631">
        <v>2.9166839999999999E-2</v>
      </c>
      <c r="P2631">
        <v>-0.99643610000000005</v>
      </c>
      <c r="Q2631">
        <v>-7.2129960000000007E-2</v>
      </c>
      <c r="R2631">
        <v>-4.3730619999999998E-2</v>
      </c>
      <c r="S2631">
        <v>-2.9789430000000001</v>
      </c>
      <c r="T2631">
        <v>-0.77600740000000001</v>
      </c>
      <c r="U2631">
        <v>0.58691409999999999</v>
      </c>
      <c r="V2631">
        <v>-7.2782360000000004E-2</v>
      </c>
      <c r="W2631">
        <v>-5.232026E-2</v>
      </c>
      <c r="X2631">
        <v>0.99597449999999998</v>
      </c>
      <c r="Y2631">
        <v>0.15984989999999999</v>
      </c>
      <c r="Z2631">
        <v>1.509313E-2</v>
      </c>
      <c r="AA2631">
        <v>0.98702590000000001</v>
      </c>
      <c r="AB2631">
        <v>20</v>
      </c>
      <c r="AC2631">
        <v>-0.59510000000000196</v>
      </c>
      <c r="AD2631">
        <v>-0.20820569999999899</v>
      </c>
      <c r="AE2631">
        <v>0.151900000000011</v>
      </c>
      <c r="AF2631">
        <v>0.120613857034091</v>
      </c>
      <c r="AG2631">
        <v>-0.20820569999999899</v>
      </c>
      <c r="AH2631">
        <v>0.53750795965582499</v>
      </c>
      <c r="AI2631">
        <v>110.70433603191201</v>
      </c>
      <c r="AJ2631">
        <v>77.352638939396002</v>
      </c>
      <c r="AK2631">
        <v>0.58890756720770598</v>
      </c>
      <c r="AL2631">
        <v>92.999099608535104</v>
      </c>
      <c r="AM2631">
        <v>94.179547446893807</v>
      </c>
      <c r="AN2631">
        <v>0.99999994309194196</v>
      </c>
    </row>
    <row r="2632" spans="1:40" x14ac:dyDescent="0.25">
      <c r="A2632" t="str">
        <f>"20190303154819490"</f>
        <v>20190303154819490</v>
      </c>
      <c r="B2632" t="str">
        <f>"1551599299483331"</f>
        <v>1551599299483331</v>
      </c>
      <c r="C2632" t="s">
        <v>40</v>
      </c>
      <c r="D2632">
        <v>4.7246889999999997</v>
      </c>
      <c r="E2632">
        <v>0.52271459999999903</v>
      </c>
      <c r="F2632" t="s">
        <v>42</v>
      </c>
      <c r="G2632">
        <v>-469.57440000000003</v>
      </c>
      <c r="H2632">
        <v>0.91982439999999999</v>
      </c>
      <c r="I2632">
        <v>285.44990000000001</v>
      </c>
      <c r="J2632">
        <v>-468.99299999999999</v>
      </c>
      <c r="K2632">
        <v>1.121524</v>
      </c>
      <c r="L2632">
        <v>285.30930000000001</v>
      </c>
      <c r="M2632">
        <v>-0.99939049999999996</v>
      </c>
      <c r="N2632">
        <v>-1.9174989999999999E-2</v>
      </c>
      <c r="O2632">
        <v>2.9174530000000001E-2</v>
      </c>
      <c r="P2632">
        <v>-0.99638780000000005</v>
      </c>
      <c r="Q2632">
        <v>-7.0844400000000002E-2</v>
      </c>
      <c r="R2632">
        <v>-4.682679E-2</v>
      </c>
      <c r="S2632">
        <v>-2.9794309999999999</v>
      </c>
      <c r="T2632">
        <v>-0.77102669999999995</v>
      </c>
      <c r="U2632">
        <v>0.55755619999999995</v>
      </c>
      <c r="V2632">
        <v>-7.5883049999999994E-2</v>
      </c>
      <c r="W2632">
        <v>-5.1757329999999997E-2</v>
      </c>
      <c r="X2632">
        <v>0.99577249999999995</v>
      </c>
      <c r="Y2632">
        <v>0.15080360000000001</v>
      </c>
      <c r="Z2632">
        <v>1.3708E-2</v>
      </c>
      <c r="AA2632">
        <v>0.98846869999999998</v>
      </c>
      <c r="AB2632">
        <v>20</v>
      </c>
      <c r="AC2632">
        <v>-0.58139999999997305</v>
      </c>
      <c r="AD2632">
        <v>-0.20169959999999901</v>
      </c>
      <c r="AE2632">
        <v>0.140600000000006</v>
      </c>
      <c r="AF2632">
        <v>0.110958490036538</v>
      </c>
      <c r="AG2632">
        <v>-0.20169959999999901</v>
      </c>
      <c r="AH2632">
        <v>0.52550318270152396</v>
      </c>
      <c r="AI2632">
        <v>110.583251798959</v>
      </c>
      <c r="AJ2632">
        <v>78.077285670396293</v>
      </c>
      <c r="AK2632">
        <v>0.57371431059437505</v>
      </c>
      <c r="AL2632">
        <v>92.966802266945294</v>
      </c>
      <c r="AM2632">
        <v>94.357814176238307</v>
      </c>
      <c r="AN2632">
        <v>0.99999996512113998</v>
      </c>
    </row>
    <row r="2633" spans="1:40" x14ac:dyDescent="0.25">
      <c r="A2633" t="str">
        <f>"20190303154819513"</f>
        <v>20190303154819513</v>
      </c>
      <c r="B2633" t="str">
        <f>"1551599299503823"</f>
        <v>1551599299503823</v>
      </c>
      <c r="C2633" t="s">
        <v>40</v>
      </c>
      <c r="D2633">
        <v>4.8845400000000003</v>
      </c>
      <c r="E2633">
        <v>0.47377520000000001</v>
      </c>
      <c r="F2633" t="s">
        <v>42</v>
      </c>
      <c r="G2633">
        <v>-469.79640000000001</v>
      </c>
      <c r="H2633">
        <v>0.99323050000000002</v>
      </c>
      <c r="I2633">
        <v>285.32139999999998</v>
      </c>
      <c r="J2633">
        <v>-469.20440000000002</v>
      </c>
      <c r="K2633">
        <v>1.1214710000000001</v>
      </c>
      <c r="L2633">
        <v>285.31549999999999</v>
      </c>
      <c r="M2633">
        <v>-0.99940340000000005</v>
      </c>
      <c r="N2633">
        <v>-1.846718E-2</v>
      </c>
      <c r="O2633">
        <v>2.9185429999999998E-2</v>
      </c>
      <c r="P2633">
        <v>-0.99638970000000004</v>
      </c>
      <c r="Q2633">
        <v>-6.8868059999999995E-2</v>
      </c>
      <c r="R2633">
        <v>-4.9648390000000001E-2</v>
      </c>
      <c r="S2633">
        <v>-2.9791560000000001</v>
      </c>
      <c r="T2633">
        <v>-0.47583249999999999</v>
      </c>
      <c r="U2633">
        <v>4.4128420000000002E-2</v>
      </c>
      <c r="V2633">
        <v>-7.8714499999999896E-2</v>
      </c>
      <c r="W2633">
        <v>-5.04871E-2</v>
      </c>
      <c r="X2633">
        <v>0.99561789999999994</v>
      </c>
      <c r="Y2633">
        <v>-1.389692E-2</v>
      </c>
      <c r="Z2633">
        <v>-5.3270899999999996E-3</v>
      </c>
      <c r="AA2633">
        <v>0.99988929999999998</v>
      </c>
      <c r="AB2633">
        <v>20</v>
      </c>
      <c r="AC2633">
        <v>-0.59199999999998398</v>
      </c>
      <c r="AD2633">
        <v>-0.12824049999999901</v>
      </c>
      <c r="AE2633">
        <v>5.8999999999968999E-3</v>
      </c>
      <c r="AF2633">
        <v>-1.08730647442941E-2</v>
      </c>
      <c r="AG2633">
        <v>-0.12824049999999901</v>
      </c>
      <c r="AH2633">
        <v>0.565391430495088</v>
      </c>
      <c r="AI2633">
        <v>102.77716071763</v>
      </c>
      <c r="AJ2633">
        <v>91.101721575670794</v>
      </c>
      <c r="AK2633">
        <v>0.579854567158409</v>
      </c>
      <c r="AL2633">
        <v>92.893928162692504</v>
      </c>
      <c r="AM2633">
        <v>94.5204560068847</v>
      </c>
      <c r="AN2633">
        <v>0.99999996128853397</v>
      </c>
    </row>
    <row r="2634" spans="1:40" x14ac:dyDescent="0.25">
      <c r="A2634" t="str">
        <f>"20190303154819536"</f>
        <v>20190303154819536</v>
      </c>
      <c r="B2634" t="str">
        <f>"1551599299533104"</f>
        <v>1551599299533104</v>
      </c>
      <c r="C2634" t="s">
        <v>40</v>
      </c>
      <c r="D2634">
        <v>4.7628899999999996</v>
      </c>
      <c r="E2634">
        <v>0.47123280000000001</v>
      </c>
      <c r="F2634" t="s">
        <v>47</v>
      </c>
      <c r="G2634">
        <v>-489.17320000000001</v>
      </c>
      <c r="H2634" s="1">
        <v>3.6841800000000001E-6</v>
      </c>
      <c r="I2634">
        <v>282.91480000000001</v>
      </c>
      <c r="J2634">
        <v>-469.41070000000002</v>
      </c>
      <c r="K2634">
        <v>1.1214299999999999</v>
      </c>
      <c r="L2634">
        <v>285.32150000000001</v>
      </c>
      <c r="M2634">
        <v>-0.99941460000000004</v>
      </c>
      <c r="N2634">
        <v>-1.7832870000000001E-2</v>
      </c>
      <c r="O2634">
        <v>2.9195470000000001E-2</v>
      </c>
      <c r="P2634">
        <v>-0.99627109999999997</v>
      </c>
      <c r="Q2634">
        <v>-6.7715849999999994E-2</v>
      </c>
      <c r="R2634">
        <v>-5.3463589999999998E-2</v>
      </c>
      <c r="S2634">
        <v>-2.9814449999999999</v>
      </c>
      <c r="T2634">
        <v>-0.16744039999999999</v>
      </c>
      <c r="U2634">
        <v>-0.358429</v>
      </c>
      <c r="V2634">
        <v>-8.2534449999999995E-2</v>
      </c>
      <c r="W2634">
        <v>-4.997045E-2</v>
      </c>
      <c r="X2634">
        <v>0.99533459999999996</v>
      </c>
      <c r="Y2634">
        <v>-0.14797569999999999</v>
      </c>
      <c r="Z2634">
        <v>-6.5773589999999996E-3</v>
      </c>
      <c r="AA2634">
        <v>0.98896910000000005</v>
      </c>
      <c r="AB2634">
        <v>20</v>
      </c>
      <c r="AC2634">
        <v>-19.7624999999999</v>
      </c>
      <c r="AD2634">
        <v>-1.12142631582</v>
      </c>
      <c r="AE2634">
        <v>-2.4066999999999998</v>
      </c>
      <c r="AF2634">
        <v>-2.9733068354465799</v>
      </c>
      <c r="AG2634">
        <v>-1.12142631582</v>
      </c>
      <c r="AH2634">
        <v>19.6215387800465</v>
      </c>
      <c r="AI2634">
        <v>93.234215153558097</v>
      </c>
      <c r="AJ2634">
        <v>98.616637026024407</v>
      </c>
      <c r="AK2634">
        <v>19.87719634698</v>
      </c>
      <c r="AL2634">
        <v>92.864288848814098</v>
      </c>
      <c r="AM2634">
        <v>94.740196564517206</v>
      </c>
      <c r="AN2634">
        <v>0.99999997363358195</v>
      </c>
    </row>
    <row r="2635" spans="1:40" x14ac:dyDescent="0.25">
      <c r="A2635" t="str">
        <f>"20190303154819557"</f>
        <v>20190303154819557</v>
      </c>
      <c r="B2635" t="str">
        <f>"1551599299553599"</f>
        <v>1551599299553599</v>
      </c>
      <c r="C2635" t="s">
        <v>40</v>
      </c>
      <c r="D2635">
        <v>4.7812720000000004</v>
      </c>
      <c r="E2635">
        <v>0.4675435</v>
      </c>
      <c r="F2635" t="s">
        <v>43</v>
      </c>
      <c r="G2635">
        <v>-512.3229</v>
      </c>
      <c r="H2635">
        <v>-0.05</v>
      </c>
      <c r="I2635">
        <v>279.70049999999998</v>
      </c>
      <c r="J2635">
        <v>-469.60480000000001</v>
      </c>
      <c r="K2635">
        <v>1.1214029999999999</v>
      </c>
      <c r="L2635">
        <v>285.32709999999997</v>
      </c>
      <c r="M2635">
        <v>-0.99942390000000003</v>
      </c>
      <c r="N2635">
        <v>-1.7295599999999901E-2</v>
      </c>
      <c r="O2635">
        <v>2.9202450000000001E-2</v>
      </c>
      <c r="P2635">
        <v>-0.99615339999999997</v>
      </c>
      <c r="Q2635">
        <v>-6.5914959999999995E-2</v>
      </c>
      <c r="R2635">
        <v>-5.7737919999999998E-2</v>
      </c>
      <c r="S2635">
        <v>-2.98468</v>
      </c>
      <c r="T2635">
        <v>-8.1476809999999997E-2</v>
      </c>
      <c r="U2635">
        <v>-0.39096069999999999</v>
      </c>
      <c r="V2635">
        <v>-8.6810129999999999E-2</v>
      </c>
      <c r="W2635">
        <v>-4.8708840000000003E-2</v>
      </c>
      <c r="X2635">
        <v>0.99503339999999996</v>
      </c>
      <c r="Y2635">
        <v>-0.15868660000000001</v>
      </c>
      <c r="Z2635">
        <v>-3.8261689999999999E-3</v>
      </c>
      <c r="AA2635">
        <v>0.98732160000000002</v>
      </c>
      <c r="AB2635">
        <v>20</v>
      </c>
      <c r="AC2635">
        <v>-42.7180999999999</v>
      </c>
      <c r="AD2635">
        <v>-1.171403</v>
      </c>
      <c r="AE2635">
        <v>-5.6265999999999901</v>
      </c>
      <c r="AF2635">
        <v>-6.8667839829570596</v>
      </c>
      <c r="AG2635">
        <v>-1.171403</v>
      </c>
      <c r="AH2635">
        <v>42.504125006696903</v>
      </c>
      <c r="AI2635">
        <v>91.558460734689007</v>
      </c>
      <c r="AJ2635">
        <v>99.177166324136294</v>
      </c>
      <c r="AK2635">
        <v>43.0711684290306</v>
      </c>
      <c r="AL2635">
        <v>92.791915670203593</v>
      </c>
      <c r="AM2635">
        <v>94.9860557732801</v>
      </c>
      <c r="AN2635">
        <v>1.0000000084401599</v>
      </c>
    </row>
    <row r="2636" spans="1:40" x14ac:dyDescent="0.25">
      <c r="A2636" t="str">
        <f>"20190303154819579"</f>
        <v>20190303154819579</v>
      </c>
      <c r="B2636" t="str">
        <f>"1551599299573119"</f>
        <v>1551599299573119</v>
      </c>
      <c r="C2636" t="s">
        <v>40</v>
      </c>
      <c r="D2636">
        <v>4.7573860000000003</v>
      </c>
      <c r="E2636">
        <v>0.46573049999999999</v>
      </c>
      <c r="F2636" t="s">
        <v>47</v>
      </c>
      <c r="G2636">
        <v>-499.97500000000002</v>
      </c>
      <c r="H2636">
        <v>6.7201849999999994E-2</v>
      </c>
      <c r="I2636">
        <v>280.91430000000003</v>
      </c>
      <c r="J2636">
        <v>-469.80970000000002</v>
      </c>
      <c r="K2636">
        <v>1.121389</v>
      </c>
      <c r="L2636">
        <v>285.33319999999998</v>
      </c>
      <c r="M2636">
        <v>-0.99943269999999995</v>
      </c>
      <c r="N2636">
        <v>-1.679344E-2</v>
      </c>
      <c r="O2636">
        <v>2.919358E-2</v>
      </c>
      <c r="P2636">
        <v>-0.99598710000000001</v>
      </c>
      <c r="Q2636">
        <v>-6.3603800000000002E-2</v>
      </c>
      <c r="R2636">
        <v>-6.2962870000000004E-2</v>
      </c>
      <c r="S2636">
        <v>-2.9796749999999999</v>
      </c>
      <c r="T2636">
        <v>-0.1034294</v>
      </c>
      <c r="U2636">
        <v>-0.43295289999999997</v>
      </c>
      <c r="V2636">
        <v>-9.2017539999999995E-2</v>
      </c>
      <c r="W2636">
        <v>-4.690453E-2</v>
      </c>
      <c r="X2636">
        <v>0.99465210000000004</v>
      </c>
      <c r="Y2636">
        <v>-0.1724685</v>
      </c>
      <c r="Z2636">
        <v>-4.9540269999999997E-3</v>
      </c>
      <c r="AA2636">
        <v>0.98500259999999995</v>
      </c>
      <c r="AB2636">
        <v>20</v>
      </c>
      <c r="AC2636">
        <v>-30.165299999999998</v>
      </c>
      <c r="AD2636">
        <v>-1.05418715</v>
      </c>
      <c r="AE2636">
        <v>-4.4188999999999501</v>
      </c>
      <c r="AF2636">
        <v>-5.2914466839009</v>
      </c>
      <c r="AG2636">
        <v>-1.05418715</v>
      </c>
      <c r="AH2636">
        <v>29.987563289166602</v>
      </c>
      <c r="AI2636">
        <v>91.982748967667007</v>
      </c>
      <c r="AJ2636">
        <v>100.007097333921</v>
      </c>
      <c r="AK2636">
        <v>30.469077284643301</v>
      </c>
      <c r="AL2636">
        <v>92.688417908871699</v>
      </c>
      <c r="AM2636">
        <v>95.2855190816625</v>
      </c>
      <c r="AN2636">
        <v>1.00000003131829</v>
      </c>
    </row>
    <row r="2637" spans="1:40" x14ac:dyDescent="0.25">
      <c r="A2637" t="str">
        <f>"20190303154819602"</f>
        <v>20190303154819602</v>
      </c>
      <c r="B2637" t="str">
        <f>"1551599299593625"</f>
        <v>1551599299593625</v>
      </c>
      <c r="C2637" t="s">
        <v>40</v>
      </c>
      <c r="D2637">
        <v>4.7774960000000002</v>
      </c>
      <c r="E2637">
        <v>0.46510829999999997</v>
      </c>
      <c r="F2637" t="s">
        <v>47</v>
      </c>
      <c r="G2637">
        <v>-499.10730000000001</v>
      </c>
      <c r="H2637" s="1">
        <v>2.0138940000000002E-6</v>
      </c>
      <c r="I2637">
        <v>280.78190000000001</v>
      </c>
      <c r="J2637">
        <v>-470.00810000000001</v>
      </c>
      <c r="K2637">
        <v>1.1214040000000001</v>
      </c>
      <c r="L2637">
        <v>285.33890000000002</v>
      </c>
      <c r="M2637">
        <v>-0.99944129999999998</v>
      </c>
      <c r="N2637">
        <v>-1.6369450000000001E-2</v>
      </c>
      <c r="O2637">
        <v>2.9142629999999999E-2</v>
      </c>
      <c r="P2637">
        <v>-0.99586730000000001</v>
      </c>
      <c r="Q2637">
        <v>-6.0947929999999997E-2</v>
      </c>
      <c r="R2637">
        <v>-6.733285E-2</v>
      </c>
      <c r="S2637">
        <v>-2.9755859999999998</v>
      </c>
      <c r="T2637">
        <v>-0.1138927</v>
      </c>
      <c r="U2637">
        <v>-0.46224979999999899</v>
      </c>
      <c r="V2637">
        <v>-9.6329209999999998E-2</v>
      </c>
      <c r="W2637">
        <v>-4.4679820000000002E-2</v>
      </c>
      <c r="X2637">
        <v>0.99434619999999996</v>
      </c>
      <c r="Y2637">
        <v>-0.18204809999999999</v>
      </c>
      <c r="Z2637">
        <v>-5.5967509999999996E-3</v>
      </c>
      <c r="AA2637">
        <v>0.98327370000000003</v>
      </c>
      <c r="AB2637">
        <v>20</v>
      </c>
      <c r="AC2637">
        <v>-29.0992</v>
      </c>
      <c r="AD2637">
        <v>-1.1214019861059901</v>
      </c>
      <c r="AE2637">
        <v>-4.5570000000000102</v>
      </c>
      <c r="AF2637">
        <v>-5.3953837766625501</v>
      </c>
      <c r="AG2637">
        <v>-1.1214019861059901</v>
      </c>
      <c r="AH2637">
        <v>28.9121064061254</v>
      </c>
      <c r="AI2637">
        <v>92.183536924720499</v>
      </c>
      <c r="AJ2637">
        <v>100.570569025602</v>
      </c>
      <c r="AK2637">
        <v>29.432594268107501</v>
      </c>
      <c r="AL2637">
        <v>92.560817659075497</v>
      </c>
      <c r="AM2637">
        <v>95.533372002603599</v>
      </c>
      <c r="AN2637">
        <v>0.99999998423444802</v>
      </c>
    </row>
    <row r="2638" spans="1:40" x14ac:dyDescent="0.25">
      <c r="A2638" t="str">
        <f>"20190303154819624"</f>
        <v>20190303154819624</v>
      </c>
      <c r="B2638" t="str">
        <f>"1551599299613145"</f>
        <v>1551599299613145</v>
      </c>
      <c r="C2638" t="s">
        <v>40</v>
      </c>
      <c r="D2638">
        <v>4.7803789999999999</v>
      </c>
      <c r="E2638">
        <v>0.46449590000000002</v>
      </c>
      <c r="F2638" t="s">
        <v>47</v>
      </c>
      <c r="G2638">
        <v>-498.69729999999998</v>
      </c>
      <c r="H2638" s="1">
        <v>2.0795499999999999E-6</v>
      </c>
      <c r="I2638">
        <v>280.70100000000002</v>
      </c>
      <c r="J2638">
        <v>-470.21570000000003</v>
      </c>
      <c r="K2638">
        <v>1.121454</v>
      </c>
      <c r="L2638">
        <v>285.34480000000002</v>
      </c>
      <c r="M2638">
        <v>-0.99945110000000004</v>
      </c>
      <c r="N2638">
        <v>-1.5980390000000001E-2</v>
      </c>
      <c r="O2638">
        <v>2.9022300000000001E-2</v>
      </c>
      <c r="P2638">
        <v>-0.99584830000000002</v>
      </c>
      <c r="Q2638">
        <v>-5.7093789999999998E-2</v>
      </c>
      <c r="R2638">
        <v>-7.0898790000000003E-2</v>
      </c>
      <c r="S2638">
        <v>-2.972839</v>
      </c>
      <c r="T2638">
        <v>-0.116202399999999</v>
      </c>
      <c r="U2638">
        <v>-0.48059079999999899</v>
      </c>
      <c r="V2638">
        <v>-9.9768679999999998E-2</v>
      </c>
      <c r="W2638">
        <v>-4.1224950000000003E-2</v>
      </c>
      <c r="X2638">
        <v>0.99415629999999999</v>
      </c>
      <c r="Y2638">
        <v>-0.18796930000000001</v>
      </c>
      <c r="Z2638">
        <v>-5.8278219999999999E-3</v>
      </c>
      <c r="AA2638">
        <v>0.98215759999999996</v>
      </c>
      <c r="AB2638">
        <v>20</v>
      </c>
      <c r="AC2638">
        <v>-28.481599999999901</v>
      </c>
      <c r="AD2638">
        <v>-1.12145192045</v>
      </c>
      <c r="AE2638">
        <v>-4.6438000000000503</v>
      </c>
      <c r="AF2638">
        <v>-5.4603041819125302</v>
      </c>
      <c r="AG2638">
        <v>-1.12145192045</v>
      </c>
      <c r="AH2638">
        <v>28.292081453053999</v>
      </c>
      <c r="AI2638">
        <v>92.228835053689906</v>
      </c>
      <c r="AJ2638">
        <v>100.92364195038699</v>
      </c>
      <c r="AK2638">
        <v>28.835992251267101</v>
      </c>
      <c r="AL2638">
        <v>92.362685156191802</v>
      </c>
      <c r="AM2638">
        <v>95.730738148906696</v>
      </c>
      <c r="AN2638">
        <v>1.0000000174205601</v>
      </c>
    </row>
    <row r="2639" spans="1:40" x14ac:dyDescent="0.25">
      <c r="A2639" t="str">
        <f>"20190303154819647"</f>
        <v>20190303154819647</v>
      </c>
      <c r="B2639" t="str">
        <f>"1551599299643402"</f>
        <v>1551599299643402</v>
      </c>
      <c r="C2639" t="s">
        <v>40</v>
      </c>
      <c r="D2639">
        <v>4.8147840000000004</v>
      </c>
      <c r="E2639">
        <v>0.46422799999999997</v>
      </c>
      <c r="F2639" t="s">
        <v>47</v>
      </c>
      <c r="G2639">
        <v>-499.13810000000001</v>
      </c>
      <c r="H2639" s="1">
        <v>1.9851569999999999E-6</v>
      </c>
      <c r="I2639">
        <v>280.51549999999997</v>
      </c>
      <c r="J2639">
        <v>-470.41120000000001</v>
      </c>
      <c r="K2639">
        <v>1.1215219999999999</v>
      </c>
      <c r="L2639">
        <v>285.3503</v>
      </c>
      <c r="M2639">
        <v>-0.9994613</v>
      </c>
      <c r="N2639">
        <v>-1.5657020000000001E-2</v>
      </c>
      <c r="O2639">
        <v>2.8848459999999999E-2</v>
      </c>
      <c r="P2639">
        <v>-0.99618969999999996</v>
      </c>
      <c r="Q2639">
        <v>-4.988948E-2</v>
      </c>
      <c r="R2639">
        <v>-7.1535570000000007E-2</v>
      </c>
      <c r="S2639">
        <v>-2.9705509999999999</v>
      </c>
      <c r="T2639">
        <v>-0.1151818</v>
      </c>
      <c r="U2639">
        <v>-0.4960022</v>
      </c>
      <c r="V2639">
        <v>-0.10023990000000001</v>
      </c>
      <c r="W2639">
        <v>-3.434918E-2</v>
      </c>
      <c r="X2639">
        <v>0.99437019999999998</v>
      </c>
      <c r="Y2639">
        <v>-0.19287560000000001</v>
      </c>
      <c r="Z2639">
        <v>-5.8961990000000004E-3</v>
      </c>
      <c r="AA2639">
        <v>0.98120549999999995</v>
      </c>
      <c r="AB2639">
        <v>20</v>
      </c>
      <c r="AC2639">
        <v>-28.726900000000001</v>
      </c>
      <c r="AD2639">
        <v>-1.121520014843</v>
      </c>
      <c r="AE2639">
        <v>-4.8348000000000297</v>
      </c>
      <c r="AF2639">
        <v>-5.6532363497177904</v>
      </c>
      <c r="AG2639">
        <v>-1.121520014843</v>
      </c>
      <c r="AH2639">
        <v>28.533155469687198</v>
      </c>
      <c r="AI2639">
        <v>92.208023719831701</v>
      </c>
      <c r="AJ2639">
        <v>101.206800376803</v>
      </c>
      <c r="AK2639">
        <v>29.109411698397501</v>
      </c>
      <c r="AL2639">
        <v>91.968450259465797</v>
      </c>
      <c r="AM2639">
        <v>95.756393507628502</v>
      </c>
      <c r="AN2639">
        <v>0.99999999918336102</v>
      </c>
    </row>
    <row r="2640" spans="1:40" x14ac:dyDescent="0.25">
      <c r="A2640" t="str">
        <f>"20190303154819669"</f>
        <v>20190303154819669</v>
      </c>
      <c r="B2640" t="str">
        <f>"1551599299662922"</f>
        <v>1551599299662922</v>
      </c>
      <c r="C2640" t="s">
        <v>40</v>
      </c>
      <c r="D2640">
        <v>4.8223200000000004</v>
      </c>
      <c r="E2640">
        <v>0.46430959999999899</v>
      </c>
      <c r="F2640" t="s">
        <v>47</v>
      </c>
      <c r="G2640">
        <v>-499.98239999999998</v>
      </c>
      <c r="H2640">
        <v>7.4613449999999998E-2</v>
      </c>
      <c r="I2640">
        <v>280.37090000000001</v>
      </c>
      <c r="J2640">
        <v>-470.61590000000001</v>
      </c>
      <c r="K2640">
        <v>1.1216029999999999</v>
      </c>
      <c r="L2640">
        <v>285.35590000000002</v>
      </c>
      <c r="M2640">
        <v>-0.99947339999999996</v>
      </c>
      <c r="N2640">
        <v>-1.5361319999999999E-2</v>
      </c>
      <c r="O2640">
        <v>2.8586859999999999E-2</v>
      </c>
      <c r="P2640">
        <v>-0.99648150000000002</v>
      </c>
      <c r="Q2640">
        <v>-4.2008759999999999E-2</v>
      </c>
      <c r="R2640">
        <v>-7.2526950000000007E-2</v>
      </c>
      <c r="S2640">
        <v>-2.9702760000000001</v>
      </c>
      <c r="T2640">
        <v>-0.1051565</v>
      </c>
      <c r="U2640">
        <v>-0.50015259999999995</v>
      </c>
      <c r="V2640">
        <v>-0.10097680000000001</v>
      </c>
      <c r="W2640">
        <v>-2.6772629999999999E-2</v>
      </c>
      <c r="X2640">
        <v>0.99452850000000004</v>
      </c>
      <c r="Y2640">
        <v>-0.19399730000000001</v>
      </c>
      <c r="Z2640">
        <v>-5.4795590000000002E-3</v>
      </c>
      <c r="AA2640">
        <v>0.98098680000000005</v>
      </c>
      <c r="AB2640">
        <v>20</v>
      </c>
      <c r="AC2640">
        <v>-29.366499999999899</v>
      </c>
      <c r="AD2640">
        <v>-1.0469895499999999</v>
      </c>
      <c r="AE2640">
        <v>-4.9850000000000101</v>
      </c>
      <c r="AF2640">
        <v>-5.81537229943212</v>
      </c>
      <c r="AG2640">
        <v>-1.0469895499999999</v>
      </c>
      <c r="AH2640">
        <v>29.175926281247602</v>
      </c>
      <c r="AI2640">
        <v>92.015584829076602</v>
      </c>
      <c r="AJ2640">
        <v>101.27251533383</v>
      </c>
      <c r="AK2640">
        <v>29.768261898666601</v>
      </c>
      <c r="AL2640">
        <v>91.5341419955015</v>
      </c>
      <c r="AM2640">
        <v>95.797506895028107</v>
      </c>
      <c r="AN2640">
        <v>1.0000000125838</v>
      </c>
    </row>
    <row r="2641" spans="1:40" x14ac:dyDescent="0.25">
      <c r="A2641" t="str">
        <f>"20190303154819691"</f>
        <v>20190303154819691</v>
      </c>
      <c r="B2641" t="str">
        <f>"1551599299683418"</f>
        <v>1551599299683418</v>
      </c>
      <c r="C2641" t="s">
        <v>40</v>
      </c>
      <c r="D2641">
        <v>4.8201429999999998</v>
      </c>
      <c r="E2641">
        <v>0.46448669999999997</v>
      </c>
      <c r="F2641" t="s">
        <v>43</v>
      </c>
      <c r="G2641">
        <v>-509.97969999999998</v>
      </c>
      <c r="H2641">
        <v>-0.05</v>
      </c>
      <c r="I2641">
        <v>278.69690000000003</v>
      </c>
      <c r="J2641">
        <v>-470.81020000000001</v>
      </c>
      <c r="K2641">
        <v>1.1216870000000001</v>
      </c>
      <c r="L2641">
        <v>285.36099999999999</v>
      </c>
      <c r="M2641">
        <v>-0.99948689999999996</v>
      </c>
      <c r="N2641">
        <v>-1.511648E-2</v>
      </c>
      <c r="O2641">
        <v>2.824163E-2</v>
      </c>
      <c r="P2641">
        <v>-0.99637430000000005</v>
      </c>
      <c r="Q2641">
        <v>-3.2801200000000003E-2</v>
      </c>
      <c r="R2641">
        <v>-7.8501000000000001E-2</v>
      </c>
      <c r="S2641">
        <v>-2.9703059999999999</v>
      </c>
      <c r="T2641">
        <v>-8.8406559999999995E-2</v>
      </c>
      <c r="U2641">
        <v>-0.50247189999999997</v>
      </c>
      <c r="V2641">
        <v>-0.1066033</v>
      </c>
      <c r="W2641">
        <v>-1.7830309999999999E-2</v>
      </c>
      <c r="X2641">
        <v>0.99414179999999996</v>
      </c>
      <c r="Y2641">
        <v>-0.1944476</v>
      </c>
      <c r="Z2641">
        <v>-4.7644970000000003E-3</v>
      </c>
      <c r="AA2641">
        <v>0.98090140000000003</v>
      </c>
      <c r="AB2641">
        <v>20</v>
      </c>
      <c r="AC2641">
        <v>-39.1694999999999</v>
      </c>
      <c r="AD2641">
        <v>-1.1716869999999999</v>
      </c>
      <c r="AE2641">
        <v>-6.6640999999999604</v>
      </c>
      <c r="AF2641">
        <v>-7.7610288765285302</v>
      </c>
      <c r="AG2641">
        <v>-1.1716869999999999</v>
      </c>
      <c r="AH2641">
        <v>38.931789921015003</v>
      </c>
      <c r="AI2641">
        <v>91.690602064942894</v>
      </c>
      <c r="AJ2641">
        <v>101.274084955655</v>
      </c>
      <c r="AK2641">
        <v>39.715119112276703</v>
      </c>
      <c r="AL2641">
        <v>91.021655597279803</v>
      </c>
      <c r="AM2641">
        <v>96.120523803202602</v>
      </c>
      <c r="AN2641">
        <v>1.00000005101641</v>
      </c>
    </row>
    <row r="2642" spans="1:40" x14ac:dyDescent="0.25">
      <c r="A2642" t="str">
        <f>"20190303154819714"</f>
        <v>20190303154819714</v>
      </c>
      <c r="B2642" t="str">
        <f>"1551599299702938"</f>
        <v>1551599299702938</v>
      </c>
      <c r="C2642" t="s">
        <v>40</v>
      </c>
      <c r="D2642">
        <v>4.7980559999999999</v>
      </c>
      <c r="E2642">
        <v>0.4644337</v>
      </c>
      <c r="F2642" t="s">
        <v>55</v>
      </c>
      <c r="G2642">
        <v>-511.95870000000002</v>
      </c>
      <c r="H2642">
        <v>0.17916070000000001</v>
      </c>
      <c r="I2642">
        <v>278.17</v>
      </c>
      <c r="J2642">
        <v>-471.01819999999998</v>
      </c>
      <c r="K2642">
        <v>1.1217760000000001</v>
      </c>
      <c r="L2642">
        <v>285.3664</v>
      </c>
      <c r="M2642">
        <v>-0.99950399999999995</v>
      </c>
      <c r="N2642">
        <v>-1.488867E-2</v>
      </c>
      <c r="O2642">
        <v>2.7749639999999999E-2</v>
      </c>
      <c r="P2642">
        <v>-0.99592919999999996</v>
      </c>
      <c r="Q2642">
        <v>-2.712177E-2</v>
      </c>
      <c r="R2642">
        <v>-8.5962979999999994E-2</v>
      </c>
      <c r="S2642">
        <v>-2.9678040000000001</v>
      </c>
      <c r="T2642">
        <v>-6.7972899999999906E-2</v>
      </c>
      <c r="U2642">
        <v>-0.51864619999999995</v>
      </c>
      <c r="V2642">
        <v>-0.1135613</v>
      </c>
      <c r="W2642">
        <v>-1.2409969999999999E-2</v>
      </c>
      <c r="X2642">
        <v>0.99345349999999999</v>
      </c>
      <c r="Y2642">
        <v>-0.19933519999999999</v>
      </c>
      <c r="Z2642">
        <v>-3.9819269999999997E-3</v>
      </c>
      <c r="AA2642">
        <v>0.97992319999999999</v>
      </c>
      <c r="AB2642">
        <v>20</v>
      </c>
      <c r="AC2642">
        <v>-40.9405</v>
      </c>
      <c r="AD2642">
        <v>-0.94261530000000004</v>
      </c>
      <c r="AE2642">
        <v>-7.1963999999999801</v>
      </c>
      <c r="AF2642">
        <v>-8.3255570332701492</v>
      </c>
      <c r="AG2642">
        <v>-0.94261530000000004</v>
      </c>
      <c r="AH2642">
        <v>40.704080088280698</v>
      </c>
      <c r="AI2642">
        <v>91.299705572798302</v>
      </c>
      <c r="AJ2642">
        <v>101.559755825499</v>
      </c>
      <c r="AK2642">
        <v>41.557497029431303</v>
      </c>
      <c r="AL2642">
        <v>90.7110571453304</v>
      </c>
      <c r="AM2642">
        <v>96.521154236581495</v>
      </c>
      <c r="AN2642">
        <v>1.0000000164376699</v>
      </c>
    </row>
    <row r="2643" spans="1:40" x14ac:dyDescent="0.25">
      <c r="A2643" t="str">
        <f>"20190303154819738"</f>
        <v>20190303154819738</v>
      </c>
      <c r="B2643" t="str">
        <f>"1551599299733194"</f>
        <v>1551599299733194</v>
      </c>
      <c r="C2643" t="s">
        <v>40</v>
      </c>
      <c r="D2643">
        <v>4.8759870000000003</v>
      </c>
      <c r="E2643">
        <v>0.46443299999999998</v>
      </c>
      <c r="F2643" t="s">
        <v>55</v>
      </c>
      <c r="G2643">
        <v>-511.95870000000002</v>
      </c>
      <c r="H2643">
        <v>0.30880170000000001</v>
      </c>
      <c r="I2643">
        <v>277.8922</v>
      </c>
      <c r="J2643">
        <v>-471.22430000000003</v>
      </c>
      <c r="K2643">
        <v>1.121874</v>
      </c>
      <c r="L2643">
        <v>285.37139999999999</v>
      </c>
      <c r="M2643">
        <v>-0.99952390000000002</v>
      </c>
      <c r="N2643">
        <v>-1.4693100000000001E-2</v>
      </c>
      <c r="O2643">
        <v>2.7132300000000002E-2</v>
      </c>
      <c r="P2643">
        <v>-0.9953997</v>
      </c>
      <c r="Q2643">
        <v>-2.1769340000000002E-2</v>
      </c>
      <c r="R2643">
        <v>-9.3302629999999998E-2</v>
      </c>
      <c r="S2643">
        <v>-2.9639890000000002</v>
      </c>
      <c r="T2643">
        <v>-5.8851239999999999E-2</v>
      </c>
      <c r="U2643">
        <v>-0.54110719999999901</v>
      </c>
      <c r="V2643">
        <v>-0.1202725</v>
      </c>
      <c r="W2643">
        <v>-7.2898519999999899E-3</v>
      </c>
      <c r="X2643">
        <v>0.99271419999999999</v>
      </c>
      <c r="Y2643">
        <v>-0.20615040000000001</v>
      </c>
      <c r="Z2643">
        <v>-3.696221E-3</v>
      </c>
      <c r="AA2643">
        <v>0.97851339999999998</v>
      </c>
      <c r="AB2643">
        <v>20</v>
      </c>
      <c r="AC2643">
        <v>-40.734400000000001</v>
      </c>
      <c r="AD2643">
        <v>-0.81307229999999997</v>
      </c>
      <c r="AE2643">
        <v>-7.4791999999999899</v>
      </c>
      <c r="AF2643">
        <v>-8.5784768581786999</v>
      </c>
      <c r="AG2643">
        <v>-0.81307229999999997</v>
      </c>
      <c r="AH2643">
        <v>40.500840752533598</v>
      </c>
      <c r="AI2643">
        <v>91.125128613278903</v>
      </c>
      <c r="AJ2643">
        <v>101.959059575152</v>
      </c>
      <c r="AK2643">
        <v>41.407359894509298</v>
      </c>
      <c r="AL2643">
        <v>90.417681431638897</v>
      </c>
      <c r="AM2643">
        <v>96.9080136892632</v>
      </c>
      <c r="AN2643">
        <v>1.0000000495400301</v>
      </c>
    </row>
    <row r="2644" spans="1:40" x14ac:dyDescent="0.25">
      <c r="A2644" t="str">
        <f>"20190303154819758"</f>
        <v>20190303154819758</v>
      </c>
      <c r="B2644" t="str">
        <f>"1551599299753693"</f>
        <v>1551599299753693</v>
      </c>
      <c r="C2644" t="s">
        <v>40</v>
      </c>
      <c r="D2644">
        <v>4.7554939999999997</v>
      </c>
      <c r="E2644">
        <v>0.43208669999999999</v>
      </c>
      <c r="F2644" t="s">
        <v>55</v>
      </c>
      <c r="G2644">
        <v>-511.9588</v>
      </c>
      <c r="H2644">
        <v>0.42726579999999897</v>
      </c>
      <c r="I2644">
        <v>277.62790000000001</v>
      </c>
      <c r="J2644">
        <v>-471.41239999999999</v>
      </c>
      <c r="K2644">
        <v>1.1219699999999999</v>
      </c>
      <c r="L2644">
        <v>285.37580000000003</v>
      </c>
      <c r="M2644">
        <v>-0.9995444</v>
      </c>
      <c r="N2644">
        <v>-1.4538590000000001E-2</v>
      </c>
      <c r="O2644">
        <v>2.645254E-2</v>
      </c>
      <c r="P2644">
        <v>-0.99479589999999996</v>
      </c>
      <c r="Q2644">
        <v>-1.6830379999999999E-2</v>
      </c>
      <c r="R2644">
        <v>-0.1004879</v>
      </c>
      <c r="S2644">
        <v>-2.959991</v>
      </c>
      <c r="T2644">
        <v>-5.0467970000000001E-2</v>
      </c>
      <c r="U2644">
        <v>-0.56268309999999999</v>
      </c>
      <c r="V2644">
        <v>-0.1267674</v>
      </c>
      <c r="W2644">
        <v>-2.5448609999999998E-3</v>
      </c>
      <c r="X2644">
        <v>0.99192919999999996</v>
      </c>
      <c r="Y2644">
        <v>-0.21262020000000001</v>
      </c>
      <c r="Z2644">
        <v>-3.4222240000000002E-3</v>
      </c>
      <c r="AA2644">
        <v>0.97712889999999997</v>
      </c>
      <c r="AB2644">
        <v>20</v>
      </c>
      <c r="AC2644">
        <v>-40.546399999999998</v>
      </c>
      <c r="AD2644">
        <v>-0.69470419999999999</v>
      </c>
      <c r="AE2644">
        <v>-7.7479000000000102</v>
      </c>
      <c r="AF2644">
        <v>-8.8153601210406407</v>
      </c>
      <c r="AG2644">
        <v>-0.69470419999999999</v>
      </c>
      <c r="AH2644">
        <v>40.315817185746901</v>
      </c>
      <c r="AI2644">
        <v>90.964416348925695</v>
      </c>
      <c r="AJ2644">
        <v>102.33403521210801</v>
      </c>
      <c r="AK2644">
        <v>41.274184466124801</v>
      </c>
      <c r="AL2644">
        <v>90.145809953020006</v>
      </c>
      <c r="AM2644">
        <v>97.282856130353593</v>
      </c>
      <c r="AN2644">
        <v>0.999999993916454</v>
      </c>
    </row>
    <row r="2645" spans="1:40" x14ac:dyDescent="0.25">
      <c r="A2645" t="str">
        <f>"20190303154819781"</f>
        <v>20190303154819781</v>
      </c>
      <c r="B2645" t="str">
        <f>"1551599299773210"</f>
        <v>1551599299773210</v>
      </c>
      <c r="C2645" t="s">
        <v>40</v>
      </c>
      <c r="D2645">
        <v>4.6373360000000003</v>
      </c>
      <c r="E2645">
        <v>0.36149150000000002</v>
      </c>
      <c r="F2645" t="s">
        <v>47</v>
      </c>
      <c r="G2645">
        <v>-489.9753</v>
      </c>
      <c r="H2645" s="1">
        <v>3.5711380000000002E-6</v>
      </c>
      <c r="I2645">
        <v>280.06540000000001</v>
      </c>
      <c r="J2645">
        <v>-471.6105</v>
      </c>
      <c r="K2645">
        <v>1.1220619999999999</v>
      </c>
      <c r="L2645">
        <v>285.38010000000003</v>
      </c>
      <c r="M2645">
        <v>-0.99956809999999996</v>
      </c>
      <c r="N2645">
        <v>-1.43968E-2</v>
      </c>
      <c r="O2645">
        <v>2.5620150000000001E-2</v>
      </c>
      <c r="P2645">
        <v>-0.99395169999999999</v>
      </c>
      <c r="Q2645">
        <v>-1.3501229999999999E-2</v>
      </c>
      <c r="R2645">
        <v>-0.1089857</v>
      </c>
      <c r="S2645">
        <v>-2.92807</v>
      </c>
      <c r="T2645">
        <v>-0.17697660000000001</v>
      </c>
      <c r="U2645">
        <v>-0.83764649999999996</v>
      </c>
      <c r="V2645">
        <v>-0.13441879999999901</v>
      </c>
      <c r="W2645">
        <v>5.9444100000000002E-4</v>
      </c>
      <c r="X2645">
        <v>0.99092440000000004</v>
      </c>
      <c r="Y2645">
        <v>-0.298927099999999</v>
      </c>
      <c r="Z2645">
        <v>-1.2201969999999999E-2</v>
      </c>
      <c r="AA2645">
        <v>0.95419790000000004</v>
      </c>
      <c r="AB2645">
        <v>20</v>
      </c>
      <c r="AC2645">
        <v>-18.364799999999999</v>
      </c>
      <c r="AD2645">
        <v>-1.1220584288619999</v>
      </c>
      <c r="AE2645">
        <v>-5.31470000000001</v>
      </c>
      <c r="AF2645">
        <v>-5.7636597036653496</v>
      </c>
      <c r="AG2645">
        <v>-1.1220584288619999</v>
      </c>
      <c r="AH2645">
        <v>18.1600402628534</v>
      </c>
      <c r="AI2645">
        <v>93.370383881377606</v>
      </c>
      <c r="AJ2645">
        <v>107.608472095865</v>
      </c>
      <c r="AK2645">
        <v>19.085749936690799</v>
      </c>
      <c r="AL2645">
        <v>89.965941036394995</v>
      </c>
      <c r="AM2645">
        <v>97.725014892571494</v>
      </c>
      <c r="AN2645">
        <v>0.99999996683445003</v>
      </c>
    </row>
    <row r="2646" spans="1:40" x14ac:dyDescent="0.25">
      <c r="A2646" t="str">
        <f>"20190303154819803"</f>
        <v>20190303154819803</v>
      </c>
      <c r="B2646" t="str">
        <f>"1551599299793706"</f>
        <v>1551599299793706</v>
      </c>
      <c r="C2646" t="s">
        <v>40</v>
      </c>
      <c r="D2646">
        <v>4.6605800000000004</v>
      </c>
      <c r="E2646">
        <v>0.35508230000000002</v>
      </c>
      <c r="F2646" t="s">
        <v>47</v>
      </c>
      <c r="G2646">
        <v>-486.22910000000002</v>
      </c>
      <c r="H2646" s="1">
        <v>2.3422460000000002E-6</v>
      </c>
      <c r="I2646">
        <v>278.11329999999998</v>
      </c>
      <c r="J2646">
        <v>-471.8098</v>
      </c>
      <c r="K2646">
        <v>1.1221380000000001</v>
      </c>
      <c r="L2646">
        <v>285.38409999999999</v>
      </c>
      <c r="M2646">
        <v>-0.99959430000000005</v>
      </c>
      <c r="N2646">
        <v>-1.427466E-2</v>
      </c>
      <c r="O2646">
        <v>2.46492E-2</v>
      </c>
      <c r="P2646">
        <v>-0.99291339999999995</v>
      </c>
      <c r="Q2646">
        <v>-1.174859E-2</v>
      </c>
      <c r="R2646">
        <v>-0.1182583</v>
      </c>
      <c r="S2646">
        <v>-2.8594059999999999</v>
      </c>
      <c r="T2646">
        <v>-0.21947439999999999</v>
      </c>
      <c r="U2646">
        <v>-1.421387</v>
      </c>
      <c r="V2646">
        <v>-0.14270250000000001</v>
      </c>
      <c r="W2646">
        <v>2.173248E-3</v>
      </c>
      <c r="X2646">
        <v>0.98976330000000001</v>
      </c>
      <c r="Y2646">
        <v>-0.46568379999999998</v>
      </c>
      <c r="Z2646">
        <v>-2.1833479999999999E-2</v>
      </c>
      <c r="AA2646">
        <v>0.88468179999999996</v>
      </c>
      <c r="AB2646">
        <v>20</v>
      </c>
      <c r="AC2646">
        <v>-14.4193</v>
      </c>
      <c r="AD2646">
        <v>-1.12213565775399</v>
      </c>
      <c r="AE2646">
        <v>-7.2708000000000004</v>
      </c>
      <c r="AF2646">
        <v>-7.5874147310136602</v>
      </c>
      <c r="AG2646">
        <v>-1.12213565775399</v>
      </c>
      <c r="AH2646">
        <v>14.1672731791851</v>
      </c>
      <c r="AI2646">
        <v>93.994090595328402</v>
      </c>
      <c r="AJ2646">
        <v>118.171689269688</v>
      </c>
      <c r="AK2646">
        <v>16.110235258011102</v>
      </c>
      <c r="AL2646">
        <v>89.875481971003694</v>
      </c>
      <c r="AM2646">
        <v>98.204277626310898</v>
      </c>
      <c r="AN2646">
        <v>1.0000000582699999</v>
      </c>
    </row>
    <row r="2647" spans="1:40" x14ac:dyDescent="0.25">
      <c r="A2647" t="str">
        <f>"20190303154819825"</f>
        <v>20190303154819825</v>
      </c>
      <c r="B2647" t="str">
        <f>"1551599299822986"</f>
        <v>1551599299822986</v>
      </c>
      <c r="C2647" t="s">
        <v>40</v>
      </c>
      <c r="D2647">
        <v>4.6508219999999998</v>
      </c>
      <c r="E2647">
        <v>0.35346559999999999</v>
      </c>
      <c r="F2647" t="s">
        <v>42</v>
      </c>
      <c r="G2647">
        <v>-472.69510000000002</v>
      </c>
      <c r="H2647">
        <v>1.0546230000000001</v>
      </c>
      <c r="I2647">
        <v>284.91680000000002</v>
      </c>
      <c r="J2647">
        <v>-472.01139999999998</v>
      </c>
      <c r="K2647">
        <v>1.122187</v>
      </c>
      <c r="L2647">
        <v>285.3877</v>
      </c>
      <c r="M2647">
        <v>-0.99962229999999996</v>
      </c>
      <c r="N2647">
        <v>-1.416777E-2</v>
      </c>
      <c r="O2647">
        <v>2.354784E-2</v>
      </c>
      <c r="P2647">
        <v>-0.99166949999999998</v>
      </c>
      <c r="Q2647">
        <v>-1.277565E-2</v>
      </c>
      <c r="R2647">
        <v>-0.1281738</v>
      </c>
      <c r="S2647">
        <v>-2.840363</v>
      </c>
      <c r="T2647">
        <v>-0.21662809999999999</v>
      </c>
      <c r="U2647">
        <v>-1.498901</v>
      </c>
      <c r="V2647">
        <v>-0.15149379999999901</v>
      </c>
      <c r="W2647">
        <v>9.8497090000000003E-4</v>
      </c>
      <c r="X2647">
        <v>0.98845769999999999</v>
      </c>
      <c r="Y2647">
        <v>-0.48602040000000002</v>
      </c>
      <c r="Z2647">
        <v>-2.2408819999999999E-2</v>
      </c>
      <c r="AA2647">
        <v>0.87366010000000005</v>
      </c>
      <c r="AB2647">
        <v>20</v>
      </c>
      <c r="AC2647">
        <v>-0.68370000000004405</v>
      </c>
      <c r="AD2647">
        <v>-6.7564000000000096E-2</v>
      </c>
      <c r="AE2647">
        <v>-0.47089999999997101</v>
      </c>
      <c r="AF2647">
        <v>-0.48366708468986003</v>
      </c>
      <c r="AG2647">
        <v>-6.7564000000000096E-2</v>
      </c>
      <c r="AH2647">
        <v>0.66799608964478596</v>
      </c>
      <c r="AI2647">
        <v>94.683451325020798</v>
      </c>
      <c r="AJ2647">
        <v>125.906672053977</v>
      </c>
      <c r="AK2647">
        <v>0.82747659706429899</v>
      </c>
      <c r="AL2647">
        <v>89.943565314410506</v>
      </c>
      <c r="AM2647">
        <v>98.7135087879834</v>
      </c>
      <c r="AN2647">
        <v>0.999999983147701</v>
      </c>
    </row>
    <row r="2648" spans="1:40" x14ac:dyDescent="0.25">
      <c r="A2648" t="str">
        <f>"20190303154819847"</f>
        <v>20190303154819847</v>
      </c>
      <c r="B2648" t="str">
        <f>"1551599299843481"</f>
        <v>1551599299843481</v>
      </c>
      <c r="C2648" t="s">
        <v>40</v>
      </c>
      <c r="D2648">
        <v>4.5696519999999996</v>
      </c>
      <c r="E2648">
        <v>0.35341149999999999</v>
      </c>
      <c r="F2648" t="s">
        <v>42</v>
      </c>
      <c r="G2648">
        <v>-472.87209999999999</v>
      </c>
      <c r="H2648">
        <v>1.0502880000000001</v>
      </c>
      <c r="I2648">
        <v>284.91860000000003</v>
      </c>
      <c r="J2648">
        <v>-472.20670000000001</v>
      </c>
      <c r="K2648">
        <v>1.1222160000000001</v>
      </c>
      <c r="L2648">
        <v>285.39100000000002</v>
      </c>
      <c r="M2648">
        <v>-0.99965040000000005</v>
      </c>
      <c r="N2648">
        <v>-1.4078E-2</v>
      </c>
      <c r="O2648">
        <v>2.23901E-2</v>
      </c>
      <c r="P2648">
        <v>-0.99025859999999999</v>
      </c>
      <c r="Q2648">
        <v>-1.542253E-2</v>
      </c>
      <c r="R2648">
        <v>-0.1383858</v>
      </c>
      <c r="S2648">
        <v>-2.8231809999999999</v>
      </c>
      <c r="T2648">
        <v>-0.23580860000000001</v>
      </c>
      <c r="U2648">
        <v>-1.539795</v>
      </c>
      <c r="V2648">
        <v>-0.16052259999999999</v>
      </c>
      <c r="W2648">
        <v>-1.8048649999999999E-3</v>
      </c>
      <c r="X2648">
        <v>0.98703050000000003</v>
      </c>
      <c r="Y2648">
        <v>-0.49670530000000002</v>
      </c>
      <c r="Z2648">
        <v>-2.455158E-2</v>
      </c>
      <c r="AA2648">
        <v>0.86757189999999995</v>
      </c>
      <c r="AB2648">
        <v>20</v>
      </c>
      <c r="AC2648">
        <v>-0.66539999999997601</v>
      </c>
      <c r="AD2648">
        <v>-7.1927999999999895E-2</v>
      </c>
      <c r="AE2648">
        <v>-0.47239999999993598</v>
      </c>
      <c r="AF2648">
        <v>-0.48342558122927198</v>
      </c>
      <c r="AG2648">
        <v>-7.1927999999999895E-2</v>
      </c>
      <c r="AH2648">
        <v>0.64960811304864396</v>
      </c>
      <c r="AI2648">
        <v>95.076128977078298</v>
      </c>
      <c r="AJ2648">
        <v>126.655897696189</v>
      </c>
      <c r="AK2648">
        <v>0.81293580946436295</v>
      </c>
      <c r="AL2648">
        <v>90.103411204756497</v>
      </c>
      <c r="AM2648">
        <v>99.237246399735895</v>
      </c>
      <c r="AN2648">
        <v>0.99999998528933898</v>
      </c>
    </row>
    <row r="2649" spans="1:40" x14ac:dyDescent="0.25">
      <c r="A2649" t="str">
        <f>"20190303154819869"</f>
        <v>20190303154819869</v>
      </c>
      <c r="B2649" t="str">
        <f>"1551599299863003"</f>
        <v>1551599299863003</v>
      </c>
      <c r="C2649" t="s">
        <v>40</v>
      </c>
      <c r="D2649">
        <v>4.6394219999999997</v>
      </c>
      <c r="E2649">
        <v>0.35356530000000003</v>
      </c>
      <c r="F2649" t="s">
        <v>42</v>
      </c>
      <c r="G2649">
        <v>-473.0489</v>
      </c>
      <c r="H2649">
        <v>1.0474779999999999</v>
      </c>
      <c r="I2649">
        <v>284.92009999999999</v>
      </c>
      <c r="J2649">
        <v>-472.40469999999999</v>
      </c>
      <c r="K2649">
        <v>1.1222259999999999</v>
      </c>
      <c r="L2649">
        <v>285.39389999999997</v>
      </c>
      <c r="M2649">
        <v>-0.99967890000000004</v>
      </c>
      <c r="N2649">
        <v>-1.3999070000000001E-2</v>
      </c>
      <c r="O2649">
        <v>2.112764E-2</v>
      </c>
      <c r="P2649">
        <v>-0.9886701</v>
      </c>
      <c r="Q2649">
        <v>-1.850628E-2</v>
      </c>
      <c r="R2649">
        <v>-0.1489596</v>
      </c>
      <c r="S2649">
        <v>-2.8063349999999998</v>
      </c>
      <c r="T2649">
        <v>-0.24905089999999999</v>
      </c>
      <c r="U2649">
        <v>-1.5693360000000001</v>
      </c>
      <c r="V2649">
        <v>-0.16980799999999999</v>
      </c>
      <c r="W2649">
        <v>-5.0219380000000001E-3</v>
      </c>
      <c r="X2649">
        <v>0.98546440000000002</v>
      </c>
      <c r="Y2649">
        <v>-0.5045558</v>
      </c>
      <c r="Z2649">
        <v>-2.6084989999999999E-2</v>
      </c>
      <c r="AA2649">
        <v>0.862985</v>
      </c>
      <c r="AB2649">
        <v>20</v>
      </c>
      <c r="AC2649">
        <v>-0.64420000000001199</v>
      </c>
      <c r="AD2649">
        <v>-7.4747999999999801E-2</v>
      </c>
      <c r="AE2649">
        <v>-0.47379999999998201</v>
      </c>
      <c r="AF2649">
        <v>-0.48308516820375202</v>
      </c>
      <c r="AG2649">
        <v>-7.4747999999999801E-2</v>
      </c>
      <c r="AH2649">
        <v>0.62855312954835696</v>
      </c>
      <c r="AI2649">
        <v>95.386474752869802</v>
      </c>
      <c r="AJ2649">
        <v>127.54468974354999</v>
      </c>
      <c r="AK2649">
        <v>0.79626476746587305</v>
      </c>
      <c r="AL2649">
        <v>90.287737053144397</v>
      </c>
      <c r="AM2649">
        <v>99.776780160360602</v>
      </c>
      <c r="AN2649">
        <v>1.0000000301963099</v>
      </c>
    </row>
    <row r="2650" spans="1:40" x14ac:dyDescent="0.25">
      <c r="A2650" t="str">
        <f>"20190303154819892"</f>
        <v>20190303154819892</v>
      </c>
      <c r="B2650" t="str">
        <f>"1551599299883498"</f>
        <v>1551599299883498</v>
      </c>
      <c r="C2650" t="s">
        <v>40</v>
      </c>
      <c r="D2650">
        <v>4.6408829999999996</v>
      </c>
      <c r="E2650">
        <v>0.35326570000000002</v>
      </c>
      <c r="F2650" t="s">
        <v>42</v>
      </c>
      <c r="G2650">
        <v>-473.22579999999999</v>
      </c>
      <c r="H2650">
        <v>1.045207</v>
      </c>
      <c r="I2650">
        <v>284.92349999999999</v>
      </c>
      <c r="J2650">
        <v>-472.60270000000003</v>
      </c>
      <c r="K2650">
        <v>1.122201</v>
      </c>
      <c r="L2650">
        <v>285.3965</v>
      </c>
      <c r="M2650">
        <v>-0.99970760000000003</v>
      </c>
      <c r="N2650">
        <v>-1.39309E-2</v>
      </c>
      <c r="O2650">
        <v>1.977141E-2</v>
      </c>
      <c r="P2650">
        <v>-0.98689249999999995</v>
      </c>
      <c r="Q2650">
        <v>-2.4754809999999999E-2</v>
      </c>
      <c r="R2650">
        <v>-0.159470899999999</v>
      </c>
      <c r="S2650">
        <v>-2.7886660000000001</v>
      </c>
      <c r="T2650">
        <v>-0.26152180000000003</v>
      </c>
      <c r="U2650">
        <v>-1.598541</v>
      </c>
      <c r="V2650">
        <v>-0.1789318</v>
      </c>
      <c r="W2650">
        <v>-1.139715E-2</v>
      </c>
      <c r="X2650">
        <v>0.98379550000000004</v>
      </c>
      <c r="Y2650">
        <v>-0.51231260000000001</v>
      </c>
      <c r="Z2650">
        <v>-2.7574950000000001E-2</v>
      </c>
      <c r="AA2650">
        <v>0.85835620000000001</v>
      </c>
      <c r="AB2650">
        <v>20</v>
      </c>
      <c r="AC2650">
        <v>-0.62309999999996502</v>
      </c>
      <c r="AD2650">
        <v>-7.6994000000000007E-2</v>
      </c>
      <c r="AE2650">
        <v>-0.47300000000001302</v>
      </c>
      <c r="AF2650">
        <v>-0.48057312747064101</v>
      </c>
      <c r="AG2650">
        <v>-7.6994000000000007E-2</v>
      </c>
      <c r="AH2650">
        <v>0.60773842956269997</v>
      </c>
      <c r="AI2650">
        <v>95.675094417030294</v>
      </c>
      <c r="AJ2650">
        <v>128.335414730373</v>
      </c>
      <c r="AK2650">
        <v>0.77860426768047597</v>
      </c>
      <c r="AL2650">
        <v>90.653022708574795</v>
      </c>
      <c r="AM2650">
        <v>100.30822283392099</v>
      </c>
      <c r="AN2650">
        <v>1.0000000349497999</v>
      </c>
    </row>
    <row r="2651" spans="1:40" x14ac:dyDescent="0.25">
      <c r="A2651" t="str">
        <f>"20190303154819915"</f>
        <v>20190303154819915</v>
      </c>
      <c r="B2651" t="str">
        <f>"1551599299902930"</f>
        <v>1551599299902930</v>
      </c>
      <c r="C2651" t="s">
        <v>40</v>
      </c>
      <c r="D2651">
        <v>4.6756520000000004</v>
      </c>
      <c r="E2651">
        <v>0.35354619999999998</v>
      </c>
      <c r="F2651" t="s">
        <v>42</v>
      </c>
      <c r="G2651">
        <v>-473.40219999999999</v>
      </c>
      <c r="H2651">
        <v>1.042149</v>
      </c>
      <c r="I2651">
        <v>284.92579999999998</v>
      </c>
      <c r="J2651">
        <v>-472.80610000000001</v>
      </c>
      <c r="K2651">
        <v>1.122185</v>
      </c>
      <c r="L2651">
        <v>285.39879999999999</v>
      </c>
      <c r="M2651">
        <v>-0.99973670000000003</v>
      </c>
      <c r="N2651">
        <v>-1.387062E-2</v>
      </c>
      <c r="O2651">
        <v>1.8281459999999999E-2</v>
      </c>
      <c r="P2651">
        <v>-0.98520980000000002</v>
      </c>
      <c r="Q2651">
        <v>-3.31363E-2</v>
      </c>
      <c r="R2651">
        <v>-0.1681192</v>
      </c>
      <c r="S2651">
        <v>-2.7693479999999999</v>
      </c>
      <c r="T2651">
        <v>-0.27727039999999997</v>
      </c>
      <c r="U2651">
        <v>-1.6307069999999999</v>
      </c>
      <c r="V2651">
        <v>-0.18606320000000001</v>
      </c>
      <c r="W2651">
        <v>-1.9896069999999998E-2</v>
      </c>
      <c r="X2651">
        <v>0.98233630000000005</v>
      </c>
      <c r="Y2651">
        <v>-0.52074860000000001</v>
      </c>
      <c r="Z2651">
        <v>-2.94314E-2</v>
      </c>
      <c r="AA2651">
        <v>0.85320260000000003</v>
      </c>
      <c r="AB2651">
        <v>20</v>
      </c>
      <c r="AC2651">
        <v>-0.59609999999997798</v>
      </c>
      <c r="AD2651">
        <v>-8.0035999999999996E-2</v>
      </c>
      <c r="AE2651">
        <v>-0.47300000000001302</v>
      </c>
      <c r="AF2651">
        <v>-0.47852598260505802</v>
      </c>
      <c r="AG2651">
        <v>-8.0035999999999996E-2</v>
      </c>
      <c r="AH2651">
        <v>0.58092604112357005</v>
      </c>
      <c r="AI2651">
        <v>96.070066669516194</v>
      </c>
      <c r="AJ2651">
        <v>129.47929426123699</v>
      </c>
      <c r="AK2651">
        <v>0.75688040176743898</v>
      </c>
      <c r="AL2651">
        <v>91.140036077553205</v>
      </c>
      <c r="AM2651">
        <v>100.72527389205101</v>
      </c>
      <c r="AN2651">
        <v>0.99999998714668703</v>
      </c>
    </row>
    <row r="2652" spans="1:40" x14ac:dyDescent="0.25">
      <c r="A2652" t="str">
        <f>"20190303154819938"</f>
        <v>20190303154819938</v>
      </c>
      <c r="B2652" t="str">
        <f>"1551599299933186"</f>
        <v>1551599299933186</v>
      </c>
      <c r="C2652" t="s">
        <v>40</v>
      </c>
      <c r="D2652">
        <v>4.6452439999999999</v>
      </c>
      <c r="E2652">
        <v>0.35434840000000001</v>
      </c>
      <c r="F2652" t="s">
        <v>42</v>
      </c>
      <c r="G2652">
        <v>-473.5797</v>
      </c>
      <c r="H2652">
        <v>1.037145</v>
      </c>
      <c r="I2652">
        <v>284.93439999999998</v>
      </c>
      <c r="J2652">
        <v>-473.00080000000003</v>
      </c>
      <c r="K2652">
        <v>1.1222110000000001</v>
      </c>
      <c r="L2652">
        <v>285.4006</v>
      </c>
      <c r="M2652">
        <v>-0.99976379999999998</v>
      </c>
      <c r="N2652">
        <v>-1.382136E-2</v>
      </c>
      <c r="O2652">
        <v>1.6772519999999999E-2</v>
      </c>
      <c r="P2652">
        <v>-0.98378030000000005</v>
      </c>
      <c r="Q2652">
        <v>-3.6664200000000001E-2</v>
      </c>
      <c r="R2652">
        <v>-0.17559159999999999</v>
      </c>
      <c r="S2652">
        <v>-2.7528380000000001</v>
      </c>
      <c r="T2652">
        <v>-0.30256809999999901</v>
      </c>
      <c r="U2652">
        <v>-1.652679</v>
      </c>
      <c r="V2652">
        <v>-0.19201779999999999</v>
      </c>
      <c r="W2652">
        <v>-2.3525890000000001E-2</v>
      </c>
      <c r="X2652">
        <v>0.98110940000000002</v>
      </c>
      <c r="Y2652">
        <v>-0.52626030000000001</v>
      </c>
      <c r="Z2652">
        <v>-3.2048519999999997E-2</v>
      </c>
      <c r="AA2652">
        <v>0.84971929999999996</v>
      </c>
      <c r="AB2652">
        <v>20</v>
      </c>
      <c r="AC2652">
        <v>-0.57889999999997599</v>
      </c>
      <c r="AD2652">
        <v>-8.5066000000000003E-2</v>
      </c>
      <c r="AE2652">
        <v>-0.46620000000001399</v>
      </c>
      <c r="AF2652">
        <v>-0.469692906814487</v>
      </c>
      <c r="AG2652">
        <v>-8.5066000000000003E-2</v>
      </c>
      <c r="AH2652">
        <v>0.56361620737704299</v>
      </c>
      <c r="AI2652">
        <v>96.613658952554502</v>
      </c>
      <c r="AJ2652">
        <v>129.806335054436</v>
      </c>
      <c r="AK2652">
        <v>0.73858708375243398</v>
      </c>
      <c r="AL2652">
        <v>91.348058605355604</v>
      </c>
      <c r="AM2652">
        <v>101.07366801746301</v>
      </c>
      <c r="AN2652">
        <v>0.99999997889274495</v>
      </c>
    </row>
    <row r="2653" spans="1:40" x14ac:dyDescent="0.25">
      <c r="A2653" t="str">
        <f>"20190303154819959"</f>
        <v>20190303154819959</v>
      </c>
      <c r="B2653" t="str">
        <f>"1551599299953682"</f>
        <v>1551599299953682</v>
      </c>
      <c r="C2653" t="s">
        <v>40</v>
      </c>
      <c r="D2653">
        <v>4.6798089999999997</v>
      </c>
      <c r="E2653">
        <v>0.35487639999999998</v>
      </c>
      <c r="F2653" t="s">
        <v>42</v>
      </c>
      <c r="G2653">
        <v>-473.75659999999999</v>
      </c>
      <c r="H2653">
        <v>1.034861</v>
      </c>
      <c r="I2653">
        <v>284.94110000000001</v>
      </c>
      <c r="J2653">
        <v>-473.19510000000002</v>
      </c>
      <c r="K2653">
        <v>1.12226</v>
      </c>
      <c r="L2653">
        <v>285.40190000000001</v>
      </c>
      <c r="M2653">
        <v>-0.9997895</v>
      </c>
      <c r="N2653">
        <v>-1.377872E-2</v>
      </c>
      <c r="O2653">
        <v>1.5200979999999999E-2</v>
      </c>
      <c r="P2653">
        <v>-0.98274249999999996</v>
      </c>
      <c r="Q2653">
        <v>-3.608865E-2</v>
      </c>
      <c r="R2653">
        <v>-0.18142459999999999</v>
      </c>
      <c r="S2653">
        <v>-2.740265</v>
      </c>
      <c r="T2653">
        <v>-0.31669520000000001</v>
      </c>
      <c r="U2653">
        <v>-1.6663209999999999</v>
      </c>
      <c r="V2653">
        <v>-0.1962914</v>
      </c>
      <c r="W2653">
        <v>-2.3033669999999999E-2</v>
      </c>
      <c r="X2653">
        <v>0.98027500000000001</v>
      </c>
      <c r="Y2653">
        <v>-0.52946490000000002</v>
      </c>
      <c r="Z2653">
        <v>-3.3488370000000003E-2</v>
      </c>
      <c r="AA2653">
        <v>0.84767060000000005</v>
      </c>
      <c r="AB2653">
        <v>20</v>
      </c>
      <c r="AC2653">
        <v>-0.56149999999996603</v>
      </c>
      <c r="AD2653">
        <v>-8.7399000000000004E-2</v>
      </c>
      <c r="AE2653">
        <v>-0.46080000000000598</v>
      </c>
      <c r="AF2653">
        <v>-0.46258583777119899</v>
      </c>
      <c r="AG2653">
        <v>-8.7399000000000004E-2</v>
      </c>
      <c r="AH2653">
        <v>0.54651764308829498</v>
      </c>
      <c r="AI2653">
        <v>96.959342041788403</v>
      </c>
      <c r="AJ2653">
        <v>130.245388936502</v>
      </c>
      <c r="AK2653">
        <v>0.72132224193786498</v>
      </c>
      <c r="AL2653">
        <v>91.319848842935201</v>
      </c>
      <c r="AM2653">
        <v>101.323217692168</v>
      </c>
      <c r="AN2653">
        <v>0.99999996964631399</v>
      </c>
    </row>
    <row r="2654" spans="1:40" x14ac:dyDescent="0.25">
      <c r="A2654" t="str">
        <f>"20190303154819981"</f>
        <v>20190303154819981</v>
      </c>
      <c r="B2654" t="str">
        <f>"1551599299973202"</f>
        <v>1551599299973202</v>
      </c>
      <c r="C2654" t="s">
        <v>40</v>
      </c>
      <c r="D2654">
        <v>4.6975020000000001</v>
      </c>
      <c r="E2654">
        <v>0.3555468</v>
      </c>
      <c r="F2654" t="s">
        <v>42</v>
      </c>
      <c r="G2654">
        <v>-473.93349999999998</v>
      </c>
      <c r="H2654">
        <v>1.0358149999999999</v>
      </c>
      <c r="I2654">
        <v>284.94850000000002</v>
      </c>
      <c r="J2654">
        <v>-473.38850000000002</v>
      </c>
      <c r="K2654">
        <v>1.1222840000000001</v>
      </c>
      <c r="L2654">
        <v>285.40289999999999</v>
      </c>
      <c r="M2654">
        <v>-0.99981339999999996</v>
      </c>
      <c r="N2654">
        <v>-1.3741659999999999E-2</v>
      </c>
      <c r="O2654">
        <v>1.358499E-2</v>
      </c>
      <c r="P2654">
        <v>-0.9815237</v>
      </c>
      <c r="Q2654">
        <v>-3.6214679999999999E-2</v>
      </c>
      <c r="R2654">
        <v>-0.18788270000000001</v>
      </c>
      <c r="S2654">
        <v>-2.731201</v>
      </c>
      <c r="T2654">
        <v>-0.3197159</v>
      </c>
      <c r="U2654">
        <v>-1.6779170000000001</v>
      </c>
      <c r="V2654">
        <v>-0.20114650000000001</v>
      </c>
      <c r="W2654">
        <v>-2.3232880000000001E-2</v>
      </c>
      <c r="X2654">
        <v>0.97928559999999998</v>
      </c>
      <c r="Y2654">
        <v>-0.53189059999999999</v>
      </c>
      <c r="Z2654">
        <v>-3.3814839999999999E-2</v>
      </c>
      <c r="AA2654">
        <v>0.84613769999999999</v>
      </c>
      <c r="AB2654">
        <v>20</v>
      </c>
      <c r="AC2654">
        <v>-0.54499999999995896</v>
      </c>
      <c r="AD2654">
        <v>-8.6469000000000101E-2</v>
      </c>
      <c r="AE2654">
        <v>-0.454399999999964</v>
      </c>
      <c r="AF2654">
        <v>-0.45500587770934298</v>
      </c>
      <c r="AG2654">
        <v>-8.6469000000000101E-2</v>
      </c>
      <c r="AH2654">
        <v>0.53089250246883501</v>
      </c>
      <c r="AI2654">
        <v>97.049911773543499</v>
      </c>
      <c r="AJ2654">
        <v>130.59850490160099</v>
      </c>
      <c r="AK2654">
        <v>0.704524013706184</v>
      </c>
      <c r="AL2654">
        <v>91.331265772019606</v>
      </c>
      <c r="AM2654">
        <v>101.607187993447</v>
      </c>
      <c r="AN2654">
        <v>0.99999998377135202</v>
      </c>
    </row>
    <row r="2655" spans="1:40" x14ac:dyDescent="0.25">
      <c r="A2655" t="str">
        <f>"20190303154820004"</f>
        <v>20190303154820004</v>
      </c>
      <c r="B2655" t="str">
        <f>"1551599299993699"</f>
        <v>1551599299993699</v>
      </c>
      <c r="C2655" t="s">
        <v>40</v>
      </c>
      <c r="D2655">
        <v>4.6799419999999996</v>
      </c>
      <c r="E2655">
        <v>0.35621229999999998</v>
      </c>
      <c r="F2655" t="s">
        <v>42</v>
      </c>
      <c r="G2655">
        <v>-474.2654</v>
      </c>
      <c r="H2655">
        <v>1.0180309999999999</v>
      </c>
      <c r="I2655">
        <v>284.85840000000002</v>
      </c>
      <c r="J2655">
        <v>-473.58909999999997</v>
      </c>
      <c r="K2655">
        <v>1.122295</v>
      </c>
      <c r="L2655">
        <v>285.40350000000001</v>
      </c>
      <c r="M2655">
        <v>-0.99983569999999999</v>
      </c>
      <c r="N2655">
        <v>-1.3708130000000001E-2</v>
      </c>
      <c r="O2655">
        <v>1.187005E-2</v>
      </c>
      <c r="P2655">
        <v>-0.98036509999999999</v>
      </c>
      <c r="Q2655">
        <v>-3.4712359999999998E-2</v>
      </c>
      <c r="R2655">
        <v>-0.19411320000000001</v>
      </c>
      <c r="S2655">
        <v>-2.7210390000000002</v>
      </c>
      <c r="T2655">
        <v>-0.32342769999999998</v>
      </c>
      <c r="U2655">
        <v>-1.6899409999999999</v>
      </c>
      <c r="V2655">
        <v>-0.2056866</v>
      </c>
      <c r="W2655">
        <v>-2.178749E-2</v>
      </c>
      <c r="X2655">
        <v>0.97837540000000001</v>
      </c>
      <c r="Y2655">
        <v>-0.53446499999999997</v>
      </c>
      <c r="Z2655">
        <v>-3.4215849999999999E-2</v>
      </c>
      <c r="AA2655">
        <v>0.84449779999999997</v>
      </c>
      <c r="AB2655">
        <v>20</v>
      </c>
      <c r="AC2655">
        <v>-0.67630000000002599</v>
      </c>
      <c r="AD2655">
        <v>-0.104264</v>
      </c>
      <c r="AE2655">
        <v>-0.54509999999999004</v>
      </c>
      <c r="AF2655">
        <v>-0.54523437913010497</v>
      </c>
      <c r="AG2655">
        <v>-0.104264</v>
      </c>
      <c r="AH2655">
        <v>0.66026829800193099</v>
      </c>
      <c r="AI2655">
        <v>96.942291850901199</v>
      </c>
      <c r="AJ2655">
        <v>129.54911086105699</v>
      </c>
      <c r="AK2655">
        <v>0.86261563585861301</v>
      </c>
      <c r="AL2655">
        <v>91.248429947393007</v>
      </c>
      <c r="AM2655">
        <v>101.872553610791</v>
      </c>
      <c r="AN2655">
        <v>1.0000000477326001</v>
      </c>
    </row>
    <row r="2656" spans="1:40" x14ac:dyDescent="0.25">
      <c r="A2656" t="str">
        <f>"20190303154820026"</f>
        <v>20190303154820026</v>
      </c>
      <c r="B2656" t="str">
        <f>"1551599300022978"</f>
        <v>1551599300022978</v>
      </c>
      <c r="C2656" t="s">
        <v>40</v>
      </c>
      <c r="D2656">
        <v>4.6911350000000001</v>
      </c>
      <c r="E2656">
        <v>0.35691099999999998</v>
      </c>
      <c r="F2656" t="s">
        <v>42</v>
      </c>
      <c r="G2656">
        <v>-474.44220000000001</v>
      </c>
      <c r="H2656">
        <v>1.020294</v>
      </c>
      <c r="I2656">
        <v>284.86860000000001</v>
      </c>
      <c r="J2656">
        <v>-473.78410000000002</v>
      </c>
      <c r="K2656">
        <v>1.1223160000000001</v>
      </c>
      <c r="L2656">
        <v>285.40370000000001</v>
      </c>
      <c r="M2656">
        <v>-0.99985460000000004</v>
      </c>
      <c r="N2656">
        <v>-1.3679429999999999E-2</v>
      </c>
      <c r="O2656">
        <v>1.0186580000000001E-2</v>
      </c>
      <c r="P2656">
        <v>-0.97892570000000001</v>
      </c>
      <c r="Q2656">
        <v>-2.9972780000000001E-2</v>
      </c>
      <c r="R2656">
        <v>-0.20200580000000001</v>
      </c>
      <c r="S2656">
        <v>-2.7118530000000001</v>
      </c>
      <c r="T2656">
        <v>-0.32418750000000002</v>
      </c>
      <c r="U2656">
        <v>-1.700623</v>
      </c>
      <c r="V2656">
        <v>-0.21192939999999999</v>
      </c>
      <c r="W2656">
        <v>-1.709948E-2</v>
      </c>
      <c r="X2656">
        <v>0.97713539999999999</v>
      </c>
      <c r="Y2656">
        <v>-0.53668669999999996</v>
      </c>
      <c r="Z2656">
        <v>-3.4316840000000001E-2</v>
      </c>
      <c r="AA2656">
        <v>0.84308340000000004</v>
      </c>
      <c r="AB2656">
        <v>20</v>
      </c>
      <c r="AC2656">
        <v>-0.65809999999999003</v>
      </c>
      <c r="AD2656">
        <v>-0.102022</v>
      </c>
      <c r="AE2656">
        <v>-0.53509999999999902</v>
      </c>
      <c r="AF2656">
        <v>-0.53405015032117198</v>
      </c>
      <c r="AG2656">
        <v>-0.102022</v>
      </c>
      <c r="AH2656">
        <v>0.64330729984313195</v>
      </c>
      <c r="AI2656">
        <v>96.956959449462204</v>
      </c>
      <c r="AJ2656">
        <v>129.698214719612</v>
      </c>
      <c r="AK2656">
        <v>0.84229587056658906</v>
      </c>
      <c r="AL2656">
        <v>90.979775760457201</v>
      </c>
      <c r="AM2656">
        <v>102.23726056967401</v>
      </c>
      <c r="AN2656">
        <v>1.00000002636689</v>
      </c>
    </row>
    <row r="2657" spans="1:40" x14ac:dyDescent="0.25">
      <c r="A2657" t="str">
        <f>"20190303154820049"</f>
        <v>20190303154820049</v>
      </c>
      <c r="B2657" t="str">
        <f>"1551599300043474"</f>
        <v>1551599300043474</v>
      </c>
      <c r="C2657" t="s">
        <v>40</v>
      </c>
      <c r="D2657">
        <v>4.6629940000000003</v>
      </c>
      <c r="E2657">
        <v>0.36899409999999999</v>
      </c>
      <c r="F2657" t="s">
        <v>42</v>
      </c>
      <c r="G2657">
        <v>-474.61799999999999</v>
      </c>
      <c r="H2657">
        <v>1.025336</v>
      </c>
      <c r="I2657">
        <v>284.87400000000002</v>
      </c>
      <c r="J2657">
        <v>-473.98200000000003</v>
      </c>
      <c r="K2657">
        <v>1.122322</v>
      </c>
      <c r="L2657">
        <v>285.40359999999998</v>
      </c>
      <c r="M2657">
        <v>-0.99987079999999995</v>
      </c>
      <c r="N2657">
        <v>-1.365384E-2</v>
      </c>
      <c r="O2657">
        <v>8.4863070000000002E-3</v>
      </c>
      <c r="P2657">
        <v>-0.9768405</v>
      </c>
      <c r="Q2657">
        <v>-2.4330569999999999E-2</v>
      </c>
      <c r="R2657">
        <v>-0.2125811</v>
      </c>
      <c r="S2657">
        <v>-2.700806</v>
      </c>
      <c r="T2657">
        <v>-0.31409409999999999</v>
      </c>
      <c r="U2657">
        <v>-1.71637</v>
      </c>
      <c r="V2657">
        <v>-0.2208388</v>
      </c>
      <c r="W2657">
        <v>-1.1514419999999999E-2</v>
      </c>
      <c r="X2657">
        <v>0.97524230000000001</v>
      </c>
      <c r="Y2657">
        <v>-0.54047129999999999</v>
      </c>
      <c r="Z2657">
        <v>-3.3501999999999997E-2</v>
      </c>
      <c r="AA2657">
        <v>0.84069519999999998</v>
      </c>
      <c r="AB2657">
        <v>20</v>
      </c>
      <c r="AC2657">
        <v>-0.63600000000008095</v>
      </c>
      <c r="AD2657">
        <v>-9.6986000000000003E-2</v>
      </c>
      <c r="AE2657">
        <v>-0.52959999999995899</v>
      </c>
      <c r="AF2657">
        <v>-0.52773171828472798</v>
      </c>
      <c r="AG2657">
        <v>-9.6986000000000003E-2</v>
      </c>
      <c r="AH2657">
        <v>0.62292805452868405</v>
      </c>
      <c r="AI2657">
        <v>96.774667422317407</v>
      </c>
      <c r="AJ2657">
        <v>130.27057863515299</v>
      </c>
      <c r="AK2657">
        <v>0.82215960238790797</v>
      </c>
      <c r="AL2657">
        <v>90.659742281003602</v>
      </c>
      <c r="AM2657">
        <v>102.759165269462</v>
      </c>
      <c r="AN2657">
        <v>0.99999995058133195</v>
      </c>
    </row>
    <row r="2658" spans="1:40" x14ac:dyDescent="0.25">
      <c r="A2658" t="str">
        <f>"20190303154820070"</f>
        <v>20190303154820070</v>
      </c>
      <c r="B2658" t="str">
        <f>"1551599300062994"</f>
        <v>1551599300062994</v>
      </c>
      <c r="C2658" t="s">
        <v>40</v>
      </c>
      <c r="D2658">
        <v>4.6274189999999997</v>
      </c>
      <c r="E2658">
        <v>0.36959219999999998</v>
      </c>
      <c r="F2658" t="s">
        <v>42</v>
      </c>
      <c r="G2658">
        <v>-474.79880000000003</v>
      </c>
      <c r="H2658">
        <v>1.036151</v>
      </c>
      <c r="I2658">
        <v>284.90480000000002</v>
      </c>
      <c r="J2658">
        <v>-474.1703</v>
      </c>
      <c r="K2658">
        <v>1.1222989999999999</v>
      </c>
      <c r="L2658">
        <v>285.4033</v>
      </c>
      <c r="M2658">
        <v>-0.99988339999999998</v>
      </c>
      <c r="N2658">
        <v>-1.363237E-2</v>
      </c>
      <c r="O2658">
        <v>6.8906899999999997E-3</v>
      </c>
      <c r="P2658">
        <v>-0.97427969999999997</v>
      </c>
      <c r="Q2658">
        <v>-2.2379340000000001E-2</v>
      </c>
      <c r="R2658">
        <v>-0.22422819999999999</v>
      </c>
      <c r="S2658">
        <v>-2.7046510000000001</v>
      </c>
      <c r="T2658">
        <v>-0.28532639999999998</v>
      </c>
      <c r="U2658">
        <v>-1.6516109999999999</v>
      </c>
      <c r="V2658">
        <v>-0.23091610000000001</v>
      </c>
      <c r="W2658">
        <v>-9.6228200000000007E-3</v>
      </c>
      <c r="X2658">
        <v>0.97292610000000002</v>
      </c>
      <c r="Y2658">
        <v>-0.52453909999999904</v>
      </c>
      <c r="Z2658">
        <v>-2.987366E-2</v>
      </c>
      <c r="AA2658">
        <v>0.85086209999999995</v>
      </c>
      <c r="AB2658">
        <v>20</v>
      </c>
      <c r="AC2658">
        <v>-0.62850000000003003</v>
      </c>
      <c r="AD2658">
        <v>-8.6147999999999794E-2</v>
      </c>
      <c r="AE2658">
        <v>-0.49849999999997802</v>
      </c>
      <c r="AF2658">
        <v>-0.49708659901414198</v>
      </c>
      <c r="AG2658">
        <v>-8.6147999999999794E-2</v>
      </c>
      <c r="AH2658">
        <v>0.61792340523716305</v>
      </c>
      <c r="AI2658">
        <v>96.199676245151196</v>
      </c>
      <c r="AJ2658">
        <v>128.81483225956501</v>
      </c>
      <c r="AK2658">
        <v>0.797712918012074</v>
      </c>
      <c r="AL2658">
        <v>90.551355471349694</v>
      </c>
      <c r="AM2658">
        <v>103.351641724907</v>
      </c>
      <c r="AN2658">
        <v>1.00000001998258</v>
      </c>
    </row>
    <row r="2659" spans="1:40" x14ac:dyDescent="0.25">
      <c r="A2659" t="str">
        <f>"20190303154820094"</f>
        <v>20190303154820094</v>
      </c>
      <c r="B2659" t="str">
        <f>"1551599300083491"</f>
        <v>1551599300083491</v>
      </c>
      <c r="C2659" t="s">
        <v>40</v>
      </c>
      <c r="D2659">
        <v>4.6466779999999996</v>
      </c>
      <c r="E2659">
        <v>0.37122929999999998</v>
      </c>
      <c r="F2659" t="s">
        <v>42</v>
      </c>
      <c r="G2659">
        <v>-474.9726</v>
      </c>
      <c r="H2659">
        <v>1.036718</v>
      </c>
      <c r="I2659">
        <v>284.90219999999999</v>
      </c>
      <c r="J2659">
        <v>-474.37329999999997</v>
      </c>
      <c r="K2659">
        <v>1.1222490000000001</v>
      </c>
      <c r="L2659">
        <v>285.40249999999997</v>
      </c>
      <c r="M2659">
        <v>-0.99989399999999995</v>
      </c>
      <c r="N2659">
        <v>-1.361185E-2</v>
      </c>
      <c r="O2659">
        <v>5.1970970000000003E-3</v>
      </c>
      <c r="P2659">
        <v>-0.97148089999999998</v>
      </c>
      <c r="Q2659">
        <v>-2.6605489999999999E-2</v>
      </c>
      <c r="R2659">
        <v>-0.23562050000000001</v>
      </c>
      <c r="S2659">
        <v>-2.68634</v>
      </c>
      <c r="T2659">
        <v>-0.28650619999999999</v>
      </c>
      <c r="U2659">
        <v>-1.6782840000000001</v>
      </c>
      <c r="V2659">
        <v>-0.24063799999999999</v>
      </c>
      <c r="W2659">
        <v>-1.3908520000000001E-2</v>
      </c>
      <c r="X2659">
        <v>0.97051529999999997</v>
      </c>
      <c r="Y2659">
        <v>-0.53169809999999995</v>
      </c>
      <c r="Z2659">
        <v>-3.0333659999999998E-2</v>
      </c>
      <c r="AA2659">
        <v>0.84639050000000005</v>
      </c>
      <c r="AB2659">
        <v>20</v>
      </c>
      <c r="AC2659">
        <v>-0.59930000000002703</v>
      </c>
      <c r="AD2659">
        <v>-8.5530999999999996E-2</v>
      </c>
      <c r="AE2659">
        <v>-0.50029999999998098</v>
      </c>
      <c r="AF2659">
        <v>-0.49743725074034301</v>
      </c>
      <c r="AG2659">
        <v>-8.5530999999999996E-2</v>
      </c>
      <c r="AH2659">
        <v>0.58961422702756605</v>
      </c>
      <c r="AI2659">
        <v>96.326814406436498</v>
      </c>
      <c r="AJ2659">
        <v>130.15317531210701</v>
      </c>
      <c r="AK2659">
        <v>0.77614709114859404</v>
      </c>
      <c r="AL2659">
        <v>90.796925173930106</v>
      </c>
      <c r="AM2659">
        <v>103.925572547874</v>
      </c>
      <c r="AN2659">
        <v>1.0000000207533399</v>
      </c>
    </row>
    <row r="2660" spans="1:40" x14ac:dyDescent="0.25">
      <c r="A2660" t="str">
        <f>"20190303154820116"</f>
        <v>20190303154820116</v>
      </c>
      <c r="B2660" t="str">
        <f>"1551599300113747"</f>
        <v>1551599300113747</v>
      </c>
      <c r="C2660" t="s">
        <v>40</v>
      </c>
      <c r="D2660">
        <v>4.6207949999999904</v>
      </c>
      <c r="E2660">
        <v>0.37239519999999998</v>
      </c>
      <c r="F2660" t="s">
        <v>42</v>
      </c>
      <c r="G2660">
        <v>-475.14830000000001</v>
      </c>
      <c r="H2660">
        <v>1.0326379999999999</v>
      </c>
      <c r="I2660">
        <v>284.9101</v>
      </c>
      <c r="J2660">
        <v>-474.56810000000002</v>
      </c>
      <c r="K2660">
        <v>1.122196</v>
      </c>
      <c r="L2660">
        <v>285.40159999999997</v>
      </c>
      <c r="M2660">
        <v>-0.99990120000000005</v>
      </c>
      <c r="N2660">
        <v>-1.359455E-2</v>
      </c>
      <c r="O2660">
        <v>3.5803250000000001E-3</v>
      </c>
      <c r="P2660">
        <v>-0.96842010000000001</v>
      </c>
      <c r="Q2660">
        <v>-3.6149779999999999E-2</v>
      </c>
      <c r="R2660">
        <v>-0.2466893</v>
      </c>
      <c r="S2660">
        <v>-2.6682429999999999</v>
      </c>
      <c r="T2660">
        <v>-0.3085175</v>
      </c>
      <c r="U2660">
        <v>-1.696259</v>
      </c>
      <c r="V2660">
        <v>-0.25010660000000001</v>
      </c>
      <c r="W2660">
        <v>-2.351903E-2</v>
      </c>
      <c r="X2660">
        <v>0.96793260000000003</v>
      </c>
      <c r="Y2660">
        <v>-0.53655359999999996</v>
      </c>
      <c r="Z2660">
        <v>-3.2620469999999999E-2</v>
      </c>
      <c r="AA2660">
        <v>0.84323549999999903</v>
      </c>
      <c r="AB2660">
        <v>20</v>
      </c>
      <c r="AC2660">
        <v>-0.58019999999998995</v>
      </c>
      <c r="AD2660">
        <v>-8.9557999999999999E-2</v>
      </c>
      <c r="AE2660">
        <v>-0.49149999999997301</v>
      </c>
      <c r="AF2660">
        <v>-0.48682134071070099</v>
      </c>
      <c r="AG2660">
        <v>-8.9557999999999999E-2</v>
      </c>
      <c r="AH2660">
        <v>0.57052231440510104</v>
      </c>
      <c r="AI2660">
        <v>96.809539705284806</v>
      </c>
      <c r="AJ2660">
        <v>130.47381546222701</v>
      </c>
      <c r="AK2660">
        <v>0.75532202693256401</v>
      </c>
      <c r="AL2660">
        <v>91.347665436400902</v>
      </c>
      <c r="AM2660">
        <v>104.48791563116301</v>
      </c>
      <c r="AN2660">
        <v>0.99999998713923</v>
      </c>
    </row>
    <row r="2661" spans="1:40" x14ac:dyDescent="0.25">
      <c r="A2661" t="str">
        <f>"20190303154820139"</f>
        <v>20190303154820139</v>
      </c>
      <c r="B2661" t="str">
        <f>"1551599300133266"</f>
        <v>1551599300133266</v>
      </c>
      <c r="C2661" t="s">
        <v>40</v>
      </c>
      <c r="D2661">
        <v>4.6210440000000004</v>
      </c>
      <c r="E2661">
        <v>0.34422350000000002</v>
      </c>
      <c r="F2661" t="s">
        <v>42</v>
      </c>
      <c r="G2661">
        <v>-475.32260000000002</v>
      </c>
      <c r="H2661">
        <v>1.0258210000000001</v>
      </c>
      <c r="I2661">
        <v>284.91239999999999</v>
      </c>
      <c r="J2661">
        <v>-474.75990000000002</v>
      </c>
      <c r="K2661">
        <v>1.122174</v>
      </c>
      <c r="L2661">
        <v>285.40019999999998</v>
      </c>
      <c r="M2661">
        <v>-0.99990590000000001</v>
      </c>
      <c r="N2661">
        <v>-1.357996E-2</v>
      </c>
      <c r="O2661">
        <v>1.9531539999999999E-3</v>
      </c>
      <c r="P2661">
        <v>-0.96522589999999997</v>
      </c>
      <c r="Q2661">
        <v>-4.3474279999999997E-2</v>
      </c>
      <c r="R2661">
        <v>-0.25777709999999998</v>
      </c>
      <c r="S2661">
        <v>-2.6478579999999998</v>
      </c>
      <c r="T2661">
        <v>-0.33820650000000002</v>
      </c>
      <c r="U2661">
        <v>-1.717041</v>
      </c>
      <c r="V2661">
        <v>-0.25959680000000002</v>
      </c>
      <c r="W2661">
        <v>-3.0924090000000001E-2</v>
      </c>
      <c r="X2661">
        <v>0.96522180000000002</v>
      </c>
      <c r="Y2661">
        <v>-0.54217090000000001</v>
      </c>
      <c r="Z2661">
        <v>-3.5715110000000001E-2</v>
      </c>
      <c r="AA2661">
        <v>0.8395089</v>
      </c>
      <c r="AB2661">
        <v>20</v>
      </c>
      <c r="AC2661">
        <v>-0.56270000000000597</v>
      </c>
      <c r="AD2661">
        <v>-9.6353000000000105E-2</v>
      </c>
      <c r="AE2661">
        <v>-0.48779999999999202</v>
      </c>
      <c r="AF2661">
        <v>-0.48084860606177099</v>
      </c>
      <c r="AG2661">
        <v>-9.6353000000000105E-2</v>
      </c>
      <c r="AH2661">
        <v>0.55249706096627005</v>
      </c>
      <c r="AI2661">
        <v>97.494266917146803</v>
      </c>
      <c r="AJ2661">
        <v>131.03366563596799</v>
      </c>
      <c r="AK2661">
        <v>0.738750488958833</v>
      </c>
      <c r="AL2661">
        <v>91.772102432160807</v>
      </c>
      <c r="AM2661">
        <v>105.053509432886</v>
      </c>
      <c r="AN2661">
        <v>0.99999996055390294</v>
      </c>
    </row>
    <row r="2662" spans="1:40" x14ac:dyDescent="0.25">
      <c r="A2662" t="str">
        <f>"20190303154820160"</f>
        <v>20190303154820160</v>
      </c>
      <c r="B2662" t="str">
        <f>"1551599300153763"</f>
        <v>1551599300153763</v>
      </c>
      <c r="C2662" t="s">
        <v>40</v>
      </c>
      <c r="D2662">
        <v>4.720777</v>
      </c>
      <c r="E2662">
        <v>0.33579629999999999</v>
      </c>
      <c r="F2662" t="s">
        <v>42</v>
      </c>
      <c r="G2662">
        <v>-475.48250000000002</v>
      </c>
      <c r="H2662">
        <v>1.021871</v>
      </c>
      <c r="I2662">
        <v>284.84750000000003</v>
      </c>
      <c r="J2662">
        <v>-474.95</v>
      </c>
      <c r="K2662">
        <v>1.1221989999999999</v>
      </c>
      <c r="L2662">
        <v>285.39850000000001</v>
      </c>
      <c r="M2662">
        <v>-0.99990809999999997</v>
      </c>
      <c r="N2662">
        <v>-1.3568190000000001E-2</v>
      </c>
      <c r="O2662">
        <v>2.5381589999999999E-4</v>
      </c>
      <c r="P2662">
        <v>-0.96168679999999995</v>
      </c>
      <c r="Q2662">
        <v>-4.7466399999999999E-2</v>
      </c>
      <c r="R2662">
        <v>-0.2700109</v>
      </c>
      <c r="S2662">
        <v>-2.5675349999999999</v>
      </c>
      <c r="T2662">
        <v>-0.35635889999999998</v>
      </c>
      <c r="U2662">
        <v>-1.963989</v>
      </c>
      <c r="V2662">
        <v>-0.270177</v>
      </c>
      <c r="W2662">
        <v>-3.5024590000000001E-2</v>
      </c>
      <c r="X2662">
        <v>0.96217339999999996</v>
      </c>
      <c r="Y2662">
        <v>-0.60359569999999996</v>
      </c>
      <c r="Z2662">
        <v>-4.1566939999999997E-2</v>
      </c>
      <c r="AA2662">
        <v>0.79620619999999998</v>
      </c>
      <c r="AB2662">
        <v>20</v>
      </c>
      <c r="AC2662">
        <v>-0.53250000000002695</v>
      </c>
      <c r="AD2662">
        <v>-0.100327999999999</v>
      </c>
      <c r="AE2662">
        <v>-0.55099999999998694</v>
      </c>
      <c r="AF2662">
        <v>-0.54184621656230403</v>
      </c>
      <c r="AG2662">
        <v>-0.100327999999999</v>
      </c>
      <c r="AH2662">
        <v>0.52338762030672403</v>
      </c>
      <c r="AI2662">
        <v>97.5858040732425</v>
      </c>
      <c r="AJ2662">
        <v>135.99273397970899</v>
      </c>
      <c r="AK2662">
        <v>0.75999844149657203</v>
      </c>
      <c r="AL2662">
        <v>92.007171717641498</v>
      </c>
      <c r="AM2662">
        <v>105.684670667142</v>
      </c>
      <c r="AN2662">
        <v>0.99999999245061399</v>
      </c>
    </row>
    <row r="2663" spans="1:40" x14ac:dyDescent="0.25">
      <c r="A2663" t="str">
        <f>"20190303154820183"</f>
        <v>20190303154820183</v>
      </c>
      <c r="B2663" t="str">
        <f>"1551599300173282"</f>
        <v>1551599300173282</v>
      </c>
      <c r="C2663" t="s">
        <v>40</v>
      </c>
      <c r="D2663">
        <v>4.7041570000000004</v>
      </c>
      <c r="E2663">
        <v>0.33269339999999997</v>
      </c>
      <c r="F2663" t="s">
        <v>42</v>
      </c>
      <c r="G2663">
        <v>-475.65129999999999</v>
      </c>
      <c r="H2663">
        <v>1.0133209999999999</v>
      </c>
      <c r="I2663">
        <v>284.8261</v>
      </c>
      <c r="J2663">
        <v>-475.14699999999999</v>
      </c>
      <c r="K2663">
        <v>1.1222719999999999</v>
      </c>
      <c r="L2663">
        <v>285.39620000000002</v>
      </c>
      <c r="M2663">
        <v>-0.99990670000000004</v>
      </c>
      <c r="N2663">
        <v>-1.3559359999999999E-2</v>
      </c>
      <c r="O2663">
        <v>-1.6737060000000001E-3</v>
      </c>
      <c r="P2663">
        <v>-0.95612450000000004</v>
      </c>
      <c r="Q2663">
        <v>-5.121887E-2</v>
      </c>
      <c r="R2663">
        <v>-0.2884486</v>
      </c>
      <c r="S2663">
        <v>-2.5220030000000002</v>
      </c>
      <c r="T2663">
        <v>-0.3914859</v>
      </c>
      <c r="U2663">
        <v>-2.0592959999999998</v>
      </c>
      <c r="V2663">
        <v>-0.28675149999999999</v>
      </c>
      <c r="W2663">
        <v>-3.8959399999999998E-2</v>
      </c>
      <c r="X2663">
        <v>0.95721250000000002</v>
      </c>
      <c r="Y2663">
        <v>-0.62609199999999998</v>
      </c>
      <c r="Z2663">
        <v>-4.684468E-2</v>
      </c>
      <c r="AA2663">
        <v>0.77834080000000005</v>
      </c>
      <c r="AB2663">
        <v>20</v>
      </c>
      <c r="AC2663">
        <v>-0.50429999999999997</v>
      </c>
      <c r="AD2663">
        <v>-0.10895100000000001</v>
      </c>
      <c r="AE2663">
        <v>-0.57010000000002403</v>
      </c>
      <c r="AF2663">
        <v>-0.55782542586357398</v>
      </c>
      <c r="AG2663">
        <v>-0.10895100000000001</v>
      </c>
      <c r="AH2663">
        <v>0.49510895167221503</v>
      </c>
      <c r="AI2663">
        <v>98.310702333647697</v>
      </c>
      <c r="AJ2663">
        <v>138.40871076077099</v>
      </c>
      <c r="AK2663">
        <v>0.75377211421412904</v>
      </c>
      <c r="AL2663">
        <v>92.232774234887202</v>
      </c>
      <c r="AM2663">
        <v>106.67660301022001</v>
      </c>
      <c r="AN2663">
        <v>1.00000001387843</v>
      </c>
    </row>
    <row r="2664" spans="1:40" x14ac:dyDescent="0.25">
      <c r="A2664" t="str">
        <f>"20190303154820216"</f>
        <v>20190303154820216</v>
      </c>
      <c r="B2664" t="str">
        <f>"1551599300213298"</f>
        <v>1551599300213298</v>
      </c>
      <c r="C2664" t="s">
        <v>40</v>
      </c>
      <c r="D2664">
        <v>4.5882319999999996</v>
      </c>
      <c r="E2664">
        <v>0.33101160000000002</v>
      </c>
      <c r="F2664" t="s">
        <v>47</v>
      </c>
      <c r="G2664">
        <v>-481.94159999999999</v>
      </c>
      <c r="H2664" s="1">
        <v>2.0864679999999998E-6</v>
      </c>
      <c r="I2664">
        <v>279.54109999999997</v>
      </c>
      <c r="J2664">
        <v>-475.4357</v>
      </c>
      <c r="K2664">
        <v>1.122455</v>
      </c>
      <c r="L2664">
        <v>285.39170000000001</v>
      </c>
      <c r="M2664">
        <v>-0.99989629999999996</v>
      </c>
      <c r="N2664">
        <v>-1.3552420000000001E-2</v>
      </c>
      <c r="O2664">
        <v>-4.8811770000000004E-3</v>
      </c>
      <c r="P2664">
        <v>-0.94932629999999996</v>
      </c>
      <c r="Q2664">
        <v>-5.3924699999999999E-2</v>
      </c>
      <c r="R2664">
        <v>-0.3096314</v>
      </c>
      <c r="S2664">
        <v>-2.4729000000000001</v>
      </c>
      <c r="T2664">
        <v>-0.40845219999999999</v>
      </c>
      <c r="U2664">
        <v>-2.130951</v>
      </c>
      <c r="V2664">
        <v>-0.30486940000000001</v>
      </c>
      <c r="W2664">
        <v>-4.1946219999999999E-2</v>
      </c>
      <c r="X2664">
        <v>0.95147000000000004</v>
      </c>
      <c r="Y2664">
        <v>-0.64347140000000003</v>
      </c>
      <c r="Z2664">
        <v>-4.9954350000000002E-2</v>
      </c>
      <c r="AA2664">
        <v>0.76383849999999998</v>
      </c>
      <c r="AB2664">
        <v>19</v>
      </c>
      <c r="AC2664">
        <v>-6.5058999999999898</v>
      </c>
      <c r="AD2664">
        <v>-1.1224529135320001</v>
      </c>
      <c r="AE2664">
        <v>-5.85060000000004</v>
      </c>
      <c r="AF2664">
        <v>-5.7245607622571804</v>
      </c>
      <c r="AG2664">
        <v>-1.1224529135320001</v>
      </c>
      <c r="AH2664">
        <v>6.4285864721621602</v>
      </c>
      <c r="AI2664">
        <v>97.429267239706405</v>
      </c>
      <c r="AJ2664">
        <v>131.68458962988501</v>
      </c>
      <c r="AK2664">
        <v>8.6808536731094197</v>
      </c>
      <c r="AL2664">
        <v>92.404046708341298</v>
      </c>
      <c r="AM2664">
        <v>107.76646418959299</v>
      </c>
      <c r="AN2664">
        <v>0.99999999866432399</v>
      </c>
    </row>
    <row r="2665" spans="1:40" x14ac:dyDescent="0.25">
      <c r="A2665" t="str">
        <f>"20190303154820238"</f>
        <v>20190303154820238</v>
      </c>
      <c r="B2665" t="str">
        <f>"1551599300233798"</f>
        <v>1551599300233798</v>
      </c>
      <c r="C2665" t="s">
        <v>40</v>
      </c>
      <c r="D2665">
        <v>4.5197240000000001</v>
      </c>
      <c r="E2665">
        <v>0.3311327</v>
      </c>
      <c r="F2665" t="s">
        <v>47</v>
      </c>
      <c r="G2665">
        <v>-482.06639999999999</v>
      </c>
      <c r="H2665" s="1">
        <v>2.0453410000000002E-6</v>
      </c>
      <c r="I2665">
        <v>279.36219999999997</v>
      </c>
      <c r="J2665">
        <v>-475.63010000000003</v>
      </c>
      <c r="K2665">
        <v>1.12259</v>
      </c>
      <c r="L2665">
        <v>285.3879</v>
      </c>
      <c r="M2665">
        <v>-0.99988160000000004</v>
      </c>
      <c r="N2665">
        <v>-1.355055E-2</v>
      </c>
      <c r="O2665">
        <v>-7.3078509999999998E-3</v>
      </c>
      <c r="P2665">
        <v>-0.94283799999999995</v>
      </c>
      <c r="Q2665">
        <v>-5.4527260000000001E-2</v>
      </c>
      <c r="R2665">
        <v>-0.32876100000000003</v>
      </c>
      <c r="S2665">
        <v>-2.4193120000000001</v>
      </c>
      <c r="T2665">
        <v>-0.4095435</v>
      </c>
      <c r="U2665">
        <v>-2.199951</v>
      </c>
      <c r="V2665">
        <v>-0.32172030000000001</v>
      </c>
      <c r="W2665">
        <v>-4.2789010000000002E-2</v>
      </c>
      <c r="X2665">
        <v>0.94586740000000002</v>
      </c>
      <c r="Y2665">
        <v>-0.66157589999999999</v>
      </c>
      <c r="Z2665">
        <v>-5.1620230000000003E-2</v>
      </c>
      <c r="AA2665">
        <v>0.74809939999999997</v>
      </c>
      <c r="AB2665">
        <v>19</v>
      </c>
      <c r="AC2665">
        <v>-6.4362999999999504</v>
      </c>
      <c r="AD2665">
        <v>-1.1225879546590001</v>
      </c>
      <c r="AE2665">
        <v>-6.02570000000002</v>
      </c>
      <c r="AF2665">
        <v>-5.8831247692939899</v>
      </c>
      <c r="AG2665">
        <v>-1.1225879546590001</v>
      </c>
      <c r="AH2665">
        <v>6.3767895317974199</v>
      </c>
      <c r="AI2665">
        <v>97.372463175606498</v>
      </c>
      <c r="AJ2665">
        <v>132.694140878643</v>
      </c>
      <c r="AK2665">
        <v>8.7484173139984094</v>
      </c>
      <c r="AL2665">
        <v>92.452378427394905</v>
      </c>
      <c r="AM2665">
        <v>108.784841048375</v>
      </c>
      <c r="AN2665">
        <v>0.99999999459581501</v>
      </c>
    </row>
    <row r="2666" spans="1:40" x14ac:dyDescent="0.25">
      <c r="A2666" t="str">
        <f>"20190303154820260"</f>
        <v>20190303154820260</v>
      </c>
      <c r="B2666" t="str">
        <f>"1551599300253315"</f>
        <v>1551599300253315</v>
      </c>
      <c r="C2666" t="s">
        <v>40</v>
      </c>
      <c r="D2666">
        <v>4.5851139999999999</v>
      </c>
      <c r="E2666">
        <v>0.33174969999999998</v>
      </c>
      <c r="F2666" t="s">
        <v>47</v>
      </c>
      <c r="G2666">
        <v>-482.3614</v>
      </c>
      <c r="H2666" s="1">
        <v>1.9729740000000001E-6</v>
      </c>
      <c r="I2666">
        <v>279.0095</v>
      </c>
      <c r="J2666">
        <v>-475.81790000000001</v>
      </c>
      <c r="K2666">
        <v>1.1227259999999999</v>
      </c>
      <c r="L2666">
        <v>285.38350000000003</v>
      </c>
      <c r="M2666">
        <v>-0.99985889999999999</v>
      </c>
      <c r="N2666">
        <v>-1.355058E-2</v>
      </c>
      <c r="O2666">
        <v>-9.9340959999999999E-3</v>
      </c>
      <c r="P2666">
        <v>-0.93492129999999996</v>
      </c>
      <c r="Q2666">
        <v>-5.5997850000000002E-2</v>
      </c>
      <c r="R2666">
        <v>-0.35040870000000002</v>
      </c>
      <c r="S2666">
        <v>-2.3744200000000002</v>
      </c>
      <c r="T2666">
        <v>-0.39599010000000001</v>
      </c>
      <c r="U2666">
        <v>-2.2499690000000001</v>
      </c>
      <c r="V2666">
        <v>-0.34093990000000002</v>
      </c>
      <c r="W2666">
        <v>-4.4542489999999997E-2</v>
      </c>
      <c r="X2666">
        <v>0.93902920000000001</v>
      </c>
      <c r="Y2666">
        <v>-0.67507340000000005</v>
      </c>
      <c r="Z2666">
        <v>-5.1197529999999998E-2</v>
      </c>
      <c r="AA2666">
        <v>0.73597199999999996</v>
      </c>
      <c r="AB2666">
        <v>19</v>
      </c>
      <c r="AC2666">
        <v>-6.5434999999999901</v>
      </c>
      <c r="AD2666">
        <v>-1.1227240270259999</v>
      </c>
      <c r="AE2666">
        <v>-6.3740000000000201</v>
      </c>
      <c r="AF2666">
        <v>-6.2147961053081202</v>
      </c>
      <c r="AG2666">
        <v>-1.1227240270259999</v>
      </c>
      <c r="AH2666">
        <v>6.5081912258915198</v>
      </c>
      <c r="AI2666">
        <v>97.111607976968997</v>
      </c>
      <c r="AJ2666">
        <v>133.67897979553399</v>
      </c>
      <c r="AK2666">
        <v>9.06866875038369</v>
      </c>
      <c r="AL2666">
        <v>92.552941491844393</v>
      </c>
      <c r="AM2666">
        <v>109.95479497055</v>
      </c>
      <c r="AN2666">
        <v>0.99999994364002298</v>
      </c>
    </row>
    <row r="2667" spans="1:40" x14ac:dyDescent="0.25">
      <c r="A2667" t="str">
        <f>"20190303154820283"</f>
        <v>20190303154820283</v>
      </c>
      <c r="B2667" t="str">
        <f>"1551599300273810"</f>
        <v>1551599300273810</v>
      </c>
      <c r="C2667" t="s">
        <v>40</v>
      </c>
      <c r="D2667">
        <v>4.626207</v>
      </c>
      <c r="E2667">
        <v>0.33308110000000002</v>
      </c>
      <c r="F2667" t="s">
        <v>47</v>
      </c>
      <c r="G2667">
        <v>-482.45909999999998</v>
      </c>
      <c r="H2667" s="1">
        <v>1.9178289999999998E-6</v>
      </c>
      <c r="I2667">
        <v>278.80439999999999</v>
      </c>
      <c r="J2667">
        <v>-476.01159999999999</v>
      </c>
      <c r="K2667">
        <v>1.1229039999999999</v>
      </c>
      <c r="L2667">
        <v>285.37799999999999</v>
      </c>
      <c r="M2667">
        <v>-0.99982360000000003</v>
      </c>
      <c r="N2667">
        <v>-1.3554190000000001E-2</v>
      </c>
      <c r="O2667">
        <v>-1.3007940000000001E-2</v>
      </c>
      <c r="P2667">
        <v>-0.92666009999999999</v>
      </c>
      <c r="Q2667">
        <v>-5.6966210000000003E-2</v>
      </c>
      <c r="R2667">
        <v>-0.37155890000000003</v>
      </c>
      <c r="S2667">
        <v>-2.3228149999999999</v>
      </c>
      <c r="T2667">
        <v>-0.3926847</v>
      </c>
      <c r="U2667">
        <v>-2.3010860000000002</v>
      </c>
      <c r="V2667">
        <v>-0.35928569999999999</v>
      </c>
      <c r="W2667">
        <v>-4.582642E-2</v>
      </c>
      <c r="X2667">
        <v>0.93210179999999998</v>
      </c>
      <c r="Y2667">
        <v>-0.68895010000000001</v>
      </c>
      <c r="Z2667">
        <v>-5.1981859999999998E-2</v>
      </c>
      <c r="AA2667">
        <v>0.72294230000000004</v>
      </c>
      <c r="AB2667">
        <v>19</v>
      </c>
      <c r="AC2667">
        <v>-6.44749999999999</v>
      </c>
      <c r="AD2667">
        <v>-1.1229020821709901</v>
      </c>
      <c r="AE2667">
        <v>-6.5735999999999901</v>
      </c>
      <c r="AF2667">
        <v>-6.3940728621187599</v>
      </c>
      <c r="AG2667">
        <v>-1.1229020821709901</v>
      </c>
      <c r="AH2667">
        <v>6.4367421781398697</v>
      </c>
      <c r="AI2667">
        <v>97.055372604168795</v>
      </c>
      <c r="AJ2667">
        <v>134.80946162011301</v>
      </c>
      <c r="AK2667">
        <v>9.1420307765874593</v>
      </c>
      <c r="AL2667">
        <v>92.626580280220296</v>
      </c>
      <c r="AM2667">
        <v>111.079534848964</v>
      </c>
      <c r="AN2667">
        <v>1.0000000202788699</v>
      </c>
    </row>
    <row r="2668" spans="1:40" x14ac:dyDescent="0.25">
      <c r="A2668" t="str">
        <f>"20190303154820306"</f>
        <v>20190303154820306</v>
      </c>
      <c r="B2668" t="str">
        <f>"1551599300293331"</f>
        <v>1551599300293331</v>
      </c>
      <c r="C2668" t="s">
        <v>40</v>
      </c>
      <c r="D2668">
        <v>4.6632350000000002</v>
      </c>
      <c r="E2668">
        <v>0.33385419999999999</v>
      </c>
      <c r="F2668" t="s">
        <v>47</v>
      </c>
      <c r="G2668">
        <v>-482.55430000000001</v>
      </c>
      <c r="H2668" s="1">
        <v>1.8738350000000001E-6</v>
      </c>
      <c r="I2668">
        <v>278.63220000000001</v>
      </c>
      <c r="J2668">
        <v>-476.20319999999998</v>
      </c>
      <c r="K2668">
        <v>1.123097</v>
      </c>
      <c r="L2668">
        <v>285.3716</v>
      </c>
      <c r="M2668">
        <v>-0.99977400000000005</v>
      </c>
      <c r="N2668">
        <v>-1.3561719999999999E-2</v>
      </c>
      <c r="O2668">
        <v>-1.6371E-2</v>
      </c>
      <c r="P2668">
        <v>-0.91898970000000002</v>
      </c>
      <c r="Q2668">
        <v>-5.6512279999999998E-2</v>
      </c>
      <c r="R2668">
        <v>-0.39021060000000002</v>
      </c>
      <c r="S2668">
        <v>-2.2735289999999999</v>
      </c>
      <c r="T2668">
        <v>-0.39020060000000001</v>
      </c>
      <c r="U2668">
        <v>-2.3441160000000001</v>
      </c>
      <c r="V2668">
        <v>-0.37490570000000001</v>
      </c>
      <c r="W2668">
        <v>-4.5687730000000003E-2</v>
      </c>
      <c r="X2668">
        <v>0.92593650000000005</v>
      </c>
      <c r="Y2668">
        <v>-0.70078839999999998</v>
      </c>
      <c r="Z2668">
        <v>-5.2672370000000003E-2</v>
      </c>
      <c r="AA2668">
        <v>0.711422</v>
      </c>
      <c r="AB2668">
        <v>19</v>
      </c>
      <c r="AC2668">
        <v>-6.3511000000000299</v>
      </c>
      <c r="AD2668">
        <v>-1.123095126165</v>
      </c>
      <c r="AE2668">
        <v>-6.7393999999999803</v>
      </c>
      <c r="AF2668">
        <v>-6.53834394808176</v>
      </c>
      <c r="AG2668">
        <v>-1.123095126165</v>
      </c>
      <c r="AH2668">
        <v>6.3669413594786803</v>
      </c>
      <c r="AI2668">
        <v>97.015686016164494</v>
      </c>
      <c r="AJ2668">
        <v>135.76093377995599</v>
      </c>
      <c r="AK2668">
        <v>9.1950653353237897</v>
      </c>
      <c r="AL2668">
        <v>92.618625578556802</v>
      </c>
      <c r="AM2668">
        <v>112.04270669435201</v>
      </c>
      <c r="AN2668">
        <v>1.00000002729864</v>
      </c>
    </row>
    <row r="2669" spans="1:40" x14ac:dyDescent="0.25">
      <c r="A2669" t="str">
        <f>"20190303154820329"</f>
        <v>20190303154820329</v>
      </c>
      <c r="B2669" t="str">
        <f>"1551599300323586"</f>
        <v>1551599300323586</v>
      </c>
      <c r="C2669" t="s">
        <v>40</v>
      </c>
      <c r="D2669">
        <v>4.625286</v>
      </c>
      <c r="E2669">
        <v>0.33441130000000002</v>
      </c>
      <c r="F2669" t="s">
        <v>47</v>
      </c>
      <c r="G2669">
        <v>-482.72390000000001</v>
      </c>
      <c r="H2669" s="1">
        <v>1.8190470000000001E-6</v>
      </c>
      <c r="I2669">
        <v>278.39210000000003</v>
      </c>
      <c r="J2669">
        <v>-476.40230000000003</v>
      </c>
      <c r="K2669">
        <v>1.1232869999999999</v>
      </c>
      <c r="L2669">
        <v>285.36399999999998</v>
      </c>
      <c r="M2669">
        <v>-0.99970499999999995</v>
      </c>
      <c r="N2669">
        <v>-1.3571150000000001E-2</v>
      </c>
      <c r="O2669">
        <v>-2.014726E-2</v>
      </c>
      <c r="P2669">
        <v>-0.91168990000000005</v>
      </c>
      <c r="Q2669">
        <v>-5.4046009999999998E-2</v>
      </c>
      <c r="R2669">
        <v>-0.40730880000000003</v>
      </c>
      <c r="S2669">
        <v>-2.22818</v>
      </c>
      <c r="T2669">
        <v>-0.38376670000000002</v>
      </c>
      <c r="U2669">
        <v>-2.3849490000000002</v>
      </c>
      <c r="V2669">
        <v>-0.38864159999999998</v>
      </c>
      <c r="W2669">
        <v>-4.3522760000000001E-2</v>
      </c>
      <c r="X2669">
        <v>0.92036050000000003</v>
      </c>
      <c r="Y2669">
        <v>-0.71136519999999903</v>
      </c>
      <c r="Z2669">
        <v>-5.2685469999999998E-2</v>
      </c>
      <c r="AA2669">
        <v>0.70084499999999905</v>
      </c>
      <c r="AB2669">
        <v>19</v>
      </c>
      <c r="AC2669">
        <v>-6.3215999999999797</v>
      </c>
      <c r="AD2669">
        <v>-1.123285180953</v>
      </c>
      <c r="AE2669">
        <v>-6.9718999999999998</v>
      </c>
      <c r="AF2669">
        <v>-6.7469922300929497</v>
      </c>
      <c r="AG2669">
        <v>-1.123285180953</v>
      </c>
      <c r="AH2669">
        <v>6.3700464687661604</v>
      </c>
      <c r="AI2669">
        <v>96.902468951451993</v>
      </c>
      <c r="AJ2669">
        <v>136.646062001529</v>
      </c>
      <c r="AK2669">
        <v>9.3467195188966397</v>
      </c>
      <c r="AL2669">
        <v>92.494458429720694</v>
      </c>
      <c r="AM2669">
        <v>112.892926240951</v>
      </c>
      <c r="AN2669">
        <v>0.99999998692441305</v>
      </c>
    </row>
    <row r="2670" spans="1:40" x14ac:dyDescent="0.25">
      <c r="A2670" t="str">
        <f>"20190303154820350"</f>
        <v>20190303154820350</v>
      </c>
      <c r="B2670" t="str">
        <f>"1551599300343107"</f>
        <v>1551599300343107</v>
      </c>
      <c r="C2670" t="s">
        <v>40</v>
      </c>
      <c r="D2670">
        <v>4.6479439999999999</v>
      </c>
      <c r="E2670">
        <v>0.34821279999999999</v>
      </c>
      <c r="F2670" t="s">
        <v>47</v>
      </c>
      <c r="G2670">
        <v>-483.03390000000002</v>
      </c>
      <c r="H2670" s="1">
        <v>1.752227E-6</v>
      </c>
      <c r="I2670">
        <v>278.01650000000001</v>
      </c>
      <c r="J2670">
        <v>-476.59050000000002</v>
      </c>
      <c r="K2670">
        <v>1.1234599999999999</v>
      </c>
      <c r="L2670">
        <v>285.35579999999999</v>
      </c>
      <c r="M2670">
        <v>-0.99962070000000003</v>
      </c>
      <c r="N2670">
        <v>-1.3579340000000001E-2</v>
      </c>
      <c r="O2670">
        <v>-2.3966009999999999E-2</v>
      </c>
      <c r="P2670">
        <v>-0.9048889</v>
      </c>
      <c r="Q2670">
        <v>-5.0564940000000003E-2</v>
      </c>
      <c r="R2670">
        <v>-0.42263420000000002</v>
      </c>
      <c r="S2670">
        <v>-2.186401</v>
      </c>
      <c r="T2670">
        <v>-0.3703362</v>
      </c>
      <c r="U2670">
        <v>-2.4223940000000002</v>
      </c>
      <c r="V2670">
        <v>-0.40061200000000002</v>
      </c>
      <c r="W2670">
        <v>-4.030707E-2</v>
      </c>
      <c r="X2670">
        <v>0.91536079999999997</v>
      </c>
      <c r="Y2670">
        <v>-0.72092119999999904</v>
      </c>
      <c r="Z2670">
        <v>-5.1709249999999998E-2</v>
      </c>
      <c r="AA2670">
        <v>0.69108519999999996</v>
      </c>
      <c r="AB2670">
        <v>19</v>
      </c>
      <c r="AC2670">
        <v>-6.4433999999999898</v>
      </c>
      <c r="AD2670">
        <v>-1.123458247773</v>
      </c>
      <c r="AE2670">
        <v>-7.3392999999999802</v>
      </c>
      <c r="AF2670">
        <v>-7.0889497594771802</v>
      </c>
      <c r="AG2670">
        <v>-1.123458247773</v>
      </c>
      <c r="AH2670">
        <v>6.53103649156236</v>
      </c>
      <c r="AI2670">
        <v>96.648117389515306</v>
      </c>
      <c r="AJ2670">
        <v>137.34568624187199</v>
      </c>
      <c r="AK2670">
        <v>9.7041127766014696</v>
      </c>
      <c r="AL2670">
        <v>92.310050758458303</v>
      </c>
      <c r="AM2670">
        <v>113.636819262535</v>
      </c>
      <c r="AN2670">
        <v>1.0000000143063099</v>
      </c>
    </row>
    <row r="2671" spans="1:40" x14ac:dyDescent="0.25">
      <c r="A2671" t="str">
        <f>"20190303154820373"</f>
        <v>20190303154820373</v>
      </c>
      <c r="B2671" t="str">
        <f>"1551599300363602"</f>
        <v>1551599300363602</v>
      </c>
      <c r="C2671" t="s">
        <v>40</v>
      </c>
      <c r="D2671">
        <v>4.6645649999999996</v>
      </c>
      <c r="E2671">
        <v>0.34871210000000002</v>
      </c>
      <c r="F2671" t="s">
        <v>47</v>
      </c>
      <c r="G2671">
        <v>-484.5763</v>
      </c>
      <c r="H2671" s="1">
        <v>1.669805E-6</v>
      </c>
      <c r="I2671">
        <v>276.77179999999998</v>
      </c>
      <c r="J2671">
        <v>-476.7756</v>
      </c>
      <c r="K2671">
        <v>1.123607</v>
      </c>
      <c r="L2671">
        <v>285.34679999999997</v>
      </c>
      <c r="M2671">
        <v>-0.99951639999999997</v>
      </c>
      <c r="N2671">
        <v>-1.358706E-2</v>
      </c>
      <c r="O2671">
        <v>-2.796947E-2</v>
      </c>
      <c r="P2671">
        <v>-0.89827199999999996</v>
      </c>
      <c r="Q2671">
        <v>-4.7039310000000001E-2</v>
      </c>
      <c r="R2671">
        <v>-0.43691479999999999</v>
      </c>
      <c r="S2671">
        <v>-2.1956790000000002</v>
      </c>
      <c r="T2671">
        <v>-0.3088938</v>
      </c>
      <c r="U2671">
        <v>-2.3601679999999998</v>
      </c>
      <c r="V2671">
        <v>-0.41141250000000001</v>
      </c>
      <c r="W2671">
        <v>-3.7023599999999997E-2</v>
      </c>
      <c r="X2671">
        <v>0.91069699999999998</v>
      </c>
      <c r="Y2671">
        <v>-0.70913839999999995</v>
      </c>
      <c r="Z2671">
        <v>-4.3193809999999999E-2</v>
      </c>
      <c r="AA2671">
        <v>0.70374499999999995</v>
      </c>
      <c r="AB2671">
        <v>19</v>
      </c>
      <c r="AC2671">
        <v>-7.8007</v>
      </c>
      <c r="AD2671">
        <v>-1.123605330195</v>
      </c>
      <c r="AE2671">
        <v>-8.5749999999999797</v>
      </c>
      <c r="AF2671">
        <v>-8.2756944883890995</v>
      </c>
      <c r="AG2671">
        <v>-1.123605330195</v>
      </c>
      <c r="AH2671">
        <v>7.96269993973329</v>
      </c>
      <c r="AI2671">
        <v>95.587887785770505</v>
      </c>
      <c r="AJ2671">
        <v>136.10423763511</v>
      </c>
      <c r="AK2671">
        <v>11.539246012345201</v>
      </c>
      <c r="AL2671">
        <v>92.121780929215603</v>
      </c>
      <c r="AM2671">
        <v>114.311341379963</v>
      </c>
      <c r="AN2671">
        <v>1.0000000089611001</v>
      </c>
    </row>
    <row r="2672" spans="1:40" x14ac:dyDescent="0.25">
      <c r="A2672" t="str">
        <f>"20190303154820395"</f>
        <v>20190303154820395</v>
      </c>
      <c r="B2672" t="str">
        <f>"1551599300383123"</f>
        <v>1551599300383123</v>
      </c>
      <c r="C2672" t="s">
        <v>40</v>
      </c>
      <c r="D2672">
        <v>4.6937989999999896</v>
      </c>
      <c r="E2672">
        <v>0.34945169999999998</v>
      </c>
      <c r="F2672" t="s">
        <v>47</v>
      </c>
      <c r="G2672">
        <v>-484.80059999999997</v>
      </c>
      <c r="H2672" s="1">
        <v>1.6364769999999999E-6</v>
      </c>
      <c r="I2672">
        <v>276.46960000000001</v>
      </c>
      <c r="J2672">
        <v>-476.96910000000003</v>
      </c>
      <c r="K2672">
        <v>1.1237520000000001</v>
      </c>
      <c r="L2672">
        <v>285.33620000000002</v>
      </c>
      <c r="M2672">
        <v>-0.99938199999999999</v>
      </c>
      <c r="N2672">
        <v>-1.359687E-2</v>
      </c>
      <c r="O2672">
        <v>-3.2413579999999997E-2</v>
      </c>
      <c r="P2672">
        <v>-0.89158499999999996</v>
      </c>
      <c r="Q2672">
        <v>-4.4100960000000002E-2</v>
      </c>
      <c r="R2672">
        <v>-0.45070070000000001</v>
      </c>
      <c r="S2672">
        <v>-2.161133</v>
      </c>
      <c r="T2672">
        <v>-0.30258750000000001</v>
      </c>
      <c r="U2672">
        <v>-2.390625</v>
      </c>
      <c r="V2672">
        <v>-0.42136289999999998</v>
      </c>
      <c r="W2672">
        <v>-3.4319130000000003E-2</v>
      </c>
      <c r="X2672">
        <v>0.90624249999999995</v>
      </c>
      <c r="Y2672">
        <v>-0.71611990000000003</v>
      </c>
      <c r="Z2672">
        <v>-4.2718369999999999E-2</v>
      </c>
      <c r="AA2672">
        <v>0.69666879999999998</v>
      </c>
      <c r="AB2672">
        <v>19</v>
      </c>
      <c r="AC2672">
        <v>-7.8314999999999397</v>
      </c>
      <c r="AD2672">
        <v>-1.123750363523</v>
      </c>
      <c r="AE2672">
        <v>-8.8666</v>
      </c>
      <c r="AF2672">
        <v>-8.5310902873195005</v>
      </c>
      <c r="AG2672">
        <v>-1.123750363523</v>
      </c>
      <c r="AH2672">
        <v>8.0422406391001502</v>
      </c>
      <c r="AI2672">
        <v>95.475000292572602</v>
      </c>
      <c r="AJ2672">
        <v>136.68951571564901</v>
      </c>
      <c r="AK2672">
        <v>11.7779434056676</v>
      </c>
      <c r="AL2672">
        <v>91.966727538407596</v>
      </c>
      <c r="AM2672">
        <v>114.936355434237</v>
      </c>
      <c r="AN2672">
        <v>0.99999998249330802</v>
      </c>
    </row>
    <row r="2673" spans="1:40" x14ac:dyDescent="0.25">
      <c r="A2673" t="str">
        <f>"20190303154820417"</f>
        <v>20190303154820417</v>
      </c>
      <c r="B2673" t="str">
        <f>"1551599300413378"</f>
        <v>1551599300413378</v>
      </c>
      <c r="C2673" t="s">
        <v>40</v>
      </c>
      <c r="D2673">
        <v>4.6801380000000004</v>
      </c>
      <c r="E2673">
        <v>0.33903830000000001</v>
      </c>
      <c r="F2673" t="s">
        <v>47</v>
      </c>
      <c r="G2673">
        <v>-485.5027</v>
      </c>
      <c r="H2673" s="1">
        <v>1.552901E-6</v>
      </c>
      <c r="I2673">
        <v>275.64139999999998</v>
      </c>
      <c r="J2673">
        <v>-477.15660000000003</v>
      </c>
      <c r="K2673">
        <v>1.1238889999999999</v>
      </c>
      <c r="L2673">
        <v>285.32490000000001</v>
      </c>
      <c r="M2673">
        <v>-0.99922390000000005</v>
      </c>
      <c r="N2673">
        <v>-1.360898E-2</v>
      </c>
      <c r="O2673">
        <v>-3.6964480000000001E-2</v>
      </c>
      <c r="P2673">
        <v>-0.8843879</v>
      </c>
      <c r="Q2673">
        <v>-4.0665769999999997E-2</v>
      </c>
      <c r="R2673">
        <v>-0.4649779</v>
      </c>
      <c r="S2673">
        <v>-2.1285400000000001</v>
      </c>
      <c r="T2673">
        <v>-0.28029539999999997</v>
      </c>
      <c r="U2673">
        <v>-2.4181520000000001</v>
      </c>
      <c r="V2673">
        <v>-0.43177850000000001</v>
      </c>
      <c r="W2673">
        <v>-3.1125420000000001E-2</v>
      </c>
      <c r="X2673">
        <v>0.90144250000000004</v>
      </c>
      <c r="Y2673">
        <v>-0.72256830000000005</v>
      </c>
      <c r="Z2673">
        <v>-4.0257069999999999E-2</v>
      </c>
      <c r="AA2673">
        <v>0.69012640000000003</v>
      </c>
      <c r="AB2673">
        <v>19</v>
      </c>
      <c r="AC2673">
        <v>-8.3460999999999697</v>
      </c>
      <c r="AD2673">
        <v>-1.1238874470989999</v>
      </c>
      <c r="AE2673">
        <v>-9.6835000000000306</v>
      </c>
      <c r="AF2673">
        <v>-9.2964909648620093</v>
      </c>
      <c r="AG2673">
        <v>-1.1238874470989999</v>
      </c>
      <c r="AH2673">
        <v>8.6316601020045294</v>
      </c>
      <c r="AI2673">
        <v>95.062839338957204</v>
      </c>
      <c r="AJ2673">
        <v>137.12373021581701</v>
      </c>
      <c r="AK2673">
        <v>12.7355181822352</v>
      </c>
      <c r="AL2673">
        <v>91.783643236437101</v>
      </c>
      <c r="AM2673">
        <v>115.593776834089</v>
      </c>
      <c r="AN2673">
        <v>1.00000002281933</v>
      </c>
    </row>
    <row r="2674" spans="1:40" x14ac:dyDescent="0.25">
      <c r="A2674" t="str">
        <f>"20190303154820439"</f>
        <v>20190303154820439</v>
      </c>
      <c r="B2674" t="str">
        <f>"1551599300433879"</f>
        <v>1551599300433879</v>
      </c>
      <c r="C2674" t="s">
        <v>40</v>
      </c>
      <c r="D2674">
        <v>4.670642</v>
      </c>
      <c r="E2674">
        <v>0.31610919999999998</v>
      </c>
      <c r="F2674" t="s">
        <v>47</v>
      </c>
      <c r="G2674">
        <v>-484.04599999999999</v>
      </c>
      <c r="H2674" s="1">
        <v>1.6359760000000001E-6</v>
      </c>
      <c r="I2674">
        <v>276.84679999999997</v>
      </c>
      <c r="J2674">
        <v>-477.3426</v>
      </c>
      <c r="K2674">
        <v>1.1240209999999999</v>
      </c>
      <c r="L2674">
        <v>285.3125</v>
      </c>
      <c r="M2674">
        <v>-0.99903660000000005</v>
      </c>
      <c r="N2674">
        <v>-1.362303E-2</v>
      </c>
      <c r="O2674">
        <v>-4.1718829999999998E-2</v>
      </c>
      <c r="P2674">
        <v>-0.87645479999999998</v>
      </c>
      <c r="Q2674">
        <v>-3.8249239999999997E-2</v>
      </c>
      <c r="R2674">
        <v>-0.47996290000000003</v>
      </c>
      <c r="S2674">
        <v>-2.050262</v>
      </c>
      <c r="T2674">
        <v>-0.334466599999999</v>
      </c>
      <c r="U2674">
        <v>-2.5230709999999998</v>
      </c>
      <c r="V2674">
        <v>-0.44279479999999999</v>
      </c>
      <c r="W2674">
        <v>-2.8976599999999901E-2</v>
      </c>
      <c r="X2674">
        <v>0.89615460000000002</v>
      </c>
      <c r="Y2674">
        <v>-0.74473129999999998</v>
      </c>
      <c r="Z2674">
        <v>-4.8293349999999999E-2</v>
      </c>
      <c r="AA2674">
        <v>0.66561479999999995</v>
      </c>
      <c r="AB2674">
        <v>19</v>
      </c>
      <c r="AC2674">
        <v>-6.7033999999999798</v>
      </c>
      <c r="AD2674">
        <v>-1.1240193640239999</v>
      </c>
      <c r="AE2674">
        <v>-8.4657000000000195</v>
      </c>
      <c r="AF2674">
        <v>-8.0909773224484294</v>
      </c>
      <c r="AG2674">
        <v>-1.1240193640239999</v>
      </c>
      <c r="AH2674">
        <v>6.9751973199828896</v>
      </c>
      <c r="AI2674">
        <v>96.006557089075798</v>
      </c>
      <c r="AJ2674">
        <v>139.235513797679</v>
      </c>
      <c r="AK2674">
        <v>10.741541379884501</v>
      </c>
      <c r="AL2674">
        <v>91.660469352324</v>
      </c>
      <c r="AM2674">
        <v>116.29422467312099</v>
      </c>
      <c r="AN2674">
        <v>0.99999997267787899</v>
      </c>
    </row>
    <row r="2675" spans="1:40" x14ac:dyDescent="0.25">
      <c r="A2675" t="str">
        <f>"20190303154820462"</f>
        <v>20190303154820462</v>
      </c>
      <c r="B2675" t="str">
        <f>"1551599300453395"</f>
        <v>1551599300453395</v>
      </c>
      <c r="C2675" t="s">
        <v>40</v>
      </c>
      <c r="D2675">
        <v>4.6311080000000002</v>
      </c>
      <c r="E2675">
        <v>0.31619419999999998</v>
      </c>
      <c r="F2675" t="s">
        <v>47</v>
      </c>
      <c r="G2675">
        <v>-483.64780000000002</v>
      </c>
      <c r="H2675" s="1">
        <v>1.519974E-6</v>
      </c>
      <c r="I2675">
        <v>276.3886</v>
      </c>
      <c r="J2675">
        <v>-477.52870000000001</v>
      </c>
      <c r="K2675">
        <v>1.1241650000000001</v>
      </c>
      <c r="L2675">
        <v>285.2989</v>
      </c>
      <c r="M2675">
        <v>-0.99881330000000002</v>
      </c>
      <c r="N2675">
        <v>-1.363926E-2</v>
      </c>
      <c r="O2675">
        <v>-4.675642E-2</v>
      </c>
      <c r="P2675">
        <v>-0.86836729999999995</v>
      </c>
      <c r="Q2675">
        <v>-3.835976E-2</v>
      </c>
      <c r="R2675">
        <v>-0.49443619999999999</v>
      </c>
      <c r="S2675">
        <v>-1.9199520000000001</v>
      </c>
      <c r="T2675">
        <v>-0.3422656</v>
      </c>
      <c r="U2675">
        <v>-2.717346</v>
      </c>
      <c r="V2675">
        <v>-0.4530959</v>
      </c>
      <c r="W2675">
        <v>-2.937615E-2</v>
      </c>
      <c r="X2675">
        <v>0.89097760000000004</v>
      </c>
      <c r="Y2675">
        <v>-0.78425019999999901</v>
      </c>
      <c r="Z2675">
        <v>-5.2213259999999997E-2</v>
      </c>
      <c r="AA2675">
        <v>0.61824380000000001</v>
      </c>
      <c r="AB2675">
        <v>19</v>
      </c>
      <c r="AC2675">
        <v>-6.1191000000000004</v>
      </c>
      <c r="AD2675">
        <v>-1.1241634800260001</v>
      </c>
      <c r="AE2675">
        <v>-8.9102999999999994</v>
      </c>
      <c r="AF2675">
        <v>-8.5222401763393094</v>
      </c>
      <c r="AG2675">
        <v>-1.1241634800260001</v>
      </c>
      <c r="AH2675">
        <v>6.4591942102821998</v>
      </c>
      <c r="AI2675">
        <v>96.001256576954802</v>
      </c>
      <c r="AJ2675">
        <v>142.84070726017299</v>
      </c>
      <c r="AK2675">
        <v>10.752372342845</v>
      </c>
      <c r="AL2675">
        <v>91.683371639256194</v>
      </c>
      <c r="AM2675">
        <v>116.955062834999</v>
      </c>
      <c r="AN2675">
        <v>0.99999996824369497</v>
      </c>
    </row>
    <row r="2676" spans="1:40" x14ac:dyDescent="0.25">
      <c r="A2676" t="str">
        <f>"20190303154820484"</f>
        <v>20190303154820484</v>
      </c>
      <c r="B2676" t="str">
        <f>"1551599300472915"</f>
        <v>1551599300472915</v>
      </c>
      <c r="C2676" t="s">
        <v>40</v>
      </c>
      <c r="D2676">
        <v>4.6677989999999996</v>
      </c>
      <c r="E2676">
        <v>0.31728440000000002</v>
      </c>
      <c r="F2676" t="s">
        <v>47</v>
      </c>
      <c r="G2676">
        <v>-483.79390000000001</v>
      </c>
      <c r="H2676" s="1">
        <v>1.4842680000000001E-6</v>
      </c>
      <c r="I2676">
        <v>276.1123</v>
      </c>
      <c r="J2676">
        <v>-477.71879999999999</v>
      </c>
      <c r="K2676">
        <v>1.124325</v>
      </c>
      <c r="L2676">
        <v>285.28359999999998</v>
      </c>
      <c r="M2676">
        <v>-0.99854180000000003</v>
      </c>
      <c r="N2676">
        <v>-1.365939E-2</v>
      </c>
      <c r="O2676">
        <v>-5.222744E-2</v>
      </c>
      <c r="P2676">
        <v>-0.86020399999999997</v>
      </c>
      <c r="Q2676">
        <v>-4.1480740000000002E-2</v>
      </c>
      <c r="R2676">
        <v>-0.5082603</v>
      </c>
      <c r="S2676">
        <v>-1.874725</v>
      </c>
      <c r="T2676">
        <v>-0.33637879999999998</v>
      </c>
      <c r="U2676">
        <v>-2.7488709999999998</v>
      </c>
      <c r="V2676">
        <v>-0.46240569999999998</v>
      </c>
      <c r="W2676">
        <v>-3.2805380000000002E-2</v>
      </c>
      <c r="X2676">
        <v>0.8860614</v>
      </c>
      <c r="Y2676">
        <v>-0.79114640000000003</v>
      </c>
      <c r="Z2676">
        <v>-5.175474E-2</v>
      </c>
      <c r="AA2676">
        <v>0.60943309999999995</v>
      </c>
      <c r="AB2676">
        <v>19</v>
      </c>
      <c r="AC2676">
        <v>-6.0751000000000097</v>
      </c>
      <c r="AD2676">
        <v>-1.124323515732</v>
      </c>
      <c r="AE2676">
        <v>-9.1712999999999703</v>
      </c>
      <c r="AF2676">
        <v>-8.7500659658616993</v>
      </c>
      <c r="AG2676">
        <v>-1.124323515732</v>
      </c>
      <c r="AH2676">
        <v>6.4781780112070502</v>
      </c>
      <c r="AI2676">
        <v>95.896063748861195</v>
      </c>
      <c r="AJ2676">
        <v>143.485321221688</v>
      </c>
      <c r="AK2676">
        <v>10.945069580402199</v>
      </c>
      <c r="AL2676">
        <v>91.879947092646901</v>
      </c>
      <c r="AM2676">
        <v>117.558544407312</v>
      </c>
      <c r="AN2676">
        <v>1.0000000144596899</v>
      </c>
    </row>
    <row r="2677" spans="1:40" x14ac:dyDescent="0.25">
      <c r="A2677" t="str">
        <f>"20190303154820507"</f>
        <v>20190303154820507</v>
      </c>
      <c r="B2677" t="str">
        <f>"1551599300503174"</f>
        <v>1551599300503174</v>
      </c>
      <c r="C2677" t="s">
        <v>40</v>
      </c>
      <c r="D2677">
        <v>4.6647470000000002</v>
      </c>
      <c r="E2677">
        <v>0.31961600000000001</v>
      </c>
      <c r="F2677" t="s">
        <v>47</v>
      </c>
      <c r="G2677">
        <v>-483.75700000000001</v>
      </c>
      <c r="H2677" s="1">
        <v>1.4891249999999999E-6</v>
      </c>
      <c r="I2677">
        <v>276.1585</v>
      </c>
      <c r="J2677">
        <v>-477.90640000000002</v>
      </c>
      <c r="K2677">
        <v>1.12446</v>
      </c>
      <c r="L2677">
        <v>285.267</v>
      </c>
      <c r="M2677">
        <v>-0.99822789999999995</v>
      </c>
      <c r="N2677">
        <v>-1.3681260000000001E-2</v>
      </c>
      <c r="O2677">
        <v>-5.7912959999999999E-2</v>
      </c>
      <c r="P2677">
        <v>-0.85188589999999997</v>
      </c>
      <c r="Q2677">
        <v>-4.5706339999999998E-2</v>
      </c>
      <c r="R2677">
        <v>-0.52172940000000001</v>
      </c>
      <c r="S2677">
        <v>-1.8337399999999999</v>
      </c>
      <c r="T2677">
        <v>-0.341443099999999</v>
      </c>
      <c r="U2677">
        <v>-2.7711790000000001</v>
      </c>
      <c r="V2677">
        <v>-0.47123739999999997</v>
      </c>
      <c r="W2677">
        <v>-3.7327539999999999E-2</v>
      </c>
      <c r="X2677">
        <v>0.88121620000000001</v>
      </c>
      <c r="Y2677">
        <v>-0.79599929999999997</v>
      </c>
      <c r="Z2677">
        <v>-5.2550409999999999E-2</v>
      </c>
      <c r="AA2677">
        <v>0.60301210000000005</v>
      </c>
      <c r="AB2677">
        <v>19</v>
      </c>
      <c r="AC2677">
        <v>-5.8505999999999201</v>
      </c>
      <c r="AD2677">
        <v>-1.124458510875</v>
      </c>
      <c r="AE2677">
        <v>-9.1084999999999905</v>
      </c>
      <c r="AF2677">
        <v>-8.6609100941727508</v>
      </c>
      <c r="AG2677">
        <v>-1.124458510875</v>
      </c>
      <c r="AH2677">
        <v>6.3003538924874603</v>
      </c>
      <c r="AI2677">
        <v>95.993564159190399</v>
      </c>
      <c r="AJ2677">
        <v>143.966092787885</v>
      </c>
      <c r="AK2677">
        <v>10.7689474774745</v>
      </c>
      <c r="AL2677">
        <v>92.139207448429204</v>
      </c>
      <c r="AM2677">
        <v>118.135999431079</v>
      </c>
      <c r="AN2677">
        <v>1.00000001177182</v>
      </c>
    </row>
    <row r="2678" spans="1:40" x14ac:dyDescent="0.25">
      <c r="A2678" t="str">
        <f>"20190303154820530"</f>
        <v>20190303154820530</v>
      </c>
      <c r="B2678" t="str">
        <f>"1551599300523667"</f>
        <v>1551599300523667</v>
      </c>
      <c r="C2678" t="s">
        <v>40</v>
      </c>
      <c r="D2678">
        <v>4.6593109999999998</v>
      </c>
      <c r="E2678">
        <v>0.33464939999999999</v>
      </c>
      <c r="F2678" t="s">
        <v>47</v>
      </c>
      <c r="G2678">
        <v>-483.69330000000002</v>
      </c>
      <c r="H2678" s="1">
        <v>1.5094459999999999E-6</v>
      </c>
      <c r="I2678">
        <v>276.30590000000001</v>
      </c>
      <c r="J2678">
        <v>-478.09699999999998</v>
      </c>
      <c r="K2678">
        <v>1.124592</v>
      </c>
      <c r="L2678">
        <v>285.24880000000002</v>
      </c>
      <c r="M2678">
        <v>-0.99785570000000001</v>
      </c>
      <c r="N2678">
        <v>-1.3704559999999999E-2</v>
      </c>
      <c r="O2678">
        <v>-6.4001249999999996E-2</v>
      </c>
      <c r="P2678">
        <v>-0.84345389999999998</v>
      </c>
      <c r="Q2678">
        <v>-4.9869530000000002E-2</v>
      </c>
      <c r="R2678">
        <v>-0.53488179999999996</v>
      </c>
      <c r="S2678">
        <v>-1.797852</v>
      </c>
      <c r="T2678">
        <v>-0.34934660000000001</v>
      </c>
      <c r="U2678">
        <v>-2.784027</v>
      </c>
      <c r="V2678">
        <v>-0.47947240000000002</v>
      </c>
      <c r="W2678">
        <v>-4.1779789999999997E-2</v>
      </c>
      <c r="X2678">
        <v>0.87656179999999995</v>
      </c>
      <c r="Y2678">
        <v>-0.79882410000000004</v>
      </c>
      <c r="Z2678">
        <v>-5.3498619999999997E-2</v>
      </c>
      <c r="AA2678">
        <v>0.59918110000000002</v>
      </c>
      <c r="AB2678">
        <v>19</v>
      </c>
      <c r="AC2678">
        <v>-5.5963000000000402</v>
      </c>
      <c r="AD2678">
        <v>-1.1245904905540001</v>
      </c>
      <c r="AE2678">
        <v>-8.9428999999999998</v>
      </c>
      <c r="AF2678">
        <v>-8.4701070150783</v>
      </c>
      <c r="AG2678">
        <v>-1.1245904905540001</v>
      </c>
      <c r="AH2678">
        <v>6.0880526009025999</v>
      </c>
      <c r="AI2678">
        <v>96.153386421960406</v>
      </c>
      <c r="AJ2678">
        <v>144.292580760346</v>
      </c>
      <c r="AK2678">
        <v>10.4915109059505</v>
      </c>
      <c r="AL2678">
        <v>92.394502694712401</v>
      </c>
      <c r="AM2678">
        <v>118.67831196632</v>
      </c>
      <c r="AN2678">
        <v>0.99999996121672097</v>
      </c>
    </row>
    <row r="2679" spans="1:40" x14ac:dyDescent="0.25">
      <c r="A2679" t="str">
        <f>"20190303154820552"</f>
        <v>20190303154820552</v>
      </c>
      <c r="B2679" t="str">
        <f>"1551599300543187"</f>
        <v>1551599300543187</v>
      </c>
      <c r="C2679" t="s">
        <v>40</v>
      </c>
      <c r="D2679">
        <v>4.6786519999999996</v>
      </c>
      <c r="E2679">
        <v>0.33634500000000001</v>
      </c>
      <c r="F2679" t="s">
        <v>47</v>
      </c>
      <c r="G2679">
        <v>-483.47989999999999</v>
      </c>
      <c r="H2679" s="1">
        <v>1.651416E-6</v>
      </c>
      <c r="I2679">
        <v>277.21949999999998</v>
      </c>
      <c r="J2679">
        <v>-478.28179999999998</v>
      </c>
      <c r="K2679">
        <v>1.1247199999999999</v>
      </c>
      <c r="L2679">
        <v>285.2296</v>
      </c>
      <c r="M2679">
        <v>-0.99743490000000001</v>
      </c>
      <c r="N2679">
        <v>-1.372899E-2</v>
      </c>
      <c r="O2679">
        <v>-7.0251069999999999E-2</v>
      </c>
      <c r="P2679">
        <v>-0.83537719999999904</v>
      </c>
      <c r="Q2679">
        <v>-5.20281999999999E-2</v>
      </c>
      <c r="R2679">
        <v>-0.547209099999999</v>
      </c>
      <c r="S2679">
        <v>-1.816284</v>
      </c>
      <c r="T2679">
        <v>-0.37945400000000001</v>
      </c>
      <c r="U2679">
        <v>-2.7091980000000002</v>
      </c>
      <c r="V2679">
        <v>-0.4868053</v>
      </c>
      <c r="W2679">
        <v>-4.4218439999999998E-2</v>
      </c>
      <c r="X2679">
        <v>0.87239059999999902</v>
      </c>
      <c r="Y2679">
        <v>-0.78385830000000001</v>
      </c>
      <c r="Z2679">
        <v>-5.5602319999999997E-2</v>
      </c>
      <c r="AA2679">
        <v>0.61844519999999903</v>
      </c>
      <c r="AB2679">
        <v>19</v>
      </c>
      <c r="AC2679">
        <v>-5.1981000000000099</v>
      </c>
      <c r="AD2679">
        <v>-1.124718348584</v>
      </c>
      <c r="AE2679">
        <v>-8.0101000000000209</v>
      </c>
      <c r="AF2679">
        <v>-7.5207620218403903</v>
      </c>
      <c r="AG2679">
        <v>-1.124718348584</v>
      </c>
      <c r="AH2679">
        <v>5.6693732387860303</v>
      </c>
      <c r="AI2679">
        <v>96.809948564553395</v>
      </c>
      <c r="AJ2679">
        <v>142.989930519712</v>
      </c>
      <c r="AK2679">
        <v>9.4851803184473802</v>
      </c>
      <c r="AL2679">
        <v>92.534356301233402</v>
      </c>
      <c r="AM2679">
        <v>119.16208541517599</v>
      </c>
      <c r="AN2679">
        <v>1.00000001475624</v>
      </c>
    </row>
    <row r="2680" spans="1:40" x14ac:dyDescent="0.25">
      <c r="A2680" t="str">
        <f>"20190303154820573"</f>
        <v>20190303154820573</v>
      </c>
      <c r="B2680" t="str">
        <f>"1551599300563684"</f>
        <v>1551599300563684</v>
      </c>
      <c r="C2680" t="s">
        <v>40</v>
      </c>
      <c r="D2680">
        <v>4.6927469999999998</v>
      </c>
      <c r="E2680">
        <v>0.33852719999999997</v>
      </c>
      <c r="F2680" t="s">
        <v>47</v>
      </c>
      <c r="G2680">
        <v>-483.45429999999999</v>
      </c>
      <c r="H2680" s="1">
        <v>1.6676820000000001E-6</v>
      </c>
      <c r="I2680">
        <v>277.32479999999998</v>
      </c>
      <c r="J2680">
        <v>-478.46249999999998</v>
      </c>
      <c r="K2680">
        <v>1.1248800000000001</v>
      </c>
      <c r="L2680">
        <v>285.20940000000002</v>
      </c>
      <c r="M2680">
        <v>-0.99695750000000005</v>
      </c>
      <c r="N2680">
        <v>-1.375733E-2</v>
      </c>
      <c r="O2680">
        <v>-7.6722739999999998E-2</v>
      </c>
      <c r="P2680">
        <v>-0.82757530000000001</v>
      </c>
      <c r="Q2680">
        <v>-5.297408E-2</v>
      </c>
      <c r="R2680">
        <v>-0.55884999999999996</v>
      </c>
      <c r="S2680">
        <v>-1.782562</v>
      </c>
      <c r="T2680">
        <v>-0.38760220000000001</v>
      </c>
      <c r="U2680">
        <v>-2.7241819999999999</v>
      </c>
      <c r="V2680">
        <v>-0.49331520000000001</v>
      </c>
      <c r="W2680">
        <v>-4.544807E-2</v>
      </c>
      <c r="X2680">
        <v>0.8686625</v>
      </c>
      <c r="Y2680">
        <v>-0.786504599999999</v>
      </c>
      <c r="Z2680">
        <v>-5.638203E-2</v>
      </c>
      <c r="AA2680">
        <v>0.61500529999999998</v>
      </c>
      <c r="AB2680">
        <v>19</v>
      </c>
      <c r="AC2680">
        <v>-4.9918000000000102</v>
      </c>
      <c r="AD2680">
        <v>-1.1248783323179901</v>
      </c>
      <c r="AE2680">
        <v>-7.88460000000003</v>
      </c>
      <c r="AF2680">
        <v>-7.37123011096815</v>
      </c>
      <c r="AG2680">
        <v>-1.1248783323179901</v>
      </c>
      <c r="AH2680">
        <v>5.5021228598136096</v>
      </c>
      <c r="AI2680">
        <v>96.972208394463905</v>
      </c>
      <c r="AJ2680">
        <v>143.26115852221801</v>
      </c>
      <c r="AK2680">
        <v>9.2668085431741591</v>
      </c>
      <c r="AL2680">
        <v>92.604879926897198</v>
      </c>
      <c r="AM2680">
        <v>119.59233096310599</v>
      </c>
      <c r="AN2680">
        <v>0.99999997626200698</v>
      </c>
    </row>
    <row r="2681" spans="1:40" x14ac:dyDescent="0.25">
      <c r="A2681" t="str">
        <f>"20190303154820596"</f>
        <v>20190303154820596</v>
      </c>
      <c r="B2681" t="str">
        <f>"1551599300592963"</f>
        <v>1551599300592963</v>
      </c>
      <c r="C2681" t="s">
        <v>40</v>
      </c>
      <c r="D2681">
        <v>4.6804889999999997</v>
      </c>
      <c r="E2681">
        <v>0.3403274</v>
      </c>
      <c r="F2681" t="s">
        <v>47</v>
      </c>
      <c r="G2681">
        <v>-483.57240000000002</v>
      </c>
      <c r="H2681" s="1">
        <v>1.664096E-6</v>
      </c>
      <c r="I2681">
        <v>277.24489999999997</v>
      </c>
      <c r="J2681">
        <v>-478.64640000000003</v>
      </c>
      <c r="K2681">
        <v>1.1250599999999999</v>
      </c>
      <c r="L2681">
        <v>285.18720000000002</v>
      </c>
      <c r="M2681">
        <v>-0.99639730000000004</v>
      </c>
      <c r="N2681">
        <v>-1.379199E-2</v>
      </c>
      <c r="O2681">
        <v>-8.3680560000000001E-2</v>
      </c>
      <c r="P2681">
        <v>-0.81952860000000005</v>
      </c>
      <c r="Q2681">
        <v>-5.3256449999999997E-2</v>
      </c>
      <c r="R2681">
        <v>-0.57055869999999997</v>
      </c>
      <c r="S2681">
        <v>-1.7541199999999999</v>
      </c>
      <c r="T2681">
        <v>-0.38614500000000002</v>
      </c>
      <c r="U2681">
        <v>-2.7340089999999999</v>
      </c>
      <c r="V2681">
        <v>-0.49956030000000001</v>
      </c>
      <c r="W2681">
        <v>-4.6038179999999998E-2</v>
      </c>
      <c r="X2681">
        <v>0.86505489999999996</v>
      </c>
      <c r="Y2681">
        <v>-0.78778149999999902</v>
      </c>
      <c r="Z2681">
        <v>-5.5728189999999997E-2</v>
      </c>
      <c r="AA2681">
        <v>0.61342869999999905</v>
      </c>
      <c r="AB2681">
        <v>19</v>
      </c>
      <c r="AC2681">
        <v>-4.9259999999999797</v>
      </c>
      <c r="AD2681">
        <v>-1.1250583359039901</v>
      </c>
      <c r="AE2681">
        <v>-7.9423000000000403</v>
      </c>
      <c r="AF2681">
        <v>-7.3950245868507203</v>
      </c>
      <c r="AG2681">
        <v>-1.1250583359039901</v>
      </c>
      <c r="AH2681">
        <v>5.4937862538626296</v>
      </c>
      <c r="AI2681">
        <v>96.962741042974002</v>
      </c>
      <c r="AJ2681">
        <v>143.39123060689801</v>
      </c>
      <c r="AK2681">
        <v>9.2808314445659299</v>
      </c>
      <c r="AL2681">
        <v>92.638726123689395</v>
      </c>
      <c r="AM2681">
        <v>120.00599149999699</v>
      </c>
      <c r="AN2681">
        <v>0.99999999368390602</v>
      </c>
    </row>
    <row r="2682" spans="1:40" x14ac:dyDescent="0.25">
      <c r="A2682" t="str">
        <f>"20190303154820619"</f>
        <v>20190303154820619</v>
      </c>
      <c r="B2682" t="str">
        <f>"1551599300613459"</f>
        <v>1551599300613459</v>
      </c>
      <c r="C2682" t="s">
        <v>40</v>
      </c>
      <c r="D2682">
        <v>4.6580459999999997</v>
      </c>
      <c r="E2682">
        <v>0.34004010000000001</v>
      </c>
      <c r="F2682" t="s">
        <v>47</v>
      </c>
      <c r="G2682">
        <v>-483.80070000000001</v>
      </c>
      <c r="H2682" s="1">
        <v>1.6357460000000001E-6</v>
      </c>
      <c r="I2682">
        <v>276.96899999999999</v>
      </c>
      <c r="J2682">
        <v>-478.8365</v>
      </c>
      <c r="K2682">
        <v>1.1252629999999999</v>
      </c>
      <c r="L2682">
        <v>285.16239999999999</v>
      </c>
      <c r="M2682">
        <v>-0.99573060000000002</v>
      </c>
      <c r="N2682">
        <v>-1.383203E-2</v>
      </c>
      <c r="O2682">
        <v>-9.1263979999999995E-2</v>
      </c>
      <c r="P2682">
        <v>-0.81095159999999999</v>
      </c>
      <c r="Q2682">
        <v>-5.3597579999999999E-2</v>
      </c>
      <c r="R2682">
        <v>-0.58265259999999996</v>
      </c>
      <c r="S2682">
        <v>-1.7232670000000001</v>
      </c>
      <c r="T2682">
        <v>-0.3761504</v>
      </c>
      <c r="U2682">
        <v>-2.7476500000000001</v>
      </c>
      <c r="V2682">
        <v>-0.50576379999999999</v>
      </c>
      <c r="W2682">
        <v>-4.6714810000000002E-2</v>
      </c>
      <c r="X2682">
        <v>0.86140629999999996</v>
      </c>
      <c r="Y2682">
        <v>-0.78969109999999998</v>
      </c>
      <c r="Z2682">
        <v>-5.4015140000000003E-2</v>
      </c>
      <c r="AA2682">
        <v>0.61112219999999995</v>
      </c>
      <c r="AB2682">
        <v>19</v>
      </c>
      <c r="AC2682">
        <v>-4.9641999999999999</v>
      </c>
      <c r="AD2682">
        <v>-1.1252613642539999</v>
      </c>
      <c r="AE2682">
        <v>-8.1933999999999898</v>
      </c>
      <c r="AF2682">
        <v>-7.6012306418003703</v>
      </c>
      <c r="AG2682">
        <v>-1.1252613642539999</v>
      </c>
      <c r="AH2682">
        <v>5.6138590470474599</v>
      </c>
      <c r="AI2682">
        <v>96.790852716242</v>
      </c>
      <c r="AJ2682">
        <v>143.55242406463901</v>
      </c>
      <c r="AK2682">
        <v>9.5163193414178906</v>
      </c>
      <c r="AL2682">
        <v>92.677535763753198</v>
      </c>
      <c r="AM2682">
        <v>120.418785934206</v>
      </c>
      <c r="AN2682">
        <v>1.00000005427173</v>
      </c>
    </row>
    <row r="2683" spans="1:40" x14ac:dyDescent="0.25">
      <c r="A2683" t="str">
        <f>"20190303154820641"</f>
        <v>20190303154820641</v>
      </c>
      <c r="B2683" t="str">
        <f>"1551599300632978"</f>
        <v>1551599300632978</v>
      </c>
      <c r="C2683" t="s">
        <v>40</v>
      </c>
      <c r="D2683">
        <v>4.6399889999999999</v>
      </c>
      <c r="E2683">
        <v>0.33961720000000001</v>
      </c>
      <c r="F2683" t="s">
        <v>47</v>
      </c>
      <c r="G2683">
        <v>-483.97239999999999</v>
      </c>
      <c r="H2683" s="1">
        <v>1.600731E-6</v>
      </c>
      <c r="I2683">
        <v>276.68369999999999</v>
      </c>
      <c r="J2683">
        <v>-479.01389999999998</v>
      </c>
      <c r="K2683">
        <v>1.1254519999999999</v>
      </c>
      <c r="L2683">
        <v>285.13749999999999</v>
      </c>
      <c r="M2683">
        <v>-0.99501790000000001</v>
      </c>
      <c r="N2683">
        <v>-1.3871629999999999E-2</v>
      </c>
      <c r="O2683">
        <v>-9.8726259999999996E-2</v>
      </c>
      <c r="P2683">
        <v>-0.80244609999999905</v>
      </c>
      <c r="Q2683">
        <v>-5.4371999999999997E-2</v>
      </c>
      <c r="R2683">
        <v>-0.59424200000000005</v>
      </c>
      <c r="S2683">
        <v>-1.6810909999999999</v>
      </c>
      <c r="T2683">
        <v>-0.36831649999999999</v>
      </c>
      <c r="U2683">
        <v>-2.7752080000000001</v>
      </c>
      <c r="V2683">
        <v>-0.51163789999999998</v>
      </c>
      <c r="W2683">
        <v>-4.7813149999999999E-2</v>
      </c>
      <c r="X2683">
        <v>0.85786969999999996</v>
      </c>
      <c r="Y2683">
        <v>-0.79475490000000004</v>
      </c>
      <c r="Z2683">
        <v>-5.2930360000000003E-2</v>
      </c>
      <c r="AA2683">
        <v>0.60461819999999999</v>
      </c>
      <c r="AB2683">
        <v>19</v>
      </c>
      <c r="AC2683">
        <v>-4.9585000000000097</v>
      </c>
      <c r="AD2683">
        <v>-1.1254503992689999</v>
      </c>
      <c r="AE2683">
        <v>-8.4537999999999993</v>
      </c>
      <c r="AF2683">
        <v>-7.8197926829048701</v>
      </c>
      <c r="AG2683">
        <v>-1.1254503992689999</v>
      </c>
      <c r="AH2683">
        <v>5.6938795132733597</v>
      </c>
      <c r="AI2683">
        <v>96.636418352281595</v>
      </c>
      <c r="AJ2683">
        <v>143.94025588084699</v>
      </c>
      <c r="AK2683">
        <v>9.7383807748773794</v>
      </c>
      <c r="AL2683">
        <v>92.740536757951304</v>
      </c>
      <c r="AM2683">
        <v>120.812067630147</v>
      </c>
      <c r="AN2683">
        <v>0.99999993010370802</v>
      </c>
    </row>
    <row r="2684" spans="1:40" x14ac:dyDescent="0.25">
      <c r="A2684" t="str">
        <f>"20190303154820664"</f>
        <v>20190303154820664</v>
      </c>
      <c r="B2684" t="str">
        <f>"1551599300653475"</f>
        <v>1551599300653475</v>
      </c>
      <c r="C2684" t="s">
        <v>40</v>
      </c>
      <c r="D2684">
        <v>4.678992</v>
      </c>
      <c r="E2684">
        <v>0.33968019999999999</v>
      </c>
      <c r="F2684" t="s">
        <v>47</v>
      </c>
      <c r="G2684">
        <v>-484.0718</v>
      </c>
      <c r="H2684" s="1">
        <v>1.5757929999999901E-6</v>
      </c>
      <c r="I2684">
        <v>276.49209999999999</v>
      </c>
      <c r="J2684">
        <v>-479.20060000000001</v>
      </c>
      <c r="K2684">
        <v>1.1256469999999901</v>
      </c>
      <c r="L2684">
        <v>285.10910000000001</v>
      </c>
      <c r="M2684">
        <v>-0.9941624</v>
      </c>
      <c r="N2684">
        <v>-1.3915250000000001E-2</v>
      </c>
      <c r="O2684">
        <v>-0.10699309999999999</v>
      </c>
      <c r="P2684">
        <v>-0.79380680000000003</v>
      </c>
      <c r="Q2684">
        <v>-5.4882470000000003E-2</v>
      </c>
      <c r="R2684">
        <v>-0.60568880000000003</v>
      </c>
      <c r="S2684">
        <v>-1.6390990000000001</v>
      </c>
      <c r="T2684">
        <v>-0.36472650000000001</v>
      </c>
      <c r="U2684">
        <v>-2.8017270000000001</v>
      </c>
      <c r="V2684">
        <v>-0.51677189999999995</v>
      </c>
      <c r="W2684">
        <v>-4.8632750000000002E-2</v>
      </c>
      <c r="X2684">
        <v>0.85474069999999902</v>
      </c>
      <c r="Y2684">
        <v>-0.79904629999999999</v>
      </c>
      <c r="Z2684">
        <v>-5.2193980000000001E-2</v>
      </c>
      <c r="AA2684">
        <v>0.59899990000000003</v>
      </c>
      <c r="AB2684">
        <v>19</v>
      </c>
      <c r="AC2684">
        <v>-4.8711999999999804</v>
      </c>
      <c r="AD2684">
        <v>-1.12564542420699</v>
      </c>
      <c r="AE2684">
        <v>-8.6170000000000098</v>
      </c>
      <c r="AF2684">
        <v>-7.9435666420644697</v>
      </c>
      <c r="AG2684">
        <v>-1.12564542420699</v>
      </c>
      <c r="AH2684">
        <v>5.69167769812569</v>
      </c>
      <c r="AI2684">
        <v>96.570872805049106</v>
      </c>
      <c r="AJ2684">
        <v>144.37786741005999</v>
      </c>
      <c r="AK2684">
        <v>9.83679437811419</v>
      </c>
      <c r="AL2684">
        <v>92.787550877769306</v>
      </c>
      <c r="AM2684">
        <v>121.15694543446099</v>
      </c>
      <c r="AN2684">
        <v>1.0000000026193301</v>
      </c>
    </row>
    <row r="2685" spans="1:40" x14ac:dyDescent="0.25">
      <c r="A2685" t="str">
        <f>"20190303154820685"</f>
        <v>20190303154820685</v>
      </c>
      <c r="B2685" t="str">
        <f>"1551599300683731"</f>
        <v>1551599300683731</v>
      </c>
      <c r="C2685" t="s">
        <v>40</v>
      </c>
      <c r="D2685">
        <v>4.4925139999999999</v>
      </c>
      <c r="E2685">
        <v>0.31556580000000001</v>
      </c>
      <c r="F2685" t="s">
        <v>47</v>
      </c>
      <c r="G2685">
        <v>-484.07080000000002</v>
      </c>
      <c r="H2685" s="1">
        <v>1.5787809999999999E-6</v>
      </c>
      <c r="I2685">
        <v>276.5095</v>
      </c>
      <c r="J2685">
        <v>-479.37729999999999</v>
      </c>
      <c r="K2685">
        <v>1.125788</v>
      </c>
      <c r="L2685">
        <v>285.0804</v>
      </c>
      <c r="M2685">
        <v>-0.99325249999999998</v>
      </c>
      <c r="N2685">
        <v>-1.3955240000000001E-2</v>
      </c>
      <c r="O2685">
        <v>-0.1151296</v>
      </c>
      <c r="P2685">
        <v>-0.78560609999999997</v>
      </c>
      <c r="Q2685">
        <v>-5.5081810000000002E-2</v>
      </c>
      <c r="R2685">
        <v>-0.61627080000000001</v>
      </c>
      <c r="S2685">
        <v>-1.5991519999999999</v>
      </c>
      <c r="T2685">
        <v>-0.36960769999999998</v>
      </c>
      <c r="U2685">
        <v>-2.8237000000000001</v>
      </c>
      <c r="V2685">
        <v>-0.52119689999999996</v>
      </c>
      <c r="W2685">
        <v>-4.9075639999999997E-2</v>
      </c>
      <c r="X2685">
        <v>0.85202429999999996</v>
      </c>
      <c r="Y2685">
        <v>-0.8024173</v>
      </c>
      <c r="Z2685">
        <v>-5.239535E-2</v>
      </c>
      <c r="AA2685">
        <v>0.59445879999999995</v>
      </c>
      <c r="AB2685">
        <v>19</v>
      </c>
      <c r="AC2685">
        <v>-4.6935000000000198</v>
      </c>
      <c r="AD2685">
        <v>-1.1257864212190001</v>
      </c>
      <c r="AE2685">
        <v>-8.5708999999999893</v>
      </c>
      <c r="AF2685">
        <v>-7.8690401496167297</v>
      </c>
      <c r="AG2685">
        <v>-1.1257864212190001</v>
      </c>
      <c r="AH2685">
        <v>5.5751477660344904</v>
      </c>
      <c r="AI2685">
        <v>96.658347694483695</v>
      </c>
      <c r="AJ2685">
        <v>144.682753894348</v>
      </c>
      <c r="AK2685">
        <v>9.7093491314094091</v>
      </c>
      <c r="AL2685">
        <v>92.812956900938602</v>
      </c>
      <c r="AM2685">
        <v>121.454792818931</v>
      </c>
      <c r="AN2685">
        <v>1.00000001740075</v>
      </c>
    </row>
    <row r="2686" spans="1:40" x14ac:dyDescent="0.25">
      <c r="A2686" t="str">
        <f>"20190303154820708"</f>
        <v>20190303154820708</v>
      </c>
      <c r="B2686" t="str">
        <f>"1551599300703255"</f>
        <v>1551599300703255</v>
      </c>
      <c r="C2686" t="s">
        <v>40</v>
      </c>
      <c r="D2686">
        <v>4.5903070000000001</v>
      </c>
      <c r="E2686">
        <v>0.31678230000000002</v>
      </c>
      <c r="F2686" t="s">
        <v>47</v>
      </c>
      <c r="G2686">
        <v>-483.8691</v>
      </c>
      <c r="H2686" s="1">
        <v>1.428203E-6</v>
      </c>
      <c r="I2686">
        <v>275.7561</v>
      </c>
      <c r="J2686">
        <v>-479.56049999999999</v>
      </c>
      <c r="K2686">
        <v>1.1259170000000001</v>
      </c>
      <c r="L2686">
        <v>285.04880000000003</v>
      </c>
      <c r="M2686">
        <v>-0.992201</v>
      </c>
      <c r="N2686">
        <v>-1.399388E-2</v>
      </c>
      <c r="O2686">
        <v>-0.1238607</v>
      </c>
      <c r="P2686">
        <v>-0.77909700000000004</v>
      </c>
      <c r="Q2686">
        <v>-5.3284900000000003E-2</v>
      </c>
      <c r="R2686">
        <v>-0.62463469999999999</v>
      </c>
      <c r="S2686">
        <v>-1.4432069999999999</v>
      </c>
      <c r="T2686">
        <v>-0.36171140000000002</v>
      </c>
      <c r="U2686">
        <v>-2.9958800000000001</v>
      </c>
      <c r="V2686">
        <v>-0.52280150000000003</v>
      </c>
      <c r="W2686">
        <v>-4.7427740000000003E-2</v>
      </c>
      <c r="X2686">
        <v>0.8511341</v>
      </c>
      <c r="Y2686">
        <v>-0.83526270000000002</v>
      </c>
      <c r="Z2686">
        <v>-5.4034930000000002E-2</v>
      </c>
      <c r="AA2686">
        <v>0.5471897</v>
      </c>
      <c r="AB2686">
        <v>19</v>
      </c>
      <c r="AC2686">
        <v>-4.30860000000001</v>
      </c>
      <c r="AD2686">
        <v>-1.125915571797</v>
      </c>
      <c r="AE2686">
        <v>-9.2927000000000195</v>
      </c>
      <c r="AF2686">
        <v>-8.5836967673310394</v>
      </c>
      <c r="AG2686">
        <v>-1.125915571797</v>
      </c>
      <c r="AH2686">
        <v>5.3617447603797999</v>
      </c>
      <c r="AI2686">
        <v>96.347996172342505</v>
      </c>
      <c r="AJ2686">
        <v>148.00933450443301</v>
      </c>
      <c r="AK2686">
        <v>10.183115581380999</v>
      </c>
      <c r="AL2686">
        <v>92.718429043942606</v>
      </c>
      <c r="AM2686">
        <v>121.559953670385</v>
      </c>
      <c r="AN2686">
        <v>1.0000000275532801</v>
      </c>
    </row>
    <row r="2687" spans="1:40" x14ac:dyDescent="0.25">
      <c r="A2687" t="str">
        <f>"20190303154820730"</f>
        <v>20190303154820730</v>
      </c>
      <c r="B2687" t="str">
        <f>"1551599300723747"</f>
        <v>1551599300723747</v>
      </c>
      <c r="C2687" t="s">
        <v>40</v>
      </c>
      <c r="D2687">
        <v>4.6513559999999998</v>
      </c>
      <c r="E2687">
        <v>0.31797999999999998</v>
      </c>
      <c r="F2687" t="s">
        <v>47</v>
      </c>
      <c r="G2687">
        <v>-484.05399999999997</v>
      </c>
      <c r="H2687" s="1">
        <v>1.4042189999999999E-6</v>
      </c>
      <c r="I2687">
        <v>275.52679999999998</v>
      </c>
      <c r="J2687">
        <v>-479.74</v>
      </c>
      <c r="K2687">
        <v>1.126017</v>
      </c>
      <c r="L2687">
        <v>285.01589999999999</v>
      </c>
      <c r="M2687">
        <v>-0.99105750000000004</v>
      </c>
      <c r="N2687">
        <v>-1.402953E-2</v>
      </c>
      <c r="O2687">
        <v>-0.13269700000000001</v>
      </c>
      <c r="P2687">
        <v>-0.77081319999999998</v>
      </c>
      <c r="Q2687">
        <v>-5.1497849999999998E-2</v>
      </c>
      <c r="R2687">
        <v>-0.63497680000000001</v>
      </c>
      <c r="S2687">
        <v>-1.417694</v>
      </c>
      <c r="T2687">
        <v>-0.35522350000000003</v>
      </c>
      <c r="U2687">
        <v>-3.004181</v>
      </c>
      <c r="V2687">
        <v>-0.52656250000000004</v>
      </c>
      <c r="W2687">
        <v>-4.5804400000000002E-2</v>
      </c>
      <c r="X2687">
        <v>0.84890159999999903</v>
      </c>
      <c r="Y2687">
        <v>-0.83497639999999995</v>
      </c>
      <c r="Z2687">
        <v>-5.2358790000000002E-2</v>
      </c>
      <c r="AA2687">
        <v>0.54778919999999998</v>
      </c>
      <c r="AB2687">
        <v>19</v>
      </c>
      <c r="AC2687">
        <v>-4.3140000000000196</v>
      </c>
      <c r="AD2687">
        <v>-1.1260155957809901</v>
      </c>
      <c r="AE2687">
        <v>-9.4891000000000005</v>
      </c>
      <c r="AF2687">
        <v>-8.73077489290214</v>
      </c>
      <c r="AG2687">
        <v>-1.1260155957809901</v>
      </c>
      <c r="AH2687">
        <v>5.4712949600620897</v>
      </c>
      <c r="AI2687">
        <v>96.236823317064804</v>
      </c>
      <c r="AJ2687">
        <v>147.925955017646</v>
      </c>
      <c r="AK2687">
        <v>10.364815960376401</v>
      </c>
      <c r="AL2687">
        <v>92.625317307010306</v>
      </c>
      <c r="AM2687">
        <v>121.81078310882</v>
      </c>
      <c r="AN2687">
        <v>1.00000001797408</v>
      </c>
    </row>
    <row r="2688" spans="1:40" x14ac:dyDescent="0.25">
      <c r="A2688" t="str">
        <f>"20190303154820754"</f>
        <v>20190303154820754</v>
      </c>
      <c r="B2688" t="str">
        <f>"1551599300743267"</f>
        <v>1551599300743267</v>
      </c>
      <c r="C2688" t="s">
        <v>40</v>
      </c>
      <c r="D2688">
        <v>4.6030899999999999</v>
      </c>
      <c r="E2688">
        <v>0.31957000000000002</v>
      </c>
      <c r="F2688" t="s">
        <v>47</v>
      </c>
      <c r="G2688">
        <v>-484.14580000000001</v>
      </c>
      <c r="H2688" s="1">
        <v>1.39363499999999E-6</v>
      </c>
      <c r="I2688">
        <v>275.4205</v>
      </c>
      <c r="J2688">
        <v>-479.92039999999997</v>
      </c>
      <c r="K2688">
        <v>1.126098</v>
      </c>
      <c r="L2688">
        <v>284.98079999999999</v>
      </c>
      <c r="M2688">
        <v>-0.9897918</v>
      </c>
      <c r="N2688">
        <v>-1.406494E-2</v>
      </c>
      <c r="O2688">
        <v>-0.14182520000000001</v>
      </c>
      <c r="P2688">
        <v>-0.76293829999999996</v>
      </c>
      <c r="Q2688">
        <v>-5.1498919999999997E-2</v>
      </c>
      <c r="R2688">
        <v>-0.64441680000000001</v>
      </c>
      <c r="S2688">
        <v>-1.38446</v>
      </c>
      <c r="T2688">
        <v>-0.35383429999999999</v>
      </c>
      <c r="U2688">
        <v>-3.015228</v>
      </c>
      <c r="V2688">
        <v>-0.52917460000000005</v>
      </c>
      <c r="W2688">
        <v>-4.5935650000000001E-2</v>
      </c>
      <c r="X2688">
        <v>0.84726859999999904</v>
      </c>
      <c r="Y2688">
        <v>-0.83573629999999999</v>
      </c>
      <c r="Z2688">
        <v>-5.144261E-2</v>
      </c>
      <c r="AA2688">
        <v>0.54671599999999998</v>
      </c>
      <c r="AB2688">
        <v>19</v>
      </c>
      <c r="AC2688">
        <v>-4.2254000000000298</v>
      </c>
      <c r="AD2688">
        <v>-1.126096606365</v>
      </c>
      <c r="AE2688">
        <v>-9.5602999999999803</v>
      </c>
      <c r="AF2688">
        <v>-8.7626082977885407</v>
      </c>
      <c r="AG2688">
        <v>-1.126096606365</v>
      </c>
      <c r="AH2688">
        <v>5.4751559156987302</v>
      </c>
      <c r="AI2688">
        <v>96.219879735192805</v>
      </c>
      <c r="AJ2688">
        <v>148.001549280955</v>
      </c>
      <c r="AK2688">
        <v>10.3936870286029</v>
      </c>
      <c r="AL2688">
        <v>92.6328454521949</v>
      </c>
      <c r="AM2688">
        <v>121.987471023277</v>
      </c>
      <c r="AN2688">
        <v>0.99999996088601995</v>
      </c>
    </row>
    <row r="2689" spans="1:40" x14ac:dyDescent="0.25">
      <c r="A2689" t="str">
        <f>"20190303154820775"</f>
        <v>20190303154820775</v>
      </c>
      <c r="B2689" t="str">
        <f>"1551599300773523"</f>
        <v>1551599300773523</v>
      </c>
      <c r="C2689" t="s">
        <v>40</v>
      </c>
      <c r="D2689">
        <v>4.618722</v>
      </c>
      <c r="E2689">
        <v>0.32165739999999998</v>
      </c>
      <c r="F2689" t="s">
        <v>47</v>
      </c>
      <c r="G2689">
        <v>-484.22230000000002</v>
      </c>
      <c r="H2689" s="1">
        <v>1.395377E-6</v>
      </c>
      <c r="I2689">
        <v>275.39179999999999</v>
      </c>
      <c r="J2689">
        <v>-480.10059999999999</v>
      </c>
      <c r="K2689">
        <v>1.1261699999999999</v>
      </c>
      <c r="L2689">
        <v>284.94389999999999</v>
      </c>
      <c r="M2689">
        <v>-0.98840729999999999</v>
      </c>
      <c r="N2689">
        <v>-1.4100949999999999E-2</v>
      </c>
      <c r="O2689">
        <v>-0.1511699</v>
      </c>
      <c r="P2689">
        <v>-0.75529990000000002</v>
      </c>
      <c r="Q2689">
        <v>-5.239543E-2</v>
      </c>
      <c r="R2689">
        <v>-0.65328149999999996</v>
      </c>
      <c r="S2689">
        <v>-1.3557129999999999</v>
      </c>
      <c r="T2689">
        <v>-0.35488619999999998</v>
      </c>
      <c r="U2689">
        <v>-3.0219420000000001</v>
      </c>
      <c r="V2689">
        <v>-0.5310494</v>
      </c>
      <c r="W2689">
        <v>-4.6946370000000001E-2</v>
      </c>
      <c r="X2689">
        <v>0.8460394</v>
      </c>
      <c r="Y2689">
        <v>-0.83537070000000002</v>
      </c>
      <c r="Z2689">
        <v>-5.0649489999999998E-2</v>
      </c>
      <c r="AA2689">
        <v>0.54734859999999996</v>
      </c>
      <c r="AB2689">
        <v>19</v>
      </c>
      <c r="AC2689">
        <v>-4.1217000000000299</v>
      </c>
      <c r="AD2689">
        <v>-1.1261686046229999</v>
      </c>
      <c r="AE2689">
        <v>-9.5520999999999905</v>
      </c>
      <c r="AF2689">
        <v>-8.7170181051908902</v>
      </c>
      <c r="AG2689">
        <v>-1.1261686046229999</v>
      </c>
      <c r="AH2689">
        <v>5.4545400444458796</v>
      </c>
      <c r="AI2689">
        <v>96.250032368240795</v>
      </c>
      <c r="AJ2689">
        <v>147.96435921337101</v>
      </c>
      <c r="AK2689">
        <v>10.344402712033601</v>
      </c>
      <c r="AL2689">
        <v>92.690817766737595</v>
      </c>
      <c r="AM2689">
        <v>122.11602913331301</v>
      </c>
      <c r="AN2689">
        <v>1.0000000466244401</v>
      </c>
    </row>
    <row r="2690" spans="1:40" x14ac:dyDescent="0.25">
      <c r="A2690" t="str">
        <f>"20190303154820797"</f>
        <v>20190303154820797</v>
      </c>
      <c r="B2690" t="str">
        <f>"1551599300793043"</f>
        <v>1551599300793043</v>
      </c>
      <c r="C2690" t="s">
        <v>40</v>
      </c>
      <c r="D2690">
        <v>4.6907620000000003</v>
      </c>
      <c r="E2690">
        <v>0.32316879999999998</v>
      </c>
      <c r="F2690" t="s">
        <v>47</v>
      </c>
      <c r="G2690">
        <v>-484.27839999999998</v>
      </c>
      <c r="H2690" s="1">
        <v>1.4098719999999999E-6</v>
      </c>
      <c r="I2690">
        <v>275.44589999999999</v>
      </c>
      <c r="J2690">
        <v>-480.27420000000001</v>
      </c>
      <c r="K2690">
        <v>1.126241</v>
      </c>
      <c r="L2690">
        <v>284.90640000000002</v>
      </c>
      <c r="M2690">
        <v>-0.98695339999999998</v>
      </c>
      <c r="N2690">
        <v>-1.4135419999999999E-2</v>
      </c>
      <c r="O2690">
        <v>-0.16038440000000001</v>
      </c>
      <c r="P2690">
        <v>-0.74821009999999999</v>
      </c>
      <c r="Q2690">
        <v>-5.476611E-2</v>
      </c>
      <c r="R2690">
        <v>-0.6611977</v>
      </c>
      <c r="S2690">
        <v>-1.330597</v>
      </c>
      <c r="T2690">
        <v>-0.35867090000000001</v>
      </c>
      <c r="U2690">
        <v>-3.0250240000000002</v>
      </c>
      <c r="V2690">
        <v>-0.53205219999999998</v>
      </c>
      <c r="W2690">
        <v>-4.941595E-2</v>
      </c>
      <c r="X2690">
        <v>0.84526829999999997</v>
      </c>
      <c r="Y2690">
        <v>-0.83423579999999997</v>
      </c>
      <c r="Z2690">
        <v>-5.0071709999999998E-2</v>
      </c>
      <c r="AA2690">
        <v>0.54912969999999905</v>
      </c>
      <c r="AB2690">
        <v>19</v>
      </c>
      <c r="AC2690">
        <v>-4.00419999999996</v>
      </c>
      <c r="AD2690">
        <v>-1.126239590128</v>
      </c>
      <c r="AE2690">
        <v>-9.4605000000000192</v>
      </c>
      <c r="AF2690">
        <v>-8.5924580150520704</v>
      </c>
      <c r="AG2690">
        <v>-1.126239590128</v>
      </c>
      <c r="AH2690">
        <v>5.4048612300496002</v>
      </c>
      <c r="AI2690">
        <v>96.330994105079796</v>
      </c>
      <c r="AJ2690">
        <v>147.82912704623101</v>
      </c>
      <c r="AK2690">
        <v>10.2132891504596</v>
      </c>
      <c r="AL2690">
        <v>92.832478993302701</v>
      </c>
      <c r="AM2690">
        <v>122.18826935050799</v>
      </c>
      <c r="AN2690">
        <v>0.99999998931206602</v>
      </c>
    </row>
    <row r="2691" spans="1:40" x14ac:dyDescent="0.25">
      <c r="A2691" t="str">
        <f>"20190303154820821"</f>
        <v>20190303154820821</v>
      </c>
      <c r="B2691" t="str">
        <f>"1551599300813539"</f>
        <v>1551599300813539</v>
      </c>
      <c r="C2691" t="s">
        <v>40</v>
      </c>
      <c r="D2691">
        <v>4.6458019999999998</v>
      </c>
      <c r="E2691">
        <v>0.3244399</v>
      </c>
      <c r="F2691" t="s">
        <v>47</v>
      </c>
      <c r="G2691">
        <v>-484.31810000000002</v>
      </c>
      <c r="H2691" s="1">
        <v>1.4270939999999999E-6</v>
      </c>
      <c r="I2691">
        <v>275.52370000000002</v>
      </c>
      <c r="J2691">
        <v>-480.45890000000003</v>
      </c>
      <c r="K2691">
        <v>1.1263190000000001</v>
      </c>
      <c r="L2691">
        <v>284.86430000000001</v>
      </c>
      <c r="M2691">
        <v>-0.98527229999999999</v>
      </c>
      <c r="N2691">
        <v>-1.4171080000000001E-2</v>
      </c>
      <c r="O2691">
        <v>-0.17040449999999999</v>
      </c>
      <c r="P2691">
        <v>-0.74055930000000003</v>
      </c>
      <c r="Q2691">
        <v>-5.7340200000000001E-2</v>
      </c>
      <c r="R2691">
        <v>-0.66954019999999903</v>
      </c>
      <c r="S2691">
        <v>-1.3056950000000001</v>
      </c>
      <c r="T2691">
        <v>-0.36364780000000002</v>
      </c>
      <c r="U2691">
        <v>-3.029541</v>
      </c>
      <c r="V2691">
        <v>-0.53292430000000002</v>
      </c>
      <c r="W2691">
        <v>-5.2098539999999999E-2</v>
      </c>
      <c r="X2691">
        <v>0.84455749999999996</v>
      </c>
      <c r="Y2691">
        <v>-0.83270849999999996</v>
      </c>
      <c r="Z2691">
        <v>-4.942904E-2</v>
      </c>
      <c r="AA2691">
        <v>0.55150109999999997</v>
      </c>
      <c r="AB2691">
        <v>19</v>
      </c>
      <c r="AC2691">
        <v>-3.85919999999998</v>
      </c>
      <c r="AD2691">
        <v>-1.126317572906</v>
      </c>
      <c r="AE2691">
        <v>-9.3405999999999896</v>
      </c>
      <c r="AF2691">
        <v>-8.4414242120275098</v>
      </c>
      <c r="AG2691">
        <v>-1.126317572906</v>
      </c>
      <c r="AH2691">
        <v>5.3284054837536496</v>
      </c>
      <c r="AI2691">
        <v>96.437436853595997</v>
      </c>
      <c r="AJ2691">
        <v>147.73901278058801</v>
      </c>
      <c r="AK2691">
        <v>10.0458020586579</v>
      </c>
      <c r="AL2691">
        <v>92.986378560421798</v>
      </c>
      <c r="AM2691">
        <v>122.25233888736599</v>
      </c>
      <c r="AN2691">
        <v>0.99999996910343503</v>
      </c>
    </row>
    <row r="2692" spans="1:40" x14ac:dyDescent="0.25">
      <c r="A2692" t="str">
        <f>"20190303154820841"</f>
        <v>20190303154820841</v>
      </c>
      <c r="B2692" t="str">
        <f>"1551599300833059"</f>
        <v>1551599300833059</v>
      </c>
      <c r="C2692" t="s">
        <v>40</v>
      </c>
      <c r="D2692">
        <v>4.6823739999999896</v>
      </c>
      <c r="E2692">
        <v>0.3258317</v>
      </c>
      <c r="F2692" t="s">
        <v>47</v>
      </c>
      <c r="G2692">
        <v>-484.35430000000002</v>
      </c>
      <c r="H2692" s="1">
        <v>1.4441829999999901E-6</v>
      </c>
      <c r="I2692">
        <v>275.60250000000002</v>
      </c>
      <c r="J2692">
        <v>-480.62470000000002</v>
      </c>
      <c r="K2692">
        <v>1.126385</v>
      </c>
      <c r="L2692">
        <v>284.82440000000003</v>
      </c>
      <c r="M2692">
        <v>-0.98363259999999997</v>
      </c>
      <c r="N2692">
        <v>-1.420335E-2</v>
      </c>
      <c r="O2692">
        <v>-0.1796246</v>
      </c>
      <c r="P2692">
        <v>-0.73362550000000004</v>
      </c>
      <c r="Q2692">
        <v>-6.04489E-2</v>
      </c>
      <c r="R2692">
        <v>-0.67685969999999995</v>
      </c>
      <c r="S2692">
        <v>-1.2770999999999999</v>
      </c>
      <c r="T2692">
        <v>-0.36926690000000001</v>
      </c>
      <c r="U2692">
        <v>-3.0364990000000001</v>
      </c>
      <c r="V2692">
        <v>-0.53339389999999998</v>
      </c>
      <c r="W2692">
        <v>-5.530185E-2</v>
      </c>
      <c r="X2692">
        <v>0.84405730000000001</v>
      </c>
      <c r="Y2692">
        <v>-0.8323258</v>
      </c>
      <c r="Z2692">
        <v>-4.9049099999999998E-2</v>
      </c>
      <c r="AA2692">
        <v>0.5521123</v>
      </c>
      <c r="AB2692">
        <v>19</v>
      </c>
      <c r="AC2692">
        <v>-3.7296</v>
      </c>
      <c r="AD2692">
        <v>-1.1263835558169999</v>
      </c>
      <c r="AE2692">
        <v>-9.2218999999999998</v>
      </c>
      <c r="AF2692">
        <v>-8.2955200226615595</v>
      </c>
      <c r="AG2692">
        <v>-1.1263835558169999</v>
      </c>
      <c r="AH2692">
        <v>5.25815596796875</v>
      </c>
      <c r="AI2692">
        <v>96.542343920867907</v>
      </c>
      <c r="AJ2692">
        <v>147.631233278715</v>
      </c>
      <c r="AK2692">
        <v>9.8859797968981908</v>
      </c>
      <c r="AL2692">
        <v>93.170179781753205</v>
      </c>
      <c r="AM2692">
        <v>122.290445888222</v>
      </c>
      <c r="AN2692">
        <v>1.0000000364269599</v>
      </c>
    </row>
    <row r="2693" spans="1:40" x14ac:dyDescent="0.25">
      <c r="A2693" t="str">
        <f>"20190303154820865"</f>
        <v>20190303154820865</v>
      </c>
      <c r="B2693" t="str">
        <f>"1551599300853556"</f>
        <v>1551599300853556</v>
      </c>
      <c r="C2693" t="s">
        <v>40</v>
      </c>
      <c r="D2693">
        <v>4.6788540000000003</v>
      </c>
      <c r="E2693">
        <v>0.32627050000000002</v>
      </c>
      <c r="F2693" t="s">
        <v>47</v>
      </c>
      <c r="G2693">
        <v>-484.40170000000001</v>
      </c>
      <c r="H2693" s="1">
        <v>1.4579499999999999E-6</v>
      </c>
      <c r="I2693">
        <v>275.65679999999998</v>
      </c>
      <c r="J2693">
        <v>-480.8057</v>
      </c>
      <c r="K2693">
        <v>1.126452</v>
      </c>
      <c r="L2693">
        <v>284.77870000000001</v>
      </c>
      <c r="M2693">
        <v>-0.98169439999999997</v>
      </c>
      <c r="N2693">
        <v>-1.4239389999999999E-2</v>
      </c>
      <c r="O2693">
        <v>-0.1899306</v>
      </c>
      <c r="P2693">
        <v>-0.7262014</v>
      </c>
      <c r="Q2693">
        <v>-6.3441979999999995E-2</v>
      </c>
      <c r="R2693">
        <v>-0.68454869999999901</v>
      </c>
      <c r="S2693">
        <v>-1.252869</v>
      </c>
      <c r="T2693">
        <v>-0.37362640000000003</v>
      </c>
      <c r="U2693">
        <v>-3.0409549999999999</v>
      </c>
      <c r="V2693">
        <v>-0.53342900000000004</v>
      </c>
      <c r="W2693">
        <v>-5.8382740000000002E-2</v>
      </c>
      <c r="X2693">
        <v>0.84382749999999995</v>
      </c>
      <c r="Y2693">
        <v>-0.83055619999999997</v>
      </c>
      <c r="Z2693">
        <v>-4.8177699999999997E-2</v>
      </c>
      <c r="AA2693">
        <v>0.55484719999999998</v>
      </c>
      <c r="AB2693">
        <v>18</v>
      </c>
      <c r="AC2693">
        <v>-3.5960000000000001</v>
      </c>
      <c r="AD2693">
        <v>-1.1264505420499999</v>
      </c>
      <c r="AE2693">
        <v>-9.1219000000000392</v>
      </c>
      <c r="AF2693">
        <v>-8.1650009003726698</v>
      </c>
      <c r="AG2693">
        <v>-1.1264505420499999</v>
      </c>
      <c r="AH2693">
        <v>5.19467286608793</v>
      </c>
      <c r="AI2693">
        <v>96.639364981107306</v>
      </c>
      <c r="AJ2693">
        <v>147.53498547351899</v>
      </c>
      <c r="AK2693">
        <v>9.7427284018616493</v>
      </c>
      <c r="AL2693">
        <v>93.346988011373995</v>
      </c>
      <c r="AM2693">
        <v>122.29919461336</v>
      </c>
      <c r="AN2693">
        <v>0.99999994606357701</v>
      </c>
    </row>
    <row r="2694" spans="1:40" x14ac:dyDescent="0.25">
      <c r="A2694" t="str">
        <f>"20190303154820886"</f>
        <v>20190303154820886</v>
      </c>
      <c r="B2694" t="str">
        <f>"1551599300883811"</f>
        <v>1551599300883811</v>
      </c>
      <c r="C2694" t="s">
        <v>40</v>
      </c>
      <c r="D2694">
        <v>4.6633690000000003</v>
      </c>
      <c r="E2694">
        <v>0.34015410000000001</v>
      </c>
      <c r="F2694" t="s">
        <v>47</v>
      </c>
      <c r="G2694">
        <v>-484.43349999999998</v>
      </c>
      <c r="H2694" s="1">
        <v>1.4716250000000001E-6</v>
      </c>
      <c r="I2694">
        <v>275.71839999999997</v>
      </c>
      <c r="J2694">
        <v>-480.9744</v>
      </c>
      <c r="K2694">
        <v>1.126493</v>
      </c>
      <c r="L2694">
        <v>284.73399999999998</v>
      </c>
      <c r="M2694">
        <v>-0.97974859999999997</v>
      </c>
      <c r="N2694">
        <v>-1.427163E-2</v>
      </c>
      <c r="O2694">
        <v>-0.1997226</v>
      </c>
      <c r="P2694">
        <v>-0.71920969999999995</v>
      </c>
      <c r="Q2694">
        <v>-6.6572820000000005E-2</v>
      </c>
      <c r="R2694">
        <v>-0.69159630000000005</v>
      </c>
      <c r="S2694">
        <v>-1.221741</v>
      </c>
      <c r="T2694">
        <v>-0.37935210000000003</v>
      </c>
      <c r="U2694">
        <v>-3.0512079999999999</v>
      </c>
      <c r="V2694">
        <v>-0.53323730000000003</v>
      </c>
      <c r="W2694">
        <v>-6.1569980000000003E-2</v>
      </c>
      <c r="X2694">
        <v>0.84372219999999998</v>
      </c>
      <c r="Y2694">
        <v>-0.83046830000000005</v>
      </c>
      <c r="Z2694">
        <v>-4.7668160000000001E-2</v>
      </c>
      <c r="AA2694">
        <v>0.55502269999999998</v>
      </c>
      <c r="AB2694">
        <v>18</v>
      </c>
      <c r="AC2694">
        <v>-3.4590999999999701</v>
      </c>
      <c r="AD2694">
        <v>-1.1264915283750001</v>
      </c>
      <c r="AE2694">
        <v>-9.0156000000000596</v>
      </c>
      <c r="AF2694">
        <v>-8.0336604292288403</v>
      </c>
      <c r="AG2694">
        <v>-1.1264915283750001</v>
      </c>
      <c r="AH2694">
        <v>5.1205111156887098</v>
      </c>
      <c r="AI2694">
        <v>96.743618478313707</v>
      </c>
      <c r="AJ2694">
        <v>147.48729400015699</v>
      </c>
      <c r="AK2694">
        <v>9.5931390661008198</v>
      </c>
      <c r="AL2694">
        <v>93.529932591671894</v>
      </c>
      <c r="AM2694">
        <v>122.29312279992</v>
      </c>
      <c r="AN2694">
        <v>1.0000000156606601</v>
      </c>
    </row>
    <row r="2695" spans="1:40" x14ac:dyDescent="0.25">
      <c r="A2695" t="str">
        <f>"20190303154820909"</f>
        <v>20190303154820909</v>
      </c>
      <c r="B2695" t="str">
        <f>"1551599300903331"</f>
        <v>1551599300903331</v>
      </c>
      <c r="C2695" t="s">
        <v>40</v>
      </c>
      <c r="D2695">
        <v>4.6891889999999998</v>
      </c>
      <c r="E2695">
        <v>0.33994849999999999</v>
      </c>
      <c r="F2695" t="s">
        <v>47</v>
      </c>
      <c r="G2695">
        <v>-484.76589999999999</v>
      </c>
      <c r="H2695" s="1">
        <v>1.516967E-6</v>
      </c>
      <c r="I2695">
        <v>275.80849999999998</v>
      </c>
      <c r="J2695">
        <v>-481.15210000000002</v>
      </c>
      <c r="K2695">
        <v>1.1265309999999999</v>
      </c>
      <c r="L2695">
        <v>284.6848</v>
      </c>
      <c r="M2695">
        <v>-0.97754960000000002</v>
      </c>
      <c r="N2695">
        <v>-1.4302860000000001E-2</v>
      </c>
      <c r="O2695">
        <v>-0.21022060000000001</v>
      </c>
      <c r="P2695">
        <v>-0.71165819999999902</v>
      </c>
      <c r="Q2695">
        <v>-6.7720610000000001E-2</v>
      </c>
      <c r="R2695">
        <v>-0.69925479999999995</v>
      </c>
      <c r="S2695">
        <v>-1.2673650000000001</v>
      </c>
      <c r="T2695">
        <v>-0.3765502</v>
      </c>
      <c r="U2695">
        <v>-2.9835210000000001</v>
      </c>
      <c r="V2695">
        <v>-0.53321790000000002</v>
      </c>
      <c r="W2695">
        <v>-6.2758359999999999E-2</v>
      </c>
      <c r="X2695">
        <v>0.84364689999999998</v>
      </c>
      <c r="Y2695">
        <v>-0.81284780000000001</v>
      </c>
      <c r="Z2695">
        <v>-4.4167980000000003E-2</v>
      </c>
      <c r="AA2695">
        <v>0.58079930000000002</v>
      </c>
      <c r="AB2695">
        <v>18</v>
      </c>
      <c r="AC2695">
        <v>-3.6137999999999599</v>
      </c>
      <c r="AD2695">
        <v>-1.1265294830329999</v>
      </c>
      <c r="AE2695">
        <v>-8.8763000000000094</v>
      </c>
      <c r="AF2695">
        <v>-7.8102223542883404</v>
      </c>
      <c r="AG2695">
        <v>-1.1265294830329999</v>
      </c>
      <c r="AH2695">
        <v>5.3256166901675304</v>
      </c>
      <c r="AI2695">
        <v>96.795884536513299</v>
      </c>
      <c r="AJ2695">
        <v>145.71079397377201</v>
      </c>
      <c r="AK2695">
        <v>9.5200228481952092</v>
      </c>
      <c r="AL2695">
        <v>93.598153694855895</v>
      </c>
      <c r="AM2695">
        <v>122.294490841794</v>
      </c>
      <c r="AN2695">
        <v>1.0000000162549501</v>
      </c>
    </row>
    <row r="2696" spans="1:40" x14ac:dyDescent="0.25">
      <c r="A2696" t="str">
        <f>"20190303154820924"</f>
        <v>20190303154820924</v>
      </c>
      <c r="B2696" t="str">
        <f>"1551599300913091"</f>
        <v>1551599300913091</v>
      </c>
      <c r="C2696" t="s">
        <v>40</v>
      </c>
      <c r="D2696">
        <v>4.6835319999999996</v>
      </c>
      <c r="E2696">
        <v>0.3401151</v>
      </c>
      <c r="F2696" t="s">
        <v>47</v>
      </c>
      <c r="G2696">
        <v>-484.81619999999998</v>
      </c>
      <c r="H2696" s="1">
        <v>1.5165400000000001E-6</v>
      </c>
      <c r="I2696">
        <v>275.78070000000002</v>
      </c>
      <c r="J2696">
        <v>-481.26819999999998</v>
      </c>
      <c r="K2696">
        <v>1.1265510000000001</v>
      </c>
      <c r="L2696">
        <v>284.6515</v>
      </c>
      <c r="M2696">
        <v>-0.97602670000000002</v>
      </c>
      <c r="N2696">
        <v>-1.432169E-2</v>
      </c>
      <c r="O2696">
        <v>-0.21717980000000001</v>
      </c>
      <c r="P2696">
        <v>-0.70657389999999998</v>
      </c>
      <c r="Q2696">
        <v>-6.8211729999999998E-2</v>
      </c>
      <c r="R2696">
        <v>-0.70434439999999998</v>
      </c>
      <c r="S2696">
        <v>-1.2337039999999999</v>
      </c>
      <c r="T2696">
        <v>-0.37930009999999997</v>
      </c>
      <c r="U2696">
        <v>-2.997986</v>
      </c>
      <c r="V2696">
        <v>-0.53326169999999995</v>
      </c>
      <c r="W2696">
        <v>-6.3271110000000005E-2</v>
      </c>
      <c r="X2696">
        <v>0.84358089999999997</v>
      </c>
      <c r="Y2696">
        <v>-0.81521980000000005</v>
      </c>
      <c r="Z2696">
        <v>-4.394033E-2</v>
      </c>
      <c r="AA2696">
        <v>0.57748250000000001</v>
      </c>
      <c r="AB2696">
        <v>18</v>
      </c>
      <c r="AC2696">
        <v>-3.548</v>
      </c>
      <c r="AD2696">
        <v>-1.1265494834600001</v>
      </c>
      <c r="AE2696">
        <v>-8.8707999999999707</v>
      </c>
      <c r="AF2696">
        <v>-7.7802184188778902</v>
      </c>
      <c r="AG2696">
        <v>-1.1265494834600001</v>
      </c>
      <c r="AH2696">
        <v>5.3161397435211803</v>
      </c>
      <c r="AI2696">
        <v>96.817525770389807</v>
      </c>
      <c r="AJ2696">
        <v>145.65562375901999</v>
      </c>
      <c r="AK2696">
        <v>9.4901134954633797</v>
      </c>
      <c r="AL2696">
        <v>93.627590651563196</v>
      </c>
      <c r="AM2696">
        <v>122.29864087451401</v>
      </c>
      <c r="AN2696">
        <v>1.0000000044461601</v>
      </c>
    </row>
    <row r="2697" spans="1:40" x14ac:dyDescent="0.25">
      <c r="A2697" t="str">
        <f>"20190303154820943"</f>
        <v>20190303154820943</v>
      </c>
      <c r="B2697" t="str">
        <f>"1551599300933587"</f>
        <v>1551599300933587</v>
      </c>
      <c r="C2697" t="s">
        <v>40</v>
      </c>
      <c r="D2697">
        <v>4.7418559999999896</v>
      </c>
      <c r="E2697">
        <v>0.33975290000000002</v>
      </c>
      <c r="F2697" t="s">
        <v>47</v>
      </c>
      <c r="G2697">
        <v>-484.86380000000003</v>
      </c>
      <c r="H2697" s="1">
        <v>1.513578E-6</v>
      </c>
      <c r="I2697">
        <v>275.73989999999998</v>
      </c>
      <c r="J2697">
        <v>-481.40910000000002</v>
      </c>
      <c r="K2697">
        <v>1.126576</v>
      </c>
      <c r="L2697">
        <v>284.60969999999998</v>
      </c>
      <c r="M2697">
        <v>-0.97408470000000003</v>
      </c>
      <c r="N2697">
        <v>-1.434378E-2</v>
      </c>
      <c r="O2697">
        <v>-0.2257286</v>
      </c>
      <c r="P2697">
        <v>-0.70022229999999996</v>
      </c>
      <c r="Q2697">
        <v>-6.8495719999999996E-2</v>
      </c>
      <c r="R2697">
        <v>-0.71063149999999997</v>
      </c>
      <c r="S2697">
        <v>-1.212799</v>
      </c>
      <c r="T2697">
        <v>-0.37998690000000002</v>
      </c>
      <c r="U2697">
        <v>-3.00589</v>
      </c>
      <c r="V2697">
        <v>-0.53340379999999998</v>
      </c>
      <c r="W2697">
        <v>-6.3579280000000002E-2</v>
      </c>
      <c r="X2697">
        <v>0.843468</v>
      </c>
      <c r="Y2697">
        <v>-0.81419799999999998</v>
      </c>
      <c r="Z2697">
        <v>-4.2864359999999997E-2</v>
      </c>
      <c r="AA2697">
        <v>0.57900289999999999</v>
      </c>
      <c r="AB2697">
        <v>18</v>
      </c>
      <c r="AC2697">
        <v>-3.4546999999999999</v>
      </c>
      <c r="AD2697">
        <v>-1.126574486422</v>
      </c>
      <c r="AE2697">
        <v>-8.8697999999999908</v>
      </c>
      <c r="AF2697">
        <v>-7.75233142785489</v>
      </c>
      <c r="AG2697">
        <v>-1.126574486422</v>
      </c>
      <c r="AH2697">
        <v>5.2937392389015896</v>
      </c>
      <c r="AI2697">
        <v>96.843330749098598</v>
      </c>
      <c r="AJ2697">
        <v>145.67248380518899</v>
      </c>
      <c r="AK2697">
        <v>9.4547071752778304</v>
      </c>
      <c r="AL2697">
        <v>93.645282754774897</v>
      </c>
      <c r="AM2697">
        <v>122.309000261631</v>
      </c>
      <c r="AN2697">
        <v>1.0000001028618699</v>
      </c>
    </row>
    <row r="2698" spans="1:40" x14ac:dyDescent="0.25">
      <c r="A2698" t="str">
        <f>"20190303154820965"</f>
        <v>20190303154820965</v>
      </c>
      <c r="B2698" t="str">
        <f>"1551599300953107"</f>
        <v>1551599300953107</v>
      </c>
      <c r="C2698" t="s">
        <v>40</v>
      </c>
      <c r="D2698">
        <v>4.7460370000000003</v>
      </c>
      <c r="E2698">
        <v>0.33966229999999997</v>
      </c>
      <c r="F2698" t="s">
        <v>47</v>
      </c>
      <c r="G2698">
        <v>-484.92970000000003</v>
      </c>
      <c r="H2698" s="1">
        <v>1.500513E-6</v>
      </c>
      <c r="I2698">
        <v>275.63249999999999</v>
      </c>
      <c r="J2698">
        <v>-481.58199999999999</v>
      </c>
      <c r="K2698">
        <v>1.1266130000000001</v>
      </c>
      <c r="L2698">
        <v>284.55630000000002</v>
      </c>
      <c r="M2698">
        <v>-0.97155170000000002</v>
      </c>
      <c r="N2698">
        <v>-1.4371399999999999E-2</v>
      </c>
      <c r="O2698">
        <v>-0.2363915</v>
      </c>
      <c r="P2698">
        <v>-0.69227469999999902</v>
      </c>
      <c r="Q2698">
        <v>-6.9240209999999996E-2</v>
      </c>
      <c r="R2698">
        <v>-0.71830469999999902</v>
      </c>
      <c r="S2698">
        <v>-1.1838070000000001</v>
      </c>
      <c r="T2698">
        <v>-0.37881239999999999</v>
      </c>
      <c r="U2698">
        <v>-3.0185849999999999</v>
      </c>
      <c r="V2698">
        <v>-0.53345529999999997</v>
      </c>
      <c r="W2698">
        <v>-6.4351740000000004E-2</v>
      </c>
      <c r="X2698">
        <v>0.84337680000000004</v>
      </c>
      <c r="Y2698">
        <v>-0.81361680000000003</v>
      </c>
      <c r="Z2698">
        <v>-4.1424679999999998E-2</v>
      </c>
      <c r="AA2698">
        <v>0.579924</v>
      </c>
      <c r="AB2698">
        <v>18</v>
      </c>
      <c r="AC2698">
        <v>-3.3477000000000299</v>
      </c>
      <c r="AD2698">
        <v>-1.12661149948699</v>
      </c>
      <c r="AE2698">
        <v>-8.9238000000000195</v>
      </c>
      <c r="AF2698">
        <v>-7.7708029766967401</v>
      </c>
      <c r="AG2698">
        <v>-1.12661149948699</v>
      </c>
      <c r="AH2698">
        <v>5.2886335267085798</v>
      </c>
      <c r="AI2698">
        <v>96.8346207357678</v>
      </c>
      <c r="AJ2698">
        <v>145.76167859468001</v>
      </c>
      <c r="AK2698">
        <v>9.4670099267530805</v>
      </c>
      <c r="AL2698">
        <v>93.689632411408596</v>
      </c>
      <c r="AM2698">
        <v>122.314298021279</v>
      </c>
      <c r="AN2698">
        <v>1.00000006515867</v>
      </c>
    </row>
    <row r="2699" spans="1:40" x14ac:dyDescent="0.25">
      <c r="A2699" t="str">
        <f>"20190303154820987"</f>
        <v>20190303154820987</v>
      </c>
      <c r="B2699" t="str">
        <f>"1551599300983363"</f>
        <v>1551599300983363</v>
      </c>
      <c r="C2699" t="s">
        <v>40</v>
      </c>
      <c r="D2699">
        <v>4.7414610000000001</v>
      </c>
      <c r="E2699">
        <v>0.33960400000000002</v>
      </c>
      <c r="F2699" t="s">
        <v>47</v>
      </c>
      <c r="G2699">
        <v>-485.02330000000001</v>
      </c>
      <c r="H2699" s="1">
        <v>1.481388E-6</v>
      </c>
      <c r="I2699">
        <v>275.47680000000003</v>
      </c>
      <c r="J2699">
        <v>-481.75009999999997</v>
      </c>
      <c r="K2699">
        <v>1.126654</v>
      </c>
      <c r="L2699">
        <v>284.50220000000002</v>
      </c>
      <c r="M2699">
        <v>-0.96893640000000003</v>
      </c>
      <c r="N2699">
        <v>-1.439762E-2</v>
      </c>
      <c r="O2699">
        <v>-0.24689050000000001</v>
      </c>
      <c r="P2699">
        <v>-0.68444649999999996</v>
      </c>
      <c r="Q2699">
        <v>-6.9768819999999995E-2</v>
      </c>
      <c r="R2699">
        <v>-0.7257169</v>
      </c>
      <c r="S2699">
        <v>-1.149384</v>
      </c>
      <c r="T2699">
        <v>-0.37629200000000002</v>
      </c>
      <c r="U2699">
        <v>-3.032562</v>
      </c>
      <c r="V2699">
        <v>-0.53341119999999898</v>
      </c>
      <c r="W2699">
        <v>-6.490427E-2</v>
      </c>
      <c r="X2699">
        <v>0.84336230000000001</v>
      </c>
      <c r="Y2699">
        <v>-0.81410899999999997</v>
      </c>
      <c r="Z2699">
        <v>-4.0054720000000002E-2</v>
      </c>
      <c r="AA2699">
        <v>0.57932899999999998</v>
      </c>
      <c r="AB2699">
        <v>18</v>
      </c>
      <c r="AC2699">
        <v>-3.2732000000000299</v>
      </c>
      <c r="AD2699">
        <v>-1.126652518612</v>
      </c>
      <c r="AE2699">
        <v>-9.0253999999999905</v>
      </c>
      <c r="AF2699">
        <v>-7.8299096205888397</v>
      </c>
      <c r="AG2699">
        <v>-1.126652518612</v>
      </c>
      <c r="AH2699">
        <v>5.3270069298488503</v>
      </c>
      <c r="AI2699">
        <v>96.784494489560998</v>
      </c>
      <c r="AJ2699">
        <v>145.77094791150901</v>
      </c>
      <c r="AK2699">
        <v>9.53697191958444</v>
      </c>
      <c r="AL2699">
        <v>93.721356533390903</v>
      </c>
      <c r="AM2699">
        <v>122.312603133648</v>
      </c>
      <c r="AN2699">
        <v>1.00000002080548</v>
      </c>
    </row>
    <row r="2700" spans="1:40" x14ac:dyDescent="0.25">
      <c r="A2700" t="str">
        <f>"20190303154821001"</f>
        <v>20190303154821001</v>
      </c>
      <c r="B2700" t="str">
        <f>"1551599300993124"</f>
        <v>1551599300993124</v>
      </c>
      <c r="C2700" t="s">
        <v>40</v>
      </c>
      <c r="D2700">
        <v>4.6149959999999997</v>
      </c>
      <c r="E2700">
        <v>0.33944380000000002</v>
      </c>
      <c r="F2700" t="s">
        <v>47</v>
      </c>
      <c r="G2700">
        <v>-485.1225</v>
      </c>
      <c r="H2700" s="1">
        <v>1.4599279999999999E-6</v>
      </c>
      <c r="I2700">
        <v>275.30500000000001</v>
      </c>
      <c r="J2700">
        <v>-481.85759999999999</v>
      </c>
      <c r="K2700">
        <v>1.1266780000000001</v>
      </c>
      <c r="L2700">
        <v>284.4667</v>
      </c>
      <c r="M2700">
        <v>-0.96718519999999997</v>
      </c>
      <c r="N2700">
        <v>-1.441339E-2</v>
      </c>
      <c r="O2700">
        <v>-0.25366379999999999</v>
      </c>
      <c r="P2700">
        <v>-0.67915139999999996</v>
      </c>
      <c r="Q2700">
        <v>-6.9585629999999996E-2</v>
      </c>
      <c r="R2700">
        <v>-0.73069280000000003</v>
      </c>
      <c r="S2700">
        <v>-1.1165160000000001</v>
      </c>
      <c r="T2700">
        <v>-0.37300499999999998</v>
      </c>
      <c r="U2700">
        <v>-3.0449519999999999</v>
      </c>
      <c r="V2700">
        <v>-0.53365940000000001</v>
      </c>
      <c r="W2700">
        <v>-6.4741060000000003E-2</v>
      </c>
      <c r="X2700">
        <v>0.84321780000000002</v>
      </c>
      <c r="Y2700">
        <v>-0.81640740000000001</v>
      </c>
      <c r="Z2700">
        <v>-3.9325819999999997E-2</v>
      </c>
      <c r="AA2700">
        <v>0.57613579999999998</v>
      </c>
      <c r="AB2700">
        <v>18</v>
      </c>
      <c r="AC2700">
        <v>-3.2649000000000101</v>
      </c>
      <c r="AD2700">
        <v>-1.126676540072</v>
      </c>
      <c r="AE2700">
        <v>-9.1616999999999909</v>
      </c>
      <c r="AF2700">
        <v>-7.9273292688847601</v>
      </c>
      <c r="AG2700">
        <v>-1.126676540072</v>
      </c>
      <c r="AH2700">
        <v>5.4097294744706703</v>
      </c>
      <c r="AI2700">
        <v>96.695616541820002</v>
      </c>
      <c r="AJ2700">
        <v>145.68978083976199</v>
      </c>
      <c r="AK2700">
        <v>9.6631838619692196</v>
      </c>
      <c r="AL2700">
        <v>93.711985623741498</v>
      </c>
      <c r="AM2700">
        <v>122.329081913495</v>
      </c>
      <c r="AN2700">
        <v>1.00000000914756</v>
      </c>
    </row>
    <row r="2701" spans="1:40" x14ac:dyDescent="0.25">
      <c r="A2701" t="str">
        <f>"20190303154821019"</f>
        <v>20190303154821019</v>
      </c>
      <c r="B2701" t="str">
        <f>"1551599301013619"</f>
        <v>1551599301013619</v>
      </c>
      <c r="C2701" t="s">
        <v>40</v>
      </c>
      <c r="D2701">
        <v>4.6646979999999996</v>
      </c>
      <c r="E2701">
        <v>0.33952650000000001</v>
      </c>
      <c r="F2701" t="s">
        <v>47</v>
      </c>
      <c r="G2701">
        <v>-485.16820000000001</v>
      </c>
      <c r="H2701" s="1">
        <v>1.4487349999999999E-6</v>
      </c>
      <c r="I2701">
        <v>275.21839999999997</v>
      </c>
      <c r="J2701">
        <v>-481.9984</v>
      </c>
      <c r="K2701">
        <v>1.1267130000000001</v>
      </c>
      <c r="L2701">
        <v>284.41860000000003</v>
      </c>
      <c r="M2701">
        <v>-0.9647926</v>
      </c>
      <c r="N2701">
        <v>-1.4432270000000001E-2</v>
      </c>
      <c r="O2701">
        <v>-0.26261580000000001</v>
      </c>
      <c r="P2701">
        <v>-0.67259799999999903</v>
      </c>
      <c r="Q2701">
        <v>-6.8432699999999999E-2</v>
      </c>
      <c r="R2701">
        <v>-0.73683759999999998</v>
      </c>
      <c r="S2701">
        <v>-1.0932919999999999</v>
      </c>
      <c r="T2701">
        <v>-0.37206909999999999</v>
      </c>
      <c r="U2701">
        <v>-3.0541079999999998</v>
      </c>
      <c r="V2701">
        <v>-0.53349279999999999</v>
      </c>
      <c r="W2701">
        <v>-6.3599909999999996E-2</v>
      </c>
      <c r="X2701">
        <v>0.84341010000000005</v>
      </c>
      <c r="Y2701">
        <v>-0.81559589999999904</v>
      </c>
      <c r="Z2701">
        <v>-3.8090579999999999E-2</v>
      </c>
      <c r="AA2701">
        <v>0.57736690000000002</v>
      </c>
      <c r="AB2701">
        <v>18</v>
      </c>
      <c r="AC2701">
        <v>-3.1698</v>
      </c>
      <c r="AD2701">
        <v>-1.1267115512650001</v>
      </c>
      <c r="AE2701">
        <v>-9.2002000000000503</v>
      </c>
      <c r="AF2701">
        <v>-7.9382584832986698</v>
      </c>
      <c r="AG2701">
        <v>-1.1267115512650001</v>
      </c>
      <c r="AH2701">
        <v>5.4024593169530997</v>
      </c>
      <c r="AI2701">
        <v>96.692411128997705</v>
      </c>
      <c r="AJ2701">
        <v>145.762372439675</v>
      </c>
      <c r="AK2701">
        <v>9.6680915044671902</v>
      </c>
      <c r="AL2701">
        <v>93.646467332980905</v>
      </c>
      <c r="AM2701">
        <v>122.315095552184</v>
      </c>
      <c r="AN2701">
        <v>1.0000000564929199</v>
      </c>
    </row>
    <row r="2702" spans="1:40" x14ac:dyDescent="0.25">
      <c r="A2702" t="str">
        <f>"20190303154821034"</f>
        <v>20190303154821034</v>
      </c>
      <c r="B2702" t="str">
        <f>"1551599301023379"</f>
        <v>1551599301023379</v>
      </c>
      <c r="C2702" t="s">
        <v>40</v>
      </c>
      <c r="D2702">
        <v>4.6414559999999998</v>
      </c>
      <c r="E2702">
        <v>0.33950469999999999</v>
      </c>
      <c r="F2702" t="s">
        <v>47</v>
      </c>
      <c r="G2702">
        <v>-485.2638</v>
      </c>
      <c r="H2702" s="1">
        <v>1.425969E-6</v>
      </c>
      <c r="I2702">
        <v>275.041</v>
      </c>
      <c r="J2702">
        <v>-482.09840000000003</v>
      </c>
      <c r="K2702">
        <v>1.126733</v>
      </c>
      <c r="L2702">
        <v>284.38319999999999</v>
      </c>
      <c r="M2702">
        <v>-0.96301950000000003</v>
      </c>
      <c r="N2702">
        <v>-1.444438E-2</v>
      </c>
      <c r="O2702">
        <v>-0.26904470000000003</v>
      </c>
      <c r="P2702">
        <v>-0.66786420000000002</v>
      </c>
      <c r="Q2702">
        <v>-6.7519640000000006E-2</v>
      </c>
      <c r="R2702">
        <v>-0.74121459999999995</v>
      </c>
      <c r="S2702">
        <v>-1.0667719999999901</v>
      </c>
      <c r="T2702">
        <v>-0.3680793</v>
      </c>
      <c r="U2702">
        <v>-3.063507</v>
      </c>
      <c r="V2702">
        <v>-0.53336130000000004</v>
      </c>
      <c r="W2702">
        <v>-6.2692970000000001E-2</v>
      </c>
      <c r="X2702">
        <v>0.84356119999999901</v>
      </c>
      <c r="Y2702">
        <v>-0.81685819999999998</v>
      </c>
      <c r="Z2702">
        <v>-3.7224760000000003E-2</v>
      </c>
      <c r="AA2702">
        <v>0.57563629999999999</v>
      </c>
      <c r="AB2702">
        <v>18</v>
      </c>
      <c r="AC2702">
        <v>-3.1653999999999698</v>
      </c>
      <c r="AD2702">
        <v>-1.126731574031</v>
      </c>
      <c r="AE2702">
        <v>-9.3421999999999894</v>
      </c>
      <c r="AF2702">
        <v>-8.0410163285783192</v>
      </c>
      <c r="AG2702">
        <v>-1.126731574031</v>
      </c>
      <c r="AH2702">
        <v>5.4907476634017103</v>
      </c>
      <c r="AI2702">
        <v>96.600810368562506</v>
      </c>
      <c r="AJ2702">
        <v>145.67307804676301</v>
      </c>
      <c r="AK2702">
        <v>9.8018252147002105</v>
      </c>
      <c r="AL2702">
        <v>93.594399460851307</v>
      </c>
      <c r="AM2702">
        <v>122.30407837948999</v>
      </c>
      <c r="AN2702">
        <v>1.00000009148527</v>
      </c>
    </row>
    <row r="2703" spans="1:40" x14ac:dyDescent="0.25">
      <c r="A2703" t="str">
        <f>"20190303154821047"</f>
        <v>20190303154821047</v>
      </c>
      <c r="B2703" t="str">
        <f>"1551599301042900"</f>
        <v>1551599301042900</v>
      </c>
      <c r="C2703" t="s">
        <v>40</v>
      </c>
      <c r="D2703">
        <v>4.6393700000000004</v>
      </c>
      <c r="E2703">
        <v>0.33955469999999999</v>
      </c>
      <c r="F2703" t="s">
        <v>47</v>
      </c>
      <c r="G2703">
        <v>-485.32740000000001</v>
      </c>
      <c r="H2703" s="1">
        <v>1.4086379999999999E-6</v>
      </c>
      <c r="I2703">
        <v>274.91059999999999</v>
      </c>
      <c r="J2703">
        <v>-482.19810000000001</v>
      </c>
      <c r="K2703">
        <v>1.1267529999999999</v>
      </c>
      <c r="L2703">
        <v>284.34750000000003</v>
      </c>
      <c r="M2703">
        <v>-0.96119980000000005</v>
      </c>
      <c r="N2703">
        <v>-1.4456190000000001E-2</v>
      </c>
      <c r="O2703">
        <v>-0.27547440000000001</v>
      </c>
      <c r="P2703">
        <v>-0.66312550000000003</v>
      </c>
      <c r="Q2703">
        <v>-6.6624639999999999E-2</v>
      </c>
      <c r="R2703">
        <v>-0.74553719999999901</v>
      </c>
      <c r="S2703">
        <v>-1.046783</v>
      </c>
      <c r="T2703">
        <v>-0.36527369999999998</v>
      </c>
      <c r="U2703">
        <v>-3.0709230000000001</v>
      </c>
      <c r="V2703">
        <v>-0.53318980000000005</v>
      </c>
      <c r="W2703">
        <v>-6.1802280000000001E-2</v>
      </c>
      <c r="X2703">
        <v>0.84373519999999902</v>
      </c>
      <c r="Y2703">
        <v>-0.81689299999999998</v>
      </c>
      <c r="Z2703">
        <v>-3.6282700000000001E-2</v>
      </c>
      <c r="AA2703">
        <v>0.57564689999999996</v>
      </c>
      <c r="AB2703">
        <v>18</v>
      </c>
      <c r="AC2703">
        <v>-3.1293000000000002</v>
      </c>
      <c r="AD2703">
        <v>-1.1267515913619901</v>
      </c>
      <c r="AE2703">
        <v>-9.4369000000000298</v>
      </c>
      <c r="AF2703">
        <v>-8.1054573915668406</v>
      </c>
      <c r="AG2703">
        <v>-1.1267515913619901</v>
      </c>
      <c r="AH2703">
        <v>5.5369771274396502</v>
      </c>
      <c r="AI2703">
        <v>96.548074301724697</v>
      </c>
      <c r="AJ2703">
        <v>145.66234627693001</v>
      </c>
      <c r="AK2703">
        <v>9.8805933215031292</v>
      </c>
      <c r="AL2703">
        <v>93.543267901272102</v>
      </c>
      <c r="AM2703">
        <v>122.290419100867</v>
      </c>
      <c r="AN2703">
        <v>0.99999998617813901</v>
      </c>
    </row>
    <row r="2704" spans="1:40" x14ac:dyDescent="0.25">
      <c r="A2704" t="str">
        <f>"20190303154821062"</f>
        <v>20190303154821062</v>
      </c>
      <c r="B2704" t="str">
        <f>"1551599301053635"</f>
        <v>1551599301053635</v>
      </c>
      <c r="C2704" t="s">
        <v>40</v>
      </c>
      <c r="D2704">
        <v>4.6310669999999998</v>
      </c>
      <c r="E2704">
        <v>0.33938459999999998</v>
      </c>
      <c r="F2704" t="s">
        <v>47</v>
      </c>
      <c r="G2704">
        <v>-485.40410000000003</v>
      </c>
      <c r="H2704" s="1">
        <v>1.3872109999999999E-6</v>
      </c>
      <c r="I2704">
        <v>274.75029999999998</v>
      </c>
      <c r="J2704">
        <v>-482.30759999999998</v>
      </c>
      <c r="K2704">
        <v>1.126773</v>
      </c>
      <c r="L2704">
        <v>284.3073</v>
      </c>
      <c r="M2704">
        <v>-0.95913230000000005</v>
      </c>
      <c r="N2704">
        <v>-1.446894E-2</v>
      </c>
      <c r="O2704">
        <v>-0.2825877</v>
      </c>
      <c r="P2704">
        <v>-0.658134</v>
      </c>
      <c r="Q2704">
        <v>-6.5977569999999999E-2</v>
      </c>
      <c r="R2704">
        <v>-0.75000409999999995</v>
      </c>
      <c r="S2704">
        <v>-1.0279849999999999</v>
      </c>
      <c r="T2704">
        <v>-0.36128650000000001</v>
      </c>
      <c r="U2704">
        <v>-3.0772710000000001</v>
      </c>
      <c r="V2704">
        <v>-0.53263289999999996</v>
      </c>
      <c r="W2704">
        <v>-6.1150709999999997E-2</v>
      </c>
      <c r="X2704">
        <v>0.8441343</v>
      </c>
      <c r="Y2704">
        <v>-0.81628120000000004</v>
      </c>
      <c r="Z2704">
        <v>-3.5110870000000002E-2</v>
      </c>
      <c r="AA2704">
        <v>0.57658679999999995</v>
      </c>
      <c r="AB2704">
        <v>18</v>
      </c>
      <c r="AC2704">
        <v>-3.0965000000000402</v>
      </c>
      <c r="AD2704">
        <v>-1.126771612789</v>
      </c>
      <c r="AE2704">
        <v>-9.5570000000000093</v>
      </c>
      <c r="AF2704">
        <v>-8.1892435901880596</v>
      </c>
      <c r="AG2704">
        <v>-1.126771612789</v>
      </c>
      <c r="AH2704">
        <v>5.6007807955644404</v>
      </c>
      <c r="AI2704">
        <v>96.479365793642003</v>
      </c>
      <c r="AJ2704">
        <v>145.63102673470999</v>
      </c>
      <c r="AK2704">
        <v>9.9850924065221793</v>
      </c>
      <c r="AL2704">
        <v>93.505865013455306</v>
      </c>
      <c r="AM2704">
        <v>122.251156469308</v>
      </c>
      <c r="AN2704">
        <v>0.999999965966201</v>
      </c>
    </row>
    <row r="2705" spans="1:40" x14ac:dyDescent="0.25">
      <c r="A2705" t="str">
        <f>"20190303154821076"</f>
        <v>20190303154821076</v>
      </c>
      <c r="B2705" t="str">
        <f>"1551599301063395"</f>
        <v>1551599301063395</v>
      </c>
      <c r="C2705" t="s">
        <v>40</v>
      </c>
      <c r="D2705">
        <v>4.7577629999999997</v>
      </c>
      <c r="E2705">
        <v>0.33924680000000002</v>
      </c>
      <c r="F2705" t="s">
        <v>47</v>
      </c>
      <c r="G2705">
        <v>-485.47309999999999</v>
      </c>
      <c r="H2705" s="1">
        <v>1.3644809999999999E-6</v>
      </c>
      <c r="I2705">
        <v>274.60149999999999</v>
      </c>
      <c r="J2705">
        <v>-482.41239999999999</v>
      </c>
      <c r="K2705">
        <v>1.1267910000000001</v>
      </c>
      <c r="L2705">
        <v>284.26769999999999</v>
      </c>
      <c r="M2705">
        <v>-0.95708110000000002</v>
      </c>
      <c r="N2705">
        <v>-1.448108E-2</v>
      </c>
      <c r="O2705">
        <v>-0.2894582</v>
      </c>
      <c r="P2705">
        <v>-0.65346749999999998</v>
      </c>
      <c r="Q2705">
        <v>-6.5518599999999996E-2</v>
      </c>
      <c r="R2705">
        <v>-0.7541139</v>
      </c>
      <c r="S2705">
        <v>-1.0062869999999999</v>
      </c>
      <c r="T2705">
        <v>-0.35819400000000001</v>
      </c>
      <c r="U2705">
        <v>-3.0854189999999999</v>
      </c>
      <c r="V2705">
        <v>-0.53186160000000005</v>
      </c>
      <c r="W2705">
        <v>-6.0679589999999999E-2</v>
      </c>
      <c r="X2705">
        <v>0.84465449999999997</v>
      </c>
      <c r="Y2705">
        <v>-0.81636549999999997</v>
      </c>
      <c r="Z2705">
        <v>-3.4127369999999997E-2</v>
      </c>
      <c r="AA2705">
        <v>0.57652630000000005</v>
      </c>
      <c r="AB2705">
        <v>18</v>
      </c>
      <c r="AC2705">
        <v>-3.06069999999999</v>
      </c>
      <c r="AD2705">
        <v>-1.1267896355189999</v>
      </c>
      <c r="AE2705">
        <v>-9.6661999999999999</v>
      </c>
      <c r="AF2705">
        <v>-8.2642042832752995</v>
      </c>
      <c r="AG2705">
        <v>-1.1267896355189999</v>
      </c>
      <c r="AH2705">
        <v>5.6580211949470698</v>
      </c>
      <c r="AI2705">
        <v>96.419044804042898</v>
      </c>
      <c r="AJ2705">
        <v>145.60282069962699</v>
      </c>
      <c r="AK2705">
        <v>10.078686976034501</v>
      </c>
      <c r="AL2705">
        <v>93.478821487567103</v>
      </c>
      <c r="AM2705">
        <v>122.197778945571</v>
      </c>
      <c r="AN2705">
        <v>0.99999999928368799</v>
      </c>
    </row>
    <row r="2706" spans="1:40" x14ac:dyDescent="0.25">
      <c r="A2706" t="str">
        <f>"20190303154821088"</f>
        <v>20190303154821088</v>
      </c>
      <c r="B2706" t="str">
        <f>"1551599301082915"</f>
        <v>1551599301082915</v>
      </c>
      <c r="C2706" t="s">
        <v>40</v>
      </c>
      <c r="D2706">
        <v>4.7390080000000001</v>
      </c>
      <c r="E2706">
        <v>0.3391092</v>
      </c>
      <c r="F2706" t="s">
        <v>47</v>
      </c>
      <c r="G2706">
        <v>-485.54939999999999</v>
      </c>
      <c r="H2706" s="1">
        <v>1.309635E-6</v>
      </c>
      <c r="I2706">
        <v>274.42720000000003</v>
      </c>
      <c r="J2706">
        <v>-482.50650000000002</v>
      </c>
      <c r="K2706">
        <v>1.1268039999999999</v>
      </c>
      <c r="L2706">
        <v>284.23140000000001</v>
      </c>
      <c r="M2706">
        <v>-0.95518539999999996</v>
      </c>
      <c r="N2706">
        <v>-1.4491520000000001E-2</v>
      </c>
      <c r="O2706">
        <v>-0.29565340000000001</v>
      </c>
      <c r="P2706">
        <v>-0.65041260000000001</v>
      </c>
      <c r="Q2706">
        <v>-6.5289860000000005E-2</v>
      </c>
      <c r="R2706">
        <v>-0.75676969999999899</v>
      </c>
      <c r="S2706">
        <v>-0.98599239999999999</v>
      </c>
      <c r="T2706">
        <v>-0.35416229999999999</v>
      </c>
      <c r="U2706">
        <v>-3.0929869999999999</v>
      </c>
      <c r="V2706">
        <v>-0.52982600000000002</v>
      </c>
      <c r="W2706">
        <v>-6.0407009999999997E-2</v>
      </c>
      <c r="X2706">
        <v>0.84595239999999905</v>
      </c>
      <c r="Y2706">
        <v>-0.81658609999999998</v>
      </c>
      <c r="Z2706">
        <v>-3.3192399999999997E-2</v>
      </c>
      <c r="AA2706">
        <v>0.57626860000000002</v>
      </c>
      <c r="AB2706">
        <v>18</v>
      </c>
      <c r="AC2706">
        <v>-3.0428999999999702</v>
      </c>
      <c r="AD2706">
        <v>-1.1268026903649999</v>
      </c>
      <c r="AE2706">
        <v>-9.8041999999999803</v>
      </c>
      <c r="AF2706">
        <v>-8.3652849203757498</v>
      </c>
      <c r="AG2706">
        <v>-1.1268026903649999</v>
      </c>
      <c r="AH2706">
        <v>5.7366701582866302</v>
      </c>
      <c r="AI2706">
        <v>96.338879104345693</v>
      </c>
      <c r="AJ2706">
        <v>145.55879887447401</v>
      </c>
      <c r="AK2706">
        <v>10.205736651856901</v>
      </c>
      <c r="AL2706">
        <v>93.463174994906097</v>
      </c>
      <c r="AM2706">
        <v>122.05920627437899</v>
      </c>
      <c r="AN2706">
        <v>1.0000000300994401</v>
      </c>
    </row>
    <row r="2707" spans="1:40" x14ac:dyDescent="0.25">
      <c r="A2707" t="str">
        <f>"20190303154821103"</f>
        <v>20190303154821103</v>
      </c>
      <c r="B2707" t="str">
        <f>"1551599301093651"</f>
        <v>1551599301093651</v>
      </c>
      <c r="C2707" t="s">
        <v>40</v>
      </c>
      <c r="D2707">
        <v>4.7489660000000002</v>
      </c>
      <c r="E2707">
        <v>0.33917269999999999</v>
      </c>
      <c r="F2707" t="s">
        <v>47</v>
      </c>
      <c r="G2707">
        <v>-485.64510000000001</v>
      </c>
      <c r="H2707" s="1">
        <v>1.2520299999999901E-6</v>
      </c>
      <c r="I2707">
        <v>274.24020000000002</v>
      </c>
      <c r="J2707">
        <v>-482.61270000000002</v>
      </c>
      <c r="K2707">
        <v>1.126816</v>
      </c>
      <c r="L2707">
        <v>284.18979999999999</v>
      </c>
      <c r="M2707">
        <v>-0.95298090000000002</v>
      </c>
      <c r="N2707">
        <v>-1.450283E-2</v>
      </c>
      <c r="O2707">
        <v>-0.30268339999999999</v>
      </c>
      <c r="P2707">
        <v>-0.64609439999999996</v>
      </c>
      <c r="Q2707">
        <v>-6.5363409999999997E-2</v>
      </c>
      <c r="R2707">
        <v>-0.76045359999999995</v>
      </c>
      <c r="S2707">
        <v>-0.97311400000000003</v>
      </c>
      <c r="T2707">
        <v>-0.34935749999999999</v>
      </c>
      <c r="U2707">
        <v>-3.0977169999999998</v>
      </c>
      <c r="V2707">
        <v>-0.52840109999999996</v>
      </c>
      <c r="W2707">
        <v>-6.0449910000000003E-2</v>
      </c>
      <c r="X2707">
        <v>0.84684009999999998</v>
      </c>
      <c r="Y2707">
        <v>-0.81492119999999901</v>
      </c>
      <c r="Z2707">
        <v>-3.1893409999999997E-2</v>
      </c>
      <c r="AA2707">
        <v>0.57869359999999903</v>
      </c>
      <c r="AB2707">
        <v>18</v>
      </c>
      <c r="AC2707">
        <v>-3.0323999999999902</v>
      </c>
      <c r="AD2707">
        <v>-1.1268147479699999</v>
      </c>
      <c r="AE2707">
        <v>-9.94959999999997</v>
      </c>
      <c r="AF2707">
        <v>-8.4654713910872808</v>
      </c>
      <c r="AG2707">
        <v>-1.1268147479699999</v>
      </c>
      <c r="AH2707">
        <v>5.8335559887590902</v>
      </c>
      <c r="AI2707">
        <v>96.254876181736094</v>
      </c>
      <c r="AJ2707">
        <v>145.42927482286399</v>
      </c>
      <c r="AK2707">
        <v>10.342354317250299</v>
      </c>
      <c r="AL2707">
        <v>93.465637468508206</v>
      </c>
      <c r="AM2707">
        <v>121.96284243380001</v>
      </c>
      <c r="AN2707">
        <v>1.00000003453411</v>
      </c>
    </row>
    <row r="2708" spans="1:40" x14ac:dyDescent="0.25">
      <c r="A2708" t="str">
        <f>"20190303154821120"</f>
        <v>20190303154821120</v>
      </c>
      <c r="B2708" t="str">
        <f>"1551599301113149"</f>
        <v>1551599301113149</v>
      </c>
      <c r="C2708" t="s">
        <v>40</v>
      </c>
      <c r="D2708">
        <v>4.8329950000000004</v>
      </c>
      <c r="E2708">
        <v>0.34017770000000003</v>
      </c>
      <c r="F2708" t="s">
        <v>47</v>
      </c>
      <c r="G2708">
        <v>-485.70760000000001</v>
      </c>
      <c r="H2708" s="1">
        <v>1.220975E-6</v>
      </c>
      <c r="I2708">
        <v>274.13670000000002</v>
      </c>
      <c r="J2708">
        <v>-482.7439</v>
      </c>
      <c r="K2708">
        <v>1.126824</v>
      </c>
      <c r="L2708">
        <v>284.137</v>
      </c>
      <c r="M2708">
        <v>-0.95016210000000001</v>
      </c>
      <c r="N2708">
        <v>-1.451554E-2</v>
      </c>
      <c r="O2708">
        <v>-0.31141780000000002</v>
      </c>
      <c r="P2708">
        <v>-0.64142809999999995</v>
      </c>
      <c r="Q2708">
        <v>-6.5274799999999994E-2</v>
      </c>
      <c r="R2708">
        <v>-0.76440109999999994</v>
      </c>
      <c r="S2708">
        <v>-0.95538330000000005</v>
      </c>
      <c r="T2708">
        <v>-0.3478446</v>
      </c>
      <c r="U2708">
        <v>-3.1033629999999999</v>
      </c>
      <c r="V2708">
        <v>-0.52581860000000002</v>
      </c>
      <c r="W2708">
        <v>-6.0303229999999999E-2</v>
      </c>
      <c r="X2708">
        <v>0.8484564</v>
      </c>
      <c r="Y2708">
        <v>-0.81302369999999902</v>
      </c>
      <c r="Z2708">
        <v>-3.0586800000000001E-2</v>
      </c>
      <c r="AA2708">
        <v>0.58142649999999996</v>
      </c>
      <c r="AB2708">
        <v>18</v>
      </c>
      <c r="AC2708">
        <v>-2.96370000000001</v>
      </c>
      <c r="AD2708">
        <v>-1.1268227790250001</v>
      </c>
      <c r="AE2708">
        <v>-10.0002999999999</v>
      </c>
      <c r="AF2708">
        <v>-8.4808780693597097</v>
      </c>
      <c r="AG2708">
        <v>-1.1268227790250001</v>
      </c>
      <c r="AH2708">
        <v>5.8624689837454103</v>
      </c>
      <c r="AI2708">
        <v>96.237403132216897</v>
      </c>
      <c r="AJ2708">
        <v>145.34554971713399</v>
      </c>
      <c r="AK2708">
        <v>10.371285599579799</v>
      </c>
      <c r="AL2708">
        <v>93.457218183208099</v>
      </c>
      <c r="AM2708">
        <v>121.787967116255</v>
      </c>
      <c r="AN2708">
        <v>0.99999997117767603</v>
      </c>
    </row>
    <row r="2709" spans="1:40" x14ac:dyDescent="0.25">
      <c r="A2709" t="str">
        <f>"20190303154821136"</f>
        <v>20190303154821136</v>
      </c>
      <c r="B2709" t="str">
        <f>"1551599301123886"</f>
        <v>1551599301123886</v>
      </c>
      <c r="C2709" t="s">
        <v>40</v>
      </c>
      <c r="D2709">
        <v>4.8280390000000004</v>
      </c>
      <c r="E2709">
        <v>0.34017770000000003</v>
      </c>
      <c r="F2709" t="s">
        <v>47</v>
      </c>
      <c r="G2709">
        <v>-485.8494</v>
      </c>
      <c r="H2709" s="1">
        <v>1.153743E-6</v>
      </c>
      <c r="I2709">
        <v>273.91090000000003</v>
      </c>
      <c r="J2709">
        <v>-482.8546</v>
      </c>
      <c r="K2709">
        <v>1.1268290000000001</v>
      </c>
      <c r="L2709">
        <v>284.09100000000001</v>
      </c>
      <c r="M2709">
        <v>-0.94769519999999996</v>
      </c>
      <c r="N2709">
        <v>-1.452529E-2</v>
      </c>
      <c r="O2709">
        <v>-0.31884639999999997</v>
      </c>
      <c r="P2709">
        <v>-0.63670119999999997</v>
      </c>
      <c r="Q2709">
        <v>-6.5519910000000001E-2</v>
      </c>
      <c r="R2709">
        <v>-0.76832219999999996</v>
      </c>
      <c r="S2709">
        <v>-0.94277949999999999</v>
      </c>
      <c r="T2709">
        <v>-0.34208110000000003</v>
      </c>
      <c r="U2709">
        <v>-3.1044309999999999</v>
      </c>
      <c r="V2709">
        <v>-0.52438660000000004</v>
      </c>
      <c r="W2709">
        <v>-6.0515310000000003E-2</v>
      </c>
      <c r="X2709">
        <v>0.8493271</v>
      </c>
      <c r="Y2709">
        <v>-0.81084419999999902</v>
      </c>
      <c r="Z2709">
        <v>-2.919735E-2</v>
      </c>
      <c r="AA2709">
        <v>0.58453350000000004</v>
      </c>
      <c r="AB2709">
        <v>18</v>
      </c>
      <c r="AC2709">
        <v>-2.9947999999999899</v>
      </c>
      <c r="AD2709">
        <v>-1.1268278462570001</v>
      </c>
      <c r="AE2709">
        <v>-10.1800999999999</v>
      </c>
      <c r="AF2709">
        <v>-8.5967282468797706</v>
      </c>
      <c r="AG2709">
        <v>-1.1268278462570001</v>
      </c>
      <c r="AH2709">
        <v>6.0168398167619204</v>
      </c>
      <c r="AI2709">
        <v>96.129335254900994</v>
      </c>
      <c r="AJ2709">
        <v>145.011871338112</v>
      </c>
      <c r="AK2709">
        <v>10.553475206128599</v>
      </c>
      <c r="AL2709">
        <v>93.469391723433603</v>
      </c>
      <c r="AM2709">
        <v>121.691770500144</v>
      </c>
      <c r="AN2709">
        <v>0.99999996589918205</v>
      </c>
    </row>
    <row r="2710" spans="1:40" x14ac:dyDescent="0.25">
      <c r="A2710" t="str">
        <f>"20190303154821156"</f>
        <v>20190303154821156</v>
      </c>
      <c r="B2710" t="str">
        <f>"1551599301143406"</f>
        <v>1551599301143406</v>
      </c>
      <c r="C2710" t="s">
        <v>40</v>
      </c>
      <c r="D2710">
        <v>4.9288349999999896</v>
      </c>
      <c r="E2710">
        <v>0.39608480000000001</v>
      </c>
      <c r="F2710" t="s">
        <v>47</v>
      </c>
      <c r="G2710">
        <v>-485.90230000000003</v>
      </c>
      <c r="H2710" s="1">
        <v>1.128565E-6</v>
      </c>
      <c r="I2710">
        <v>273.82639999999998</v>
      </c>
      <c r="J2710">
        <v>-482.9966</v>
      </c>
      <c r="K2710">
        <v>1.126825</v>
      </c>
      <c r="L2710">
        <v>284.03059999999999</v>
      </c>
      <c r="M2710">
        <v>-0.94441710000000001</v>
      </c>
      <c r="N2710">
        <v>-1.45369E-2</v>
      </c>
      <c r="O2710">
        <v>-0.3284282</v>
      </c>
      <c r="P2710">
        <v>-0.63209479999999996</v>
      </c>
      <c r="Q2710">
        <v>-6.597944E-2</v>
      </c>
      <c r="R2710">
        <v>-0.77207709999999996</v>
      </c>
      <c r="S2710">
        <v>-0.92346189999999995</v>
      </c>
      <c r="T2710">
        <v>-0.3414295</v>
      </c>
      <c r="U2710">
        <v>-3.1101679999999998</v>
      </c>
      <c r="V2710">
        <v>-0.52082039999999996</v>
      </c>
      <c r="W2710">
        <v>-6.0890729999999997E-2</v>
      </c>
      <c r="X2710">
        <v>0.85149189999999997</v>
      </c>
      <c r="Y2710">
        <v>-0.80863949999999996</v>
      </c>
      <c r="Z2710">
        <v>-2.783304E-2</v>
      </c>
      <c r="AA2710">
        <v>0.58764569999999905</v>
      </c>
      <c r="AB2710">
        <v>18</v>
      </c>
      <c r="AC2710">
        <v>-2.9057000000000199</v>
      </c>
      <c r="AD2710">
        <v>-1.1268238714350001</v>
      </c>
      <c r="AE2710">
        <v>-10.2042</v>
      </c>
      <c r="AF2710">
        <v>-8.5867690401198296</v>
      </c>
      <c r="AG2710">
        <v>-1.1268238714350001</v>
      </c>
      <c r="AH2710">
        <v>6.0281881649890501</v>
      </c>
      <c r="AI2710">
        <v>96.130265393258597</v>
      </c>
      <c r="AJ2710">
        <v>144.92990996736299</v>
      </c>
      <c r="AK2710">
        <v>10.5518428313783</v>
      </c>
      <c r="AL2710">
        <v>93.490941281987403</v>
      </c>
      <c r="AM2710">
        <v>121.452304190905</v>
      </c>
      <c r="AN2710">
        <v>1.0000000129108499</v>
      </c>
    </row>
    <row r="2711" spans="1:40" x14ac:dyDescent="0.25">
      <c r="A2711" t="str">
        <f>"20190303154821177"</f>
        <v>20190303154821177</v>
      </c>
      <c r="B2711" t="str">
        <f>"1551599301173661"</f>
        <v>1551599301173661</v>
      </c>
      <c r="C2711" t="s">
        <v>40</v>
      </c>
      <c r="D2711">
        <v>4.902107</v>
      </c>
      <c r="E2711">
        <v>0.40157399999999999</v>
      </c>
      <c r="F2711" t="s">
        <v>47</v>
      </c>
      <c r="G2711">
        <v>-488.22230000000002</v>
      </c>
      <c r="H2711" s="1">
        <v>7.5563500000000003E-7</v>
      </c>
      <c r="I2711">
        <v>272.18939999999998</v>
      </c>
      <c r="J2711">
        <v>-483.1497</v>
      </c>
      <c r="K2711">
        <v>1.1268149999999999</v>
      </c>
      <c r="L2711">
        <v>283.96359999999999</v>
      </c>
      <c r="M2711">
        <v>-0.9407354</v>
      </c>
      <c r="N2711">
        <v>-1.454884E-2</v>
      </c>
      <c r="O2711">
        <v>-0.338829299999999</v>
      </c>
      <c r="P2711">
        <v>-0.6253727</v>
      </c>
      <c r="Q2711">
        <v>-6.7781250000000001E-2</v>
      </c>
      <c r="R2711">
        <v>-0.77737719999999999</v>
      </c>
      <c r="S2711">
        <v>-1.252167</v>
      </c>
      <c r="T2711">
        <v>-0.27000990000000002</v>
      </c>
      <c r="U2711">
        <v>-2.837402</v>
      </c>
      <c r="V2711">
        <v>-0.51864089999999996</v>
      </c>
      <c r="W2711">
        <v>-6.2642929999999999E-2</v>
      </c>
      <c r="X2711">
        <v>0.85269430000000002</v>
      </c>
      <c r="Y2711">
        <v>-0.72185049999999995</v>
      </c>
      <c r="Z2711">
        <v>-1.6220769999999999E-2</v>
      </c>
      <c r="AA2711">
        <v>0.69185889999999906</v>
      </c>
      <c r="AB2711">
        <v>18</v>
      </c>
      <c r="AC2711">
        <v>-5.07260000000002</v>
      </c>
      <c r="AD2711">
        <v>-1.126814244365</v>
      </c>
      <c r="AE2711">
        <v>-11.7742</v>
      </c>
      <c r="AF2711">
        <v>-9.2869097944489098</v>
      </c>
      <c r="AG2711">
        <v>-1.126814244365</v>
      </c>
      <c r="AH2711">
        <v>8.6951749649536705</v>
      </c>
      <c r="AI2711">
        <v>95.061544837800994</v>
      </c>
      <c r="AJ2711">
        <v>136.88474689881099</v>
      </c>
      <c r="AK2711">
        <v>12.771940789977499</v>
      </c>
      <c r="AL2711">
        <v>93.591526902586594</v>
      </c>
      <c r="AM2711">
        <v>121.309547682935</v>
      </c>
      <c r="AN2711">
        <v>1.00000004454214</v>
      </c>
    </row>
    <row r="2712" spans="1:40" x14ac:dyDescent="0.25">
      <c r="A2712" t="str">
        <f>"20190303154821200"</f>
        <v>20190303154821200</v>
      </c>
      <c r="B2712" t="str">
        <f>"1551599301193180"</f>
        <v>1551599301193180</v>
      </c>
      <c r="C2712" t="s">
        <v>40</v>
      </c>
      <c r="D2712">
        <v>4.8820870000000003</v>
      </c>
      <c r="E2712">
        <v>0.4031459</v>
      </c>
      <c r="F2712" t="s">
        <v>47</v>
      </c>
      <c r="G2712">
        <v>-488.34089999999998</v>
      </c>
      <c r="H2712" s="1">
        <v>8.2673649999999895E-7</v>
      </c>
      <c r="I2712">
        <v>272.36070000000001</v>
      </c>
      <c r="J2712">
        <v>-483.3107</v>
      </c>
      <c r="K2712">
        <v>1.126811</v>
      </c>
      <c r="L2712">
        <v>283.89089999999999</v>
      </c>
      <c r="M2712">
        <v>-0.93669150000000001</v>
      </c>
      <c r="N2712">
        <v>-1.4561370000000001E-2</v>
      </c>
      <c r="O2712">
        <v>-0.34985319999999998</v>
      </c>
      <c r="P2712">
        <v>-0.617753199999999</v>
      </c>
      <c r="Q2712">
        <v>-7.0452119999999993E-2</v>
      </c>
      <c r="R2712">
        <v>-0.78320999999999996</v>
      </c>
      <c r="S2712">
        <v>-1.2618100000000001</v>
      </c>
      <c r="T2712">
        <v>-0.27389140000000001</v>
      </c>
      <c r="U2712">
        <v>-2.8202820000000002</v>
      </c>
      <c r="V2712">
        <v>-0.51669419999999999</v>
      </c>
      <c r="W2712">
        <v>-6.5274020000000002E-2</v>
      </c>
      <c r="X2712">
        <v>0.853678099999999</v>
      </c>
      <c r="Y2712">
        <v>-0.71015439999999996</v>
      </c>
      <c r="Z2712">
        <v>-1.4380179999999999E-2</v>
      </c>
      <c r="AA2712">
        <v>0.7038991</v>
      </c>
      <c r="AB2712">
        <v>18</v>
      </c>
      <c r="AC2712">
        <v>-5.0301999999999696</v>
      </c>
      <c r="AD2712">
        <v>-1.1268101732635001</v>
      </c>
      <c r="AE2712">
        <v>-11.530199999999899</v>
      </c>
      <c r="AF2712">
        <v>-8.9694004750181708</v>
      </c>
      <c r="AG2712">
        <v>-1.1268101732635001</v>
      </c>
      <c r="AH2712">
        <v>8.6769300665706997</v>
      </c>
      <c r="AI2712">
        <v>95.159388808743998</v>
      </c>
      <c r="AJ2712">
        <v>135.94953372037901</v>
      </c>
      <c r="AK2712">
        <v>12.530321680945899</v>
      </c>
      <c r="AL2712">
        <v>93.742586946614495</v>
      </c>
      <c r="AM2712">
        <v>121.18469453804001</v>
      </c>
      <c r="AN2712">
        <v>0.99999994621010302</v>
      </c>
    </row>
    <row r="2713" spans="1:40" x14ac:dyDescent="0.25">
      <c r="A2713" t="str">
        <f>"20190303154821222"</f>
        <v>20190303154821222</v>
      </c>
      <c r="B2713" t="str">
        <f>"1551599301213680"</f>
        <v>1551599301213680</v>
      </c>
      <c r="C2713" t="s">
        <v>40</v>
      </c>
      <c r="D2713">
        <v>4.8991550000000004</v>
      </c>
      <c r="E2713">
        <v>0.40420450000000002</v>
      </c>
      <c r="F2713" t="s">
        <v>47</v>
      </c>
      <c r="G2713">
        <v>-488.30849999999998</v>
      </c>
      <c r="H2713" s="1">
        <v>8.9007219999999896E-7</v>
      </c>
      <c r="I2713">
        <v>272.548</v>
      </c>
      <c r="J2713">
        <v>-483.46699999999998</v>
      </c>
      <c r="K2713">
        <v>1.1268049999999901</v>
      </c>
      <c r="L2713">
        <v>283.81790000000001</v>
      </c>
      <c r="M2713">
        <v>-0.93258989999999997</v>
      </c>
      <c r="N2713">
        <v>-1.4573569999999999E-2</v>
      </c>
      <c r="O2713">
        <v>-0.36064360000000001</v>
      </c>
      <c r="P2713">
        <v>-0.61036429999999997</v>
      </c>
      <c r="Q2713">
        <v>-7.2679389999999996E-2</v>
      </c>
      <c r="R2713">
        <v>-0.78877959999999903</v>
      </c>
      <c r="S2713">
        <v>-1.244202</v>
      </c>
      <c r="T2713">
        <v>-0.2805182</v>
      </c>
      <c r="U2713">
        <v>-2.8237920000000001</v>
      </c>
      <c r="V2713">
        <v>-0.5146423</v>
      </c>
      <c r="W2713">
        <v>-6.7461989999999999E-2</v>
      </c>
      <c r="X2713">
        <v>0.85474689999999998</v>
      </c>
      <c r="Y2713">
        <v>-0.70599080000000003</v>
      </c>
      <c r="Z2713">
        <v>-1.313723E-2</v>
      </c>
      <c r="AA2713">
        <v>0.70809909999999998</v>
      </c>
      <c r="AB2713">
        <v>18</v>
      </c>
      <c r="AC2713">
        <v>-4.8414999999999901</v>
      </c>
      <c r="AD2713">
        <v>-1.1268041099277999</v>
      </c>
      <c r="AE2713">
        <v>-11.2699</v>
      </c>
      <c r="AF2713">
        <v>-8.6917179231531705</v>
      </c>
      <c r="AG2713">
        <v>-1.1268041099277999</v>
      </c>
      <c r="AH2713">
        <v>8.5086556160373803</v>
      </c>
      <c r="AI2713">
        <v>95.292803431305501</v>
      </c>
      <c r="AJ2713">
        <v>135.60977173337801</v>
      </c>
      <c r="AK2713">
        <v>12.215271931076099</v>
      </c>
      <c r="AL2713">
        <v>93.868225068031094</v>
      </c>
      <c r="AM2713">
        <v>121.052106220399</v>
      </c>
      <c r="AN2713">
        <v>1.0000000400518201</v>
      </c>
    </row>
    <row r="2714" spans="1:40" x14ac:dyDescent="0.25">
      <c r="A2714" t="str">
        <f>"20190303154821243"</f>
        <v>20190303154821243</v>
      </c>
      <c r="B2714" t="str">
        <f>"1551599301233198"</f>
        <v>1551599301233198</v>
      </c>
      <c r="C2714" t="s">
        <v>40</v>
      </c>
      <c r="D2714">
        <v>4.8502179999999999</v>
      </c>
      <c r="E2714">
        <v>0.405254</v>
      </c>
      <c r="F2714" t="s">
        <v>47</v>
      </c>
      <c r="G2714">
        <v>-488.30099999999999</v>
      </c>
      <c r="H2714" s="1">
        <v>9.2309890000000003E-7</v>
      </c>
      <c r="I2714">
        <v>272.64330000000001</v>
      </c>
      <c r="J2714">
        <v>-483.62259999999998</v>
      </c>
      <c r="K2714">
        <v>1.126806</v>
      </c>
      <c r="L2714">
        <v>283.74279999999999</v>
      </c>
      <c r="M2714">
        <v>-0.9283304</v>
      </c>
      <c r="N2714">
        <v>-1.4585209999999999E-2</v>
      </c>
      <c r="O2714">
        <v>-0.37146990000000002</v>
      </c>
      <c r="P2714">
        <v>-0.60354469999999905</v>
      </c>
      <c r="Q2714">
        <v>-7.5495090000000001E-2</v>
      </c>
      <c r="R2714">
        <v>-0.79374709999999904</v>
      </c>
      <c r="S2714">
        <v>-1.224121</v>
      </c>
      <c r="T2714">
        <v>-0.28534569999999998</v>
      </c>
      <c r="U2714">
        <v>-2.8297729999999999</v>
      </c>
      <c r="V2714">
        <v>-0.51177779999999995</v>
      </c>
      <c r="W2714">
        <v>-7.0220560000000001E-2</v>
      </c>
      <c r="X2714">
        <v>0.85624330000000004</v>
      </c>
      <c r="Y2714">
        <v>-0.70252060000000005</v>
      </c>
      <c r="Z2714">
        <v>-1.187029E-2</v>
      </c>
      <c r="AA2714">
        <v>0.71156439999999999</v>
      </c>
      <c r="AB2714">
        <v>18</v>
      </c>
      <c r="AC2714">
        <v>-4.6784000000000097</v>
      </c>
      <c r="AD2714">
        <v>-1.1268050769011</v>
      </c>
      <c r="AE2714">
        <v>-11.0994999999999</v>
      </c>
      <c r="AF2714">
        <v>-8.4927080128031598</v>
      </c>
      <c r="AG2714">
        <v>-1.1268050769011</v>
      </c>
      <c r="AH2714">
        <v>8.3936766381063102</v>
      </c>
      <c r="AI2714">
        <v>95.390860333470002</v>
      </c>
      <c r="AJ2714">
        <v>135.33601122313999</v>
      </c>
      <c r="AK2714">
        <v>11.9937311366043</v>
      </c>
      <c r="AL2714">
        <v>94.026655483480496</v>
      </c>
      <c r="AM2714">
        <v>120.86681908490699</v>
      </c>
      <c r="AN2714">
        <v>1.00000001620722</v>
      </c>
    </row>
    <row r="2715" spans="1:40" x14ac:dyDescent="0.25">
      <c r="A2715" t="str">
        <f>"20190303154821266"</f>
        <v>20190303154821266</v>
      </c>
      <c r="B2715" t="str">
        <f>"1551599301263453"</f>
        <v>1551599301263453</v>
      </c>
      <c r="C2715" t="s">
        <v>40</v>
      </c>
      <c r="D2715">
        <v>4.8741250000000003</v>
      </c>
      <c r="E2715">
        <v>0.4065821</v>
      </c>
      <c r="F2715" t="s">
        <v>47</v>
      </c>
      <c r="G2715">
        <v>-488.2559</v>
      </c>
      <c r="H2715" s="1">
        <v>9.9182449999999991E-7</v>
      </c>
      <c r="I2715">
        <v>272.84910000000002</v>
      </c>
      <c r="J2715">
        <v>-483.78019999999998</v>
      </c>
      <c r="K2715">
        <v>1.1268</v>
      </c>
      <c r="L2715">
        <v>283.6644</v>
      </c>
      <c r="M2715">
        <v>-0.92383680000000001</v>
      </c>
      <c r="N2715">
        <v>-1.459529E-2</v>
      </c>
      <c r="O2715">
        <v>-0.38250830000000002</v>
      </c>
      <c r="P2715">
        <v>-0.59622629999999999</v>
      </c>
      <c r="Q2715">
        <v>-7.7562469999999994E-2</v>
      </c>
      <c r="R2715">
        <v>-0.79906069999999996</v>
      </c>
      <c r="S2715">
        <v>-1.205719</v>
      </c>
      <c r="T2715">
        <v>-0.29322710000000002</v>
      </c>
      <c r="U2715">
        <v>-2.8348689999999999</v>
      </c>
      <c r="V2715">
        <v>-0.50922780000000001</v>
      </c>
      <c r="W2715">
        <v>-7.2230580000000003E-2</v>
      </c>
      <c r="X2715">
        <v>0.85759529999999995</v>
      </c>
      <c r="Y2715">
        <v>-0.69837150000000003</v>
      </c>
      <c r="Z2715">
        <v>-1.046805E-2</v>
      </c>
      <c r="AA2715">
        <v>0.71565900000000005</v>
      </c>
      <c r="AB2715">
        <v>18</v>
      </c>
      <c r="AC2715">
        <v>-4.4757000000000096</v>
      </c>
      <c r="AD2715">
        <v>-1.1267990081754999</v>
      </c>
      <c r="AE2715">
        <v>-10.815299999999899</v>
      </c>
      <c r="AF2715">
        <v>-8.2044267395281292</v>
      </c>
      <c r="AG2715">
        <v>-1.1267990081754999</v>
      </c>
      <c r="AH2715">
        <v>8.1966763713516801</v>
      </c>
      <c r="AI2715">
        <v>95.549449993584901</v>
      </c>
      <c r="AJ2715">
        <v>135.02707521257099</v>
      </c>
      <c r="AK2715">
        <v>11.6519439436423</v>
      </c>
      <c r="AL2715">
        <v>94.1421146618043</v>
      </c>
      <c r="AM2715">
        <v>120.70123357693799</v>
      </c>
      <c r="AN2715">
        <v>0.99999995378103201</v>
      </c>
    </row>
    <row r="2716" spans="1:40" x14ac:dyDescent="0.25">
      <c r="A2716" t="str">
        <f>"20190303154821288"</f>
        <v>20190303154821288</v>
      </c>
      <c r="B2716" t="str">
        <f>"1551599301282976"</f>
        <v>1551599301282976</v>
      </c>
      <c r="C2716" t="s">
        <v>40</v>
      </c>
      <c r="D2716">
        <v>4.9015890000000004</v>
      </c>
      <c r="E2716">
        <v>0.40700510000000001</v>
      </c>
      <c r="F2716" t="s">
        <v>47</v>
      </c>
      <c r="G2716">
        <v>-488.28250000000003</v>
      </c>
      <c r="H2716" s="1">
        <v>1.0148879999999999E-6</v>
      </c>
      <c r="I2716">
        <v>272.9076</v>
      </c>
      <c r="J2716">
        <v>-483.93520000000001</v>
      </c>
      <c r="K2716">
        <v>1.126789</v>
      </c>
      <c r="L2716">
        <v>283.5849</v>
      </c>
      <c r="M2716">
        <v>-0.91924150000000004</v>
      </c>
      <c r="N2716">
        <v>-1.460301E-2</v>
      </c>
      <c r="O2716">
        <v>-0.39342310000000003</v>
      </c>
      <c r="P2716">
        <v>-0.58867749999999996</v>
      </c>
      <c r="Q2716">
        <v>-7.7986490000000006E-2</v>
      </c>
      <c r="R2716">
        <v>-0.80459709999999995</v>
      </c>
      <c r="S2716">
        <v>-1.188232</v>
      </c>
      <c r="T2716">
        <v>-0.29738130000000002</v>
      </c>
      <c r="U2716">
        <v>-2.8388979999999999</v>
      </c>
      <c r="V2716">
        <v>-0.50710250000000001</v>
      </c>
      <c r="W2716">
        <v>-7.259707E-2</v>
      </c>
      <c r="X2716">
        <v>0.8588228</v>
      </c>
      <c r="Y2716">
        <v>-0.69401309999999905</v>
      </c>
      <c r="Z2716">
        <v>-9.0011859999999996E-3</v>
      </c>
      <c r="AA2716">
        <v>0.71990609999999999</v>
      </c>
      <c r="AB2716">
        <v>18</v>
      </c>
      <c r="AC2716">
        <v>-4.3473000000000104</v>
      </c>
      <c r="AD2716">
        <v>-1.126787985112</v>
      </c>
      <c r="AE2716">
        <v>-10.677300000000001</v>
      </c>
      <c r="AF2716">
        <v>-8.0288527107911491</v>
      </c>
      <c r="AG2716">
        <v>-1.126787985112</v>
      </c>
      <c r="AH2716">
        <v>8.12021575683214</v>
      </c>
      <c r="AI2716">
        <v>95.6353619072881</v>
      </c>
      <c r="AJ2716">
        <v>134.675853681354</v>
      </c>
      <c r="AK2716">
        <v>11.474756248063599</v>
      </c>
      <c r="AL2716">
        <v>94.163168319289099</v>
      </c>
      <c r="AM2716">
        <v>120.56024985225901</v>
      </c>
      <c r="AN2716">
        <v>0.99999994093933497</v>
      </c>
    </row>
    <row r="2717" spans="1:40" x14ac:dyDescent="0.25">
      <c r="A2717" t="str">
        <f>"20190303154821312"</f>
        <v>20190303154821312</v>
      </c>
      <c r="B2717" t="str">
        <f>"1551599301303469"</f>
        <v>1551599301303469</v>
      </c>
      <c r="C2717" t="s">
        <v>40</v>
      </c>
      <c r="D2717">
        <v>4.8880999999999997</v>
      </c>
      <c r="E2717">
        <v>0.40766190000000002</v>
      </c>
      <c r="F2717" t="s">
        <v>47</v>
      </c>
      <c r="G2717">
        <v>-488.36579999999998</v>
      </c>
      <c r="H2717" s="1">
        <v>9.6483250000000001E-7</v>
      </c>
      <c r="I2717">
        <v>272.74509999999998</v>
      </c>
      <c r="J2717">
        <v>-484.0908</v>
      </c>
      <c r="K2717">
        <v>1.1267769999999999</v>
      </c>
      <c r="L2717">
        <v>283.5027</v>
      </c>
      <c r="M2717">
        <v>-0.91444999999999999</v>
      </c>
      <c r="N2717">
        <v>-1.460915E-2</v>
      </c>
      <c r="O2717">
        <v>-0.40443489999999999</v>
      </c>
      <c r="P2717">
        <v>-0.58087109999999997</v>
      </c>
      <c r="Q2717">
        <v>-7.8798889999999996E-2</v>
      </c>
      <c r="R2717">
        <v>-0.81017260000000002</v>
      </c>
      <c r="S2717">
        <v>-1.1641539999999999</v>
      </c>
      <c r="T2717">
        <v>-0.29606310000000002</v>
      </c>
      <c r="U2717">
        <v>-2.8481450000000001</v>
      </c>
      <c r="V2717">
        <v>-0.50501099999999999</v>
      </c>
      <c r="W2717">
        <v>-7.3346990000000001E-2</v>
      </c>
      <c r="X2717">
        <v>0.85999080000000006</v>
      </c>
      <c r="Y2717">
        <v>-0.69146929999999995</v>
      </c>
      <c r="Z2717">
        <v>-7.695548E-3</v>
      </c>
      <c r="AA2717">
        <v>0.72236489999999998</v>
      </c>
      <c r="AB2717">
        <v>18</v>
      </c>
      <c r="AC2717">
        <v>-4.2749999999999702</v>
      </c>
      <c r="AD2717">
        <v>-1.1267760351675</v>
      </c>
      <c r="AE2717">
        <v>-10.7576</v>
      </c>
      <c r="AF2717">
        <v>-8.0330832477407199</v>
      </c>
      <c r="AG2717">
        <v>-1.1267760351675</v>
      </c>
      <c r="AH2717">
        <v>8.1833700381233907</v>
      </c>
      <c r="AI2717">
        <v>95.611885528800101</v>
      </c>
      <c r="AJ2717">
        <v>134.46902370410601</v>
      </c>
      <c r="AK2717">
        <v>11.5224821926274</v>
      </c>
      <c r="AL2717">
        <v>94.206250040940304</v>
      </c>
      <c r="AM2717">
        <v>120.42266474648601</v>
      </c>
      <c r="AN2717">
        <v>1.0000000335738399</v>
      </c>
    </row>
    <row r="2718" spans="1:40" x14ac:dyDescent="0.25">
      <c r="A2718" t="str">
        <f>"20190303154821334"</f>
        <v>20190303154821334</v>
      </c>
      <c r="B2718" t="str">
        <f>"1551599301322989"</f>
        <v>1551599301322989</v>
      </c>
      <c r="C2718" t="s">
        <v>40</v>
      </c>
      <c r="D2718">
        <v>4.8844560000000001</v>
      </c>
      <c r="E2718">
        <v>0.40834759999999998</v>
      </c>
      <c r="F2718" t="s">
        <v>47</v>
      </c>
      <c r="G2718">
        <v>-488.42680000000001</v>
      </c>
      <c r="H2718" s="1">
        <v>9.3600870000000002E-7</v>
      </c>
      <c r="I2718">
        <v>272.64830000000001</v>
      </c>
      <c r="J2718">
        <v>-484.24380000000002</v>
      </c>
      <c r="K2718">
        <v>1.12676</v>
      </c>
      <c r="L2718">
        <v>283.4196</v>
      </c>
      <c r="M2718">
        <v>-0.90955730000000001</v>
      </c>
      <c r="N2718">
        <v>-1.4614250000000001E-2</v>
      </c>
      <c r="O2718">
        <v>-0.41532180000000002</v>
      </c>
      <c r="P2718">
        <v>-0.57359589999999905</v>
      </c>
      <c r="Q2718">
        <v>-7.9706059999999995E-2</v>
      </c>
      <c r="R2718">
        <v>-0.81525150000000002</v>
      </c>
      <c r="S2718">
        <v>-1.14093</v>
      </c>
      <c r="T2718">
        <v>-0.29648639999999998</v>
      </c>
      <c r="U2718">
        <v>-2.8561100000000001</v>
      </c>
      <c r="V2718">
        <v>-0.50235410000000003</v>
      </c>
      <c r="W2718">
        <v>-7.4175859999999996E-2</v>
      </c>
      <c r="X2718">
        <v>0.86147450000000003</v>
      </c>
      <c r="Y2718">
        <v>-0.68865319999999997</v>
      </c>
      <c r="Z2718">
        <v>-6.3579140000000001E-3</v>
      </c>
      <c r="AA2718">
        <v>0.72506300000000001</v>
      </c>
      <c r="AB2718">
        <v>18</v>
      </c>
      <c r="AC2718">
        <v>-4.1829999999999901</v>
      </c>
      <c r="AD2718">
        <v>-1.1267590639913001</v>
      </c>
      <c r="AE2718">
        <v>-10.771299999999901</v>
      </c>
      <c r="AF2718">
        <v>-7.9847586032188298</v>
      </c>
      <c r="AG2718">
        <v>-1.1267590639913001</v>
      </c>
      <c r="AH2718">
        <v>8.2011348802691906</v>
      </c>
      <c r="AI2718">
        <v>95.622069868763603</v>
      </c>
      <c r="AJ2718">
        <v>134.23410412637401</v>
      </c>
      <c r="AK2718">
        <v>11.501502913286201</v>
      </c>
      <c r="AL2718">
        <v>94.253870628619097</v>
      </c>
      <c r="AM2718">
        <v>120.24786689047301</v>
      </c>
      <c r="AN2718">
        <v>1.00000000707189</v>
      </c>
    </row>
    <row r="2719" spans="1:40" x14ac:dyDescent="0.25">
      <c r="A2719" t="str">
        <f>"20190303154821357"</f>
        <v>20190303154821357</v>
      </c>
      <c r="B2719" t="str">
        <f>"1551599301353245"</f>
        <v>1551599301353245</v>
      </c>
      <c r="C2719" t="s">
        <v>40</v>
      </c>
      <c r="D2719">
        <v>4.9122149999999998</v>
      </c>
      <c r="E2719">
        <v>0.40947169999999999</v>
      </c>
      <c r="F2719" t="s">
        <v>47</v>
      </c>
      <c r="G2719">
        <v>-488.47129999999999</v>
      </c>
      <c r="H2719" s="1">
        <v>9.2557590000000001E-7</v>
      </c>
      <c r="I2719">
        <v>272.60759999999999</v>
      </c>
      <c r="J2719">
        <v>-484.3956</v>
      </c>
      <c r="K2719">
        <v>1.126755</v>
      </c>
      <c r="L2719">
        <v>283.33460000000002</v>
      </c>
      <c r="M2719">
        <v>-0.90452719999999998</v>
      </c>
      <c r="N2719">
        <v>-1.4618569999999999E-2</v>
      </c>
      <c r="O2719">
        <v>-0.42616559999999998</v>
      </c>
      <c r="P2719">
        <v>-0.56689489999999998</v>
      </c>
      <c r="Q2719">
        <v>-7.9374990000000006E-2</v>
      </c>
      <c r="R2719">
        <v>-0.8199573</v>
      </c>
      <c r="S2719">
        <v>-1.1194759999999999</v>
      </c>
      <c r="T2719">
        <v>-0.29837269999999999</v>
      </c>
      <c r="U2719">
        <v>-2.8630680000000002</v>
      </c>
      <c r="V2719">
        <v>-0.49915320000000002</v>
      </c>
      <c r="W2719">
        <v>-7.3750999999999997E-2</v>
      </c>
      <c r="X2719">
        <v>0.86336950000000001</v>
      </c>
      <c r="Y2719">
        <v>-0.68532839999999995</v>
      </c>
      <c r="Z2719">
        <v>-4.9428919999999999E-3</v>
      </c>
      <c r="AA2719">
        <v>0.72821740000000001</v>
      </c>
      <c r="AB2719">
        <v>18</v>
      </c>
      <c r="AC2719">
        <v>-4.0756999999999799</v>
      </c>
      <c r="AD2719">
        <v>-1.1267540744241</v>
      </c>
      <c r="AE2719">
        <v>-10.727</v>
      </c>
      <c r="AF2719">
        <v>-7.8907130296095502</v>
      </c>
      <c r="AG2719">
        <v>-1.1267540744241</v>
      </c>
      <c r="AH2719">
        <v>8.1800741307796603</v>
      </c>
      <c r="AI2719">
        <v>95.661642980046494</v>
      </c>
      <c r="AJ2719">
        <v>133.96847749841999</v>
      </c>
      <c r="AK2719">
        <v>11.421319522933</v>
      </c>
      <c r="AL2719">
        <v>94.229461071184701</v>
      </c>
      <c r="AM2719">
        <v>120.03416119434</v>
      </c>
      <c r="AN2719">
        <v>1.00000001030074</v>
      </c>
    </row>
    <row r="2720" spans="1:40" x14ac:dyDescent="0.25">
      <c r="A2720" t="str">
        <f>"20190303154821378"</f>
        <v>20190303154821378</v>
      </c>
      <c r="B2720" t="str">
        <f>"1551599301373744"</f>
        <v>1551599301373744</v>
      </c>
      <c r="C2720" t="s">
        <v>40</v>
      </c>
      <c r="D2720">
        <v>4.9244490000000001</v>
      </c>
      <c r="E2720">
        <v>0.41978320000000002</v>
      </c>
      <c r="F2720" t="s">
        <v>47</v>
      </c>
      <c r="G2720">
        <v>-488.57929999999999</v>
      </c>
      <c r="H2720" s="1">
        <v>8.847646E-7</v>
      </c>
      <c r="I2720">
        <v>272.46510000000001</v>
      </c>
      <c r="J2720">
        <v>-484.54129999999998</v>
      </c>
      <c r="K2720">
        <v>1.1267430000000001</v>
      </c>
      <c r="L2720">
        <v>283.2509</v>
      </c>
      <c r="M2720">
        <v>-0.89953760000000005</v>
      </c>
      <c r="N2720">
        <v>-1.462128E-2</v>
      </c>
      <c r="O2720">
        <v>-0.43659910000000002</v>
      </c>
      <c r="P2720">
        <v>-0.56061689999999997</v>
      </c>
      <c r="Q2720">
        <v>-7.8843860000000002E-2</v>
      </c>
      <c r="R2720">
        <v>-0.82431390000000004</v>
      </c>
      <c r="S2720">
        <v>-1.1035159999999999</v>
      </c>
      <c r="T2720">
        <v>-0.29719770000000001</v>
      </c>
      <c r="U2720">
        <v>-2.8670040000000001</v>
      </c>
      <c r="V2720">
        <v>-0.49581760000000002</v>
      </c>
      <c r="W2720">
        <v>-7.3122599999999996E-2</v>
      </c>
      <c r="X2720">
        <v>0.86534270000000002</v>
      </c>
      <c r="Y2720">
        <v>-0.68083479999999996</v>
      </c>
      <c r="Z2720">
        <v>-3.5347550000000001E-3</v>
      </c>
      <c r="AA2720">
        <v>0.73242850000000004</v>
      </c>
      <c r="AB2720">
        <v>18</v>
      </c>
      <c r="AC2720">
        <v>-4.03800000000001</v>
      </c>
      <c r="AD2720">
        <v>-1.12674211523539</v>
      </c>
      <c r="AE2720">
        <v>-10.785799999999901</v>
      </c>
      <c r="AF2720">
        <v>-7.86481472640771</v>
      </c>
      <c r="AG2720">
        <v>-1.12674211523539</v>
      </c>
      <c r="AH2720">
        <v>8.2632024006064899</v>
      </c>
      <c r="AI2720">
        <v>95.640822042383505</v>
      </c>
      <c r="AJ2720">
        <v>133.58499086990699</v>
      </c>
      <c r="AK2720">
        <v>11.463218238712599</v>
      </c>
      <c r="AL2720">
        <v>94.193358975347294</v>
      </c>
      <c r="AM2720">
        <v>119.811524108215</v>
      </c>
      <c r="AN2720">
        <v>0.99999999777190496</v>
      </c>
    </row>
    <row r="2721" spans="1:40" x14ac:dyDescent="0.25">
      <c r="A2721" t="str">
        <f>"20190303154821401"</f>
        <v>20190303154821401</v>
      </c>
      <c r="B2721" t="str">
        <f>"1551599301393261"</f>
        <v>1551599301393261</v>
      </c>
      <c r="C2721" t="s">
        <v>40</v>
      </c>
      <c r="D2721">
        <v>5.1490939999999998</v>
      </c>
      <c r="E2721">
        <v>0.4214658</v>
      </c>
      <c r="F2721" t="s">
        <v>47</v>
      </c>
      <c r="G2721">
        <v>-489.0795</v>
      </c>
      <c r="H2721" s="1">
        <v>7.9421389999999998E-7</v>
      </c>
      <c r="I2721">
        <v>272.08339999999998</v>
      </c>
      <c r="J2721">
        <v>-484.68759999999997</v>
      </c>
      <c r="K2721">
        <v>1.126711</v>
      </c>
      <c r="L2721">
        <v>283.1644</v>
      </c>
      <c r="M2721">
        <v>-0.89436510000000002</v>
      </c>
      <c r="N2721">
        <v>-1.462197E-2</v>
      </c>
      <c r="O2721">
        <v>-0.44709890000000002</v>
      </c>
      <c r="P2721">
        <v>-0.55321560000000003</v>
      </c>
      <c r="Q2721">
        <v>-8.1905779999999997E-2</v>
      </c>
      <c r="R2721">
        <v>-0.82900189999999996</v>
      </c>
      <c r="S2721">
        <v>-1.149994</v>
      </c>
      <c r="T2721">
        <v>-0.28552339999999998</v>
      </c>
      <c r="U2721">
        <v>-2.829895</v>
      </c>
      <c r="V2721">
        <v>-0.49313119999999999</v>
      </c>
      <c r="W2721">
        <v>-7.6104320000000003E-2</v>
      </c>
      <c r="X2721">
        <v>0.86661980000000005</v>
      </c>
      <c r="Y2721">
        <v>-0.65862690000000002</v>
      </c>
      <c r="Z2721">
        <v>-1.1019560000000001E-3</v>
      </c>
      <c r="AA2721">
        <v>0.7524689</v>
      </c>
      <c r="AB2721">
        <v>18</v>
      </c>
      <c r="AC2721">
        <v>-4.3919000000000201</v>
      </c>
      <c r="AD2721">
        <v>-1.1267102057861</v>
      </c>
      <c r="AE2721">
        <v>-11.081</v>
      </c>
      <c r="AF2721">
        <v>-7.8773104491641099</v>
      </c>
      <c r="AG2721">
        <v>-1.1267102057861</v>
      </c>
      <c r="AH2721">
        <v>8.8045444345234305</v>
      </c>
      <c r="AI2721">
        <v>95.447837294624406</v>
      </c>
      <c r="AJ2721">
        <v>131.81858020083399</v>
      </c>
      <c r="AK2721">
        <v>11.8676660932059</v>
      </c>
      <c r="AL2721">
        <v>94.364676270035503</v>
      </c>
      <c r="AM2721">
        <v>119.64110151708201</v>
      </c>
      <c r="AN2721">
        <v>1.00000006284406</v>
      </c>
    </row>
    <row r="2722" spans="1:40" x14ac:dyDescent="0.25">
      <c r="A2722" t="str">
        <f>"20190303154821423"</f>
        <v>20190303154821423</v>
      </c>
      <c r="B2722" t="str">
        <f>"1551599301413757"</f>
        <v>1551599301413757</v>
      </c>
      <c r="C2722" t="s">
        <v>40</v>
      </c>
      <c r="D2722">
        <v>4.9048569999999998</v>
      </c>
      <c r="E2722">
        <v>0.42286089999999998</v>
      </c>
      <c r="F2722" t="s">
        <v>47</v>
      </c>
      <c r="G2722">
        <v>-488.96409999999997</v>
      </c>
      <c r="H2722" s="1">
        <v>9.324658E-7</v>
      </c>
      <c r="I2722">
        <v>272.5034</v>
      </c>
      <c r="J2722">
        <v>-484.83710000000002</v>
      </c>
      <c r="K2722">
        <v>1.1266670000000001</v>
      </c>
      <c r="L2722">
        <v>283.07339999999999</v>
      </c>
      <c r="M2722">
        <v>-0.88890990000000003</v>
      </c>
      <c r="N2722">
        <v>-1.4620029999999999E-2</v>
      </c>
      <c r="O2722">
        <v>-0.4578487</v>
      </c>
      <c r="P2722">
        <v>-0.54487469999999905</v>
      </c>
      <c r="Q2722">
        <v>-8.6299429999999996E-2</v>
      </c>
      <c r="R2722">
        <v>-0.83406480000000005</v>
      </c>
      <c r="S2722">
        <v>-1.1357729999999999</v>
      </c>
      <c r="T2722">
        <v>-0.29923240000000001</v>
      </c>
      <c r="U2722">
        <v>-2.8313290000000002</v>
      </c>
      <c r="V2722">
        <v>-0.49092550000000001</v>
      </c>
      <c r="W2722">
        <v>-8.0423179999999997E-2</v>
      </c>
      <c r="X2722">
        <v>0.86748159999999896</v>
      </c>
      <c r="Y2722">
        <v>-0.65286690000000003</v>
      </c>
      <c r="Z2722">
        <v>9.7005629999999995E-4</v>
      </c>
      <c r="AA2722">
        <v>0.75747200000000003</v>
      </c>
      <c r="AB2722">
        <v>18</v>
      </c>
      <c r="AC2722">
        <v>-4.12699999999995</v>
      </c>
      <c r="AD2722">
        <v>-1.1266660675342</v>
      </c>
      <c r="AE2722">
        <v>-10.569999999999901</v>
      </c>
      <c r="AF2722">
        <v>-7.4337513483127404</v>
      </c>
      <c r="AG2722">
        <v>-1.1266660675342</v>
      </c>
      <c r="AH2722">
        <v>8.42583365213771</v>
      </c>
      <c r="AI2722">
        <v>95.725900722558706</v>
      </c>
      <c r="AJ2722">
        <v>131.42057713926599</v>
      </c>
      <c r="AK2722">
        <v>11.292683838209999</v>
      </c>
      <c r="AL2722">
        <v>94.612890401426498</v>
      </c>
      <c r="AM2722">
        <v>119.506405067415</v>
      </c>
      <c r="AN2722">
        <v>1.00000003038506</v>
      </c>
    </row>
    <row r="2723" spans="1:40" x14ac:dyDescent="0.25">
      <c r="A2723" t="str">
        <f>"20190303154821445"</f>
        <v>20190303154821445</v>
      </c>
      <c r="B2723" t="str">
        <f>"1551599301443037"</f>
        <v>1551599301443037</v>
      </c>
      <c r="C2723" t="s">
        <v>40</v>
      </c>
      <c r="D2723">
        <v>4.9145390000000004</v>
      </c>
      <c r="E2723">
        <v>0.42435719999999999</v>
      </c>
      <c r="F2723" t="s">
        <v>47</v>
      </c>
      <c r="G2723">
        <v>-488.84199999999998</v>
      </c>
      <c r="H2723" s="1">
        <v>1.0621200000000001E-6</v>
      </c>
      <c r="I2723">
        <v>272.90089999999998</v>
      </c>
      <c r="J2723">
        <v>-484.98349999999999</v>
      </c>
      <c r="K2723">
        <v>1.1266149999999999</v>
      </c>
      <c r="L2723">
        <v>282.9819</v>
      </c>
      <c r="M2723">
        <v>-0.88341150000000002</v>
      </c>
      <c r="N2723">
        <v>-1.461553E-2</v>
      </c>
      <c r="O2723">
        <v>-0.46837040000000002</v>
      </c>
      <c r="P2723">
        <v>-0.53649279999999999</v>
      </c>
      <c r="Q2723">
        <v>-8.851871E-2</v>
      </c>
      <c r="R2723">
        <v>-0.83924979999999905</v>
      </c>
      <c r="S2723">
        <v>-1.1162110000000001</v>
      </c>
      <c r="T2723">
        <v>-0.3140193</v>
      </c>
      <c r="U2723">
        <v>-2.8352360000000001</v>
      </c>
      <c r="V2723">
        <v>-0.4890893</v>
      </c>
      <c r="W2723">
        <v>-8.2565109999999997E-2</v>
      </c>
      <c r="X2723">
        <v>0.86831719999999901</v>
      </c>
      <c r="Y2723">
        <v>-0.64867280000000005</v>
      </c>
      <c r="Z2723">
        <v>3.0978170000000001E-3</v>
      </c>
      <c r="AA2723">
        <v>0.76106109999999905</v>
      </c>
      <c r="AB2723">
        <v>18</v>
      </c>
      <c r="AC2723">
        <v>-3.85849999999999</v>
      </c>
      <c r="AD2723">
        <v>-1.12661393788</v>
      </c>
      <c r="AE2723">
        <v>-10.081</v>
      </c>
      <c r="AF2723">
        <v>-7.0227188492449804</v>
      </c>
      <c r="AG2723">
        <v>-1.12661393788</v>
      </c>
      <c r="AH2723">
        <v>8.0435297693283498</v>
      </c>
      <c r="AI2723">
        <v>96.022949355702096</v>
      </c>
      <c r="AJ2723">
        <v>131.12385911230999</v>
      </c>
      <c r="AK2723">
        <v>10.7371416191944</v>
      </c>
      <c r="AL2723">
        <v>94.736023439199798</v>
      </c>
      <c r="AM2723">
        <v>119.39086912166</v>
      </c>
      <c r="AN2723">
        <v>1.0000000502898101</v>
      </c>
    </row>
    <row r="2724" spans="1:40" x14ac:dyDescent="0.25">
      <c r="A2724" t="str">
        <f>"20190303154821468"</f>
        <v>20190303154821468</v>
      </c>
      <c r="B2724" t="str">
        <f>"1551599301463533"</f>
        <v>1551599301463533</v>
      </c>
      <c r="C2724" t="s">
        <v>40</v>
      </c>
      <c r="D2724">
        <v>4.9485419999999998</v>
      </c>
      <c r="E2724">
        <v>0.42469899999999999</v>
      </c>
      <c r="F2724" t="s">
        <v>47</v>
      </c>
      <c r="G2724">
        <v>-488.8528</v>
      </c>
      <c r="H2724" s="1">
        <v>1.091285E-6</v>
      </c>
      <c r="I2724">
        <v>272.98070000000001</v>
      </c>
      <c r="J2724">
        <v>-485.1275</v>
      </c>
      <c r="K2724">
        <v>1.126568</v>
      </c>
      <c r="L2724">
        <v>282.88959999999997</v>
      </c>
      <c r="M2724">
        <v>-0.8778494</v>
      </c>
      <c r="N2724">
        <v>-1.460911E-2</v>
      </c>
      <c r="O2724">
        <v>-0.47871380000000002</v>
      </c>
      <c r="P2724">
        <v>-0.52830459999999901</v>
      </c>
      <c r="Q2724">
        <v>-8.8412050000000006E-2</v>
      </c>
      <c r="R2724">
        <v>-0.84443899999999905</v>
      </c>
      <c r="S2724">
        <v>-1.0982670000000001</v>
      </c>
      <c r="T2724">
        <v>-0.31978050000000002</v>
      </c>
      <c r="U2724">
        <v>-2.8387760000000002</v>
      </c>
      <c r="V2724">
        <v>-0.48735780000000001</v>
      </c>
      <c r="W2724">
        <v>-8.2373989999999994E-2</v>
      </c>
      <c r="X2724">
        <v>0.86930830000000003</v>
      </c>
      <c r="Y2724">
        <v>-0.644240699999999</v>
      </c>
      <c r="Z2724">
        <v>4.9103419999999998E-3</v>
      </c>
      <c r="AA2724">
        <v>0.76480700000000001</v>
      </c>
      <c r="AB2724">
        <v>18</v>
      </c>
      <c r="AC2724">
        <v>-3.7252999999999998</v>
      </c>
      <c r="AD2724">
        <v>-1.1265669087150001</v>
      </c>
      <c r="AE2724">
        <v>-9.9088999999999601</v>
      </c>
      <c r="AF2724">
        <v>-6.8384606346014296</v>
      </c>
      <c r="AG2724">
        <v>-1.1265669087150001</v>
      </c>
      <c r="AH2724">
        <v>7.9248840863677401</v>
      </c>
      <c r="AI2724">
        <v>96.142831665833796</v>
      </c>
      <c r="AJ2724">
        <v>130.79123302456799</v>
      </c>
      <c r="AK2724">
        <v>10.527938289768301</v>
      </c>
      <c r="AL2724">
        <v>94.725035832399797</v>
      </c>
      <c r="AM2724">
        <v>119.27617191742399</v>
      </c>
      <c r="AN2724">
        <v>1.00000000994912</v>
      </c>
    </row>
    <row r="2725" spans="1:40" x14ac:dyDescent="0.25">
      <c r="A2725" t="str">
        <f>"20190303154821489"</f>
        <v>20190303154821489</v>
      </c>
      <c r="B2725" t="str">
        <f>"1551599301483057"</f>
        <v>1551599301483057</v>
      </c>
      <c r="C2725" t="s">
        <v>40</v>
      </c>
      <c r="D2725">
        <v>5.0035550000000004</v>
      </c>
      <c r="E2725">
        <v>0.42522369999999998</v>
      </c>
      <c r="F2725" t="s">
        <v>47</v>
      </c>
      <c r="G2725">
        <v>-488.92039999999997</v>
      </c>
      <c r="H2725" s="1">
        <v>1.039753E-6</v>
      </c>
      <c r="I2725">
        <v>272.81790000000001</v>
      </c>
      <c r="J2725">
        <v>-485.26670000000001</v>
      </c>
      <c r="K2725">
        <v>1.1265259999999999</v>
      </c>
      <c r="L2725">
        <v>282.79820000000001</v>
      </c>
      <c r="M2725">
        <v>-0.87233859999999996</v>
      </c>
      <c r="N2725">
        <v>-1.460068E-2</v>
      </c>
      <c r="O2725">
        <v>-0.48868410000000001</v>
      </c>
      <c r="P2725">
        <v>-0.52102629999999905</v>
      </c>
      <c r="Q2725">
        <v>-8.8431469999999998E-2</v>
      </c>
      <c r="R2725">
        <v>-0.84894729999999996</v>
      </c>
      <c r="S2725">
        <v>-1.0726009999999999</v>
      </c>
      <c r="T2725">
        <v>-0.31858690000000001</v>
      </c>
      <c r="U2725">
        <v>-2.8482059999999998</v>
      </c>
      <c r="V2725">
        <v>-0.48493609999999998</v>
      </c>
      <c r="W2725">
        <v>-8.2288739999999999E-2</v>
      </c>
      <c r="X2725">
        <v>0.87066960000000004</v>
      </c>
      <c r="Y2725">
        <v>-0.6424569</v>
      </c>
      <c r="Z2725">
        <v>6.1294100000000001E-3</v>
      </c>
      <c r="AA2725">
        <v>0.76629729999999996</v>
      </c>
      <c r="AB2725">
        <v>18</v>
      </c>
      <c r="AC2725">
        <v>-3.65369999999995</v>
      </c>
      <c r="AD2725">
        <v>-1.126524960247</v>
      </c>
      <c r="AE2725">
        <v>-9.9802999999999997</v>
      </c>
      <c r="AF2725">
        <v>-6.8445354732821704</v>
      </c>
      <c r="AG2725">
        <v>-1.126524960247</v>
      </c>
      <c r="AH2725">
        <v>7.9757301026573604</v>
      </c>
      <c r="AI2725">
        <v>96.117952437699799</v>
      </c>
      <c r="AJ2725">
        <v>130.635216392432</v>
      </c>
      <c r="AK2725">
        <v>10.570193706905799</v>
      </c>
      <c r="AL2725">
        <v>94.720134751036497</v>
      </c>
      <c r="AM2725">
        <v>119.11645747621</v>
      </c>
      <c r="AN2725">
        <v>1.0000000050890701</v>
      </c>
    </row>
    <row r="2726" spans="1:40" x14ac:dyDescent="0.25">
      <c r="A2726" t="str">
        <f>"20190303154821512"</f>
        <v>20190303154821512</v>
      </c>
      <c r="B2726" t="str">
        <f>"1551599301503549"</f>
        <v>1551599301503549</v>
      </c>
      <c r="C2726" t="s">
        <v>40</v>
      </c>
      <c r="D2726">
        <v>5.0016619999999996</v>
      </c>
      <c r="E2726">
        <v>0.42587829999999899</v>
      </c>
      <c r="F2726" t="s">
        <v>47</v>
      </c>
      <c r="G2726">
        <v>-489.00850000000003</v>
      </c>
      <c r="H2726" s="1">
        <v>9.8527479999999998E-7</v>
      </c>
      <c r="I2726">
        <v>272.64170000000001</v>
      </c>
      <c r="J2726">
        <v>-485.41019999999997</v>
      </c>
      <c r="K2726">
        <v>1.1264639999999999</v>
      </c>
      <c r="L2726">
        <v>282.70159999999998</v>
      </c>
      <c r="M2726">
        <v>-0.86652309999999999</v>
      </c>
      <c r="N2726">
        <v>-1.458897E-2</v>
      </c>
      <c r="O2726">
        <v>-0.49892399999999998</v>
      </c>
      <c r="P2726">
        <v>-0.51334209999999902</v>
      </c>
      <c r="Q2726">
        <v>-9.0076390000000006E-2</v>
      </c>
      <c r="R2726">
        <v>-0.85344339999999996</v>
      </c>
      <c r="S2726">
        <v>-1.0519099999999999</v>
      </c>
      <c r="T2726">
        <v>-0.31668940000000001</v>
      </c>
      <c r="U2726">
        <v>-2.855194</v>
      </c>
      <c r="V2726">
        <v>-0.48238429999999999</v>
      </c>
      <c r="W2726">
        <v>-8.3818169999999997E-2</v>
      </c>
      <c r="X2726">
        <v>0.8719403</v>
      </c>
      <c r="Y2726">
        <v>-0.63899890000000004</v>
      </c>
      <c r="Z2726">
        <v>7.4622689999999997E-3</v>
      </c>
      <c r="AA2726">
        <v>0.76917150000000001</v>
      </c>
      <c r="AB2726">
        <v>18</v>
      </c>
      <c r="AC2726">
        <v>-3.5983000000000498</v>
      </c>
      <c r="AD2726">
        <v>-1.1264630147251999</v>
      </c>
      <c r="AE2726">
        <v>-10.059899999999899</v>
      </c>
      <c r="AF2726">
        <v>-6.8464856565526597</v>
      </c>
      <c r="AG2726">
        <v>-1.1264630147251999</v>
      </c>
      <c r="AH2726">
        <v>8.0485306523838194</v>
      </c>
      <c r="AI2726">
        <v>96.085086828807903</v>
      </c>
      <c r="AJ2726">
        <v>130.38616331447199</v>
      </c>
      <c r="AK2726">
        <v>10.6264825051042</v>
      </c>
      <c r="AL2726">
        <v>94.808068506126304</v>
      </c>
      <c r="AM2726">
        <v>118.952723291759</v>
      </c>
      <c r="AN2726">
        <v>0.99999999263636397</v>
      </c>
    </row>
    <row r="2727" spans="1:40" x14ac:dyDescent="0.25">
      <c r="A2727" t="str">
        <f>"20190303154821536"</f>
        <v>20190303154821536</v>
      </c>
      <c r="B2727" t="str">
        <f>"1551599301523073"</f>
        <v>1551599301523073</v>
      </c>
      <c r="C2727" t="s">
        <v>40</v>
      </c>
      <c r="D2727">
        <v>4.9969919999999997</v>
      </c>
      <c r="E2727">
        <v>0.4318438</v>
      </c>
      <c r="F2727" t="s">
        <v>47</v>
      </c>
      <c r="G2727">
        <v>-489.05590000000001</v>
      </c>
      <c r="H2727" s="1">
        <v>9.6538160000000007E-7</v>
      </c>
      <c r="I2727">
        <v>272.57350000000002</v>
      </c>
      <c r="J2727">
        <v>-485.55619999999999</v>
      </c>
      <c r="K2727">
        <v>1.126376</v>
      </c>
      <c r="L2727">
        <v>282.601</v>
      </c>
      <c r="M2727">
        <v>-0.86048659999999999</v>
      </c>
      <c r="N2727">
        <v>-1.4572999999999999E-2</v>
      </c>
      <c r="O2727">
        <v>-0.50926470000000001</v>
      </c>
      <c r="P2727">
        <v>-0.50505029999999995</v>
      </c>
      <c r="Q2727">
        <v>-9.1997490000000001E-2</v>
      </c>
      <c r="R2727">
        <v>-0.85817279999999996</v>
      </c>
      <c r="S2727">
        <v>-1.0301819999999999</v>
      </c>
      <c r="T2727">
        <v>-0.318305</v>
      </c>
      <c r="U2727">
        <v>-2.8618769999999998</v>
      </c>
      <c r="V2727">
        <v>-0.48020699999999999</v>
      </c>
      <c r="W2727">
        <v>-8.5618669999999994E-2</v>
      </c>
      <c r="X2727">
        <v>0.87296659999999904</v>
      </c>
      <c r="Y2727">
        <v>-0.63556999999999997</v>
      </c>
      <c r="Z2727">
        <v>9.0257189999999998E-3</v>
      </c>
      <c r="AA2727">
        <v>0.77199039999999997</v>
      </c>
      <c r="AB2727">
        <v>18</v>
      </c>
      <c r="AC2727">
        <v>-3.49970000000001</v>
      </c>
      <c r="AD2727">
        <v>-1.1263750346183901</v>
      </c>
      <c r="AE2727">
        <v>-10.0274999999999</v>
      </c>
      <c r="AF2727">
        <v>-6.7708265346114702</v>
      </c>
      <c r="AG2727">
        <v>-1.1263750346183901</v>
      </c>
      <c r="AH2727">
        <v>8.0286549455894303</v>
      </c>
      <c r="AI2727">
        <v>96.121450693670297</v>
      </c>
      <c r="AJ2727">
        <v>130.14202721028099</v>
      </c>
      <c r="AK2727">
        <v>10.562770134569201</v>
      </c>
      <c r="AL2727">
        <v>94.911601734729601</v>
      </c>
      <c r="AM2727">
        <v>118.814591524295</v>
      </c>
      <c r="AN2727">
        <v>1.00000000210856</v>
      </c>
    </row>
    <row r="2728" spans="1:40" x14ac:dyDescent="0.25">
      <c r="A2728" t="str">
        <f>"20190303154821558"</f>
        <v>20190303154821558</v>
      </c>
      <c r="B2728" t="str">
        <f>"1551599301553325"</f>
        <v>1551599301553325</v>
      </c>
      <c r="C2728" t="s">
        <v>40</v>
      </c>
      <c r="D2728">
        <v>5.061223</v>
      </c>
      <c r="E2728">
        <v>0.42770089999999999</v>
      </c>
      <c r="F2728" t="s">
        <v>42</v>
      </c>
      <c r="G2728">
        <v>-485.87970000000001</v>
      </c>
      <c r="H2728">
        <v>1.0268170000000001</v>
      </c>
      <c r="I2728">
        <v>281.71870000000001</v>
      </c>
      <c r="J2728">
        <v>-485.69420000000002</v>
      </c>
      <c r="K2728">
        <v>1.126263</v>
      </c>
      <c r="L2728">
        <v>282.50349999999997</v>
      </c>
      <c r="M2728">
        <v>-0.8546802</v>
      </c>
      <c r="N2728">
        <v>-1.455329E-2</v>
      </c>
      <c r="O2728">
        <v>-0.5189511</v>
      </c>
      <c r="P2728">
        <v>-0.49642799999999998</v>
      </c>
      <c r="Q2728">
        <v>-9.3937530000000005E-2</v>
      </c>
      <c r="R2728">
        <v>-0.86298039999999998</v>
      </c>
      <c r="S2728">
        <v>-1.0439149999999999</v>
      </c>
      <c r="T2728">
        <v>-0.321262099999999</v>
      </c>
      <c r="U2728">
        <v>-2.8469540000000002</v>
      </c>
      <c r="V2728">
        <v>-0.47890850000000001</v>
      </c>
      <c r="W2728">
        <v>-8.7446579999999996E-2</v>
      </c>
      <c r="X2728">
        <v>0.87349859999999901</v>
      </c>
      <c r="Y2728">
        <v>-0.62227330000000003</v>
      </c>
      <c r="Z2728">
        <v>1.142104E-2</v>
      </c>
      <c r="AA2728">
        <v>0.78271679999999999</v>
      </c>
      <c r="AB2728">
        <v>18</v>
      </c>
      <c r="AC2728">
        <v>-0.18549999999999001</v>
      </c>
      <c r="AD2728">
        <v>-9.9445999999999896E-2</v>
      </c>
      <c r="AE2728">
        <v>-0.78479999999996097</v>
      </c>
      <c r="AF2728">
        <v>-0.56594201486707896</v>
      </c>
      <c r="AG2728">
        <v>-9.9445999999999896E-2</v>
      </c>
      <c r="AH2728">
        <v>0.55739941437978802</v>
      </c>
      <c r="AI2728">
        <v>97.135870504356802</v>
      </c>
      <c r="AJ2728">
        <v>135.435705037166</v>
      </c>
      <c r="AK2728">
        <v>0.80054605005504798</v>
      </c>
      <c r="AL2728">
        <v>95.016727463054806</v>
      </c>
      <c r="AM2728">
        <v>118.734406187167</v>
      </c>
      <c r="AN2728">
        <v>1.00000002996395</v>
      </c>
    </row>
    <row r="2729" spans="1:40" x14ac:dyDescent="0.25">
      <c r="A2729" t="str">
        <f>"20190303154821580"</f>
        <v>20190303154821580</v>
      </c>
      <c r="B2729" t="str">
        <f>"1551599301573821"</f>
        <v>1551599301573821</v>
      </c>
      <c r="C2729" t="s">
        <v>40</v>
      </c>
      <c r="D2729">
        <v>5.0766519999999904</v>
      </c>
      <c r="E2729">
        <v>0.42250900000000002</v>
      </c>
      <c r="F2729" t="s">
        <v>42</v>
      </c>
      <c r="G2729">
        <v>-485.99509999999998</v>
      </c>
      <c r="H2729">
        <v>1.0242929999999999</v>
      </c>
      <c r="I2729">
        <v>281.62779999999998</v>
      </c>
      <c r="J2729">
        <v>-485.83269999999999</v>
      </c>
      <c r="K2729">
        <v>1.126123</v>
      </c>
      <c r="L2729">
        <v>282.40359999999998</v>
      </c>
      <c r="M2729">
        <v>-0.84876909999999905</v>
      </c>
      <c r="N2729">
        <v>-1.452852E-2</v>
      </c>
      <c r="O2729">
        <v>-0.52856409999999998</v>
      </c>
      <c r="P2729">
        <v>-0.48796850000000003</v>
      </c>
      <c r="Q2729">
        <v>-9.6881339999999996E-2</v>
      </c>
      <c r="R2729">
        <v>-0.86746840000000003</v>
      </c>
      <c r="S2729">
        <v>-0.9866028</v>
      </c>
      <c r="T2729">
        <v>-0.33433790000000002</v>
      </c>
      <c r="U2729">
        <v>-2.8724059999999998</v>
      </c>
      <c r="V2729">
        <v>-0.47730060000000002</v>
      </c>
      <c r="W2729">
        <v>-9.0257589999999999E-2</v>
      </c>
      <c r="X2729">
        <v>0.87409249999999905</v>
      </c>
      <c r="Y2729">
        <v>-0.62944279999999997</v>
      </c>
      <c r="Z2729">
        <v>1.2973800000000001E-2</v>
      </c>
      <c r="AA2729">
        <v>0.77693849999999998</v>
      </c>
      <c r="AB2729">
        <v>17</v>
      </c>
      <c r="AC2729">
        <v>-0.162399999999991</v>
      </c>
      <c r="AD2729">
        <v>-0.101829999999999</v>
      </c>
      <c r="AE2729">
        <v>-0.77580000000000304</v>
      </c>
      <c r="AF2729">
        <v>-0.56339757466882001</v>
      </c>
      <c r="AG2729">
        <v>-0.101829999999999</v>
      </c>
      <c r="AH2729">
        <v>0.53906053008675103</v>
      </c>
      <c r="AI2729">
        <v>97.440371382840198</v>
      </c>
      <c r="AJ2729">
        <v>136.264613588533</v>
      </c>
      <c r="AK2729">
        <v>0.786366600982085</v>
      </c>
      <c r="AL2729">
        <v>95.178426238766306</v>
      </c>
      <c r="AM2729">
        <v>118.636867800152</v>
      </c>
      <c r="AN2729">
        <v>0.99999999693460895</v>
      </c>
    </row>
    <row r="2730" spans="1:40" x14ac:dyDescent="0.25">
      <c r="A2730" t="str">
        <f>"20190303154821603"</f>
        <v>20190303154821603</v>
      </c>
      <c r="B2730" t="str">
        <f>"1551599301593341"</f>
        <v>1551599301593341</v>
      </c>
      <c r="C2730" t="s">
        <v>40</v>
      </c>
      <c r="D2730">
        <v>5.0874280000000001</v>
      </c>
      <c r="E2730">
        <v>0.41945660000000001</v>
      </c>
      <c r="F2730" t="s">
        <v>42</v>
      </c>
      <c r="G2730">
        <v>-486.10890000000001</v>
      </c>
      <c r="H2730">
        <v>1.0223370000000001</v>
      </c>
      <c r="I2730">
        <v>281.53500000000003</v>
      </c>
      <c r="J2730">
        <v>-485.96620000000001</v>
      </c>
      <c r="K2730">
        <v>1.1259779999999999</v>
      </c>
      <c r="L2730">
        <v>282.30520000000001</v>
      </c>
      <c r="M2730">
        <v>-0.84302049999999995</v>
      </c>
      <c r="N2730">
        <v>-1.449981E-2</v>
      </c>
      <c r="O2730">
        <v>-0.53768609999999994</v>
      </c>
      <c r="P2730">
        <v>-0.48057159999999899</v>
      </c>
      <c r="Q2730">
        <v>-0.10170609999999999</v>
      </c>
      <c r="R2730">
        <v>-0.87103799999999898</v>
      </c>
      <c r="S2730">
        <v>-0.92233279999999995</v>
      </c>
      <c r="T2730">
        <v>-0.34660730000000001</v>
      </c>
      <c r="U2730">
        <v>-2.900757</v>
      </c>
      <c r="V2730">
        <v>-0.4748155</v>
      </c>
      <c r="W2730">
        <v>-9.4925480000000007E-2</v>
      </c>
      <c r="X2730">
        <v>0.87495109999999998</v>
      </c>
      <c r="Y2730">
        <v>-0.63877740000000005</v>
      </c>
      <c r="Z2730">
        <v>1.4282400000000001E-2</v>
      </c>
      <c r="AA2730">
        <v>0.76925900000000003</v>
      </c>
      <c r="AB2730">
        <v>17</v>
      </c>
      <c r="AC2730">
        <v>-0.14269999999999</v>
      </c>
      <c r="AD2730">
        <v>-0.103641</v>
      </c>
      <c r="AE2730">
        <v>-0.77019999999998801</v>
      </c>
      <c r="AF2730">
        <v>-0.56277455308157898</v>
      </c>
      <c r="AG2730">
        <v>-0.103641</v>
      </c>
      <c r="AH2730">
        <v>0.52528512949303996</v>
      </c>
      <c r="AI2730">
        <v>97.667528911806599</v>
      </c>
      <c r="AJ2730">
        <v>136.973362657275</v>
      </c>
      <c r="AK2730">
        <v>0.77677610786100504</v>
      </c>
      <c r="AL2730">
        <v>95.447030657252895</v>
      </c>
      <c r="AM2730">
        <v>118.487648815768</v>
      </c>
      <c r="AN2730">
        <v>1.0000000165923399</v>
      </c>
    </row>
    <row r="2731" spans="1:40" x14ac:dyDescent="0.25">
      <c r="A2731" t="str">
        <f>"20190303154821625"</f>
        <v>20190303154821625</v>
      </c>
      <c r="B2731" t="str">
        <f>"1551599301613838"</f>
        <v>1551599301613838</v>
      </c>
      <c r="C2731" t="s">
        <v>40</v>
      </c>
      <c r="D2731">
        <v>5.0793819999999998</v>
      </c>
      <c r="E2731">
        <v>0.41819139999999999</v>
      </c>
      <c r="F2731" t="s">
        <v>47</v>
      </c>
      <c r="G2731">
        <v>-488.71269999999998</v>
      </c>
      <c r="H2731" s="1">
        <v>1.1422010000000001E-6</v>
      </c>
      <c r="I2731">
        <v>273.15989999999999</v>
      </c>
      <c r="J2731">
        <v>-486.10489999999999</v>
      </c>
      <c r="K2731">
        <v>1.1258319999999999</v>
      </c>
      <c r="L2731">
        <v>282.20080000000002</v>
      </c>
      <c r="M2731">
        <v>-0.83700409999999903</v>
      </c>
      <c r="N2731">
        <v>-1.446657E-2</v>
      </c>
      <c r="O2731">
        <v>-0.54700550000000003</v>
      </c>
      <c r="P2731">
        <v>-0.47365869999999999</v>
      </c>
      <c r="Q2731">
        <v>-0.10635559999999999</v>
      </c>
      <c r="R2731">
        <v>-0.87426299999999901</v>
      </c>
      <c r="S2731">
        <v>-0.87649539999999904</v>
      </c>
      <c r="T2731">
        <v>-0.35933660000000001</v>
      </c>
      <c r="U2731">
        <v>-2.9185789999999998</v>
      </c>
      <c r="V2731">
        <v>-0.47155049999999998</v>
      </c>
      <c r="W2731">
        <v>-9.9395159999999996E-2</v>
      </c>
      <c r="X2731">
        <v>0.87621959999999999</v>
      </c>
      <c r="Y2731">
        <v>-0.64255050000000002</v>
      </c>
      <c r="Z2731">
        <v>1.6185140000000001E-2</v>
      </c>
      <c r="AA2731">
        <v>0.76607239999999999</v>
      </c>
      <c r="AB2731">
        <v>17</v>
      </c>
      <c r="AC2731">
        <v>-2.6077999999999899</v>
      </c>
      <c r="AD2731">
        <v>-1.1258308577989999</v>
      </c>
      <c r="AE2731">
        <v>-9.0409000000000201</v>
      </c>
      <c r="AF2731">
        <v>-6.0547532588131396</v>
      </c>
      <c r="AG2731">
        <v>-1.1258308577989999</v>
      </c>
      <c r="AH2731">
        <v>7.0282914748381096</v>
      </c>
      <c r="AI2731">
        <v>96.919651053962099</v>
      </c>
      <c r="AJ2731">
        <v>130.74433788777401</v>
      </c>
      <c r="AK2731">
        <v>9.3447532445090804</v>
      </c>
      <c r="AL2731">
        <v>95.704342005638097</v>
      </c>
      <c r="AM2731">
        <v>118.287571469502</v>
      </c>
      <c r="AN2731">
        <v>1.0000000296529099</v>
      </c>
    </row>
    <row r="2732" spans="1:40" x14ac:dyDescent="0.25">
      <c r="A2732" t="str">
        <f>"20190303154821647"</f>
        <v>20190303154821647</v>
      </c>
      <c r="B2732" t="str">
        <f>"1551599301643117"</f>
        <v>1551599301643117</v>
      </c>
      <c r="C2732" t="s">
        <v>40</v>
      </c>
      <c r="D2732">
        <v>5.1261330000000003</v>
      </c>
      <c r="E2732">
        <v>0.41673199999999999</v>
      </c>
      <c r="F2732" t="s">
        <v>47</v>
      </c>
      <c r="G2732">
        <v>-488.69909999999999</v>
      </c>
      <c r="H2732" s="1">
        <v>1.154402E-6</v>
      </c>
      <c r="I2732">
        <v>273.19779999999997</v>
      </c>
      <c r="J2732">
        <v>-486.23630000000003</v>
      </c>
      <c r="K2732">
        <v>1.1257090000000001</v>
      </c>
      <c r="L2732">
        <v>282.09989999999999</v>
      </c>
      <c r="M2732">
        <v>-0.83124699999999996</v>
      </c>
      <c r="N2732">
        <v>-1.4434539999999999E-2</v>
      </c>
      <c r="O2732">
        <v>-0.55571590000000004</v>
      </c>
      <c r="P2732">
        <v>-0.46651670000000001</v>
      </c>
      <c r="Q2732">
        <v>-0.10963920000000001</v>
      </c>
      <c r="R2732">
        <v>-0.87769129999999995</v>
      </c>
      <c r="S2732">
        <v>-0.84414669999999903</v>
      </c>
      <c r="T2732">
        <v>-0.36633539999999998</v>
      </c>
      <c r="U2732">
        <v>-2.9295040000000001</v>
      </c>
      <c r="V2732">
        <v>-0.46919810000000001</v>
      </c>
      <c r="W2732">
        <v>-0.1025369</v>
      </c>
      <c r="X2732">
        <v>0.87712000000000001</v>
      </c>
      <c r="Y2732">
        <v>-0.64311160000000001</v>
      </c>
      <c r="Z2732">
        <v>1.7902009999999999E-2</v>
      </c>
      <c r="AA2732">
        <v>0.7655632</v>
      </c>
      <c r="AB2732">
        <v>17</v>
      </c>
      <c r="AC2732">
        <v>-2.4627999999999499</v>
      </c>
      <c r="AD2732">
        <v>-1.1257078455980001</v>
      </c>
      <c r="AE2732">
        <v>-8.9021000000000097</v>
      </c>
      <c r="AF2732">
        <v>-5.9435703795513097</v>
      </c>
      <c r="AG2732">
        <v>-1.1257078455980001</v>
      </c>
      <c r="AH2732">
        <v>6.8925810914474699</v>
      </c>
      <c r="AI2732">
        <v>97.050901878962705</v>
      </c>
      <c r="AJ2732">
        <v>130.77166398990599</v>
      </c>
      <c r="AK2732">
        <v>9.1706554352728702</v>
      </c>
      <c r="AL2732">
        <v>95.885274791772403</v>
      </c>
      <c r="AM2732">
        <v>118.143678080581</v>
      </c>
      <c r="AN2732">
        <v>1.0000000836526</v>
      </c>
    </row>
    <row r="2733" spans="1:40" x14ac:dyDescent="0.25">
      <c r="A2733" t="str">
        <f>"20190303154821669"</f>
        <v>20190303154821669</v>
      </c>
      <c r="B2733" t="str">
        <f>"1551599301663616"</f>
        <v>1551599301663616</v>
      </c>
      <c r="C2733" t="s">
        <v>40</v>
      </c>
      <c r="D2733">
        <v>5.1466989999999999</v>
      </c>
      <c r="E2733">
        <v>0.41628189999999998</v>
      </c>
      <c r="F2733" t="s">
        <v>47</v>
      </c>
      <c r="G2733">
        <v>-488.71699999999998</v>
      </c>
      <c r="H2733" s="1">
        <v>1.1195179999999999E-6</v>
      </c>
      <c r="I2733">
        <v>273.09460000000001</v>
      </c>
      <c r="J2733">
        <v>-486.36989999999997</v>
      </c>
      <c r="K2733">
        <v>1.125605</v>
      </c>
      <c r="L2733">
        <v>281.99529999999999</v>
      </c>
      <c r="M2733">
        <v>-0.82534130000000006</v>
      </c>
      <c r="N2733">
        <v>-1.440281E-2</v>
      </c>
      <c r="O2733">
        <v>-0.56445049999999997</v>
      </c>
      <c r="P2733">
        <v>-0.4575205</v>
      </c>
      <c r="Q2733">
        <v>-0.1098471</v>
      </c>
      <c r="R2733">
        <v>-0.88238809999999901</v>
      </c>
      <c r="S2733">
        <v>-0.81030269999999904</v>
      </c>
      <c r="T2733">
        <v>-0.3676953</v>
      </c>
      <c r="U2733">
        <v>-2.9414370000000001</v>
      </c>
      <c r="V2733">
        <v>-0.46891569999999999</v>
      </c>
      <c r="W2733">
        <v>-0.1026562</v>
      </c>
      <c r="X2733">
        <v>0.87725689999999901</v>
      </c>
      <c r="Y2733">
        <v>-0.64405259999999998</v>
      </c>
      <c r="Z2733">
        <v>1.9152220000000001E-2</v>
      </c>
      <c r="AA2733">
        <v>0.76474140000000002</v>
      </c>
      <c r="AB2733">
        <v>17</v>
      </c>
      <c r="AC2733">
        <v>-2.34710000000001</v>
      </c>
      <c r="AD2733">
        <v>-1.1256038804820001</v>
      </c>
      <c r="AE2733">
        <v>-8.9006999999999703</v>
      </c>
      <c r="AF2733">
        <v>-5.9331990871784299</v>
      </c>
      <c r="AG2733">
        <v>-1.1256038804820001</v>
      </c>
      <c r="AH2733">
        <v>6.8593179281520698</v>
      </c>
      <c r="AI2733">
        <v>97.074845422938907</v>
      </c>
      <c r="AJ2733">
        <v>130.85927545064601</v>
      </c>
      <c r="AK2733">
        <v>9.1389319913937204</v>
      </c>
      <c r="AL2733">
        <v>95.892147236108798</v>
      </c>
      <c r="AM2733">
        <v>118.12561557208301</v>
      </c>
      <c r="AN2733">
        <v>0.99999994885126797</v>
      </c>
    </row>
    <row r="2734" spans="1:40" x14ac:dyDescent="0.25">
      <c r="A2734" t="str">
        <f>"20190303154821691"</f>
        <v>20190303154821691</v>
      </c>
      <c r="B2734" t="str">
        <f>"1551599301683133"</f>
        <v>1551599301683133</v>
      </c>
      <c r="C2734" t="s">
        <v>40</v>
      </c>
      <c r="D2734">
        <v>5.1439659999999998</v>
      </c>
      <c r="E2734">
        <v>0.41630840000000002</v>
      </c>
      <c r="F2734" t="s">
        <v>47</v>
      </c>
      <c r="G2734">
        <v>-488.78399999999999</v>
      </c>
      <c r="H2734" s="1">
        <v>1.0312509999999999E-6</v>
      </c>
      <c r="I2734">
        <v>272.82810000000001</v>
      </c>
      <c r="J2734">
        <v>-486.4991</v>
      </c>
      <c r="K2734">
        <v>1.125535</v>
      </c>
      <c r="L2734">
        <v>281.8922</v>
      </c>
      <c r="M2734">
        <v>-0.81958039999999999</v>
      </c>
      <c r="N2734">
        <v>-1.4373220000000001E-2</v>
      </c>
      <c r="O2734">
        <v>-0.57278390000000001</v>
      </c>
      <c r="P2734">
        <v>-0.44934239999999998</v>
      </c>
      <c r="Q2734">
        <v>-0.1087135</v>
      </c>
      <c r="R2734">
        <v>-0.88672039999999996</v>
      </c>
      <c r="S2734">
        <v>-0.77731319999999904</v>
      </c>
      <c r="T2734">
        <v>-0.36242390000000002</v>
      </c>
      <c r="U2734">
        <v>-2.95166</v>
      </c>
      <c r="V2734">
        <v>-0.46828629999999999</v>
      </c>
      <c r="W2734">
        <v>-0.1014456</v>
      </c>
      <c r="X2734">
        <v>0.87773380000000001</v>
      </c>
      <c r="Y2734">
        <v>-0.64502019999999904</v>
      </c>
      <c r="Z2734">
        <v>1.9781079999999999E-2</v>
      </c>
      <c r="AA2734">
        <v>0.76390950000000002</v>
      </c>
      <c r="AB2734">
        <v>17</v>
      </c>
      <c r="AC2734">
        <v>-2.2848999999999902</v>
      </c>
      <c r="AD2734">
        <v>-1.125533968749</v>
      </c>
      <c r="AE2734">
        <v>-9.0640999999999892</v>
      </c>
      <c r="AF2734">
        <v>-6.0331673821717198</v>
      </c>
      <c r="AG2734">
        <v>-1.125533968749</v>
      </c>
      <c r="AH2734">
        <v>6.9641918699259202</v>
      </c>
      <c r="AI2734">
        <v>96.964396334546606</v>
      </c>
      <c r="AJ2734">
        <v>130.902797262105</v>
      </c>
      <c r="AK2734">
        <v>9.2825591178969091</v>
      </c>
      <c r="AL2734">
        <v>95.822420944924801</v>
      </c>
      <c r="AM2734">
        <v>118.080699344544</v>
      </c>
      <c r="AN2734">
        <v>0.99999994609474296</v>
      </c>
    </row>
    <row r="2735" spans="1:40" x14ac:dyDescent="0.25">
      <c r="A2735" t="str">
        <f>"20190303154821703"</f>
        <v>20190303154821703</v>
      </c>
      <c r="B2735" t="str">
        <f>"1551599301693869"</f>
        <v>1551599301693869</v>
      </c>
      <c r="C2735" t="s">
        <v>40</v>
      </c>
      <c r="D2735">
        <v>5.1693740000000004</v>
      </c>
      <c r="E2735">
        <v>0.4163039</v>
      </c>
      <c r="F2735" t="s">
        <v>47</v>
      </c>
      <c r="G2735">
        <v>-488.89850000000001</v>
      </c>
      <c r="H2735" s="1">
        <v>9.0152539999999999E-7</v>
      </c>
      <c r="I2735">
        <v>272.43239999999997</v>
      </c>
      <c r="J2735">
        <v>-486.56979999999999</v>
      </c>
      <c r="K2735">
        <v>1.125507</v>
      </c>
      <c r="L2735">
        <v>281.83510000000001</v>
      </c>
      <c r="M2735">
        <v>-0.81640449999999998</v>
      </c>
      <c r="N2735">
        <v>-1.4357440000000001E-2</v>
      </c>
      <c r="O2735">
        <v>-0.57730209999999904</v>
      </c>
      <c r="P2735">
        <v>-0.44493480000000002</v>
      </c>
      <c r="Q2735">
        <v>-0.1072212</v>
      </c>
      <c r="R2735">
        <v>-0.8891213</v>
      </c>
      <c r="S2735">
        <v>-0.75070190000000003</v>
      </c>
      <c r="T2735">
        <v>-0.35214289999999998</v>
      </c>
      <c r="U2735">
        <v>-2.9596559999999998</v>
      </c>
      <c r="V2735">
        <v>-0.46797030000000001</v>
      </c>
      <c r="W2735">
        <v>-9.9916050000000006E-2</v>
      </c>
      <c r="X2735">
        <v>0.87807780000000002</v>
      </c>
      <c r="Y2735">
        <v>-0.64781469999999997</v>
      </c>
      <c r="Z2735">
        <v>1.925847E-2</v>
      </c>
      <c r="AA2735">
        <v>0.76155450000000002</v>
      </c>
      <c r="AB2735">
        <v>17</v>
      </c>
      <c r="AC2735">
        <v>-2.32870000000002</v>
      </c>
      <c r="AD2735">
        <v>-1.1255060984745999</v>
      </c>
      <c r="AE2735">
        <v>-9.4027000000000296</v>
      </c>
      <c r="AF2735">
        <v>-6.2483421227025397</v>
      </c>
      <c r="AG2735">
        <v>-1.1255060984745999</v>
      </c>
      <c r="AH2735">
        <v>7.2324753678942901</v>
      </c>
      <c r="AI2735">
        <v>96.716137310031598</v>
      </c>
      <c r="AJ2735">
        <v>130.82467219230799</v>
      </c>
      <c r="AK2735">
        <v>9.6237852847640095</v>
      </c>
      <c r="AL2735">
        <v>95.734336165649395</v>
      </c>
      <c r="AM2735">
        <v>118.055320486887</v>
      </c>
      <c r="AN2735">
        <v>1.00000002079126</v>
      </c>
    </row>
    <row r="2736" spans="1:40" x14ac:dyDescent="0.25">
      <c r="A2736" t="str">
        <f>"20190303154821716"</f>
        <v>20190303154821716</v>
      </c>
      <c r="B2736" t="str">
        <f>"1551599301703464"</f>
        <v>1551599301703464</v>
      </c>
      <c r="C2736" t="s">
        <v>40</v>
      </c>
      <c r="D2736">
        <v>5.1490349999999996</v>
      </c>
      <c r="E2736">
        <v>0.41639979999999999</v>
      </c>
      <c r="F2736" t="s">
        <v>47</v>
      </c>
      <c r="G2736">
        <v>-488.97379999999998</v>
      </c>
      <c r="H2736" s="1">
        <v>8.0981809999999997E-7</v>
      </c>
      <c r="I2736">
        <v>272.15410000000003</v>
      </c>
      <c r="J2736">
        <v>-486.6431</v>
      </c>
      <c r="K2736">
        <v>1.1254820000000001</v>
      </c>
      <c r="L2736">
        <v>281.7749</v>
      </c>
      <c r="M2736">
        <v>-0.81309100000000001</v>
      </c>
      <c r="N2736">
        <v>-1.434121E-2</v>
      </c>
      <c r="O2736">
        <v>-0.58196009999999998</v>
      </c>
      <c r="P2736">
        <v>-0.44046239999999998</v>
      </c>
      <c r="Q2736">
        <v>-0.1053887</v>
      </c>
      <c r="R2736">
        <v>-0.89156409999999997</v>
      </c>
      <c r="S2736">
        <v>-0.73608399999999996</v>
      </c>
      <c r="T2736">
        <v>-0.34461720000000001</v>
      </c>
      <c r="U2736">
        <v>-2.9642029999999999</v>
      </c>
      <c r="V2736">
        <v>-0.46756930000000002</v>
      </c>
      <c r="W2736">
        <v>-9.8048419999999997E-2</v>
      </c>
      <c r="X2736">
        <v>0.8785018</v>
      </c>
      <c r="Y2736">
        <v>-0.64734440000000004</v>
      </c>
      <c r="Z2736">
        <v>1.9234979999999999E-2</v>
      </c>
      <c r="AA2736">
        <v>0.76195489999999999</v>
      </c>
      <c r="AB2736">
        <v>17</v>
      </c>
      <c r="AC2736">
        <v>-2.3306999999999798</v>
      </c>
      <c r="AD2736">
        <v>-1.1254811901819</v>
      </c>
      <c r="AE2736">
        <v>-9.6207999999999707</v>
      </c>
      <c r="AF2736">
        <v>-6.3843476482728301</v>
      </c>
      <c r="AG2736">
        <v>-1.1254811901819</v>
      </c>
      <c r="AH2736">
        <v>7.3991171167066101</v>
      </c>
      <c r="AI2736">
        <v>96.569534375955399</v>
      </c>
      <c r="AJ2736">
        <v>130.78935331044201</v>
      </c>
      <c r="AK2736">
        <v>9.8373541620804108</v>
      </c>
      <c r="AL2736">
        <v>95.626800992946698</v>
      </c>
      <c r="AM2736">
        <v>118.02346539157099</v>
      </c>
      <c r="AN2736">
        <v>0.99999997778511296</v>
      </c>
    </row>
    <row r="2737" spans="1:40" x14ac:dyDescent="0.25">
      <c r="A2737" t="str">
        <f>"20190303154821726"</f>
        <v>20190303154821726</v>
      </c>
      <c r="B2737" t="str">
        <f>"1551599301723958"</f>
        <v>1551599301723958</v>
      </c>
      <c r="C2737" t="s">
        <v>40</v>
      </c>
      <c r="D2737">
        <v>5.1561469999999998</v>
      </c>
      <c r="E2737">
        <v>0.41662460000000001</v>
      </c>
      <c r="F2737" t="s">
        <v>47</v>
      </c>
      <c r="G2737">
        <v>-489.0616</v>
      </c>
      <c r="H2737" s="1">
        <v>7.0471090000000005E-7</v>
      </c>
      <c r="I2737">
        <v>271.8347</v>
      </c>
      <c r="J2737">
        <v>-486.70740000000001</v>
      </c>
      <c r="K2737">
        <v>1.125472</v>
      </c>
      <c r="L2737">
        <v>281.72179999999997</v>
      </c>
      <c r="M2737">
        <v>-0.81016690000000002</v>
      </c>
      <c r="N2737">
        <v>-1.4327370000000001E-2</v>
      </c>
      <c r="O2737">
        <v>-0.58602410000000005</v>
      </c>
      <c r="P2737">
        <v>-0.43662339999999999</v>
      </c>
      <c r="Q2737">
        <v>-0.10353710000000001</v>
      </c>
      <c r="R2737">
        <v>-0.89366659999999998</v>
      </c>
      <c r="S2737">
        <v>-0.72219849999999997</v>
      </c>
      <c r="T2737">
        <v>-0.33609220000000001</v>
      </c>
      <c r="U2737">
        <v>-2.968353</v>
      </c>
      <c r="V2737">
        <v>-0.46715230000000002</v>
      </c>
      <c r="W2737">
        <v>-9.6167119999999995E-2</v>
      </c>
      <c r="X2737">
        <v>0.87893149999999998</v>
      </c>
      <c r="Y2737">
        <v>-0.64721090000000003</v>
      </c>
      <c r="Z2737">
        <v>1.898704E-2</v>
      </c>
      <c r="AA2737">
        <v>0.76207460000000005</v>
      </c>
      <c r="AB2737">
        <v>17</v>
      </c>
      <c r="AC2737">
        <v>-2.3541999999999899</v>
      </c>
      <c r="AD2737">
        <v>-1.1254712952890999</v>
      </c>
      <c r="AE2737">
        <v>-9.88709999999997</v>
      </c>
      <c r="AF2737">
        <v>-6.5509329121123896</v>
      </c>
      <c r="AG2737">
        <v>-1.1254712952890999</v>
      </c>
      <c r="AH2737">
        <v>7.6088605455850402</v>
      </c>
      <c r="AI2737">
        <v>96.395834304487906</v>
      </c>
      <c r="AJ2737">
        <v>130.72717082350599</v>
      </c>
      <c r="AK2737">
        <v>10.1032750362284</v>
      </c>
      <c r="AL2737">
        <v>95.518498538405396</v>
      </c>
      <c r="AM2737">
        <v>117.99065494080899</v>
      </c>
      <c r="AN2737">
        <v>0.99999998402831702</v>
      </c>
    </row>
    <row r="2738" spans="1:40" x14ac:dyDescent="0.25">
      <c r="A2738" t="str">
        <f>"20190303154821739"</f>
        <v>20190303154821739</v>
      </c>
      <c r="B2738" t="str">
        <f>"1551599301733719"</f>
        <v>1551599301733719</v>
      </c>
      <c r="C2738" t="s">
        <v>40</v>
      </c>
      <c r="D2738">
        <v>5.1710479999999999</v>
      </c>
      <c r="E2738">
        <v>0.41671580000000003</v>
      </c>
      <c r="F2738" t="s">
        <v>47</v>
      </c>
      <c r="G2738">
        <v>-489.1773</v>
      </c>
      <c r="H2738" s="1">
        <v>5.6382919999999899E-7</v>
      </c>
      <c r="I2738">
        <v>271.40719999999999</v>
      </c>
      <c r="J2738">
        <v>-486.78219999999999</v>
      </c>
      <c r="K2738">
        <v>1.125453</v>
      </c>
      <c r="L2738">
        <v>281.65949999999998</v>
      </c>
      <c r="M2738">
        <v>-0.80674169999999901</v>
      </c>
      <c r="N2738">
        <v>-1.431167E-2</v>
      </c>
      <c r="O2738">
        <v>-0.59073109999999995</v>
      </c>
      <c r="P2738">
        <v>-0.43213069999999998</v>
      </c>
      <c r="Q2738">
        <v>-0.1028131</v>
      </c>
      <c r="R2738">
        <v>-0.89593149999999999</v>
      </c>
      <c r="S2738">
        <v>-0.71157840000000006</v>
      </c>
      <c r="T2738">
        <v>-0.3242527</v>
      </c>
      <c r="U2738">
        <v>-2.9716800000000001</v>
      </c>
      <c r="V2738">
        <v>-0.46653210000000001</v>
      </c>
      <c r="W2738">
        <v>-9.5410830000000002E-2</v>
      </c>
      <c r="X2738">
        <v>0.87934330000000005</v>
      </c>
      <c r="Y2738">
        <v>-0.64564149999999998</v>
      </c>
      <c r="Z2738">
        <v>1.8579729999999999E-2</v>
      </c>
      <c r="AA2738">
        <v>0.76341459999999906</v>
      </c>
      <c r="AB2738">
        <v>17</v>
      </c>
      <c r="AC2738">
        <v>-2.39510000000001</v>
      </c>
      <c r="AD2738">
        <v>-1.1254524361708</v>
      </c>
      <c r="AE2738">
        <v>-10.2522999999999</v>
      </c>
      <c r="AF2738">
        <v>-6.7793316741316998</v>
      </c>
      <c r="AG2738">
        <v>-1.1254524361708</v>
      </c>
      <c r="AH2738">
        <v>7.8991331587448297</v>
      </c>
      <c r="AI2738">
        <v>96.170782911378495</v>
      </c>
      <c r="AJ2738">
        <v>130.637427826574</v>
      </c>
      <c r="AK2738">
        <v>10.4700661790434</v>
      </c>
      <c r="AL2738">
        <v>95.474965865800101</v>
      </c>
      <c r="AM2738">
        <v>117.948008758654</v>
      </c>
      <c r="AN2738">
        <v>1.0000000330332901</v>
      </c>
    </row>
    <row r="2739" spans="1:40" x14ac:dyDescent="0.25">
      <c r="A2739" t="str">
        <f>"20190303154821756"</f>
        <v>20190303154821756</v>
      </c>
      <c r="B2739" t="str">
        <f>"1551599301743479"</f>
        <v>1551599301743479</v>
      </c>
      <c r="C2739" t="s">
        <v>40</v>
      </c>
      <c r="D2739">
        <v>5.1565339999999997</v>
      </c>
      <c r="E2739">
        <v>0.4167035</v>
      </c>
      <c r="F2739" t="s">
        <v>42</v>
      </c>
      <c r="G2739">
        <v>-486.99130000000002</v>
      </c>
      <c r="H2739">
        <v>1.029541</v>
      </c>
      <c r="I2739">
        <v>280.76569999999998</v>
      </c>
      <c r="J2739">
        <v>-486.87150000000003</v>
      </c>
      <c r="K2739">
        <v>1.1254360000000001</v>
      </c>
      <c r="L2739">
        <v>281.58370000000002</v>
      </c>
      <c r="M2739">
        <v>-0.80260369999999903</v>
      </c>
      <c r="N2739">
        <v>-1.4294629999999999E-2</v>
      </c>
      <c r="O2739">
        <v>-0.59634129999999996</v>
      </c>
      <c r="P2739">
        <v>-0.42667529999999998</v>
      </c>
      <c r="Q2739">
        <v>-0.1020426</v>
      </c>
      <c r="R2739">
        <v>-0.89862980000000003</v>
      </c>
      <c r="S2739">
        <v>-0.69735719999999901</v>
      </c>
      <c r="T2739">
        <v>-0.31949440000000001</v>
      </c>
      <c r="U2739">
        <v>-2.9755250000000002</v>
      </c>
      <c r="V2739">
        <v>-0.46583380000000002</v>
      </c>
      <c r="W2739">
        <v>-9.4610100000000003E-2</v>
      </c>
      <c r="X2739">
        <v>0.87979979999999902</v>
      </c>
      <c r="Y2739">
        <v>-0.64405140000000005</v>
      </c>
      <c r="Z2739">
        <v>1.8929919999999999E-2</v>
      </c>
      <c r="AA2739">
        <v>0.76474799999999998</v>
      </c>
      <c r="AB2739">
        <v>17</v>
      </c>
      <c r="AC2739">
        <v>-0.11979999999999701</v>
      </c>
      <c r="AD2739">
        <v>-9.5894999999999994E-2</v>
      </c>
      <c r="AE2739">
        <v>-0.81800000000004003</v>
      </c>
      <c r="AF2739">
        <v>-0.577379558370537</v>
      </c>
      <c r="AG2739">
        <v>-9.5894999999999994E-2</v>
      </c>
      <c r="AH2739">
        <v>0.57626540125516801</v>
      </c>
      <c r="AI2739">
        <v>96.704595628889507</v>
      </c>
      <c r="AJ2739">
        <v>135.055334598435</v>
      </c>
      <c r="AK2739">
        <v>0.821367651014414</v>
      </c>
      <c r="AL2739">
        <v>95.428879415774304</v>
      </c>
      <c r="AM2739">
        <v>117.900192504893</v>
      </c>
      <c r="AN2739">
        <v>0.99999994416224303</v>
      </c>
    </row>
    <row r="2740" spans="1:40" x14ac:dyDescent="0.25">
      <c r="A2740" t="str">
        <f>"20190303154821771"</f>
        <v>20190303154821771</v>
      </c>
      <c r="B2740" t="str">
        <f>"1551599301762999"</f>
        <v>1551599301762999</v>
      </c>
      <c r="C2740" t="s">
        <v>40</v>
      </c>
      <c r="D2740">
        <v>5.1627140000000002</v>
      </c>
      <c r="E2740">
        <v>0.41692380000000001</v>
      </c>
      <c r="F2740" t="s">
        <v>47</v>
      </c>
      <c r="G2740">
        <v>-489.30340000000001</v>
      </c>
      <c r="H2740" s="1">
        <v>4.0181049999999998E-7</v>
      </c>
      <c r="I2740">
        <v>270.91719999999998</v>
      </c>
      <c r="J2740">
        <v>-486.96120000000002</v>
      </c>
      <c r="K2740">
        <v>1.125437</v>
      </c>
      <c r="L2740">
        <v>281.5068</v>
      </c>
      <c r="M2740">
        <v>-0.79839930000000003</v>
      </c>
      <c r="N2740">
        <v>-1.427929E-2</v>
      </c>
      <c r="O2740">
        <v>-0.60195909999999997</v>
      </c>
      <c r="P2740">
        <v>-0.42171579999999897</v>
      </c>
      <c r="Q2740">
        <v>-0.101136</v>
      </c>
      <c r="R2740">
        <v>-0.9010705</v>
      </c>
      <c r="S2740">
        <v>-0.67944340000000003</v>
      </c>
      <c r="T2740">
        <v>-0.3144325</v>
      </c>
      <c r="U2740">
        <v>-2.9801030000000002</v>
      </c>
      <c r="V2740">
        <v>-0.4646071</v>
      </c>
      <c r="W2740">
        <v>-9.3669299999999997E-2</v>
      </c>
      <c r="X2740">
        <v>0.88054889999999997</v>
      </c>
      <c r="Y2740">
        <v>-0.64335980000000004</v>
      </c>
      <c r="Z2740">
        <v>1.9163449999999999E-2</v>
      </c>
      <c r="AA2740">
        <v>0.76532409999999995</v>
      </c>
      <c r="AB2740">
        <v>17</v>
      </c>
      <c r="AC2740">
        <v>-2.3421999999999898</v>
      </c>
      <c r="AD2740">
        <v>-1.1254365981895</v>
      </c>
      <c r="AE2740">
        <v>-10.589600000000001</v>
      </c>
      <c r="AF2740">
        <v>-6.9704795367769599</v>
      </c>
      <c r="AG2740">
        <v>-1.1254365981895</v>
      </c>
      <c r="AH2740">
        <v>8.1575159390567897</v>
      </c>
      <c r="AI2740">
        <v>95.987690658014799</v>
      </c>
      <c r="AJ2740">
        <v>130.51341041494101</v>
      </c>
      <c r="AK2740">
        <v>10.7888488174196</v>
      </c>
      <c r="AL2740">
        <v>95.374734622335893</v>
      </c>
      <c r="AM2740">
        <v>117.81763056301899</v>
      </c>
      <c r="AN2740">
        <v>1.00000003021205</v>
      </c>
    </row>
    <row r="2741" spans="1:40" x14ac:dyDescent="0.25">
      <c r="A2741" t="str">
        <f>"20190303154821793"</f>
        <v>20190303154821793</v>
      </c>
      <c r="B2741" t="str">
        <f>"1551599301783495"</f>
        <v>1551599301783495</v>
      </c>
      <c r="C2741" t="s">
        <v>40</v>
      </c>
      <c r="D2741">
        <v>5.1340430000000001</v>
      </c>
      <c r="E2741">
        <v>0.41697509999999999</v>
      </c>
      <c r="F2741" t="s">
        <v>47</v>
      </c>
      <c r="G2741">
        <v>-489.3929</v>
      </c>
      <c r="H2741" s="1">
        <v>2.9656250000000002E-7</v>
      </c>
      <c r="I2741">
        <v>270.59699999999998</v>
      </c>
      <c r="J2741">
        <v>-487.08249999999998</v>
      </c>
      <c r="K2741">
        <v>1.1254299999999999</v>
      </c>
      <c r="L2741">
        <v>281.40109999999999</v>
      </c>
      <c r="M2741">
        <v>-0.79261599999999999</v>
      </c>
      <c r="N2741">
        <v>-1.426177E-2</v>
      </c>
      <c r="O2741">
        <v>-0.60955439999999905</v>
      </c>
      <c r="P2741">
        <v>-0.41427150000000001</v>
      </c>
      <c r="Q2741">
        <v>-9.9375820000000004E-2</v>
      </c>
      <c r="R2741">
        <v>-0.90471199999999996</v>
      </c>
      <c r="S2741">
        <v>-0.6650085</v>
      </c>
      <c r="T2741">
        <v>-0.3077838</v>
      </c>
      <c r="U2741">
        <v>-2.9836119999999999</v>
      </c>
      <c r="V2741">
        <v>-0.46363949999999998</v>
      </c>
      <c r="W2741">
        <v>-9.1885770000000005E-2</v>
      </c>
      <c r="X2741">
        <v>0.88124659999999999</v>
      </c>
      <c r="Y2741">
        <v>-0.63984129999999995</v>
      </c>
      <c r="Z2741">
        <v>1.963664E-2</v>
      </c>
      <c r="AA2741">
        <v>0.7682561</v>
      </c>
      <c r="AB2741">
        <v>17</v>
      </c>
      <c r="AC2741">
        <v>-2.3104000000000098</v>
      </c>
      <c r="AD2741">
        <v>-1.1254297034375</v>
      </c>
      <c r="AE2741">
        <v>-10.8041</v>
      </c>
      <c r="AF2741">
        <v>-7.0824265273313403</v>
      </c>
      <c r="AG2741">
        <v>-1.1254297034375</v>
      </c>
      <c r="AH2741">
        <v>8.3313542916450096</v>
      </c>
      <c r="AI2741">
        <v>95.876238110783405</v>
      </c>
      <c r="AJ2741">
        <v>130.36763215379699</v>
      </c>
      <c r="AK2741">
        <v>10.9926712797817</v>
      </c>
      <c r="AL2741">
        <v>95.272102967785699</v>
      </c>
      <c r="AM2741">
        <v>117.749655500915</v>
      </c>
      <c r="AN2741">
        <v>1.0000000753501399</v>
      </c>
    </row>
    <row r="2742" spans="1:40" x14ac:dyDescent="0.25">
      <c r="A2742" t="str">
        <f>"20190303154821806"</f>
        <v>20190303154821806</v>
      </c>
      <c r="B2742" t="str">
        <f>"1551599301803331"</f>
        <v>1551599301803331</v>
      </c>
      <c r="C2742" t="s">
        <v>40</v>
      </c>
      <c r="D2742">
        <v>5.2381219999999997</v>
      </c>
      <c r="E2742">
        <v>0.41735129999999998</v>
      </c>
      <c r="F2742" t="s">
        <v>47</v>
      </c>
      <c r="G2742">
        <v>-489.47519999999997</v>
      </c>
      <c r="H2742" s="1">
        <v>1.73568999999999E-7</v>
      </c>
      <c r="I2742">
        <v>270.22840000000002</v>
      </c>
      <c r="J2742">
        <v>-487.15839999999997</v>
      </c>
      <c r="K2742">
        <v>1.125434</v>
      </c>
      <c r="L2742">
        <v>281.33390000000003</v>
      </c>
      <c r="M2742">
        <v>-0.78893819999999903</v>
      </c>
      <c r="N2742">
        <v>-1.425269E-2</v>
      </c>
      <c r="O2742">
        <v>-0.6143073</v>
      </c>
      <c r="P2742">
        <v>-0.40969109999999997</v>
      </c>
      <c r="Q2742">
        <v>-9.9544079999999993E-2</v>
      </c>
      <c r="R2742">
        <v>-0.9067769</v>
      </c>
      <c r="S2742">
        <v>-0.64025880000000002</v>
      </c>
      <c r="T2742">
        <v>-0.30115570000000003</v>
      </c>
      <c r="U2742">
        <v>-2.989716</v>
      </c>
      <c r="V2742">
        <v>-0.4627849</v>
      </c>
      <c r="W2742">
        <v>-9.2043650000000005E-2</v>
      </c>
      <c r="X2742">
        <v>0.88167909999999905</v>
      </c>
      <c r="Y2742">
        <v>-0.64166569999999901</v>
      </c>
      <c r="Z2742">
        <v>1.9372670000000002E-2</v>
      </c>
      <c r="AA2742">
        <v>0.76673979999999997</v>
      </c>
      <c r="AB2742">
        <v>17</v>
      </c>
      <c r="AC2742">
        <v>-2.3168000000000002</v>
      </c>
      <c r="AD2742">
        <v>-1.125433826431</v>
      </c>
      <c r="AE2742">
        <v>-11.105499999999999</v>
      </c>
      <c r="AF2742">
        <v>-7.26754743991083</v>
      </c>
      <c r="AG2742">
        <v>-1.125433826431</v>
      </c>
      <c r="AH2742">
        <v>8.5665719646966103</v>
      </c>
      <c r="AI2742">
        <v>95.720848673925403</v>
      </c>
      <c r="AJ2742">
        <v>130.309981470427</v>
      </c>
      <c r="AK2742">
        <v>11.2902613926939</v>
      </c>
      <c r="AL2742">
        <v>95.281187899528604</v>
      </c>
      <c r="AM2742">
        <v>117.694550039747</v>
      </c>
      <c r="AN2742">
        <v>0.99999996627507004</v>
      </c>
    </row>
    <row r="2743" spans="1:40" x14ac:dyDescent="0.25">
      <c r="A2743" t="str">
        <f>"20190303154821819"</f>
        <v>20190303154821819</v>
      </c>
      <c r="B2743" t="str">
        <f>"1551599301813090"</f>
        <v>1551599301813090</v>
      </c>
      <c r="C2743" t="s">
        <v>40</v>
      </c>
      <c r="D2743">
        <v>5.208507</v>
      </c>
      <c r="E2743">
        <v>0.41753800000000002</v>
      </c>
      <c r="F2743" t="s">
        <v>47</v>
      </c>
      <c r="G2743">
        <v>-489.49990000000003</v>
      </c>
      <c r="H2743" s="1">
        <v>1.591208E-7</v>
      </c>
      <c r="I2743">
        <v>270.18130000000002</v>
      </c>
      <c r="J2743">
        <v>-487.23520000000002</v>
      </c>
      <c r="K2743">
        <v>1.125443</v>
      </c>
      <c r="L2743">
        <v>281.26530000000002</v>
      </c>
      <c r="M2743">
        <v>-0.78517209999999904</v>
      </c>
      <c r="N2743">
        <v>-1.4244659999999999E-2</v>
      </c>
      <c r="O2743">
        <v>-0.61911389999999999</v>
      </c>
      <c r="P2743">
        <v>-0.4047077</v>
      </c>
      <c r="Q2743">
        <v>-0.1001103</v>
      </c>
      <c r="R2743">
        <v>-0.90894969999999997</v>
      </c>
      <c r="S2743">
        <v>-0.62808229999999998</v>
      </c>
      <c r="T2743">
        <v>-0.30188110000000001</v>
      </c>
      <c r="U2743">
        <v>-2.9915159999999998</v>
      </c>
      <c r="V2743">
        <v>-0.46218530000000002</v>
      </c>
      <c r="W2743">
        <v>-9.2609629999999998E-2</v>
      </c>
      <c r="X2743">
        <v>0.88193429999999995</v>
      </c>
      <c r="Y2743">
        <v>-0.64007840000000005</v>
      </c>
      <c r="Z2743">
        <v>2.0127349999999999E-2</v>
      </c>
      <c r="AA2743">
        <v>0.76804589999999995</v>
      </c>
      <c r="AB2743">
        <v>17</v>
      </c>
      <c r="AC2743">
        <v>-2.2646999999999999</v>
      </c>
      <c r="AD2743">
        <v>-1.1254428408792001</v>
      </c>
      <c r="AE2743">
        <v>-11.084</v>
      </c>
      <c r="AF2743">
        <v>-7.2299279369513796</v>
      </c>
      <c r="AG2743">
        <v>-1.1254428408792001</v>
      </c>
      <c r="AH2743">
        <v>8.5566311702224294</v>
      </c>
      <c r="AI2743">
        <v>95.737074469049801</v>
      </c>
      <c r="AJ2743">
        <v>130.19614797995899</v>
      </c>
      <c r="AK2743">
        <v>11.2585263931306</v>
      </c>
      <c r="AL2743">
        <v>95.313755343377494</v>
      </c>
      <c r="AM2743">
        <v>117.657174963266</v>
      </c>
      <c r="AN2743">
        <v>0.99999995231065697</v>
      </c>
    </row>
    <row r="2744" spans="1:40" x14ac:dyDescent="0.25">
      <c r="A2744" t="str">
        <f>"20190303154821837"</f>
        <v>20190303154821837</v>
      </c>
      <c r="B2744" t="str">
        <f>"1551599301833587"</f>
        <v>1551599301833587</v>
      </c>
      <c r="C2744" t="s">
        <v>40</v>
      </c>
      <c r="D2744">
        <v>5.2571620000000001</v>
      </c>
      <c r="E2744">
        <v>0.41784080000000001</v>
      </c>
      <c r="F2744" t="s">
        <v>42</v>
      </c>
      <c r="G2744">
        <v>-487.41849999999999</v>
      </c>
      <c r="H2744">
        <v>1.034389</v>
      </c>
      <c r="I2744">
        <v>280.36919999999998</v>
      </c>
      <c r="J2744">
        <v>-487.33190000000002</v>
      </c>
      <c r="K2744">
        <v>1.125461</v>
      </c>
      <c r="L2744">
        <v>281.17739999999998</v>
      </c>
      <c r="M2744">
        <v>-0.78034309999999996</v>
      </c>
      <c r="N2744">
        <v>-1.4236560000000001E-2</v>
      </c>
      <c r="O2744">
        <v>-0.62518980000000002</v>
      </c>
      <c r="P2744">
        <v>-0.39983960000000002</v>
      </c>
      <c r="Q2744">
        <v>-0.1007176</v>
      </c>
      <c r="R2744">
        <v>-0.91103469999999998</v>
      </c>
      <c r="S2744">
        <v>-0.61297609999999902</v>
      </c>
      <c r="T2744">
        <v>-0.30430839999999998</v>
      </c>
      <c r="U2744">
        <v>-2.99411</v>
      </c>
      <c r="V2744">
        <v>-0.45999830000000003</v>
      </c>
      <c r="W2744">
        <v>-9.3196650000000006E-2</v>
      </c>
      <c r="X2744">
        <v>0.8830152</v>
      </c>
      <c r="Y2744">
        <v>-0.63797530000000002</v>
      </c>
      <c r="Z2744">
        <v>2.125581E-2</v>
      </c>
      <c r="AA2744">
        <v>0.76976339999999999</v>
      </c>
      <c r="AB2744">
        <v>17</v>
      </c>
      <c r="AC2744">
        <v>-8.6599999999975794E-2</v>
      </c>
      <c r="AD2744">
        <v>-9.1072E-2</v>
      </c>
      <c r="AE2744">
        <v>-0.80819999999999903</v>
      </c>
      <c r="AF2744">
        <v>-0.56944156158466097</v>
      </c>
      <c r="AG2744">
        <v>-9.1072E-2</v>
      </c>
      <c r="AH2744">
        <v>0.56581101869079298</v>
      </c>
      <c r="AI2744">
        <v>96.472541402923895</v>
      </c>
      <c r="AJ2744">
        <v>135.183231537756</v>
      </c>
      <c r="AK2744">
        <v>0.80789845284905104</v>
      </c>
      <c r="AL2744">
        <v>95.347535232575396</v>
      </c>
      <c r="AM2744">
        <v>117.51682832070701</v>
      </c>
      <c r="AN2744">
        <v>0.99999994750257404</v>
      </c>
    </row>
    <row r="2745" spans="1:40" x14ac:dyDescent="0.25">
      <c r="A2745" t="str">
        <f>"20190303154821850"</f>
        <v>20190303154821850</v>
      </c>
      <c r="B2745" t="str">
        <f>"1551599301843346"</f>
        <v>1551599301843346</v>
      </c>
      <c r="C2745" t="s">
        <v>40</v>
      </c>
      <c r="D2745">
        <v>5.234356</v>
      </c>
      <c r="E2745">
        <v>0.4180662</v>
      </c>
      <c r="F2745" t="s">
        <v>42</v>
      </c>
      <c r="G2745">
        <v>-487.51510000000002</v>
      </c>
      <c r="H2745">
        <v>1.0313829999999999</v>
      </c>
      <c r="I2745">
        <v>280.26190000000003</v>
      </c>
      <c r="J2745">
        <v>-487.40410000000003</v>
      </c>
      <c r="K2745">
        <v>1.1254759999999999</v>
      </c>
      <c r="L2745">
        <v>281.11070000000001</v>
      </c>
      <c r="M2745">
        <v>-0.77667269999999999</v>
      </c>
      <c r="N2745">
        <v>-1.4231519999999999E-2</v>
      </c>
      <c r="O2745">
        <v>-0.62974359999999996</v>
      </c>
      <c r="P2745">
        <v>-0.39607239999999999</v>
      </c>
      <c r="Q2745">
        <v>-0.1008506</v>
      </c>
      <c r="R2745">
        <v>-0.91266420000000004</v>
      </c>
      <c r="S2745">
        <v>-0.59948729999999995</v>
      </c>
      <c r="T2745">
        <v>-0.30783829999999901</v>
      </c>
      <c r="U2745">
        <v>-2.995819</v>
      </c>
      <c r="V2745">
        <v>-0.45846740000000002</v>
      </c>
      <c r="W2745">
        <v>-9.3318020000000002E-2</v>
      </c>
      <c r="X2745">
        <v>0.88379830000000004</v>
      </c>
      <c r="Y2745">
        <v>-0.63688549999999999</v>
      </c>
      <c r="Z2745">
        <v>2.2280830000000001E-2</v>
      </c>
      <c r="AA2745">
        <v>0.7706364</v>
      </c>
      <c r="AB2745">
        <v>17</v>
      </c>
      <c r="AC2745">
        <v>-0.11099999999999</v>
      </c>
      <c r="AD2745">
        <v>-9.4092999999999899E-2</v>
      </c>
      <c r="AE2745">
        <v>-0.84879999999998201</v>
      </c>
      <c r="AF2745">
        <v>-0.58236182458973196</v>
      </c>
      <c r="AG2745">
        <v>-9.4092999999999899E-2</v>
      </c>
      <c r="AH2745">
        <v>0.61338892360655395</v>
      </c>
      <c r="AI2745">
        <v>96.347841810084006</v>
      </c>
      <c r="AJ2745">
        <v>133.51363420435399</v>
      </c>
      <c r="AK2745">
        <v>0.85102570994752502</v>
      </c>
      <c r="AL2745">
        <v>95.354519257351598</v>
      </c>
      <c r="AM2745">
        <v>117.417875437676</v>
      </c>
      <c r="AN2745">
        <v>1.00000002240118</v>
      </c>
    </row>
    <row r="2746" spans="1:40" x14ac:dyDescent="0.25">
      <c r="A2746" t="str">
        <f>"20190303154821865"</f>
        <v>20190303154821865</v>
      </c>
      <c r="B2746" t="str">
        <f>"1551599301853107"</f>
        <v>1551599301853107</v>
      </c>
      <c r="C2746" t="s">
        <v>40</v>
      </c>
      <c r="D2746">
        <v>5.2310869999999996</v>
      </c>
      <c r="E2746">
        <v>0.41828729999999997</v>
      </c>
      <c r="F2746" t="s">
        <v>47</v>
      </c>
      <c r="G2746">
        <v>-489.54829999999998</v>
      </c>
      <c r="H2746" s="1">
        <v>1.6357319999999999E-7</v>
      </c>
      <c r="I2746">
        <v>270.18180000000001</v>
      </c>
      <c r="J2746">
        <v>-487.48439999999999</v>
      </c>
      <c r="K2746">
        <v>1.125494</v>
      </c>
      <c r="L2746">
        <v>281.03579999999999</v>
      </c>
      <c r="M2746">
        <v>-0.77253959999999999</v>
      </c>
      <c r="N2746">
        <v>-1.4226559999999999E-2</v>
      </c>
      <c r="O2746">
        <v>-0.63480760000000003</v>
      </c>
      <c r="P2746">
        <v>-0.3912717</v>
      </c>
      <c r="Q2746">
        <v>-0.1010253</v>
      </c>
      <c r="R2746">
        <v>-0.91471360000000002</v>
      </c>
      <c r="S2746">
        <v>-0.58813479999999996</v>
      </c>
      <c r="T2746">
        <v>-0.30871340000000003</v>
      </c>
      <c r="U2746">
        <v>-2.9977420000000001</v>
      </c>
      <c r="V2746">
        <v>-0.45731539999999998</v>
      </c>
      <c r="W2746">
        <v>-9.3490619999999997E-2</v>
      </c>
      <c r="X2746">
        <v>0.88437670000000002</v>
      </c>
      <c r="Y2746">
        <v>-0.63476589999999999</v>
      </c>
      <c r="Z2746">
        <v>2.3134780000000001E-2</v>
      </c>
      <c r="AA2746">
        <v>0.77235819999999999</v>
      </c>
      <c r="AB2746">
        <v>17</v>
      </c>
      <c r="AC2746">
        <v>-2.0638999999999799</v>
      </c>
      <c r="AD2746">
        <v>-1.1254938364267999</v>
      </c>
      <c r="AE2746">
        <v>-10.8539999999999</v>
      </c>
      <c r="AF2746">
        <v>-7.0030079325627499</v>
      </c>
      <c r="AG2746">
        <v>-1.1254938364267999</v>
      </c>
      <c r="AH2746">
        <v>8.3983512247590095</v>
      </c>
      <c r="AI2746">
        <v>95.876517101958598</v>
      </c>
      <c r="AJ2746">
        <v>129.823209260032</v>
      </c>
      <c r="AK2746">
        <v>10.9927776186814</v>
      </c>
      <c r="AL2746">
        <v>95.364452002215501</v>
      </c>
      <c r="AM2746">
        <v>117.343699854579</v>
      </c>
      <c r="AN2746">
        <v>1.00000000930401</v>
      </c>
    </row>
    <row r="2747" spans="1:40" x14ac:dyDescent="0.25">
      <c r="A2747" t="str">
        <f>"20190303154821878"</f>
        <v>20190303154821878</v>
      </c>
      <c r="B2747" t="str">
        <f>"1551599301873602"</f>
        <v>1551599301873602</v>
      </c>
      <c r="C2747" t="s">
        <v>40</v>
      </c>
      <c r="D2747">
        <v>5.2608129999999997</v>
      </c>
      <c r="E2747">
        <v>0.41867599999999999</v>
      </c>
      <c r="F2747" t="s">
        <v>47</v>
      </c>
      <c r="G2747">
        <v>-489.57190000000003</v>
      </c>
      <c r="H2747" s="1">
        <v>1.4764299999999999E-7</v>
      </c>
      <c r="I2747">
        <v>270.13080000000002</v>
      </c>
      <c r="J2747">
        <v>-487.55930000000001</v>
      </c>
      <c r="K2747">
        <v>1.125508</v>
      </c>
      <c r="L2747">
        <v>280.96519999999998</v>
      </c>
      <c r="M2747">
        <v>-0.76862419999999998</v>
      </c>
      <c r="N2747">
        <v>-1.42226E-2</v>
      </c>
      <c r="O2747">
        <v>-0.63954250000000001</v>
      </c>
      <c r="P2747">
        <v>-0.3870748</v>
      </c>
      <c r="Q2747">
        <v>-0.1009496</v>
      </c>
      <c r="R2747">
        <v>-0.91650529999999997</v>
      </c>
      <c r="S2747">
        <v>-0.57424929999999996</v>
      </c>
      <c r="T2747">
        <v>-0.30961359999999999</v>
      </c>
      <c r="U2747">
        <v>-2.9998779999999998</v>
      </c>
      <c r="V2747">
        <v>-0.45594109999999999</v>
      </c>
      <c r="W2747">
        <v>-9.3406820000000002E-2</v>
      </c>
      <c r="X2747">
        <v>0.88509479999999996</v>
      </c>
      <c r="Y2747">
        <v>-0.63358040000000004</v>
      </c>
      <c r="Z2747">
        <v>2.3898389999999999E-2</v>
      </c>
      <c r="AA2747">
        <v>0.77330759999999998</v>
      </c>
      <c r="AB2747">
        <v>17</v>
      </c>
      <c r="AC2747">
        <v>-2.0126000000000199</v>
      </c>
      <c r="AD2747">
        <v>-1.1255078523569999</v>
      </c>
      <c r="AE2747">
        <v>-10.834399999999899</v>
      </c>
      <c r="AF2747">
        <v>-6.9684581227261697</v>
      </c>
      <c r="AG2747">
        <v>-1.1255078523569999</v>
      </c>
      <c r="AH2747">
        <v>8.3893347107891199</v>
      </c>
      <c r="AI2747">
        <v>95.892123257534195</v>
      </c>
      <c r="AJ2747">
        <v>129.71414038901199</v>
      </c>
      <c r="AK2747">
        <v>10.9639004657811</v>
      </c>
      <c r="AL2747">
        <v>95.359629762939804</v>
      </c>
      <c r="AM2747">
        <v>117.254467522729</v>
      </c>
      <c r="AN2747">
        <v>0.99999996283937997</v>
      </c>
    </row>
    <row r="2748" spans="1:40" x14ac:dyDescent="0.25">
      <c r="A2748" t="str">
        <f>"20190303154821894"</f>
        <v>20190303154821894</v>
      </c>
      <c r="B2748" t="str">
        <f>"1551599301883363"</f>
        <v>1551599301883363</v>
      </c>
      <c r="C2748" t="s">
        <v>40</v>
      </c>
      <c r="D2748">
        <v>5.2218710000000002</v>
      </c>
      <c r="E2748">
        <v>0.41891109999999998</v>
      </c>
      <c r="F2748" t="s">
        <v>42</v>
      </c>
      <c r="G2748">
        <v>-487.72859999999997</v>
      </c>
      <c r="H2748">
        <v>1.031968</v>
      </c>
      <c r="I2748">
        <v>280.0641</v>
      </c>
      <c r="J2748">
        <v>-487.63670000000002</v>
      </c>
      <c r="K2748">
        <v>1.125521</v>
      </c>
      <c r="L2748">
        <v>280.89100000000002</v>
      </c>
      <c r="M2748">
        <v>-0.76449969999999901</v>
      </c>
      <c r="N2748">
        <v>-1.421936E-2</v>
      </c>
      <c r="O2748">
        <v>-0.64446749999999997</v>
      </c>
      <c r="P2748">
        <v>-0.38361970000000001</v>
      </c>
      <c r="Q2748">
        <v>-0.10111970000000001</v>
      </c>
      <c r="R2748">
        <v>-0.91793840000000004</v>
      </c>
      <c r="S2748">
        <v>-0.56369019999999903</v>
      </c>
      <c r="T2748">
        <v>-0.31146790000000002</v>
      </c>
      <c r="U2748">
        <v>-3.0009459999999999</v>
      </c>
      <c r="V2748">
        <v>-0.45357249999999999</v>
      </c>
      <c r="W2748">
        <v>-9.3549110000000005E-2</v>
      </c>
      <c r="X2748">
        <v>0.88629599999999897</v>
      </c>
      <c r="Y2748">
        <v>-0.63129919999999995</v>
      </c>
      <c r="Z2748">
        <v>2.4880139999999999E-2</v>
      </c>
      <c r="AA2748">
        <v>0.77514019999999995</v>
      </c>
      <c r="AB2748">
        <v>17</v>
      </c>
      <c r="AC2748">
        <v>-9.1899999999952797E-2</v>
      </c>
      <c r="AD2748">
        <v>-9.3552999999999997E-2</v>
      </c>
      <c r="AE2748">
        <v>-0.826899999999966</v>
      </c>
      <c r="AF2748">
        <v>-0.565841675043954</v>
      </c>
      <c r="AG2748">
        <v>-9.3552999999999997E-2</v>
      </c>
      <c r="AH2748">
        <v>0.59569670451192303</v>
      </c>
      <c r="AI2748">
        <v>96.496087699554494</v>
      </c>
      <c r="AJ2748">
        <v>133.52765033615401</v>
      </c>
      <c r="AK2748">
        <v>0.82691204416909503</v>
      </c>
      <c r="AL2748">
        <v>95.367817903963399</v>
      </c>
      <c r="AM2748">
        <v>117.10163541575901</v>
      </c>
      <c r="AN2748">
        <v>1.0000000241770199</v>
      </c>
    </row>
    <row r="2749" spans="1:40" x14ac:dyDescent="0.25">
      <c r="A2749" t="str">
        <f>"20190303154821906"</f>
        <v>20190303154821906</v>
      </c>
      <c r="B2749" t="str">
        <f>"1551599301903859"</f>
        <v>1551599301903859</v>
      </c>
      <c r="C2749" t="s">
        <v>40</v>
      </c>
      <c r="D2749">
        <v>5.2316149999999997</v>
      </c>
      <c r="E2749">
        <v>0.41940189999999999</v>
      </c>
      <c r="F2749" t="s">
        <v>42</v>
      </c>
      <c r="G2749">
        <v>-487.81110000000001</v>
      </c>
      <c r="H2749">
        <v>1.0268280000000001</v>
      </c>
      <c r="I2749">
        <v>279.94529999999997</v>
      </c>
      <c r="J2749">
        <v>-487.70780000000002</v>
      </c>
      <c r="K2749">
        <v>1.1255310000000001</v>
      </c>
      <c r="L2749">
        <v>280.822</v>
      </c>
      <c r="M2749">
        <v>-0.76065569999999905</v>
      </c>
      <c r="N2749">
        <v>-1.4216879999999999E-2</v>
      </c>
      <c r="O2749">
        <v>-0.64900000000000002</v>
      </c>
      <c r="P2749">
        <v>-0.37921759999999999</v>
      </c>
      <c r="Q2749">
        <v>-0.1012258</v>
      </c>
      <c r="R2749">
        <v>-0.91975410000000002</v>
      </c>
      <c r="S2749">
        <v>-0.55364990000000003</v>
      </c>
      <c r="T2749">
        <v>-0.31327660000000002</v>
      </c>
      <c r="U2749">
        <v>-3.002319</v>
      </c>
      <c r="V2749">
        <v>-0.45253969999999999</v>
      </c>
      <c r="W2749">
        <v>-9.3649179999999999E-2</v>
      </c>
      <c r="X2749">
        <v>0.88681319999999997</v>
      </c>
      <c r="Y2749">
        <v>-0.62927010000000005</v>
      </c>
      <c r="Z2749">
        <v>2.5795510000000001E-2</v>
      </c>
      <c r="AA2749">
        <v>0.77675850000000002</v>
      </c>
      <c r="AB2749">
        <v>17</v>
      </c>
      <c r="AC2749">
        <v>-0.10329999999999</v>
      </c>
      <c r="AD2749">
        <v>-9.8702999999999999E-2</v>
      </c>
      <c r="AE2749">
        <v>-0.87670000000002801</v>
      </c>
      <c r="AF2749">
        <v>-0.59247869783286899</v>
      </c>
      <c r="AG2749">
        <v>-9.8702999999999999E-2</v>
      </c>
      <c r="AH2749">
        <v>0.63962301235182395</v>
      </c>
      <c r="AI2749">
        <v>96.458900737225605</v>
      </c>
      <c r="AJ2749">
        <v>132.80874164920499</v>
      </c>
      <c r="AK2749">
        <v>0.877434263933631</v>
      </c>
      <c r="AL2749">
        <v>95.373576902583807</v>
      </c>
      <c r="AM2749">
        <v>117.03516555062301</v>
      </c>
      <c r="AN2749">
        <v>1.0000000003425</v>
      </c>
    </row>
    <row r="2750" spans="1:40" x14ac:dyDescent="0.25">
      <c r="A2750" t="str">
        <f>"20190303154821919"</f>
        <v>20190303154821919</v>
      </c>
      <c r="B2750" t="str">
        <f>"1551599301913618"</f>
        <v>1551599301913618</v>
      </c>
      <c r="C2750" t="s">
        <v>40</v>
      </c>
      <c r="D2750">
        <v>5.2333769999999999</v>
      </c>
      <c r="E2750">
        <v>0.4196628</v>
      </c>
      <c r="F2750" t="s">
        <v>47</v>
      </c>
      <c r="G2750">
        <v>-489.6454</v>
      </c>
      <c r="H2750" s="1">
        <v>1.4339979999999999E-7</v>
      </c>
      <c r="I2750">
        <v>270.10039999999998</v>
      </c>
      <c r="J2750">
        <v>-487.77719999999999</v>
      </c>
      <c r="K2750">
        <v>1.1255360000000001</v>
      </c>
      <c r="L2750">
        <v>280.75409999999999</v>
      </c>
      <c r="M2750">
        <v>-0.75685419999999903</v>
      </c>
      <c r="N2750">
        <v>-1.4214940000000001E-2</v>
      </c>
      <c r="O2750">
        <v>-0.65342919999999904</v>
      </c>
      <c r="P2750">
        <v>-0.37512469999999998</v>
      </c>
      <c r="Q2750">
        <v>-0.1010233</v>
      </c>
      <c r="R2750">
        <v>-0.92145299999999997</v>
      </c>
      <c r="S2750">
        <v>-0.54275509999999905</v>
      </c>
      <c r="T2750">
        <v>-0.31528099999999998</v>
      </c>
      <c r="U2750">
        <v>-3.0033259999999999</v>
      </c>
      <c r="V2750">
        <v>-0.45132410000000001</v>
      </c>
      <c r="W2750">
        <v>-9.3435169999999998E-2</v>
      </c>
      <c r="X2750">
        <v>0.88745499999999899</v>
      </c>
      <c r="Y2750">
        <v>-0.62751509999999999</v>
      </c>
      <c r="Z2750">
        <v>2.6719400000000001E-2</v>
      </c>
      <c r="AA2750">
        <v>0.77814569999999905</v>
      </c>
      <c r="AB2750">
        <v>17</v>
      </c>
      <c r="AC2750">
        <v>-1.8682000000000001</v>
      </c>
      <c r="AD2750">
        <v>-1.1255358566001901</v>
      </c>
      <c r="AE2750">
        <v>-10.653700000000001</v>
      </c>
      <c r="AF2750">
        <v>-6.7699446802422001</v>
      </c>
      <c r="AG2750">
        <v>-1.1255358566001901</v>
      </c>
      <c r="AH2750">
        <v>8.2865100655727808</v>
      </c>
      <c r="AI2750">
        <v>96.004656687080697</v>
      </c>
      <c r="AJ2750">
        <v>129.248266665709</v>
      </c>
      <c r="AK2750">
        <v>10.7594252172163</v>
      </c>
      <c r="AL2750">
        <v>95.361261164494394</v>
      </c>
      <c r="AM2750">
        <v>116.95606698397</v>
      </c>
      <c r="AN2750">
        <v>0.99999997562936904</v>
      </c>
    </row>
    <row r="2751" spans="1:40" x14ac:dyDescent="0.25">
      <c r="A2751" t="str">
        <f>"20190303154821932"</f>
        <v>20190303154821932</v>
      </c>
      <c r="B2751" t="str">
        <f>"1551599301923378"</f>
        <v>1551599301923378</v>
      </c>
      <c r="C2751" t="s">
        <v>40</v>
      </c>
      <c r="D2751">
        <v>5.223401</v>
      </c>
      <c r="E2751">
        <v>0.4196628</v>
      </c>
      <c r="F2751" t="s">
        <v>42</v>
      </c>
      <c r="G2751">
        <v>-487.93509999999998</v>
      </c>
      <c r="H2751">
        <v>1.0319069999999999</v>
      </c>
      <c r="I2751">
        <v>279.86079999999998</v>
      </c>
      <c r="J2751">
        <v>-487.84030000000001</v>
      </c>
      <c r="K2751">
        <v>1.1255409999999999</v>
      </c>
      <c r="L2751">
        <v>280.69119999999998</v>
      </c>
      <c r="M2751">
        <v>-0.75333050000000001</v>
      </c>
      <c r="N2751">
        <v>-1.421382E-2</v>
      </c>
      <c r="O2751">
        <v>-0.65748830000000003</v>
      </c>
      <c r="P2751">
        <v>-0.37160549999999998</v>
      </c>
      <c r="Q2751">
        <v>-0.10087309999999999</v>
      </c>
      <c r="R2751">
        <v>-0.9228942</v>
      </c>
      <c r="S2751">
        <v>-0.53131099999999998</v>
      </c>
      <c r="T2751">
        <v>-0.31494319999999998</v>
      </c>
      <c r="U2751">
        <v>-3.004883</v>
      </c>
      <c r="V2751">
        <v>-0.44995449999999998</v>
      </c>
      <c r="W2751">
        <v>-9.3268069999999995E-2</v>
      </c>
      <c r="X2751">
        <v>0.8881677</v>
      </c>
      <c r="Y2751">
        <v>-0.62628930000000005</v>
      </c>
      <c r="Z2751">
        <v>2.7267240000000002E-2</v>
      </c>
      <c r="AA2751">
        <v>0.77911370000000002</v>
      </c>
      <c r="AB2751">
        <v>17</v>
      </c>
      <c r="AC2751">
        <v>-9.4799999999963802E-2</v>
      </c>
      <c r="AD2751">
        <v>-9.3633999999999995E-2</v>
      </c>
      <c r="AE2751">
        <v>-0.83039999999999703</v>
      </c>
      <c r="AF2751">
        <v>-0.55631063107248702</v>
      </c>
      <c r="AG2751">
        <v>-9.3633999999999995E-2</v>
      </c>
      <c r="AH2751">
        <v>0.60980300101190998</v>
      </c>
      <c r="AI2751">
        <v>96.471744844574005</v>
      </c>
      <c r="AJ2751">
        <v>132.37354930602601</v>
      </c>
      <c r="AK2751">
        <v>0.83072771967919801</v>
      </c>
      <c r="AL2751">
        <v>95.351645324232393</v>
      </c>
      <c r="AM2751">
        <v>116.867222380813</v>
      </c>
      <c r="AN2751">
        <v>0.99999992413752903</v>
      </c>
    </row>
    <row r="2752" spans="1:40" x14ac:dyDescent="0.25">
      <c r="A2752" t="str">
        <f>"20190303154821944"</f>
        <v>20190303154821944</v>
      </c>
      <c r="B2752" t="str">
        <f>"1551599301933139"</f>
        <v>1551599301933139</v>
      </c>
      <c r="C2752" t="s">
        <v>40</v>
      </c>
      <c r="D2752">
        <v>5.2552269999999996</v>
      </c>
      <c r="E2752">
        <v>0.42913129999999999</v>
      </c>
      <c r="F2752" t="s">
        <v>42</v>
      </c>
      <c r="G2752">
        <v>-488.00580000000002</v>
      </c>
      <c r="H2752">
        <v>1.025603</v>
      </c>
      <c r="I2752">
        <v>279.73390000000001</v>
      </c>
      <c r="J2752">
        <v>-487.90379999999999</v>
      </c>
      <c r="K2752">
        <v>1.1255470000000001</v>
      </c>
      <c r="L2752">
        <v>280.62759999999997</v>
      </c>
      <c r="M2752">
        <v>-0.74974810000000003</v>
      </c>
      <c r="N2752">
        <v>-1.4212799999999999E-2</v>
      </c>
      <c r="O2752">
        <v>-0.66157100000000002</v>
      </c>
      <c r="P2752">
        <v>-0.36790679999999998</v>
      </c>
      <c r="Q2752">
        <v>-0.1011888</v>
      </c>
      <c r="R2752">
        <v>-0.92434079999999996</v>
      </c>
      <c r="S2752">
        <v>-0.51992799999999995</v>
      </c>
      <c r="T2752">
        <v>-0.31390610000000002</v>
      </c>
      <c r="U2752">
        <v>-3.0070190000000001</v>
      </c>
      <c r="V2752">
        <v>-0.44865680000000002</v>
      </c>
      <c r="W2752">
        <v>-9.3568730000000003E-2</v>
      </c>
      <c r="X2752">
        <v>0.88879249999999899</v>
      </c>
      <c r="Y2752">
        <v>-0.62503169999999897</v>
      </c>
      <c r="Z2752">
        <v>2.7720660000000001E-2</v>
      </c>
      <c r="AA2752">
        <v>0.78010699999999999</v>
      </c>
      <c r="AB2752">
        <v>17</v>
      </c>
      <c r="AC2752">
        <v>-0.102000000000032</v>
      </c>
      <c r="AD2752">
        <v>-9.9943999999999797E-2</v>
      </c>
      <c r="AE2752">
        <v>-0.89369999999996697</v>
      </c>
      <c r="AF2752">
        <v>-0.59528132714450799</v>
      </c>
      <c r="AG2752">
        <v>-9.9943999999999797E-2</v>
      </c>
      <c r="AH2752">
        <v>0.65964397901190897</v>
      </c>
      <c r="AI2752">
        <v>96.417773718257493</v>
      </c>
      <c r="AJ2752">
        <v>132.063984663848</v>
      </c>
      <c r="AK2752">
        <v>0.89413580659181302</v>
      </c>
      <c r="AL2752">
        <v>95.368946754298193</v>
      </c>
      <c r="AM2752">
        <v>116.78435380746799</v>
      </c>
      <c r="AN2752">
        <v>1.0000000697381399</v>
      </c>
    </row>
    <row r="2753" spans="1:40" x14ac:dyDescent="0.25">
      <c r="A2753" t="str">
        <f>"20190303154821958"</f>
        <v>20190303154821958</v>
      </c>
      <c r="B2753" t="str">
        <f>"1551599301953635"</f>
        <v>1551599301953635</v>
      </c>
      <c r="C2753" t="s">
        <v>40</v>
      </c>
      <c r="D2753">
        <v>5.2762270000000004</v>
      </c>
      <c r="E2753">
        <v>0.42938300000000001</v>
      </c>
      <c r="F2753" t="s">
        <v>47</v>
      </c>
      <c r="G2753">
        <v>-489.7534</v>
      </c>
      <c r="H2753" s="1">
        <v>4.908612E-7</v>
      </c>
      <c r="I2753">
        <v>271.05619999999999</v>
      </c>
      <c r="J2753">
        <v>-487.97930000000002</v>
      </c>
      <c r="K2753">
        <v>1.125553</v>
      </c>
      <c r="L2753">
        <v>280.55090000000001</v>
      </c>
      <c r="M2753">
        <v>-0.74542089999999905</v>
      </c>
      <c r="N2753">
        <v>-1.4211939999999999E-2</v>
      </c>
      <c r="O2753">
        <v>-0.66644289999999995</v>
      </c>
      <c r="P2753">
        <v>-0.36326429999999998</v>
      </c>
      <c r="Q2753">
        <v>-0.1009032</v>
      </c>
      <c r="R2753">
        <v>-0.92620630000000004</v>
      </c>
      <c r="S2753">
        <v>-0.57550049999999997</v>
      </c>
      <c r="T2753">
        <v>-0.35021600000000003</v>
      </c>
      <c r="U2753">
        <v>-2.9781490000000002</v>
      </c>
      <c r="V2753">
        <v>-0.44735150000000001</v>
      </c>
      <c r="W2753">
        <v>-9.3268190000000001E-2</v>
      </c>
      <c r="X2753">
        <v>0.88948169999999904</v>
      </c>
      <c r="Y2753">
        <v>-0.60433249999999905</v>
      </c>
      <c r="Z2753">
        <v>3.4783509999999997E-2</v>
      </c>
      <c r="AA2753">
        <v>0.79597259999999903</v>
      </c>
      <c r="AB2753">
        <v>17</v>
      </c>
      <c r="AC2753">
        <v>-1.77409999999997</v>
      </c>
      <c r="AD2753">
        <v>-1.1255525091387999</v>
      </c>
      <c r="AE2753">
        <v>-9.4947000000000195</v>
      </c>
      <c r="AF2753">
        <v>-5.8168195500753903</v>
      </c>
      <c r="AG2753">
        <v>-1.1255525091387999</v>
      </c>
      <c r="AH2753">
        <v>7.5483986139142898</v>
      </c>
      <c r="AI2753">
        <v>96.736049789011503</v>
      </c>
      <c r="AJ2753">
        <v>127.617958863566</v>
      </c>
      <c r="AK2753">
        <v>9.5958626377992307</v>
      </c>
      <c r="AL2753">
        <v>95.351651783866899</v>
      </c>
      <c r="AM2753">
        <v>116.69942475787199</v>
      </c>
      <c r="AN2753">
        <v>1.0000000072265001</v>
      </c>
    </row>
    <row r="2754" spans="1:40" x14ac:dyDescent="0.25">
      <c r="A2754" t="str">
        <f>"20190303154821975"</f>
        <v>20190303154821975</v>
      </c>
      <c r="B2754" t="str">
        <f>"1551599301963396"</f>
        <v>1551599301963396</v>
      </c>
      <c r="C2754" t="s">
        <v>40</v>
      </c>
      <c r="D2754">
        <v>5.224755</v>
      </c>
      <c r="E2754">
        <v>0.42931049999999998</v>
      </c>
      <c r="F2754" t="s">
        <v>42</v>
      </c>
      <c r="G2754">
        <v>-488.14729999999997</v>
      </c>
      <c r="H2754">
        <v>1.0236590000000001</v>
      </c>
      <c r="I2754">
        <v>279.66180000000003</v>
      </c>
      <c r="J2754">
        <v>-488.05529999999999</v>
      </c>
      <c r="K2754">
        <v>1.1255550000000001</v>
      </c>
      <c r="L2754">
        <v>280.47250000000003</v>
      </c>
      <c r="M2754">
        <v>-0.740985</v>
      </c>
      <c r="N2754">
        <v>-1.4211659999999999E-2</v>
      </c>
      <c r="O2754">
        <v>-0.6713713</v>
      </c>
      <c r="P2754">
        <v>-0.3599792</v>
      </c>
      <c r="Q2754">
        <v>-0.10079249999999999</v>
      </c>
      <c r="R2754">
        <v>-0.92749979999999999</v>
      </c>
      <c r="S2754">
        <v>-0.56314090000000006</v>
      </c>
      <c r="T2754">
        <v>-0.34160079999999998</v>
      </c>
      <c r="U2754">
        <v>-2.9809269999999999</v>
      </c>
      <c r="V2754">
        <v>-0.4446157</v>
      </c>
      <c r="W2754">
        <v>-9.3116400000000002E-2</v>
      </c>
      <c r="X2754">
        <v>0.890868199999999</v>
      </c>
      <c r="Y2754">
        <v>-0.60243019999999903</v>
      </c>
      <c r="Z2754">
        <v>3.4405129999999999E-2</v>
      </c>
      <c r="AA2754">
        <v>0.79742969999999902</v>
      </c>
      <c r="AB2754">
        <v>17</v>
      </c>
      <c r="AC2754">
        <v>-9.1999999999984497E-2</v>
      </c>
      <c r="AD2754">
        <v>-0.101895999999999</v>
      </c>
      <c r="AE2754">
        <v>-0.81069999999999698</v>
      </c>
      <c r="AF2754">
        <v>-0.53072710291027203</v>
      </c>
      <c r="AG2754">
        <v>-0.101895999999999</v>
      </c>
      <c r="AH2754">
        <v>0.60310658218509405</v>
      </c>
      <c r="AI2754">
        <v>97.228522645553895</v>
      </c>
      <c r="AJ2754">
        <v>131.34741906766999</v>
      </c>
      <c r="AK2754">
        <v>0.80980960852197603</v>
      </c>
      <c r="AL2754">
        <v>95.342917058678495</v>
      </c>
      <c r="AM2754">
        <v>116.52292768950799</v>
      </c>
      <c r="AN2754">
        <v>0.99999996720334405</v>
      </c>
    </row>
    <row r="2755" spans="1:40" x14ac:dyDescent="0.25">
      <c r="A2755" t="str">
        <f>"20190303154821994"</f>
        <v>20190303154821994</v>
      </c>
      <c r="B2755" t="str">
        <f>"1551599301983891"</f>
        <v>1551599301983891</v>
      </c>
      <c r="C2755" t="s">
        <v>40</v>
      </c>
      <c r="D2755">
        <v>5.2842710000000004</v>
      </c>
      <c r="E2755">
        <v>0.42976799999999998</v>
      </c>
      <c r="F2755" t="s">
        <v>42</v>
      </c>
      <c r="G2755">
        <v>-488.22719999999998</v>
      </c>
      <c r="H2755">
        <v>1.018937</v>
      </c>
      <c r="I2755">
        <v>279.54329999999999</v>
      </c>
      <c r="J2755">
        <v>-488.16489999999999</v>
      </c>
      <c r="K2755">
        <v>1.125561</v>
      </c>
      <c r="L2755">
        <v>280.3578</v>
      </c>
      <c r="M2755">
        <v>-0.73446009999999995</v>
      </c>
      <c r="N2755">
        <v>-1.4211909999999999E-2</v>
      </c>
      <c r="O2755">
        <v>-0.67850299999999997</v>
      </c>
      <c r="P2755">
        <v>-0.35443780000000003</v>
      </c>
      <c r="Q2755">
        <v>-0.10151549999999999</v>
      </c>
      <c r="R2755">
        <v>-0.92955290000000002</v>
      </c>
      <c r="S2755">
        <v>-0.55172730000000003</v>
      </c>
      <c r="T2755">
        <v>-0.34226299999999998</v>
      </c>
      <c r="U2755">
        <v>-2.9831539999999999</v>
      </c>
      <c r="V2755">
        <v>-0.44125320000000001</v>
      </c>
      <c r="W2755">
        <v>-9.3792700000000007E-2</v>
      </c>
      <c r="X2755">
        <v>0.89246769999999997</v>
      </c>
      <c r="Y2755">
        <v>-0.59780199999999994</v>
      </c>
      <c r="Z2755">
        <v>3.5768540000000001E-2</v>
      </c>
      <c r="AA2755">
        <v>0.80084540000000004</v>
      </c>
      <c r="AB2755">
        <v>17</v>
      </c>
      <c r="AC2755">
        <v>-6.2299999999993298E-2</v>
      </c>
      <c r="AD2755">
        <v>-0.106624</v>
      </c>
      <c r="AE2755">
        <v>-0.81450000000000899</v>
      </c>
      <c r="AF2755">
        <v>-0.54668921507816903</v>
      </c>
      <c r="AG2755">
        <v>-0.106624</v>
      </c>
      <c r="AH2755">
        <v>0.58843285884878005</v>
      </c>
      <c r="AI2755">
        <v>97.5617918824762</v>
      </c>
      <c r="AJ2755">
        <v>132.893920514527</v>
      </c>
      <c r="AK2755">
        <v>0.81024132493457401</v>
      </c>
      <c r="AL2755">
        <v>95.381836206573198</v>
      </c>
      <c r="AM2755">
        <v>116.308677283427</v>
      </c>
      <c r="AN2755">
        <v>1.0000000263133999</v>
      </c>
    </row>
    <row r="2756" spans="1:40" x14ac:dyDescent="0.25">
      <c r="A2756" t="str">
        <f>"20190303154822007"</f>
        <v>20190303154822007</v>
      </c>
      <c r="B2756" t="str">
        <f>"1551599302003917"</f>
        <v>1551599302003917</v>
      </c>
      <c r="C2756" t="s">
        <v>40</v>
      </c>
      <c r="D2756">
        <v>5.2842310000000001</v>
      </c>
      <c r="E2756">
        <v>0.43091180000000001</v>
      </c>
      <c r="F2756" t="s">
        <v>42</v>
      </c>
      <c r="G2756">
        <v>-488.33</v>
      </c>
      <c r="H2756">
        <v>1.019406</v>
      </c>
      <c r="I2756">
        <v>279.44130000000001</v>
      </c>
      <c r="J2756">
        <v>-488.23020000000002</v>
      </c>
      <c r="K2756">
        <v>1.1255679999999999</v>
      </c>
      <c r="L2756">
        <v>280.28809999999999</v>
      </c>
      <c r="M2756">
        <v>-0.730487</v>
      </c>
      <c r="N2756">
        <v>-1.421248E-2</v>
      </c>
      <c r="O2756">
        <v>-0.68277889999999997</v>
      </c>
      <c r="P2756">
        <v>-0.35084080000000001</v>
      </c>
      <c r="Q2756">
        <v>-0.1020406</v>
      </c>
      <c r="R2756">
        <v>-0.9308594</v>
      </c>
      <c r="S2756">
        <v>-0.53741459999999996</v>
      </c>
      <c r="T2756">
        <v>-0.34569620000000001</v>
      </c>
      <c r="U2756">
        <v>-2.98468</v>
      </c>
      <c r="V2756">
        <v>-0.43944699999999998</v>
      </c>
      <c r="W2756">
        <v>-9.4294260000000005E-2</v>
      </c>
      <c r="X2756">
        <v>0.89330560000000003</v>
      </c>
      <c r="Y2756">
        <v>-0.59691539999999998</v>
      </c>
      <c r="Z2756">
        <v>3.692082E-2</v>
      </c>
      <c r="AA2756">
        <v>0.80145419999999901</v>
      </c>
      <c r="AB2756">
        <v>17</v>
      </c>
      <c r="AC2756">
        <v>-9.9799999999959199E-2</v>
      </c>
      <c r="AD2756">
        <v>-0.10616200000000001</v>
      </c>
      <c r="AE2756">
        <v>-0.84679999999997302</v>
      </c>
      <c r="AF2756">
        <v>-0.542087185789905</v>
      </c>
      <c r="AG2756">
        <v>-0.10616200000000001</v>
      </c>
      <c r="AH2756">
        <v>0.64120553058421204</v>
      </c>
      <c r="AI2756">
        <v>97.206059650775302</v>
      </c>
      <c r="AJ2756">
        <v>130.21180523481601</v>
      </c>
      <c r="AK2756">
        <v>0.846329380143098</v>
      </c>
      <c r="AL2756">
        <v>95.410701634125303</v>
      </c>
      <c r="AM2756">
        <v>116.194120929134</v>
      </c>
      <c r="AN2756">
        <v>0.99999998413465296</v>
      </c>
    </row>
    <row r="2757" spans="1:40" x14ac:dyDescent="0.25">
      <c r="A2757" t="str">
        <f>"20190303154822020"</f>
        <v>20190303154822020</v>
      </c>
      <c r="B2757" t="str">
        <f>"1551599302013677"</f>
        <v>1551599302013677</v>
      </c>
      <c r="C2757" t="s">
        <v>40</v>
      </c>
      <c r="D2757">
        <v>5.2917969999999999</v>
      </c>
      <c r="E2757">
        <v>0.43158029999999997</v>
      </c>
      <c r="F2757" t="s">
        <v>42</v>
      </c>
      <c r="G2757">
        <v>-488.40370000000001</v>
      </c>
      <c r="H2757">
        <v>1.01267</v>
      </c>
      <c r="I2757">
        <v>279.31939999999997</v>
      </c>
      <c r="J2757">
        <v>-488.2953</v>
      </c>
      <c r="K2757">
        <v>1.125577</v>
      </c>
      <c r="L2757">
        <v>280.21839999999997</v>
      </c>
      <c r="M2757">
        <v>-0.72648330000000005</v>
      </c>
      <c r="N2757">
        <v>-1.421322E-2</v>
      </c>
      <c r="O2757">
        <v>-0.68703719999999902</v>
      </c>
      <c r="P2757">
        <v>-0.34594320000000001</v>
      </c>
      <c r="Q2757">
        <v>-0.1016513</v>
      </c>
      <c r="R2757">
        <v>-0.93273289999999998</v>
      </c>
      <c r="S2757">
        <v>-0.53414919999999899</v>
      </c>
      <c r="T2757">
        <v>-0.34767500000000001</v>
      </c>
      <c r="U2757">
        <v>-2.9834290000000001</v>
      </c>
      <c r="V2757">
        <v>-0.43895469999999998</v>
      </c>
      <c r="W2757">
        <v>-9.3904119999999994E-2</v>
      </c>
      <c r="X2757">
        <v>0.89358869999999901</v>
      </c>
      <c r="Y2757">
        <v>-0.59303319999999904</v>
      </c>
      <c r="Z2757">
        <v>3.8078889999999997E-2</v>
      </c>
      <c r="AA2757">
        <v>0.80427709999999997</v>
      </c>
      <c r="AB2757">
        <v>17</v>
      </c>
      <c r="AC2757">
        <v>-0.108400000000017</v>
      </c>
      <c r="AD2757">
        <v>-0.11290699999999899</v>
      </c>
      <c r="AE2757">
        <v>-0.89900000000000002</v>
      </c>
      <c r="AF2757">
        <v>-0.56983274503651404</v>
      </c>
      <c r="AG2757">
        <v>-0.11290699999999899</v>
      </c>
      <c r="AH2757">
        <v>0.68580516143266201</v>
      </c>
      <c r="AI2757">
        <v>97.216793602791199</v>
      </c>
      <c r="AJ2757">
        <v>129.723055480722</v>
      </c>
      <c r="AK2757">
        <v>0.89876919585204396</v>
      </c>
      <c r="AL2757">
        <v>95.388248606280598</v>
      </c>
      <c r="AM2757">
        <v>116.16150690361501</v>
      </c>
      <c r="AN2757">
        <v>0.99999998858637695</v>
      </c>
    </row>
    <row r="2758" spans="1:40" x14ac:dyDescent="0.25">
      <c r="A2758" t="str">
        <f>"20190303154822033"</f>
        <v>20190303154822033</v>
      </c>
      <c r="B2758" t="str">
        <f>"1551599302023438"</f>
        <v>1551599302023438</v>
      </c>
      <c r="C2758" t="s">
        <v>40</v>
      </c>
      <c r="D2758">
        <v>5.324465</v>
      </c>
      <c r="E2758">
        <v>0.43214829999999999</v>
      </c>
      <c r="F2758" t="s">
        <v>42</v>
      </c>
      <c r="G2758">
        <v>-488.44760000000002</v>
      </c>
      <c r="H2758">
        <v>1.024694</v>
      </c>
      <c r="I2758">
        <v>279.34949999999998</v>
      </c>
      <c r="J2758">
        <v>-488.35739999999998</v>
      </c>
      <c r="K2758">
        <v>1.125586</v>
      </c>
      <c r="L2758">
        <v>280.15030000000002</v>
      </c>
      <c r="M2758">
        <v>-0.72257559999999998</v>
      </c>
      <c r="N2758">
        <v>-1.421451E-2</v>
      </c>
      <c r="O2758">
        <v>-0.69114600000000004</v>
      </c>
      <c r="P2758">
        <v>-0.34262500000000001</v>
      </c>
      <c r="Q2758">
        <v>-0.1014287</v>
      </c>
      <c r="R2758">
        <v>-0.93398119999999996</v>
      </c>
      <c r="S2758">
        <v>-0.5234375</v>
      </c>
      <c r="T2758">
        <v>-0.34652899999999998</v>
      </c>
      <c r="U2758">
        <v>-2.9844360000000001</v>
      </c>
      <c r="V2758">
        <v>-0.43708439999999998</v>
      </c>
      <c r="W2758">
        <v>-9.365532E-2</v>
      </c>
      <c r="X2758">
        <v>0.89453110000000002</v>
      </c>
      <c r="Y2758">
        <v>-0.59133570000000002</v>
      </c>
      <c r="Z2758">
        <v>3.8605830000000001E-2</v>
      </c>
      <c r="AA2758">
        <v>0.80550089999999996</v>
      </c>
      <c r="AB2758">
        <v>17</v>
      </c>
      <c r="AC2758">
        <v>-9.0200000000038402E-2</v>
      </c>
      <c r="AD2758">
        <v>-0.100891999999999</v>
      </c>
      <c r="AE2758">
        <v>-0.80080000000003704</v>
      </c>
      <c r="AF2758">
        <v>-0.508380704088365</v>
      </c>
      <c r="AG2758">
        <v>-0.100891999999999</v>
      </c>
      <c r="AH2758">
        <v>0.60916023719980394</v>
      </c>
      <c r="AI2758">
        <v>97.246821918985404</v>
      </c>
      <c r="AJ2758">
        <v>129.847020945498</v>
      </c>
      <c r="AK2758">
        <v>0.79981643552674297</v>
      </c>
      <c r="AL2758">
        <v>95.373930305897801</v>
      </c>
      <c r="AM2758">
        <v>116.04098806459</v>
      </c>
      <c r="AN2758">
        <v>0.99999999027743602</v>
      </c>
    </row>
    <row r="2759" spans="1:40" x14ac:dyDescent="0.25">
      <c r="A2759" t="str">
        <f>"20190303154822044"</f>
        <v>20190303154822044</v>
      </c>
      <c r="B2759" t="str">
        <f>"1551599302033198"</f>
        <v>1551599302033198</v>
      </c>
      <c r="C2759" t="s">
        <v>40</v>
      </c>
      <c r="D2759">
        <v>5.3187759999999997</v>
      </c>
      <c r="E2759">
        <v>0.43214829999999999</v>
      </c>
      <c r="F2759" t="s">
        <v>42</v>
      </c>
      <c r="G2759">
        <v>-488.51780000000002</v>
      </c>
      <c r="H2759">
        <v>1.01806</v>
      </c>
      <c r="I2759">
        <v>279.22519999999997</v>
      </c>
      <c r="J2759">
        <v>-488.41609999999997</v>
      </c>
      <c r="K2759">
        <v>1.12559599999999</v>
      </c>
      <c r="L2759">
        <v>280.08569999999997</v>
      </c>
      <c r="M2759">
        <v>-0.71884619999999999</v>
      </c>
      <c r="N2759">
        <v>-1.421588E-2</v>
      </c>
      <c r="O2759">
        <v>-0.69502379999999997</v>
      </c>
      <c r="P2759">
        <v>-0.33957120000000002</v>
      </c>
      <c r="Q2759">
        <v>-0.1010389</v>
      </c>
      <c r="R2759">
        <v>-0.93513749999999995</v>
      </c>
      <c r="S2759">
        <v>-0.51730350000000003</v>
      </c>
      <c r="T2759">
        <v>-0.34688909999999901</v>
      </c>
      <c r="U2759">
        <v>-2.9846189999999999</v>
      </c>
      <c r="V2759">
        <v>-0.43522870000000002</v>
      </c>
      <c r="W2759">
        <v>-9.3239210000000003E-2</v>
      </c>
      <c r="X2759">
        <v>0.89547880000000002</v>
      </c>
      <c r="Y2759">
        <v>-0.58863069999999995</v>
      </c>
      <c r="Z2759">
        <v>3.9386150000000002E-2</v>
      </c>
      <c r="AA2759">
        <v>0.80744209999999905</v>
      </c>
      <c r="AB2759">
        <v>17</v>
      </c>
      <c r="AC2759">
        <v>-0.10170000000005</v>
      </c>
      <c r="AD2759">
        <v>-0.10753599999999899</v>
      </c>
      <c r="AE2759">
        <v>-0.86050000000000104</v>
      </c>
      <c r="AF2759">
        <v>-0.53962717029063101</v>
      </c>
      <c r="AG2759">
        <v>-0.10753599999999899</v>
      </c>
      <c r="AH2759">
        <v>0.66106069325198302</v>
      </c>
      <c r="AI2759">
        <v>97.182378981203499</v>
      </c>
      <c r="AJ2759">
        <v>129.22493489499999</v>
      </c>
      <c r="AK2759">
        <v>0.86009459617804096</v>
      </c>
      <c r="AL2759">
        <v>95.349984518578495</v>
      </c>
      <c r="AM2759">
        <v>115.92109776976601</v>
      </c>
      <c r="AN2759">
        <v>0.99999992641727398</v>
      </c>
    </row>
    <row r="2760" spans="1:40" x14ac:dyDescent="0.25">
      <c r="A2760" t="str">
        <f>"20190303154822056"</f>
        <v>20190303154822056</v>
      </c>
      <c r="B2760" t="str">
        <f>"1551599302053693"</f>
        <v>1551599302053693</v>
      </c>
      <c r="C2760" t="s">
        <v>40</v>
      </c>
      <c r="D2760">
        <v>5.3251629999999999</v>
      </c>
      <c r="E2760">
        <v>0.43952859999999999</v>
      </c>
      <c r="F2760" t="s">
        <v>42</v>
      </c>
      <c r="G2760">
        <v>-488.58359999999999</v>
      </c>
      <c r="H2760">
        <v>1.011309</v>
      </c>
      <c r="I2760">
        <v>279.09870000000001</v>
      </c>
      <c r="J2760">
        <v>-488.47590000000002</v>
      </c>
      <c r="K2760">
        <v>1.1256079999999999</v>
      </c>
      <c r="L2760">
        <v>280.01900000000001</v>
      </c>
      <c r="M2760">
        <v>-0.71498339999999905</v>
      </c>
      <c r="N2760">
        <v>-1.421767E-2</v>
      </c>
      <c r="O2760">
        <v>-0.69899679999999997</v>
      </c>
      <c r="P2760">
        <v>-0.33634819999999999</v>
      </c>
      <c r="Q2760">
        <v>-0.10023700000000001</v>
      </c>
      <c r="R2760">
        <v>-0.93638829999999995</v>
      </c>
      <c r="S2760">
        <v>-0.50729369999999996</v>
      </c>
      <c r="T2760">
        <v>-0.34585399999999999</v>
      </c>
      <c r="U2760">
        <v>-2.9865110000000001</v>
      </c>
      <c r="V2760">
        <v>-0.43342160000000002</v>
      </c>
      <c r="W2760">
        <v>-9.2412019999999997E-2</v>
      </c>
      <c r="X2760">
        <v>0.89644059999999903</v>
      </c>
      <c r="Y2760">
        <v>-0.58688739999999995</v>
      </c>
      <c r="Z2760">
        <v>3.9889809999999998E-2</v>
      </c>
      <c r="AA2760">
        <v>0.80868530000000005</v>
      </c>
      <c r="AB2760">
        <v>17</v>
      </c>
      <c r="AC2760">
        <v>-0.107699999999965</v>
      </c>
      <c r="AD2760">
        <v>-0.114298999999999</v>
      </c>
      <c r="AE2760">
        <v>-0.92029999999999701</v>
      </c>
      <c r="AF2760">
        <v>-0.57404121797456198</v>
      </c>
      <c r="AG2760">
        <v>-0.114298999999999</v>
      </c>
      <c r="AH2760">
        <v>0.709566096708939</v>
      </c>
      <c r="AI2760">
        <v>97.138147908885799</v>
      </c>
      <c r="AJ2760">
        <v>128.97296841918001</v>
      </c>
      <c r="AK2760">
        <v>0.919821519064149</v>
      </c>
      <c r="AL2760">
        <v>95.302384070279501</v>
      </c>
      <c r="AM2760">
        <v>115.803382005801</v>
      </c>
      <c r="AN2760">
        <v>1.0000000070577</v>
      </c>
    </row>
    <row r="2761" spans="1:40" x14ac:dyDescent="0.25">
      <c r="A2761" t="str">
        <f>"20190303154822072"</f>
        <v>20190303154822072</v>
      </c>
      <c r="B2761" t="str">
        <f>"1551599302063453"</f>
        <v>1551599302063453</v>
      </c>
      <c r="C2761" t="s">
        <v>40</v>
      </c>
      <c r="D2761">
        <v>5.3075269999999897</v>
      </c>
      <c r="E2761">
        <v>0.43964170000000002</v>
      </c>
      <c r="F2761" t="s">
        <v>42</v>
      </c>
      <c r="G2761">
        <v>-488.63979999999998</v>
      </c>
      <c r="H2761">
        <v>1.0189760000000001</v>
      </c>
      <c r="I2761">
        <v>279.13580000000002</v>
      </c>
      <c r="J2761">
        <v>-488.54820000000001</v>
      </c>
      <c r="K2761">
        <v>1.1256299999999999</v>
      </c>
      <c r="L2761">
        <v>279.93709999999999</v>
      </c>
      <c r="M2761">
        <v>-0.71022350000000001</v>
      </c>
      <c r="N2761">
        <v>-1.422025E-2</v>
      </c>
      <c r="O2761">
        <v>-0.70383280000000004</v>
      </c>
      <c r="P2761">
        <v>-0.33399669999999998</v>
      </c>
      <c r="Q2761">
        <v>-9.8983790000000002E-2</v>
      </c>
      <c r="R2761">
        <v>-0.93736269999999999</v>
      </c>
      <c r="S2761">
        <v>-0.55148319999999995</v>
      </c>
      <c r="T2761">
        <v>-0.35835270000000002</v>
      </c>
      <c r="U2761">
        <v>-2.9673769999999999</v>
      </c>
      <c r="V2761">
        <v>-0.42969629999999998</v>
      </c>
      <c r="W2761">
        <v>-9.1099449999999998E-2</v>
      </c>
      <c r="X2761">
        <v>0.89836629999999995</v>
      </c>
      <c r="Y2761">
        <v>-0.56877440000000001</v>
      </c>
      <c r="Z2761">
        <v>4.3843559999999997E-2</v>
      </c>
      <c r="AA2761">
        <v>0.82132419999999995</v>
      </c>
      <c r="AB2761">
        <v>17</v>
      </c>
      <c r="AC2761">
        <v>-9.1599999999971204E-2</v>
      </c>
      <c r="AD2761">
        <v>-0.106653999999999</v>
      </c>
      <c r="AE2761">
        <v>-0.80129999999996904</v>
      </c>
      <c r="AF2761">
        <v>-0.49600807667504399</v>
      </c>
      <c r="AG2761">
        <v>-0.106653999999999</v>
      </c>
      <c r="AH2761">
        <v>0.61828895493749103</v>
      </c>
      <c r="AI2761">
        <v>97.663265939316403</v>
      </c>
      <c r="AJ2761">
        <v>128.737526307244</v>
      </c>
      <c r="AK2761">
        <v>0.79980017481904297</v>
      </c>
      <c r="AL2761">
        <v>95.226860713179903</v>
      </c>
      <c r="AM2761">
        <v>115.562189384395</v>
      </c>
      <c r="AN2761">
        <v>1.00000001449984</v>
      </c>
    </row>
    <row r="2762" spans="1:40" x14ac:dyDescent="0.25">
      <c r="A2762" t="str">
        <f>"20190303154822085"</f>
        <v>20190303154822085</v>
      </c>
      <c r="B2762" t="str">
        <f>"1551599302073213"</f>
        <v>1551599302073213</v>
      </c>
      <c r="C2762" t="s">
        <v>40</v>
      </c>
      <c r="D2762">
        <v>5.2978839999999998</v>
      </c>
      <c r="E2762">
        <v>0.43962950000000001</v>
      </c>
      <c r="F2762" t="s">
        <v>42</v>
      </c>
      <c r="G2762">
        <v>-488.7174</v>
      </c>
      <c r="H2762">
        <v>1.0154920000000001</v>
      </c>
      <c r="I2762">
        <v>279.017</v>
      </c>
      <c r="J2762">
        <v>-488.61090000000002</v>
      </c>
      <c r="K2762">
        <v>1.1256469999999901</v>
      </c>
      <c r="L2762">
        <v>279.86540000000002</v>
      </c>
      <c r="M2762">
        <v>-0.706036199999999</v>
      </c>
      <c r="N2762">
        <v>-1.422267E-2</v>
      </c>
      <c r="O2762">
        <v>-0.70803300000000002</v>
      </c>
      <c r="P2762">
        <v>-0.33088820000000002</v>
      </c>
      <c r="Q2762">
        <v>-9.8542679999999994E-2</v>
      </c>
      <c r="R2762">
        <v>-0.93851079999999998</v>
      </c>
      <c r="S2762">
        <v>-0.54489140000000003</v>
      </c>
      <c r="T2762">
        <v>-0.35517850000000001</v>
      </c>
      <c r="U2762">
        <v>-2.9688110000000001</v>
      </c>
      <c r="V2762">
        <v>-0.4273827</v>
      </c>
      <c r="W2762">
        <v>-9.0624499999999997E-2</v>
      </c>
      <c r="X2762">
        <v>0.89951719999999902</v>
      </c>
      <c r="Y2762">
        <v>-0.5657626</v>
      </c>
      <c r="Z2762">
        <v>4.4125650000000002E-2</v>
      </c>
      <c r="AA2762">
        <v>0.82338659999999997</v>
      </c>
      <c r="AB2762">
        <v>17</v>
      </c>
      <c r="AC2762">
        <v>-0.106499999999982</v>
      </c>
      <c r="AD2762">
        <v>-0.110154999999999</v>
      </c>
      <c r="AE2762">
        <v>-0.84840000000002602</v>
      </c>
      <c r="AF2762">
        <v>-0.51509966988925604</v>
      </c>
      <c r="AG2762">
        <v>-0.110154999999999</v>
      </c>
      <c r="AH2762">
        <v>0.66492100837733203</v>
      </c>
      <c r="AI2762">
        <v>97.461307927619501</v>
      </c>
      <c r="AJ2762">
        <v>127.764155856583</v>
      </c>
      <c r="AK2762">
        <v>0.848281640333297</v>
      </c>
      <c r="AL2762">
        <v>95.1995352160192</v>
      </c>
      <c r="AM2762">
        <v>115.41354006498599</v>
      </c>
      <c r="AN2762">
        <v>0.99999998267768897</v>
      </c>
    </row>
    <row r="2763" spans="1:40" x14ac:dyDescent="0.25">
      <c r="A2763" t="str">
        <f>"20190303154822108"</f>
        <v>20190303154822108</v>
      </c>
      <c r="B2763" t="str">
        <f>"1551599302103977"</f>
        <v>1551599302103977</v>
      </c>
      <c r="C2763" t="s">
        <v>40</v>
      </c>
      <c r="D2763">
        <v>5.3122389999999999</v>
      </c>
      <c r="E2763">
        <v>0.43921919999999998</v>
      </c>
      <c r="F2763" t="s">
        <v>42</v>
      </c>
      <c r="G2763">
        <v>-488.78579999999999</v>
      </c>
      <c r="H2763">
        <v>1.008947</v>
      </c>
      <c r="I2763">
        <v>278.89280000000002</v>
      </c>
      <c r="J2763">
        <v>-488.71859999999998</v>
      </c>
      <c r="K2763">
        <v>1.1256660000000001</v>
      </c>
      <c r="L2763">
        <v>279.73970000000003</v>
      </c>
      <c r="M2763">
        <v>-0.69865969999999999</v>
      </c>
      <c r="N2763">
        <v>-1.4227450000000001E-2</v>
      </c>
      <c r="O2763">
        <v>-0.71531269999999902</v>
      </c>
      <c r="P2763">
        <v>-0.32634800000000003</v>
      </c>
      <c r="Q2763">
        <v>-9.8224229999999996E-2</v>
      </c>
      <c r="R2763">
        <v>-0.94013239999999998</v>
      </c>
      <c r="S2763">
        <v>-0.53488159999999996</v>
      </c>
      <c r="T2763">
        <v>-0.35651670000000002</v>
      </c>
      <c r="U2763">
        <v>-2.9705509999999999</v>
      </c>
      <c r="V2763">
        <v>-0.42243229999999998</v>
      </c>
      <c r="W2763">
        <v>-9.0229699999999996E-2</v>
      </c>
      <c r="X2763">
        <v>0.90189219999999903</v>
      </c>
      <c r="Y2763">
        <v>-0.56001789999999996</v>
      </c>
      <c r="Z2763">
        <v>4.5738199999999903E-2</v>
      </c>
      <c r="AA2763">
        <v>0.82721699999999998</v>
      </c>
      <c r="AB2763">
        <v>17</v>
      </c>
      <c r="AC2763">
        <v>-6.7200000000013901E-2</v>
      </c>
      <c r="AD2763">
        <v>-0.116719</v>
      </c>
      <c r="AE2763">
        <v>-0.84690000000000498</v>
      </c>
      <c r="AF2763">
        <v>-0.53360889129870903</v>
      </c>
      <c r="AG2763">
        <v>-0.116719</v>
      </c>
      <c r="AH2763">
        <v>0.64072054444403204</v>
      </c>
      <c r="AI2763">
        <v>97.968514609893305</v>
      </c>
      <c r="AJ2763">
        <v>129.788420506054</v>
      </c>
      <c r="AK2763">
        <v>0.84195284304211204</v>
      </c>
      <c r="AL2763">
        <v>95.176821729689095</v>
      </c>
      <c r="AM2763">
        <v>115.097661960072</v>
      </c>
      <c r="AN2763">
        <v>0.99999999363310899</v>
      </c>
    </row>
    <row r="2764" spans="1:40" x14ac:dyDescent="0.25">
      <c r="A2764" t="str">
        <f>"20190303154822128"</f>
        <v>20190303154822128</v>
      </c>
      <c r="B2764" t="str">
        <f>"1551599302123496"</f>
        <v>1551599302123496</v>
      </c>
      <c r="C2764" t="s">
        <v>40</v>
      </c>
      <c r="D2764">
        <v>5.3194999999999997</v>
      </c>
      <c r="E2764">
        <v>0.43931389999999998</v>
      </c>
      <c r="F2764" t="s">
        <v>42</v>
      </c>
      <c r="G2764">
        <v>-488.88440000000003</v>
      </c>
      <c r="H2764">
        <v>1.010483</v>
      </c>
      <c r="I2764">
        <v>278.7878</v>
      </c>
      <c r="J2764">
        <v>-488.81490000000002</v>
      </c>
      <c r="K2764">
        <v>1.125686</v>
      </c>
      <c r="L2764">
        <v>279.62520000000001</v>
      </c>
      <c r="M2764">
        <v>-0.69188490000000002</v>
      </c>
      <c r="N2764">
        <v>-1.4232099999999999E-2</v>
      </c>
      <c r="O2764">
        <v>-0.72186759999999905</v>
      </c>
      <c r="P2764">
        <v>-0.32289089999999998</v>
      </c>
      <c r="Q2764">
        <v>-9.8561640000000006E-2</v>
      </c>
      <c r="R2764">
        <v>-0.94129039999999997</v>
      </c>
      <c r="S2764">
        <v>-0.51708980000000004</v>
      </c>
      <c r="T2764">
        <v>-0.35973559999999999</v>
      </c>
      <c r="U2764">
        <v>-2.9739689999999999</v>
      </c>
      <c r="V2764">
        <v>-0.41721370000000002</v>
      </c>
      <c r="W2764">
        <v>-9.0482969999999996E-2</v>
      </c>
      <c r="X2764">
        <v>0.90429289999999996</v>
      </c>
      <c r="Y2764">
        <v>-0.55719160000000001</v>
      </c>
      <c r="Z2764">
        <v>4.7384679999999998E-2</v>
      </c>
      <c r="AA2764">
        <v>0.82903090000000002</v>
      </c>
      <c r="AB2764">
        <v>17</v>
      </c>
      <c r="AC2764">
        <v>-6.9500000000005002E-2</v>
      </c>
      <c r="AD2764">
        <v>-0.115202999999999</v>
      </c>
      <c r="AE2764">
        <v>-0.83740000000000203</v>
      </c>
      <c r="AF2764">
        <v>-0.51950327518407102</v>
      </c>
      <c r="AG2764">
        <v>-0.115202999999999</v>
      </c>
      <c r="AH2764">
        <v>0.64060281101572503</v>
      </c>
      <c r="AI2764">
        <v>97.9515098268554</v>
      </c>
      <c r="AJ2764">
        <v>129.04067095558599</v>
      </c>
      <c r="AK2764">
        <v>0.83278289224576796</v>
      </c>
      <c r="AL2764">
        <v>95.191392371160305</v>
      </c>
      <c r="AM2764">
        <v>114.767187358882</v>
      </c>
      <c r="AN2764">
        <v>1.00000004415905</v>
      </c>
    </row>
    <row r="2765" spans="1:40" x14ac:dyDescent="0.25">
      <c r="A2765" t="str">
        <f>"20190303154822139"</f>
        <v>20190303154822139</v>
      </c>
      <c r="B2765" t="str">
        <f>"1551599302133256"</f>
        <v>1551599302133256</v>
      </c>
      <c r="C2765" t="s">
        <v>40</v>
      </c>
      <c r="D2765">
        <v>5.347836</v>
      </c>
      <c r="E2765">
        <v>0.43931389999999998</v>
      </c>
      <c r="F2765" t="s">
        <v>42</v>
      </c>
      <c r="G2765">
        <v>-488.97629999999998</v>
      </c>
      <c r="H2765">
        <v>1.010197</v>
      </c>
      <c r="I2765">
        <v>278.67880000000002</v>
      </c>
      <c r="J2765">
        <v>-488.86959999999999</v>
      </c>
      <c r="K2765">
        <v>1.125694</v>
      </c>
      <c r="L2765">
        <v>279.55939999999998</v>
      </c>
      <c r="M2765">
        <v>-0.68797209999999998</v>
      </c>
      <c r="N2765">
        <v>-1.4234729999999999E-2</v>
      </c>
      <c r="O2765">
        <v>-0.72559770000000001</v>
      </c>
      <c r="P2765">
        <v>-0.32040469999999999</v>
      </c>
      <c r="Q2765">
        <v>-9.82267E-2</v>
      </c>
      <c r="R2765">
        <v>-0.94217459999999997</v>
      </c>
      <c r="S2765">
        <v>-0.50674439999999998</v>
      </c>
      <c r="T2765">
        <v>-0.36303629999999998</v>
      </c>
      <c r="U2765">
        <v>-2.97525</v>
      </c>
      <c r="V2765">
        <v>-0.41474080000000002</v>
      </c>
      <c r="W2765">
        <v>-9.0107140000000002E-2</v>
      </c>
      <c r="X2765">
        <v>0.90546720000000003</v>
      </c>
      <c r="Y2765">
        <v>-0.55557089999999998</v>
      </c>
      <c r="Z2765">
        <v>4.8592879999999998E-2</v>
      </c>
      <c r="AA2765">
        <v>0.83004800000000001</v>
      </c>
      <c r="AB2765">
        <v>17</v>
      </c>
      <c r="AC2765">
        <v>-0.106699999999989</v>
      </c>
      <c r="AD2765">
        <v>-0.115496999999999</v>
      </c>
      <c r="AE2765">
        <v>-0.88059999999995797</v>
      </c>
      <c r="AF2765">
        <v>-0.51965063698445502</v>
      </c>
      <c r="AG2765">
        <v>-0.115496999999999</v>
      </c>
      <c r="AH2765">
        <v>0.70056318961770403</v>
      </c>
      <c r="AI2765">
        <v>97.542784571509003</v>
      </c>
      <c r="AJ2765">
        <v>126.566592342826</v>
      </c>
      <c r="AK2765">
        <v>0.87986653770596501</v>
      </c>
      <c r="AL2765">
        <v>95.1697706017775</v>
      </c>
      <c r="AM2765">
        <v>114.609705730933</v>
      </c>
      <c r="AN2765">
        <v>1.0000000390697199</v>
      </c>
    </row>
    <row r="2766" spans="1:40" x14ac:dyDescent="0.25">
      <c r="A2766" t="str">
        <f>"20190303154822152"</f>
        <v>20190303154822152</v>
      </c>
      <c r="B2766" t="str">
        <f>"1551599302143018"</f>
        <v>1551599302143018</v>
      </c>
      <c r="C2766" t="s">
        <v>40</v>
      </c>
      <c r="D2766">
        <v>5.4015110000000002</v>
      </c>
      <c r="E2766">
        <v>0.4532678</v>
      </c>
      <c r="F2766" t="s">
        <v>42</v>
      </c>
      <c r="G2766">
        <v>-489.01350000000002</v>
      </c>
      <c r="H2766">
        <v>1.021299</v>
      </c>
      <c r="I2766">
        <v>278.70139999999998</v>
      </c>
      <c r="J2766">
        <v>-488.92680000000001</v>
      </c>
      <c r="K2766">
        <v>1.125702</v>
      </c>
      <c r="L2766">
        <v>279.48910000000001</v>
      </c>
      <c r="M2766">
        <v>-0.68378909999999904</v>
      </c>
      <c r="N2766">
        <v>-1.4237440000000001E-2</v>
      </c>
      <c r="O2766">
        <v>-0.729541</v>
      </c>
      <c r="P2766">
        <v>-0.31759290000000001</v>
      </c>
      <c r="Q2766">
        <v>-9.7935040000000001E-2</v>
      </c>
      <c r="R2766">
        <v>-0.94315629999999995</v>
      </c>
      <c r="S2766">
        <v>-0.49896239999999997</v>
      </c>
      <c r="T2766">
        <v>-0.36215409999999998</v>
      </c>
      <c r="U2766">
        <v>-2.9766849999999998</v>
      </c>
      <c r="V2766">
        <v>-0.4122614</v>
      </c>
      <c r="W2766">
        <v>-8.9773610000000004E-2</v>
      </c>
      <c r="X2766">
        <v>0.90663179999999999</v>
      </c>
      <c r="Y2766">
        <v>-0.55298890000000001</v>
      </c>
      <c r="Z2766">
        <v>4.9176570000000003E-2</v>
      </c>
      <c r="AA2766">
        <v>0.83173609999999898</v>
      </c>
      <c r="AB2766">
        <v>17</v>
      </c>
      <c r="AC2766">
        <v>-8.6700000000007493E-2</v>
      </c>
      <c r="AD2766">
        <v>-0.104403</v>
      </c>
      <c r="AE2766">
        <v>-0.78770000000002904</v>
      </c>
      <c r="AF2766">
        <v>-0.46730654668933502</v>
      </c>
      <c r="AG2766">
        <v>-0.104403</v>
      </c>
      <c r="AH2766">
        <v>0.62319139562721904</v>
      </c>
      <c r="AI2766">
        <v>97.634008013920507</v>
      </c>
      <c r="AJ2766">
        <v>126.86477812085</v>
      </c>
      <c r="AK2766">
        <v>0.78590260883363505</v>
      </c>
      <c r="AL2766">
        <v>95.150583220291097</v>
      </c>
      <c r="AM2766">
        <v>114.45212665815799</v>
      </c>
      <c r="AN2766">
        <v>0.99999999187681599</v>
      </c>
    </row>
    <row r="2767" spans="1:40" x14ac:dyDescent="0.25">
      <c r="A2767" t="str">
        <f>"20190303154822168"</f>
        <v>20190303154822168</v>
      </c>
      <c r="B2767" t="str">
        <f>"1551599302163512"</f>
        <v>1551599302163512</v>
      </c>
      <c r="C2767" t="s">
        <v>40</v>
      </c>
      <c r="D2767">
        <v>5.4216519999999999</v>
      </c>
      <c r="E2767">
        <v>0.47047919999999999</v>
      </c>
      <c r="F2767" t="s">
        <v>42</v>
      </c>
      <c r="G2767">
        <v>-489.1087</v>
      </c>
      <c r="H2767">
        <v>1.0281709999999999</v>
      </c>
      <c r="I2767">
        <v>278.59370000000001</v>
      </c>
      <c r="J2767">
        <v>-488.99639999999999</v>
      </c>
      <c r="K2767">
        <v>1.1257060000000001</v>
      </c>
      <c r="L2767">
        <v>279.40280000000001</v>
      </c>
      <c r="M2767">
        <v>-0.67862309999999904</v>
      </c>
      <c r="N2767">
        <v>-1.4240869999999999E-2</v>
      </c>
      <c r="O2767">
        <v>-0.73434869999999997</v>
      </c>
      <c r="P2767">
        <v>-0.3135599</v>
      </c>
      <c r="Q2767">
        <v>-9.7576529999999995E-2</v>
      </c>
      <c r="R2767">
        <v>-0.94454179999999999</v>
      </c>
      <c r="S2767">
        <v>-0.5982056</v>
      </c>
      <c r="T2767">
        <v>-0.32083339999999999</v>
      </c>
      <c r="U2767">
        <v>-2.9459840000000002</v>
      </c>
      <c r="V2767">
        <v>-0.40976669999999998</v>
      </c>
      <c r="W2767">
        <v>-8.9373510000000003E-2</v>
      </c>
      <c r="X2767">
        <v>0.90780150000000004</v>
      </c>
      <c r="Y2767">
        <v>-0.51838149999999905</v>
      </c>
      <c r="Z2767">
        <v>4.4768790000000003E-2</v>
      </c>
      <c r="AA2767">
        <v>0.85397679999999998</v>
      </c>
      <c r="AB2767">
        <v>17</v>
      </c>
      <c r="AC2767">
        <v>-0.11230000000000399</v>
      </c>
      <c r="AD2767">
        <v>-9.75349999999999E-2</v>
      </c>
      <c r="AE2767">
        <v>-0.80910000000000004</v>
      </c>
      <c r="AF2767">
        <v>-0.46009429495684701</v>
      </c>
      <c r="AG2767">
        <v>-9.75349999999999E-2</v>
      </c>
      <c r="AH2767">
        <v>0.66101473011892298</v>
      </c>
      <c r="AI2767">
        <v>96.905191303644202</v>
      </c>
      <c r="AJ2767">
        <v>124.839554257751</v>
      </c>
      <c r="AK2767">
        <v>0.811258472936358</v>
      </c>
      <c r="AL2767">
        <v>95.127566779242002</v>
      </c>
      <c r="AM2767">
        <v>114.293635383295</v>
      </c>
      <c r="AN2767">
        <v>0.99999996806042901</v>
      </c>
    </row>
    <row r="2768" spans="1:40" x14ac:dyDescent="0.25">
      <c r="A2768" t="str">
        <f>"20190303154822185"</f>
        <v>20190303154822185</v>
      </c>
      <c r="B2768" t="str">
        <f>"1551599302173272"</f>
        <v>1551599302173272</v>
      </c>
      <c r="C2768" t="s">
        <v>40</v>
      </c>
      <c r="D2768">
        <v>5.4027710000000004</v>
      </c>
      <c r="E2768">
        <v>0.47621170000000002</v>
      </c>
      <c r="F2768" t="s">
        <v>42</v>
      </c>
      <c r="G2768">
        <v>-489.22</v>
      </c>
      <c r="H2768">
        <v>1.030081</v>
      </c>
      <c r="I2768">
        <v>278.49529999999999</v>
      </c>
      <c r="J2768">
        <v>-489.07780000000002</v>
      </c>
      <c r="K2768">
        <v>1.1257159999999999</v>
      </c>
      <c r="L2768">
        <v>279.30040000000002</v>
      </c>
      <c r="M2768">
        <v>-0.67245429999999995</v>
      </c>
      <c r="N2768">
        <v>-1.424511E-2</v>
      </c>
      <c r="O2768">
        <v>-0.74000169999999998</v>
      </c>
      <c r="P2768">
        <v>-0.3112067</v>
      </c>
      <c r="Q2768">
        <v>-9.6880179999999996E-2</v>
      </c>
      <c r="R2768">
        <v>-0.94539130000000005</v>
      </c>
      <c r="S2768">
        <v>-0.71633910000000001</v>
      </c>
      <c r="T2768">
        <v>-0.30631700000000001</v>
      </c>
      <c r="U2768">
        <v>-2.9066770000000002</v>
      </c>
      <c r="V2768">
        <v>-0.40448699999999999</v>
      </c>
      <c r="W2768">
        <v>-8.8585659999999997E-2</v>
      </c>
      <c r="X2768">
        <v>0.91024329999999998</v>
      </c>
      <c r="Y2768">
        <v>-0.47550940000000003</v>
      </c>
      <c r="Z2768">
        <v>4.5152190000000002E-2</v>
      </c>
      <c r="AA2768">
        <v>0.87855110000000003</v>
      </c>
      <c r="AB2768">
        <v>17</v>
      </c>
      <c r="AC2768">
        <v>-0.14220000000000199</v>
      </c>
      <c r="AD2768">
        <v>-9.5634999999999901E-2</v>
      </c>
      <c r="AE2768">
        <v>-0.80510000000003801</v>
      </c>
      <c r="AF2768">
        <v>-0.43032069282765001</v>
      </c>
      <c r="AG2768">
        <v>-9.5634999999999901E-2</v>
      </c>
      <c r="AH2768">
        <v>0.68213455901548703</v>
      </c>
      <c r="AI2768">
        <v>96.762358839536503</v>
      </c>
      <c r="AJ2768">
        <v>122.245544332603</v>
      </c>
      <c r="AK2768">
        <v>0.81217578670132795</v>
      </c>
      <c r="AL2768">
        <v>95.082246324271495</v>
      </c>
      <c r="AM2768">
        <v>113.95904193131901</v>
      </c>
      <c r="AN2768">
        <v>1.0000000087607599</v>
      </c>
    </row>
    <row r="2769" spans="1:40" x14ac:dyDescent="0.25">
      <c r="A2769" t="str">
        <f>"20190303154822200"</f>
        <v>20190303154822200</v>
      </c>
      <c r="B2769" t="str">
        <f>"1551599302193768"</f>
        <v>1551599302193768</v>
      </c>
      <c r="C2769" t="s">
        <v>40</v>
      </c>
      <c r="D2769">
        <v>5.4101100000000004</v>
      </c>
      <c r="E2769">
        <v>0.4821029</v>
      </c>
      <c r="F2769" t="s">
        <v>42</v>
      </c>
      <c r="G2769">
        <v>-489.3159</v>
      </c>
      <c r="H2769">
        <v>1.031784</v>
      </c>
      <c r="I2769">
        <v>278.38639999999998</v>
      </c>
      <c r="J2769">
        <v>-489.14690000000002</v>
      </c>
      <c r="K2769">
        <v>1.125726</v>
      </c>
      <c r="L2769">
        <v>279.21210000000002</v>
      </c>
      <c r="M2769">
        <v>-0.6671163</v>
      </c>
      <c r="N2769">
        <v>-1.4248800000000001E-2</v>
      </c>
      <c r="O2769">
        <v>-0.74481769999999903</v>
      </c>
      <c r="P2769">
        <v>-0.30745739999999999</v>
      </c>
      <c r="Q2769">
        <v>-9.6531640000000002E-2</v>
      </c>
      <c r="R2769">
        <v>-0.94665310000000003</v>
      </c>
      <c r="S2769">
        <v>-0.75323490000000004</v>
      </c>
      <c r="T2769">
        <v>-0.29739510000000002</v>
      </c>
      <c r="U2769">
        <v>-2.8948360000000002</v>
      </c>
      <c r="V2769">
        <v>-0.40157890000000002</v>
      </c>
      <c r="W2769">
        <v>-8.8187870000000002E-2</v>
      </c>
      <c r="X2769">
        <v>0.91156859999999995</v>
      </c>
      <c r="Y2769">
        <v>-0.4578005</v>
      </c>
      <c r="Z2769">
        <v>4.487671E-2</v>
      </c>
      <c r="AA2769">
        <v>0.88792159999999998</v>
      </c>
      <c r="AB2769">
        <v>17</v>
      </c>
      <c r="AC2769">
        <v>-0.168999999999982</v>
      </c>
      <c r="AD2769">
        <v>-9.3941999999999901E-2</v>
      </c>
      <c r="AE2769">
        <v>-0.82570000000003996</v>
      </c>
      <c r="AF2769">
        <v>-0.41979137837482</v>
      </c>
      <c r="AG2769">
        <v>-9.3941999999999901E-2</v>
      </c>
      <c r="AH2769">
        <v>0.71888110766884095</v>
      </c>
      <c r="AI2769">
        <v>96.438397282292598</v>
      </c>
      <c r="AJ2769">
        <v>120.28283698983699</v>
      </c>
      <c r="AK2769">
        <v>0.83775888397856502</v>
      </c>
      <c r="AL2769">
        <v>95.059365063185695</v>
      </c>
      <c r="AM2769">
        <v>113.77522481188601</v>
      </c>
      <c r="AN2769">
        <v>1.0000000129231501</v>
      </c>
    </row>
    <row r="2770" spans="1:40" x14ac:dyDescent="0.25">
      <c r="A2770" t="str">
        <f>"20190303154822212"</f>
        <v>20190303154822212</v>
      </c>
      <c r="B2770" t="str">
        <f>"1551599302203082"</f>
        <v>1551599302203082</v>
      </c>
      <c r="C2770" t="s">
        <v>40</v>
      </c>
      <c r="D2770">
        <v>5.4037730000000002</v>
      </c>
      <c r="E2770">
        <v>0.48400310000000002</v>
      </c>
      <c r="F2770" t="s">
        <v>42</v>
      </c>
      <c r="G2770">
        <v>-489.40539999999999</v>
      </c>
      <c r="H2770">
        <v>1.0300100000000001</v>
      </c>
      <c r="I2770">
        <v>278.26369999999997</v>
      </c>
      <c r="J2770">
        <v>-489.20089999999999</v>
      </c>
      <c r="K2770">
        <v>1.1257299999999999</v>
      </c>
      <c r="L2770">
        <v>279.14139999999998</v>
      </c>
      <c r="M2770">
        <v>-0.66282989999999997</v>
      </c>
      <c r="N2770">
        <v>-1.425189E-2</v>
      </c>
      <c r="O2770">
        <v>-0.74863419999999903</v>
      </c>
      <c r="P2770">
        <v>-0.30473260000000002</v>
      </c>
      <c r="Q2770">
        <v>-9.6298579999999995E-2</v>
      </c>
      <c r="R2770">
        <v>-0.94755730000000005</v>
      </c>
      <c r="S2770">
        <v>-0.78628540000000002</v>
      </c>
      <c r="T2770">
        <v>-0.29108539999999999</v>
      </c>
      <c r="U2770">
        <v>-2.8840029999999999</v>
      </c>
      <c r="V2770">
        <v>-0.39898869999999997</v>
      </c>
      <c r="W2770">
        <v>-8.7909950000000001E-2</v>
      </c>
      <c r="X2770">
        <v>0.91273210000000005</v>
      </c>
      <c r="Y2770">
        <v>-0.4423687</v>
      </c>
      <c r="Z2770">
        <v>4.4796879999999997E-2</v>
      </c>
      <c r="AA2770">
        <v>0.8957138</v>
      </c>
      <c r="AB2770">
        <v>17</v>
      </c>
      <c r="AC2770">
        <v>-0.20449999999999499</v>
      </c>
      <c r="AD2770">
        <v>-9.5719999999999805E-2</v>
      </c>
      <c r="AE2770">
        <v>-0.87770000000000403</v>
      </c>
      <c r="AF2770">
        <v>-0.42393125930599002</v>
      </c>
      <c r="AG2770">
        <v>-9.5719999999999805E-2</v>
      </c>
      <c r="AH2770">
        <v>0.78386266431606699</v>
      </c>
      <c r="AI2770">
        <v>96.130697352232204</v>
      </c>
      <c r="AJ2770">
        <v>118.40555932427201</v>
      </c>
      <c r="AK2770">
        <v>0.89628160057285899</v>
      </c>
      <c r="AL2770">
        <v>95.043379327691397</v>
      </c>
      <c r="AM2770">
        <v>113.61190407799199</v>
      </c>
      <c r="AN2770">
        <v>1.0000000142035499</v>
      </c>
    </row>
    <row r="2771" spans="1:40" x14ac:dyDescent="0.25">
      <c r="A2771" t="str">
        <f>"20190303154822228"</f>
        <v>20190303154822228</v>
      </c>
      <c r="B2771" t="str">
        <f>"1551599302223560"</f>
        <v>1551599302223560</v>
      </c>
      <c r="C2771" t="s">
        <v>40</v>
      </c>
      <c r="D2771">
        <v>5.3780539999999997</v>
      </c>
      <c r="E2771">
        <v>0.48680679999999998</v>
      </c>
      <c r="F2771" t="s">
        <v>41</v>
      </c>
      <c r="G2771">
        <v>-492.29450000000003</v>
      </c>
      <c r="H2771" s="1">
        <v>-4.1192110000000004E-6</v>
      </c>
      <c r="I2771">
        <v>267.89530000000002</v>
      </c>
      <c r="J2771">
        <v>-489.26830000000001</v>
      </c>
      <c r="K2771">
        <v>1.125734</v>
      </c>
      <c r="L2771">
        <v>279.05270000000002</v>
      </c>
      <c r="M2771">
        <v>-0.65742369999999895</v>
      </c>
      <c r="N2771">
        <v>-1.425563E-2</v>
      </c>
      <c r="O2771">
        <v>-0.75338629999999995</v>
      </c>
      <c r="P2771">
        <v>-0.30339549999999998</v>
      </c>
      <c r="Q2771">
        <v>-9.6672830000000001E-2</v>
      </c>
      <c r="R2771">
        <v>-0.94794800000000001</v>
      </c>
      <c r="S2771">
        <v>-0.7927246</v>
      </c>
      <c r="T2771">
        <v>-0.28846749999999999</v>
      </c>
      <c r="U2771">
        <v>-2.8818049999999999</v>
      </c>
      <c r="V2771">
        <v>-0.3936771</v>
      </c>
      <c r="W2771">
        <v>-8.8192099999999995E-2</v>
      </c>
      <c r="X2771">
        <v>0.91500840000000006</v>
      </c>
      <c r="Y2771">
        <v>-0.43388910000000003</v>
      </c>
      <c r="Z2771">
        <v>4.5174590000000001E-2</v>
      </c>
      <c r="AA2771">
        <v>0.89983310000000005</v>
      </c>
      <c r="AB2771">
        <v>17</v>
      </c>
      <c r="AC2771">
        <v>-3.02620000000001</v>
      </c>
      <c r="AD2771">
        <v>-1.1257381192110001</v>
      </c>
      <c r="AE2771">
        <v>-11.1573999999999</v>
      </c>
      <c r="AF2771">
        <v>-5.0082645484137203</v>
      </c>
      <c r="AG2771">
        <v>-1.1257381192110001</v>
      </c>
      <c r="AH2771">
        <v>10.2987268757855</v>
      </c>
      <c r="AI2771">
        <v>95.614209456433301</v>
      </c>
      <c r="AJ2771">
        <v>115.933626314782</v>
      </c>
      <c r="AK2771">
        <v>11.507118464757699</v>
      </c>
      <c r="AL2771">
        <v>95.059608748259294</v>
      </c>
      <c r="AM2771">
        <v>113.279514311453</v>
      </c>
      <c r="AN2771">
        <v>0.99999993881868798</v>
      </c>
    </row>
    <row r="2772" spans="1:40" x14ac:dyDescent="0.25">
      <c r="A2772" t="str">
        <f>"20190303154822241"</f>
        <v>20190303154822241</v>
      </c>
      <c r="B2772" t="str">
        <f>"1551599302233319"</f>
        <v>1551599302233319</v>
      </c>
      <c r="C2772" t="s">
        <v>40</v>
      </c>
      <c r="D2772">
        <v>5.3789730000000002</v>
      </c>
      <c r="E2772">
        <v>0.4878441</v>
      </c>
      <c r="F2772" t="s">
        <v>41</v>
      </c>
      <c r="G2772">
        <v>-492.43650000000002</v>
      </c>
      <c r="H2772" s="1">
        <v>-4.1136020000000004E-6</v>
      </c>
      <c r="I2772">
        <v>267.8048</v>
      </c>
      <c r="J2772">
        <v>-489.32299999999998</v>
      </c>
      <c r="K2772">
        <v>1.125739</v>
      </c>
      <c r="L2772">
        <v>278.97980000000001</v>
      </c>
      <c r="M2772">
        <v>-0.65296849999999995</v>
      </c>
      <c r="N2772">
        <v>-1.425858E-2</v>
      </c>
      <c r="O2772">
        <v>-0.75725089999999995</v>
      </c>
      <c r="P2772">
        <v>-0.30021209999999998</v>
      </c>
      <c r="Q2772">
        <v>-9.6921590000000002E-2</v>
      </c>
      <c r="R2772">
        <v>-0.94893570000000005</v>
      </c>
      <c r="S2772">
        <v>-0.81011959999999905</v>
      </c>
      <c r="T2772">
        <v>-0.28785820000000001</v>
      </c>
      <c r="U2772">
        <v>-2.87616</v>
      </c>
      <c r="V2772">
        <v>-0.39133299999999999</v>
      </c>
      <c r="W2772">
        <v>-8.8400770000000004E-2</v>
      </c>
      <c r="X2772">
        <v>0.91599330000000001</v>
      </c>
      <c r="Y2772">
        <v>-0.42307850000000002</v>
      </c>
      <c r="Z2772">
        <v>4.5944770000000003E-2</v>
      </c>
      <c r="AA2772">
        <v>0.90492740000000005</v>
      </c>
      <c r="AB2772">
        <v>17</v>
      </c>
      <c r="AC2772">
        <v>-3.1134999999999802</v>
      </c>
      <c r="AD2772">
        <v>-1.125743113602</v>
      </c>
      <c r="AE2772">
        <v>-11.175000000000001</v>
      </c>
      <c r="AF2772">
        <v>-4.8936404874725996</v>
      </c>
      <c r="AG2772">
        <v>-1.125743113602</v>
      </c>
      <c r="AH2772">
        <v>10.398439945198</v>
      </c>
      <c r="AI2772">
        <v>95.5945848068027</v>
      </c>
      <c r="AJ2772">
        <v>115.20228290127601</v>
      </c>
      <c r="AK2772">
        <v>11.547405252797899</v>
      </c>
      <c r="AL2772">
        <v>95.071611384149804</v>
      </c>
      <c r="AM2772">
        <v>113.133266445399</v>
      </c>
      <c r="AN2772">
        <v>0.99999996933524105</v>
      </c>
    </row>
    <row r="2773" spans="1:40" x14ac:dyDescent="0.25">
      <c r="A2773" t="str">
        <f>"20190303154822252"</f>
        <v>20190303154822252</v>
      </c>
      <c r="B2773" t="str">
        <f>"1551599302243080"</f>
        <v>1551599302243080</v>
      </c>
      <c r="C2773" t="s">
        <v>40</v>
      </c>
      <c r="D2773">
        <v>5.3670669999999996</v>
      </c>
      <c r="E2773">
        <v>0.4886971</v>
      </c>
      <c r="F2773" t="s">
        <v>41</v>
      </c>
      <c r="G2773">
        <v>-492.47609999999997</v>
      </c>
      <c r="H2773" s="1">
        <v>-4.1044549999999997E-6</v>
      </c>
      <c r="I2773">
        <v>267.75729999999999</v>
      </c>
      <c r="J2773">
        <v>-489.37569999999999</v>
      </c>
      <c r="K2773">
        <v>1.1257410000000001</v>
      </c>
      <c r="L2773">
        <v>278.9083</v>
      </c>
      <c r="M2773">
        <v>-0.64858070000000001</v>
      </c>
      <c r="N2773">
        <v>-1.426119E-2</v>
      </c>
      <c r="O2773">
        <v>-0.76101229999999997</v>
      </c>
      <c r="P2773">
        <v>-0.29724050000000002</v>
      </c>
      <c r="Q2773">
        <v>-9.723271E-2</v>
      </c>
      <c r="R2773">
        <v>-0.94983879999999998</v>
      </c>
      <c r="S2773">
        <v>-0.80813599999999997</v>
      </c>
      <c r="T2773">
        <v>-0.28852820000000001</v>
      </c>
      <c r="U2773">
        <v>-2.8763429999999999</v>
      </c>
      <c r="V2773">
        <v>-0.38888289999999998</v>
      </c>
      <c r="W2773">
        <v>-8.8670059999999995E-2</v>
      </c>
      <c r="X2773">
        <v>0.9170102</v>
      </c>
      <c r="Y2773">
        <v>-0.41844900000000002</v>
      </c>
      <c r="Z2773">
        <v>4.6692490000000003E-2</v>
      </c>
      <c r="AA2773">
        <v>0.90703929999999999</v>
      </c>
      <c r="AB2773">
        <v>17</v>
      </c>
      <c r="AC2773">
        <v>-3.1003999999999698</v>
      </c>
      <c r="AD2773">
        <v>-1.125745104455</v>
      </c>
      <c r="AE2773">
        <v>-11.151</v>
      </c>
      <c r="AF2773">
        <v>-4.8277039248093399</v>
      </c>
      <c r="AG2773">
        <v>-1.125745104455</v>
      </c>
      <c r="AH2773">
        <v>10.3995899635374</v>
      </c>
      <c r="AI2773">
        <v>95.607626477023999</v>
      </c>
      <c r="AJ2773">
        <v>114.90169969964199</v>
      </c>
      <c r="AK2773">
        <v>11.520655304084601</v>
      </c>
      <c r="AL2773">
        <v>95.087101246834806</v>
      </c>
      <c r="AM2773">
        <v>112.980682070421</v>
      </c>
      <c r="AN2773">
        <v>0.999999998178426</v>
      </c>
    </row>
    <row r="2774" spans="1:40" x14ac:dyDescent="0.25">
      <c r="A2774" t="str">
        <f>"20190303154822264"</f>
        <v>20190303154822264</v>
      </c>
      <c r="B2774" t="str">
        <f>"1551599302253817"</f>
        <v>1551599302253817</v>
      </c>
      <c r="C2774" t="s">
        <v>40</v>
      </c>
      <c r="D2774">
        <v>5.4009309999999999</v>
      </c>
      <c r="E2774">
        <v>0.48941400000000002</v>
      </c>
      <c r="F2774" t="s">
        <v>41</v>
      </c>
      <c r="G2774">
        <v>-492.49950000000001</v>
      </c>
      <c r="H2774" s="1">
        <v>-4.1070669999999998E-6</v>
      </c>
      <c r="I2774">
        <v>267.7527</v>
      </c>
      <c r="J2774">
        <v>-489.42469999999997</v>
      </c>
      <c r="K2774">
        <v>1.1257440000000001</v>
      </c>
      <c r="L2774">
        <v>278.84120000000001</v>
      </c>
      <c r="M2774">
        <v>-0.64445109999999906</v>
      </c>
      <c r="N2774">
        <v>-1.4263629999999999E-2</v>
      </c>
      <c r="O2774">
        <v>-0.76451250000000004</v>
      </c>
      <c r="P2774">
        <v>-0.29439199999999999</v>
      </c>
      <c r="Q2774">
        <v>-9.7537719999999994E-2</v>
      </c>
      <c r="R2774">
        <v>-0.95069409999999999</v>
      </c>
      <c r="S2774">
        <v>-0.80551149999999905</v>
      </c>
      <c r="T2774">
        <v>-0.29028959999999998</v>
      </c>
      <c r="U2774">
        <v>-2.876617</v>
      </c>
      <c r="V2774">
        <v>-0.38664559999999998</v>
      </c>
      <c r="W2774">
        <v>-8.8936940000000006E-2</v>
      </c>
      <c r="X2774">
        <v>0.91792989999999997</v>
      </c>
      <c r="Y2774">
        <v>-0.4143365</v>
      </c>
      <c r="Z2774">
        <v>4.7618960000000002E-2</v>
      </c>
      <c r="AA2774">
        <v>0.90887709999999999</v>
      </c>
      <c r="AB2774">
        <v>17</v>
      </c>
      <c r="AC2774">
        <v>-3.07480000000003</v>
      </c>
      <c r="AD2774">
        <v>-1.1257481070669999</v>
      </c>
      <c r="AE2774">
        <v>-11.0885</v>
      </c>
      <c r="AF2774">
        <v>-4.7502949879804603</v>
      </c>
      <c r="AG2774">
        <v>-1.1257481070669999</v>
      </c>
      <c r="AH2774">
        <v>10.3607546610224</v>
      </c>
      <c r="AI2774">
        <v>95.640730916806305</v>
      </c>
      <c r="AJ2774">
        <v>114.63094849203701</v>
      </c>
      <c r="AK2774">
        <v>11.4532898513612</v>
      </c>
      <c r="AL2774">
        <v>95.102453241702605</v>
      </c>
      <c r="AM2774">
        <v>112.841542945085</v>
      </c>
      <c r="AN2774">
        <v>0.99999995030496502</v>
      </c>
    </row>
    <row r="2775" spans="1:40" x14ac:dyDescent="0.25">
      <c r="A2775" t="str">
        <f>"20190303154822276"</f>
        <v>20190303154822276</v>
      </c>
      <c r="B2775" t="str">
        <f>"1551599302273336"</f>
        <v>1551599302273336</v>
      </c>
      <c r="C2775" t="s">
        <v>40</v>
      </c>
      <c r="D2775">
        <v>5.3868470000000004</v>
      </c>
      <c r="E2775">
        <v>0.49064400000000002</v>
      </c>
      <c r="F2775" t="s">
        <v>41</v>
      </c>
      <c r="G2775">
        <v>-492.5292</v>
      </c>
      <c r="H2775" s="1">
        <v>-4.0968640000000004E-6</v>
      </c>
      <c r="I2775">
        <v>267.7072</v>
      </c>
      <c r="J2775">
        <v>-489.47230000000002</v>
      </c>
      <c r="K2775">
        <v>1.1257490000000001</v>
      </c>
      <c r="L2775">
        <v>278.77530000000002</v>
      </c>
      <c r="M2775">
        <v>-0.64038260000000002</v>
      </c>
      <c r="N2775">
        <v>-1.4266050000000001E-2</v>
      </c>
      <c r="O2775">
        <v>-0.76792360000000004</v>
      </c>
      <c r="P2775">
        <v>-0.29157719999999998</v>
      </c>
      <c r="Q2775">
        <v>-9.7913399999999901E-2</v>
      </c>
      <c r="R2775">
        <v>-0.95152289999999995</v>
      </c>
      <c r="S2775">
        <v>-0.80227660000000001</v>
      </c>
      <c r="T2775">
        <v>-0.29092109999999999</v>
      </c>
      <c r="U2775">
        <v>-2.8772890000000002</v>
      </c>
      <c r="V2775">
        <v>-0.38446039999999998</v>
      </c>
      <c r="W2775">
        <v>-8.9275399999999894E-2</v>
      </c>
      <c r="X2775">
        <v>0.91881449999999998</v>
      </c>
      <c r="Y2775">
        <v>-0.4105203</v>
      </c>
      <c r="Z2775">
        <v>4.8288270000000001E-2</v>
      </c>
      <c r="AA2775">
        <v>0.91057200000000005</v>
      </c>
      <c r="AB2775">
        <v>17</v>
      </c>
      <c r="AC2775">
        <v>-3.0568999999999802</v>
      </c>
      <c r="AD2775">
        <v>-1.1257530968639999</v>
      </c>
      <c r="AE2775">
        <v>-11.068099999999999</v>
      </c>
      <c r="AF2775">
        <v>-4.6957001909237901</v>
      </c>
      <c r="AG2775">
        <v>-1.1257530968639999</v>
      </c>
      <c r="AH2775">
        <v>10.3585383416748</v>
      </c>
      <c r="AI2775">
        <v>95.652909207879702</v>
      </c>
      <c r="AJ2775">
        <v>114.385588679794</v>
      </c>
      <c r="AK2775">
        <v>11.428746077067499</v>
      </c>
      <c r="AL2775">
        <v>95.121922812456603</v>
      </c>
      <c r="AM2775">
        <v>112.705942126867</v>
      </c>
      <c r="AN2775">
        <v>0.99999999081178403</v>
      </c>
    </row>
    <row r="2776" spans="1:40" x14ac:dyDescent="0.25">
      <c r="A2776" t="str">
        <f>"20190303154822288"</f>
        <v>20190303154822288</v>
      </c>
      <c r="B2776" t="str">
        <f>"1551599302283096"</f>
        <v>1551599302283096</v>
      </c>
      <c r="C2776" t="s">
        <v>40</v>
      </c>
      <c r="D2776">
        <v>5.3806089999999998</v>
      </c>
      <c r="E2776">
        <v>0.49112630000000002</v>
      </c>
      <c r="F2776" t="s">
        <v>41</v>
      </c>
      <c r="G2776">
        <v>-492.56150000000002</v>
      </c>
      <c r="H2776" s="1">
        <v>-4.1053030000000002E-6</v>
      </c>
      <c r="I2776">
        <v>267.71519999999998</v>
      </c>
      <c r="J2776">
        <v>-489.52670000000001</v>
      </c>
      <c r="K2776">
        <v>1.1257569999999999</v>
      </c>
      <c r="L2776">
        <v>278.69880000000001</v>
      </c>
      <c r="M2776">
        <v>-0.63564519999999902</v>
      </c>
      <c r="N2776">
        <v>-1.426908E-2</v>
      </c>
      <c r="O2776">
        <v>-0.77184929999999996</v>
      </c>
      <c r="P2776">
        <v>-0.28800219999999999</v>
      </c>
      <c r="Q2776">
        <v>-9.7746429999999995E-2</v>
      </c>
      <c r="R2776">
        <v>-0.95262809999999998</v>
      </c>
      <c r="S2776">
        <v>-0.80346680000000004</v>
      </c>
      <c r="T2776">
        <v>-0.29279379999999999</v>
      </c>
      <c r="U2776">
        <v>-2.8765869999999998</v>
      </c>
      <c r="V2776">
        <v>-0.38227090000000002</v>
      </c>
      <c r="W2776">
        <v>-8.9071040000000004E-2</v>
      </c>
      <c r="X2776">
        <v>0.91974739999999999</v>
      </c>
      <c r="Y2776">
        <v>-0.40451910000000002</v>
      </c>
      <c r="Z2776">
        <v>4.9369000000000003E-2</v>
      </c>
      <c r="AA2776">
        <v>0.91319600000000001</v>
      </c>
      <c r="AB2776">
        <v>17</v>
      </c>
      <c r="AC2776">
        <v>-3.0348000000000099</v>
      </c>
      <c r="AD2776">
        <v>-1.1257611053030001</v>
      </c>
      <c r="AE2776">
        <v>-10.983599999999999</v>
      </c>
      <c r="AF2776">
        <v>-4.5948908764510099</v>
      </c>
      <c r="AG2776">
        <v>-1.1257611053030001</v>
      </c>
      <c r="AH2776">
        <v>10.307201972027899</v>
      </c>
      <c r="AI2776">
        <v>95.696820016117002</v>
      </c>
      <c r="AJ2776">
        <v>114.027035660915</v>
      </c>
      <c r="AK2776">
        <v>11.3410216790588</v>
      </c>
      <c r="AL2776">
        <v>95.110167040601496</v>
      </c>
      <c r="AM2776">
        <v>112.56903901523199</v>
      </c>
      <c r="AN2776">
        <v>0.99999998548012503</v>
      </c>
    </row>
    <row r="2777" spans="1:40" x14ac:dyDescent="0.25">
      <c r="A2777" t="str">
        <f>"20190303154822301"</f>
        <v>20190303154822301</v>
      </c>
      <c r="B2777" t="str">
        <f>"1551599302293831"</f>
        <v>1551599302293831</v>
      </c>
      <c r="C2777" t="s">
        <v>40</v>
      </c>
      <c r="D2777">
        <v>5.4053459999999998</v>
      </c>
      <c r="E2777">
        <v>0.49161870000000002</v>
      </c>
      <c r="F2777" t="s">
        <v>41</v>
      </c>
      <c r="G2777">
        <v>-492.5881</v>
      </c>
      <c r="H2777" s="1">
        <v>-4.0805110000000002E-6</v>
      </c>
      <c r="I2777">
        <v>267.62849999999997</v>
      </c>
      <c r="J2777">
        <v>-489.57810000000001</v>
      </c>
      <c r="K2777">
        <v>1.1257629999999901</v>
      </c>
      <c r="L2777">
        <v>278.62599999999998</v>
      </c>
      <c r="M2777">
        <v>-0.63111169999999905</v>
      </c>
      <c r="N2777">
        <v>-1.427207E-2</v>
      </c>
      <c r="O2777">
        <v>-0.77556080000000005</v>
      </c>
      <c r="P2777">
        <v>-0.28463159999999998</v>
      </c>
      <c r="Q2777">
        <v>-9.7612130000000005E-2</v>
      </c>
      <c r="R2777">
        <v>-0.95365449999999996</v>
      </c>
      <c r="S2777">
        <v>-0.79602050000000002</v>
      </c>
      <c r="T2777">
        <v>-0.29271849999999999</v>
      </c>
      <c r="U2777">
        <v>-2.878479</v>
      </c>
      <c r="V2777">
        <v>-0.38014559999999997</v>
      </c>
      <c r="W2777">
        <v>-8.8900889999999996E-2</v>
      </c>
      <c r="X2777">
        <v>0.92064429999999997</v>
      </c>
      <c r="Y2777">
        <v>-0.40152100000000002</v>
      </c>
      <c r="Z2777">
        <v>4.9890780000000003E-2</v>
      </c>
      <c r="AA2777">
        <v>0.91448989999999997</v>
      </c>
      <c r="AB2777">
        <v>17</v>
      </c>
      <c r="AC2777">
        <v>-3.00999999999999</v>
      </c>
      <c r="AD2777">
        <v>-1.1257670805109901</v>
      </c>
      <c r="AE2777">
        <v>-10.9975</v>
      </c>
      <c r="AF2777">
        <v>-4.56220703099111</v>
      </c>
      <c r="AG2777">
        <v>-1.1257670805109901</v>
      </c>
      <c r="AH2777">
        <v>10.329242880955499</v>
      </c>
      <c r="AI2777">
        <v>95.693396797214007</v>
      </c>
      <c r="AJ2777">
        <v>113.830028545806</v>
      </c>
      <c r="AK2777">
        <v>11.3478783482621</v>
      </c>
      <c r="AL2777">
        <v>95.100379330455695</v>
      </c>
      <c r="AM2777">
        <v>112.436345495129</v>
      </c>
      <c r="AN2777">
        <v>0.99999998628232001</v>
      </c>
    </row>
    <row r="2778" spans="1:40" x14ac:dyDescent="0.25">
      <c r="A2778" t="str">
        <f>"20190303154822317"</f>
        <v>20190303154822317</v>
      </c>
      <c r="B2778" t="str">
        <f>"1551599302313861"</f>
        <v>1551599302313861</v>
      </c>
      <c r="C2778" t="s">
        <v>40</v>
      </c>
      <c r="D2778">
        <v>5.3763860000000001</v>
      </c>
      <c r="E2778">
        <v>0.49227769999999998</v>
      </c>
      <c r="F2778" t="s">
        <v>41</v>
      </c>
      <c r="G2778">
        <v>-492.613</v>
      </c>
      <c r="H2778" s="1">
        <v>-4.0616920000000002E-6</v>
      </c>
      <c r="I2778">
        <v>267.56020000000001</v>
      </c>
      <c r="J2778">
        <v>-489.6472</v>
      </c>
      <c r="K2778">
        <v>1.1257740000000001</v>
      </c>
      <c r="L2778">
        <v>278.52620000000002</v>
      </c>
      <c r="M2778">
        <v>-0.62487869999999901</v>
      </c>
      <c r="N2778">
        <v>-1.427645E-2</v>
      </c>
      <c r="O2778">
        <v>-0.78059140000000005</v>
      </c>
      <c r="P2778">
        <v>-0.28081780000000001</v>
      </c>
      <c r="Q2778">
        <v>-9.714267E-2</v>
      </c>
      <c r="R2778">
        <v>-0.95483260000000003</v>
      </c>
      <c r="S2778">
        <v>-0.78988649999999905</v>
      </c>
      <c r="T2778">
        <v>-0.2930025</v>
      </c>
      <c r="U2778">
        <v>-2.8800659999999998</v>
      </c>
      <c r="V2778">
        <v>-0.3764864</v>
      </c>
      <c r="W2778">
        <v>-8.8370290000000004E-2</v>
      </c>
      <c r="X2778">
        <v>0.92219779999999996</v>
      </c>
      <c r="Y2778">
        <v>-0.39614060000000001</v>
      </c>
      <c r="Z2778">
        <v>5.072898E-2</v>
      </c>
      <c r="AA2778">
        <v>0.91678740000000003</v>
      </c>
      <c r="AB2778">
        <v>16</v>
      </c>
      <c r="AC2778">
        <v>-2.96580000000005</v>
      </c>
      <c r="AD2778">
        <v>-1.1257780616919999</v>
      </c>
      <c r="AE2778">
        <v>-10.965999999999999</v>
      </c>
      <c r="AF2778">
        <v>-4.4936721712479102</v>
      </c>
      <c r="AG2778">
        <v>-1.1257780616919999</v>
      </c>
      <c r="AH2778">
        <v>10.3130083296296</v>
      </c>
      <c r="AI2778">
        <v>95.714769266387293</v>
      </c>
      <c r="AJ2778">
        <v>113.544131771281</v>
      </c>
      <c r="AK2778">
        <v>11.305689126888399</v>
      </c>
      <c r="AL2778">
        <v>95.069857737478799</v>
      </c>
      <c r="AM2778">
        <v>112.207692890677</v>
      </c>
      <c r="AN2778">
        <v>1.0000000499322399</v>
      </c>
    </row>
    <row r="2779" spans="1:40" x14ac:dyDescent="0.25">
      <c r="A2779" t="str">
        <f>"20190303154822329"</f>
        <v>20190303154822329</v>
      </c>
      <c r="B2779" t="str">
        <f>"1551599302323621"</f>
        <v>1551599302323621</v>
      </c>
      <c r="C2779" t="s">
        <v>40</v>
      </c>
      <c r="D2779">
        <v>5.3619690000000002</v>
      </c>
      <c r="E2779">
        <v>0.49255280000000001</v>
      </c>
      <c r="F2779" t="s">
        <v>41</v>
      </c>
      <c r="G2779">
        <v>-492.66300000000001</v>
      </c>
      <c r="H2779" s="1">
        <v>-4.0257490000000001E-6</v>
      </c>
      <c r="I2779">
        <v>267.42860000000002</v>
      </c>
      <c r="J2779">
        <v>-489.69229999999999</v>
      </c>
      <c r="K2779">
        <v>1.12578</v>
      </c>
      <c r="L2779">
        <v>278.4597</v>
      </c>
      <c r="M2779">
        <v>-0.62071350000000003</v>
      </c>
      <c r="N2779">
        <v>-1.427961E-2</v>
      </c>
      <c r="O2779">
        <v>-0.78390749999999998</v>
      </c>
      <c r="P2779">
        <v>-0.27729809999999999</v>
      </c>
      <c r="Q2779">
        <v>-9.6953559999999994E-2</v>
      </c>
      <c r="R2779">
        <v>-0.95587949999999999</v>
      </c>
      <c r="S2779">
        <v>-0.78314209999999995</v>
      </c>
      <c r="T2779">
        <v>-0.29234060000000001</v>
      </c>
      <c r="U2779">
        <v>-2.8818049999999999</v>
      </c>
      <c r="V2779">
        <v>-0.37498870000000001</v>
      </c>
      <c r="W2779">
        <v>-8.8157050000000001E-2</v>
      </c>
      <c r="X2779">
        <v>0.92282810000000004</v>
      </c>
      <c r="Y2779">
        <v>-0.39339930000000001</v>
      </c>
      <c r="Z2779">
        <v>5.1064829999999999E-2</v>
      </c>
      <c r="AA2779">
        <v>0.91794849999999995</v>
      </c>
      <c r="AB2779">
        <v>16</v>
      </c>
      <c r="AC2779">
        <v>-2.9707000000000199</v>
      </c>
      <c r="AD2779">
        <v>-1.1257840257489999</v>
      </c>
      <c r="AE2779">
        <v>-11.031099999999901</v>
      </c>
      <c r="AF2779">
        <v>-4.4753983743099903</v>
      </c>
      <c r="AG2779">
        <v>-1.1257840257489999</v>
      </c>
      <c r="AH2779">
        <v>10.391472773709401</v>
      </c>
      <c r="AI2779">
        <v>95.6823163250357</v>
      </c>
      <c r="AJ2779">
        <v>113.30057285127199</v>
      </c>
      <c r="AK2779">
        <v>11.3701049550191</v>
      </c>
      <c r="AL2779">
        <v>95.057592640249993</v>
      </c>
      <c r="AM2779">
        <v>112.114232962792</v>
      </c>
      <c r="AN2779">
        <v>0.99999994637099998</v>
      </c>
    </row>
    <row r="2780" spans="1:40" x14ac:dyDescent="0.25">
      <c r="A2780" t="str">
        <f>"20190303154822341"</f>
        <v>20190303154822341</v>
      </c>
      <c r="B2780" t="str">
        <f>"1551599302333380"</f>
        <v>1551599302333380</v>
      </c>
      <c r="C2780" t="s">
        <v>40</v>
      </c>
      <c r="D2780">
        <v>5.3663019999999904</v>
      </c>
      <c r="E2780">
        <v>0.49281249999999999</v>
      </c>
      <c r="F2780" t="s">
        <v>41</v>
      </c>
      <c r="G2780">
        <v>-492.67759999999998</v>
      </c>
      <c r="H2780" s="1">
        <v>-4.0023480000000003E-6</v>
      </c>
      <c r="I2780">
        <v>267.35219999999998</v>
      </c>
      <c r="J2780">
        <v>-489.73860000000002</v>
      </c>
      <c r="K2780">
        <v>1.1257870000000001</v>
      </c>
      <c r="L2780">
        <v>278.39139999999998</v>
      </c>
      <c r="M2780">
        <v>-0.61641169999999901</v>
      </c>
      <c r="N2780">
        <v>-1.428288E-2</v>
      </c>
      <c r="O2780">
        <v>-0.78729439999999995</v>
      </c>
      <c r="P2780">
        <v>-0.27373109999999901</v>
      </c>
      <c r="Q2780">
        <v>-9.6853159999999994E-2</v>
      </c>
      <c r="R2780">
        <v>-0.95691740000000003</v>
      </c>
      <c r="S2780">
        <v>-0.77511600000000003</v>
      </c>
      <c r="T2780">
        <v>-0.29230200000000001</v>
      </c>
      <c r="U2780">
        <v>-2.8840029999999999</v>
      </c>
      <c r="V2780">
        <v>-0.37338529999999998</v>
      </c>
      <c r="W2780">
        <v>-8.8030929999999993E-2</v>
      </c>
      <c r="X2780">
        <v>0.92349009999999998</v>
      </c>
      <c r="Y2780">
        <v>-0.39093339999999999</v>
      </c>
      <c r="Z2780">
        <v>5.1528980000000002E-2</v>
      </c>
      <c r="AA2780">
        <v>0.91897549999999995</v>
      </c>
      <c r="AB2780">
        <v>16</v>
      </c>
      <c r="AC2780">
        <v>-2.9389999999999601</v>
      </c>
      <c r="AD2780">
        <v>-1.125791002348</v>
      </c>
      <c r="AE2780">
        <v>-11.0391999999999</v>
      </c>
      <c r="AF2780">
        <v>-4.4480932839433702</v>
      </c>
      <c r="AG2780">
        <v>-1.125791002348</v>
      </c>
      <c r="AH2780">
        <v>10.4027768858387</v>
      </c>
      <c r="AI2780">
        <v>95.682540859145405</v>
      </c>
      <c r="AJ2780">
        <v>113.150927447141</v>
      </c>
      <c r="AK2780">
        <v>11.369727621195199</v>
      </c>
      <c r="AL2780">
        <v>95.050338041936897</v>
      </c>
      <c r="AM2780">
        <v>112.01445692017199</v>
      </c>
      <c r="AN2780">
        <v>0.99999999584538202</v>
      </c>
    </row>
    <row r="2781" spans="1:40" x14ac:dyDescent="0.25">
      <c r="A2781" t="str">
        <f>"20190303154822352"</f>
        <v>20190303154822352</v>
      </c>
      <c r="B2781" t="str">
        <f>"1551599302343141"</f>
        <v>1551599302343141</v>
      </c>
      <c r="C2781" t="s">
        <v>40</v>
      </c>
      <c r="D2781">
        <v>5.3833830000000003</v>
      </c>
      <c r="E2781">
        <v>0.49315049999999999</v>
      </c>
      <c r="F2781" t="s">
        <v>41</v>
      </c>
      <c r="G2781">
        <v>-492.68560000000002</v>
      </c>
      <c r="H2781" s="1">
        <v>-3.979303E-6</v>
      </c>
      <c r="I2781">
        <v>267.28030000000001</v>
      </c>
      <c r="J2781">
        <v>-489.78570000000002</v>
      </c>
      <c r="K2781">
        <v>1.125794</v>
      </c>
      <c r="L2781">
        <v>278.32029999999997</v>
      </c>
      <c r="M2781">
        <v>-0.61191709999999999</v>
      </c>
      <c r="N2781">
        <v>-1.4286460000000001E-2</v>
      </c>
      <c r="O2781">
        <v>-0.79079290000000002</v>
      </c>
      <c r="P2781">
        <v>-0.2699203</v>
      </c>
      <c r="Q2781">
        <v>-9.6801189999999995E-2</v>
      </c>
      <c r="R2781">
        <v>-0.95800469999999904</v>
      </c>
      <c r="S2781">
        <v>-0.76559449999999996</v>
      </c>
      <c r="T2781">
        <v>-0.292464</v>
      </c>
      <c r="U2781">
        <v>-2.8865050000000001</v>
      </c>
      <c r="V2781">
        <v>-0.37180459999999999</v>
      </c>
      <c r="W2781">
        <v>-8.795451E-2</v>
      </c>
      <c r="X2781">
        <v>0.92413489999999998</v>
      </c>
      <c r="Y2781">
        <v>-0.38873020000000003</v>
      </c>
      <c r="Z2781">
        <v>5.2040379999999997E-2</v>
      </c>
      <c r="AA2781">
        <v>0.9198807</v>
      </c>
      <c r="AB2781">
        <v>16</v>
      </c>
      <c r="AC2781">
        <v>-2.8999000000000001</v>
      </c>
      <c r="AD2781">
        <v>-1.125797979303</v>
      </c>
      <c r="AE2781">
        <v>-11.0399999999999</v>
      </c>
      <c r="AF2781">
        <v>-4.4198056236236303</v>
      </c>
      <c r="AG2781">
        <v>-1.125797979303</v>
      </c>
      <c r="AH2781">
        <v>10.4047109079312</v>
      </c>
      <c r="AI2781">
        <v>95.687225857718801</v>
      </c>
      <c r="AJ2781">
        <v>113.015246175624</v>
      </c>
      <c r="AK2781">
        <v>11.3604626630451</v>
      </c>
      <c r="AL2781">
        <v>95.045942503809002</v>
      </c>
      <c r="AM2781">
        <v>111.91626399171599</v>
      </c>
      <c r="AN2781">
        <v>0.99999998490425401</v>
      </c>
    </row>
    <row r="2782" spans="1:40" x14ac:dyDescent="0.25">
      <c r="A2782" t="str">
        <f>"20190303154822366"</f>
        <v>20190303154822366</v>
      </c>
      <c r="B2782" t="str">
        <f>"1551599302363637"</f>
        <v>1551599302363637</v>
      </c>
      <c r="C2782" t="s">
        <v>40</v>
      </c>
      <c r="D2782">
        <v>5.3610170000000004</v>
      </c>
      <c r="E2782">
        <v>0.49375980000000003</v>
      </c>
      <c r="F2782" t="s">
        <v>41</v>
      </c>
      <c r="G2782">
        <v>-492.69659999999999</v>
      </c>
      <c r="H2782" s="1">
        <v>-3.9573320000000002E-6</v>
      </c>
      <c r="I2782">
        <v>267.20999999999998</v>
      </c>
      <c r="J2782">
        <v>-489.8374</v>
      </c>
      <c r="K2782">
        <v>1.1257999999999999</v>
      </c>
      <c r="L2782">
        <v>278.24149999999997</v>
      </c>
      <c r="M2782">
        <v>-0.60692400000000002</v>
      </c>
      <c r="N2782">
        <v>-1.429035E-2</v>
      </c>
      <c r="O2782">
        <v>-0.79463149999999905</v>
      </c>
      <c r="P2782">
        <v>-0.26541819999999999</v>
      </c>
      <c r="Q2782">
        <v>-9.6658149999999998E-2</v>
      </c>
      <c r="R2782">
        <v>-0.95927629999999997</v>
      </c>
      <c r="S2782">
        <v>-0.75683590000000001</v>
      </c>
      <c r="T2782">
        <v>-0.29270790000000002</v>
      </c>
      <c r="U2782">
        <v>-2.8886720000000001</v>
      </c>
      <c r="V2782">
        <v>-0.37033470000000002</v>
      </c>
      <c r="W2782">
        <v>-8.7789049999999993E-2</v>
      </c>
      <c r="X2782">
        <v>0.92474069999999997</v>
      </c>
      <c r="Y2782">
        <v>-0.3857179</v>
      </c>
      <c r="Z2782">
        <v>5.2641559999999997E-2</v>
      </c>
      <c r="AA2782">
        <v>0.92111379999999998</v>
      </c>
      <c r="AB2782">
        <v>16</v>
      </c>
      <c r="AC2782">
        <v>-2.85919999999998</v>
      </c>
      <c r="AD2782">
        <v>-1.125803957332</v>
      </c>
      <c r="AE2782">
        <v>-11.0314999999999</v>
      </c>
      <c r="AF2782">
        <v>-4.3809677383156602</v>
      </c>
      <c r="AG2782">
        <v>-1.125803957332</v>
      </c>
      <c r="AH2782">
        <v>10.4008605585104</v>
      </c>
      <c r="AI2782">
        <v>95.6966056585442</v>
      </c>
      <c r="AJ2782">
        <v>112.84141198745399</v>
      </c>
      <c r="AK2782">
        <v>11.3418787346755</v>
      </c>
      <c r="AL2782">
        <v>95.036425278512397</v>
      </c>
      <c r="AM2782">
        <v>111.82482286077899</v>
      </c>
      <c r="AN2782">
        <v>1.00000003478024</v>
      </c>
    </row>
    <row r="2783" spans="1:40" x14ac:dyDescent="0.25">
      <c r="A2783" t="str">
        <f>"20190303154822387"</f>
        <v>20190303154822387</v>
      </c>
      <c r="B2783" t="str">
        <f>"1551599302383156"</f>
        <v>1551599302383156</v>
      </c>
      <c r="C2783" t="s">
        <v>40</v>
      </c>
      <c r="D2783">
        <v>5.3598030000000003</v>
      </c>
      <c r="E2783">
        <v>0.4943263</v>
      </c>
      <c r="F2783" t="s">
        <v>41</v>
      </c>
      <c r="G2783">
        <v>-492.7056</v>
      </c>
      <c r="H2783" s="1">
        <v>-3.9423359999999997E-6</v>
      </c>
      <c r="I2783">
        <v>267.16120000000001</v>
      </c>
      <c r="J2783">
        <v>-489.916</v>
      </c>
      <c r="K2783">
        <v>1.1258030000000001</v>
      </c>
      <c r="L2783">
        <v>278.11950000000002</v>
      </c>
      <c r="M2783">
        <v>-0.59914639999999997</v>
      </c>
      <c r="N2783">
        <v>-1.429628E-2</v>
      </c>
      <c r="O2783">
        <v>-0.80051190000000005</v>
      </c>
      <c r="P2783">
        <v>-0.25907419999999998</v>
      </c>
      <c r="Q2783">
        <v>-9.6719659999999999E-2</v>
      </c>
      <c r="R2783">
        <v>-0.96100269999999999</v>
      </c>
      <c r="S2783">
        <v>-0.74829100000000004</v>
      </c>
      <c r="T2783">
        <v>-0.29371320000000001</v>
      </c>
      <c r="U2783">
        <v>-2.8907470000000002</v>
      </c>
      <c r="V2783">
        <v>-0.367423</v>
      </c>
      <c r="W2783">
        <v>-8.7804469999999996E-2</v>
      </c>
      <c r="X2783">
        <v>0.92589999999999995</v>
      </c>
      <c r="Y2783">
        <v>-0.37945089999999998</v>
      </c>
      <c r="Z2783">
        <v>5.3766830000000002E-2</v>
      </c>
      <c r="AA2783">
        <v>0.92364829999999998</v>
      </c>
      <c r="AB2783">
        <v>16</v>
      </c>
      <c r="AC2783">
        <v>-2.7896000000000001</v>
      </c>
      <c r="AD2783">
        <v>-1.125806942336</v>
      </c>
      <c r="AE2783">
        <v>-10.958299999999999</v>
      </c>
      <c r="AF2783">
        <v>-4.2904327860031</v>
      </c>
      <c r="AG2783">
        <v>-1.125806942336</v>
      </c>
      <c r="AH2783">
        <v>10.3421810352423</v>
      </c>
      <c r="AI2783">
        <v>95.741629192314605</v>
      </c>
      <c r="AJ2783">
        <v>112.531018645682</v>
      </c>
      <c r="AK2783">
        <v>11.253264563154501</v>
      </c>
      <c r="AL2783">
        <v>95.037312137883205</v>
      </c>
      <c r="AM2783">
        <v>111.644561583482</v>
      </c>
      <c r="AN2783">
        <v>1.00000004794048</v>
      </c>
    </row>
    <row r="2784" spans="1:40" x14ac:dyDescent="0.25">
      <c r="A2784" t="str">
        <f>"20190303154822408"</f>
        <v>20190303154822408</v>
      </c>
      <c r="B2784" t="str">
        <f>"1551599302403202"</f>
        <v>1551599302403202</v>
      </c>
      <c r="C2784" t="s">
        <v>40</v>
      </c>
      <c r="D2784">
        <v>5.371162</v>
      </c>
      <c r="E2784">
        <v>0.49480550000000001</v>
      </c>
      <c r="F2784" t="s">
        <v>41</v>
      </c>
      <c r="G2784">
        <v>-492.71120000000002</v>
      </c>
      <c r="H2784" s="1">
        <v>-3.9188609999999998E-6</v>
      </c>
      <c r="I2784">
        <v>267.08929999999998</v>
      </c>
      <c r="J2784">
        <v>-489.99799999999999</v>
      </c>
      <c r="K2784">
        <v>1.1258090000000001</v>
      </c>
      <c r="L2784">
        <v>277.98930000000001</v>
      </c>
      <c r="M2784">
        <v>-0.5907983</v>
      </c>
      <c r="N2784">
        <v>-1.430238E-2</v>
      </c>
      <c r="O2784">
        <v>-0.80669269999999904</v>
      </c>
      <c r="P2784">
        <v>-0.25235039999999997</v>
      </c>
      <c r="Q2784">
        <v>-9.7289189999999998E-2</v>
      </c>
      <c r="R2784">
        <v>-0.96273319999999996</v>
      </c>
      <c r="S2784">
        <v>-0.73345950000000004</v>
      </c>
      <c r="T2784">
        <v>-0.29541279999999998</v>
      </c>
      <c r="U2784">
        <v>-2.8943180000000002</v>
      </c>
      <c r="V2784">
        <v>-0.36423670000000002</v>
      </c>
      <c r="W2784">
        <v>-8.8322010000000006E-2</v>
      </c>
      <c r="X2784">
        <v>0.92710890000000001</v>
      </c>
      <c r="Y2784">
        <v>-0.37457760000000001</v>
      </c>
      <c r="Z2784">
        <v>5.5037790000000003E-2</v>
      </c>
      <c r="AA2784">
        <v>0.92556070000000001</v>
      </c>
      <c r="AB2784">
        <v>16</v>
      </c>
      <c r="AC2784">
        <v>-2.7131999999999699</v>
      </c>
      <c r="AD2784">
        <v>-1.125812918861</v>
      </c>
      <c r="AE2784">
        <v>-10.9</v>
      </c>
      <c r="AF2784">
        <v>-4.2091342110915297</v>
      </c>
      <c r="AG2784">
        <v>-1.125812918861</v>
      </c>
      <c r="AH2784">
        <v>10.2935623255285</v>
      </c>
      <c r="AI2784">
        <v>95.780590320682094</v>
      </c>
      <c r="AJ2784">
        <v>112.240113442725</v>
      </c>
      <c r="AK2784">
        <v>11.177731920420801</v>
      </c>
      <c r="AL2784">
        <v>95.067080730744195</v>
      </c>
      <c r="AM2784">
        <v>111.448557934314</v>
      </c>
      <c r="AN2784">
        <v>1.00000003176826</v>
      </c>
    </row>
    <row r="2785" spans="1:40" x14ac:dyDescent="0.25">
      <c r="A2785" t="str">
        <f>"20190303154822420"</f>
        <v>20190303154822420</v>
      </c>
      <c r="B2785" t="str">
        <f>"1551599302413918"</f>
        <v>1551599302413918</v>
      </c>
      <c r="C2785" t="s">
        <v>40</v>
      </c>
      <c r="D2785">
        <v>5.4210379999999896</v>
      </c>
      <c r="E2785">
        <v>0.49487999999999999</v>
      </c>
      <c r="F2785" t="s">
        <v>41</v>
      </c>
      <c r="G2785">
        <v>-492.70940000000002</v>
      </c>
      <c r="H2785" s="1">
        <v>-3.8977269999999997E-6</v>
      </c>
      <c r="I2785">
        <v>267.02820000000003</v>
      </c>
      <c r="J2785">
        <v>-490.0462</v>
      </c>
      <c r="K2785">
        <v>1.125813</v>
      </c>
      <c r="L2785">
        <v>277.91149999999999</v>
      </c>
      <c r="M2785">
        <v>-0.58578379999999997</v>
      </c>
      <c r="N2785">
        <v>-1.43059E-2</v>
      </c>
      <c r="O2785">
        <v>-0.81034099999999998</v>
      </c>
      <c r="P2785">
        <v>-0.24778330000000001</v>
      </c>
      <c r="Q2785">
        <v>-9.7528299999999998E-2</v>
      </c>
      <c r="R2785">
        <v>-0.96389409999999998</v>
      </c>
      <c r="S2785">
        <v>-0.71688839999999998</v>
      </c>
      <c r="T2785">
        <v>-0.29766619999999999</v>
      </c>
      <c r="U2785">
        <v>-2.8981319999999999</v>
      </c>
      <c r="V2785">
        <v>-0.36286639999999998</v>
      </c>
      <c r="W2785">
        <v>-8.8537950000000004E-2</v>
      </c>
      <c r="X2785">
        <v>0.92762549999999999</v>
      </c>
      <c r="Y2785">
        <v>-0.37410910000000003</v>
      </c>
      <c r="Z2785">
        <v>5.5996020000000001E-2</v>
      </c>
      <c r="AA2785">
        <v>0.92569259999999998</v>
      </c>
      <c r="AB2785">
        <v>16</v>
      </c>
      <c r="AC2785">
        <v>-2.66320000000001</v>
      </c>
      <c r="AD2785">
        <v>-1.125816897727</v>
      </c>
      <c r="AE2785">
        <v>-10.883299999999901</v>
      </c>
      <c r="AF2785">
        <v>-4.1754366029618097</v>
      </c>
      <c r="AG2785">
        <v>-1.125816897727</v>
      </c>
      <c r="AH2785">
        <v>10.276552643681701</v>
      </c>
      <c r="AI2785">
        <v>95.795346788780293</v>
      </c>
      <c r="AJ2785">
        <v>112.112257861692</v>
      </c>
      <c r="AK2785">
        <v>11.1494066546576</v>
      </c>
      <c r="AL2785">
        <v>95.079501848233605</v>
      </c>
      <c r="AM2785">
        <v>111.364328654217</v>
      </c>
      <c r="AN2785">
        <v>1.0000000305447001</v>
      </c>
    </row>
    <row r="2786" spans="1:40" x14ac:dyDescent="0.25">
      <c r="A2786" t="str">
        <f>"20190303154822433"</f>
        <v>20190303154822433</v>
      </c>
      <c r="B2786" t="str">
        <f>"1551599302423678"</f>
        <v>1551599302423678</v>
      </c>
      <c r="C2786" t="s">
        <v>40</v>
      </c>
      <c r="D2786">
        <v>5.4071530000000001</v>
      </c>
      <c r="E2786">
        <v>0.49498320000000001</v>
      </c>
      <c r="F2786" t="s">
        <v>41</v>
      </c>
      <c r="G2786">
        <v>-492.68169999999998</v>
      </c>
      <c r="H2786" s="1">
        <v>-3.898114E-6</v>
      </c>
      <c r="I2786">
        <v>267.0437</v>
      </c>
      <c r="J2786">
        <v>-490.09219999999999</v>
      </c>
      <c r="K2786">
        <v>1.125813</v>
      </c>
      <c r="L2786">
        <v>277.83569999999997</v>
      </c>
      <c r="M2786">
        <v>-0.58088329999999999</v>
      </c>
      <c r="N2786">
        <v>-1.4308909999999999E-2</v>
      </c>
      <c r="O2786">
        <v>-0.81386130000000001</v>
      </c>
      <c r="P2786">
        <v>-0.24365919999999999</v>
      </c>
      <c r="Q2786">
        <v>-9.7974169999999999E-2</v>
      </c>
      <c r="R2786">
        <v>-0.96489999999999998</v>
      </c>
      <c r="S2786">
        <v>-0.70355219999999996</v>
      </c>
      <c r="T2786">
        <v>-0.30053639999999998</v>
      </c>
      <c r="U2786">
        <v>-2.901154</v>
      </c>
      <c r="V2786">
        <v>-0.36120560000000002</v>
      </c>
      <c r="W2786">
        <v>-8.8954110000000003E-2</v>
      </c>
      <c r="X2786">
        <v>0.92823359999999999</v>
      </c>
      <c r="Y2786">
        <v>-0.3727664</v>
      </c>
      <c r="Z2786">
        <v>5.7121779999999997E-2</v>
      </c>
      <c r="AA2786">
        <v>0.92616540000000003</v>
      </c>
      <c r="AB2786">
        <v>16</v>
      </c>
      <c r="AC2786">
        <v>-2.5894999999999802</v>
      </c>
      <c r="AD2786">
        <v>-1.125816898114</v>
      </c>
      <c r="AE2786">
        <v>-10.7919999999999</v>
      </c>
      <c r="AF2786">
        <v>-4.1194345365810898</v>
      </c>
      <c r="AG2786">
        <v>-1.125816898114</v>
      </c>
      <c r="AH2786">
        <v>10.1836488085618</v>
      </c>
      <c r="AI2786">
        <v>95.851477715572202</v>
      </c>
      <c r="AJ2786">
        <v>112.024050587297</v>
      </c>
      <c r="AK2786">
        <v>11.0428215436716</v>
      </c>
      <c r="AL2786">
        <v>95.103440836155301</v>
      </c>
      <c r="AM2786">
        <v>111.262614777218</v>
      </c>
      <c r="AN2786">
        <v>0.99999996766310495</v>
      </c>
    </row>
    <row r="2787" spans="1:40" x14ac:dyDescent="0.25">
      <c r="A2787" t="str">
        <f>"20190303154822445"</f>
        <v>20190303154822445</v>
      </c>
      <c r="B2787" t="str">
        <f>"1551599302433440"</f>
        <v>1551599302433440</v>
      </c>
      <c r="C2787" t="s">
        <v>40</v>
      </c>
      <c r="D2787">
        <v>5.4128160000000003</v>
      </c>
      <c r="E2787">
        <v>0.49507899999999999</v>
      </c>
      <c r="F2787" t="s">
        <v>41</v>
      </c>
      <c r="G2787">
        <v>-492.64659999999998</v>
      </c>
      <c r="H2787" s="1">
        <v>-3.9132650000000004E-6</v>
      </c>
      <c r="I2787">
        <v>267.10660000000001</v>
      </c>
      <c r="J2787">
        <v>-490.13639999999998</v>
      </c>
      <c r="K2787">
        <v>1.1258109999999999</v>
      </c>
      <c r="L2787">
        <v>277.76229999999998</v>
      </c>
      <c r="M2787">
        <v>-0.57612339999999995</v>
      </c>
      <c r="N2787">
        <v>-1.4311630000000001E-2</v>
      </c>
      <c r="O2787">
        <v>-0.81723760000000001</v>
      </c>
      <c r="P2787">
        <v>-0.24000779999999999</v>
      </c>
      <c r="Q2787">
        <v>-9.7735409999999995E-2</v>
      </c>
      <c r="R2787">
        <v>-0.96583850000000004</v>
      </c>
      <c r="S2787">
        <v>-0.69128420000000002</v>
      </c>
      <c r="T2787">
        <v>-0.30468050000000002</v>
      </c>
      <c r="U2787">
        <v>-2.9036249999999999</v>
      </c>
      <c r="V2787">
        <v>-0.35931760000000001</v>
      </c>
      <c r="W2787">
        <v>-8.8680030000000007E-2</v>
      </c>
      <c r="X2787">
        <v>0.92899229999999999</v>
      </c>
      <c r="Y2787">
        <v>-0.37124800000000002</v>
      </c>
      <c r="Z2787">
        <v>5.8550440000000002E-2</v>
      </c>
      <c r="AA2787">
        <v>0.92668589999999995</v>
      </c>
      <c r="AB2787">
        <v>16</v>
      </c>
      <c r="AC2787">
        <v>-2.51019999999999</v>
      </c>
      <c r="AD2787">
        <v>-1.1258149132649999</v>
      </c>
      <c r="AE2787">
        <v>-10.6556999999999</v>
      </c>
      <c r="AF2787">
        <v>-4.04520502949776</v>
      </c>
      <c r="AG2787">
        <v>-1.1258149132649999</v>
      </c>
      <c r="AH2787">
        <v>10.0491839450524</v>
      </c>
      <c r="AI2787">
        <v>95.933243823380195</v>
      </c>
      <c r="AJ2787">
        <v>111.926789509817</v>
      </c>
      <c r="AK2787">
        <v>10.891154250633999</v>
      </c>
      <c r="AL2787">
        <v>95.0876747896436</v>
      </c>
      <c r="AM2787">
        <v>111.14557859171499</v>
      </c>
      <c r="AN2787">
        <v>0.99999998942492496</v>
      </c>
    </row>
    <row r="2788" spans="1:40" x14ac:dyDescent="0.25">
      <c r="A2788" t="str">
        <f>"20190303154822457"</f>
        <v>20190303154822457</v>
      </c>
      <c r="B2788" t="str">
        <f>"1551599302453934"</f>
        <v>1551599302453934</v>
      </c>
      <c r="C2788" t="s">
        <v>40</v>
      </c>
      <c r="D2788">
        <v>5.3977399999999998</v>
      </c>
      <c r="E2788">
        <v>0.49526130000000002</v>
      </c>
      <c r="F2788" t="s">
        <v>41</v>
      </c>
      <c r="G2788">
        <v>-492.64510000000001</v>
      </c>
      <c r="H2788" s="1">
        <v>-3.9003120000000001E-6</v>
      </c>
      <c r="I2788">
        <v>267.0693</v>
      </c>
      <c r="J2788">
        <v>-490.18270000000001</v>
      </c>
      <c r="K2788">
        <v>1.125813</v>
      </c>
      <c r="L2788">
        <v>277.6841</v>
      </c>
      <c r="M2788">
        <v>-0.57103899999999996</v>
      </c>
      <c r="N2788">
        <v>-1.4314240000000001E-2</v>
      </c>
      <c r="O2788">
        <v>-0.82079840000000004</v>
      </c>
      <c r="P2788">
        <v>-0.23579810000000001</v>
      </c>
      <c r="Q2788">
        <v>-9.8243479999999994E-2</v>
      </c>
      <c r="R2788">
        <v>-0.96682360000000001</v>
      </c>
      <c r="S2788">
        <v>-0.68173219999999901</v>
      </c>
      <c r="T2788">
        <v>-0.3059345</v>
      </c>
      <c r="U2788">
        <v>-2.9057620000000002</v>
      </c>
      <c r="V2788">
        <v>-0.35756480000000002</v>
      </c>
      <c r="W2788">
        <v>-8.9154880000000006E-2</v>
      </c>
      <c r="X2788">
        <v>0.92962290000000003</v>
      </c>
      <c r="Y2788">
        <v>-0.36853580000000002</v>
      </c>
      <c r="Z2788">
        <v>5.9370230000000003E-2</v>
      </c>
      <c r="AA2788">
        <v>0.92771579999999998</v>
      </c>
      <c r="AB2788">
        <v>16</v>
      </c>
      <c r="AC2788">
        <v>-2.4624000000000001</v>
      </c>
      <c r="AD2788">
        <v>-1.125816900312</v>
      </c>
      <c r="AE2788">
        <v>-10.614800000000001</v>
      </c>
      <c r="AF2788">
        <v>-3.9980664697542001</v>
      </c>
      <c r="AG2788">
        <v>-1.125816900312</v>
      </c>
      <c r="AH2788">
        <v>10.012889119058899</v>
      </c>
      <c r="AI2788">
        <v>95.961244070330096</v>
      </c>
      <c r="AJ2788">
        <v>111.766430509917</v>
      </c>
      <c r="AK2788">
        <v>10.840200537820801</v>
      </c>
      <c r="AL2788">
        <v>95.114990049893194</v>
      </c>
      <c r="AM2788">
        <v>111.03845226249</v>
      </c>
      <c r="AN2788">
        <v>0.99999995751563098</v>
      </c>
    </row>
    <row r="2789" spans="1:40" x14ac:dyDescent="0.25">
      <c r="A2789" t="str">
        <f>"20190303154822474"</f>
        <v>20190303154822474</v>
      </c>
      <c r="B2789" t="str">
        <f>"1551599302463695"</f>
        <v>1551599302463695</v>
      </c>
      <c r="C2789" t="s">
        <v>40</v>
      </c>
      <c r="D2789">
        <v>5.4128069999999999</v>
      </c>
      <c r="E2789">
        <v>0.49536849999999999</v>
      </c>
      <c r="F2789" t="s">
        <v>41</v>
      </c>
      <c r="G2789">
        <v>-492.5994</v>
      </c>
      <c r="H2789" s="1">
        <v>-3.933781E-6</v>
      </c>
      <c r="I2789">
        <v>267.19150000000002</v>
      </c>
      <c r="J2789">
        <v>-490.24119999999999</v>
      </c>
      <c r="K2789">
        <v>1.125813</v>
      </c>
      <c r="L2789">
        <v>277.58359999999999</v>
      </c>
      <c r="M2789">
        <v>-0.56448500000000001</v>
      </c>
      <c r="N2789">
        <v>-1.431694E-2</v>
      </c>
      <c r="O2789">
        <v>-0.82531929999999998</v>
      </c>
      <c r="P2789">
        <v>-0.23172809999999999</v>
      </c>
      <c r="Q2789">
        <v>-9.8171519999999998E-2</v>
      </c>
      <c r="R2789">
        <v>-0.96781459999999997</v>
      </c>
      <c r="S2789">
        <v>-0.66976930000000001</v>
      </c>
      <c r="T2789">
        <v>-0.31200909999999998</v>
      </c>
      <c r="U2789">
        <v>-2.9079280000000001</v>
      </c>
      <c r="V2789">
        <v>-0.35408250000000002</v>
      </c>
      <c r="W2789">
        <v>-8.9016429999999994E-2</v>
      </c>
      <c r="X2789">
        <v>0.93096809999999997</v>
      </c>
      <c r="Y2789">
        <v>-0.3649347</v>
      </c>
      <c r="Z2789">
        <v>6.1500430000000002E-2</v>
      </c>
      <c r="AA2789">
        <v>0.92899969999999998</v>
      </c>
      <c r="AB2789">
        <v>16</v>
      </c>
      <c r="AC2789">
        <v>-2.3582000000000098</v>
      </c>
      <c r="AD2789">
        <v>-1.125816933781</v>
      </c>
      <c r="AE2789">
        <v>-10.3920999999999</v>
      </c>
      <c r="AF2789">
        <v>-3.8770443385261002</v>
      </c>
      <c r="AG2789">
        <v>-1.125816933781</v>
      </c>
      <c r="AH2789">
        <v>9.7996054392844094</v>
      </c>
      <c r="AI2789">
        <v>96.097619414666497</v>
      </c>
      <c r="AJ2789">
        <v>111.585371389399</v>
      </c>
      <c r="AK2789">
        <v>10.598641579793901</v>
      </c>
      <c r="AL2789">
        <v>95.107025706393699</v>
      </c>
      <c r="AM2789">
        <v>110.82370906354301</v>
      </c>
      <c r="AN2789">
        <v>0.99999997241690197</v>
      </c>
    </row>
    <row r="2790" spans="1:40" x14ac:dyDescent="0.25">
      <c r="A2790" t="str">
        <f>"20190303154822487"</f>
        <v>20190303154822487</v>
      </c>
      <c r="B2790" t="str">
        <f>"1551599302483215"</f>
        <v>1551599302483215</v>
      </c>
      <c r="C2790" t="s">
        <v>40</v>
      </c>
      <c r="D2790">
        <v>5.3893170000000001</v>
      </c>
      <c r="E2790">
        <v>0.4957782</v>
      </c>
      <c r="F2790" t="s">
        <v>41</v>
      </c>
      <c r="G2790">
        <v>-492.60160000000002</v>
      </c>
      <c r="H2790" s="1">
        <v>-3.919449E-6</v>
      </c>
      <c r="I2790">
        <v>267.14819999999997</v>
      </c>
      <c r="J2790">
        <v>-490.28370000000001</v>
      </c>
      <c r="K2790">
        <v>1.1258170000000001</v>
      </c>
      <c r="L2790">
        <v>277.5093</v>
      </c>
      <c r="M2790">
        <v>-0.55963560000000001</v>
      </c>
      <c r="N2790">
        <v>-1.431845E-2</v>
      </c>
      <c r="O2790">
        <v>-0.8286152</v>
      </c>
      <c r="P2790">
        <v>-0.22763539999999999</v>
      </c>
      <c r="Q2790">
        <v>-9.7477190000000005E-2</v>
      </c>
      <c r="R2790">
        <v>-0.96885540000000003</v>
      </c>
      <c r="S2790">
        <v>-0.65829469999999901</v>
      </c>
      <c r="T2790">
        <v>-0.31397720000000001</v>
      </c>
      <c r="U2790">
        <v>-2.9103089999999998</v>
      </c>
      <c r="V2790">
        <v>-0.35260849999999999</v>
      </c>
      <c r="W2790">
        <v>-8.8289699999999999E-2</v>
      </c>
      <c r="X2790">
        <v>0.9315966</v>
      </c>
      <c r="Y2790">
        <v>-0.36313649999999997</v>
      </c>
      <c r="Z2790">
        <v>6.2445849999999997E-2</v>
      </c>
      <c r="AA2790">
        <v>0.92964100000000005</v>
      </c>
      <c r="AB2790">
        <v>16</v>
      </c>
      <c r="AC2790">
        <v>-2.3178999999999998</v>
      </c>
      <c r="AD2790">
        <v>-1.1258209194490001</v>
      </c>
      <c r="AE2790">
        <v>-10.3611</v>
      </c>
      <c r="AF2790">
        <v>-3.8350692240971398</v>
      </c>
      <c r="AG2790">
        <v>-1.1258209194490001</v>
      </c>
      <c r="AH2790">
        <v>9.7736622733038896</v>
      </c>
      <c r="AI2790">
        <v>96.120421748158293</v>
      </c>
      <c r="AJ2790">
        <v>111.424453866783</v>
      </c>
      <c r="AK2790">
        <v>10.5593419742373</v>
      </c>
      <c r="AL2790">
        <v>95.065222276842604</v>
      </c>
      <c r="AM2790">
        <v>110.731610563902</v>
      </c>
      <c r="AN2790">
        <v>1.0000000252649399</v>
      </c>
    </row>
    <row r="2791" spans="1:40" x14ac:dyDescent="0.25">
      <c r="A2791" t="str">
        <f>"20190303154822497"</f>
        <v>20190303154822497</v>
      </c>
      <c r="B2791" t="str">
        <f>"1551599302492975"</f>
        <v>1551599302492975</v>
      </c>
      <c r="C2791" t="s">
        <v>40</v>
      </c>
      <c r="D2791">
        <v>5.4065089999999998</v>
      </c>
      <c r="E2791">
        <v>0.4957782</v>
      </c>
      <c r="F2791" t="s">
        <v>41</v>
      </c>
      <c r="G2791">
        <v>-492.60840000000002</v>
      </c>
      <c r="H2791" s="1">
        <v>-3.8962860000000003E-6</v>
      </c>
      <c r="I2791">
        <v>267.07659999999998</v>
      </c>
      <c r="J2791">
        <v>-490.32440000000003</v>
      </c>
      <c r="K2791">
        <v>1.125813</v>
      </c>
      <c r="L2791">
        <v>277.4375</v>
      </c>
      <c r="M2791">
        <v>-0.55493040000000005</v>
      </c>
      <c r="N2791">
        <v>-1.431957E-2</v>
      </c>
      <c r="O2791">
        <v>-0.8317734</v>
      </c>
      <c r="P2791">
        <v>-0.22381309999999999</v>
      </c>
      <c r="Q2791">
        <v>-9.6881670000000003E-2</v>
      </c>
      <c r="R2791">
        <v>-0.96980489999999997</v>
      </c>
      <c r="S2791">
        <v>-0.64895630000000004</v>
      </c>
      <c r="T2791">
        <v>-0.3142818</v>
      </c>
      <c r="U2791">
        <v>-2.9123839999999999</v>
      </c>
      <c r="V2791">
        <v>-0.35104570000000002</v>
      </c>
      <c r="W2791">
        <v>-8.7659589999999996E-2</v>
      </c>
      <c r="X2791">
        <v>0.93224609999999997</v>
      </c>
      <c r="Y2791">
        <v>-0.36084670000000002</v>
      </c>
      <c r="Z2791">
        <v>6.2992800000000002E-2</v>
      </c>
      <c r="AA2791">
        <v>0.93049530000000003</v>
      </c>
      <c r="AB2791">
        <v>16</v>
      </c>
      <c r="AC2791">
        <v>-2.28399999999999</v>
      </c>
      <c r="AD2791">
        <v>-1.125816896286</v>
      </c>
      <c r="AE2791">
        <v>-10.360900000000001</v>
      </c>
      <c r="AF2791">
        <v>-3.80733311562933</v>
      </c>
      <c r="AG2791">
        <v>-1.125816896286</v>
      </c>
      <c r="AH2791">
        <v>9.7763169180328298</v>
      </c>
      <c r="AI2791">
        <v>96.124814915415399</v>
      </c>
      <c r="AJ2791">
        <v>111.278153850271</v>
      </c>
      <c r="AK2791">
        <v>10.5517591717753</v>
      </c>
      <c r="AL2791">
        <v>95.028979038709707</v>
      </c>
      <c r="AM2791">
        <v>110.634318808294</v>
      </c>
      <c r="AN2791">
        <v>1.00000003908633</v>
      </c>
    </row>
    <row r="2792" spans="1:40" x14ac:dyDescent="0.25">
      <c r="A2792" t="str">
        <f>"20190303154822510"</f>
        <v>20190303154822510</v>
      </c>
      <c r="B2792" t="str">
        <f>"1551599302503711"</f>
        <v>1551599302503711</v>
      </c>
      <c r="C2792" t="s">
        <v>40</v>
      </c>
      <c r="D2792">
        <v>5.5311469999999998</v>
      </c>
      <c r="E2792">
        <v>0.47682029999999997</v>
      </c>
      <c r="F2792" t="s">
        <v>41</v>
      </c>
      <c r="G2792">
        <v>-492.62189999999998</v>
      </c>
      <c r="H2792" s="1">
        <v>-3.849386E-6</v>
      </c>
      <c r="I2792">
        <v>266.93599999999998</v>
      </c>
      <c r="J2792">
        <v>-490.36380000000003</v>
      </c>
      <c r="K2792">
        <v>1.1258079999999999</v>
      </c>
      <c r="L2792">
        <v>277.36660000000001</v>
      </c>
      <c r="M2792">
        <v>-0.55028540000000004</v>
      </c>
      <c r="N2792">
        <v>-1.431994E-2</v>
      </c>
      <c r="O2792">
        <v>-0.83485390000000004</v>
      </c>
      <c r="P2792">
        <v>-0.21996950000000001</v>
      </c>
      <c r="Q2792">
        <v>-9.6609689999999998E-2</v>
      </c>
      <c r="R2792">
        <v>-0.9707112</v>
      </c>
      <c r="S2792">
        <v>-0.63772580000000001</v>
      </c>
      <c r="T2792">
        <v>-0.31250319999999998</v>
      </c>
      <c r="U2792">
        <v>-2.915009</v>
      </c>
      <c r="V2792">
        <v>-0.34956470000000001</v>
      </c>
      <c r="W2792">
        <v>-8.7353620000000007E-2</v>
      </c>
      <c r="X2792">
        <v>0.93283110000000002</v>
      </c>
      <c r="Y2792">
        <v>-0.35924850000000003</v>
      </c>
      <c r="Z2792">
        <v>6.2997300000000006E-2</v>
      </c>
      <c r="AA2792">
        <v>0.93111319999999997</v>
      </c>
      <c r="AB2792">
        <v>16</v>
      </c>
      <c r="AC2792">
        <v>-2.25809999999995</v>
      </c>
      <c r="AD2792">
        <v>-1.1258118493860001</v>
      </c>
      <c r="AE2792">
        <v>-10.4306</v>
      </c>
      <c r="AF2792">
        <v>-3.8125914072266398</v>
      </c>
      <c r="AG2792">
        <v>-1.1258118493860001</v>
      </c>
      <c r="AH2792">
        <v>9.8421221261566405</v>
      </c>
      <c r="AI2792">
        <v>96.088364214542693</v>
      </c>
      <c r="AJ2792">
        <v>111.175118984683</v>
      </c>
      <c r="AK2792">
        <v>10.614644294787199</v>
      </c>
      <c r="AL2792">
        <v>95.011380949117395</v>
      </c>
      <c r="AM2792">
        <v>110.542745406512</v>
      </c>
      <c r="AN2792">
        <v>0.99999999777020199</v>
      </c>
    </row>
    <row r="2793" spans="1:40" x14ac:dyDescent="0.25">
      <c r="A2793" t="str">
        <f>"20190303154822523"</f>
        <v>20190303154822523</v>
      </c>
      <c r="B2793" t="str">
        <f>"1551599302513471"</f>
        <v>1551599302513471</v>
      </c>
      <c r="C2793" t="s">
        <v>40</v>
      </c>
      <c r="D2793">
        <v>5.3296070000000002</v>
      </c>
      <c r="E2793">
        <v>0.46707470000000001</v>
      </c>
      <c r="F2793" t="s">
        <v>41</v>
      </c>
      <c r="G2793">
        <v>-491.8306</v>
      </c>
      <c r="H2793" s="1">
        <v>-4.1692179999999999E-6</v>
      </c>
      <c r="I2793">
        <v>268.28399999999999</v>
      </c>
      <c r="J2793">
        <v>-490.40839999999997</v>
      </c>
      <c r="K2793">
        <v>1.1257950000000001</v>
      </c>
      <c r="L2793">
        <v>277.28570000000002</v>
      </c>
      <c r="M2793">
        <v>-0.54497589999999996</v>
      </c>
      <c r="N2793">
        <v>-1.4320100000000001E-2</v>
      </c>
      <c r="O2793">
        <v>-0.83832929999999894</v>
      </c>
      <c r="P2793">
        <v>-0.21536330000000001</v>
      </c>
      <c r="Q2793">
        <v>-9.6451960000000003E-2</v>
      </c>
      <c r="R2793">
        <v>-0.97175900000000004</v>
      </c>
      <c r="S2793">
        <v>-0.47583009999999898</v>
      </c>
      <c r="T2793">
        <v>-0.36520989999999998</v>
      </c>
      <c r="U2793">
        <v>-2.9463499999999998</v>
      </c>
      <c r="V2793">
        <v>-0.34808270000000002</v>
      </c>
      <c r="W2793">
        <v>-8.7160260000000003E-2</v>
      </c>
      <c r="X2793">
        <v>0.93340319999999999</v>
      </c>
      <c r="Y2793">
        <v>-0.40429369999999998</v>
      </c>
      <c r="Z2793">
        <v>7.4355660000000004E-2</v>
      </c>
      <c r="AA2793">
        <v>0.91160180000000002</v>
      </c>
      <c r="AB2793">
        <v>16</v>
      </c>
      <c r="AC2793">
        <v>-1.4222000000000301</v>
      </c>
      <c r="AD2793">
        <v>-1.1257991692180001</v>
      </c>
      <c r="AE2793">
        <v>-9.0017000000000191</v>
      </c>
      <c r="AF2793">
        <v>-3.6579963905741</v>
      </c>
      <c r="AG2793">
        <v>-1.1257991692180001</v>
      </c>
      <c r="AH2793">
        <v>8.1972151473065296</v>
      </c>
      <c r="AI2793">
        <v>97.148598888459105</v>
      </c>
      <c r="AJ2793">
        <v>114.048754384059</v>
      </c>
      <c r="AK2793">
        <v>9.0466953930204106</v>
      </c>
      <c r="AL2793">
        <v>95.000259781292399</v>
      </c>
      <c r="AM2793">
        <v>110.451382523039</v>
      </c>
      <c r="AN2793">
        <v>1.00000000536639</v>
      </c>
    </row>
    <row r="2794" spans="1:40" x14ac:dyDescent="0.25">
      <c r="A2794" t="str">
        <f>"20190303154822535"</f>
        <v>20190303154822535</v>
      </c>
      <c r="B2794" t="str">
        <f>"1551599302523231"</f>
        <v>1551599302523231</v>
      </c>
      <c r="C2794" t="s">
        <v>40</v>
      </c>
      <c r="D2794">
        <v>5.360309</v>
      </c>
      <c r="E2794">
        <v>0.46054840000000002</v>
      </c>
      <c r="F2794" t="s">
        <v>41</v>
      </c>
      <c r="G2794">
        <v>-491.6934</v>
      </c>
      <c r="H2794" s="1">
        <v>-3.820004E-6</v>
      </c>
      <c r="I2794">
        <v>267.4434</v>
      </c>
      <c r="J2794">
        <v>-490.45119999999997</v>
      </c>
      <c r="K2794">
        <v>1.1257820000000001</v>
      </c>
      <c r="L2794">
        <v>277.20650000000001</v>
      </c>
      <c r="M2794">
        <v>-0.53977919999999902</v>
      </c>
      <c r="N2794">
        <v>-1.431954E-2</v>
      </c>
      <c r="O2794">
        <v>-0.84168509999999996</v>
      </c>
      <c r="P2794">
        <v>-0.21073990000000001</v>
      </c>
      <c r="Q2794">
        <v>-9.6532220000000002E-2</v>
      </c>
      <c r="R2794">
        <v>-0.97276430000000003</v>
      </c>
      <c r="S2794">
        <v>-0.38742070000000001</v>
      </c>
      <c r="T2794">
        <v>-0.33944649999999998</v>
      </c>
      <c r="U2794">
        <v>-2.9676209999999998</v>
      </c>
      <c r="V2794">
        <v>-0.3467461</v>
      </c>
      <c r="W2794">
        <v>-8.7206580000000006E-2</v>
      </c>
      <c r="X2794">
        <v>0.93389619999999995</v>
      </c>
      <c r="Y2794">
        <v>-0.42607129999999999</v>
      </c>
      <c r="Z2794">
        <v>6.7599560000000003E-2</v>
      </c>
      <c r="AA2794">
        <v>0.90216050000000003</v>
      </c>
      <c r="AB2794">
        <v>16</v>
      </c>
      <c r="AC2794">
        <v>-1.24220000000002</v>
      </c>
      <c r="AD2794">
        <v>-1.1257858200040001</v>
      </c>
      <c r="AE2794">
        <v>-9.7630999999999997</v>
      </c>
      <c r="AF2794">
        <v>-4.1702431814575602</v>
      </c>
      <c r="AG2794">
        <v>-1.1257858200040001</v>
      </c>
      <c r="AH2794">
        <v>8.7740733430917892</v>
      </c>
      <c r="AI2794">
        <v>96.610227180175002</v>
      </c>
      <c r="AJ2794">
        <v>115.42134740835</v>
      </c>
      <c r="AK2794">
        <v>9.7797078143965699</v>
      </c>
      <c r="AL2794">
        <v>95.002923998542698</v>
      </c>
      <c r="AM2794">
        <v>110.369446016208</v>
      </c>
      <c r="AN2794">
        <v>0.99999997891747205</v>
      </c>
    </row>
    <row r="2795" spans="1:40" x14ac:dyDescent="0.25">
      <c r="A2795" t="str">
        <f>"20190303154822548"</f>
        <v>20190303154822548</v>
      </c>
      <c r="B2795" t="str">
        <f>"1551599302543727"</f>
        <v>1551599302543727</v>
      </c>
      <c r="C2795" t="s">
        <v>40</v>
      </c>
      <c r="D2795">
        <v>5.3640860000000004</v>
      </c>
      <c r="E2795">
        <v>0.45397209999999899</v>
      </c>
      <c r="F2795" t="s">
        <v>41</v>
      </c>
      <c r="G2795">
        <v>-491.57459999999998</v>
      </c>
      <c r="H2795" s="1">
        <v>-3.5279710000000002E-6</v>
      </c>
      <c r="I2795">
        <v>266.83629999999999</v>
      </c>
      <c r="J2795">
        <v>-490.49259999999998</v>
      </c>
      <c r="K2795">
        <v>1.125767</v>
      </c>
      <c r="L2795">
        <v>277.12880000000001</v>
      </c>
      <c r="M2795">
        <v>-0.5346786</v>
      </c>
      <c r="N2795">
        <v>-1.431844E-2</v>
      </c>
      <c r="O2795">
        <v>-0.84493410000000002</v>
      </c>
      <c r="P2795">
        <v>-0.2064185</v>
      </c>
      <c r="Q2795">
        <v>-9.6512990000000007E-2</v>
      </c>
      <c r="R2795">
        <v>-0.97369240000000001</v>
      </c>
      <c r="S2795">
        <v>-0.323028599999999</v>
      </c>
      <c r="T2795">
        <v>-0.32370969999999999</v>
      </c>
      <c r="U2795">
        <v>-2.9818730000000002</v>
      </c>
      <c r="V2795">
        <v>-0.34525060000000002</v>
      </c>
      <c r="W2795">
        <v>-8.7150279999999997E-2</v>
      </c>
      <c r="X2795">
        <v>0.93445529999999999</v>
      </c>
      <c r="Y2795">
        <v>-0.44028070000000002</v>
      </c>
      <c r="Z2795">
        <v>6.3597929999999997E-2</v>
      </c>
      <c r="AA2795">
        <v>0.89560490000000004</v>
      </c>
      <c r="AB2795">
        <v>16</v>
      </c>
      <c r="AC2795">
        <v>-1.0819999999999901</v>
      </c>
      <c r="AD2795">
        <v>-1.125770527971</v>
      </c>
      <c r="AE2795">
        <v>-10.2925</v>
      </c>
      <c r="AF2795">
        <v>-4.53576118553553</v>
      </c>
      <c r="AG2795">
        <v>-1.125770527971</v>
      </c>
      <c r="AH2795">
        <v>9.1674817514189293</v>
      </c>
      <c r="AI2795">
        <v>96.281005287356393</v>
      </c>
      <c r="AJ2795">
        <v>116.324654980151</v>
      </c>
      <c r="AK2795">
        <v>10.2899567771909</v>
      </c>
      <c r="AL2795">
        <v>94.999686173498702</v>
      </c>
      <c r="AM2795">
        <v>110.277618706086</v>
      </c>
      <c r="AN2795">
        <v>0.99999992790126102</v>
      </c>
    </row>
    <row r="2796" spans="1:40" x14ac:dyDescent="0.25">
      <c r="A2796" t="str">
        <f>"20190303154822566"</f>
        <v>20190303154822566</v>
      </c>
      <c r="B2796" t="str">
        <f>"1551599302563246"</f>
        <v>1551599302563246</v>
      </c>
      <c r="C2796" t="s">
        <v>40</v>
      </c>
      <c r="D2796">
        <v>5.3722329999999996</v>
      </c>
      <c r="E2796">
        <v>0.45074690000000001</v>
      </c>
      <c r="F2796" t="s">
        <v>42</v>
      </c>
      <c r="G2796">
        <v>-490.5752</v>
      </c>
      <c r="H2796">
        <v>1.025061</v>
      </c>
      <c r="I2796">
        <v>276.17689999999999</v>
      </c>
      <c r="J2796">
        <v>-490.55</v>
      </c>
      <c r="K2796">
        <v>1.1257509999999999</v>
      </c>
      <c r="L2796">
        <v>277.0197</v>
      </c>
      <c r="M2796">
        <v>-0.52749760000000001</v>
      </c>
      <c r="N2796">
        <v>-1.431615E-2</v>
      </c>
      <c r="O2796">
        <v>-0.84943590000000002</v>
      </c>
      <c r="P2796">
        <v>-0.2003124</v>
      </c>
      <c r="Q2796">
        <v>-9.6682519999999994E-2</v>
      </c>
      <c r="R2796">
        <v>-0.97494990000000004</v>
      </c>
      <c r="S2796">
        <v>-0.25912479999999999</v>
      </c>
      <c r="T2796">
        <v>-0.31675160000000002</v>
      </c>
      <c r="U2796">
        <v>-2.9947509999999999</v>
      </c>
      <c r="V2796">
        <v>-0.34318280000000001</v>
      </c>
      <c r="W2796">
        <v>-8.7268189999999995E-2</v>
      </c>
      <c r="X2796">
        <v>0.93520579999999998</v>
      </c>
      <c r="Y2796">
        <v>-0.45196059999999999</v>
      </c>
      <c r="Z2796">
        <v>6.195668E-2</v>
      </c>
      <c r="AA2796">
        <v>0.88988369999999894</v>
      </c>
      <c r="AB2796">
        <v>16</v>
      </c>
      <c r="AC2796">
        <v>-2.5199999999983898E-2</v>
      </c>
      <c r="AD2796">
        <v>-0.100689999999999</v>
      </c>
      <c r="AE2796">
        <v>-0.84280000000001098</v>
      </c>
      <c r="AF2796">
        <v>-0.41726218211641602</v>
      </c>
      <c r="AG2796">
        <v>-0.100689999999999</v>
      </c>
      <c r="AH2796">
        <v>0.71901866217448096</v>
      </c>
      <c r="AI2796">
        <v>96.906047782539602</v>
      </c>
      <c r="AJ2796">
        <v>120.127526507928</v>
      </c>
      <c r="AK2796">
        <v>0.83739718251241702</v>
      </c>
      <c r="AL2796">
        <v>95.006467245733205</v>
      </c>
      <c r="AM2796">
        <v>110.15109969672601</v>
      </c>
      <c r="AN2796">
        <v>1.0000000297776701</v>
      </c>
    </row>
    <row r="2797" spans="1:40" x14ac:dyDescent="0.25">
      <c r="A2797" t="str">
        <f>"20190303154822588"</f>
        <v>20190303154822588</v>
      </c>
      <c r="B2797" t="str">
        <f>"1551599302583742"</f>
        <v>1551599302583742</v>
      </c>
      <c r="C2797" t="s">
        <v>40</v>
      </c>
      <c r="D2797">
        <v>5.3791379999999904</v>
      </c>
      <c r="E2797">
        <v>0.44846249999999999</v>
      </c>
      <c r="F2797" t="s">
        <v>42</v>
      </c>
      <c r="G2797">
        <v>-490.61689999999999</v>
      </c>
      <c r="H2797">
        <v>1.0292239999999999</v>
      </c>
      <c r="I2797">
        <v>276.084</v>
      </c>
      <c r="J2797">
        <v>-490.6234</v>
      </c>
      <c r="K2797">
        <v>1.1257200000000001</v>
      </c>
      <c r="L2797">
        <v>276.87599999999998</v>
      </c>
      <c r="M2797">
        <v>-0.51805879999999904</v>
      </c>
      <c r="N2797">
        <v>-1.431194E-2</v>
      </c>
      <c r="O2797">
        <v>-0.85522540000000002</v>
      </c>
      <c r="P2797">
        <v>-0.19171630000000001</v>
      </c>
      <c r="Q2797">
        <v>-9.6574740000000006E-2</v>
      </c>
      <c r="R2797">
        <v>-0.97668759999999999</v>
      </c>
      <c r="S2797">
        <v>-0.21496580000000001</v>
      </c>
      <c r="T2797">
        <v>-0.30977059999999901</v>
      </c>
      <c r="U2797">
        <v>-3.0022280000000001</v>
      </c>
      <c r="V2797">
        <v>-0.34107979999999999</v>
      </c>
      <c r="W2797">
        <v>-8.7103029999999998E-2</v>
      </c>
      <c r="X2797">
        <v>0.93599019999999999</v>
      </c>
      <c r="Y2797">
        <v>-0.45528459999999898</v>
      </c>
      <c r="Z2797">
        <v>6.0857700000000001E-2</v>
      </c>
      <c r="AA2797">
        <v>0.88826360000000004</v>
      </c>
      <c r="AB2797">
        <v>16</v>
      </c>
      <c r="AC2797">
        <v>6.5000000000168196E-3</v>
      </c>
      <c r="AD2797">
        <v>-9.6496000000000096E-2</v>
      </c>
      <c r="AE2797">
        <v>-0.79199999999997295</v>
      </c>
      <c r="AF2797">
        <v>-0.40982086904981802</v>
      </c>
      <c r="AG2797">
        <v>-9.6496000000000096E-2</v>
      </c>
      <c r="AH2797">
        <v>0.66418125517548698</v>
      </c>
      <c r="AI2797">
        <v>97.048434671358194</v>
      </c>
      <c r="AJ2797">
        <v>121.675900032135</v>
      </c>
      <c r="AK2797">
        <v>0.78638499632891901</v>
      </c>
      <c r="AL2797">
        <v>94.996968196450695</v>
      </c>
      <c r="AM2797">
        <v>110.022008956953</v>
      </c>
      <c r="AN2797">
        <v>1.0000000111496301</v>
      </c>
    </row>
    <row r="2798" spans="1:40" x14ac:dyDescent="0.25">
      <c r="A2798" t="str">
        <f>"20190303154822614"</f>
        <v>20190303154822614</v>
      </c>
      <c r="B2798" t="str">
        <f>"1551599302603263"</f>
        <v>1551599302603263</v>
      </c>
      <c r="C2798" t="s">
        <v>40</v>
      </c>
      <c r="D2798">
        <v>5.3770059999999997</v>
      </c>
      <c r="E2798">
        <v>0.44704329999999998</v>
      </c>
      <c r="F2798" t="s">
        <v>42</v>
      </c>
      <c r="G2798">
        <v>-490.67590000000001</v>
      </c>
      <c r="H2798">
        <v>1.031407</v>
      </c>
      <c r="I2798">
        <v>275.95580000000001</v>
      </c>
      <c r="J2798">
        <v>-490.70260000000002</v>
      </c>
      <c r="K2798">
        <v>1.125688</v>
      </c>
      <c r="L2798">
        <v>276.71699999999998</v>
      </c>
      <c r="M2798">
        <v>-0.5076003</v>
      </c>
      <c r="N2798">
        <v>-1.430642E-2</v>
      </c>
      <c r="O2798">
        <v>-0.86147389999999902</v>
      </c>
      <c r="P2798">
        <v>-0.18135560000000001</v>
      </c>
      <c r="Q2798">
        <v>-9.6592129999999998E-2</v>
      </c>
      <c r="R2798">
        <v>-0.97866260000000005</v>
      </c>
      <c r="S2798">
        <v>-0.17077639999999999</v>
      </c>
      <c r="T2798">
        <v>-0.3081757</v>
      </c>
      <c r="U2798">
        <v>-3.0075989999999999</v>
      </c>
      <c r="V2798">
        <v>-0.33960210000000002</v>
      </c>
      <c r="W2798">
        <v>-8.707318E-2</v>
      </c>
      <c r="X2798">
        <v>0.93653019999999998</v>
      </c>
      <c r="Y2798">
        <v>-0.45755010000000002</v>
      </c>
      <c r="Z2798">
        <v>6.1177469999999998E-2</v>
      </c>
      <c r="AA2798">
        <v>0.8870768</v>
      </c>
      <c r="AB2798">
        <v>16</v>
      </c>
      <c r="AC2798">
        <v>2.6700000000005199E-2</v>
      </c>
      <c r="AD2798">
        <v>-9.4281000000000004E-2</v>
      </c>
      <c r="AE2798">
        <v>-0.76119999999997301</v>
      </c>
      <c r="AF2798">
        <v>-0.403249984101064</v>
      </c>
      <c r="AG2798">
        <v>-9.4281000000000004E-2</v>
      </c>
      <c r="AH2798">
        <v>0.63257439477228905</v>
      </c>
      <c r="AI2798">
        <v>97.163310301367503</v>
      </c>
      <c r="AJ2798">
        <v>122.516467767175</v>
      </c>
      <c r="AK2798">
        <v>0.75607527506197203</v>
      </c>
      <c r="AL2798">
        <v>94.995251098656595</v>
      </c>
      <c r="AM2798">
        <v>109.931523217342</v>
      </c>
      <c r="AN2798">
        <v>1.00000007025587</v>
      </c>
    </row>
    <row r="2799" spans="1:40" x14ac:dyDescent="0.25">
      <c r="A2799" t="str">
        <f>"20190303154822629"</f>
        <v>20190303154822629</v>
      </c>
      <c r="B2799" t="str">
        <f>"1551599302623759"</f>
        <v>1551599302623759</v>
      </c>
      <c r="C2799" t="s">
        <v>40</v>
      </c>
      <c r="D2799">
        <v>5.3657240000000002</v>
      </c>
      <c r="E2799">
        <v>0.44627620000000001</v>
      </c>
      <c r="F2799" t="s">
        <v>42</v>
      </c>
      <c r="G2799">
        <v>-490.74200000000002</v>
      </c>
      <c r="H2799">
        <v>1.03172</v>
      </c>
      <c r="I2799">
        <v>275.79250000000002</v>
      </c>
      <c r="J2799">
        <v>-490.74759999999998</v>
      </c>
      <c r="K2799">
        <v>1.1256619999999999</v>
      </c>
      <c r="L2799">
        <v>276.62430000000001</v>
      </c>
      <c r="M2799">
        <v>-0.50150539999999999</v>
      </c>
      <c r="N2799">
        <v>-1.4302789999999999E-2</v>
      </c>
      <c r="O2799">
        <v>-0.86503629999999998</v>
      </c>
      <c r="P2799">
        <v>-0.17524410000000001</v>
      </c>
      <c r="Q2799">
        <v>-9.6509559999999994E-2</v>
      </c>
      <c r="R2799">
        <v>-0.97978350000000003</v>
      </c>
      <c r="S2799">
        <v>-0.1281738</v>
      </c>
      <c r="T2799">
        <v>-0.30608150000000001</v>
      </c>
      <c r="U2799">
        <v>-3.011444</v>
      </c>
      <c r="V2799">
        <v>-0.33884500000000001</v>
      </c>
      <c r="W2799">
        <v>-8.6966020000000005E-2</v>
      </c>
      <c r="X2799">
        <v>0.93681420000000004</v>
      </c>
      <c r="Y2799">
        <v>-0.46383780000000002</v>
      </c>
      <c r="Z2799">
        <v>6.0893070000000001E-2</v>
      </c>
      <c r="AA2799">
        <v>0.88382490000000002</v>
      </c>
      <c r="AB2799">
        <v>16</v>
      </c>
      <c r="AC2799">
        <v>5.6000000000153696E-3</v>
      </c>
      <c r="AD2799">
        <v>-9.3942000000000206E-2</v>
      </c>
      <c r="AE2799">
        <v>-0.83179999999998699</v>
      </c>
      <c r="AF2799">
        <v>-0.416724462183238</v>
      </c>
      <c r="AG2799">
        <v>-9.3942000000000206E-2</v>
      </c>
      <c r="AH2799">
        <v>0.707774787390819</v>
      </c>
      <c r="AI2799">
        <v>96.524912528627496</v>
      </c>
      <c r="AJ2799">
        <v>120.48877524436</v>
      </c>
      <c r="AK2799">
        <v>0.82669796565131803</v>
      </c>
      <c r="AL2799">
        <v>94.989088585453302</v>
      </c>
      <c r="AM2799">
        <v>109.885019661062</v>
      </c>
      <c r="AN2799">
        <v>0.99999993399063802</v>
      </c>
    </row>
    <row r="2800" spans="1:40" x14ac:dyDescent="0.25">
      <c r="A2800" t="str">
        <f>"20190303154822644"</f>
        <v>20190303154822644</v>
      </c>
      <c r="B2800" t="str">
        <f>"1551599302633518"</f>
        <v>1551599302633518</v>
      </c>
      <c r="C2800" t="s">
        <v>40</v>
      </c>
      <c r="D2800">
        <v>5.3998119999999998</v>
      </c>
      <c r="E2800">
        <v>0.44598900000000002</v>
      </c>
      <c r="F2800" t="s">
        <v>42</v>
      </c>
      <c r="G2800">
        <v>-490.77929999999998</v>
      </c>
      <c r="H2800">
        <v>1.033496</v>
      </c>
      <c r="I2800">
        <v>275.70690000000002</v>
      </c>
      <c r="J2800">
        <v>-490.79059999999998</v>
      </c>
      <c r="K2800">
        <v>1.125648</v>
      </c>
      <c r="L2800">
        <v>276.53429999999997</v>
      </c>
      <c r="M2800">
        <v>-0.49558419999999997</v>
      </c>
      <c r="N2800">
        <v>-1.429909E-2</v>
      </c>
      <c r="O2800">
        <v>-0.8684423</v>
      </c>
      <c r="P2800">
        <v>-0.17073840000000001</v>
      </c>
      <c r="Q2800">
        <v>-9.6131389999999997E-2</v>
      </c>
      <c r="R2800">
        <v>-0.98061569999999998</v>
      </c>
      <c r="S2800">
        <v>-0.1035461</v>
      </c>
      <c r="T2800">
        <v>-0.30268260000000002</v>
      </c>
      <c r="U2800">
        <v>-3.013611</v>
      </c>
      <c r="V2800">
        <v>-0.33678000000000002</v>
      </c>
      <c r="W2800">
        <v>-8.6542170000000002E-2</v>
      </c>
      <c r="X2800">
        <v>0.93759789999999998</v>
      </c>
      <c r="Y2800">
        <v>-0.46503129999999998</v>
      </c>
      <c r="Z2800">
        <v>6.0457539999999997E-2</v>
      </c>
      <c r="AA2800">
        <v>0.88322749999999906</v>
      </c>
      <c r="AB2800">
        <v>16</v>
      </c>
      <c r="AC2800">
        <v>1.1300000000005601E-2</v>
      </c>
      <c r="AD2800">
        <v>-9.2151999999999998E-2</v>
      </c>
      <c r="AE2800">
        <v>-0.82739999999995395</v>
      </c>
      <c r="AF2800">
        <v>-0.41475874812288199</v>
      </c>
      <c r="AG2800">
        <v>-9.2151999999999998E-2</v>
      </c>
      <c r="AH2800">
        <v>0.70428720060772898</v>
      </c>
      <c r="AI2800">
        <v>96.432714829541695</v>
      </c>
      <c r="AJ2800">
        <v>120.494073658803</v>
      </c>
      <c r="AK2800">
        <v>0.82251885764907096</v>
      </c>
      <c r="AL2800">
        <v>94.964711190158795</v>
      </c>
      <c r="AM2800">
        <v>109.75800866961301</v>
      </c>
      <c r="AN2800">
        <v>1.00000006883635</v>
      </c>
    </row>
    <row r="2801" spans="1:40" x14ac:dyDescent="0.25">
      <c r="A2801" t="str">
        <f>"20190303154822658"</f>
        <v>20190303154822658</v>
      </c>
      <c r="B2801" t="str">
        <f>"1551599302653039"</f>
        <v>1551599302653039</v>
      </c>
      <c r="C2801" t="s">
        <v>40</v>
      </c>
      <c r="D2801">
        <v>5.3865400000000001</v>
      </c>
      <c r="E2801">
        <v>0.44576539999999998</v>
      </c>
      <c r="F2801" t="s">
        <v>42</v>
      </c>
      <c r="G2801">
        <v>-490.81830000000002</v>
      </c>
      <c r="H2801">
        <v>1.0302739999999999</v>
      </c>
      <c r="I2801">
        <v>275.57769999999999</v>
      </c>
      <c r="J2801">
        <v>-490.83679999999998</v>
      </c>
      <c r="K2801">
        <v>1.125629</v>
      </c>
      <c r="L2801">
        <v>276.4357</v>
      </c>
      <c r="M2801">
        <v>-0.4891046</v>
      </c>
      <c r="N2801">
        <v>-1.4294680000000001E-2</v>
      </c>
      <c r="O2801">
        <v>-0.8721082</v>
      </c>
      <c r="P2801">
        <v>-0.16451760000000001</v>
      </c>
      <c r="Q2801">
        <v>-9.5992439999999998E-2</v>
      </c>
      <c r="R2801">
        <v>-0.98169200000000001</v>
      </c>
      <c r="S2801">
        <v>-8.7585449999999995E-2</v>
      </c>
      <c r="T2801">
        <v>-0.30058049999999997</v>
      </c>
      <c r="U2801">
        <v>-3.0145569999999999</v>
      </c>
      <c r="V2801">
        <v>-0.33575729999999998</v>
      </c>
      <c r="W2801">
        <v>-8.637454E-2</v>
      </c>
      <c r="X2801">
        <v>0.93798000000000004</v>
      </c>
      <c r="Y2801">
        <v>-0.46313110000000002</v>
      </c>
      <c r="Z2801">
        <v>6.0492310000000001E-2</v>
      </c>
      <c r="AA2801">
        <v>0.88422299999999998</v>
      </c>
      <c r="AB2801">
        <v>16</v>
      </c>
      <c r="AC2801">
        <v>1.8499999999960399E-2</v>
      </c>
      <c r="AD2801">
        <v>-9.5354999999999995E-2</v>
      </c>
      <c r="AE2801">
        <v>-0.85800000000000398</v>
      </c>
      <c r="AF2801">
        <v>-0.43051525227216703</v>
      </c>
      <c r="AG2801">
        <v>-9.5354999999999995E-2</v>
      </c>
      <c r="AH2801">
        <v>0.73028009360435397</v>
      </c>
      <c r="AI2801">
        <v>96.417782967183101</v>
      </c>
      <c r="AJ2801">
        <v>120.52023096432301</v>
      </c>
      <c r="AK2801">
        <v>0.853079699429515</v>
      </c>
      <c r="AL2801">
        <v>94.955070926653505</v>
      </c>
      <c r="AM2801">
        <v>109.69522647631401</v>
      </c>
      <c r="AN2801">
        <v>1.00000000303175</v>
      </c>
    </row>
    <row r="2802" spans="1:40" x14ac:dyDescent="0.25">
      <c r="A2802" t="str">
        <f>"20190303154822677"</f>
        <v>20190303154822677</v>
      </c>
      <c r="B2802" t="str">
        <f>"1551599302673535"</f>
        <v>1551599302673535</v>
      </c>
      <c r="C2802" t="s">
        <v>40</v>
      </c>
      <c r="D2802">
        <v>5.4056879999999996</v>
      </c>
      <c r="E2802">
        <v>0.44563259999999999</v>
      </c>
      <c r="F2802" t="s">
        <v>42</v>
      </c>
      <c r="G2802">
        <v>-490.85739999999998</v>
      </c>
      <c r="H2802">
        <v>1.032977</v>
      </c>
      <c r="I2802">
        <v>275.49950000000001</v>
      </c>
      <c r="J2802">
        <v>-490.8913</v>
      </c>
      <c r="K2802">
        <v>1.1256060000000001</v>
      </c>
      <c r="L2802">
        <v>276.31689999999998</v>
      </c>
      <c r="M2802">
        <v>-0.48129949999999999</v>
      </c>
      <c r="N2802">
        <v>-1.4288759999999999E-2</v>
      </c>
      <c r="O2802">
        <v>-0.87643989999999905</v>
      </c>
      <c r="P2802">
        <v>-0.15902859999999999</v>
      </c>
      <c r="Q2802">
        <v>-9.6937750000000003E-2</v>
      </c>
      <c r="R2802">
        <v>-0.98250369999999998</v>
      </c>
      <c r="S2802">
        <v>-6.6619869999999998E-2</v>
      </c>
      <c r="T2802">
        <v>-0.29844690000000001</v>
      </c>
      <c r="U2802">
        <v>-3.0155639999999999</v>
      </c>
      <c r="V2802">
        <v>-0.33257829999999999</v>
      </c>
      <c r="W2802">
        <v>-8.7255109999999997E-2</v>
      </c>
      <c r="X2802">
        <v>0.93903049999999999</v>
      </c>
      <c r="Y2802">
        <v>-0.4613814</v>
      </c>
      <c r="Z2802">
        <v>6.0597760000000001E-2</v>
      </c>
      <c r="AA2802">
        <v>0.88512999999999997</v>
      </c>
      <c r="AB2802">
        <v>16</v>
      </c>
      <c r="AC2802">
        <v>3.3900000000016903E-2</v>
      </c>
      <c r="AD2802">
        <v>-9.2628999999999795E-2</v>
      </c>
      <c r="AE2802">
        <v>-0.81739999999996305</v>
      </c>
      <c r="AF2802">
        <v>-0.41781243080067099</v>
      </c>
      <c r="AG2802">
        <v>-9.2628999999999795E-2</v>
      </c>
      <c r="AH2802">
        <v>0.69129509798203304</v>
      </c>
      <c r="AI2802">
        <v>96.541855955506705</v>
      </c>
      <c r="AJ2802">
        <v>121.148381398406</v>
      </c>
      <c r="AK2802">
        <v>0.81304137131301901</v>
      </c>
      <c r="AL2802">
        <v>95.005714946692706</v>
      </c>
      <c r="AM2802">
        <v>109.5027194704</v>
      </c>
      <c r="AN2802">
        <v>1.00000002989112</v>
      </c>
    </row>
    <row r="2803" spans="1:40" x14ac:dyDescent="0.25">
      <c r="A2803" t="str">
        <f>"20190303154822691"</f>
        <v>20190303154822691</v>
      </c>
      <c r="B2803" t="str">
        <f>"1551599302683294"</f>
        <v>1551599302683294</v>
      </c>
      <c r="C2803" t="s">
        <v>40</v>
      </c>
      <c r="D2803">
        <v>5.4289849999999999</v>
      </c>
      <c r="E2803">
        <v>0.44556699999999999</v>
      </c>
      <c r="F2803" t="s">
        <v>42</v>
      </c>
      <c r="G2803">
        <v>-490.9067</v>
      </c>
      <c r="H2803">
        <v>1.0315030000000001</v>
      </c>
      <c r="I2803">
        <v>275.37209999999999</v>
      </c>
      <c r="J2803">
        <v>-490.93110000000001</v>
      </c>
      <c r="K2803">
        <v>1.12558</v>
      </c>
      <c r="L2803">
        <v>276.22809999999998</v>
      </c>
      <c r="M2803">
        <v>-0.47547149999999999</v>
      </c>
      <c r="N2803">
        <v>-1.428362E-2</v>
      </c>
      <c r="O2803">
        <v>-0.87961540000000005</v>
      </c>
      <c r="P2803">
        <v>-0.1543687</v>
      </c>
      <c r="Q2803">
        <v>-9.7743490000000002E-2</v>
      </c>
      <c r="R2803">
        <v>-0.98316669999999995</v>
      </c>
      <c r="S2803">
        <v>-4.8858640000000002E-2</v>
      </c>
      <c r="T2803">
        <v>-0.30032309999999901</v>
      </c>
      <c r="U2803">
        <v>-3.01593</v>
      </c>
      <c r="V2803">
        <v>-0.33075670000000001</v>
      </c>
      <c r="W2803">
        <v>-8.8020589999999996E-2</v>
      </c>
      <c r="X2803">
        <v>0.9396023</v>
      </c>
      <c r="Y2803">
        <v>-0.46070670000000002</v>
      </c>
      <c r="Z2803">
        <v>6.1520680000000001E-2</v>
      </c>
      <c r="AA2803">
        <v>0.88541780000000003</v>
      </c>
      <c r="AB2803">
        <v>16</v>
      </c>
      <c r="AC2803">
        <v>2.4400000000014101E-2</v>
      </c>
      <c r="AD2803">
        <v>-9.4076999999999897E-2</v>
      </c>
      <c r="AE2803">
        <v>-0.85599999999999399</v>
      </c>
      <c r="AF2803">
        <v>-0.423399885647464</v>
      </c>
      <c r="AG2803">
        <v>-9.4076999999999897E-2</v>
      </c>
      <c r="AH2803">
        <v>0.73258330521635595</v>
      </c>
      <c r="AI2803">
        <v>96.3443330065938</v>
      </c>
      <c r="AJ2803">
        <v>120.02596208635001</v>
      </c>
      <c r="AK2803">
        <v>0.85134966034938198</v>
      </c>
      <c r="AL2803">
        <v>95.049743018114597</v>
      </c>
      <c r="AM2803">
        <v>109.392974063363</v>
      </c>
      <c r="AN2803">
        <v>1.0000000505120601</v>
      </c>
    </row>
    <row r="2804" spans="1:40" x14ac:dyDescent="0.25">
      <c r="A2804" t="str">
        <f>"20190303154822704"</f>
        <v>20190303154822704</v>
      </c>
      <c r="B2804" t="str">
        <f>"1551599302693055"</f>
        <v>1551599302693055</v>
      </c>
      <c r="C2804" t="s">
        <v>40</v>
      </c>
      <c r="D2804">
        <v>5.4329679999999998</v>
      </c>
      <c r="E2804">
        <v>0.44556750000000001</v>
      </c>
      <c r="F2804" t="s">
        <v>42</v>
      </c>
      <c r="G2804">
        <v>-490.94159999999999</v>
      </c>
      <c r="H2804">
        <v>1.0313760000000001</v>
      </c>
      <c r="I2804">
        <v>275.29000000000002</v>
      </c>
      <c r="J2804">
        <v>-490.96690000000001</v>
      </c>
      <c r="K2804">
        <v>1.1255569999999999</v>
      </c>
      <c r="L2804">
        <v>276.14710000000002</v>
      </c>
      <c r="M2804">
        <v>-0.47016390000000002</v>
      </c>
      <c r="N2804">
        <v>-1.4278580000000001E-2</v>
      </c>
      <c r="O2804">
        <v>-0.88246369999999896</v>
      </c>
      <c r="P2804">
        <v>-0.15082809999999999</v>
      </c>
      <c r="Q2804">
        <v>-9.8370079999999999E-2</v>
      </c>
      <c r="R2804">
        <v>-0.98365369999999996</v>
      </c>
      <c r="S2804">
        <v>-3.3691409999999998E-2</v>
      </c>
      <c r="T2804">
        <v>-0.30284299999999997</v>
      </c>
      <c r="U2804">
        <v>-3.0159609999999999</v>
      </c>
      <c r="V2804">
        <v>-0.3284493</v>
      </c>
      <c r="W2804">
        <v>-8.8599059999999993E-2</v>
      </c>
      <c r="X2804">
        <v>0.940357</v>
      </c>
      <c r="Y2804">
        <v>-0.45981139999999998</v>
      </c>
      <c r="Z2804">
        <v>6.2580449999999996E-2</v>
      </c>
      <c r="AA2804">
        <v>0.88580879999999995</v>
      </c>
      <c r="AB2804">
        <v>16</v>
      </c>
      <c r="AC2804">
        <v>2.5300000000015602E-2</v>
      </c>
      <c r="AD2804">
        <v>-9.4180999999999807E-2</v>
      </c>
      <c r="AE2804">
        <v>-0.85710000000000197</v>
      </c>
      <c r="AF2804">
        <v>-0.42027698760402099</v>
      </c>
      <c r="AG2804">
        <v>-9.4180999999999807E-2</v>
      </c>
      <c r="AH2804">
        <v>0.73566539003451903</v>
      </c>
      <c r="AI2804">
        <v>96.3429883574927</v>
      </c>
      <c r="AJ2804">
        <v>119.738819806942</v>
      </c>
      <c r="AK2804">
        <v>0.85247074622250296</v>
      </c>
      <c r="AL2804">
        <v>95.083017103131198</v>
      </c>
      <c r="AM2804">
        <v>109.253363413138</v>
      </c>
      <c r="AN2804">
        <v>1.00000001177618</v>
      </c>
    </row>
    <row r="2805" spans="1:40" x14ac:dyDescent="0.25">
      <c r="A2805" t="str">
        <f>"20190303154822721"</f>
        <v>20190303154822721</v>
      </c>
      <c r="B2805" t="str">
        <f>"1551599302713550"</f>
        <v>1551599302713550</v>
      </c>
      <c r="C2805" t="s">
        <v>40</v>
      </c>
      <c r="D2805">
        <v>5.4427390000000004</v>
      </c>
      <c r="E2805">
        <v>0.44583790000000001</v>
      </c>
      <c r="F2805" t="s">
        <v>42</v>
      </c>
      <c r="G2805">
        <v>-490.9742</v>
      </c>
      <c r="H2805">
        <v>1.0293620000000001</v>
      </c>
      <c r="I2805">
        <v>275.19880000000001</v>
      </c>
      <c r="J2805">
        <v>-491.0136</v>
      </c>
      <c r="K2805">
        <v>1.1255280000000001</v>
      </c>
      <c r="L2805">
        <v>276.03980000000001</v>
      </c>
      <c r="M2805">
        <v>-0.4631345</v>
      </c>
      <c r="N2805">
        <v>-1.427104E-2</v>
      </c>
      <c r="O2805">
        <v>-0.88617319999999999</v>
      </c>
      <c r="P2805">
        <v>-0.14708019999999999</v>
      </c>
      <c r="Q2805">
        <v>-9.8279829999999999E-2</v>
      </c>
      <c r="R2805">
        <v>-0.98422989999999999</v>
      </c>
      <c r="S2805">
        <v>-2.2583010000000001E-2</v>
      </c>
      <c r="T2805">
        <v>-0.30585250000000003</v>
      </c>
      <c r="U2805">
        <v>-3.0158079999999998</v>
      </c>
      <c r="V2805">
        <v>-0.3245711</v>
      </c>
      <c r="W2805">
        <v>-8.8428770000000004E-2</v>
      </c>
      <c r="X2805">
        <v>0.94171859999999996</v>
      </c>
      <c r="Y2805">
        <v>-0.45601510000000001</v>
      </c>
      <c r="Z2805">
        <v>6.3989850000000001E-2</v>
      </c>
      <c r="AA2805">
        <v>0.88766859999999903</v>
      </c>
      <c r="AB2805">
        <v>16</v>
      </c>
      <c r="AC2805">
        <v>3.9400000000000497E-2</v>
      </c>
      <c r="AD2805">
        <v>-9.6165999999999904E-2</v>
      </c>
      <c r="AE2805">
        <v>-0.84100000000000796</v>
      </c>
      <c r="AF2805">
        <v>-0.41898813699267701</v>
      </c>
      <c r="AG2805">
        <v>-9.6165999999999904E-2</v>
      </c>
      <c r="AH2805">
        <v>0.717734121247386</v>
      </c>
      <c r="AI2805">
        <v>96.600463126489402</v>
      </c>
      <c r="AJ2805">
        <v>120.27489172010699</v>
      </c>
      <c r="AK2805">
        <v>0.83662490239016496</v>
      </c>
      <c r="AL2805">
        <v>95.0732218991525</v>
      </c>
      <c r="AM2805">
        <v>109.016935226257</v>
      </c>
      <c r="AN2805">
        <v>0.99999998395244105</v>
      </c>
    </row>
    <row r="2806" spans="1:40" x14ac:dyDescent="0.25">
      <c r="A2806" t="str">
        <f>"20190303154822734"</f>
        <v>20190303154822734</v>
      </c>
      <c r="B2806" t="str">
        <f>"1551599302723311"</f>
        <v>1551599302723311</v>
      </c>
      <c r="C2806" t="s">
        <v>40</v>
      </c>
      <c r="D2806">
        <v>5.4189410000000002</v>
      </c>
      <c r="E2806">
        <v>0.44595099999999999</v>
      </c>
      <c r="F2806" t="s">
        <v>42</v>
      </c>
      <c r="G2806">
        <v>-491.01799999999997</v>
      </c>
      <c r="H2806">
        <v>1.027436</v>
      </c>
      <c r="I2806">
        <v>275.07170000000002</v>
      </c>
      <c r="J2806">
        <v>-491.04910000000001</v>
      </c>
      <c r="K2806">
        <v>1.125502</v>
      </c>
      <c r="L2806">
        <v>275.95600000000002</v>
      </c>
      <c r="M2806">
        <v>-0.45767449999999998</v>
      </c>
      <c r="N2806">
        <v>-1.4264020000000001E-2</v>
      </c>
      <c r="O2806">
        <v>-0.8890055</v>
      </c>
      <c r="P2806">
        <v>-0.1428816</v>
      </c>
      <c r="Q2806">
        <v>-9.7923960000000004E-2</v>
      </c>
      <c r="R2806">
        <v>-0.98488370000000003</v>
      </c>
      <c r="S2806">
        <v>-1.364136E-2</v>
      </c>
      <c r="T2806">
        <v>-0.30552770000000001</v>
      </c>
      <c r="U2806">
        <v>-3.0155639999999999</v>
      </c>
      <c r="V2806">
        <v>-0.32282260000000002</v>
      </c>
      <c r="W2806">
        <v>-8.8028609999999993E-2</v>
      </c>
      <c r="X2806">
        <v>0.94235690000000005</v>
      </c>
      <c r="Y2806">
        <v>-0.45317809999999997</v>
      </c>
      <c r="Z2806">
        <v>6.4407060000000002E-2</v>
      </c>
      <c r="AA2806">
        <v>0.88909020000000005</v>
      </c>
      <c r="AB2806">
        <v>16</v>
      </c>
      <c r="AC2806">
        <v>3.1099999999980799E-2</v>
      </c>
      <c r="AD2806">
        <v>-9.8066E-2</v>
      </c>
      <c r="AE2806">
        <v>-0.88429999999993902</v>
      </c>
      <c r="AF2806">
        <v>-0.42716673722215798</v>
      </c>
      <c r="AG2806">
        <v>-9.8066E-2</v>
      </c>
      <c r="AH2806">
        <v>0.7626251069726</v>
      </c>
      <c r="AI2806">
        <v>96.401219710059493</v>
      </c>
      <c r="AJ2806">
        <v>119.254355373773</v>
      </c>
      <c r="AK2806">
        <v>0.87959389239011598</v>
      </c>
      <c r="AL2806">
        <v>95.050204591255806</v>
      </c>
      <c r="AM2806">
        <v>108.909888753036</v>
      </c>
      <c r="AN2806">
        <v>0.999999997113451</v>
      </c>
    </row>
    <row r="2807" spans="1:40" x14ac:dyDescent="0.25">
      <c r="A2807" t="str">
        <f>"20190303154822748"</f>
        <v>20190303154822748</v>
      </c>
      <c r="B2807" t="str">
        <f>"1551599302743807"</f>
        <v>1551599302743807</v>
      </c>
      <c r="C2807" t="s">
        <v>40</v>
      </c>
      <c r="D2807">
        <v>5.4224969999999999</v>
      </c>
      <c r="E2807">
        <v>0.44611210000000001</v>
      </c>
      <c r="F2807" t="s">
        <v>42</v>
      </c>
      <c r="G2807">
        <v>-491.04969999999997</v>
      </c>
      <c r="H2807">
        <v>1.026572</v>
      </c>
      <c r="I2807">
        <v>274.97879999999998</v>
      </c>
      <c r="J2807">
        <v>-491.08499999999998</v>
      </c>
      <c r="K2807">
        <v>1.125475</v>
      </c>
      <c r="L2807">
        <v>275.87009999999998</v>
      </c>
      <c r="M2807">
        <v>-0.45207779999999997</v>
      </c>
      <c r="N2807">
        <v>-1.425645E-2</v>
      </c>
      <c r="O2807">
        <v>-0.89186469999999995</v>
      </c>
      <c r="P2807">
        <v>-0.13858409999999999</v>
      </c>
      <c r="Q2807">
        <v>-9.7629469999999996E-2</v>
      </c>
      <c r="R2807">
        <v>-0.98552689999999998</v>
      </c>
      <c r="S2807">
        <v>-1.8005370000000001E-3</v>
      </c>
      <c r="T2807">
        <v>-0.30523509999999998</v>
      </c>
      <c r="U2807">
        <v>-3.0154420000000002</v>
      </c>
      <c r="V2807">
        <v>-0.32103520000000002</v>
      </c>
      <c r="W2807">
        <v>-8.7688440000000006E-2</v>
      </c>
      <c r="X2807">
        <v>0.94299900000000003</v>
      </c>
      <c r="Y2807">
        <v>-0.45107209999999998</v>
      </c>
      <c r="Z2807">
        <v>6.4809599999999995E-2</v>
      </c>
      <c r="AA2807">
        <v>0.89013129999999996</v>
      </c>
      <c r="AB2807">
        <v>16</v>
      </c>
      <c r="AC2807">
        <v>3.53000000000065E-2</v>
      </c>
      <c r="AD2807">
        <v>-9.8902999999999894E-2</v>
      </c>
      <c r="AE2807">
        <v>-0.89130000000000098</v>
      </c>
      <c r="AF2807">
        <v>-0.429187474547016</v>
      </c>
      <c r="AG2807">
        <v>-9.8902999999999894E-2</v>
      </c>
      <c r="AH2807">
        <v>0.76957860605101502</v>
      </c>
      <c r="AI2807">
        <v>96.404136823468093</v>
      </c>
      <c r="AJ2807">
        <v>119.148038101305</v>
      </c>
      <c r="AK2807">
        <v>0.88669889060969798</v>
      </c>
      <c r="AL2807">
        <v>95.030638669047207</v>
      </c>
      <c r="AM2807">
        <v>108.800661806845</v>
      </c>
      <c r="AN2807">
        <v>0.99999998807483603</v>
      </c>
    </row>
    <row r="2808" spans="1:40" x14ac:dyDescent="0.25">
      <c r="A2808" t="str">
        <f>"20190303154822760"</f>
        <v>20190303154822760</v>
      </c>
      <c r="B2808" t="str">
        <f>"1551599302753567"</f>
        <v>1551599302753567</v>
      </c>
      <c r="C2808" t="s">
        <v>40</v>
      </c>
      <c r="D2808">
        <v>5.4332310000000001</v>
      </c>
      <c r="E2808">
        <v>0.44618360000000001</v>
      </c>
      <c r="F2808" t="s">
        <v>42</v>
      </c>
      <c r="G2808">
        <v>-491.08199999999999</v>
      </c>
      <c r="H2808">
        <v>1.0269269999999999</v>
      </c>
      <c r="I2808">
        <v>274.89710000000002</v>
      </c>
      <c r="J2808">
        <v>-491.1198</v>
      </c>
      <c r="K2808">
        <v>1.1254459999999999</v>
      </c>
      <c r="L2808">
        <v>275.786</v>
      </c>
      <c r="M2808">
        <v>-0.44660620000000001</v>
      </c>
      <c r="N2808">
        <v>-1.4248749999999999E-2</v>
      </c>
      <c r="O2808">
        <v>-0.89461729999999995</v>
      </c>
      <c r="P2808">
        <v>-0.133995</v>
      </c>
      <c r="Q2808">
        <v>-9.6365010000000001E-2</v>
      </c>
      <c r="R2808">
        <v>-0.98628559999999998</v>
      </c>
      <c r="S2808">
        <v>1.0406489999999999E-2</v>
      </c>
      <c r="T2808">
        <v>-0.30526819999999999</v>
      </c>
      <c r="U2808">
        <v>-3.0152589999999999</v>
      </c>
      <c r="V2808">
        <v>-0.31972600000000001</v>
      </c>
      <c r="W2808">
        <v>-8.6384340000000004E-2</v>
      </c>
      <c r="X2808">
        <v>0.94356399999999996</v>
      </c>
      <c r="Y2808">
        <v>-0.44921339999999998</v>
      </c>
      <c r="Z2808">
        <v>6.5274040000000005E-2</v>
      </c>
      <c r="AA2808">
        <v>0.89103690000000002</v>
      </c>
      <c r="AB2808">
        <v>16</v>
      </c>
      <c r="AC2808">
        <v>3.7800000000004198E-2</v>
      </c>
      <c r="AD2808">
        <v>-9.8518999999999801E-2</v>
      </c>
      <c r="AE2808">
        <v>-0.88889999999997804</v>
      </c>
      <c r="AF2808">
        <v>-0.425629544925751</v>
      </c>
      <c r="AG2808">
        <v>-9.8518999999999801E-2</v>
      </c>
      <c r="AH2808">
        <v>0.76899339385960996</v>
      </c>
      <c r="AI2808">
        <v>96.395598099928804</v>
      </c>
      <c r="AJ2808">
        <v>118.964054647182</v>
      </c>
      <c r="AK2808">
        <v>0.88443051885064605</v>
      </c>
      <c r="AL2808">
        <v>94.955634568372801</v>
      </c>
      <c r="AM2808">
        <v>108.71891399085401</v>
      </c>
      <c r="AN2808">
        <v>0.99999999568461695</v>
      </c>
    </row>
    <row r="2809" spans="1:40" x14ac:dyDescent="0.25">
      <c r="A2809" t="str">
        <f>"20190303154822778"</f>
        <v>20190303154822778</v>
      </c>
      <c r="B2809" t="str">
        <f>"1551599302773086"</f>
        <v>1551599302773086</v>
      </c>
      <c r="C2809" t="s">
        <v>40</v>
      </c>
      <c r="D2809">
        <v>5.4532069999999999</v>
      </c>
      <c r="E2809">
        <v>0.44633089999999997</v>
      </c>
      <c r="F2809" t="s">
        <v>41</v>
      </c>
      <c r="G2809">
        <v>-491.03089999999997</v>
      </c>
      <c r="H2809" s="1">
        <v>-2.4097049999999999E-6</v>
      </c>
      <c r="I2809">
        <v>264.5668</v>
      </c>
      <c r="J2809">
        <v>-491.1678</v>
      </c>
      <c r="K2809">
        <v>1.1253919999999999</v>
      </c>
      <c r="L2809">
        <v>275.66699999999997</v>
      </c>
      <c r="M2809">
        <v>-0.43891289999999999</v>
      </c>
      <c r="N2809">
        <v>-1.423611E-2</v>
      </c>
      <c r="O2809">
        <v>-0.89841709999999997</v>
      </c>
      <c r="P2809">
        <v>-0.12893660000000001</v>
      </c>
      <c r="Q2809">
        <v>-9.5723939999999993E-2</v>
      </c>
      <c r="R2809">
        <v>-0.98702230000000002</v>
      </c>
      <c r="S2809">
        <v>2.3895260000000001E-2</v>
      </c>
      <c r="T2809">
        <v>-0.30248709999999901</v>
      </c>
      <c r="U2809">
        <v>-3.0153810000000001</v>
      </c>
      <c r="V2809">
        <v>-0.31651380000000001</v>
      </c>
      <c r="W2809">
        <v>-8.5665580000000005E-2</v>
      </c>
      <c r="X2809">
        <v>0.94471179999999999</v>
      </c>
      <c r="Y2809">
        <v>-0.44554389999999999</v>
      </c>
      <c r="Z2809">
        <v>6.5204230000000002E-2</v>
      </c>
      <c r="AA2809">
        <v>0.89288239999999996</v>
      </c>
      <c r="AB2809">
        <v>16</v>
      </c>
      <c r="AC2809">
        <v>0.136900000000025</v>
      </c>
      <c r="AD2809">
        <v>-1.1253944097049999</v>
      </c>
      <c r="AE2809">
        <v>-11.100199999999999</v>
      </c>
      <c r="AF2809">
        <v>-4.9447007952542403</v>
      </c>
      <c r="AG2809">
        <v>-1.1253944097049999</v>
      </c>
      <c r="AH2809">
        <v>9.8126760608516008</v>
      </c>
      <c r="AI2809">
        <v>95.847799820315004</v>
      </c>
      <c r="AJ2809">
        <v>116.743969584618</v>
      </c>
      <c r="AK2809">
        <v>11.0455959552752</v>
      </c>
      <c r="AL2809">
        <v>94.914299494409605</v>
      </c>
      <c r="AM2809">
        <v>108.522776906098</v>
      </c>
      <c r="AN2809">
        <v>0.99999998112320798</v>
      </c>
    </row>
    <row r="2810" spans="1:40" x14ac:dyDescent="0.25">
      <c r="A2810" t="str">
        <f>"20190303154822802"</f>
        <v>20190303154822802</v>
      </c>
      <c r="B2810" t="str">
        <f>"1551599302793583"</f>
        <v>1551599302793583</v>
      </c>
      <c r="C2810" t="s">
        <v>40</v>
      </c>
      <c r="D2810">
        <v>5.4282250000000003</v>
      </c>
      <c r="E2810">
        <v>0.4465635</v>
      </c>
      <c r="F2810" t="s">
        <v>41</v>
      </c>
      <c r="G2810">
        <v>-491.02539999999999</v>
      </c>
      <c r="H2810" s="1">
        <v>-2.3605999999999999E-6</v>
      </c>
      <c r="I2810">
        <v>264.45580000000001</v>
      </c>
      <c r="J2810">
        <v>-491.2235</v>
      </c>
      <c r="K2810">
        <v>1.1253059999999999</v>
      </c>
      <c r="L2810">
        <v>275.5256</v>
      </c>
      <c r="M2810">
        <v>-0.42983860000000002</v>
      </c>
      <c r="N2810">
        <v>-1.421884E-2</v>
      </c>
      <c r="O2810">
        <v>-0.90279410000000004</v>
      </c>
      <c r="P2810">
        <v>-0.122238</v>
      </c>
      <c r="Q2810">
        <v>-9.6679370000000001E-2</v>
      </c>
      <c r="R2810">
        <v>-0.98778120000000003</v>
      </c>
      <c r="S2810">
        <v>3.8299560000000003E-2</v>
      </c>
      <c r="T2810">
        <v>-0.30265950000000003</v>
      </c>
      <c r="U2810">
        <v>-3.0151059999999998</v>
      </c>
      <c r="V2810">
        <v>-0.31337120000000002</v>
      </c>
      <c r="W2810">
        <v>-8.6536299999999997E-2</v>
      </c>
      <c r="X2810">
        <v>0.94567959999999995</v>
      </c>
      <c r="Y2810">
        <v>-0.44079439999999998</v>
      </c>
      <c r="Z2810">
        <v>6.6024180000000002E-2</v>
      </c>
      <c r="AA2810">
        <v>0.89517659999999999</v>
      </c>
      <c r="AB2810">
        <v>16</v>
      </c>
      <c r="AC2810">
        <v>0.19810000000000999</v>
      </c>
      <c r="AD2810">
        <v>-1.1253083605999901</v>
      </c>
      <c r="AE2810">
        <v>-11.069799999999899</v>
      </c>
      <c r="AF2810">
        <v>-4.8870821876620596</v>
      </c>
      <c r="AG2810">
        <v>-1.1253083605999901</v>
      </c>
      <c r="AH2810">
        <v>9.80827289889063</v>
      </c>
      <c r="AI2810">
        <v>95.863119388261495</v>
      </c>
      <c r="AJ2810">
        <v>116.48529673480699</v>
      </c>
      <c r="AK2810">
        <v>11.015993304033501</v>
      </c>
      <c r="AL2810">
        <v>94.964374074262395</v>
      </c>
      <c r="AM2810">
        <v>108.333721370953</v>
      </c>
      <c r="AN2810">
        <v>0.99999997303164401</v>
      </c>
    </row>
    <row r="2811" spans="1:40" x14ac:dyDescent="0.25">
      <c r="A2811" t="str">
        <f>"20190303154822823"</f>
        <v>20190303154822823</v>
      </c>
      <c r="B2811" t="str">
        <f>"1551599302813102"</f>
        <v>1551599302813102</v>
      </c>
      <c r="C2811" t="s">
        <v>40</v>
      </c>
      <c r="D2811">
        <v>5.4758250000000004</v>
      </c>
      <c r="E2811">
        <v>0.44673940000000001</v>
      </c>
      <c r="F2811" t="s">
        <v>42</v>
      </c>
      <c r="G2811">
        <v>-491.20490000000001</v>
      </c>
      <c r="H2811">
        <v>1.0238290000000001</v>
      </c>
      <c r="I2811">
        <v>274.53219999999999</v>
      </c>
      <c r="J2811">
        <v>-491.27910000000003</v>
      </c>
      <c r="K2811">
        <v>1.1252040000000001</v>
      </c>
      <c r="L2811">
        <v>275.37990000000002</v>
      </c>
      <c r="M2811">
        <v>-0.42060199999999998</v>
      </c>
      <c r="N2811">
        <v>-1.4197100000000001E-2</v>
      </c>
      <c r="O2811">
        <v>-0.90713449999999995</v>
      </c>
      <c r="P2811">
        <v>-0.1157526</v>
      </c>
      <c r="Q2811">
        <v>-9.8242979999999994E-2</v>
      </c>
      <c r="R2811">
        <v>-0.98840810000000001</v>
      </c>
      <c r="S2811">
        <v>5.6671140000000002E-2</v>
      </c>
      <c r="T2811">
        <v>-0.30787750000000003</v>
      </c>
      <c r="U2811">
        <v>-3.0140380000000002</v>
      </c>
      <c r="V2811">
        <v>-0.30986540000000001</v>
      </c>
      <c r="W2811">
        <v>-8.800434E-2</v>
      </c>
      <c r="X2811">
        <v>0.94669879999999995</v>
      </c>
      <c r="Y2811">
        <v>-0.43708659999999999</v>
      </c>
      <c r="Z2811">
        <v>6.8171640000000006E-2</v>
      </c>
      <c r="AA2811">
        <v>0.89683219999999997</v>
      </c>
      <c r="AB2811">
        <v>16</v>
      </c>
      <c r="AC2811">
        <v>7.4200000000018904E-2</v>
      </c>
      <c r="AD2811">
        <v>-0.10137500000000001</v>
      </c>
      <c r="AE2811">
        <v>-0.84770000000003098</v>
      </c>
      <c r="AF2811">
        <v>-0.41796428084595799</v>
      </c>
      <c r="AG2811">
        <v>-0.10137500000000001</v>
      </c>
      <c r="AH2811">
        <v>0.72751800037709102</v>
      </c>
      <c r="AI2811">
        <v>96.889287640414096</v>
      </c>
      <c r="AJ2811">
        <v>119.87767482559499</v>
      </c>
      <c r="AK2811">
        <v>0.845135179459925</v>
      </c>
      <c r="AL2811">
        <v>95.0488087221444</v>
      </c>
      <c r="AM2811">
        <v>108.12386658377901</v>
      </c>
      <c r="AN2811">
        <v>0.99999997394871698</v>
      </c>
    </row>
    <row r="2812" spans="1:40" x14ac:dyDescent="0.25">
      <c r="A2812" t="str">
        <f>"20190303154822837"</f>
        <v>20190303154822837</v>
      </c>
      <c r="B2812" t="str">
        <f>"1551599302833599"</f>
        <v>1551599302833599</v>
      </c>
      <c r="C2812" t="s">
        <v>40</v>
      </c>
      <c r="D2812">
        <v>5.420534</v>
      </c>
      <c r="E2812">
        <v>0.44697480000000001</v>
      </c>
      <c r="F2812" t="s">
        <v>42</v>
      </c>
      <c r="G2812">
        <v>-491.25420000000003</v>
      </c>
      <c r="H2812">
        <v>1.019144</v>
      </c>
      <c r="I2812">
        <v>274.36380000000003</v>
      </c>
      <c r="J2812">
        <v>-491.31299999999999</v>
      </c>
      <c r="K2812">
        <v>1.1251450000000001</v>
      </c>
      <c r="L2812">
        <v>275.2894</v>
      </c>
      <c r="M2812">
        <v>-0.41490510000000003</v>
      </c>
      <c r="N2812">
        <v>-1.418238E-2</v>
      </c>
      <c r="O2812">
        <v>-0.90975439999999996</v>
      </c>
      <c r="P2812">
        <v>-0.1109256</v>
      </c>
      <c r="Q2812">
        <v>-9.8327330000000004E-2</v>
      </c>
      <c r="R2812">
        <v>-0.98895270000000002</v>
      </c>
      <c r="S2812">
        <v>7.5103760000000006E-2</v>
      </c>
      <c r="T2812">
        <v>-0.31432529999999997</v>
      </c>
      <c r="U2812">
        <v>-3.0127259999999998</v>
      </c>
      <c r="V2812">
        <v>-0.30855909999999998</v>
      </c>
      <c r="W2812">
        <v>-8.8042229999999999E-2</v>
      </c>
      <c r="X2812">
        <v>0.94712189999999996</v>
      </c>
      <c r="Y2812">
        <v>-0.43692559999999903</v>
      </c>
      <c r="Z2812">
        <v>7.0315139999999998E-2</v>
      </c>
      <c r="AA2812">
        <v>0.89674509999999996</v>
      </c>
      <c r="AB2812">
        <v>16</v>
      </c>
      <c r="AC2812">
        <v>5.8800000000019198E-2</v>
      </c>
      <c r="AD2812">
        <v>-0.106001</v>
      </c>
      <c r="AE2812">
        <v>-0.925599999999974</v>
      </c>
      <c r="AF2812">
        <v>-0.431931552182446</v>
      </c>
      <c r="AG2812">
        <v>-0.106001</v>
      </c>
      <c r="AH2812">
        <v>0.80721018424146496</v>
      </c>
      <c r="AI2812">
        <v>96.604521854243799</v>
      </c>
      <c r="AJ2812">
        <v>118.15087044709399</v>
      </c>
      <c r="AK2812">
        <v>0.92162321982189599</v>
      </c>
      <c r="AL2812">
        <v>95.050987870607599</v>
      </c>
      <c r="AM2812">
        <v>108.044886783564</v>
      </c>
      <c r="AN2812">
        <v>1.00000002295789</v>
      </c>
    </row>
    <row r="2813" spans="1:40" x14ac:dyDescent="0.25">
      <c r="A2813" t="str">
        <f>"20190303154822855"</f>
        <v>20190303154822855</v>
      </c>
      <c r="B2813" t="str">
        <f>"1551599302843359"</f>
        <v>1551599302843359</v>
      </c>
      <c r="C2813" t="s">
        <v>40</v>
      </c>
      <c r="D2813">
        <v>5.4585339999999896</v>
      </c>
      <c r="E2813">
        <v>0.44709690000000002</v>
      </c>
      <c r="F2813" t="s">
        <v>41</v>
      </c>
      <c r="G2813">
        <v>-490.99950000000001</v>
      </c>
      <c r="H2813" s="1">
        <v>-2.397688E-6</v>
      </c>
      <c r="I2813">
        <v>264.55829999999997</v>
      </c>
      <c r="J2813">
        <v>-491.35379999999998</v>
      </c>
      <c r="K2813">
        <v>1.125073</v>
      </c>
      <c r="L2813">
        <v>275.17809999999997</v>
      </c>
      <c r="M2813">
        <v>-0.4079565</v>
      </c>
      <c r="N2813">
        <v>-1.416369E-2</v>
      </c>
      <c r="O2813">
        <v>-0.91289160000000003</v>
      </c>
      <c r="P2813">
        <v>-0.106374</v>
      </c>
      <c r="Q2813">
        <v>-9.7669030000000004E-2</v>
      </c>
      <c r="R2813">
        <v>-0.98951769999999994</v>
      </c>
      <c r="S2813">
        <v>8.7982179999999993E-2</v>
      </c>
      <c r="T2813">
        <v>-0.31580659999999999</v>
      </c>
      <c r="U2813">
        <v>-3.0120239999999998</v>
      </c>
      <c r="V2813">
        <v>-0.3057454</v>
      </c>
      <c r="W2813">
        <v>-8.7310159999999998E-2</v>
      </c>
      <c r="X2813">
        <v>0.94810159999999999</v>
      </c>
      <c r="Y2813">
        <v>-0.43390529999999999</v>
      </c>
      <c r="Z2813">
        <v>7.1294960000000004E-2</v>
      </c>
      <c r="AA2813">
        <v>0.89813319999999996</v>
      </c>
      <c r="AB2813">
        <v>16</v>
      </c>
      <c r="AC2813">
        <v>0.35429999999996598</v>
      </c>
      <c r="AD2813">
        <v>-1.1250753976879999</v>
      </c>
      <c r="AE2813">
        <v>-10.6197999999999</v>
      </c>
      <c r="AF2813">
        <v>-4.6046969404630298</v>
      </c>
      <c r="AG2813">
        <v>-1.1250753976879999</v>
      </c>
      <c r="AH2813">
        <v>9.4452529086967498</v>
      </c>
      <c r="AI2813">
        <v>96.111345062823005</v>
      </c>
      <c r="AJ2813">
        <v>115.989900876146</v>
      </c>
      <c r="AK2813">
        <v>10.5679624844733</v>
      </c>
      <c r="AL2813">
        <v>95.008881419450802</v>
      </c>
      <c r="AM2813">
        <v>107.873560766087</v>
      </c>
      <c r="AN2813">
        <v>0.99999997879147196</v>
      </c>
    </row>
    <row r="2814" spans="1:40" x14ac:dyDescent="0.25">
      <c r="A2814" t="str">
        <f>"20190303154822878"</f>
        <v>20190303154822878</v>
      </c>
      <c r="B2814" t="str">
        <f>"1551599302873615"</f>
        <v>1551599302873615</v>
      </c>
      <c r="C2814" t="s">
        <v>40</v>
      </c>
      <c r="D2814">
        <v>5.6088579999999997</v>
      </c>
      <c r="E2814">
        <v>0.4479804</v>
      </c>
      <c r="F2814" t="s">
        <v>41</v>
      </c>
      <c r="G2814">
        <v>-490.99239999999998</v>
      </c>
      <c r="H2814" s="1">
        <v>-2.333333E-6</v>
      </c>
      <c r="I2814">
        <v>264.4126</v>
      </c>
      <c r="J2814">
        <v>-491.40890000000002</v>
      </c>
      <c r="K2814">
        <v>1.1249739999999999</v>
      </c>
      <c r="L2814">
        <v>275.02429999999998</v>
      </c>
      <c r="M2814">
        <v>-0.39846130000000002</v>
      </c>
      <c r="N2814">
        <v>-1.4136869999999999E-2</v>
      </c>
      <c r="O2814">
        <v>-0.91707649999999996</v>
      </c>
      <c r="P2814">
        <v>-9.9288589999999996E-2</v>
      </c>
      <c r="Q2814">
        <v>-9.8355070000000003E-2</v>
      </c>
      <c r="R2814">
        <v>-0.99018609999999896</v>
      </c>
      <c r="S2814">
        <v>0.1010742</v>
      </c>
      <c r="T2814">
        <v>-0.31472899999999998</v>
      </c>
      <c r="U2814">
        <v>-3.011536</v>
      </c>
      <c r="V2814">
        <v>-0.30268210000000001</v>
      </c>
      <c r="W2814">
        <v>-8.790771E-2</v>
      </c>
      <c r="X2814">
        <v>0.94902880000000001</v>
      </c>
      <c r="Y2814">
        <v>-0.4284675</v>
      </c>
      <c r="Z2814">
        <v>7.1814279999999994E-2</v>
      </c>
      <c r="AA2814">
        <v>0.90069880000000002</v>
      </c>
      <c r="AB2814">
        <v>16</v>
      </c>
      <c r="AC2814">
        <v>0.416500000000041</v>
      </c>
      <c r="AD2814">
        <v>-1.1249763333329901</v>
      </c>
      <c r="AE2814">
        <v>-10.6116999999999</v>
      </c>
      <c r="AF2814">
        <v>-4.5596082528543702</v>
      </c>
      <c r="AG2814">
        <v>-1.1249763333329901</v>
      </c>
      <c r="AH2814">
        <v>9.4605736709084596</v>
      </c>
      <c r="AI2814">
        <v>96.114206961608403</v>
      </c>
      <c r="AJ2814">
        <v>115.732158593582</v>
      </c>
      <c r="AK2814">
        <v>10.5621045891784</v>
      </c>
      <c r="AL2814">
        <v>95.043250855552699</v>
      </c>
      <c r="AM2814">
        <v>107.689499819237</v>
      </c>
      <c r="AN2814">
        <v>0.99999994118364499</v>
      </c>
    </row>
    <row r="2815" spans="1:40" x14ac:dyDescent="0.25">
      <c r="A2815" t="str">
        <f>"20190303154822891"</f>
        <v>20190303154822891</v>
      </c>
      <c r="B2815" t="str">
        <f>"1551599302883375"</f>
        <v>1551599302883375</v>
      </c>
      <c r="C2815" t="s">
        <v>40</v>
      </c>
      <c r="D2815">
        <v>5.5727669999999998</v>
      </c>
      <c r="E2815">
        <v>0.4479804</v>
      </c>
      <c r="F2815" t="s">
        <v>41</v>
      </c>
      <c r="G2815">
        <v>-491.00220000000002</v>
      </c>
      <c r="H2815" s="1">
        <v>-2.3560209999999999E-6</v>
      </c>
      <c r="I2815">
        <v>264.45949999999999</v>
      </c>
      <c r="J2815">
        <v>-491.4375</v>
      </c>
      <c r="K2815">
        <v>1.124919</v>
      </c>
      <c r="L2815">
        <v>274.94229999999999</v>
      </c>
      <c r="M2815">
        <v>-0.39347720000000003</v>
      </c>
      <c r="N2815">
        <v>-1.412151E-2</v>
      </c>
      <c r="O2815">
        <v>-0.91922590000000004</v>
      </c>
      <c r="P2815">
        <v>-9.5786549999999998E-2</v>
      </c>
      <c r="Q2815">
        <v>-9.9454539999999994E-2</v>
      </c>
      <c r="R2815">
        <v>-0.99042129999999995</v>
      </c>
      <c r="S2815">
        <v>0.11584469999999999</v>
      </c>
      <c r="T2815">
        <v>-0.32046340000000001</v>
      </c>
      <c r="U2815">
        <v>-3.0095209999999999</v>
      </c>
      <c r="V2815">
        <v>-0.30084549999999999</v>
      </c>
      <c r="W2815">
        <v>-8.8958010000000004E-2</v>
      </c>
      <c r="X2815">
        <v>0.94951490000000005</v>
      </c>
      <c r="Y2815">
        <v>-0.42798540000000002</v>
      </c>
      <c r="Z2815">
        <v>7.3769299999999996E-2</v>
      </c>
      <c r="AA2815">
        <v>0.90076999999999996</v>
      </c>
      <c r="AB2815">
        <v>16</v>
      </c>
      <c r="AC2815">
        <v>0.43529999999998298</v>
      </c>
      <c r="AD2815">
        <v>-1.1249213560210001</v>
      </c>
      <c r="AE2815">
        <v>-10.4827999999999</v>
      </c>
      <c r="AF2815">
        <v>-4.4739017583430201</v>
      </c>
      <c r="AG2815">
        <v>-1.1249213560210001</v>
      </c>
      <c r="AH2815">
        <v>9.3581446696415593</v>
      </c>
      <c r="AI2815">
        <v>96.189612030989295</v>
      </c>
      <c r="AJ2815">
        <v>115.551331072308</v>
      </c>
      <c r="AK2815">
        <v>10.4334134710782</v>
      </c>
      <c r="AL2815">
        <v>95.103664789144105</v>
      </c>
      <c r="AM2815">
        <v>107.58035022889</v>
      </c>
      <c r="AN2815">
        <v>1.0000000438676999</v>
      </c>
    </row>
    <row r="2816" spans="1:40" x14ac:dyDescent="0.25">
      <c r="A2816" t="str">
        <f>"20190303154822904"</f>
        <v>20190303154822904</v>
      </c>
      <c r="B2816" t="str">
        <f>"1551599302893135"</f>
        <v>1551599302893135</v>
      </c>
      <c r="C2816" t="s">
        <v>40</v>
      </c>
      <c r="D2816">
        <v>5.5770660000000003</v>
      </c>
      <c r="E2816">
        <v>0.49047089999999999</v>
      </c>
      <c r="F2816" t="s">
        <v>41</v>
      </c>
      <c r="G2816">
        <v>-490.99880000000002</v>
      </c>
      <c r="H2816" s="1">
        <v>-2.3619810000000001E-6</v>
      </c>
      <c r="I2816">
        <v>264.47550000000001</v>
      </c>
      <c r="J2816">
        <v>-491.46859999999998</v>
      </c>
      <c r="K2816">
        <v>1.1248549999999999</v>
      </c>
      <c r="L2816">
        <v>274.85219999999998</v>
      </c>
      <c r="M2816">
        <v>-0.38803460000000001</v>
      </c>
      <c r="N2816">
        <v>-1.410434E-2</v>
      </c>
      <c r="O2816">
        <v>-0.92153689999999999</v>
      </c>
      <c r="P2816">
        <v>-9.2010919999999996E-2</v>
      </c>
      <c r="Q2816">
        <v>-0.1002483</v>
      </c>
      <c r="R2816">
        <v>-0.99069890000000005</v>
      </c>
      <c r="S2816">
        <v>0.12609860000000001</v>
      </c>
      <c r="T2816">
        <v>-0.32336569999999998</v>
      </c>
      <c r="U2816">
        <v>-3.008759</v>
      </c>
      <c r="V2816">
        <v>-0.29882599999999998</v>
      </c>
      <c r="W2816">
        <v>-8.9697789999999999E-2</v>
      </c>
      <c r="X2816">
        <v>0.95008280000000001</v>
      </c>
      <c r="Y2816">
        <v>-0.4257109</v>
      </c>
      <c r="Z2816">
        <v>7.5009229999999996E-2</v>
      </c>
      <c r="AA2816">
        <v>0.90174480000000001</v>
      </c>
      <c r="AB2816">
        <v>16</v>
      </c>
      <c r="AC2816">
        <v>0.46979999999996302</v>
      </c>
      <c r="AD2816">
        <v>-1.1248573619809901</v>
      </c>
      <c r="AE2816">
        <v>-10.3766999999999</v>
      </c>
      <c r="AF2816">
        <v>-4.4082051671482203</v>
      </c>
      <c r="AG2816">
        <v>-1.1248573619809901</v>
      </c>
      <c r="AH2816">
        <v>9.2724086770475598</v>
      </c>
      <c r="AI2816">
        <v>96.252458020056395</v>
      </c>
      <c r="AJ2816">
        <v>115.426928995482</v>
      </c>
      <c r="AK2816">
        <v>10.328365773667199</v>
      </c>
      <c r="AL2816">
        <v>95.146221418749406</v>
      </c>
      <c r="AM2816">
        <v>107.459731406118</v>
      </c>
      <c r="AN2816">
        <v>0.99999999933136197</v>
      </c>
    </row>
    <row r="2817" spans="1:40" x14ac:dyDescent="0.25">
      <c r="A2817" t="str">
        <f>"20190303154822921"</f>
        <v>20190303154822921</v>
      </c>
      <c r="B2817" t="str">
        <f>"1551599302913634"</f>
        <v>1551599302913634</v>
      </c>
      <c r="C2817" t="s">
        <v>40</v>
      </c>
      <c r="D2817">
        <v>5.5906820000000002</v>
      </c>
      <c r="E2817">
        <v>0.49140859999999897</v>
      </c>
      <c r="F2817" t="s">
        <v>41</v>
      </c>
      <c r="G2817">
        <v>-492.14269999999999</v>
      </c>
      <c r="H2817" s="1">
        <v>-2.7927680000000001E-6</v>
      </c>
      <c r="I2817">
        <v>264.77010000000001</v>
      </c>
      <c r="J2817">
        <v>-491.50479999999999</v>
      </c>
      <c r="K2817">
        <v>1.1247819999999999</v>
      </c>
      <c r="L2817">
        <v>274.74509999999998</v>
      </c>
      <c r="M2817">
        <v>-0.38163180000000002</v>
      </c>
      <c r="N2817">
        <v>-1.4082020000000001E-2</v>
      </c>
      <c r="O2817">
        <v>-0.92420729999999995</v>
      </c>
      <c r="P2817">
        <v>-9.0145100000000006E-2</v>
      </c>
      <c r="Q2817">
        <v>-0.1015735</v>
      </c>
      <c r="R2817">
        <v>-0.9907357</v>
      </c>
      <c r="S2817">
        <v>-0.19900509999999999</v>
      </c>
      <c r="T2817">
        <v>-0.3320459</v>
      </c>
      <c r="U2817">
        <v>-2.976105</v>
      </c>
      <c r="V2817">
        <v>-0.2939775</v>
      </c>
      <c r="W2817">
        <v>-9.0929049999999997E-2</v>
      </c>
      <c r="X2817">
        <v>0.95147729999999997</v>
      </c>
      <c r="Y2817">
        <v>-0.31903619999999999</v>
      </c>
      <c r="Z2817">
        <v>8.1550049999999999E-2</v>
      </c>
      <c r="AA2817">
        <v>0.9442275</v>
      </c>
      <c r="AB2817">
        <v>16</v>
      </c>
      <c r="AC2817">
        <v>-0.63790000000000102</v>
      </c>
      <c r="AD2817">
        <v>-1.1247847927679999</v>
      </c>
      <c r="AE2817">
        <v>-9.9749999999999606</v>
      </c>
      <c r="AF2817">
        <v>-3.1773093404994701</v>
      </c>
      <c r="AG2817">
        <v>-1.1247847927679999</v>
      </c>
      <c r="AH2817">
        <v>9.3450108694415199</v>
      </c>
      <c r="AI2817">
        <v>96.501125123074203</v>
      </c>
      <c r="AJ2817">
        <v>108.778064245865</v>
      </c>
      <c r="AK2817">
        <v>9.9342671408236001</v>
      </c>
      <c r="AL2817">
        <v>95.217057120367699</v>
      </c>
      <c r="AM2817">
        <v>107.169555681834</v>
      </c>
      <c r="AN2817">
        <v>0.99999995752771997</v>
      </c>
    </row>
    <row r="2818" spans="1:40" x14ac:dyDescent="0.25">
      <c r="A2818" t="str">
        <f>"20190303154822944"</f>
        <v>20190303154822944</v>
      </c>
      <c r="B2818" t="str">
        <f>"1551599302933151"</f>
        <v>1551599302933151</v>
      </c>
      <c r="C2818" t="s">
        <v>40</v>
      </c>
      <c r="D2818">
        <v>5.5238160000000001</v>
      </c>
      <c r="E2818">
        <v>0.4933382</v>
      </c>
      <c r="F2818" t="s">
        <v>41</v>
      </c>
      <c r="G2818">
        <v>-492.18220000000002</v>
      </c>
      <c r="H2818" s="1">
        <v>-2.7887040000000002E-6</v>
      </c>
      <c r="I2818">
        <v>264.7362</v>
      </c>
      <c r="J2818">
        <v>-491.55439999999999</v>
      </c>
      <c r="K2818">
        <v>1.1246959999999999</v>
      </c>
      <c r="L2818">
        <v>274.59449999999998</v>
      </c>
      <c r="M2818">
        <v>-0.37272060000000001</v>
      </c>
      <c r="N2818">
        <v>-1.401315E-2</v>
      </c>
      <c r="O2818">
        <v>-0.9278381</v>
      </c>
      <c r="P2818">
        <v>-8.6360179999999995E-2</v>
      </c>
      <c r="Q2818">
        <v>-0.10187740000000001</v>
      </c>
      <c r="R2818">
        <v>-0.99104170000000003</v>
      </c>
      <c r="S2818">
        <v>-0.20135500000000001</v>
      </c>
      <c r="T2818">
        <v>-0.33437499999999998</v>
      </c>
      <c r="U2818">
        <v>-2.9754330000000002</v>
      </c>
      <c r="V2818">
        <v>-0.2884602</v>
      </c>
      <c r="W2818">
        <v>-9.1171119999999994E-2</v>
      </c>
      <c r="X2818">
        <v>0.95314149999999997</v>
      </c>
      <c r="Y2818">
        <v>-0.30916470000000001</v>
      </c>
      <c r="Z2818">
        <v>8.3081360000000007E-2</v>
      </c>
      <c r="AA2818">
        <v>0.94737249999999995</v>
      </c>
      <c r="AB2818">
        <v>16</v>
      </c>
      <c r="AC2818">
        <v>-0.627800000000036</v>
      </c>
      <c r="AD2818">
        <v>-1.1246987887040001</v>
      </c>
      <c r="AE2818">
        <v>-9.8582999999999803</v>
      </c>
      <c r="AF2818">
        <v>-3.0526258347447301</v>
      </c>
      <c r="AG2818">
        <v>-1.1246987887040001</v>
      </c>
      <c r="AH2818">
        <v>9.2617573353761493</v>
      </c>
      <c r="AI2818">
        <v>96.578957213770295</v>
      </c>
      <c r="AJ2818">
        <v>108.241944312068</v>
      </c>
      <c r="AK2818">
        <v>9.8164973789869201</v>
      </c>
      <c r="AL2818">
        <v>95.230983867944303</v>
      </c>
      <c r="AM2818">
        <v>106.837994837954</v>
      </c>
      <c r="AN2818">
        <v>1.0000000895641601</v>
      </c>
    </row>
    <row r="2819" spans="1:40" x14ac:dyDescent="0.25">
      <c r="A2819" t="str">
        <f>"20190303154822957"</f>
        <v>20190303154822957</v>
      </c>
      <c r="B2819" t="str">
        <f>"1551599302953647"</f>
        <v>1551599302953647</v>
      </c>
      <c r="C2819" t="s">
        <v>40</v>
      </c>
      <c r="D2819">
        <v>5.6151879999999998</v>
      </c>
      <c r="E2819">
        <v>0.49398350000000002</v>
      </c>
      <c r="F2819" t="s">
        <v>41</v>
      </c>
      <c r="G2819">
        <v>-492.26229999999998</v>
      </c>
      <c r="H2819" s="1">
        <v>-2.6548960000000001E-6</v>
      </c>
      <c r="I2819">
        <v>264.37459999999999</v>
      </c>
      <c r="J2819">
        <v>-491.58229999999998</v>
      </c>
      <c r="K2819">
        <v>1.1246480000000001</v>
      </c>
      <c r="L2819">
        <v>274.50779999999997</v>
      </c>
      <c r="M2819">
        <v>-0.36762729999999999</v>
      </c>
      <c r="N2819">
        <v>-1.393901E-2</v>
      </c>
      <c r="O2819">
        <v>-0.9298691</v>
      </c>
      <c r="P2819">
        <v>-8.3546949999999995E-2</v>
      </c>
      <c r="Q2819">
        <v>-0.1017366</v>
      </c>
      <c r="R2819">
        <v>-0.99129719999999999</v>
      </c>
      <c r="S2819">
        <v>-0.2060852</v>
      </c>
      <c r="T2819">
        <v>-0.32745150000000001</v>
      </c>
      <c r="U2819">
        <v>-2.9754640000000001</v>
      </c>
      <c r="V2819">
        <v>-0.2859526</v>
      </c>
      <c r="W2819">
        <v>-9.1048889999999993E-2</v>
      </c>
      <c r="X2819">
        <v>0.95390839999999999</v>
      </c>
      <c r="Y2819">
        <v>-0.30245300000000003</v>
      </c>
      <c r="Z2819">
        <v>8.1613270000000002E-2</v>
      </c>
      <c r="AA2819">
        <v>0.94966390000000001</v>
      </c>
      <c r="AB2819">
        <v>16</v>
      </c>
      <c r="AC2819">
        <v>-0.68000000000000604</v>
      </c>
      <c r="AD2819">
        <v>-1.12465065489599</v>
      </c>
      <c r="AE2819">
        <v>-10.133199999999899</v>
      </c>
      <c r="AF2819">
        <v>-3.0557572147268801</v>
      </c>
      <c r="AG2819">
        <v>-1.12465065489599</v>
      </c>
      <c r="AH2819">
        <v>9.5562855805239799</v>
      </c>
      <c r="AI2819">
        <v>96.3959060487241</v>
      </c>
      <c r="AJ2819">
        <v>107.73241104816501</v>
      </c>
      <c r="AK2819">
        <v>10.0957954291598</v>
      </c>
      <c r="AL2819">
        <v>95.223951758690504</v>
      </c>
      <c r="AM2819">
        <v>106.687124816683</v>
      </c>
      <c r="AN2819">
        <v>1.00000001270377</v>
      </c>
    </row>
    <row r="2820" spans="1:40" x14ac:dyDescent="0.25">
      <c r="A2820" t="str">
        <f>"20190303154822974"</f>
        <v>20190303154822974</v>
      </c>
      <c r="B2820" t="str">
        <f>"1551599302963406"</f>
        <v>1551599302963406</v>
      </c>
      <c r="C2820" t="s">
        <v>40</v>
      </c>
      <c r="D2820">
        <v>5.5858040000000004</v>
      </c>
      <c r="E2820">
        <v>0.4944192</v>
      </c>
      <c r="F2820" t="s">
        <v>41</v>
      </c>
      <c r="G2820">
        <v>-492.27010000000001</v>
      </c>
      <c r="H2820" s="1">
        <v>-2.660384E-6</v>
      </c>
      <c r="I2820">
        <v>264.38260000000002</v>
      </c>
      <c r="J2820">
        <v>-491.61500000000001</v>
      </c>
      <c r="K2820">
        <v>1.1246119999999999</v>
      </c>
      <c r="L2820">
        <v>274.40449999999998</v>
      </c>
      <c r="M2820">
        <v>-0.3615659</v>
      </c>
      <c r="N2820">
        <v>-1.3792850000000001E-2</v>
      </c>
      <c r="O2820">
        <v>-0.93224459999999998</v>
      </c>
      <c r="P2820">
        <v>-8.0224539999999997E-2</v>
      </c>
      <c r="Q2820">
        <v>-0.10136820000000001</v>
      </c>
      <c r="R2820">
        <v>-0.99160890000000002</v>
      </c>
      <c r="S2820">
        <v>-0.2020874</v>
      </c>
      <c r="T2820">
        <v>-0.3304899</v>
      </c>
      <c r="U2820">
        <v>-2.975403</v>
      </c>
      <c r="V2820">
        <v>-0.28295900000000002</v>
      </c>
      <c r="W2820">
        <v>-9.077549E-2</v>
      </c>
      <c r="X2820">
        <v>0.95482670000000003</v>
      </c>
      <c r="Y2820">
        <v>-0.2975276</v>
      </c>
      <c r="Z2820">
        <v>8.3105879999999993E-2</v>
      </c>
      <c r="AA2820">
        <v>0.95108930000000003</v>
      </c>
      <c r="AB2820">
        <v>16</v>
      </c>
      <c r="AC2820">
        <v>-0.65510000000000401</v>
      </c>
      <c r="AD2820">
        <v>-1.1246146603839999</v>
      </c>
      <c r="AE2820">
        <v>-10.021899999999899</v>
      </c>
      <c r="AF2820">
        <v>-2.9758368831855799</v>
      </c>
      <c r="AG2820">
        <v>-1.1246146603839999</v>
      </c>
      <c r="AH2820">
        <v>9.4619927447294003</v>
      </c>
      <c r="AI2820">
        <v>96.468616839448202</v>
      </c>
      <c r="AJ2820">
        <v>107.458583014385</v>
      </c>
      <c r="AK2820">
        <v>9.9824681312283694</v>
      </c>
      <c r="AL2820">
        <v>95.208221988457396</v>
      </c>
      <c r="AM2820">
        <v>106.50697528272499</v>
      </c>
      <c r="AN2820">
        <v>1.00000000614931</v>
      </c>
    </row>
    <row r="2821" spans="1:40" x14ac:dyDescent="0.25">
      <c r="A2821" t="str">
        <f>"20190303154822990"</f>
        <v>20190303154822990</v>
      </c>
      <c r="B2821" t="str">
        <f>"1551599302983903"</f>
        <v>1551599302983903</v>
      </c>
      <c r="C2821" t="s">
        <v>40</v>
      </c>
      <c r="D2821">
        <v>5.6212939999999998</v>
      </c>
      <c r="E2821">
        <v>0.49397730000000001</v>
      </c>
      <c r="F2821" t="s">
        <v>41</v>
      </c>
      <c r="G2821">
        <v>-492.2869</v>
      </c>
      <c r="H2821" s="1">
        <v>-2.581694E-6</v>
      </c>
      <c r="I2821">
        <v>264.18880000000001</v>
      </c>
      <c r="J2821">
        <v>-491.64879999999999</v>
      </c>
      <c r="K2821">
        <v>1.1245769999999999</v>
      </c>
      <c r="L2821">
        <v>274.29489999999998</v>
      </c>
      <c r="M2821">
        <v>-0.3551433</v>
      </c>
      <c r="N2821">
        <v>-1.35745E-2</v>
      </c>
      <c r="O2821">
        <v>-0.93471340000000003</v>
      </c>
      <c r="P2821">
        <v>-7.9406190000000001E-2</v>
      </c>
      <c r="Q2821">
        <v>-0.1014055</v>
      </c>
      <c r="R2821">
        <v>-0.99167110000000003</v>
      </c>
      <c r="S2821">
        <v>-0.19573969999999999</v>
      </c>
      <c r="T2821">
        <v>-0.32762429999999998</v>
      </c>
      <c r="U2821">
        <v>-2.9760740000000001</v>
      </c>
      <c r="V2821">
        <v>-0.2771729</v>
      </c>
      <c r="W2821">
        <v>-9.0956110000000007E-2</v>
      </c>
      <c r="X2821">
        <v>0.95650520000000006</v>
      </c>
      <c r="Y2821">
        <v>-0.29300100000000001</v>
      </c>
      <c r="Z2821">
        <v>8.2943740000000002E-2</v>
      </c>
      <c r="AA2821">
        <v>0.95250760000000001</v>
      </c>
      <c r="AB2821">
        <v>16</v>
      </c>
      <c r="AC2821">
        <v>-0.63810000000000799</v>
      </c>
      <c r="AD2821">
        <v>-1.1245795816940001</v>
      </c>
      <c r="AE2821">
        <v>-10.1060999999999</v>
      </c>
      <c r="AF2821">
        <v>-2.9564848760988398</v>
      </c>
      <c r="AG2821">
        <v>-1.1245795816940001</v>
      </c>
      <c r="AH2821">
        <v>9.5559564335668608</v>
      </c>
      <c r="AI2821">
        <v>96.414591973004505</v>
      </c>
      <c r="AJ2821">
        <v>107.19136676916899</v>
      </c>
      <c r="AK2821">
        <v>10.0658723128396</v>
      </c>
      <c r="AL2821">
        <v>95.218613700002606</v>
      </c>
      <c r="AM2821">
        <v>106.160355553805</v>
      </c>
      <c r="AN2821">
        <v>1.0000000140338901</v>
      </c>
    </row>
    <row r="2822" spans="1:40" x14ac:dyDescent="0.25">
      <c r="A2822" t="str">
        <f>"20190303154823013"</f>
        <v>20190303154823013</v>
      </c>
      <c r="B2822" t="str">
        <f>"1551599303003422"</f>
        <v>1551599303003422</v>
      </c>
      <c r="C2822" t="s">
        <v>40</v>
      </c>
      <c r="D2822">
        <v>5.6422290000000004</v>
      </c>
      <c r="E2822">
        <v>0.49337259999999999</v>
      </c>
      <c r="F2822" t="s">
        <v>41</v>
      </c>
      <c r="G2822">
        <v>-492.2835</v>
      </c>
      <c r="H2822" s="1">
        <v>-2.6390149999999998E-6</v>
      </c>
      <c r="I2822">
        <v>264.32440000000003</v>
      </c>
      <c r="J2822">
        <v>-491.69369999999998</v>
      </c>
      <c r="K2822">
        <v>1.12453799999999</v>
      </c>
      <c r="L2822">
        <v>274.14589999999998</v>
      </c>
      <c r="M2822">
        <v>-0.34640939999999998</v>
      </c>
      <c r="N2822">
        <v>-1.3186E-2</v>
      </c>
      <c r="O2822">
        <v>-0.93799100000000002</v>
      </c>
      <c r="P2822">
        <v>-7.6417150000000003E-2</v>
      </c>
      <c r="Q2822">
        <v>-0.10171379999999999</v>
      </c>
      <c r="R2822">
        <v>-0.99187460000000005</v>
      </c>
      <c r="S2822">
        <v>-0.1894226</v>
      </c>
      <c r="T2822">
        <v>-0.3356324</v>
      </c>
      <c r="U2822">
        <v>-2.975708</v>
      </c>
      <c r="V2822">
        <v>-0.27110699999999999</v>
      </c>
      <c r="W2822">
        <v>-9.1589379999999998E-2</v>
      </c>
      <c r="X2822">
        <v>0.95818179999999997</v>
      </c>
      <c r="Y2822">
        <v>-0.28610819999999998</v>
      </c>
      <c r="Z2822">
        <v>8.6325299999999994E-2</v>
      </c>
      <c r="AA2822">
        <v>0.95430079999999995</v>
      </c>
      <c r="AB2822">
        <v>16</v>
      </c>
      <c r="AC2822">
        <v>-0.58980000000002497</v>
      </c>
      <c r="AD2822">
        <v>-1.1245406390149999</v>
      </c>
      <c r="AE2822">
        <v>-9.8214999999999506</v>
      </c>
      <c r="AF2822">
        <v>-2.8125406535514199</v>
      </c>
      <c r="AG2822">
        <v>-1.1245406390149999</v>
      </c>
      <c r="AH2822">
        <v>9.2961747818195892</v>
      </c>
      <c r="AI2822">
        <v>96.604577482915403</v>
      </c>
      <c r="AJ2822">
        <v>106.833094425284</v>
      </c>
      <c r="AK2822">
        <v>9.7772103460452495</v>
      </c>
      <c r="AL2822">
        <v>95.255049605698005</v>
      </c>
      <c r="AM2822">
        <v>105.79827711414001</v>
      </c>
      <c r="AN2822">
        <v>0.99999999091451197</v>
      </c>
    </row>
    <row r="2823" spans="1:40" x14ac:dyDescent="0.25">
      <c r="A2823" t="str">
        <f>"20190303154823025"</f>
        <v>20190303154823025</v>
      </c>
      <c r="B2823" t="str">
        <f>"1551599303013184"</f>
        <v>1551599303013184</v>
      </c>
      <c r="C2823" t="s">
        <v>40</v>
      </c>
      <c r="D2823">
        <v>5.6322539999999996</v>
      </c>
      <c r="E2823">
        <v>0.49321739999999997</v>
      </c>
      <c r="F2823" t="s">
        <v>41</v>
      </c>
      <c r="G2823">
        <v>-492.27330000000001</v>
      </c>
      <c r="H2823" s="1">
        <v>-2.6401549999999898E-6</v>
      </c>
      <c r="I2823">
        <v>264.33350000000002</v>
      </c>
      <c r="J2823">
        <v>-491.71910000000003</v>
      </c>
      <c r="K2823">
        <v>1.1245229999999999</v>
      </c>
      <c r="L2823">
        <v>274.05919999999998</v>
      </c>
      <c r="M2823">
        <v>-0.3413216</v>
      </c>
      <c r="N2823">
        <v>-1.2934269999999999E-2</v>
      </c>
      <c r="O2823">
        <v>-0.93985770000000002</v>
      </c>
      <c r="P2823">
        <v>-7.4033210000000002E-2</v>
      </c>
      <c r="Q2823">
        <v>-0.1017409</v>
      </c>
      <c r="R2823">
        <v>-0.9920525</v>
      </c>
      <c r="S2823">
        <v>-0.175781299999999</v>
      </c>
      <c r="T2823">
        <v>-0.34106049999999999</v>
      </c>
      <c r="U2823">
        <v>-2.976013</v>
      </c>
      <c r="V2823">
        <v>-0.26820909999999998</v>
      </c>
      <c r="W2823">
        <v>-9.1841649999999997E-2</v>
      </c>
      <c r="X2823">
        <v>0.95897290000000002</v>
      </c>
      <c r="Y2823">
        <v>-0.28529199999999999</v>
      </c>
      <c r="Z2823">
        <v>8.8479219999999997E-2</v>
      </c>
      <c r="AA2823">
        <v>0.95434790000000003</v>
      </c>
      <c r="AB2823">
        <v>16</v>
      </c>
      <c r="AC2823">
        <v>-0.55419999999998004</v>
      </c>
      <c r="AD2823">
        <v>-1.1245256401549999</v>
      </c>
      <c r="AE2823">
        <v>-9.7256999999999607</v>
      </c>
      <c r="AF2823">
        <v>-2.7621486824899</v>
      </c>
      <c r="AG2823">
        <v>-1.1245256401549999</v>
      </c>
      <c r="AH2823">
        <v>9.2080110078869204</v>
      </c>
      <c r="AI2823">
        <v>96.671861537705695</v>
      </c>
      <c r="AJ2823">
        <v>106.697790697592</v>
      </c>
      <c r="AK2823">
        <v>9.6789198767689708</v>
      </c>
      <c r="AL2823">
        <v>95.269564655013596</v>
      </c>
      <c r="AM2823">
        <v>105.625440561435</v>
      </c>
      <c r="AN2823">
        <v>1.0000000164659699</v>
      </c>
    </row>
    <row r="2824" spans="1:40" x14ac:dyDescent="0.25">
      <c r="A2824" t="str">
        <f>"20190303154823039"</f>
        <v>20190303154823039</v>
      </c>
      <c r="B2824" t="str">
        <f>"1551599303033679"</f>
        <v>1551599303033679</v>
      </c>
      <c r="C2824" t="s">
        <v>40</v>
      </c>
      <c r="D2824">
        <v>5.6292220000000004</v>
      </c>
      <c r="E2824">
        <v>0.49276799999999998</v>
      </c>
      <c r="F2824" t="s">
        <v>41</v>
      </c>
      <c r="G2824">
        <v>-492.26749999999998</v>
      </c>
      <c r="H2824" s="1">
        <v>-2.6218270000000001E-6</v>
      </c>
      <c r="I2824">
        <v>264.29430000000002</v>
      </c>
      <c r="J2824">
        <v>-491.74689999999998</v>
      </c>
      <c r="K2824">
        <v>1.124506</v>
      </c>
      <c r="L2824">
        <v>273.96260000000001</v>
      </c>
      <c r="M2824">
        <v>-0.3356538</v>
      </c>
      <c r="N2824">
        <v>-1.2645689999999999E-2</v>
      </c>
      <c r="O2824">
        <v>-0.94190059999999998</v>
      </c>
      <c r="P2824">
        <v>-7.1074680000000001E-2</v>
      </c>
      <c r="Q2824">
        <v>-0.1017417</v>
      </c>
      <c r="R2824">
        <v>-0.99226859999999995</v>
      </c>
      <c r="S2824">
        <v>-0.16714479999999901</v>
      </c>
      <c r="T2824">
        <v>-0.34276469999999998</v>
      </c>
      <c r="U2824">
        <v>-2.97641</v>
      </c>
      <c r="V2824">
        <v>-0.26528220000000002</v>
      </c>
      <c r="W2824">
        <v>-9.2104759999999994E-2</v>
      </c>
      <c r="X2824">
        <v>0.95976150000000005</v>
      </c>
      <c r="Y2824">
        <v>-0.28229759999999998</v>
      </c>
      <c r="Z2824">
        <v>8.9646089999999998E-2</v>
      </c>
      <c r="AA2824">
        <v>0.95512909999999995</v>
      </c>
      <c r="AB2824">
        <v>16</v>
      </c>
      <c r="AC2824">
        <v>-0.52060000000000095</v>
      </c>
      <c r="AD2824">
        <v>-1.124508621827</v>
      </c>
      <c r="AE2824">
        <v>-9.6682999999999808</v>
      </c>
      <c r="AF2824">
        <v>-2.7184007885733301</v>
      </c>
      <c r="AG2824">
        <v>-1.124508621827</v>
      </c>
      <c r="AH2824">
        <v>9.1585245556143295</v>
      </c>
      <c r="AI2824">
        <v>96.713233124286305</v>
      </c>
      <c r="AJ2824">
        <v>106.531755101234</v>
      </c>
      <c r="AK2824">
        <v>9.6193967858525298</v>
      </c>
      <c r="AL2824">
        <v>95.284703818919397</v>
      </c>
      <c r="AM2824">
        <v>105.45102750220801</v>
      </c>
      <c r="AN2824">
        <v>1.00000003466687</v>
      </c>
    </row>
    <row r="2825" spans="1:40" x14ac:dyDescent="0.25">
      <c r="A2825" t="str">
        <f>"20190303154823057"</f>
        <v>20190303154823057</v>
      </c>
      <c r="B2825" t="str">
        <f>"1551599303053199"</f>
        <v>1551599303053199</v>
      </c>
      <c r="C2825" t="s">
        <v>40</v>
      </c>
      <c r="D2825">
        <v>5.5923030000000002</v>
      </c>
      <c r="E2825">
        <v>0.49299510000000002</v>
      </c>
      <c r="F2825" t="s">
        <v>41</v>
      </c>
      <c r="G2825">
        <v>-492.24880000000002</v>
      </c>
      <c r="H2825" s="1">
        <v>-2.617785E-6</v>
      </c>
      <c r="I2825">
        <v>264.29649999999998</v>
      </c>
      <c r="J2825">
        <v>-491.77929999999998</v>
      </c>
      <c r="K2825">
        <v>1.1244809999999901</v>
      </c>
      <c r="L2825">
        <v>273.8467</v>
      </c>
      <c r="M2825">
        <v>-0.32884439999999998</v>
      </c>
      <c r="N2825">
        <v>-1.2294609999999999E-2</v>
      </c>
      <c r="O2825">
        <v>-0.94430429999999999</v>
      </c>
      <c r="P2825">
        <v>-6.9594959999999997E-2</v>
      </c>
      <c r="Q2825">
        <v>-0.10085669999999999</v>
      </c>
      <c r="R2825">
        <v>-0.99246400000000001</v>
      </c>
      <c r="S2825">
        <v>-0.1545715</v>
      </c>
      <c r="T2825">
        <v>-0.34630729999999998</v>
      </c>
      <c r="U2825">
        <v>-2.976807</v>
      </c>
      <c r="V2825">
        <v>-0.2598123</v>
      </c>
      <c r="W2825">
        <v>-9.1509270000000004E-2</v>
      </c>
      <c r="X2825">
        <v>0.96131350000000004</v>
      </c>
      <c r="Y2825">
        <v>-0.27941490000000002</v>
      </c>
      <c r="Z2825">
        <v>9.1481119999999999E-2</v>
      </c>
      <c r="AA2825">
        <v>0.95580259999999995</v>
      </c>
      <c r="AB2825">
        <v>16</v>
      </c>
      <c r="AC2825">
        <v>-0.469500000000039</v>
      </c>
      <c r="AD2825">
        <v>-1.1244836177849999</v>
      </c>
      <c r="AE2825">
        <v>-9.5502000000000091</v>
      </c>
      <c r="AF2825">
        <v>-2.6605854305989198</v>
      </c>
      <c r="AG2825">
        <v>-1.1244836177849999</v>
      </c>
      <c r="AH2825">
        <v>9.0482385870813005</v>
      </c>
      <c r="AI2825">
        <v>96.799219557365205</v>
      </c>
      <c r="AJ2825">
        <v>106.385686646178</v>
      </c>
      <c r="AK2825">
        <v>9.4980945335856202</v>
      </c>
      <c r="AL2825">
        <v>95.250440175697904</v>
      </c>
      <c r="AM2825">
        <v>105.12388736264801</v>
      </c>
      <c r="AN2825">
        <v>1.0000000115047301</v>
      </c>
    </row>
    <row r="2826" spans="1:40" x14ac:dyDescent="0.25">
      <c r="A2826" t="str">
        <f>"20190303154823070"</f>
        <v>20190303154823070</v>
      </c>
      <c r="B2826" t="str">
        <f>"1551599303063935"</f>
        <v>1551599303063935</v>
      </c>
      <c r="C2826" t="s">
        <v>40</v>
      </c>
      <c r="D2826">
        <v>5.6701180000000004</v>
      </c>
      <c r="E2826">
        <v>0.49283959999999999</v>
      </c>
      <c r="F2826" t="s">
        <v>41</v>
      </c>
      <c r="G2826">
        <v>-492.2833</v>
      </c>
      <c r="H2826" s="1">
        <v>-2.4942869999999998E-6</v>
      </c>
      <c r="I2826">
        <v>263.98719999999997</v>
      </c>
      <c r="J2826">
        <v>-491.80430000000001</v>
      </c>
      <c r="K2826">
        <v>1.1244609999999999</v>
      </c>
      <c r="L2826">
        <v>273.755</v>
      </c>
      <c r="M2826">
        <v>-0.3234532</v>
      </c>
      <c r="N2826">
        <v>-1.200468E-2</v>
      </c>
      <c r="O2826">
        <v>-0.94616820000000001</v>
      </c>
      <c r="P2826">
        <v>-6.6660639999999993E-2</v>
      </c>
      <c r="Q2826">
        <v>-0.1001233</v>
      </c>
      <c r="R2826">
        <v>-0.99273960000000006</v>
      </c>
      <c r="S2826">
        <v>-0.15222169999999999</v>
      </c>
      <c r="T2826">
        <v>-0.33959729999999999</v>
      </c>
      <c r="U2826">
        <v>-2.9775999999999998</v>
      </c>
      <c r="V2826">
        <v>-0.25719500000000001</v>
      </c>
      <c r="W2826">
        <v>-9.1036859999999997E-2</v>
      </c>
      <c r="X2826">
        <v>0.96206190000000003</v>
      </c>
      <c r="Y2826">
        <v>-0.27470990000000001</v>
      </c>
      <c r="Z2826">
        <v>9.0144370000000001E-2</v>
      </c>
      <c r="AA2826">
        <v>0.95729229999999998</v>
      </c>
      <c r="AB2826">
        <v>16</v>
      </c>
      <c r="AC2826">
        <v>-0.47899999999998399</v>
      </c>
      <c r="AD2826">
        <v>-1.124463494287</v>
      </c>
      <c r="AE2826">
        <v>-9.7678000000000207</v>
      </c>
      <c r="AF2826">
        <v>-2.67109246777403</v>
      </c>
      <c r="AG2826">
        <v>-1.124463494287</v>
      </c>
      <c r="AH2826">
        <v>9.2749698851915703</v>
      </c>
      <c r="AI2826">
        <v>96.645082021410204</v>
      </c>
      <c r="AJ2826">
        <v>106.06583660899</v>
      </c>
      <c r="AK2826">
        <v>9.71721253717309</v>
      </c>
      <c r="AL2826">
        <v>95.223259479991995</v>
      </c>
      <c r="AM2826">
        <v>104.96728293228399</v>
      </c>
      <c r="AN2826">
        <v>1.00000003866763</v>
      </c>
    </row>
    <row r="2827" spans="1:40" x14ac:dyDescent="0.25">
      <c r="A2827" t="str">
        <f>"20190303154823085"</f>
        <v>20190303154823085</v>
      </c>
      <c r="B2827" t="str">
        <f>"1551599303073695"</f>
        <v>1551599303073695</v>
      </c>
      <c r="C2827" t="s">
        <v>40</v>
      </c>
      <c r="D2827">
        <v>5.6342889999999999</v>
      </c>
      <c r="E2827">
        <v>0.49261820000000001</v>
      </c>
      <c r="F2827" t="s">
        <v>41</v>
      </c>
      <c r="G2827">
        <v>-492.27629999999999</v>
      </c>
      <c r="H2827" s="1">
        <v>-2.4424629999999999E-6</v>
      </c>
      <c r="I2827">
        <v>263.8707</v>
      </c>
      <c r="J2827">
        <v>-491.82960000000003</v>
      </c>
      <c r="K2827">
        <v>1.1244379999999901</v>
      </c>
      <c r="L2827">
        <v>273.66070000000002</v>
      </c>
      <c r="M2827">
        <v>-0.31789709999999899</v>
      </c>
      <c r="N2827">
        <v>-1.169598E-2</v>
      </c>
      <c r="O2827">
        <v>-0.94805320000000004</v>
      </c>
      <c r="P2827">
        <v>-6.3509899999999994E-2</v>
      </c>
      <c r="Q2827">
        <v>-9.9803920000000004E-2</v>
      </c>
      <c r="R2827">
        <v>-0.99297849999999999</v>
      </c>
      <c r="S2827">
        <v>-0.14224239999999999</v>
      </c>
      <c r="T2827">
        <v>-0.33881159999999999</v>
      </c>
      <c r="U2827">
        <v>-2.9782410000000001</v>
      </c>
      <c r="V2827">
        <v>-0.25461040000000001</v>
      </c>
      <c r="W2827">
        <v>-9.0997170000000002E-2</v>
      </c>
      <c r="X2827">
        <v>0.96275279999999996</v>
      </c>
      <c r="Y2827">
        <v>-0.2722889</v>
      </c>
      <c r="Z2827">
        <v>9.0548190000000001E-2</v>
      </c>
      <c r="AA2827">
        <v>0.95794559999999995</v>
      </c>
      <c r="AB2827">
        <v>16</v>
      </c>
      <c r="AC2827">
        <v>-0.44669999999996401</v>
      </c>
      <c r="AD2827">
        <v>-1.1244404424629999</v>
      </c>
      <c r="AE2827">
        <v>-9.7900000000000098</v>
      </c>
      <c r="AF2827">
        <v>-2.6539627667971999</v>
      </c>
      <c r="AG2827">
        <v>-1.1244404424629999</v>
      </c>
      <c r="AH2827">
        <v>9.3016375906411906</v>
      </c>
      <c r="AI2827">
        <v>96.630707095488106</v>
      </c>
      <c r="AJ2827">
        <v>105.92461903371201</v>
      </c>
      <c r="AK2827">
        <v>9.7379847270275306</v>
      </c>
      <c r="AL2827">
        <v>95.220976410593806</v>
      </c>
      <c r="AM2827">
        <v>104.813357838973</v>
      </c>
      <c r="AN2827">
        <v>0.99999994732200304</v>
      </c>
    </row>
    <row r="2828" spans="1:40" x14ac:dyDescent="0.25">
      <c r="A2828" t="str">
        <f>"20190303154823101"</f>
        <v>20190303154823101</v>
      </c>
      <c r="B2828" t="str">
        <f>"1551599303093215"</f>
        <v>1551599303093215</v>
      </c>
      <c r="C2828" t="s">
        <v>40</v>
      </c>
      <c r="D2828">
        <v>5.6535859999999998</v>
      </c>
      <c r="E2828">
        <v>0.49287740000000002</v>
      </c>
      <c r="F2828" t="s">
        <v>41</v>
      </c>
      <c r="G2828">
        <v>-492.26600000000002</v>
      </c>
      <c r="H2828" s="1">
        <v>-2.404953E-6</v>
      </c>
      <c r="I2828">
        <v>263.78969999999998</v>
      </c>
      <c r="J2828">
        <v>-491.86099999999999</v>
      </c>
      <c r="K2828">
        <v>1.12439</v>
      </c>
      <c r="L2828">
        <v>273.5403</v>
      </c>
      <c r="M2828">
        <v>-0.3108091</v>
      </c>
      <c r="N2828">
        <v>-1.1282779999999999E-2</v>
      </c>
      <c r="O2828">
        <v>-0.95040539999999996</v>
      </c>
      <c r="P2828">
        <v>-6.0974239999999999E-2</v>
      </c>
      <c r="Q2828">
        <v>-9.9665180000000006E-2</v>
      </c>
      <c r="R2828">
        <v>-0.99315120000000001</v>
      </c>
      <c r="S2828">
        <v>-0.13171389999999999</v>
      </c>
      <c r="T2828">
        <v>-0.33931729999999999</v>
      </c>
      <c r="U2828">
        <v>-2.978729</v>
      </c>
      <c r="V2828">
        <v>-0.24987529999999999</v>
      </c>
      <c r="W2828">
        <v>-9.1215679999999993E-2</v>
      </c>
      <c r="X2828">
        <v>0.96397200000000005</v>
      </c>
      <c r="Y2828">
        <v>-0.26850269999999998</v>
      </c>
      <c r="Z2828">
        <v>9.1544619999999993E-2</v>
      </c>
      <c r="AA2828">
        <v>0.95891910000000002</v>
      </c>
      <c r="AB2828">
        <v>16</v>
      </c>
      <c r="AC2828">
        <v>-0.40499999999997199</v>
      </c>
      <c r="AD2828">
        <v>-1.1243924049529901</v>
      </c>
      <c r="AE2828">
        <v>-9.7506000000000199</v>
      </c>
      <c r="AF2828">
        <v>-2.6111669661366199</v>
      </c>
      <c r="AG2828">
        <v>-1.1243924049529901</v>
      </c>
      <c r="AH2828">
        <v>9.2704361934226593</v>
      </c>
      <c r="AI2828">
        <v>96.658870580744093</v>
      </c>
      <c r="AJ2828">
        <v>105.730724926942</v>
      </c>
      <c r="AK2828">
        <v>9.6965683837984695</v>
      </c>
      <c r="AL2828">
        <v>95.233548166089705</v>
      </c>
      <c r="AM2828">
        <v>104.532039803614</v>
      </c>
      <c r="AN2828">
        <v>0.99999999130597605</v>
      </c>
    </row>
    <row r="2829" spans="1:40" x14ac:dyDescent="0.25">
      <c r="A2829" t="str">
        <f>"20190303154823123"</f>
        <v>20190303154823123</v>
      </c>
      <c r="B2829" t="str">
        <f>"1551599303113714"</f>
        <v>1551599303113714</v>
      </c>
      <c r="C2829" t="s">
        <v>40</v>
      </c>
      <c r="D2829">
        <v>5.6362639999999997</v>
      </c>
      <c r="E2829">
        <v>0.4925503</v>
      </c>
      <c r="F2829" t="s">
        <v>41</v>
      </c>
      <c r="G2829">
        <v>-492.28030000000001</v>
      </c>
      <c r="H2829" s="1">
        <v>-2.3234059999999998E-6</v>
      </c>
      <c r="I2829">
        <v>263.59070000000003</v>
      </c>
      <c r="J2829">
        <v>-491.89749999999998</v>
      </c>
      <c r="K2829">
        <v>1.124352</v>
      </c>
      <c r="L2829">
        <v>273.39580000000001</v>
      </c>
      <c r="M2829">
        <v>-0.302326599999999</v>
      </c>
      <c r="N2829">
        <v>-1.0778599999999999E-2</v>
      </c>
      <c r="O2829">
        <v>-0.95314350000000003</v>
      </c>
      <c r="P2829">
        <v>-5.6497859999999997E-2</v>
      </c>
      <c r="Q2829">
        <v>-0.1014423</v>
      </c>
      <c r="R2829">
        <v>-0.99323589999999995</v>
      </c>
      <c r="S2829">
        <v>-0.1255493</v>
      </c>
      <c r="T2829">
        <v>-0.33667829999999999</v>
      </c>
      <c r="U2829">
        <v>-2.9792179999999999</v>
      </c>
      <c r="V2829">
        <v>-0.24554509999999999</v>
      </c>
      <c r="W2829">
        <v>-9.3449470000000007E-2</v>
      </c>
      <c r="X2829">
        <v>0.96487029999999996</v>
      </c>
      <c r="Y2829">
        <v>-0.2619165</v>
      </c>
      <c r="Z2829">
        <v>9.1793609999999998E-2</v>
      </c>
      <c r="AA2829">
        <v>0.96071519999999999</v>
      </c>
      <c r="AB2829">
        <v>16</v>
      </c>
      <c r="AC2829">
        <v>-0.382800000000031</v>
      </c>
      <c r="AD2829">
        <v>-1.1243543234060001</v>
      </c>
      <c r="AE2829">
        <v>-9.8050999999999799</v>
      </c>
      <c r="AF2829">
        <v>-2.565941162354</v>
      </c>
      <c r="AG2829">
        <v>-1.1243543234060001</v>
      </c>
      <c r="AH2829">
        <v>9.3393285604995402</v>
      </c>
      <c r="AI2829">
        <v>96.621682439587801</v>
      </c>
      <c r="AJ2829">
        <v>105.362709021263</v>
      </c>
      <c r="AK2829">
        <v>9.7504504846795097</v>
      </c>
      <c r="AL2829">
        <v>95.362084244932603</v>
      </c>
      <c r="AM2829">
        <v>104.277847229268</v>
      </c>
      <c r="AN2829">
        <v>0.99999994769968903</v>
      </c>
    </row>
    <row r="2830" spans="1:40" x14ac:dyDescent="0.25">
      <c r="A2830" t="str">
        <f>"20190303154823136"</f>
        <v>20190303154823136</v>
      </c>
      <c r="B2830" t="str">
        <f>"1551599303133231"</f>
        <v>1551599303133231</v>
      </c>
      <c r="C2830" t="s">
        <v>40</v>
      </c>
      <c r="D2830">
        <v>5.625699</v>
      </c>
      <c r="E2830">
        <v>0.49241509999999999</v>
      </c>
      <c r="F2830" t="s">
        <v>41</v>
      </c>
      <c r="G2830">
        <v>-492.25470000000001</v>
      </c>
      <c r="H2830" s="1">
        <v>-2.3677210000000002E-6</v>
      </c>
      <c r="I2830">
        <v>263.7099</v>
      </c>
      <c r="J2830">
        <v>-491.92070000000001</v>
      </c>
      <c r="K2830">
        <v>1.1243289999999999</v>
      </c>
      <c r="L2830">
        <v>273.30119999999999</v>
      </c>
      <c r="M2830">
        <v>-0.29679809999999901</v>
      </c>
      <c r="N2830">
        <v>-1.045602E-2</v>
      </c>
      <c r="O2830">
        <v>-0.95488320000000004</v>
      </c>
      <c r="P2830">
        <v>-5.3075740000000003E-2</v>
      </c>
      <c r="Q2830">
        <v>-0.102697</v>
      </c>
      <c r="R2830">
        <v>-0.99329599999999996</v>
      </c>
      <c r="S2830">
        <v>-0.1098633</v>
      </c>
      <c r="T2830">
        <v>-0.34579359999999998</v>
      </c>
      <c r="U2830">
        <v>-2.978882</v>
      </c>
      <c r="V2830">
        <v>-0.24321909999999999</v>
      </c>
      <c r="W2830">
        <v>-9.5002649999999994E-2</v>
      </c>
      <c r="X2830">
        <v>0.96530769999999999</v>
      </c>
      <c r="Y2830">
        <v>-0.26138169999999999</v>
      </c>
      <c r="Z2830">
        <v>9.5171699999999998E-2</v>
      </c>
      <c r="AA2830">
        <v>0.9605321</v>
      </c>
      <c r="AB2830">
        <v>16</v>
      </c>
      <c r="AC2830">
        <v>-0.33400000000000302</v>
      </c>
      <c r="AD2830">
        <v>-1.1243313677210001</v>
      </c>
      <c r="AE2830">
        <v>-9.5912999999999897</v>
      </c>
      <c r="AF2830">
        <v>-2.4936612453923601</v>
      </c>
      <c r="AG2830">
        <v>-1.1243313677210001</v>
      </c>
      <c r="AH2830">
        <v>9.1328591580250897</v>
      </c>
      <c r="AI2830">
        <v>96.772780375702794</v>
      </c>
      <c r="AJ2830">
        <v>105.271943039931</v>
      </c>
      <c r="AK2830">
        <v>9.5337077693589904</v>
      </c>
      <c r="AL2830">
        <v>95.451472363986696</v>
      </c>
      <c r="AM2830">
        <v>104.141898083144</v>
      </c>
      <c r="AN2830">
        <v>0.99999999489556102</v>
      </c>
    </row>
    <row r="2831" spans="1:40" x14ac:dyDescent="0.25">
      <c r="A2831" t="str">
        <f>"20190303154823149"</f>
        <v>20190303154823149</v>
      </c>
      <c r="B2831" t="str">
        <f>"1551599303142991"</f>
        <v>1551599303142991</v>
      </c>
      <c r="C2831" t="s">
        <v>40</v>
      </c>
      <c r="D2831">
        <v>5.5860399999999997</v>
      </c>
      <c r="E2831">
        <v>0.49254379999999998</v>
      </c>
      <c r="F2831" t="s">
        <v>41</v>
      </c>
      <c r="G2831">
        <v>-492.23430000000002</v>
      </c>
      <c r="H2831" s="1">
        <v>-2.4025680000000001E-6</v>
      </c>
      <c r="I2831">
        <v>263.80380000000002</v>
      </c>
      <c r="J2831">
        <v>-491.94189999999998</v>
      </c>
      <c r="K2831">
        <v>1.1243099999999999</v>
      </c>
      <c r="L2831">
        <v>273.21199999999999</v>
      </c>
      <c r="M2831">
        <v>-0.29160740000000002</v>
      </c>
      <c r="N2831">
        <v>-1.0159100000000001E-2</v>
      </c>
      <c r="O2831">
        <v>-0.95648429999999995</v>
      </c>
      <c r="P2831">
        <v>-4.9571690000000002E-2</v>
      </c>
      <c r="Q2831">
        <v>-0.10370450000000001</v>
      </c>
      <c r="R2831">
        <v>-0.99337200000000003</v>
      </c>
      <c r="S2831">
        <v>-9.8358150000000005E-2</v>
      </c>
      <c r="T2831">
        <v>-0.35260940000000002</v>
      </c>
      <c r="U2831">
        <v>-2.9785460000000001</v>
      </c>
      <c r="V2831">
        <v>-0.24133279999999999</v>
      </c>
      <c r="W2831">
        <v>-9.6288410000000005E-2</v>
      </c>
      <c r="X2831">
        <v>0.96565369999999995</v>
      </c>
      <c r="Y2831">
        <v>-0.2598512</v>
      </c>
      <c r="Z2831">
        <v>9.7835119999999998E-2</v>
      </c>
      <c r="AA2831">
        <v>0.96067979999999997</v>
      </c>
      <c r="AB2831">
        <v>16</v>
      </c>
      <c r="AC2831">
        <v>-0.29240000000004301</v>
      </c>
      <c r="AD2831">
        <v>-1.124312402568</v>
      </c>
      <c r="AE2831">
        <v>-9.4081999999999599</v>
      </c>
      <c r="AF2831">
        <v>-2.4292920890118599</v>
      </c>
      <c r="AG2831">
        <v>-1.124312402568</v>
      </c>
      <c r="AH2831">
        <v>8.9567405862907297</v>
      </c>
      <c r="AI2831">
        <v>96.907716477043195</v>
      </c>
      <c r="AJ2831">
        <v>105.174974002469</v>
      </c>
      <c r="AK2831">
        <v>9.3481944974637408</v>
      </c>
      <c r="AL2831">
        <v>95.525480126184306</v>
      </c>
      <c r="AM2831">
        <v>104.031741000873</v>
      </c>
      <c r="AN2831">
        <v>1.00000002328992</v>
      </c>
    </row>
    <row r="2832" spans="1:40" x14ac:dyDescent="0.25">
      <c r="A2832" t="str">
        <f>"20190303154823168"</f>
        <v>20190303154823168</v>
      </c>
      <c r="B2832" t="str">
        <f>"1551599303163487"</f>
        <v>1551599303163487</v>
      </c>
      <c r="C2832" t="s">
        <v>40</v>
      </c>
      <c r="D2832">
        <v>5.6585429999999999</v>
      </c>
      <c r="E2832">
        <v>0.49260140000000002</v>
      </c>
      <c r="F2832" t="s">
        <v>41</v>
      </c>
      <c r="G2832">
        <v>-492.22190000000001</v>
      </c>
      <c r="H2832" s="1">
        <v>-2.3839830000000001E-6</v>
      </c>
      <c r="I2832">
        <v>263.76819999999998</v>
      </c>
      <c r="J2832">
        <v>-491.97329999999999</v>
      </c>
      <c r="K2832">
        <v>1.124285</v>
      </c>
      <c r="L2832">
        <v>273.0772</v>
      </c>
      <c r="M2832">
        <v>-0.28379739999999998</v>
      </c>
      <c r="N2832">
        <v>-9.7131820000000008E-3</v>
      </c>
      <c r="O2832">
        <v>-0.95883510000000005</v>
      </c>
      <c r="P2832">
        <v>-4.5019400000000001E-2</v>
      </c>
      <c r="Q2832">
        <v>-0.10580489999999999</v>
      </c>
      <c r="R2832">
        <v>-0.99336729999999995</v>
      </c>
      <c r="S2832">
        <v>-8.8287350000000001E-2</v>
      </c>
      <c r="T2832">
        <v>-0.3546029</v>
      </c>
      <c r="U2832">
        <v>-2.9785460000000001</v>
      </c>
      <c r="V2832">
        <v>-0.23778769999999999</v>
      </c>
      <c r="W2832">
        <v>-9.8797839999999998E-2</v>
      </c>
      <c r="X2832">
        <v>0.96627940000000001</v>
      </c>
      <c r="Y2832">
        <v>-0.2552335</v>
      </c>
      <c r="Z2832">
        <v>9.9363809999999997E-2</v>
      </c>
      <c r="AA2832">
        <v>0.96176019999999895</v>
      </c>
      <c r="AB2832">
        <v>16</v>
      </c>
      <c r="AC2832">
        <v>-0.24860000000001001</v>
      </c>
      <c r="AD2832">
        <v>-1.1242873839830001</v>
      </c>
      <c r="AE2832">
        <v>-9.3090000000000206</v>
      </c>
      <c r="AF2832">
        <v>-2.3690850733764299</v>
      </c>
      <c r="AG2832">
        <v>-1.1242873839830001</v>
      </c>
      <c r="AH2832">
        <v>8.8675189815990993</v>
      </c>
      <c r="AI2832">
        <v>96.983428019462806</v>
      </c>
      <c r="AJ2832">
        <v>104.958036685515</v>
      </c>
      <c r="AK2832">
        <v>9.2471335610392593</v>
      </c>
      <c r="AL2832">
        <v>95.669949305231199</v>
      </c>
      <c r="AM2832">
        <v>103.82497829405401</v>
      </c>
      <c r="AN2832">
        <v>0.99999994116215596</v>
      </c>
    </row>
    <row r="2833" spans="1:40" x14ac:dyDescent="0.25">
      <c r="A2833" t="str">
        <f>"20190303154823184"</f>
        <v>20190303154823184</v>
      </c>
      <c r="B2833" t="str">
        <f>"1551599303173247"</f>
        <v>1551599303173247</v>
      </c>
      <c r="C2833" t="s">
        <v>40</v>
      </c>
      <c r="D2833">
        <v>5.672288</v>
      </c>
      <c r="E2833">
        <v>0.49261129999999997</v>
      </c>
      <c r="F2833" t="s">
        <v>41</v>
      </c>
      <c r="G2833">
        <v>-492.20850000000002</v>
      </c>
      <c r="H2833" s="1">
        <v>-2.3980609999999999E-6</v>
      </c>
      <c r="I2833">
        <v>263.80930000000001</v>
      </c>
      <c r="J2833">
        <v>-491.99889999999999</v>
      </c>
      <c r="K2833">
        <v>1.124266</v>
      </c>
      <c r="L2833">
        <v>272.96409999999997</v>
      </c>
      <c r="M2833">
        <v>-0.27727960000000001</v>
      </c>
      <c r="N2833">
        <v>-9.3355750000000005E-3</v>
      </c>
      <c r="O2833">
        <v>-0.96074400000000004</v>
      </c>
      <c r="P2833">
        <v>-3.9867890000000003E-2</v>
      </c>
      <c r="Q2833">
        <v>-0.10581550000000001</v>
      </c>
      <c r="R2833">
        <v>-0.99358630000000003</v>
      </c>
      <c r="S2833">
        <v>-7.5561519999999993E-2</v>
      </c>
      <c r="T2833">
        <v>-0.36127510000000002</v>
      </c>
      <c r="U2833">
        <v>-2.978119</v>
      </c>
      <c r="V2833">
        <v>-0.2362263</v>
      </c>
      <c r="W2833">
        <v>-9.9169439999999998E-2</v>
      </c>
      <c r="X2833">
        <v>0.96662429999999999</v>
      </c>
      <c r="Y2833">
        <v>-0.25278119999999998</v>
      </c>
      <c r="Z2833">
        <v>0.102157</v>
      </c>
      <c r="AA2833">
        <v>0.96211519999999995</v>
      </c>
      <c r="AB2833">
        <v>17</v>
      </c>
      <c r="AC2833">
        <v>-0.20960000000002299</v>
      </c>
      <c r="AD2833">
        <v>-1.124268398061</v>
      </c>
      <c r="AE2833">
        <v>-9.1547999999999607</v>
      </c>
      <c r="AF2833">
        <v>-2.30246277723962</v>
      </c>
      <c r="AG2833">
        <v>-1.124268398061</v>
      </c>
      <c r="AH2833">
        <v>8.7224441446657401</v>
      </c>
      <c r="AI2833">
        <v>97.103854734338796</v>
      </c>
      <c r="AJ2833">
        <v>104.787065787028</v>
      </c>
      <c r="AK2833">
        <v>9.0910035820181196</v>
      </c>
      <c r="AL2833">
        <v>95.691345214822107</v>
      </c>
      <c r="AM2833">
        <v>103.732932474557</v>
      </c>
      <c r="AN2833">
        <v>0.999999989996046</v>
      </c>
    </row>
    <row r="2834" spans="1:40" x14ac:dyDescent="0.25">
      <c r="A2834" t="str">
        <f>"20190303154823205"</f>
        <v>20190303154823205</v>
      </c>
      <c r="B2834" t="str">
        <f>"1551599303193744"</f>
        <v>1551599303193744</v>
      </c>
      <c r="C2834" t="s">
        <v>40</v>
      </c>
      <c r="D2834">
        <v>5.5827080000000002</v>
      </c>
      <c r="E2834">
        <v>0.49304599999999998</v>
      </c>
      <c r="F2834" t="s">
        <v>41</v>
      </c>
      <c r="G2834">
        <v>-492.18560000000002</v>
      </c>
      <c r="H2834" s="1">
        <v>-2.3555070000000001E-6</v>
      </c>
      <c r="I2834">
        <v>263.72430000000003</v>
      </c>
      <c r="J2834">
        <v>-492.03059999999999</v>
      </c>
      <c r="K2834">
        <v>1.124239</v>
      </c>
      <c r="L2834">
        <v>272.81880000000001</v>
      </c>
      <c r="M2834">
        <v>-0.2689764</v>
      </c>
      <c r="N2834">
        <v>-8.8478050000000003E-3</v>
      </c>
      <c r="O2834">
        <v>-0.96310629999999997</v>
      </c>
      <c r="P2834">
        <v>-3.4142329999999999E-2</v>
      </c>
      <c r="Q2834">
        <v>-0.1051923</v>
      </c>
      <c r="R2834">
        <v>-0.99386589999999997</v>
      </c>
      <c r="S2834">
        <v>-6.0180659999999997E-2</v>
      </c>
      <c r="T2834">
        <v>-0.36239529999999998</v>
      </c>
      <c r="U2834">
        <v>-2.9783330000000001</v>
      </c>
      <c r="V2834">
        <v>-0.2334647</v>
      </c>
      <c r="W2834">
        <v>-9.9001329999999998E-2</v>
      </c>
      <c r="X2834">
        <v>0.96731230000000001</v>
      </c>
      <c r="Y2834">
        <v>-0.2494093</v>
      </c>
      <c r="Z2834">
        <v>0.1034487</v>
      </c>
      <c r="AA2834">
        <v>0.96285690000000002</v>
      </c>
      <c r="AB2834">
        <v>17</v>
      </c>
      <c r="AC2834">
        <v>-0.155000000000029</v>
      </c>
      <c r="AD2834">
        <v>-1.1242413555070001</v>
      </c>
      <c r="AE2834">
        <v>-9.0944999999999805</v>
      </c>
      <c r="AF2834">
        <v>-2.2624506824130202</v>
      </c>
      <c r="AG2834">
        <v>-1.1242413555070001</v>
      </c>
      <c r="AH2834">
        <v>8.6685756275068702</v>
      </c>
      <c r="AI2834">
        <v>97.152544419913795</v>
      </c>
      <c r="AJ2834">
        <v>104.62757666738899</v>
      </c>
      <c r="AK2834">
        <v>9.0292195191826803</v>
      </c>
      <c r="AL2834">
        <v>95.681665201718502</v>
      </c>
      <c r="AM2834">
        <v>103.569064442422</v>
      </c>
      <c r="AN2834">
        <v>1.00000005760957</v>
      </c>
    </row>
    <row r="2835" spans="1:40" x14ac:dyDescent="0.25">
      <c r="A2835" t="str">
        <f>"20190303154823224"</f>
        <v>20190303154823224</v>
      </c>
      <c r="B2835" t="str">
        <f>"1551599303213263"</f>
        <v>1551599303213263</v>
      </c>
      <c r="C2835" t="s">
        <v>40</v>
      </c>
      <c r="D2835">
        <v>5.5881769999999999</v>
      </c>
      <c r="E2835">
        <v>0.49332160000000003</v>
      </c>
      <c r="F2835" t="s">
        <v>41</v>
      </c>
      <c r="G2835">
        <v>-492.17590000000001</v>
      </c>
      <c r="H2835" s="1">
        <v>-2.2413929999999999E-6</v>
      </c>
      <c r="I2835">
        <v>263.46429999999998</v>
      </c>
      <c r="J2835">
        <v>-492.06079999999997</v>
      </c>
      <c r="K2835">
        <v>1.124215</v>
      </c>
      <c r="L2835">
        <v>272.67469999999997</v>
      </c>
      <c r="M2835">
        <v>-0.26081359999999998</v>
      </c>
      <c r="N2835">
        <v>-8.3712719999999904E-3</v>
      </c>
      <c r="O2835">
        <v>-0.96535280000000001</v>
      </c>
      <c r="P2835">
        <v>-2.777551E-2</v>
      </c>
      <c r="Q2835">
        <v>-0.10327409999999999</v>
      </c>
      <c r="R2835">
        <v>-0.99426499999999995</v>
      </c>
      <c r="S2835">
        <v>-4.6295169999999997E-2</v>
      </c>
      <c r="T2835">
        <v>-0.35802830000000002</v>
      </c>
      <c r="U2835">
        <v>-2.9790649999999999</v>
      </c>
      <c r="V2835">
        <v>-0.23153290000000001</v>
      </c>
      <c r="W2835">
        <v>-9.7534759999999998E-2</v>
      </c>
      <c r="X2835">
        <v>0.96792540000000005</v>
      </c>
      <c r="Y2835">
        <v>-0.2457133</v>
      </c>
      <c r="Z2835">
        <v>0.1030129</v>
      </c>
      <c r="AA2835">
        <v>0.96385339999999997</v>
      </c>
      <c r="AB2835">
        <v>17</v>
      </c>
      <c r="AC2835">
        <v>-0.11510000000004</v>
      </c>
      <c r="AD2835">
        <v>-1.1242172413930001</v>
      </c>
      <c r="AE2835">
        <v>-9.2103999999999893</v>
      </c>
      <c r="AF2835">
        <v>-2.25753719844425</v>
      </c>
      <c r="AG2835">
        <v>-1.1242172413930001</v>
      </c>
      <c r="AH2835">
        <v>8.7906707503754902</v>
      </c>
      <c r="AI2835">
        <v>97.061152029408206</v>
      </c>
      <c r="AJ2835">
        <v>104.402914048258</v>
      </c>
      <c r="AK2835">
        <v>9.1452846237671608</v>
      </c>
      <c r="AL2835">
        <v>95.597228313068996</v>
      </c>
      <c r="AM2835">
        <v>103.452673227258</v>
      </c>
      <c r="AN2835">
        <v>1.00000004657791</v>
      </c>
    </row>
    <row r="2836" spans="1:40" x14ac:dyDescent="0.25">
      <c r="A2836" t="str">
        <f>"20190303154823237"</f>
        <v>20190303154823237</v>
      </c>
      <c r="B2836" t="str">
        <f>"1551599303233759"</f>
        <v>1551599303233759</v>
      </c>
      <c r="C2836" t="s">
        <v>40</v>
      </c>
      <c r="D2836">
        <v>5.65604</v>
      </c>
      <c r="E2836">
        <v>0.49368899999999999</v>
      </c>
      <c r="F2836" t="s">
        <v>41</v>
      </c>
      <c r="G2836">
        <v>-492.15570000000002</v>
      </c>
      <c r="H2836" s="1">
        <v>-2.1009699999999999E-6</v>
      </c>
      <c r="I2836">
        <v>263.14949999999999</v>
      </c>
      <c r="J2836">
        <v>-492.08109999999999</v>
      </c>
      <c r="K2836">
        <v>1.1241989999999999</v>
      </c>
      <c r="L2836">
        <v>272.57490000000001</v>
      </c>
      <c r="M2836">
        <v>-0.25519740000000002</v>
      </c>
      <c r="N2836">
        <v>-8.0483810000000003E-3</v>
      </c>
      <c r="O2836">
        <v>-0.96685560000000004</v>
      </c>
      <c r="P2836">
        <v>-2.3329300000000001E-2</v>
      </c>
      <c r="Q2836">
        <v>-0.1023954</v>
      </c>
      <c r="R2836">
        <v>-0.99447050000000004</v>
      </c>
      <c r="S2836">
        <v>-2.9693600000000001E-2</v>
      </c>
      <c r="T2836">
        <v>-0.35171259999999999</v>
      </c>
      <c r="U2836">
        <v>-2.9799799999999999</v>
      </c>
      <c r="V2836">
        <v>-0.2302593</v>
      </c>
      <c r="W2836">
        <v>-9.6962960000000001E-2</v>
      </c>
      <c r="X2836">
        <v>0.96828650000000005</v>
      </c>
      <c r="Y2836">
        <v>-0.2454588</v>
      </c>
      <c r="Z2836">
        <v>0.1016239</v>
      </c>
      <c r="AA2836">
        <v>0.96406559999999997</v>
      </c>
      <c r="AB2836">
        <v>17</v>
      </c>
      <c r="AC2836">
        <v>-7.4600000000032196E-2</v>
      </c>
      <c r="AD2836">
        <v>-1.1242011009699999</v>
      </c>
      <c r="AE2836">
        <v>-9.4254000000000193</v>
      </c>
      <c r="AF2836">
        <v>-2.30055930688206</v>
      </c>
      <c r="AG2836">
        <v>-1.1242011009699999</v>
      </c>
      <c r="AH2836">
        <v>9.0042451565024404</v>
      </c>
      <c r="AI2836">
        <v>96.897356412871204</v>
      </c>
      <c r="AJ2836">
        <v>104.332296114006</v>
      </c>
      <c r="AK2836">
        <v>9.3612409475614609</v>
      </c>
      <c r="AL2836">
        <v>95.564311080184297</v>
      </c>
      <c r="AM2836">
        <v>103.376531438425</v>
      </c>
      <c r="AN2836">
        <v>0.99999995346534898</v>
      </c>
    </row>
    <row r="2837" spans="1:40" x14ac:dyDescent="0.25">
      <c r="A2837" t="str">
        <f>"20190303154823250"</f>
        <v>20190303154823250</v>
      </c>
      <c r="B2837" t="str">
        <f>"1551599303243520"</f>
        <v>1551599303243520</v>
      </c>
      <c r="C2837" t="s">
        <v>40</v>
      </c>
      <c r="D2837">
        <v>5.6072360000000003</v>
      </c>
      <c r="E2837">
        <v>0.49377369999999998</v>
      </c>
      <c r="F2837" t="s">
        <v>41</v>
      </c>
      <c r="G2837">
        <v>-492.14339999999999</v>
      </c>
      <c r="H2837" s="1">
        <v>-2.018124E-6</v>
      </c>
      <c r="I2837">
        <v>262.964</v>
      </c>
      <c r="J2837">
        <v>-492.0992</v>
      </c>
      <c r="K2837">
        <v>1.124185</v>
      </c>
      <c r="L2837">
        <v>272.48320000000001</v>
      </c>
      <c r="M2837">
        <v>-0.25007889999999999</v>
      </c>
      <c r="N2837">
        <v>-7.7567790000000001E-3</v>
      </c>
      <c r="O2837">
        <v>-0.96819440000000001</v>
      </c>
      <c r="P2837">
        <v>-1.9095839999999999E-2</v>
      </c>
      <c r="Q2837">
        <v>-0.10179779999999999</v>
      </c>
      <c r="R2837">
        <v>-0.99462189999999995</v>
      </c>
      <c r="S2837">
        <v>-1.9317629999999999E-2</v>
      </c>
      <c r="T2837">
        <v>-0.34861639999999999</v>
      </c>
      <c r="U2837">
        <v>-2.9803470000000001</v>
      </c>
      <c r="V2837">
        <v>-0.2292727</v>
      </c>
      <c r="W2837">
        <v>-9.6645060000000005E-2</v>
      </c>
      <c r="X2837">
        <v>0.96855239999999998</v>
      </c>
      <c r="Y2837">
        <v>-0.24369460000000001</v>
      </c>
      <c r="Z2837">
        <v>0.101202399999999</v>
      </c>
      <c r="AA2837">
        <v>0.96455740000000001</v>
      </c>
      <c r="AB2837">
        <v>17</v>
      </c>
      <c r="AC2837">
        <v>-4.4199999999989303E-2</v>
      </c>
      <c r="AD2837">
        <v>-1.1241870181239999</v>
      </c>
      <c r="AE2837">
        <v>-9.5192000000000103</v>
      </c>
      <c r="AF2837">
        <v>-2.3056710189116201</v>
      </c>
      <c r="AG2837">
        <v>-1.1241870181239999</v>
      </c>
      <c r="AH2837">
        <v>9.1008417705887901</v>
      </c>
      <c r="AI2837">
        <v>96.828231461045206</v>
      </c>
      <c r="AJ2837">
        <v>104.216589638568</v>
      </c>
      <c r="AK2837">
        <v>9.4554342170236207</v>
      </c>
      <c r="AL2837">
        <v>95.546010571569695</v>
      </c>
      <c r="AM2837">
        <v>103.31773715826399</v>
      </c>
      <c r="AN2837">
        <v>0.99999999506672599</v>
      </c>
    </row>
    <row r="2838" spans="1:40" x14ac:dyDescent="0.25">
      <c r="A2838" t="str">
        <f>"20190303154823269"</f>
        <v>20190303154823269</v>
      </c>
      <c r="B2838" t="str">
        <f>"1551599303263039"</f>
        <v>1551599303263039</v>
      </c>
      <c r="C2838" t="s">
        <v>40</v>
      </c>
      <c r="D2838">
        <v>5.6857839999999999</v>
      </c>
      <c r="E2838">
        <v>0.49396010000000001</v>
      </c>
      <c r="F2838" t="s">
        <v>41</v>
      </c>
      <c r="G2838">
        <v>-492.12189999999998</v>
      </c>
      <c r="H2838" s="1">
        <v>-1.9576289999999999E-6</v>
      </c>
      <c r="I2838">
        <v>262.83629999999999</v>
      </c>
      <c r="J2838">
        <v>-492.12709999999998</v>
      </c>
      <c r="K2838">
        <v>1.124152</v>
      </c>
      <c r="L2838">
        <v>272.3372</v>
      </c>
      <c r="M2838">
        <v>-0.2419898</v>
      </c>
      <c r="N2838">
        <v>-7.2898950000000002E-3</v>
      </c>
      <c r="O2838">
        <v>-0.97025170000000005</v>
      </c>
      <c r="P2838">
        <v>-1.2833610000000001E-2</v>
      </c>
      <c r="Q2838">
        <v>-0.1009319</v>
      </c>
      <c r="R2838">
        <v>-0.9948108</v>
      </c>
      <c r="S2838">
        <v>-7.019043E-3</v>
      </c>
      <c r="T2838">
        <v>-0.34733829999999999</v>
      </c>
      <c r="U2838">
        <v>-2.9805600000000001</v>
      </c>
      <c r="V2838">
        <v>-0.22730729999999999</v>
      </c>
      <c r="W2838">
        <v>-9.6221349999999997E-2</v>
      </c>
      <c r="X2838">
        <v>0.96905770000000002</v>
      </c>
      <c r="Y2838">
        <v>-0.23958960000000001</v>
      </c>
      <c r="Z2838">
        <v>0.101675</v>
      </c>
      <c r="AA2838">
        <v>0.96553560000000005</v>
      </c>
      <c r="AB2838">
        <v>17</v>
      </c>
      <c r="AC2838">
        <v>5.2000000000020901E-3</v>
      </c>
      <c r="AD2838">
        <v>-1.1241539576290001</v>
      </c>
      <c r="AE2838">
        <v>-9.5008999999999997</v>
      </c>
      <c r="AF2838">
        <v>-2.2724134300088998</v>
      </c>
      <c r="AG2838">
        <v>-1.1241539576290001</v>
      </c>
      <c r="AH2838">
        <v>9.0899902486020601</v>
      </c>
      <c r="AI2838">
        <v>96.841487647499704</v>
      </c>
      <c r="AJ2838">
        <v>104.035744361494</v>
      </c>
      <c r="AK2838">
        <v>9.4369225723759307</v>
      </c>
      <c r="AL2838">
        <v>95.521620124151397</v>
      </c>
      <c r="AM2838">
        <v>103.200945341646</v>
      </c>
      <c r="AN2838">
        <v>0.99999999137920104</v>
      </c>
    </row>
    <row r="2839" spans="1:40" x14ac:dyDescent="0.25">
      <c r="A2839" t="str">
        <f>"20190303154823285"</f>
        <v>20190303154823285</v>
      </c>
      <c r="B2839" t="str">
        <f>"1551599303273775"</f>
        <v>1551599303273775</v>
      </c>
      <c r="C2839" t="s">
        <v>40</v>
      </c>
      <c r="D2839">
        <v>5.6959359999999997</v>
      </c>
      <c r="E2839">
        <v>0.4940891</v>
      </c>
      <c r="F2839" t="s">
        <v>41</v>
      </c>
      <c r="G2839">
        <v>-492.09390000000002</v>
      </c>
      <c r="H2839" s="1">
        <v>-1.8700220000000001E-6</v>
      </c>
      <c r="I2839">
        <v>262.64949999999999</v>
      </c>
      <c r="J2839">
        <v>-492.14769999999999</v>
      </c>
      <c r="K2839">
        <v>1.124125</v>
      </c>
      <c r="L2839">
        <v>272.22620000000001</v>
      </c>
      <c r="M2839">
        <v>-0.23588490000000001</v>
      </c>
      <c r="N2839">
        <v>-6.928465E-3</v>
      </c>
      <c r="O2839">
        <v>-0.97175650000000002</v>
      </c>
      <c r="P2839">
        <v>-7.2195200000000001E-3</v>
      </c>
      <c r="Q2839">
        <v>-0.1003069</v>
      </c>
      <c r="R2839">
        <v>-0.99493069999999895</v>
      </c>
      <c r="S2839">
        <v>1.0223390000000001E-2</v>
      </c>
      <c r="T2839">
        <v>-0.34587630000000003</v>
      </c>
      <c r="U2839">
        <v>-2.9806819999999998</v>
      </c>
      <c r="V2839">
        <v>-0.2266968</v>
      </c>
      <c r="W2839">
        <v>-9.5948859999999997E-2</v>
      </c>
      <c r="X2839">
        <v>0.96922770000000003</v>
      </c>
      <c r="Y2839">
        <v>-0.2390777</v>
      </c>
      <c r="Z2839">
        <v>0.1018371</v>
      </c>
      <c r="AA2839">
        <v>0.96564539999999999</v>
      </c>
      <c r="AB2839">
        <v>17</v>
      </c>
      <c r="AC2839">
        <v>5.3799999999966902E-2</v>
      </c>
      <c r="AD2839">
        <v>-1.124126870022</v>
      </c>
      <c r="AE2839">
        <v>-9.5767000000000095</v>
      </c>
      <c r="AF2839">
        <v>-2.2799217633828399</v>
      </c>
      <c r="AG2839">
        <v>-1.124126870022</v>
      </c>
      <c r="AH2839">
        <v>9.1674424141916901</v>
      </c>
      <c r="AI2839">
        <v>96.786105992412402</v>
      </c>
      <c r="AJ2839">
        <v>103.96599440704399</v>
      </c>
      <c r="AK2839">
        <v>9.5133435176373595</v>
      </c>
      <c r="AL2839">
        <v>95.505935094232996</v>
      </c>
      <c r="AM2839">
        <v>103.16449806578601</v>
      </c>
      <c r="AN2839">
        <v>0.99999997865641399</v>
      </c>
    </row>
    <row r="2840" spans="1:40" x14ac:dyDescent="0.25">
      <c r="A2840" t="str">
        <f>"20190303154823303"</f>
        <v>20190303154823303</v>
      </c>
      <c r="B2840" t="str">
        <f>"1551599303293295"</f>
        <v>1551599303293295</v>
      </c>
      <c r="C2840" t="s">
        <v>40</v>
      </c>
      <c r="D2840">
        <v>5.6391429999999998</v>
      </c>
      <c r="E2840">
        <v>0.4945022</v>
      </c>
      <c r="F2840" t="s">
        <v>41</v>
      </c>
      <c r="G2840">
        <v>-492.06220000000002</v>
      </c>
      <c r="H2840" s="1">
        <v>-1.7982410000000001E-6</v>
      </c>
      <c r="I2840">
        <v>262.5018</v>
      </c>
      <c r="J2840">
        <v>-492.1721</v>
      </c>
      <c r="K2840">
        <v>1.1240889999999999</v>
      </c>
      <c r="L2840">
        <v>272.08999999999997</v>
      </c>
      <c r="M2840">
        <v>-0.2284544</v>
      </c>
      <c r="N2840">
        <v>-6.4780509999999899E-3</v>
      </c>
      <c r="O2840">
        <v>-0.97353330000000005</v>
      </c>
      <c r="P2840">
        <v>-1.162937E-3</v>
      </c>
      <c r="Q2840">
        <v>-9.9623870000000003E-2</v>
      </c>
      <c r="R2840">
        <v>-0.99502469999999998</v>
      </c>
      <c r="S2840">
        <v>2.62145999999999E-2</v>
      </c>
      <c r="T2840">
        <v>-0.3445704</v>
      </c>
      <c r="U2840">
        <v>-2.9807429999999999</v>
      </c>
      <c r="V2840">
        <v>-0.2252055</v>
      </c>
      <c r="W2840">
        <v>-9.5696429999999999E-2</v>
      </c>
      <c r="X2840">
        <v>0.96960029999999997</v>
      </c>
      <c r="Y2840">
        <v>-0.23684830000000001</v>
      </c>
      <c r="Z2840">
        <v>0.1022069</v>
      </c>
      <c r="AA2840">
        <v>0.9661556</v>
      </c>
      <c r="AB2840">
        <v>17</v>
      </c>
      <c r="AC2840">
        <v>0.109899999999981</v>
      </c>
      <c r="AD2840">
        <v>-1.124090798241</v>
      </c>
      <c r="AE2840">
        <v>-9.5881999999999703</v>
      </c>
      <c r="AF2840">
        <v>-2.2663595984930902</v>
      </c>
      <c r="AG2840">
        <v>-1.124090798241</v>
      </c>
      <c r="AH2840">
        <v>9.1833146351519499</v>
      </c>
      <c r="AI2840">
        <v>96.777258306050499</v>
      </c>
      <c r="AJ2840">
        <v>103.86306765543399</v>
      </c>
      <c r="AK2840">
        <v>9.5253993953307798</v>
      </c>
      <c r="AL2840">
        <v>95.4914047606579</v>
      </c>
      <c r="AM2840">
        <v>103.076030254491</v>
      </c>
      <c r="AN2840">
        <v>1.00000003285254</v>
      </c>
    </row>
    <row r="2841" spans="1:40" x14ac:dyDescent="0.25">
      <c r="A2841" t="str">
        <f>"20190303154823325"</f>
        <v>20190303154823325</v>
      </c>
      <c r="B2841" t="str">
        <f>"1551599303313791"</f>
        <v>1551599303313791</v>
      </c>
      <c r="C2841" t="s">
        <v>40</v>
      </c>
      <c r="D2841">
        <v>5.6344589999999997</v>
      </c>
      <c r="E2841">
        <v>0.49479440000000002</v>
      </c>
      <c r="F2841" t="s">
        <v>41</v>
      </c>
      <c r="G2841">
        <v>-492.03809999999999</v>
      </c>
      <c r="H2841" s="1">
        <v>-1.703451E-6</v>
      </c>
      <c r="I2841">
        <v>262.29579999999999</v>
      </c>
      <c r="J2841">
        <v>-492.20159999999998</v>
      </c>
      <c r="K2841">
        <v>1.12405</v>
      </c>
      <c r="L2841">
        <v>271.9162</v>
      </c>
      <c r="M2841">
        <v>-0.21907879999999999</v>
      </c>
      <c r="N2841">
        <v>-5.9058289999999996E-3</v>
      </c>
      <c r="O2841">
        <v>-0.97568940000000004</v>
      </c>
      <c r="P2841">
        <v>6.763738E-3</v>
      </c>
      <c r="Q2841">
        <v>-9.7937940000000001E-2</v>
      </c>
      <c r="R2841">
        <v>-0.99516990000000005</v>
      </c>
      <c r="S2841">
        <v>4.0771479999999999E-2</v>
      </c>
      <c r="T2841">
        <v>-0.34210750000000001</v>
      </c>
      <c r="U2841">
        <v>-2.9807739999999998</v>
      </c>
      <c r="V2841">
        <v>-0.2236437</v>
      </c>
      <c r="W2841">
        <v>-9.4561850000000003E-2</v>
      </c>
      <c r="X2841">
        <v>0.97007290000000002</v>
      </c>
      <c r="Y2841">
        <v>-0.23222970000000001</v>
      </c>
      <c r="Z2841">
        <v>0.10243239999999899</v>
      </c>
      <c r="AA2841">
        <v>0.96725229999999995</v>
      </c>
      <c r="AB2841">
        <v>18</v>
      </c>
      <c r="AC2841">
        <v>0.16349999999999901</v>
      </c>
      <c r="AD2841">
        <v>-1.124051703451</v>
      </c>
      <c r="AE2841">
        <v>-9.6204000000000107</v>
      </c>
      <c r="AF2841">
        <v>-2.2366647808457998</v>
      </c>
      <c r="AG2841">
        <v>-1.124051703451</v>
      </c>
      <c r="AH2841">
        <v>9.2249650680297695</v>
      </c>
      <c r="AI2841">
        <v>96.753398231678403</v>
      </c>
      <c r="AJ2841">
        <v>103.62881109513199</v>
      </c>
      <c r="AK2841">
        <v>9.5585638084534796</v>
      </c>
      <c r="AL2841">
        <v>95.426102468700904</v>
      </c>
      <c r="AM2841">
        <v>102.98231978566901</v>
      </c>
      <c r="AN2841">
        <v>0.99999993966975897</v>
      </c>
    </row>
    <row r="2842" spans="1:40" x14ac:dyDescent="0.25">
      <c r="A2842" t="str">
        <f>"20190303154823338"</f>
        <v>20190303154823338</v>
      </c>
      <c r="B2842" t="str">
        <f>"1551599303333311"</f>
        <v>1551599303333311</v>
      </c>
      <c r="C2842" t="s">
        <v>40</v>
      </c>
      <c r="D2842">
        <v>5.5986190000000002</v>
      </c>
      <c r="E2842">
        <v>0.50889010000000001</v>
      </c>
      <c r="F2842" t="s">
        <v>41</v>
      </c>
      <c r="G2842">
        <v>-491.99400000000003</v>
      </c>
      <c r="H2842" s="1">
        <v>-1.545097E-6</v>
      </c>
      <c r="I2842">
        <v>261.95400000000001</v>
      </c>
      <c r="J2842">
        <v>-492.21879999999999</v>
      </c>
      <c r="K2842">
        <v>1.1240289999999999</v>
      </c>
      <c r="L2842">
        <v>271.81189999999998</v>
      </c>
      <c r="M2842">
        <v>-0.21349699999999999</v>
      </c>
      <c r="N2842">
        <v>-5.5683149999999999E-3</v>
      </c>
      <c r="O2842">
        <v>-0.97692809999999997</v>
      </c>
      <c r="P2842">
        <v>1.166445E-2</v>
      </c>
      <c r="Q2842">
        <v>-9.7304810000000005E-2</v>
      </c>
      <c r="R2842">
        <v>-0.99518660000000003</v>
      </c>
      <c r="S2842">
        <v>6.2133790000000001E-2</v>
      </c>
      <c r="T2842">
        <v>-0.3363563</v>
      </c>
      <c r="U2842">
        <v>-2.9810180000000002</v>
      </c>
      <c r="V2842">
        <v>-0.22288740000000001</v>
      </c>
      <c r="W2842">
        <v>-9.4257380000000002E-2</v>
      </c>
      <c r="X2842">
        <v>0.97027669999999999</v>
      </c>
      <c r="Y2842">
        <v>-0.23360620000000001</v>
      </c>
      <c r="Z2842">
        <v>0.10113809999999999</v>
      </c>
      <c r="AA2842">
        <v>0.96705700000000006</v>
      </c>
      <c r="AB2842">
        <v>18</v>
      </c>
      <c r="AC2842">
        <v>0.224799999999959</v>
      </c>
      <c r="AD2842">
        <v>-1.1240305450970001</v>
      </c>
      <c r="AE2842">
        <v>-9.8578999999999706</v>
      </c>
      <c r="AF2842">
        <v>-2.2944654085681302</v>
      </c>
      <c r="AG2842">
        <v>-1.1240305450970001</v>
      </c>
      <c r="AH2842">
        <v>9.4596871305838395</v>
      </c>
      <c r="AI2842">
        <v>96.587054544314896</v>
      </c>
      <c r="AJ2842">
        <v>103.633904743869</v>
      </c>
      <c r="AK2842">
        <v>9.7986579073850901</v>
      </c>
      <c r="AL2842">
        <v>95.408578697133805</v>
      </c>
      <c r="AM2842">
        <v>102.93727081697899</v>
      </c>
      <c r="AN2842">
        <v>1.0000000606630499</v>
      </c>
    </row>
    <row r="2843" spans="1:40" x14ac:dyDescent="0.25">
      <c r="A2843" t="str">
        <f>"20190303154823349"</f>
        <v>20190303154823349</v>
      </c>
      <c r="B2843" t="str">
        <f>"1551599303343071"</f>
        <v>1551599303343071</v>
      </c>
      <c r="C2843" t="s">
        <v>40</v>
      </c>
      <c r="D2843">
        <v>5.6323559999999997</v>
      </c>
      <c r="E2843">
        <v>0.50924239999999998</v>
      </c>
      <c r="F2843" t="s">
        <v>41</v>
      </c>
      <c r="G2843">
        <v>-492.35309999999998</v>
      </c>
      <c r="H2843" s="1">
        <v>-1.0489799999999999E-6</v>
      </c>
      <c r="I2843">
        <v>260.57479999999998</v>
      </c>
      <c r="J2843">
        <v>-492.23320000000001</v>
      </c>
      <c r="K2843">
        <v>1.124017</v>
      </c>
      <c r="L2843">
        <v>271.72030000000001</v>
      </c>
      <c r="M2843">
        <v>-0.20864840000000001</v>
      </c>
      <c r="N2843">
        <v>-5.2810299999999999E-3</v>
      </c>
      <c r="O2843">
        <v>-0.97797639999999997</v>
      </c>
      <c r="P2843">
        <v>1.5805340000000001E-2</v>
      </c>
      <c r="Q2843">
        <v>-9.6891400000000003E-2</v>
      </c>
      <c r="R2843">
        <v>-0.99516939999999998</v>
      </c>
      <c r="S2843">
        <v>-3.5705569999999999E-2</v>
      </c>
      <c r="T2843">
        <v>-0.29865589999999997</v>
      </c>
      <c r="U2843">
        <v>-2.985687</v>
      </c>
      <c r="V2843">
        <v>-0.22211700000000001</v>
      </c>
      <c r="W2843">
        <v>-9.4124250000000007E-2</v>
      </c>
      <c r="X2843">
        <v>0.97046619999999995</v>
      </c>
      <c r="Y2843">
        <v>-0.19692570000000001</v>
      </c>
      <c r="Z2843">
        <v>9.0026030000000007E-2</v>
      </c>
      <c r="AA2843">
        <v>0.97627640000000004</v>
      </c>
      <c r="AB2843">
        <v>18</v>
      </c>
      <c r="AC2843">
        <v>-0.119899999999972</v>
      </c>
      <c r="AD2843">
        <v>-1.12401804897999</v>
      </c>
      <c r="AE2843">
        <v>-11.1455</v>
      </c>
      <c r="AF2843">
        <v>-2.1860315694183501</v>
      </c>
      <c r="AG2843">
        <v>-1.12401804897999</v>
      </c>
      <c r="AH2843">
        <v>10.8152211140477</v>
      </c>
      <c r="AI2843">
        <v>95.816609396075606</v>
      </c>
      <c r="AJ2843">
        <v>101.426980650435</v>
      </c>
      <c r="AK2843">
        <v>11.0910395519387</v>
      </c>
      <c r="AL2843">
        <v>95.400917225927401</v>
      </c>
      <c r="AM2843">
        <v>102.891617105386</v>
      </c>
      <c r="AN2843">
        <v>0.99999999073475099</v>
      </c>
    </row>
    <row r="2844" spans="1:40" x14ac:dyDescent="0.25">
      <c r="A2844" t="str">
        <f>"20190303154823363"</f>
        <v>20190303154823363</v>
      </c>
      <c r="B2844" t="str">
        <f>"1551599303353807"</f>
        <v>1551599303353807</v>
      </c>
      <c r="C2844" t="s">
        <v>40</v>
      </c>
      <c r="D2844">
        <v>5.643256</v>
      </c>
      <c r="E2844">
        <v>0.50980459999999905</v>
      </c>
      <c r="F2844" t="s">
        <v>41</v>
      </c>
      <c r="G2844">
        <v>-492.33199999999999</v>
      </c>
      <c r="H2844" s="1">
        <v>-9.7394769999999992E-7</v>
      </c>
      <c r="I2844">
        <v>260.41309999999999</v>
      </c>
      <c r="J2844">
        <v>-492.24889999999999</v>
      </c>
      <c r="K2844">
        <v>1.1240079999999999</v>
      </c>
      <c r="L2844">
        <v>271.61799999999999</v>
      </c>
      <c r="M2844">
        <v>-0.20325090000000001</v>
      </c>
      <c r="N2844">
        <v>-4.9649239999999999E-3</v>
      </c>
      <c r="O2844">
        <v>-0.97911420000000005</v>
      </c>
      <c r="P2844">
        <v>2.0142139999999999E-2</v>
      </c>
      <c r="Q2844">
        <v>-9.6395640000000005E-2</v>
      </c>
      <c r="R2844">
        <v>-0.99513929999999995</v>
      </c>
      <c r="S2844">
        <v>-2.6092529999999999E-2</v>
      </c>
      <c r="T2844">
        <v>-0.29683690000000001</v>
      </c>
      <c r="U2844">
        <v>-2.986084</v>
      </c>
      <c r="V2844">
        <v>-0.2210001</v>
      </c>
      <c r="W2844">
        <v>-9.3934199999999995E-2</v>
      </c>
      <c r="X2844">
        <v>0.97073960000000004</v>
      </c>
      <c r="Y2844">
        <v>-0.19466600000000001</v>
      </c>
      <c r="Z2844">
        <v>8.994278E-2</v>
      </c>
      <c r="AA2844">
        <v>0.97673710000000002</v>
      </c>
      <c r="AB2844">
        <v>18</v>
      </c>
      <c r="AC2844">
        <v>-8.31000000000017E-2</v>
      </c>
      <c r="AD2844">
        <v>-1.1240089739476999</v>
      </c>
      <c r="AE2844">
        <v>-11.2049</v>
      </c>
      <c r="AF2844">
        <v>-2.1741909871502201</v>
      </c>
      <c r="AG2844">
        <v>-1.1240089739476999</v>
      </c>
      <c r="AH2844">
        <v>10.878438478522099</v>
      </c>
      <c r="AI2844">
        <v>95.785502697937702</v>
      </c>
      <c r="AJ2844">
        <v>101.302352434631</v>
      </c>
      <c r="AK2844">
        <v>11.150377856965701</v>
      </c>
      <c r="AL2844">
        <v>95.389979520630106</v>
      </c>
      <c r="AM2844">
        <v>102.825448997264</v>
      </c>
      <c r="AN2844">
        <v>1.0000000245689</v>
      </c>
    </row>
    <row r="2845" spans="1:40" x14ac:dyDescent="0.25">
      <c r="A2845" t="str">
        <f>"20190303154823383"</f>
        <v>20190303154823383</v>
      </c>
      <c r="B2845" t="str">
        <f>"1551599303373327"</f>
        <v>1551599303373327</v>
      </c>
      <c r="C2845" t="s">
        <v>40</v>
      </c>
      <c r="D2845">
        <v>5.6133220000000001</v>
      </c>
      <c r="E2845">
        <v>0.51051970000000002</v>
      </c>
      <c r="F2845" t="s">
        <v>41</v>
      </c>
      <c r="G2845">
        <v>-492.3168</v>
      </c>
      <c r="H2845" s="1">
        <v>-8.7795719999999901E-7</v>
      </c>
      <c r="I2845">
        <v>260.19869999999997</v>
      </c>
      <c r="J2845">
        <v>-492.27170000000001</v>
      </c>
      <c r="K2845">
        <v>1.1240000000000001</v>
      </c>
      <c r="L2845">
        <v>271.46420000000001</v>
      </c>
      <c r="M2845">
        <v>-0.19523309999999999</v>
      </c>
      <c r="N2845">
        <v>-4.5112059999999898E-3</v>
      </c>
      <c r="O2845">
        <v>-0.98074640000000002</v>
      </c>
      <c r="P2845">
        <v>2.610523E-2</v>
      </c>
      <c r="Q2845">
        <v>-9.5168699999999995E-2</v>
      </c>
      <c r="R2845">
        <v>-0.99511890000000003</v>
      </c>
      <c r="S2845">
        <v>-1.7761229999999999E-2</v>
      </c>
      <c r="T2845">
        <v>-0.29397190000000001</v>
      </c>
      <c r="U2845">
        <v>-2.9866030000000001</v>
      </c>
      <c r="V2845">
        <v>-0.2188987</v>
      </c>
      <c r="W2845">
        <v>-9.3141959999999996E-2</v>
      </c>
      <c r="X2845">
        <v>0.97129189999999999</v>
      </c>
      <c r="Y2845">
        <v>-0.18937080000000001</v>
      </c>
      <c r="Z2845">
        <v>8.9759500000000006E-2</v>
      </c>
      <c r="AA2845">
        <v>0.97779439999999995</v>
      </c>
      <c r="AB2845">
        <v>18</v>
      </c>
      <c r="AC2845">
        <v>-4.50999999999908E-2</v>
      </c>
      <c r="AD2845">
        <v>-1.1240008779571999</v>
      </c>
      <c r="AE2845">
        <v>-11.265499999999999</v>
      </c>
      <c r="AF2845">
        <v>-2.1339462952991202</v>
      </c>
      <c r="AG2845">
        <v>-1.1240008779571999</v>
      </c>
      <c r="AH2845">
        <v>10.9485284996295</v>
      </c>
      <c r="AI2845">
        <v>95.754051051117898</v>
      </c>
      <c r="AJ2845">
        <v>101.029082915891</v>
      </c>
      <c r="AK2845">
        <v>11.211038358335401</v>
      </c>
      <c r="AL2845">
        <v>95.344387700271199</v>
      </c>
      <c r="AM2845">
        <v>102.70048372779</v>
      </c>
      <c r="AN2845">
        <v>1.00000001028997</v>
      </c>
    </row>
    <row r="2846" spans="1:40" x14ac:dyDescent="0.25">
      <c r="A2846" t="str">
        <f>"20190303154823405"</f>
        <v>20190303154823405</v>
      </c>
      <c r="B2846" t="str">
        <f>"1551599303393823"</f>
        <v>1551599303393823</v>
      </c>
      <c r="C2846" t="s">
        <v>40</v>
      </c>
      <c r="D2846">
        <v>5.6249479999999998</v>
      </c>
      <c r="E2846">
        <v>0.51115920000000004</v>
      </c>
      <c r="F2846" t="s">
        <v>41</v>
      </c>
      <c r="G2846">
        <v>-492.29289999999997</v>
      </c>
      <c r="H2846" s="1">
        <v>-6.8499409999999999E-7</v>
      </c>
      <c r="I2846">
        <v>259.76369999999997</v>
      </c>
      <c r="J2846">
        <v>-492.29649999999998</v>
      </c>
      <c r="K2846">
        <v>1.1240049999999999</v>
      </c>
      <c r="L2846">
        <v>271.28640000000001</v>
      </c>
      <c r="M2846">
        <v>-0.18610280000000001</v>
      </c>
      <c r="N2846">
        <v>-4.0251619999999997E-3</v>
      </c>
      <c r="O2846">
        <v>-0.98252200000000001</v>
      </c>
      <c r="P2846">
        <v>3.2930099999999997E-2</v>
      </c>
      <c r="Q2846">
        <v>-9.4029399999999999E-2</v>
      </c>
      <c r="R2846">
        <v>-0.99502460000000004</v>
      </c>
      <c r="S2846">
        <v>-5.432129E-3</v>
      </c>
      <c r="T2846">
        <v>-0.28698469999999998</v>
      </c>
      <c r="U2846">
        <v>-2.9874269999999998</v>
      </c>
      <c r="V2846">
        <v>-0.21654300000000001</v>
      </c>
      <c r="W2846">
        <v>-9.2472399999999996E-2</v>
      </c>
      <c r="X2846">
        <v>0.97188370000000002</v>
      </c>
      <c r="Y2846">
        <v>-0.18428</v>
      </c>
      <c r="Z2846">
        <v>8.829642E-2</v>
      </c>
      <c r="AA2846">
        <v>0.97889970000000004</v>
      </c>
      <c r="AB2846">
        <v>18</v>
      </c>
      <c r="AC2846">
        <v>3.6000000000058199E-3</v>
      </c>
      <c r="AD2846">
        <v>-1.1240056849941</v>
      </c>
      <c r="AE2846">
        <v>-11.5227</v>
      </c>
      <c r="AF2846">
        <v>-2.1277151569311599</v>
      </c>
      <c r="AG2846">
        <v>-1.1240056849941</v>
      </c>
      <c r="AH2846">
        <v>11.2140221054773</v>
      </c>
      <c r="AI2846">
        <v>95.624084675973805</v>
      </c>
      <c r="AJ2846">
        <v>100.743423833793</v>
      </c>
      <c r="AK2846">
        <v>11.4693004298896</v>
      </c>
      <c r="AL2846">
        <v>95.305858658643999</v>
      </c>
      <c r="AM2846">
        <v>102.560760888522</v>
      </c>
      <c r="AN2846">
        <v>0.99999997096822402</v>
      </c>
    </row>
    <row r="2847" spans="1:40" x14ac:dyDescent="0.25">
      <c r="A2847" t="str">
        <f>"20190303154823427"</f>
        <v>20190303154823427</v>
      </c>
      <c r="B2847" t="str">
        <f>"1551599303424079"</f>
        <v>1551599303424079</v>
      </c>
      <c r="C2847" t="s">
        <v>40</v>
      </c>
      <c r="D2847">
        <v>5.6295989999999998</v>
      </c>
      <c r="E2847">
        <v>0.51176270000000001</v>
      </c>
      <c r="F2847" t="s">
        <v>41</v>
      </c>
      <c r="G2847">
        <v>-492.25819999999999</v>
      </c>
      <c r="H2847" s="1">
        <v>-4.6568759999999996E-6</v>
      </c>
      <c r="I2847">
        <v>259.4941</v>
      </c>
      <c r="J2847">
        <v>-492.32159999999999</v>
      </c>
      <c r="K2847">
        <v>1.1240300000000001</v>
      </c>
      <c r="L2847">
        <v>271.09429999999998</v>
      </c>
      <c r="M2847">
        <v>-0.1764039</v>
      </c>
      <c r="N2847">
        <v>-3.5511219999999999E-3</v>
      </c>
      <c r="O2847">
        <v>-0.98431159999999995</v>
      </c>
      <c r="P2847">
        <v>4.0110809999999997E-2</v>
      </c>
      <c r="Q2847">
        <v>-9.2083159999999997E-2</v>
      </c>
      <c r="R2847">
        <v>-0.99494300000000002</v>
      </c>
      <c r="S2847">
        <v>9.7045900000000008E-3</v>
      </c>
      <c r="T2847">
        <v>-0.28478999999999999</v>
      </c>
      <c r="U2847">
        <v>-2.9877929999999999</v>
      </c>
      <c r="V2847">
        <v>-0.21400659999999999</v>
      </c>
      <c r="W2847">
        <v>-9.0989449999999999E-2</v>
      </c>
      <c r="X2847">
        <v>0.97258529999999999</v>
      </c>
      <c r="Y2847">
        <v>-0.17954999999999999</v>
      </c>
      <c r="Z2847">
        <v>8.8350799999999993E-2</v>
      </c>
      <c r="AA2847">
        <v>0.97977340000000002</v>
      </c>
      <c r="AB2847">
        <v>19</v>
      </c>
      <c r="AC2847">
        <v>6.34000000000014E-2</v>
      </c>
      <c r="AD2847">
        <v>-1.12403465687599</v>
      </c>
      <c r="AE2847">
        <v>-11.6001999999999</v>
      </c>
      <c r="AF2847">
        <v>-2.0891242718819001</v>
      </c>
      <c r="AG2847">
        <v>-1.12403465687599</v>
      </c>
      <c r="AH2847">
        <v>11.300993700300999</v>
      </c>
      <c r="AI2847">
        <v>95.586113846886704</v>
      </c>
      <c r="AJ2847">
        <v>100.47357266831899</v>
      </c>
      <c r="AK2847">
        <v>11.5473093293402</v>
      </c>
      <c r="AL2847">
        <v>95.220531783883004</v>
      </c>
      <c r="AM2847">
        <v>102.409544446007</v>
      </c>
      <c r="AN2847">
        <v>1.0000000353154701</v>
      </c>
    </row>
    <row r="2848" spans="1:40" x14ac:dyDescent="0.25">
      <c r="A2848" t="str">
        <f>"20190303154823441"</f>
        <v>20190303154823441</v>
      </c>
      <c r="B2848" t="str">
        <f>"1551599303433839"</f>
        <v>1551599303433839</v>
      </c>
      <c r="C2848" t="s">
        <v>40</v>
      </c>
      <c r="D2848">
        <v>5.677276</v>
      </c>
      <c r="E2848">
        <v>0.51235410000000003</v>
      </c>
      <c r="F2848" t="s">
        <v>41</v>
      </c>
      <c r="G2848">
        <v>-492.21210000000002</v>
      </c>
      <c r="H2848" s="1">
        <v>-4.437842E-6</v>
      </c>
      <c r="I2848">
        <v>258.87450000000001</v>
      </c>
      <c r="J2848">
        <v>-492.33530000000002</v>
      </c>
      <c r="K2848">
        <v>1.12405</v>
      </c>
      <c r="L2848">
        <v>270.98430000000002</v>
      </c>
      <c r="M2848">
        <v>-0.17089779999999999</v>
      </c>
      <c r="N2848">
        <v>-3.2989069999999998E-3</v>
      </c>
      <c r="O2848">
        <v>-0.98528329999999997</v>
      </c>
      <c r="P2848">
        <v>4.4105489999999997E-2</v>
      </c>
      <c r="Q2848">
        <v>-9.0881089999999998E-2</v>
      </c>
      <c r="R2848">
        <v>-0.9948844</v>
      </c>
      <c r="S2848">
        <v>2.676392E-2</v>
      </c>
      <c r="T2848">
        <v>-0.27491510000000002</v>
      </c>
      <c r="U2848">
        <v>-2.9887079999999999</v>
      </c>
      <c r="V2848">
        <v>-0.21249580000000001</v>
      </c>
      <c r="W2848">
        <v>-9.0034600000000006E-2</v>
      </c>
      <c r="X2848">
        <v>0.97300529999999996</v>
      </c>
      <c r="Y2848">
        <v>-0.17964720000000001</v>
      </c>
      <c r="Z2848">
        <v>8.5543839999999996E-2</v>
      </c>
      <c r="AA2848">
        <v>0.98000469999999895</v>
      </c>
      <c r="AB2848">
        <v>19</v>
      </c>
      <c r="AC2848">
        <v>0.12319999999999701</v>
      </c>
      <c r="AD2848">
        <v>-1.1240544378419901</v>
      </c>
      <c r="AE2848">
        <v>-12.1098</v>
      </c>
      <c r="AF2848">
        <v>-2.1722231443128299</v>
      </c>
      <c r="AG2848">
        <v>-1.1240544378419901</v>
      </c>
      <c r="AH2848">
        <v>11.8088597326803</v>
      </c>
      <c r="AI2848">
        <v>95.348253951190998</v>
      </c>
      <c r="AJ2848">
        <v>100.42295960395199</v>
      </c>
      <c r="AK2848">
        <v>12.0594867201734</v>
      </c>
      <c r="AL2848">
        <v>95.165597585077293</v>
      </c>
      <c r="AM2848">
        <v>102.31946715709201</v>
      </c>
      <c r="AN2848">
        <v>1.0000000040214401</v>
      </c>
    </row>
    <row r="2849" spans="1:40" x14ac:dyDescent="0.25">
      <c r="A2849" t="str">
        <f>"20190303154823459"</f>
        <v>20190303154823459</v>
      </c>
      <c r="B2849" t="str">
        <f>"1551599303453358"</f>
        <v>1551599303453358</v>
      </c>
      <c r="C2849" t="s">
        <v>40</v>
      </c>
      <c r="D2849">
        <v>5.6804379999999997</v>
      </c>
      <c r="E2849">
        <v>0.51331789999999999</v>
      </c>
      <c r="F2849" t="s">
        <v>41</v>
      </c>
      <c r="G2849">
        <v>-492.19349999999997</v>
      </c>
      <c r="H2849" s="1">
        <v>-4.3464649999999999E-6</v>
      </c>
      <c r="I2849">
        <v>258.6157</v>
      </c>
      <c r="J2849">
        <v>-492.35340000000002</v>
      </c>
      <c r="K2849">
        <v>1.1240889999999999</v>
      </c>
      <c r="L2849">
        <v>270.8295</v>
      </c>
      <c r="M2849">
        <v>-0.1632509</v>
      </c>
      <c r="N2849">
        <v>-2.9793020000000001E-3</v>
      </c>
      <c r="O2849">
        <v>-0.98658009999999996</v>
      </c>
      <c r="P2849">
        <v>4.8458649999999999E-2</v>
      </c>
      <c r="Q2849">
        <v>-8.8214909999999994E-2</v>
      </c>
      <c r="R2849">
        <v>-0.99492210000000003</v>
      </c>
      <c r="S2849">
        <v>3.4271240000000001E-2</v>
      </c>
      <c r="T2849">
        <v>-0.27165349999999999</v>
      </c>
      <c r="U2849">
        <v>-2.9891359999999998</v>
      </c>
      <c r="V2849">
        <v>-0.20925959999999999</v>
      </c>
      <c r="W2849">
        <v>-8.766931E-2</v>
      </c>
      <c r="X2849">
        <v>0.97392230000000002</v>
      </c>
      <c r="Y2849">
        <v>-0.17447989999999999</v>
      </c>
      <c r="Z2849">
        <v>8.5020470000000001E-2</v>
      </c>
      <c r="AA2849">
        <v>0.9809833</v>
      </c>
      <c r="AB2849">
        <v>19</v>
      </c>
      <c r="AC2849">
        <v>0.15990000000005</v>
      </c>
      <c r="AD2849">
        <v>-1.12409334646499</v>
      </c>
      <c r="AE2849">
        <v>-12.2137999999999</v>
      </c>
      <c r="AF2849">
        <v>-2.1336081363458801</v>
      </c>
      <c r="AG2849">
        <v>-1.12409334646499</v>
      </c>
      <c r="AH2849">
        <v>11.922867441508201</v>
      </c>
      <c r="AI2849">
        <v>95.302214421935503</v>
      </c>
      <c r="AJ2849">
        <v>100.14574179021299</v>
      </c>
      <c r="AK2849">
        <v>12.1643182118368</v>
      </c>
      <c r="AL2849">
        <v>95.029537963910201</v>
      </c>
      <c r="AM2849">
        <v>102.126362227793</v>
      </c>
      <c r="AN2849">
        <v>1.0000000672726601</v>
      </c>
    </row>
    <row r="2850" spans="1:40" x14ac:dyDescent="0.25">
      <c r="A2850" t="str">
        <f>"20190303154823481"</f>
        <v>20190303154823481</v>
      </c>
      <c r="B2850" t="str">
        <f>"1551599303473859"</f>
        <v>1551599303473859</v>
      </c>
      <c r="C2850" t="s">
        <v>40</v>
      </c>
      <c r="D2850">
        <v>5.6555150000000003</v>
      </c>
      <c r="E2850">
        <v>0.522949</v>
      </c>
      <c r="F2850" t="s">
        <v>41</v>
      </c>
      <c r="G2850">
        <v>-492.18459999999999</v>
      </c>
      <c r="H2850" s="1">
        <v>-4.1483520000000003E-6</v>
      </c>
      <c r="I2850">
        <v>258.03820000000002</v>
      </c>
      <c r="J2850">
        <v>-492.37360000000001</v>
      </c>
      <c r="K2850">
        <v>1.124126</v>
      </c>
      <c r="L2850">
        <v>270.64530000000002</v>
      </c>
      <c r="M2850">
        <v>-0.1542384</v>
      </c>
      <c r="N2850">
        <v>-2.6396240000000001E-3</v>
      </c>
      <c r="O2850">
        <v>-0.98803019999999997</v>
      </c>
      <c r="P2850">
        <v>5.3714369999999997E-2</v>
      </c>
      <c r="Q2850">
        <v>-8.6230050000000003E-2</v>
      </c>
      <c r="R2850">
        <v>-0.99482610000000005</v>
      </c>
      <c r="S2850">
        <v>3.9459229999999998E-2</v>
      </c>
      <c r="T2850">
        <v>-0.26276890000000003</v>
      </c>
      <c r="U2850">
        <v>-2.9901119999999999</v>
      </c>
      <c r="V2850">
        <v>-0.20554629999999999</v>
      </c>
      <c r="W2850">
        <v>-8.6002830000000002E-2</v>
      </c>
      <c r="X2850">
        <v>0.97486110000000004</v>
      </c>
      <c r="Y2850">
        <v>-0.16719300000000001</v>
      </c>
      <c r="Z2850">
        <v>8.2719570000000006E-2</v>
      </c>
      <c r="AA2850">
        <v>0.98244790000000004</v>
      </c>
      <c r="AB2850">
        <v>19</v>
      </c>
      <c r="AC2850">
        <v>0.18900000000002101</v>
      </c>
      <c r="AD2850">
        <v>-1.1241301483520001</v>
      </c>
      <c r="AE2850">
        <v>-12.607100000000001</v>
      </c>
      <c r="AF2850">
        <v>-2.1144365553617699</v>
      </c>
      <c r="AG2850">
        <v>-1.1241301483520001</v>
      </c>
      <c r="AH2850">
        <v>12.3290847286999</v>
      </c>
      <c r="AI2850">
        <v>95.135097826741699</v>
      </c>
      <c r="AJ2850">
        <v>99.731547560816296</v>
      </c>
      <c r="AK2850">
        <v>12.5594920591776</v>
      </c>
      <c r="AL2850">
        <v>94.933694147026401</v>
      </c>
      <c r="AM2850">
        <v>101.906237549</v>
      </c>
      <c r="AN2850">
        <v>0.99999996625245302</v>
      </c>
    </row>
    <row r="2851" spans="1:40" x14ac:dyDescent="0.25">
      <c r="A2851" t="str">
        <f>"20190303154823494"</f>
        <v>20190303154823494</v>
      </c>
      <c r="B2851" t="str">
        <f>"1551599303483616"</f>
        <v>1551599303483616</v>
      </c>
      <c r="C2851" t="s">
        <v>40</v>
      </c>
      <c r="D2851">
        <v>5.7551100000000002</v>
      </c>
      <c r="E2851">
        <v>0.52376599999999995</v>
      </c>
      <c r="F2851" t="s">
        <v>41</v>
      </c>
      <c r="G2851">
        <v>-492.46960000000001</v>
      </c>
      <c r="H2851" s="1">
        <v>-3.944641E-6</v>
      </c>
      <c r="I2851">
        <v>257.291</v>
      </c>
      <c r="J2851">
        <v>-492.38490000000002</v>
      </c>
      <c r="K2851">
        <v>1.1241429999999999</v>
      </c>
      <c r="L2851">
        <v>270.53320000000002</v>
      </c>
      <c r="M2851">
        <v>-0.14880959999999999</v>
      </c>
      <c r="N2851">
        <v>-2.4560979999999999E-3</v>
      </c>
      <c r="O2851">
        <v>-0.98886309999999999</v>
      </c>
      <c r="P2851">
        <v>5.7552140000000002E-2</v>
      </c>
      <c r="Q2851">
        <v>-8.591886E-2</v>
      </c>
      <c r="R2851">
        <v>-0.99463889999999999</v>
      </c>
      <c r="S2851">
        <v>-2.1545410000000001E-2</v>
      </c>
      <c r="T2851">
        <v>-0.2521062</v>
      </c>
      <c r="U2851">
        <v>-2.9949340000000002</v>
      </c>
      <c r="V2851">
        <v>-0.2039521</v>
      </c>
      <c r="W2851">
        <v>-8.5868550000000002E-2</v>
      </c>
      <c r="X2851">
        <v>0.97520770000000001</v>
      </c>
      <c r="Y2851">
        <v>-0.14169779999999901</v>
      </c>
      <c r="Z2851">
        <v>7.9611319999999999E-2</v>
      </c>
      <c r="AA2851">
        <v>0.98670349999999996</v>
      </c>
      <c r="AB2851">
        <v>19</v>
      </c>
      <c r="AC2851">
        <v>-8.4699999999997999E-2</v>
      </c>
      <c r="AD2851">
        <v>-1.124146944641</v>
      </c>
      <c r="AE2851">
        <v>-13.2422</v>
      </c>
      <c r="AF2851">
        <v>-1.87331540172605</v>
      </c>
      <c r="AG2851">
        <v>-1.124146944641</v>
      </c>
      <c r="AH2851">
        <v>13.013584100986799</v>
      </c>
      <c r="AI2851">
        <v>94.886975179696094</v>
      </c>
      <c r="AJ2851">
        <v>98.191499729480398</v>
      </c>
      <c r="AK2851">
        <v>13.195695817233201</v>
      </c>
      <c r="AL2851">
        <v>94.925971920731101</v>
      </c>
      <c r="AM2851">
        <v>101.81241804158699</v>
      </c>
      <c r="AN2851">
        <v>0.9999999625564</v>
      </c>
    </row>
    <row r="2852" spans="1:40" x14ac:dyDescent="0.25">
      <c r="A2852" t="str">
        <f>"20190303154823508"</f>
        <v>20190303154823508</v>
      </c>
      <c r="B2852" t="str">
        <f>"1551599303503135"</f>
        <v>1551599303503135</v>
      </c>
      <c r="C2852" t="s">
        <v>40</v>
      </c>
      <c r="D2852">
        <v>5.6954830000000003</v>
      </c>
      <c r="E2852">
        <v>0.52410349999999895</v>
      </c>
      <c r="F2852" t="s">
        <v>41</v>
      </c>
      <c r="G2852">
        <v>-492.45769999999999</v>
      </c>
      <c r="H2852" s="1">
        <v>-3.989997E-6</v>
      </c>
      <c r="I2852">
        <v>257.43049999999999</v>
      </c>
      <c r="J2852">
        <v>-492.39609999999999</v>
      </c>
      <c r="K2852">
        <v>1.1241559999999999</v>
      </c>
      <c r="L2852">
        <v>270.4187</v>
      </c>
      <c r="M2852">
        <v>-0.14328840000000001</v>
      </c>
      <c r="N2852">
        <v>-2.2803860000000001E-3</v>
      </c>
      <c r="O2852">
        <v>-0.98967839999999996</v>
      </c>
      <c r="P2852">
        <v>6.083409E-2</v>
      </c>
      <c r="Q2852">
        <v>-8.5927340000000005E-2</v>
      </c>
      <c r="R2852">
        <v>-0.99444250000000001</v>
      </c>
      <c r="S2852">
        <v>-1.663208E-2</v>
      </c>
      <c r="T2852">
        <v>-0.25695089999999998</v>
      </c>
      <c r="U2852">
        <v>-2.9949340000000002</v>
      </c>
      <c r="V2852">
        <v>-0.20171839999999999</v>
      </c>
      <c r="W2852">
        <v>-8.6038719999999999E-2</v>
      </c>
      <c r="X2852">
        <v>0.9756572</v>
      </c>
      <c r="Y2852">
        <v>-0.1377929</v>
      </c>
      <c r="Z2852">
        <v>8.1480170000000005E-2</v>
      </c>
      <c r="AA2852">
        <v>0.98710390000000003</v>
      </c>
      <c r="AB2852">
        <v>19</v>
      </c>
      <c r="AC2852">
        <v>-6.1599999999998503E-2</v>
      </c>
      <c r="AD2852">
        <v>-1.1241599899969901</v>
      </c>
      <c r="AE2852">
        <v>-12.988200000000001</v>
      </c>
      <c r="AF2852">
        <v>-1.7867142507564799</v>
      </c>
      <c r="AG2852">
        <v>-1.1241599899969901</v>
      </c>
      <c r="AH2852">
        <v>12.7673581482863</v>
      </c>
      <c r="AI2852">
        <v>94.983574919509294</v>
      </c>
      <c r="AJ2852">
        <v>97.966459445090607</v>
      </c>
      <c r="AK2852">
        <v>12.940692314693999</v>
      </c>
      <c r="AL2852">
        <v>94.935758109390704</v>
      </c>
      <c r="AM2852">
        <v>101.681388569842</v>
      </c>
      <c r="AN2852">
        <v>0.99999997307481803</v>
      </c>
    </row>
    <row r="2853" spans="1:40" x14ac:dyDescent="0.25">
      <c r="A2853" t="str">
        <f>"20190303154823527"</f>
        <v>20190303154823527</v>
      </c>
      <c r="B2853" t="str">
        <f>"1551599303523631"</f>
        <v>1551599303523631</v>
      </c>
      <c r="C2853" t="s">
        <v>40</v>
      </c>
      <c r="D2853">
        <v>5.678903</v>
      </c>
      <c r="E2853">
        <v>0.52437129999999998</v>
      </c>
      <c r="F2853" t="s">
        <v>41</v>
      </c>
      <c r="G2853">
        <v>-492.43610000000001</v>
      </c>
      <c r="H2853" s="1">
        <v>-4.0400229999999999E-6</v>
      </c>
      <c r="I2853">
        <v>257.58879999999999</v>
      </c>
      <c r="J2853">
        <v>-492.41090000000003</v>
      </c>
      <c r="K2853">
        <v>1.1241779999999999</v>
      </c>
      <c r="L2853">
        <v>270.25529999999998</v>
      </c>
      <c r="M2853">
        <v>-0.13544619999999999</v>
      </c>
      <c r="N2853">
        <v>-2.0519010000000001E-3</v>
      </c>
      <c r="O2853">
        <v>-0.99078270000000002</v>
      </c>
      <c r="P2853">
        <v>6.4236799999999997E-2</v>
      </c>
      <c r="Q2853">
        <v>-8.7578489999999995E-2</v>
      </c>
      <c r="R2853">
        <v>-0.99408419999999997</v>
      </c>
      <c r="S2853">
        <v>-9.3383790000000008E-3</v>
      </c>
      <c r="T2853">
        <v>-0.26239449999999997</v>
      </c>
      <c r="U2853">
        <v>-2.9946899999999999</v>
      </c>
      <c r="V2853">
        <v>-0.1972778</v>
      </c>
      <c r="W2853">
        <v>-8.7883329999999996E-2</v>
      </c>
      <c r="X2853">
        <v>0.9764005</v>
      </c>
      <c r="Y2853">
        <v>-0.13235279999999999</v>
      </c>
      <c r="Z2853">
        <v>8.3652660000000004E-2</v>
      </c>
      <c r="AA2853">
        <v>0.98766640000000006</v>
      </c>
      <c r="AB2853">
        <v>20</v>
      </c>
      <c r="AC2853">
        <v>-2.5199999999983898E-2</v>
      </c>
      <c r="AD2853">
        <v>-1.124182040023</v>
      </c>
      <c r="AE2853">
        <v>-12.6664999999999</v>
      </c>
      <c r="AF2853">
        <v>-1.67745171273795</v>
      </c>
      <c r="AG2853">
        <v>-1.124182040023</v>
      </c>
      <c r="AH2853">
        <v>12.4550791352146</v>
      </c>
      <c r="AI2853">
        <v>95.111577606084794</v>
      </c>
      <c r="AJ2853">
        <v>97.670448001998807</v>
      </c>
      <c r="AK2853">
        <v>12.6177107976104</v>
      </c>
      <c r="AL2853">
        <v>95.041848395044497</v>
      </c>
      <c r="AM2853">
        <v>101.422605554089</v>
      </c>
      <c r="AN2853">
        <v>0.99999997323248901</v>
      </c>
    </row>
    <row r="2854" spans="1:40" x14ac:dyDescent="0.25">
      <c r="A2854" t="str">
        <f>"20190303154823541"</f>
        <v>20190303154823541</v>
      </c>
      <c r="B2854" t="str">
        <f>"1551599303533391"</f>
        <v>1551599303533391</v>
      </c>
      <c r="C2854" t="s">
        <v>40</v>
      </c>
      <c r="D2854">
        <v>5.631767</v>
      </c>
      <c r="E2854">
        <v>0.52567120000000001</v>
      </c>
      <c r="F2854" t="s">
        <v>41</v>
      </c>
      <c r="G2854">
        <v>-492.41660000000002</v>
      </c>
      <c r="H2854" s="1">
        <v>-4.0862259999999901E-6</v>
      </c>
      <c r="I2854">
        <v>257.73469999999998</v>
      </c>
      <c r="J2854">
        <v>-492.42160000000001</v>
      </c>
      <c r="K2854">
        <v>1.1241909999999999</v>
      </c>
      <c r="L2854">
        <v>270.13069999999999</v>
      </c>
      <c r="M2854">
        <v>-0.12949330000000001</v>
      </c>
      <c r="N2854">
        <v>-1.8921809999999999E-3</v>
      </c>
      <c r="O2854">
        <v>-0.99157879999999998</v>
      </c>
      <c r="P2854">
        <v>6.7695669999999999E-2</v>
      </c>
      <c r="Q2854">
        <v>-8.8217249999999997E-2</v>
      </c>
      <c r="R2854">
        <v>-0.99379850000000003</v>
      </c>
      <c r="S2854">
        <v>-1.34277299999999E-3</v>
      </c>
      <c r="T2854">
        <v>-0.26884479999999999</v>
      </c>
      <c r="U2854">
        <v>-2.9942630000000001</v>
      </c>
      <c r="V2854">
        <v>-0.19478719999999999</v>
      </c>
      <c r="W2854">
        <v>-8.8665339999999995E-2</v>
      </c>
      <c r="X2854">
        <v>0.97682979999999997</v>
      </c>
      <c r="Y2854">
        <v>-0.12903709999999999</v>
      </c>
      <c r="Z2854">
        <v>8.6040499999999895E-2</v>
      </c>
      <c r="AA2854">
        <v>0.9879</v>
      </c>
      <c r="AB2854">
        <v>20</v>
      </c>
      <c r="AC2854">
        <v>4.9999999999954499E-3</v>
      </c>
      <c r="AD2854">
        <v>-1.124195086226</v>
      </c>
      <c r="AE2854">
        <v>-12.396000000000001</v>
      </c>
      <c r="AF2854">
        <v>-1.5970241831620999</v>
      </c>
      <c r="AG2854">
        <v>-1.124195086226</v>
      </c>
      <c r="AH2854">
        <v>12.1907165738409</v>
      </c>
      <c r="AI2854">
        <v>95.224372018951797</v>
      </c>
      <c r="AJ2854">
        <v>97.4634347492334</v>
      </c>
      <c r="AK2854">
        <v>12.3461682888749</v>
      </c>
      <c r="AL2854">
        <v>95.086829594448005</v>
      </c>
      <c r="AM2854">
        <v>101.277287348686</v>
      </c>
      <c r="AN2854">
        <v>1.0000000269845899</v>
      </c>
    </row>
    <row r="2855" spans="1:40" x14ac:dyDescent="0.25">
      <c r="A2855" t="str">
        <f>"20190303154823559"</f>
        <v>20190303154823559</v>
      </c>
      <c r="B2855" t="str">
        <f>"1551599303553887"</f>
        <v>1551599303553887</v>
      </c>
      <c r="C2855" t="s">
        <v>40</v>
      </c>
      <c r="D2855">
        <v>5.6706539999999999</v>
      </c>
      <c r="E2855">
        <v>0.52687949999999995</v>
      </c>
      <c r="F2855" t="s">
        <v>41</v>
      </c>
      <c r="G2855">
        <v>-492.428</v>
      </c>
      <c r="H2855" s="1">
        <v>-3.9737529999999997E-6</v>
      </c>
      <c r="I2855">
        <v>257.39830000000001</v>
      </c>
      <c r="J2855">
        <v>-492.43470000000002</v>
      </c>
      <c r="K2855">
        <v>1.124217</v>
      </c>
      <c r="L2855">
        <v>269.96249999999998</v>
      </c>
      <c r="M2855">
        <v>-0.1215065</v>
      </c>
      <c r="N2855">
        <v>-1.70191299999999E-3</v>
      </c>
      <c r="O2855">
        <v>-0.99258919999999995</v>
      </c>
      <c r="P2855">
        <v>7.0398699999999995E-2</v>
      </c>
      <c r="Q2855">
        <v>-8.9586869999999999E-2</v>
      </c>
      <c r="R2855">
        <v>-0.99348780000000003</v>
      </c>
      <c r="S2855">
        <v>-1.495361E-3</v>
      </c>
      <c r="T2855">
        <v>-0.26447359999999998</v>
      </c>
      <c r="U2855">
        <v>-2.9953919999999998</v>
      </c>
      <c r="V2855">
        <v>-0.18953429999999999</v>
      </c>
      <c r="W2855">
        <v>-9.0181720000000007E-2</v>
      </c>
      <c r="X2855">
        <v>0.97772389999999998</v>
      </c>
      <c r="Y2855">
        <v>-0.121002</v>
      </c>
      <c r="Z2855">
        <v>8.4956580000000004E-2</v>
      </c>
      <c r="AA2855">
        <v>0.98900999999999994</v>
      </c>
      <c r="AB2855">
        <v>20</v>
      </c>
      <c r="AC2855">
        <v>6.6999999999666198E-3</v>
      </c>
      <c r="AD2855">
        <v>-1.124220973753</v>
      </c>
      <c r="AE2855">
        <v>-12.5641999999999</v>
      </c>
      <c r="AF2855">
        <v>-1.52110602139227</v>
      </c>
      <c r="AG2855">
        <v>-1.124220973753</v>
      </c>
      <c r="AH2855">
        <v>12.371244622425699</v>
      </c>
      <c r="AI2855">
        <v>95.153818678874302</v>
      </c>
      <c r="AJ2855">
        <v>97.009618557091997</v>
      </c>
      <c r="AK2855">
        <v>12.515004188334901</v>
      </c>
      <c r="AL2855">
        <v>95.174061344771104</v>
      </c>
      <c r="AM2855">
        <v>100.970861297558</v>
      </c>
      <c r="AN2855">
        <v>1.0000000090649199</v>
      </c>
    </row>
    <row r="2856" spans="1:40" x14ac:dyDescent="0.25">
      <c r="A2856" t="str">
        <f>"20190303154823573"</f>
        <v>20190303154823573</v>
      </c>
      <c r="B2856" t="str">
        <f>"1551599303563647"</f>
        <v>1551599303563647</v>
      </c>
      <c r="C2856" t="s">
        <v>40</v>
      </c>
      <c r="D2856">
        <v>5.6886169999999998</v>
      </c>
      <c r="E2856">
        <v>0.52701279999999995</v>
      </c>
      <c r="F2856" t="s">
        <v>41</v>
      </c>
      <c r="G2856">
        <v>-492.44529999999997</v>
      </c>
      <c r="H2856" s="1">
        <v>-3.8910929999999999E-6</v>
      </c>
      <c r="I2856">
        <v>257.1463</v>
      </c>
      <c r="J2856">
        <v>-492.44299999999998</v>
      </c>
      <c r="K2856">
        <v>1.1242399999999999</v>
      </c>
      <c r="L2856">
        <v>269.8449</v>
      </c>
      <c r="M2856">
        <v>-0.1159491</v>
      </c>
      <c r="N2856">
        <v>-1.584006E-3</v>
      </c>
      <c r="O2856">
        <v>-0.99325399999999997</v>
      </c>
      <c r="P2856">
        <v>7.3471960000000003E-2</v>
      </c>
      <c r="Q2856">
        <v>-8.9643970000000003E-2</v>
      </c>
      <c r="R2856">
        <v>-0.99326029999999998</v>
      </c>
      <c r="S2856">
        <v>-2.4719239999999999E-3</v>
      </c>
      <c r="T2856">
        <v>-0.26281939999999998</v>
      </c>
      <c r="U2856">
        <v>-2.9961549999999999</v>
      </c>
      <c r="V2856">
        <v>-0.18707489999999999</v>
      </c>
      <c r="W2856">
        <v>-9.0342450000000005E-2</v>
      </c>
      <c r="X2856">
        <v>0.97818260000000001</v>
      </c>
      <c r="Y2856">
        <v>-0.115123</v>
      </c>
      <c r="Z2856">
        <v>8.4631929999999994E-2</v>
      </c>
      <c r="AA2856">
        <v>0.98973940000000005</v>
      </c>
      <c r="AB2856">
        <v>20</v>
      </c>
      <c r="AC2856">
        <v>-2.2999999999342401E-3</v>
      </c>
      <c r="AD2856">
        <v>-1.1242438910929999</v>
      </c>
      <c r="AE2856">
        <v>-12.698600000000001</v>
      </c>
      <c r="AF2856">
        <v>-1.4586752411795501</v>
      </c>
      <c r="AG2856">
        <v>-1.1242438910929999</v>
      </c>
      <c r="AH2856">
        <v>12.515121963106999</v>
      </c>
      <c r="AI2856">
        <v>95.098817900677304</v>
      </c>
      <c r="AJ2856">
        <v>96.648000838791006</v>
      </c>
      <c r="AK2856">
        <v>12.6498986374332</v>
      </c>
      <c r="AL2856">
        <v>95.183308351714302</v>
      </c>
      <c r="AM2856">
        <v>100.826933024808</v>
      </c>
      <c r="AN2856">
        <v>0.99999998771238596</v>
      </c>
    </row>
    <row r="2857" spans="1:40" x14ac:dyDescent="0.25">
      <c r="A2857" t="str">
        <f>"20190303154823588"</f>
        <v>20190303154823588</v>
      </c>
      <c r="B2857" t="str">
        <f>"1551599303583168"</f>
        <v>1551599303583168</v>
      </c>
      <c r="C2857" t="s">
        <v>40</v>
      </c>
      <c r="D2857">
        <v>5.6829609999999997</v>
      </c>
      <c r="E2857">
        <v>0.52726419999999996</v>
      </c>
      <c r="F2857" t="s">
        <v>41</v>
      </c>
      <c r="G2857">
        <v>-492.42</v>
      </c>
      <c r="H2857" s="1">
        <v>-3.856007E-6</v>
      </c>
      <c r="I2857">
        <v>257.07659999999998</v>
      </c>
      <c r="J2857">
        <v>-492.45170000000002</v>
      </c>
      <c r="K2857">
        <v>1.124271</v>
      </c>
      <c r="L2857">
        <v>269.71260000000001</v>
      </c>
      <c r="M2857">
        <v>-0.10971549999999999</v>
      </c>
      <c r="N2857">
        <v>-1.459875E-3</v>
      </c>
      <c r="O2857">
        <v>-0.99396189999999995</v>
      </c>
      <c r="P2857">
        <v>7.6842480000000005E-2</v>
      </c>
      <c r="Q2857">
        <v>-8.9827000000000004E-2</v>
      </c>
      <c r="R2857">
        <v>-0.9929886</v>
      </c>
      <c r="S2857">
        <v>5.4016109999999997E-3</v>
      </c>
      <c r="T2857">
        <v>-0.2638124</v>
      </c>
      <c r="U2857">
        <v>-2.9961850000000001</v>
      </c>
      <c r="V2857">
        <v>-0.18424219999999999</v>
      </c>
      <c r="W2857">
        <v>-9.0633560000000002E-2</v>
      </c>
      <c r="X2857">
        <v>0.97869320000000004</v>
      </c>
      <c r="Y2857">
        <v>-0.1114921</v>
      </c>
      <c r="Z2857">
        <v>8.5188840000000002E-2</v>
      </c>
      <c r="AA2857">
        <v>0.99010719999999997</v>
      </c>
      <c r="AB2857">
        <v>20</v>
      </c>
      <c r="AC2857">
        <v>3.17000000000007E-2</v>
      </c>
      <c r="AD2857">
        <v>-1.1242748560069999</v>
      </c>
      <c r="AE2857">
        <v>-12.635999999999999</v>
      </c>
      <c r="AF2857">
        <v>-1.40673905712722</v>
      </c>
      <c r="AG2857">
        <v>-1.1242748560069999</v>
      </c>
      <c r="AH2857">
        <v>12.457620277941601</v>
      </c>
      <c r="AI2857">
        <v>95.124463907810707</v>
      </c>
      <c r="AJ2857">
        <v>96.442660696287902</v>
      </c>
      <c r="AK2857">
        <v>12.5871049775585</v>
      </c>
      <c r="AL2857">
        <v>95.200056343977906</v>
      </c>
      <c r="AM2857">
        <v>100.661343258705</v>
      </c>
      <c r="AN2857">
        <v>1.0000000050926701</v>
      </c>
    </row>
    <row r="2858" spans="1:40" x14ac:dyDescent="0.25">
      <c r="A2858" t="str">
        <f>"20190303154823609"</f>
        <v>20190303154823609</v>
      </c>
      <c r="B2858" t="str">
        <f>"1551599303603663"</f>
        <v>1551599303603663</v>
      </c>
      <c r="C2858" t="s">
        <v>40</v>
      </c>
      <c r="D2858">
        <v>5.6970400000000003</v>
      </c>
      <c r="E2858">
        <v>0.52747619999999995</v>
      </c>
      <c r="F2858" t="s">
        <v>41</v>
      </c>
      <c r="G2858">
        <v>-492.39440000000002</v>
      </c>
      <c r="H2858" s="1">
        <v>-3.8128070000000001E-6</v>
      </c>
      <c r="I2858">
        <v>256.99180000000001</v>
      </c>
      <c r="J2858">
        <v>-492.46280000000002</v>
      </c>
      <c r="K2858">
        <v>1.1243129999999999</v>
      </c>
      <c r="L2858">
        <v>269.52530000000002</v>
      </c>
      <c r="M2858">
        <v>-0.1009388</v>
      </c>
      <c r="N2858">
        <v>-1.3032650000000001E-3</v>
      </c>
      <c r="O2858">
        <v>-0.99489179999999999</v>
      </c>
      <c r="P2858">
        <v>8.0473420000000004E-2</v>
      </c>
      <c r="Q2858">
        <v>-9.0347449999999996E-2</v>
      </c>
      <c r="R2858">
        <v>-0.99265360000000002</v>
      </c>
      <c r="S2858">
        <v>1.3488770000000001E-2</v>
      </c>
      <c r="T2858">
        <v>-0.26479910000000001</v>
      </c>
      <c r="U2858">
        <v>-2.996124</v>
      </c>
      <c r="V2858">
        <v>-0.17915309999999901</v>
      </c>
      <c r="W2858">
        <v>-9.1276410000000002E-2</v>
      </c>
      <c r="X2858">
        <v>0.97957780000000005</v>
      </c>
      <c r="Y2858">
        <v>-0.105392899999999</v>
      </c>
      <c r="Z2858">
        <v>8.5819560000000003E-2</v>
      </c>
      <c r="AA2858">
        <v>0.99072059999999995</v>
      </c>
      <c r="AB2858">
        <v>20</v>
      </c>
      <c r="AC2858">
        <v>6.8399999999996894E-2</v>
      </c>
      <c r="AD2858">
        <v>-1.12431681280699</v>
      </c>
      <c r="AE2858">
        <v>-12.5335</v>
      </c>
      <c r="AF2858">
        <v>-1.3225261402414299</v>
      </c>
      <c r="AG2858">
        <v>-1.12431681280699</v>
      </c>
      <c r="AH2858">
        <v>12.3630999366676</v>
      </c>
      <c r="AI2858">
        <v>95.166942625481695</v>
      </c>
      <c r="AJ2858">
        <v>96.105919553068304</v>
      </c>
      <c r="AK2858">
        <v>12.4843663728366</v>
      </c>
      <c r="AL2858">
        <v>95.237042577916498</v>
      </c>
      <c r="AM2858">
        <v>100.364174132749</v>
      </c>
      <c r="AN2858">
        <v>0.99999994125746705</v>
      </c>
    </row>
    <row r="2859" spans="1:40" x14ac:dyDescent="0.25">
      <c r="A2859" t="str">
        <f>"20190303154823630"</f>
        <v>20190303154823630</v>
      </c>
      <c r="B2859" t="str">
        <f>"1551599303623691"</f>
        <v>1551599303623691</v>
      </c>
      <c r="C2859" t="s">
        <v>40</v>
      </c>
      <c r="D2859">
        <v>5.70648</v>
      </c>
      <c r="E2859">
        <v>0.52749959999999996</v>
      </c>
      <c r="F2859" t="s">
        <v>41</v>
      </c>
      <c r="G2859">
        <v>-492.36509999999998</v>
      </c>
      <c r="H2859" s="1">
        <v>-3.7539499999999999E-6</v>
      </c>
      <c r="I2859">
        <v>256.87270000000001</v>
      </c>
      <c r="J2859">
        <v>-492.4726</v>
      </c>
      <c r="K2859">
        <v>1.124377</v>
      </c>
      <c r="L2859">
        <v>269.33170000000001</v>
      </c>
      <c r="M2859">
        <v>-9.1914750000000003E-2</v>
      </c>
      <c r="N2859">
        <v>-1.1621299999999999E-3</v>
      </c>
      <c r="O2859">
        <v>-0.99576620000000005</v>
      </c>
      <c r="P2859">
        <v>8.3963889999999999E-2</v>
      </c>
      <c r="Q2859">
        <v>-9.0747259999999996E-2</v>
      </c>
      <c r="R2859">
        <v>-0.99232819999999999</v>
      </c>
      <c r="S2859">
        <v>2.3132320000000001E-2</v>
      </c>
      <c r="T2859">
        <v>-0.26623760000000002</v>
      </c>
      <c r="U2859">
        <v>-2.996124</v>
      </c>
      <c r="V2859">
        <v>-0.17368699999999901</v>
      </c>
      <c r="W2859">
        <v>-9.1781039999999994E-2</v>
      </c>
      <c r="X2859">
        <v>0.98051469999999996</v>
      </c>
      <c r="Y2859">
        <v>-9.9564689999999997E-2</v>
      </c>
      <c r="Z2859">
        <v>8.6571250000000002E-2</v>
      </c>
      <c r="AA2859">
        <v>0.99125790000000003</v>
      </c>
      <c r="AB2859">
        <v>21</v>
      </c>
      <c r="AC2859">
        <v>0.107500000000015</v>
      </c>
      <c r="AD2859">
        <v>-1.1243807539499999</v>
      </c>
      <c r="AE2859">
        <v>-12.459</v>
      </c>
      <c r="AF2859">
        <v>-1.2420961780458799</v>
      </c>
      <c r="AG2859">
        <v>-1.1243807539499999</v>
      </c>
      <c r="AH2859">
        <v>12.296240287275101</v>
      </c>
      <c r="AI2859">
        <v>95.198346604435798</v>
      </c>
      <c r="AJ2859">
        <v>95.768127388084196</v>
      </c>
      <c r="AK2859">
        <v>12.409857380235101</v>
      </c>
      <c r="AL2859">
        <v>95.266077288499702</v>
      </c>
      <c r="AM2859">
        <v>100.045093804019</v>
      </c>
      <c r="AN2859">
        <v>1.0000000050942801</v>
      </c>
    </row>
    <row r="2860" spans="1:40" x14ac:dyDescent="0.25">
      <c r="A2860" t="str">
        <f>"20190303154823651"</f>
        <v>20190303154823651</v>
      </c>
      <c r="B2860" t="str">
        <f>"1551599303643211"</f>
        <v>1551599303643211</v>
      </c>
      <c r="C2860" t="s">
        <v>40</v>
      </c>
      <c r="D2860">
        <v>5.6882380000000001</v>
      </c>
      <c r="E2860">
        <v>0.52749230000000003</v>
      </c>
      <c r="F2860" t="s">
        <v>41</v>
      </c>
      <c r="G2860">
        <v>-492.3322</v>
      </c>
      <c r="H2860" s="1">
        <v>-3.7057579999999999E-6</v>
      </c>
      <c r="I2860">
        <v>256.7808</v>
      </c>
      <c r="J2860">
        <v>-492.48099999999999</v>
      </c>
      <c r="K2860">
        <v>1.124449</v>
      </c>
      <c r="L2860">
        <v>269.12959999999998</v>
      </c>
      <c r="M2860">
        <v>-8.2536520000000002E-2</v>
      </c>
      <c r="N2860">
        <v>-1.0342909999999999E-3</v>
      </c>
      <c r="O2860">
        <v>-0.99658749999999996</v>
      </c>
      <c r="P2860">
        <v>8.8118310000000005E-2</v>
      </c>
      <c r="Q2860">
        <v>-9.0950530000000002E-2</v>
      </c>
      <c r="R2860">
        <v>-0.99194899999999997</v>
      </c>
      <c r="S2860">
        <v>3.3508299999999998E-2</v>
      </c>
      <c r="T2860">
        <v>-0.26838230000000002</v>
      </c>
      <c r="U2860">
        <v>-2.995819</v>
      </c>
      <c r="V2860">
        <v>-0.16853509999999999</v>
      </c>
      <c r="W2860">
        <v>-9.2081819999999995E-2</v>
      </c>
      <c r="X2860">
        <v>0.98138519999999896</v>
      </c>
      <c r="Y2860">
        <v>-9.3629370000000003E-2</v>
      </c>
      <c r="Z2860">
        <v>8.7542659999999994E-2</v>
      </c>
      <c r="AA2860">
        <v>0.99175089999999999</v>
      </c>
      <c r="AB2860">
        <v>21</v>
      </c>
      <c r="AC2860">
        <v>0.14879999999999399</v>
      </c>
      <c r="AD2860">
        <v>-1.124452705758</v>
      </c>
      <c r="AE2860">
        <v>-12.348799999999899</v>
      </c>
      <c r="AF2860">
        <v>-1.15792032981089</v>
      </c>
      <c r="AG2860">
        <v>-1.124452705758</v>
      </c>
      <c r="AH2860">
        <v>12.193298904019599</v>
      </c>
      <c r="AI2860">
        <v>95.245385814268701</v>
      </c>
      <c r="AJ2860">
        <v>95.424749164902494</v>
      </c>
      <c r="AK2860">
        <v>12.299663066134899</v>
      </c>
      <c r="AL2860">
        <v>95.283383889561705</v>
      </c>
      <c r="AM2860">
        <v>99.744458429668796</v>
      </c>
      <c r="AN2860">
        <v>1.0000000261427799</v>
      </c>
    </row>
    <row r="2861" spans="1:40" x14ac:dyDescent="0.25">
      <c r="A2861" t="str">
        <f>"20190303154823672"</f>
        <v>20190303154823672</v>
      </c>
      <c r="B2861" t="str">
        <f>"1551599303663706"</f>
        <v>1551599303663706</v>
      </c>
      <c r="C2861" t="s">
        <v>40</v>
      </c>
      <c r="D2861">
        <v>5.694102</v>
      </c>
      <c r="E2861">
        <v>0.52753450000000002</v>
      </c>
      <c r="F2861" t="s">
        <v>41</v>
      </c>
      <c r="G2861">
        <v>-492.28820000000002</v>
      </c>
      <c r="H2861" s="1">
        <v>-3.6205630000000002E-6</v>
      </c>
      <c r="I2861">
        <v>256.6096</v>
      </c>
      <c r="J2861">
        <v>-492.48770000000002</v>
      </c>
      <c r="K2861">
        <v>1.1245240000000001</v>
      </c>
      <c r="L2861">
        <v>268.92899999999997</v>
      </c>
      <c r="M2861">
        <v>-7.3269810000000005E-2</v>
      </c>
      <c r="N2861">
        <v>-9.2448040000000001E-4</v>
      </c>
      <c r="O2861">
        <v>-0.99731190000000003</v>
      </c>
      <c r="P2861">
        <v>9.1840160000000004E-2</v>
      </c>
      <c r="Q2861">
        <v>-9.0405299999999994E-2</v>
      </c>
      <c r="R2861">
        <v>-0.99166129999999997</v>
      </c>
      <c r="S2861">
        <v>4.6142580000000002E-2</v>
      </c>
      <c r="T2861">
        <v>-0.26904149999999999</v>
      </c>
      <c r="U2861">
        <v>-2.9956049999999999</v>
      </c>
      <c r="V2861">
        <v>-0.1630827</v>
      </c>
      <c r="W2861">
        <v>-9.161089E-2</v>
      </c>
      <c r="X2861">
        <v>0.98234999999999995</v>
      </c>
      <c r="Y2861">
        <v>-8.8557150000000001E-2</v>
      </c>
      <c r="Z2861">
        <v>8.7989410000000004E-2</v>
      </c>
      <c r="AA2861">
        <v>0.99217710000000003</v>
      </c>
      <c r="AB2861">
        <v>21</v>
      </c>
      <c r="AC2861">
        <v>0.19950000000000001</v>
      </c>
      <c r="AD2861">
        <v>-1.1245276205629999</v>
      </c>
      <c r="AE2861">
        <v>-12.3194</v>
      </c>
      <c r="AF2861">
        <v>-1.09250350018034</v>
      </c>
      <c r="AG2861">
        <v>-1.1245276205629999</v>
      </c>
      <c r="AH2861">
        <v>12.1702909652993</v>
      </c>
      <c r="AI2861">
        <v>95.258082271310201</v>
      </c>
      <c r="AJ2861">
        <v>95.129582302603495</v>
      </c>
      <c r="AK2861">
        <v>12.2708642094744</v>
      </c>
      <c r="AL2861">
        <v>95.256287075391896</v>
      </c>
      <c r="AM2861">
        <v>99.425868553541406</v>
      </c>
      <c r="AN2861">
        <v>1.0000000223529399</v>
      </c>
    </row>
    <row r="2862" spans="1:40" x14ac:dyDescent="0.25">
      <c r="A2862" t="str">
        <f>"20190303154823694"</f>
        <v>20190303154823694</v>
      </c>
      <c r="B2862" t="str">
        <f>"1551599303683227"</f>
        <v>1551599303683227</v>
      </c>
      <c r="C2862" t="s">
        <v>40</v>
      </c>
      <c r="D2862">
        <v>5.7041279999999999</v>
      </c>
      <c r="E2862">
        <v>0.52763669999999996</v>
      </c>
      <c r="F2862" t="s">
        <v>41</v>
      </c>
      <c r="G2862">
        <v>-492.24919999999997</v>
      </c>
      <c r="H2862" s="1">
        <v>-3.4820389999999999E-6</v>
      </c>
      <c r="I2862">
        <v>256.31079999999997</v>
      </c>
      <c r="J2862">
        <v>-492.49270000000001</v>
      </c>
      <c r="K2862">
        <v>1.1246069999999999</v>
      </c>
      <c r="L2862">
        <v>268.7199</v>
      </c>
      <c r="M2862">
        <v>-6.3660389999999997E-2</v>
      </c>
      <c r="N2862">
        <v>-8.2545649999999997E-4</v>
      </c>
      <c r="O2862">
        <v>-0.99797130000000001</v>
      </c>
      <c r="P2862">
        <v>9.5681520000000006E-2</v>
      </c>
      <c r="Q2862">
        <v>-8.9295979999999997E-2</v>
      </c>
      <c r="R2862">
        <v>-0.99139849999999996</v>
      </c>
      <c r="S2862">
        <v>5.6610109999999998E-2</v>
      </c>
      <c r="T2862">
        <v>-0.26697310000000002</v>
      </c>
      <c r="U2862">
        <v>-2.9956670000000001</v>
      </c>
      <c r="V2862">
        <v>-0.1574236</v>
      </c>
      <c r="W2862">
        <v>-9.0561420000000004E-2</v>
      </c>
      <c r="X2862">
        <v>0.98336990000000002</v>
      </c>
      <c r="Y2862">
        <v>-8.2428559999999998E-2</v>
      </c>
      <c r="Z2862">
        <v>8.7516499999999997E-2</v>
      </c>
      <c r="AA2862">
        <v>0.99274689999999999</v>
      </c>
      <c r="AB2862">
        <v>21</v>
      </c>
      <c r="AC2862">
        <v>0.24350000000003999</v>
      </c>
      <c r="AD2862">
        <v>-1.1246104820389999</v>
      </c>
      <c r="AE2862">
        <v>-12.4091</v>
      </c>
      <c r="AF2862">
        <v>-1.02456257020675</v>
      </c>
      <c r="AG2862">
        <v>-1.1246104820389999</v>
      </c>
      <c r="AH2862">
        <v>12.2677073364467</v>
      </c>
      <c r="AI2862">
        <v>95.219731724043498</v>
      </c>
      <c r="AJ2862">
        <v>94.774094399650593</v>
      </c>
      <c r="AK2862">
        <v>12.361679517334499</v>
      </c>
      <c r="AL2862">
        <v>95.195906191096299</v>
      </c>
      <c r="AM2862">
        <v>99.095072561792705</v>
      </c>
      <c r="AN2862">
        <v>0.99999996042769201</v>
      </c>
    </row>
    <row r="2863" spans="1:40" x14ac:dyDescent="0.25">
      <c r="A2863" t="str">
        <f>"20190303154823716"</f>
        <v>20190303154823716</v>
      </c>
      <c r="B2863" t="str">
        <f>"1551599303713483"</f>
        <v>1551599303713483</v>
      </c>
      <c r="C2863" t="s">
        <v>40</v>
      </c>
      <c r="D2863">
        <v>5.6373889999999998</v>
      </c>
      <c r="E2863">
        <v>0.50970070000000001</v>
      </c>
      <c r="F2863" t="s">
        <v>41</v>
      </c>
      <c r="G2863">
        <v>-492.20409999999998</v>
      </c>
      <c r="H2863" s="1">
        <v>-3.303285E-6</v>
      </c>
      <c r="I2863">
        <v>255.9221</v>
      </c>
      <c r="J2863">
        <v>-492.49579999999997</v>
      </c>
      <c r="K2863">
        <v>1.1246910000000001</v>
      </c>
      <c r="L2863">
        <v>268.50819999999999</v>
      </c>
      <c r="M2863">
        <v>-5.3977740000000003E-2</v>
      </c>
      <c r="N2863">
        <v>-7.389896E-4</v>
      </c>
      <c r="O2863">
        <v>-0.99854189999999998</v>
      </c>
      <c r="P2863">
        <v>9.9635559999999998E-2</v>
      </c>
      <c r="Q2863">
        <v>-8.7878869999999998E-2</v>
      </c>
      <c r="R2863">
        <v>-0.99113549999999995</v>
      </c>
      <c r="S2863">
        <v>6.7565920000000002E-2</v>
      </c>
      <c r="T2863">
        <v>-0.26325389999999999</v>
      </c>
      <c r="U2863">
        <v>-2.9957579999999999</v>
      </c>
      <c r="V2863">
        <v>-0.15181069999999999</v>
      </c>
      <c r="W2863">
        <v>-8.9189290000000004E-2</v>
      </c>
      <c r="X2863">
        <v>0.98437739999999996</v>
      </c>
      <c r="Y2863">
        <v>-7.6391909999999993E-2</v>
      </c>
      <c r="Z2863">
        <v>8.6471389999999995E-2</v>
      </c>
      <c r="AA2863">
        <v>0.99332120000000002</v>
      </c>
      <c r="AB2863">
        <v>21</v>
      </c>
      <c r="AC2863">
        <v>0.29169999999999102</v>
      </c>
      <c r="AD2863">
        <v>-1.1246943032850001</v>
      </c>
      <c r="AE2863">
        <v>-12.586099999999901</v>
      </c>
      <c r="AF2863">
        <v>-0.96295883183542197</v>
      </c>
      <c r="AG2863">
        <v>-1.1246943032850001</v>
      </c>
      <c r="AH2863">
        <v>12.4526224089983</v>
      </c>
      <c r="AI2863">
        <v>95.145551015409893</v>
      </c>
      <c r="AJ2863">
        <v>94.421871213404202</v>
      </c>
      <c r="AK2863">
        <v>12.5403361936089</v>
      </c>
      <c r="AL2863">
        <v>95.116969050621293</v>
      </c>
      <c r="AM2863">
        <v>98.767086624848602</v>
      </c>
      <c r="AN2863">
        <v>1.00000004185797</v>
      </c>
    </row>
    <row r="2864" spans="1:40" x14ac:dyDescent="0.25">
      <c r="A2864" t="str">
        <f>"20190303154823732"</f>
        <v>20190303154823732</v>
      </c>
      <c r="B2864" t="str">
        <f>"1551599303723243"</f>
        <v>1551599303723243</v>
      </c>
      <c r="C2864" t="s">
        <v>40</v>
      </c>
      <c r="D2864">
        <v>5.6655239999999996</v>
      </c>
      <c r="E2864">
        <v>0.50946139999999995</v>
      </c>
      <c r="F2864" t="s">
        <v>41</v>
      </c>
      <c r="G2864">
        <v>-491.5179</v>
      </c>
      <c r="H2864" s="1">
        <v>-2.8796080000000001E-6</v>
      </c>
      <c r="I2864">
        <v>255.36009999999999</v>
      </c>
      <c r="J2864">
        <v>-492.49680000000001</v>
      </c>
      <c r="K2864">
        <v>1.124749</v>
      </c>
      <c r="L2864">
        <v>268.3657</v>
      </c>
      <c r="M2864">
        <v>-4.7493199999999999E-2</v>
      </c>
      <c r="N2864">
        <v>-6.8807310000000002E-4</v>
      </c>
      <c r="O2864">
        <v>-0.99887130000000002</v>
      </c>
      <c r="P2864">
        <v>0.1032296</v>
      </c>
      <c r="Q2864">
        <v>-8.7341000000000002E-2</v>
      </c>
      <c r="R2864">
        <v>-0.99081529999999995</v>
      </c>
      <c r="S2864">
        <v>0.22180179999999999</v>
      </c>
      <c r="T2864">
        <v>-0.25507410000000003</v>
      </c>
      <c r="U2864">
        <v>-2.981903</v>
      </c>
      <c r="V2864">
        <v>-0.14898499999999901</v>
      </c>
      <c r="W2864">
        <v>-8.8685079999999999E-2</v>
      </c>
      <c r="X2864">
        <v>0.98485449999999997</v>
      </c>
      <c r="Y2864">
        <v>-0.1211899</v>
      </c>
      <c r="Z2864">
        <v>8.3968050000000002E-2</v>
      </c>
      <c r="AA2864">
        <v>0.98907149999999999</v>
      </c>
      <c r="AB2864">
        <v>22</v>
      </c>
      <c r="AC2864">
        <v>0.97890000000000998</v>
      </c>
      <c r="AD2864">
        <v>-1.124751879608</v>
      </c>
      <c r="AE2864">
        <v>-13.005599999999999</v>
      </c>
      <c r="AF2864">
        <v>-1.5836951136730599</v>
      </c>
      <c r="AG2864">
        <v>-1.124751879608</v>
      </c>
      <c r="AH2864">
        <v>12.848875455640799</v>
      </c>
      <c r="AI2864">
        <v>94.965363266713794</v>
      </c>
      <c r="AJ2864">
        <v>97.026582947702394</v>
      </c>
      <c r="AK2864">
        <v>12.994874277126399</v>
      </c>
      <c r="AL2864">
        <v>95.087965326439402</v>
      </c>
      <c r="AM2864">
        <v>98.602261410032497</v>
      </c>
      <c r="AN2864">
        <v>0.99999997990492795</v>
      </c>
    </row>
    <row r="2865" spans="1:40" x14ac:dyDescent="0.25">
      <c r="A2865" t="str">
        <f>"20190303154823751"</f>
        <v>20190303154823751</v>
      </c>
      <c r="B2865" t="str">
        <f>"1551599303743738"</f>
        <v>1551599303743738</v>
      </c>
      <c r="C2865" t="s">
        <v>40</v>
      </c>
      <c r="D2865">
        <v>5.637956</v>
      </c>
      <c r="E2865">
        <v>0.50934040000000003</v>
      </c>
      <c r="F2865" t="s">
        <v>41</v>
      </c>
      <c r="G2865">
        <v>-491.4083</v>
      </c>
      <c r="H2865" s="1">
        <v>-2.485448E-6</v>
      </c>
      <c r="I2865">
        <v>254.5093</v>
      </c>
      <c r="J2865">
        <v>-492.49669999999998</v>
      </c>
      <c r="K2865">
        <v>1.1248209999999901</v>
      </c>
      <c r="L2865">
        <v>268.17329999999998</v>
      </c>
      <c r="M2865">
        <v>-3.8783230000000002E-2</v>
      </c>
      <c r="N2865">
        <v>-6.2609329999999998E-4</v>
      </c>
      <c r="O2865">
        <v>-0.99924740000000001</v>
      </c>
      <c r="P2865">
        <v>0.10653410000000001</v>
      </c>
      <c r="Q2865">
        <v>-8.5836570000000001E-2</v>
      </c>
      <c r="R2865">
        <v>-0.99059719999999996</v>
      </c>
      <c r="S2865">
        <v>0.23425289999999999</v>
      </c>
      <c r="T2865">
        <v>-0.24206220000000001</v>
      </c>
      <c r="U2865">
        <v>-2.9820859999999998</v>
      </c>
      <c r="V2865">
        <v>-0.14369179999999901</v>
      </c>
      <c r="W2865">
        <v>-8.7196010000000004E-2</v>
      </c>
      <c r="X2865">
        <v>0.98577360000000003</v>
      </c>
      <c r="Y2865">
        <v>-0.11666410000000001</v>
      </c>
      <c r="Z2865">
        <v>7.9790260000000002E-2</v>
      </c>
      <c r="AA2865">
        <v>0.98996110000000004</v>
      </c>
      <c r="AB2865">
        <v>22</v>
      </c>
      <c r="AC2865">
        <v>1.0883999999999701</v>
      </c>
      <c r="AD2865">
        <v>-1.1248234854479999</v>
      </c>
      <c r="AE2865">
        <v>-13.6639999999999</v>
      </c>
      <c r="AF2865">
        <v>-1.6066960058411801</v>
      </c>
      <c r="AG2865">
        <v>-1.1248234854479999</v>
      </c>
      <c r="AH2865">
        <v>13.5204628217079</v>
      </c>
      <c r="AI2865">
        <v>94.722645383380097</v>
      </c>
      <c r="AJ2865">
        <v>96.776928099457194</v>
      </c>
      <c r="AK2865">
        <v>13.661976974134699</v>
      </c>
      <c r="AL2865">
        <v>95.002315790098706</v>
      </c>
      <c r="AM2865">
        <v>98.293340346973494</v>
      </c>
      <c r="AN2865">
        <v>1.0000000340020501</v>
      </c>
    </row>
    <row r="2866" spans="1:40" x14ac:dyDescent="0.25">
      <c r="A2866" t="str">
        <f>"20190303154823767"</f>
        <v>20190303154823767</v>
      </c>
      <c r="B2866" t="str">
        <f>"1551599303763259"</f>
        <v>1551599303763259</v>
      </c>
      <c r="C2866" t="s">
        <v>40</v>
      </c>
      <c r="D2866">
        <v>5.6402029999999996</v>
      </c>
      <c r="E2866">
        <v>0.50959370000000004</v>
      </c>
      <c r="F2866" t="s">
        <v>41</v>
      </c>
      <c r="G2866">
        <v>-491.31760000000003</v>
      </c>
      <c r="H2866" s="1">
        <v>-2.175699E-6</v>
      </c>
      <c r="I2866">
        <v>253.84350000000001</v>
      </c>
      <c r="J2866">
        <v>-492.49549999999999</v>
      </c>
      <c r="K2866">
        <v>1.124868</v>
      </c>
      <c r="L2866">
        <v>268.02140000000003</v>
      </c>
      <c r="M2866">
        <v>-3.1936249999999999E-2</v>
      </c>
      <c r="N2866">
        <v>-5.8231029999999896E-4</v>
      </c>
      <c r="O2866">
        <v>-0.99948970000000004</v>
      </c>
      <c r="P2866">
        <v>0.110788</v>
      </c>
      <c r="Q2866">
        <v>-8.5396899999999998E-2</v>
      </c>
      <c r="R2866">
        <v>-0.99016879999999996</v>
      </c>
      <c r="S2866">
        <v>0.2453613</v>
      </c>
      <c r="T2866">
        <v>-0.23405809999999999</v>
      </c>
      <c r="U2866">
        <v>-2.9818120000000001</v>
      </c>
      <c r="V2866">
        <v>-0.14116670000000001</v>
      </c>
      <c r="W2866">
        <v>-8.6783869999999999E-2</v>
      </c>
      <c r="X2866">
        <v>0.98617469999999996</v>
      </c>
      <c r="Y2866">
        <v>-0.1135477</v>
      </c>
      <c r="Z2866">
        <v>7.7229539999999999E-2</v>
      </c>
      <c r="AA2866">
        <v>0.99052640000000003</v>
      </c>
      <c r="AB2866">
        <v>22</v>
      </c>
      <c r="AC2866">
        <v>1.17789999999996</v>
      </c>
      <c r="AD2866">
        <v>-1.1248701756990001</v>
      </c>
      <c r="AE2866">
        <v>-14.177899999999999</v>
      </c>
      <c r="AF2866">
        <v>-1.61996081041808</v>
      </c>
      <c r="AG2866">
        <v>-1.1248701756990001</v>
      </c>
      <c r="AH2866">
        <v>14.0452444938468</v>
      </c>
      <c r="AI2866">
        <v>94.548960831105504</v>
      </c>
      <c r="AJ2866">
        <v>96.579350740513505</v>
      </c>
      <c r="AK2866">
        <v>14.183035600018901</v>
      </c>
      <c r="AL2866">
        <v>94.978612181078901</v>
      </c>
      <c r="AM2866">
        <v>98.146305979364698</v>
      </c>
      <c r="AN2866">
        <v>1.00000000810057</v>
      </c>
    </row>
    <row r="2867" spans="1:40" x14ac:dyDescent="0.25">
      <c r="A2867" t="str">
        <f>"20190303154823784"</f>
        <v>20190303154823784</v>
      </c>
      <c r="B2867" t="str">
        <f>"1551599303773998"</f>
        <v>1551599303773998</v>
      </c>
      <c r="C2867" t="s">
        <v>40</v>
      </c>
      <c r="D2867">
        <v>5.6901359999999999</v>
      </c>
      <c r="E2867">
        <v>0.50980249999999905</v>
      </c>
      <c r="F2867" t="s">
        <v>41</v>
      </c>
      <c r="G2867">
        <v>-491.25839999999999</v>
      </c>
      <c r="H2867" s="1">
        <v>-2.065256E-6</v>
      </c>
      <c r="I2867">
        <v>253.62280000000001</v>
      </c>
      <c r="J2867">
        <v>-492.49299999999999</v>
      </c>
      <c r="K2867">
        <v>1.124922</v>
      </c>
      <c r="L2867">
        <v>267.8433</v>
      </c>
      <c r="M2867">
        <v>-2.3956680000000001E-2</v>
      </c>
      <c r="N2867">
        <v>-5.3628870000000002E-4</v>
      </c>
      <c r="O2867">
        <v>-0.99971279999999996</v>
      </c>
      <c r="P2867">
        <v>0.1136539</v>
      </c>
      <c r="Q2867">
        <v>-8.3986050000000007E-2</v>
      </c>
      <c r="R2867">
        <v>-0.98996430000000002</v>
      </c>
      <c r="S2867">
        <v>0.25613399999999997</v>
      </c>
      <c r="T2867">
        <v>-0.23288809999999999</v>
      </c>
      <c r="U2867">
        <v>-2.9810180000000002</v>
      </c>
      <c r="V2867">
        <v>-0.13615749999999999</v>
      </c>
      <c r="W2867">
        <v>-8.5368799999999995E-2</v>
      </c>
      <c r="X2867">
        <v>0.98700220000000005</v>
      </c>
      <c r="Y2867">
        <v>-0.1091941</v>
      </c>
      <c r="Z2867">
        <v>7.6942789999999997E-2</v>
      </c>
      <c r="AA2867">
        <v>0.99103810000000003</v>
      </c>
      <c r="AB2867">
        <v>22</v>
      </c>
      <c r="AC2867">
        <v>1.2346000000000501</v>
      </c>
      <c r="AD2867">
        <v>-1.124924065256</v>
      </c>
      <c r="AE2867">
        <v>-14.2204999999999</v>
      </c>
      <c r="AF2867">
        <v>-1.5652003773646099</v>
      </c>
      <c r="AG2867">
        <v>-1.124924065256</v>
      </c>
      <c r="AH2867">
        <v>14.0992723927894</v>
      </c>
      <c r="AI2867">
        <v>94.534000356204203</v>
      </c>
      <c r="AJ2867">
        <v>96.334630260857793</v>
      </c>
      <c r="AK2867">
        <v>14.230417716285301</v>
      </c>
      <c r="AL2867">
        <v>94.897232541892905</v>
      </c>
      <c r="AM2867">
        <v>97.854410788540903</v>
      </c>
      <c r="AN2867">
        <v>1.0000000198122601</v>
      </c>
    </row>
    <row r="2868" spans="1:40" x14ac:dyDescent="0.25">
      <c r="A2868" t="str">
        <f>"20190303154823808"</f>
        <v>20190303154823808</v>
      </c>
      <c r="B2868" t="str">
        <f>"1551599303803275"</f>
        <v>1551599303803275</v>
      </c>
      <c r="C2868" t="s">
        <v>40</v>
      </c>
      <c r="D2868">
        <v>5.6717370000000003</v>
      </c>
      <c r="E2868">
        <v>0.50980479999999995</v>
      </c>
      <c r="F2868" t="s">
        <v>41</v>
      </c>
      <c r="G2868">
        <v>-491.2002</v>
      </c>
      <c r="H2868" s="1">
        <v>-1.8601589999999999E-6</v>
      </c>
      <c r="I2868">
        <v>253.1808</v>
      </c>
      <c r="J2868">
        <v>-492.48750000000001</v>
      </c>
      <c r="K2868">
        <v>1.1249830000000001</v>
      </c>
      <c r="L2868">
        <v>267.60950000000003</v>
      </c>
      <c r="M2868">
        <v>-1.356858E-2</v>
      </c>
      <c r="N2868">
        <v>-4.8390020000000001E-4</v>
      </c>
      <c r="O2868">
        <v>-0.99990789999999996</v>
      </c>
      <c r="P2868">
        <v>0.1189993</v>
      </c>
      <c r="Q2868">
        <v>-8.4999560000000002E-2</v>
      </c>
      <c r="R2868">
        <v>-0.98924979999999996</v>
      </c>
      <c r="S2868">
        <v>0.26281739999999998</v>
      </c>
      <c r="T2868">
        <v>-0.22869349999999999</v>
      </c>
      <c r="U2868">
        <v>-2.9808349999999999</v>
      </c>
      <c r="V2868">
        <v>-0.1312015</v>
      </c>
      <c r="W2868">
        <v>-8.6387539999999999E-2</v>
      </c>
      <c r="X2868">
        <v>0.98758460000000003</v>
      </c>
      <c r="Y2868">
        <v>-0.1010827</v>
      </c>
      <c r="Z2868">
        <v>7.5660359999999996E-2</v>
      </c>
      <c r="AA2868">
        <v>0.99199689999999996</v>
      </c>
      <c r="AB2868">
        <v>23</v>
      </c>
      <c r="AC2868">
        <v>1.2873000000000101</v>
      </c>
      <c r="AD2868">
        <v>-1.124984860159</v>
      </c>
      <c r="AE2868">
        <v>-14.428699999999999</v>
      </c>
      <c r="AF2868">
        <v>-1.4740682368247</v>
      </c>
      <c r="AG2868">
        <v>-1.124984860159</v>
      </c>
      <c r="AH2868">
        <v>14.323518487267201</v>
      </c>
      <c r="AI2868">
        <v>94.467356042646998</v>
      </c>
      <c r="AJ2868">
        <v>95.875763387648604</v>
      </c>
      <c r="AK2868">
        <v>14.4430484994508</v>
      </c>
      <c r="AL2868">
        <v>94.955818624056107</v>
      </c>
      <c r="AM2868">
        <v>97.567482911893606</v>
      </c>
      <c r="AN2868">
        <v>0.99999999141332996</v>
      </c>
    </row>
    <row r="2869" spans="1:40" x14ac:dyDescent="0.25">
      <c r="A2869" t="str">
        <f>"20190303154823830"</f>
        <v>20190303154823830</v>
      </c>
      <c r="B2869" t="str">
        <f>"1551599303823771"</f>
        <v>1551599303823771</v>
      </c>
      <c r="C2869" t="s">
        <v>40</v>
      </c>
      <c r="D2869">
        <v>5.6812769999999997</v>
      </c>
      <c r="E2869">
        <v>0.51002009999999998</v>
      </c>
      <c r="F2869" t="s">
        <v>41</v>
      </c>
      <c r="G2869">
        <v>-491.1241</v>
      </c>
      <c r="H2869" s="1">
        <v>-1.7790879999999999E-6</v>
      </c>
      <c r="I2869">
        <v>253.03899999999999</v>
      </c>
      <c r="J2869">
        <v>-492.47989999999999</v>
      </c>
      <c r="K2869">
        <v>1.1250169999999999</v>
      </c>
      <c r="L2869">
        <v>267.38130000000001</v>
      </c>
      <c r="M2869">
        <v>-3.5248160000000001E-3</v>
      </c>
      <c r="N2869">
        <v>-4.395736E-4</v>
      </c>
      <c r="O2869">
        <v>-0.99999389999999999</v>
      </c>
      <c r="P2869">
        <v>0.1242274</v>
      </c>
      <c r="Q2869">
        <v>-8.5931229999999997E-2</v>
      </c>
      <c r="R2869">
        <v>-0.98852589999999996</v>
      </c>
      <c r="S2869">
        <v>0.27877809999999997</v>
      </c>
      <c r="T2869">
        <v>-0.2300335</v>
      </c>
      <c r="U2869">
        <v>-2.9793400000000001</v>
      </c>
      <c r="V2869">
        <v>-0.126475</v>
      </c>
      <c r="W2869">
        <v>-8.7314920000000004E-2</v>
      </c>
      <c r="X2869">
        <v>0.98811950000000004</v>
      </c>
      <c r="Y2869">
        <v>-9.6399899999999997E-2</v>
      </c>
      <c r="Z2869">
        <v>7.6195730000000003E-2</v>
      </c>
      <c r="AA2869">
        <v>0.99242189999999997</v>
      </c>
      <c r="AB2869">
        <v>23</v>
      </c>
      <c r="AC2869">
        <v>1.3557999999999799</v>
      </c>
      <c r="AD2869">
        <v>-1.125018779088</v>
      </c>
      <c r="AE2869">
        <v>-14.3422999999999</v>
      </c>
      <c r="AF2869">
        <v>-1.3978210230917201</v>
      </c>
      <c r="AG2869">
        <v>-1.125018779088</v>
      </c>
      <c r="AH2869">
        <v>14.250526085370501</v>
      </c>
      <c r="AI2869">
        <v>94.492426296681302</v>
      </c>
      <c r="AJ2869">
        <v>95.602169257156504</v>
      </c>
      <c r="AK2869">
        <v>14.3630451010822</v>
      </c>
      <c r="AL2869">
        <v>95.009155168869398</v>
      </c>
      <c r="AM2869">
        <v>97.293951221779295</v>
      </c>
      <c r="AN2869">
        <v>0.99999998357992803</v>
      </c>
    </row>
    <row r="2870" spans="1:40" x14ac:dyDescent="0.25">
      <c r="A2870" t="str">
        <f>"20190303154823851"</f>
        <v>20190303154823851</v>
      </c>
      <c r="B2870" t="str">
        <f>"1551599303843290"</f>
        <v>1551599303843290</v>
      </c>
      <c r="C2870" t="s">
        <v>40</v>
      </c>
      <c r="D2870">
        <v>5.6277589999999904</v>
      </c>
      <c r="E2870">
        <v>0.50963099999999995</v>
      </c>
      <c r="F2870" t="s">
        <v>41</v>
      </c>
      <c r="G2870">
        <v>-491.07029999999997</v>
      </c>
      <c r="H2870" s="1">
        <v>-1.7789470000000001E-6</v>
      </c>
      <c r="I2870">
        <v>253.07210000000001</v>
      </c>
      <c r="J2870">
        <v>-492.47120000000001</v>
      </c>
      <c r="K2870">
        <v>1.1250450000000001</v>
      </c>
      <c r="L2870">
        <v>267.17250000000001</v>
      </c>
      <c r="M2870">
        <v>5.5611150000000002E-3</v>
      </c>
      <c r="N2870">
        <v>-4.0331399999999999E-4</v>
      </c>
      <c r="O2870">
        <v>-0.9999844</v>
      </c>
      <c r="P2870">
        <v>0.12766749999999999</v>
      </c>
      <c r="Q2870">
        <v>-8.516638E-2</v>
      </c>
      <c r="R2870">
        <v>-0.98815339999999996</v>
      </c>
      <c r="S2870">
        <v>0.29333500000000001</v>
      </c>
      <c r="T2870">
        <v>-0.2341036</v>
      </c>
      <c r="U2870">
        <v>-2.9775999999999998</v>
      </c>
      <c r="V2870">
        <v>-0.12093569999999999</v>
      </c>
      <c r="W2870">
        <v>-8.6519589999999993E-2</v>
      </c>
      <c r="X2870">
        <v>0.9888827</v>
      </c>
      <c r="Y2870">
        <v>-9.220623E-2</v>
      </c>
      <c r="Z2870">
        <v>7.7621280000000001E-2</v>
      </c>
      <c r="AA2870">
        <v>0.99270990000000003</v>
      </c>
      <c r="AB2870">
        <v>23</v>
      </c>
      <c r="AC2870">
        <v>1.40090000000003</v>
      </c>
      <c r="AD2870">
        <v>-1.125046778947</v>
      </c>
      <c r="AE2870">
        <v>-14.1004</v>
      </c>
      <c r="AF2870">
        <v>-1.31417986204251</v>
      </c>
      <c r="AG2870">
        <v>-1.125046778947</v>
      </c>
      <c r="AH2870">
        <v>14.019593767680201</v>
      </c>
      <c r="AI2870">
        <v>94.568109100617804</v>
      </c>
      <c r="AJ2870">
        <v>95.355188781713906</v>
      </c>
      <c r="AK2870">
        <v>14.125926814740099</v>
      </c>
      <c r="AL2870">
        <v>94.963412730767402</v>
      </c>
      <c r="AM2870">
        <v>96.9723817577906</v>
      </c>
      <c r="AN2870">
        <v>1.00000003867377</v>
      </c>
    </row>
    <row r="2871" spans="1:40" x14ac:dyDescent="0.25">
      <c r="A2871" t="str">
        <f>"20190303154823864"</f>
        <v>20190303154823864</v>
      </c>
      <c r="B2871" t="str">
        <f>"1551599303854027"</f>
        <v>1551599303854027</v>
      </c>
      <c r="C2871" t="s">
        <v>40</v>
      </c>
      <c r="D2871">
        <v>5.6514170000000004</v>
      </c>
      <c r="E2871">
        <v>0.50961210000000001</v>
      </c>
      <c r="F2871" t="s">
        <v>41</v>
      </c>
      <c r="G2871">
        <v>-490.96780000000001</v>
      </c>
      <c r="H2871" s="1">
        <v>-1.5327439999999999E-6</v>
      </c>
      <c r="I2871">
        <v>252.5617</v>
      </c>
      <c r="J2871">
        <v>-492.46420000000001</v>
      </c>
      <c r="K2871">
        <v>1.125057</v>
      </c>
      <c r="L2871">
        <v>267.02870000000001</v>
      </c>
      <c r="M2871">
        <v>1.1752459999999999E-2</v>
      </c>
      <c r="N2871">
        <v>-3.7978900000000001E-4</v>
      </c>
      <c r="O2871">
        <v>-0.99993089999999996</v>
      </c>
      <c r="P2871">
        <v>0.13089419999999999</v>
      </c>
      <c r="Q2871">
        <v>-8.4385669999999996E-2</v>
      </c>
      <c r="R2871">
        <v>-0.98779839999999997</v>
      </c>
      <c r="S2871">
        <v>0.3062744</v>
      </c>
      <c r="T2871">
        <v>-0.22920479999999999</v>
      </c>
      <c r="U2871">
        <v>-2.9766539999999999</v>
      </c>
      <c r="V2871">
        <v>-0.1180481</v>
      </c>
      <c r="W2871">
        <v>-8.5726919999999998E-2</v>
      </c>
      <c r="X2871">
        <v>0.98930050000000003</v>
      </c>
      <c r="Y2871">
        <v>-9.0356480000000003E-2</v>
      </c>
      <c r="Z2871">
        <v>7.6029689999999997E-2</v>
      </c>
      <c r="AA2871">
        <v>0.99300310000000003</v>
      </c>
      <c r="AB2871">
        <v>23</v>
      </c>
      <c r="AC2871">
        <v>1.49639999999999</v>
      </c>
      <c r="AD2871">
        <v>-1.1250585327439999</v>
      </c>
      <c r="AE2871">
        <v>-14.467000000000001</v>
      </c>
      <c r="AF2871">
        <v>-1.3183849591008401</v>
      </c>
      <c r="AG2871">
        <v>-1.1250585327439999</v>
      </c>
      <c r="AH2871">
        <v>14.3974369779166</v>
      </c>
      <c r="AI2871">
        <v>94.449641185651203</v>
      </c>
      <c r="AJ2871">
        <v>95.232029574772298</v>
      </c>
      <c r="AK2871">
        <v>14.5013822491363</v>
      </c>
      <c r="AL2871">
        <v>94.917827053871704</v>
      </c>
      <c r="AM2871">
        <v>96.804634329834698</v>
      </c>
      <c r="AN2871">
        <v>0.99999996901327204</v>
      </c>
    </row>
    <row r="2872" spans="1:40" x14ac:dyDescent="0.25">
      <c r="A2872" t="str">
        <f>"20190303154823885"</f>
        <v>20190303154823885</v>
      </c>
      <c r="B2872" t="str">
        <f>"1551599303873547"</f>
        <v>1551599303873547</v>
      </c>
      <c r="C2872" t="s">
        <v>40</v>
      </c>
      <c r="D2872">
        <v>5.6951280000000004</v>
      </c>
      <c r="E2872">
        <v>0.50965090000000002</v>
      </c>
      <c r="F2872" t="s">
        <v>41</v>
      </c>
      <c r="G2872">
        <v>-490.89620000000002</v>
      </c>
      <c r="H2872" s="1">
        <v>-1.3874879999999999E-6</v>
      </c>
      <c r="I2872">
        <v>252.26750000000001</v>
      </c>
      <c r="J2872">
        <v>-492.45249999999999</v>
      </c>
      <c r="K2872">
        <v>1.125059</v>
      </c>
      <c r="L2872">
        <v>266.81970000000001</v>
      </c>
      <c r="M2872">
        <v>2.0638259999999999E-2</v>
      </c>
      <c r="N2872">
        <v>-3.4725879999999998E-4</v>
      </c>
      <c r="O2872">
        <v>-0.99978699999999998</v>
      </c>
      <c r="P2872">
        <v>0.13368729999999901</v>
      </c>
      <c r="Q2872">
        <v>-8.2779140000000001E-2</v>
      </c>
      <c r="R2872">
        <v>-0.9875602</v>
      </c>
      <c r="S2872">
        <v>0.31610110000000002</v>
      </c>
      <c r="T2872">
        <v>-0.22680710000000001</v>
      </c>
      <c r="U2872">
        <v>-2.9758</v>
      </c>
      <c r="V2872">
        <v>-0.1120689</v>
      </c>
      <c r="W2872">
        <v>-8.4070740000000005E-2</v>
      </c>
      <c r="X2872">
        <v>0.99013770000000001</v>
      </c>
      <c r="Y2872">
        <v>-8.4783549999999999E-2</v>
      </c>
      <c r="Z2872">
        <v>7.5278449999999997E-2</v>
      </c>
      <c r="AA2872">
        <v>0.99355170000000004</v>
      </c>
      <c r="AB2872">
        <v>23</v>
      </c>
      <c r="AC2872">
        <v>1.55629999999996</v>
      </c>
      <c r="AD2872">
        <v>-1.1250603874879901</v>
      </c>
      <c r="AE2872">
        <v>-14.552199999999999</v>
      </c>
      <c r="AF2872">
        <v>-1.24825976248945</v>
      </c>
      <c r="AG2872">
        <v>-1.1250603874879901</v>
      </c>
      <c r="AH2872">
        <v>14.495557426460399</v>
      </c>
      <c r="AI2872">
        <v>94.421766746355402</v>
      </c>
      <c r="AJ2872">
        <v>94.921784725752602</v>
      </c>
      <c r="AK2872">
        <v>14.592638500763201</v>
      </c>
      <c r="AL2872">
        <v>94.822590941453399</v>
      </c>
      <c r="AM2872">
        <v>96.457550259089203</v>
      </c>
      <c r="AN2872">
        <v>0.99999999631632297</v>
      </c>
    </row>
    <row r="2873" spans="1:40" x14ac:dyDescent="0.25">
      <c r="A2873" t="str">
        <f>"20190303154823897"</f>
        <v>20190303154823897</v>
      </c>
      <c r="B2873" t="str">
        <f>"1551599303894043"</f>
        <v>1551599303894043</v>
      </c>
      <c r="C2873" t="s">
        <v>40</v>
      </c>
      <c r="D2873">
        <v>5.6254099999999996</v>
      </c>
      <c r="E2873">
        <v>0.50909380000000004</v>
      </c>
      <c r="F2873" t="s">
        <v>41</v>
      </c>
      <c r="G2873">
        <v>-490.81450000000001</v>
      </c>
      <c r="H2873" s="1">
        <v>-1.168734E-6</v>
      </c>
      <c r="I2873">
        <v>251.8083</v>
      </c>
      <c r="J2873">
        <v>-492.44369999999998</v>
      </c>
      <c r="K2873">
        <v>1.1250549999999999</v>
      </c>
      <c r="L2873">
        <v>266.67849999999999</v>
      </c>
      <c r="M2873">
        <v>2.656412E-2</v>
      </c>
      <c r="N2873">
        <v>-3.2623560000000001E-4</v>
      </c>
      <c r="O2873">
        <v>-0.99964710000000001</v>
      </c>
      <c r="P2873">
        <v>0.1362186</v>
      </c>
      <c r="Q2873">
        <v>-8.318064E-2</v>
      </c>
      <c r="R2873">
        <v>-0.98718079999999997</v>
      </c>
      <c r="S2873">
        <v>0.32464599999999999</v>
      </c>
      <c r="T2873">
        <v>-0.22297910000000001</v>
      </c>
      <c r="U2873">
        <v>-2.9751590000000001</v>
      </c>
      <c r="V2873">
        <v>-0.108732</v>
      </c>
      <c r="W2873">
        <v>-8.444575E-2</v>
      </c>
      <c r="X2873">
        <v>0.99047779999999996</v>
      </c>
      <c r="Y2873">
        <v>-8.1730720000000007E-2</v>
      </c>
      <c r="Z2873">
        <v>7.4028659999999996E-2</v>
      </c>
      <c r="AA2873">
        <v>0.99390129999999999</v>
      </c>
      <c r="AB2873">
        <v>24</v>
      </c>
      <c r="AC2873">
        <v>1.62919999999996</v>
      </c>
      <c r="AD2873">
        <v>-1.1250561687339999</v>
      </c>
      <c r="AE2873">
        <v>-14.870199999999899</v>
      </c>
      <c r="AF2873">
        <v>-1.2266728585195299</v>
      </c>
      <c r="AG2873">
        <v>-1.1250561687339999</v>
      </c>
      <c r="AH2873">
        <v>14.8243795548662</v>
      </c>
      <c r="AI2873">
        <v>94.325262601175297</v>
      </c>
      <c r="AJ2873">
        <v>94.730277042138795</v>
      </c>
      <c r="AK2873">
        <v>14.9175301867089</v>
      </c>
      <c r="AL2873">
        <v>94.844154082055596</v>
      </c>
      <c r="AM2873">
        <v>96.264692185467098</v>
      </c>
      <c r="AN2873">
        <v>1.00000000240495</v>
      </c>
    </row>
    <row r="2874" spans="1:40" x14ac:dyDescent="0.25">
      <c r="A2874" t="str">
        <f>"20190303154823918"</f>
        <v>20190303154823918</v>
      </c>
      <c r="B2874" t="str">
        <f>"1551599303913563"</f>
        <v>1551599303913563</v>
      </c>
      <c r="C2874" t="s">
        <v>40</v>
      </c>
      <c r="D2874">
        <v>5.6788379999999998</v>
      </c>
      <c r="E2874">
        <v>0.50917120000000005</v>
      </c>
      <c r="F2874" t="s">
        <v>41</v>
      </c>
      <c r="G2874">
        <v>-490.73669999999998</v>
      </c>
      <c r="H2874" s="1">
        <v>-1.0501309999999999E-6</v>
      </c>
      <c r="I2874">
        <v>251.58</v>
      </c>
      <c r="J2874">
        <v>-492.42970000000003</v>
      </c>
      <c r="K2874">
        <v>1.1250199999999999</v>
      </c>
      <c r="L2874">
        <v>266.47669999999999</v>
      </c>
      <c r="M2874">
        <v>3.4898930000000002E-2</v>
      </c>
      <c r="N2874">
        <v>-2.9783570000000001E-4</v>
      </c>
      <c r="O2874">
        <v>-0.99939080000000002</v>
      </c>
      <c r="P2874">
        <v>0.13840959999999999</v>
      </c>
      <c r="Q2874">
        <v>-8.5260879999999997E-2</v>
      </c>
      <c r="R2874">
        <v>-0.98669850000000003</v>
      </c>
      <c r="S2874">
        <v>0.33621220000000002</v>
      </c>
      <c r="T2874">
        <v>-0.22159480000000001</v>
      </c>
      <c r="U2874">
        <v>-2.973846</v>
      </c>
      <c r="V2874">
        <v>-0.102646</v>
      </c>
      <c r="W2874">
        <v>-8.6465029999999998E-2</v>
      </c>
      <c r="X2874">
        <v>0.99095279999999997</v>
      </c>
      <c r="Y2874">
        <v>-7.7288640000000006E-2</v>
      </c>
      <c r="Z2874">
        <v>7.3599289999999998E-2</v>
      </c>
      <c r="AA2874">
        <v>0.99428850000000002</v>
      </c>
      <c r="AB2874">
        <v>24</v>
      </c>
      <c r="AC2874">
        <v>1.69300000000004</v>
      </c>
      <c r="AD2874">
        <v>-1.1250210501310001</v>
      </c>
      <c r="AE2874">
        <v>-14.8966999999999</v>
      </c>
      <c r="AF2874">
        <v>-1.1655269764649301</v>
      </c>
      <c r="AG2874">
        <v>-1.1250210501310001</v>
      </c>
      <c r="AH2874">
        <v>14.863019301628301</v>
      </c>
      <c r="AI2874">
        <v>94.315416262324703</v>
      </c>
      <c r="AJ2874">
        <v>94.483839632362006</v>
      </c>
      <c r="AK2874">
        <v>14.9510356917734</v>
      </c>
      <c r="AL2874">
        <v>94.960275468185202</v>
      </c>
      <c r="AM2874">
        <v>95.913786187627807</v>
      </c>
      <c r="AN2874">
        <v>0.99999992727836695</v>
      </c>
    </row>
    <row r="2875" spans="1:40" x14ac:dyDescent="0.25">
      <c r="A2875" t="str">
        <f>"20190303154823932"</f>
        <v>20190303154823932</v>
      </c>
      <c r="B2875" t="str">
        <f>"1551599303923324"</f>
        <v>1551599303923324</v>
      </c>
      <c r="C2875" t="s">
        <v>40</v>
      </c>
      <c r="D2875">
        <v>5.6998850000000001</v>
      </c>
      <c r="E2875">
        <v>0.50920159999999903</v>
      </c>
      <c r="F2875" t="s">
        <v>41</v>
      </c>
      <c r="G2875">
        <v>-490.7491</v>
      </c>
      <c r="H2875" s="1">
        <v>-1.184512E-6</v>
      </c>
      <c r="I2875">
        <v>251.88560000000001</v>
      </c>
      <c r="J2875">
        <v>-492.4187</v>
      </c>
      <c r="K2875">
        <v>1.1249849999999999</v>
      </c>
      <c r="L2875">
        <v>266.33269999999999</v>
      </c>
      <c r="M2875">
        <v>4.074063E-2</v>
      </c>
      <c r="N2875">
        <v>-2.780196E-4</v>
      </c>
      <c r="O2875">
        <v>-0.9991698</v>
      </c>
      <c r="P2875">
        <v>0.14085300000000001</v>
      </c>
      <c r="Q2875">
        <v>-8.6724099999999998E-2</v>
      </c>
      <c r="R2875">
        <v>-0.98622500000000002</v>
      </c>
      <c r="S2875">
        <v>0.34237669999999998</v>
      </c>
      <c r="T2875">
        <v>-0.22919390000000001</v>
      </c>
      <c r="U2875">
        <v>-2.9725649999999999</v>
      </c>
      <c r="V2875">
        <v>-9.9293640000000002E-2</v>
      </c>
      <c r="W2875">
        <v>-8.7896160000000001E-2</v>
      </c>
      <c r="X2875">
        <v>0.99116850000000001</v>
      </c>
      <c r="Y2875">
        <v>-7.3521260000000005E-2</v>
      </c>
      <c r="Z2875">
        <v>7.6147899999999893E-2</v>
      </c>
      <c r="AA2875">
        <v>0.99438230000000005</v>
      </c>
      <c r="AB2875">
        <v>24</v>
      </c>
      <c r="AC2875">
        <v>1.6696</v>
      </c>
      <c r="AD2875">
        <v>-1.1249861845119999</v>
      </c>
      <c r="AE2875">
        <v>-14.447099999999899</v>
      </c>
      <c r="AF2875">
        <v>-1.07320811964032</v>
      </c>
      <c r="AG2875">
        <v>-1.1249861845119999</v>
      </c>
      <c r="AH2875">
        <v>14.416859506575801</v>
      </c>
      <c r="AI2875">
        <v>94.449639430726094</v>
      </c>
      <c r="AJ2875">
        <v>94.257313411783699</v>
      </c>
      <c r="AK2875">
        <v>14.5004554278736</v>
      </c>
      <c r="AL2875">
        <v>95.042586328332007</v>
      </c>
      <c r="AM2875">
        <v>95.720711349833394</v>
      </c>
      <c r="AN2875">
        <v>0.99999997863972201</v>
      </c>
    </row>
    <row r="2876" spans="1:40" x14ac:dyDescent="0.25">
      <c r="A2876" t="str">
        <f>"20190303154823951"</f>
        <v>20190303154823951</v>
      </c>
      <c r="B2876" t="str">
        <f>"1551599303943819"</f>
        <v>1551599303943819</v>
      </c>
      <c r="C2876" t="s">
        <v>40</v>
      </c>
      <c r="D2876">
        <v>5.6716069999999998</v>
      </c>
      <c r="E2876">
        <v>0.50918140000000001</v>
      </c>
      <c r="F2876" t="s">
        <v>41</v>
      </c>
      <c r="G2876">
        <v>-490.73860000000002</v>
      </c>
      <c r="H2876" s="1">
        <v>-1.2493639999999999E-6</v>
      </c>
      <c r="I2876">
        <v>252.04329999999999</v>
      </c>
      <c r="J2876">
        <v>-492.40109999999999</v>
      </c>
      <c r="K2876">
        <v>1.124914</v>
      </c>
      <c r="L2876">
        <v>266.11939999999998</v>
      </c>
      <c r="M2876">
        <v>4.9241380000000001E-2</v>
      </c>
      <c r="N2876">
        <v>-2.4896E-4</v>
      </c>
      <c r="O2876">
        <v>-0.99878690000000003</v>
      </c>
      <c r="P2876">
        <v>0.14269009999999999</v>
      </c>
      <c r="Q2876">
        <v>-9.0113730000000003E-2</v>
      </c>
      <c r="R2876">
        <v>-0.98565689999999995</v>
      </c>
      <c r="S2876">
        <v>0.34936519999999999</v>
      </c>
      <c r="T2876">
        <v>-0.2339369</v>
      </c>
      <c r="U2876">
        <v>-2.9714360000000002</v>
      </c>
      <c r="V2876">
        <v>-9.2677229999999999E-2</v>
      </c>
      <c r="W2876">
        <v>-9.1211799999999996E-2</v>
      </c>
      <c r="X2876">
        <v>0.99150959999999999</v>
      </c>
      <c r="Y2876">
        <v>-6.7369739999999997E-2</v>
      </c>
      <c r="Z2876">
        <v>7.7739950000000002E-2</v>
      </c>
      <c r="AA2876">
        <v>0.99469479999999999</v>
      </c>
      <c r="AB2876">
        <v>24</v>
      </c>
      <c r="AC2876">
        <v>1.6624999999999599</v>
      </c>
      <c r="AD2876">
        <v>-1.124915249364</v>
      </c>
      <c r="AE2876">
        <v>-14.076099999999901</v>
      </c>
      <c r="AF2876">
        <v>-0.96130158218796202</v>
      </c>
      <c r="AG2876">
        <v>-1.124915249364</v>
      </c>
      <c r="AH2876">
        <v>14.052374924980199</v>
      </c>
      <c r="AI2876">
        <v>94.566232941285094</v>
      </c>
      <c r="AJ2876">
        <v>93.913420107030305</v>
      </c>
      <c r="AK2876">
        <v>14.1300663863402</v>
      </c>
      <c r="AL2876">
        <v>95.233325017860693</v>
      </c>
      <c r="AM2876">
        <v>95.339968998898399</v>
      </c>
      <c r="AN2876">
        <v>0.999999974155936</v>
      </c>
    </row>
    <row r="2877" spans="1:40" x14ac:dyDescent="0.25">
      <c r="A2877" t="str">
        <f>"20190303154823974"</f>
        <v>20190303154823974</v>
      </c>
      <c r="B2877" t="str">
        <f>"1551599303963339"</f>
        <v>1551599303963339</v>
      </c>
      <c r="C2877" t="s">
        <v>40</v>
      </c>
      <c r="D2877">
        <v>5.7166459999999999</v>
      </c>
      <c r="E2877">
        <v>0.50908929999999997</v>
      </c>
      <c r="F2877" t="s">
        <v>41</v>
      </c>
      <c r="G2877">
        <v>-490.76609999999999</v>
      </c>
      <c r="H2877" s="1">
        <v>-1.4343819999999999E-6</v>
      </c>
      <c r="I2877">
        <v>252.45750000000001</v>
      </c>
      <c r="J2877">
        <v>-492.37920000000003</v>
      </c>
      <c r="K2877">
        <v>1.1248370000000001</v>
      </c>
      <c r="L2877">
        <v>265.87479999999999</v>
      </c>
      <c r="M2877">
        <v>5.8739039999999999E-2</v>
      </c>
      <c r="N2877">
        <v>-2.164794E-4</v>
      </c>
      <c r="O2877">
        <v>-0.99827339999999998</v>
      </c>
      <c r="P2877">
        <v>0.14531540000000001</v>
      </c>
      <c r="Q2877">
        <v>-9.2422550000000006E-2</v>
      </c>
      <c r="R2877">
        <v>-0.98505929999999997</v>
      </c>
      <c r="S2877">
        <v>0.35540769999999999</v>
      </c>
      <c r="T2877">
        <v>-0.24453279999999999</v>
      </c>
      <c r="U2877">
        <v>-2.9698180000000001</v>
      </c>
      <c r="V2877">
        <v>-8.5876999999999995E-2</v>
      </c>
      <c r="W2877">
        <v>-9.3444029999999997E-2</v>
      </c>
      <c r="X2877">
        <v>0.99191399999999996</v>
      </c>
      <c r="Y2877">
        <v>-5.9903190000000002E-2</v>
      </c>
      <c r="Z2877">
        <v>8.1272590000000006E-2</v>
      </c>
      <c r="AA2877">
        <v>0.99489019999999995</v>
      </c>
      <c r="AB2877">
        <v>24</v>
      </c>
      <c r="AC2877">
        <v>1.61310000000003</v>
      </c>
      <c r="AD2877">
        <v>-1.1248384343819999</v>
      </c>
      <c r="AE2877">
        <v>-13.4172999999999</v>
      </c>
      <c r="AF2877">
        <v>-0.81653837248877703</v>
      </c>
      <c r="AG2877">
        <v>-1.1248384343819999</v>
      </c>
      <c r="AH2877">
        <v>13.3960751686263</v>
      </c>
      <c r="AI2877">
        <v>94.790888985998393</v>
      </c>
      <c r="AJ2877">
        <v>93.488065803798605</v>
      </c>
      <c r="AK2877">
        <v>13.467992661888999</v>
      </c>
      <c r="AL2877">
        <v>95.361770826080303</v>
      </c>
      <c r="AM2877">
        <v>94.948161750755204</v>
      </c>
      <c r="AN2877">
        <v>1.0000000146338199</v>
      </c>
    </row>
    <row r="2878" spans="1:40" x14ac:dyDescent="0.25">
      <c r="A2878" t="str">
        <f>"20190303154823990"</f>
        <v>20190303154823990</v>
      </c>
      <c r="B2878" t="str">
        <f>"1551599303983835"</f>
        <v>1551599303983835</v>
      </c>
      <c r="C2878" t="s">
        <v>40</v>
      </c>
      <c r="D2878">
        <v>5.7183699999999904</v>
      </c>
      <c r="E2878">
        <v>0.50911890000000004</v>
      </c>
      <c r="F2878" t="s">
        <v>41</v>
      </c>
      <c r="G2878">
        <v>-490.74779999999998</v>
      </c>
      <c r="H2878" s="1">
        <v>-1.478817E-6</v>
      </c>
      <c r="I2878">
        <v>252.57249999999999</v>
      </c>
      <c r="J2878">
        <v>-492.3623</v>
      </c>
      <c r="K2878">
        <v>1.124781</v>
      </c>
      <c r="L2878">
        <v>265.70179999999999</v>
      </c>
      <c r="M2878">
        <v>6.528312E-2</v>
      </c>
      <c r="N2878">
        <v>-1.946401E-4</v>
      </c>
      <c r="O2878">
        <v>-0.9978669</v>
      </c>
      <c r="P2878">
        <v>0.1486519</v>
      </c>
      <c r="Q2878">
        <v>-9.2794169999999995E-2</v>
      </c>
      <c r="R2878">
        <v>-0.98452649999999997</v>
      </c>
      <c r="S2878">
        <v>0.3640137</v>
      </c>
      <c r="T2878">
        <v>-0.25099110000000002</v>
      </c>
      <c r="U2878">
        <v>-2.9682309999999998</v>
      </c>
      <c r="V2878">
        <v>-8.2740889999999997E-2</v>
      </c>
      <c r="W2878">
        <v>-9.3783409999999998E-2</v>
      </c>
      <c r="X2878">
        <v>0.99214849999999999</v>
      </c>
      <c r="Y2878">
        <v>-5.624183E-2</v>
      </c>
      <c r="Z2878">
        <v>8.341925E-2</v>
      </c>
      <c r="AA2878">
        <v>0.99492619999999998</v>
      </c>
      <c r="AB2878">
        <v>24</v>
      </c>
      <c r="AC2878">
        <v>1.61450000000002</v>
      </c>
      <c r="AD2878">
        <v>-1.124782478817</v>
      </c>
      <c r="AE2878">
        <v>-13.129300000000001</v>
      </c>
      <c r="AF2878">
        <v>-0.74852256490163105</v>
      </c>
      <c r="AG2878">
        <v>-1.124782478817</v>
      </c>
      <c r="AH2878">
        <v>13.111893453930501</v>
      </c>
      <c r="AI2878">
        <v>94.895090965871603</v>
      </c>
      <c r="AJ2878">
        <v>93.267314951751999</v>
      </c>
      <c r="AK2878">
        <v>13.181319038777801</v>
      </c>
      <c r="AL2878">
        <v>95.381301636197904</v>
      </c>
      <c r="AM2878">
        <v>94.767188731673102</v>
      </c>
      <c r="AN2878">
        <v>1.0000000144607299</v>
      </c>
    </row>
    <row r="2879" spans="1:40" x14ac:dyDescent="0.25">
      <c r="A2879" t="str">
        <f>"20190303154824009"</f>
        <v>20190303154824009</v>
      </c>
      <c r="B2879" t="str">
        <f>"1551599304003355"</f>
        <v>1551599304003355</v>
      </c>
      <c r="C2879" t="s">
        <v>40</v>
      </c>
      <c r="D2879">
        <v>5.7403029999999999</v>
      </c>
      <c r="E2879">
        <v>0.50909300000000002</v>
      </c>
      <c r="F2879" t="s">
        <v>41</v>
      </c>
      <c r="G2879">
        <v>-490.68880000000001</v>
      </c>
      <c r="H2879" s="1">
        <v>-1.3927499999999999E-6</v>
      </c>
      <c r="I2879">
        <v>252.4084</v>
      </c>
      <c r="J2879">
        <v>-492.3408</v>
      </c>
      <c r="K2879">
        <v>1.1247</v>
      </c>
      <c r="L2879">
        <v>265.49419999999998</v>
      </c>
      <c r="M2879">
        <v>7.2941649999999997E-2</v>
      </c>
      <c r="N2879">
        <v>-1.6941610000000001E-4</v>
      </c>
      <c r="O2879">
        <v>-0.99733629999999995</v>
      </c>
      <c r="P2879">
        <v>0.15018719999999999</v>
      </c>
      <c r="Q2879">
        <v>-9.1742969999999993E-2</v>
      </c>
      <c r="R2879">
        <v>-0.98439160000000003</v>
      </c>
      <c r="S2879">
        <v>0.37353520000000001</v>
      </c>
      <c r="T2879">
        <v>-0.25105660000000002</v>
      </c>
      <c r="U2879">
        <v>-2.967133</v>
      </c>
      <c r="V2879">
        <v>-7.6691899999999993E-2</v>
      </c>
      <c r="W2879">
        <v>-9.2659389999999994E-2</v>
      </c>
      <c r="X2879">
        <v>0.99273990000000001</v>
      </c>
      <c r="Y2879">
        <v>-5.1765169999999999E-2</v>
      </c>
      <c r="Z2879">
        <v>8.3423830000000004E-2</v>
      </c>
      <c r="AA2879">
        <v>0.99516870000000002</v>
      </c>
      <c r="AB2879">
        <v>25</v>
      </c>
      <c r="AC2879">
        <v>1.6519999999999799</v>
      </c>
      <c r="AD2879">
        <v>-1.12470139275</v>
      </c>
      <c r="AE2879">
        <v>-13.0857999999999</v>
      </c>
      <c r="AF2879">
        <v>-0.68809636583884803</v>
      </c>
      <c r="AG2879">
        <v>-1.12470139275</v>
      </c>
      <c r="AH2879">
        <v>13.076360759698501</v>
      </c>
      <c r="AI2879">
        <v>94.909168500760401</v>
      </c>
      <c r="AJ2879">
        <v>93.012205710912994</v>
      </c>
      <c r="AK2879">
        <v>13.1426648952683</v>
      </c>
      <c r="AL2879">
        <v>95.316618654707398</v>
      </c>
      <c r="AM2879">
        <v>94.417483373905597</v>
      </c>
      <c r="AN2879">
        <v>0.99999995956639498</v>
      </c>
    </row>
    <row r="2880" spans="1:40" x14ac:dyDescent="0.25">
      <c r="A2880" t="str">
        <f>"20190303154824033"</f>
        <v>20190303154824033</v>
      </c>
      <c r="B2880" t="str">
        <f>"1551599304023243"</f>
        <v>1551599304023243</v>
      </c>
      <c r="C2880" t="s">
        <v>40</v>
      </c>
      <c r="D2880">
        <v>5.9480810000000002</v>
      </c>
      <c r="E2880">
        <v>0.50916189999999995</v>
      </c>
      <c r="F2880" t="s">
        <v>41</v>
      </c>
      <c r="G2880">
        <v>-490.61649999999997</v>
      </c>
      <c r="H2880" s="1">
        <v>-1.1846639999999999E-6</v>
      </c>
      <c r="I2880">
        <v>251.9682</v>
      </c>
      <c r="J2880">
        <v>-492.31209999999999</v>
      </c>
      <c r="K2880">
        <v>1.124603</v>
      </c>
      <c r="L2880">
        <v>265.23480000000001</v>
      </c>
      <c r="M2880">
        <v>8.219928E-2</v>
      </c>
      <c r="N2880">
        <v>-1.3905539999999999E-4</v>
      </c>
      <c r="O2880">
        <v>-0.9966161</v>
      </c>
      <c r="P2880">
        <v>0.15391350000000001</v>
      </c>
      <c r="Q2880">
        <v>-9.1308769999999997E-2</v>
      </c>
      <c r="R2880">
        <v>-0.98385659999999997</v>
      </c>
      <c r="S2880">
        <v>0.37823489999999999</v>
      </c>
      <c r="T2880">
        <v>-0.24670059999999999</v>
      </c>
      <c r="U2880">
        <v>-2.966888</v>
      </c>
      <c r="V2880">
        <v>-7.1255940000000004E-2</v>
      </c>
      <c r="W2880">
        <v>-9.2162620000000001E-2</v>
      </c>
      <c r="X2880">
        <v>0.99319109999999999</v>
      </c>
      <c r="Y2880">
        <v>-4.4067769999999999E-2</v>
      </c>
      <c r="Z2880">
        <v>8.1938670000000005E-2</v>
      </c>
      <c r="AA2880">
        <v>0.99566259999999995</v>
      </c>
      <c r="AB2880">
        <v>25</v>
      </c>
      <c r="AC2880">
        <v>1.69560000000001</v>
      </c>
      <c r="AD2880">
        <v>-1.124604184664</v>
      </c>
      <c r="AE2880">
        <v>-13.2666</v>
      </c>
      <c r="AF2880">
        <v>-0.595149244821086</v>
      </c>
      <c r="AG2880">
        <v>-1.124604184664</v>
      </c>
      <c r="AH2880">
        <v>13.2672769984576</v>
      </c>
      <c r="AI2880">
        <v>94.8402651474386</v>
      </c>
      <c r="AJ2880">
        <v>92.568476929616807</v>
      </c>
      <c r="AK2880">
        <v>13.328149764673899</v>
      </c>
      <c r="AL2880">
        <v>95.288033512873</v>
      </c>
      <c r="AM2880">
        <v>94.103622484708396</v>
      </c>
      <c r="AN2880">
        <v>0.99999995931487795</v>
      </c>
    </row>
    <row r="2881" spans="1:40" x14ac:dyDescent="0.25">
      <c r="A2881" t="str">
        <f>"20190303154824052"</f>
        <v>20190303154824052</v>
      </c>
      <c r="B2881" t="str">
        <f>"1551599304043742"</f>
        <v>1551599304043742</v>
      </c>
      <c r="C2881" t="s">
        <v>40</v>
      </c>
      <c r="D2881">
        <v>5.7892299999999999</v>
      </c>
      <c r="E2881">
        <v>0.509212</v>
      </c>
      <c r="F2881" t="s">
        <v>41</v>
      </c>
      <c r="G2881">
        <v>-490.50889999999998</v>
      </c>
      <c r="H2881" s="1">
        <v>-9.5108040000000004E-7</v>
      </c>
      <c r="I2881">
        <v>251.4905</v>
      </c>
      <c r="J2881">
        <v>-492.28629999999998</v>
      </c>
      <c r="K2881">
        <v>1.1245019999999999</v>
      </c>
      <c r="L2881">
        <v>265.01659999999998</v>
      </c>
      <c r="M2881">
        <v>8.9710070000000003E-2</v>
      </c>
      <c r="N2881">
        <v>-1.149973E-4</v>
      </c>
      <c r="O2881">
        <v>-0.99596799999999996</v>
      </c>
      <c r="P2881">
        <v>0.15579860000000001</v>
      </c>
      <c r="Q2881">
        <v>-9.2144770000000001E-2</v>
      </c>
      <c r="R2881">
        <v>-0.98348190000000002</v>
      </c>
      <c r="S2881">
        <v>0.38909909999999998</v>
      </c>
      <c r="T2881">
        <v>-0.24267069999999999</v>
      </c>
      <c r="U2881">
        <v>-2.9657900000000001</v>
      </c>
      <c r="V2881">
        <v>-6.5685919999999995E-2</v>
      </c>
      <c r="W2881">
        <v>-9.2931319999999998E-2</v>
      </c>
      <c r="X2881">
        <v>0.99350349999999998</v>
      </c>
      <c r="Y2881">
        <v>-4.0184060000000001E-2</v>
      </c>
      <c r="Z2881">
        <v>8.0569520000000006E-2</v>
      </c>
      <c r="AA2881">
        <v>0.99593869999999896</v>
      </c>
      <c r="AB2881">
        <v>25</v>
      </c>
      <c r="AC2881">
        <v>1.7774000000000001</v>
      </c>
      <c r="AD2881">
        <v>-1.1245029510803899</v>
      </c>
      <c r="AE2881">
        <v>-13.5260999999999</v>
      </c>
      <c r="AF2881">
        <v>-0.55304855768912997</v>
      </c>
      <c r="AG2881">
        <v>-1.1245029510803899</v>
      </c>
      <c r="AH2881">
        <v>13.5390250040483</v>
      </c>
      <c r="AI2881">
        <v>94.743946659971499</v>
      </c>
      <c r="AJ2881">
        <v>92.339144905389702</v>
      </c>
      <c r="AK2881">
        <v>13.596895515315101</v>
      </c>
      <c r="AL2881">
        <v>95.332266198169606</v>
      </c>
      <c r="AM2881">
        <v>93.782630413142996</v>
      </c>
      <c r="AN2881">
        <v>1.00000003741771</v>
      </c>
    </row>
    <row r="2882" spans="1:40" x14ac:dyDescent="0.25">
      <c r="A2882" t="str">
        <f>"20190303154824074"</f>
        <v>20190303154824074</v>
      </c>
      <c r="B2882" t="str">
        <f>"1551599304063259"</f>
        <v>1551599304063259</v>
      </c>
      <c r="C2882" t="s">
        <v>40</v>
      </c>
      <c r="D2882">
        <v>5.8402960000000004</v>
      </c>
      <c r="E2882">
        <v>0.50938240000000001</v>
      </c>
      <c r="F2882" t="s">
        <v>41</v>
      </c>
      <c r="G2882">
        <v>-490.46660000000003</v>
      </c>
      <c r="H2882" s="1">
        <v>-8.6903869999999995E-7</v>
      </c>
      <c r="I2882">
        <v>251.3254</v>
      </c>
      <c r="J2882">
        <v>-492.25529999999998</v>
      </c>
      <c r="K2882">
        <v>1.1243780000000001</v>
      </c>
      <c r="L2882">
        <v>264.76859999999999</v>
      </c>
      <c r="M2882">
        <v>9.7937490000000002E-2</v>
      </c>
      <c r="N2882" s="1">
        <v>-8.9146369999999894E-5</v>
      </c>
      <c r="O2882">
        <v>-0.99519270000000004</v>
      </c>
      <c r="P2882">
        <v>0.15731579999999901</v>
      </c>
      <c r="Q2882">
        <v>-9.4747979999999996E-2</v>
      </c>
      <c r="R2882">
        <v>-0.98299289999999995</v>
      </c>
      <c r="S2882">
        <v>0.39407350000000002</v>
      </c>
      <c r="T2882">
        <v>-0.24353530000000001</v>
      </c>
      <c r="U2882">
        <v>-2.9651179999999999</v>
      </c>
      <c r="V2882">
        <v>-5.9022850000000002E-2</v>
      </c>
      <c r="W2882">
        <v>-9.5453339999999998E-2</v>
      </c>
      <c r="X2882">
        <v>0.99368250000000002</v>
      </c>
      <c r="Y2882">
        <v>-3.3594590000000001E-2</v>
      </c>
      <c r="Z2882">
        <v>8.0805619999999995E-2</v>
      </c>
      <c r="AA2882">
        <v>0.99616349999999998</v>
      </c>
      <c r="AB2882">
        <v>25</v>
      </c>
      <c r="AC2882">
        <v>1.78869999999994</v>
      </c>
      <c r="AD2882">
        <v>-1.1243788690387</v>
      </c>
      <c r="AE2882">
        <v>-13.4431999999999</v>
      </c>
      <c r="AF2882">
        <v>-0.46034353450474602</v>
      </c>
      <c r="AG2882">
        <v>-1.1243788690387</v>
      </c>
      <c r="AH2882">
        <v>13.461223400082799</v>
      </c>
      <c r="AI2882">
        <v>94.771898433002306</v>
      </c>
      <c r="AJ2882">
        <v>91.958623377542395</v>
      </c>
      <c r="AK2882">
        <v>13.515941677805399</v>
      </c>
      <c r="AL2882">
        <v>95.4774130017273</v>
      </c>
      <c r="AM2882">
        <v>93.399266361934295</v>
      </c>
      <c r="AN2882">
        <v>0.99999997387276296</v>
      </c>
    </row>
    <row r="2883" spans="1:40" x14ac:dyDescent="0.25">
      <c r="A2883" t="str">
        <f>"20190303154824097"</f>
        <v>20190303154824097</v>
      </c>
      <c r="B2883" t="str">
        <f>"1551599304093543"</f>
        <v>1551599304093543</v>
      </c>
      <c r="C2883" t="s">
        <v>40</v>
      </c>
      <c r="D2883">
        <v>5.7891830000000004</v>
      </c>
      <c r="E2883">
        <v>0.50953800000000005</v>
      </c>
      <c r="F2883" t="s">
        <v>41</v>
      </c>
      <c r="G2883">
        <v>-490.46690000000001</v>
      </c>
      <c r="H2883" s="1">
        <v>-9.1200769999999999E-7</v>
      </c>
      <c r="I2883">
        <v>251.4255</v>
      </c>
      <c r="J2883">
        <v>-492.22190000000001</v>
      </c>
      <c r="K2883">
        <v>1.124242</v>
      </c>
      <c r="L2883">
        <v>264.51440000000002</v>
      </c>
      <c r="M2883">
        <v>0.1060258</v>
      </c>
      <c r="N2883" s="1">
        <v>-6.7817689999999999E-5</v>
      </c>
      <c r="O2883">
        <v>-0.99436360000000001</v>
      </c>
      <c r="P2883">
        <v>0.157932399999999</v>
      </c>
      <c r="Q2883">
        <v>-9.8416649999999994E-2</v>
      </c>
      <c r="R2883">
        <v>-0.98253360000000001</v>
      </c>
      <c r="S2883">
        <v>0.3973083</v>
      </c>
      <c r="T2883">
        <v>-0.24978449999999999</v>
      </c>
      <c r="U2883">
        <v>-2.9642330000000001</v>
      </c>
      <c r="V2883">
        <v>-5.1585440000000003E-2</v>
      </c>
      <c r="W2883">
        <v>-9.9028179999999993E-2</v>
      </c>
      <c r="X2883">
        <v>0.99374660000000004</v>
      </c>
      <c r="Y2883">
        <v>-2.6552369999999999E-2</v>
      </c>
      <c r="Z2883">
        <v>8.2812250000000004E-2</v>
      </c>
      <c r="AA2883">
        <v>0.99621130000000002</v>
      </c>
      <c r="AB2883">
        <v>25</v>
      </c>
      <c r="AC2883">
        <v>1.7549999999999899</v>
      </c>
      <c r="AD2883">
        <v>-1.1242429120077</v>
      </c>
      <c r="AE2883">
        <v>-13.088900000000001</v>
      </c>
      <c r="AF2883">
        <v>-0.35477578368205998</v>
      </c>
      <c r="AG2883">
        <v>-1.1242429120077</v>
      </c>
      <c r="AH2883">
        <v>13.106213601537201</v>
      </c>
      <c r="AI2883">
        <v>94.901008492809694</v>
      </c>
      <c r="AJ2883">
        <v>91.550576924613594</v>
      </c>
      <c r="AK2883">
        <v>13.159126982858901</v>
      </c>
      <c r="AL2883">
        <v>95.683211681153793</v>
      </c>
      <c r="AM2883">
        <v>92.971559834595197</v>
      </c>
      <c r="AN2883">
        <v>0.99999997153283204</v>
      </c>
    </row>
    <row r="2884" spans="1:40" x14ac:dyDescent="0.25">
      <c r="A2884" t="str">
        <f>"20190303154824112"</f>
        <v>20190303154824112</v>
      </c>
      <c r="B2884" t="str">
        <f>"1551599304103276"</f>
        <v>1551599304103276</v>
      </c>
      <c r="C2884" t="s">
        <v>40</v>
      </c>
      <c r="D2884">
        <v>5.8112089999999998</v>
      </c>
      <c r="E2884">
        <v>0.50965870000000002</v>
      </c>
      <c r="F2884" t="s">
        <v>41</v>
      </c>
      <c r="G2884">
        <v>-490.50119999999998</v>
      </c>
      <c r="H2884" s="1">
        <v>-1.036971E-6</v>
      </c>
      <c r="I2884">
        <v>251.69540000000001</v>
      </c>
      <c r="J2884">
        <v>-492.19920000000002</v>
      </c>
      <c r="K2884">
        <v>1.124152</v>
      </c>
      <c r="L2884">
        <v>264.34960000000001</v>
      </c>
      <c r="M2884">
        <v>0.11106290000000001</v>
      </c>
      <c r="N2884" s="1">
        <v>-5.9152489999999999E-5</v>
      </c>
      <c r="O2884">
        <v>-0.99381339999999996</v>
      </c>
      <c r="P2884">
        <v>0.15925819999999999</v>
      </c>
      <c r="Q2884">
        <v>-0.100049</v>
      </c>
      <c r="R2884">
        <v>-0.98215430000000004</v>
      </c>
      <c r="S2884">
        <v>0.39776610000000001</v>
      </c>
      <c r="T2884">
        <v>-0.25989099999999998</v>
      </c>
      <c r="U2884">
        <v>-2.9633479999999999</v>
      </c>
      <c r="V2884">
        <v>-4.7908859999999998E-2</v>
      </c>
      <c r="W2884">
        <v>-0.10061150000000001</v>
      </c>
      <c r="X2884">
        <v>0.99377159999999998</v>
      </c>
      <c r="Y2884">
        <v>-2.1639510000000001E-2</v>
      </c>
      <c r="Z2884">
        <v>8.610777E-2</v>
      </c>
      <c r="AA2884">
        <v>0.99605080000000001</v>
      </c>
      <c r="AB2884">
        <v>26</v>
      </c>
      <c r="AC2884">
        <v>1.6980000000000299</v>
      </c>
      <c r="AD2884">
        <v>-1.124153036971</v>
      </c>
      <c r="AE2884">
        <v>-12.654199999999999</v>
      </c>
      <c r="AF2884">
        <v>-0.27991302449831601</v>
      </c>
      <c r="AG2884">
        <v>-1.124153036971</v>
      </c>
      <c r="AH2884">
        <v>12.666304892423</v>
      </c>
      <c r="AI2884">
        <v>95.070563789106501</v>
      </c>
      <c r="AJ2884">
        <v>91.265974966823407</v>
      </c>
      <c r="AK2884">
        <v>12.719172574489001</v>
      </c>
      <c r="AL2884">
        <v>95.774384658045605</v>
      </c>
      <c r="AM2884">
        <v>92.760042538105594</v>
      </c>
      <c r="AN2884">
        <v>0.99999996288265403</v>
      </c>
    </row>
    <row r="2885" spans="1:40" x14ac:dyDescent="0.25">
      <c r="A2885" t="str">
        <f>"20190303154824130"</f>
        <v>20190303154824130</v>
      </c>
      <c r="B2885" t="str">
        <f>"1551599304123771"</f>
        <v>1551599304123771</v>
      </c>
      <c r="C2885" t="s">
        <v>40</v>
      </c>
      <c r="D2885">
        <v>5.8190419999999996</v>
      </c>
      <c r="E2885">
        <v>0.50988350000000005</v>
      </c>
      <c r="F2885" t="s">
        <v>41</v>
      </c>
      <c r="G2885">
        <v>-490.4941</v>
      </c>
      <c r="H2885" s="1">
        <v>-1.060244E-6</v>
      </c>
      <c r="I2885">
        <v>251.75409999999999</v>
      </c>
      <c r="J2885">
        <v>-492.1678</v>
      </c>
      <c r="K2885">
        <v>1.1240250000000001</v>
      </c>
      <c r="L2885">
        <v>264.12909999999999</v>
      </c>
      <c r="M2885">
        <v>0.11759799999999999</v>
      </c>
      <c r="N2885" s="1">
        <v>-5.2705350000000002E-5</v>
      </c>
      <c r="O2885">
        <v>-0.99306139999999998</v>
      </c>
      <c r="P2885">
        <v>0.15931489999999901</v>
      </c>
      <c r="Q2885">
        <v>-0.1020235</v>
      </c>
      <c r="R2885">
        <v>-0.98194179999999998</v>
      </c>
      <c r="S2885">
        <v>0.40103149999999999</v>
      </c>
      <c r="T2885">
        <v>-0.26440920000000001</v>
      </c>
      <c r="U2885">
        <v>-2.962555</v>
      </c>
      <c r="V2885">
        <v>-4.1455270000000002E-2</v>
      </c>
      <c r="W2885">
        <v>-0.10249809999999999</v>
      </c>
      <c r="X2885">
        <v>0.993869</v>
      </c>
      <c r="Y2885">
        <v>-1.6159070000000001E-2</v>
      </c>
      <c r="Z2885">
        <v>8.752269E-2</v>
      </c>
      <c r="AA2885">
        <v>0.99603149999999996</v>
      </c>
      <c r="AB2885">
        <v>26</v>
      </c>
      <c r="AC2885">
        <v>1.67369999999999</v>
      </c>
      <c r="AD2885">
        <v>-1.124026060244</v>
      </c>
      <c r="AE2885">
        <v>-12.375</v>
      </c>
      <c r="AF2885">
        <v>-0.205149478695375</v>
      </c>
      <c r="AG2885">
        <v>-1.124026060244</v>
      </c>
      <c r="AH2885">
        <v>12.385609459508901</v>
      </c>
      <c r="AI2885">
        <v>95.184827781601001</v>
      </c>
      <c r="AJ2885">
        <v>90.948933888931293</v>
      </c>
      <c r="AK2885">
        <v>12.438200938085499</v>
      </c>
      <c r="AL2885">
        <v>95.8830404668509</v>
      </c>
      <c r="AM2885">
        <v>92.388479744441995</v>
      </c>
      <c r="AN2885">
        <v>0.99999999453769095</v>
      </c>
    </row>
    <row r="2886" spans="1:40" x14ac:dyDescent="0.25">
      <c r="A2886" t="str">
        <f>"20190303154824152"</f>
        <v>20190303154824152</v>
      </c>
      <c r="B2886" t="str">
        <f>"1551599304143291"</f>
        <v>1551599304143291</v>
      </c>
      <c r="C2886" t="s">
        <v>40</v>
      </c>
      <c r="D2886">
        <v>5.8636010000000001</v>
      </c>
      <c r="E2886">
        <v>0.51010390000000005</v>
      </c>
      <c r="F2886" t="s">
        <v>42</v>
      </c>
      <c r="G2886">
        <v>-492.05520000000001</v>
      </c>
      <c r="H2886">
        <v>1.048271</v>
      </c>
      <c r="I2886">
        <v>263.29390000000001</v>
      </c>
      <c r="J2886">
        <v>-492.13099999999997</v>
      </c>
      <c r="K2886">
        <v>1.1238859999999999</v>
      </c>
      <c r="L2886">
        <v>263.88130000000001</v>
      </c>
      <c r="M2886">
        <v>0.12465</v>
      </c>
      <c r="N2886" s="1">
        <v>-5.101773E-5</v>
      </c>
      <c r="O2886">
        <v>-0.99220079999999999</v>
      </c>
      <c r="P2886">
        <v>0.16062319999999999</v>
      </c>
      <c r="Q2886">
        <v>-0.1038555</v>
      </c>
      <c r="R2886">
        <v>-0.98153670000000004</v>
      </c>
      <c r="S2886">
        <v>0.39978029999999998</v>
      </c>
      <c r="T2886">
        <v>-0.26914139999999998</v>
      </c>
      <c r="U2886">
        <v>-2.9622799999999998</v>
      </c>
      <c r="V2886">
        <v>-3.5751640000000001E-2</v>
      </c>
      <c r="W2886">
        <v>-0.10424899999999999</v>
      </c>
      <c r="X2886">
        <v>0.99390840000000003</v>
      </c>
      <c r="Y2886">
        <v>-8.6365720000000003E-3</v>
      </c>
      <c r="Z2886">
        <v>8.8978489999999993E-2</v>
      </c>
      <c r="AA2886">
        <v>0.99599610000000005</v>
      </c>
      <c r="AB2886">
        <v>26</v>
      </c>
      <c r="AC2886">
        <v>7.5799999999958304E-2</v>
      </c>
      <c r="AD2886">
        <v>-7.5615000000000196E-2</v>
      </c>
      <c r="AE2886">
        <v>-0.58740000000000203</v>
      </c>
      <c r="AF2886">
        <v>-1.9575041514137501E-3</v>
      </c>
      <c r="AG2886">
        <v>-7.5615000000000196E-2</v>
      </c>
      <c r="AH2886">
        <v>0.58276834277106804</v>
      </c>
      <c r="AI2886">
        <v>97.392862619663305</v>
      </c>
      <c r="AJ2886">
        <v>90.192454353155497</v>
      </c>
      <c r="AK2886">
        <v>0.58765670368306</v>
      </c>
      <c r="AL2886">
        <v>95.983900148944102</v>
      </c>
      <c r="AM2886">
        <v>92.060084498978</v>
      </c>
      <c r="AN2886">
        <v>0.99999997067712398</v>
      </c>
    </row>
    <row r="2887" spans="1:40" x14ac:dyDescent="0.25">
      <c r="A2887" t="str">
        <f>"20190303154824174"</f>
        <v>20190303154824174</v>
      </c>
      <c r="B2887" t="str">
        <f>"1551599304163791"</f>
        <v>1551599304163791</v>
      </c>
      <c r="C2887" t="s">
        <v>40</v>
      </c>
      <c r="D2887">
        <v>5.813599</v>
      </c>
      <c r="E2887">
        <v>0.51031000000000004</v>
      </c>
      <c r="F2887" t="s">
        <v>42</v>
      </c>
      <c r="G2887">
        <v>-492.0204</v>
      </c>
      <c r="H2887">
        <v>1.0487070000000001</v>
      </c>
      <c r="I2887">
        <v>263.06290000000001</v>
      </c>
      <c r="J2887">
        <v>-492.09089999999998</v>
      </c>
      <c r="K2887">
        <v>1.1237410000000001</v>
      </c>
      <c r="L2887">
        <v>263.62090000000001</v>
      </c>
      <c r="M2887">
        <v>0.13174569999999999</v>
      </c>
      <c r="N2887" s="1">
        <v>-5.3634690000000003E-5</v>
      </c>
      <c r="O2887">
        <v>-0.99128369999999999</v>
      </c>
      <c r="P2887">
        <v>0.161666899999999</v>
      </c>
      <c r="Q2887">
        <v>-0.10519969999999999</v>
      </c>
      <c r="R2887">
        <v>-0.98122229999999999</v>
      </c>
      <c r="S2887">
        <v>0.4020996</v>
      </c>
      <c r="T2887">
        <v>-0.27336110000000002</v>
      </c>
      <c r="U2887">
        <v>-2.9616699999999998</v>
      </c>
      <c r="V2887">
        <v>-2.973427E-2</v>
      </c>
      <c r="W2887">
        <v>-0.10550710000000001</v>
      </c>
      <c r="X2887">
        <v>0.99397389999999997</v>
      </c>
      <c r="Y2887">
        <v>-2.2590610000000001E-3</v>
      </c>
      <c r="Z2887">
        <v>9.0250419999999998E-2</v>
      </c>
      <c r="AA2887">
        <v>0.99591649999999998</v>
      </c>
      <c r="AB2887">
        <v>26</v>
      </c>
      <c r="AC2887">
        <v>7.04999999999813E-2</v>
      </c>
      <c r="AD2887">
        <v>-7.5033999999999795E-2</v>
      </c>
      <c r="AE2887">
        <v>-0.55799999999999195</v>
      </c>
      <c r="AF2887">
        <v>3.5651468935865098E-3</v>
      </c>
      <c r="AG2887">
        <v>-7.5033999999999795E-2</v>
      </c>
      <c r="AH2887">
        <v>0.55258933382452502</v>
      </c>
      <c r="AI2887">
        <v>97.732523250615202</v>
      </c>
      <c r="AJ2887">
        <v>89.630349296075494</v>
      </c>
      <c r="AK2887">
        <v>0.55767175227458399</v>
      </c>
      <c r="AL2887">
        <v>96.056383572245295</v>
      </c>
      <c r="AM2887">
        <v>91.713465780067594</v>
      </c>
      <c r="AN2887">
        <v>0.99999999442202603</v>
      </c>
    </row>
    <row r="2888" spans="1:40" x14ac:dyDescent="0.25">
      <c r="A2888" t="str">
        <f>"20190303154824188"</f>
        <v>20190303154824188</v>
      </c>
      <c r="B2888" t="str">
        <f>"1551599304183308"</f>
        <v>1551599304183308</v>
      </c>
      <c r="C2888" t="s">
        <v>40</v>
      </c>
      <c r="D2888">
        <v>5.8674179999999998</v>
      </c>
      <c r="E2888">
        <v>0.51048369999999998</v>
      </c>
      <c r="F2888" t="s">
        <v>42</v>
      </c>
      <c r="G2888">
        <v>-491.98340000000002</v>
      </c>
      <c r="H2888">
        <v>1.0499339999999999</v>
      </c>
      <c r="I2888">
        <v>262.8295</v>
      </c>
      <c r="J2888">
        <v>-492.06549999999999</v>
      </c>
      <c r="K2888">
        <v>1.1236389999999901</v>
      </c>
      <c r="L2888">
        <v>263.46109999999999</v>
      </c>
      <c r="M2888">
        <v>0.13592570000000001</v>
      </c>
      <c r="N2888" s="1">
        <v>-5.6406539999999999E-5</v>
      </c>
      <c r="O2888">
        <v>-0.99071909999999996</v>
      </c>
      <c r="P2888">
        <v>0.1626756</v>
      </c>
      <c r="Q2888">
        <v>-0.1056946</v>
      </c>
      <c r="R2888">
        <v>-0.98100220000000005</v>
      </c>
      <c r="S2888">
        <v>0.40271000000000001</v>
      </c>
      <c r="T2888">
        <v>-0.27647949999999999</v>
      </c>
      <c r="U2888">
        <v>-2.9614259999999999</v>
      </c>
      <c r="V2888">
        <v>-2.6587630000000001E-2</v>
      </c>
      <c r="W2888">
        <v>-0.10595599999999999</v>
      </c>
      <c r="X2888">
        <v>0.99401530000000005</v>
      </c>
      <c r="Y2888">
        <v>1.758461E-3</v>
      </c>
      <c r="Z2888">
        <v>9.1197509999999996E-2</v>
      </c>
      <c r="AA2888">
        <v>0.99583129999999997</v>
      </c>
      <c r="AB2888">
        <v>26</v>
      </c>
      <c r="AC2888">
        <v>8.2099999999968504E-2</v>
      </c>
      <c r="AD2888">
        <v>-7.3704999999999896E-2</v>
      </c>
      <c r="AE2888">
        <v>-0.63159999999999095</v>
      </c>
      <c r="AF2888">
        <v>4.4530008601897601E-3</v>
      </c>
      <c r="AG2888">
        <v>-7.3704999999999896E-2</v>
      </c>
      <c r="AH2888">
        <v>0.62848126533377302</v>
      </c>
      <c r="AI2888">
        <v>96.688630529883895</v>
      </c>
      <c r="AJ2888">
        <v>89.594046950676301</v>
      </c>
      <c r="AK2888">
        <v>0.63280404322128103</v>
      </c>
      <c r="AL2888">
        <v>96.082248617599006</v>
      </c>
      <c r="AM2888">
        <v>91.532165401838995</v>
      </c>
      <c r="AN2888">
        <v>0.99999999631955305</v>
      </c>
    </row>
    <row r="2889" spans="1:40" x14ac:dyDescent="0.25">
      <c r="A2889" t="str">
        <f>"20190303154824209"</f>
        <v>20190303154824209</v>
      </c>
      <c r="B2889" t="str">
        <f>"1551599304203803"</f>
        <v>1551599304203803</v>
      </c>
      <c r="C2889" t="s">
        <v>40</v>
      </c>
      <c r="D2889">
        <v>5.8830339999999897</v>
      </c>
      <c r="E2889">
        <v>0.51064520000000002</v>
      </c>
      <c r="F2889" t="s">
        <v>42</v>
      </c>
      <c r="G2889">
        <v>-491.94810000000001</v>
      </c>
      <c r="H2889">
        <v>1.0434239999999999</v>
      </c>
      <c r="I2889">
        <v>262.60050000000001</v>
      </c>
      <c r="J2889">
        <v>-492.0247</v>
      </c>
      <c r="K2889">
        <v>1.1234710000000001</v>
      </c>
      <c r="L2889">
        <v>263.21179999999998</v>
      </c>
      <c r="M2889">
        <v>0.14217850000000001</v>
      </c>
      <c r="N2889" s="1">
        <v>-6.0905880000000001E-5</v>
      </c>
      <c r="O2889">
        <v>-0.98984130000000004</v>
      </c>
      <c r="P2889">
        <v>0.1625781</v>
      </c>
      <c r="Q2889">
        <v>-0.1052212</v>
      </c>
      <c r="R2889">
        <v>-0.98106939999999998</v>
      </c>
      <c r="S2889">
        <v>0.40490720000000002</v>
      </c>
      <c r="T2889">
        <v>-0.27660639999999997</v>
      </c>
      <c r="U2889">
        <v>-2.961182</v>
      </c>
      <c r="V2889">
        <v>-2.0249759999999999E-2</v>
      </c>
      <c r="W2889">
        <v>-0.1053962</v>
      </c>
      <c r="X2889">
        <v>0.99422410000000006</v>
      </c>
      <c r="Y2889">
        <v>7.3355859999999998E-3</v>
      </c>
      <c r="Z2889">
        <v>9.1115290000000002E-2</v>
      </c>
      <c r="AA2889">
        <v>0.99581330000000001</v>
      </c>
      <c r="AB2889">
        <v>27</v>
      </c>
      <c r="AC2889">
        <v>7.6599999999984902E-2</v>
      </c>
      <c r="AD2889">
        <v>-8.0046999999999896E-2</v>
      </c>
      <c r="AE2889">
        <v>-0.61129999999997098</v>
      </c>
      <c r="AF2889">
        <v>1.09077299827733E-2</v>
      </c>
      <c r="AG2889">
        <v>-8.0046999999999896E-2</v>
      </c>
      <c r="AH2889">
        <v>0.60575455637062503</v>
      </c>
      <c r="AI2889">
        <v>97.526489135143393</v>
      </c>
      <c r="AJ2889">
        <v>88.968395118354294</v>
      </c>
      <c r="AK2889">
        <v>0.61111789643746295</v>
      </c>
      <c r="AL2889">
        <v>96.049993892677804</v>
      </c>
      <c r="AM2889">
        <v>91.166804739029402</v>
      </c>
      <c r="AN2889">
        <v>0.99999998638765297</v>
      </c>
    </row>
    <row r="2890" spans="1:40" x14ac:dyDescent="0.25">
      <c r="A2890" t="str">
        <f>"20190303154824233"</f>
        <v>20190303154824233</v>
      </c>
      <c r="B2890" t="str">
        <f>"1551599304223323"</f>
        <v>1551599304223323</v>
      </c>
      <c r="C2890" t="s">
        <v>40</v>
      </c>
      <c r="D2890">
        <v>5.9107940000000001</v>
      </c>
      <c r="E2890">
        <v>0.51085530000000001</v>
      </c>
      <c r="F2890" t="s">
        <v>42</v>
      </c>
      <c r="G2890">
        <v>-491.90940000000001</v>
      </c>
      <c r="H2890">
        <v>1.0448980000000001</v>
      </c>
      <c r="I2890">
        <v>262.36320000000001</v>
      </c>
      <c r="J2890">
        <v>-491.97859999999997</v>
      </c>
      <c r="K2890">
        <v>1.12327</v>
      </c>
      <c r="L2890">
        <v>262.93799999999999</v>
      </c>
      <c r="M2890">
        <v>0.14863399999999999</v>
      </c>
      <c r="N2890" s="1">
        <v>-6.4868829999999993E-5</v>
      </c>
      <c r="O2890">
        <v>-0.98889249999999995</v>
      </c>
      <c r="P2890">
        <v>0.1636312</v>
      </c>
      <c r="Q2890">
        <v>-0.1050241</v>
      </c>
      <c r="R2890">
        <v>-0.98091539999999999</v>
      </c>
      <c r="S2890">
        <v>0.40280149999999998</v>
      </c>
      <c r="T2890">
        <v>-0.2743874</v>
      </c>
      <c r="U2890">
        <v>-2.9617</v>
      </c>
      <c r="V2890">
        <v>-1.487951E-2</v>
      </c>
      <c r="W2890">
        <v>-0.10512680000000001</v>
      </c>
      <c r="X2890">
        <v>0.99434750000000005</v>
      </c>
      <c r="Y2890">
        <v>1.456814E-2</v>
      </c>
      <c r="Z2890">
        <v>9.0241340000000003E-2</v>
      </c>
      <c r="AA2890">
        <v>0.99581339999999996</v>
      </c>
      <c r="AB2890">
        <v>27</v>
      </c>
      <c r="AC2890">
        <v>6.9199999999966594E-2</v>
      </c>
      <c r="AD2890">
        <v>-7.8372000000000094E-2</v>
      </c>
      <c r="AE2890">
        <v>-0.57479999999998199</v>
      </c>
      <c r="AF2890">
        <v>1.6697480620159098E-2</v>
      </c>
      <c r="AG2890">
        <v>-7.8372000000000094E-2</v>
      </c>
      <c r="AH2890">
        <v>0.56828701384750402</v>
      </c>
      <c r="AI2890">
        <v>97.848739922385903</v>
      </c>
      <c r="AJ2890">
        <v>88.317012391105806</v>
      </c>
      <c r="AK2890">
        <v>0.57390862195193904</v>
      </c>
      <c r="AL2890">
        <v>96.034472113480504</v>
      </c>
      <c r="AM2890">
        <v>90.857315474244203</v>
      </c>
      <c r="AN2890">
        <v>0.99999999732616496</v>
      </c>
    </row>
    <row r="2891" spans="1:40" x14ac:dyDescent="0.25">
      <c r="A2891" t="str">
        <f>"20190303154824253"</f>
        <v>20190303154824253</v>
      </c>
      <c r="B2891" t="str">
        <f>"1551599304243823"</f>
        <v>1551599304243823</v>
      </c>
      <c r="C2891" t="s">
        <v>40</v>
      </c>
      <c r="D2891">
        <v>5.8586229999999997</v>
      </c>
      <c r="E2891">
        <v>0.51096239999999904</v>
      </c>
      <c r="F2891" t="s">
        <v>42</v>
      </c>
      <c r="G2891">
        <v>-491.86739999999998</v>
      </c>
      <c r="H2891">
        <v>1.0482910000000001</v>
      </c>
      <c r="I2891">
        <v>262.12299999999999</v>
      </c>
      <c r="J2891">
        <v>-491.93630000000002</v>
      </c>
      <c r="K2891">
        <v>1.1230629999999999</v>
      </c>
      <c r="L2891">
        <v>262.69380000000001</v>
      </c>
      <c r="M2891">
        <v>0.1540039</v>
      </c>
      <c r="N2891" s="1">
        <v>-6.8557040000000004E-5</v>
      </c>
      <c r="O2891">
        <v>-0.98807020000000001</v>
      </c>
      <c r="P2891">
        <v>0.16432939999999999</v>
      </c>
      <c r="Q2891">
        <v>-0.1052674</v>
      </c>
      <c r="R2891">
        <v>-0.98077230000000004</v>
      </c>
      <c r="S2891">
        <v>0.4046631</v>
      </c>
      <c r="T2891">
        <v>-0.2726614</v>
      </c>
      <c r="U2891">
        <v>-2.9616699999999998</v>
      </c>
      <c r="V2891">
        <v>-1.0238260000000001E-2</v>
      </c>
      <c r="W2891">
        <v>-0.1053106</v>
      </c>
      <c r="X2891">
        <v>0.99438669999999996</v>
      </c>
      <c r="Y2891">
        <v>1.9375980000000001E-2</v>
      </c>
      <c r="Z2891">
        <v>8.9556140000000006E-2</v>
      </c>
      <c r="AA2891">
        <v>0.99579329999999999</v>
      </c>
      <c r="AB2891">
        <v>27</v>
      </c>
      <c r="AC2891">
        <v>6.89000000000419E-2</v>
      </c>
      <c r="AD2891">
        <v>-7.4771999999999797E-2</v>
      </c>
      <c r="AE2891">
        <v>-0.57080000000001896</v>
      </c>
      <c r="AF2891">
        <v>1.9497621350155401E-2</v>
      </c>
      <c r="AG2891">
        <v>-7.4771999999999797E-2</v>
      </c>
      <c r="AH2891">
        <v>0.56504460272033896</v>
      </c>
      <c r="AI2891">
        <v>97.533685974146806</v>
      </c>
      <c r="AJ2891">
        <v>88.0237164637783</v>
      </c>
      <c r="AK2891">
        <v>0.57030378947162796</v>
      </c>
      <c r="AL2891">
        <v>96.045061681591704</v>
      </c>
      <c r="AM2891">
        <v>90.589899643983003</v>
      </c>
      <c r="AN2891">
        <v>1.0000000267885301</v>
      </c>
    </row>
    <row r="2892" spans="1:40" x14ac:dyDescent="0.25">
      <c r="A2892" t="str">
        <f>"20190303154824275"</f>
        <v>20190303154824275</v>
      </c>
      <c r="B2892" t="str">
        <f>"1551599304263339"</f>
        <v>1551599304263339</v>
      </c>
      <c r="C2892" t="s">
        <v>40</v>
      </c>
      <c r="D2892">
        <v>5.9166889999999999</v>
      </c>
      <c r="E2892">
        <v>0.51113869999999995</v>
      </c>
      <c r="F2892" t="s">
        <v>42</v>
      </c>
      <c r="G2892">
        <v>-491.8254</v>
      </c>
      <c r="H2892">
        <v>1.0488820000000001</v>
      </c>
      <c r="I2892">
        <v>261.88299999999998</v>
      </c>
      <c r="J2892">
        <v>-491.89080000000001</v>
      </c>
      <c r="K2892">
        <v>1.122816</v>
      </c>
      <c r="L2892">
        <v>262.43720000000002</v>
      </c>
      <c r="M2892">
        <v>0.15920619999999999</v>
      </c>
      <c r="N2892" s="1">
        <v>-7.389835E-5</v>
      </c>
      <c r="O2892">
        <v>-0.98724529999999999</v>
      </c>
      <c r="P2892">
        <v>0.1649641</v>
      </c>
      <c r="Q2892">
        <v>-0.10611130000000001</v>
      </c>
      <c r="R2892">
        <v>-0.98057510000000003</v>
      </c>
      <c r="S2892">
        <v>0.40582279999999998</v>
      </c>
      <c r="T2892">
        <v>-0.27147939999999998</v>
      </c>
      <c r="U2892">
        <v>-2.9616389999999999</v>
      </c>
      <c r="V2892">
        <v>-5.7141989999999997E-3</v>
      </c>
      <c r="W2892">
        <v>-0.106098499999999</v>
      </c>
      <c r="X2892">
        <v>0.99433919999999998</v>
      </c>
      <c r="Y2892">
        <v>2.425213E-2</v>
      </c>
      <c r="Z2892">
        <v>8.9047660000000001E-2</v>
      </c>
      <c r="AA2892">
        <v>0.99573210000000001</v>
      </c>
      <c r="AB2892">
        <v>27</v>
      </c>
      <c r="AC2892">
        <v>6.5400000000010894E-2</v>
      </c>
      <c r="AD2892">
        <v>-7.3934000000000097E-2</v>
      </c>
      <c r="AE2892">
        <v>-0.554200000000037</v>
      </c>
      <c r="AF2892">
        <v>2.32579892234209E-2</v>
      </c>
      <c r="AG2892">
        <v>-7.3934000000000097E-2</v>
      </c>
      <c r="AH2892">
        <v>0.54792576721503705</v>
      </c>
      <c r="AI2892">
        <v>97.677921597900607</v>
      </c>
      <c r="AJ2892">
        <v>87.569405882255197</v>
      </c>
      <c r="AK2892">
        <v>0.55338035454550105</v>
      </c>
      <c r="AL2892">
        <v>96.090459562265295</v>
      </c>
      <c r="AM2892">
        <v>90.329259755581106</v>
      </c>
      <c r="AN2892">
        <v>0.99999999421454999</v>
      </c>
    </row>
    <row r="2893" spans="1:40" x14ac:dyDescent="0.25">
      <c r="A2893" t="str">
        <f>"20190303154824298"</f>
        <v>20190303154824298</v>
      </c>
      <c r="B2893" t="str">
        <f>"1551599304293595"</f>
        <v>1551599304293595</v>
      </c>
      <c r="C2893" t="s">
        <v>40</v>
      </c>
      <c r="D2893">
        <v>5.9458699999999904</v>
      </c>
      <c r="E2893">
        <v>0.51145479999999999</v>
      </c>
      <c r="F2893" t="s">
        <v>42</v>
      </c>
      <c r="G2893">
        <v>-491.78190000000001</v>
      </c>
      <c r="H2893">
        <v>1.0495749999999999</v>
      </c>
      <c r="I2893">
        <v>261.64109999999999</v>
      </c>
      <c r="J2893">
        <v>-491.8381</v>
      </c>
      <c r="K2893">
        <v>1.1224959999999999</v>
      </c>
      <c r="L2893">
        <v>262.14600000000002</v>
      </c>
      <c r="M2893">
        <v>0.16453119999999999</v>
      </c>
      <c r="N2893" s="1">
        <v>-8.1831470000000002E-5</v>
      </c>
      <c r="O2893">
        <v>-0.98637189999999997</v>
      </c>
      <c r="P2893">
        <v>0.1663269</v>
      </c>
      <c r="Q2893">
        <v>-0.10634879999999999</v>
      </c>
      <c r="R2893">
        <v>-0.98031900000000005</v>
      </c>
      <c r="S2893">
        <v>0.40631099999999998</v>
      </c>
      <c r="T2893">
        <v>-0.27292490000000003</v>
      </c>
      <c r="U2893">
        <v>-2.9615480000000001</v>
      </c>
      <c r="V2893">
        <v>-1.8171890000000001E-3</v>
      </c>
      <c r="W2893">
        <v>-0.1062879</v>
      </c>
      <c r="X2893">
        <v>0.99433369999999999</v>
      </c>
      <c r="Y2893">
        <v>2.9485810000000001E-2</v>
      </c>
      <c r="Z2893">
        <v>8.9387040000000001E-2</v>
      </c>
      <c r="AA2893">
        <v>0.99556040000000001</v>
      </c>
      <c r="AB2893">
        <v>27</v>
      </c>
      <c r="AC2893">
        <v>5.61999999999898E-2</v>
      </c>
      <c r="AD2893">
        <v>-7.2921E-2</v>
      </c>
      <c r="AE2893">
        <v>-0.50489999999996305</v>
      </c>
      <c r="AF2893">
        <v>2.70797563789997E-2</v>
      </c>
      <c r="AG2893">
        <v>-7.2921E-2</v>
      </c>
      <c r="AH2893">
        <v>0.497025220512058</v>
      </c>
      <c r="AI2893">
        <v>98.334409269945596</v>
      </c>
      <c r="AJ2893">
        <v>86.881399239814797</v>
      </c>
      <c r="AK2893">
        <v>0.50307539720364602</v>
      </c>
      <c r="AL2893">
        <v>96.101373282047604</v>
      </c>
      <c r="AM2893">
        <v>90.104710465272802</v>
      </c>
      <c r="AN2893">
        <v>0.99999996340898001</v>
      </c>
    </row>
    <row r="2894" spans="1:40" x14ac:dyDescent="0.25">
      <c r="A2894" t="str">
        <f>"20190303154824312"</f>
        <v>20190303154824312</v>
      </c>
      <c r="B2894" t="str">
        <f>"1551599304303355"</f>
        <v>1551599304303355</v>
      </c>
      <c r="C2894" t="s">
        <v>40</v>
      </c>
      <c r="D2894">
        <v>5.9334850000000001</v>
      </c>
      <c r="E2894">
        <v>0.51155390000000001</v>
      </c>
      <c r="F2894" t="s">
        <v>42</v>
      </c>
      <c r="G2894">
        <v>-491.73450000000003</v>
      </c>
      <c r="H2894">
        <v>1.0533619999999999</v>
      </c>
      <c r="I2894">
        <v>261.39449999999999</v>
      </c>
      <c r="J2894">
        <v>-491.8073</v>
      </c>
      <c r="K2894">
        <v>1.122288</v>
      </c>
      <c r="L2894">
        <v>261.97840000000002</v>
      </c>
      <c r="M2894">
        <v>0.16723769999999999</v>
      </c>
      <c r="N2894" s="1">
        <v>-8.7079769999999902E-5</v>
      </c>
      <c r="O2894">
        <v>-0.98591669999999998</v>
      </c>
      <c r="P2894">
        <v>0.1674081</v>
      </c>
      <c r="Q2894">
        <v>-0.10601720000000001</v>
      </c>
      <c r="R2894">
        <v>-0.98017100000000001</v>
      </c>
      <c r="S2894">
        <v>0.40835569999999999</v>
      </c>
      <c r="T2894">
        <v>-0.27249230000000002</v>
      </c>
      <c r="U2894">
        <v>-2.961395</v>
      </c>
      <c r="V2894">
        <v>-2.373772E-4</v>
      </c>
      <c r="W2894">
        <v>-0.1059364</v>
      </c>
      <c r="X2894">
        <v>0.9943729</v>
      </c>
      <c r="Y2894">
        <v>3.1545169999999997E-2</v>
      </c>
      <c r="Z2894">
        <v>8.9176999999999895E-2</v>
      </c>
      <c r="AA2894">
        <v>0.99551610000000001</v>
      </c>
      <c r="AB2894">
        <v>28</v>
      </c>
      <c r="AC2894">
        <v>7.2799999999972401E-2</v>
      </c>
      <c r="AD2894">
        <v>-6.8925999999999807E-2</v>
      </c>
      <c r="AE2894">
        <v>-0.58390000000002795</v>
      </c>
      <c r="AF2894">
        <v>2.5525121155420102E-2</v>
      </c>
      <c r="AG2894">
        <v>-6.8925999999999807E-2</v>
      </c>
      <c r="AH2894">
        <v>0.57989479455542403</v>
      </c>
      <c r="AI2894">
        <v>96.771850007195596</v>
      </c>
      <c r="AJ2894">
        <v>87.4796492151428</v>
      </c>
      <c r="AK2894">
        <v>0.58453425736946896</v>
      </c>
      <c r="AL2894">
        <v>96.081119115196998</v>
      </c>
      <c r="AM2894">
        <v>90.013677677111104</v>
      </c>
      <c r="AN2894">
        <v>1.0000000207236499</v>
      </c>
    </row>
    <row r="2895" spans="1:40" x14ac:dyDescent="0.25">
      <c r="A2895" t="str">
        <f>"20190303154824331"</f>
        <v>20190303154824331</v>
      </c>
      <c r="B2895" t="str">
        <f>"1551599304323851"</f>
        <v>1551599304323851</v>
      </c>
      <c r="C2895" t="s">
        <v>40</v>
      </c>
      <c r="D2895">
        <v>5.9377370000000003</v>
      </c>
      <c r="E2895">
        <v>0.51177689999999998</v>
      </c>
      <c r="F2895" t="s">
        <v>42</v>
      </c>
      <c r="G2895">
        <v>-491.69310000000002</v>
      </c>
      <c r="H2895">
        <v>1.0468470000000001</v>
      </c>
      <c r="I2895">
        <v>261.15309999999999</v>
      </c>
      <c r="J2895">
        <v>-491.76260000000002</v>
      </c>
      <c r="K2895">
        <v>1.1219629999999901</v>
      </c>
      <c r="L2895">
        <v>261.73750000000001</v>
      </c>
      <c r="M2895">
        <v>0.17075850000000001</v>
      </c>
      <c r="N2895" s="1">
        <v>-9.6261150000000002E-5</v>
      </c>
      <c r="O2895">
        <v>-0.98531299999999999</v>
      </c>
      <c r="P2895">
        <v>0.16851820000000001</v>
      </c>
      <c r="Q2895">
        <v>-0.1056761</v>
      </c>
      <c r="R2895">
        <v>-0.98001780000000005</v>
      </c>
      <c r="S2895">
        <v>0.41067500000000001</v>
      </c>
      <c r="T2895">
        <v>-0.27104899999999998</v>
      </c>
      <c r="U2895">
        <v>-2.9612430000000001</v>
      </c>
      <c r="V2895">
        <v>2.106578E-3</v>
      </c>
      <c r="W2895">
        <v>-0.10556740000000001</v>
      </c>
      <c r="X2895">
        <v>0.99440989999999996</v>
      </c>
      <c r="Y2895">
        <v>3.4336699999999998E-2</v>
      </c>
      <c r="Z2895">
        <v>8.8613199999999906E-2</v>
      </c>
      <c r="AA2895">
        <v>0.99547410000000003</v>
      </c>
      <c r="AB2895">
        <v>28</v>
      </c>
      <c r="AC2895">
        <v>6.9500000000005002E-2</v>
      </c>
      <c r="AD2895">
        <v>-7.5115999999999905E-2</v>
      </c>
      <c r="AE2895">
        <v>-0.58440000000001602</v>
      </c>
      <c r="AF2895">
        <v>3.08100870131446E-2</v>
      </c>
      <c r="AG2895">
        <v>-7.5115999999999905E-2</v>
      </c>
      <c r="AH2895">
        <v>0.578264136420788</v>
      </c>
      <c r="AI2895">
        <v>97.390860906403802</v>
      </c>
      <c r="AJ2895">
        <v>86.950147427223001</v>
      </c>
      <c r="AK2895">
        <v>0.58393585811134896</v>
      </c>
      <c r="AL2895">
        <v>96.059857989844403</v>
      </c>
      <c r="AM2895">
        <v>89.878623645980099</v>
      </c>
      <c r="AN2895">
        <v>0.99999998141581903</v>
      </c>
    </row>
    <row r="2896" spans="1:40" x14ac:dyDescent="0.25">
      <c r="A2896" t="str">
        <f>"20190303154824354"</f>
        <v>20190303154824354</v>
      </c>
      <c r="B2896" t="str">
        <f>"1551599304343371"</f>
        <v>1551599304343371</v>
      </c>
      <c r="C2896" t="s">
        <v>40</v>
      </c>
      <c r="D2896">
        <v>5.9277829999999998</v>
      </c>
      <c r="E2896">
        <v>0.51198009999999905</v>
      </c>
      <c r="F2896" t="s">
        <v>42</v>
      </c>
      <c r="G2896">
        <v>-491.64710000000002</v>
      </c>
      <c r="H2896">
        <v>1.0463249999999999</v>
      </c>
      <c r="I2896">
        <v>260.90589999999997</v>
      </c>
      <c r="J2896">
        <v>-491.71129999999999</v>
      </c>
      <c r="K2896">
        <v>1.1215740000000001</v>
      </c>
      <c r="L2896">
        <v>261.46350000000001</v>
      </c>
      <c r="M2896">
        <v>0.17416189999999901</v>
      </c>
      <c r="N2896">
        <v>-1.0943880000000001E-4</v>
      </c>
      <c r="O2896">
        <v>-0.98471699999999995</v>
      </c>
      <c r="P2896">
        <v>0.1706474</v>
      </c>
      <c r="Q2896">
        <v>-0.1057775</v>
      </c>
      <c r="R2896">
        <v>-0.97963809999999996</v>
      </c>
      <c r="S2896">
        <v>0.41229250000000001</v>
      </c>
      <c r="T2896">
        <v>-0.26974520000000002</v>
      </c>
      <c r="U2896">
        <v>-2.9612120000000002</v>
      </c>
      <c r="V2896">
        <v>3.276363E-3</v>
      </c>
      <c r="W2896">
        <v>-0.1056493</v>
      </c>
      <c r="X2896">
        <v>0.99439809999999995</v>
      </c>
      <c r="Y2896">
        <v>3.7248730000000001E-2</v>
      </c>
      <c r="Z2896">
        <v>8.8089890000000004E-2</v>
      </c>
      <c r="AA2896">
        <v>0.99541590000000002</v>
      </c>
      <c r="AB2896">
        <v>28</v>
      </c>
      <c r="AC2896">
        <v>6.41999999999711E-2</v>
      </c>
      <c r="AD2896">
        <v>-7.5249000000000094E-2</v>
      </c>
      <c r="AE2896">
        <v>-0.55760000000003596</v>
      </c>
      <c r="AF2896">
        <v>3.3295404716060198E-2</v>
      </c>
      <c r="AG2896">
        <v>-7.5249000000000094E-2</v>
      </c>
      <c r="AH2896">
        <v>0.55036729442283405</v>
      </c>
      <c r="AI2896">
        <v>97.771460796108499</v>
      </c>
      <c r="AJ2896">
        <v>86.538013792314302</v>
      </c>
      <c r="AK2896">
        <v>0.55648464017124299</v>
      </c>
      <c r="AL2896">
        <v>96.0645765150133</v>
      </c>
      <c r="AM2896">
        <v>89.811221388330495</v>
      </c>
      <c r="AN2896">
        <v>1.0000000452143001</v>
      </c>
    </row>
    <row r="2897" spans="1:40" x14ac:dyDescent="0.25">
      <c r="A2897" t="str">
        <f>"20190303154824375"</f>
        <v>20190303154824375</v>
      </c>
      <c r="B2897" t="str">
        <f>"1551599304363871"</f>
        <v>1551599304363871</v>
      </c>
      <c r="C2897" t="s">
        <v>40</v>
      </c>
      <c r="D2897">
        <v>5.9142260000000002</v>
      </c>
      <c r="E2897">
        <v>0.51922239999999997</v>
      </c>
      <c r="F2897" t="s">
        <v>42</v>
      </c>
      <c r="G2897">
        <v>-491.59800000000001</v>
      </c>
      <c r="H2897">
        <v>1.048165</v>
      </c>
      <c r="I2897">
        <v>260.65620000000001</v>
      </c>
      <c r="J2897">
        <v>-491.66039999999998</v>
      </c>
      <c r="K2897">
        <v>1.121178</v>
      </c>
      <c r="L2897">
        <v>261.19349999999997</v>
      </c>
      <c r="M2897">
        <v>0.17690349999999999</v>
      </c>
      <c r="N2897">
        <v>-1.2590520000000001E-4</v>
      </c>
      <c r="O2897">
        <v>-0.98422829999999994</v>
      </c>
      <c r="P2897">
        <v>0.17228070000000001</v>
      </c>
      <c r="Q2897">
        <v>-0.1054692</v>
      </c>
      <c r="R2897">
        <v>-0.97938570000000003</v>
      </c>
      <c r="S2897">
        <v>0.41705320000000001</v>
      </c>
      <c r="T2897">
        <v>-0.26958759999999998</v>
      </c>
      <c r="U2897">
        <v>-2.9605709999999998</v>
      </c>
      <c r="V2897">
        <v>4.286074E-3</v>
      </c>
      <c r="W2897">
        <v>-0.1053216</v>
      </c>
      <c r="X2897">
        <v>0.99442900000000001</v>
      </c>
      <c r="Y2897">
        <v>3.8431050000000001E-2</v>
      </c>
      <c r="Z2897">
        <v>8.7964100000000003E-2</v>
      </c>
      <c r="AA2897">
        <v>0.99538199999999999</v>
      </c>
      <c r="AB2897">
        <v>28</v>
      </c>
      <c r="AC2897">
        <v>6.2399999999968203E-2</v>
      </c>
      <c r="AD2897">
        <v>-7.3012999999999995E-2</v>
      </c>
      <c r="AE2897">
        <v>-0.53729999999995903</v>
      </c>
      <c r="AF2897">
        <v>3.3032548482917597E-2</v>
      </c>
      <c r="AG2897">
        <v>-7.3012999999999995E-2</v>
      </c>
      <c r="AH2897">
        <v>0.53020427217232002</v>
      </c>
      <c r="AI2897">
        <v>97.825748834678095</v>
      </c>
      <c r="AJ2897">
        <v>86.434991814741494</v>
      </c>
      <c r="AK2897">
        <v>0.53622627468080697</v>
      </c>
      <c r="AL2897">
        <v>96.045695483018307</v>
      </c>
      <c r="AM2897">
        <v>89.753051821461995</v>
      </c>
      <c r="AN2897">
        <v>1.0000000229489401</v>
      </c>
    </row>
    <row r="2898" spans="1:40" x14ac:dyDescent="0.25">
      <c r="A2898" t="str">
        <f>"20190303154824399"</f>
        <v>20190303154824399</v>
      </c>
      <c r="B2898" t="str">
        <f>"1551599304393148"</f>
        <v>1551599304393148</v>
      </c>
      <c r="C2898" t="s">
        <v>40</v>
      </c>
      <c r="D2898">
        <v>5.945748</v>
      </c>
      <c r="E2898">
        <v>0.5196404</v>
      </c>
      <c r="F2898" t="s">
        <v>42</v>
      </c>
      <c r="G2898">
        <v>-491.56330000000003</v>
      </c>
      <c r="H2898">
        <v>1.0520259999999999</v>
      </c>
      <c r="I2898">
        <v>260.40109999999999</v>
      </c>
      <c r="J2898">
        <v>-491.6037</v>
      </c>
      <c r="K2898">
        <v>1.12073</v>
      </c>
      <c r="L2898">
        <v>260.89350000000002</v>
      </c>
      <c r="M2898">
        <v>0.17925289999999999</v>
      </c>
      <c r="N2898">
        <v>-1.5095589999999999E-4</v>
      </c>
      <c r="O2898">
        <v>-0.98380299999999998</v>
      </c>
      <c r="P2898">
        <v>0.1735922</v>
      </c>
      <c r="Q2898">
        <v>-0.10448209999999999</v>
      </c>
      <c r="R2898">
        <v>-0.97925969999999996</v>
      </c>
      <c r="S2898">
        <v>0.3649597</v>
      </c>
      <c r="T2898">
        <v>-0.2594109</v>
      </c>
      <c r="U2898">
        <v>-2.9709780000000001</v>
      </c>
      <c r="V2898">
        <v>5.2225650000000002E-3</v>
      </c>
      <c r="W2898">
        <v>-0.1043096</v>
      </c>
      <c r="X2898">
        <v>0.99453119999999995</v>
      </c>
      <c r="Y2898">
        <v>5.8405890000000002E-2</v>
      </c>
      <c r="Z2898">
        <v>8.4344660000000002E-2</v>
      </c>
      <c r="AA2898">
        <v>0.99472340000000004</v>
      </c>
      <c r="AB2898">
        <v>28</v>
      </c>
      <c r="AC2898">
        <v>4.0399999999976899E-2</v>
      </c>
      <c r="AD2898">
        <v>-6.8703999999999807E-2</v>
      </c>
      <c r="AE2898">
        <v>-0.49240000000003098</v>
      </c>
      <c r="AF2898">
        <v>4.7598031752104003E-2</v>
      </c>
      <c r="AG2898">
        <v>-6.8703999999999807E-2</v>
      </c>
      <c r="AH2898">
        <v>0.482338901415028</v>
      </c>
      <c r="AI2898">
        <v>98.067968938788496</v>
      </c>
      <c r="AJ2898">
        <v>84.364200700059399</v>
      </c>
      <c r="AK2898">
        <v>0.48952694314095802</v>
      </c>
      <c r="AL2898">
        <v>95.9873909035053</v>
      </c>
      <c r="AM2898">
        <v>89.699126400207405</v>
      </c>
      <c r="AN2898">
        <v>1.0000000378053799</v>
      </c>
    </row>
    <row r="2899" spans="1:40" x14ac:dyDescent="0.25">
      <c r="A2899" t="str">
        <f>"20190303154824423"</f>
        <v>20190303154824423</v>
      </c>
      <c r="B2899" t="str">
        <f>"1551599304413643"</f>
        <v>1551599304413643</v>
      </c>
      <c r="C2899" t="s">
        <v>40</v>
      </c>
      <c r="D2899">
        <v>5.9252359999999999</v>
      </c>
      <c r="E2899">
        <v>0.52005040000000002</v>
      </c>
      <c r="F2899" t="s">
        <v>42</v>
      </c>
      <c r="G2899">
        <v>-491.51170000000002</v>
      </c>
      <c r="H2899">
        <v>1.056511</v>
      </c>
      <c r="I2899">
        <v>260.1447</v>
      </c>
      <c r="J2899">
        <v>-491.54719999999998</v>
      </c>
      <c r="K2899">
        <v>1.1202620000000001</v>
      </c>
      <c r="L2899">
        <v>260.5949</v>
      </c>
      <c r="M2899">
        <v>0.18079809999999999</v>
      </c>
      <c r="N2899">
        <v>-1.843267E-4</v>
      </c>
      <c r="O2899">
        <v>-0.98352039999999996</v>
      </c>
      <c r="P2899">
        <v>0.1738072</v>
      </c>
      <c r="Q2899">
        <v>-0.1031789</v>
      </c>
      <c r="R2899">
        <v>-0.97936000000000001</v>
      </c>
      <c r="S2899">
        <v>0.36621090000000001</v>
      </c>
      <c r="T2899">
        <v>-0.2550192</v>
      </c>
      <c r="U2899">
        <v>-2.9713750000000001</v>
      </c>
      <c r="V2899">
        <v>6.4638610000000004E-3</v>
      </c>
      <c r="W2899">
        <v>-0.1029747</v>
      </c>
      <c r="X2899">
        <v>0.99466290000000002</v>
      </c>
      <c r="Y2899">
        <v>5.956181E-2</v>
      </c>
      <c r="Z2899">
        <v>8.2839869999999996E-2</v>
      </c>
      <c r="AA2899">
        <v>0.99478140000000004</v>
      </c>
      <c r="AB2899">
        <v>29</v>
      </c>
      <c r="AC2899">
        <v>3.5499999999956303E-2</v>
      </c>
      <c r="AD2899">
        <v>-6.3751000000000099E-2</v>
      </c>
      <c r="AE2899">
        <v>-0.45019999999999499</v>
      </c>
      <c r="AF2899">
        <v>4.5572145850858503E-2</v>
      </c>
      <c r="AG2899">
        <v>-6.3751000000000099E-2</v>
      </c>
      <c r="AH2899">
        <v>0.44042226101573001</v>
      </c>
      <c r="AI2899">
        <v>98.193196009172496</v>
      </c>
      <c r="AJ2899">
        <v>84.092414407718294</v>
      </c>
      <c r="AK2899">
        <v>0.44733966789975199</v>
      </c>
      <c r="AL2899">
        <v>95.910493294828498</v>
      </c>
      <c r="AM2899">
        <v>89.627666075273197</v>
      </c>
      <c r="AN2899">
        <v>0.99999992748776101</v>
      </c>
    </row>
    <row r="2900" spans="1:40" x14ac:dyDescent="0.25">
      <c r="A2900" t="str">
        <f>"20190303154824444"</f>
        <v>20190303154824444</v>
      </c>
      <c r="B2900" t="str">
        <f>"1551599304433163"</f>
        <v>1551599304433163</v>
      </c>
      <c r="C2900" t="s">
        <v>40</v>
      </c>
      <c r="D2900">
        <v>6.0376149999999997</v>
      </c>
      <c r="E2900">
        <v>0.52056380000000002</v>
      </c>
      <c r="F2900" t="s">
        <v>42</v>
      </c>
      <c r="G2900">
        <v>-491.43110000000001</v>
      </c>
      <c r="H2900">
        <v>1.0395559999999999</v>
      </c>
      <c r="I2900">
        <v>259.64010000000002</v>
      </c>
      <c r="J2900">
        <v>-491.49310000000003</v>
      </c>
      <c r="K2900">
        <v>1.11981</v>
      </c>
      <c r="L2900">
        <v>260.30720000000002</v>
      </c>
      <c r="M2900">
        <v>0.18157870000000001</v>
      </c>
      <c r="N2900">
        <v>-2.2277740000000001E-4</v>
      </c>
      <c r="O2900">
        <v>-0.98337649999999999</v>
      </c>
      <c r="P2900">
        <v>0.17069379999999901</v>
      </c>
      <c r="Q2900">
        <v>-0.10206899999999999</v>
      </c>
      <c r="R2900">
        <v>-0.98002330000000004</v>
      </c>
      <c r="S2900">
        <v>0.3633728</v>
      </c>
      <c r="T2900">
        <v>-0.25137340000000002</v>
      </c>
      <c r="U2900">
        <v>-2.9722599999999999</v>
      </c>
      <c r="V2900">
        <v>1.0314240000000001E-2</v>
      </c>
      <c r="W2900">
        <v>-0.1018254</v>
      </c>
      <c r="X2900">
        <v>0.99474879999999999</v>
      </c>
      <c r="Y2900">
        <v>6.1313039999999999E-2</v>
      </c>
      <c r="Z2900">
        <v>8.1581559999999997E-2</v>
      </c>
      <c r="AA2900">
        <v>0.99477890000000002</v>
      </c>
      <c r="AB2900">
        <v>29</v>
      </c>
      <c r="AC2900">
        <v>6.2000000000011803E-2</v>
      </c>
      <c r="AD2900">
        <v>-8.0254000000000006E-2</v>
      </c>
      <c r="AE2900">
        <v>-0.66710000000000402</v>
      </c>
      <c r="AF2900">
        <v>5.9310763182409E-2</v>
      </c>
      <c r="AG2900">
        <v>-8.0254000000000006E-2</v>
      </c>
      <c r="AH2900">
        <v>0.65782921276916695</v>
      </c>
      <c r="AI2900">
        <v>96.927785033018907</v>
      </c>
      <c r="AJ2900">
        <v>84.848065760197997</v>
      </c>
      <c r="AK2900">
        <v>0.66535535191188</v>
      </c>
      <c r="AL2900">
        <v>95.844294924094498</v>
      </c>
      <c r="AM2900">
        <v>89.405939223863896</v>
      </c>
      <c r="AN2900">
        <v>0.99999998536668799</v>
      </c>
    </row>
    <row r="2901" spans="1:40" x14ac:dyDescent="0.25">
      <c r="A2901" t="str">
        <f>"20190303154824465"</f>
        <v>20190303154824465</v>
      </c>
      <c r="B2901" t="str">
        <f>"1551599304453659"</f>
        <v>1551599304453659</v>
      </c>
      <c r="C2901" t="s">
        <v>40</v>
      </c>
      <c r="D2901">
        <v>5.8719419999999998</v>
      </c>
      <c r="E2901">
        <v>0.54078130000000002</v>
      </c>
      <c r="F2901" t="s">
        <v>42</v>
      </c>
      <c r="G2901">
        <v>-491.38389999999998</v>
      </c>
      <c r="H2901">
        <v>1.042511</v>
      </c>
      <c r="I2901">
        <v>259.37979999999999</v>
      </c>
      <c r="J2901">
        <v>-491.44529999999997</v>
      </c>
      <c r="K2901">
        <v>1.119426</v>
      </c>
      <c r="L2901">
        <v>260.05160000000001</v>
      </c>
      <c r="M2901">
        <v>0.1818197</v>
      </c>
      <c r="N2901">
        <v>-2.580897E-4</v>
      </c>
      <c r="O2901">
        <v>-0.98333199999999998</v>
      </c>
      <c r="P2901">
        <v>0.16796040000000001</v>
      </c>
      <c r="Q2901">
        <v>-0.1028073</v>
      </c>
      <c r="R2901">
        <v>-0.98041860000000003</v>
      </c>
      <c r="S2901">
        <v>0.3501282</v>
      </c>
      <c r="T2901">
        <v>-0.24787390000000001</v>
      </c>
      <c r="U2901">
        <v>-2.9743650000000001</v>
      </c>
      <c r="V2901">
        <v>1.3222029999999999E-2</v>
      </c>
      <c r="W2901">
        <v>-0.10253470000000001</v>
      </c>
      <c r="X2901">
        <v>0.99464149999999996</v>
      </c>
      <c r="Y2901">
        <v>6.5996680000000002E-2</v>
      </c>
      <c r="Z2901">
        <v>8.0362279999999994E-2</v>
      </c>
      <c r="AA2901">
        <v>0.99457850000000003</v>
      </c>
      <c r="AB2901">
        <v>29</v>
      </c>
      <c r="AC2901">
        <v>6.1399999999991899E-2</v>
      </c>
      <c r="AD2901">
        <v>-7.6914999999999997E-2</v>
      </c>
      <c r="AE2901">
        <v>-0.67180000000001805</v>
      </c>
      <c r="AF2901">
        <v>6.0977204543883799E-2</v>
      </c>
      <c r="AG2901">
        <v>-7.6914999999999997E-2</v>
      </c>
      <c r="AH2901">
        <v>0.66314547763090803</v>
      </c>
      <c r="AI2901">
        <v>96.588348016680499</v>
      </c>
      <c r="AJ2901">
        <v>84.746342036299197</v>
      </c>
      <c r="AK2901">
        <v>0.67037009271096804</v>
      </c>
      <c r="AL2901">
        <v>95.885148861620905</v>
      </c>
      <c r="AM2901">
        <v>89.238397053684395</v>
      </c>
      <c r="AN2901">
        <v>0.99999995015182896</v>
      </c>
    </row>
    <row r="2902" spans="1:40" x14ac:dyDescent="0.25">
      <c r="A2902" t="str">
        <f>"20190303154824487"</f>
        <v>20190303154824487</v>
      </c>
      <c r="B2902" t="str">
        <f>"1551599304483916"</f>
        <v>1551599304483916</v>
      </c>
      <c r="C2902" t="s">
        <v>40</v>
      </c>
      <c r="D2902">
        <v>6.0788479999999998</v>
      </c>
      <c r="E2902">
        <v>0.54250750000000003</v>
      </c>
      <c r="F2902" t="s">
        <v>41</v>
      </c>
      <c r="G2902">
        <v>-490.08429999999998</v>
      </c>
      <c r="H2902" s="1">
        <v>-3.4496399999999998E-6</v>
      </c>
      <c r="I2902">
        <v>237.578</v>
      </c>
      <c r="J2902">
        <v>-491.38929999999999</v>
      </c>
      <c r="K2902">
        <v>1.118976</v>
      </c>
      <c r="L2902">
        <v>259.74970000000002</v>
      </c>
      <c r="M2902">
        <v>0.18152879999999999</v>
      </c>
      <c r="N2902">
        <v>-3.0208840000000003E-4</v>
      </c>
      <c r="O2902">
        <v>-0.98338570000000003</v>
      </c>
      <c r="P2902">
        <v>0.16541339999999999</v>
      </c>
      <c r="Q2902">
        <v>-0.1048293</v>
      </c>
      <c r="R2902">
        <v>-0.98063719999999999</v>
      </c>
      <c r="S2902">
        <v>0.1824646</v>
      </c>
      <c r="T2902">
        <v>-0.1500744</v>
      </c>
      <c r="U2902">
        <v>-3.0128780000000002</v>
      </c>
      <c r="V2902">
        <v>1.5362539999999999E-2</v>
      </c>
      <c r="W2902">
        <v>-0.10452690000000001</v>
      </c>
      <c r="X2902">
        <v>0.99440340000000005</v>
      </c>
      <c r="Y2902">
        <v>0.12181939999999999</v>
      </c>
      <c r="Z2902">
        <v>4.798297E-2</v>
      </c>
      <c r="AA2902">
        <v>0.99139180000000005</v>
      </c>
      <c r="AB2902">
        <v>29</v>
      </c>
      <c r="AC2902">
        <v>1.3049999999999999</v>
      </c>
      <c r="AD2902">
        <v>-1.1189794496400001</v>
      </c>
      <c r="AE2902">
        <v>-22.171700000000001</v>
      </c>
      <c r="AF2902">
        <v>2.7345424538915601</v>
      </c>
      <c r="AG2902">
        <v>-1.1189794496400001</v>
      </c>
      <c r="AH2902">
        <v>21.984423031610099</v>
      </c>
      <c r="AI2902">
        <v>92.891524202629597</v>
      </c>
      <c r="AJ2902">
        <v>82.909655419017597</v>
      </c>
      <c r="AK2902">
        <v>22.182080458641401</v>
      </c>
      <c r="AL2902">
        <v>95.999909930802005</v>
      </c>
      <c r="AM2902">
        <v>89.114907805353496</v>
      </c>
      <c r="AN2902">
        <v>1.0000000011952099</v>
      </c>
    </row>
    <row r="2903" spans="1:40" x14ac:dyDescent="0.25">
      <c r="A2903" t="str">
        <f>"20190303154824510"</f>
        <v>20190303154824510</v>
      </c>
      <c r="B2903" t="str">
        <f>"1551599304503436"</f>
        <v>1551599304503436</v>
      </c>
      <c r="C2903" t="s">
        <v>40</v>
      </c>
      <c r="D2903">
        <v>5.9648810000000001</v>
      </c>
      <c r="E2903">
        <v>0.54191250000000002</v>
      </c>
      <c r="F2903" t="s">
        <v>42</v>
      </c>
      <c r="G2903">
        <v>-491.34050000000002</v>
      </c>
      <c r="H2903">
        <v>1.046862</v>
      </c>
      <c r="I2903">
        <v>258.84410000000003</v>
      </c>
      <c r="J2903">
        <v>-491.3347</v>
      </c>
      <c r="K2903">
        <v>1.1185430000000001</v>
      </c>
      <c r="L2903">
        <v>259.45100000000002</v>
      </c>
      <c r="M2903">
        <v>0.1806623</v>
      </c>
      <c r="N2903">
        <v>-3.5127079999999999E-4</v>
      </c>
      <c r="O2903">
        <v>-0.98354520000000001</v>
      </c>
      <c r="P2903">
        <v>0.16219410000000001</v>
      </c>
      <c r="Q2903">
        <v>-0.1053188</v>
      </c>
      <c r="R2903">
        <v>-0.98112250000000001</v>
      </c>
      <c r="S2903">
        <v>0.1619263</v>
      </c>
      <c r="T2903">
        <v>-0.23939060000000001</v>
      </c>
      <c r="U2903">
        <v>-3.006348</v>
      </c>
      <c r="V2903">
        <v>1.762992E-2</v>
      </c>
      <c r="W2903">
        <v>-0.1049858</v>
      </c>
      <c r="X2903">
        <v>0.99431740000000002</v>
      </c>
      <c r="Y2903">
        <v>0.1276592</v>
      </c>
      <c r="Z2903">
        <v>7.6695079999999999E-2</v>
      </c>
      <c r="AA2903">
        <v>0.98884830000000001</v>
      </c>
      <c r="AB2903">
        <v>30</v>
      </c>
      <c r="AC2903">
        <v>-5.8000000000220098E-3</v>
      </c>
      <c r="AD2903">
        <v>-7.16809999999998E-2</v>
      </c>
      <c r="AE2903">
        <v>-0.60689999999993904</v>
      </c>
      <c r="AF2903">
        <v>0.113761681300187</v>
      </c>
      <c r="AG2903">
        <v>-7.16809999999998E-2</v>
      </c>
      <c r="AH2903">
        <v>0.58766851240671503</v>
      </c>
      <c r="AI2903">
        <v>96.828770027969497</v>
      </c>
      <c r="AJ2903">
        <v>79.044115300742206</v>
      </c>
      <c r="AK2903">
        <v>0.60285501272492203</v>
      </c>
      <c r="AL2903">
        <v>96.026348667452297</v>
      </c>
      <c r="AM2903">
        <v>88.984213515400697</v>
      </c>
      <c r="AN2903">
        <v>0.99999996211180198</v>
      </c>
    </row>
    <row r="2904" spans="1:40" x14ac:dyDescent="0.25">
      <c r="A2904" t="str">
        <f>"20190303154824531"</f>
        <v>20190303154824531</v>
      </c>
      <c r="B2904" t="str">
        <f>"1551599304523935"</f>
        <v>1551599304523935</v>
      </c>
      <c r="C2904" t="s">
        <v>40</v>
      </c>
      <c r="D2904">
        <v>6.1689210000000001</v>
      </c>
      <c r="E2904">
        <v>0.54238520000000001</v>
      </c>
      <c r="F2904" t="s">
        <v>42</v>
      </c>
      <c r="G2904">
        <v>-491.28949999999998</v>
      </c>
      <c r="H2904">
        <v>1.0496379999999901</v>
      </c>
      <c r="I2904">
        <v>258.57830000000001</v>
      </c>
      <c r="J2904">
        <v>-491.2824</v>
      </c>
      <c r="K2904">
        <v>1.118133</v>
      </c>
      <c r="L2904">
        <v>259.16140000000001</v>
      </c>
      <c r="M2904">
        <v>0.17929679999999901</v>
      </c>
      <c r="N2904">
        <v>-4.0545860000000002E-4</v>
      </c>
      <c r="O2904">
        <v>-0.98379510000000003</v>
      </c>
      <c r="P2904">
        <v>0.1596648</v>
      </c>
      <c r="Q2904">
        <v>-0.1049503</v>
      </c>
      <c r="R2904">
        <v>-0.98157660000000002</v>
      </c>
      <c r="S2904">
        <v>0.15710450000000001</v>
      </c>
      <c r="T2904">
        <v>-0.23725489999999999</v>
      </c>
      <c r="U2904">
        <v>-3.0063170000000001</v>
      </c>
      <c r="V2904">
        <v>1.8713339999999998E-2</v>
      </c>
      <c r="W2904">
        <v>-0.1045837</v>
      </c>
      <c r="X2904">
        <v>0.99434</v>
      </c>
      <c r="Y2904">
        <v>0.12786030000000001</v>
      </c>
      <c r="Z2904">
        <v>7.5990299999999997E-2</v>
      </c>
      <c r="AA2904">
        <v>0.9888768</v>
      </c>
      <c r="AB2904">
        <v>30</v>
      </c>
      <c r="AC2904">
        <v>-7.0999999999799002E-3</v>
      </c>
      <c r="AD2904">
        <v>-6.8495000000000195E-2</v>
      </c>
      <c r="AE2904">
        <v>-0.58310000000000095</v>
      </c>
      <c r="AF2904">
        <v>0.11001508408053499</v>
      </c>
      <c r="AG2904">
        <v>-6.8495000000000195E-2</v>
      </c>
      <c r="AH2904">
        <v>0.56458855869307101</v>
      </c>
      <c r="AI2904">
        <v>96.790735393228502</v>
      </c>
      <c r="AJ2904">
        <v>78.973581582236505</v>
      </c>
      <c r="AK2904">
        <v>0.57927120104262697</v>
      </c>
      <c r="AL2904">
        <v>96.003182349021699</v>
      </c>
      <c r="AM2904">
        <v>88.921828706936793</v>
      </c>
      <c r="AN2904">
        <v>0.999999987499822</v>
      </c>
    </row>
    <row r="2905" spans="1:40" x14ac:dyDescent="0.25">
      <c r="A2905" t="str">
        <f>"20190303154824554"</f>
        <v>20190303154824554</v>
      </c>
      <c r="B2905" t="str">
        <f>"1551599304543452"</f>
        <v>1551599304543452</v>
      </c>
      <c r="C2905" t="s">
        <v>40</v>
      </c>
      <c r="D2905">
        <v>6.0584860000000003</v>
      </c>
      <c r="E2905">
        <v>0.54257670000000002</v>
      </c>
      <c r="F2905" t="s">
        <v>42</v>
      </c>
      <c r="G2905">
        <v>-491.24160000000001</v>
      </c>
      <c r="H2905">
        <v>1.04515</v>
      </c>
      <c r="I2905">
        <v>258.31549999999999</v>
      </c>
      <c r="J2905">
        <v>-491.23129999999998</v>
      </c>
      <c r="K2905">
        <v>1.117723</v>
      </c>
      <c r="L2905">
        <v>258.87299999999999</v>
      </c>
      <c r="M2905">
        <v>0.17746099999999901</v>
      </c>
      <c r="N2905">
        <v>-4.6508900000000002E-4</v>
      </c>
      <c r="O2905">
        <v>-0.9841278</v>
      </c>
      <c r="P2905">
        <v>0.15703710000000001</v>
      </c>
      <c r="Q2905">
        <v>-0.1055242</v>
      </c>
      <c r="R2905">
        <v>-0.98193900000000001</v>
      </c>
      <c r="S2905">
        <v>0.14486689999999999</v>
      </c>
      <c r="T2905">
        <v>-0.25919449999999999</v>
      </c>
      <c r="U2905">
        <v>-3.0050349999999999</v>
      </c>
      <c r="V2905">
        <v>1.9403E-2</v>
      </c>
      <c r="W2905">
        <v>-0.1051192</v>
      </c>
      <c r="X2905">
        <v>0.99427030000000005</v>
      </c>
      <c r="Y2905">
        <v>0.1300308</v>
      </c>
      <c r="Z2905">
        <v>8.3020159999999996E-2</v>
      </c>
      <c r="AA2905">
        <v>0.98802820000000002</v>
      </c>
      <c r="AB2905">
        <v>30</v>
      </c>
      <c r="AC2905">
        <v>-1.0300000000029201E-2</v>
      </c>
      <c r="AD2905">
        <v>-7.2572999999999999E-2</v>
      </c>
      <c r="AE2905">
        <v>-0.55750000000000399</v>
      </c>
      <c r="AF2905">
        <v>0.107254147299467</v>
      </c>
      <c r="AG2905">
        <v>-7.2572999999999999E-2</v>
      </c>
      <c r="AH2905">
        <v>0.53771455925695699</v>
      </c>
      <c r="AI2905">
        <v>97.539750767796207</v>
      </c>
      <c r="AJ2905">
        <v>78.719656246886402</v>
      </c>
      <c r="AK2905">
        <v>0.55308881717029801</v>
      </c>
      <c r="AL2905">
        <v>96.034034368313499</v>
      </c>
      <c r="AM2905">
        <v>88.882025422353493</v>
      </c>
      <c r="AN2905">
        <v>0.99999997603986401</v>
      </c>
    </row>
    <row r="2906" spans="1:40" x14ac:dyDescent="0.25">
      <c r="A2906" t="str">
        <f>"20190303154824576"</f>
        <v>20190303154824576</v>
      </c>
      <c r="B2906" t="str">
        <f>"1551599304573707"</f>
        <v>1551599304573707</v>
      </c>
      <c r="C2906" t="s">
        <v>40</v>
      </c>
      <c r="D2906">
        <v>6.1092890000000004</v>
      </c>
      <c r="E2906">
        <v>0.54202910000000004</v>
      </c>
      <c r="F2906" t="s">
        <v>42</v>
      </c>
      <c r="G2906">
        <v>-491.19420000000002</v>
      </c>
      <c r="H2906">
        <v>1.042783</v>
      </c>
      <c r="I2906">
        <v>258.0487</v>
      </c>
      <c r="J2906">
        <v>-491.17790000000002</v>
      </c>
      <c r="K2906">
        <v>1.1172979999999999</v>
      </c>
      <c r="L2906">
        <v>258.56650000000002</v>
      </c>
      <c r="M2906">
        <v>0.17505370000000001</v>
      </c>
      <c r="N2906">
        <v>-5.3047360000000004E-4</v>
      </c>
      <c r="O2906">
        <v>-0.98455890000000001</v>
      </c>
      <c r="P2906">
        <v>0.15595690000000001</v>
      </c>
      <c r="Q2906">
        <v>-0.10800319999999999</v>
      </c>
      <c r="R2906">
        <v>-0.98184190000000005</v>
      </c>
      <c r="S2906">
        <v>0.1355286</v>
      </c>
      <c r="T2906">
        <v>-0.27305570000000001</v>
      </c>
      <c r="U2906">
        <v>-3.0041350000000002</v>
      </c>
      <c r="V2906">
        <v>1.7903789999999999E-2</v>
      </c>
      <c r="W2906">
        <v>-0.107547</v>
      </c>
      <c r="X2906">
        <v>0.9940388</v>
      </c>
      <c r="Y2906">
        <v>0.13067280000000001</v>
      </c>
      <c r="Z2906">
        <v>8.7471170000000001E-2</v>
      </c>
      <c r="AA2906">
        <v>0.98755930000000003</v>
      </c>
      <c r="AB2906">
        <v>30</v>
      </c>
      <c r="AC2906">
        <v>-1.6300000000001001E-2</v>
      </c>
      <c r="AD2906">
        <v>-7.4514999999999804E-2</v>
      </c>
      <c r="AE2906">
        <v>-0.51780000000002202</v>
      </c>
      <c r="AF2906">
        <v>0.104528554824908</v>
      </c>
      <c r="AG2906">
        <v>-7.4514999999999804E-2</v>
      </c>
      <c r="AH2906">
        <v>0.49667564404495501</v>
      </c>
      <c r="AI2906">
        <v>98.352011491225099</v>
      </c>
      <c r="AJ2906">
        <v>78.115179340157198</v>
      </c>
      <c r="AK2906">
        <v>0.512996490617875</v>
      </c>
      <c r="AL2906">
        <v>96.173929962696803</v>
      </c>
      <c r="AM2906">
        <v>88.968148224370296</v>
      </c>
      <c r="AN2906">
        <v>1.0000000194054</v>
      </c>
    </row>
    <row r="2907" spans="1:40" x14ac:dyDescent="0.25">
      <c r="A2907" t="str">
        <f>"20190303154824600"</f>
        <v>20190303154824600</v>
      </c>
      <c r="B2907" t="str">
        <f>"1551599304593228"</f>
        <v>1551599304593228</v>
      </c>
      <c r="C2907" t="s">
        <v>40</v>
      </c>
      <c r="D2907">
        <v>6.1423699999999997</v>
      </c>
      <c r="E2907">
        <v>0.54184030000000005</v>
      </c>
      <c r="F2907" t="s">
        <v>42</v>
      </c>
      <c r="G2907">
        <v>-491.14210000000003</v>
      </c>
      <c r="H2907">
        <v>1.043749</v>
      </c>
      <c r="I2907">
        <v>257.77929999999998</v>
      </c>
      <c r="J2907">
        <v>-491.1241</v>
      </c>
      <c r="K2907">
        <v>1.1169020000000001</v>
      </c>
      <c r="L2907">
        <v>258.25040000000001</v>
      </c>
      <c r="M2907">
        <v>0.17215929999999999</v>
      </c>
      <c r="N2907">
        <v>-5.9793970000000004E-4</v>
      </c>
      <c r="O2907">
        <v>-0.98506890000000003</v>
      </c>
      <c r="P2907">
        <v>0.1552347</v>
      </c>
      <c r="Q2907">
        <v>-0.10967499999999999</v>
      </c>
      <c r="R2907">
        <v>-0.98177060000000005</v>
      </c>
      <c r="S2907">
        <v>0.1366272</v>
      </c>
      <c r="T2907">
        <v>-0.2805222</v>
      </c>
      <c r="U2907">
        <v>-3.0029599999999999</v>
      </c>
      <c r="V2907">
        <v>1.557535E-2</v>
      </c>
      <c r="W2907">
        <v>-0.1091575</v>
      </c>
      <c r="X2907">
        <v>0.99390239999999996</v>
      </c>
      <c r="Y2907">
        <v>0.1273898</v>
      </c>
      <c r="Z2907">
        <v>8.991536E-2</v>
      </c>
      <c r="AA2907">
        <v>0.98776870000000006</v>
      </c>
      <c r="AB2907">
        <v>30</v>
      </c>
      <c r="AC2907">
        <v>-1.80000000000291E-2</v>
      </c>
      <c r="AD2907">
        <v>-7.3152999999999996E-2</v>
      </c>
      <c r="AE2907">
        <v>-0.47110000000003499</v>
      </c>
      <c r="AF2907">
        <v>9.6511782406066102E-2</v>
      </c>
      <c r="AG2907">
        <v>-7.3152999999999996E-2</v>
      </c>
      <c r="AH2907">
        <v>0.45012937384676299</v>
      </c>
      <c r="AI2907">
        <v>99.029039618141098</v>
      </c>
      <c r="AJ2907">
        <v>77.898490250749504</v>
      </c>
      <c r="AK2907">
        <v>0.46613553689015702</v>
      </c>
      <c r="AL2907">
        <v>96.266751639778093</v>
      </c>
      <c r="AM2907">
        <v>89.102196776058705</v>
      </c>
      <c r="AN2907">
        <v>0.999999966029815</v>
      </c>
    </row>
    <row r="2908" spans="1:40" x14ac:dyDescent="0.25">
      <c r="A2908" t="str">
        <f>"20190303154824624"</f>
        <v>20190303154824624</v>
      </c>
      <c r="B2908" t="str">
        <f>"1551599304613723"</f>
        <v>1551599304613723</v>
      </c>
      <c r="C2908" t="s">
        <v>40</v>
      </c>
      <c r="D2908">
        <v>6.1451070000000003</v>
      </c>
      <c r="E2908">
        <v>0.54177219999999904</v>
      </c>
      <c r="F2908" t="s">
        <v>42</v>
      </c>
      <c r="G2908">
        <v>-491.09109999999998</v>
      </c>
      <c r="H2908">
        <v>1.044808</v>
      </c>
      <c r="I2908">
        <v>257.50799999999998</v>
      </c>
      <c r="J2908">
        <v>-491.07119999999998</v>
      </c>
      <c r="K2908">
        <v>1.1165849999999999</v>
      </c>
      <c r="L2908">
        <v>257.93040000000002</v>
      </c>
      <c r="M2908">
        <v>0.1688713</v>
      </c>
      <c r="N2908">
        <v>-6.7120369999999904E-4</v>
      </c>
      <c r="O2908">
        <v>-0.98563809999999996</v>
      </c>
      <c r="P2908">
        <v>0.15461810000000001</v>
      </c>
      <c r="Q2908">
        <v>-0.1099777</v>
      </c>
      <c r="R2908">
        <v>-0.9818344</v>
      </c>
      <c r="S2908">
        <v>0.1362305</v>
      </c>
      <c r="T2908">
        <v>-0.291014099999999</v>
      </c>
      <c r="U2908">
        <v>-3.0016479999999999</v>
      </c>
      <c r="V2908">
        <v>1.279218E-2</v>
      </c>
      <c r="W2908">
        <v>-0.1093842</v>
      </c>
      <c r="X2908">
        <v>0.99391719999999895</v>
      </c>
      <c r="Y2908">
        <v>0.12420390000000001</v>
      </c>
      <c r="Z2908">
        <v>9.3339720000000001E-2</v>
      </c>
      <c r="AA2908">
        <v>0.98785679999999998</v>
      </c>
      <c r="AB2908">
        <v>31</v>
      </c>
      <c r="AC2908">
        <v>-1.9900000000006898E-2</v>
      </c>
      <c r="AD2908">
        <v>-7.1776999999999896E-2</v>
      </c>
      <c r="AE2908">
        <v>-0.42240000000003802</v>
      </c>
      <c r="AF2908">
        <v>8.8398575483407099E-2</v>
      </c>
      <c r="AG2908">
        <v>-7.1776999999999896E-2</v>
      </c>
      <c r="AH2908">
        <v>0.401407990501846</v>
      </c>
      <c r="AI2908">
        <v>99.905602171433799</v>
      </c>
      <c r="AJ2908">
        <v>77.580489745480406</v>
      </c>
      <c r="AK2908">
        <v>0.417246474778668</v>
      </c>
      <c r="AL2908">
        <v>96.279818803521493</v>
      </c>
      <c r="AM2908">
        <v>89.262617189179593</v>
      </c>
      <c r="AN2908">
        <v>0.99999997176731503</v>
      </c>
    </row>
    <row r="2909" spans="1:40" x14ac:dyDescent="0.25">
      <c r="A2909" t="str">
        <f>"20190303154824645"</f>
        <v>20190303154824645</v>
      </c>
      <c r="B2909" t="str">
        <f>"1551599304633243"</f>
        <v>1551599304633243</v>
      </c>
      <c r="C2909" t="s">
        <v>40</v>
      </c>
      <c r="D2909">
        <v>6.0990000000000002</v>
      </c>
      <c r="E2909">
        <v>0.5418655</v>
      </c>
      <c r="F2909" t="s">
        <v>42</v>
      </c>
      <c r="G2909">
        <v>-491.02820000000003</v>
      </c>
      <c r="H2909">
        <v>1.021252</v>
      </c>
      <c r="I2909">
        <v>256.96550000000002</v>
      </c>
      <c r="J2909">
        <v>-491.0206</v>
      </c>
      <c r="K2909">
        <v>1.1163540000000001</v>
      </c>
      <c r="L2909">
        <v>257.61689999999999</v>
      </c>
      <c r="M2909">
        <v>0.16542799999999999</v>
      </c>
      <c r="N2909">
        <v>-7.5392720000000001E-4</v>
      </c>
      <c r="O2909">
        <v>-0.98622160000000003</v>
      </c>
      <c r="P2909">
        <v>0.1543881</v>
      </c>
      <c r="Q2909">
        <v>-0.10732120000000001</v>
      </c>
      <c r="R2909">
        <v>-0.98216429999999999</v>
      </c>
      <c r="S2909">
        <v>0.13497919999999999</v>
      </c>
      <c r="T2909">
        <v>-0.29640050000000001</v>
      </c>
      <c r="U2909">
        <v>-3.0010530000000002</v>
      </c>
      <c r="V2909">
        <v>9.5541570000000006E-3</v>
      </c>
      <c r="W2909">
        <v>-0.10663309999999999</v>
      </c>
      <c r="X2909">
        <v>0.99425249999999998</v>
      </c>
      <c r="Y2909">
        <v>0.1211473</v>
      </c>
      <c r="Z2909">
        <v>9.5105159999999994E-2</v>
      </c>
      <c r="AA2909">
        <v>0.98806799999999995</v>
      </c>
      <c r="AB2909">
        <v>31</v>
      </c>
      <c r="AC2909">
        <v>-7.6000000000249202E-3</v>
      </c>
      <c r="AD2909">
        <v>-9.5102000000000006E-2</v>
      </c>
      <c r="AE2909">
        <v>-0.65139999999996601</v>
      </c>
      <c r="AF2909">
        <v>0.11285005114815699</v>
      </c>
      <c r="AG2909">
        <v>-9.5102000000000006E-2</v>
      </c>
      <c r="AH2909">
        <v>0.62778823086371305</v>
      </c>
      <c r="AI2909">
        <v>98.480195474273003</v>
      </c>
      <c r="AJ2909">
        <v>79.809448936402006</v>
      </c>
      <c r="AK2909">
        <v>0.64490122286993101</v>
      </c>
      <c r="AL2909">
        <v>96.121264809882305</v>
      </c>
      <c r="AM2909">
        <v>89.449439629859896</v>
      </c>
      <c r="AN2909">
        <v>0.99999996684391901</v>
      </c>
    </row>
    <row r="2910" spans="1:40" x14ac:dyDescent="0.25">
      <c r="A2910" t="str">
        <f>"20190303154824667"</f>
        <v>20190303154824667</v>
      </c>
      <c r="B2910" t="str">
        <f>"1551599304663500"</f>
        <v>1551599304663500</v>
      </c>
      <c r="C2910" t="s">
        <v>40</v>
      </c>
      <c r="D2910">
        <v>6.0021839999999997</v>
      </c>
      <c r="E2910">
        <v>0.54150030000000005</v>
      </c>
      <c r="F2910" t="s">
        <v>42</v>
      </c>
      <c r="G2910">
        <v>-490.9794</v>
      </c>
      <c r="H2910">
        <v>1.025962</v>
      </c>
      <c r="I2910">
        <v>256.68720000000002</v>
      </c>
      <c r="J2910">
        <v>-490.97489999999999</v>
      </c>
      <c r="K2910">
        <v>1.11619</v>
      </c>
      <c r="L2910">
        <v>257.32670000000002</v>
      </c>
      <c r="M2910">
        <v>0.16211800000000001</v>
      </c>
      <c r="N2910">
        <v>-8.3862729999999999E-4</v>
      </c>
      <c r="O2910">
        <v>-0.98677119999999996</v>
      </c>
      <c r="P2910">
        <v>0.15458910000000001</v>
      </c>
      <c r="Q2910">
        <v>-0.103897699999999</v>
      </c>
      <c r="R2910">
        <v>-0.98250099999999996</v>
      </c>
      <c r="S2910">
        <v>0.13351440000000001</v>
      </c>
      <c r="T2910">
        <v>-0.29171360000000002</v>
      </c>
      <c r="U2910">
        <v>-3.0015869999999998</v>
      </c>
      <c r="V2910">
        <v>6.0519700000000003E-3</v>
      </c>
      <c r="W2910">
        <v>-0.10310610000000001</v>
      </c>
      <c r="X2910">
        <v>0.99465199999999998</v>
      </c>
      <c r="Y2910">
        <v>0.1182986</v>
      </c>
      <c r="Z2910">
        <v>9.3599769999999999E-2</v>
      </c>
      <c r="AA2910">
        <v>0.98855680000000001</v>
      </c>
      <c r="AB2910">
        <v>31</v>
      </c>
      <c r="AC2910">
        <v>-4.5000000000072699E-3</v>
      </c>
      <c r="AD2910">
        <v>-9.0227999999999906E-2</v>
      </c>
      <c r="AE2910">
        <v>-0.63949999999999796</v>
      </c>
      <c r="AF2910">
        <v>0.10600483732761901</v>
      </c>
      <c r="AG2910">
        <v>-9.0227999999999906E-2</v>
      </c>
      <c r="AH2910">
        <v>0.61800879122158203</v>
      </c>
      <c r="AI2910">
        <v>98.1884511728652</v>
      </c>
      <c r="AJ2910">
        <v>80.2669751146626</v>
      </c>
      <c r="AK2910">
        <v>0.63349268626245003</v>
      </c>
      <c r="AL2910">
        <v>95.918061535383899</v>
      </c>
      <c r="AM2910">
        <v>89.651387560910507</v>
      </c>
      <c r="AN2910">
        <v>1.00000004765104</v>
      </c>
    </row>
    <row r="2911" spans="1:40" x14ac:dyDescent="0.25">
      <c r="A2911" t="str">
        <f>"20190303154824688"</f>
        <v>20190303154824688</v>
      </c>
      <c r="B2911" t="str">
        <f>"1551599304683997"</f>
        <v>1551599304683997</v>
      </c>
      <c r="C2911" t="s">
        <v>40</v>
      </c>
      <c r="D2911">
        <v>6.075844</v>
      </c>
      <c r="E2911">
        <v>0.54180329999999999</v>
      </c>
      <c r="F2911" t="s">
        <v>42</v>
      </c>
      <c r="G2911">
        <v>-490.93340000000001</v>
      </c>
      <c r="H2911">
        <v>1.0307440000000001</v>
      </c>
      <c r="I2911">
        <v>256.40660000000003</v>
      </c>
      <c r="J2911">
        <v>-490.92720000000003</v>
      </c>
      <c r="K2911">
        <v>1.1160509999999999</v>
      </c>
      <c r="L2911">
        <v>257.01560000000001</v>
      </c>
      <c r="M2911">
        <v>0.15848889999999999</v>
      </c>
      <c r="N2911">
        <v>-9.4702399999999998E-4</v>
      </c>
      <c r="O2911">
        <v>-0.98736040000000003</v>
      </c>
      <c r="P2911">
        <v>0.15248139999999999</v>
      </c>
      <c r="Q2911">
        <v>-0.10357810000000001</v>
      </c>
      <c r="R2911">
        <v>-0.98286370000000001</v>
      </c>
      <c r="S2911">
        <v>0.13708499999999901</v>
      </c>
      <c r="T2911">
        <v>-0.27859329999999999</v>
      </c>
      <c r="U2911">
        <v>-3.00238</v>
      </c>
      <c r="V2911">
        <v>4.500446E-3</v>
      </c>
      <c r="W2911">
        <v>-0.1026701</v>
      </c>
      <c r="X2911">
        <v>0.99470530000000001</v>
      </c>
      <c r="Y2911">
        <v>0.11346680000000001</v>
      </c>
      <c r="Z2911">
        <v>8.9362910000000004E-2</v>
      </c>
      <c r="AA2911">
        <v>0.98951480000000003</v>
      </c>
      <c r="AB2911">
        <v>31</v>
      </c>
      <c r="AC2911">
        <v>-6.1999999999784398E-3</v>
      </c>
      <c r="AD2911">
        <v>-8.5306999999999994E-2</v>
      </c>
      <c r="AE2911">
        <v>-0.60899999999998</v>
      </c>
      <c r="AF2911">
        <v>0.100666378731176</v>
      </c>
      <c r="AG2911">
        <v>-8.5306999999999994E-2</v>
      </c>
      <c r="AH2911">
        <v>0.58876867024483204</v>
      </c>
      <c r="AI2911">
        <v>98.127906176506002</v>
      </c>
      <c r="AJ2911">
        <v>80.297512651905706</v>
      </c>
      <c r="AK2911">
        <v>0.60337347564979704</v>
      </c>
      <c r="AL2911">
        <v>95.892947465167097</v>
      </c>
      <c r="AM2911">
        <v>89.740772666749606</v>
      </c>
      <c r="AN2911">
        <v>1.0000000186481399</v>
      </c>
    </row>
    <row r="2912" spans="1:40" x14ac:dyDescent="0.25">
      <c r="A2912" t="str">
        <f>"20190303154824710"</f>
        <v>20190303154824710</v>
      </c>
      <c r="B2912" t="str">
        <f>"1551599304703516"</f>
        <v>1551599304703516</v>
      </c>
      <c r="C2912" t="s">
        <v>40</v>
      </c>
      <c r="D2912">
        <v>6.1582439999999998</v>
      </c>
      <c r="E2912">
        <v>0.54186219999999996</v>
      </c>
      <c r="F2912" t="s">
        <v>42</v>
      </c>
      <c r="G2912">
        <v>-490.88929999999999</v>
      </c>
      <c r="H2912">
        <v>1.032543</v>
      </c>
      <c r="I2912">
        <v>256.12569999999999</v>
      </c>
      <c r="J2912">
        <v>-490.88260000000002</v>
      </c>
      <c r="K2912">
        <v>1.1159490000000001</v>
      </c>
      <c r="L2912">
        <v>256.71749999999997</v>
      </c>
      <c r="M2912">
        <v>0.154974799999999</v>
      </c>
      <c r="N2912">
        <v>-1.082373E-3</v>
      </c>
      <c r="O2912">
        <v>-0.98791799999999996</v>
      </c>
      <c r="P2912">
        <v>0.14860699999999999</v>
      </c>
      <c r="Q2912">
        <v>-0.1060682</v>
      </c>
      <c r="R2912">
        <v>-0.9831917</v>
      </c>
      <c r="S2912">
        <v>0.12820429999999999</v>
      </c>
      <c r="T2912">
        <v>-0.28174719999999998</v>
      </c>
      <c r="U2912">
        <v>-3.0027159999999999</v>
      </c>
      <c r="V2912">
        <v>4.7957479999999999E-3</v>
      </c>
      <c r="W2912">
        <v>-0.1050295</v>
      </c>
      <c r="X2912">
        <v>0.99445749999999999</v>
      </c>
      <c r="Y2912">
        <v>0.1128604</v>
      </c>
      <c r="Z2912">
        <v>9.0318579999999996E-2</v>
      </c>
      <c r="AA2912">
        <v>0.98949739999999997</v>
      </c>
      <c r="AB2912">
        <v>31</v>
      </c>
      <c r="AC2912">
        <v>-6.6999999999666198E-3</v>
      </c>
      <c r="AD2912">
        <v>-8.3405999999999994E-2</v>
      </c>
      <c r="AE2912">
        <v>-0.59179999999997701</v>
      </c>
      <c r="AF2912">
        <v>9.6418268528178599E-2</v>
      </c>
      <c r="AG2912">
        <v>-8.3405999999999994E-2</v>
      </c>
      <c r="AH2912">
        <v>0.57224671030379604</v>
      </c>
      <c r="AI2912">
        <v>98.1788809793795</v>
      </c>
      <c r="AJ2912">
        <v>80.436021212480298</v>
      </c>
      <c r="AK2912">
        <v>0.58627582313744497</v>
      </c>
      <c r="AL2912">
        <v>96.028866442480904</v>
      </c>
      <c r="AM2912">
        <v>89.723694587302205</v>
      </c>
      <c r="AN2912">
        <v>0.99999995718768797</v>
      </c>
    </row>
    <row r="2913" spans="1:40" x14ac:dyDescent="0.25">
      <c r="A2913" t="str">
        <f>"20190303154824733"</f>
        <v>20190303154824733</v>
      </c>
      <c r="B2913" t="str">
        <f>"1551599304724011"</f>
        <v>1551599304724011</v>
      </c>
      <c r="C2913" t="s">
        <v>40</v>
      </c>
      <c r="D2913">
        <v>6.1389300000000002</v>
      </c>
      <c r="E2913">
        <v>0.54191060000000002</v>
      </c>
      <c r="F2913" t="s">
        <v>42</v>
      </c>
      <c r="G2913">
        <v>-490.8494</v>
      </c>
      <c r="H2913">
        <v>1.030303</v>
      </c>
      <c r="I2913">
        <v>255.84469999999999</v>
      </c>
      <c r="J2913">
        <v>-490.83530000000002</v>
      </c>
      <c r="K2913">
        <v>1.1158889999999999</v>
      </c>
      <c r="L2913">
        <v>256.39280000000002</v>
      </c>
      <c r="M2913">
        <v>0.15113009999999999</v>
      </c>
      <c r="N2913">
        <v>-1.278422E-3</v>
      </c>
      <c r="O2913">
        <v>-0.98851310000000003</v>
      </c>
      <c r="P2913">
        <v>0.14379069999999999</v>
      </c>
      <c r="Q2913">
        <v>-0.10779179999999999</v>
      </c>
      <c r="R2913">
        <v>-0.98372029999999999</v>
      </c>
      <c r="S2913">
        <v>0.1156616</v>
      </c>
      <c r="T2913">
        <v>-0.29438150000000002</v>
      </c>
      <c r="U2913">
        <v>-3.0020289999999998</v>
      </c>
      <c r="V2913">
        <v>5.7324330000000003E-3</v>
      </c>
      <c r="W2913">
        <v>-0.1065667</v>
      </c>
      <c r="X2913">
        <v>0.99428899999999998</v>
      </c>
      <c r="Y2913">
        <v>0.11312510000000001</v>
      </c>
      <c r="Z2913">
        <v>9.4299179999999996E-2</v>
      </c>
      <c r="AA2913">
        <v>0.98909570000000002</v>
      </c>
      <c r="AB2913">
        <v>32</v>
      </c>
      <c r="AC2913">
        <v>-1.4099999999984901E-2</v>
      </c>
      <c r="AD2913">
        <v>-8.5585999999999898E-2</v>
      </c>
      <c r="AE2913">
        <v>-0.54810000000003301</v>
      </c>
      <c r="AF2913">
        <v>9.4470571493250804E-2</v>
      </c>
      <c r="AG2913">
        <v>-8.5585999999999898E-2</v>
      </c>
      <c r="AH2913">
        <v>0.52683619884640798</v>
      </c>
      <c r="AI2913">
        <v>99.084819883551006</v>
      </c>
      <c r="AJ2913">
        <v>79.833947821355594</v>
      </c>
      <c r="AK2913">
        <v>0.54203877415660395</v>
      </c>
      <c r="AL2913">
        <v>96.117438555253003</v>
      </c>
      <c r="AM2913">
        <v>89.669672923846207</v>
      </c>
      <c r="AN2913">
        <v>0.99999996892899401</v>
      </c>
    </row>
    <row r="2914" spans="1:40" x14ac:dyDescent="0.25">
      <c r="A2914" t="str">
        <f>"20190303154824755"</f>
        <v>20190303154824755</v>
      </c>
      <c r="B2914" t="str">
        <f>"1551599304743531"</f>
        <v>1551599304743531</v>
      </c>
      <c r="C2914" t="s">
        <v>40</v>
      </c>
      <c r="D2914">
        <v>6.1544730000000003</v>
      </c>
      <c r="E2914">
        <v>0.54198459999999904</v>
      </c>
      <c r="F2914" t="s">
        <v>42</v>
      </c>
      <c r="G2914">
        <v>-490.8073</v>
      </c>
      <c r="H2914">
        <v>1.0314049999999999</v>
      </c>
      <c r="I2914">
        <v>255.56110000000001</v>
      </c>
      <c r="J2914">
        <v>-490.79090000000002</v>
      </c>
      <c r="K2914">
        <v>1.1158509999999999</v>
      </c>
      <c r="L2914">
        <v>256.07909999999998</v>
      </c>
      <c r="M2914">
        <v>0.1474106</v>
      </c>
      <c r="N2914">
        <v>-1.5272829999999999E-3</v>
      </c>
      <c r="O2914">
        <v>-0.98907429999999996</v>
      </c>
      <c r="P2914">
        <v>0.13889889999999999</v>
      </c>
      <c r="Q2914">
        <v>-0.1072003</v>
      </c>
      <c r="R2914">
        <v>-0.98448760000000002</v>
      </c>
      <c r="S2914">
        <v>0.10073849999999999</v>
      </c>
      <c r="T2914">
        <v>-0.304946299999999</v>
      </c>
      <c r="U2914">
        <v>-3.0015109999999998</v>
      </c>
      <c r="V2914">
        <v>6.9309080000000004E-3</v>
      </c>
      <c r="W2914">
        <v>-0.105738</v>
      </c>
      <c r="X2914">
        <v>0.99436990000000003</v>
      </c>
      <c r="Y2914">
        <v>0.11430079999999999</v>
      </c>
      <c r="Z2914">
        <v>9.7551100000000002E-2</v>
      </c>
      <c r="AA2914">
        <v>0.98864510000000005</v>
      </c>
      <c r="AB2914">
        <v>32</v>
      </c>
      <c r="AC2914">
        <v>-1.6399999999975899E-2</v>
      </c>
      <c r="AD2914">
        <v>-8.4445999999999993E-2</v>
      </c>
      <c r="AE2914">
        <v>-0.51799999999997204</v>
      </c>
      <c r="AF2914">
        <v>9.0185197018612204E-2</v>
      </c>
      <c r="AG2914">
        <v>-8.4445999999999993E-2</v>
      </c>
      <c r="AH2914">
        <v>0.49673521029559098</v>
      </c>
      <c r="AI2914">
        <v>99.495819887469494</v>
      </c>
      <c r="AJ2914">
        <v>79.709702204022406</v>
      </c>
      <c r="AK2914">
        <v>0.51186948123979004</v>
      </c>
      <c r="AL2914">
        <v>96.069687369356203</v>
      </c>
      <c r="AM2914">
        <v>89.600646252646598</v>
      </c>
      <c r="AN2914">
        <v>1.00000003007785</v>
      </c>
    </row>
    <row r="2915" spans="1:40" x14ac:dyDescent="0.25">
      <c r="A2915" t="str">
        <f>"20190303154824777"</f>
        <v>20190303154824777</v>
      </c>
      <c r="B2915" t="str">
        <f>"1551599304773787"</f>
        <v>1551599304773787</v>
      </c>
      <c r="C2915" t="s">
        <v>40</v>
      </c>
      <c r="D2915">
        <v>6.127389</v>
      </c>
      <c r="E2915">
        <v>0.54205499999999995</v>
      </c>
      <c r="F2915" t="s">
        <v>42</v>
      </c>
      <c r="G2915">
        <v>-490.76830000000001</v>
      </c>
      <c r="H2915">
        <v>1.0334270000000001</v>
      </c>
      <c r="I2915">
        <v>255.27539999999999</v>
      </c>
      <c r="J2915">
        <v>-490.74650000000003</v>
      </c>
      <c r="K2915">
        <v>1.115845</v>
      </c>
      <c r="L2915">
        <v>255.75630000000001</v>
      </c>
      <c r="M2915">
        <v>0.1435785</v>
      </c>
      <c r="N2915">
        <v>-1.852156E-3</v>
      </c>
      <c r="O2915">
        <v>-0.98963730000000005</v>
      </c>
      <c r="P2915">
        <v>0.13438939999999999</v>
      </c>
      <c r="Q2915">
        <v>-0.10559350000000001</v>
      </c>
      <c r="R2915">
        <v>-0.98528669999999996</v>
      </c>
      <c r="S2915">
        <v>8.5113530000000007E-2</v>
      </c>
      <c r="T2915">
        <v>-0.30775249999999998</v>
      </c>
      <c r="U2915">
        <v>-3.0017849999999999</v>
      </c>
      <c r="V2915">
        <v>7.6553419999999999E-3</v>
      </c>
      <c r="W2915">
        <v>-0.1038148</v>
      </c>
      <c r="X2915">
        <v>0.99456719999999998</v>
      </c>
      <c r="Y2915">
        <v>0.11559659999999999</v>
      </c>
      <c r="Z2915">
        <v>9.8207139999999998E-2</v>
      </c>
      <c r="AA2915">
        <v>0.98842940000000001</v>
      </c>
      <c r="AB2915">
        <v>32</v>
      </c>
      <c r="AC2915">
        <v>-2.17999999999847E-2</v>
      </c>
      <c r="AD2915">
        <v>-8.2417999999999797E-2</v>
      </c>
      <c r="AE2915">
        <v>-0.48090000000001898</v>
      </c>
      <c r="AF2915">
        <v>8.8040510924877205E-2</v>
      </c>
      <c r="AG2915">
        <v>-8.2417999999999797E-2</v>
      </c>
      <c r="AH2915">
        <v>0.45932370758694802</v>
      </c>
      <c r="AI2915">
        <v>99.994354933515694</v>
      </c>
      <c r="AJ2915">
        <v>79.149478227057102</v>
      </c>
      <c r="AK2915">
        <v>0.47489169990570901</v>
      </c>
      <c r="AL2915">
        <v>95.958886324145595</v>
      </c>
      <c r="AM2915">
        <v>89.558993977015206</v>
      </c>
      <c r="AN2915">
        <v>1.000000016138</v>
      </c>
    </row>
    <row r="2916" spans="1:40" x14ac:dyDescent="0.25">
      <c r="A2916" t="str">
        <f>"20190303154824801"</f>
        <v>20190303154824801</v>
      </c>
      <c r="B2916" t="str">
        <f>"1551599304793308"</f>
        <v>1551599304793308</v>
      </c>
      <c r="C2916" t="s">
        <v>40</v>
      </c>
      <c r="D2916">
        <v>6.1342689999999997</v>
      </c>
      <c r="E2916">
        <v>0.54208859999999903</v>
      </c>
      <c r="F2916" t="s">
        <v>42</v>
      </c>
      <c r="G2916">
        <v>-490.72840000000002</v>
      </c>
      <c r="H2916">
        <v>1.0369060000000001</v>
      </c>
      <c r="I2916">
        <v>254.98820000000001</v>
      </c>
      <c r="J2916">
        <v>-490.70260000000002</v>
      </c>
      <c r="K2916">
        <v>1.1158629999999901</v>
      </c>
      <c r="L2916">
        <v>255.4289</v>
      </c>
      <c r="M2916">
        <v>0.13968069999999999</v>
      </c>
      <c r="N2916">
        <v>-2.2569880000000001E-3</v>
      </c>
      <c r="O2916">
        <v>-0.99019400000000002</v>
      </c>
      <c r="P2916">
        <v>0.13027079999999999</v>
      </c>
      <c r="Q2916">
        <v>-0.1042346</v>
      </c>
      <c r="R2916">
        <v>-0.98598430000000004</v>
      </c>
      <c r="S2916">
        <v>7.0922849999999996E-2</v>
      </c>
      <c r="T2916">
        <v>-0.30843589999999999</v>
      </c>
      <c r="U2916">
        <v>-3.0021209999999998</v>
      </c>
      <c r="V2916">
        <v>7.9147130000000003E-3</v>
      </c>
      <c r="W2916">
        <v>-0.1020562</v>
      </c>
      <c r="X2916">
        <v>0.99474720000000005</v>
      </c>
      <c r="Y2916">
        <v>0.11635479999999999</v>
      </c>
      <c r="Z2916">
        <v>9.8099679999999995E-2</v>
      </c>
      <c r="AA2916">
        <v>0.98835119999999999</v>
      </c>
      <c r="AB2916">
        <v>32</v>
      </c>
      <c r="AC2916">
        <v>-2.5800000000003799E-2</v>
      </c>
      <c r="AD2916">
        <v>-7.8956999999999902E-2</v>
      </c>
      <c r="AE2916">
        <v>-0.44069999999999199</v>
      </c>
      <c r="AF2916">
        <v>8.44044464612803E-2</v>
      </c>
      <c r="AG2916">
        <v>-7.8956999999999902E-2</v>
      </c>
      <c r="AH2916">
        <v>0.41936065346210399</v>
      </c>
      <c r="AI2916">
        <v>100.457838373003</v>
      </c>
      <c r="AJ2916">
        <v>78.620153432989397</v>
      </c>
      <c r="AK2916">
        <v>0.43499617941264501</v>
      </c>
      <c r="AL2916">
        <v>95.857587653755004</v>
      </c>
      <c r="AM2916">
        <v>89.544135352185094</v>
      </c>
      <c r="AN2916">
        <v>1.0000000512740701</v>
      </c>
    </row>
    <row r="2917" spans="1:40" x14ac:dyDescent="0.25">
      <c r="A2917" t="str">
        <f>"20190303154824826"</f>
        <v>20190303154824826</v>
      </c>
      <c r="B2917" t="str">
        <f>"1551599304813804"</f>
        <v>1551599304813804</v>
      </c>
      <c r="C2917" t="s">
        <v>40</v>
      </c>
      <c r="D2917">
        <v>6.1609030000000002</v>
      </c>
      <c r="E2917">
        <v>0.54212019999999905</v>
      </c>
      <c r="F2917" t="s">
        <v>42</v>
      </c>
      <c r="G2917">
        <v>-490.6832</v>
      </c>
      <c r="H2917">
        <v>1.0129349999999999</v>
      </c>
      <c r="I2917">
        <v>254.42099999999999</v>
      </c>
      <c r="J2917">
        <v>-490.65570000000002</v>
      </c>
      <c r="K2917">
        <v>1.11589</v>
      </c>
      <c r="L2917">
        <v>255.0642</v>
      </c>
      <c r="M2917">
        <v>0.1353152</v>
      </c>
      <c r="N2917">
        <v>-2.778155E-3</v>
      </c>
      <c r="O2917">
        <v>-0.99079879999999998</v>
      </c>
      <c r="P2917">
        <v>0.1254207</v>
      </c>
      <c r="Q2917">
        <v>-0.1043105</v>
      </c>
      <c r="R2917">
        <v>-0.98660499999999995</v>
      </c>
      <c r="S2917">
        <v>5.807495E-2</v>
      </c>
      <c r="T2917">
        <v>-0.3066275</v>
      </c>
      <c r="U2917">
        <v>-3.0025629999999999</v>
      </c>
      <c r="V2917">
        <v>8.4103589999999992E-3</v>
      </c>
      <c r="W2917">
        <v>-0.101619</v>
      </c>
      <c r="X2917">
        <v>0.99478789999999995</v>
      </c>
      <c r="Y2917">
        <v>0.1162029</v>
      </c>
      <c r="Z2917">
        <v>9.708137E-2</v>
      </c>
      <c r="AA2917">
        <v>0.9884695</v>
      </c>
      <c r="AB2917">
        <v>32</v>
      </c>
      <c r="AC2917">
        <v>-2.7499999999974899E-2</v>
      </c>
      <c r="AD2917">
        <v>-0.10295499999999901</v>
      </c>
      <c r="AE2917">
        <v>-0.64320000000000699</v>
      </c>
      <c r="AF2917">
        <v>0.111432292586779</v>
      </c>
      <c r="AG2917">
        <v>-0.10295499999999901</v>
      </c>
      <c r="AH2917">
        <v>0.61776391275668696</v>
      </c>
      <c r="AI2917">
        <v>99.314194255680405</v>
      </c>
      <c r="AJ2917">
        <v>79.774935153608695</v>
      </c>
      <c r="AK2917">
        <v>0.63612038150070105</v>
      </c>
      <c r="AL2917">
        <v>95.832406972061904</v>
      </c>
      <c r="AM2917">
        <v>89.515608709887601</v>
      </c>
      <c r="AN2917">
        <v>1.00000006064295</v>
      </c>
    </row>
    <row r="2918" spans="1:40" x14ac:dyDescent="0.25">
      <c r="A2918" t="str">
        <f>"20190303154824845"</f>
        <v>20190303154824845</v>
      </c>
      <c r="B2918" t="str">
        <f>"1551599304833324"</f>
        <v>1551599304833324</v>
      </c>
      <c r="C2918" t="s">
        <v>40</v>
      </c>
      <c r="D2918">
        <v>6.2466520000000001</v>
      </c>
      <c r="E2918">
        <v>0.54217340000000003</v>
      </c>
      <c r="F2918" t="s">
        <v>42</v>
      </c>
      <c r="G2918">
        <v>-490.64299999999997</v>
      </c>
      <c r="H2918">
        <v>1.019712</v>
      </c>
      <c r="I2918">
        <v>254.1301</v>
      </c>
      <c r="J2918">
        <v>-490.62180000000001</v>
      </c>
      <c r="K2918">
        <v>1.115899</v>
      </c>
      <c r="L2918">
        <v>254.7936</v>
      </c>
      <c r="M2918">
        <v>0.1320567</v>
      </c>
      <c r="N2918">
        <v>-3.1751380000000001E-3</v>
      </c>
      <c r="O2918">
        <v>-0.99123709999999998</v>
      </c>
      <c r="P2918">
        <v>0.1217606</v>
      </c>
      <c r="Q2918">
        <v>-0.1064987</v>
      </c>
      <c r="R2918">
        <v>-0.98682979999999998</v>
      </c>
      <c r="S2918">
        <v>4.2602540000000001E-2</v>
      </c>
      <c r="T2918">
        <v>-0.30883260000000001</v>
      </c>
      <c r="U2918">
        <v>-3.0026700000000002</v>
      </c>
      <c r="V2918">
        <v>8.7744580000000006E-3</v>
      </c>
      <c r="W2918">
        <v>-0.1034168</v>
      </c>
      <c r="X2918">
        <v>0.99459940000000002</v>
      </c>
      <c r="Y2918">
        <v>0.1180274</v>
      </c>
      <c r="Z2918">
        <v>9.7453250000000005E-2</v>
      </c>
      <c r="AA2918">
        <v>0.98821680000000001</v>
      </c>
      <c r="AB2918">
        <v>32</v>
      </c>
      <c r="AC2918">
        <v>-2.1200000000021601E-2</v>
      </c>
      <c r="AD2918">
        <v>-9.61869999999998E-2</v>
      </c>
      <c r="AE2918">
        <v>-0.66349999999999898</v>
      </c>
      <c r="AF2918">
        <v>0.106400554449175</v>
      </c>
      <c r="AG2918">
        <v>-9.61869999999998E-2</v>
      </c>
      <c r="AH2918">
        <v>0.64142307571722201</v>
      </c>
      <c r="AI2918">
        <v>98.415140460825398</v>
      </c>
      <c r="AJ2918">
        <v>80.5814253289536</v>
      </c>
      <c r="AK2918">
        <v>0.65726446657234805</v>
      </c>
      <c r="AL2918">
        <v>95.935959316106306</v>
      </c>
      <c r="AM2918">
        <v>89.494543864723497</v>
      </c>
      <c r="AN2918">
        <v>0.99999999605789602</v>
      </c>
    </row>
    <row r="2919" spans="1:40" x14ac:dyDescent="0.25">
      <c r="A2919" t="str">
        <f>"20190303154824866"</f>
        <v>20190303154824866</v>
      </c>
      <c r="B2919" t="str">
        <f>"1551599304863580"</f>
        <v>1551599304863580</v>
      </c>
      <c r="C2919" t="s">
        <v>40</v>
      </c>
      <c r="D2919">
        <v>6.2518349999999998</v>
      </c>
      <c r="E2919">
        <v>0.5419564</v>
      </c>
      <c r="F2919" t="s">
        <v>42</v>
      </c>
      <c r="G2919">
        <v>-490.61189999999999</v>
      </c>
      <c r="H2919">
        <v>1.015252</v>
      </c>
      <c r="I2919">
        <v>253.8425</v>
      </c>
      <c r="J2919">
        <v>-490.58330000000001</v>
      </c>
      <c r="K2919">
        <v>1.1159079999999999</v>
      </c>
      <c r="L2919">
        <v>254.47659999999999</v>
      </c>
      <c r="M2919">
        <v>0.12822600000000001</v>
      </c>
      <c r="N2919">
        <v>-3.6469570000000002E-3</v>
      </c>
      <c r="O2919">
        <v>-0.99173840000000002</v>
      </c>
      <c r="P2919">
        <v>0.1182571</v>
      </c>
      <c r="Q2919">
        <v>-0.1093278</v>
      </c>
      <c r="R2919">
        <v>-0.9869462</v>
      </c>
      <c r="S2919">
        <v>3.143311E-2</v>
      </c>
      <c r="T2919">
        <v>-0.31756960000000001</v>
      </c>
      <c r="U2919">
        <v>-3.0019070000000001</v>
      </c>
      <c r="V2919">
        <v>8.3936510000000002E-3</v>
      </c>
      <c r="W2919">
        <v>-0.1057756</v>
      </c>
      <c r="X2919">
        <v>0.99435459999999998</v>
      </c>
      <c r="Y2919">
        <v>0.1178626</v>
      </c>
      <c r="Z2919">
        <v>9.990802E-2</v>
      </c>
      <c r="AA2919">
        <v>0.98799130000000002</v>
      </c>
      <c r="AB2919">
        <v>32</v>
      </c>
      <c r="AC2919">
        <v>-2.8599999999983E-2</v>
      </c>
      <c r="AD2919">
        <v>-0.100655999999999</v>
      </c>
      <c r="AE2919">
        <v>-0.63409999999998901</v>
      </c>
      <c r="AF2919">
        <v>0.106982286900527</v>
      </c>
      <c r="AG2919">
        <v>-0.100655999999999</v>
      </c>
      <c r="AH2919">
        <v>0.60986210403599495</v>
      </c>
      <c r="AI2919">
        <v>99.233506148971799</v>
      </c>
      <c r="AJ2919">
        <v>80.050381788899202</v>
      </c>
      <c r="AK2919">
        <v>0.62730265899777304</v>
      </c>
      <c r="AL2919">
        <v>96.071854018938893</v>
      </c>
      <c r="AM2919">
        <v>89.516360305748407</v>
      </c>
      <c r="AN2919">
        <v>1.0000000007368099</v>
      </c>
    </row>
    <row r="2920" spans="1:40" x14ac:dyDescent="0.25">
      <c r="A2920" t="str">
        <f>"20190303154824888"</f>
        <v>20190303154824888</v>
      </c>
      <c r="B2920" t="str">
        <f>"1551599304884077"</f>
        <v>1551599304884077</v>
      </c>
      <c r="C2920" t="s">
        <v>40</v>
      </c>
      <c r="D2920">
        <v>6.296481</v>
      </c>
      <c r="E2920">
        <v>0.54193659999999999</v>
      </c>
      <c r="F2920" t="s">
        <v>42</v>
      </c>
      <c r="G2920">
        <v>-490.577</v>
      </c>
      <c r="H2920">
        <v>1.0146930000000001</v>
      </c>
      <c r="I2920">
        <v>253.55289999999999</v>
      </c>
      <c r="J2920">
        <v>-490.54469999999998</v>
      </c>
      <c r="K2920">
        <v>1.115926</v>
      </c>
      <c r="L2920">
        <v>254.14769999999999</v>
      </c>
      <c r="M2920">
        <v>0.1242408</v>
      </c>
      <c r="N2920">
        <v>-4.1381250000000003E-3</v>
      </c>
      <c r="O2920">
        <v>-0.9922436</v>
      </c>
      <c r="P2920">
        <v>0.1167895</v>
      </c>
      <c r="Q2920">
        <v>-0.1108234</v>
      </c>
      <c r="R2920">
        <v>-0.98695429999999995</v>
      </c>
      <c r="S2920">
        <v>2.233887E-2</v>
      </c>
      <c r="T2920">
        <v>-0.32853149999999998</v>
      </c>
      <c r="U2920">
        <v>-3.0005649999999999</v>
      </c>
      <c r="V2920">
        <v>5.8411770000000003E-3</v>
      </c>
      <c r="W2920">
        <v>-0.1067627</v>
      </c>
      <c r="X2920">
        <v>0.99426729999999997</v>
      </c>
      <c r="Y2920">
        <v>0.1168614</v>
      </c>
      <c r="Z2920">
        <v>0.1030905</v>
      </c>
      <c r="AA2920">
        <v>0.98778330000000003</v>
      </c>
      <c r="AB2920">
        <v>32</v>
      </c>
      <c r="AC2920">
        <v>-3.2300000000020597E-2</v>
      </c>
      <c r="AD2920">
        <v>-0.101232999999999</v>
      </c>
      <c r="AE2920">
        <v>-0.594799999999992</v>
      </c>
      <c r="AF2920">
        <v>0.10297470000211</v>
      </c>
      <c r="AG2920">
        <v>-0.101232999999999</v>
      </c>
      <c r="AH2920">
        <v>0.56972383701926099</v>
      </c>
      <c r="AI2920">
        <v>99.918165201775807</v>
      </c>
      <c r="AJ2920">
        <v>79.754689302596006</v>
      </c>
      <c r="AK2920">
        <v>0.58773902337472395</v>
      </c>
      <c r="AL2920">
        <v>96.128733210240696</v>
      </c>
      <c r="AM2920">
        <v>89.663399430661599</v>
      </c>
      <c r="AN2920">
        <v>0.99999992865466003</v>
      </c>
    </row>
    <row r="2921" spans="1:40" x14ac:dyDescent="0.25">
      <c r="A2921" t="str">
        <f>"20190303154824911"</f>
        <v>20190303154824911</v>
      </c>
      <c r="B2921" t="str">
        <f>"1551599304903595"</f>
        <v>1551599304903595</v>
      </c>
      <c r="C2921" t="s">
        <v>40</v>
      </c>
      <c r="D2921">
        <v>6.2626460000000002</v>
      </c>
      <c r="E2921">
        <v>0.54175689999999999</v>
      </c>
      <c r="F2921" t="s">
        <v>42</v>
      </c>
      <c r="G2921">
        <v>-490.53960000000001</v>
      </c>
      <c r="H2921">
        <v>1.016837</v>
      </c>
      <c r="I2921">
        <v>253.2619</v>
      </c>
      <c r="J2921">
        <v>-490.50830000000002</v>
      </c>
      <c r="K2921">
        <v>1.1159460000000001</v>
      </c>
      <c r="L2921">
        <v>253.8271</v>
      </c>
      <c r="M2921">
        <v>0.12034980000000001</v>
      </c>
      <c r="N2921">
        <v>-4.6052979999999999E-3</v>
      </c>
      <c r="O2921">
        <v>-0.99272090000000002</v>
      </c>
      <c r="P2921">
        <v>0.1157893</v>
      </c>
      <c r="Q2921">
        <v>-0.1104296</v>
      </c>
      <c r="R2921">
        <v>-0.9871162</v>
      </c>
      <c r="S2921">
        <v>1.8157960000000001E-2</v>
      </c>
      <c r="T2921">
        <v>-0.3354703</v>
      </c>
      <c r="U2921">
        <v>-2.9998320000000001</v>
      </c>
      <c r="V2921">
        <v>2.9578349999999998E-3</v>
      </c>
      <c r="W2921">
        <v>-0.1058801</v>
      </c>
      <c r="X2921">
        <v>0.99437450000000005</v>
      </c>
      <c r="Y2921">
        <v>0.1143405</v>
      </c>
      <c r="Z2921">
        <v>0.1049863</v>
      </c>
      <c r="AA2921">
        <v>0.98787860000000005</v>
      </c>
      <c r="AB2921">
        <v>32</v>
      </c>
      <c r="AC2921">
        <v>-3.12999999999874E-2</v>
      </c>
      <c r="AD2921">
        <v>-9.9108999999999794E-2</v>
      </c>
      <c r="AE2921">
        <v>-0.56520000000000403</v>
      </c>
      <c r="AF2921">
        <v>9.6147577649165594E-2</v>
      </c>
      <c r="AG2921">
        <v>-9.9108999999999794E-2</v>
      </c>
      <c r="AH2921">
        <v>0.54074850423018295</v>
      </c>
      <c r="AI2921">
        <v>100.228995652027</v>
      </c>
      <c r="AJ2921">
        <v>79.9179116695842</v>
      </c>
      <c r="AK2921">
        <v>0.55810025568528698</v>
      </c>
      <c r="AL2921">
        <v>96.077875273395307</v>
      </c>
      <c r="AM2921">
        <v>89.829570285473196</v>
      </c>
      <c r="AN2921">
        <v>0.99999999530707295</v>
      </c>
    </row>
    <row r="2922" spans="1:40" x14ac:dyDescent="0.25">
      <c r="A2922" t="str">
        <f>"20190303154824933"</f>
        <v>20190303154824933</v>
      </c>
      <c r="B2922" t="str">
        <f>"1551599304923116"</f>
        <v>1551599304923116</v>
      </c>
      <c r="C2922" t="s">
        <v>40</v>
      </c>
      <c r="D2922">
        <v>6.2544469999999999</v>
      </c>
      <c r="E2922">
        <v>0.54155120000000001</v>
      </c>
      <c r="F2922" t="s">
        <v>42</v>
      </c>
      <c r="G2922">
        <v>-490.50409999999999</v>
      </c>
      <c r="H2922">
        <v>1.0196080000000001</v>
      </c>
      <c r="I2922">
        <v>252.96969999999999</v>
      </c>
      <c r="J2922">
        <v>-490.47340000000003</v>
      </c>
      <c r="K2922">
        <v>1.115955</v>
      </c>
      <c r="L2922">
        <v>253.50810000000001</v>
      </c>
      <c r="M2922">
        <v>0.1164734</v>
      </c>
      <c r="N2922">
        <v>-5.0472970000000001E-3</v>
      </c>
      <c r="O2922">
        <v>-0.99318110000000004</v>
      </c>
      <c r="P2922">
        <v>0.1140307</v>
      </c>
      <c r="Q2922">
        <v>-0.1095246</v>
      </c>
      <c r="R2922">
        <v>-0.98742180000000002</v>
      </c>
      <c r="S2922">
        <v>1.638794E-2</v>
      </c>
      <c r="T2922">
        <v>-0.33680189999999999</v>
      </c>
      <c r="U2922">
        <v>-2.9995880000000001</v>
      </c>
      <c r="V2922">
        <v>8.6583059999999895E-4</v>
      </c>
      <c r="W2922">
        <v>-0.1045174</v>
      </c>
      <c r="X2922">
        <v>0.99452269999999998</v>
      </c>
      <c r="Y2922">
        <v>0.1110424</v>
      </c>
      <c r="Z2922">
        <v>0.1050835</v>
      </c>
      <c r="AA2922">
        <v>0.98824440000000002</v>
      </c>
      <c r="AB2922">
        <v>33</v>
      </c>
      <c r="AC2922">
        <v>-3.06999999999675E-2</v>
      </c>
      <c r="AD2922">
        <v>-9.6346999999999905E-2</v>
      </c>
      <c r="AE2922">
        <v>-0.53840000000002397</v>
      </c>
      <c r="AF2922">
        <v>9.0318200219655198E-2</v>
      </c>
      <c r="AG2922">
        <v>-9.6346999999999905E-2</v>
      </c>
      <c r="AH2922">
        <v>0.51472974369956104</v>
      </c>
      <c r="AI2922">
        <v>100.44593228310301</v>
      </c>
      <c r="AJ2922">
        <v>80.047781955149404</v>
      </c>
      <c r="AK2922">
        <v>0.531400819296445</v>
      </c>
      <c r="AL2922">
        <v>95.999362517706402</v>
      </c>
      <c r="AM2922">
        <v>89.950118356654997</v>
      </c>
      <c r="AN2922">
        <v>1.00000001869033</v>
      </c>
    </row>
    <row r="2923" spans="1:40" x14ac:dyDescent="0.25">
      <c r="A2923" t="str">
        <f>"20190303154824956"</f>
        <v>20190303154824956</v>
      </c>
      <c r="B2923" t="str">
        <f>"1551599304953372"</f>
        <v>1551599304953372</v>
      </c>
      <c r="C2923" t="s">
        <v>40</v>
      </c>
      <c r="D2923">
        <v>6.2654930000000002</v>
      </c>
      <c r="E2923">
        <v>0.54115049999999998</v>
      </c>
      <c r="F2923" t="s">
        <v>42</v>
      </c>
      <c r="G2923">
        <v>-490.46980000000002</v>
      </c>
      <c r="H2923">
        <v>1.0227329999999999</v>
      </c>
      <c r="I2923">
        <v>252.67660000000001</v>
      </c>
      <c r="J2923">
        <v>-490.43740000000003</v>
      </c>
      <c r="K2923">
        <v>1.1159709999999901</v>
      </c>
      <c r="L2923">
        <v>253.1662</v>
      </c>
      <c r="M2923">
        <v>0.11231770000000001</v>
      </c>
      <c r="N2923">
        <v>-5.4910059999999997E-3</v>
      </c>
      <c r="O2923">
        <v>-0.99365709999999996</v>
      </c>
      <c r="P2923">
        <v>0.11038530000000001</v>
      </c>
      <c r="Q2923">
        <v>-0.1107239</v>
      </c>
      <c r="R2923">
        <v>-0.98770199999999997</v>
      </c>
      <c r="S2923">
        <v>1.300049E-2</v>
      </c>
      <c r="T2923">
        <v>-0.3362986</v>
      </c>
      <c r="U2923">
        <v>-2.9994510000000001</v>
      </c>
      <c r="V2923">
        <v>3.498857E-4</v>
      </c>
      <c r="W2923">
        <v>-0.1052718</v>
      </c>
      <c r="X2923">
        <v>0.99444339999999998</v>
      </c>
      <c r="Y2923">
        <v>0.107998499999999</v>
      </c>
      <c r="Z2923">
        <v>0.1045832</v>
      </c>
      <c r="AA2923">
        <v>0.98863480000000004</v>
      </c>
      <c r="AB2923">
        <v>33</v>
      </c>
      <c r="AC2923">
        <v>-3.2399999999995502E-2</v>
      </c>
      <c r="AD2923">
        <v>-9.3237999999999904E-2</v>
      </c>
      <c r="AE2923">
        <v>-0.48959999999999498</v>
      </c>
      <c r="AF2923">
        <v>8.4148123325825497E-2</v>
      </c>
      <c r="AG2923">
        <v>-9.3237999999999904E-2</v>
      </c>
      <c r="AH2923">
        <v>0.466035071291928</v>
      </c>
      <c r="AI2923">
        <v>101.13809623059799</v>
      </c>
      <c r="AJ2923">
        <v>79.764851705808894</v>
      </c>
      <c r="AK2923">
        <v>0.48266232396711001</v>
      </c>
      <c r="AL2923">
        <v>96.042826493031498</v>
      </c>
      <c r="AM2923">
        <v>89.979841011469503</v>
      </c>
      <c r="AN2923">
        <v>0.99999997504940097</v>
      </c>
    </row>
    <row r="2924" spans="1:40" x14ac:dyDescent="0.25">
      <c r="A2924" t="str">
        <f>"20190303154824981"</f>
        <v>20190303154824981</v>
      </c>
      <c r="B2924" t="str">
        <f>"1551599304973868"</f>
        <v>1551599304973868</v>
      </c>
      <c r="C2924" t="s">
        <v>40</v>
      </c>
      <c r="D2924">
        <v>6.2798569999999998</v>
      </c>
      <c r="E2924">
        <v>0.54092289999999998</v>
      </c>
      <c r="F2924" t="s">
        <v>42</v>
      </c>
      <c r="G2924">
        <v>-490.43630000000002</v>
      </c>
      <c r="H2924">
        <v>1.026284</v>
      </c>
      <c r="I2924">
        <v>252.3827</v>
      </c>
      <c r="J2924">
        <v>-490.40109999999999</v>
      </c>
      <c r="K2924">
        <v>1.115974</v>
      </c>
      <c r="L2924">
        <v>252.80779999999999</v>
      </c>
      <c r="M2924">
        <v>0.1079604</v>
      </c>
      <c r="N2924">
        <v>-5.9178579999999998E-3</v>
      </c>
      <c r="O2924">
        <v>-0.99413779999999996</v>
      </c>
      <c r="P2924">
        <v>0.1063399</v>
      </c>
      <c r="Q2924">
        <v>-0.1129216</v>
      </c>
      <c r="R2924">
        <v>-0.98789740000000004</v>
      </c>
      <c r="S2924">
        <v>5.065918E-3</v>
      </c>
      <c r="T2924">
        <v>-0.34309509999999899</v>
      </c>
      <c r="U2924">
        <v>-2.9983059999999999</v>
      </c>
      <c r="V2924" s="1">
        <v>1.5790279999999999E-5</v>
      </c>
      <c r="W2924">
        <v>-0.1070436</v>
      </c>
      <c r="X2924">
        <v>0.99425439999999998</v>
      </c>
      <c r="Y2924">
        <v>0.1062522</v>
      </c>
      <c r="Z2924">
        <v>0.1064904</v>
      </c>
      <c r="AA2924">
        <v>0.98862039999999995</v>
      </c>
      <c r="AB2924">
        <v>33</v>
      </c>
      <c r="AC2924">
        <v>-3.5200000000031602E-2</v>
      </c>
      <c r="AD2924">
        <v>-8.9690000000000006E-2</v>
      </c>
      <c r="AE2924">
        <v>-0.42509999999998599</v>
      </c>
      <c r="AF2924">
        <v>7.7464183978093695E-2</v>
      </c>
      <c r="AG2924">
        <v>-8.9690000000000006E-2</v>
      </c>
      <c r="AH2924">
        <v>0.40108243658986797</v>
      </c>
      <c r="AI2924">
        <v>102.383494493263</v>
      </c>
      <c r="AJ2924">
        <v>79.068613927721103</v>
      </c>
      <c r="AK2924">
        <v>0.41822495960936801</v>
      </c>
      <c r="AL2924">
        <v>96.144919471676403</v>
      </c>
      <c r="AM2924">
        <v>89.999090055421107</v>
      </c>
      <c r="AN2924">
        <v>1.0000000722348199</v>
      </c>
    </row>
    <row r="2925" spans="1:40" x14ac:dyDescent="0.25">
      <c r="A2925" t="str">
        <f>"20190303154825000"</f>
        <v>20190303154825000</v>
      </c>
      <c r="B2925" t="str">
        <f>"1551599304993388"</f>
        <v>1551599304993388</v>
      </c>
      <c r="C2925" t="s">
        <v>40</v>
      </c>
      <c r="D2925">
        <v>6.2865909999999996</v>
      </c>
      <c r="E2925">
        <v>0.54063169999999905</v>
      </c>
      <c r="F2925" t="s">
        <v>42</v>
      </c>
      <c r="G2925">
        <v>-490.4033</v>
      </c>
      <c r="H2925">
        <v>0.99846199999999996</v>
      </c>
      <c r="I2925">
        <v>251.8065</v>
      </c>
      <c r="J2925">
        <v>-490.37349999999998</v>
      </c>
      <c r="K2925">
        <v>1.115977</v>
      </c>
      <c r="L2925">
        <v>252.52250000000001</v>
      </c>
      <c r="M2925">
        <v>0.1044928</v>
      </c>
      <c r="N2925">
        <v>-6.22363E-3</v>
      </c>
      <c r="O2925">
        <v>-0.99450640000000001</v>
      </c>
      <c r="P2925">
        <v>0.1031797</v>
      </c>
      <c r="Q2925">
        <v>-0.114887</v>
      </c>
      <c r="R2925">
        <v>-0.98800580000000005</v>
      </c>
      <c r="S2925">
        <v>-5.432129E-3</v>
      </c>
      <c r="T2925">
        <v>-0.3515837</v>
      </c>
      <c r="U2925">
        <v>-2.997147</v>
      </c>
      <c r="V2925">
        <v>-3.1267369999999999E-4</v>
      </c>
      <c r="W2925">
        <v>-0.1087037</v>
      </c>
      <c r="X2925">
        <v>0.99407420000000002</v>
      </c>
      <c r="Y2925">
        <v>0.1062434</v>
      </c>
      <c r="Z2925">
        <v>0.10903880000000001</v>
      </c>
      <c r="AA2925">
        <v>0.98834350000000004</v>
      </c>
      <c r="AB2925">
        <v>33</v>
      </c>
      <c r="AC2925">
        <v>-2.9800000000022898E-2</v>
      </c>
      <c r="AD2925">
        <v>-0.117514999999999</v>
      </c>
      <c r="AE2925">
        <v>-0.71600000000000796</v>
      </c>
      <c r="AF2925">
        <v>0.10171977569779</v>
      </c>
      <c r="AG2925">
        <v>-0.117514999999999</v>
      </c>
      <c r="AH2925">
        <v>0.69040061800051</v>
      </c>
      <c r="AI2925">
        <v>99.558637705724394</v>
      </c>
      <c r="AJ2925">
        <v>81.618658148913596</v>
      </c>
      <c r="AK2925">
        <v>0.70767909487881298</v>
      </c>
      <c r="AL2925">
        <v>96.240594617210704</v>
      </c>
      <c r="AM2925">
        <v>90.018021675629299</v>
      </c>
      <c r="AN2925">
        <v>1.0000000536320801</v>
      </c>
    </row>
    <row r="2926" spans="1:40" x14ac:dyDescent="0.25">
      <c r="A2926" t="str">
        <f>"20190303154825016"</f>
        <v>20190303154825016</v>
      </c>
      <c r="B2926" t="str">
        <f>"1551599305003148"</f>
        <v>1551599305003148</v>
      </c>
      <c r="C2926" t="s">
        <v>40</v>
      </c>
      <c r="D2926">
        <v>6.2653670000000004</v>
      </c>
      <c r="E2926">
        <v>0.54054179999999996</v>
      </c>
      <c r="F2926" t="s">
        <v>42</v>
      </c>
      <c r="G2926">
        <v>-490.37700000000001</v>
      </c>
      <c r="H2926">
        <v>1.0287980000000001</v>
      </c>
      <c r="I2926">
        <v>251.79470000000001</v>
      </c>
      <c r="J2926">
        <v>-490.35270000000003</v>
      </c>
      <c r="K2926">
        <v>1.1159790000000001</v>
      </c>
      <c r="L2926">
        <v>252.29939999999999</v>
      </c>
      <c r="M2926">
        <v>0.1017803</v>
      </c>
      <c r="N2926">
        <v>-6.4403109999999998E-3</v>
      </c>
      <c r="O2926">
        <v>-0.99478610000000001</v>
      </c>
      <c r="P2926">
        <v>0.1006808</v>
      </c>
      <c r="Q2926">
        <v>-0.1155733</v>
      </c>
      <c r="R2926">
        <v>-0.98818340000000005</v>
      </c>
      <c r="S2926">
        <v>-1.312256E-2</v>
      </c>
      <c r="T2926">
        <v>-0.35867209999999899</v>
      </c>
      <c r="U2926">
        <v>-2.9960629999999999</v>
      </c>
      <c r="V2926">
        <v>-5.2358180000000002E-4</v>
      </c>
      <c r="W2926">
        <v>-0.1091733</v>
      </c>
      <c r="X2926">
        <v>0.99402259999999998</v>
      </c>
      <c r="Y2926">
        <v>0.1060662</v>
      </c>
      <c r="Z2926">
        <v>0.1112075</v>
      </c>
      <c r="AA2926">
        <v>0.98812089999999997</v>
      </c>
      <c r="AB2926">
        <v>33</v>
      </c>
      <c r="AC2926">
        <v>-2.42999999999256E-2</v>
      </c>
      <c r="AD2926">
        <v>-8.7181000000000106E-2</v>
      </c>
      <c r="AE2926">
        <v>-0.50469999999998505</v>
      </c>
      <c r="AF2926">
        <v>7.3359507326595796E-2</v>
      </c>
      <c r="AG2926">
        <v>-8.7181000000000106E-2</v>
      </c>
      <c r="AH2926">
        <v>0.48516257651910499</v>
      </c>
      <c r="AI2926">
        <v>100.074876789879</v>
      </c>
      <c r="AJ2926">
        <v>81.401666467954499</v>
      </c>
      <c r="AK2926">
        <v>0.49836218730041798</v>
      </c>
      <c r="AL2926">
        <v>96.267662101632993</v>
      </c>
      <c r="AM2926">
        <v>90.030179419054903</v>
      </c>
      <c r="AN2926">
        <v>1.0000000064407699</v>
      </c>
    </row>
    <row r="2927" spans="1:40" x14ac:dyDescent="0.25">
      <c r="A2927" t="str">
        <f>"20190303154825036"</f>
        <v>20190303154825036</v>
      </c>
      <c r="B2927" t="str">
        <f>"1551599305023644"</f>
        <v>1551599305023644</v>
      </c>
      <c r="C2927" t="s">
        <v>40</v>
      </c>
      <c r="D2927">
        <v>6.2944599999999999</v>
      </c>
      <c r="E2927">
        <v>0.54029910000000003</v>
      </c>
      <c r="F2927" t="s">
        <v>42</v>
      </c>
      <c r="G2927">
        <v>-490.35809999999998</v>
      </c>
      <c r="H2927">
        <v>1.0200389999999999</v>
      </c>
      <c r="I2927">
        <v>251.50370000000001</v>
      </c>
      <c r="J2927">
        <v>-490.32569999999998</v>
      </c>
      <c r="K2927">
        <v>1.115977</v>
      </c>
      <c r="L2927">
        <v>252.0018</v>
      </c>
      <c r="M2927">
        <v>9.8163810000000004E-2</v>
      </c>
      <c r="N2927">
        <v>-6.7167199999999998E-3</v>
      </c>
      <c r="O2927">
        <v>-0.99514760000000002</v>
      </c>
      <c r="P2927">
        <v>9.8156469999999996E-2</v>
      </c>
      <c r="Q2927">
        <v>-0.1153902</v>
      </c>
      <c r="R2927">
        <v>-0.98845859999999997</v>
      </c>
      <c r="S2927">
        <v>-1.986694E-2</v>
      </c>
      <c r="T2927">
        <v>-0.3611181</v>
      </c>
      <c r="U2927">
        <v>-2.995682</v>
      </c>
      <c r="V2927">
        <v>-1.593452E-3</v>
      </c>
      <c r="W2927">
        <v>-0.108706</v>
      </c>
      <c r="X2927">
        <v>0.99407270000000003</v>
      </c>
      <c r="Y2927">
        <v>0.10467509999999999</v>
      </c>
      <c r="Z2927">
        <v>0.1118113</v>
      </c>
      <c r="AA2927">
        <v>0.98820110000000005</v>
      </c>
      <c r="AB2927">
        <v>33</v>
      </c>
      <c r="AC2927">
        <v>-3.2399999999995502E-2</v>
      </c>
      <c r="AD2927">
        <v>-9.5937999999999996E-2</v>
      </c>
      <c r="AE2927">
        <v>-0.49809999999999299</v>
      </c>
      <c r="AF2927">
        <v>7.82493577204878E-2</v>
      </c>
      <c r="AG2927">
        <v>-9.5937999999999996E-2</v>
      </c>
      <c r="AH2927">
        <v>0.47496760647331698</v>
      </c>
      <c r="AI2927">
        <v>101.271469945433</v>
      </c>
      <c r="AJ2927">
        <v>80.644742450895805</v>
      </c>
      <c r="AK2927">
        <v>0.49083733458923101</v>
      </c>
      <c r="AL2927">
        <v>96.240727311057199</v>
      </c>
      <c r="AM2927">
        <v>90.091842373562002</v>
      </c>
      <c r="AN2927">
        <v>1.0000000332052801</v>
      </c>
    </row>
    <row r="2928" spans="1:40" x14ac:dyDescent="0.25">
      <c r="A2928" t="str">
        <f>"20190303154825057"</f>
        <v>20190303154825057</v>
      </c>
      <c r="B2928" t="str">
        <f>"1551599305053900"</f>
        <v>1551599305053900</v>
      </c>
      <c r="C2928" t="s">
        <v>40</v>
      </c>
      <c r="D2928">
        <v>6.3264490000000002</v>
      </c>
      <c r="E2928">
        <v>0.54004649999999998</v>
      </c>
      <c r="F2928" t="s">
        <v>42</v>
      </c>
      <c r="G2928">
        <v>-490.3331</v>
      </c>
      <c r="H2928">
        <v>1.0201549999999999</v>
      </c>
      <c r="I2928">
        <v>251.20859999999999</v>
      </c>
      <c r="J2928">
        <v>-490.29790000000003</v>
      </c>
      <c r="K2928">
        <v>1.1159840000000001</v>
      </c>
      <c r="L2928">
        <v>251.68299999999999</v>
      </c>
      <c r="M2928">
        <v>9.4291650000000005E-2</v>
      </c>
      <c r="N2928">
        <v>-6.9940749999999998E-3</v>
      </c>
      <c r="O2928">
        <v>-0.99552019999999997</v>
      </c>
      <c r="P2928">
        <v>9.6090209999999995E-2</v>
      </c>
      <c r="Q2928">
        <v>-0.1146914</v>
      </c>
      <c r="R2928">
        <v>-0.98874320000000004</v>
      </c>
      <c r="S2928">
        <v>-2.581787E-2</v>
      </c>
      <c r="T2928">
        <v>-0.36156090000000002</v>
      </c>
      <c r="U2928">
        <v>-2.9953609999999999</v>
      </c>
      <c r="V2928">
        <v>-3.368036E-3</v>
      </c>
      <c r="W2928">
        <v>-0.10771550000000001</v>
      </c>
      <c r="X2928">
        <v>0.99417599999999995</v>
      </c>
      <c r="Y2928">
        <v>0.1027691</v>
      </c>
      <c r="Z2928">
        <v>0.11176899999999999</v>
      </c>
      <c r="AA2928">
        <v>0.98840589999999995</v>
      </c>
      <c r="AB2928">
        <v>33</v>
      </c>
      <c r="AC2928">
        <v>-3.51999999999748E-2</v>
      </c>
      <c r="AD2928">
        <v>-9.5829000000000095E-2</v>
      </c>
      <c r="AE2928">
        <v>-0.47440000000000199</v>
      </c>
      <c r="AF2928">
        <v>7.6665082232834206E-2</v>
      </c>
      <c r="AG2928">
        <v>-9.5829000000000095E-2</v>
      </c>
      <c r="AH2928">
        <v>0.450678253554397</v>
      </c>
      <c r="AI2928">
        <v>101.839007525377</v>
      </c>
      <c r="AJ2928">
        <v>80.345804016758194</v>
      </c>
      <c r="AK2928">
        <v>0.467088450190763</v>
      </c>
      <c r="AL2928">
        <v>96.183641169215093</v>
      </c>
      <c r="AM2928">
        <v>90.194103971329596</v>
      </c>
      <c r="AN2928">
        <v>0.99999994579137197</v>
      </c>
    </row>
    <row r="2929" spans="1:40" x14ac:dyDescent="0.25">
      <c r="A2929" t="str">
        <f>"20190303154825070"</f>
        <v>20190303154825070</v>
      </c>
      <c r="B2929" t="str">
        <f>"1551599305063660"</f>
        <v>1551599305063660</v>
      </c>
      <c r="C2929" t="s">
        <v>40</v>
      </c>
      <c r="D2929">
        <v>6.3000749999999996</v>
      </c>
      <c r="E2929">
        <v>0.53997989999999996</v>
      </c>
      <c r="F2929" t="s">
        <v>42</v>
      </c>
      <c r="G2929">
        <v>-490.30549999999999</v>
      </c>
      <c r="H2929">
        <v>1.024027</v>
      </c>
      <c r="I2929">
        <v>250.91149999999999</v>
      </c>
      <c r="J2929">
        <v>-490.28129999999999</v>
      </c>
      <c r="K2929">
        <v>1.115991</v>
      </c>
      <c r="L2929">
        <v>251.48320000000001</v>
      </c>
      <c r="M2929">
        <v>9.1864349999999997E-2</v>
      </c>
      <c r="N2929">
        <v>-7.1541560000000001E-3</v>
      </c>
      <c r="O2929">
        <v>-0.99574589999999996</v>
      </c>
      <c r="P2929">
        <v>9.4828319999999994E-2</v>
      </c>
      <c r="Q2929">
        <v>-0.1144</v>
      </c>
      <c r="R2929">
        <v>-0.98889870000000002</v>
      </c>
      <c r="S2929">
        <v>-2.944946E-2</v>
      </c>
      <c r="T2929">
        <v>-0.35713279999999997</v>
      </c>
      <c r="U2929">
        <v>-2.9955750000000001</v>
      </c>
      <c r="V2929">
        <v>-4.5159589999999999E-3</v>
      </c>
      <c r="W2929">
        <v>-0.10725460000000001</v>
      </c>
      <c r="X2929">
        <v>0.99422129999999997</v>
      </c>
      <c r="Y2929">
        <v>0.10154349999999999</v>
      </c>
      <c r="Z2929">
        <v>0.11021350000000001</v>
      </c>
      <c r="AA2929">
        <v>0.98870720000000001</v>
      </c>
      <c r="AB2929">
        <v>33</v>
      </c>
      <c r="AC2929">
        <v>-2.42000000000075E-2</v>
      </c>
      <c r="AD2929">
        <v>-9.1963999999999907E-2</v>
      </c>
      <c r="AE2929">
        <v>-0.57170000000002097</v>
      </c>
      <c r="AF2929">
        <v>7.4688658485216997E-2</v>
      </c>
      <c r="AG2929">
        <v>-9.1963999999999907E-2</v>
      </c>
      <c r="AH2929">
        <v>0.55278103657836297</v>
      </c>
      <c r="AI2929">
        <v>99.362019834511798</v>
      </c>
      <c r="AJ2929">
        <v>82.305117006157602</v>
      </c>
      <c r="AK2929">
        <v>0.56533410245886595</v>
      </c>
      <c r="AL2929">
        <v>96.157079525244896</v>
      </c>
      <c r="AM2929">
        <v>90.260247503979699</v>
      </c>
      <c r="AN2929">
        <v>0.99999996824026904</v>
      </c>
    </row>
    <row r="2930" spans="1:40" x14ac:dyDescent="0.25">
      <c r="A2930" t="str">
        <f>"20190303154825084"</f>
        <v>20190303154825084</v>
      </c>
      <c r="B2930" t="str">
        <f>"1551599305073420"</f>
        <v>1551599305073420</v>
      </c>
      <c r="C2930" t="s">
        <v>40</v>
      </c>
      <c r="D2930">
        <v>6.396312</v>
      </c>
      <c r="E2930">
        <v>0.5399079</v>
      </c>
      <c r="F2930" t="s">
        <v>42</v>
      </c>
      <c r="G2930">
        <v>-490.29109999999997</v>
      </c>
      <c r="H2930">
        <v>1.0135780000000001</v>
      </c>
      <c r="I2930">
        <v>250.61959999999999</v>
      </c>
      <c r="J2930">
        <v>-490.26580000000001</v>
      </c>
      <c r="K2930">
        <v>1.1159950000000001</v>
      </c>
      <c r="L2930">
        <v>251.2937</v>
      </c>
      <c r="M2930">
        <v>8.9561989999999994E-2</v>
      </c>
      <c r="N2930">
        <v>-7.2991150000000001E-3</v>
      </c>
      <c r="O2930">
        <v>-0.99595449999999996</v>
      </c>
      <c r="P2930">
        <v>9.398426E-2</v>
      </c>
      <c r="Q2930">
        <v>-0.1142108</v>
      </c>
      <c r="R2930">
        <v>-0.98900109999999997</v>
      </c>
      <c r="S2930">
        <v>-3.2867430000000003E-2</v>
      </c>
      <c r="T2930">
        <v>-0.35499000000000003</v>
      </c>
      <c r="U2930">
        <v>-2.9957579999999999</v>
      </c>
      <c r="V2930">
        <v>-5.9616529999999999E-3</v>
      </c>
      <c r="W2930">
        <v>-0.1069085</v>
      </c>
      <c r="X2930">
        <v>0.994251</v>
      </c>
      <c r="Y2930">
        <v>0.1003718</v>
      </c>
      <c r="Z2930">
        <v>0.1094106</v>
      </c>
      <c r="AA2930">
        <v>0.98891600000000002</v>
      </c>
      <c r="AB2930">
        <v>33</v>
      </c>
      <c r="AC2930">
        <v>-2.52999999999588E-2</v>
      </c>
      <c r="AD2930">
        <v>-0.10241699999999899</v>
      </c>
      <c r="AE2930">
        <v>-0.67410000000000903</v>
      </c>
      <c r="AF2930">
        <v>8.3645577064520596E-2</v>
      </c>
      <c r="AG2930">
        <v>-0.10241699999999899</v>
      </c>
      <c r="AH2930">
        <v>0.654048559829425</v>
      </c>
      <c r="AI2930">
        <v>98.828873446875903</v>
      </c>
      <c r="AJ2930">
        <v>82.712064469665293</v>
      </c>
      <c r="AK2930">
        <v>0.66728205660455198</v>
      </c>
      <c r="AL2930">
        <v>96.137134521439194</v>
      </c>
      <c r="AM2930">
        <v>90.343548522729407</v>
      </c>
      <c r="AN2930">
        <v>1.00000000983987</v>
      </c>
    </row>
    <row r="2931" spans="1:40" x14ac:dyDescent="0.25">
      <c r="A2931" t="str">
        <f>"20190303154825101"</f>
        <v>20190303154825101</v>
      </c>
      <c r="B2931" t="str">
        <f>"1551599305093916"</f>
        <v>1551599305093916</v>
      </c>
      <c r="C2931" t="s">
        <v>40</v>
      </c>
      <c r="D2931">
        <v>6.3119009999999998</v>
      </c>
      <c r="E2931">
        <v>0.53980490000000003</v>
      </c>
      <c r="F2931" t="s">
        <v>42</v>
      </c>
      <c r="G2931">
        <v>-490.27719999999999</v>
      </c>
      <c r="H2931">
        <v>1.0020469999999999</v>
      </c>
      <c r="I2931">
        <v>250.3278</v>
      </c>
      <c r="J2931">
        <v>-490.24529999999999</v>
      </c>
      <c r="K2931">
        <v>1.1160019999999999</v>
      </c>
      <c r="L2931">
        <v>251.03309999999999</v>
      </c>
      <c r="M2931">
        <v>8.6396520000000004E-2</v>
      </c>
      <c r="N2931">
        <v>-7.4824359999999899E-3</v>
      </c>
      <c r="O2931">
        <v>-0.99623300000000004</v>
      </c>
      <c r="P2931">
        <v>9.3643589999999999E-2</v>
      </c>
      <c r="Q2931">
        <v>-0.11409660000000001</v>
      </c>
      <c r="R2931">
        <v>-0.9890468</v>
      </c>
      <c r="S2931">
        <v>-3.5034179999999998E-2</v>
      </c>
      <c r="T2931">
        <v>-0.35339619999999999</v>
      </c>
      <c r="U2931">
        <v>-2.9958800000000001</v>
      </c>
      <c r="V2931">
        <v>-8.7747409999999904E-3</v>
      </c>
      <c r="W2931">
        <v>-0.1065874</v>
      </c>
      <c r="X2931">
        <v>0.99426460000000005</v>
      </c>
      <c r="Y2931">
        <v>9.7925600000000002E-2</v>
      </c>
      <c r="Z2931">
        <v>0.1087693</v>
      </c>
      <c r="AA2931">
        <v>0.98923190000000005</v>
      </c>
      <c r="AB2931">
        <v>33</v>
      </c>
      <c r="AC2931">
        <v>-3.1900000000007298E-2</v>
      </c>
      <c r="AD2931">
        <v>-0.113955</v>
      </c>
      <c r="AE2931">
        <v>-0.70529999999999404</v>
      </c>
      <c r="AF2931">
        <v>9.0363764079241099E-2</v>
      </c>
      <c r="AG2931">
        <v>-0.113955</v>
      </c>
      <c r="AH2931">
        <v>0.68213587944060206</v>
      </c>
      <c r="AI2931">
        <v>99.403370081102906</v>
      </c>
      <c r="AJ2931">
        <v>82.453862402676705</v>
      </c>
      <c r="AK2931">
        <v>0.697467354005743</v>
      </c>
      <c r="AL2931">
        <v>96.118631289147302</v>
      </c>
      <c r="AM2931">
        <v>90.505642636307002</v>
      </c>
      <c r="AN2931">
        <v>0.99999998236576804</v>
      </c>
    </row>
    <row r="2932" spans="1:40" x14ac:dyDescent="0.25">
      <c r="A2932" t="str">
        <f>"20190303154825114"</f>
        <v>20190303154825114</v>
      </c>
      <c r="B2932" t="str">
        <f>"1551599305103676"</f>
        <v>1551599305103676</v>
      </c>
      <c r="C2932" t="s">
        <v>40</v>
      </c>
      <c r="D2932">
        <v>6.2967829999999996</v>
      </c>
      <c r="E2932">
        <v>0.53970220000000002</v>
      </c>
      <c r="F2932" t="s">
        <v>42</v>
      </c>
      <c r="G2932">
        <v>-490.25740000000002</v>
      </c>
      <c r="H2932">
        <v>0.99839290000000003</v>
      </c>
      <c r="I2932">
        <v>250.0324</v>
      </c>
      <c r="J2932">
        <v>-490.23020000000002</v>
      </c>
      <c r="K2932">
        <v>1.116004</v>
      </c>
      <c r="L2932">
        <v>250.83250000000001</v>
      </c>
      <c r="M2932">
        <v>8.3961350000000004E-2</v>
      </c>
      <c r="N2932">
        <v>-7.612031E-3</v>
      </c>
      <c r="O2932">
        <v>-0.99643990000000005</v>
      </c>
      <c r="P2932">
        <v>9.2548500000000006E-2</v>
      </c>
      <c r="Q2932">
        <v>-0.1139102</v>
      </c>
      <c r="R2932">
        <v>-0.98917120000000003</v>
      </c>
      <c r="S2932">
        <v>-3.5064699999999997E-2</v>
      </c>
      <c r="T2932">
        <v>-0.35201189999999999</v>
      </c>
      <c r="U2932">
        <v>-2.9959259999999999</v>
      </c>
      <c r="V2932">
        <v>-1.0099729999999999E-2</v>
      </c>
      <c r="W2932">
        <v>-0.1062602</v>
      </c>
      <c r="X2932">
        <v>0.99428709999999998</v>
      </c>
      <c r="Y2932">
        <v>9.5504249999999999E-2</v>
      </c>
      <c r="Z2932">
        <v>0.1082394</v>
      </c>
      <c r="AA2932">
        <v>0.98952669999999998</v>
      </c>
      <c r="AB2932">
        <v>33</v>
      </c>
      <c r="AC2932">
        <v>-2.71999999999934E-2</v>
      </c>
      <c r="AD2932">
        <v>-0.117611099999999</v>
      </c>
      <c r="AE2932">
        <v>-0.80010000000001402</v>
      </c>
      <c r="AF2932">
        <v>9.2291474175142094E-2</v>
      </c>
      <c r="AG2932">
        <v>-0.117611099999999</v>
      </c>
      <c r="AH2932">
        <v>0.77819529536413301</v>
      </c>
      <c r="AI2932">
        <v>98.535324843485199</v>
      </c>
      <c r="AJ2932">
        <v>83.236495672193598</v>
      </c>
      <c r="AK2932">
        <v>0.79242539382297705</v>
      </c>
      <c r="AL2932">
        <v>96.099776705712699</v>
      </c>
      <c r="AM2932">
        <v>90.581976777109901</v>
      </c>
      <c r="AN2932">
        <v>1.0000000359382599</v>
      </c>
    </row>
    <row r="2933" spans="1:40" x14ac:dyDescent="0.25">
      <c r="A2933" t="str">
        <f>"20190303154825127"</f>
        <v>20190303154825127</v>
      </c>
      <c r="B2933" t="str">
        <f>"1551599305123196"</f>
        <v>1551599305123196</v>
      </c>
      <c r="C2933" t="s">
        <v>40</v>
      </c>
      <c r="D2933">
        <v>6.3256839999999999</v>
      </c>
      <c r="E2933">
        <v>0.5394719</v>
      </c>
      <c r="F2933" t="s">
        <v>42</v>
      </c>
      <c r="G2933">
        <v>-490.2407</v>
      </c>
      <c r="H2933">
        <v>1.0208919999999999</v>
      </c>
      <c r="I2933">
        <v>250.02289999999999</v>
      </c>
      <c r="J2933">
        <v>-490.2167</v>
      </c>
      <c r="K2933">
        <v>1.116007</v>
      </c>
      <c r="L2933">
        <v>250.64869999999999</v>
      </c>
      <c r="M2933">
        <v>8.1731029999999996E-2</v>
      </c>
      <c r="N2933">
        <v>-7.7254810000000002E-3</v>
      </c>
      <c r="O2933">
        <v>-0.99662459999999997</v>
      </c>
      <c r="P2933">
        <v>9.1509679999999996E-2</v>
      </c>
      <c r="Q2933">
        <v>-0.1138064</v>
      </c>
      <c r="R2933">
        <v>-0.98927989999999999</v>
      </c>
      <c r="S2933">
        <v>-3.7811280000000003E-2</v>
      </c>
      <c r="T2933">
        <v>-0.35183759999999997</v>
      </c>
      <c r="U2933">
        <v>-2.9958650000000002</v>
      </c>
      <c r="V2933">
        <v>-1.1278170000000001E-2</v>
      </c>
      <c r="W2933">
        <v>-0.10603319999999999</v>
      </c>
      <c r="X2933">
        <v>0.99429860000000003</v>
      </c>
      <c r="Y2933">
        <v>9.4183909999999996E-2</v>
      </c>
      <c r="Z2933">
        <v>0.1081112</v>
      </c>
      <c r="AA2933">
        <v>0.98966730000000003</v>
      </c>
      <c r="AB2933">
        <v>33</v>
      </c>
      <c r="AC2933">
        <v>-2.4000000000000899E-2</v>
      </c>
      <c r="AD2933">
        <v>-9.5115000000000005E-2</v>
      </c>
      <c r="AE2933">
        <v>-0.62579999999999802</v>
      </c>
      <c r="AF2933">
        <v>7.3375947005915002E-2</v>
      </c>
      <c r="AG2933">
        <v>-9.5115000000000005E-2</v>
      </c>
      <c r="AH2933">
        <v>0.60772626890431802</v>
      </c>
      <c r="AI2933">
        <v>98.832057649293304</v>
      </c>
      <c r="AJ2933">
        <v>83.115518994687307</v>
      </c>
      <c r="AK2933">
        <v>0.61948535958517903</v>
      </c>
      <c r="AL2933">
        <v>96.086697063253197</v>
      </c>
      <c r="AM2933">
        <v>90.649868993845899</v>
      </c>
      <c r="AN2933">
        <v>0.99999997129137397</v>
      </c>
    </row>
    <row r="2934" spans="1:40" x14ac:dyDescent="0.25">
      <c r="A2934" t="str">
        <f>"20190303154825145"</f>
        <v>20190303154825145</v>
      </c>
      <c r="B2934" t="str">
        <f>"1551599305143692"</f>
        <v>1551599305143692</v>
      </c>
      <c r="C2934" t="s">
        <v>40</v>
      </c>
      <c r="D2934">
        <v>6.2664169999999997</v>
      </c>
      <c r="E2934">
        <v>0.53925719999999899</v>
      </c>
      <c r="F2934" t="s">
        <v>42</v>
      </c>
      <c r="G2934">
        <v>-490.22899999999998</v>
      </c>
      <c r="H2934">
        <v>1.007935</v>
      </c>
      <c r="I2934">
        <v>249.73079999999999</v>
      </c>
      <c r="J2934">
        <v>-490.19690000000003</v>
      </c>
      <c r="K2934">
        <v>1.116015</v>
      </c>
      <c r="L2934">
        <v>250.3683</v>
      </c>
      <c r="M2934">
        <v>7.8327519999999998E-2</v>
      </c>
      <c r="N2934">
        <v>-7.8877689999999993E-3</v>
      </c>
      <c r="O2934">
        <v>-0.99689649999999996</v>
      </c>
      <c r="P2934">
        <v>9.0880180000000005E-2</v>
      </c>
      <c r="Q2934">
        <v>-0.1133506</v>
      </c>
      <c r="R2934">
        <v>-0.98939029999999994</v>
      </c>
      <c r="S2934">
        <v>-3.9184570000000002E-2</v>
      </c>
      <c r="T2934">
        <v>-0.35255999999999998</v>
      </c>
      <c r="U2934">
        <v>-2.9955750000000001</v>
      </c>
      <c r="V2934">
        <v>-1.4030870000000001E-2</v>
      </c>
      <c r="W2934">
        <v>-0.10539129999999999</v>
      </c>
      <c r="X2934">
        <v>0.99433179999999999</v>
      </c>
      <c r="Y2934">
        <v>9.1239379999999995E-2</v>
      </c>
      <c r="Z2934">
        <v>0.1082591</v>
      </c>
      <c r="AA2934">
        <v>0.98992690000000005</v>
      </c>
      <c r="AB2934">
        <v>33</v>
      </c>
      <c r="AC2934">
        <v>-3.2100000000013999E-2</v>
      </c>
      <c r="AD2934">
        <v>-0.108079999999999</v>
      </c>
      <c r="AE2934">
        <v>-0.63750000000001705</v>
      </c>
      <c r="AF2934">
        <v>7.9653050524565297E-2</v>
      </c>
      <c r="AG2934">
        <v>-0.108079999999999</v>
      </c>
      <c r="AH2934">
        <v>0.61538371469929298</v>
      </c>
      <c r="AI2934">
        <v>99.880500003600204</v>
      </c>
      <c r="AJ2934">
        <v>82.624845588773596</v>
      </c>
      <c r="AK2934">
        <v>0.62985951701547704</v>
      </c>
      <c r="AL2934">
        <v>96.049711731460107</v>
      </c>
      <c r="AM2934">
        <v>90.808438675231798</v>
      </c>
      <c r="AN2934">
        <v>0.99999995995994195</v>
      </c>
    </row>
    <row r="2935" spans="1:40" x14ac:dyDescent="0.25">
      <c r="A2935" t="str">
        <f>"20190303154825168"</f>
        <v>20190303154825168</v>
      </c>
      <c r="B2935" t="str">
        <f>"1551599305163212"</f>
        <v>1551599305163212</v>
      </c>
      <c r="C2935" t="s">
        <v>40</v>
      </c>
      <c r="D2935">
        <v>6.2830269999999997</v>
      </c>
      <c r="E2935">
        <v>0.53906809999999905</v>
      </c>
      <c r="F2935" t="s">
        <v>42</v>
      </c>
      <c r="G2935">
        <v>-490.20940000000002</v>
      </c>
      <c r="H2935">
        <v>1.0060659999999999</v>
      </c>
      <c r="I2935">
        <v>249.43360000000001</v>
      </c>
      <c r="J2935">
        <v>-490.17489999999998</v>
      </c>
      <c r="K2935">
        <v>1.116023</v>
      </c>
      <c r="L2935">
        <v>250.03790000000001</v>
      </c>
      <c r="M2935">
        <v>7.4314779999999997E-2</v>
      </c>
      <c r="N2935">
        <v>-8.0654400000000001E-3</v>
      </c>
      <c r="O2935">
        <v>-0.99720229999999999</v>
      </c>
      <c r="P2935">
        <v>8.9953130000000006E-2</v>
      </c>
      <c r="Q2935">
        <v>-0.1132553</v>
      </c>
      <c r="R2935">
        <v>-0.98948590000000003</v>
      </c>
      <c r="S2935">
        <v>-3.9123539999999998E-2</v>
      </c>
      <c r="T2935">
        <v>-0.35227969999999997</v>
      </c>
      <c r="U2935">
        <v>-2.9954070000000002</v>
      </c>
      <c r="V2935">
        <v>-1.7098039999999998E-2</v>
      </c>
      <c r="W2935">
        <v>-0.1050922</v>
      </c>
      <c r="X2935">
        <v>0.99431550000000002</v>
      </c>
      <c r="Y2935">
        <v>8.7212960000000006E-2</v>
      </c>
      <c r="Z2935">
        <v>0.10807269999999899</v>
      </c>
      <c r="AA2935">
        <v>0.99031009999999997</v>
      </c>
      <c r="AB2935">
        <v>33</v>
      </c>
      <c r="AC2935">
        <v>-3.45000000000368E-2</v>
      </c>
      <c r="AD2935">
        <v>-0.109957</v>
      </c>
      <c r="AE2935">
        <v>-0.60429999999999495</v>
      </c>
      <c r="AF2935">
        <v>7.6780634945602694E-2</v>
      </c>
      <c r="AG2935">
        <v>-0.109957</v>
      </c>
      <c r="AH2935">
        <v>0.58089483661038299</v>
      </c>
      <c r="AI2935">
        <v>100.628336776146</v>
      </c>
      <c r="AJ2935">
        <v>82.470491491204598</v>
      </c>
      <c r="AK2935">
        <v>0.59617499021030196</v>
      </c>
      <c r="AL2935">
        <v>96.032478538978694</v>
      </c>
      <c r="AM2935">
        <v>90.985149068132301</v>
      </c>
      <c r="AN2935">
        <v>1.00000001350646</v>
      </c>
    </row>
    <row r="2936" spans="1:40" x14ac:dyDescent="0.25">
      <c r="A2936" t="str">
        <f>"20190303154825180"</f>
        <v>20190303154825180</v>
      </c>
      <c r="B2936" t="str">
        <f>"1551599305173948"</f>
        <v>1551599305173948</v>
      </c>
      <c r="C2936" t="s">
        <v>40</v>
      </c>
      <c r="D2936">
        <v>4.0310259999999998</v>
      </c>
      <c r="E2936">
        <v>0.53906809999999905</v>
      </c>
      <c r="F2936" t="s">
        <v>42</v>
      </c>
      <c r="G2936">
        <v>-490.18709999999999</v>
      </c>
      <c r="H2936">
        <v>1.0095160000000001</v>
      </c>
      <c r="I2936">
        <v>249.1336</v>
      </c>
      <c r="J2936">
        <v>-490.16269999999997</v>
      </c>
      <c r="K2936">
        <v>1.1160270000000001</v>
      </c>
      <c r="L2936">
        <v>249.8475</v>
      </c>
      <c r="M2936">
        <v>7.2002339999999998E-2</v>
      </c>
      <c r="N2936">
        <v>-8.1638590000000007E-3</v>
      </c>
      <c r="O2936">
        <v>-0.99737109999999995</v>
      </c>
      <c r="P2936">
        <v>8.8533680000000003E-2</v>
      </c>
      <c r="Q2936">
        <v>-0.1132005</v>
      </c>
      <c r="R2936">
        <v>-0.9896199</v>
      </c>
      <c r="S2936">
        <v>-4.0344240000000003E-2</v>
      </c>
      <c r="T2936">
        <v>-0.3528153</v>
      </c>
      <c r="U2936">
        <v>-2.9951629999999998</v>
      </c>
      <c r="V2936">
        <v>-1.797642E-2</v>
      </c>
      <c r="W2936">
        <v>-0.1049315</v>
      </c>
      <c r="X2936">
        <v>0.99431689999999995</v>
      </c>
      <c r="Y2936">
        <v>8.5307839999999996E-2</v>
      </c>
      <c r="Z2936">
        <v>0.1081975</v>
      </c>
      <c r="AA2936">
        <v>0.99046250000000002</v>
      </c>
      <c r="AB2936">
        <v>33</v>
      </c>
      <c r="AC2936">
        <v>-2.4400000000014101E-2</v>
      </c>
      <c r="AD2936">
        <v>-0.10651099999999999</v>
      </c>
      <c r="AE2936">
        <v>-0.71389999999999498</v>
      </c>
      <c r="AF2936">
        <v>7.4093490809954504E-2</v>
      </c>
      <c r="AG2936">
        <v>-0.10651099999999999</v>
      </c>
      <c r="AH2936">
        <v>0.69484127873649704</v>
      </c>
      <c r="AI2936">
        <v>98.666551857882496</v>
      </c>
      <c r="AJ2936">
        <v>83.913339915021993</v>
      </c>
      <c r="AK2936">
        <v>0.70685135717318603</v>
      </c>
      <c r="AL2936">
        <v>96.023220393781003</v>
      </c>
      <c r="AM2936">
        <v>91.035747055148093</v>
      </c>
      <c r="AN2936">
        <v>0.99999993449693603</v>
      </c>
    </row>
    <row r="2937" spans="1:40" x14ac:dyDescent="0.25">
      <c r="A2937" t="str">
        <f>"20190303154825192"</f>
        <v>20190303154825192</v>
      </c>
      <c r="B2937" t="str">
        <f>"1551599305183708"</f>
        <v>1551599305183708</v>
      </c>
      <c r="C2937" t="s">
        <v>40</v>
      </c>
      <c r="D2937">
        <v>6.240558</v>
      </c>
      <c r="E2937">
        <v>0.53896899999999903</v>
      </c>
      <c r="F2937" t="s">
        <v>42</v>
      </c>
      <c r="G2937">
        <v>-490.1782</v>
      </c>
      <c r="H2937">
        <v>0.99726999999999999</v>
      </c>
      <c r="I2937">
        <v>248.8399</v>
      </c>
      <c r="J2937">
        <v>-490.15159999999997</v>
      </c>
      <c r="K2937">
        <v>1.116031</v>
      </c>
      <c r="L2937">
        <v>249.6662</v>
      </c>
      <c r="M2937">
        <v>6.979929E-2</v>
      </c>
      <c r="N2937">
        <v>-8.2509019999999992E-3</v>
      </c>
      <c r="O2937">
        <v>-0.9975271</v>
      </c>
      <c r="P2937">
        <v>8.6858649999999996E-2</v>
      </c>
      <c r="Q2937">
        <v>-0.11287850000000001</v>
      </c>
      <c r="R2937">
        <v>-0.98980539999999995</v>
      </c>
      <c r="S2937">
        <v>-4.4982910000000001E-2</v>
      </c>
      <c r="T2937">
        <v>-0.3528481</v>
      </c>
      <c r="U2937">
        <v>-2.9951629999999998</v>
      </c>
      <c r="V2937">
        <v>-1.8484549999999999E-2</v>
      </c>
      <c r="W2937">
        <v>-0.104518</v>
      </c>
      <c r="X2937">
        <v>0.99435119999999999</v>
      </c>
      <c r="Y2937">
        <v>8.4640859999999998E-2</v>
      </c>
      <c r="Z2937">
        <v>0.1081507</v>
      </c>
      <c r="AA2937">
        <v>0.99052479999999998</v>
      </c>
      <c r="AB2937">
        <v>33</v>
      </c>
      <c r="AC2937">
        <v>-2.6600000000030301E-2</v>
      </c>
      <c r="AD2937">
        <v>-0.11876099999999901</v>
      </c>
      <c r="AE2937">
        <v>-0.82630000000000303</v>
      </c>
      <c r="AF2937">
        <v>8.2509571544252799E-2</v>
      </c>
      <c r="AG2937">
        <v>-0.11876099999999901</v>
      </c>
      <c r="AH2937">
        <v>0.80579948225750397</v>
      </c>
      <c r="AI2937">
        <v>98.341061651525095</v>
      </c>
      <c r="AJ2937">
        <v>84.153593330833701</v>
      </c>
      <c r="AK2937">
        <v>0.818672590309385</v>
      </c>
      <c r="AL2937">
        <v>95.999397197476398</v>
      </c>
      <c r="AM2937">
        <v>91.064980592061204</v>
      </c>
      <c r="AN2937">
        <v>0.999999999927071</v>
      </c>
    </row>
    <row r="2938" spans="1:40" x14ac:dyDescent="0.25">
      <c r="A2938" t="str">
        <f>"20190303154825205"</f>
        <v>20190303154825205</v>
      </c>
      <c r="B2938" t="str">
        <f>"1551599305193468"</f>
        <v>1551599305193468</v>
      </c>
      <c r="C2938" t="s">
        <v>40</v>
      </c>
      <c r="D2938">
        <v>6.2313939999999999</v>
      </c>
      <c r="E2938">
        <v>0.53887299999999905</v>
      </c>
      <c r="F2938" t="s">
        <v>42</v>
      </c>
      <c r="G2938">
        <v>-490.16579999999999</v>
      </c>
      <c r="H2938">
        <v>1.017636</v>
      </c>
      <c r="I2938">
        <v>248.83080000000001</v>
      </c>
      <c r="J2938">
        <v>-490.14109999999999</v>
      </c>
      <c r="K2938">
        <v>1.116036</v>
      </c>
      <c r="L2938">
        <v>249.48779999999999</v>
      </c>
      <c r="M2938">
        <v>6.763197E-2</v>
      </c>
      <c r="N2938">
        <v>-8.3346989999999992E-3</v>
      </c>
      <c r="O2938">
        <v>-0.99767570000000005</v>
      </c>
      <c r="P2938">
        <v>8.5205909999999996E-2</v>
      </c>
      <c r="Q2938">
        <v>-0.11225010000000001</v>
      </c>
      <c r="R2938">
        <v>-0.99002049999999997</v>
      </c>
      <c r="S2938">
        <v>-4.9285889999999999E-2</v>
      </c>
      <c r="T2938">
        <v>-0.3525258</v>
      </c>
      <c r="U2938">
        <v>-2.9950260000000002</v>
      </c>
      <c r="V2938">
        <v>-1.8974350000000001E-2</v>
      </c>
      <c r="W2938">
        <v>-0.103801</v>
      </c>
      <c r="X2938">
        <v>0.99441710000000005</v>
      </c>
      <c r="Y2938">
        <v>8.3899879999999996E-2</v>
      </c>
      <c r="Z2938">
        <v>0.10799589999999901</v>
      </c>
      <c r="AA2938">
        <v>0.9906047</v>
      </c>
      <c r="AB2938">
        <v>33</v>
      </c>
      <c r="AC2938">
        <v>-2.4699999999995701E-2</v>
      </c>
      <c r="AD2938">
        <v>-9.8400000000000001E-2</v>
      </c>
      <c r="AE2938">
        <v>-0.65699999999998204</v>
      </c>
      <c r="AF2938">
        <v>6.7565716077030394E-2</v>
      </c>
      <c r="AG2938">
        <v>-9.8400000000000001E-2</v>
      </c>
      <c r="AH2938">
        <v>0.63950027824321998</v>
      </c>
      <c r="AI2938">
        <v>98.699829680759805</v>
      </c>
      <c r="AJ2938">
        <v>83.968850855302804</v>
      </c>
      <c r="AK2938">
        <v>0.65054461173862399</v>
      </c>
      <c r="AL2938">
        <v>95.958091317369096</v>
      </c>
      <c r="AM2938">
        <v>91.093121051846296</v>
      </c>
      <c r="AN2938">
        <v>1.0000000211656599</v>
      </c>
    </row>
    <row r="2939" spans="1:40" x14ac:dyDescent="0.25">
      <c r="A2939" t="str">
        <f>"20190303154825224"</f>
        <v>20190303154825224</v>
      </c>
      <c r="B2939" t="str">
        <f>"1551599305213964"</f>
        <v>1551599305213964</v>
      </c>
      <c r="C2939" t="s">
        <v>40</v>
      </c>
      <c r="D2939">
        <v>6.1371140000000004</v>
      </c>
      <c r="E2939">
        <v>0.53894189999999997</v>
      </c>
      <c r="F2939" t="s">
        <v>42</v>
      </c>
      <c r="G2939">
        <v>-490.15800000000002</v>
      </c>
      <c r="H2939">
        <v>1.004345</v>
      </c>
      <c r="I2939">
        <v>248.53720000000001</v>
      </c>
      <c r="J2939">
        <v>-490.12419999999997</v>
      </c>
      <c r="K2939">
        <v>1.116047</v>
      </c>
      <c r="L2939">
        <v>249.1891</v>
      </c>
      <c r="M2939">
        <v>6.4001329999999995E-2</v>
      </c>
      <c r="N2939">
        <v>-8.4673349999999994E-3</v>
      </c>
      <c r="O2939">
        <v>-0.99791410000000003</v>
      </c>
      <c r="P2939">
        <v>8.0993170000000003E-2</v>
      </c>
      <c r="Q2939">
        <v>-0.1108006</v>
      </c>
      <c r="R2939">
        <v>-0.99053709999999995</v>
      </c>
      <c r="S2939">
        <v>-5.3070069999999997E-2</v>
      </c>
      <c r="T2939">
        <v>-0.35183720000000002</v>
      </c>
      <c r="U2939">
        <v>-2.9949189999999999</v>
      </c>
      <c r="V2939">
        <v>-1.8340539999999999E-2</v>
      </c>
      <c r="W2939">
        <v>-0.10222340000000001</v>
      </c>
      <c r="X2939">
        <v>0.99459240000000004</v>
      </c>
      <c r="Y2939">
        <v>8.1527080000000002E-2</v>
      </c>
      <c r="Z2939">
        <v>0.10769579999999999</v>
      </c>
      <c r="AA2939">
        <v>0.99083549999999998</v>
      </c>
      <c r="AB2939">
        <v>33</v>
      </c>
      <c r="AC2939">
        <v>-3.3800000000041998E-2</v>
      </c>
      <c r="AD2939">
        <v>-0.111701999999999</v>
      </c>
      <c r="AE2939">
        <v>-0.65189999999998305</v>
      </c>
      <c r="AF2939">
        <v>7.3308078913315505E-2</v>
      </c>
      <c r="AG2939">
        <v>-0.111701999999999</v>
      </c>
      <c r="AH2939">
        <v>0.62995403757619395</v>
      </c>
      <c r="AI2939">
        <v>99.989005427370898</v>
      </c>
      <c r="AJ2939">
        <v>83.362315628259793</v>
      </c>
      <c r="AK2939">
        <v>0.64396700280100505</v>
      </c>
      <c r="AL2939">
        <v>95.867218054164098</v>
      </c>
      <c r="AM2939">
        <v>91.056429197021799</v>
      </c>
      <c r="AN2939">
        <v>1.0000000205263999</v>
      </c>
    </row>
    <row r="2940" spans="1:40" x14ac:dyDescent="0.25">
      <c r="A2940" t="str">
        <f>"20190303154825246"</f>
        <v>20190303154825246</v>
      </c>
      <c r="B2940" t="str">
        <f>"1551599305243244"</f>
        <v>1551599305243244</v>
      </c>
      <c r="C2940" t="s">
        <v>40</v>
      </c>
      <c r="D2940">
        <v>6.2019320000000002</v>
      </c>
      <c r="E2940">
        <v>0.53912979999999999</v>
      </c>
      <c r="F2940" t="s">
        <v>42</v>
      </c>
      <c r="G2940">
        <v>-490.14580000000001</v>
      </c>
      <c r="H2940">
        <v>1.00535</v>
      </c>
      <c r="I2940">
        <v>248.23650000000001</v>
      </c>
      <c r="J2940">
        <v>-490.10739999999998</v>
      </c>
      <c r="K2940">
        <v>1.1160620000000001</v>
      </c>
      <c r="L2940">
        <v>248.86859999999999</v>
      </c>
      <c r="M2940">
        <v>6.0107099999999997E-2</v>
      </c>
      <c r="N2940">
        <v>-8.5982460000000004E-3</v>
      </c>
      <c r="O2940">
        <v>-0.99815489999999996</v>
      </c>
      <c r="P2940">
        <v>7.6781779999999994E-2</v>
      </c>
      <c r="Q2940">
        <v>-0.11093989999999999</v>
      </c>
      <c r="R2940">
        <v>-0.99085690000000004</v>
      </c>
      <c r="S2940">
        <v>-6.6864010000000001E-2</v>
      </c>
      <c r="T2940">
        <v>-0.34791270000000002</v>
      </c>
      <c r="U2940">
        <v>-2.995193</v>
      </c>
      <c r="V2940">
        <v>-1.7997630000000001E-2</v>
      </c>
      <c r="W2940">
        <v>-0.1022351</v>
      </c>
      <c r="X2940">
        <v>0.99459739999999996</v>
      </c>
      <c r="Y2940">
        <v>8.2200770000000006E-2</v>
      </c>
      <c r="Z2940">
        <v>0.1063085</v>
      </c>
      <c r="AA2940">
        <v>0.99092959999999997</v>
      </c>
      <c r="AB2940">
        <v>33</v>
      </c>
      <c r="AC2940">
        <v>-3.8400000000024102E-2</v>
      </c>
      <c r="AD2940">
        <v>-0.110712</v>
      </c>
      <c r="AE2940">
        <v>-0.63209999999997901</v>
      </c>
      <c r="AF2940">
        <v>7.4061996145938405E-2</v>
      </c>
      <c r="AG2940">
        <v>-0.110712</v>
      </c>
      <c r="AH2940">
        <v>0.61000433206854798</v>
      </c>
      <c r="AI2940">
        <v>100.213447381094</v>
      </c>
      <c r="AJ2940">
        <v>83.077472862412193</v>
      </c>
      <c r="AK2940">
        <v>0.62437777936079397</v>
      </c>
      <c r="AL2940">
        <v>95.8678923063664</v>
      </c>
      <c r="AM2940">
        <v>91.036676458716201</v>
      </c>
      <c r="AN2940">
        <v>0.99999995922219198</v>
      </c>
    </row>
    <row r="2941" spans="1:40" x14ac:dyDescent="0.25">
      <c r="A2941" t="str">
        <f>"20190303154825258"</f>
        <v>20190303154825258</v>
      </c>
      <c r="B2941" t="str">
        <f>"1551599305253981"</f>
        <v>1551599305253981</v>
      </c>
      <c r="C2941" t="s">
        <v>40</v>
      </c>
      <c r="D2941">
        <v>6.1561899999999996</v>
      </c>
      <c r="E2941">
        <v>0.53902229999999995</v>
      </c>
      <c r="F2941" t="s">
        <v>42</v>
      </c>
      <c r="G2941">
        <v>-490.13260000000002</v>
      </c>
      <c r="H2941">
        <v>1.007838</v>
      </c>
      <c r="I2941">
        <v>247.9348</v>
      </c>
      <c r="J2941">
        <v>-490.09750000000003</v>
      </c>
      <c r="K2941">
        <v>1.1160680000000001</v>
      </c>
      <c r="L2941">
        <v>248.66970000000001</v>
      </c>
      <c r="M2941">
        <v>5.7689410000000003E-2</v>
      </c>
      <c r="N2941">
        <v>-8.6739989999999999E-3</v>
      </c>
      <c r="O2941">
        <v>-0.99829699999999999</v>
      </c>
      <c r="P2941">
        <v>7.4097200000000002E-2</v>
      </c>
      <c r="Q2941">
        <v>-0.1115008</v>
      </c>
      <c r="R2941">
        <v>-0.9909983</v>
      </c>
      <c r="S2941">
        <v>-8.0688480000000007E-2</v>
      </c>
      <c r="T2941">
        <v>-0.34714450000000002</v>
      </c>
      <c r="U2941">
        <v>-2.9950559999999999</v>
      </c>
      <c r="V2941">
        <v>-1.7722129999999999E-2</v>
      </c>
      <c r="W2941">
        <v>-0.1027233</v>
      </c>
      <c r="X2941">
        <v>0.99455210000000005</v>
      </c>
      <c r="Y2941">
        <v>8.4358379999999997E-2</v>
      </c>
      <c r="Z2941">
        <v>0.105994699999999</v>
      </c>
      <c r="AA2941">
        <v>0.99078189999999999</v>
      </c>
      <c r="AB2941">
        <v>33</v>
      </c>
      <c r="AC2941">
        <v>-3.5099999999999902E-2</v>
      </c>
      <c r="AD2941">
        <v>-0.10823000000000001</v>
      </c>
      <c r="AE2941">
        <v>-0.73490000000000999</v>
      </c>
      <c r="AF2941">
        <v>7.5798821106810493E-2</v>
      </c>
      <c r="AG2941">
        <v>-0.10823000000000001</v>
      </c>
      <c r="AH2941">
        <v>0.716153734913206</v>
      </c>
      <c r="AI2941">
        <v>98.546864986323996</v>
      </c>
      <c r="AJ2941">
        <v>83.958219783452506</v>
      </c>
      <c r="AK2941">
        <v>0.72824128296280799</v>
      </c>
      <c r="AL2941">
        <v>95.896011824574899</v>
      </c>
      <c r="AM2941">
        <v>91.020857330418806</v>
      </c>
      <c r="AN2941">
        <v>1.0000000149345101</v>
      </c>
    </row>
    <row r="2942" spans="1:40" x14ac:dyDescent="0.25">
      <c r="A2942" t="str">
        <f>"20190303154825273"</f>
        <v>20190303154825273</v>
      </c>
      <c r="B2942" t="str">
        <f>"1551599305263740"</f>
        <v>1551599305263740</v>
      </c>
      <c r="C2942" t="s">
        <v>40</v>
      </c>
      <c r="D2942">
        <v>6.0524940000000003</v>
      </c>
      <c r="E2942">
        <v>0.53905519999999996</v>
      </c>
      <c r="F2942" t="s">
        <v>42</v>
      </c>
      <c r="G2942">
        <v>-490.11939999999998</v>
      </c>
      <c r="H2942">
        <v>1.029336</v>
      </c>
      <c r="I2942">
        <v>247.92500000000001</v>
      </c>
      <c r="J2942">
        <v>-490.08789999999999</v>
      </c>
      <c r="K2942">
        <v>1.1160760000000001</v>
      </c>
      <c r="L2942">
        <v>248.46199999999999</v>
      </c>
      <c r="M2942">
        <v>5.5164600000000001E-2</v>
      </c>
      <c r="N2942">
        <v>-8.7461799999999992E-3</v>
      </c>
      <c r="O2942">
        <v>-0.99843890000000002</v>
      </c>
      <c r="P2942">
        <v>7.1738350000000006E-2</v>
      </c>
      <c r="Q2942">
        <v>-0.1124173</v>
      </c>
      <c r="R2942">
        <v>-0.99106810000000001</v>
      </c>
      <c r="S2942">
        <v>-8.8134770000000001E-2</v>
      </c>
      <c r="T2942">
        <v>-0.34881139999999999</v>
      </c>
      <c r="U2942">
        <v>-2.994583</v>
      </c>
      <c r="V2942">
        <v>-1.7885120000000001E-2</v>
      </c>
      <c r="W2942">
        <v>-0.1035673</v>
      </c>
      <c r="X2942">
        <v>0.9944617</v>
      </c>
      <c r="Y2942">
        <v>8.4302310000000005E-2</v>
      </c>
      <c r="Z2942">
        <v>0.10650510000000001</v>
      </c>
      <c r="AA2942">
        <v>0.99073199999999995</v>
      </c>
      <c r="AB2942">
        <v>33</v>
      </c>
      <c r="AC2942">
        <v>-3.1499999999993998E-2</v>
      </c>
      <c r="AD2942">
        <v>-8.6739999999999998E-2</v>
      </c>
      <c r="AE2942">
        <v>-0.53700000000000603</v>
      </c>
      <c r="AF2942">
        <v>5.95287195208965E-2</v>
      </c>
      <c r="AG2942">
        <v>-8.6739999999999998E-2</v>
      </c>
      <c r="AH2942">
        <v>0.52090029117312597</v>
      </c>
      <c r="AI2942">
        <v>99.394067853131801</v>
      </c>
      <c r="AJ2942">
        <v>83.480495998438798</v>
      </c>
      <c r="AK2942">
        <v>0.53141754712471101</v>
      </c>
      <c r="AL2942">
        <v>95.944628455158593</v>
      </c>
      <c r="AM2942">
        <v>91.030337748709002</v>
      </c>
      <c r="AN2942">
        <v>1.00000006795679</v>
      </c>
    </row>
    <row r="2943" spans="1:40" x14ac:dyDescent="0.25">
      <c r="A2943" t="str">
        <f>"20190303154825291"</f>
        <v>20190303154825291</v>
      </c>
      <c r="B2943" t="str">
        <f>"1551599305283260"</f>
        <v>1551599305283260</v>
      </c>
      <c r="C2943" t="s">
        <v>40</v>
      </c>
      <c r="D2943">
        <v>5.9773350000000001</v>
      </c>
      <c r="E2943">
        <v>0.53920669999999904</v>
      </c>
      <c r="F2943" t="s">
        <v>42</v>
      </c>
      <c r="G2943">
        <v>-490.1148</v>
      </c>
      <c r="H2943">
        <v>1.01841</v>
      </c>
      <c r="I2943">
        <v>247.62899999999999</v>
      </c>
      <c r="J2943">
        <v>-490.07619999999997</v>
      </c>
      <c r="K2943">
        <v>1.1160760000000001</v>
      </c>
      <c r="L2943">
        <v>248.1969</v>
      </c>
      <c r="M2943">
        <v>5.194228E-2</v>
      </c>
      <c r="N2943">
        <v>-8.8320480000000003E-3</v>
      </c>
      <c r="O2943">
        <v>-0.99861100000000003</v>
      </c>
      <c r="P2943">
        <v>6.8889660000000005E-2</v>
      </c>
      <c r="Q2943">
        <v>-0.113495</v>
      </c>
      <c r="R2943">
        <v>-0.99114749999999996</v>
      </c>
      <c r="S2943">
        <v>-9.5733639999999995E-2</v>
      </c>
      <c r="T2943">
        <v>-0.3509099</v>
      </c>
      <c r="U2943">
        <v>-2.9941559999999998</v>
      </c>
      <c r="V2943">
        <v>-1.825309E-2</v>
      </c>
      <c r="W2943">
        <v>-0.104557</v>
      </c>
      <c r="X2943">
        <v>0.9943514</v>
      </c>
      <c r="Y2943">
        <v>8.3600460000000001E-2</v>
      </c>
      <c r="Z2943">
        <v>0.1071493</v>
      </c>
      <c r="AA2943">
        <v>0.99072190000000004</v>
      </c>
      <c r="AB2943">
        <v>33</v>
      </c>
      <c r="AC2943">
        <v>-3.8600000000030797E-2</v>
      </c>
      <c r="AD2943">
        <v>-9.7666000000000003E-2</v>
      </c>
      <c r="AE2943">
        <v>-0.56789999999997998</v>
      </c>
      <c r="AF2943">
        <v>6.6101031675667499E-2</v>
      </c>
      <c r="AG2943">
        <v>-9.7666000000000003E-2</v>
      </c>
      <c r="AH2943">
        <v>0.54896656947034295</v>
      </c>
      <c r="AI2943">
        <v>100.017002707515</v>
      </c>
      <c r="AJ2943">
        <v>83.134073304735907</v>
      </c>
      <c r="AK2943">
        <v>0.56149112935168</v>
      </c>
      <c r="AL2943">
        <v>96.001643897782202</v>
      </c>
      <c r="AM2943">
        <v>91.051647911176403</v>
      </c>
      <c r="AN2943">
        <v>1.00000002411275</v>
      </c>
    </row>
    <row r="2944" spans="1:40" x14ac:dyDescent="0.25">
      <c r="A2944" t="str">
        <f>"20190303154825303"</f>
        <v>20190303154825303</v>
      </c>
      <c r="B2944" t="str">
        <f>"1551599305293996"</f>
        <v>1551599305293996</v>
      </c>
      <c r="C2944" t="s">
        <v>40</v>
      </c>
      <c r="D2944">
        <v>6.0270539999999997</v>
      </c>
      <c r="E2944">
        <v>0.53938909999999995</v>
      </c>
      <c r="F2944" t="s">
        <v>42</v>
      </c>
      <c r="G2944">
        <v>-490.1069</v>
      </c>
      <c r="H2944">
        <v>1.0140199999999999</v>
      </c>
      <c r="I2944">
        <v>247.3296</v>
      </c>
      <c r="J2944">
        <v>-490.06790000000001</v>
      </c>
      <c r="K2944">
        <v>1.1160810000000001</v>
      </c>
      <c r="L2944">
        <v>247.99520000000001</v>
      </c>
      <c r="M2944">
        <v>4.9491100000000003E-2</v>
      </c>
      <c r="N2944">
        <v>-8.8927399999999997E-3</v>
      </c>
      <c r="O2944">
        <v>-0.99873509999999999</v>
      </c>
      <c r="P2944">
        <v>6.6973580000000005E-2</v>
      </c>
      <c r="Q2944">
        <v>-0.11350440000000001</v>
      </c>
      <c r="R2944">
        <v>-0.99127779999999999</v>
      </c>
      <c r="S2944">
        <v>-0.1053162</v>
      </c>
      <c r="T2944">
        <v>-0.35226940000000001</v>
      </c>
      <c r="U2944">
        <v>-2.993805</v>
      </c>
      <c r="V2944">
        <v>-1.8771909999999999E-2</v>
      </c>
      <c r="W2944">
        <v>-0.10450130000000001</v>
      </c>
      <c r="X2944">
        <v>0.9943476</v>
      </c>
      <c r="Y2944">
        <v>8.432344E-2</v>
      </c>
      <c r="Z2944">
        <v>0.1075575</v>
      </c>
      <c r="AA2944">
        <v>0.99061639999999995</v>
      </c>
      <c r="AB2944">
        <v>34</v>
      </c>
      <c r="AC2944">
        <v>-3.8999999999987198E-2</v>
      </c>
      <c r="AD2944">
        <v>-0.102060999999999</v>
      </c>
      <c r="AE2944">
        <v>-0.66560000000001196</v>
      </c>
      <c r="AF2944">
        <v>7.0248728956293E-2</v>
      </c>
      <c r="AG2944">
        <v>-0.102060999999999</v>
      </c>
      <c r="AH2944">
        <v>0.647677838407269</v>
      </c>
      <c r="AI2944">
        <v>98.903650185880593</v>
      </c>
      <c r="AJ2944">
        <v>83.809757578311206</v>
      </c>
      <c r="AK2944">
        <v>0.65942240938937302</v>
      </c>
      <c r="AL2944">
        <v>95.998434920523195</v>
      </c>
      <c r="AM2944">
        <v>91.081536745717798</v>
      </c>
      <c r="AN2944">
        <v>1.00000002796624</v>
      </c>
    </row>
    <row r="2945" spans="1:40" x14ac:dyDescent="0.25">
      <c r="A2945" t="str">
        <f>"20190303154825316"</f>
        <v>20190303154825316</v>
      </c>
      <c r="B2945" t="str">
        <f>"1551599305313516"</f>
        <v>1551599305313516</v>
      </c>
      <c r="C2945" t="s">
        <v>40</v>
      </c>
      <c r="D2945">
        <v>5.9828469999999996</v>
      </c>
      <c r="E2945">
        <v>0.53936019999999996</v>
      </c>
      <c r="F2945" t="s">
        <v>42</v>
      </c>
      <c r="G2945">
        <v>-490.1044</v>
      </c>
      <c r="H2945">
        <v>1.0033669999999999</v>
      </c>
      <c r="I2945">
        <v>247.03270000000001</v>
      </c>
      <c r="J2945">
        <v>-490.06040000000002</v>
      </c>
      <c r="K2945">
        <v>1.116082</v>
      </c>
      <c r="L2945">
        <v>247.80330000000001</v>
      </c>
      <c r="M2945">
        <v>4.7157110000000002E-2</v>
      </c>
      <c r="N2945">
        <v>-8.9460149999999999E-3</v>
      </c>
      <c r="O2945">
        <v>-0.9988475</v>
      </c>
      <c r="P2945">
        <v>6.5404889999999993E-2</v>
      </c>
      <c r="Q2945">
        <v>-0.11297690000000001</v>
      </c>
      <c r="R2945">
        <v>-0.99144290000000002</v>
      </c>
      <c r="S2945">
        <v>-0.1122131</v>
      </c>
      <c r="T2945">
        <v>-0.35029339999999998</v>
      </c>
      <c r="U2945">
        <v>-2.9938660000000001</v>
      </c>
      <c r="V2945">
        <v>-1.9514670000000001E-2</v>
      </c>
      <c r="W2945">
        <v>-0.1039134</v>
      </c>
      <c r="X2945">
        <v>0.99439489999999997</v>
      </c>
      <c r="Y2945">
        <v>8.4276199999999996E-2</v>
      </c>
      <c r="Z2945">
        <v>0.10687240000000001</v>
      </c>
      <c r="AA2945">
        <v>0.99069459999999998</v>
      </c>
      <c r="AB2945">
        <v>34</v>
      </c>
      <c r="AC2945">
        <v>-4.3999999999982699E-2</v>
      </c>
      <c r="AD2945">
        <v>-0.112715</v>
      </c>
      <c r="AE2945">
        <v>-0.77060000000000095</v>
      </c>
      <c r="AF2945">
        <v>7.8615284136655902E-2</v>
      </c>
      <c r="AG2945">
        <v>-0.112715</v>
      </c>
      <c r="AH2945">
        <v>0.75163883048152003</v>
      </c>
      <c r="AI2945">
        <v>98.482873487045694</v>
      </c>
      <c r="AJ2945">
        <v>84.029039171756807</v>
      </c>
      <c r="AK2945">
        <v>0.76409813873122001</v>
      </c>
      <c r="AL2945">
        <v>95.964566402930799</v>
      </c>
      <c r="AM2945">
        <v>91.1242663499537</v>
      </c>
      <c r="AN2945">
        <v>1.00000001709538</v>
      </c>
    </row>
    <row r="2946" spans="1:40" x14ac:dyDescent="0.25">
      <c r="A2946" t="str">
        <f>"20190303154825335"</f>
        <v>20190303154825335</v>
      </c>
      <c r="B2946" t="str">
        <f>"1551599305323720"</f>
        <v>1551599305323720</v>
      </c>
      <c r="C2946" t="s">
        <v>40</v>
      </c>
      <c r="D2946">
        <v>5.9624319999999997</v>
      </c>
      <c r="E2946">
        <v>0.5394835</v>
      </c>
      <c r="F2946" t="s">
        <v>42</v>
      </c>
      <c r="G2946">
        <v>-490.09140000000002</v>
      </c>
      <c r="H2946">
        <v>1.0261549999999999</v>
      </c>
      <c r="I2946">
        <v>247.02209999999999</v>
      </c>
      <c r="J2946">
        <v>-490.05040000000002</v>
      </c>
      <c r="K2946">
        <v>1.1160779999999999</v>
      </c>
      <c r="L2946">
        <v>247.52199999999999</v>
      </c>
      <c r="M2946">
        <v>4.3737789999999999E-2</v>
      </c>
      <c r="N2946">
        <v>-9.0176419999999993E-3</v>
      </c>
      <c r="O2946">
        <v>-0.99900250000000002</v>
      </c>
      <c r="P2946">
        <v>6.3039709999999999E-2</v>
      </c>
      <c r="Q2946">
        <v>-0.111223</v>
      </c>
      <c r="R2946">
        <v>-0.99179439999999996</v>
      </c>
      <c r="S2946">
        <v>-0.117004399999999</v>
      </c>
      <c r="T2946">
        <v>-0.34437889999999999</v>
      </c>
      <c r="U2946">
        <v>-2.994354</v>
      </c>
      <c r="V2946">
        <v>-2.0522390000000001E-2</v>
      </c>
      <c r="W2946">
        <v>-0.1020773</v>
      </c>
      <c r="X2946">
        <v>0.99456480000000003</v>
      </c>
      <c r="Y2946">
        <v>8.2451940000000001E-2</v>
      </c>
      <c r="Z2946">
        <v>0.10488400000000001</v>
      </c>
      <c r="AA2946">
        <v>0.99106059999999996</v>
      </c>
      <c r="AB2946">
        <v>34</v>
      </c>
      <c r="AC2946">
        <v>-4.0999999999996803E-2</v>
      </c>
      <c r="AD2946">
        <v>-8.9923000000000197E-2</v>
      </c>
      <c r="AE2946">
        <v>-0.49990000000002499</v>
      </c>
      <c r="AF2946">
        <v>6.0869734897728699E-2</v>
      </c>
      <c r="AG2946">
        <v>-8.9923000000000197E-2</v>
      </c>
      <c r="AH2946">
        <v>0.48213190131140699</v>
      </c>
      <c r="AI2946">
        <v>100.483561681597</v>
      </c>
      <c r="AJ2946">
        <v>82.804408530847297</v>
      </c>
      <c r="AK2946">
        <v>0.494208904025081</v>
      </c>
      <c r="AL2946">
        <v>95.858802992808904</v>
      </c>
      <c r="AM2946">
        <v>91.182104463664601</v>
      </c>
      <c r="AN2946">
        <v>1.0000000425328199</v>
      </c>
    </row>
    <row r="2947" spans="1:40" x14ac:dyDescent="0.25">
      <c r="A2947" t="str">
        <f>"20190303154825348"</f>
        <v>20190303154825348</v>
      </c>
      <c r="B2947" t="str">
        <f>"1551599305343241"</f>
        <v>1551599305343241</v>
      </c>
      <c r="C2947" t="s">
        <v>40</v>
      </c>
      <c r="D2947">
        <v>5.9443809999999999</v>
      </c>
      <c r="E2947">
        <v>0.53969540000000005</v>
      </c>
      <c r="F2947" t="s">
        <v>42</v>
      </c>
      <c r="G2947">
        <v>-490.084</v>
      </c>
      <c r="H2947">
        <v>1.0254859999999999</v>
      </c>
      <c r="I2947">
        <v>246.7201</v>
      </c>
      <c r="J2947">
        <v>-490.04390000000001</v>
      </c>
      <c r="K2947">
        <v>1.11607099999999</v>
      </c>
      <c r="L2947">
        <v>247.32660000000001</v>
      </c>
      <c r="M2947">
        <v>4.1363810000000001E-2</v>
      </c>
      <c r="N2947">
        <v>-9.0631440000000004E-3</v>
      </c>
      <c r="O2947">
        <v>-0.99910310000000002</v>
      </c>
      <c r="P2947">
        <v>6.0469960000000003E-2</v>
      </c>
      <c r="Q2947">
        <v>-0.110552</v>
      </c>
      <c r="R2947">
        <v>-0.99202900000000005</v>
      </c>
      <c r="S2947">
        <v>-0.12530519999999901</v>
      </c>
      <c r="T2947">
        <v>-0.3382406</v>
      </c>
      <c r="U2947">
        <v>-2.9948730000000001</v>
      </c>
      <c r="V2947">
        <v>-2.0300510000000001E-2</v>
      </c>
      <c r="W2947">
        <v>-0.1013621</v>
      </c>
      <c r="X2947">
        <v>0.99464240000000004</v>
      </c>
      <c r="Y2947">
        <v>8.2828929999999995E-2</v>
      </c>
      <c r="Z2947">
        <v>0.10282289999999999</v>
      </c>
      <c r="AA2947">
        <v>0.99124509999999999</v>
      </c>
      <c r="AB2947">
        <v>34</v>
      </c>
      <c r="AC2947">
        <v>-4.0099999999995299E-2</v>
      </c>
      <c r="AD2947">
        <v>-9.0584999999999694E-2</v>
      </c>
      <c r="AE2947">
        <v>-0.60650000000001103</v>
      </c>
      <c r="AF2947">
        <v>6.3738205678224497E-2</v>
      </c>
      <c r="AG2947">
        <v>-9.0584999999999694E-2</v>
      </c>
      <c r="AH2947">
        <v>0.59119152154554599</v>
      </c>
      <c r="AI2947">
        <v>98.661933586201499</v>
      </c>
      <c r="AJ2947">
        <v>83.846531443142396</v>
      </c>
      <c r="AK2947">
        <v>0.60147786013736004</v>
      </c>
      <c r="AL2947">
        <v>95.817611965085405</v>
      </c>
      <c r="AM2947">
        <v>91.169236380287799</v>
      </c>
      <c r="AN2947">
        <v>0.99999994495021305</v>
      </c>
    </row>
    <row r="2948" spans="1:40" x14ac:dyDescent="0.25">
      <c r="A2948" t="str">
        <f>"20190303154825359"</f>
        <v>20190303154825359</v>
      </c>
      <c r="B2948" t="str">
        <f>"1551599305353976"</f>
        <v>1551599305353976</v>
      </c>
      <c r="C2948" t="s">
        <v>40</v>
      </c>
      <c r="D2948">
        <v>5.9126589999999997</v>
      </c>
      <c r="E2948">
        <v>0.53978930000000003</v>
      </c>
      <c r="F2948" t="s">
        <v>42</v>
      </c>
      <c r="G2948">
        <v>-490.08479999999997</v>
      </c>
      <c r="H2948">
        <v>1.0151840000000001</v>
      </c>
      <c r="I2948">
        <v>246.4222</v>
      </c>
      <c r="J2948">
        <v>-490.03809999999999</v>
      </c>
      <c r="K2948">
        <v>1.116069</v>
      </c>
      <c r="L2948">
        <v>247.1412</v>
      </c>
      <c r="M2948">
        <v>3.9112250000000001E-2</v>
      </c>
      <c r="N2948">
        <v>-9.1042810000000005E-3</v>
      </c>
      <c r="O2948">
        <v>-0.99919349999999996</v>
      </c>
      <c r="P2948">
        <v>5.8151979999999999E-2</v>
      </c>
      <c r="Q2948">
        <v>-0.11013009999999999</v>
      </c>
      <c r="R2948">
        <v>-0.99221479999999995</v>
      </c>
      <c r="S2948">
        <v>-0.134552</v>
      </c>
      <c r="T2948">
        <v>-0.33395950000000002</v>
      </c>
      <c r="U2948">
        <v>-2.9950709999999998</v>
      </c>
      <c r="V2948">
        <v>-2.0213249999999999E-2</v>
      </c>
      <c r="W2948">
        <v>-0.1008994</v>
      </c>
      <c r="X2948">
        <v>0.99469129999999994</v>
      </c>
      <c r="Y2948">
        <v>8.3641629999999995E-2</v>
      </c>
      <c r="Z2948">
        <v>0.1013791</v>
      </c>
      <c r="AA2948">
        <v>0.99132560000000003</v>
      </c>
      <c r="AB2948">
        <v>34</v>
      </c>
      <c r="AC2948">
        <v>-4.6699999999987002E-2</v>
      </c>
      <c r="AD2948">
        <v>-0.100884999999999</v>
      </c>
      <c r="AE2948">
        <v>-0.71899999999999398</v>
      </c>
      <c r="AF2948">
        <v>7.3349121831084302E-2</v>
      </c>
      <c r="AG2948">
        <v>-0.100884999999999</v>
      </c>
      <c r="AH2948">
        <v>0.70284391128678103</v>
      </c>
      <c r="AI2948">
        <v>98.124813548252405</v>
      </c>
      <c r="AJ2948">
        <v>84.0421521728925</v>
      </c>
      <c r="AK2948">
        <v>0.71382591752561897</v>
      </c>
      <c r="AL2948">
        <v>95.790964133368405</v>
      </c>
      <c r="AM2948">
        <v>91.164154686244999</v>
      </c>
      <c r="AN2948">
        <v>1.0000000233458</v>
      </c>
    </row>
    <row r="2949" spans="1:40" x14ac:dyDescent="0.25">
      <c r="A2949" t="str">
        <f>"20190303154825373"</f>
        <v>20190303154825373</v>
      </c>
      <c r="B2949" t="str">
        <f>"1551599305363735"</f>
        <v>1551599305363735</v>
      </c>
      <c r="C2949" t="s">
        <v>40</v>
      </c>
      <c r="D2949">
        <v>5.8966789999999998</v>
      </c>
      <c r="E2949">
        <v>0.53986639999999997</v>
      </c>
      <c r="F2949" t="s">
        <v>42</v>
      </c>
      <c r="G2949">
        <v>-490.0729</v>
      </c>
      <c r="H2949">
        <v>1.0353749999999999</v>
      </c>
      <c r="I2949">
        <v>246.4127</v>
      </c>
      <c r="J2949">
        <v>-490.03300000000002</v>
      </c>
      <c r="K2949">
        <v>1.1160680000000001</v>
      </c>
      <c r="L2949">
        <v>246.95849999999999</v>
      </c>
      <c r="M2949">
        <v>3.6897020000000003E-2</v>
      </c>
      <c r="N2949">
        <v>-9.1405289999999997E-3</v>
      </c>
      <c r="O2949">
        <v>-0.99927739999999998</v>
      </c>
      <c r="P2949">
        <v>5.5836120000000003E-2</v>
      </c>
      <c r="Q2949">
        <v>-0.10992540000000001</v>
      </c>
      <c r="R2949">
        <v>-0.99237039999999999</v>
      </c>
      <c r="S2949">
        <v>-0.14239499999999999</v>
      </c>
      <c r="T2949">
        <v>-0.33161459999999998</v>
      </c>
      <c r="U2949">
        <v>-2.9950709999999998</v>
      </c>
      <c r="V2949">
        <v>-2.00947E-2</v>
      </c>
      <c r="W2949">
        <v>-0.10065929999999999</v>
      </c>
      <c r="X2949">
        <v>0.99471799999999999</v>
      </c>
      <c r="Y2949">
        <v>8.4026690000000001E-2</v>
      </c>
      <c r="Z2949">
        <v>0.1005818</v>
      </c>
      <c r="AA2949">
        <v>0.99137419999999998</v>
      </c>
      <c r="AB2949">
        <v>34</v>
      </c>
      <c r="AC2949">
        <v>-3.9899999999988701E-2</v>
      </c>
      <c r="AD2949">
        <v>-8.0693000000000098E-2</v>
      </c>
      <c r="AE2949">
        <v>-0.54579999999998496</v>
      </c>
      <c r="AF2949">
        <v>5.8735071230743202E-2</v>
      </c>
      <c r="AG2949">
        <v>-8.0693000000000098E-2</v>
      </c>
      <c r="AH2949">
        <v>0.53238128824995101</v>
      </c>
      <c r="AI2949">
        <v>98.567512516099995</v>
      </c>
      <c r="AJ2949">
        <v>83.704292425808703</v>
      </c>
      <c r="AK2949">
        <v>0.54165579930446495</v>
      </c>
      <c r="AL2949">
        <v>95.777137181343704</v>
      </c>
      <c r="AM2949">
        <v>91.157297766158905</v>
      </c>
      <c r="AN2949">
        <v>0.99999999558428998</v>
      </c>
    </row>
    <row r="2950" spans="1:40" x14ac:dyDescent="0.25">
      <c r="A2950" t="str">
        <f>"20190303154825386"</f>
        <v>20190303154825386</v>
      </c>
      <c r="B2950" t="str">
        <f>"1551599305383256"</f>
        <v>1551599305383256</v>
      </c>
      <c r="C2950" t="s">
        <v>40</v>
      </c>
      <c r="D2950">
        <v>5.8994429999999998</v>
      </c>
      <c r="E2950">
        <v>0.54004259999999904</v>
      </c>
      <c r="F2950" t="s">
        <v>42</v>
      </c>
      <c r="G2950">
        <v>-490.07549999999998</v>
      </c>
      <c r="H2950">
        <v>1.023158</v>
      </c>
      <c r="I2950">
        <v>246.11529999999999</v>
      </c>
      <c r="J2950">
        <v>-490.02749999999997</v>
      </c>
      <c r="K2950">
        <v>1.1160699999999999</v>
      </c>
      <c r="L2950">
        <v>246.74700000000001</v>
      </c>
      <c r="M2950">
        <v>3.433742E-2</v>
      </c>
      <c r="N2950">
        <v>-9.1804629999999998E-3</v>
      </c>
      <c r="O2950">
        <v>-0.99936809999999998</v>
      </c>
      <c r="P2950">
        <v>5.3294059999999997E-2</v>
      </c>
      <c r="Q2950">
        <v>-0.1105362</v>
      </c>
      <c r="R2950">
        <v>-0.9924423</v>
      </c>
      <c r="S2950">
        <v>-0.15008540000000001</v>
      </c>
      <c r="T2950">
        <v>-0.32984599999999997</v>
      </c>
      <c r="U2950">
        <v>-2.9949650000000001</v>
      </c>
      <c r="V2950">
        <v>-2.0102539999999999E-2</v>
      </c>
      <c r="W2950">
        <v>-0.101231</v>
      </c>
      <c r="X2950">
        <v>0.99465979999999998</v>
      </c>
      <c r="Y2950">
        <v>8.4018869999999996E-2</v>
      </c>
      <c r="Z2950">
        <v>9.9975759999999997E-2</v>
      </c>
      <c r="AA2950">
        <v>0.99143619999999999</v>
      </c>
      <c r="AB2950">
        <v>34</v>
      </c>
      <c r="AC2950">
        <v>-4.8000000000001798E-2</v>
      </c>
      <c r="AD2950">
        <v>-9.2912000000000106E-2</v>
      </c>
      <c r="AE2950">
        <v>-0.63170000000002302</v>
      </c>
      <c r="AF2950">
        <v>6.8196707390977898E-2</v>
      </c>
      <c r="AG2950">
        <v>-9.2912000000000106E-2</v>
      </c>
      <c r="AH2950">
        <v>0.61642055704779597</v>
      </c>
      <c r="AI2950">
        <v>98.5203544393692</v>
      </c>
      <c r="AJ2950">
        <v>83.686846219755495</v>
      </c>
      <c r="AK2950">
        <v>0.62710265012522903</v>
      </c>
      <c r="AL2950">
        <v>95.810061490000393</v>
      </c>
      <c r="AM2950">
        <v>91.1578168903727</v>
      </c>
      <c r="AN2950">
        <v>0.99999997260574502</v>
      </c>
    </row>
    <row r="2951" spans="1:40" x14ac:dyDescent="0.25">
      <c r="A2951" t="str">
        <f>"20190303154825402"</f>
        <v>20190303154825402</v>
      </c>
      <c r="B2951" t="str">
        <f>"1551599305393992"</f>
        <v>1551599305393992</v>
      </c>
      <c r="C2951" t="s">
        <v>40</v>
      </c>
      <c r="D2951">
        <v>5.8574400000000004</v>
      </c>
      <c r="E2951">
        <v>0.54009300000000005</v>
      </c>
      <c r="F2951" t="s">
        <v>42</v>
      </c>
      <c r="G2951">
        <v>-490.07709999999997</v>
      </c>
      <c r="H2951">
        <v>1.0136430000000001</v>
      </c>
      <c r="I2951">
        <v>245.81620000000001</v>
      </c>
      <c r="J2951">
        <v>-490.02170000000001</v>
      </c>
      <c r="K2951">
        <v>1.116074</v>
      </c>
      <c r="L2951">
        <v>246.50470000000001</v>
      </c>
      <c r="M2951">
        <v>3.1414230000000001E-2</v>
      </c>
      <c r="N2951">
        <v>-9.2225640000000008E-3</v>
      </c>
      <c r="O2951">
        <v>-0.99946400000000002</v>
      </c>
      <c r="P2951">
        <v>5.0198319999999998E-2</v>
      </c>
      <c r="Q2951">
        <v>-0.11299819999999999</v>
      </c>
      <c r="R2951">
        <v>-0.99232640000000005</v>
      </c>
      <c r="S2951">
        <v>-0.15866089999999999</v>
      </c>
      <c r="T2951">
        <v>-0.32936949999999998</v>
      </c>
      <c r="U2951">
        <v>-2.9946899999999999</v>
      </c>
      <c r="V2951">
        <v>-1.9940059999999999E-2</v>
      </c>
      <c r="W2951">
        <v>-0.1036551</v>
      </c>
      <c r="X2951">
        <v>0.9944134</v>
      </c>
      <c r="Y2951">
        <v>8.3941310000000005E-2</v>
      </c>
      <c r="Z2951">
        <v>9.9796239999999994E-2</v>
      </c>
      <c r="AA2951">
        <v>0.99146080000000003</v>
      </c>
      <c r="AB2951">
        <v>34</v>
      </c>
      <c r="AC2951">
        <v>-5.5399999999963201E-2</v>
      </c>
      <c r="AD2951">
        <v>-0.102430999999999</v>
      </c>
      <c r="AE2951">
        <v>-0.688500000000004</v>
      </c>
      <c r="AF2951">
        <v>7.5345323902669001E-2</v>
      </c>
      <c r="AG2951">
        <v>-0.102430999999999</v>
      </c>
      <c r="AH2951">
        <v>0.67164925876707304</v>
      </c>
      <c r="AI2951">
        <v>98.617939086373099</v>
      </c>
      <c r="AJ2951">
        <v>83.599343841275498</v>
      </c>
      <c r="AK2951">
        <v>0.68358010093723198</v>
      </c>
      <c r="AL2951">
        <v>95.949686664089299</v>
      </c>
      <c r="AM2951">
        <v>91.148745776066505</v>
      </c>
      <c r="AN2951">
        <v>0.99999999792418603</v>
      </c>
    </row>
    <row r="2952" spans="1:40" x14ac:dyDescent="0.25">
      <c r="A2952" t="str">
        <f>"20190303154825415"</f>
        <v>20190303154825415</v>
      </c>
      <c r="B2952" t="str">
        <f>"1551599305403752"</f>
        <v>1551599305403752</v>
      </c>
      <c r="C2952" t="s">
        <v>40</v>
      </c>
      <c r="D2952">
        <v>5.8731910000000003</v>
      </c>
      <c r="E2952">
        <v>0.5401437</v>
      </c>
      <c r="F2952" t="s">
        <v>42</v>
      </c>
      <c r="G2952">
        <v>-490.07740000000001</v>
      </c>
      <c r="H2952">
        <v>1.0054829999999999</v>
      </c>
      <c r="I2952">
        <v>245.5162</v>
      </c>
      <c r="J2952">
        <v>-490.01769999999999</v>
      </c>
      <c r="K2952">
        <v>1.1160749999999999</v>
      </c>
      <c r="L2952">
        <v>246.30709999999999</v>
      </c>
      <c r="M2952">
        <v>2.9041359999999999E-2</v>
      </c>
      <c r="N2952">
        <v>-9.2533440000000002E-3</v>
      </c>
      <c r="O2952">
        <v>-0.99953539999999996</v>
      </c>
      <c r="P2952">
        <v>4.7895409999999999E-2</v>
      </c>
      <c r="Q2952">
        <v>-0.1144778</v>
      </c>
      <c r="R2952">
        <v>-0.9922706</v>
      </c>
      <c r="S2952">
        <v>-0.16854859999999999</v>
      </c>
      <c r="T2952">
        <v>-0.33489069999999999</v>
      </c>
      <c r="U2952">
        <v>-2.9935909999999999</v>
      </c>
      <c r="V2952">
        <v>-2.001002E-2</v>
      </c>
      <c r="W2952">
        <v>-0.1051052</v>
      </c>
      <c r="X2952">
        <v>0.99425980000000003</v>
      </c>
      <c r="Y2952">
        <v>8.4848199999999999E-2</v>
      </c>
      <c r="Z2952">
        <v>0.1016099</v>
      </c>
      <c r="AA2952">
        <v>0.99119939999999995</v>
      </c>
      <c r="AB2952">
        <v>34</v>
      </c>
      <c r="AC2952">
        <v>-5.9700000000020702E-2</v>
      </c>
      <c r="AD2952">
        <v>-0.110592</v>
      </c>
      <c r="AE2952">
        <v>-0.79089999999999305</v>
      </c>
      <c r="AF2952">
        <v>8.1068493031386302E-2</v>
      </c>
      <c r="AG2952">
        <v>-0.110592</v>
      </c>
      <c r="AH2952">
        <v>0.77378867940066298</v>
      </c>
      <c r="AI2952">
        <v>98.090097795818593</v>
      </c>
      <c r="AJ2952">
        <v>84.019040337972996</v>
      </c>
      <c r="AK2952">
        <v>0.78584452113315795</v>
      </c>
      <c r="AL2952">
        <v>96.0332274508811</v>
      </c>
      <c r="AM2952">
        <v>91.152953122635594</v>
      </c>
      <c r="AN2952">
        <v>1.00000002693173</v>
      </c>
    </row>
    <row r="2953" spans="1:40" x14ac:dyDescent="0.25">
      <c r="A2953" t="str">
        <f>"20190303154825431"</f>
        <v>20190303154825431</v>
      </c>
      <c r="B2953" t="str">
        <f>"1551599305423272"</f>
        <v>1551599305423272</v>
      </c>
      <c r="C2953" t="s">
        <v>40</v>
      </c>
      <c r="D2953">
        <v>6.1148040000000004</v>
      </c>
      <c r="E2953">
        <v>0.54016569999999997</v>
      </c>
      <c r="F2953" t="s">
        <v>42</v>
      </c>
      <c r="G2953">
        <v>-490.06479999999999</v>
      </c>
      <c r="H2953">
        <v>1.025604</v>
      </c>
      <c r="I2953">
        <v>245.5067</v>
      </c>
      <c r="J2953">
        <v>-490.01350000000002</v>
      </c>
      <c r="K2953">
        <v>1.116072</v>
      </c>
      <c r="L2953">
        <v>246.08070000000001</v>
      </c>
      <c r="M2953">
        <v>2.6331230000000001E-2</v>
      </c>
      <c r="N2953">
        <v>-9.2860589999999993E-3</v>
      </c>
      <c r="O2953">
        <v>-0.9996102</v>
      </c>
      <c r="P2953">
        <v>4.5016519999999997E-2</v>
      </c>
      <c r="Q2953">
        <v>-0.1161203</v>
      </c>
      <c r="R2953">
        <v>-0.9922147</v>
      </c>
      <c r="S2953">
        <v>-0.17605589999999999</v>
      </c>
      <c r="T2953">
        <v>-0.33825179999999999</v>
      </c>
      <c r="U2953">
        <v>-2.992874</v>
      </c>
      <c r="V2953">
        <v>-1.983971E-2</v>
      </c>
      <c r="W2953">
        <v>-0.1067186</v>
      </c>
      <c r="X2953">
        <v>0.99409130000000001</v>
      </c>
      <c r="Y2953">
        <v>8.4631100000000001E-2</v>
      </c>
      <c r="Z2953">
        <v>0.1027092</v>
      </c>
      <c r="AA2953">
        <v>0.9911046</v>
      </c>
      <c r="AB2953">
        <v>34</v>
      </c>
      <c r="AC2953">
        <v>-5.1299999999969197E-2</v>
      </c>
      <c r="AD2953">
        <v>-9.0467999999999701E-2</v>
      </c>
      <c r="AE2953">
        <v>-0.57400000000001195</v>
      </c>
      <c r="AF2953">
        <v>6.4800056188211899E-2</v>
      </c>
      <c r="AG2953">
        <v>-9.0467999999999701E-2</v>
      </c>
      <c r="AH2953">
        <v>0.55868195801130005</v>
      </c>
      <c r="AI2953">
        <v>99.137910618927293</v>
      </c>
      <c r="AJ2953">
        <v>83.383975613300805</v>
      </c>
      <c r="AK2953">
        <v>0.56965694633993202</v>
      </c>
      <c r="AL2953">
        <v>96.126191550711397</v>
      </c>
      <c r="AM2953">
        <v>91.143336394799206</v>
      </c>
      <c r="AN2953">
        <v>0.99999999320726696</v>
      </c>
    </row>
    <row r="2954" spans="1:40" x14ac:dyDescent="0.25">
      <c r="A2954" t="str">
        <f>"20190303154825448"</f>
        <v>20190303154825448</v>
      </c>
      <c r="B2954" t="str">
        <f>"1551599305443768"</f>
        <v>1551599305443768</v>
      </c>
      <c r="C2954" t="s">
        <v>40</v>
      </c>
      <c r="D2954">
        <v>5.8797360000000003</v>
      </c>
      <c r="E2954">
        <v>0.54028769999999904</v>
      </c>
      <c r="F2954" t="s">
        <v>42</v>
      </c>
      <c r="G2954">
        <v>-490.06790000000001</v>
      </c>
      <c r="H2954">
        <v>1.0157309999999999</v>
      </c>
      <c r="I2954">
        <v>245.2071</v>
      </c>
      <c r="J2954">
        <v>-490.0093</v>
      </c>
      <c r="K2954">
        <v>1.1160699999999999</v>
      </c>
      <c r="L2954">
        <v>245.8057</v>
      </c>
      <c r="M2954">
        <v>2.305627E-2</v>
      </c>
      <c r="N2954">
        <v>-9.3222900000000004E-3</v>
      </c>
      <c r="O2954">
        <v>-0.99969070000000004</v>
      </c>
      <c r="P2954">
        <v>4.2130399999999998E-2</v>
      </c>
      <c r="Q2954">
        <v>-0.11848939999999999</v>
      </c>
      <c r="R2954">
        <v>-0.99206110000000003</v>
      </c>
      <c r="S2954">
        <v>-0.18499760000000001</v>
      </c>
      <c r="T2954">
        <v>-0.34340540000000003</v>
      </c>
      <c r="U2954">
        <v>-2.9917449999999999</v>
      </c>
      <c r="V2954">
        <v>-2.022989E-2</v>
      </c>
      <c r="W2954">
        <v>-0.1090513</v>
      </c>
      <c r="X2954">
        <v>0.99383030000000006</v>
      </c>
      <c r="Y2954">
        <v>8.4328639999999996E-2</v>
      </c>
      <c r="Z2954">
        <v>0.1044066</v>
      </c>
      <c r="AA2954">
        <v>0.99095299999999997</v>
      </c>
      <c r="AB2954">
        <v>34</v>
      </c>
      <c r="AC2954">
        <v>-5.86000000000126E-2</v>
      </c>
      <c r="AD2954">
        <v>-0.100339</v>
      </c>
      <c r="AE2954">
        <v>-0.59860000000000402</v>
      </c>
      <c r="AF2954">
        <v>7.0426486626720505E-2</v>
      </c>
      <c r="AG2954">
        <v>-0.100339</v>
      </c>
      <c r="AH2954">
        <v>0.58092223986529901</v>
      </c>
      <c r="AI2954">
        <v>99.729782837294707</v>
      </c>
      <c r="AJ2954">
        <v>83.087638581089195</v>
      </c>
      <c r="AK2954">
        <v>0.59371580213912101</v>
      </c>
      <c r="AL2954">
        <v>96.260629758307502</v>
      </c>
      <c r="AM2954">
        <v>91.1661218915159</v>
      </c>
      <c r="AN2954">
        <v>1.00000004983959</v>
      </c>
    </row>
    <row r="2955" spans="1:40" x14ac:dyDescent="0.25">
      <c r="A2955" t="str">
        <f>"20190303154825470"</f>
        <v>20190303154825470</v>
      </c>
      <c r="B2955" t="str">
        <f>"1551599305463288"</f>
        <v>1551599305463288</v>
      </c>
      <c r="C2955" t="s">
        <v>40</v>
      </c>
      <c r="D2955">
        <v>5.8890169999999999</v>
      </c>
      <c r="E2955">
        <v>0.54039619999999999</v>
      </c>
      <c r="F2955" t="s">
        <v>42</v>
      </c>
      <c r="G2955">
        <v>-490.06810000000002</v>
      </c>
      <c r="H2955">
        <v>1.0109159999999999</v>
      </c>
      <c r="I2955">
        <v>244.90479999999999</v>
      </c>
      <c r="J2955">
        <v>-490.00540000000001</v>
      </c>
      <c r="K2955">
        <v>1.1160890000000001</v>
      </c>
      <c r="L2955">
        <v>245.47909999999999</v>
      </c>
      <c r="M2955">
        <v>1.920403E-2</v>
      </c>
      <c r="N2955">
        <v>-9.3622050000000002E-3</v>
      </c>
      <c r="O2955">
        <v>-0.99977169999999904</v>
      </c>
      <c r="P2955">
        <v>4.0029259999999997E-2</v>
      </c>
      <c r="Q2955">
        <v>-0.11965729999999999</v>
      </c>
      <c r="R2955">
        <v>-0.99200809999999995</v>
      </c>
      <c r="S2955">
        <v>-0.19454959999999999</v>
      </c>
      <c r="T2955">
        <v>-0.34897699999999998</v>
      </c>
      <c r="U2955">
        <v>-2.99057</v>
      </c>
      <c r="V2955">
        <v>-2.1960650000000002E-2</v>
      </c>
      <c r="W2955">
        <v>-0.1101664</v>
      </c>
      <c r="X2955">
        <v>0.99367050000000001</v>
      </c>
      <c r="Y2955">
        <v>8.3652530000000003E-2</v>
      </c>
      <c r="Z2955">
        <v>0.1062401</v>
      </c>
      <c r="AA2955">
        <v>0.99081549999999996</v>
      </c>
      <c r="AB2955">
        <v>34</v>
      </c>
      <c r="AC2955">
        <v>-6.2700000000006598E-2</v>
      </c>
      <c r="AD2955">
        <v>-0.105172999999999</v>
      </c>
      <c r="AE2955">
        <v>-0.57429999999999304</v>
      </c>
      <c r="AF2955">
        <v>7.1352980229916096E-2</v>
      </c>
      <c r="AG2955">
        <v>-0.105172999999999</v>
      </c>
      <c r="AH2955">
        <v>0.55460882698152603</v>
      </c>
      <c r="AI2955">
        <v>100.65199610456401</v>
      </c>
      <c r="AJ2955">
        <v>82.668905161415196</v>
      </c>
      <c r="AK2955">
        <v>0.56898467350405402</v>
      </c>
      <c r="AL2955">
        <v>96.324907985890505</v>
      </c>
      <c r="AM2955">
        <v>91.266061297727205</v>
      </c>
      <c r="AN2955">
        <v>0.99999998420381597</v>
      </c>
    </row>
    <row r="2956" spans="1:40" x14ac:dyDescent="0.25">
      <c r="A2956" t="str">
        <f>"20190303154825483"</f>
        <v>20190303154825483</v>
      </c>
      <c r="B2956" t="str">
        <f>"1551599305474024"</f>
        <v>1551599305474024</v>
      </c>
      <c r="C2956" t="s">
        <v>40</v>
      </c>
      <c r="D2956">
        <v>5.8682650000000001</v>
      </c>
      <c r="E2956">
        <v>0.54044890000000001</v>
      </c>
      <c r="F2956" t="s">
        <v>42</v>
      </c>
      <c r="G2956">
        <v>-490.06509999999997</v>
      </c>
      <c r="H2956">
        <v>1.012956</v>
      </c>
      <c r="I2956">
        <v>244.59870000000001</v>
      </c>
      <c r="J2956">
        <v>-490.00349999999997</v>
      </c>
      <c r="K2956">
        <v>1.116106</v>
      </c>
      <c r="L2956">
        <v>245.2749</v>
      </c>
      <c r="M2956">
        <v>1.6813419999999999E-2</v>
      </c>
      <c r="N2956">
        <v>-9.3874779999999994E-3</v>
      </c>
      <c r="O2956">
        <v>-0.99981469999999995</v>
      </c>
      <c r="P2956">
        <v>3.869127E-2</v>
      </c>
      <c r="Q2956">
        <v>-0.1196652</v>
      </c>
      <c r="R2956">
        <v>-0.99206039999999995</v>
      </c>
      <c r="S2956">
        <v>-0.20181270000000001</v>
      </c>
      <c r="T2956">
        <v>-0.35017399999999999</v>
      </c>
      <c r="U2956">
        <v>-2.9900669999999998</v>
      </c>
      <c r="V2956">
        <v>-2.299174E-2</v>
      </c>
      <c r="W2956">
        <v>-0.1101409</v>
      </c>
      <c r="X2956">
        <v>0.99365000000000003</v>
      </c>
      <c r="Y2956">
        <v>8.3673910000000004E-2</v>
      </c>
      <c r="Z2956">
        <v>0.10662439999999999</v>
      </c>
      <c r="AA2956">
        <v>0.9907724</v>
      </c>
      <c r="AB2956">
        <v>34</v>
      </c>
      <c r="AC2956">
        <v>-6.1599999999998503E-2</v>
      </c>
      <c r="AD2956">
        <v>-0.10315000000000001</v>
      </c>
      <c r="AE2956">
        <v>-0.67619999999999403</v>
      </c>
      <c r="AF2956">
        <v>7.1315210641684501E-2</v>
      </c>
      <c r="AG2956">
        <v>-0.10315000000000001</v>
      </c>
      <c r="AH2956">
        <v>0.65984082211751205</v>
      </c>
      <c r="AI2956">
        <v>98.834257487818107</v>
      </c>
      <c r="AJ2956">
        <v>83.831449860967595</v>
      </c>
      <c r="AK2956">
        <v>0.67165146638832096</v>
      </c>
      <c r="AL2956">
        <v>96.323438023208993</v>
      </c>
      <c r="AM2956">
        <v>91.325511641490294</v>
      </c>
      <c r="AN2956">
        <v>0.99999998023051795</v>
      </c>
    </row>
    <row r="2957" spans="1:40" x14ac:dyDescent="0.25">
      <c r="A2957" t="str">
        <f>"20190303154825494"</f>
        <v>20190303154825494</v>
      </c>
      <c r="B2957" t="str">
        <f>"1551599305483785"</f>
        <v>1551599305483785</v>
      </c>
      <c r="C2957" t="s">
        <v>40</v>
      </c>
      <c r="D2957">
        <v>6.0513620000000001</v>
      </c>
      <c r="E2957">
        <v>0.54027890000000001</v>
      </c>
      <c r="F2957" t="s">
        <v>42</v>
      </c>
      <c r="G2957">
        <v>-490.07119999999998</v>
      </c>
      <c r="H2957">
        <v>1.002108</v>
      </c>
      <c r="I2957">
        <v>244.29859999999999</v>
      </c>
      <c r="J2957">
        <v>-490.00229999999999</v>
      </c>
      <c r="K2957">
        <v>1.1161179999999999</v>
      </c>
      <c r="L2957">
        <v>245.0984</v>
      </c>
      <c r="M2957">
        <v>1.4767539999999999E-2</v>
      </c>
      <c r="N2957">
        <v>-9.4109080000000008E-3</v>
      </c>
      <c r="O2957">
        <v>-0.99984680000000004</v>
      </c>
      <c r="P2957">
        <v>3.8287990000000001E-2</v>
      </c>
      <c r="Q2957">
        <v>-0.1199591</v>
      </c>
      <c r="R2957">
        <v>-0.99204029999999999</v>
      </c>
      <c r="S2957">
        <v>-0.20635990000000001</v>
      </c>
      <c r="T2957">
        <v>-0.34902159999999999</v>
      </c>
      <c r="U2957">
        <v>-2.98996</v>
      </c>
      <c r="V2957">
        <v>-2.461853E-2</v>
      </c>
      <c r="W2957">
        <v>-0.1103985</v>
      </c>
      <c r="X2957">
        <v>0.99358239999999998</v>
      </c>
      <c r="Y2957">
        <v>8.3140359999999996E-2</v>
      </c>
      <c r="Z2957">
        <v>0.10623109999999999</v>
      </c>
      <c r="AA2957">
        <v>0.99085959999999995</v>
      </c>
      <c r="AB2957">
        <v>34</v>
      </c>
      <c r="AC2957">
        <v>-6.8899999999985001E-2</v>
      </c>
      <c r="AD2957">
        <v>-0.114009999999999</v>
      </c>
      <c r="AE2957">
        <v>-0.79980000000000395</v>
      </c>
      <c r="AF2957">
        <v>7.9108446265928695E-2</v>
      </c>
      <c r="AG2957">
        <v>-0.114009999999999</v>
      </c>
      <c r="AH2957">
        <v>0.78290385636725701</v>
      </c>
      <c r="AI2957">
        <v>98.244031909189104</v>
      </c>
      <c r="AJ2957">
        <v>84.230137093411102</v>
      </c>
      <c r="AK2957">
        <v>0.795106832246668</v>
      </c>
      <c r="AL2957">
        <v>96.338288211421798</v>
      </c>
      <c r="AM2957">
        <v>91.419358190647202</v>
      </c>
      <c r="AN2957">
        <v>0.99999994320568297</v>
      </c>
    </row>
    <row r="2958" spans="1:40" x14ac:dyDescent="0.25">
      <c r="A2958" t="str">
        <f>"20190303154825514"</f>
        <v>20190303154825514</v>
      </c>
      <c r="B2958" t="str">
        <f>"1551599305503304"</f>
        <v>1551599305503304</v>
      </c>
      <c r="C2958" t="s">
        <v>40</v>
      </c>
      <c r="D2958">
        <v>6.0561489999999996</v>
      </c>
      <c r="E2958">
        <v>0.53995479999999996</v>
      </c>
      <c r="F2958" t="s">
        <v>42</v>
      </c>
      <c r="G2958">
        <v>-490.05829999999997</v>
      </c>
      <c r="H2958">
        <v>1.021277</v>
      </c>
      <c r="I2958">
        <v>244.2894</v>
      </c>
      <c r="J2958">
        <v>-490.00119999999998</v>
      </c>
      <c r="K2958">
        <v>1.1161540000000001</v>
      </c>
      <c r="L2958">
        <v>244.81290000000001</v>
      </c>
      <c r="M2958">
        <v>1.148968E-2</v>
      </c>
      <c r="N2958">
        <v>-9.4544810000000007E-3</v>
      </c>
      <c r="O2958">
        <v>-0.99988940000000004</v>
      </c>
      <c r="P2958">
        <v>3.8300939999999999E-2</v>
      </c>
      <c r="Q2958">
        <v>-0.1202474</v>
      </c>
      <c r="R2958">
        <v>-0.99200509999999997</v>
      </c>
      <c r="S2958">
        <v>-0.20571900000000001</v>
      </c>
      <c r="T2958">
        <v>-0.35037170000000001</v>
      </c>
      <c r="U2958">
        <v>-2.9896389999999999</v>
      </c>
      <c r="V2958">
        <v>-2.7880140000000001E-2</v>
      </c>
      <c r="W2958">
        <v>-0.1106172</v>
      </c>
      <c r="X2958">
        <v>0.99347200000000002</v>
      </c>
      <c r="Y2958">
        <v>7.9667440000000006E-2</v>
      </c>
      <c r="Z2958">
        <v>0.1066675</v>
      </c>
      <c r="AA2958">
        <v>0.99109789999999998</v>
      </c>
      <c r="AB2958">
        <v>34</v>
      </c>
      <c r="AC2958">
        <v>-5.7099999999991199E-2</v>
      </c>
      <c r="AD2958">
        <v>-9.48770000000001E-2</v>
      </c>
      <c r="AE2958">
        <v>-0.52350000000001196</v>
      </c>
      <c r="AF2958">
        <v>6.1127142424154797E-2</v>
      </c>
      <c r="AG2958">
        <v>-9.48770000000001E-2</v>
      </c>
      <c r="AH2958">
        <v>0.50637236536506502</v>
      </c>
      <c r="AI2958">
        <v>100.537473734966</v>
      </c>
      <c r="AJ2958">
        <v>83.116800199773905</v>
      </c>
      <c r="AK2958">
        <v>0.51879778823290501</v>
      </c>
      <c r="AL2958">
        <v>96.3508953953977</v>
      </c>
      <c r="AM2958">
        <v>91.607488891384307</v>
      </c>
      <c r="AN2958">
        <v>1.00000004096312</v>
      </c>
    </row>
    <row r="2959" spans="1:40" x14ac:dyDescent="0.25">
      <c r="A2959" t="str">
        <f>"20190303154825526"</f>
        <v>20190303154825526</v>
      </c>
      <c r="B2959" t="str">
        <f>"1551599305523801"</f>
        <v>1551599305523801</v>
      </c>
      <c r="C2959" t="s">
        <v>40</v>
      </c>
      <c r="D2959">
        <v>5.7616800000000001</v>
      </c>
      <c r="E2959">
        <v>0.53973499999999996</v>
      </c>
      <c r="F2959" t="s">
        <v>42</v>
      </c>
      <c r="G2959">
        <v>-490.05790000000002</v>
      </c>
      <c r="H2959">
        <v>1.0189600000000001</v>
      </c>
      <c r="I2959">
        <v>243.98480000000001</v>
      </c>
      <c r="J2959">
        <v>-490.0009</v>
      </c>
      <c r="K2959">
        <v>1.1161840000000001</v>
      </c>
      <c r="L2959">
        <v>244.62459999999999</v>
      </c>
      <c r="M2959">
        <v>9.3510980000000004E-3</v>
      </c>
      <c r="N2959">
        <v>-9.4870679999999995E-3</v>
      </c>
      <c r="O2959">
        <v>-0.99991129999999995</v>
      </c>
      <c r="P2959">
        <v>3.7965829999999999E-2</v>
      </c>
      <c r="Q2959">
        <v>-0.1201624</v>
      </c>
      <c r="R2959">
        <v>-0.99202820000000003</v>
      </c>
      <c r="S2959">
        <v>-0.20318600000000001</v>
      </c>
      <c r="T2959">
        <v>-0.35060249999999998</v>
      </c>
      <c r="U2959">
        <v>-2.9895019999999999</v>
      </c>
      <c r="V2959">
        <v>-2.9660780000000001E-2</v>
      </c>
      <c r="W2959">
        <v>-0.1104859</v>
      </c>
      <c r="X2959">
        <v>0.99343499999999996</v>
      </c>
      <c r="Y2959">
        <v>7.6703540000000001E-2</v>
      </c>
      <c r="Z2959">
        <v>0.10673729999999999</v>
      </c>
      <c r="AA2959">
        <v>0.99132419999999999</v>
      </c>
      <c r="AB2959">
        <v>34</v>
      </c>
      <c r="AC2959">
        <v>-5.7000000000016302E-2</v>
      </c>
      <c r="AD2959">
        <v>-9.7223999999999894E-2</v>
      </c>
      <c r="AE2959">
        <v>-0.63979999999997905</v>
      </c>
      <c r="AF2959">
        <v>6.1570039635841102E-2</v>
      </c>
      <c r="AG2959">
        <v>-9.7223999999999894E-2</v>
      </c>
      <c r="AH2959">
        <v>0.62492202427079402</v>
      </c>
      <c r="AI2959">
        <v>98.801118170491193</v>
      </c>
      <c r="AJ2959">
        <v>84.373130130097806</v>
      </c>
      <c r="AK2959">
        <v>0.63542970687202405</v>
      </c>
      <c r="AL2959">
        <v>96.343326339022298</v>
      </c>
      <c r="AM2959">
        <v>91.710160006087094</v>
      </c>
      <c r="AN2959">
        <v>0.99999999759700897</v>
      </c>
    </row>
    <row r="2960" spans="1:40" x14ac:dyDescent="0.25">
      <c r="A2960" t="str">
        <f>"20190303154825538"</f>
        <v>20190303154825538</v>
      </c>
      <c r="B2960" t="str">
        <f>"1551599305533560"</f>
        <v>1551599305533560</v>
      </c>
      <c r="C2960" t="s">
        <v>40</v>
      </c>
      <c r="D2960">
        <v>6.0465920000000004</v>
      </c>
      <c r="E2960">
        <v>0.53958680000000003</v>
      </c>
      <c r="F2960" t="s">
        <v>42</v>
      </c>
      <c r="G2960">
        <v>-490.06490000000002</v>
      </c>
      <c r="H2960">
        <v>1.0081610000000001</v>
      </c>
      <c r="I2960">
        <v>243.6841</v>
      </c>
      <c r="J2960">
        <v>-490.0009</v>
      </c>
      <c r="K2960">
        <v>1.116223</v>
      </c>
      <c r="L2960">
        <v>244.42140000000001</v>
      </c>
      <c r="M2960">
        <v>7.0648660000000004E-3</v>
      </c>
      <c r="N2960">
        <v>-9.5255270000000006E-3</v>
      </c>
      <c r="O2960">
        <v>-0.99992979999999998</v>
      </c>
      <c r="P2960">
        <v>3.7371139999999997E-2</v>
      </c>
      <c r="Q2960">
        <v>-0.11989130000000001</v>
      </c>
      <c r="R2960">
        <v>-0.99208339999999995</v>
      </c>
      <c r="S2960">
        <v>-0.20260619999999999</v>
      </c>
      <c r="T2960">
        <v>-0.343254</v>
      </c>
      <c r="U2960">
        <v>-2.9902500000000001</v>
      </c>
      <c r="V2960">
        <v>-3.132505E-2</v>
      </c>
      <c r="W2960">
        <v>-0.1101639</v>
      </c>
      <c r="X2960">
        <v>0.99341970000000002</v>
      </c>
      <c r="Y2960">
        <v>7.4235419999999996E-2</v>
      </c>
      <c r="Z2960">
        <v>0.1042809</v>
      </c>
      <c r="AA2960">
        <v>0.99177349999999997</v>
      </c>
      <c r="AB2960">
        <v>34</v>
      </c>
      <c r="AC2960">
        <v>-6.4000000000021304E-2</v>
      </c>
      <c r="AD2960">
        <v>-0.10806199999999901</v>
      </c>
      <c r="AE2960">
        <v>-0.73730000000000395</v>
      </c>
      <c r="AF2960">
        <v>6.7762826360592804E-2</v>
      </c>
      <c r="AG2960">
        <v>-0.10806199999999901</v>
      </c>
      <c r="AH2960">
        <v>0.72144779494870304</v>
      </c>
      <c r="AI2960">
        <v>98.481927615783903</v>
      </c>
      <c r="AJ2960">
        <v>84.634169413189994</v>
      </c>
      <c r="AK2960">
        <v>0.73263641550002301</v>
      </c>
      <c r="AL2960">
        <v>96.324763629315399</v>
      </c>
      <c r="AM2960">
        <v>91.806083227062402</v>
      </c>
      <c r="AN2960">
        <v>1.0000000219844001</v>
      </c>
    </row>
    <row r="2961" spans="1:40" x14ac:dyDescent="0.25">
      <c r="A2961" t="str">
        <f>"20190303154825550"</f>
        <v>20190303154825550</v>
      </c>
      <c r="B2961" t="str">
        <f>"1551599305543321"</f>
        <v>1551599305543321</v>
      </c>
      <c r="C2961" t="s">
        <v>40</v>
      </c>
      <c r="D2961">
        <v>6.0240650000000002</v>
      </c>
      <c r="E2961">
        <v>0.53944759999999903</v>
      </c>
      <c r="F2961" t="s">
        <v>42</v>
      </c>
      <c r="G2961">
        <v>-490.05220000000003</v>
      </c>
      <c r="H2961">
        <v>1.030513</v>
      </c>
      <c r="I2961">
        <v>243.67320000000001</v>
      </c>
      <c r="J2961">
        <v>-490.00139999999999</v>
      </c>
      <c r="K2961">
        <v>1.11626</v>
      </c>
      <c r="L2961">
        <v>244.24199999999999</v>
      </c>
      <c r="M2961">
        <v>5.077921E-3</v>
      </c>
      <c r="N2961">
        <v>-9.5603690000000009E-3</v>
      </c>
      <c r="O2961">
        <v>-0.99994130000000003</v>
      </c>
      <c r="P2961">
        <v>3.7346959999999998E-2</v>
      </c>
      <c r="Q2961">
        <v>-0.1191453</v>
      </c>
      <c r="R2961">
        <v>-0.99217420000000001</v>
      </c>
      <c r="S2961">
        <v>-0.2035217</v>
      </c>
      <c r="T2961">
        <v>-0.34226380000000001</v>
      </c>
      <c r="U2961">
        <v>-2.9902340000000001</v>
      </c>
      <c r="V2961">
        <v>-3.325873E-2</v>
      </c>
      <c r="W2961">
        <v>-0.1093681</v>
      </c>
      <c r="X2961">
        <v>0.99344469999999996</v>
      </c>
      <c r="Y2961">
        <v>7.2559819999999997E-2</v>
      </c>
      <c r="Z2961">
        <v>0.1039311</v>
      </c>
      <c r="AA2961">
        <v>0.99193419999999999</v>
      </c>
      <c r="AB2961">
        <v>34</v>
      </c>
      <c r="AC2961">
        <v>-5.0800000000037898E-2</v>
      </c>
      <c r="AD2961">
        <v>-8.5747000000000004E-2</v>
      </c>
      <c r="AE2961">
        <v>-0.56880000000000996</v>
      </c>
      <c r="AF2961">
        <v>5.25040457751101E-2</v>
      </c>
      <c r="AG2961">
        <v>-8.5747000000000004E-2</v>
      </c>
      <c r="AH2961">
        <v>0.55599917256296805</v>
      </c>
      <c r="AI2961">
        <v>98.728935714500594</v>
      </c>
      <c r="AJ2961">
        <v>84.605449097569405</v>
      </c>
      <c r="AK2961">
        <v>0.56501708179705501</v>
      </c>
      <c r="AL2961">
        <v>96.278890922310893</v>
      </c>
      <c r="AM2961">
        <v>91.9174428327009</v>
      </c>
      <c r="AN2961">
        <v>0.99999994818845495</v>
      </c>
    </row>
    <row r="2962" spans="1:40" x14ac:dyDescent="0.25">
      <c r="A2962" t="str">
        <f>"20190303154825562"</f>
        <v>20190303154825562</v>
      </c>
      <c r="B2962" t="str">
        <f>"1551599305554056"</f>
        <v>1551599305554056</v>
      </c>
      <c r="C2962" t="s">
        <v>40</v>
      </c>
      <c r="D2962">
        <v>6.0336480000000003</v>
      </c>
      <c r="E2962">
        <v>0.53931530000000005</v>
      </c>
      <c r="F2962" t="s">
        <v>42</v>
      </c>
      <c r="G2962">
        <v>-490.06060000000002</v>
      </c>
      <c r="H2962">
        <v>1.0174989999999999</v>
      </c>
      <c r="I2962">
        <v>243.3732</v>
      </c>
      <c r="J2962">
        <v>-490.00220000000002</v>
      </c>
      <c r="K2962">
        <v>1.1163069999999999</v>
      </c>
      <c r="L2962">
        <v>244.0573</v>
      </c>
      <c r="M2962">
        <v>3.0456289999999998E-3</v>
      </c>
      <c r="N2962">
        <v>-9.5965990000000008E-3</v>
      </c>
      <c r="O2962">
        <v>-0.99994950000000005</v>
      </c>
      <c r="P2962">
        <v>3.7212719999999998E-2</v>
      </c>
      <c r="Q2962">
        <v>-0.1180614</v>
      </c>
      <c r="R2962">
        <v>-0.99230910000000005</v>
      </c>
      <c r="S2962">
        <v>-0.20245360000000001</v>
      </c>
      <c r="T2962">
        <v>-0.3398215</v>
      </c>
      <c r="U2962">
        <v>-2.9904630000000001</v>
      </c>
      <c r="V2962">
        <v>-3.5123790000000002E-2</v>
      </c>
      <c r="W2962">
        <v>-0.1082336</v>
      </c>
      <c r="X2962">
        <v>0.99350479999999997</v>
      </c>
      <c r="Y2962">
        <v>7.01822E-2</v>
      </c>
      <c r="Z2962">
        <v>0.1030997</v>
      </c>
      <c r="AA2962">
        <v>0.99219199999999996</v>
      </c>
      <c r="AB2962">
        <v>34</v>
      </c>
      <c r="AC2962">
        <v>-5.8400000000005899E-2</v>
      </c>
      <c r="AD2962">
        <v>-9.8808000000000007E-2</v>
      </c>
      <c r="AE2962">
        <v>-0.68410000000000004</v>
      </c>
      <c r="AF2962">
        <v>5.9256113060918499E-2</v>
      </c>
      <c r="AG2962">
        <v>-9.8808000000000007E-2</v>
      </c>
      <c r="AH2962">
        <v>0.67004201840736299</v>
      </c>
      <c r="AI2962">
        <v>98.356534216504897</v>
      </c>
      <c r="AJ2962">
        <v>84.946114856693498</v>
      </c>
      <c r="AK2962">
        <v>0.67987544023188695</v>
      </c>
      <c r="AL2962">
        <v>96.213500406406894</v>
      </c>
      <c r="AM2962">
        <v>92.024758338479103</v>
      </c>
      <c r="AN2962">
        <v>0.99999999020798203</v>
      </c>
    </row>
    <row r="2963" spans="1:40" x14ac:dyDescent="0.25">
      <c r="A2963" t="str">
        <f>"20190303154825573"</f>
        <v>20190303154825573</v>
      </c>
      <c r="B2963" t="str">
        <f>"1551599305563816"</f>
        <v>1551599305563816</v>
      </c>
      <c r="C2963" t="s">
        <v>40</v>
      </c>
      <c r="D2963">
        <v>6.010554</v>
      </c>
      <c r="E2963">
        <v>0.53916949999999997</v>
      </c>
      <c r="F2963" t="s">
        <v>42</v>
      </c>
      <c r="G2963">
        <v>-490.0686</v>
      </c>
      <c r="H2963">
        <v>1.005503</v>
      </c>
      <c r="I2963">
        <v>243.07249999999999</v>
      </c>
      <c r="J2963">
        <v>-490.00330000000002</v>
      </c>
      <c r="K2963">
        <v>1.1163510000000001</v>
      </c>
      <c r="L2963">
        <v>243.89080000000001</v>
      </c>
      <c r="M2963">
        <v>1.2475940000000001E-3</v>
      </c>
      <c r="N2963">
        <v>-9.6297780000000003E-3</v>
      </c>
      <c r="O2963">
        <v>-0.99995290000000003</v>
      </c>
      <c r="P2963">
        <v>3.7117749999999998E-2</v>
      </c>
      <c r="Q2963">
        <v>-0.11663469999999999</v>
      </c>
      <c r="R2963">
        <v>-0.9924811</v>
      </c>
      <c r="S2963">
        <v>-0.20147709999999999</v>
      </c>
      <c r="T2963">
        <v>-0.33648869999999997</v>
      </c>
      <c r="U2963">
        <v>-2.9907840000000001</v>
      </c>
      <c r="V2963">
        <v>-3.6793409999999999E-2</v>
      </c>
      <c r="W2963">
        <v>-0.10676099999999999</v>
      </c>
      <c r="X2963">
        <v>0.99360369999999998</v>
      </c>
      <c r="Y2963">
        <v>6.8068020000000007E-2</v>
      </c>
      <c r="Z2963">
        <v>0.10197349999999999</v>
      </c>
      <c r="AA2963">
        <v>0.99245559999999999</v>
      </c>
      <c r="AB2963">
        <v>34</v>
      </c>
      <c r="AC2963">
        <v>-6.5299999999979194E-2</v>
      </c>
      <c r="AD2963">
        <v>-0.110848</v>
      </c>
      <c r="AE2963">
        <v>-0.81830000000002101</v>
      </c>
      <c r="AF2963">
        <v>6.5133284578823503E-2</v>
      </c>
      <c r="AG2963">
        <v>-0.110848</v>
      </c>
      <c r="AH2963">
        <v>0.80356594453018004</v>
      </c>
      <c r="AI2963">
        <v>97.828749953254402</v>
      </c>
      <c r="AJ2963">
        <v>85.366003659556696</v>
      </c>
      <c r="AK2963">
        <v>0.81378612120919502</v>
      </c>
      <c r="AL2963">
        <v>96.128634873820104</v>
      </c>
      <c r="AM2963">
        <v>92.120709015918194</v>
      </c>
      <c r="AN2963">
        <v>0.99999998939705803</v>
      </c>
    </row>
    <row r="2964" spans="1:40" x14ac:dyDescent="0.25">
      <c r="A2964" t="str">
        <f>"20190303154825592"</f>
        <v>20190303154825592</v>
      </c>
      <c r="B2964" t="str">
        <f>"1551599305583336"</f>
        <v>1551599305583336</v>
      </c>
      <c r="C2964" t="s">
        <v>40</v>
      </c>
      <c r="D2964">
        <v>6.0984559999999997</v>
      </c>
      <c r="E2964">
        <v>0.53883919999999996</v>
      </c>
      <c r="F2964" t="s">
        <v>42</v>
      </c>
      <c r="G2964">
        <v>-490.05880000000002</v>
      </c>
      <c r="H2964">
        <v>1.0243910000000001</v>
      </c>
      <c r="I2964">
        <v>243.06319999999999</v>
      </c>
      <c r="J2964">
        <v>-490.00580000000002</v>
      </c>
      <c r="K2964">
        <v>1.1164369999999999</v>
      </c>
      <c r="L2964">
        <v>243.60509999999999</v>
      </c>
      <c r="M2964">
        <v>-1.7926999999999999E-3</v>
      </c>
      <c r="N2964">
        <v>-9.6862690000000008E-3</v>
      </c>
      <c r="O2964">
        <v>-0.9999517</v>
      </c>
      <c r="P2964">
        <v>3.6945939999999997E-2</v>
      </c>
      <c r="Q2964">
        <v>-0.1147258</v>
      </c>
      <c r="R2964">
        <v>-0.99271030000000005</v>
      </c>
      <c r="S2964">
        <v>-0.2005005</v>
      </c>
      <c r="T2964">
        <v>-0.33236399999999999</v>
      </c>
      <c r="U2964">
        <v>-2.9911650000000001</v>
      </c>
      <c r="V2964">
        <v>-3.9608379999999999E-2</v>
      </c>
      <c r="W2964">
        <v>-0.1047758</v>
      </c>
      <c r="X2964">
        <v>0.9937068</v>
      </c>
      <c r="Y2964">
        <v>6.4715049999999996E-2</v>
      </c>
      <c r="Z2964">
        <v>0.10056569999999999</v>
      </c>
      <c r="AA2964">
        <v>0.99282349999999997</v>
      </c>
      <c r="AB2964">
        <v>34</v>
      </c>
      <c r="AC2964">
        <v>-5.2999999999997202E-2</v>
      </c>
      <c r="AD2964">
        <v>-9.2046000000000003E-2</v>
      </c>
      <c r="AE2964">
        <v>-0.54189999999999805</v>
      </c>
      <c r="AF2964">
        <v>5.0582832015067802E-2</v>
      </c>
      <c r="AG2964">
        <v>-9.2046000000000003E-2</v>
      </c>
      <c r="AH2964">
        <v>0.52693521353717698</v>
      </c>
      <c r="AI2964">
        <v>99.864108077516207</v>
      </c>
      <c r="AJ2964">
        <v>84.516727228578802</v>
      </c>
      <c r="AK2964">
        <v>0.53730048229657801</v>
      </c>
      <c r="AL2964">
        <v>96.014249607902599</v>
      </c>
      <c r="AM2964">
        <v>92.282556900345298</v>
      </c>
      <c r="AN2964">
        <v>0.99999999819905205</v>
      </c>
    </row>
    <row r="2965" spans="1:40" x14ac:dyDescent="0.25">
      <c r="A2965" t="str">
        <f>"20190303154825606"</f>
        <v>20190303154825606</v>
      </c>
      <c r="B2965" t="str">
        <f>"1551599305603832"</f>
        <v>1551599305603832</v>
      </c>
      <c r="C2965" t="s">
        <v>40</v>
      </c>
      <c r="D2965">
        <v>5.9535869999999997</v>
      </c>
      <c r="E2965">
        <v>0.53858619999999902</v>
      </c>
      <c r="F2965" t="s">
        <v>42</v>
      </c>
      <c r="G2965">
        <v>-490.06229999999999</v>
      </c>
      <c r="H2965">
        <v>1.0237339999999999</v>
      </c>
      <c r="I2965">
        <v>242.7567</v>
      </c>
      <c r="J2965">
        <v>-490.00810000000001</v>
      </c>
      <c r="K2965">
        <v>1.116498</v>
      </c>
      <c r="L2965">
        <v>243.39009999999999</v>
      </c>
      <c r="M2965">
        <v>-4.0377959999999997E-3</v>
      </c>
      <c r="N2965">
        <v>-9.7288389999999995E-3</v>
      </c>
      <c r="O2965">
        <v>-0.99994470000000002</v>
      </c>
      <c r="P2965">
        <v>3.651807E-2</v>
      </c>
      <c r="Q2965">
        <v>-0.1140563</v>
      </c>
      <c r="R2965">
        <v>-0.9928032</v>
      </c>
      <c r="S2965">
        <v>-0.19824220000000001</v>
      </c>
      <c r="T2965">
        <v>-0.32676919999999998</v>
      </c>
      <c r="U2965">
        <v>-2.9916529999999999</v>
      </c>
      <c r="V2965">
        <v>-4.139263E-2</v>
      </c>
      <c r="W2965">
        <v>-0.1040532</v>
      </c>
      <c r="X2965">
        <v>0.99370999999999998</v>
      </c>
      <c r="Y2965">
        <v>6.1731960000000002E-2</v>
      </c>
      <c r="Z2965">
        <v>9.8683690000000004E-2</v>
      </c>
      <c r="AA2965">
        <v>0.99320229999999998</v>
      </c>
      <c r="AB2965">
        <v>34</v>
      </c>
      <c r="AC2965">
        <v>-5.4199999999980202E-2</v>
      </c>
      <c r="AD2965">
        <v>-9.2763999999999999E-2</v>
      </c>
      <c r="AE2965">
        <v>-0.63339999999999397</v>
      </c>
      <c r="AF2965">
        <v>5.0565218425796199E-2</v>
      </c>
      <c r="AG2965">
        <v>-9.2763999999999999E-2</v>
      </c>
      <c r="AH2965">
        <v>0.62040351734971899</v>
      </c>
      <c r="AI2965">
        <v>98.476284795706206</v>
      </c>
      <c r="AJ2965">
        <v>85.340477934033302</v>
      </c>
      <c r="AK2965">
        <v>0.62933498659327003</v>
      </c>
      <c r="AL2965">
        <v>95.972620166416306</v>
      </c>
      <c r="AM2965">
        <v>92.385256013830798</v>
      </c>
      <c r="AN2965">
        <v>0.99999999117427796</v>
      </c>
    </row>
    <row r="2966" spans="1:40" x14ac:dyDescent="0.25">
      <c r="A2966" t="str">
        <f>"20190303154825620"</f>
        <v>20190303154825620</v>
      </c>
      <c r="B2966" t="str">
        <f>"1551599305613592"</f>
        <v>1551599305613592</v>
      </c>
      <c r="C2966" t="s">
        <v>40</v>
      </c>
      <c r="D2966">
        <v>5.9653419999999997</v>
      </c>
      <c r="E2966">
        <v>0.5384352</v>
      </c>
      <c r="F2966" t="s">
        <v>42</v>
      </c>
      <c r="G2966">
        <v>-490.0702</v>
      </c>
      <c r="H2966">
        <v>1.0148900000000001</v>
      </c>
      <c r="I2966">
        <v>242.45400000000001</v>
      </c>
      <c r="J2966">
        <v>-490.01080000000002</v>
      </c>
      <c r="K2966">
        <v>1.1165590000000001</v>
      </c>
      <c r="L2966">
        <v>243.1763</v>
      </c>
      <c r="M2966">
        <v>-6.2343859999999997E-3</v>
      </c>
      <c r="N2966">
        <v>-9.7715809999999997E-3</v>
      </c>
      <c r="O2966">
        <v>-0.99993270000000001</v>
      </c>
      <c r="P2966">
        <v>3.5594859999999999E-2</v>
      </c>
      <c r="Q2966">
        <v>-0.1132282</v>
      </c>
      <c r="R2966">
        <v>-0.99293140000000002</v>
      </c>
      <c r="S2966">
        <v>-0.1975403</v>
      </c>
      <c r="T2966">
        <v>-0.32467790000000002</v>
      </c>
      <c r="U2966">
        <v>-2.991714</v>
      </c>
      <c r="V2966">
        <v>-4.2631809999999999E-2</v>
      </c>
      <c r="W2966">
        <v>-0.1031767</v>
      </c>
      <c r="X2966">
        <v>0.99374899999999999</v>
      </c>
      <c r="Y2966">
        <v>5.93121E-2</v>
      </c>
      <c r="Z2966">
        <v>9.7960519999999995E-2</v>
      </c>
      <c r="AA2966">
        <v>0.99342129999999995</v>
      </c>
      <c r="AB2966">
        <v>34</v>
      </c>
      <c r="AC2966">
        <v>-5.93999999999823E-2</v>
      </c>
      <c r="AD2966">
        <v>-0.101669</v>
      </c>
      <c r="AE2966">
        <v>-0.72229999999998995</v>
      </c>
      <c r="AF2966">
        <v>5.38360647032173E-2</v>
      </c>
      <c r="AG2966">
        <v>-0.101669</v>
      </c>
      <c r="AH2966">
        <v>0.70870923966090904</v>
      </c>
      <c r="AI2966">
        <v>98.140619476464295</v>
      </c>
      <c r="AJ2966">
        <v>85.655952495442804</v>
      </c>
      <c r="AK2966">
        <v>0.71798585905606305</v>
      </c>
      <c r="AL2966">
        <v>95.922128656146697</v>
      </c>
      <c r="AM2966">
        <v>92.456481429684004</v>
      </c>
      <c r="AN2966">
        <v>0.99999998882388297</v>
      </c>
    </row>
    <row r="2967" spans="1:40" x14ac:dyDescent="0.25">
      <c r="A2967" t="str">
        <f>"20190303154825638"</f>
        <v>20190303154825638</v>
      </c>
      <c r="B2967" t="str">
        <f>"1551599305634088"</f>
        <v>1551599305634088</v>
      </c>
      <c r="C2967" t="s">
        <v>40</v>
      </c>
      <c r="D2967">
        <v>5.9394090000000004</v>
      </c>
      <c r="E2967">
        <v>0.53816229999999998</v>
      </c>
      <c r="F2967" t="s">
        <v>42</v>
      </c>
      <c r="G2967">
        <v>-490.05990000000003</v>
      </c>
      <c r="H2967">
        <v>1.0375430000000001</v>
      </c>
      <c r="I2967">
        <v>242.4427</v>
      </c>
      <c r="J2967">
        <v>-490.01530000000002</v>
      </c>
      <c r="K2967">
        <v>1.1166510000000001</v>
      </c>
      <c r="L2967">
        <v>242.8922</v>
      </c>
      <c r="M2967">
        <v>-9.0782239999999993E-3</v>
      </c>
      <c r="N2967">
        <v>-9.8311300000000004E-3</v>
      </c>
      <c r="O2967">
        <v>-0.99991059999999998</v>
      </c>
      <c r="P2967">
        <v>3.5450540000000003E-2</v>
      </c>
      <c r="Q2967">
        <v>-0.1118736</v>
      </c>
      <c r="R2967">
        <v>-0.99309009999999998</v>
      </c>
      <c r="S2967">
        <v>-0.19940189999999999</v>
      </c>
      <c r="T2967">
        <v>-0.32217560000000001</v>
      </c>
      <c r="U2967">
        <v>-2.9917760000000002</v>
      </c>
      <c r="V2967">
        <v>-4.5284369999999997E-2</v>
      </c>
      <c r="W2967">
        <v>-0.1017479</v>
      </c>
      <c r="X2967">
        <v>0.99377899999999997</v>
      </c>
      <c r="Y2967">
        <v>5.7094079999999998E-2</v>
      </c>
      <c r="Z2967">
        <v>9.7080130000000001E-2</v>
      </c>
      <c r="AA2967">
        <v>0.99363760000000001</v>
      </c>
      <c r="AB2967">
        <v>34</v>
      </c>
      <c r="AC2967">
        <v>-4.4600000000002603E-2</v>
      </c>
      <c r="AD2967">
        <v>-7.9107999999999901E-2</v>
      </c>
      <c r="AE2967">
        <v>-0.44950000000000001</v>
      </c>
      <c r="AF2967">
        <v>3.9311581382667299E-2</v>
      </c>
      <c r="AG2967">
        <v>-7.9107999999999901E-2</v>
      </c>
      <c r="AH2967">
        <v>0.43649857238120199</v>
      </c>
      <c r="AI2967">
        <v>100.231862888246</v>
      </c>
      <c r="AJ2967">
        <v>84.853757634416795</v>
      </c>
      <c r="AK2967">
        <v>0.44534759434135701</v>
      </c>
      <c r="AL2967">
        <v>95.839831202741294</v>
      </c>
      <c r="AM2967">
        <v>92.609040517745896</v>
      </c>
      <c r="AN2967">
        <v>1.00000000508085</v>
      </c>
    </row>
    <row r="2968" spans="1:40" x14ac:dyDescent="0.25">
      <c r="A2968" t="str">
        <f>"20190303154825664"</f>
        <v>20190303154825664</v>
      </c>
      <c r="B2968" t="str">
        <f>"1551599305653608"</f>
        <v>1551599305653608</v>
      </c>
      <c r="C2968" t="s">
        <v>40</v>
      </c>
      <c r="D2968">
        <v>5.9523840000000003</v>
      </c>
      <c r="E2968">
        <v>0.53790360000000004</v>
      </c>
      <c r="F2968" t="s">
        <v>42</v>
      </c>
      <c r="G2968">
        <v>-490.06549999999999</v>
      </c>
      <c r="H2968">
        <v>1.0363230000000001</v>
      </c>
      <c r="I2968">
        <v>242.136</v>
      </c>
      <c r="J2968">
        <v>-490.02190000000002</v>
      </c>
      <c r="K2968">
        <v>1.11677</v>
      </c>
      <c r="L2968">
        <v>242.5342</v>
      </c>
      <c r="M2968">
        <v>-1.2555480000000001E-2</v>
      </c>
      <c r="N2968">
        <v>-9.9105559999999992E-3</v>
      </c>
      <c r="O2968">
        <v>-0.99987199999999998</v>
      </c>
      <c r="P2968">
        <v>3.4430389999999998E-2</v>
      </c>
      <c r="Q2968">
        <v>-0.1100337</v>
      </c>
      <c r="R2968">
        <v>-0.99333150000000003</v>
      </c>
      <c r="S2968">
        <v>-0.19735720000000001</v>
      </c>
      <c r="T2968">
        <v>-0.31773980000000002</v>
      </c>
      <c r="U2968">
        <v>-2.9921259999999998</v>
      </c>
      <c r="V2968">
        <v>-4.7682389999999998E-2</v>
      </c>
      <c r="W2968">
        <v>-9.9818859999999995E-2</v>
      </c>
      <c r="X2968">
        <v>0.99386249999999998</v>
      </c>
      <c r="Y2968">
        <v>5.2950219999999999E-2</v>
      </c>
      <c r="Z2968">
        <v>9.5542260000000004E-2</v>
      </c>
      <c r="AA2968">
        <v>0.99401609999999996</v>
      </c>
      <c r="AB2968">
        <v>34</v>
      </c>
      <c r="AC2968">
        <v>-4.3599999999969399E-2</v>
      </c>
      <c r="AD2968">
        <v>-8.0447000000000102E-2</v>
      </c>
      <c r="AE2968">
        <v>-0.398200000000002</v>
      </c>
      <c r="AF2968">
        <v>3.7100419152463503E-2</v>
      </c>
      <c r="AG2968">
        <v>-8.0447000000000102E-2</v>
      </c>
      <c r="AH2968">
        <v>0.38325875538063597</v>
      </c>
      <c r="AI2968">
        <v>101.80082786663399</v>
      </c>
      <c r="AJ2968">
        <v>84.470851063294006</v>
      </c>
      <c r="AK2968">
        <v>0.39336425166276001</v>
      </c>
      <c r="AL2968">
        <v>95.728739488367495</v>
      </c>
      <c r="AM2968">
        <v>92.746764710470003</v>
      </c>
      <c r="AN2968">
        <v>1.0000000420170301</v>
      </c>
    </row>
    <row r="2969" spans="1:40" x14ac:dyDescent="0.25">
      <c r="A2969" t="str">
        <f>"20190303154825682"</f>
        <v>20190303154825682</v>
      </c>
      <c r="B2969" t="str">
        <f>"1551599305674104"</f>
        <v>1551599305674104</v>
      </c>
      <c r="C2969" t="s">
        <v>40</v>
      </c>
      <c r="D2969">
        <v>5.8746739999999997</v>
      </c>
      <c r="E2969">
        <v>0.53778130000000002</v>
      </c>
      <c r="F2969" t="s">
        <v>42</v>
      </c>
      <c r="G2969">
        <v>-490.08859999999999</v>
      </c>
      <c r="H2969">
        <v>1.0122230000000001</v>
      </c>
      <c r="I2969">
        <v>241.53280000000001</v>
      </c>
      <c r="J2969">
        <v>-490.02870000000001</v>
      </c>
      <c r="K2969">
        <v>1.1168800000000001</v>
      </c>
      <c r="L2969">
        <v>242.21600000000001</v>
      </c>
      <c r="M2969">
        <v>-1.5540440000000001E-2</v>
      </c>
      <c r="N2969">
        <v>-9.9849640000000007E-3</v>
      </c>
      <c r="O2969">
        <v>-0.99982939999999998</v>
      </c>
      <c r="P2969">
        <v>3.3612330000000003E-2</v>
      </c>
      <c r="Q2969">
        <v>-0.107752</v>
      </c>
      <c r="R2969">
        <v>-0.99360970000000004</v>
      </c>
      <c r="S2969">
        <v>-0.1984253</v>
      </c>
      <c r="T2969">
        <v>-0.31229639999999997</v>
      </c>
      <c r="U2969">
        <v>-2.9923860000000002</v>
      </c>
      <c r="V2969">
        <v>-4.9795319999999997E-2</v>
      </c>
      <c r="W2969">
        <v>-9.7454990000000005E-2</v>
      </c>
      <c r="X2969">
        <v>0.99399349999999997</v>
      </c>
      <c r="Y2969">
        <v>5.032996E-2</v>
      </c>
      <c r="Z2969">
        <v>9.3671809999999994E-2</v>
      </c>
      <c r="AA2969">
        <v>0.99433020000000005</v>
      </c>
      <c r="AB2969">
        <v>34</v>
      </c>
      <c r="AC2969">
        <v>-5.9899999999970498E-2</v>
      </c>
      <c r="AD2969">
        <v>-0.104657</v>
      </c>
      <c r="AE2969">
        <v>-0.68319999999997005</v>
      </c>
      <c r="AF2969">
        <v>4.8153649747473999E-2</v>
      </c>
      <c r="AG2969">
        <v>-0.104657</v>
      </c>
      <c r="AH2969">
        <v>0.66848142166634095</v>
      </c>
      <c r="AI2969">
        <v>98.875329433741499</v>
      </c>
      <c r="AJ2969">
        <v>85.879850204850001</v>
      </c>
      <c r="AK2969">
        <v>0.67833566377277699</v>
      </c>
      <c r="AL2969">
        <v>95.592635856087497</v>
      </c>
      <c r="AM2969">
        <v>92.867904620834807</v>
      </c>
      <c r="AN2969">
        <v>1.00000006350602</v>
      </c>
    </row>
    <row r="2970" spans="1:40" x14ac:dyDescent="0.25">
      <c r="A2970" t="str">
        <f>"20190303154825703"</f>
        <v>20190303154825703</v>
      </c>
      <c r="B2970" t="str">
        <f>"1551599305693625"</f>
        <v>1551599305693625</v>
      </c>
      <c r="C2970" t="s">
        <v>40</v>
      </c>
      <c r="D2970">
        <v>5.8005870000000002</v>
      </c>
      <c r="E2970">
        <v>0.53780939999999999</v>
      </c>
      <c r="F2970" t="s">
        <v>42</v>
      </c>
      <c r="G2970">
        <v>-490.09530000000001</v>
      </c>
      <c r="H2970">
        <v>1.0156590000000001</v>
      </c>
      <c r="I2970">
        <v>241.22319999999999</v>
      </c>
      <c r="J2970">
        <v>-490.03640000000001</v>
      </c>
      <c r="K2970">
        <v>1.1169800000000001</v>
      </c>
      <c r="L2970">
        <v>241.89789999999999</v>
      </c>
      <c r="M2970">
        <v>-1.8444240000000001E-2</v>
      </c>
      <c r="N2970">
        <v>-1.0059429999999999E-2</v>
      </c>
      <c r="O2970">
        <v>-0.99977930000000004</v>
      </c>
      <c r="P2970">
        <v>3.2564460000000003E-2</v>
      </c>
      <c r="Q2970">
        <v>-0.1069668</v>
      </c>
      <c r="R2970">
        <v>-0.99372910000000003</v>
      </c>
      <c r="S2970">
        <v>-0.20004269999999999</v>
      </c>
      <c r="T2970">
        <v>-0.3051258</v>
      </c>
      <c r="U2970">
        <v>-2.9929809999999999</v>
      </c>
      <c r="V2970">
        <v>-5.1608279999999999E-2</v>
      </c>
      <c r="W2970">
        <v>-9.6591410000000003E-2</v>
      </c>
      <c r="X2970">
        <v>0.99398520000000001</v>
      </c>
      <c r="Y2970">
        <v>4.7967969999999999E-2</v>
      </c>
      <c r="Z2970">
        <v>9.1219010000000003E-2</v>
      </c>
      <c r="AA2970">
        <v>0.99467490000000003</v>
      </c>
      <c r="AB2970">
        <v>34</v>
      </c>
      <c r="AC2970">
        <v>-5.8899999999994103E-2</v>
      </c>
      <c r="AD2970">
        <v>-0.101320999999999</v>
      </c>
      <c r="AE2970">
        <v>-0.67470000000000097</v>
      </c>
      <c r="AF2970">
        <v>4.5428288825887203E-2</v>
      </c>
      <c r="AG2970">
        <v>-0.101320999999999</v>
      </c>
      <c r="AH2970">
        <v>0.66088044248505995</v>
      </c>
      <c r="AI2970">
        <v>98.696065287022407</v>
      </c>
      <c r="AJ2970">
        <v>86.067728593063606</v>
      </c>
      <c r="AK2970">
        <v>0.67014374109283203</v>
      </c>
      <c r="AL2970">
        <v>95.542922474507606</v>
      </c>
      <c r="AM2970">
        <v>92.972160824419106</v>
      </c>
      <c r="AN2970">
        <v>0.99999994643469103</v>
      </c>
    </row>
    <row r="2971" spans="1:40" x14ac:dyDescent="0.25">
      <c r="A2971" t="str">
        <f>"20190303154825716"</f>
        <v>20190303154825716</v>
      </c>
      <c r="B2971" t="str">
        <f>"1551599305713144"</f>
        <v>1551599305713144</v>
      </c>
      <c r="C2971" t="s">
        <v>40</v>
      </c>
      <c r="D2971">
        <v>5.7244809999999999</v>
      </c>
      <c r="E2971">
        <v>0.53792479999999998</v>
      </c>
      <c r="F2971" t="s">
        <v>42</v>
      </c>
      <c r="G2971">
        <v>-490.10390000000001</v>
      </c>
      <c r="H2971">
        <v>1.0176320000000001</v>
      </c>
      <c r="I2971">
        <v>240.91419999999999</v>
      </c>
      <c r="J2971">
        <v>-490.04169999999999</v>
      </c>
      <c r="K2971">
        <v>1.1170370000000001</v>
      </c>
      <c r="L2971">
        <v>241.6985</v>
      </c>
      <c r="M2971">
        <v>-2.0218159999999999E-2</v>
      </c>
      <c r="N2971">
        <v>-1.0108549999999999E-2</v>
      </c>
      <c r="O2971">
        <v>-0.99974450000000004</v>
      </c>
      <c r="P2971">
        <v>3.1644819999999997E-2</v>
      </c>
      <c r="Q2971">
        <v>-0.10697760000000001</v>
      </c>
      <c r="R2971">
        <v>-0.99375780000000002</v>
      </c>
      <c r="S2971">
        <v>-0.2033691</v>
      </c>
      <c r="T2971">
        <v>-0.30218159999999999</v>
      </c>
      <c r="U2971">
        <v>-2.9930729999999999</v>
      </c>
      <c r="V2971">
        <v>-5.2440269999999997E-2</v>
      </c>
      <c r="W2971">
        <v>-9.6553620000000007E-2</v>
      </c>
      <c r="X2971">
        <v>0.99394539999999998</v>
      </c>
      <c r="Y2971">
        <v>4.7300910000000002E-2</v>
      </c>
      <c r="Z2971">
        <v>9.0192750000000002E-2</v>
      </c>
      <c r="AA2971">
        <v>0.99480040000000003</v>
      </c>
      <c r="AB2971">
        <v>34</v>
      </c>
      <c r="AC2971">
        <v>-6.22000000000184E-2</v>
      </c>
      <c r="AD2971">
        <v>-9.9405000000000202E-2</v>
      </c>
      <c r="AE2971">
        <v>-0.784300000000001</v>
      </c>
      <c r="AF2971">
        <v>4.5601411829606003E-2</v>
      </c>
      <c r="AG2971">
        <v>-9.9405000000000202E-2</v>
      </c>
      <c r="AH2971">
        <v>0.77305658395917698</v>
      </c>
      <c r="AI2971">
        <v>97.314705215767304</v>
      </c>
      <c r="AJ2971">
        <v>86.624122596684899</v>
      </c>
      <c r="AK2971">
        <v>0.78075433062422706</v>
      </c>
      <c r="AL2971">
        <v>95.540746685648998</v>
      </c>
      <c r="AM2971">
        <v>93.020108482501101</v>
      </c>
      <c r="AN2971">
        <v>1.0000000208169599</v>
      </c>
    </row>
    <row r="2972" spans="1:40" x14ac:dyDescent="0.25">
      <c r="A2972" t="str">
        <f>"20190303154825728"</f>
        <v>20190303154825728</v>
      </c>
      <c r="B2972" t="str">
        <f>"1551599305723880"</f>
        <v>1551599305723880</v>
      </c>
      <c r="C2972" t="s">
        <v>40</v>
      </c>
      <c r="D2972">
        <v>5.7840870000000004</v>
      </c>
      <c r="E2972">
        <v>0.53796089999999996</v>
      </c>
      <c r="F2972" t="s">
        <v>42</v>
      </c>
      <c r="G2972">
        <v>-490.09730000000002</v>
      </c>
      <c r="H2972">
        <v>1.0370839999999999</v>
      </c>
      <c r="I2972">
        <v>240.90450000000001</v>
      </c>
      <c r="J2972">
        <v>-490.04689999999999</v>
      </c>
      <c r="K2972">
        <v>1.1170910000000001</v>
      </c>
      <c r="L2972">
        <v>241.51349999999999</v>
      </c>
      <c r="M2972">
        <v>-2.182777E-2</v>
      </c>
      <c r="N2972">
        <v>-1.015917E-2</v>
      </c>
      <c r="O2972">
        <v>-0.99971010000000005</v>
      </c>
      <c r="P2972">
        <v>3.0762649999999999E-2</v>
      </c>
      <c r="Q2972">
        <v>-0.1074451</v>
      </c>
      <c r="R2972">
        <v>-0.99373500000000003</v>
      </c>
      <c r="S2972">
        <v>-0.20709230000000001</v>
      </c>
      <c r="T2972">
        <v>-0.30122389999999999</v>
      </c>
      <c r="U2972">
        <v>-2.9930110000000001</v>
      </c>
      <c r="V2972">
        <v>-5.3148540000000001E-2</v>
      </c>
      <c r="W2972">
        <v>-9.6972260000000005E-2</v>
      </c>
      <c r="X2972">
        <v>0.99386699999999994</v>
      </c>
      <c r="Y2972">
        <v>4.692818E-2</v>
      </c>
      <c r="Z2972">
        <v>8.9821819999999997E-2</v>
      </c>
      <c r="AA2972">
        <v>0.99485159999999995</v>
      </c>
      <c r="AB2972">
        <v>34</v>
      </c>
      <c r="AC2972">
        <v>-5.0400000000024599E-2</v>
      </c>
      <c r="AD2972">
        <v>-8.0006999999999898E-2</v>
      </c>
      <c r="AE2972">
        <v>-0.60899999999998</v>
      </c>
      <c r="AF2972">
        <v>3.6469046415344403E-2</v>
      </c>
      <c r="AG2972">
        <v>-8.0006999999999898E-2</v>
      </c>
      <c r="AH2972">
        <v>0.59967553182806199</v>
      </c>
      <c r="AI2972">
        <v>97.585511114860907</v>
      </c>
      <c r="AJ2972">
        <v>86.519864399836493</v>
      </c>
      <c r="AK2972">
        <v>0.606087332707683</v>
      </c>
      <c r="AL2972">
        <v>95.564846193546103</v>
      </c>
      <c r="AM2972">
        <v>93.061062685729098</v>
      </c>
      <c r="AN2972">
        <v>1.0000000001013101</v>
      </c>
    </row>
    <row r="2973" spans="1:40" x14ac:dyDescent="0.25">
      <c r="A2973" t="str">
        <f>"20190303154825740"</f>
        <v>20190303154825740</v>
      </c>
      <c r="B2973" t="str">
        <f>"1551599305733641"</f>
        <v>1551599305733641</v>
      </c>
      <c r="C2973" t="s">
        <v>40</v>
      </c>
      <c r="D2973">
        <v>5.7074230000000004</v>
      </c>
      <c r="E2973">
        <v>0.53806549999999997</v>
      </c>
      <c r="F2973" t="s">
        <v>42</v>
      </c>
      <c r="G2973">
        <v>-490.1112</v>
      </c>
      <c r="H2973">
        <v>1.025023</v>
      </c>
      <c r="I2973">
        <v>240.60239999999999</v>
      </c>
      <c r="J2973">
        <v>-490.05259999999998</v>
      </c>
      <c r="K2973">
        <v>1.117151</v>
      </c>
      <c r="L2973">
        <v>241.3177</v>
      </c>
      <c r="M2973">
        <v>-2.3506820000000001E-2</v>
      </c>
      <c r="N2973">
        <v>-1.02164E-2</v>
      </c>
      <c r="O2973">
        <v>-0.99967169999999905</v>
      </c>
      <c r="P2973">
        <v>2.971159E-2</v>
      </c>
      <c r="Q2973">
        <v>-0.1079348</v>
      </c>
      <c r="R2973">
        <v>-0.99371410000000004</v>
      </c>
      <c r="S2973">
        <v>-0.21011350000000001</v>
      </c>
      <c r="T2973">
        <v>-0.30237129999999901</v>
      </c>
      <c r="U2973">
        <v>-2.9927220000000001</v>
      </c>
      <c r="V2973">
        <v>-5.3756150000000003E-2</v>
      </c>
      <c r="W2973">
        <v>-9.7407919999999995E-2</v>
      </c>
      <c r="X2973">
        <v>0.99379169999999994</v>
      </c>
      <c r="Y2973">
        <v>4.625464E-2</v>
      </c>
      <c r="Z2973">
        <v>9.0144749999999996E-2</v>
      </c>
      <c r="AA2973">
        <v>0.99485400000000002</v>
      </c>
      <c r="AB2973">
        <v>34</v>
      </c>
      <c r="AC2973">
        <v>-5.86000000000126E-2</v>
      </c>
      <c r="AD2973">
        <v>-9.2128000000000002E-2</v>
      </c>
      <c r="AE2973">
        <v>-0.71530000000001304</v>
      </c>
      <c r="AF2973">
        <v>4.1091403694394998E-2</v>
      </c>
      <c r="AG2973">
        <v>-9.2128000000000002E-2</v>
      </c>
      <c r="AH2973">
        <v>0.70486519959882399</v>
      </c>
      <c r="AI2973">
        <v>97.434038283695998</v>
      </c>
      <c r="AJ2973">
        <v>86.663614099480895</v>
      </c>
      <c r="AK2973">
        <v>0.712047064067444</v>
      </c>
      <c r="AL2973">
        <v>95.5899264928684</v>
      </c>
      <c r="AM2973">
        <v>93.096224101894293</v>
      </c>
      <c r="AN2973">
        <v>0.99999998476521901</v>
      </c>
    </row>
    <row r="2974" spans="1:40" x14ac:dyDescent="0.25">
      <c r="A2974" t="str">
        <f>"20190303154825753"</f>
        <v>20190303154825753</v>
      </c>
      <c r="B2974" t="str">
        <f>"1551599305743400"</f>
        <v>1551599305743400</v>
      </c>
      <c r="C2974" t="s">
        <v>40</v>
      </c>
      <c r="D2974">
        <v>5.751779</v>
      </c>
      <c r="E2974">
        <v>0.53816379999999997</v>
      </c>
      <c r="F2974" t="s">
        <v>42</v>
      </c>
      <c r="G2974">
        <v>-490.1259</v>
      </c>
      <c r="H2974">
        <v>1.0140769999999999</v>
      </c>
      <c r="I2974">
        <v>240.29990000000001</v>
      </c>
      <c r="J2974">
        <v>-490.05849999999998</v>
      </c>
      <c r="K2974">
        <v>1.117227</v>
      </c>
      <c r="L2974">
        <v>241.12989999999999</v>
      </c>
      <c r="M2974">
        <v>-2.5042200000000001E-2</v>
      </c>
      <c r="N2974">
        <v>-1.0294620000000001E-2</v>
      </c>
      <c r="O2974">
        <v>-0.99963369999999996</v>
      </c>
      <c r="P2974">
        <v>2.8548919999999998E-2</v>
      </c>
      <c r="Q2974">
        <v>-0.10848389999999999</v>
      </c>
      <c r="R2974">
        <v>-0.99368869999999998</v>
      </c>
      <c r="S2974">
        <v>-0.2136536</v>
      </c>
      <c r="T2974">
        <v>-0.30297059999999998</v>
      </c>
      <c r="U2974">
        <v>-2.9924770000000001</v>
      </c>
      <c r="V2974">
        <v>-5.410711E-2</v>
      </c>
      <c r="W2974">
        <v>-9.7885330000000007E-2</v>
      </c>
      <c r="X2974">
        <v>0.99372579999999999</v>
      </c>
      <c r="Y2974">
        <v>4.5896239999999998E-2</v>
      </c>
      <c r="Z2974">
        <v>9.0263819999999995E-2</v>
      </c>
      <c r="AA2974">
        <v>0.99485979999999996</v>
      </c>
      <c r="AB2974">
        <v>34</v>
      </c>
      <c r="AC2974">
        <v>-6.7400000000020499E-2</v>
      </c>
      <c r="AD2974">
        <v>-0.10314999999999901</v>
      </c>
      <c r="AE2974">
        <v>-0.82999999999998397</v>
      </c>
      <c r="AF2974">
        <v>4.5888641907911601E-2</v>
      </c>
      <c r="AG2974">
        <v>-0.10314999999999901</v>
      </c>
      <c r="AH2974">
        <v>0.81886328611708104</v>
      </c>
      <c r="AI2974">
        <v>97.168449716119795</v>
      </c>
      <c r="AJ2974">
        <v>86.792531259074593</v>
      </c>
      <c r="AK2974">
        <v>0.82660920107788405</v>
      </c>
      <c r="AL2974">
        <v>95.617411098929395</v>
      </c>
      <c r="AM2974">
        <v>93.116605091971806</v>
      </c>
      <c r="AN2974">
        <v>1.00000004138369</v>
      </c>
    </row>
    <row r="2975" spans="1:40" x14ac:dyDescent="0.25">
      <c r="A2975" t="str">
        <f>"20190303154825770"</f>
        <v>20190303154825770</v>
      </c>
      <c r="B2975" t="str">
        <f>"1551599305763896"</f>
        <v>1551599305763896</v>
      </c>
      <c r="C2975" t="s">
        <v>40</v>
      </c>
      <c r="D2975">
        <v>5.7285180000000002</v>
      </c>
      <c r="E2975">
        <v>0.53838989999999998</v>
      </c>
      <c r="F2975" t="s">
        <v>42</v>
      </c>
      <c r="G2975">
        <v>-490.12020000000001</v>
      </c>
      <c r="H2975">
        <v>1.0320339999999999</v>
      </c>
      <c r="I2975">
        <v>240.29089999999999</v>
      </c>
      <c r="J2975">
        <v>-490.06729999999999</v>
      </c>
      <c r="K2975">
        <v>1.1173470000000001</v>
      </c>
      <c r="L2975">
        <v>240.85720000000001</v>
      </c>
      <c r="M2975">
        <v>-2.7208799999999998E-2</v>
      </c>
      <c r="N2975">
        <v>-1.042619E-2</v>
      </c>
      <c r="O2975">
        <v>-0.99957560000000001</v>
      </c>
      <c r="P2975">
        <v>2.7511529999999999E-2</v>
      </c>
      <c r="Q2975">
        <v>-0.1083856</v>
      </c>
      <c r="R2975">
        <v>-0.99372830000000001</v>
      </c>
      <c r="S2975">
        <v>-0.21768190000000001</v>
      </c>
      <c r="T2975">
        <v>-0.30372890000000002</v>
      </c>
      <c r="U2975">
        <v>-2.9921259999999998</v>
      </c>
      <c r="V2975">
        <v>-5.5198619999999997E-2</v>
      </c>
      <c r="W2975">
        <v>-9.7661709999999999E-2</v>
      </c>
      <c r="X2975">
        <v>0.99368769999999995</v>
      </c>
      <c r="Y2975">
        <v>4.507104E-2</v>
      </c>
      <c r="Z2975">
        <v>9.0383340000000006E-2</v>
      </c>
      <c r="AA2975">
        <v>0.99488659999999995</v>
      </c>
      <c r="AB2975">
        <v>34</v>
      </c>
      <c r="AC2975">
        <v>-5.2900000000022297E-2</v>
      </c>
      <c r="AD2975">
        <v>-8.5312999999999695E-2</v>
      </c>
      <c r="AE2975">
        <v>-0.56630000000001202</v>
      </c>
      <c r="AF2975">
        <v>3.6646718806167197E-2</v>
      </c>
      <c r="AG2975">
        <v>-8.5312999999999695E-2</v>
      </c>
      <c r="AH2975">
        <v>0.55504183015306297</v>
      </c>
      <c r="AI2975">
        <v>98.719598993018707</v>
      </c>
      <c r="AJ2975">
        <v>86.222520410516395</v>
      </c>
      <c r="AK2975">
        <v>0.56275458522158694</v>
      </c>
      <c r="AL2975">
        <v>95.604537327775702</v>
      </c>
      <c r="AM2975">
        <v>93.179470727434705</v>
      </c>
      <c r="AN2975">
        <v>0.99999997119065798</v>
      </c>
    </row>
    <row r="2976" spans="1:40" x14ac:dyDescent="0.25">
      <c r="A2976" t="str">
        <f>"20190303154825782"</f>
        <v>20190303154825782</v>
      </c>
      <c r="B2976" t="str">
        <f>"1551599305773656"</f>
        <v>1551599305773656</v>
      </c>
      <c r="C2976" t="s">
        <v>40</v>
      </c>
      <c r="D2976">
        <v>5.7421049999999996</v>
      </c>
      <c r="E2976">
        <v>0.53851789999999999</v>
      </c>
      <c r="F2976" t="s">
        <v>42</v>
      </c>
      <c r="G2976">
        <v>-490.13249999999999</v>
      </c>
      <c r="H2976">
        <v>1.02932</v>
      </c>
      <c r="I2976">
        <v>239.98429999999999</v>
      </c>
      <c r="J2976">
        <v>-490.0736</v>
      </c>
      <c r="K2976">
        <v>1.1174409999999999</v>
      </c>
      <c r="L2976">
        <v>240.67189999999999</v>
      </c>
      <c r="M2976">
        <v>-2.8634110000000001E-2</v>
      </c>
      <c r="N2976">
        <v>-1.052911E-2</v>
      </c>
      <c r="O2976">
        <v>-0.99953460000000005</v>
      </c>
      <c r="P2976">
        <v>2.6636679999999999E-2</v>
      </c>
      <c r="Q2976">
        <v>-0.10791199999999999</v>
      </c>
      <c r="R2976">
        <v>-0.99380360000000001</v>
      </c>
      <c r="S2976">
        <v>-0.22277830000000001</v>
      </c>
      <c r="T2976">
        <v>-0.30178169999999999</v>
      </c>
      <c r="U2976">
        <v>-2.9921720000000001</v>
      </c>
      <c r="V2976">
        <v>-5.5721519999999997E-2</v>
      </c>
      <c r="W2976">
        <v>-9.7091510000000006E-2</v>
      </c>
      <c r="X2976">
        <v>0.9937144</v>
      </c>
      <c r="Y2976">
        <v>4.533562E-2</v>
      </c>
      <c r="Z2976">
        <v>8.9627360000000003E-2</v>
      </c>
      <c r="AA2976">
        <v>0.99494300000000002</v>
      </c>
      <c r="AB2976">
        <v>34</v>
      </c>
      <c r="AC2976">
        <v>-5.8899999999994103E-2</v>
      </c>
      <c r="AD2976">
        <v>-8.8120999999999894E-2</v>
      </c>
      <c r="AE2976">
        <v>-0.68760000000000299</v>
      </c>
      <c r="AF2976">
        <v>3.8557278629801101E-2</v>
      </c>
      <c r="AG2976">
        <v>-8.8120999999999894E-2</v>
      </c>
      <c r="AH2976">
        <v>0.677950901717153</v>
      </c>
      <c r="AI2976">
        <v>97.394047443165604</v>
      </c>
      <c r="AJ2976">
        <v>86.744908755595404</v>
      </c>
      <c r="AK2976">
        <v>0.68474038840675799</v>
      </c>
      <c r="AL2976">
        <v>95.571711227213498</v>
      </c>
      <c r="AM2976">
        <v>93.209441324215604</v>
      </c>
      <c r="AN2976">
        <v>0.99999997893627501</v>
      </c>
    </row>
    <row r="2977" spans="1:40" x14ac:dyDescent="0.25">
      <c r="A2977" t="str">
        <f>"20190303154825794"</f>
        <v>20190303154825794</v>
      </c>
      <c r="B2977" t="str">
        <f>"1551599305783417"</f>
        <v>1551599305783417</v>
      </c>
      <c r="C2977" t="s">
        <v>40</v>
      </c>
      <c r="D2977">
        <v>5.7780760000000004</v>
      </c>
      <c r="E2977">
        <v>0.53861769999999998</v>
      </c>
      <c r="F2977" t="s">
        <v>42</v>
      </c>
      <c r="G2977">
        <v>-490.14920000000001</v>
      </c>
      <c r="H2977">
        <v>1.0183089999999999</v>
      </c>
      <c r="I2977">
        <v>239.68209999999999</v>
      </c>
      <c r="J2977">
        <v>-490.08019999999999</v>
      </c>
      <c r="K2977">
        <v>1.117551</v>
      </c>
      <c r="L2977">
        <v>240.48660000000001</v>
      </c>
      <c r="M2977">
        <v>-2.9991219999999999E-2</v>
      </c>
      <c r="N2977">
        <v>-1.0652109999999999E-2</v>
      </c>
      <c r="O2977">
        <v>-0.99949350000000003</v>
      </c>
      <c r="P2977">
        <v>2.567113E-2</v>
      </c>
      <c r="Q2977">
        <v>-0.1075671</v>
      </c>
      <c r="R2977">
        <v>-0.99386669999999999</v>
      </c>
      <c r="S2977">
        <v>-0.22686770000000001</v>
      </c>
      <c r="T2977">
        <v>-0.2996279</v>
      </c>
      <c r="U2977">
        <v>-2.9922330000000001</v>
      </c>
      <c r="V2977">
        <v>-5.6084630000000003E-2</v>
      </c>
      <c r="W2977">
        <v>-9.6632430000000005E-2</v>
      </c>
      <c r="X2977">
        <v>0.99373880000000003</v>
      </c>
      <c r="Y2977">
        <v>4.5335380000000002E-2</v>
      </c>
      <c r="Z2977">
        <v>8.878482E-2</v>
      </c>
      <c r="AA2977">
        <v>0.99501859999999998</v>
      </c>
      <c r="AB2977">
        <v>34</v>
      </c>
      <c r="AC2977">
        <v>-6.9000000000016798E-2</v>
      </c>
      <c r="AD2977">
        <v>-9.9241999999999997E-2</v>
      </c>
      <c r="AE2977">
        <v>-0.80450000000001798</v>
      </c>
      <c r="AF2977">
        <v>4.41723767780152E-2</v>
      </c>
      <c r="AG2977">
        <v>-9.9241999999999997E-2</v>
      </c>
      <c r="AH2977">
        <v>0.79421006107150305</v>
      </c>
      <c r="AI2977">
        <v>97.111704701961699</v>
      </c>
      <c r="AJ2977">
        <v>86.816602982812796</v>
      </c>
      <c r="AK2977">
        <v>0.80160451255055898</v>
      </c>
      <c r="AL2977">
        <v>95.545283175987905</v>
      </c>
      <c r="AM2977">
        <v>93.230232392877994</v>
      </c>
      <c r="AN2977">
        <v>1.0000000574376799</v>
      </c>
    </row>
    <row r="2978" spans="1:40" x14ac:dyDescent="0.25">
      <c r="A2978" t="str">
        <f>"20190303154825807"</f>
        <v>20190303154825807</v>
      </c>
      <c r="B2978" t="str">
        <f>"1551599305803912"</f>
        <v>1551599305803912</v>
      </c>
      <c r="C2978" t="s">
        <v>40</v>
      </c>
      <c r="D2978">
        <v>5.8336889999999997</v>
      </c>
      <c r="E2978">
        <v>0.53863749999999999</v>
      </c>
      <c r="F2978" t="s">
        <v>42</v>
      </c>
      <c r="G2978">
        <v>-490.14339999999999</v>
      </c>
      <c r="H2978">
        <v>1.0364709999999999</v>
      </c>
      <c r="I2978">
        <v>239.673</v>
      </c>
      <c r="J2978">
        <v>-490.08730000000003</v>
      </c>
      <c r="K2978">
        <v>1.1176699999999999</v>
      </c>
      <c r="L2978">
        <v>240.2912</v>
      </c>
      <c r="M2978">
        <v>-3.1370599999999998E-2</v>
      </c>
      <c r="N2978">
        <v>-1.0796719999999999E-2</v>
      </c>
      <c r="O2978">
        <v>-0.99944949999999999</v>
      </c>
      <c r="P2978">
        <v>2.496195E-2</v>
      </c>
      <c r="Q2978">
        <v>-0.1077367</v>
      </c>
      <c r="R2978">
        <v>-0.99386629999999998</v>
      </c>
      <c r="S2978">
        <v>-0.2304688</v>
      </c>
      <c r="T2978">
        <v>-0.29813859999999998</v>
      </c>
      <c r="U2978">
        <v>-2.9921880000000001</v>
      </c>
      <c r="V2978">
        <v>-5.672555E-2</v>
      </c>
      <c r="W2978">
        <v>-9.6666559999999999E-2</v>
      </c>
      <c r="X2978">
        <v>0.99369909999999995</v>
      </c>
      <c r="Y2978">
        <v>4.5152539999999998E-2</v>
      </c>
      <c r="Z2978">
        <v>8.8143219999999994E-2</v>
      </c>
      <c r="AA2978">
        <v>0.99508390000000002</v>
      </c>
      <c r="AB2978">
        <v>34</v>
      </c>
      <c r="AC2978">
        <v>-5.6099999999958003E-2</v>
      </c>
      <c r="AD2978">
        <v>-8.1199000000000202E-2</v>
      </c>
      <c r="AE2978">
        <v>-0.61820000000000097</v>
      </c>
      <c r="AF2978">
        <v>3.6060903219062697E-2</v>
      </c>
      <c r="AG2978">
        <v>-8.1199000000000202E-2</v>
      </c>
      <c r="AH2978">
        <v>0.60923099356084898</v>
      </c>
      <c r="AI2978">
        <v>97.578595161065493</v>
      </c>
      <c r="AJ2978">
        <v>86.6125661734158</v>
      </c>
      <c r="AK2978">
        <v>0.61567529579894198</v>
      </c>
      <c r="AL2978">
        <v>95.547247883326406</v>
      </c>
      <c r="AM2978">
        <v>93.267197345079296</v>
      </c>
      <c r="AN2978">
        <v>1.0000000565929199</v>
      </c>
    </row>
    <row r="2979" spans="1:40" x14ac:dyDescent="0.25">
      <c r="A2979" t="str">
        <f>"20190303154825823"</f>
        <v>20190303154825823</v>
      </c>
      <c r="B2979" t="str">
        <f>"1551599305813673"</f>
        <v>1551599305813673</v>
      </c>
      <c r="C2979" t="s">
        <v>40</v>
      </c>
      <c r="D2979">
        <v>5.7283049999999998</v>
      </c>
      <c r="E2979">
        <v>0.49635380000000001</v>
      </c>
      <c r="F2979" t="s">
        <v>42</v>
      </c>
      <c r="G2979">
        <v>-490.15890000000002</v>
      </c>
      <c r="H2979">
        <v>1.0259370000000001</v>
      </c>
      <c r="I2979">
        <v>239.37090000000001</v>
      </c>
      <c r="J2979">
        <v>-490.09620000000001</v>
      </c>
      <c r="K2979">
        <v>1.117815</v>
      </c>
      <c r="L2979">
        <v>240.0558</v>
      </c>
      <c r="M2979">
        <v>-3.2958999999999898E-2</v>
      </c>
      <c r="N2979">
        <v>-1.099076E-2</v>
      </c>
      <c r="O2979">
        <v>-0.99939610000000001</v>
      </c>
      <c r="P2979">
        <v>2.390745E-2</v>
      </c>
      <c r="Q2979">
        <v>-0.1072789</v>
      </c>
      <c r="R2979">
        <v>-0.99394130000000003</v>
      </c>
      <c r="S2979">
        <v>-0.23266600000000001</v>
      </c>
      <c r="T2979">
        <v>-0.29828009999999999</v>
      </c>
      <c r="U2979">
        <v>-2.9920040000000001</v>
      </c>
      <c r="V2979">
        <v>-5.722141E-2</v>
      </c>
      <c r="W2979">
        <v>-9.6027940000000006E-2</v>
      </c>
      <c r="X2979">
        <v>0.99373250000000002</v>
      </c>
      <c r="Y2979">
        <v>4.4296830000000002E-2</v>
      </c>
      <c r="Z2979">
        <v>8.7995030000000002E-2</v>
      </c>
      <c r="AA2979">
        <v>0.99513549999999995</v>
      </c>
      <c r="AB2979">
        <v>34</v>
      </c>
      <c r="AC2979">
        <v>-6.2700000000006598E-2</v>
      </c>
      <c r="AD2979">
        <v>-9.1877999999999904E-2</v>
      </c>
      <c r="AE2979">
        <v>-0.68489999999999895</v>
      </c>
      <c r="AF2979">
        <v>3.9388020758844101E-2</v>
      </c>
      <c r="AG2979">
        <v>-9.1877999999999904E-2</v>
      </c>
      <c r="AH2979">
        <v>0.67455628300439896</v>
      </c>
      <c r="AI2979">
        <v>97.743219040088704</v>
      </c>
      <c r="AJ2979">
        <v>86.658236205972202</v>
      </c>
      <c r="AK2979">
        <v>0.68192313496757795</v>
      </c>
      <c r="AL2979">
        <v>95.510487120812101</v>
      </c>
      <c r="AM2979">
        <v>93.295583973502602</v>
      </c>
      <c r="AN2979">
        <v>0.99999996828964</v>
      </c>
    </row>
    <row r="2980" spans="1:40" x14ac:dyDescent="0.25">
      <c r="A2980" t="str">
        <f>"20190303154825840"</f>
        <v>20190303154825840</v>
      </c>
      <c r="B2980" t="str">
        <f>"1551599305833193"</f>
        <v>1551599305833193</v>
      </c>
      <c r="C2980" t="s">
        <v>40</v>
      </c>
      <c r="D2980">
        <v>5.8440940000000001</v>
      </c>
      <c r="E2980">
        <v>0.4905812</v>
      </c>
      <c r="F2980" t="s">
        <v>41</v>
      </c>
      <c r="G2980">
        <v>-489.7681</v>
      </c>
      <c r="H2980" s="1">
        <v>-3.41583599999999E-7</v>
      </c>
      <c r="I2980">
        <v>230.3331</v>
      </c>
      <c r="J2980">
        <v>-490.10649999999998</v>
      </c>
      <c r="K2980">
        <v>1.1179969999999999</v>
      </c>
      <c r="L2980">
        <v>239.79079999999999</v>
      </c>
      <c r="M2980">
        <v>-3.4620169999999999E-2</v>
      </c>
      <c r="N2980">
        <v>-1.124061E-2</v>
      </c>
      <c r="O2980">
        <v>-0.99933749999999999</v>
      </c>
      <c r="P2980">
        <v>2.3979380000000002E-2</v>
      </c>
      <c r="Q2980">
        <v>-0.10845059999999999</v>
      </c>
      <c r="R2980">
        <v>-0.9938129</v>
      </c>
      <c r="S2980">
        <v>0.1005249</v>
      </c>
      <c r="T2980">
        <v>-0.34248149999999999</v>
      </c>
      <c r="U2980">
        <v>-2.978882</v>
      </c>
      <c r="V2980">
        <v>-5.8912340000000001E-2</v>
      </c>
      <c r="W2980">
        <v>-9.6962969999999996E-2</v>
      </c>
      <c r="X2980">
        <v>0.99354290000000001</v>
      </c>
      <c r="Y2980">
        <v>-6.8081870000000003E-2</v>
      </c>
      <c r="Z2980">
        <v>0.1027695</v>
      </c>
      <c r="AA2980">
        <v>0.99237260000000005</v>
      </c>
      <c r="AB2980">
        <v>34</v>
      </c>
      <c r="AC2980">
        <v>0.338399999999978</v>
      </c>
      <c r="AD2980">
        <v>-1.1179973415836</v>
      </c>
      <c r="AE2980">
        <v>-9.4576999999999796</v>
      </c>
      <c r="AF2980">
        <v>-0.65648318045779996</v>
      </c>
      <c r="AG2980">
        <v>-1.1179973415836</v>
      </c>
      <c r="AH2980">
        <v>9.3103797640791992</v>
      </c>
      <c r="AI2980">
        <v>96.830535952679696</v>
      </c>
      <c r="AJ2980">
        <v>94.033301114192099</v>
      </c>
      <c r="AK2980">
        <v>9.4002159322745094</v>
      </c>
      <c r="AL2980">
        <v>95.564311464493599</v>
      </c>
      <c r="AM2980">
        <v>93.393392326163195</v>
      </c>
      <c r="AN2980">
        <v>0.99999998774795296</v>
      </c>
    </row>
    <row r="2981" spans="1:40" x14ac:dyDescent="0.25">
      <c r="A2981" t="str">
        <f>"20190303154825854"</f>
        <v>20190303154825854</v>
      </c>
      <c r="B2981" t="str">
        <f>"1551599305843929"</f>
        <v>1551599305843929</v>
      </c>
      <c r="C2981" t="s">
        <v>40</v>
      </c>
      <c r="D2981">
        <v>5.797434</v>
      </c>
      <c r="E2981">
        <v>0.48930810000000002</v>
      </c>
      <c r="F2981" t="s">
        <v>41</v>
      </c>
      <c r="G2981">
        <v>-489.61340000000001</v>
      </c>
      <c r="H2981" s="1">
        <v>-1.5440319999999999E-7</v>
      </c>
      <c r="I2981">
        <v>229.79949999999999</v>
      </c>
      <c r="J2981">
        <v>-490.11540000000002</v>
      </c>
      <c r="K2981">
        <v>1.11815</v>
      </c>
      <c r="L2981">
        <v>239.5718</v>
      </c>
      <c r="M2981">
        <v>-3.5876499999999999E-2</v>
      </c>
      <c r="N2981">
        <v>-1.146047E-2</v>
      </c>
      <c r="O2981">
        <v>-0.99929049999999997</v>
      </c>
      <c r="P2981">
        <v>2.3994680000000001E-2</v>
      </c>
      <c r="Q2981">
        <v>-0.1096181</v>
      </c>
      <c r="R2981">
        <v>-0.99368420000000002</v>
      </c>
      <c r="S2981">
        <v>0.14703369999999999</v>
      </c>
      <c r="T2981">
        <v>-0.33331440000000001</v>
      </c>
      <c r="U2981">
        <v>-2.9787750000000002</v>
      </c>
      <c r="V2981">
        <v>-6.0148310000000003E-2</v>
      </c>
      <c r="W2981">
        <v>-9.7924399999999995E-2</v>
      </c>
      <c r="X2981">
        <v>0.99337450000000005</v>
      </c>
      <c r="Y2981">
        <v>-8.4799219999999995E-2</v>
      </c>
      <c r="Z2981">
        <v>9.9421339999999997E-2</v>
      </c>
      <c r="AA2981">
        <v>0.99142549999999996</v>
      </c>
      <c r="AB2981">
        <v>34</v>
      </c>
      <c r="AC2981">
        <v>0.50200000000000899</v>
      </c>
      <c r="AD2981">
        <v>-1.1181501544032</v>
      </c>
      <c r="AE2981">
        <v>-9.7722999999999995</v>
      </c>
      <c r="AF2981">
        <v>-0.84131027587559504</v>
      </c>
      <c r="AG2981">
        <v>-1.1181501544032</v>
      </c>
      <c r="AH2981">
        <v>9.6223524067033992</v>
      </c>
      <c r="AI2981">
        <v>96.603269773137498</v>
      </c>
      <c r="AJ2981">
        <v>94.996829831419703</v>
      </c>
      <c r="AK2981">
        <v>9.7235656313348606</v>
      </c>
      <c r="AL2981">
        <v>95.619660953669197</v>
      </c>
      <c r="AM2981">
        <v>93.464999315241997</v>
      </c>
      <c r="AN2981">
        <v>0.99999995228073202</v>
      </c>
    </row>
    <row r="2982" spans="1:40" x14ac:dyDescent="0.25">
      <c r="A2982" t="str">
        <f>"20190303154825873"</f>
        <v>20190303154825873</v>
      </c>
      <c r="B2982" t="str">
        <f>"1551599305863448"</f>
        <v>1551599305863448</v>
      </c>
      <c r="C2982" t="s">
        <v>40</v>
      </c>
      <c r="D2982">
        <v>5.7907310000000001</v>
      </c>
      <c r="E2982">
        <v>0.48739080000000001</v>
      </c>
      <c r="F2982" t="s">
        <v>41</v>
      </c>
      <c r="G2982">
        <v>-489.59190000000001</v>
      </c>
      <c r="H2982" s="1">
        <v>-1.124879E-7</v>
      </c>
      <c r="I2982">
        <v>229.65950000000001</v>
      </c>
      <c r="J2982">
        <v>-490.12709999999998</v>
      </c>
      <c r="K2982">
        <v>1.1183399999999999</v>
      </c>
      <c r="L2982">
        <v>239.28819999999999</v>
      </c>
      <c r="M2982">
        <v>-3.7371590000000003E-2</v>
      </c>
      <c r="N2982">
        <v>-1.174263E-2</v>
      </c>
      <c r="O2982">
        <v>-0.99923280000000003</v>
      </c>
      <c r="P2982">
        <v>2.4798210000000001E-2</v>
      </c>
      <c r="Q2982">
        <v>-0.1107991</v>
      </c>
      <c r="R2982">
        <v>-0.99353380000000002</v>
      </c>
      <c r="S2982">
        <v>0.15731809999999999</v>
      </c>
      <c r="T2982">
        <v>-0.33595560000000002</v>
      </c>
      <c r="U2982">
        <v>-2.9782099999999998</v>
      </c>
      <c r="V2982">
        <v>-6.239625E-2</v>
      </c>
      <c r="W2982">
        <v>-9.8840549999999999E-2</v>
      </c>
      <c r="X2982">
        <v>0.9931451</v>
      </c>
      <c r="Y2982">
        <v>-8.9704249999999999E-2</v>
      </c>
      <c r="Z2982">
        <v>9.9985350000000001E-2</v>
      </c>
      <c r="AA2982">
        <v>0.99093699999999996</v>
      </c>
      <c r="AB2982">
        <v>34</v>
      </c>
      <c r="AC2982">
        <v>0.53519999999997403</v>
      </c>
      <c r="AD2982">
        <v>-1.1183401124879</v>
      </c>
      <c r="AE2982">
        <v>-9.6286999999999807</v>
      </c>
      <c r="AF2982">
        <v>-0.88281804087831905</v>
      </c>
      <c r="AG2982">
        <v>-1.1183401124879</v>
      </c>
      <c r="AH2982">
        <v>9.4745519873684394</v>
      </c>
      <c r="AI2982">
        <v>96.703058040945805</v>
      </c>
      <c r="AJ2982">
        <v>95.323325092496802</v>
      </c>
      <c r="AK2982">
        <v>9.5810848896065508</v>
      </c>
      <c r="AL2982">
        <v>95.672408291898705</v>
      </c>
      <c r="AM2982">
        <v>93.594992376553506</v>
      </c>
      <c r="AN2982">
        <v>0.99999996799618696</v>
      </c>
    </row>
    <row r="2983" spans="1:40" x14ac:dyDescent="0.25">
      <c r="A2983" t="str">
        <f>"20190303154825885"</f>
        <v>20190303154825885</v>
      </c>
      <c r="B2983" t="str">
        <f>"1551599305873209"</f>
        <v>1551599305873209</v>
      </c>
      <c r="C2983" t="s">
        <v>40</v>
      </c>
      <c r="D2983">
        <v>5.8133229999999996</v>
      </c>
      <c r="E2983">
        <v>0.48669560000000001</v>
      </c>
      <c r="F2983" t="s">
        <v>47</v>
      </c>
      <c r="G2983">
        <v>-489.55689999999998</v>
      </c>
      <c r="H2983" s="1">
        <v>6.5075620000000004E-6</v>
      </c>
      <c r="I2983">
        <v>229.55619999999999</v>
      </c>
      <c r="J2983">
        <v>-490.13560000000001</v>
      </c>
      <c r="K2983">
        <v>1.1184879999999999</v>
      </c>
      <c r="L2983">
        <v>239.08680000000001</v>
      </c>
      <c r="M2983">
        <v>-3.8333260000000001E-2</v>
      </c>
      <c r="N2983">
        <v>-1.1937049999999999E-2</v>
      </c>
      <c r="O2983">
        <v>-0.99919400000000003</v>
      </c>
      <c r="P2983">
        <v>2.5069870000000001E-2</v>
      </c>
      <c r="Q2983">
        <v>-0.1115872</v>
      </c>
      <c r="R2983">
        <v>-0.99343870000000001</v>
      </c>
      <c r="S2983">
        <v>0.1744385</v>
      </c>
      <c r="T2983">
        <v>-0.34209780000000001</v>
      </c>
      <c r="U2983">
        <v>-2.97702</v>
      </c>
      <c r="V2983">
        <v>-6.3592339999999997E-2</v>
      </c>
      <c r="W2983">
        <v>-9.9450220000000006E-2</v>
      </c>
      <c r="X2983">
        <v>0.99300840000000001</v>
      </c>
      <c r="Y2983">
        <v>-9.6344509999999994E-2</v>
      </c>
      <c r="Z2983">
        <v>0.1017933</v>
      </c>
      <c r="AA2983">
        <v>0.99012920000000004</v>
      </c>
      <c r="AB2983">
        <v>34</v>
      </c>
      <c r="AC2983">
        <v>0.57870000000002597</v>
      </c>
      <c r="AD2983">
        <v>-1.118481492438</v>
      </c>
      <c r="AE2983">
        <v>-9.5306000000000193</v>
      </c>
      <c r="AF2983">
        <v>-0.93086610781914003</v>
      </c>
      <c r="AG2983">
        <v>-1.118481492438</v>
      </c>
      <c r="AH2983">
        <v>9.3727951639393297</v>
      </c>
      <c r="AI2983">
        <v>96.772078013438502</v>
      </c>
      <c r="AJ2983">
        <v>95.671773596315106</v>
      </c>
      <c r="AK2983">
        <v>9.4850831174416701</v>
      </c>
      <c r="AL2983">
        <v>95.7075125481215</v>
      </c>
      <c r="AM2983">
        <v>93.664222767519604</v>
      </c>
      <c r="AN2983">
        <v>1.00000000721764</v>
      </c>
    </row>
    <row r="2984" spans="1:40" x14ac:dyDescent="0.25">
      <c r="A2984" t="str">
        <f>"20190303154825898"</f>
        <v>20190303154825898</v>
      </c>
      <c r="B2984" t="str">
        <f>"1551599305893705"</f>
        <v>1551599305893705</v>
      </c>
      <c r="C2984" t="s">
        <v>40</v>
      </c>
      <c r="D2984">
        <v>5.8139560000000001</v>
      </c>
      <c r="E2984">
        <v>0.48557230000000001</v>
      </c>
      <c r="F2984" t="s">
        <v>47</v>
      </c>
      <c r="G2984">
        <v>-489.55040000000002</v>
      </c>
      <c r="H2984" s="1">
        <v>6.4795140000000004E-6</v>
      </c>
      <c r="I2984">
        <v>229.47130000000001</v>
      </c>
      <c r="J2984">
        <v>-490.14400000000001</v>
      </c>
      <c r="K2984">
        <v>1.1186320000000001</v>
      </c>
      <c r="L2984">
        <v>238.8888</v>
      </c>
      <c r="M2984">
        <v>-3.9200449999999998E-2</v>
      </c>
      <c r="N2984">
        <v>-1.212122E-2</v>
      </c>
      <c r="O2984">
        <v>-0.99915810000000005</v>
      </c>
      <c r="P2984">
        <v>2.5355010000000001E-2</v>
      </c>
      <c r="Q2984">
        <v>-0.1121357</v>
      </c>
      <c r="R2984">
        <v>-0.99336970000000002</v>
      </c>
      <c r="S2984">
        <v>0.18115229999999999</v>
      </c>
      <c r="T2984">
        <v>-0.34621109999999999</v>
      </c>
      <c r="U2984">
        <v>-2.9763489999999999</v>
      </c>
      <c r="V2984">
        <v>-6.4707290000000001E-2</v>
      </c>
      <c r="W2984">
        <v>-9.9831630000000005E-2</v>
      </c>
      <c r="X2984">
        <v>0.99289810000000001</v>
      </c>
      <c r="Y2984">
        <v>-9.9434739999999994E-2</v>
      </c>
      <c r="Z2984">
        <v>0.10295410000000001</v>
      </c>
      <c r="AA2984">
        <v>0.98970360000000002</v>
      </c>
      <c r="AB2984">
        <v>34</v>
      </c>
      <c r="AC2984">
        <v>0.59359999999998003</v>
      </c>
      <c r="AD2984">
        <v>-1.1186255204860001</v>
      </c>
      <c r="AE2984">
        <v>-9.4174999999999898</v>
      </c>
      <c r="AF2984">
        <v>-0.94900436277273104</v>
      </c>
      <c r="AG2984">
        <v>-1.1186255204860001</v>
      </c>
      <c r="AH2984">
        <v>9.2568999010196702</v>
      </c>
      <c r="AI2984">
        <v>96.854763205280904</v>
      </c>
      <c r="AJ2984">
        <v>95.853433268853493</v>
      </c>
      <c r="AK2984">
        <v>9.3724131424698793</v>
      </c>
      <c r="AL2984">
        <v>95.729474998988707</v>
      </c>
      <c r="AM2984">
        <v>93.728700111979407</v>
      </c>
      <c r="AN2984">
        <v>1.0000000123556001</v>
      </c>
    </row>
    <row r="2985" spans="1:40" x14ac:dyDescent="0.25">
      <c r="A2985" t="str">
        <f>"20190303154825916"</f>
        <v>20190303154825916</v>
      </c>
      <c r="B2985" t="str">
        <f>"1551599305903464"</f>
        <v>1551599305903464</v>
      </c>
      <c r="C2985" t="s">
        <v>40</v>
      </c>
      <c r="D2985">
        <v>5.8494099999999998</v>
      </c>
      <c r="E2985">
        <v>0.48501290000000002</v>
      </c>
      <c r="F2985" t="s">
        <v>47</v>
      </c>
      <c r="G2985">
        <v>-489.53280000000001</v>
      </c>
      <c r="H2985" s="1">
        <v>6.44316699999999E-6</v>
      </c>
      <c r="I2985">
        <v>229.3691</v>
      </c>
      <c r="J2985">
        <v>-490.15519999999998</v>
      </c>
      <c r="K2985">
        <v>1.118824</v>
      </c>
      <c r="L2985">
        <v>238.63149999999999</v>
      </c>
      <c r="M2985">
        <v>-4.0173590000000002E-2</v>
      </c>
      <c r="N2985">
        <v>-1.234437E-2</v>
      </c>
      <c r="O2985">
        <v>-0.99911640000000002</v>
      </c>
      <c r="P2985">
        <v>2.6790939999999999E-2</v>
      </c>
      <c r="Q2985">
        <v>-0.1124252</v>
      </c>
      <c r="R2985">
        <v>-0.99329889999999998</v>
      </c>
      <c r="S2985">
        <v>0.19107060000000001</v>
      </c>
      <c r="T2985">
        <v>-0.349661</v>
      </c>
      <c r="U2985">
        <v>-2.9756770000000001</v>
      </c>
      <c r="V2985">
        <v>-6.7064769999999996E-2</v>
      </c>
      <c r="W2985">
        <v>-9.9918900000000005E-2</v>
      </c>
      <c r="X2985">
        <v>0.99273290000000003</v>
      </c>
      <c r="Y2985">
        <v>-0.1036907</v>
      </c>
      <c r="Z2985">
        <v>0.103844699999999</v>
      </c>
      <c r="AA2985">
        <v>0.98917370000000004</v>
      </c>
      <c r="AB2985">
        <v>34</v>
      </c>
      <c r="AC2985">
        <v>0.62239999999996998</v>
      </c>
      <c r="AD2985">
        <v>-1.1188175568330001</v>
      </c>
      <c r="AE2985">
        <v>-9.26239999999998</v>
      </c>
      <c r="AF2985">
        <v>-0.97979817809750103</v>
      </c>
      <c r="AG2985">
        <v>-1.1188175568330001</v>
      </c>
      <c r="AH2985">
        <v>9.0977707746367091</v>
      </c>
      <c r="AI2985">
        <v>96.970958250292199</v>
      </c>
      <c r="AJ2985">
        <v>96.146863778779505</v>
      </c>
      <c r="AK2985">
        <v>9.2185242996433399</v>
      </c>
      <c r="AL2985">
        <v>95.734500167369404</v>
      </c>
      <c r="AM2985">
        <v>93.864784529339403</v>
      </c>
      <c r="AN2985">
        <v>1.0000000403473801</v>
      </c>
    </row>
    <row r="2986" spans="1:40" x14ac:dyDescent="0.25">
      <c r="A2986" t="str">
        <f>"20190303154825928"</f>
        <v>20190303154825928</v>
      </c>
      <c r="B2986" t="str">
        <f>"1551599305923961"</f>
        <v>1551599305923961</v>
      </c>
      <c r="C2986" t="s">
        <v>40</v>
      </c>
      <c r="D2986">
        <v>5.8253779999999997</v>
      </c>
      <c r="E2986">
        <v>0.48469469999999998</v>
      </c>
      <c r="F2986" t="s">
        <v>47</v>
      </c>
      <c r="G2986">
        <v>-489.51859999999999</v>
      </c>
      <c r="H2986" s="1">
        <v>6.3713950000000002E-6</v>
      </c>
      <c r="I2986">
        <v>229.14959999999999</v>
      </c>
      <c r="J2986">
        <v>-490.16370000000001</v>
      </c>
      <c r="K2986">
        <v>1.118978</v>
      </c>
      <c r="L2986">
        <v>238.43539999999999</v>
      </c>
      <c r="M2986">
        <v>-4.0813990000000001E-2</v>
      </c>
      <c r="N2986">
        <v>-1.250446E-2</v>
      </c>
      <c r="O2986">
        <v>-0.99908859999999999</v>
      </c>
      <c r="P2986">
        <v>2.7790760000000001E-2</v>
      </c>
      <c r="Q2986">
        <v>-0.113126</v>
      </c>
      <c r="R2986">
        <v>-0.99319199999999996</v>
      </c>
      <c r="S2986">
        <v>0.19973750000000001</v>
      </c>
      <c r="T2986">
        <v>-0.35104990000000003</v>
      </c>
      <c r="U2986">
        <v>-2.9751280000000002</v>
      </c>
      <c r="V2986">
        <v>-6.8664550000000005E-2</v>
      </c>
      <c r="W2986">
        <v>-0.100479</v>
      </c>
      <c r="X2986">
        <v>0.99256690000000003</v>
      </c>
      <c r="Y2986">
        <v>-0.1072022</v>
      </c>
      <c r="Z2986">
        <v>0.1041237</v>
      </c>
      <c r="AA2986">
        <v>0.98876989999999998</v>
      </c>
      <c r="AB2986">
        <v>34</v>
      </c>
      <c r="AC2986">
        <v>0.645100000000013</v>
      </c>
      <c r="AD2986">
        <v>-1.118971628605</v>
      </c>
      <c r="AE2986">
        <v>-9.2857999999999894</v>
      </c>
      <c r="AF2986">
        <v>-1.0090011118225199</v>
      </c>
      <c r="AG2986">
        <v>-1.118971628605</v>
      </c>
      <c r="AH2986">
        <v>9.1199349512548302</v>
      </c>
      <c r="AI2986">
        <v>96.9529468175228</v>
      </c>
      <c r="AJ2986">
        <v>96.313350039077704</v>
      </c>
      <c r="AK2986">
        <v>9.2435596100420891</v>
      </c>
      <c r="AL2986">
        <v>95.766754372130606</v>
      </c>
      <c r="AM2986">
        <v>93.957346276415905</v>
      </c>
      <c r="AN2986">
        <v>0.99999995042165502</v>
      </c>
    </row>
    <row r="2987" spans="1:40" x14ac:dyDescent="0.25">
      <c r="A2987" t="str">
        <f>"20190303154825942"</f>
        <v>20190303154825942</v>
      </c>
      <c r="B2987" t="str">
        <f>"1551599305933720"</f>
        <v>1551599305933720</v>
      </c>
      <c r="C2987" t="s">
        <v>40</v>
      </c>
      <c r="D2987">
        <v>5.8839750000000004</v>
      </c>
      <c r="E2987">
        <v>0.484037</v>
      </c>
      <c r="F2987" t="s">
        <v>47</v>
      </c>
      <c r="G2987">
        <v>-489.51670000000001</v>
      </c>
      <c r="H2987" s="1">
        <v>6.3396149999999996E-6</v>
      </c>
      <c r="I2987">
        <v>229.04859999999999</v>
      </c>
      <c r="J2987">
        <v>-490.17259999999999</v>
      </c>
      <c r="K2987">
        <v>1.1191340000000001</v>
      </c>
      <c r="L2987">
        <v>238.23349999999999</v>
      </c>
      <c r="M2987">
        <v>-4.1405089999999999E-2</v>
      </c>
      <c r="N2987">
        <v>-1.2662710000000001E-2</v>
      </c>
      <c r="O2987">
        <v>-0.99906220000000001</v>
      </c>
      <c r="P2987">
        <v>2.8969849999999998E-2</v>
      </c>
      <c r="Q2987">
        <v>-0.1134512</v>
      </c>
      <c r="R2987">
        <v>-0.99312120000000004</v>
      </c>
      <c r="S2987">
        <v>0.20501710000000001</v>
      </c>
      <c r="T2987">
        <v>-0.35457060000000001</v>
      </c>
      <c r="U2987">
        <v>-2.9744259999999998</v>
      </c>
      <c r="V2987">
        <v>-7.0392060000000006E-2</v>
      </c>
      <c r="W2987">
        <v>-0.10066700000000001</v>
      </c>
      <c r="X2987">
        <v>0.9924269</v>
      </c>
      <c r="Y2987">
        <v>-0.1095414</v>
      </c>
      <c r="Z2987">
        <v>0.1051209</v>
      </c>
      <c r="AA2987">
        <v>0.98840799999999995</v>
      </c>
      <c r="AB2987">
        <v>34</v>
      </c>
      <c r="AC2987">
        <v>0.65589999999997395</v>
      </c>
      <c r="AD2987">
        <v>-1.119127660385</v>
      </c>
      <c r="AE2987">
        <v>-9.1849000000000007</v>
      </c>
      <c r="AF2987">
        <v>-1.02059463416178</v>
      </c>
      <c r="AG2987">
        <v>-1.119127660385</v>
      </c>
      <c r="AH2987">
        <v>9.0166796202984294</v>
      </c>
      <c r="AI2987">
        <v>97.030782989696903</v>
      </c>
      <c r="AJ2987">
        <v>96.457802814367895</v>
      </c>
      <c r="AK2987">
        <v>9.1430066992550998</v>
      </c>
      <c r="AL2987">
        <v>95.777580473029204</v>
      </c>
      <c r="AM2987">
        <v>94.057149934607295</v>
      </c>
      <c r="AN2987">
        <v>1.0000000194218199</v>
      </c>
    </row>
    <row r="2988" spans="1:40" x14ac:dyDescent="0.25">
      <c r="A2988" t="str">
        <f>"20190303154825954"</f>
        <v>20190303154825954</v>
      </c>
      <c r="B2988" t="str">
        <f>"1551599305943481"</f>
        <v>1551599305943481</v>
      </c>
      <c r="C2988" t="s">
        <v>40</v>
      </c>
      <c r="D2988">
        <v>5.8890699999999896</v>
      </c>
      <c r="E2988">
        <v>0.48334319999999997</v>
      </c>
      <c r="F2988" t="s">
        <v>47</v>
      </c>
      <c r="G2988">
        <v>-489.50729999999999</v>
      </c>
      <c r="H2988" s="1">
        <v>6.313568E-6</v>
      </c>
      <c r="I2988">
        <v>228.9726</v>
      </c>
      <c r="J2988">
        <v>-490.18119999999999</v>
      </c>
      <c r="K2988">
        <v>1.119286</v>
      </c>
      <c r="L2988">
        <v>238.03899999999999</v>
      </c>
      <c r="M2988">
        <v>-4.1848139999999999E-2</v>
      </c>
      <c r="N2988">
        <v>-1.280266E-2</v>
      </c>
      <c r="O2988">
        <v>-0.99904199999999999</v>
      </c>
      <c r="P2988">
        <v>3.048234E-2</v>
      </c>
      <c r="Q2988">
        <v>-0.1141566</v>
      </c>
      <c r="R2988">
        <v>-0.99299479999999996</v>
      </c>
      <c r="S2988">
        <v>0.21362300000000001</v>
      </c>
      <c r="T2988">
        <v>-0.35933140000000002</v>
      </c>
      <c r="U2988">
        <v>-2.9734950000000002</v>
      </c>
      <c r="V2988">
        <v>-7.2305099999999997E-2</v>
      </c>
      <c r="W2988">
        <v>-0.10125480000000001</v>
      </c>
      <c r="X2988">
        <v>0.99222949999999999</v>
      </c>
      <c r="Y2988">
        <v>-0.1128334</v>
      </c>
      <c r="Z2988">
        <v>0.1065403</v>
      </c>
      <c r="AA2988">
        <v>0.98788549999999997</v>
      </c>
      <c r="AB2988">
        <v>34</v>
      </c>
      <c r="AC2988">
        <v>0.67390000000000305</v>
      </c>
      <c r="AD2988">
        <v>-1.119279686432</v>
      </c>
      <c r="AE2988">
        <v>-9.0664000000000105</v>
      </c>
      <c r="AF2988">
        <v>-1.0370342327576501</v>
      </c>
      <c r="AG2988">
        <v>-1.119279686432</v>
      </c>
      <c r="AH2988">
        <v>8.8954242160342698</v>
      </c>
      <c r="AI2988">
        <v>97.123888952610997</v>
      </c>
      <c r="AJ2988">
        <v>96.649562122758894</v>
      </c>
      <c r="AK2988">
        <v>9.0253420433565505</v>
      </c>
      <c r="AL2988">
        <v>95.811432179901402</v>
      </c>
      <c r="AM2988">
        <v>94.167853612172294</v>
      </c>
      <c r="AN2988">
        <v>0.99999997133964902</v>
      </c>
    </row>
    <row r="2989" spans="1:40" x14ac:dyDescent="0.25">
      <c r="A2989" t="str">
        <f>"20190303154825971"</f>
        <v>20190303154825971</v>
      </c>
      <c r="B2989" t="str">
        <f>"1551599305963977"</f>
        <v>1551599305963977</v>
      </c>
      <c r="C2989" t="s">
        <v>40</v>
      </c>
      <c r="D2989">
        <v>5.8857739999999996</v>
      </c>
      <c r="E2989">
        <v>0.48222809999999999</v>
      </c>
      <c r="F2989" t="s">
        <v>47</v>
      </c>
      <c r="G2989">
        <v>-489.495</v>
      </c>
      <c r="H2989" s="1">
        <v>6.2931879999999998E-6</v>
      </c>
      <c r="I2989">
        <v>228.91739999999999</v>
      </c>
      <c r="J2989">
        <v>-490.19240000000002</v>
      </c>
      <c r="K2989">
        <v>1.1194839999999999</v>
      </c>
      <c r="L2989">
        <v>237.78380000000001</v>
      </c>
      <c r="M2989">
        <v>-4.2319889999999999E-2</v>
      </c>
      <c r="N2989">
        <v>-1.2974940000000001E-2</v>
      </c>
      <c r="O2989">
        <v>-0.99901989999999996</v>
      </c>
      <c r="P2989">
        <v>3.363737E-2</v>
      </c>
      <c r="Q2989">
        <v>-0.1151331</v>
      </c>
      <c r="R2989">
        <v>-0.99278060000000001</v>
      </c>
      <c r="S2989">
        <v>0.2236023</v>
      </c>
      <c r="T2989">
        <v>-0.3647281</v>
      </c>
      <c r="U2989">
        <v>-2.9723820000000001</v>
      </c>
      <c r="V2989">
        <v>-7.5872159999999994E-2</v>
      </c>
      <c r="W2989">
        <v>-0.1020889</v>
      </c>
      <c r="X2989">
        <v>0.99187769999999997</v>
      </c>
      <c r="Y2989">
        <v>-0.116608</v>
      </c>
      <c r="Z2989">
        <v>0.1081352</v>
      </c>
      <c r="AA2989">
        <v>0.98727370000000003</v>
      </c>
      <c r="AB2989">
        <v>34</v>
      </c>
      <c r="AC2989">
        <v>0.69740000000001501</v>
      </c>
      <c r="AD2989">
        <v>-1.1194777068120001</v>
      </c>
      <c r="AE2989">
        <v>-8.86640000000002</v>
      </c>
      <c r="AF2989">
        <v>-1.0553116676963501</v>
      </c>
      <c r="AG2989">
        <v>-1.1194777068120001</v>
      </c>
      <c r="AH2989">
        <v>8.6912373100718199</v>
      </c>
      <c r="AI2989">
        <v>97.286652925725505</v>
      </c>
      <c r="AJ2989">
        <v>96.923105487579505</v>
      </c>
      <c r="AK2989">
        <v>8.8263536656996404</v>
      </c>
      <c r="AL2989">
        <v>95.859471070490301</v>
      </c>
      <c r="AM2989">
        <v>94.374234274070304</v>
      </c>
      <c r="AN2989">
        <v>1.00000004996178</v>
      </c>
    </row>
    <row r="2990" spans="1:40" x14ac:dyDescent="0.25">
      <c r="A2990" t="str">
        <f>"20190303154825984"</f>
        <v>20190303154825984</v>
      </c>
      <c r="B2990" t="str">
        <f>"1551599305973737"</f>
        <v>1551599305973737</v>
      </c>
      <c r="C2990" t="s">
        <v>40</v>
      </c>
      <c r="D2990">
        <v>5.9153549999999999</v>
      </c>
      <c r="E2990">
        <v>0.48169380000000001</v>
      </c>
      <c r="F2990" t="s">
        <v>47</v>
      </c>
      <c r="G2990">
        <v>-489.46949999999998</v>
      </c>
      <c r="H2990" s="1">
        <v>6.2843189999999996E-6</v>
      </c>
      <c r="I2990">
        <v>228.91069999999999</v>
      </c>
      <c r="J2990">
        <v>-490.20089999999999</v>
      </c>
      <c r="K2990">
        <v>1.119629</v>
      </c>
      <c r="L2990">
        <v>237.59209999999999</v>
      </c>
      <c r="M2990">
        <v>-4.2595399999999999E-2</v>
      </c>
      <c r="N2990">
        <v>-1.3096119999999999E-2</v>
      </c>
      <c r="O2990">
        <v>-0.99900659999999997</v>
      </c>
      <c r="P2990">
        <v>3.5167589999999999E-2</v>
      </c>
      <c r="Q2990">
        <v>-0.1155928</v>
      </c>
      <c r="R2990">
        <v>-0.9926739</v>
      </c>
      <c r="S2990">
        <v>0.24200440000000001</v>
      </c>
      <c r="T2990">
        <v>-0.37472919999999998</v>
      </c>
      <c r="U2990">
        <v>-2.970154</v>
      </c>
      <c r="V2990">
        <v>-7.7637070000000002E-2</v>
      </c>
      <c r="W2990">
        <v>-0.1024523</v>
      </c>
      <c r="X2990">
        <v>0.99170360000000002</v>
      </c>
      <c r="Y2990">
        <v>-0.12297619999999999</v>
      </c>
      <c r="Z2990">
        <v>0.1112976</v>
      </c>
      <c r="AA2990">
        <v>0.98614900000000005</v>
      </c>
      <c r="AB2990">
        <v>34</v>
      </c>
      <c r="AC2990">
        <v>0.73140000000000704</v>
      </c>
      <c r="AD2990">
        <v>-1.1196227156809999</v>
      </c>
      <c r="AE2990">
        <v>-8.6813999999999893</v>
      </c>
      <c r="AF2990">
        <v>-1.08267454927669</v>
      </c>
      <c r="AG2990">
        <v>-1.1196227156809999</v>
      </c>
      <c r="AH2990">
        <v>8.5019484245359696</v>
      </c>
      <c r="AI2990">
        <v>97.442696709568594</v>
      </c>
      <c r="AJ2990">
        <v>97.257229218545802</v>
      </c>
      <c r="AK2990">
        <v>8.6434290775472995</v>
      </c>
      <c r="AL2990">
        <v>95.880402345048594</v>
      </c>
      <c r="AM2990">
        <v>94.476359876256396</v>
      </c>
      <c r="AN2990">
        <v>1.00000000933321</v>
      </c>
    </row>
    <row r="2991" spans="1:40" x14ac:dyDescent="0.25">
      <c r="A2991" t="str">
        <f>"20190303154825996"</f>
        <v>20190303154825996</v>
      </c>
      <c r="B2991" t="str">
        <f>"1551599305993257"</f>
        <v>1551599305993257</v>
      </c>
      <c r="C2991" t="s">
        <v>40</v>
      </c>
      <c r="D2991">
        <v>5.94869</v>
      </c>
      <c r="E2991">
        <v>0.48062969999999999</v>
      </c>
      <c r="F2991" t="s">
        <v>47</v>
      </c>
      <c r="G2991">
        <v>-489.4606</v>
      </c>
      <c r="H2991" s="1">
        <v>6.2560769999999997E-6</v>
      </c>
      <c r="I2991">
        <v>228.8271</v>
      </c>
      <c r="J2991">
        <v>-490.20940000000002</v>
      </c>
      <c r="K2991">
        <v>1.119769</v>
      </c>
      <c r="L2991">
        <v>237.40039999999999</v>
      </c>
      <c r="M2991">
        <v>-4.2782399999999998E-2</v>
      </c>
      <c r="N2991">
        <v>-1.3208040000000001E-2</v>
      </c>
      <c r="O2991">
        <v>-0.99899700000000002</v>
      </c>
      <c r="P2991">
        <v>3.6717739999999999E-2</v>
      </c>
      <c r="Q2991">
        <v>-0.1158926</v>
      </c>
      <c r="R2991">
        <v>-0.99258270000000004</v>
      </c>
      <c r="S2991">
        <v>0.25076290000000001</v>
      </c>
      <c r="T2991">
        <v>-0.37926090000000001</v>
      </c>
      <c r="U2991">
        <v>-2.9690699999999999</v>
      </c>
      <c r="V2991">
        <v>-7.9334269999999998E-2</v>
      </c>
      <c r="W2991">
        <v>-0.1026653</v>
      </c>
      <c r="X2991">
        <v>0.99154719999999996</v>
      </c>
      <c r="Y2991">
        <v>-0.12606139999999999</v>
      </c>
      <c r="Z2991">
        <v>0.1126711</v>
      </c>
      <c r="AA2991">
        <v>0.98560320000000001</v>
      </c>
      <c r="AB2991">
        <v>34</v>
      </c>
      <c r="AC2991">
        <v>0.74880000000001701</v>
      </c>
      <c r="AD2991">
        <v>-1.119762743923</v>
      </c>
      <c r="AE2991">
        <v>-8.5732999999999802</v>
      </c>
      <c r="AF2991">
        <v>-1.0963711704047401</v>
      </c>
      <c r="AG2991">
        <v>-1.119762743923</v>
      </c>
      <c r="AH2991">
        <v>8.39134574602957</v>
      </c>
      <c r="AI2991">
        <v>97.537475783641099</v>
      </c>
      <c r="AJ2991">
        <v>97.443813348480901</v>
      </c>
      <c r="AK2991">
        <v>8.5364267568685399</v>
      </c>
      <c r="AL2991">
        <v>95.892671271965696</v>
      </c>
      <c r="AM2991">
        <v>94.574523790776198</v>
      </c>
      <c r="AN2991">
        <v>0.99999997002418095</v>
      </c>
    </row>
    <row r="2992" spans="1:40" x14ac:dyDescent="0.25">
      <c r="A2992" t="str">
        <f>"20190303154826008"</f>
        <v>20190303154826008</v>
      </c>
      <c r="B2992" t="str">
        <f>"1551599306003993"</f>
        <v>1551599306003993</v>
      </c>
      <c r="C2992" t="s">
        <v>40</v>
      </c>
      <c r="D2992">
        <v>5.8847889999999996</v>
      </c>
      <c r="E2992">
        <v>0.48049730000000002</v>
      </c>
      <c r="F2992" t="s">
        <v>47</v>
      </c>
      <c r="G2992">
        <v>-489.4443</v>
      </c>
      <c r="H2992" s="1">
        <v>6.2387729999999998E-6</v>
      </c>
      <c r="I2992">
        <v>228.7852</v>
      </c>
      <c r="J2992">
        <v>-490.21719999999999</v>
      </c>
      <c r="K2992">
        <v>1.1198969999999999</v>
      </c>
      <c r="L2992">
        <v>237.22239999999999</v>
      </c>
      <c r="M2992">
        <v>-4.2878649999999997E-2</v>
      </c>
      <c r="N2992">
        <v>-1.330449E-2</v>
      </c>
      <c r="O2992">
        <v>-0.99899179999999999</v>
      </c>
      <c r="P2992">
        <v>3.8189639999999997E-2</v>
      </c>
      <c r="Q2992">
        <v>-0.1160759</v>
      </c>
      <c r="R2992">
        <v>-0.99250579999999999</v>
      </c>
      <c r="S2992">
        <v>0.26351930000000001</v>
      </c>
      <c r="T2992">
        <v>-0.3857179</v>
      </c>
      <c r="U2992">
        <v>-2.9676209999999998</v>
      </c>
      <c r="V2992">
        <v>-8.0867010000000003E-2</v>
      </c>
      <c r="W2992">
        <v>-0.1027759</v>
      </c>
      <c r="X2992">
        <v>0.99141190000000001</v>
      </c>
      <c r="Y2992">
        <v>-0.13037370000000001</v>
      </c>
      <c r="Z2992">
        <v>0.11468540000000001</v>
      </c>
      <c r="AA2992">
        <v>0.98480959999999995</v>
      </c>
      <c r="AB2992">
        <v>34</v>
      </c>
      <c r="AC2992">
        <v>0.77289999999999204</v>
      </c>
      <c r="AD2992">
        <v>-1.1198907612269999</v>
      </c>
      <c r="AE2992">
        <v>-8.43719999999999</v>
      </c>
      <c r="AF2992">
        <v>-1.1145245607313901</v>
      </c>
      <c r="AG2992">
        <v>-1.1198907612269999</v>
      </c>
      <c r="AH2992">
        <v>8.2521196830159802</v>
      </c>
      <c r="AI2992">
        <v>97.659658487417104</v>
      </c>
      <c r="AJ2992">
        <v>97.691778111172496</v>
      </c>
      <c r="AK2992">
        <v>8.4020116386717092</v>
      </c>
      <c r="AL2992">
        <v>95.899041960284094</v>
      </c>
      <c r="AM2992">
        <v>94.663151207421507</v>
      </c>
      <c r="AN2992">
        <v>0.99999995719437895</v>
      </c>
    </row>
    <row r="2993" spans="1:40" x14ac:dyDescent="0.25">
      <c r="A2993" t="str">
        <f>"20190303154826022"</f>
        <v>20190303154826022</v>
      </c>
      <c r="B2993" t="str">
        <f>"1551599306013753"</f>
        <v>1551599306013753</v>
      </c>
      <c r="C2993" t="s">
        <v>40</v>
      </c>
      <c r="D2993">
        <v>5.9725729999999997</v>
      </c>
      <c r="E2993">
        <v>0.4802553</v>
      </c>
      <c r="F2993" t="s">
        <v>47</v>
      </c>
      <c r="G2993">
        <v>-489.4366</v>
      </c>
      <c r="H2993" s="1">
        <v>6.1834400000000002E-6</v>
      </c>
      <c r="I2993">
        <v>228.61330000000001</v>
      </c>
      <c r="J2993">
        <v>-490.226</v>
      </c>
      <c r="K2993">
        <v>1.1200460000000001</v>
      </c>
      <c r="L2993">
        <v>237.0187</v>
      </c>
      <c r="M2993">
        <v>-4.2930719999999999E-2</v>
      </c>
      <c r="N2993">
        <v>-1.340937E-2</v>
      </c>
      <c r="O2993">
        <v>-0.99898819999999999</v>
      </c>
      <c r="P2993">
        <v>3.9944309999999997E-2</v>
      </c>
      <c r="Q2993">
        <v>-0.116355399999999</v>
      </c>
      <c r="R2993">
        <v>-0.99240430000000002</v>
      </c>
      <c r="S2993">
        <v>0.26904299999999998</v>
      </c>
      <c r="T2993">
        <v>-0.38597759999999998</v>
      </c>
      <c r="U2993">
        <v>-2.9671630000000002</v>
      </c>
      <c r="V2993">
        <v>-8.2633200000000004E-2</v>
      </c>
      <c r="W2993">
        <v>-0.1029789</v>
      </c>
      <c r="X2993">
        <v>0.99124520000000005</v>
      </c>
      <c r="Y2993">
        <v>-0.1322545</v>
      </c>
      <c r="Z2993">
        <v>0.1146577</v>
      </c>
      <c r="AA2993">
        <v>0.98456200000000005</v>
      </c>
      <c r="AB2993">
        <v>34</v>
      </c>
      <c r="AC2993">
        <v>0.78939999999999999</v>
      </c>
      <c r="AD2993">
        <v>-1.1200398165599901</v>
      </c>
      <c r="AE2993">
        <v>-8.4053999999999807</v>
      </c>
      <c r="AF2993">
        <v>-1.1296710564050201</v>
      </c>
      <c r="AG2993">
        <v>-1.1200398165599901</v>
      </c>
      <c r="AH2993">
        <v>8.2190927754905001</v>
      </c>
      <c r="AI2993">
        <v>97.688656544555997</v>
      </c>
      <c r="AJ2993">
        <v>97.825968981656999</v>
      </c>
      <c r="AK2993">
        <v>8.3716266005167199</v>
      </c>
      <c r="AL2993">
        <v>95.9107349529733</v>
      </c>
      <c r="AM2993">
        <v>94.7653312537891</v>
      </c>
      <c r="AN2993">
        <v>0.99999997305524402</v>
      </c>
    </row>
    <row r="2994" spans="1:40" x14ac:dyDescent="0.25">
      <c r="A2994" t="str">
        <f>"20190303154826040"</f>
        <v>20190303154826040</v>
      </c>
      <c r="B2994" t="str">
        <f>"1551599306033273"</f>
        <v>1551599306033273</v>
      </c>
      <c r="C2994" t="s">
        <v>40</v>
      </c>
      <c r="D2994">
        <v>5.9256219999999997</v>
      </c>
      <c r="E2994">
        <v>0.47977629999999999</v>
      </c>
      <c r="F2994" t="s">
        <v>47</v>
      </c>
      <c r="G2994">
        <v>-489.43209999999999</v>
      </c>
      <c r="H2994" s="1">
        <v>6.1396240000000003E-6</v>
      </c>
      <c r="I2994">
        <v>228.47569999999999</v>
      </c>
      <c r="J2994">
        <v>-490.23820000000001</v>
      </c>
      <c r="K2994">
        <v>1.120261</v>
      </c>
      <c r="L2994">
        <v>236.73609999999999</v>
      </c>
      <c r="M2994">
        <v>-4.2820320000000002E-2</v>
      </c>
      <c r="N2994">
        <v>-1.3540079999999999E-2</v>
      </c>
      <c r="O2994">
        <v>-0.99899119999999997</v>
      </c>
      <c r="P2994">
        <v>4.3246390000000003E-2</v>
      </c>
      <c r="Q2994">
        <v>-0.1166345</v>
      </c>
      <c r="R2994">
        <v>-0.99223320000000004</v>
      </c>
      <c r="S2994">
        <v>0.2756653</v>
      </c>
      <c r="T2994">
        <v>-0.3888972</v>
      </c>
      <c r="U2994">
        <v>-2.966278</v>
      </c>
      <c r="V2994">
        <v>-8.5766729999999999E-2</v>
      </c>
      <c r="W2994">
        <v>-0.1031695</v>
      </c>
      <c r="X2994">
        <v>0.99095919999999904</v>
      </c>
      <c r="Y2994">
        <v>-0.1343376</v>
      </c>
      <c r="Z2994">
        <v>0.1154881</v>
      </c>
      <c r="AA2994">
        <v>0.98418289999999997</v>
      </c>
      <c r="AB2994">
        <v>34</v>
      </c>
      <c r="AC2994">
        <v>0.80610000000001403</v>
      </c>
      <c r="AD2994">
        <v>-1.1202548603760001</v>
      </c>
      <c r="AE2994">
        <v>-8.2604000000000006</v>
      </c>
      <c r="AF2994">
        <v>-1.1383663868702301</v>
      </c>
      <c r="AG2994">
        <v>-1.1202548603760001</v>
      </c>
      <c r="AH2994">
        <v>8.0712544170040701</v>
      </c>
      <c r="AI2994">
        <v>97.8254449402137</v>
      </c>
      <c r="AJ2994">
        <v>98.028020954059002</v>
      </c>
      <c r="AK2994">
        <v>8.2277577046823502</v>
      </c>
      <c r="AL2994">
        <v>95.921713805884494</v>
      </c>
      <c r="AM2994">
        <v>94.946577471604598</v>
      </c>
      <c r="AN2994">
        <v>1.00000000688489</v>
      </c>
    </row>
    <row r="2995" spans="1:40" x14ac:dyDescent="0.25">
      <c r="A2995" t="str">
        <f>"20190303154826054"</f>
        <v>20190303154826054</v>
      </c>
      <c r="B2995" t="str">
        <f>"1551599306044009"</f>
        <v>1551599306044009</v>
      </c>
      <c r="C2995" t="s">
        <v>40</v>
      </c>
      <c r="D2995">
        <v>5.8984160000000001</v>
      </c>
      <c r="E2995">
        <v>0.47949449999999999</v>
      </c>
      <c r="F2995" t="s">
        <v>47</v>
      </c>
      <c r="G2995">
        <v>-489.40429999999998</v>
      </c>
      <c r="H2995" s="1">
        <v>6.0457959999999997E-6</v>
      </c>
      <c r="I2995">
        <v>228.19669999999999</v>
      </c>
      <c r="J2995">
        <v>-490.24700000000001</v>
      </c>
      <c r="K2995">
        <v>1.1204179999999999</v>
      </c>
      <c r="L2995">
        <v>236.52809999999999</v>
      </c>
      <c r="M2995">
        <v>-4.259872E-2</v>
      </c>
      <c r="N2995">
        <v>-1.36255E-2</v>
      </c>
      <c r="O2995">
        <v>-0.99899950000000004</v>
      </c>
      <c r="P2995">
        <v>4.5226290000000002E-2</v>
      </c>
      <c r="Q2995">
        <v>-0.1163491</v>
      </c>
      <c r="R2995">
        <v>-0.99217860000000002</v>
      </c>
      <c r="S2995">
        <v>0.28958129999999999</v>
      </c>
      <c r="T2995">
        <v>-0.38898939999999999</v>
      </c>
      <c r="U2995">
        <v>-2.9651489999999998</v>
      </c>
      <c r="V2995">
        <v>-8.7486359999999999E-2</v>
      </c>
      <c r="W2995">
        <v>-0.10283100000000001</v>
      </c>
      <c r="X2995">
        <v>0.99084410000000001</v>
      </c>
      <c r="Y2995">
        <v>-0.13872390000000001</v>
      </c>
      <c r="Z2995">
        <v>0.1154145</v>
      </c>
      <c r="AA2995">
        <v>0.98358290000000004</v>
      </c>
      <c r="AB2995">
        <v>34</v>
      </c>
      <c r="AC2995">
        <v>0.84269999999997902</v>
      </c>
      <c r="AD2995">
        <v>-1.1204119542039901</v>
      </c>
      <c r="AE2995">
        <v>-8.3314000000000004</v>
      </c>
      <c r="AF2995">
        <v>-1.17582528380865</v>
      </c>
      <c r="AG2995">
        <v>-1.1204119542039901</v>
      </c>
      <c r="AH2995">
        <v>8.1421742954985508</v>
      </c>
      <c r="AI2995">
        <v>97.755577724188996</v>
      </c>
      <c r="AJ2995">
        <v>98.217371824741207</v>
      </c>
      <c r="AK2995">
        <v>8.3025833511892095</v>
      </c>
      <c r="AL2995">
        <v>95.902215199578706</v>
      </c>
      <c r="AM2995">
        <v>95.045832906769505</v>
      </c>
      <c r="AN2995">
        <v>1.00000005412592</v>
      </c>
    </row>
    <row r="2996" spans="1:40" x14ac:dyDescent="0.25">
      <c r="A2996" t="str">
        <f>"20190303154826074"</f>
        <v>20190303154826074</v>
      </c>
      <c r="B2996" t="str">
        <f>"1551599306063528"</f>
        <v>1551599306063528</v>
      </c>
      <c r="C2996" t="s">
        <v>40</v>
      </c>
      <c r="D2996">
        <v>5.9222999999999999</v>
      </c>
      <c r="E2996">
        <v>0.47926099999999999</v>
      </c>
      <c r="F2996" t="s">
        <v>47</v>
      </c>
      <c r="G2996">
        <v>-489.39109999999999</v>
      </c>
      <c r="H2996" s="1">
        <v>5.9836479999999901E-6</v>
      </c>
      <c r="I2996">
        <v>228.00739999999999</v>
      </c>
      <c r="J2996">
        <v>-490.2593</v>
      </c>
      <c r="K2996">
        <v>1.120652</v>
      </c>
      <c r="L2996">
        <v>236.23410000000001</v>
      </c>
      <c r="M2996">
        <v>-4.2122630000000001E-2</v>
      </c>
      <c r="N2996">
        <v>-1.373692E-2</v>
      </c>
      <c r="O2996">
        <v>-0.99901799999999996</v>
      </c>
      <c r="P2996">
        <v>4.9264629999999997E-2</v>
      </c>
      <c r="Q2996">
        <v>-0.1163199</v>
      </c>
      <c r="R2996">
        <v>-0.99198909999999996</v>
      </c>
      <c r="S2996">
        <v>0.29779050000000001</v>
      </c>
      <c r="T2996">
        <v>-0.38979140000000001</v>
      </c>
      <c r="U2996">
        <v>-2.9643549999999999</v>
      </c>
      <c r="V2996">
        <v>-9.0986239999999996E-2</v>
      </c>
      <c r="W2996">
        <v>-0.1027436</v>
      </c>
      <c r="X2996">
        <v>0.99053789999999997</v>
      </c>
      <c r="Y2996">
        <v>-0.14096900000000001</v>
      </c>
      <c r="Z2996">
        <v>0.115564899999999</v>
      </c>
      <c r="AA2996">
        <v>0.98324590000000001</v>
      </c>
      <c r="AB2996">
        <v>34</v>
      </c>
      <c r="AC2996">
        <v>0.86820000000000097</v>
      </c>
      <c r="AD2996">
        <v>-1.120646016352</v>
      </c>
      <c r="AE2996">
        <v>-8.2267000000000206</v>
      </c>
      <c r="AF2996">
        <v>-1.19211493710276</v>
      </c>
      <c r="AG2996">
        <v>-1.120646016352</v>
      </c>
      <c r="AH2996">
        <v>8.0353604745564002</v>
      </c>
      <c r="AI2996">
        <v>97.854625242113798</v>
      </c>
      <c r="AJ2996">
        <v>98.438768444187801</v>
      </c>
      <c r="AK2996">
        <v>8.2002441105916102</v>
      </c>
      <c r="AL2996">
        <v>95.897180983489406</v>
      </c>
      <c r="AM2996">
        <v>95.248198537329301</v>
      </c>
      <c r="AN2996">
        <v>1.00000003727335</v>
      </c>
    </row>
    <row r="2997" spans="1:40" x14ac:dyDescent="0.25">
      <c r="A2997" t="str">
        <f>"20190303154826088"</f>
        <v>20190303154826088</v>
      </c>
      <c r="B2997" t="str">
        <f>"1551599306084025"</f>
        <v>1551599306084025</v>
      </c>
      <c r="C2997" t="s">
        <v>40</v>
      </c>
      <c r="D2997">
        <v>5.8454810000000004</v>
      </c>
      <c r="E2997">
        <v>0.47919859999999997</v>
      </c>
      <c r="F2997" t="s">
        <v>47</v>
      </c>
      <c r="G2997">
        <v>-489.36579999999998</v>
      </c>
      <c r="H2997" s="1">
        <v>5.8975369999999901E-6</v>
      </c>
      <c r="I2997">
        <v>227.75110000000001</v>
      </c>
      <c r="J2997">
        <v>-490.26830000000001</v>
      </c>
      <c r="K2997">
        <v>1.120844</v>
      </c>
      <c r="L2997">
        <v>236.0111</v>
      </c>
      <c r="M2997">
        <v>-4.1603319999999999E-2</v>
      </c>
      <c r="N2997">
        <v>-1.3813310000000001E-2</v>
      </c>
      <c r="O2997">
        <v>-0.9990388</v>
      </c>
      <c r="P2997">
        <v>5.162477E-2</v>
      </c>
      <c r="Q2997">
        <v>-0.1160065</v>
      </c>
      <c r="R2997">
        <v>-0.99190610000000001</v>
      </c>
      <c r="S2997">
        <v>0.31204219999999999</v>
      </c>
      <c r="T2997">
        <v>-0.39140259999999999</v>
      </c>
      <c r="U2997">
        <v>-2.9628139999999998</v>
      </c>
      <c r="V2997">
        <v>-9.2781879999999997E-2</v>
      </c>
      <c r="W2997">
        <v>-0.1023978</v>
      </c>
      <c r="X2997">
        <v>0.99040709999999998</v>
      </c>
      <c r="Y2997">
        <v>-0.14517279999999999</v>
      </c>
      <c r="Z2997">
        <v>0.11601309999999999</v>
      </c>
      <c r="AA2997">
        <v>0.98258120000000004</v>
      </c>
      <c r="AB2997">
        <v>34</v>
      </c>
      <c r="AC2997">
        <v>0.90250000000003106</v>
      </c>
      <c r="AD2997">
        <v>-1.1208381024630001</v>
      </c>
      <c r="AE2997">
        <v>-8.2599999999999891</v>
      </c>
      <c r="AF2997">
        <v>-1.22313864068255</v>
      </c>
      <c r="AG2997">
        <v>-1.1208381024630001</v>
      </c>
      <c r="AH2997">
        <v>8.0684838932104608</v>
      </c>
      <c r="AI2997">
        <v>97.820437246428895</v>
      </c>
      <c r="AJ2997">
        <v>98.620098401796199</v>
      </c>
      <c r="AK2997">
        <v>8.2372798010787598</v>
      </c>
      <c r="AL2997">
        <v>95.877263239831905</v>
      </c>
      <c r="AM2997">
        <v>95.351880387974404</v>
      </c>
      <c r="AN2997">
        <v>1.00000000521579</v>
      </c>
    </row>
    <row r="2998" spans="1:40" x14ac:dyDescent="0.25">
      <c r="A2998" t="str">
        <f>"20190303154826105"</f>
        <v>20190303154826105</v>
      </c>
      <c r="B2998" t="str">
        <f>"1551599306093785"</f>
        <v>1551599306093785</v>
      </c>
      <c r="C2998" t="s">
        <v>40</v>
      </c>
      <c r="D2998">
        <v>5.8237920000000001</v>
      </c>
      <c r="E2998">
        <v>0.47912890000000002</v>
      </c>
      <c r="F2998" t="s">
        <v>47</v>
      </c>
      <c r="G2998">
        <v>-489.3494</v>
      </c>
      <c r="H2998" s="1">
        <v>5.8132249999999997E-6</v>
      </c>
      <c r="I2998">
        <v>227.4931</v>
      </c>
      <c r="J2998">
        <v>-490.27839999999998</v>
      </c>
      <c r="K2998">
        <v>1.1210990000000001</v>
      </c>
      <c r="L2998">
        <v>235.75540000000001</v>
      </c>
      <c r="M2998">
        <v>-4.0848740000000001E-2</v>
      </c>
      <c r="N2998">
        <v>-1.3923319999999999E-2</v>
      </c>
      <c r="O2998">
        <v>-0.99906830000000002</v>
      </c>
      <c r="P2998">
        <v>5.5534100000000003E-2</v>
      </c>
      <c r="Q2998">
        <v>-0.1141831</v>
      </c>
      <c r="R2998">
        <v>-0.99190639999999997</v>
      </c>
      <c r="S2998">
        <v>0.31954959999999999</v>
      </c>
      <c r="T2998">
        <v>-0.38978610000000002</v>
      </c>
      <c r="U2998">
        <v>-2.9622649999999999</v>
      </c>
      <c r="V2998">
        <v>-9.5888950000000001E-2</v>
      </c>
      <c r="W2998">
        <v>-0.1005202</v>
      </c>
      <c r="X2998">
        <v>0.9903035</v>
      </c>
      <c r="Y2998">
        <v>-0.14691219999999999</v>
      </c>
      <c r="Z2998">
        <v>0.1153715</v>
      </c>
      <c r="AA2998">
        <v>0.9823982</v>
      </c>
      <c r="AB2998">
        <v>34</v>
      </c>
      <c r="AC2998">
        <v>0.92899999999997296</v>
      </c>
      <c r="AD2998">
        <v>-1.121093186775</v>
      </c>
      <c r="AE2998">
        <v>-8.2623000000000104</v>
      </c>
      <c r="AF2998">
        <v>-1.24315944549104</v>
      </c>
      <c r="AG2998">
        <v>-1.121093186775</v>
      </c>
      <c r="AH2998">
        <v>8.0707140755534201</v>
      </c>
      <c r="AI2998">
        <v>97.817248112600097</v>
      </c>
      <c r="AJ2998">
        <v>98.756641743566703</v>
      </c>
      <c r="AK2998">
        <v>8.2424948304310792</v>
      </c>
      <c r="AL2998">
        <v>95.769126615722996</v>
      </c>
      <c r="AM2998">
        <v>95.530585398195697</v>
      </c>
      <c r="AN2998">
        <v>1.00000001172619</v>
      </c>
    </row>
    <row r="2999" spans="1:40" x14ac:dyDescent="0.25">
      <c r="A2999" t="str">
        <f>"20190303154826118"</f>
        <v>20190303154826118</v>
      </c>
      <c r="B2999" t="str">
        <f>"1551599306114281"</f>
        <v>1551599306114281</v>
      </c>
      <c r="C2999" t="s">
        <v>40</v>
      </c>
      <c r="D2999">
        <v>5.8786180000000003</v>
      </c>
      <c r="E2999">
        <v>0.47907070000000002</v>
      </c>
      <c r="F2999" t="s">
        <v>47</v>
      </c>
      <c r="G2999">
        <v>-489.31220000000002</v>
      </c>
      <c r="H2999" s="1">
        <v>5.6872600000000003E-6</v>
      </c>
      <c r="I2999">
        <v>227.11850000000001</v>
      </c>
      <c r="J2999">
        <v>-490.28559999999999</v>
      </c>
      <c r="K2999">
        <v>1.121302</v>
      </c>
      <c r="L2999">
        <v>235.566</v>
      </c>
      <c r="M2999">
        <v>-4.017917E-2</v>
      </c>
      <c r="N2999">
        <v>-1.405269E-2</v>
      </c>
      <c r="O2999">
        <v>-0.99909400000000004</v>
      </c>
      <c r="P2999">
        <v>5.7808350000000001E-2</v>
      </c>
      <c r="Q2999">
        <v>-0.1134069</v>
      </c>
      <c r="R2999">
        <v>-0.99186560000000001</v>
      </c>
      <c r="S2999">
        <v>0.33132929999999999</v>
      </c>
      <c r="T2999">
        <v>-0.38443329999999998</v>
      </c>
      <c r="U2999">
        <v>-2.9616850000000001</v>
      </c>
      <c r="V2999">
        <v>-9.7456559999999998E-2</v>
      </c>
      <c r="W2999">
        <v>-9.965926E-2</v>
      </c>
      <c r="X2999">
        <v>0.99023749999999999</v>
      </c>
      <c r="Y2999">
        <v>-0.15015139999999999</v>
      </c>
      <c r="Z2999">
        <v>0.1134652</v>
      </c>
      <c r="AA2999">
        <v>0.98213050000000002</v>
      </c>
      <c r="AB2999">
        <v>34</v>
      </c>
      <c r="AC2999">
        <v>0.97339999999996896</v>
      </c>
      <c r="AD2999">
        <v>-1.12129631274</v>
      </c>
      <c r="AE2999">
        <v>-8.4474999999999607</v>
      </c>
      <c r="AF2999">
        <v>-1.2896362436719799</v>
      </c>
      <c r="AG2999">
        <v>-1.12129631274</v>
      </c>
      <c r="AH2999">
        <v>8.2579713084150193</v>
      </c>
      <c r="AI2999">
        <v>97.641029392535998</v>
      </c>
      <c r="AJ2999">
        <v>98.876109250675697</v>
      </c>
      <c r="AK2999">
        <v>8.4329447521350591</v>
      </c>
      <c r="AL2999">
        <v>95.719549338014701</v>
      </c>
      <c r="AM2999">
        <v>95.620798325816395</v>
      </c>
      <c r="AN2999">
        <v>1.0000000277985099</v>
      </c>
    </row>
    <row r="3000" spans="1:40" x14ac:dyDescent="0.25">
      <c r="A3000" t="str">
        <f>"20190303154826131"</f>
        <v>20190303154826131</v>
      </c>
      <c r="B3000" t="str">
        <f>"1551599306124041"</f>
        <v>1551599306124041</v>
      </c>
      <c r="C3000" t="s">
        <v>40</v>
      </c>
      <c r="D3000">
        <v>5.8880189999999999</v>
      </c>
      <c r="E3000">
        <v>0.47887350000000001</v>
      </c>
      <c r="F3000" t="s">
        <v>47</v>
      </c>
      <c r="G3000">
        <v>-489.29020000000003</v>
      </c>
      <c r="H3000" s="1">
        <v>5.6032479999999996E-6</v>
      </c>
      <c r="I3000">
        <v>226.86609999999999</v>
      </c>
      <c r="J3000">
        <v>-490.29289999999997</v>
      </c>
      <c r="K3000">
        <v>1.1215520000000001</v>
      </c>
      <c r="L3000">
        <v>235.36539999999999</v>
      </c>
      <c r="M3000">
        <v>-3.9340380000000001E-2</v>
      </c>
      <c r="N3000">
        <v>-1.4339849999999999E-2</v>
      </c>
      <c r="O3000">
        <v>-0.99912310000000004</v>
      </c>
      <c r="P3000">
        <v>5.9764530000000003E-2</v>
      </c>
      <c r="Q3000">
        <v>-0.11256819999999999</v>
      </c>
      <c r="R3000">
        <v>-0.99184550000000005</v>
      </c>
      <c r="S3000">
        <v>0.3388062</v>
      </c>
      <c r="T3000">
        <v>-0.38166499999999998</v>
      </c>
      <c r="U3000">
        <v>-2.9612430000000001</v>
      </c>
      <c r="V3000">
        <v>-9.8539950000000001E-2</v>
      </c>
      <c r="W3000">
        <v>-9.8580940000000006E-2</v>
      </c>
      <c r="X3000">
        <v>0.99023819999999996</v>
      </c>
      <c r="Y3000">
        <v>-0.1517975</v>
      </c>
      <c r="Z3000">
        <v>0.11226609999999999</v>
      </c>
      <c r="AA3000">
        <v>0.98201519999999998</v>
      </c>
      <c r="AB3000">
        <v>34</v>
      </c>
      <c r="AC3000">
        <v>1.00269999999994</v>
      </c>
      <c r="AD3000">
        <v>-1.1215463967520001</v>
      </c>
      <c r="AE3000">
        <v>-8.4992999999999999</v>
      </c>
      <c r="AF3000">
        <v>-1.31376142699159</v>
      </c>
      <c r="AG3000">
        <v>-1.1215463967520001</v>
      </c>
      <c r="AH3000">
        <v>8.3105451188937796</v>
      </c>
      <c r="AI3000">
        <v>97.592726685463205</v>
      </c>
      <c r="AJ3000">
        <v>98.983187763978606</v>
      </c>
      <c r="AK3000">
        <v>8.4881679754990493</v>
      </c>
      <c r="AL3000">
        <v>95.657460505021902</v>
      </c>
      <c r="AM3000">
        <v>95.682871986581404</v>
      </c>
      <c r="AN3000">
        <v>1.0000000081082601</v>
      </c>
    </row>
    <row r="3001" spans="1:40" x14ac:dyDescent="0.25">
      <c r="A3001" t="str">
        <f>"20190303154826144"</f>
        <v>20190303154826144</v>
      </c>
      <c r="B3001" t="str">
        <f>"1551599306133801"</f>
        <v>1551599306133801</v>
      </c>
      <c r="C3001" t="s">
        <v>40</v>
      </c>
      <c r="D3001">
        <v>5.8140320000000001</v>
      </c>
      <c r="E3001">
        <v>0.4788636</v>
      </c>
      <c r="F3001" t="s">
        <v>47</v>
      </c>
      <c r="G3001">
        <v>-489.27179999999998</v>
      </c>
      <c r="H3001" s="1">
        <v>5.5282179999999999E-6</v>
      </c>
      <c r="I3001">
        <v>226.6397</v>
      </c>
      <c r="J3001">
        <v>-490.2996</v>
      </c>
      <c r="K3001">
        <v>1.1218030000000001</v>
      </c>
      <c r="L3001">
        <v>235.1781</v>
      </c>
      <c r="M3001">
        <v>-3.8479760000000002E-2</v>
      </c>
      <c r="N3001">
        <v>-1.4699790000000001E-2</v>
      </c>
      <c r="O3001">
        <v>-0.99915129999999996</v>
      </c>
      <c r="P3001">
        <v>6.160703E-2</v>
      </c>
      <c r="Q3001">
        <v>-0.1123111</v>
      </c>
      <c r="R3001">
        <v>-0.99176140000000002</v>
      </c>
      <c r="S3001">
        <v>0.346466099999999</v>
      </c>
      <c r="T3001">
        <v>-0.38054120000000002</v>
      </c>
      <c r="U3001">
        <v>-2.9606170000000001</v>
      </c>
      <c r="V3001">
        <v>-9.9488010000000002E-2</v>
      </c>
      <c r="W3001">
        <v>-9.8010609999999998E-2</v>
      </c>
      <c r="X3001">
        <v>0.99019999999999997</v>
      </c>
      <c r="Y3001">
        <v>-0.1534808</v>
      </c>
      <c r="Z3001">
        <v>0.111538</v>
      </c>
      <c r="AA3001">
        <v>0.9818365</v>
      </c>
      <c r="AB3001">
        <v>34</v>
      </c>
      <c r="AC3001">
        <v>1.02780000000001</v>
      </c>
      <c r="AD3001">
        <v>-1.1217974717820001</v>
      </c>
      <c r="AE3001">
        <v>-8.5383999999999904</v>
      </c>
      <c r="AF3001">
        <v>-1.3329497520265401</v>
      </c>
      <c r="AG3001">
        <v>-1.1217974717820001</v>
      </c>
      <c r="AH3001">
        <v>8.3504396466809894</v>
      </c>
      <c r="AI3001">
        <v>97.5567589546378</v>
      </c>
      <c r="AJ3001">
        <v>99.0693985074046</v>
      </c>
      <c r="AK3001">
        <v>8.5302419017273898</v>
      </c>
      <c r="AL3001">
        <v>95.624624075085507</v>
      </c>
      <c r="AM3001">
        <v>95.737404143807794</v>
      </c>
      <c r="AN3001">
        <v>0.99999999190316602</v>
      </c>
    </row>
    <row r="3002" spans="1:40" x14ac:dyDescent="0.25">
      <c r="A3002" t="str">
        <f>"20190303154826162"</f>
        <v>20190303154826162</v>
      </c>
      <c r="B3002" t="str">
        <f>"1551599306154297"</f>
        <v>1551599306154297</v>
      </c>
      <c r="C3002" t="s">
        <v>40</v>
      </c>
      <c r="D3002">
        <v>5.8309959999999998</v>
      </c>
      <c r="E3002">
        <v>0.47844880000000001</v>
      </c>
      <c r="F3002" t="s">
        <v>47</v>
      </c>
      <c r="G3002">
        <v>-489.25970000000001</v>
      </c>
      <c r="H3002" s="1">
        <v>5.4579489999999997E-6</v>
      </c>
      <c r="I3002">
        <v>226.42330000000001</v>
      </c>
      <c r="J3002">
        <v>-490.30829999999997</v>
      </c>
      <c r="K3002">
        <v>1.122193</v>
      </c>
      <c r="L3002">
        <v>234.91679999999999</v>
      </c>
      <c r="M3002">
        <v>-3.708272E-2</v>
      </c>
      <c r="N3002">
        <v>-1.544007E-2</v>
      </c>
      <c r="O3002">
        <v>-0.99919309999999995</v>
      </c>
      <c r="P3002">
        <v>6.4563239999999994E-2</v>
      </c>
      <c r="Q3002">
        <v>-0.1127869</v>
      </c>
      <c r="R3002">
        <v>-0.99151959999999995</v>
      </c>
      <c r="S3002">
        <v>0.35159299999999999</v>
      </c>
      <c r="T3002">
        <v>-0.37929810000000003</v>
      </c>
      <c r="U3002">
        <v>-2.9601440000000001</v>
      </c>
      <c r="V3002">
        <v>-0.1009965</v>
      </c>
      <c r="W3002">
        <v>-9.7817260000000003E-2</v>
      </c>
      <c r="X3002">
        <v>0.99006640000000001</v>
      </c>
      <c r="Y3002">
        <v>-0.1538012</v>
      </c>
      <c r="Z3002">
        <v>0.1104092</v>
      </c>
      <c r="AA3002">
        <v>0.98191390000000001</v>
      </c>
      <c r="AB3002">
        <v>33</v>
      </c>
      <c r="AC3002">
        <v>1.04859999999996</v>
      </c>
      <c r="AD3002">
        <v>-1.1221875420509999</v>
      </c>
      <c r="AE3002">
        <v>-8.4934999999999796</v>
      </c>
      <c r="AF3002">
        <v>-1.3398403775315</v>
      </c>
      <c r="AG3002">
        <v>-1.1221875420509999</v>
      </c>
      <c r="AH3002">
        <v>8.3059510851387497</v>
      </c>
      <c r="AI3002">
        <v>97.597394809448701</v>
      </c>
      <c r="AJ3002">
        <v>99.163495694864906</v>
      </c>
      <c r="AK3002">
        <v>8.4878324998503398</v>
      </c>
      <c r="AL3002">
        <v>95.613492441725001</v>
      </c>
      <c r="AM3002">
        <v>95.824584638606495</v>
      </c>
      <c r="AN3002">
        <v>0.99999999288755803</v>
      </c>
    </row>
    <row r="3003" spans="1:40" x14ac:dyDescent="0.25">
      <c r="A3003" t="str">
        <f>"20190303154826173"</f>
        <v>20190303154826173</v>
      </c>
      <c r="B3003" t="str">
        <f>"1551599306164056"</f>
        <v>1551599306164056</v>
      </c>
      <c r="C3003" t="s">
        <v>40</v>
      </c>
      <c r="D3003">
        <v>5.8819679999999996</v>
      </c>
      <c r="E3003">
        <v>0.47824119999999998</v>
      </c>
      <c r="F3003" t="s">
        <v>47</v>
      </c>
      <c r="G3003">
        <v>-489.24079999999998</v>
      </c>
      <c r="H3003" s="1">
        <v>5.3965379999999997E-6</v>
      </c>
      <c r="I3003">
        <v>226.2413</v>
      </c>
      <c r="J3003">
        <v>-490.31400000000002</v>
      </c>
      <c r="K3003">
        <v>1.1225050000000001</v>
      </c>
      <c r="L3003">
        <v>234.7337</v>
      </c>
      <c r="M3003">
        <v>-3.5942889999999998E-2</v>
      </c>
      <c r="N3003">
        <v>-1.6172260000000001E-2</v>
      </c>
      <c r="O3003">
        <v>-0.99922310000000003</v>
      </c>
      <c r="P3003">
        <v>6.6314819999999997E-2</v>
      </c>
      <c r="Q3003">
        <v>-0.11352959999999999</v>
      </c>
      <c r="R3003">
        <v>-0.99131919999999996</v>
      </c>
      <c r="S3003">
        <v>0.36404419999999998</v>
      </c>
      <c r="T3003">
        <v>-0.3826773</v>
      </c>
      <c r="U3003">
        <v>-2.95845</v>
      </c>
      <c r="V3003">
        <v>-0.1015751</v>
      </c>
      <c r="W3003">
        <v>-9.7878240000000005E-2</v>
      </c>
      <c r="X3003">
        <v>0.99000120000000003</v>
      </c>
      <c r="Y3003">
        <v>-0.1567934</v>
      </c>
      <c r="Z3003">
        <v>0.1108017</v>
      </c>
      <c r="AA3003">
        <v>0.98139639999999995</v>
      </c>
      <c r="AB3003">
        <v>33</v>
      </c>
      <c r="AC3003">
        <v>1.0732000000000399</v>
      </c>
      <c r="AD3003">
        <v>-1.1224996034619901</v>
      </c>
      <c r="AE3003">
        <v>-8.4923999999999999</v>
      </c>
      <c r="AF3003">
        <v>-1.35449557252869</v>
      </c>
      <c r="AG3003">
        <v>-1.1224996034619901</v>
      </c>
      <c r="AH3003">
        <v>8.3055095983028</v>
      </c>
      <c r="AI3003">
        <v>97.597777614329701</v>
      </c>
      <c r="AJ3003">
        <v>99.262482080397007</v>
      </c>
      <c r="AK3003">
        <v>8.48976756473769</v>
      </c>
      <c r="AL3003">
        <v>95.617003069445204</v>
      </c>
      <c r="AM3003">
        <v>95.858104886266204</v>
      </c>
      <c r="AN3003">
        <v>1.0000000134034699</v>
      </c>
    </row>
    <row r="3004" spans="1:40" x14ac:dyDescent="0.25">
      <c r="A3004" t="str">
        <f>"20190303154826187"</f>
        <v>20190303154826187</v>
      </c>
      <c r="B3004" t="str">
        <f>"1551599306183577"</f>
        <v>1551599306183577</v>
      </c>
      <c r="C3004" t="s">
        <v>40</v>
      </c>
      <c r="D3004">
        <v>5.8981079999999997</v>
      </c>
      <c r="E3004">
        <v>0.47778579999999998</v>
      </c>
      <c r="F3004" t="s">
        <v>47</v>
      </c>
      <c r="G3004">
        <v>-489.23480000000001</v>
      </c>
      <c r="H3004" s="1">
        <v>5.3590709999999999E-6</v>
      </c>
      <c r="I3004">
        <v>226.12549999999999</v>
      </c>
      <c r="J3004">
        <v>-490.31950000000001</v>
      </c>
      <c r="K3004">
        <v>1.122833</v>
      </c>
      <c r="L3004">
        <v>234.54990000000001</v>
      </c>
      <c r="M3004">
        <v>-3.4717869999999998E-2</v>
      </c>
      <c r="N3004">
        <v>-1.7001929999999998E-2</v>
      </c>
      <c r="O3004">
        <v>-0.99925269999999999</v>
      </c>
      <c r="P3004">
        <v>6.7685750000000003E-2</v>
      </c>
      <c r="Q3004">
        <v>-0.11510339999999999</v>
      </c>
      <c r="R3004">
        <v>-0.9910447</v>
      </c>
      <c r="S3004">
        <v>0.37075809999999998</v>
      </c>
      <c r="T3004">
        <v>-0.38562570000000002</v>
      </c>
      <c r="U3004">
        <v>-2.9572910000000001</v>
      </c>
      <c r="V3004">
        <v>-0.1016832</v>
      </c>
      <c r="W3004">
        <v>-9.8673449999999996E-2</v>
      </c>
      <c r="X3004">
        <v>0.98991110000000004</v>
      </c>
      <c r="Y3004">
        <v>-0.15780859999999999</v>
      </c>
      <c r="Z3004">
        <v>0.110968899999999</v>
      </c>
      <c r="AA3004">
        <v>0.9812147</v>
      </c>
      <c r="AB3004">
        <v>33</v>
      </c>
      <c r="AC3004">
        <v>1.08469999999999</v>
      </c>
      <c r="AD3004">
        <v>-1.1228276409289999</v>
      </c>
      <c r="AE3004">
        <v>-8.4244000000000199</v>
      </c>
      <c r="AF3004">
        <v>-1.35292355181385</v>
      </c>
      <c r="AG3004">
        <v>-1.1228276409289999</v>
      </c>
      <c r="AH3004">
        <v>8.2377053484757106</v>
      </c>
      <c r="AI3004">
        <v>97.660397608415494</v>
      </c>
      <c r="AJ3004">
        <v>99.3267374535193</v>
      </c>
      <c r="AK3004">
        <v>8.4232377062856401</v>
      </c>
      <c r="AL3004">
        <v>95.662787211797905</v>
      </c>
      <c r="AM3004">
        <v>95.8648259108395</v>
      </c>
      <c r="AN3004">
        <v>0.99999995440017497</v>
      </c>
    </row>
    <row r="3005" spans="1:40" x14ac:dyDescent="0.25">
      <c r="A3005" t="str">
        <f>"20190303154826199"</f>
        <v>20190303154826199</v>
      </c>
      <c r="B3005" t="str">
        <f>"1551599306193337"</f>
        <v>1551599306193337</v>
      </c>
      <c r="C3005" t="s">
        <v>40</v>
      </c>
      <c r="D3005">
        <v>5.8699529999999998</v>
      </c>
      <c r="E3005">
        <v>0.4776164</v>
      </c>
      <c r="F3005" t="s">
        <v>47</v>
      </c>
      <c r="G3005">
        <v>-489.23559999999998</v>
      </c>
      <c r="H3005" s="1">
        <v>5.3455800000000004E-6</v>
      </c>
      <c r="I3005">
        <v>226.0813</v>
      </c>
      <c r="J3005">
        <v>-490.32459999999998</v>
      </c>
      <c r="K3005">
        <v>1.1231640000000001</v>
      </c>
      <c r="L3005">
        <v>234.37260000000001</v>
      </c>
      <c r="M3005">
        <v>-3.3458719999999997E-2</v>
      </c>
      <c r="N3005">
        <v>-1.7892829999999998E-2</v>
      </c>
      <c r="O3005">
        <v>-0.99928030000000001</v>
      </c>
      <c r="P3005">
        <v>6.9248950000000004E-2</v>
      </c>
      <c r="Q3005">
        <v>-0.11656809999999999</v>
      </c>
      <c r="R3005">
        <v>-0.99076600000000004</v>
      </c>
      <c r="S3005">
        <v>0.37832640000000001</v>
      </c>
      <c r="T3005">
        <v>-0.39189200000000002</v>
      </c>
      <c r="U3005">
        <v>-2.9557340000000001</v>
      </c>
      <c r="V3005">
        <v>-0.101953</v>
      </c>
      <c r="W3005">
        <v>-9.9298479999999995E-2</v>
      </c>
      <c r="X3005">
        <v>0.9898209</v>
      </c>
      <c r="Y3005">
        <v>-0.15906809999999999</v>
      </c>
      <c r="Z3005">
        <v>0.1121709</v>
      </c>
      <c r="AA3005">
        <v>0.98087460000000004</v>
      </c>
      <c r="AB3005">
        <v>33</v>
      </c>
      <c r="AC3005">
        <v>1.08899999999999</v>
      </c>
      <c r="AD3005">
        <v>-1.1231586544200001</v>
      </c>
      <c r="AE3005">
        <v>-8.2912999999999997</v>
      </c>
      <c r="AF3005">
        <v>-1.3416488675601901</v>
      </c>
      <c r="AG3005">
        <v>-1.1231586544200001</v>
      </c>
      <c r="AH3005">
        <v>8.1040265184637796</v>
      </c>
      <c r="AI3005">
        <v>97.785861193683203</v>
      </c>
      <c r="AJ3005">
        <v>99.400247575715895</v>
      </c>
      <c r="AK3005">
        <v>8.2907631047321804</v>
      </c>
      <c r="AL3005">
        <v>95.698775232281093</v>
      </c>
      <c r="AM3005">
        <v>95.880810483504305</v>
      </c>
      <c r="AN3005">
        <v>1.00000000820806</v>
      </c>
    </row>
    <row r="3006" spans="1:40" x14ac:dyDescent="0.25">
      <c r="A3006" t="str">
        <f>"20190303154826217"</f>
        <v>20190303154826217</v>
      </c>
      <c r="B3006" t="str">
        <f>"1551599306213833"</f>
        <v>1551599306213833</v>
      </c>
      <c r="C3006" t="s">
        <v>40</v>
      </c>
      <c r="D3006">
        <v>5.8414529999999996</v>
      </c>
      <c r="E3006">
        <v>0.477242</v>
      </c>
      <c r="F3006" t="s">
        <v>47</v>
      </c>
      <c r="G3006">
        <v>-489.238</v>
      </c>
      <c r="H3006" s="1">
        <v>5.3270680000000002E-6</v>
      </c>
      <c r="I3006">
        <v>226.01949999999999</v>
      </c>
      <c r="J3006">
        <v>-490.33120000000002</v>
      </c>
      <c r="K3006">
        <v>1.123691</v>
      </c>
      <c r="L3006">
        <v>234.10769999999999</v>
      </c>
      <c r="M3006">
        <v>-3.136895E-2</v>
      </c>
      <c r="N3006">
        <v>-1.9370189999999999E-2</v>
      </c>
      <c r="O3006">
        <v>-0.99932030000000005</v>
      </c>
      <c r="P3006">
        <v>7.2059540000000005E-2</v>
      </c>
      <c r="Q3006">
        <v>-0.1188958</v>
      </c>
      <c r="R3006">
        <v>-0.99028859999999996</v>
      </c>
      <c r="S3006">
        <v>0.38430789999999998</v>
      </c>
      <c r="T3006">
        <v>-0.39724159999999997</v>
      </c>
      <c r="U3006">
        <v>-2.954361</v>
      </c>
      <c r="V3006">
        <v>-0.1026149</v>
      </c>
      <c r="W3006">
        <v>-0.1002382</v>
      </c>
      <c r="X3006">
        <v>0.98965780000000003</v>
      </c>
      <c r="Y3006">
        <v>-0.15898809999999999</v>
      </c>
      <c r="Z3006">
        <v>0.1125063</v>
      </c>
      <c r="AA3006">
        <v>0.98084910000000003</v>
      </c>
      <c r="AB3006">
        <v>33</v>
      </c>
      <c r="AC3006">
        <v>1.09319999999996</v>
      </c>
      <c r="AD3006">
        <v>-1.1236856729319999</v>
      </c>
      <c r="AE3006">
        <v>-8.0882000000000005</v>
      </c>
      <c r="AF3006">
        <v>-1.32138094952992</v>
      </c>
      <c r="AG3006">
        <v>-1.1236856729319999</v>
      </c>
      <c r="AH3006">
        <v>7.9001713872826302</v>
      </c>
      <c r="AI3006">
        <v>97.985727554655298</v>
      </c>
      <c r="AJ3006">
        <v>99.495383609263001</v>
      </c>
      <c r="AK3006">
        <v>8.0883511950070801</v>
      </c>
      <c r="AL3006">
        <v>95.752887034441599</v>
      </c>
      <c r="AM3006">
        <v>95.919688260323198</v>
      </c>
      <c r="AN3006">
        <v>1.0000000377710401</v>
      </c>
    </row>
    <row r="3007" spans="1:40" x14ac:dyDescent="0.25">
      <c r="A3007" t="str">
        <f>"20190303154826231"</f>
        <v>20190303154826231</v>
      </c>
      <c r="B3007" t="str">
        <f>"1551599306223593"</f>
        <v>1551599306223593</v>
      </c>
      <c r="C3007" t="s">
        <v>40</v>
      </c>
      <c r="D3007">
        <v>5.8457400000000002</v>
      </c>
      <c r="E3007">
        <v>0.47708349999999999</v>
      </c>
      <c r="F3007" t="s">
        <v>47</v>
      </c>
      <c r="G3007">
        <v>-489.23590000000002</v>
      </c>
      <c r="H3007" s="1">
        <v>5.3006319999999997E-6</v>
      </c>
      <c r="I3007">
        <v>225.9359</v>
      </c>
      <c r="J3007">
        <v>-490.33519999999999</v>
      </c>
      <c r="K3007">
        <v>1.12405</v>
      </c>
      <c r="L3007">
        <v>233.92779999999999</v>
      </c>
      <c r="M3007">
        <v>-2.978942E-2</v>
      </c>
      <c r="N3007">
        <v>-2.0414640000000001E-2</v>
      </c>
      <c r="O3007">
        <v>-0.99934780000000001</v>
      </c>
      <c r="P3007">
        <v>7.3957140000000005E-2</v>
      </c>
      <c r="Q3007">
        <v>-0.1199288</v>
      </c>
      <c r="R3007">
        <v>-0.99002409999999996</v>
      </c>
      <c r="S3007">
        <v>0.39566040000000002</v>
      </c>
      <c r="T3007">
        <v>-0.4059063</v>
      </c>
      <c r="U3007">
        <v>-2.951889</v>
      </c>
      <c r="V3007">
        <v>-0.102898</v>
      </c>
      <c r="W3007">
        <v>-0.100288</v>
      </c>
      <c r="X3007">
        <v>0.98962329999999998</v>
      </c>
      <c r="Y3007">
        <v>-0.16118979999999999</v>
      </c>
      <c r="Z3007">
        <v>0.1143588</v>
      </c>
      <c r="AA3007">
        <v>0.98027549999999997</v>
      </c>
      <c r="AB3007">
        <v>32</v>
      </c>
      <c r="AC3007">
        <v>1.09929999999997</v>
      </c>
      <c r="AD3007">
        <v>-1.124044699368</v>
      </c>
      <c r="AE3007">
        <v>-7.9918999999999798</v>
      </c>
      <c r="AF3007">
        <v>-1.3114739468868</v>
      </c>
      <c r="AG3007">
        <v>-1.124044699368</v>
      </c>
      <c r="AH3007">
        <v>7.8040847537213702</v>
      </c>
      <c r="AI3007">
        <v>98.084279808187205</v>
      </c>
      <c r="AJ3007">
        <v>99.539404066718205</v>
      </c>
      <c r="AK3007">
        <v>7.9929455923837303</v>
      </c>
      <c r="AL3007">
        <v>95.755755156592798</v>
      </c>
      <c r="AM3007">
        <v>95.936108850899899</v>
      </c>
      <c r="AN3007">
        <v>0.99999997862544399</v>
      </c>
    </row>
    <row r="3008" spans="1:40" x14ac:dyDescent="0.25">
      <c r="A3008" t="str">
        <f>"20190303154826246"</f>
        <v>20190303154826246</v>
      </c>
      <c r="B3008" t="str">
        <f>"1551599306234329"</f>
        <v>1551599306234329</v>
      </c>
      <c r="C3008" t="s">
        <v>40</v>
      </c>
      <c r="D3008">
        <v>5.8693239999999998</v>
      </c>
      <c r="E3008">
        <v>0.47694110000000001</v>
      </c>
      <c r="F3008" t="s">
        <v>47</v>
      </c>
      <c r="G3008">
        <v>-489.2319</v>
      </c>
      <c r="H3008" s="1">
        <v>5.2690260000000002E-6</v>
      </c>
      <c r="I3008">
        <v>225.8373</v>
      </c>
      <c r="J3008">
        <v>-490.33940000000001</v>
      </c>
      <c r="K3008">
        <v>1.1244449999999999</v>
      </c>
      <c r="L3008">
        <v>233.71889999999999</v>
      </c>
      <c r="M3008">
        <v>-2.7825119999999998E-2</v>
      </c>
      <c r="N3008">
        <v>-2.1639470000000001E-2</v>
      </c>
      <c r="O3008">
        <v>-0.99937869999999995</v>
      </c>
      <c r="P3008">
        <v>7.5983380000000003E-2</v>
      </c>
      <c r="Q3008">
        <v>-0.1212613</v>
      </c>
      <c r="R3008">
        <v>-0.98970840000000004</v>
      </c>
      <c r="S3008">
        <v>0.40234379999999997</v>
      </c>
      <c r="T3008">
        <v>-0.40992840000000003</v>
      </c>
      <c r="U3008">
        <v>-2.9505159999999999</v>
      </c>
      <c r="V3008">
        <v>-0.1029226</v>
      </c>
      <c r="W3008">
        <v>-0.1004647</v>
      </c>
      <c r="X3008">
        <v>0.98960289999999995</v>
      </c>
      <c r="Y3008">
        <v>-0.1614691</v>
      </c>
      <c r="Z3008">
        <v>0.1145046</v>
      </c>
      <c r="AA3008">
        <v>0.98021250000000004</v>
      </c>
      <c r="AB3008">
        <v>32</v>
      </c>
      <c r="AC3008">
        <v>1.1075000000000099</v>
      </c>
      <c r="AD3008">
        <v>-1.124439730974</v>
      </c>
      <c r="AE3008">
        <v>-7.8815999999999899</v>
      </c>
      <c r="AF3008">
        <v>-1.3004718746359001</v>
      </c>
      <c r="AG3008">
        <v>-1.124439730974</v>
      </c>
      <c r="AH3008">
        <v>7.6941511054435496</v>
      </c>
      <c r="AI3008">
        <v>98.199782888437497</v>
      </c>
      <c r="AJ3008">
        <v>99.593510513879494</v>
      </c>
      <c r="AK3008">
        <v>7.8838793140629697</v>
      </c>
      <c r="AL3008">
        <v>95.765930249532204</v>
      </c>
      <c r="AM3008">
        <v>95.937639392830704</v>
      </c>
      <c r="AN3008">
        <v>1.0000000586126201</v>
      </c>
    </row>
    <row r="3009" spans="1:40" x14ac:dyDescent="0.25">
      <c r="A3009" t="str">
        <f>"20190303154826263"</f>
        <v>20190303154826263</v>
      </c>
      <c r="B3009" t="str">
        <f>"1551599306253849"</f>
        <v>1551599306253849</v>
      </c>
      <c r="C3009" t="s">
        <v>40</v>
      </c>
      <c r="D3009">
        <v>5.8163019999999896</v>
      </c>
      <c r="E3009">
        <v>0.47671940000000002</v>
      </c>
      <c r="F3009" t="s">
        <v>47</v>
      </c>
      <c r="G3009">
        <v>-489.22820000000002</v>
      </c>
      <c r="H3009" s="1">
        <v>5.2319139999999998E-6</v>
      </c>
      <c r="I3009">
        <v>225.72069999999999</v>
      </c>
      <c r="J3009">
        <v>-490.34350000000001</v>
      </c>
      <c r="K3009">
        <v>1.124871</v>
      </c>
      <c r="L3009">
        <v>233.47</v>
      </c>
      <c r="M3009">
        <v>-2.5230579999999999E-2</v>
      </c>
      <c r="N3009">
        <v>-2.3100880000000001E-2</v>
      </c>
      <c r="O3009">
        <v>-0.99941469999999999</v>
      </c>
      <c r="P3009">
        <v>7.9250169999999995E-2</v>
      </c>
      <c r="Q3009">
        <v>-0.123876399999999</v>
      </c>
      <c r="R3009">
        <v>-0.98912820000000001</v>
      </c>
      <c r="S3009">
        <v>0.40966799999999998</v>
      </c>
      <c r="T3009">
        <v>-0.41457889999999997</v>
      </c>
      <c r="U3009">
        <v>-2.948944</v>
      </c>
      <c r="V3009">
        <v>-0.103546</v>
      </c>
      <c r="W3009">
        <v>-0.1017049</v>
      </c>
      <c r="X3009">
        <v>0.98941109999999999</v>
      </c>
      <c r="Y3009">
        <v>-0.1613414</v>
      </c>
      <c r="Z3009">
        <v>0.11463569999999999</v>
      </c>
      <c r="AA3009">
        <v>0.98021820000000004</v>
      </c>
      <c r="AB3009">
        <v>32</v>
      </c>
      <c r="AC3009">
        <v>1.11529999999999</v>
      </c>
      <c r="AD3009">
        <v>-1.1248657680859999</v>
      </c>
      <c r="AE3009">
        <v>-7.7492999999999999</v>
      </c>
      <c r="AF3009">
        <v>-1.2840104813576201</v>
      </c>
      <c r="AG3009">
        <v>-1.1248657680859999</v>
      </c>
      <c r="AH3009">
        <v>7.5625705501349598</v>
      </c>
      <c r="AI3009">
        <v>98.342540738641006</v>
      </c>
      <c r="AJ3009">
        <v>99.636068185950194</v>
      </c>
      <c r="AK3009">
        <v>7.7528368509995396</v>
      </c>
      <c r="AL3009">
        <v>95.837354708763996</v>
      </c>
      <c r="AM3009">
        <v>95.974493865796305</v>
      </c>
      <c r="AN3009">
        <v>0.99999999280161</v>
      </c>
    </row>
    <row r="3010" spans="1:40" x14ac:dyDescent="0.25">
      <c r="A3010" t="str">
        <f>"20190303154826288"</f>
        <v>20190303154826288</v>
      </c>
      <c r="B3010" t="str">
        <f>"1551599306284105"</f>
        <v>1551599306284105</v>
      </c>
      <c r="C3010" t="s">
        <v>40</v>
      </c>
      <c r="D3010">
        <v>5.7810940000000004</v>
      </c>
      <c r="E3010">
        <v>0.47638710000000001</v>
      </c>
      <c r="F3010" t="s">
        <v>47</v>
      </c>
      <c r="G3010">
        <v>-489.22559999999999</v>
      </c>
      <c r="H3010" s="1">
        <v>5.2091090000000003E-6</v>
      </c>
      <c r="I3010">
        <v>225.64940000000001</v>
      </c>
      <c r="J3010">
        <v>-490.34730000000002</v>
      </c>
      <c r="K3010">
        <v>1.1253500000000001</v>
      </c>
      <c r="L3010">
        <v>233.14769999999999</v>
      </c>
      <c r="M3010">
        <v>-2.1450670000000002E-2</v>
      </c>
      <c r="N3010">
        <v>-2.4950670000000001E-2</v>
      </c>
      <c r="O3010">
        <v>-0.99945839999999997</v>
      </c>
      <c r="P3010">
        <v>8.4408570000000002E-2</v>
      </c>
      <c r="Q3010">
        <v>-0.12621099999999999</v>
      </c>
      <c r="R3010">
        <v>-0.9884058</v>
      </c>
      <c r="S3010">
        <v>0.42114259999999898</v>
      </c>
      <c r="T3010">
        <v>-0.42375669999999999</v>
      </c>
      <c r="U3010">
        <v>-2.946167</v>
      </c>
      <c r="V3010">
        <v>-0.10488840000000001</v>
      </c>
      <c r="W3010">
        <v>-0.10229340000000001</v>
      </c>
      <c r="X3010">
        <v>0.989209</v>
      </c>
      <c r="Y3010">
        <v>-0.16142479999999901</v>
      </c>
      <c r="Z3010">
        <v>0.1159046</v>
      </c>
      <c r="AA3010">
        <v>0.98005520000000002</v>
      </c>
      <c r="AB3010">
        <v>31</v>
      </c>
      <c r="AC3010">
        <v>1.1217000000000299</v>
      </c>
      <c r="AD3010">
        <v>-1.1253447908909999</v>
      </c>
      <c r="AE3010">
        <v>-7.4982999999999702</v>
      </c>
      <c r="AF3010">
        <v>-1.2546932809315301</v>
      </c>
      <c r="AG3010">
        <v>-1.1253447908909999</v>
      </c>
      <c r="AH3010">
        <v>7.31142696315856</v>
      </c>
      <c r="AI3010">
        <v>98.625912359815004</v>
      </c>
      <c r="AJ3010">
        <v>99.737518994448806</v>
      </c>
      <c r="AK3010">
        <v>7.5031740193868801</v>
      </c>
      <c r="AL3010">
        <v>95.871250127495301</v>
      </c>
      <c r="AM3010">
        <v>96.052604983053698</v>
      </c>
      <c r="AN3010">
        <v>0.99999998090955899</v>
      </c>
    </row>
    <row r="3011" spans="1:40" x14ac:dyDescent="0.25">
      <c r="A3011" t="str">
        <f>"20190303154826300"</f>
        <v>20190303154826300</v>
      </c>
      <c r="B3011" t="str">
        <f>"1551599306293865"</f>
        <v>1551599306293865</v>
      </c>
      <c r="C3011" t="s">
        <v>40</v>
      </c>
      <c r="D3011">
        <v>5.8209910000000002</v>
      </c>
      <c r="E3011">
        <v>0.47631980000000002</v>
      </c>
      <c r="F3011" t="s">
        <v>47</v>
      </c>
      <c r="G3011">
        <v>-489.20600000000002</v>
      </c>
      <c r="H3011" s="1">
        <v>5.1565249999999997E-6</v>
      </c>
      <c r="I3011">
        <v>225.49639999999999</v>
      </c>
      <c r="J3011">
        <v>-490.34890000000001</v>
      </c>
      <c r="K3011">
        <v>1.125594</v>
      </c>
      <c r="L3011">
        <v>232.96080000000001</v>
      </c>
      <c r="M3011">
        <v>-1.9109370000000001E-2</v>
      </c>
      <c r="N3011">
        <v>-2.5997800000000001E-2</v>
      </c>
      <c r="O3011">
        <v>-0.99947940000000002</v>
      </c>
      <c r="P3011">
        <v>8.7645500000000001E-2</v>
      </c>
      <c r="Q3011">
        <v>-0.1272607</v>
      </c>
      <c r="R3011">
        <v>-0.98798949999999996</v>
      </c>
      <c r="S3011">
        <v>0.43890380000000001</v>
      </c>
      <c r="T3011">
        <v>-0.43277450000000001</v>
      </c>
      <c r="U3011">
        <v>-2.9424589999999999</v>
      </c>
      <c r="V3011">
        <v>-0.10577449999999999</v>
      </c>
      <c r="W3011">
        <v>-0.102352</v>
      </c>
      <c r="X3011">
        <v>0.9891086</v>
      </c>
      <c r="Y3011">
        <v>-0.16501260000000001</v>
      </c>
      <c r="Z3011">
        <v>0.1178897</v>
      </c>
      <c r="AA3011">
        <v>0.9792206</v>
      </c>
      <c r="AB3011">
        <v>31</v>
      </c>
      <c r="AC3011">
        <v>1.14290000000005</v>
      </c>
      <c r="AD3011">
        <v>-1.1255888434750001</v>
      </c>
      <c r="AE3011">
        <v>-7.4644000000000101</v>
      </c>
      <c r="AF3011">
        <v>-1.25744147814119</v>
      </c>
      <c r="AG3011">
        <v>-1.1255888434750001</v>
      </c>
      <c r="AH3011">
        <v>7.2794533906822299</v>
      </c>
      <c r="AI3011">
        <v>98.663462537617093</v>
      </c>
      <c r="AJ3011">
        <v>99.800470392232597</v>
      </c>
      <c r="AK3011">
        <v>7.4725197211262202</v>
      </c>
      <c r="AL3011">
        <v>95.874625265426701</v>
      </c>
      <c r="AM3011">
        <v>96.103968062553093</v>
      </c>
      <c r="AN3011">
        <v>0.99999999967410502</v>
      </c>
    </row>
    <row r="3012" spans="1:40" x14ac:dyDescent="0.25">
      <c r="A3012" t="str">
        <f>"20190303154826318"</f>
        <v>20190303154826318</v>
      </c>
      <c r="B3012" t="str">
        <f>"1551599306313385"</f>
        <v>1551599306313385</v>
      </c>
      <c r="C3012" t="s">
        <v>40</v>
      </c>
      <c r="D3012">
        <v>5.7686330000000003</v>
      </c>
      <c r="E3012">
        <v>0.4762227</v>
      </c>
      <c r="F3012" t="s">
        <v>47</v>
      </c>
      <c r="G3012">
        <v>-489.19139999999999</v>
      </c>
      <c r="H3012" s="1">
        <v>5.116889E-6</v>
      </c>
      <c r="I3012">
        <v>225.381</v>
      </c>
      <c r="J3012">
        <v>-490.34989999999999</v>
      </c>
      <c r="K3012">
        <v>1.1258509999999999</v>
      </c>
      <c r="L3012">
        <v>232.7193</v>
      </c>
      <c r="M3012">
        <v>-1.58627E-2</v>
      </c>
      <c r="N3012">
        <v>-2.7285480000000001E-2</v>
      </c>
      <c r="O3012">
        <v>-0.99950190000000005</v>
      </c>
      <c r="P3012">
        <v>9.3575980000000003E-2</v>
      </c>
      <c r="Q3012">
        <v>-0.12727559999999999</v>
      </c>
      <c r="R3012">
        <v>-0.98744339999999997</v>
      </c>
      <c r="S3012">
        <v>0.44900509999999899</v>
      </c>
      <c r="T3012">
        <v>-0.43664059999999999</v>
      </c>
      <c r="U3012">
        <v>-2.940369</v>
      </c>
      <c r="V3012">
        <v>-0.1084692</v>
      </c>
      <c r="W3012">
        <v>-0.1011553</v>
      </c>
      <c r="X3012">
        <v>0.98893989999999998</v>
      </c>
      <c r="Y3012">
        <v>-0.1651753</v>
      </c>
      <c r="Z3012">
        <v>0.1179501</v>
      </c>
      <c r="AA3012">
        <v>0.9791858</v>
      </c>
      <c r="AB3012">
        <v>30</v>
      </c>
      <c r="AC3012">
        <v>1.1585000000000001</v>
      </c>
      <c r="AD3012">
        <v>-1.1258458831110001</v>
      </c>
      <c r="AE3012">
        <v>-7.3383000000000296</v>
      </c>
      <c r="AF3012">
        <v>-1.2461835115182001</v>
      </c>
      <c r="AG3012">
        <v>-1.1258458831110001</v>
      </c>
      <c r="AH3012">
        <v>7.1546814613467298</v>
      </c>
      <c r="AI3012">
        <v>98.812073743322301</v>
      </c>
      <c r="AJ3012">
        <v>99.880505774481094</v>
      </c>
      <c r="AK3012">
        <v>7.3491475090813303</v>
      </c>
      <c r="AL3012">
        <v>95.805701404741299</v>
      </c>
      <c r="AM3012">
        <v>96.259312461558693</v>
      </c>
      <c r="AN3012">
        <v>1.0000000439393599</v>
      </c>
    </row>
    <row r="3013" spans="1:40" x14ac:dyDescent="0.25">
      <c r="A3013" t="str">
        <f>"20190303154826330"</f>
        <v>20190303154826330</v>
      </c>
      <c r="B3013" t="str">
        <f>"1551599306324121"</f>
        <v>1551599306324121</v>
      </c>
      <c r="C3013" t="s">
        <v>40</v>
      </c>
      <c r="D3013">
        <v>5.7686260000000003</v>
      </c>
      <c r="E3013">
        <v>0.4761862</v>
      </c>
      <c r="F3013" t="s">
        <v>47</v>
      </c>
      <c r="G3013">
        <v>-489.14859999999999</v>
      </c>
      <c r="H3013" s="1">
        <v>5.0390079999999997E-6</v>
      </c>
      <c r="I3013">
        <v>225.16640000000001</v>
      </c>
      <c r="J3013">
        <v>-490.35</v>
      </c>
      <c r="K3013">
        <v>1.125983</v>
      </c>
      <c r="L3013">
        <v>232.56120000000001</v>
      </c>
      <c r="M3013">
        <v>-1.3631839999999999E-2</v>
      </c>
      <c r="N3013">
        <v>-2.808138E-2</v>
      </c>
      <c r="O3013">
        <v>-0.99951270000000003</v>
      </c>
      <c r="P3013">
        <v>9.7168539999999998E-2</v>
      </c>
      <c r="Q3013">
        <v>-0.1277229</v>
      </c>
      <c r="R3013">
        <v>-0.98703879999999999</v>
      </c>
      <c r="S3013">
        <v>0.46722409999999998</v>
      </c>
      <c r="T3013">
        <v>-0.4378592</v>
      </c>
      <c r="U3013">
        <v>-2.9374389999999999</v>
      </c>
      <c r="V3013">
        <v>-0.10984149999999999</v>
      </c>
      <c r="W3013">
        <v>-0.1008493</v>
      </c>
      <c r="X3013">
        <v>0.98881969999999997</v>
      </c>
      <c r="Y3013">
        <v>-0.16903119999999999</v>
      </c>
      <c r="Z3013">
        <v>0.1175921</v>
      </c>
      <c r="AA3013">
        <v>0.97857070000000002</v>
      </c>
      <c r="AB3013">
        <v>30</v>
      </c>
      <c r="AC3013">
        <v>1.20140000000003</v>
      </c>
      <c r="AD3013">
        <v>-1.125977960992</v>
      </c>
      <c r="AE3013">
        <v>-7.3948</v>
      </c>
      <c r="AF3013">
        <v>-1.2733689541967499</v>
      </c>
      <c r="AG3013">
        <v>-1.125977960992</v>
      </c>
      <c r="AH3013">
        <v>7.2147562074188398</v>
      </c>
      <c r="AI3013">
        <v>98.7374534230173</v>
      </c>
      <c r="AJ3013">
        <v>100.00934053712101</v>
      </c>
      <c r="AK3013">
        <v>7.4122872309861698</v>
      </c>
      <c r="AL3013">
        <v>95.7880786397848</v>
      </c>
      <c r="AM3013">
        <v>96.338625991849995</v>
      </c>
      <c r="AN3013">
        <v>1.00000006777041</v>
      </c>
    </row>
    <row r="3014" spans="1:40" x14ac:dyDescent="0.25">
      <c r="A3014" t="str">
        <f>"20190303154826344"</f>
        <v>20190303154826344</v>
      </c>
      <c r="B3014" t="str">
        <f>"1551599306333881"</f>
        <v>1551599306333881</v>
      </c>
      <c r="C3014" t="s">
        <v>40</v>
      </c>
      <c r="D3014">
        <v>5.7635310000000004</v>
      </c>
      <c r="E3014">
        <v>0.47612850000000001</v>
      </c>
      <c r="F3014" t="s">
        <v>47</v>
      </c>
      <c r="G3014">
        <v>-489.12479999999999</v>
      </c>
      <c r="H3014" s="1">
        <v>4.9949040000000003E-6</v>
      </c>
      <c r="I3014">
        <v>225.0445</v>
      </c>
      <c r="J3014">
        <v>-490.34980000000002</v>
      </c>
      <c r="K3014">
        <v>1.1261030000000001</v>
      </c>
      <c r="L3014">
        <v>232.39670000000001</v>
      </c>
      <c r="M3014">
        <v>-1.126808E-2</v>
      </c>
      <c r="N3014">
        <v>-2.8884460000000001E-2</v>
      </c>
      <c r="O3014">
        <v>-0.99951950000000001</v>
      </c>
      <c r="P3014">
        <v>0.10108780000000001</v>
      </c>
      <c r="Q3014">
        <v>-0.12797259999999999</v>
      </c>
      <c r="R3014">
        <v>-0.98661290000000001</v>
      </c>
      <c r="S3014">
        <v>0.4784851</v>
      </c>
      <c r="T3014">
        <v>-0.43971359999999898</v>
      </c>
      <c r="U3014">
        <v>-2.9353940000000001</v>
      </c>
      <c r="V3014">
        <v>-0.1114139</v>
      </c>
      <c r="W3014">
        <v>-0.1003397</v>
      </c>
      <c r="X3014">
        <v>0.98869560000000001</v>
      </c>
      <c r="Y3014">
        <v>-0.17044970000000001</v>
      </c>
      <c r="Z3014">
        <v>0.1174471</v>
      </c>
      <c r="AA3014">
        <v>0.97834200000000004</v>
      </c>
      <c r="AB3014">
        <v>30</v>
      </c>
      <c r="AC3014">
        <v>1.2250000000000201</v>
      </c>
      <c r="AD3014">
        <v>-1.1260980050959899</v>
      </c>
      <c r="AE3014">
        <v>-7.3522000000000096</v>
      </c>
      <c r="AF3014">
        <v>-1.27861648756128</v>
      </c>
      <c r="AG3014">
        <v>-1.1260980050959899</v>
      </c>
      <c r="AH3014">
        <v>7.1741677396674604</v>
      </c>
      <c r="AI3014">
        <v>98.784466470449104</v>
      </c>
      <c r="AJ3014">
        <v>100.10543840784401</v>
      </c>
      <c r="AK3014">
        <v>7.3737127416404098</v>
      </c>
      <c r="AL3014">
        <v>95.758731947862202</v>
      </c>
      <c r="AM3014">
        <v>96.429410341634707</v>
      </c>
      <c r="AN3014">
        <v>1.0000000509843201</v>
      </c>
    </row>
    <row r="3015" spans="1:40" x14ac:dyDescent="0.25">
      <c r="A3015" t="str">
        <f>"20190303154826357"</f>
        <v>20190303154826357</v>
      </c>
      <c r="B3015" t="str">
        <f>"1551599306353401"</f>
        <v>1551599306353401</v>
      </c>
      <c r="C3015" t="s">
        <v>40</v>
      </c>
      <c r="D3015">
        <v>5.7712849999999998</v>
      </c>
      <c r="E3015">
        <v>0.47600320000000002</v>
      </c>
      <c r="F3015" t="s">
        <v>47</v>
      </c>
      <c r="G3015">
        <v>-489.09679999999997</v>
      </c>
      <c r="H3015" s="1">
        <v>4.9567670000000003E-6</v>
      </c>
      <c r="I3015">
        <v>224.90469999999999</v>
      </c>
      <c r="J3015">
        <v>-490.34899999999999</v>
      </c>
      <c r="K3015">
        <v>1.1262049999999999</v>
      </c>
      <c r="L3015">
        <v>232.22300000000001</v>
      </c>
      <c r="M3015">
        <v>-8.6854469999999902E-3</v>
      </c>
      <c r="N3015">
        <v>-2.9675449999999999E-2</v>
      </c>
      <c r="O3015">
        <v>-0.99952180000000002</v>
      </c>
      <c r="P3015">
        <v>0.1050567</v>
      </c>
      <c r="Q3015">
        <v>-0.1284903</v>
      </c>
      <c r="R3015">
        <v>-0.98613070000000003</v>
      </c>
      <c r="S3015">
        <v>0.49057010000000001</v>
      </c>
      <c r="T3015">
        <v>-0.44089279999999997</v>
      </c>
      <c r="U3015">
        <v>-2.9332889999999998</v>
      </c>
      <c r="V3015">
        <v>-0.1128218</v>
      </c>
      <c r="W3015">
        <v>-0.1001061</v>
      </c>
      <c r="X3015">
        <v>0.98855950000000004</v>
      </c>
      <c r="Y3015">
        <v>-0.17192769999999999</v>
      </c>
      <c r="Z3015">
        <v>0.117092</v>
      </c>
      <c r="AA3015">
        <v>0.97812589999999999</v>
      </c>
      <c r="AB3015">
        <v>29</v>
      </c>
      <c r="AC3015">
        <v>1.25220000000001</v>
      </c>
      <c r="AD3015">
        <v>-1.1262000432329999</v>
      </c>
      <c r="AE3015">
        <v>-7.31829999999999</v>
      </c>
      <c r="AF3015">
        <v>-1.2861516974743099</v>
      </c>
      <c r="AG3015">
        <v>-1.1262000432329999</v>
      </c>
      <c r="AH3015">
        <v>7.1428016114911799</v>
      </c>
      <c r="AI3015">
        <v>98.8204534018126</v>
      </c>
      <c r="AJ3015">
        <v>100.207449919479</v>
      </c>
      <c r="AK3015">
        <v>7.3445304538421698</v>
      </c>
      <c r="AL3015">
        <v>95.745280578230506</v>
      </c>
      <c r="AM3015">
        <v>96.510852062449004</v>
      </c>
      <c r="AN3015">
        <v>0.99999993742634796</v>
      </c>
    </row>
    <row r="3016" spans="1:40" x14ac:dyDescent="0.25">
      <c r="A3016" t="str">
        <f>"20190303154826373"</f>
        <v>20190303154826373</v>
      </c>
      <c r="B3016" t="str">
        <f>"1551599306364137"</f>
        <v>1551599306364137</v>
      </c>
      <c r="C3016" t="s">
        <v>40</v>
      </c>
      <c r="D3016">
        <v>5.7543189999999997</v>
      </c>
      <c r="E3016">
        <v>0.47588560000000002</v>
      </c>
      <c r="F3016" t="s">
        <v>47</v>
      </c>
      <c r="G3016">
        <v>-489.06950000000001</v>
      </c>
      <c r="H3016" s="1">
        <v>4.9225199999999996E-6</v>
      </c>
      <c r="I3016">
        <v>224.77719999999999</v>
      </c>
      <c r="J3016">
        <v>-490.34730000000002</v>
      </c>
      <c r="K3016">
        <v>1.1262840000000001</v>
      </c>
      <c r="L3016">
        <v>232.01499999999999</v>
      </c>
      <c r="M3016">
        <v>-5.5034919999999996E-3</v>
      </c>
      <c r="N3016">
        <v>-3.050843E-2</v>
      </c>
      <c r="O3016">
        <v>-0.99951950000000001</v>
      </c>
      <c r="P3016">
        <v>0.1114913</v>
      </c>
      <c r="Q3016">
        <v>-0.12925719999999999</v>
      </c>
      <c r="R3016">
        <v>-0.98532359999999997</v>
      </c>
      <c r="S3016">
        <v>0.50363159999999996</v>
      </c>
      <c r="T3016">
        <v>-0.44329000000000002</v>
      </c>
      <c r="U3016">
        <v>-2.9307859999999999</v>
      </c>
      <c r="V3016">
        <v>-0.116104399999999</v>
      </c>
      <c r="W3016">
        <v>-0.100103</v>
      </c>
      <c r="X3016">
        <v>0.98817969999999999</v>
      </c>
      <c r="Y3016">
        <v>-0.17314499999999999</v>
      </c>
      <c r="Z3016">
        <v>0.11711149999999999</v>
      </c>
      <c r="AA3016">
        <v>0.97790880000000002</v>
      </c>
      <c r="AB3016">
        <v>29</v>
      </c>
      <c r="AC3016">
        <v>1.27780000000001</v>
      </c>
      <c r="AD3016">
        <v>-1.12627907748</v>
      </c>
      <c r="AE3016">
        <v>-7.2377999999999902</v>
      </c>
      <c r="AF3016">
        <v>-1.2874006163707099</v>
      </c>
      <c r="AG3016">
        <v>-1.12627907748</v>
      </c>
      <c r="AH3016">
        <v>7.0647546367288401</v>
      </c>
      <c r="AI3016">
        <v>98.913622166079506</v>
      </c>
      <c r="AJ3016">
        <v>100.327609681776</v>
      </c>
      <c r="AK3016">
        <v>7.2688832006424899</v>
      </c>
      <c r="AL3016">
        <v>95.745101814012997</v>
      </c>
      <c r="AM3016">
        <v>96.701141817578801</v>
      </c>
      <c r="AN3016">
        <v>0.99999998090022402</v>
      </c>
    </row>
    <row r="3017" spans="1:40" x14ac:dyDescent="0.25">
      <c r="A3017" t="str">
        <f>"20190303154826385"</f>
        <v>20190303154826385</v>
      </c>
      <c r="B3017" t="str">
        <f>"1551599306373897"</f>
        <v>1551599306373897</v>
      </c>
      <c r="C3017" t="s">
        <v>40</v>
      </c>
      <c r="D3017">
        <v>5.6217949999999997</v>
      </c>
      <c r="E3017">
        <v>0.47591220000000001</v>
      </c>
      <c r="F3017" t="s">
        <v>47</v>
      </c>
      <c r="G3017">
        <v>-489.02460000000002</v>
      </c>
      <c r="H3017" s="1">
        <v>4.8778930000000004E-6</v>
      </c>
      <c r="I3017">
        <v>224.62029999999999</v>
      </c>
      <c r="J3017">
        <v>-490.34559999999999</v>
      </c>
      <c r="K3017">
        <v>1.126322</v>
      </c>
      <c r="L3017">
        <v>231.85910000000001</v>
      </c>
      <c r="M3017">
        <v>-3.0744140000000001E-3</v>
      </c>
      <c r="N3017">
        <v>-3.1054769999999999E-2</v>
      </c>
      <c r="O3017">
        <v>-0.99951299999999998</v>
      </c>
      <c r="P3017">
        <v>0.1156138</v>
      </c>
      <c r="Q3017">
        <v>-0.1298298</v>
      </c>
      <c r="R3017">
        <v>-0.98477300000000001</v>
      </c>
      <c r="S3017">
        <v>0.52355959999999901</v>
      </c>
      <c r="T3017">
        <v>-0.44580520000000001</v>
      </c>
      <c r="U3017">
        <v>-2.926971</v>
      </c>
      <c r="V3017">
        <v>-0.11782529999999999</v>
      </c>
      <c r="W3017">
        <v>-0.1001659</v>
      </c>
      <c r="X3017">
        <v>0.9879696</v>
      </c>
      <c r="Y3017">
        <v>-0.1773911</v>
      </c>
      <c r="Z3017">
        <v>0.11744350000000001</v>
      </c>
      <c r="AA3017">
        <v>0.97710770000000002</v>
      </c>
      <c r="AB3017">
        <v>29</v>
      </c>
      <c r="AC3017">
        <v>1.32099999999996</v>
      </c>
      <c r="AD3017">
        <v>-1.1263171221070001</v>
      </c>
      <c r="AE3017">
        <v>-7.2388000000000199</v>
      </c>
      <c r="AF3017">
        <v>-1.31250829577229</v>
      </c>
      <c r="AG3017">
        <v>-1.1263171221070001</v>
      </c>
      <c r="AH3017">
        <v>7.0690783421019798</v>
      </c>
      <c r="AI3017">
        <v>98.903189694551003</v>
      </c>
      <c r="AJ3017">
        <v>100.51827289996</v>
      </c>
      <c r="AK3017">
        <v>7.2775776802997996</v>
      </c>
      <c r="AL3017">
        <v>95.748723988343599</v>
      </c>
      <c r="AM3017">
        <v>96.800975362729503</v>
      </c>
      <c r="AN3017">
        <v>0.999999969683529</v>
      </c>
    </row>
    <row r="3018" spans="1:40" x14ac:dyDescent="0.25">
      <c r="A3018" t="str">
        <f>"20190303154826399"</f>
        <v>20190303154826399</v>
      </c>
      <c r="B3018" t="str">
        <f>"1551599306393417"</f>
        <v>1551599306393417</v>
      </c>
      <c r="C3018" t="s">
        <v>40</v>
      </c>
      <c r="D3018">
        <v>5.5862379999999998</v>
      </c>
      <c r="E3018">
        <v>0.47601529999999997</v>
      </c>
      <c r="F3018" t="s">
        <v>47</v>
      </c>
      <c r="G3018">
        <v>-488.9975</v>
      </c>
      <c r="H3018" s="1">
        <v>4.8326629999999999E-6</v>
      </c>
      <c r="I3018">
        <v>224.49260000000001</v>
      </c>
      <c r="J3018">
        <v>-490.3433</v>
      </c>
      <c r="K3018">
        <v>1.1263379999999901</v>
      </c>
      <c r="L3018">
        <v>231.68879999999999</v>
      </c>
      <c r="M3018">
        <v>-3.8214869999999998E-4</v>
      </c>
      <c r="N3018">
        <v>-3.1568310000000002E-2</v>
      </c>
      <c r="O3018">
        <v>-0.9995018</v>
      </c>
      <c r="P3018">
        <v>0.1202112</v>
      </c>
      <c r="Q3018">
        <v>-0.13035179999999999</v>
      </c>
      <c r="R3018">
        <v>-0.98415359999999996</v>
      </c>
      <c r="S3018">
        <v>0.53524780000000005</v>
      </c>
      <c r="T3018">
        <v>-0.44716260000000002</v>
      </c>
      <c r="U3018">
        <v>-2.9246059999999998</v>
      </c>
      <c r="V3018">
        <v>-0.119764</v>
      </c>
      <c r="W3018">
        <v>-0.1002127</v>
      </c>
      <c r="X3018">
        <v>0.98773180000000005</v>
      </c>
      <c r="Y3018">
        <v>-0.17864469999999999</v>
      </c>
      <c r="Z3018">
        <v>0.1174326</v>
      </c>
      <c r="AA3018">
        <v>0.97688059999999999</v>
      </c>
      <c r="AB3018">
        <v>28</v>
      </c>
      <c r="AC3018">
        <v>1.3457999999999899</v>
      </c>
      <c r="AD3018">
        <v>-1.1263331673369901</v>
      </c>
      <c r="AE3018">
        <v>-7.19619999999997</v>
      </c>
      <c r="AF3018">
        <v>-1.31736921276126</v>
      </c>
      <c r="AG3018">
        <v>-1.1263331673369901</v>
      </c>
      <c r="AH3018">
        <v>7.0293016266294703</v>
      </c>
      <c r="AI3018">
        <v>98.950116095755305</v>
      </c>
      <c r="AJ3018">
        <v>100.61473508573501</v>
      </c>
      <c r="AK3018">
        <v>7.2398321392633402</v>
      </c>
      <c r="AL3018">
        <v>95.751418499711306</v>
      </c>
      <c r="AM3018">
        <v>96.913452829864596</v>
      </c>
      <c r="AN3018">
        <v>1.00000005483426</v>
      </c>
    </row>
    <row r="3019" spans="1:40" x14ac:dyDescent="0.25">
      <c r="A3019" t="str">
        <f>"20190303154826412"</f>
        <v>20190303154826412</v>
      </c>
      <c r="B3019" t="str">
        <f>"1551599306404153"</f>
        <v>1551599306404153</v>
      </c>
      <c r="C3019" t="s">
        <v>40</v>
      </c>
      <c r="D3019">
        <v>5.6598169999999897</v>
      </c>
      <c r="E3019">
        <v>0.4759948</v>
      </c>
      <c r="F3019" t="s">
        <v>47</v>
      </c>
      <c r="G3019">
        <v>-488.96609999999998</v>
      </c>
      <c r="H3019" s="1">
        <v>4.7814380000000003E-6</v>
      </c>
      <c r="I3019">
        <v>224.34970000000001</v>
      </c>
      <c r="J3019">
        <v>-490.34050000000002</v>
      </c>
      <c r="K3019">
        <v>1.1263289999999999</v>
      </c>
      <c r="L3019">
        <v>231.52760000000001</v>
      </c>
      <c r="M3019">
        <v>2.1904559999999999E-3</v>
      </c>
      <c r="N3019">
        <v>-3.1935949999999998E-2</v>
      </c>
      <c r="O3019">
        <v>-0.99948760000000003</v>
      </c>
      <c r="P3019">
        <v>0.124611</v>
      </c>
      <c r="Q3019">
        <v>-0.1309506</v>
      </c>
      <c r="R3019">
        <v>-0.98352669999999998</v>
      </c>
      <c r="S3019">
        <v>0.54833980000000004</v>
      </c>
      <c r="T3019">
        <v>-0.44843290000000002</v>
      </c>
      <c r="U3019">
        <v>-2.9219360000000001</v>
      </c>
      <c r="V3019">
        <v>-0.1216266</v>
      </c>
      <c r="W3019">
        <v>-0.1004767</v>
      </c>
      <c r="X3019">
        <v>0.9874773</v>
      </c>
      <c r="Y3019">
        <v>-0.18048639999999999</v>
      </c>
      <c r="Z3019">
        <v>0.1175364</v>
      </c>
      <c r="AA3019">
        <v>0.97652950000000005</v>
      </c>
      <c r="AB3019">
        <v>28</v>
      </c>
      <c r="AC3019">
        <v>1.37440000000003</v>
      </c>
      <c r="AD3019">
        <v>-1.1263242185619999</v>
      </c>
      <c r="AE3019">
        <v>-7.1778999999999904</v>
      </c>
      <c r="AF3019">
        <v>-1.32714390636845</v>
      </c>
      <c r="AG3019">
        <v>-1.1263242185619999</v>
      </c>
      <c r="AH3019">
        <v>7.0142936104792497</v>
      </c>
      <c r="AI3019">
        <v>98.966005991648004</v>
      </c>
      <c r="AJ3019">
        <v>100.71403296899101</v>
      </c>
      <c r="AK3019">
        <v>7.22704864018087</v>
      </c>
      <c r="AL3019">
        <v>95.766621591024602</v>
      </c>
      <c r="AM3019">
        <v>97.021699065731497</v>
      </c>
      <c r="AN3019">
        <v>1.0000000075428599</v>
      </c>
    </row>
    <row r="3020" spans="1:40" x14ac:dyDescent="0.25">
      <c r="A3020" t="str">
        <f>"20190303154826430"</f>
        <v>20190303154826430</v>
      </c>
      <c r="B3020" t="str">
        <f>"1551599306423673"</f>
        <v>1551599306423673</v>
      </c>
      <c r="C3020" t="s">
        <v>40</v>
      </c>
      <c r="D3020">
        <v>4.8102999999999998</v>
      </c>
      <c r="E3020">
        <v>0.47525079999999997</v>
      </c>
      <c r="F3020" t="s">
        <v>47</v>
      </c>
      <c r="G3020">
        <v>-488.93740000000003</v>
      </c>
      <c r="H3020" s="1">
        <v>4.739128E-6</v>
      </c>
      <c r="I3020">
        <v>224.2337</v>
      </c>
      <c r="J3020">
        <v>-490.33620000000002</v>
      </c>
      <c r="K3020">
        <v>1.126296</v>
      </c>
      <c r="L3020">
        <v>231.31450000000001</v>
      </c>
      <c r="M3020">
        <v>5.5973849999999999E-3</v>
      </c>
      <c r="N3020">
        <v>-3.2330289999999998E-2</v>
      </c>
      <c r="O3020">
        <v>-0.99946170000000001</v>
      </c>
      <c r="P3020">
        <v>0.13170599999999999</v>
      </c>
      <c r="Q3020">
        <v>-0.13105149999999999</v>
      </c>
      <c r="R3020">
        <v>-0.98258800000000002</v>
      </c>
      <c r="S3020">
        <v>0.56152340000000001</v>
      </c>
      <c r="T3020">
        <v>-0.4507661</v>
      </c>
      <c r="U3020">
        <v>-2.919098</v>
      </c>
      <c r="V3020">
        <v>-0.12537400000000001</v>
      </c>
      <c r="W3020">
        <v>-0.10023559999999999</v>
      </c>
      <c r="X3020">
        <v>0.98703300000000005</v>
      </c>
      <c r="Y3020">
        <v>-0.18154029999999999</v>
      </c>
      <c r="Z3020">
        <v>0.11797879999999999</v>
      </c>
      <c r="AA3020">
        <v>0.9762807</v>
      </c>
      <c r="AB3020">
        <v>28</v>
      </c>
      <c r="AC3020">
        <v>1.3987999999999901</v>
      </c>
      <c r="AD3020">
        <v>-1.1262912608719999</v>
      </c>
      <c r="AE3020">
        <v>-7.0808000000000098</v>
      </c>
      <c r="AF3020">
        <v>-1.3268145727364</v>
      </c>
      <c r="AG3020">
        <v>-1.1262912608719999</v>
      </c>
      <c r="AH3020">
        <v>6.9200157634571804</v>
      </c>
      <c r="AI3020">
        <v>99.081718548135896</v>
      </c>
      <c r="AJ3020">
        <v>100.853923788972</v>
      </c>
      <c r="AK3020">
        <v>7.1355158945403696</v>
      </c>
      <c r="AL3020">
        <v>95.752737649226901</v>
      </c>
      <c r="AM3020">
        <v>97.239005803281202</v>
      </c>
      <c r="AN3020">
        <v>0.999999979236179</v>
      </c>
    </row>
    <row r="3021" spans="1:40" x14ac:dyDescent="0.25">
      <c r="A3021" t="str">
        <f>"20190303154826443"</f>
        <v>20190303154826443</v>
      </c>
      <c r="B3021" t="str">
        <f>"1551599306433432"</f>
        <v>1551599306433432</v>
      </c>
      <c r="C3021" t="s">
        <v>40</v>
      </c>
      <c r="D3021">
        <v>4.8123879999999897</v>
      </c>
      <c r="E3021">
        <v>0.4744507</v>
      </c>
      <c r="F3021" t="s">
        <v>47</v>
      </c>
      <c r="G3021">
        <v>-488.8664</v>
      </c>
      <c r="H3021" s="1">
        <v>4.661064E-6</v>
      </c>
      <c r="I3021">
        <v>224.0325</v>
      </c>
      <c r="J3021">
        <v>-490.33249999999998</v>
      </c>
      <c r="K3021">
        <v>1.1262529999999999</v>
      </c>
      <c r="L3021">
        <v>231.1551</v>
      </c>
      <c r="M3021">
        <v>8.1454909999999995E-3</v>
      </c>
      <c r="N3021">
        <v>-3.2559810000000002E-2</v>
      </c>
      <c r="O3021">
        <v>-0.99943660000000001</v>
      </c>
      <c r="P3021">
        <v>0.13625809999999999</v>
      </c>
      <c r="Q3021">
        <v>-0.1309535</v>
      </c>
      <c r="R3021">
        <v>-0.98198030000000003</v>
      </c>
      <c r="S3021">
        <v>0.58819580000000005</v>
      </c>
      <c r="T3021">
        <v>-0.45073580000000002</v>
      </c>
      <c r="U3021">
        <v>-2.9142000000000001</v>
      </c>
      <c r="V3021">
        <v>-0.12742880000000001</v>
      </c>
      <c r="W3021">
        <v>-9.9933259999999996E-2</v>
      </c>
      <c r="X3021">
        <v>0.98680049999999997</v>
      </c>
      <c r="Y3021">
        <v>-0.18791640000000001</v>
      </c>
      <c r="Z3021">
        <v>0.1177694</v>
      </c>
      <c r="AA3021">
        <v>0.97509880000000004</v>
      </c>
      <c r="AB3021">
        <v>28</v>
      </c>
      <c r="AC3021">
        <v>1.46609999999998</v>
      </c>
      <c r="AD3021">
        <v>-1.1262483389360001</v>
      </c>
      <c r="AE3021">
        <v>-7.1226000000000003</v>
      </c>
      <c r="AF3021">
        <v>-1.3750212999673801</v>
      </c>
      <c r="AG3021">
        <v>-1.1262483389360001</v>
      </c>
      <c r="AH3021">
        <v>6.9671922722510304</v>
      </c>
      <c r="AI3021">
        <v>99.011556947660196</v>
      </c>
      <c r="AJ3021">
        <v>101.164227653239</v>
      </c>
      <c r="AK3021">
        <v>7.1903328890138702</v>
      </c>
      <c r="AL3021">
        <v>95.735327356548197</v>
      </c>
      <c r="AM3021">
        <v>97.358073468344799</v>
      </c>
      <c r="AN3021">
        <v>0.99999999116195804</v>
      </c>
    </row>
    <row r="3022" spans="1:40" x14ac:dyDescent="0.25">
      <c r="A3022" t="str">
        <f>"20190303154826456"</f>
        <v>20190303154826456</v>
      </c>
      <c r="B3022" t="str">
        <f>"1551599306453929"</f>
        <v>1551599306453929</v>
      </c>
      <c r="C3022" t="s">
        <v>40</v>
      </c>
      <c r="D3022">
        <v>5.6684760000000001</v>
      </c>
      <c r="E3022">
        <v>0.47469889999999998</v>
      </c>
      <c r="F3022" t="s">
        <v>47</v>
      </c>
      <c r="G3022">
        <v>-488.81189999999998</v>
      </c>
      <c r="H3022" s="1">
        <v>4.6015389999999999E-6</v>
      </c>
      <c r="I3022">
        <v>223.8794</v>
      </c>
      <c r="J3022">
        <v>-490.3279</v>
      </c>
      <c r="K3022">
        <v>1.12619</v>
      </c>
      <c r="L3022">
        <v>230.98269999999999</v>
      </c>
      <c r="M3022">
        <v>1.0893750000000001E-2</v>
      </c>
      <c r="N3022">
        <v>-3.2733720000000001E-2</v>
      </c>
      <c r="O3022">
        <v>-0.99940490000000004</v>
      </c>
      <c r="P3022">
        <v>0.14071729999999999</v>
      </c>
      <c r="Q3022">
        <v>-0.13057859999999999</v>
      </c>
      <c r="R3022">
        <v>-0.98140110000000003</v>
      </c>
      <c r="S3022">
        <v>0.60830689999999998</v>
      </c>
      <c r="T3022">
        <v>-0.450544</v>
      </c>
      <c r="U3022">
        <v>-2.9105530000000002</v>
      </c>
      <c r="V3022">
        <v>-0.12920100000000001</v>
      </c>
      <c r="W3022">
        <v>-9.9399050000000003E-2</v>
      </c>
      <c r="X3022">
        <v>0.98662399999999995</v>
      </c>
      <c r="Y3022">
        <v>-0.1919061</v>
      </c>
      <c r="Z3022">
        <v>0.1175596</v>
      </c>
      <c r="AA3022">
        <v>0.97434690000000002</v>
      </c>
      <c r="AB3022">
        <v>27</v>
      </c>
      <c r="AC3022">
        <v>1.51600000000001</v>
      </c>
      <c r="AD3022">
        <v>-1.126185398461</v>
      </c>
      <c r="AE3022">
        <v>-7.1032999999999902</v>
      </c>
      <c r="AF3022">
        <v>-1.4047159176342501</v>
      </c>
      <c r="AG3022">
        <v>-1.126185398461</v>
      </c>
      <c r="AH3022">
        <v>6.95226151155265</v>
      </c>
      <c r="AI3022">
        <v>99.022090847385499</v>
      </c>
      <c r="AJ3022">
        <v>101.422917510912</v>
      </c>
      <c r="AK3022">
        <v>7.1816057038783496</v>
      </c>
      <c r="AL3022">
        <v>95.704566202601598</v>
      </c>
      <c r="AM3022">
        <v>97.460579719855701</v>
      </c>
      <c r="AN3022">
        <v>0.99999999345895096</v>
      </c>
    </row>
    <row r="3023" spans="1:40" x14ac:dyDescent="0.25">
      <c r="A3023" t="str">
        <f>"20190303154826476"</f>
        <v>20190303154826476</v>
      </c>
      <c r="B3023" t="str">
        <f>"1551599306463688"</f>
        <v>1551599306463688</v>
      </c>
      <c r="C3023" t="s">
        <v>40</v>
      </c>
      <c r="D3023">
        <v>5.6841520000000001</v>
      </c>
      <c r="E3023">
        <v>0.47483419999999998</v>
      </c>
      <c r="F3023" t="s">
        <v>47</v>
      </c>
      <c r="G3023">
        <v>-488.77769999999998</v>
      </c>
      <c r="H3023" s="1">
        <v>4.5416730000000004E-6</v>
      </c>
      <c r="I3023">
        <v>223.7106</v>
      </c>
      <c r="J3023">
        <v>-490.3211</v>
      </c>
      <c r="K3023">
        <v>1.12609</v>
      </c>
      <c r="L3023">
        <v>230.75729999999999</v>
      </c>
      <c r="M3023">
        <v>1.448427E-2</v>
      </c>
      <c r="N3023">
        <v>-3.2882219999999997E-2</v>
      </c>
      <c r="O3023">
        <v>-0.99935430000000003</v>
      </c>
      <c r="P3023">
        <v>0.14788280000000001</v>
      </c>
      <c r="Q3023">
        <v>-0.1297345</v>
      </c>
      <c r="R3023">
        <v>-0.98045890000000002</v>
      </c>
      <c r="S3023">
        <v>0.6199036</v>
      </c>
      <c r="T3023">
        <v>-0.45035740000000002</v>
      </c>
      <c r="U3023">
        <v>-2.908112</v>
      </c>
      <c r="V3023">
        <v>-0.13286789999999901</v>
      </c>
      <c r="W3023">
        <v>-9.8433889999999996E-2</v>
      </c>
      <c r="X3023">
        <v>0.98623369999999999</v>
      </c>
      <c r="Y3023">
        <v>-0.19226460000000001</v>
      </c>
      <c r="Z3023">
        <v>0.11740979999999999</v>
      </c>
      <c r="AA3023">
        <v>0.9742942</v>
      </c>
      <c r="AB3023">
        <v>27</v>
      </c>
      <c r="AC3023">
        <v>1.5434000000000101</v>
      </c>
      <c r="AD3023">
        <v>-1.1260854583269999</v>
      </c>
      <c r="AE3023">
        <v>-7.04669999999998</v>
      </c>
      <c r="AF3023">
        <v>-1.4068345154180899</v>
      </c>
      <c r="AG3023">
        <v>-1.1260854583269999</v>
      </c>
      <c r="AH3023">
        <v>6.9001827955033299</v>
      </c>
      <c r="AI3023">
        <v>99.085067981981396</v>
      </c>
      <c r="AJ3023">
        <v>101.523730711819</v>
      </c>
      <c r="AK3023">
        <v>7.1316039166927503</v>
      </c>
      <c r="AL3023">
        <v>95.648993969894804</v>
      </c>
      <c r="AM3023">
        <v>97.672833932108105</v>
      </c>
      <c r="AN3023">
        <v>1.00000001028331</v>
      </c>
    </row>
    <row r="3024" spans="1:40" x14ac:dyDescent="0.25">
      <c r="A3024" t="str">
        <f>"20190303154826498"</f>
        <v>20190303154826498</v>
      </c>
      <c r="B3024" t="str">
        <f>"1551599306493945"</f>
        <v>1551599306493945</v>
      </c>
      <c r="C3024" t="s">
        <v>40</v>
      </c>
      <c r="D3024">
        <v>5.6763320000000004</v>
      </c>
      <c r="E3024">
        <v>0.4751591</v>
      </c>
      <c r="F3024" t="s">
        <v>47</v>
      </c>
      <c r="G3024">
        <v>-488.71350000000001</v>
      </c>
      <c r="H3024" s="1">
        <v>4.4495569999999996E-6</v>
      </c>
      <c r="I3024">
        <v>223.45920000000001</v>
      </c>
      <c r="J3024">
        <v>-490.31200000000001</v>
      </c>
      <c r="K3024">
        <v>1.1259600000000001</v>
      </c>
      <c r="L3024">
        <v>230.4896</v>
      </c>
      <c r="M3024">
        <v>1.8751710000000001E-2</v>
      </c>
      <c r="N3024">
        <v>-3.2951660000000001E-2</v>
      </c>
      <c r="O3024">
        <v>-0.99928119999999998</v>
      </c>
      <c r="P3024">
        <v>0.1560802</v>
      </c>
      <c r="Q3024">
        <v>-0.12865019999999999</v>
      </c>
      <c r="R3024">
        <v>-0.9793307</v>
      </c>
      <c r="S3024">
        <v>0.63970950000000004</v>
      </c>
      <c r="T3024">
        <v>-0.44808389999999998</v>
      </c>
      <c r="U3024">
        <v>-2.9039920000000001</v>
      </c>
      <c r="V3024">
        <v>-0.13691519999999999</v>
      </c>
      <c r="W3024">
        <v>-9.7302410000000006E-2</v>
      </c>
      <c r="X3024">
        <v>0.98579229999999995</v>
      </c>
      <c r="Y3024">
        <v>-0.19471569999999999</v>
      </c>
      <c r="Z3024">
        <v>0.116661</v>
      </c>
      <c r="AA3024">
        <v>0.97389729999999997</v>
      </c>
      <c r="AB3024">
        <v>27</v>
      </c>
      <c r="AC3024">
        <v>1.5984999999999401</v>
      </c>
      <c r="AD3024">
        <v>-1.1259555504430001</v>
      </c>
      <c r="AE3024">
        <v>-7.0303999999999798</v>
      </c>
      <c r="AF3024">
        <v>-1.4314046518463199</v>
      </c>
      <c r="AG3024">
        <v>-1.1259555504430001</v>
      </c>
      <c r="AH3024">
        <v>6.8910875179208704</v>
      </c>
      <c r="AI3024">
        <v>99.089057903832</v>
      </c>
      <c r="AJ3024">
        <v>101.734509164201</v>
      </c>
      <c r="AK3024">
        <v>7.1276772063937797</v>
      </c>
      <c r="AL3024">
        <v>95.583852304595197</v>
      </c>
      <c r="AM3024">
        <v>97.907140052710702</v>
      </c>
      <c r="AN3024">
        <v>0.99999999486106805</v>
      </c>
    </row>
    <row r="3025" spans="1:40" x14ac:dyDescent="0.25">
      <c r="A3025" t="str">
        <f>"20190303154826512"</f>
        <v>20190303154826512</v>
      </c>
      <c r="B3025" t="str">
        <f>"1551599306503705"</f>
        <v>1551599306503705</v>
      </c>
      <c r="C3025" t="s">
        <v>40</v>
      </c>
      <c r="D3025">
        <v>5.7135759999999998</v>
      </c>
      <c r="E3025">
        <v>0.47527799999999998</v>
      </c>
      <c r="F3025" t="s">
        <v>47</v>
      </c>
      <c r="G3025">
        <v>-488.63959999999997</v>
      </c>
      <c r="H3025" s="1">
        <v>4.3412869999999997E-6</v>
      </c>
      <c r="I3025">
        <v>223.1626</v>
      </c>
      <c r="J3025">
        <v>-490.30619999999999</v>
      </c>
      <c r="K3025">
        <v>1.1258919999999999</v>
      </c>
      <c r="L3025">
        <v>230.33760000000001</v>
      </c>
      <c r="M3025">
        <v>2.1181809999999999E-2</v>
      </c>
      <c r="N3025">
        <v>-3.293455E-2</v>
      </c>
      <c r="O3025">
        <v>-0.99923309999999999</v>
      </c>
      <c r="P3025">
        <v>0.1605782</v>
      </c>
      <c r="Q3025">
        <v>-0.1283395</v>
      </c>
      <c r="R3025">
        <v>-0.97864399999999996</v>
      </c>
      <c r="S3025">
        <v>0.66180419999999995</v>
      </c>
      <c r="T3025">
        <v>-0.44554840000000001</v>
      </c>
      <c r="U3025">
        <v>-2.8993229999999999</v>
      </c>
      <c r="V3025">
        <v>-0.13905039999999999</v>
      </c>
      <c r="W3025">
        <v>-9.7019369999999994E-2</v>
      </c>
      <c r="X3025">
        <v>0.98552130000000004</v>
      </c>
      <c r="Y3025">
        <v>-0.1997323</v>
      </c>
      <c r="Z3025">
        <v>0.11588270000000001</v>
      </c>
      <c r="AA3025">
        <v>0.97297389999999995</v>
      </c>
      <c r="AB3025">
        <v>27</v>
      </c>
      <c r="AC3025">
        <v>1.6666000000000101</v>
      </c>
      <c r="AD3025">
        <v>-1.125887658713</v>
      </c>
      <c r="AE3025">
        <v>-7.1750000000000096</v>
      </c>
      <c r="AF3025">
        <v>-1.47959619808655</v>
      </c>
      <c r="AG3025">
        <v>-1.125887658713</v>
      </c>
      <c r="AH3025">
        <v>7.0441384369443698</v>
      </c>
      <c r="AI3025">
        <v>98.890162821579395</v>
      </c>
      <c r="AJ3025">
        <v>101.86232750041</v>
      </c>
      <c r="AK3025">
        <v>7.28537674031148</v>
      </c>
      <c r="AL3025">
        <v>95.567558172914602</v>
      </c>
      <c r="AM3025">
        <v>98.031035464724198</v>
      </c>
      <c r="AN3025">
        <v>1.0000000023245199</v>
      </c>
    </row>
    <row r="3026" spans="1:40" x14ac:dyDescent="0.25">
      <c r="A3026" t="str">
        <f>"20190303154826525"</f>
        <v>20190303154826525</v>
      </c>
      <c r="B3026" t="str">
        <f>"1551599306513466"</f>
        <v>1551599306513466</v>
      </c>
      <c r="C3026" t="s">
        <v>40</v>
      </c>
      <c r="D3026">
        <v>5.7161999999999997</v>
      </c>
      <c r="E3026">
        <v>0.47537960000000001</v>
      </c>
      <c r="F3026" t="s">
        <v>47</v>
      </c>
      <c r="G3026">
        <v>-488.60059999999999</v>
      </c>
      <c r="H3026" s="1">
        <v>4.2846399999999999E-6</v>
      </c>
      <c r="I3026">
        <v>223.0076</v>
      </c>
      <c r="J3026">
        <v>-490.30040000000002</v>
      </c>
      <c r="K3026">
        <v>1.1258300000000001</v>
      </c>
      <c r="L3026">
        <v>230.19319999999999</v>
      </c>
      <c r="M3026">
        <v>2.3496199999999998E-2</v>
      </c>
      <c r="N3026">
        <v>-3.2899850000000001E-2</v>
      </c>
      <c r="O3026">
        <v>-0.99918249999999997</v>
      </c>
      <c r="P3026">
        <v>0.16473979999999999</v>
      </c>
      <c r="Q3026">
        <v>-0.1276023</v>
      </c>
      <c r="R3026">
        <v>-0.97804849999999999</v>
      </c>
      <c r="S3026">
        <v>0.67398069999999999</v>
      </c>
      <c r="T3026">
        <v>-0.44490839999999998</v>
      </c>
      <c r="U3026">
        <v>-2.8965299999999998</v>
      </c>
      <c r="V3026">
        <v>-0.1409648</v>
      </c>
      <c r="W3026">
        <v>-9.6324000000000007E-2</v>
      </c>
      <c r="X3026">
        <v>0.98531749999999996</v>
      </c>
      <c r="Y3026">
        <v>-0.20155010000000001</v>
      </c>
      <c r="Z3026">
        <v>0.1157474</v>
      </c>
      <c r="AA3026">
        <v>0.97261509999999995</v>
      </c>
      <c r="AB3026">
        <v>26</v>
      </c>
      <c r="AC3026">
        <v>1.69980000000003</v>
      </c>
      <c r="AD3026">
        <v>-1.12582571536</v>
      </c>
      <c r="AE3026">
        <v>-7.1855999999999902</v>
      </c>
      <c r="AF3026">
        <v>-1.49563527353509</v>
      </c>
      <c r="AG3026">
        <v>-1.12582571536</v>
      </c>
      <c r="AH3026">
        <v>7.0594623735033304</v>
      </c>
      <c r="AI3026">
        <v>98.867490651901605</v>
      </c>
      <c r="AJ3026">
        <v>101.961946268943</v>
      </c>
      <c r="AK3026">
        <v>7.3034524312627296</v>
      </c>
      <c r="AL3026">
        <v>95.527529035686896</v>
      </c>
      <c r="AM3026">
        <v>98.141793214928697</v>
      </c>
      <c r="AN3026">
        <v>0.99999998181064398</v>
      </c>
    </row>
    <row r="3027" spans="1:40" x14ac:dyDescent="0.25">
      <c r="A3027" t="str">
        <f>"20190303154826542"</f>
        <v>20190303154826542</v>
      </c>
      <c r="B3027" t="str">
        <f>"1551599306533964"</f>
        <v>1551599306533964</v>
      </c>
      <c r="C3027" t="s">
        <v>40</v>
      </c>
      <c r="D3027">
        <v>5.6518860000000002</v>
      </c>
      <c r="E3027">
        <v>0.47562700000000002</v>
      </c>
      <c r="F3027" t="s">
        <v>47</v>
      </c>
      <c r="G3027">
        <v>-488.55889999999999</v>
      </c>
      <c r="H3027" s="1">
        <v>4.2235119999999998E-6</v>
      </c>
      <c r="I3027">
        <v>222.84020000000001</v>
      </c>
      <c r="J3027">
        <v>-490.29169999999999</v>
      </c>
      <c r="K3027">
        <v>1.125758</v>
      </c>
      <c r="L3027">
        <v>229.9913</v>
      </c>
      <c r="M3027">
        <v>2.6746900000000001E-2</v>
      </c>
      <c r="N3027">
        <v>-3.2810760000000001E-2</v>
      </c>
      <c r="O3027">
        <v>-0.99910379999999999</v>
      </c>
      <c r="P3027">
        <v>0.1727166</v>
      </c>
      <c r="Q3027">
        <v>-0.12565109999999999</v>
      </c>
      <c r="R3027">
        <v>-0.97692420000000002</v>
      </c>
      <c r="S3027">
        <v>0.68545529999999999</v>
      </c>
      <c r="T3027">
        <v>-0.44311499999999998</v>
      </c>
      <c r="U3027">
        <v>-2.8940730000000001</v>
      </c>
      <c r="V3027">
        <v>-0.1457994</v>
      </c>
      <c r="W3027">
        <v>-9.4496520000000001E-2</v>
      </c>
      <c r="X3027">
        <v>0.98479079999999997</v>
      </c>
      <c r="Y3027">
        <v>-0.20221600000000001</v>
      </c>
      <c r="Z3027">
        <v>0.1152894</v>
      </c>
      <c r="AA3027">
        <v>0.97253129999999999</v>
      </c>
      <c r="AB3027">
        <v>26</v>
      </c>
      <c r="AC3027">
        <v>1.7327999999999899</v>
      </c>
      <c r="AD3027">
        <v>-1.1257537764879999</v>
      </c>
      <c r="AE3027">
        <v>-7.15109999999998</v>
      </c>
      <c r="AF3027">
        <v>-1.50556457610009</v>
      </c>
      <c r="AG3027">
        <v>-1.1257537764879999</v>
      </c>
      <c r="AH3027">
        <v>7.0303454093302697</v>
      </c>
      <c r="AI3027">
        <v>98.898982834298096</v>
      </c>
      <c r="AJ3027">
        <v>102.087447903618</v>
      </c>
      <c r="AK3027">
        <v>7.2773486128242997</v>
      </c>
      <c r="AL3027">
        <v>95.422342232559203</v>
      </c>
      <c r="AM3027">
        <v>98.421530123122395</v>
      </c>
      <c r="AN3027">
        <v>0.99999998854855499</v>
      </c>
    </row>
    <row r="3028" spans="1:40" x14ac:dyDescent="0.25">
      <c r="A3028" t="str">
        <f>"20190303154826555"</f>
        <v>20190303154826555</v>
      </c>
      <c r="B3028" t="str">
        <f>"1551599306543721"</f>
        <v>1551599306543721</v>
      </c>
      <c r="C3028" t="s">
        <v>40</v>
      </c>
      <c r="D3028">
        <v>5.6774740000000001</v>
      </c>
      <c r="E3028">
        <v>0.47562700000000002</v>
      </c>
      <c r="F3028" t="s">
        <v>47</v>
      </c>
      <c r="G3028">
        <v>-488.47239999999999</v>
      </c>
      <c r="H3028" s="1">
        <v>4.1163099999999997E-6</v>
      </c>
      <c r="I3028">
        <v>222.55600000000001</v>
      </c>
      <c r="J3028">
        <v>-490.28469999999999</v>
      </c>
      <c r="K3028">
        <v>1.1257140000000001</v>
      </c>
      <c r="L3028">
        <v>229.84139999999999</v>
      </c>
      <c r="M3028">
        <v>2.918012E-2</v>
      </c>
      <c r="N3028">
        <v>-3.2721060000000003E-2</v>
      </c>
      <c r="O3028">
        <v>-0.99903839999999999</v>
      </c>
      <c r="P3028">
        <v>0.1775882</v>
      </c>
      <c r="Q3028">
        <v>-0.12504860000000001</v>
      </c>
      <c r="R3028">
        <v>-0.97612770000000004</v>
      </c>
      <c r="S3028">
        <v>0.70703130000000003</v>
      </c>
      <c r="T3028">
        <v>-0.43750099999999997</v>
      </c>
      <c r="U3028">
        <v>-2.8895719999999998</v>
      </c>
      <c r="V3028">
        <v>-0.1483131</v>
      </c>
      <c r="W3028">
        <v>-9.4000449999999999E-2</v>
      </c>
      <c r="X3028">
        <v>0.98446290000000003</v>
      </c>
      <c r="Y3028">
        <v>-0.20707390000000001</v>
      </c>
      <c r="Z3028">
        <v>0.1135563</v>
      </c>
      <c r="AA3028">
        <v>0.97171260000000004</v>
      </c>
      <c r="AB3028">
        <v>26</v>
      </c>
      <c r="AC3028">
        <v>1.81229999999999</v>
      </c>
      <c r="AD3028">
        <v>-1.1257098836899999</v>
      </c>
      <c r="AE3028">
        <v>-7.2854000000000099</v>
      </c>
      <c r="AF3028">
        <v>-1.56366743051476</v>
      </c>
      <c r="AG3028">
        <v>-1.1257098836899999</v>
      </c>
      <c r="AH3028">
        <v>7.1739087618816599</v>
      </c>
      <c r="AI3028">
        <v>98.7165704719297</v>
      </c>
      <c r="AJ3028">
        <v>102.29620586006099</v>
      </c>
      <c r="AK3028">
        <v>7.4281387641381897</v>
      </c>
      <c r="AL3028">
        <v>95.3937922021193</v>
      </c>
      <c r="AM3028">
        <v>98.567399087156403</v>
      </c>
      <c r="AN3028">
        <v>1.0000000308541099</v>
      </c>
    </row>
    <row r="3029" spans="1:40" x14ac:dyDescent="0.25">
      <c r="A3029" t="str">
        <f>"20190303154826569"</f>
        <v>20190303154826569</v>
      </c>
      <c r="B3029" t="str">
        <f>"1551599306564217"</f>
        <v>1551599306564217</v>
      </c>
      <c r="C3029" t="s">
        <v>40</v>
      </c>
      <c r="D3029">
        <v>5.5395620000000001</v>
      </c>
      <c r="E3029">
        <v>0.43319000000000002</v>
      </c>
      <c r="F3029" t="s">
        <v>47</v>
      </c>
      <c r="G3029">
        <v>-488.42129999999997</v>
      </c>
      <c r="H3029" s="1">
        <v>4.0521050000000001E-6</v>
      </c>
      <c r="I3029">
        <v>222.3853</v>
      </c>
      <c r="J3029">
        <v>-490.27769999999998</v>
      </c>
      <c r="K3029">
        <v>1.1256759999999999</v>
      </c>
      <c r="L3029">
        <v>229.69839999999999</v>
      </c>
      <c r="M3029">
        <v>3.1520880000000001E-2</v>
      </c>
      <c r="N3029">
        <v>-3.262806E-2</v>
      </c>
      <c r="O3029">
        <v>-0.99897040000000004</v>
      </c>
      <c r="P3029">
        <v>0.18220720000000001</v>
      </c>
      <c r="Q3029">
        <v>-0.12422039999999999</v>
      </c>
      <c r="R3029">
        <v>-0.97538179999999997</v>
      </c>
      <c r="S3029">
        <v>0.72134399999999999</v>
      </c>
      <c r="T3029">
        <v>-0.43577310000000002</v>
      </c>
      <c r="U3029">
        <v>-2.8863219999999998</v>
      </c>
      <c r="V3029">
        <v>-0.15066679999999999</v>
      </c>
      <c r="W3029">
        <v>-9.3280020000000005E-2</v>
      </c>
      <c r="X3029">
        <v>0.98417399999999999</v>
      </c>
      <c r="Y3029">
        <v>-0.2095841</v>
      </c>
      <c r="Z3029">
        <v>0.1131115</v>
      </c>
      <c r="AA3029">
        <v>0.97122620000000004</v>
      </c>
      <c r="AB3029">
        <v>26</v>
      </c>
      <c r="AC3029">
        <v>1.8564000000000001</v>
      </c>
      <c r="AD3029">
        <v>-1.1256719478949999</v>
      </c>
      <c r="AE3029">
        <v>-7.3130999999999897</v>
      </c>
      <c r="AF3029">
        <v>-1.5894590710260801</v>
      </c>
      <c r="AG3029">
        <v>-1.1256719478949999</v>
      </c>
      <c r="AH3029">
        <v>7.2075772077230198</v>
      </c>
      <c r="AI3029">
        <v>98.671611371544302</v>
      </c>
      <c r="AJ3029">
        <v>102.43616843387601</v>
      </c>
      <c r="AK3029">
        <v>7.4661025092100903</v>
      </c>
      <c r="AL3029">
        <v>95.352332306961401</v>
      </c>
      <c r="AM3029">
        <v>98.703812136351303</v>
      </c>
      <c r="AN3029">
        <v>1.0000000545147101</v>
      </c>
    </row>
    <row r="3030" spans="1:40" x14ac:dyDescent="0.25">
      <c r="A3030" t="str">
        <f>"20190303154826586"</f>
        <v>20190303154826586</v>
      </c>
      <c r="B3030" t="str">
        <f>"1551599306583737"</f>
        <v>1551599306583737</v>
      </c>
      <c r="C3030" t="s">
        <v>40</v>
      </c>
      <c r="D3030">
        <v>5.5897880000000004</v>
      </c>
      <c r="E3030">
        <v>0.41506660000000001</v>
      </c>
      <c r="F3030" t="s">
        <v>47</v>
      </c>
      <c r="G3030">
        <v>-487.3691</v>
      </c>
      <c r="H3030" s="1">
        <v>3.7031530000000002E-6</v>
      </c>
      <c r="I3030">
        <v>222.012</v>
      </c>
      <c r="J3030">
        <v>-490.267</v>
      </c>
      <c r="K3030">
        <v>1.125632</v>
      </c>
      <c r="L3030">
        <v>229.49420000000001</v>
      </c>
      <c r="M3030">
        <v>3.4910299999999998E-2</v>
      </c>
      <c r="N3030">
        <v>-3.2486420000000002E-2</v>
      </c>
      <c r="O3030">
        <v>-0.99886240000000004</v>
      </c>
      <c r="P3030">
        <v>0.19043579999999999</v>
      </c>
      <c r="Q3030">
        <v>-0.1232041</v>
      </c>
      <c r="R3030">
        <v>-0.97393799999999997</v>
      </c>
      <c r="S3030">
        <v>1.0684199999999999</v>
      </c>
      <c r="T3030">
        <v>-0.41349740000000001</v>
      </c>
      <c r="U3030">
        <v>-2.8234710000000001</v>
      </c>
      <c r="V3030">
        <v>-0.15562609999999999</v>
      </c>
      <c r="W3030">
        <v>-9.2448539999999996E-2</v>
      </c>
      <c r="X3030">
        <v>0.98348049999999998</v>
      </c>
      <c r="Y3030">
        <v>-0.31825490000000001</v>
      </c>
      <c r="Z3030">
        <v>0.104358199999999</v>
      </c>
      <c r="AA3030">
        <v>0.94224370000000002</v>
      </c>
      <c r="AB3030">
        <v>25</v>
      </c>
      <c r="AC3030">
        <v>2.8978999999999902</v>
      </c>
      <c r="AD3030">
        <v>-1.1256282968469999</v>
      </c>
      <c r="AE3030">
        <v>-7.4821999999999997</v>
      </c>
      <c r="AF3030">
        <v>-2.5839353740438802</v>
      </c>
      <c r="AG3030">
        <v>-1.1256282968469999</v>
      </c>
      <c r="AH3030">
        <v>7.4325791201815603</v>
      </c>
      <c r="AI3030">
        <v>98.140779798364406</v>
      </c>
      <c r="AJ3030">
        <v>109.170002155459</v>
      </c>
      <c r="AK3030">
        <v>7.9490246859383298</v>
      </c>
      <c r="AL3030">
        <v>95.304485254532693</v>
      </c>
      <c r="AM3030">
        <v>98.991934802370196</v>
      </c>
      <c r="AN3030">
        <v>1.00000005471479</v>
      </c>
    </row>
    <row r="3031" spans="1:40" x14ac:dyDescent="0.25">
      <c r="A3031" t="str">
        <f>"20190303154826599"</f>
        <v>20190303154826599</v>
      </c>
      <c r="B3031" t="str">
        <f>"1551599306593498"</f>
        <v>1551599306593498</v>
      </c>
      <c r="C3031" t="s">
        <v>40</v>
      </c>
      <c r="D3031">
        <v>5.5664550000000004</v>
      </c>
      <c r="E3031">
        <v>0.40982560000000001</v>
      </c>
      <c r="F3031" t="s">
        <v>47</v>
      </c>
      <c r="G3031">
        <v>-486.7448</v>
      </c>
      <c r="H3031" s="1">
        <v>3.4186210000000001E-6</v>
      </c>
      <c r="I3031">
        <v>221.54040000000001</v>
      </c>
      <c r="J3031">
        <v>-490.25889999999998</v>
      </c>
      <c r="K3031">
        <v>1.125613</v>
      </c>
      <c r="L3031">
        <v>229.3466</v>
      </c>
      <c r="M3031">
        <v>3.7399559999999998E-2</v>
      </c>
      <c r="N3031">
        <v>-3.2381130000000001E-2</v>
      </c>
      <c r="O3031">
        <v>-0.99877570000000004</v>
      </c>
      <c r="P3031">
        <v>0.19532430000000001</v>
      </c>
      <c r="Q3031">
        <v>-0.1230427</v>
      </c>
      <c r="R3031">
        <v>-0.97298989999999996</v>
      </c>
      <c r="S3031">
        <v>1.2350159999999999</v>
      </c>
      <c r="T3031">
        <v>-0.39468750000000002</v>
      </c>
      <c r="U3031">
        <v>-2.7888950000000001</v>
      </c>
      <c r="V3031">
        <v>-0.15810879999999999</v>
      </c>
      <c r="W3031">
        <v>-9.2413419999999996E-2</v>
      </c>
      <c r="X3031">
        <v>0.98308770000000001</v>
      </c>
      <c r="Y3031">
        <v>-0.36757580000000001</v>
      </c>
      <c r="Z3031">
        <v>9.7245949999999998E-2</v>
      </c>
      <c r="AA3031">
        <v>0.92489529999999998</v>
      </c>
      <c r="AB3031">
        <v>25</v>
      </c>
      <c r="AC3031">
        <v>3.51409999999998</v>
      </c>
      <c r="AD3031">
        <v>-1.1256095813789999</v>
      </c>
      <c r="AE3031">
        <v>-7.8061999999999898</v>
      </c>
      <c r="AF3031">
        <v>-3.1648223855426698</v>
      </c>
      <c r="AG3031">
        <v>-1.1256095813789999</v>
      </c>
      <c r="AH3031">
        <v>7.7974222194614997</v>
      </c>
      <c r="AI3031">
        <v>97.618594471402702</v>
      </c>
      <c r="AJ3031">
        <v>112.091279031548</v>
      </c>
      <c r="AK3031">
        <v>8.4901643641496207</v>
      </c>
      <c r="AL3031">
        <v>95.302464510489699</v>
      </c>
      <c r="AM3031">
        <v>99.136571493355106</v>
      </c>
      <c r="AN3031">
        <v>1.0000000293624101</v>
      </c>
    </row>
    <row r="3032" spans="1:40" x14ac:dyDescent="0.25">
      <c r="A3032" t="str">
        <f>"20190303154826614"</f>
        <v>20190303154826614</v>
      </c>
      <c r="B3032" t="str">
        <f>"1551599306604233"</f>
        <v>1551599306604233</v>
      </c>
      <c r="C3032" t="s">
        <v>40</v>
      </c>
      <c r="D3032">
        <v>5.5612459999999997</v>
      </c>
      <c r="E3032">
        <v>0.40638210000000002</v>
      </c>
      <c r="F3032" t="s">
        <v>47</v>
      </c>
      <c r="G3032">
        <v>-486.58449999999999</v>
      </c>
      <c r="H3032" s="1">
        <v>3.3529830000000001E-6</v>
      </c>
      <c r="I3032">
        <v>221.44319999999999</v>
      </c>
      <c r="J3032">
        <v>-490.25</v>
      </c>
      <c r="K3032">
        <v>1.1256090000000001</v>
      </c>
      <c r="L3032">
        <v>229.19649999999999</v>
      </c>
      <c r="M3032">
        <v>4.0005560000000003E-2</v>
      </c>
      <c r="N3032">
        <v>-3.2273780000000002E-2</v>
      </c>
      <c r="O3032">
        <v>-0.99867819999999996</v>
      </c>
      <c r="P3032">
        <v>0.20040160000000001</v>
      </c>
      <c r="Q3032">
        <v>-0.1224432</v>
      </c>
      <c r="R3032">
        <v>-0.97203240000000002</v>
      </c>
      <c r="S3032">
        <v>1.289825</v>
      </c>
      <c r="T3032">
        <v>-0.3951268</v>
      </c>
      <c r="U3032">
        <v>-2.7743530000000001</v>
      </c>
      <c r="V3032">
        <v>-0.16067000000000001</v>
      </c>
      <c r="W3032">
        <v>-9.194513E-2</v>
      </c>
      <c r="X3032">
        <v>0.98271629999999999</v>
      </c>
      <c r="Y3032">
        <v>-0.3820056</v>
      </c>
      <c r="Z3032">
        <v>9.7224679999999994E-2</v>
      </c>
      <c r="AA3032">
        <v>0.91903159999999895</v>
      </c>
      <c r="AB3032">
        <v>25</v>
      </c>
      <c r="AC3032">
        <v>3.6655000000000002</v>
      </c>
      <c r="AD3032">
        <v>-1.1256056470169999</v>
      </c>
      <c r="AE3032">
        <v>-7.7532999999999896</v>
      </c>
      <c r="AF3032">
        <v>-3.29545720685323</v>
      </c>
      <c r="AG3032">
        <v>-1.1256056470169999</v>
      </c>
      <c r="AH3032">
        <v>7.7601250794630996</v>
      </c>
      <c r="AI3032">
        <v>97.604589320724799</v>
      </c>
      <c r="AJ3032">
        <v>113.009255566354</v>
      </c>
      <c r="AK3032">
        <v>8.5056785457545701</v>
      </c>
      <c r="AL3032">
        <v>95.275518685015101</v>
      </c>
      <c r="AM3032">
        <v>99.285465451358405</v>
      </c>
      <c r="AN3032">
        <v>1.0000000410582</v>
      </c>
    </row>
    <row r="3033" spans="1:40" x14ac:dyDescent="0.25">
      <c r="A3033" t="str">
        <f>"20190303154826633"</f>
        <v>20190303154826633</v>
      </c>
      <c r="B3033" t="str">
        <f>"1551599306623754"</f>
        <v>1551599306623754</v>
      </c>
      <c r="C3033" t="s">
        <v>40</v>
      </c>
      <c r="D3033">
        <v>5.5180170000000004</v>
      </c>
      <c r="E3033">
        <v>0.40235739999999998</v>
      </c>
      <c r="F3033" t="s">
        <v>47</v>
      </c>
      <c r="G3033">
        <v>-486.46039999999999</v>
      </c>
      <c r="H3033" s="1">
        <v>3.2949040000000001E-6</v>
      </c>
      <c r="I3033">
        <v>221.3364</v>
      </c>
      <c r="J3033">
        <v>-490.2373</v>
      </c>
      <c r="K3033">
        <v>1.1256269999999999</v>
      </c>
      <c r="L3033">
        <v>228.99299999999999</v>
      </c>
      <c r="M3033">
        <v>4.3632079999999997E-2</v>
      </c>
      <c r="N3033">
        <v>-3.2130140000000001E-2</v>
      </c>
      <c r="O3033">
        <v>-0.99853099999999995</v>
      </c>
      <c r="P3033">
        <v>0.20933399999999999</v>
      </c>
      <c r="Q3033">
        <v>-0.1205108</v>
      </c>
      <c r="R3033">
        <v>-0.97038999999999997</v>
      </c>
      <c r="S3033">
        <v>1.3316349999999999</v>
      </c>
      <c r="T3033">
        <v>-0.39552349999999997</v>
      </c>
      <c r="U3033">
        <v>-2.7619479999999998</v>
      </c>
      <c r="V3033">
        <v>-0.16612080000000001</v>
      </c>
      <c r="W3033">
        <v>-9.0216030000000003E-2</v>
      </c>
      <c r="X3033">
        <v>0.98197000000000001</v>
      </c>
      <c r="Y3033">
        <v>-0.3915402</v>
      </c>
      <c r="Z3033">
        <v>9.7356059999999994E-2</v>
      </c>
      <c r="AA3033">
        <v>0.91499620000000004</v>
      </c>
      <c r="AB3033">
        <v>25</v>
      </c>
      <c r="AC3033">
        <v>3.7769000000000101</v>
      </c>
      <c r="AD3033">
        <v>-1.1256237050959901</v>
      </c>
      <c r="AE3033">
        <v>-7.6565999999999903</v>
      </c>
      <c r="AF3033">
        <v>-3.3802934919218099</v>
      </c>
      <c r="AG3033">
        <v>-1.1256237050959901</v>
      </c>
      <c r="AH3033">
        <v>7.6806660828320998</v>
      </c>
      <c r="AI3033">
        <v>97.639875202553597</v>
      </c>
      <c r="AJ3033">
        <v>113.754496723714</v>
      </c>
      <c r="AK3033">
        <v>8.4667611453831899</v>
      </c>
      <c r="AL3033">
        <v>95.176034910348505</v>
      </c>
      <c r="AM3033">
        <v>99.6018722835055</v>
      </c>
      <c r="AN3033">
        <v>1.00000006658079</v>
      </c>
    </row>
    <row r="3034" spans="1:40" x14ac:dyDescent="0.25">
      <c r="A3034" t="str">
        <f>"20190303154826657"</f>
        <v>20190303154826657</v>
      </c>
      <c r="B3034" t="str">
        <f>"1551599306653435"</f>
        <v>1551599306653435</v>
      </c>
      <c r="C3034" t="s">
        <v>40</v>
      </c>
      <c r="D3034">
        <v>5.4360759999999999</v>
      </c>
      <c r="E3034">
        <v>0.40031810000000001</v>
      </c>
      <c r="F3034" t="s">
        <v>47</v>
      </c>
      <c r="G3034">
        <v>-486.24470000000002</v>
      </c>
      <c r="H3034" s="1">
        <v>3.204546E-6</v>
      </c>
      <c r="I3034">
        <v>221.10079999999999</v>
      </c>
      <c r="J3034">
        <v>-490.22059999999999</v>
      </c>
      <c r="K3034">
        <v>1.12568</v>
      </c>
      <c r="L3034">
        <v>228.74160000000001</v>
      </c>
      <c r="M3034">
        <v>4.8286839999999998E-2</v>
      </c>
      <c r="N3034">
        <v>-3.1959120000000001E-2</v>
      </c>
      <c r="O3034">
        <v>-0.99832220000000005</v>
      </c>
      <c r="P3034">
        <v>0.21957689999999999</v>
      </c>
      <c r="Q3034">
        <v>-0.1180498</v>
      </c>
      <c r="R3034">
        <v>-0.96842689999999998</v>
      </c>
      <c r="S3034">
        <v>1.387939</v>
      </c>
      <c r="T3034">
        <v>-0.39129269999999999</v>
      </c>
      <c r="U3034">
        <v>-2.7435</v>
      </c>
      <c r="V3034">
        <v>-0.17189409999999999</v>
      </c>
      <c r="W3034">
        <v>-8.799949E-2</v>
      </c>
      <c r="X3034">
        <v>0.98117710000000002</v>
      </c>
      <c r="Y3034">
        <v>-0.40473609999999999</v>
      </c>
      <c r="Z3034">
        <v>9.6007090000000003E-2</v>
      </c>
      <c r="AA3034">
        <v>0.90937959999999995</v>
      </c>
      <c r="AB3034">
        <v>24</v>
      </c>
      <c r="AC3034">
        <v>3.9758999999999598</v>
      </c>
      <c r="AD3034">
        <v>-1.1256767954539999</v>
      </c>
      <c r="AE3034">
        <v>-7.6408000000000103</v>
      </c>
      <c r="AF3034">
        <v>-3.54162827504175</v>
      </c>
      <c r="AG3034">
        <v>-1.1256767954539999</v>
      </c>
      <c r="AH3034">
        <v>7.6925716495851697</v>
      </c>
      <c r="AI3034">
        <v>97.571492518825195</v>
      </c>
      <c r="AJ3034">
        <v>114.721148205668</v>
      </c>
      <c r="AK3034">
        <v>8.5431807700879396</v>
      </c>
      <c r="AL3034">
        <v>95.048529640092298</v>
      </c>
      <c r="AM3034">
        <v>99.936903281099106</v>
      </c>
      <c r="AN3034">
        <v>0.99999999670974005</v>
      </c>
    </row>
    <row r="3035" spans="1:40" x14ac:dyDescent="0.25">
      <c r="A3035" t="str">
        <f>"20190303154826679"</f>
        <v>20190303154826679</v>
      </c>
      <c r="B3035" t="str">
        <f>"1551599306673932"</f>
        <v>1551599306673932</v>
      </c>
      <c r="C3035" t="s">
        <v>40</v>
      </c>
      <c r="D3035">
        <v>5.4824599999999997</v>
      </c>
      <c r="E3035">
        <v>0.39963569999999998</v>
      </c>
      <c r="F3035" t="s">
        <v>47</v>
      </c>
      <c r="G3035">
        <v>-486.04539999999997</v>
      </c>
      <c r="H3035" s="1">
        <v>3.1022280000000001E-6</v>
      </c>
      <c r="I3035">
        <v>220.7979</v>
      </c>
      <c r="J3035">
        <v>-490.20370000000003</v>
      </c>
      <c r="K3035">
        <v>1.1257569999999999</v>
      </c>
      <c r="L3035">
        <v>228.50909999999999</v>
      </c>
      <c r="M3035">
        <v>5.2792800000000001E-2</v>
      </c>
      <c r="N3035">
        <v>-3.1810819999999997E-2</v>
      </c>
      <c r="O3035">
        <v>-0.99809870000000001</v>
      </c>
      <c r="P3035">
        <v>0.2292122</v>
      </c>
      <c r="Q3035">
        <v>-0.1148694</v>
      </c>
      <c r="R3035">
        <v>-0.96657479999999996</v>
      </c>
      <c r="S3035">
        <v>1.4326779999999999</v>
      </c>
      <c r="T3035">
        <v>-0.38627020000000001</v>
      </c>
      <c r="U3035">
        <v>-2.7258610000000001</v>
      </c>
      <c r="V3035">
        <v>-0.17721010000000001</v>
      </c>
      <c r="W3035">
        <v>-8.5042770000000004E-2</v>
      </c>
      <c r="X3035">
        <v>0.98049189999999997</v>
      </c>
      <c r="Y3035">
        <v>-0.4147885</v>
      </c>
      <c r="Z3035">
        <v>9.4519210000000006E-2</v>
      </c>
      <c r="AA3035">
        <v>0.90499540000000001</v>
      </c>
      <c r="AB3035">
        <v>24</v>
      </c>
      <c r="AC3035">
        <v>4.1583000000000503</v>
      </c>
      <c r="AD3035">
        <v>-1.1257538977720001</v>
      </c>
      <c r="AE3035">
        <v>-7.7111999999999901</v>
      </c>
      <c r="AF3035">
        <v>-3.6843591970831699</v>
      </c>
      <c r="AG3035">
        <v>-1.1257538977720001</v>
      </c>
      <c r="AH3035">
        <v>7.7914273344788096</v>
      </c>
      <c r="AI3035">
        <v>97.4417639089598</v>
      </c>
      <c r="AJ3035">
        <v>115.308224234356</v>
      </c>
      <c r="AK3035">
        <v>8.6918447086877801</v>
      </c>
      <c r="AL3035">
        <v>94.878484173046502</v>
      </c>
      <c r="AM3035">
        <v>100.24480999292101</v>
      </c>
      <c r="AN3035">
        <v>1.0000000291184401</v>
      </c>
    </row>
    <row r="3036" spans="1:40" x14ac:dyDescent="0.25">
      <c r="A3036" t="str">
        <f>"20190303154826702"</f>
        <v>20190303154826702</v>
      </c>
      <c r="B3036" t="str">
        <f>"1551599306694427"</f>
        <v>1551599306694427</v>
      </c>
      <c r="C3036" t="s">
        <v>40</v>
      </c>
      <c r="D3036">
        <v>5.5248730000000004</v>
      </c>
      <c r="E3036">
        <v>0.39953169999999999</v>
      </c>
      <c r="F3036" t="s">
        <v>47</v>
      </c>
      <c r="G3036">
        <v>-485.8349</v>
      </c>
      <c r="H3036" s="1">
        <v>2.9823689999999998E-6</v>
      </c>
      <c r="I3036">
        <v>220.4247</v>
      </c>
      <c r="J3036">
        <v>-490.18549999999999</v>
      </c>
      <c r="K3036">
        <v>1.1258549999999901</v>
      </c>
      <c r="L3036">
        <v>228.27709999999999</v>
      </c>
      <c r="M3036">
        <v>5.7527689999999999E-2</v>
      </c>
      <c r="N3036">
        <v>-3.1674420000000002E-2</v>
      </c>
      <c r="O3036">
        <v>-0.99784139999999999</v>
      </c>
      <c r="P3036">
        <v>0.2385186</v>
      </c>
      <c r="Q3036">
        <v>-0.1115495</v>
      </c>
      <c r="R3036">
        <v>-0.96471039999999997</v>
      </c>
      <c r="S3036">
        <v>1.4652400000000001</v>
      </c>
      <c r="T3036">
        <v>-0.3775635</v>
      </c>
      <c r="U3036">
        <v>-2.7114259999999999</v>
      </c>
      <c r="V3036">
        <v>-0.18198139999999999</v>
      </c>
      <c r="W3036">
        <v>-8.1936220000000004E-2</v>
      </c>
      <c r="X3036">
        <v>0.97988220000000004</v>
      </c>
      <c r="Y3036">
        <v>-0.42102790000000001</v>
      </c>
      <c r="Z3036">
        <v>9.1916890000000001E-2</v>
      </c>
      <c r="AA3036">
        <v>0.90237840000000002</v>
      </c>
      <c r="AB3036">
        <v>24</v>
      </c>
      <c r="AC3036">
        <v>4.3505999999999796</v>
      </c>
      <c r="AD3036">
        <v>-1.1258520176309901</v>
      </c>
      <c r="AE3036">
        <v>-7.8523999999999798</v>
      </c>
      <c r="AF3036">
        <v>-3.8311712764152999</v>
      </c>
      <c r="AG3036">
        <v>-1.1258520176309901</v>
      </c>
      <c r="AH3036">
        <v>7.9645167783654101</v>
      </c>
      <c r="AI3036">
        <v>97.259620750400103</v>
      </c>
      <c r="AJ3036">
        <v>115.688949001984</v>
      </c>
      <c r="AK3036">
        <v>8.9094861595771899</v>
      </c>
      <c r="AL3036">
        <v>94.699868664337899</v>
      </c>
      <c r="AM3036">
        <v>100.52096954657701</v>
      </c>
      <c r="AN3036">
        <v>0.99999994998534203</v>
      </c>
    </row>
    <row r="3037" spans="1:40" x14ac:dyDescent="0.25">
      <c r="A3037" t="str">
        <f>"20190303154826714"</f>
        <v>20190303154826714</v>
      </c>
      <c r="B3037" t="str">
        <f>"1551599306704187"</f>
        <v>1551599306704187</v>
      </c>
      <c r="C3037" t="s">
        <v>40</v>
      </c>
      <c r="D3037">
        <v>5.4896419999999999</v>
      </c>
      <c r="E3037">
        <v>0.39969310000000002</v>
      </c>
      <c r="F3037" t="s">
        <v>42</v>
      </c>
      <c r="G3037">
        <v>-489.69409999999999</v>
      </c>
      <c r="H3037">
        <v>1.005309</v>
      </c>
      <c r="I3037">
        <v>227.3878</v>
      </c>
      <c r="J3037">
        <v>-490.1737</v>
      </c>
      <c r="K3037">
        <v>1.12592</v>
      </c>
      <c r="L3037">
        <v>228.1362</v>
      </c>
      <c r="M3037">
        <v>6.0551880000000002E-2</v>
      </c>
      <c r="N3037">
        <v>-3.1598359999999999E-2</v>
      </c>
      <c r="O3037">
        <v>-0.99766500000000002</v>
      </c>
      <c r="P3037">
        <v>0.2437667</v>
      </c>
      <c r="Q3037">
        <v>-0.1100691</v>
      </c>
      <c r="R3037">
        <v>-0.96356790000000003</v>
      </c>
      <c r="S3037">
        <v>1.4922489999999999</v>
      </c>
      <c r="T3037">
        <v>-0.36579869999999998</v>
      </c>
      <c r="U3037">
        <v>-2.6985320000000002</v>
      </c>
      <c r="V3037">
        <v>-0.1843292</v>
      </c>
      <c r="W3037">
        <v>-8.0577889999999999E-2</v>
      </c>
      <c r="X3037">
        <v>0.97955599999999998</v>
      </c>
      <c r="Y3037">
        <v>-0.42719279999999998</v>
      </c>
      <c r="Z3037">
        <v>8.8255899999999998E-2</v>
      </c>
      <c r="AA3037">
        <v>0.8998429</v>
      </c>
      <c r="AB3037">
        <v>23</v>
      </c>
      <c r="AC3037">
        <v>0.47960000000000402</v>
      </c>
      <c r="AD3037">
        <v>-0.120611</v>
      </c>
      <c r="AE3037">
        <v>-0.74840000000000295</v>
      </c>
      <c r="AF3037">
        <v>-0.42554464459548103</v>
      </c>
      <c r="AG3037">
        <v>-0.120611</v>
      </c>
      <c r="AH3037">
        <v>0.76205029468452201</v>
      </c>
      <c r="AI3037">
        <v>97.867645881627297</v>
      </c>
      <c r="AJ3037">
        <v>119.17989422002501</v>
      </c>
      <c r="AK3037">
        <v>0.88111061138409896</v>
      </c>
      <c r="AL3037">
        <v>94.621783616608695</v>
      </c>
      <c r="AM3037">
        <v>100.657082473022</v>
      </c>
      <c r="AN3037">
        <v>1.0000000037327399</v>
      </c>
    </row>
    <row r="3038" spans="1:40" x14ac:dyDescent="0.25">
      <c r="A3038" t="str">
        <f>"20190303154826732"</f>
        <v>20190303154826732</v>
      </c>
      <c r="B3038" t="str">
        <f>"1551599306723711"</f>
        <v>1551599306723711</v>
      </c>
      <c r="C3038" t="s">
        <v>40</v>
      </c>
      <c r="D3038">
        <v>5.4341239999999997</v>
      </c>
      <c r="E3038">
        <v>0.4000068</v>
      </c>
      <c r="F3038" t="s">
        <v>47</v>
      </c>
      <c r="G3038">
        <v>-485.48430000000002</v>
      </c>
      <c r="H3038" s="1">
        <v>2.7718869999999999E-6</v>
      </c>
      <c r="I3038">
        <v>219.75399999999999</v>
      </c>
      <c r="J3038">
        <v>-490.15859999999998</v>
      </c>
      <c r="K3038">
        <v>1.126004</v>
      </c>
      <c r="L3038">
        <v>227.96440000000001</v>
      </c>
      <c r="M3038">
        <v>6.4356300000000005E-2</v>
      </c>
      <c r="N3038">
        <v>-3.1511610000000002E-2</v>
      </c>
      <c r="O3038">
        <v>-0.99742949999999997</v>
      </c>
      <c r="P3038">
        <v>0.25151220000000002</v>
      </c>
      <c r="Q3038">
        <v>-0.1077631</v>
      </c>
      <c r="R3038">
        <v>-0.96183660000000004</v>
      </c>
      <c r="S3038">
        <v>1.5056149999999999</v>
      </c>
      <c r="T3038">
        <v>-0.36149290000000001</v>
      </c>
      <c r="U3038">
        <v>-2.6912539999999998</v>
      </c>
      <c r="V3038">
        <v>-0.1884507</v>
      </c>
      <c r="W3038">
        <v>-7.8431399999999998E-2</v>
      </c>
      <c r="X3038">
        <v>0.97894579999999998</v>
      </c>
      <c r="Y3038">
        <v>-0.42825099999999999</v>
      </c>
      <c r="Z3038">
        <v>8.7059449999999997E-2</v>
      </c>
      <c r="AA3038">
        <v>0.89945629999999999</v>
      </c>
      <c r="AB3038">
        <v>23</v>
      </c>
      <c r="AC3038">
        <v>4.6742999999999597</v>
      </c>
      <c r="AD3038">
        <v>-1.1260012281129901</v>
      </c>
      <c r="AE3038">
        <v>-8.2103999999999893</v>
      </c>
      <c r="AF3038">
        <v>-4.0780213129939202</v>
      </c>
      <c r="AG3038">
        <v>-1.1260012281129901</v>
      </c>
      <c r="AH3038">
        <v>8.3753660320941208</v>
      </c>
      <c r="AI3038">
        <v>96.892190824206097</v>
      </c>
      <c r="AJ3038">
        <v>115.96175817717899</v>
      </c>
      <c r="AK3038">
        <v>9.3832240070511297</v>
      </c>
      <c r="AL3038">
        <v>94.498408178566393</v>
      </c>
      <c r="AM3038">
        <v>100.896357203777</v>
      </c>
      <c r="AN3038">
        <v>1.0000000150870401</v>
      </c>
    </row>
    <row r="3039" spans="1:40" x14ac:dyDescent="0.25">
      <c r="A3039" t="str">
        <f>"20190303154826753"</f>
        <v>20190303154826753</v>
      </c>
      <c r="B3039" t="str">
        <f>"1551599306744207"</f>
        <v>1551599306744207</v>
      </c>
      <c r="C3039" t="s">
        <v>40</v>
      </c>
      <c r="D3039">
        <v>5.4486470000000002</v>
      </c>
      <c r="E3039">
        <v>0.40040310000000001</v>
      </c>
      <c r="F3039" t="s">
        <v>47</v>
      </c>
      <c r="G3039">
        <v>-485.31169999999997</v>
      </c>
      <c r="H3039" s="1">
        <v>2.703346E-6</v>
      </c>
      <c r="I3039">
        <v>219.44470000000001</v>
      </c>
      <c r="J3039">
        <v>-490.13929999999999</v>
      </c>
      <c r="K3039">
        <v>1.126104</v>
      </c>
      <c r="L3039">
        <v>227.75659999999999</v>
      </c>
      <c r="M3039">
        <v>6.9161349999999996E-2</v>
      </c>
      <c r="N3039">
        <v>-3.1415560000000002E-2</v>
      </c>
      <c r="O3039">
        <v>-0.99711070000000002</v>
      </c>
      <c r="P3039">
        <v>0.26023289999999999</v>
      </c>
      <c r="Q3039">
        <v>-0.1064851</v>
      </c>
      <c r="R3039">
        <v>-0.95965630000000002</v>
      </c>
      <c r="S3039">
        <v>1.524994</v>
      </c>
      <c r="T3039">
        <v>-0.35427829999999999</v>
      </c>
      <c r="U3039">
        <v>-2.6805880000000002</v>
      </c>
      <c r="V3039">
        <v>-0.19259299999999999</v>
      </c>
      <c r="W3039">
        <v>-7.7334100000000003E-2</v>
      </c>
      <c r="X3039">
        <v>0.9782267</v>
      </c>
      <c r="Y3039">
        <v>-0.4304558</v>
      </c>
      <c r="Z3039">
        <v>8.4959629999999994E-2</v>
      </c>
      <c r="AA3039">
        <v>0.89860429999999902</v>
      </c>
      <c r="AB3039">
        <v>23</v>
      </c>
      <c r="AC3039">
        <v>4.8276000000000101</v>
      </c>
      <c r="AD3039">
        <v>-1.1261012966540001</v>
      </c>
      <c r="AE3039">
        <v>-8.3118999999999801</v>
      </c>
      <c r="AF3039">
        <v>-4.1834644360596096</v>
      </c>
      <c r="AG3039">
        <v>-1.1261012966540001</v>
      </c>
      <c r="AH3039">
        <v>8.5092358882741106</v>
      </c>
      <c r="AI3039">
        <v>96.772832577818903</v>
      </c>
      <c r="AJ3039">
        <v>116.18048870595899</v>
      </c>
      <c r="AK3039">
        <v>9.5486425328626403</v>
      </c>
      <c r="AL3039">
        <v>94.435345805156103</v>
      </c>
      <c r="AM3039">
        <v>101.137927081657</v>
      </c>
      <c r="AN3039">
        <v>1.00000005163234</v>
      </c>
    </row>
    <row r="3040" spans="1:40" x14ac:dyDescent="0.25">
      <c r="A3040" t="str">
        <f>"20190303154826768"</f>
        <v>20190303154826768</v>
      </c>
      <c r="B3040" t="str">
        <f>"1551599306763723"</f>
        <v>1551599306763723</v>
      </c>
      <c r="C3040" t="s">
        <v>40</v>
      </c>
      <c r="D3040">
        <v>5.4203479999999997</v>
      </c>
      <c r="E3040">
        <v>0.40104770000000001</v>
      </c>
      <c r="F3040" t="s">
        <v>47</v>
      </c>
      <c r="G3040">
        <v>-485.16090000000003</v>
      </c>
      <c r="H3040" s="1">
        <v>2.6643960000000002E-6</v>
      </c>
      <c r="I3040">
        <v>219.16540000000001</v>
      </c>
      <c r="J3040">
        <v>-490.12540000000001</v>
      </c>
      <c r="K3040">
        <v>1.126172</v>
      </c>
      <c r="L3040">
        <v>227.61490000000001</v>
      </c>
      <c r="M3040">
        <v>7.2587799999999994E-2</v>
      </c>
      <c r="N3040">
        <v>-3.1355559999999998E-2</v>
      </c>
      <c r="O3040">
        <v>-0.99686909999999895</v>
      </c>
      <c r="P3040">
        <v>0.26556760000000001</v>
      </c>
      <c r="Q3040">
        <v>-0.1055079</v>
      </c>
      <c r="R3040">
        <v>-0.95830179999999998</v>
      </c>
      <c r="S3040">
        <v>1.5460510000000001</v>
      </c>
      <c r="T3040">
        <v>-0.34971819999999998</v>
      </c>
      <c r="U3040">
        <v>-2.6680600000000001</v>
      </c>
      <c r="V3040">
        <v>-0.1946561</v>
      </c>
      <c r="W3040">
        <v>-7.6466850000000003E-2</v>
      </c>
      <c r="X3040">
        <v>0.97788640000000004</v>
      </c>
      <c r="Y3040">
        <v>-0.43454890000000002</v>
      </c>
      <c r="Z3040">
        <v>8.3675289999999999E-2</v>
      </c>
      <c r="AA3040">
        <v>0.89675289999999996</v>
      </c>
      <c r="AB3040">
        <v>23</v>
      </c>
      <c r="AC3040">
        <v>4.9644999999999797</v>
      </c>
      <c r="AD3040">
        <v>-1.1261693356039999</v>
      </c>
      <c r="AE3040">
        <v>-8.4495000000000005</v>
      </c>
      <c r="AF3040">
        <v>-4.2812230231678097</v>
      </c>
      <c r="AG3040">
        <v>-1.1261693356039999</v>
      </c>
      <c r="AH3040">
        <v>8.6731942616372599</v>
      </c>
      <c r="AI3040">
        <v>96.641191471028804</v>
      </c>
      <c r="AJ3040">
        <v>116.27166002518</v>
      </c>
      <c r="AK3040">
        <v>9.7376294161697494</v>
      </c>
      <c r="AL3040">
        <v>94.385508715579505</v>
      </c>
      <c r="AM3040">
        <v>101.25802571051101</v>
      </c>
      <c r="AN3040">
        <v>0.99999999386054605</v>
      </c>
    </row>
    <row r="3041" spans="1:40" x14ac:dyDescent="0.25">
      <c r="A3041" t="str">
        <f>"20190303154826789"</f>
        <v>20190303154826789</v>
      </c>
      <c r="B3041" t="str">
        <f>"1551599306784220"</f>
        <v>1551599306784220</v>
      </c>
      <c r="C3041" t="s">
        <v>40</v>
      </c>
      <c r="D3041">
        <v>5.3193000000000001</v>
      </c>
      <c r="E3041">
        <v>0.40198669999999997</v>
      </c>
      <c r="F3041" t="s">
        <v>42</v>
      </c>
      <c r="G3041">
        <v>-489.62790000000001</v>
      </c>
      <c r="H3041">
        <v>1.0152300000000001</v>
      </c>
      <c r="I3041">
        <v>226.7638</v>
      </c>
      <c r="J3041">
        <v>-490.10500000000002</v>
      </c>
      <c r="K3041">
        <v>1.1262829999999999</v>
      </c>
      <c r="L3041">
        <v>227.4195</v>
      </c>
      <c r="M3041">
        <v>7.7518310000000007E-2</v>
      </c>
      <c r="N3041">
        <v>-3.1280240000000001E-2</v>
      </c>
      <c r="O3041">
        <v>-0.99650030000000001</v>
      </c>
      <c r="P3041">
        <v>0.27381430000000001</v>
      </c>
      <c r="Q3041">
        <v>-0.10434640000000001</v>
      </c>
      <c r="R3041">
        <v>-0.95610539999999999</v>
      </c>
      <c r="S3041">
        <v>1.555847</v>
      </c>
      <c r="T3041">
        <v>-0.34688429999999998</v>
      </c>
      <c r="U3041">
        <v>-2.6611479999999998</v>
      </c>
      <c r="V3041">
        <v>-0.19821659999999999</v>
      </c>
      <c r="W3041">
        <v>-7.5465290000000004E-2</v>
      </c>
      <c r="X3041">
        <v>0.97724880000000003</v>
      </c>
      <c r="Y3041">
        <v>-0.4336121</v>
      </c>
      <c r="Z3041">
        <v>8.2995269999999996E-2</v>
      </c>
      <c r="AA3041">
        <v>0.89726939999999999</v>
      </c>
      <c r="AB3041">
        <v>22</v>
      </c>
      <c r="AC3041">
        <v>0.47710000000000702</v>
      </c>
      <c r="AD3041">
        <v>-0.111053</v>
      </c>
      <c r="AE3041">
        <v>-0.65569999999999595</v>
      </c>
      <c r="AF3041">
        <v>-0.41698864688176501</v>
      </c>
      <c r="AG3041">
        <v>-0.111053</v>
      </c>
      <c r="AH3041">
        <v>0.678010903353089</v>
      </c>
      <c r="AI3041">
        <v>97.942521116747898</v>
      </c>
      <c r="AJ3041">
        <v>121.592247875778</v>
      </c>
      <c r="AK3041">
        <v>0.80368593710662695</v>
      </c>
      <c r="AL3041">
        <v>94.327957121466497</v>
      </c>
      <c r="AM3041">
        <v>101.465826949223</v>
      </c>
      <c r="AN3041">
        <v>1.0000000238058899</v>
      </c>
    </row>
    <row r="3042" spans="1:40" x14ac:dyDescent="0.25">
      <c r="A3042" t="str">
        <f>"20190303154826811"</f>
        <v>20190303154826811</v>
      </c>
      <c r="B3042" t="str">
        <f>"1551599306803739"</f>
        <v>1551599306803739</v>
      </c>
      <c r="C3042" t="s">
        <v>40</v>
      </c>
      <c r="D3042">
        <v>5.3226430000000002</v>
      </c>
      <c r="E3042">
        <v>0.40289950000000002</v>
      </c>
      <c r="F3042" t="s">
        <v>42</v>
      </c>
      <c r="G3042">
        <v>-489.6026</v>
      </c>
      <c r="H3042">
        <v>1.0159549999999999</v>
      </c>
      <c r="I3042">
        <v>226.57159999999999</v>
      </c>
      <c r="J3042">
        <v>-490.08150000000001</v>
      </c>
      <c r="K3042">
        <v>1.126404</v>
      </c>
      <c r="L3042">
        <v>227.20660000000001</v>
      </c>
      <c r="M3042">
        <v>8.3174709999999999E-2</v>
      </c>
      <c r="N3042">
        <v>-3.1208300000000001E-2</v>
      </c>
      <c r="O3042">
        <v>-0.9960464</v>
      </c>
      <c r="P3042">
        <v>0.28275519999999998</v>
      </c>
      <c r="Q3042">
        <v>-0.1025973</v>
      </c>
      <c r="R3042">
        <v>-0.95368949999999997</v>
      </c>
      <c r="S3042">
        <v>1.571472</v>
      </c>
      <c r="T3042">
        <v>-0.34483429999999998</v>
      </c>
      <c r="U3042">
        <v>-2.6500849999999998</v>
      </c>
      <c r="V3042">
        <v>-0.20178969999999999</v>
      </c>
      <c r="W3042">
        <v>-7.3879120000000006E-2</v>
      </c>
      <c r="X3042">
        <v>0.97663849999999996</v>
      </c>
      <c r="Y3042">
        <v>-0.43407889999999999</v>
      </c>
      <c r="Z3042">
        <v>8.261027E-2</v>
      </c>
      <c r="AA3042">
        <v>0.89707919999999997</v>
      </c>
      <c r="AB3042">
        <v>22</v>
      </c>
      <c r="AC3042">
        <v>0.47890000000000998</v>
      </c>
      <c r="AD3042">
        <v>-0.11044900000000001</v>
      </c>
      <c r="AE3042">
        <v>-0.63500000000001899</v>
      </c>
      <c r="AF3042">
        <v>-0.41636775031365902</v>
      </c>
      <c r="AG3042">
        <v>-0.11044900000000001</v>
      </c>
      <c r="AH3042">
        <v>0.65992286502320396</v>
      </c>
      <c r="AI3042">
        <v>98.056566541602606</v>
      </c>
      <c r="AJ3042">
        <v>122.24921948150499</v>
      </c>
      <c r="AK3042">
        <v>0.78807313929780198</v>
      </c>
      <c r="AL3042">
        <v>94.236822000665498</v>
      </c>
      <c r="AM3042">
        <v>101.673985218049</v>
      </c>
      <c r="AN3042">
        <v>0.99999998354015696</v>
      </c>
    </row>
    <row r="3043" spans="1:40" x14ac:dyDescent="0.25">
      <c r="A3043" t="str">
        <f>"20190303154826833"</f>
        <v>20190303154826833</v>
      </c>
      <c r="B3043" t="str">
        <f>"1551599306824239"</f>
        <v>1551599306824239</v>
      </c>
      <c r="C3043" t="s">
        <v>40</v>
      </c>
      <c r="D3043">
        <v>5.3525159999999996</v>
      </c>
      <c r="E3043">
        <v>0.40343449999999997</v>
      </c>
      <c r="F3043" t="s">
        <v>42</v>
      </c>
      <c r="G3043">
        <v>-489.56720000000001</v>
      </c>
      <c r="H3043">
        <v>1.01695</v>
      </c>
      <c r="I3043">
        <v>226.35300000000001</v>
      </c>
      <c r="J3043">
        <v>-490.0573</v>
      </c>
      <c r="K3043">
        <v>1.126517</v>
      </c>
      <c r="L3043">
        <v>227.00229999999999</v>
      </c>
      <c r="M3043">
        <v>8.8882929999999999E-2</v>
      </c>
      <c r="N3043">
        <v>-3.1148550000000001E-2</v>
      </c>
      <c r="O3043">
        <v>-0.99555490000000002</v>
      </c>
      <c r="P3043">
        <v>0.29165570000000002</v>
      </c>
      <c r="Q3043">
        <v>-0.1010117</v>
      </c>
      <c r="R3043">
        <v>-0.95117470000000004</v>
      </c>
      <c r="S3043">
        <v>1.5894469999999901</v>
      </c>
      <c r="T3043">
        <v>-0.33824120000000002</v>
      </c>
      <c r="U3043">
        <v>-2.6380460000000001</v>
      </c>
      <c r="V3043">
        <v>-0.20529069999999999</v>
      </c>
      <c r="W3043">
        <v>-7.2442580000000006E-2</v>
      </c>
      <c r="X3043">
        <v>0.97601629999999995</v>
      </c>
      <c r="Y3043">
        <v>-0.43530530000000001</v>
      </c>
      <c r="Z3043">
        <v>8.0721290000000001E-2</v>
      </c>
      <c r="AA3043">
        <v>0.89665680000000003</v>
      </c>
      <c r="AB3043">
        <v>22</v>
      </c>
      <c r="AC3043">
        <v>0.49009999999998399</v>
      </c>
      <c r="AD3043">
        <v>-0.109566999999999</v>
      </c>
      <c r="AE3043">
        <v>-0.64930000000000998</v>
      </c>
      <c r="AF3043">
        <v>-0.42274989416088099</v>
      </c>
      <c r="AG3043">
        <v>-0.109566999999999</v>
      </c>
      <c r="AH3043">
        <v>0.67801108680968603</v>
      </c>
      <c r="AI3043">
        <v>97.808184888021302</v>
      </c>
      <c r="AJ3043">
        <v>121.94414672352001</v>
      </c>
      <c r="AK3043">
        <v>0.806487094961158</v>
      </c>
      <c r="AL3043">
        <v>94.154293044983106</v>
      </c>
      <c r="AM3043">
        <v>101.87817877457501</v>
      </c>
      <c r="AN3043">
        <v>1.0000000083846099</v>
      </c>
    </row>
    <row r="3044" spans="1:40" x14ac:dyDescent="0.25">
      <c r="A3044" t="str">
        <f>"20190303154826847"</f>
        <v>20190303154826847</v>
      </c>
      <c r="B3044" t="str">
        <f>"1551599306843755"</f>
        <v>1551599306843755</v>
      </c>
      <c r="C3044" t="s">
        <v>40</v>
      </c>
      <c r="D3044">
        <v>5.346349</v>
      </c>
      <c r="E3044">
        <v>0.42147960000000001</v>
      </c>
      <c r="F3044" t="s">
        <v>42</v>
      </c>
      <c r="G3044">
        <v>-489.53390000000002</v>
      </c>
      <c r="H3044">
        <v>1.018438</v>
      </c>
      <c r="I3044">
        <v>226.14840000000001</v>
      </c>
      <c r="J3044">
        <v>-490.04079999999999</v>
      </c>
      <c r="K3044">
        <v>1.126587</v>
      </c>
      <c r="L3044">
        <v>226.8691</v>
      </c>
      <c r="M3044">
        <v>9.2765719999999996E-2</v>
      </c>
      <c r="N3044">
        <v>-3.1111469999999999E-2</v>
      </c>
      <c r="O3044">
        <v>-0.99520189999999997</v>
      </c>
      <c r="P3044">
        <v>0.29682059999999999</v>
      </c>
      <c r="Q3044">
        <v>-0.1004062</v>
      </c>
      <c r="R3044">
        <v>-0.94964029999999999</v>
      </c>
      <c r="S3044">
        <v>1.609802</v>
      </c>
      <c r="T3044">
        <v>-0.33224949999999998</v>
      </c>
      <c r="U3044">
        <v>-2.625076</v>
      </c>
      <c r="V3044">
        <v>-0.20677319999999999</v>
      </c>
      <c r="W3044">
        <v>-7.1920479999999995E-2</v>
      </c>
      <c r="X3044">
        <v>0.97574190000000005</v>
      </c>
      <c r="Y3044">
        <v>-0.43890020000000002</v>
      </c>
      <c r="Z3044">
        <v>7.8949989999999998E-2</v>
      </c>
      <c r="AA3044">
        <v>0.89506059999999998</v>
      </c>
      <c r="AB3044">
        <v>21</v>
      </c>
      <c r="AC3044">
        <v>0.50689999999997304</v>
      </c>
      <c r="AD3044">
        <v>-0.108149</v>
      </c>
      <c r="AE3044">
        <v>-0.72069999999999301</v>
      </c>
      <c r="AF3044">
        <v>-0.43132534138428402</v>
      </c>
      <c r="AG3044">
        <v>-0.108149</v>
      </c>
      <c r="AH3044">
        <v>0.75328636211031197</v>
      </c>
      <c r="AI3044">
        <v>97.101932450845496</v>
      </c>
      <c r="AJ3044">
        <v>119.79508405584799</v>
      </c>
      <c r="AK3044">
        <v>0.87474459110225899</v>
      </c>
      <c r="AL3044">
        <v>94.124300786275995</v>
      </c>
      <c r="AM3044">
        <v>101.96476129032099</v>
      </c>
      <c r="AN3044">
        <v>0.99999998354863995</v>
      </c>
    </row>
    <row r="3045" spans="1:40" x14ac:dyDescent="0.25">
      <c r="A3045" t="str">
        <f>"20190303154826869"</f>
        <v>20190303154826869</v>
      </c>
      <c r="B3045" t="str">
        <f>"1551599306864251"</f>
        <v>1551599306864251</v>
      </c>
      <c r="C3045" t="s">
        <v>40</v>
      </c>
      <c r="D3045">
        <v>5.3460559999999999</v>
      </c>
      <c r="E3045">
        <v>0.42219240000000002</v>
      </c>
      <c r="F3045" t="s">
        <v>47</v>
      </c>
      <c r="G3045">
        <v>-484.339</v>
      </c>
      <c r="H3045" s="1">
        <v>2.4095610000000002E-6</v>
      </c>
      <c r="I3045">
        <v>216.6711</v>
      </c>
      <c r="J3045">
        <v>-490.01609999999999</v>
      </c>
      <c r="K3045">
        <v>1.126682</v>
      </c>
      <c r="L3045">
        <v>226.6807</v>
      </c>
      <c r="M3045">
        <v>9.8490300000000003E-2</v>
      </c>
      <c r="N3045">
        <v>-3.1049719999999999E-2</v>
      </c>
      <c r="O3045">
        <v>-0.99465349999999997</v>
      </c>
      <c r="P3045">
        <v>0.3051913</v>
      </c>
      <c r="Q3045">
        <v>-9.9187319999999995E-2</v>
      </c>
      <c r="R3045">
        <v>-0.94711160000000005</v>
      </c>
      <c r="S3045">
        <v>1.488739</v>
      </c>
      <c r="T3045">
        <v>-0.2941511</v>
      </c>
      <c r="U3045">
        <v>-2.662674</v>
      </c>
      <c r="V3045">
        <v>-0.20974760000000001</v>
      </c>
      <c r="W3045">
        <v>-7.0841280000000006E-2</v>
      </c>
      <c r="X3045">
        <v>0.97518590000000005</v>
      </c>
      <c r="Y3045">
        <v>-0.39779710000000001</v>
      </c>
      <c r="Z3045">
        <v>6.7320569999999996E-2</v>
      </c>
      <c r="AA3045">
        <v>0.91500029999999999</v>
      </c>
      <c r="AB3045">
        <v>21</v>
      </c>
      <c r="AC3045">
        <v>5.6770999999999896</v>
      </c>
      <c r="AD3045">
        <v>-1.1266795904389999</v>
      </c>
      <c r="AE3045">
        <v>-10.009600000000001</v>
      </c>
      <c r="AF3045">
        <v>-4.6188702598784497</v>
      </c>
      <c r="AG3045">
        <v>-1.1266795904389999</v>
      </c>
      <c r="AH3045">
        <v>10.420404273470499</v>
      </c>
      <c r="AI3045">
        <v>95.645190070713994</v>
      </c>
      <c r="AJ3045">
        <v>113.90543532418801</v>
      </c>
      <c r="AK3045">
        <v>11.4537415109502</v>
      </c>
      <c r="AL3045">
        <v>94.062308809941996</v>
      </c>
      <c r="AM3045">
        <v>102.138520493497</v>
      </c>
      <c r="AN3045">
        <v>1.0000000411083001</v>
      </c>
    </row>
    <row r="3046" spans="1:40" x14ac:dyDescent="0.25">
      <c r="A3046" t="str">
        <f>"20190303154826892"</f>
        <v>20190303154826892</v>
      </c>
      <c r="B3046" t="str">
        <f>"1551599306883771"</f>
        <v>1551599306883771</v>
      </c>
      <c r="C3046" t="s">
        <v>40</v>
      </c>
      <c r="D3046">
        <v>5.3332689999999996</v>
      </c>
      <c r="E3046">
        <v>0.42250270000000001</v>
      </c>
      <c r="F3046" t="s">
        <v>47</v>
      </c>
      <c r="G3046">
        <v>-484.31900000000002</v>
      </c>
      <c r="H3046" s="1">
        <v>2.4053289999999998E-6</v>
      </c>
      <c r="I3046">
        <v>216.65539999999999</v>
      </c>
      <c r="J3046">
        <v>-489.98750000000001</v>
      </c>
      <c r="K3046">
        <v>1.1267720000000001</v>
      </c>
      <c r="L3046">
        <v>226.47479999999999</v>
      </c>
      <c r="M3046">
        <v>0.1050717</v>
      </c>
      <c r="N3046">
        <v>-3.0949279999999999E-2</v>
      </c>
      <c r="O3046">
        <v>-0.99398299999999995</v>
      </c>
      <c r="P3046">
        <v>0.31441520000000001</v>
      </c>
      <c r="Q3046">
        <v>-9.7795110000000005E-2</v>
      </c>
      <c r="R3046">
        <v>-0.94423500000000005</v>
      </c>
      <c r="S3046">
        <v>1.5064390000000001</v>
      </c>
      <c r="T3046">
        <v>-0.2979195</v>
      </c>
      <c r="U3046">
        <v>-2.650909</v>
      </c>
      <c r="V3046">
        <v>-0.21277889999999999</v>
      </c>
      <c r="W3046">
        <v>-6.9632680000000002E-2</v>
      </c>
      <c r="X3046">
        <v>0.97461609999999999</v>
      </c>
      <c r="Y3046">
        <v>-0.39803240000000001</v>
      </c>
      <c r="Z3046">
        <v>6.8841330000000006E-2</v>
      </c>
      <c r="AA3046">
        <v>0.91478470000000001</v>
      </c>
      <c r="AB3046">
        <v>21</v>
      </c>
      <c r="AC3046">
        <v>5.6684999999999901</v>
      </c>
      <c r="AD3046">
        <v>-1.1267695946709999</v>
      </c>
      <c r="AE3046">
        <v>-9.8193999999999999</v>
      </c>
      <c r="AF3046">
        <v>-4.5598235169860599</v>
      </c>
      <c r="AG3046">
        <v>-1.1267695946709999</v>
      </c>
      <c r="AH3046">
        <v>10.259552919266</v>
      </c>
      <c r="AI3046">
        <v>95.731045129298806</v>
      </c>
      <c r="AJ3046">
        <v>113.96259259422</v>
      </c>
      <c r="AK3046">
        <v>11.2836176082298</v>
      </c>
      <c r="AL3046">
        <v>93.992889626182702</v>
      </c>
      <c r="AM3046">
        <v>102.31561308572201</v>
      </c>
      <c r="AN3046">
        <v>1.00000005639419</v>
      </c>
    </row>
    <row r="3047" spans="1:40" x14ac:dyDescent="0.25">
      <c r="A3047" t="str">
        <f>"20190303154826912"</f>
        <v>20190303154826912</v>
      </c>
      <c r="B3047" t="str">
        <f>"1551599306903418"</f>
        <v>1551599306903418</v>
      </c>
      <c r="C3047" t="s">
        <v>40</v>
      </c>
      <c r="D3047">
        <v>5.3325290000000001</v>
      </c>
      <c r="E3047">
        <v>0.4230122</v>
      </c>
      <c r="F3047" t="s">
        <v>47</v>
      </c>
      <c r="G3047">
        <v>-484.2199</v>
      </c>
      <c r="H3047" s="1">
        <v>2.3823239999999999E-6</v>
      </c>
      <c r="I3047">
        <v>216.53100000000001</v>
      </c>
      <c r="J3047">
        <v>-489.9606</v>
      </c>
      <c r="K3047">
        <v>1.1268359999999999</v>
      </c>
      <c r="L3047">
        <v>226.29230000000001</v>
      </c>
      <c r="M3047">
        <v>0.1111779</v>
      </c>
      <c r="N3047">
        <v>-3.0827110000000001E-2</v>
      </c>
      <c r="O3047">
        <v>-0.99332240000000005</v>
      </c>
      <c r="P3047">
        <v>0.32347670000000001</v>
      </c>
      <c r="Q3047">
        <v>-9.6629049999999994E-2</v>
      </c>
      <c r="R3047">
        <v>-0.94128970000000001</v>
      </c>
      <c r="S3047">
        <v>1.5294490000000001</v>
      </c>
      <c r="T3047">
        <v>-0.29880089999999998</v>
      </c>
      <c r="U3047">
        <v>-2.636917</v>
      </c>
      <c r="V3047">
        <v>-0.21613260000000001</v>
      </c>
      <c r="W3047">
        <v>-6.867289E-2</v>
      </c>
      <c r="X3047">
        <v>0.97394599999999998</v>
      </c>
      <c r="Y3047">
        <v>-0.40045399999999998</v>
      </c>
      <c r="Z3047">
        <v>6.941079E-2</v>
      </c>
      <c r="AA3047">
        <v>0.9136841</v>
      </c>
      <c r="AB3047">
        <v>20</v>
      </c>
      <c r="AC3047">
        <v>5.7407000000000004</v>
      </c>
      <c r="AD3047">
        <v>-1.1268336176760001</v>
      </c>
      <c r="AE3047">
        <v>-9.7613000000000305</v>
      </c>
      <c r="AF3047">
        <v>-4.5740302218011797</v>
      </c>
      <c r="AG3047">
        <v>-1.1268336176760001</v>
      </c>
      <c r="AH3047">
        <v>10.237899161494701</v>
      </c>
      <c r="AI3047">
        <v>95.738474796543599</v>
      </c>
      <c r="AJ3047">
        <v>114.07386425895299</v>
      </c>
      <c r="AK3047">
        <v>11.2696976761939</v>
      </c>
      <c r="AL3047">
        <v>93.937765818366202</v>
      </c>
      <c r="AM3047">
        <v>102.511997304944</v>
      </c>
      <c r="AN3047">
        <v>1.00000003875985</v>
      </c>
    </row>
    <row r="3048" spans="1:40" x14ac:dyDescent="0.25">
      <c r="A3048" t="str">
        <f>"20190303154826925"</f>
        <v>20190303154826925</v>
      </c>
      <c r="B3048" t="str">
        <f>"1551599306914154"</f>
        <v>1551599306914154</v>
      </c>
      <c r="C3048" t="s">
        <v>40</v>
      </c>
      <c r="D3048">
        <v>5.2945539999999998</v>
      </c>
      <c r="E3048">
        <v>0.42323280000000002</v>
      </c>
      <c r="F3048" t="s">
        <v>47</v>
      </c>
      <c r="G3048">
        <v>-484.11959999999999</v>
      </c>
      <c r="H3048" s="1">
        <v>2.3593040000000001E-6</v>
      </c>
      <c r="I3048">
        <v>216.4117</v>
      </c>
      <c r="J3048">
        <v>-489.9427</v>
      </c>
      <c r="K3048">
        <v>1.12687</v>
      </c>
      <c r="L3048">
        <v>226.1765</v>
      </c>
      <c r="M3048">
        <v>0.1151817</v>
      </c>
      <c r="N3048">
        <v>-3.073246E-2</v>
      </c>
      <c r="O3048">
        <v>-0.9928688</v>
      </c>
      <c r="P3048">
        <v>0.32910040000000002</v>
      </c>
      <c r="Q3048">
        <v>-9.6070799999999998E-2</v>
      </c>
      <c r="R3048">
        <v>-0.93939530000000004</v>
      </c>
      <c r="S3048">
        <v>1.5508729999999999</v>
      </c>
      <c r="T3048">
        <v>-0.29919220000000002</v>
      </c>
      <c r="U3048">
        <v>-2.623459</v>
      </c>
      <c r="V3048">
        <v>-0.21801699999999999</v>
      </c>
      <c r="W3048">
        <v>-6.8258059999999995E-2</v>
      </c>
      <c r="X3048">
        <v>0.97355510000000001</v>
      </c>
      <c r="Y3048">
        <v>-0.40432190000000001</v>
      </c>
      <c r="Z3048">
        <v>6.9767040000000002E-2</v>
      </c>
      <c r="AA3048">
        <v>0.91195199999999998</v>
      </c>
      <c r="AB3048">
        <v>20</v>
      </c>
      <c r="AC3048">
        <v>5.8231000000000099</v>
      </c>
      <c r="AD3048">
        <v>-1.1268676406960001</v>
      </c>
      <c r="AE3048">
        <v>-9.7647999999999993</v>
      </c>
      <c r="AF3048">
        <v>-4.6137247191102997</v>
      </c>
      <c r="AG3048">
        <v>-1.1268676406960001</v>
      </c>
      <c r="AH3048">
        <v>10.269889735883</v>
      </c>
      <c r="AI3048">
        <v>95.715647495070797</v>
      </c>
      <c r="AJ3048">
        <v>114.19189197196199</v>
      </c>
      <c r="AK3048">
        <v>11.314898216536101</v>
      </c>
      <c r="AL3048">
        <v>93.913941848459501</v>
      </c>
      <c r="AM3048">
        <v>102.622511273176</v>
      </c>
      <c r="AN3048">
        <v>1.00000005388998</v>
      </c>
    </row>
    <row r="3049" spans="1:40" x14ac:dyDescent="0.25">
      <c r="A3049" t="str">
        <f>"20190303154826945"</f>
        <v>20190303154826945</v>
      </c>
      <c r="B3049" t="str">
        <f>"1551599306933674"</f>
        <v>1551599306933674</v>
      </c>
      <c r="C3049" t="s">
        <v>40</v>
      </c>
      <c r="D3049">
        <v>5.2655240000000001</v>
      </c>
      <c r="E3049">
        <v>0.42350569999999998</v>
      </c>
      <c r="F3049" t="s">
        <v>47</v>
      </c>
      <c r="G3049">
        <v>-484.08030000000002</v>
      </c>
      <c r="H3049" s="1">
        <v>2.351039E-6</v>
      </c>
      <c r="I3049">
        <v>216.38210000000001</v>
      </c>
      <c r="J3049">
        <v>-489.91719999999998</v>
      </c>
      <c r="K3049">
        <v>1.1269049999999901</v>
      </c>
      <c r="L3049">
        <v>226.01740000000001</v>
      </c>
      <c r="M3049">
        <v>0.12086429999999999</v>
      </c>
      <c r="N3049">
        <v>-3.0574629999999998E-2</v>
      </c>
      <c r="O3049">
        <v>-0.99219809999999997</v>
      </c>
      <c r="P3049">
        <v>0.33763739999999998</v>
      </c>
      <c r="Q3049">
        <v>-9.5017550000000006E-2</v>
      </c>
      <c r="R3049">
        <v>-0.93646819999999997</v>
      </c>
      <c r="S3049">
        <v>1.5649409999999999</v>
      </c>
      <c r="T3049">
        <v>-0.30080879999999999</v>
      </c>
      <c r="U3049">
        <v>-2.6145320000000001</v>
      </c>
      <c r="V3049">
        <v>-0.2212818</v>
      </c>
      <c r="W3049">
        <v>-6.7438100000000001E-2</v>
      </c>
      <c r="X3049">
        <v>0.97287539999999995</v>
      </c>
      <c r="Y3049">
        <v>-0.4040473</v>
      </c>
      <c r="Z3049">
        <v>7.0575589999999994E-2</v>
      </c>
      <c r="AA3049">
        <v>0.91201140000000003</v>
      </c>
      <c r="AB3049">
        <v>20</v>
      </c>
      <c r="AC3049">
        <v>5.8368999999999502</v>
      </c>
      <c r="AD3049">
        <v>-1.1269026489609999</v>
      </c>
      <c r="AE3049">
        <v>-9.6353000000000009</v>
      </c>
      <c r="AF3049">
        <v>-4.5831004534860602</v>
      </c>
      <c r="AG3049">
        <v>-1.1269026489609999</v>
      </c>
      <c r="AH3049">
        <v>10.168647820775</v>
      </c>
      <c r="AI3049">
        <v>95.769215686393295</v>
      </c>
      <c r="AJ3049">
        <v>114.26151524682901</v>
      </c>
      <c r="AK3049">
        <v>11.210536019741999</v>
      </c>
      <c r="AL3049">
        <v>93.866853155001195</v>
      </c>
      <c r="AM3049">
        <v>102.813996055378</v>
      </c>
      <c r="AN3049">
        <v>1.000000038134</v>
      </c>
    </row>
    <row r="3050" spans="1:40" x14ac:dyDescent="0.25">
      <c r="A3050" t="str">
        <f>"20190303154826958"</f>
        <v>20190303154826958</v>
      </c>
      <c r="B3050" t="str">
        <f>"1551599306954170"</f>
        <v>1551599306954170</v>
      </c>
      <c r="C3050" t="s">
        <v>40</v>
      </c>
      <c r="D3050">
        <v>5.2859509999999998</v>
      </c>
      <c r="E3050">
        <v>0.42832439999999999</v>
      </c>
      <c r="F3050" t="s">
        <v>47</v>
      </c>
      <c r="G3050">
        <v>-483.97660000000002</v>
      </c>
      <c r="H3050" s="1">
        <v>2.3279589999999999E-6</v>
      </c>
      <c r="I3050">
        <v>216.27510000000001</v>
      </c>
      <c r="J3050">
        <v>-489.89699999999999</v>
      </c>
      <c r="K3050">
        <v>1.126924</v>
      </c>
      <c r="L3050">
        <v>225.8963</v>
      </c>
      <c r="M3050">
        <v>0.12532950000000001</v>
      </c>
      <c r="N3050">
        <v>-3.0429749999999998E-2</v>
      </c>
      <c r="O3050">
        <v>-0.99164859999999999</v>
      </c>
      <c r="P3050">
        <v>0.34288020000000002</v>
      </c>
      <c r="Q3050">
        <v>-9.4556699999999994E-2</v>
      </c>
      <c r="R3050">
        <v>-0.9346082</v>
      </c>
      <c r="S3050">
        <v>1.5861209999999999</v>
      </c>
      <c r="T3050">
        <v>-0.30087639999999999</v>
      </c>
      <c r="U3050">
        <v>-2.6011510000000002</v>
      </c>
      <c r="V3050">
        <v>-0.22234319999999999</v>
      </c>
      <c r="W3050">
        <v>-6.7154999999999895E-2</v>
      </c>
      <c r="X3050">
        <v>0.97265290000000004</v>
      </c>
      <c r="Y3050">
        <v>-0.40741519999999998</v>
      </c>
      <c r="Z3050">
        <v>7.0869329999999994E-2</v>
      </c>
      <c r="AA3050">
        <v>0.91048910000000005</v>
      </c>
      <c r="AB3050">
        <v>20</v>
      </c>
      <c r="AC3050">
        <v>5.9203999999999697</v>
      </c>
      <c r="AD3050">
        <v>-1.126921672041</v>
      </c>
      <c r="AE3050">
        <v>-9.6211999999999804</v>
      </c>
      <c r="AF3050">
        <v>-4.6213092869592698</v>
      </c>
      <c r="AG3050">
        <v>-1.126921672041</v>
      </c>
      <c r="AH3050">
        <v>10.186247434184899</v>
      </c>
      <c r="AI3050">
        <v>95.753031259118004</v>
      </c>
      <c r="AJ3050">
        <v>114.402903944909</v>
      </c>
      <c r="AK3050">
        <v>11.242156766879299</v>
      </c>
      <c r="AL3050">
        <v>93.850596096354295</v>
      </c>
      <c r="AM3050">
        <v>102.876263226163</v>
      </c>
      <c r="AN3050">
        <v>0.99999997824482401</v>
      </c>
    </row>
    <row r="3051" spans="1:40" x14ac:dyDescent="0.25">
      <c r="A3051" t="str">
        <f>"20190303154826979"</f>
        <v>20190303154826979</v>
      </c>
      <c r="B3051" t="str">
        <f>"1551599306973691"</f>
        <v>1551599306973691</v>
      </c>
      <c r="C3051" t="s">
        <v>40</v>
      </c>
      <c r="D3051">
        <v>5.3212260000000002</v>
      </c>
      <c r="E3051">
        <v>0.42874859999999998</v>
      </c>
      <c r="F3051" t="s">
        <v>47</v>
      </c>
      <c r="G3051">
        <v>-484.5498</v>
      </c>
      <c r="H3051" s="1">
        <v>2.4609E-6</v>
      </c>
      <c r="I3051">
        <v>216.99010000000001</v>
      </c>
      <c r="J3051">
        <v>-489.8673</v>
      </c>
      <c r="K3051">
        <v>1.126927</v>
      </c>
      <c r="L3051">
        <v>225.72620000000001</v>
      </c>
      <c r="M3051">
        <v>0.13182940000000001</v>
      </c>
      <c r="N3051">
        <v>-3.01943E-2</v>
      </c>
      <c r="O3051">
        <v>-0.99081249999999998</v>
      </c>
      <c r="P3051">
        <v>0.35117789999999999</v>
      </c>
      <c r="Q3051">
        <v>-9.3977889999999994E-2</v>
      </c>
      <c r="R3051">
        <v>-0.93158070000000004</v>
      </c>
      <c r="S3051">
        <v>1.562927</v>
      </c>
      <c r="T3051">
        <v>-0.32938800000000001</v>
      </c>
      <c r="U3051">
        <v>-2.6031949999999999</v>
      </c>
      <c r="V3051">
        <v>-0.2245993</v>
      </c>
      <c r="W3051">
        <v>-6.6860669999999997E-2</v>
      </c>
      <c r="X3051">
        <v>0.97215469999999904</v>
      </c>
      <c r="Y3051">
        <v>-0.39472449999999998</v>
      </c>
      <c r="Z3051">
        <v>8.0868040000000002E-2</v>
      </c>
      <c r="AA3051">
        <v>0.91523379999999999</v>
      </c>
      <c r="AB3051">
        <v>20</v>
      </c>
      <c r="AC3051">
        <v>5.3174999999999901</v>
      </c>
      <c r="AD3051">
        <v>-1.1269245391</v>
      </c>
      <c r="AE3051">
        <v>-8.7360999999999898</v>
      </c>
      <c r="AF3051">
        <v>-4.0694387436422401</v>
      </c>
      <c r="AG3051">
        <v>-1.1269245391</v>
      </c>
      <c r="AH3051">
        <v>9.2488118406104398</v>
      </c>
      <c r="AI3051">
        <v>96.363730678004302</v>
      </c>
      <c r="AJ3051">
        <v>113.749294848009</v>
      </c>
      <c r="AK3051">
        <v>10.167143702539899</v>
      </c>
      <c r="AL3051">
        <v>93.833694243291205</v>
      </c>
      <c r="AM3051">
        <v>103.00893577706</v>
      </c>
      <c r="AN3051">
        <v>0.99999997774271399</v>
      </c>
    </row>
    <row r="3052" spans="1:40" x14ac:dyDescent="0.25">
      <c r="A3052" t="str">
        <f>"20190303154827000"</f>
        <v>20190303154827000</v>
      </c>
      <c r="B3052" t="str">
        <f>"1551599306994186"</f>
        <v>1551599306994186</v>
      </c>
      <c r="C3052" t="s">
        <v>40</v>
      </c>
      <c r="D3052">
        <v>5.2847019999999896</v>
      </c>
      <c r="E3052">
        <v>0.42884689999999998</v>
      </c>
      <c r="F3052" t="s">
        <v>47</v>
      </c>
      <c r="G3052">
        <v>-484.46949999999998</v>
      </c>
      <c r="H3052" s="1">
        <v>2.442357E-6</v>
      </c>
      <c r="I3052">
        <v>216.89189999999999</v>
      </c>
      <c r="J3052">
        <v>-489.83600000000001</v>
      </c>
      <c r="K3052">
        <v>1.1269169999999999</v>
      </c>
      <c r="L3052">
        <v>225.55520000000001</v>
      </c>
      <c r="M3052">
        <v>0.13864189999999901</v>
      </c>
      <c r="N3052">
        <v>-2.993202E-2</v>
      </c>
      <c r="O3052">
        <v>-0.98989050000000001</v>
      </c>
      <c r="P3052">
        <v>0.35924040000000002</v>
      </c>
      <c r="Q3052">
        <v>-9.3980389999999997E-2</v>
      </c>
      <c r="R3052">
        <v>-0.92850129999999997</v>
      </c>
      <c r="S3052">
        <v>1.5827329999999999</v>
      </c>
      <c r="T3052">
        <v>-0.33043149999999999</v>
      </c>
      <c r="U3052">
        <v>-2.590347</v>
      </c>
      <c r="V3052">
        <v>-0.2263289</v>
      </c>
      <c r="W3052">
        <v>-6.7161600000000002E-2</v>
      </c>
      <c r="X3052">
        <v>0.9717327</v>
      </c>
      <c r="Y3052">
        <v>-0.3954973</v>
      </c>
      <c r="Z3052">
        <v>8.1621180000000002E-2</v>
      </c>
      <c r="AA3052">
        <v>0.91483320000000001</v>
      </c>
      <c r="AB3052">
        <v>19</v>
      </c>
      <c r="AC3052">
        <v>5.3665000000000296</v>
      </c>
      <c r="AD3052">
        <v>-1.126914557643</v>
      </c>
      <c r="AE3052">
        <v>-8.6633000000000102</v>
      </c>
      <c r="AF3052">
        <v>-4.0633050398865498</v>
      </c>
      <c r="AG3052">
        <v>-1.126914557643</v>
      </c>
      <c r="AH3052">
        <v>9.2112761261687197</v>
      </c>
      <c r="AI3052">
        <v>96.386758132985094</v>
      </c>
      <c r="AJ3052">
        <v>113.803375231117</v>
      </c>
      <c r="AK3052">
        <v>10.1305474748367</v>
      </c>
      <c r="AL3052">
        <v>93.850975229045403</v>
      </c>
      <c r="AM3052">
        <v>103.111164790584</v>
      </c>
      <c r="AN3052">
        <v>0.99999994586952801</v>
      </c>
    </row>
    <row r="3053" spans="1:40" x14ac:dyDescent="0.25">
      <c r="A3053" t="str">
        <f>"20190303154827017"</f>
        <v>20190303154827017</v>
      </c>
      <c r="B3053" t="str">
        <f>"1551599307013706"</f>
        <v>1551599307013706</v>
      </c>
      <c r="C3053" t="s">
        <v>40</v>
      </c>
      <c r="D3053">
        <v>5.2555319999999996</v>
      </c>
      <c r="E3053">
        <v>0.41008810000000001</v>
      </c>
      <c r="F3053" t="s">
        <v>47</v>
      </c>
      <c r="G3053">
        <v>-484.31799999999998</v>
      </c>
      <c r="H3053" s="1">
        <v>2.4068040000000001E-6</v>
      </c>
      <c r="I3053">
        <v>216.6934</v>
      </c>
      <c r="J3053">
        <v>-489.81049999999999</v>
      </c>
      <c r="K3053">
        <v>1.1269149999999999</v>
      </c>
      <c r="L3053">
        <v>225.42230000000001</v>
      </c>
      <c r="M3053">
        <v>0.1441606</v>
      </c>
      <c r="N3053">
        <v>-2.972294E-2</v>
      </c>
      <c r="O3053">
        <v>-0.98910770000000003</v>
      </c>
      <c r="P3053">
        <v>0.36526950000000002</v>
      </c>
      <c r="Q3053">
        <v>-9.4004320000000002E-2</v>
      </c>
      <c r="R3053">
        <v>-0.92614350000000001</v>
      </c>
      <c r="S3053">
        <v>1.6046450000000001</v>
      </c>
      <c r="T3053">
        <v>-0.327704299999999</v>
      </c>
      <c r="U3053">
        <v>-2.5769959999999998</v>
      </c>
      <c r="V3053">
        <v>-0.22722010000000001</v>
      </c>
      <c r="W3053">
        <v>-6.7416749999999998E-2</v>
      </c>
      <c r="X3053">
        <v>0.97150709999999996</v>
      </c>
      <c r="Y3053">
        <v>-0.39814280000000002</v>
      </c>
      <c r="Z3053">
        <v>8.1039420000000001E-2</v>
      </c>
      <c r="AA3053">
        <v>0.91373680000000002</v>
      </c>
      <c r="AB3053">
        <v>19</v>
      </c>
      <c r="AC3053">
        <v>5.49249999999995</v>
      </c>
      <c r="AD3053">
        <v>-1.12691259319599</v>
      </c>
      <c r="AE3053">
        <v>-8.7289000000000101</v>
      </c>
      <c r="AF3053">
        <v>-4.1268820367863297</v>
      </c>
      <c r="AG3053">
        <v>-1.12691259319599</v>
      </c>
      <c r="AH3053">
        <v>9.3185302931046792</v>
      </c>
      <c r="AI3053">
        <v>96.309793491777896</v>
      </c>
      <c r="AJ3053">
        <v>113.88703624917299</v>
      </c>
      <c r="AK3053">
        <v>10.253589330657</v>
      </c>
      <c r="AL3053">
        <v>93.865627175163795</v>
      </c>
      <c r="AM3053">
        <v>103.163947918847</v>
      </c>
      <c r="AN3053">
        <v>1.00000001868749</v>
      </c>
    </row>
    <row r="3054" spans="1:40" x14ac:dyDescent="0.25">
      <c r="A3054" t="str">
        <f>"20190303154827035"</f>
        <v>20190303154827035</v>
      </c>
      <c r="B3054" t="str">
        <f>"1551599307023466"</f>
        <v>1551599307023466</v>
      </c>
      <c r="C3054" t="s">
        <v>40</v>
      </c>
      <c r="D3054">
        <v>5.2172799999999997</v>
      </c>
      <c r="E3054">
        <v>0.40869220000000001</v>
      </c>
      <c r="F3054" t="s">
        <v>47</v>
      </c>
      <c r="G3054">
        <v>-482.90719999999999</v>
      </c>
      <c r="H3054" s="1">
        <v>2.107542E-6</v>
      </c>
      <c r="I3054">
        <v>215.57210000000001</v>
      </c>
      <c r="J3054">
        <v>-489.78230000000002</v>
      </c>
      <c r="K3054">
        <v>1.126916</v>
      </c>
      <c r="L3054">
        <v>225.28030000000001</v>
      </c>
      <c r="M3054">
        <v>0.15023210000000001</v>
      </c>
      <c r="N3054">
        <v>-2.9506959999999999E-2</v>
      </c>
      <c r="O3054">
        <v>-0.98821060000000005</v>
      </c>
      <c r="P3054">
        <v>0.37240839999999997</v>
      </c>
      <c r="Q3054">
        <v>-9.5109289999999999E-2</v>
      </c>
      <c r="R3054">
        <v>-0.92318310000000003</v>
      </c>
      <c r="S3054">
        <v>1.7625120000000001</v>
      </c>
      <c r="T3054">
        <v>-0.28771629999999998</v>
      </c>
      <c r="U3054">
        <v>-2.5148769999999998</v>
      </c>
      <c r="V3054">
        <v>-0.22874910000000001</v>
      </c>
      <c r="W3054">
        <v>-6.877751E-2</v>
      </c>
      <c r="X3054">
        <v>0.97105280000000005</v>
      </c>
      <c r="Y3054">
        <v>-0.44229380000000001</v>
      </c>
      <c r="Z3054">
        <v>6.7457000000000003E-2</v>
      </c>
      <c r="AA3054">
        <v>0.89432979999999995</v>
      </c>
      <c r="AB3054">
        <v>19</v>
      </c>
      <c r="AC3054">
        <v>6.87510000000003</v>
      </c>
      <c r="AD3054">
        <v>-1.126913892458</v>
      </c>
      <c r="AE3054">
        <v>-9.7081999999999997</v>
      </c>
      <c r="AF3054">
        <v>-5.2904112532420902</v>
      </c>
      <c r="AG3054">
        <v>-1.126913892458</v>
      </c>
      <c r="AH3054">
        <v>10.5366792685337</v>
      </c>
      <c r="AI3054">
        <v>95.459752380638804</v>
      </c>
      <c r="AJ3054">
        <v>116.66098657952899</v>
      </c>
      <c r="AK3054">
        <v>11.8439856533767</v>
      </c>
      <c r="AL3054">
        <v>93.943774388879405</v>
      </c>
      <c r="AM3054">
        <v>103.255395598457</v>
      </c>
      <c r="AN3054">
        <v>1.00000001851022</v>
      </c>
    </row>
    <row r="3055" spans="1:40" x14ac:dyDescent="0.25">
      <c r="A3055" t="str">
        <f>"20190303154827056"</f>
        <v>20190303154827056</v>
      </c>
      <c r="B3055" t="str">
        <f>"1551599307053896"</f>
        <v>1551599307053896</v>
      </c>
      <c r="C3055" t="s">
        <v>40</v>
      </c>
      <c r="D3055">
        <v>5.2209300000000001</v>
      </c>
      <c r="E3055">
        <v>0.40671760000000001</v>
      </c>
      <c r="F3055" t="s">
        <v>47</v>
      </c>
      <c r="G3055">
        <v>-482.78370000000001</v>
      </c>
      <c r="H3055" s="1">
        <v>2.0838109999999999E-6</v>
      </c>
      <c r="I3055">
        <v>215.53039999999999</v>
      </c>
      <c r="J3055">
        <v>-489.74599999999998</v>
      </c>
      <c r="K3055">
        <v>1.126933</v>
      </c>
      <c r="L3055">
        <v>225.10570000000001</v>
      </c>
      <c r="M3055">
        <v>0.1579506</v>
      </c>
      <c r="N3055">
        <v>-2.925666E-2</v>
      </c>
      <c r="O3055">
        <v>-0.98701360000000005</v>
      </c>
      <c r="P3055">
        <v>0.38113799999999998</v>
      </c>
      <c r="Q3055">
        <v>-9.5710729999999994E-2</v>
      </c>
      <c r="R3055">
        <v>-0.91955050000000005</v>
      </c>
      <c r="S3055">
        <v>1.792297</v>
      </c>
      <c r="T3055">
        <v>-0.28859580000000001</v>
      </c>
      <c r="U3055">
        <v>-2.496902</v>
      </c>
      <c r="V3055">
        <v>-0.23035079999999999</v>
      </c>
      <c r="W3055">
        <v>-6.9675669999999995E-2</v>
      </c>
      <c r="X3055">
        <v>0.97060999999999997</v>
      </c>
      <c r="Y3055">
        <v>-0.44536500000000001</v>
      </c>
      <c r="Z3055">
        <v>6.8085039999999999E-2</v>
      </c>
      <c r="AA3055">
        <v>0.89275659999999901</v>
      </c>
      <c r="AB3055">
        <v>19</v>
      </c>
      <c r="AC3055">
        <v>6.9622999999999697</v>
      </c>
      <c r="AD3055">
        <v>-1.126930916189</v>
      </c>
      <c r="AE3055">
        <v>-9.5753000000000199</v>
      </c>
      <c r="AF3055">
        <v>-5.3136090989761904</v>
      </c>
      <c r="AG3055">
        <v>-1.126930916189</v>
      </c>
      <c r="AH3055">
        <v>10.4603877556005</v>
      </c>
      <c r="AI3055">
        <v>95.486495153604807</v>
      </c>
      <c r="AJ3055">
        <v>116.929403211093</v>
      </c>
      <c r="AK3055">
        <v>11.7866079490285</v>
      </c>
      <c r="AL3055">
        <v>93.995359070076503</v>
      </c>
      <c r="AM3055">
        <v>103.350770370257</v>
      </c>
      <c r="AN3055">
        <v>0.99999998107529398</v>
      </c>
    </row>
    <row r="3056" spans="1:40" x14ac:dyDescent="0.25">
      <c r="A3056" t="str">
        <f>"20190303154827082"</f>
        <v>20190303154827082</v>
      </c>
      <c r="B3056" t="str">
        <f>"1551599307073416"</f>
        <v>1551599307073416</v>
      </c>
      <c r="C3056" t="s">
        <v>40</v>
      </c>
      <c r="D3056">
        <v>5.363594</v>
      </c>
      <c r="E3056">
        <v>0.40696110000000002</v>
      </c>
      <c r="F3056" t="s">
        <v>47</v>
      </c>
      <c r="G3056">
        <v>-482.46280000000002</v>
      </c>
      <c r="H3056" s="1">
        <v>2.0152749999999999E-6</v>
      </c>
      <c r="I3056">
        <v>215.2647</v>
      </c>
      <c r="J3056">
        <v>-489.70589999999999</v>
      </c>
      <c r="K3056">
        <v>1.126959</v>
      </c>
      <c r="L3056">
        <v>224.922</v>
      </c>
      <c r="M3056">
        <v>0.16636779999999901</v>
      </c>
      <c r="N3056">
        <v>-2.901275E-2</v>
      </c>
      <c r="O3056">
        <v>-0.98563679999999998</v>
      </c>
      <c r="P3056">
        <v>0.39195990000000003</v>
      </c>
      <c r="Q3056">
        <v>-9.6915689999999999E-2</v>
      </c>
      <c r="R3056">
        <v>-0.91486319999999999</v>
      </c>
      <c r="S3056">
        <v>1.8310550000000001</v>
      </c>
      <c r="T3056">
        <v>-0.28331669999999998</v>
      </c>
      <c r="U3056">
        <v>-2.474075</v>
      </c>
      <c r="V3056">
        <v>-0.23350950000000001</v>
      </c>
      <c r="W3056">
        <v>-7.1200739999999998E-2</v>
      </c>
      <c r="X3056">
        <v>0.96974419999999995</v>
      </c>
      <c r="Y3056">
        <v>-0.45078489999999999</v>
      </c>
      <c r="Z3056">
        <v>6.6658590000000004E-2</v>
      </c>
      <c r="AA3056">
        <v>0.89014020000000005</v>
      </c>
      <c r="AB3056">
        <v>18</v>
      </c>
      <c r="AC3056">
        <v>7.2430999999999699</v>
      </c>
      <c r="AD3056">
        <v>-1.1269569847250001</v>
      </c>
      <c r="AE3056">
        <v>-9.6572999999999904</v>
      </c>
      <c r="AF3056">
        <v>-5.4869127668264603</v>
      </c>
      <c r="AG3056">
        <v>-1.1269569847250001</v>
      </c>
      <c r="AH3056">
        <v>10.635435542678399</v>
      </c>
      <c r="AI3056">
        <v>95.379615926383195</v>
      </c>
      <c r="AJ3056">
        <v>117.28959865514599</v>
      </c>
      <c r="AK3056">
        <v>12.020346623065899</v>
      </c>
      <c r="AL3056">
        <v>94.082956564505693</v>
      </c>
      <c r="AM3056">
        <v>103.53879180282399</v>
      </c>
      <c r="AN3056">
        <v>1.0000000227002099</v>
      </c>
    </row>
    <row r="3057" spans="1:40" x14ac:dyDescent="0.25">
      <c r="A3057" t="str">
        <f>"20190303154827103"</f>
        <v>20190303154827103</v>
      </c>
      <c r="B3057" t="str">
        <f>"1551599307093912"</f>
        <v>1551599307093912</v>
      </c>
      <c r="C3057" t="s">
        <v>40</v>
      </c>
      <c r="D3057">
        <v>5.272494</v>
      </c>
      <c r="E3057">
        <v>0.40733130000000001</v>
      </c>
      <c r="F3057" t="s">
        <v>42</v>
      </c>
      <c r="G3057">
        <v>-489.11270000000002</v>
      </c>
      <c r="H3057">
        <v>1.0352429999999999</v>
      </c>
      <c r="I3057">
        <v>224.13900000000001</v>
      </c>
      <c r="J3057">
        <v>-489.66820000000001</v>
      </c>
      <c r="K3057">
        <v>1.126987</v>
      </c>
      <c r="L3057">
        <v>224.75810000000001</v>
      </c>
      <c r="M3057">
        <v>0.17418529999999999</v>
      </c>
      <c r="N3057">
        <v>-2.8810780000000001E-2</v>
      </c>
      <c r="O3057">
        <v>-0.98429129999999998</v>
      </c>
      <c r="P3057">
        <v>0.39990170000000003</v>
      </c>
      <c r="Q3057">
        <v>-9.6802379999999993E-2</v>
      </c>
      <c r="R3057">
        <v>-0.91143180000000001</v>
      </c>
      <c r="S3057">
        <v>1.8582460000000001</v>
      </c>
      <c r="T3057">
        <v>-0.28724870000000002</v>
      </c>
      <c r="U3057">
        <v>-2.4526520000000001</v>
      </c>
      <c r="V3057">
        <v>-0.23423730000000001</v>
      </c>
      <c r="W3057">
        <v>-7.1312760000000003E-2</v>
      </c>
      <c r="X3057">
        <v>0.96956039999999999</v>
      </c>
      <c r="Y3057">
        <v>-0.45363989999999998</v>
      </c>
      <c r="Z3057">
        <v>6.8349259999999995E-2</v>
      </c>
      <c r="AA3057">
        <v>0.88856019999999902</v>
      </c>
      <c r="AB3057">
        <v>18</v>
      </c>
      <c r="AC3057">
        <v>0.555499999999995</v>
      </c>
      <c r="AD3057">
        <v>-9.1744000000000006E-2</v>
      </c>
      <c r="AE3057">
        <v>-0.61910000000000298</v>
      </c>
      <c r="AF3057">
        <v>-0.43384006593908903</v>
      </c>
      <c r="AG3057">
        <v>-9.1744000000000006E-2</v>
      </c>
      <c r="AH3057">
        <v>0.69793711632121602</v>
      </c>
      <c r="AI3057">
        <v>96.370104966436401</v>
      </c>
      <c r="AJ3057">
        <v>121.865223550892</v>
      </c>
      <c r="AK3057">
        <v>0.82689200182902201</v>
      </c>
      <c r="AL3057">
        <v>94.089391304359694</v>
      </c>
      <c r="AM3057">
        <v>103.581908015487</v>
      </c>
      <c r="AN3057">
        <v>0.99999999584913302</v>
      </c>
    </row>
    <row r="3058" spans="1:40" x14ac:dyDescent="0.25">
      <c r="A3058" t="str">
        <f>"20190303154827125"</f>
        <v>20190303154827125</v>
      </c>
      <c r="B3058" t="str">
        <f>"1551599307113432"</f>
        <v>1551599307113432</v>
      </c>
      <c r="C3058" t="s">
        <v>40</v>
      </c>
      <c r="D3058">
        <v>5.3489709999999997</v>
      </c>
      <c r="E3058">
        <v>0.40816540000000001</v>
      </c>
      <c r="F3058" t="s">
        <v>42</v>
      </c>
      <c r="G3058">
        <v>-489.07900000000001</v>
      </c>
      <c r="H3058">
        <v>1.036818</v>
      </c>
      <c r="I3058">
        <v>223.99250000000001</v>
      </c>
      <c r="J3058">
        <v>-489.63010000000003</v>
      </c>
      <c r="K3058">
        <v>1.126978</v>
      </c>
      <c r="L3058">
        <v>224.5993</v>
      </c>
      <c r="M3058">
        <v>0.18199170000000001</v>
      </c>
      <c r="N3058">
        <v>-2.862932E-2</v>
      </c>
      <c r="O3058">
        <v>-0.98288330000000002</v>
      </c>
      <c r="P3058">
        <v>0.40718310000000002</v>
      </c>
      <c r="Q3058">
        <v>-9.5929509999999996E-2</v>
      </c>
      <c r="R3058">
        <v>-0.90829479999999996</v>
      </c>
      <c r="S3058">
        <v>1.876862</v>
      </c>
      <c r="T3058">
        <v>-0.28709089999999998</v>
      </c>
      <c r="U3058">
        <v>-2.4375149999999999</v>
      </c>
      <c r="V3058">
        <v>-0.2342928</v>
      </c>
      <c r="W3058">
        <v>-7.0615259999999999E-2</v>
      </c>
      <c r="X3058">
        <v>0.96959810000000002</v>
      </c>
      <c r="Y3058">
        <v>-0.45349479999999998</v>
      </c>
      <c r="Z3058">
        <v>6.8625729999999996E-2</v>
      </c>
      <c r="AA3058">
        <v>0.88861290000000004</v>
      </c>
      <c r="AB3058">
        <v>18</v>
      </c>
      <c r="AC3058">
        <v>0.55110000000001902</v>
      </c>
      <c r="AD3058">
        <v>-9.0160000000000004E-2</v>
      </c>
      <c r="AE3058">
        <v>-0.60679999999999201</v>
      </c>
      <c r="AF3058">
        <v>-0.42625441128588898</v>
      </c>
      <c r="AG3058">
        <v>-9.0160000000000004E-2</v>
      </c>
      <c r="AH3058">
        <v>0.68866342583795204</v>
      </c>
      <c r="AI3058">
        <v>96.352090734901296</v>
      </c>
      <c r="AJ3058">
        <v>121.75580830970701</v>
      </c>
      <c r="AK3058">
        <v>0.81491040171760198</v>
      </c>
      <c r="AL3058">
        <v>94.049326255786397</v>
      </c>
      <c r="AM3058">
        <v>103.584498215555</v>
      </c>
      <c r="AN3058">
        <v>1.0000000533001501</v>
      </c>
    </row>
    <row r="3059" spans="1:40" x14ac:dyDescent="0.25">
      <c r="A3059" t="str">
        <f>"20190303154827147"</f>
        <v>20190303154827147</v>
      </c>
      <c r="B3059" t="str">
        <f>"1551599307143689"</f>
        <v>1551599307143689</v>
      </c>
      <c r="C3059" t="s">
        <v>40</v>
      </c>
      <c r="D3059">
        <v>5.2885179999999998</v>
      </c>
      <c r="E3059">
        <v>0.40944520000000001</v>
      </c>
      <c r="F3059" t="s">
        <v>42</v>
      </c>
      <c r="G3059">
        <v>-489.04480000000001</v>
      </c>
      <c r="H3059">
        <v>1.0390889999999999</v>
      </c>
      <c r="I3059">
        <v>223.8484</v>
      </c>
      <c r="J3059">
        <v>-489.58800000000002</v>
      </c>
      <c r="K3059">
        <v>1.1269559999999901</v>
      </c>
      <c r="L3059">
        <v>224.4314</v>
      </c>
      <c r="M3059">
        <v>0.1905018</v>
      </c>
      <c r="N3059">
        <v>-2.845487E-2</v>
      </c>
      <c r="O3059">
        <v>-0.98127439999999999</v>
      </c>
      <c r="P3059">
        <v>0.41569159999999999</v>
      </c>
      <c r="Q3059">
        <v>-9.4925289999999996E-2</v>
      </c>
      <c r="R3059">
        <v>-0.90453850000000002</v>
      </c>
      <c r="S3059">
        <v>1.8902589999999999</v>
      </c>
      <c r="T3059">
        <v>-0.28390009999999999</v>
      </c>
      <c r="U3059">
        <v>-2.4254910000000001</v>
      </c>
      <c r="V3059">
        <v>-0.2349849</v>
      </c>
      <c r="W3059">
        <v>-6.977448E-2</v>
      </c>
      <c r="X3059">
        <v>0.9694914</v>
      </c>
      <c r="Y3059">
        <v>-0.4510113</v>
      </c>
      <c r="Z3059">
        <v>6.7884479999999997E-2</v>
      </c>
      <c r="AA3059">
        <v>0.88993290000000003</v>
      </c>
      <c r="AB3059">
        <v>17</v>
      </c>
      <c r="AC3059">
        <v>0.54320000000001301</v>
      </c>
      <c r="AD3059">
        <v>-8.7866999999999904E-2</v>
      </c>
      <c r="AE3059">
        <v>-0.58299999999999796</v>
      </c>
      <c r="AF3059">
        <v>-0.41706540127682401</v>
      </c>
      <c r="AG3059">
        <v>-8.7866999999999904E-2</v>
      </c>
      <c r="AH3059">
        <v>0.66771820832434903</v>
      </c>
      <c r="AI3059">
        <v>96.368425890387897</v>
      </c>
      <c r="AJ3059">
        <v>121.98943102685</v>
      </c>
      <c r="AK3059">
        <v>0.792156401450545</v>
      </c>
      <c r="AL3059">
        <v>94.001034290626393</v>
      </c>
      <c r="AM3059">
        <v>103.624576884333</v>
      </c>
      <c r="AN3059">
        <v>0.99999997798061901</v>
      </c>
    </row>
    <row r="3060" spans="1:40" x14ac:dyDescent="0.25">
      <c r="A3060" t="str">
        <f>"20190303154827171"</f>
        <v>20190303154827171</v>
      </c>
      <c r="B3060" t="str">
        <f>"1551599307164184"</f>
        <v>1551599307164184</v>
      </c>
      <c r="C3060" t="s">
        <v>40</v>
      </c>
      <c r="D3060">
        <v>5.307823</v>
      </c>
      <c r="E3060">
        <v>0.41056179999999898</v>
      </c>
      <c r="F3060" t="s">
        <v>42</v>
      </c>
      <c r="G3060">
        <v>-489.0018</v>
      </c>
      <c r="H3060">
        <v>1.0402119999999999</v>
      </c>
      <c r="I3060">
        <v>223.68819999999999</v>
      </c>
      <c r="J3060">
        <v>-489.54520000000002</v>
      </c>
      <c r="K3060">
        <v>1.1269209999999901</v>
      </c>
      <c r="L3060">
        <v>224.2679</v>
      </c>
      <c r="M3060">
        <v>0.19903979999999999</v>
      </c>
      <c r="N3060">
        <v>-2.830121E-2</v>
      </c>
      <c r="O3060">
        <v>-0.97958270000000003</v>
      </c>
      <c r="P3060">
        <v>0.4247746</v>
      </c>
      <c r="Q3060">
        <v>-9.3526830000000005E-2</v>
      </c>
      <c r="R3060">
        <v>-0.90045529999999996</v>
      </c>
      <c r="S3060">
        <v>1.9036249999999999</v>
      </c>
      <c r="T3060">
        <v>-0.28155370000000002</v>
      </c>
      <c r="U3060">
        <v>-2.4122620000000001</v>
      </c>
      <c r="V3060">
        <v>-0.2362872</v>
      </c>
      <c r="W3060">
        <v>-6.8522089999999994E-2</v>
      </c>
      <c r="X3060">
        <v>0.96926420000000002</v>
      </c>
      <c r="Y3060">
        <v>-0.448685</v>
      </c>
      <c r="Z3060">
        <v>6.7421750000000003E-2</v>
      </c>
      <c r="AA3060">
        <v>0.89114309999999997</v>
      </c>
      <c r="AB3060">
        <v>17</v>
      </c>
      <c r="AC3060">
        <v>0.54340000000001898</v>
      </c>
      <c r="AD3060">
        <v>-8.6708999999999703E-2</v>
      </c>
      <c r="AE3060">
        <v>-0.57970000000000199</v>
      </c>
      <c r="AF3060">
        <v>-0.41218034835530298</v>
      </c>
      <c r="AG3060">
        <v>-8.6708999999999703E-2</v>
      </c>
      <c r="AH3060">
        <v>0.66833413335741798</v>
      </c>
      <c r="AI3060">
        <v>96.301471904705295</v>
      </c>
      <c r="AJ3060">
        <v>121.663295438215</v>
      </c>
      <c r="AK3060">
        <v>0.78998835691541003</v>
      </c>
      <c r="AL3060">
        <v>93.929105352932893</v>
      </c>
      <c r="AM3060">
        <v>103.70033798297401</v>
      </c>
      <c r="AN3060">
        <v>1.00000000355172</v>
      </c>
    </row>
    <row r="3061" spans="1:40" x14ac:dyDescent="0.25">
      <c r="A3061" t="str">
        <f>"20190303154827193"</f>
        <v>20190303154827193</v>
      </c>
      <c r="B3061" t="str">
        <f>"1551599307183705"</f>
        <v>1551599307183705</v>
      </c>
      <c r="C3061" t="s">
        <v>40</v>
      </c>
      <c r="D3061">
        <v>5.2755380000000001</v>
      </c>
      <c r="E3061">
        <v>0.41158729999999899</v>
      </c>
      <c r="F3061" t="s">
        <v>42</v>
      </c>
      <c r="G3061">
        <v>-488.94400000000002</v>
      </c>
      <c r="H3061">
        <v>1.039541</v>
      </c>
      <c r="I3061">
        <v>223.5171</v>
      </c>
      <c r="J3061">
        <v>-489.50349999999997</v>
      </c>
      <c r="K3061">
        <v>1.1269</v>
      </c>
      <c r="L3061">
        <v>224.11539999999999</v>
      </c>
      <c r="M3061">
        <v>0.2072464</v>
      </c>
      <c r="N3061">
        <v>-2.8170919999999999E-2</v>
      </c>
      <c r="O3061">
        <v>-0.97788319999999995</v>
      </c>
      <c r="P3061">
        <v>0.43468990000000002</v>
      </c>
      <c r="Q3061">
        <v>-9.2203380000000001E-2</v>
      </c>
      <c r="R3061">
        <v>-0.89584779999999997</v>
      </c>
      <c r="S3061">
        <v>1.919586</v>
      </c>
      <c r="T3061">
        <v>-0.27897660000000002</v>
      </c>
      <c r="U3061">
        <v>-2.397141</v>
      </c>
      <c r="V3061">
        <v>-0.23884430000000001</v>
      </c>
      <c r="W3061">
        <v>-6.7346020000000006E-2</v>
      </c>
      <c r="X3061">
        <v>0.96871969999999996</v>
      </c>
      <c r="Y3061">
        <v>-0.44758609999999999</v>
      </c>
      <c r="Z3061">
        <v>6.6856360000000004E-2</v>
      </c>
      <c r="AA3061">
        <v>0.89173809999999998</v>
      </c>
      <c r="AB3061">
        <v>17</v>
      </c>
      <c r="AC3061">
        <v>0.55949999999995703</v>
      </c>
      <c r="AD3061">
        <v>-8.7358999999999895E-2</v>
      </c>
      <c r="AE3061">
        <v>-0.59829999999999395</v>
      </c>
      <c r="AF3061">
        <v>-0.41853787651583102</v>
      </c>
      <c r="AG3061">
        <v>-8.7358999999999895E-2</v>
      </c>
      <c r="AH3061">
        <v>0.69341365333107297</v>
      </c>
      <c r="AI3061">
        <v>96.156074081302094</v>
      </c>
      <c r="AJ3061">
        <v>121.114780979541</v>
      </c>
      <c r="AK3061">
        <v>0.81463368674842196</v>
      </c>
      <c r="AL3061">
        <v>93.861565595623205</v>
      </c>
      <c r="AM3061">
        <v>103.850410284963</v>
      </c>
      <c r="AN3061">
        <v>0.99999997161020904</v>
      </c>
    </row>
    <row r="3062" spans="1:40" x14ac:dyDescent="0.25">
      <c r="A3062" t="str">
        <f>"20190303154827213"</f>
        <v>20190303154827213</v>
      </c>
      <c r="B3062" t="str">
        <f>"1551599307204204"</f>
        <v>1551599307204204</v>
      </c>
      <c r="C3062" t="s">
        <v>40</v>
      </c>
      <c r="D3062">
        <v>5.2755850000000004</v>
      </c>
      <c r="E3062">
        <v>0.39026499999999997</v>
      </c>
      <c r="F3062" t="s">
        <v>42</v>
      </c>
      <c r="G3062">
        <v>-488.8922</v>
      </c>
      <c r="H3062">
        <v>1.0396209999999999</v>
      </c>
      <c r="I3062">
        <v>223.36490000000001</v>
      </c>
      <c r="J3062">
        <v>-489.4622</v>
      </c>
      <c r="K3062">
        <v>1.126884</v>
      </c>
      <c r="L3062">
        <v>223.96950000000001</v>
      </c>
      <c r="M3062">
        <v>0.21530730000000001</v>
      </c>
      <c r="N3062">
        <v>-2.805852E-2</v>
      </c>
      <c r="O3062">
        <v>-0.97614330000000005</v>
      </c>
      <c r="P3062">
        <v>0.44511260000000002</v>
      </c>
      <c r="Q3062">
        <v>-9.06859E-2</v>
      </c>
      <c r="R3062">
        <v>-0.89087090000000002</v>
      </c>
      <c r="S3062">
        <v>1.93866</v>
      </c>
      <c r="T3062">
        <v>-0.27673049999999999</v>
      </c>
      <c r="U3062">
        <v>-2.379623</v>
      </c>
      <c r="V3062">
        <v>-0.2421305</v>
      </c>
      <c r="W3062">
        <v>-6.5975019999999995E-2</v>
      </c>
      <c r="X3062">
        <v>0.96799800000000003</v>
      </c>
      <c r="Y3062">
        <v>-0.44774849999999999</v>
      </c>
      <c r="Z3062">
        <v>6.6385429999999995E-2</v>
      </c>
      <c r="AA3062">
        <v>0.89169179999999904</v>
      </c>
      <c r="AB3062">
        <v>17</v>
      </c>
      <c r="AC3062">
        <v>0.56999999999999296</v>
      </c>
      <c r="AD3062">
        <v>-8.7262999999999993E-2</v>
      </c>
      <c r="AE3062">
        <v>-0.60460000000000402</v>
      </c>
      <c r="AF3062">
        <v>-0.42174333187920698</v>
      </c>
      <c r="AG3062">
        <v>-8.7262999999999993E-2</v>
      </c>
      <c r="AH3062">
        <v>0.70540226505467596</v>
      </c>
      <c r="AI3062">
        <v>96.060785648869796</v>
      </c>
      <c r="AJ3062">
        <v>120.874204944561</v>
      </c>
      <c r="AK3062">
        <v>0.82648328760952094</v>
      </c>
      <c r="AL3062">
        <v>93.782837833560293</v>
      </c>
      <c r="AM3062">
        <v>104.043541011522</v>
      </c>
      <c r="AN3062">
        <v>1.00000000514912</v>
      </c>
    </row>
    <row r="3063" spans="1:40" x14ac:dyDescent="0.25">
      <c r="A3063" t="str">
        <f>"20190303154827235"</f>
        <v>20190303154827235</v>
      </c>
      <c r="B3063" t="str">
        <f>"1551599307233987"</f>
        <v>1551599307233987</v>
      </c>
      <c r="C3063" t="s">
        <v>40</v>
      </c>
      <c r="D3063">
        <v>5.17401</v>
      </c>
      <c r="E3063">
        <v>0.33416380000000001</v>
      </c>
      <c r="F3063" t="s">
        <v>42</v>
      </c>
      <c r="G3063">
        <v>-488.85640000000001</v>
      </c>
      <c r="H3063">
        <v>1.046206</v>
      </c>
      <c r="I3063">
        <v>223.3169</v>
      </c>
      <c r="J3063">
        <v>-489.41910000000001</v>
      </c>
      <c r="K3063">
        <v>1.1268769999999999</v>
      </c>
      <c r="L3063">
        <v>223.82339999999999</v>
      </c>
      <c r="M3063">
        <v>0.22360440000000001</v>
      </c>
      <c r="N3063">
        <v>-2.7958130000000001E-2</v>
      </c>
      <c r="O3063">
        <v>-0.9742788</v>
      </c>
      <c r="P3063">
        <v>0.45620290000000002</v>
      </c>
      <c r="Q3063">
        <v>-8.9513529999999994E-2</v>
      </c>
      <c r="R3063">
        <v>-0.88536229999999905</v>
      </c>
      <c r="S3063">
        <v>2.1177670000000002</v>
      </c>
      <c r="T3063">
        <v>-0.28195330000000002</v>
      </c>
      <c r="U3063">
        <v>-2.2807309999999998</v>
      </c>
      <c r="V3063">
        <v>-0.2459606</v>
      </c>
      <c r="W3063">
        <v>-6.4948729999999996E-2</v>
      </c>
      <c r="X3063">
        <v>0.96710130000000005</v>
      </c>
      <c r="Y3063">
        <v>-0.49700220000000001</v>
      </c>
      <c r="Z3063">
        <v>6.7824919999999997E-2</v>
      </c>
      <c r="AA3063">
        <v>0.86509449999999999</v>
      </c>
      <c r="AB3063">
        <v>16</v>
      </c>
      <c r="AC3063">
        <v>0.56270000000000597</v>
      </c>
      <c r="AD3063">
        <v>-8.0671000000000104E-2</v>
      </c>
      <c r="AE3063">
        <v>-0.50649999999998796</v>
      </c>
      <c r="AF3063">
        <v>-0.43025607628629198</v>
      </c>
      <c r="AG3063">
        <v>-8.0671000000000104E-2</v>
      </c>
      <c r="AH3063">
        <v>0.61258141378226605</v>
      </c>
      <c r="AI3063">
        <v>96.150740527386702</v>
      </c>
      <c r="AJ3063">
        <v>125.082882589474</v>
      </c>
      <c r="AK3063">
        <v>0.752917053820509</v>
      </c>
      <c r="AL3063">
        <v>93.723909593567697</v>
      </c>
      <c r="AM3063">
        <v>104.269375164894</v>
      </c>
      <c r="AN3063">
        <v>0.99999993937132903</v>
      </c>
    </row>
    <row r="3064" spans="1:40" x14ac:dyDescent="0.25">
      <c r="A3064" t="str">
        <f>"20190303154827260"</f>
        <v>20190303154827260</v>
      </c>
      <c r="B3064" t="str">
        <f>"1551599307253507"</f>
        <v>1551599307253507</v>
      </c>
      <c r="C3064" t="s">
        <v>40</v>
      </c>
      <c r="D3064">
        <v>5.1482979999999996</v>
      </c>
      <c r="E3064">
        <v>0.33197290000000002</v>
      </c>
      <c r="F3064" t="s">
        <v>42</v>
      </c>
      <c r="G3064">
        <v>-488.69819999999999</v>
      </c>
      <c r="H3064">
        <v>1.0172300000000001</v>
      </c>
      <c r="I3064">
        <v>223.24279999999999</v>
      </c>
      <c r="J3064">
        <v>-489.37020000000001</v>
      </c>
      <c r="K3064">
        <v>1.126852</v>
      </c>
      <c r="L3064">
        <v>223.6635</v>
      </c>
      <c r="M3064">
        <v>0.2329283</v>
      </c>
      <c r="N3064">
        <v>-2.786098E-2</v>
      </c>
      <c r="O3064">
        <v>-0.97209489999999998</v>
      </c>
      <c r="P3064">
        <v>0.46923890000000001</v>
      </c>
      <c r="Q3064">
        <v>-8.8756280000000007E-2</v>
      </c>
      <c r="R3064">
        <v>-0.87859989999999999</v>
      </c>
      <c r="S3064">
        <v>2.536835</v>
      </c>
      <c r="T3064">
        <v>-0.38565500000000003</v>
      </c>
      <c r="U3064">
        <v>-2.0422669999999998</v>
      </c>
      <c r="V3064">
        <v>-0.25096869999999999</v>
      </c>
      <c r="W3064">
        <v>-6.4350389999999993E-2</v>
      </c>
      <c r="X3064">
        <v>0.96585390000000004</v>
      </c>
      <c r="Y3064">
        <v>-0.60658780000000001</v>
      </c>
      <c r="Z3064">
        <v>9.8945379999999999E-2</v>
      </c>
      <c r="AA3064">
        <v>0.78883519999999996</v>
      </c>
      <c r="AB3064">
        <v>16</v>
      </c>
      <c r="AC3064">
        <v>0.67200000000002502</v>
      </c>
      <c r="AD3064">
        <v>-0.109622</v>
      </c>
      <c r="AE3064">
        <v>-0.42070000000001001</v>
      </c>
      <c r="AF3064">
        <v>-0.54505016515484295</v>
      </c>
      <c r="AG3064">
        <v>-0.109622</v>
      </c>
      <c r="AH3064">
        <v>0.55509539885755999</v>
      </c>
      <c r="AI3064">
        <v>98.020789155947696</v>
      </c>
      <c r="AJ3064">
        <v>134.47685695409101</v>
      </c>
      <c r="AK3064">
        <v>0.78563831834512499</v>
      </c>
      <c r="AL3064">
        <v>93.689555110390103</v>
      </c>
      <c r="AM3064">
        <v>104.56569695064501</v>
      </c>
      <c r="AN3064">
        <v>1.0000000086090199</v>
      </c>
    </row>
    <row r="3065" spans="1:40" x14ac:dyDescent="0.25">
      <c r="A3065" t="str">
        <f>"20190303154827284"</f>
        <v>20190303154827284</v>
      </c>
      <c r="B3065" t="str">
        <f>"1551599307274002"</f>
        <v>1551599307274002</v>
      </c>
      <c r="C3065" t="s">
        <v>40</v>
      </c>
      <c r="D3065">
        <v>5.157915</v>
      </c>
      <c r="E3065">
        <v>0.33151170000000002</v>
      </c>
      <c r="F3065" t="s">
        <v>42</v>
      </c>
      <c r="G3065">
        <v>-488.66050000000001</v>
      </c>
      <c r="H3065">
        <v>1.0171870000000001</v>
      </c>
      <c r="I3065">
        <v>223.1147</v>
      </c>
      <c r="J3065">
        <v>-489.32319999999999</v>
      </c>
      <c r="K3065">
        <v>1.1268229999999999</v>
      </c>
      <c r="L3065">
        <v>223.5164</v>
      </c>
      <c r="M3065">
        <v>0.24179030000000001</v>
      </c>
      <c r="N3065">
        <v>-2.7781790000000001E-2</v>
      </c>
      <c r="O3065">
        <v>-0.96993079999999998</v>
      </c>
      <c r="P3065">
        <v>0.48123729999999998</v>
      </c>
      <c r="Q3065">
        <v>-8.8299089999999997E-2</v>
      </c>
      <c r="R3065">
        <v>-0.87213189999999996</v>
      </c>
      <c r="S3065">
        <v>2.5813290000000002</v>
      </c>
      <c r="T3065">
        <v>-0.39883550000000001</v>
      </c>
      <c r="U3065">
        <v>-1.9956050000000001</v>
      </c>
      <c r="V3065">
        <v>-0.25538</v>
      </c>
      <c r="W3065">
        <v>-6.4017359999999995E-2</v>
      </c>
      <c r="X3065">
        <v>0.96471910000000005</v>
      </c>
      <c r="Y3065">
        <v>-0.61446820000000002</v>
      </c>
      <c r="Z3065">
        <v>0.1034148</v>
      </c>
      <c r="AA3065">
        <v>0.78213440000000001</v>
      </c>
      <c r="AB3065">
        <v>16</v>
      </c>
      <c r="AC3065">
        <v>0.66269999999997198</v>
      </c>
      <c r="AD3065">
        <v>-0.109635999999999</v>
      </c>
      <c r="AE3065">
        <v>-0.401700000000005</v>
      </c>
      <c r="AF3065">
        <v>-0.53514537910257198</v>
      </c>
      <c r="AG3065">
        <v>-0.109635999999999</v>
      </c>
      <c r="AH3065">
        <v>0.53927402354709497</v>
      </c>
      <c r="AI3065">
        <v>98.211564676982903</v>
      </c>
      <c r="AJ3065">
        <v>134.77983203125501</v>
      </c>
      <c r="AK3065">
        <v>0.76760478225679896</v>
      </c>
      <c r="AL3065">
        <v>93.670434303872398</v>
      </c>
      <c r="AM3065">
        <v>104.827211453712</v>
      </c>
      <c r="AN3065">
        <v>1.00000005434308</v>
      </c>
    </row>
    <row r="3066" spans="1:40" x14ac:dyDescent="0.25">
      <c r="A3066" t="str">
        <f>"20190303154827306"</f>
        <v>20190303154827306</v>
      </c>
      <c r="B3066" t="str">
        <f>"1551599307304260"</f>
        <v>1551599307304260</v>
      </c>
      <c r="C3066" t="s">
        <v>40</v>
      </c>
      <c r="D3066">
        <v>5.0476219999999996</v>
      </c>
      <c r="E3066">
        <v>0.33171640000000002</v>
      </c>
      <c r="F3066" t="s">
        <v>47</v>
      </c>
      <c r="G3066">
        <v>-482.01620000000003</v>
      </c>
      <c r="H3066" s="1">
        <v>2.05723E-6</v>
      </c>
      <c r="I3066">
        <v>218.03659999999999</v>
      </c>
      <c r="J3066">
        <v>-489.27699999999999</v>
      </c>
      <c r="K3066">
        <v>1.1267769999999999</v>
      </c>
      <c r="L3066">
        <v>223.37719999999999</v>
      </c>
      <c r="M3066">
        <v>0.25032840000000001</v>
      </c>
      <c r="N3066">
        <v>-2.7801929999999999E-2</v>
      </c>
      <c r="O3066">
        <v>-0.96776200000000001</v>
      </c>
      <c r="P3066">
        <v>0.49227320000000002</v>
      </c>
      <c r="Q3066">
        <v>-8.7044460000000004E-2</v>
      </c>
      <c r="R3066">
        <v>-0.86607749999999994</v>
      </c>
      <c r="S3066">
        <v>2.6111759999999999</v>
      </c>
      <c r="T3066">
        <v>-0.40267619999999998</v>
      </c>
      <c r="U3066">
        <v>-1.958221</v>
      </c>
      <c r="V3066">
        <v>-0.25911079999999997</v>
      </c>
      <c r="W3066">
        <v>-6.2754660000000004E-2</v>
      </c>
      <c r="X3066">
        <v>0.96380670000000002</v>
      </c>
      <c r="Y3066">
        <v>-0.61885570000000001</v>
      </c>
      <c r="Z3066">
        <v>0.1049301</v>
      </c>
      <c r="AA3066">
        <v>0.77846470000000001</v>
      </c>
      <c r="AB3066">
        <v>15</v>
      </c>
      <c r="AC3066">
        <v>7.2607999999999597</v>
      </c>
      <c r="AD3066">
        <v>-1.12677494277</v>
      </c>
      <c r="AE3066">
        <v>-5.3405999999999896</v>
      </c>
      <c r="AF3066">
        <v>-5.6044361517488896</v>
      </c>
      <c r="AG3066">
        <v>-1.12677494277</v>
      </c>
      <c r="AH3066">
        <v>6.8811761017653401</v>
      </c>
      <c r="AI3066">
        <v>97.235835485988702</v>
      </c>
      <c r="AJ3066">
        <v>129.16140538235101</v>
      </c>
      <c r="AK3066">
        <v>8.94594382355438</v>
      </c>
      <c r="AL3066">
        <v>93.597941504276207</v>
      </c>
      <c r="AM3066">
        <v>105.047665716986</v>
      </c>
      <c r="AN3066">
        <v>0.99999995449662105</v>
      </c>
    </row>
    <row r="3067" spans="1:40" x14ac:dyDescent="0.25">
      <c r="A3067" t="str">
        <f>"20190303154827326"</f>
        <v>20190303154827326</v>
      </c>
      <c r="B3067" t="str">
        <f>"1551599307314023"</f>
        <v>1551599307314023</v>
      </c>
      <c r="C3067" t="s">
        <v>40</v>
      </c>
      <c r="D3067">
        <v>5.0898810000000001</v>
      </c>
      <c r="E3067">
        <v>0.33218150000000002</v>
      </c>
      <c r="F3067" t="s">
        <v>47</v>
      </c>
      <c r="G3067">
        <v>-481.69779999999997</v>
      </c>
      <c r="H3067" s="1">
        <v>1.9919290000000001E-6</v>
      </c>
      <c r="I3067">
        <v>217.8349</v>
      </c>
      <c r="J3067">
        <v>-489.23579999999998</v>
      </c>
      <c r="K3067">
        <v>1.126692</v>
      </c>
      <c r="L3067">
        <v>223.25620000000001</v>
      </c>
      <c r="M3067">
        <v>0.25769629999999999</v>
      </c>
      <c r="N3067">
        <v>-2.812077E-2</v>
      </c>
      <c r="O3067">
        <v>-0.96581669999999997</v>
      </c>
      <c r="P3067">
        <v>0.50203220000000004</v>
      </c>
      <c r="Q3067">
        <v>-8.7033890000000003E-2</v>
      </c>
      <c r="R3067">
        <v>-0.86045839999999996</v>
      </c>
      <c r="S3067">
        <v>2.6350099999999999</v>
      </c>
      <c r="T3067">
        <v>-0.39173590000000003</v>
      </c>
      <c r="U3067">
        <v>-1.9268339999999999</v>
      </c>
      <c r="V3067">
        <v>-0.262681099999999</v>
      </c>
      <c r="W3067">
        <v>-6.237637E-2</v>
      </c>
      <c r="X3067">
        <v>0.96286439999999995</v>
      </c>
      <c r="Y3067">
        <v>-0.62258269999999905</v>
      </c>
      <c r="Z3067">
        <v>0.1014612</v>
      </c>
      <c r="AA3067">
        <v>0.77594879999999999</v>
      </c>
      <c r="AB3067">
        <v>15</v>
      </c>
      <c r="AC3067">
        <v>7.53800000000001</v>
      </c>
      <c r="AD3067">
        <v>-1.1266900080710001</v>
      </c>
      <c r="AE3067">
        <v>-5.4212999999999996</v>
      </c>
      <c r="AF3067">
        <v>-5.8001995041234</v>
      </c>
      <c r="AG3067">
        <v>-1.1266900080710001</v>
      </c>
      <c r="AH3067">
        <v>7.0771291465216999</v>
      </c>
      <c r="AI3067">
        <v>97.019577757999897</v>
      </c>
      <c r="AJ3067">
        <v>129.33700224064401</v>
      </c>
      <c r="AK3067">
        <v>9.2194089625348195</v>
      </c>
      <c r="AL3067">
        <v>93.576224329100597</v>
      </c>
      <c r="AM3067">
        <v>105.259644643749</v>
      </c>
      <c r="AN3067">
        <v>1.0000000123094701</v>
      </c>
    </row>
    <row r="3068" spans="1:40" x14ac:dyDescent="0.25">
      <c r="A3068" t="str">
        <f>"20190303154827350"</f>
        <v>20190303154827350</v>
      </c>
      <c r="B3068" t="str">
        <f>"1551599307344275"</f>
        <v>1551599307344275</v>
      </c>
      <c r="C3068" t="s">
        <v>40</v>
      </c>
      <c r="D3068">
        <v>4.7810110000000003</v>
      </c>
      <c r="E3068">
        <v>0.3325977</v>
      </c>
      <c r="F3068" t="s">
        <v>47</v>
      </c>
      <c r="G3068">
        <v>-481.57310000000001</v>
      </c>
      <c r="H3068" s="1">
        <v>1.9671089999999998E-6</v>
      </c>
      <c r="I3068">
        <v>217.773</v>
      </c>
      <c r="J3068">
        <v>-489.18720000000002</v>
      </c>
      <c r="K3068">
        <v>1.126593</v>
      </c>
      <c r="L3068">
        <v>223.11789999999999</v>
      </c>
      <c r="M3068">
        <v>0.26630589999999998</v>
      </c>
      <c r="N3068">
        <v>-2.846193E-2</v>
      </c>
      <c r="O3068">
        <v>-0.96346830000000006</v>
      </c>
      <c r="P3068">
        <v>0.51353709999999997</v>
      </c>
      <c r="Q3068">
        <v>-8.6729500000000001E-2</v>
      </c>
      <c r="R3068">
        <v>-0.85367299999999902</v>
      </c>
      <c r="S3068">
        <v>2.6535639999999998</v>
      </c>
      <c r="T3068">
        <v>-0.39016899999999999</v>
      </c>
      <c r="U3068">
        <v>-1.898819</v>
      </c>
      <c r="V3068">
        <v>-0.2670225</v>
      </c>
      <c r="W3068">
        <v>-6.1698509999999998E-2</v>
      </c>
      <c r="X3068">
        <v>0.96171320000000005</v>
      </c>
      <c r="Y3068">
        <v>-0.62363489999999999</v>
      </c>
      <c r="Z3068">
        <v>0.1009824</v>
      </c>
      <c r="AA3068">
        <v>0.77516580000000002</v>
      </c>
      <c r="AB3068">
        <v>15</v>
      </c>
      <c r="AC3068">
        <v>7.6140999999999996</v>
      </c>
      <c r="AD3068">
        <v>-1.126591032891</v>
      </c>
      <c r="AE3068">
        <v>-5.3448999999999902</v>
      </c>
      <c r="AF3068">
        <v>-5.8294683039102804</v>
      </c>
      <c r="AG3068">
        <v>-1.126591032891</v>
      </c>
      <c r="AH3068">
        <v>7.0764488719340797</v>
      </c>
      <c r="AI3068">
        <v>97.005281876394804</v>
      </c>
      <c r="AJ3068">
        <v>129.48116492114599</v>
      </c>
      <c r="AK3068">
        <v>9.2373176138304398</v>
      </c>
      <c r="AL3068">
        <v>93.537310899852301</v>
      </c>
      <c r="AM3068">
        <v>105.517470617566</v>
      </c>
      <c r="AN3068">
        <v>1.00000000034835</v>
      </c>
    </row>
    <row r="3069" spans="1:40" x14ac:dyDescent="0.25">
      <c r="A3069" t="str">
        <f>"20190303154827370"</f>
        <v>20190303154827370</v>
      </c>
      <c r="B3069" t="str">
        <f>"1551599307363795"</f>
        <v>1551599307363795</v>
      </c>
      <c r="C3069" t="s">
        <v>40</v>
      </c>
      <c r="D3069">
        <v>5.0119369999999996</v>
      </c>
      <c r="E3069">
        <v>0.3346211</v>
      </c>
      <c r="F3069" t="s">
        <v>47</v>
      </c>
      <c r="G3069">
        <v>-481.44459999999998</v>
      </c>
      <c r="H3069" s="1">
        <v>1.9420619999999998E-6</v>
      </c>
      <c r="I3069">
        <v>217.72139999999999</v>
      </c>
      <c r="J3069">
        <v>-489.142</v>
      </c>
      <c r="K3069">
        <v>1.1265540000000001</v>
      </c>
      <c r="L3069">
        <v>222.99340000000001</v>
      </c>
      <c r="M3069">
        <v>0.27433279999999999</v>
      </c>
      <c r="N3069">
        <v>-2.8378210000000001E-2</v>
      </c>
      <c r="O3069">
        <v>-0.96121590000000001</v>
      </c>
      <c r="P3069">
        <v>0.52415500000000004</v>
      </c>
      <c r="Q3069">
        <v>-8.6761679999999994E-2</v>
      </c>
      <c r="R3069">
        <v>-0.84719149999999999</v>
      </c>
      <c r="S3069">
        <v>2.6758730000000002</v>
      </c>
      <c r="T3069">
        <v>-0.38935629999999999</v>
      </c>
      <c r="U3069">
        <v>-1.8650359999999999</v>
      </c>
      <c r="V3069">
        <v>-0.27099620000000002</v>
      </c>
      <c r="W3069">
        <v>-6.188167E-2</v>
      </c>
      <c r="X3069">
        <v>0.96058929999999998</v>
      </c>
      <c r="Y3069">
        <v>-0.62673970000000001</v>
      </c>
      <c r="Z3069">
        <v>0.10114769999999999</v>
      </c>
      <c r="AA3069">
        <v>0.77263609999999905</v>
      </c>
      <c r="AB3069">
        <v>14</v>
      </c>
      <c r="AC3069">
        <v>7.6974000000000098</v>
      </c>
      <c r="AD3069">
        <v>-1.126552057938</v>
      </c>
      <c r="AE3069">
        <v>-5.2720000000000198</v>
      </c>
      <c r="AF3069">
        <v>-5.8694024718903597</v>
      </c>
      <c r="AG3069">
        <v>-1.126552057938</v>
      </c>
      <c r="AH3069">
        <v>7.0788613894615899</v>
      </c>
      <c r="AI3069">
        <v>96.984451265554597</v>
      </c>
      <c r="AJ3069">
        <v>129.66365489947799</v>
      </c>
      <c r="AK3069">
        <v>9.26440950560192</v>
      </c>
      <c r="AL3069">
        <v>93.547825136746795</v>
      </c>
      <c r="AM3069">
        <v>105.754530466632</v>
      </c>
      <c r="AN3069">
        <v>1.00000004238545</v>
      </c>
    </row>
    <row r="3070" spans="1:40" x14ac:dyDescent="0.25">
      <c r="A3070" t="str">
        <f>"20190303154827393"</f>
        <v>20190303154827393</v>
      </c>
      <c r="B3070" t="str">
        <f>"1551599307383318"</f>
        <v>1551599307383318</v>
      </c>
      <c r="C3070" t="s">
        <v>40</v>
      </c>
      <c r="D3070">
        <v>5.007657</v>
      </c>
      <c r="E3070">
        <v>0.33569460000000001</v>
      </c>
      <c r="F3070" t="s">
        <v>47</v>
      </c>
      <c r="G3070">
        <v>-481.33199999999999</v>
      </c>
      <c r="H3070" s="1">
        <v>1.9186339999999998E-6</v>
      </c>
      <c r="I3070">
        <v>217.64250000000001</v>
      </c>
      <c r="J3070">
        <v>-489.09480000000002</v>
      </c>
      <c r="K3070">
        <v>1.1265069999999999</v>
      </c>
      <c r="L3070">
        <v>222.86750000000001</v>
      </c>
      <c r="M3070">
        <v>0.28263189999999999</v>
      </c>
      <c r="N3070">
        <v>-2.8014299999999999E-2</v>
      </c>
      <c r="O3070">
        <v>-0.95881930000000004</v>
      </c>
      <c r="P3070">
        <v>0.53509989999999996</v>
      </c>
      <c r="Q3070">
        <v>-8.7620870000000003E-2</v>
      </c>
      <c r="R3070">
        <v>-0.84023269999999906</v>
      </c>
      <c r="S3070">
        <v>2.6855159999999998</v>
      </c>
      <c r="T3070">
        <v>-0.38737060000000001</v>
      </c>
      <c r="U3070">
        <v>-1.8399350000000001</v>
      </c>
      <c r="V3070">
        <v>-0.27514569999999999</v>
      </c>
      <c r="W3070">
        <v>-6.3211939999999994E-2</v>
      </c>
      <c r="X3070">
        <v>0.95932220000000001</v>
      </c>
      <c r="Y3070">
        <v>-0.6262392</v>
      </c>
      <c r="Z3070">
        <v>0.10126599999999999</v>
      </c>
      <c r="AA3070">
        <v>0.77302630000000006</v>
      </c>
      <c r="AB3070">
        <v>14</v>
      </c>
      <c r="AC3070">
        <v>7.7628000000000199</v>
      </c>
      <c r="AD3070">
        <v>-1.126505081366</v>
      </c>
      <c r="AE3070">
        <v>-5.2249999999999899</v>
      </c>
      <c r="AF3070">
        <v>-5.8834456669297097</v>
      </c>
      <c r="AG3070">
        <v>-1.126505081366</v>
      </c>
      <c r="AH3070">
        <v>7.1037212784583303</v>
      </c>
      <c r="AI3070">
        <v>96.963093385982006</v>
      </c>
      <c r="AJ3070">
        <v>129.632241760319</v>
      </c>
      <c r="AK3070">
        <v>9.2922980266497603</v>
      </c>
      <c r="AL3070">
        <v>93.624193696476397</v>
      </c>
      <c r="AM3070">
        <v>106.00355874651</v>
      </c>
      <c r="AN3070">
        <v>0.99999999449994603</v>
      </c>
    </row>
    <row r="3071" spans="1:40" x14ac:dyDescent="0.25">
      <c r="A3071" t="str">
        <f>"20190303154827416"</f>
        <v>20190303154827416</v>
      </c>
      <c r="B3071" t="str">
        <f>"1551599307413571"</f>
        <v>1551599307413571</v>
      </c>
      <c r="C3071" t="s">
        <v>40</v>
      </c>
      <c r="D3071">
        <v>5.1291279999999997</v>
      </c>
      <c r="E3071">
        <v>0.33732089999999998</v>
      </c>
      <c r="F3071" t="s">
        <v>42</v>
      </c>
      <c r="G3071">
        <v>-488.3023</v>
      </c>
      <c r="H3071">
        <v>1.012159</v>
      </c>
      <c r="I3071">
        <v>222.33680000000001</v>
      </c>
      <c r="J3071">
        <v>-489.04539999999997</v>
      </c>
      <c r="K3071">
        <v>1.126379</v>
      </c>
      <c r="L3071">
        <v>222.74010000000001</v>
      </c>
      <c r="M3071">
        <v>0.29116219999999998</v>
      </c>
      <c r="N3071">
        <v>-2.7713350000000001E-2</v>
      </c>
      <c r="O3071">
        <v>-0.95627240000000002</v>
      </c>
      <c r="P3071">
        <v>0.54568870000000003</v>
      </c>
      <c r="Q3071">
        <v>-8.9524560000000003E-2</v>
      </c>
      <c r="R3071">
        <v>-0.8331923</v>
      </c>
      <c r="S3071">
        <v>2.7018430000000002</v>
      </c>
      <c r="T3071">
        <v>-0.38978560000000001</v>
      </c>
      <c r="U3071">
        <v>-1.8090520000000001</v>
      </c>
      <c r="V3071">
        <v>-0.27877770000000002</v>
      </c>
      <c r="W3071">
        <v>-6.5440929999999994E-2</v>
      </c>
      <c r="X3071">
        <v>0.95812339999999996</v>
      </c>
      <c r="Y3071">
        <v>-0.62745830000000002</v>
      </c>
      <c r="Z3071">
        <v>0.1026907</v>
      </c>
      <c r="AA3071">
        <v>0.77184889999999995</v>
      </c>
      <c r="AB3071">
        <v>14</v>
      </c>
      <c r="AC3071">
        <v>0.74309999999996901</v>
      </c>
      <c r="AD3071">
        <v>-0.11422</v>
      </c>
      <c r="AE3071">
        <v>-0.40330000000000099</v>
      </c>
      <c r="AF3071">
        <v>-0.58277234252791199</v>
      </c>
      <c r="AG3071">
        <v>-0.11422</v>
      </c>
      <c r="AH3071">
        <v>0.59146409758338003</v>
      </c>
      <c r="AI3071">
        <v>97.832406546258497</v>
      </c>
      <c r="AJ3071">
        <v>134.57590160778599</v>
      </c>
      <c r="AK3071">
        <v>0.83815248633264305</v>
      </c>
      <c r="AL3071">
        <v>93.752170528968506</v>
      </c>
      <c r="AM3071">
        <v>106.222999580628</v>
      </c>
      <c r="AN3071">
        <v>0.99999998548205704</v>
      </c>
    </row>
    <row r="3072" spans="1:40" x14ac:dyDescent="0.25">
      <c r="A3072" t="str">
        <f>"20190303154827437"</f>
        <v>20190303154827437</v>
      </c>
      <c r="B3072" t="str">
        <f>"1551599307434066"</f>
        <v>1551599307434066</v>
      </c>
      <c r="C3072" t="s">
        <v>40</v>
      </c>
      <c r="D3072">
        <v>5.0765770000000003</v>
      </c>
      <c r="E3072">
        <v>0.30646109999999999</v>
      </c>
      <c r="F3072" t="s">
        <v>42</v>
      </c>
      <c r="G3072">
        <v>-488.26580000000001</v>
      </c>
      <c r="H3072">
        <v>0.99369719999999995</v>
      </c>
      <c r="I3072">
        <v>222.2285</v>
      </c>
      <c r="J3072">
        <v>-488.99759999999998</v>
      </c>
      <c r="K3072">
        <v>1.1261680000000001</v>
      </c>
      <c r="L3072">
        <v>222.62010000000001</v>
      </c>
      <c r="M3072">
        <v>0.29942370000000001</v>
      </c>
      <c r="N3072">
        <v>-2.7593579999999999E-2</v>
      </c>
      <c r="O3072">
        <v>-0.95372140000000005</v>
      </c>
      <c r="P3072">
        <v>0.55594270000000001</v>
      </c>
      <c r="Q3072">
        <v>-9.2408489999999996E-2</v>
      </c>
      <c r="R3072">
        <v>-0.82606800000000002</v>
      </c>
      <c r="S3072">
        <v>2.708466</v>
      </c>
      <c r="T3072">
        <v>-0.4609723</v>
      </c>
      <c r="U3072">
        <v>-1.777237</v>
      </c>
      <c r="V3072">
        <v>-0.28242009999999901</v>
      </c>
      <c r="W3072">
        <v>-6.8377510000000002E-2</v>
      </c>
      <c r="X3072">
        <v>0.9568508</v>
      </c>
      <c r="Y3072">
        <v>-0.62549580000000005</v>
      </c>
      <c r="Z3072">
        <v>0.1262218</v>
      </c>
      <c r="AA3072">
        <v>0.76995000000000002</v>
      </c>
      <c r="AB3072">
        <v>14</v>
      </c>
      <c r="AC3072">
        <v>0.73179999999996403</v>
      </c>
      <c r="AD3072">
        <v>-0.1324708</v>
      </c>
      <c r="AE3072">
        <v>-0.39160000000001099</v>
      </c>
      <c r="AF3072">
        <v>-0.56646985444209796</v>
      </c>
      <c r="AG3072">
        <v>-0.1324708</v>
      </c>
      <c r="AH3072">
        <v>0.57809482184946503</v>
      </c>
      <c r="AI3072">
        <v>99.295255719452896</v>
      </c>
      <c r="AJ3072">
        <v>134.41808559931499</v>
      </c>
      <c r="AK3072">
        <v>0.82014037328585299</v>
      </c>
      <c r="AL3072">
        <v>93.920801969625202</v>
      </c>
      <c r="AM3072">
        <v>106.444272926336</v>
      </c>
      <c r="AN3072">
        <v>1.00000002510922</v>
      </c>
    </row>
    <row r="3073" spans="1:40" x14ac:dyDescent="0.25">
      <c r="A3073" t="str">
        <f>"20190303154827462"</f>
        <v>20190303154827462</v>
      </c>
      <c r="B3073" t="str">
        <f>"1551599307453587"</f>
        <v>1551599307453587</v>
      </c>
      <c r="C3073" t="s">
        <v>40</v>
      </c>
      <c r="D3073">
        <v>5.1329479999999998</v>
      </c>
      <c r="E3073">
        <v>0.3084385</v>
      </c>
      <c r="F3073" t="s">
        <v>47</v>
      </c>
      <c r="G3073">
        <v>-482.4042</v>
      </c>
      <c r="H3073" s="1">
        <v>2.1688700000000001E-6</v>
      </c>
      <c r="I3073">
        <v>219.0162</v>
      </c>
      <c r="J3073">
        <v>-488.94760000000002</v>
      </c>
      <c r="K3073">
        <v>1.1259490000000001</v>
      </c>
      <c r="L3073">
        <v>222.4975</v>
      </c>
      <c r="M3073">
        <v>0.30811680000000002</v>
      </c>
      <c r="N3073">
        <v>-2.7496409999999999E-2</v>
      </c>
      <c r="O3073">
        <v>-0.95095099999999999</v>
      </c>
      <c r="P3073">
        <v>0.56652709999999995</v>
      </c>
      <c r="Q3073">
        <v>-9.4149049999999998E-2</v>
      </c>
      <c r="R3073">
        <v>-0.81864689999999996</v>
      </c>
      <c r="S3073">
        <v>2.9317929999999999</v>
      </c>
      <c r="T3073">
        <v>-0.50075509999999901</v>
      </c>
      <c r="U3073">
        <v>-1.6024929999999999</v>
      </c>
      <c r="V3073">
        <v>-0.28607149999999998</v>
      </c>
      <c r="W3073">
        <v>-7.0128560000000006E-2</v>
      </c>
      <c r="X3073">
        <v>0.9556386</v>
      </c>
      <c r="Y3073">
        <v>-0.67745369999999905</v>
      </c>
      <c r="Z3073">
        <v>0.13650409999999999</v>
      </c>
      <c r="AA3073">
        <v>0.72278849999999994</v>
      </c>
      <c r="AB3073">
        <v>14</v>
      </c>
      <c r="AC3073">
        <v>6.5434000000000099</v>
      </c>
      <c r="AD3073">
        <v>-1.1259468311299901</v>
      </c>
      <c r="AE3073">
        <v>-3.4813000000000001</v>
      </c>
      <c r="AF3073">
        <v>-5.03554792824331</v>
      </c>
      <c r="AG3073">
        <v>-1.1259468311299901</v>
      </c>
      <c r="AH3073">
        <v>5.2084951410227998</v>
      </c>
      <c r="AI3073">
        <v>98.834084923032506</v>
      </c>
      <c r="AJ3073">
        <v>134.03278383247701</v>
      </c>
      <c r="AK3073">
        <v>7.3316383461151</v>
      </c>
      <c r="AL3073">
        <v>94.021371205614201</v>
      </c>
      <c r="AM3073">
        <v>106.665130623238</v>
      </c>
      <c r="AN3073">
        <v>1.00000002592494</v>
      </c>
    </row>
    <row r="3074" spans="1:40" x14ac:dyDescent="0.25">
      <c r="A3074" t="str">
        <f>"20190303154827484"</f>
        <v>20190303154827484</v>
      </c>
      <c r="B3074" t="str">
        <f>"1551599307474083"</f>
        <v>1551599307474083</v>
      </c>
      <c r="C3074" t="s">
        <v>40</v>
      </c>
      <c r="D3074">
        <v>5.1074149999999996</v>
      </c>
      <c r="E3074">
        <v>0.30856109999999998</v>
      </c>
      <c r="F3074" t="s">
        <v>47</v>
      </c>
      <c r="G3074">
        <v>-482.41609999999997</v>
      </c>
      <c r="H3074" s="1">
        <v>2.1703619999999998E-6</v>
      </c>
      <c r="I3074">
        <v>219.00200000000001</v>
      </c>
      <c r="J3074">
        <v>-488.89870000000002</v>
      </c>
      <c r="K3074">
        <v>1.125807</v>
      </c>
      <c r="L3074">
        <v>222.38130000000001</v>
      </c>
      <c r="M3074">
        <v>0.31639230000000002</v>
      </c>
      <c r="N3074">
        <v>-2.7313009999999999E-2</v>
      </c>
      <c r="O3074">
        <v>-0.9482353</v>
      </c>
      <c r="P3074">
        <v>0.57644139999999999</v>
      </c>
      <c r="Q3074">
        <v>-9.4897239999999994E-2</v>
      </c>
      <c r="R3074">
        <v>-0.81160959999999904</v>
      </c>
      <c r="S3074">
        <v>2.93866</v>
      </c>
      <c r="T3074">
        <v>-0.50659109999999996</v>
      </c>
      <c r="U3074">
        <v>-1.5727230000000001</v>
      </c>
      <c r="V3074">
        <v>-0.28939540000000002</v>
      </c>
      <c r="W3074">
        <v>-7.1037719999999999E-2</v>
      </c>
      <c r="X3074">
        <v>0.95457009999999998</v>
      </c>
      <c r="Y3074">
        <v>-0.67715709999999996</v>
      </c>
      <c r="Z3074">
        <v>0.13910169999999999</v>
      </c>
      <c r="AA3074">
        <v>0.72257109999999902</v>
      </c>
      <c r="AB3074">
        <v>13</v>
      </c>
      <c r="AC3074">
        <v>6.4826000000000397</v>
      </c>
      <c r="AD3074">
        <v>-1.1258048296379899</v>
      </c>
      <c r="AE3074">
        <v>-3.3793000000000002</v>
      </c>
      <c r="AF3074">
        <v>-4.9620631130709896</v>
      </c>
      <c r="AG3074">
        <v>-1.1258048296379899</v>
      </c>
      <c r="AH3074">
        <v>5.1355848519360796</v>
      </c>
      <c r="AI3074">
        <v>98.958940528472795</v>
      </c>
      <c r="AJ3074">
        <v>134.01550491170099</v>
      </c>
      <c r="AK3074">
        <v>7.22936640543079</v>
      </c>
      <c r="AL3074">
        <v>94.073592320558205</v>
      </c>
      <c r="AM3074">
        <v>106.865640456835</v>
      </c>
      <c r="AN3074">
        <v>1.00000006550898</v>
      </c>
    </row>
    <row r="3075" spans="1:40" x14ac:dyDescent="0.25">
      <c r="A3075" t="str">
        <f>"20190303154827509"</f>
        <v>20190303154827509</v>
      </c>
      <c r="B3075" t="str">
        <f>"1551599307503363"</f>
        <v>1551599307503363</v>
      </c>
      <c r="C3075" t="s">
        <v>40</v>
      </c>
      <c r="D3075">
        <v>5.0198429999999998</v>
      </c>
      <c r="E3075">
        <v>0.30970180000000003</v>
      </c>
      <c r="F3075" t="s">
        <v>47</v>
      </c>
      <c r="G3075">
        <v>-482.34620000000001</v>
      </c>
      <c r="H3075" s="1">
        <v>2.1567839999999998E-6</v>
      </c>
      <c r="I3075">
        <v>218.9752</v>
      </c>
      <c r="J3075">
        <v>-488.84640000000002</v>
      </c>
      <c r="K3075">
        <v>1.125702</v>
      </c>
      <c r="L3075">
        <v>222.2603</v>
      </c>
      <c r="M3075">
        <v>0.32491449999999999</v>
      </c>
      <c r="N3075">
        <v>-2.70695E-2</v>
      </c>
      <c r="O3075">
        <v>-0.94535599999999997</v>
      </c>
      <c r="P3075">
        <v>0.58624500000000002</v>
      </c>
      <c r="Q3075">
        <v>-9.6700250000000001E-2</v>
      </c>
      <c r="R3075">
        <v>-0.80434220000000001</v>
      </c>
      <c r="S3075">
        <v>2.9567260000000002</v>
      </c>
      <c r="T3075">
        <v>-0.50799929999999904</v>
      </c>
      <c r="U3075">
        <v>-1.5369569999999999</v>
      </c>
      <c r="V3075">
        <v>-0.29244209999999998</v>
      </c>
      <c r="W3075">
        <v>-7.3082729999999999E-2</v>
      </c>
      <c r="X3075">
        <v>0.95348650000000001</v>
      </c>
      <c r="Y3075">
        <v>-0.67916330000000003</v>
      </c>
      <c r="Z3075">
        <v>0.14011319999999999</v>
      </c>
      <c r="AA3075">
        <v>0.72048970000000001</v>
      </c>
      <c r="AB3075">
        <v>13</v>
      </c>
      <c r="AC3075">
        <v>6.5002000000000004</v>
      </c>
      <c r="AD3075">
        <v>-1.1256998432159999</v>
      </c>
      <c r="AE3075">
        <v>-3.2850999999999999</v>
      </c>
      <c r="AF3075">
        <v>-4.9609728096027803</v>
      </c>
      <c r="AG3075">
        <v>-1.1256998432159999</v>
      </c>
      <c r="AH3075">
        <v>5.0977288723235796</v>
      </c>
      <c r="AI3075">
        <v>98.992726263278101</v>
      </c>
      <c r="AJ3075">
        <v>134.22106622413901</v>
      </c>
      <c r="AK3075">
        <v>7.2017561060033097</v>
      </c>
      <c r="AL3075">
        <v>94.191068511580895</v>
      </c>
      <c r="AM3075">
        <v>107.051204527436</v>
      </c>
      <c r="AN3075">
        <v>0.99999998647945598</v>
      </c>
    </row>
    <row r="3076" spans="1:40" x14ac:dyDescent="0.25">
      <c r="A3076" t="str">
        <f>"20190303154827527"</f>
        <v>20190303154827527</v>
      </c>
      <c r="B3076" t="str">
        <f>"1551599307523859"</f>
        <v>1551599307523859</v>
      </c>
      <c r="C3076" t="s">
        <v>40</v>
      </c>
      <c r="D3076">
        <v>5.0413329999999998</v>
      </c>
      <c r="E3076">
        <v>0.3111526</v>
      </c>
      <c r="F3076" t="s">
        <v>47</v>
      </c>
      <c r="G3076">
        <v>-482.29480000000001</v>
      </c>
      <c r="H3076" s="1">
        <v>2.14602E-6</v>
      </c>
      <c r="I3076">
        <v>218.9374</v>
      </c>
      <c r="J3076">
        <v>-488.80380000000002</v>
      </c>
      <c r="K3076">
        <v>1.125591</v>
      </c>
      <c r="L3076">
        <v>222.16370000000001</v>
      </c>
      <c r="M3076">
        <v>0.33170919999999998</v>
      </c>
      <c r="N3076">
        <v>-2.688925E-2</v>
      </c>
      <c r="O3076">
        <v>-0.94299849999999996</v>
      </c>
      <c r="P3076">
        <v>0.59349680000000005</v>
      </c>
      <c r="Q3076">
        <v>-9.7806359999999995E-2</v>
      </c>
      <c r="R3076">
        <v>-0.79887159999999902</v>
      </c>
      <c r="S3076">
        <v>2.9679570000000002</v>
      </c>
      <c r="T3076">
        <v>-0.50995329999999905</v>
      </c>
      <c r="U3076">
        <v>-1.5053099999999999</v>
      </c>
      <c r="V3076">
        <v>-0.29425190000000001</v>
      </c>
      <c r="W3076">
        <v>-7.433447E-2</v>
      </c>
      <c r="X3076">
        <v>0.95283269999999998</v>
      </c>
      <c r="Y3076">
        <v>-0.68097529999999995</v>
      </c>
      <c r="Z3076">
        <v>0.1413625</v>
      </c>
      <c r="AA3076">
        <v>0.71853279999999997</v>
      </c>
      <c r="AB3076">
        <v>13</v>
      </c>
      <c r="AC3076">
        <v>6.5090000000000101</v>
      </c>
      <c r="AD3076">
        <v>-1.1255888539799901</v>
      </c>
      <c r="AE3076">
        <v>-3.2263000000000002</v>
      </c>
      <c r="AF3076">
        <v>-4.9507676053677301</v>
      </c>
      <c r="AG3076">
        <v>-1.1255888539799901</v>
      </c>
      <c r="AH3076">
        <v>5.0813876710478603</v>
      </c>
      <c r="AI3076">
        <v>99.015325380192806</v>
      </c>
      <c r="AJ3076">
        <v>134.25404308294199</v>
      </c>
      <c r="AK3076">
        <v>7.1831435189643704</v>
      </c>
      <c r="AL3076">
        <v>94.262983610870094</v>
      </c>
      <c r="AM3076">
        <v>107.16163019234</v>
      </c>
      <c r="AN3076">
        <v>0.99999997413653996</v>
      </c>
    </row>
    <row r="3077" spans="1:40" x14ac:dyDescent="0.25">
      <c r="A3077" t="str">
        <f>"20190303154827549"</f>
        <v>20190303154827549</v>
      </c>
      <c r="B3077" t="str">
        <f>"1551599307543379"</f>
        <v>1551599307543379</v>
      </c>
      <c r="C3077" t="s">
        <v>40</v>
      </c>
      <c r="D3077">
        <v>5.0012910000000002</v>
      </c>
      <c r="E3077">
        <v>0.31258740000000002</v>
      </c>
      <c r="F3077" t="s">
        <v>47</v>
      </c>
      <c r="G3077">
        <v>-482.25490000000002</v>
      </c>
      <c r="H3077" s="1">
        <v>2.1369569999999999E-6</v>
      </c>
      <c r="I3077">
        <v>218.8921</v>
      </c>
      <c r="J3077">
        <v>-488.75599999999997</v>
      </c>
      <c r="K3077">
        <v>1.125443</v>
      </c>
      <c r="L3077">
        <v>222.0581</v>
      </c>
      <c r="M3077">
        <v>0.33921459999999998</v>
      </c>
      <c r="N3077">
        <v>-2.6724149999999999E-2</v>
      </c>
      <c r="O3077">
        <v>-0.94032969999999905</v>
      </c>
      <c r="P3077">
        <v>0.60100169999999997</v>
      </c>
      <c r="Q3077">
        <v>-9.8351270000000005E-2</v>
      </c>
      <c r="R3077">
        <v>-0.79317369999999898</v>
      </c>
      <c r="S3077">
        <v>2.9720759999999999</v>
      </c>
      <c r="T3077">
        <v>-0.51082429999999901</v>
      </c>
      <c r="U3077">
        <v>-1.484756</v>
      </c>
      <c r="V3077">
        <v>-0.29568030000000001</v>
      </c>
      <c r="W3077">
        <v>-7.4963080000000001E-2</v>
      </c>
      <c r="X3077">
        <v>0.9523412</v>
      </c>
      <c r="Y3077">
        <v>-0.67946589999999996</v>
      </c>
      <c r="Z3077">
        <v>0.14216599999999999</v>
      </c>
      <c r="AA3077">
        <v>0.71980189999999999</v>
      </c>
      <c r="AB3077">
        <v>12</v>
      </c>
      <c r="AC3077">
        <v>6.5010999999999504</v>
      </c>
      <c r="AD3077">
        <v>-1.125440863043</v>
      </c>
      <c r="AE3077">
        <v>-3.1659999999999902</v>
      </c>
      <c r="AF3077">
        <v>-4.9217974679866403</v>
      </c>
      <c r="AG3077">
        <v>-1.125440863043</v>
      </c>
      <c r="AH3077">
        <v>5.06159010770262</v>
      </c>
      <c r="AI3077">
        <v>99.057346236900301</v>
      </c>
      <c r="AJ3077">
        <v>134.19776681155801</v>
      </c>
      <c r="AK3077">
        <v>7.1491539268978999</v>
      </c>
      <c r="AL3077">
        <v>94.299100834108899</v>
      </c>
      <c r="AM3077">
        <v>107.248381097468</v>
      </c>
      <c r="AN3077">
        <v>1.0000000321942999</v>
      </c>
    </row>
    <row r="3078" spans="1:40" x14ac:dyDescent="0.25">
      <c r="A3078" t="str">
        <f>"20190303154827572"</f>
        <v>20190303154827572</v>
      </c>
      <c r="B3078" t="str">
        <f>"1551599307563875"</f>
        <v>1551599307563875</v>
      </c>
      <c r="C3078" t="s">
        <v>40</v>
      </c>
      <c r="D3078">
        <v>5.0114700000000001</v>
      </c>
      <c r="E3078">
        <v>0.31329790000000002</v>
      </c>
      <c r="F3078" t="s">
        <v>47</v>
      </c>
      <c r="G3078">
        <v>-482.19909999999999</v>
      </c>
      <c r="H3078" s="1">
        <v>2.1245850000000002E-6</v>
      </c>
      <c r="I3078">
        <v>218.83539999999999</v>
      </c>
      <c r="J3078">
        <v>-488.7072</v>
      </c>
      <c r="K3078">
        <v>1.1252879999999901</v>
      </c>
      <c r="L3078">
        <v>221.95249999999999</v>
      </c>
      <c r="M3078">
        <v>0.34682269999999998</v>
      </c>
      <c r="N3078">
        <v>-2.6576809999999999E-2</v>
      </c>
      <c r="O3078">
        <v>-0.9375542</v>
      </c>
      <c r="P3078">
        <v>0.60858889999999999</v>
      </c>
      <c r="Q3078">
        <v>-9.8249370000000003E-2</v>
      </c>
      <c r="R3078">
        <v>-0.78737959999999996</v>
      </c>
      <c r="S3078">
        <v>2.9770509999999999</v>
      </c>
      <c r="T3078">
        <v>-0.5109882</v>
      </c>
      <c r="U3078">
        <v>-1.4631809999999901</v>
      </c>
      <c r="V3078">
        <v>-0.29712729999999998</v>
      </c>
      <c r="W3078">
        <v>-7.4913729999999998E-2</v>
      </c>
      <c r="X3078">
        <v>0.95189460000000004</v>
      </c>
      <c r="Y3078">
        <v>-0.67818559999999894</v>
      </c>
      <c r="Z3078">
        <v>0.1427136</v>
      </c>
      <c r="AA3078">
        <v>0.72090019999999999</v>
      </c>
      <c r="AB3078">
        <v>12</v>
      </c>
      <c r="AC3078">
        <v>6.5081000000000104</v>
      </c>
      <c r="AD3078">
        <v>-1.1252858754149999</v>
      </c>
      <c r="AE3078">
        <v>-3.11709999999999</v>
      </c>
      <c r="AF3078">
        <v>-4.90315509884603</v>
      </c>
      <c r="AG3078">
        <v>-1.1252858754149999</v>
      </c>
      <c r="AH3078">
        <v>5.0584269544451104</v>
      </c>
      <c r="AI3078">
        <v>99.075404350748499</v>
      </c>
      <c r="AJ3078">
        <v>134.10699911131701</v>
      </c>
      <c r="AK3078">
        <v>7.13406486361073</v>
      </c>
      <c r="AL3078">
        <v>94.296265390936497</v>
      </c>
      <c r="AM3078">
        <v>107.335391456349</v>
      </c>
      <c r="AN3078">
        <v>1.00000001442848</v>
      </c>
    </row>
    <row r="3079" spans="1:40" x14ac:dyDescent="0.25">
      <c r="A3079" t="str">
        <f>"20190303154827595"</f>
        <v>20190303154827595</v>
      </c>
      <c r="B3079" t="str">
        <f>"1551599307583395"</f>
        <v>1551599307583395</v>
      </c>
      <c r="C3079" t="s">
        <v>40</v>
      </c>
      <c r="D3079">
        <v>5.0236789999999996</v>
      </c>
      <c r="E3079">
        <v>0.32672410000000002</v>
      </c>
      <c r="F3079" t="s">
        <v>47</v>
      </c>
      <c r="G3079">
        <v>-482.11599999999999</v>
      </c>
      <c r="H3079" s="1">
        <v>2.1073659999999998E-6</v>
      </c>
      <c r="I3079">
        <v>218.77860000000001</v>
      </c>
      <c r="J3079">
        <v>-488.6592</v>
      </c>
      <c r="K3079">
        <v>1.125157</v>
      </c>
      <c r="L3079">
        <v>221.85079999999999</v>
      </c>
      <c r="M3079">
        <v>0.35421550000000002</v>
      </c>
      <c r="N3079">
        <v>-2.643328E-2</v>
      </c>
      <c r="O3079">
        <v>-0.93479020000000002</v>
      </c>
      <c r="P3079">
        <v>0.61523329999999998</v>
      </c>
      <c r="Q3079">
        <v>-9.8422830000000003E-2</v>
      </c>
      <c r="R3079">
        <v>-0.78217709999999996</v>
      </c>
      <c r="S3079">
        <v>2.9865110000000001</v>
      </c>
      <c r="T3079">
        <v>-0.50987459999999996</v>
      </c>
      <c r="U3079">
        <v>-1.438126</v>
      </c>
      <c r="V3079">
        <v>-0.29769810000000002</v>
      </c>
      <c r="W3079">
        <v>-7.514287E-2</v>
      </c>
      <c r="X3079">
        <v>0.95169820000000005</v>
      </c>
      <c r="Y3079">
        <v>-0.67824010000000001</v>
      </c>
      <c r="Z3079">
        <v>0.1427754</v>
      </c>
      <c r="AA3079">
        <v>0.72083680000000006</v>
      </c>
      <c r="AB3079">
        <v>12</v>
      </c>
      <c r="AC3079">
        <v>6.5432000000000103</v>
      </c>
      <c r="AD3079">
        <v>-1.125154892634</v>
      </c>
      <c r="AE3079">
        <v>-3.0721999999999801</v>
      </c>
      <c r="AF3079">
        <v>-4.9110690465926901</v>
      </c>
      <c r="AG3079">
        <v>-1.125154892634</v>
      </c>
      <c r="AH3079">
        <v>5.0685762171693796</v>
      </c>
      <c r="AI3079">
        <v>99.058186115081199</v>
      </c>
      <c r="AJ3079">
        <v>134.095784803745</v>
      </c>
      <c r="AK3079">
        <v>7.1466801790813497</v>
      </c>
      <c r="AL3079">
        <v>94.309431158474993</v>
      </c>
      <c r="AM3079">
        <v>107.370061334768</v>
      </c>
      <c r="AN3079">
        <v>1.00000003676934</v>
      </c>
    </row>
    <row r="3080" spans="1:40" x14ac:dyDescent="0.25">
      <c r="A3080" t="str">
        <f>"20190303154827617"</f>
        <v>20190303154827617</v>
      </c>
      <c r="B3080" t="str">
        <f>"1551599307613651"</f>
        <v>1551599307613651</v>
      </c>
      <c r="C3080" t="s">
        <v>40</v>
      </c>
      <c r="D3080">
        <v>4.9603419999999998</v>
      </c>
      <c r="E3080">
        <v>0.32750750000000001</v>
      </c>
      <c r="F3080" t="s">
        <v>47</v>
      </c>
      <c r="G3080">
        <v>-482.15280000000001</v>
      </c>
      <c r="H3080" s="1">
        <v>2.1038609999999999E-6</v>
      </c>
      <c r="I3080">
        <v>218.54900000000001</v>
      </c>
      <c r="J3080">
        <v>-488.61059999999998</v>
      </c>
      <c r="K3080">
        <v>1.12504</v>
      </c>
      <c r="L3080">
        <v>221.7499</v>
      </c>
      <c r="M3080">
        <v>0.36158679999999999</v>
      </c>
      <c r="N3080">
        <v>-2.6288780000000001E-2</v>
      </c>
      <c r="O3080">
        <v>-0.93196800000000002</v>
      </c>
      <c r="P3080">
        <v>0.62281039999999999</v>
      </c>
      <c r="Q3080">
        <v>-9.9606130000000001E-2</v>
      </c>
      <c r="R3080">
        <v>-0.776007</v>
      </c>
      <c r="S3080">
        <v>2.9149780000000001</v>
      </c>
      <c r="T3080">
        <v>-0.5040888</v>
      </c>
      <c r="U3080">
        <v>-1.479263</v>
      </c>
      <c r="V3080">
        <v>-0.29949819999999999</v>
      </c>
      <c r="W3080">
        <v>-7.6418120000000006E-2</v>
      </c>
      <c r="X3080">
        <v>0.95103159999999998</v>
      </c>
      <c r="Y3080">
        <v>-0.65725919999999904</v>
      </c>
      <c r="Z3080">
        <v>0.14239460000000001</v>
      </c>
      <c r="AA3080">
        <v>0.74009049999999998</v>
      </c>
      <c r="AB3080">
        <v>12</v>
      </c>
      <c r="AC3080">
        <v>6.4577999999999598</v>
      </c>
      <c r="AD3080">
        <v>-1.125037896139</v>
      </c>
      <c r="AE3080">
        <v>-3.2008999999999901</v>
      </c>
      <c r="AF3080">
        <v>-4.7470790046051397</v>
      </c>
      <c r="AG3080">
        <v>-1.125037896139</v>
      </c>
      <c r="AH3080">
        <v>5.1934921520286501</v>
      </c>
      <c r="AI3080">
        <v>99.0843788015885</v>
      </c>
      <c r="AJ3080">
        <v>132.42867737307299</v>
      </c>
      <c r="AK3080">
        <v>7.1255056014920797</v>
      </c>
      <c r="AL3080">
        <v>94.382708460687397</v>
      </c>
      <c r="AM3080">
        <v>107.48022052047099</v>
      </c>
      <c r="AN3080">
        <v>1.00000000253306</v>
      </c>
    </row>
    <row r="3081" spans="1:40" x14ac:dyDescent="0.25">
      <c r="A3081" t="str">
        <f>"20190303154827641"</f>
        <v>20190303154827641</v>
      </c>
      <c r="B3081" t="str">
        <f>"1551599307634147"</f>
        <v>1551599307634147</v>
      </c>
      <c r="C3081" t="s">
        <v>40</v>
      </c>
      <c r="D3081">
        <v>5.0439550000000004</v>
      </c>
      <c r="E3081">
        <v>0.32937490000000003</v>
      </c>
      <c r="F3081" t="s">
        <v>47</v>
      </c>
      <c r="G3081">
        <v>-482.07749999999999</v>
      </c>
      <c r="H3081" s="1">
        <v>2.0884280000000001E-6</v>
      </c>
      <c r="I3081">
        <v>218.50139999999999</v>
      </c>
      <c r="J3081">
        <v>-488.5598</v>
      </c>
      <c r="K3081">
        <v>1.1248579999999999</v>
      </c>
      <c r="L3081">
        <v>221.6465</v>
      </c>
      <c r="M3081">
        <v>0.3688535</v>
      </c>
      <c r="N3081">
        <v>-2.6755270000000001E-2</v>
      </c>
      <c r="O3081">
        <v>-0.92910239999999999</v>
      </c>
      <c r="P3081">
        <v>0.62989659999999903</v>
      </c>
      <c r="Q3081">
        <v>-0.1010026</v>
      </c>
      <c r="R3081">
        <v>-0.77008369999999904</v>
      </c>
      <c r="S3081">
        <v>2.9245000000000001</v>
      </c>
      <c r="T3081">
        <v>-0.50362059999999997</v>
      </c>
      <c r="U3081">
        <v>-1.4541470000000001</v>
      </c>
      <c r="V3081">
        <v>-0.30090329999999998</v>
      </c>
      <c r="W3081">
        <v>-7.7155730000000006E-2</v>
      </c>
      <c r="X3081">
        <v>0.95052840000000005</v>
      </c>
      <c r="Y3081">
        <v>-0.65748300000000004</v>
      </c>
      <c r="Z3081">
        <v>0.1421627</v>
      </c>
      <c r="AA3081">
        <v>0.73993640000000005</v>
      </c>
      <c r="AB3081">
        <v>12</v>
      </c>
      <c r="AC3081">
        <v>6.4823000000000004</v>
      </c>
      <c r="AD3081">
        <v>-1.1248559115719901</v>
      </c>
      <c r="AE3081">
        <v>-3.14510000000001</v>
      </c>
      <c r="AF3081">
        <v>-4.7486373067875904</v>
      </c>
      <c r="AG3081">
        <v>-1.1248559115719901</v>
      </c>
      <c r="AH3081">
        <v>5.1885752344205898</v>
      </c>
      <c r="AI3081">
        <v>99.0862055521781</v>
      </c>
      <c r="AJ3081">
        <v>132.46507005615001</v>
      </c>
      <c r="AK3081">
        <v>7.1229326865032299</v>
      </c>
      <c r="AL3081">
        <v>94.425095466779297</v>
      </c>
      <c r="AM3081">
        <v>107.56592483299001</v>
      </c>
      <c r="AN3081">
        <v>1.00000002091464</v>
      </c>
    </row>
    <row r="3082" spans="1:40" x14ac:dyDescent="0.25">
      <c r="A3082" t="str">
        <f>"20190303154827664"</f>
        <v>20190303154827664</v>
      </c>
      <c r="B3082" t="str">
        <f>"1551599307653668"</f>
        <v>1551599307653668</v>
      </c>
      <c r="C3082" t="s">
        <v>40</v>
      </c>
      <c r="D3082">
        <v>4.9705009999999996</v>
      </c>
      <c r="E3082">
        <v>0.33030379999999998</v>
      </c>
      <c r="F3082" t="s">
        <v>47</v>
      </c>
      <c r="G3082">
        <v>-482.0926</v>
      </c>
      <c r="H3082" s="1">
        <v>2.089836E-6</v>
      </c>
      <c r="I3082">
        <v>218.4727</v>
      </c>
      <c r="J3082">
        <v>-488.51339999999999</v>
      </c>
      <c r="K3082">
        <v>1.1246799999999999</v>
      </c>
      <c r="L3082">
        <v>221.5539</v>
      </c>
      <c r="M3082">
        <v>0.37515219999999999</v>
      </c>
      <c r="N3082">
        <v>-2.7659550000000001E-2</v>
      </c>
      <c r="O3082">
        <v>-0.92655050000000005</v>
      </c>
      <c r="P3082">
        <v>0.63610059999999902</v>
      </c>
      <c r="Q3082">
        <v>-0.1009873</v>
      </c>
      <c r="R3082">
        <v>-0.76496929999999996</v>
      </c>
      <c r="S3082">
        <v>2.925751</v>
      </c>
      <c r="T3082">
        <v>-0.508884</v>
      </c>
      <c r="U3082">
        <v>-1.4358219999999999</v>
      </c>
      <c r="V3082">
        <v>-0.30220249999999999</v>
      </c>
      <c r="W3082">
        <v>-7.5988769999999997E-2</v>
      </c>
      <c r="X3082">
        <v>0.9502102</v>
      </c>
      <c r="Y3082">
        <v>-0.65602109999999902</v>
      </c>
      <c r="Z3082">
        <v>0.1435197</v>
      </c>
      <c r="AA3082">
        <v>0.7409713</v>
      </c>
      <c r="AB3082">
        <v>11</v>
      </c>
      <c r="AC3082">
        <v>6.4207999999999803</v>
      </c>
      <c r="AD3082">
        <v>-1.1246779101640001</v>
      </c>
      <c r="AE3082">
        <v>-3.0811999999999902</v>
      </c>
      <c r="AF3082">
        <v>-4.67843702233007</v>
      </c>
      <c r="AG3082">
        <v>-1.1246779101640001</v>
      </c>
      <c r="AH3082">
        <v>5.1375554064102102</v>
      </c>
      <c r="AI3082">
        <v>99.194050292440295</v>
      </c>
      <c r="AJ3082">
        <v>132.32208551950799</v>
      </c>
      <c r="AK3082">
        <v>7.0389735705892704</v>
      </c>
      <c r="AL3082">
        <v>94.358036641353905</v>
      </c>
      <c r="AM3082">
        <v>107.642616545135</v>
      </c>
      <c r="AN3082">
        <v>1.0000000341782</v>
      </c>
    </row>
    <row r="3083" spans="1:40" x14ac:dyDescent="0.25">
      <c r="A3083" t="str">
        <f>"20190303154827686"</f>
        <v>20190303154827686</v>
      </c>
      <c r="B3083" t="str">
        <f>"1551599307683923"</f>
        <v>1551599307683923</v>
      </c>
      <c r="C3083" t="s">
        <v>40</v>
      </c>
      <c r="D3083">
        <v>4.9640589999999998</v>
      </c>
      <c r="E3083">
        <v>0.32145859999999998</v>
      </c>
      <c r="F3083" t="s">
        <v>47</v>
      </c>
      <c r="G3083">
        <v>-482.01549999999997</v>
      </c>
      <c r="H3083" s="1">
        <v>2.0735870000000002E-6</v>
      </c>
      <c r="I3083">
        <v>218.41380000000001</v>
      </c>
      <c r="J3083">
        <v>-488.4708</v>
      </c>
      <c r="K3083">
        <v>1.124593</v>
      </c>
      <c r="L3083">
        <v>221.46969999999999</v>
      </c>
      <c r="M3083">
        <v>0.3809265</v>
      </c>
      <c r="N3083">
        <v>-2.8393379999999999E-2</v>
      </c>
      <c r="O3083">
        <v>-0.92416929999999997</v>
      </c>
      <c r="P3083">
        <v>0.64223719999999995</v>
      </c>
      <c r="Q3083">
        <v>-9.9481769999999997E-2</v>
      </c>
      <c r="R3083">
        <v>-0.76002289999999995</v>
      </c>
      <c r="S3083">
        <v>2.9318849999999999</v>
      </c>
      <c r="T3083">
        <v>-0.50745759999999995</v>
      </c>
      <c r="U3083">
        <v>-1.4168400000000001</v>
      </c>
      <c r="V3083">
        <v>-0.30388540000000003</v>
      </c>
      <c r="W3083">
        <v>-7.3625060000000006E-2</v>
      </c>
      <c r="X3083">
        <v>0.94985949999999997</v>
      </c>
      <c r="Y3083">
        <v>-0.65591350000000004</v>
      </c>
      <c r="Z3083">
        <v>0.1427301</v>
      </c>
      <c r="AA3083">
        <v>0.74121899999999996</v>
      </c>
      <c r="AB3083">
        <v>10</v>
      </c>
      <c r="AC3083">
        <v>6.4553000000000198</v>
      </c>
      <c r="AD3083">
        <v>-1.1245909264129901</v>
      </c>
      <c r="AE3083">
        <v>-3.0558999999999799</v>
      </c>
      <c r="AF3083">
        <v>-4.6874351449458702</v>
      </c>
      <c r="AG3083">
        <v>-1.1245909264129901</v>
      </c>
      <c r="AH3083">
        <v>5.1574236356805496</v>
      </c>
      <c r="AI3083">
        <v>99.166442760560102</v>
      </c>
      <c r="AJ3083">
        <v>132.26680408862401</v>
      </c>
      <c r="AK3083">
        <v>7.0594455552628697</v>
      </c>
      <c r="AL3083">
        <v>94.222225496047201</v>
      </c>
      <c r="AM3083">
        <v>107.74086103647601</v>
      </c>
      <c r="AN3083">
        <v>1.0000000277667001</v>
      </c>
    </row>
    <row r="3084" spans="1:40" x14ac:dyDescent="0.25">
      <c r="A3084" t="str">
        <f>"20190303154827709"</f>
        <v>20190303154827709</v>
      </c>
      <c r="B3084" t="str">
        <f>"1551599307703442"</f>
        <v>1551599307703442</v>
      </c>
      <c r="C3084" t="s">
        <v>40</v>
      </c>
      <c r="D3084">
        <v>4.9264780000000004</v>
      </c>
      <c r="E3084">
        <v>0.3220461</v>
      </c>
      <c r="F3084" t="s">
        <v>47</v>
      </c>
      <c r="G3084">
        <v>-480.93779999999998</v>
      </c>
      <c r="H3084" s="1">
        <v>1.8677219999999999E-6</v>
      </c>
      <c r="I3084">
        <v>218.07759999999999</v>
      </c>
      <c r="J3084">
        <v>-488.42750000000001</v>
      </c>
      <c r="K3084">
        <v>1.1245940000000001</v>
      </c>
      <c r="L3084">
        <v>221.38589999999999</v>
      </c>
      <c r="M3084">
        <v>0.38707360000000002</v>
      </c>
      <c r="N3084">
        <v>-2.8570999999999999E-2</v>
      </c>
      <c r="O3084">
        <v>-0.92160609999999998</v>
      </c>
      <c r="P3084">
        <v>0.64948450000000002</v>
      </c>
      <c r="Q3084">
        <v>-9.6155379999999999E-2</v>
      </c>
      <c r="R3084">
        <v>-0.75427060000000001</v>
      </c>
      <c r="S3084">
        <v>3.0019840000000002</v>
      </c>
      <c r="T3084">
        <v>-0.44815949999999999</v>
      </c>
      <c r="U3084">
        <v>-1.351807</v>
      </c>
      <c r="V3084">
        <v>-0.306484599999999</v>
      </c>
      <c r="W3084">
        <v>-7.0168499999999995E-2</v>
      </c>
      <c r="X3084">
        <v>0.94928579999999996</v>
      </c>
      <c r="Y3084">
        <v>-0.67345859999999902</v>
      </c>
      <c r="Z3084">
        <v>0.1229918</v>
      </c>
      <c r="AA3084">
        <v>0.7289215</v>
      </c>
      <c r="AB3084">
        <v>10</v>
      </c>
      <c r="AC3084">
        <v>7.4897000000000196</v>
      </c>
      <c r="AD3084">
        <v>-1.1245921322779999</v>
      </c>
      <c r="AE3084">
        <v>-3.3083</v>
      </c>
      <c r="AF3084">
        <v>-5.5201565574313296</v>
      </c>
      <c r="AG3084">
        <v>-1.1245921322779999</v>
      </c>
      <c r="AH3084">
        <v>5.8402678287919603</v>
      </c>
      <c r="AI3084">
        <v>97.966261704780806</v>
      </c>
      <c r="AJ3084">
        <v>133.38596056456299</v>
      </c>
      <c r="AK3084">
        <v>8.1145279711487905</v>
      </c>
      <c r="AL3084">
        <v>94.023665438326702</v>
      </c>
      <c r="AM3084">
        <v>107.893093584336</v>
      </c>
      <c r="AN3084">
        <v>0.99999997925552397</v>
      </c>
    </row>
    <row r="3085" spans="1:40" x14ac:dyDescent="0.25">
      <c r="A3085" t="str">
        <f>"20190303154827729"</f>
        <v>20190303154827729</v>
      </c>
      <c r="B3085" t="str">
        <f>"1551599307723939"</f>
        <v>1551599307723939</v>
      </c>
      <c r="C3085" t="s">
        <v>40</v>
      </c>
      <c r="D3085">
        <v>4.9544969999999999</v>
      </c>
      <c r="E3085">
        <v>0.3233413</v>
      </c>
      <c r="F3085" t="s">
        <v>47</v>
      </c>
      <c r="G3085">
        <v>-480.56549999999999</v>
      </c>
      <c r="H3085" s="1">
        <v>1.7947799999999901E-6</v>
      </c>
      <c r="I3085">
        <v>217.9194</v>
      </c>
      <c r="J3085">
        <v>-488.38490000000002</v>
      </c>
      <c r="K3085">
        <v>1.124674</v>
      </c>
      <c r="L3085">
        <v>221.30529999999999</v>
      </c>
      <c r="M3085">
        <v>0.39332929999999999</v>
      </c>
      <c r="N3085">
        <v>-2.8115319999999999E-2</v>
      </c>
      <c r="O3085">
        <v>-0.9189678</v>
      </c>
      <c r="P3085">
        <v>0.65672549999999996</v>
      </c>
      <c r="Q3085">
        <v>-9.3013570000000004E-2</v>
      </c>
      <c r="R3085">
        <v>-0.74837189999999998</v>
      </c>
      <c r="S3085">
        <v>3.0126040000000001</v>
      </c>
      <c r="T3085">
        <v>-0.43092819999999998</v>
      </c>
      <c r="U3085">
        <v>-1.3282929999999999</v>
      </c>
      <c r="V3085">
        <v>-0.30899359999999998</v>
      </c>
      <c r="W3085">
        <v>-6.7666870000000004E-2</v>
      </c>
      <c r="X3085">
        <v>0.94865390000000005</v>
      </c>
      <c r="Y3085">
        <v>-0.674813</v>
      </c>
      <c r="Z3085">
        <v>0.11801</v>
      </c>
      <c r="AA3085">
        <v>0.72849240000000004</v>
      </c>
      <c r="AB3085">
        <v>10</v>
      </c>
      <c r="AC3085">
        <v>7.8194000000000301</v>
      </c>
      <c r="AD3085">
        <v>-1.12467220522</v>
      </c>
      <c r="AE3085">
        <v>-3.3858999999999901</v>
      </c>
      <c r="AF3085">
        <v>-5.75604193199666</v>
      </c>
      <c r="AG3085">
        <v>-1.12467220522</v>
      </c>
      <c r="AH3085">
        <v>6.0835963961373798</v>
      </c>
      <c r="AI3085">
        <v>97.648365247026106</v>
      </c>
      <c r="AJ3085">
        <v>133.41526389549199</v>
      </c>
      <c r="AK3085">
        <v>8.4502693095068899</v>
      </c>
      <c r="AL3085">
        <v>93.879990727914802</v>
      </c>
      <c r="AM3085">
        <v>108.041359212917</v>
      </c>
      <c r="AN3085">
        <v>1.0000000360608801</v>
      </c>
    </row>
    <row r="3086" spans="1:40" x14ac:dyDescent="0.25">
      <c r="A3086" t="str">
        <f>"20190303154827751"</f>
        <v>20190303154827751</v>
      </c>
      <c r="B3086" t="str">
        <f>"1551599307743459"</f>
        <v>1551599307743459</v>
      </c>
      <c r="C3086" t="s">
        <v>40</v>
      </c>
      <c r="D3086">
        <v>4.7340790000000004</v>
      </c>
      <c r="E3086">
        <v>0.32241839999999999</v>
      </c>
      <c r="F3086" t="s">
        <v>47</v>
      </c>
      <c r="G3086">
        <v>-480.27030000000002</v>
      </c>
      <c r="H3086" s="1">
        <v>1.736822E-6</v>
      </c>
      <c r="I3086">
        <v>217.79150000000001</v>
      </c>
      <c r="J3086">
        <v>-488.34160000000003</v>
      </c>
      <c r="K3086">
        <v>1.124708</v>
      </c>
      <c r="L3086">
        <v>221.22559999999999</v>
      </c>
      <c r="M3086">
        <v>0.3996903</v>
      </c>
      <c r="N3086">
        <v>-2.739337E-2</v>
      </c>
      <c r="O3086">
        <v>-0.91624099999999997</v>
      </c>
      <c r="P3086">
        <v>0.66388800000000003</v>
      </c>
      <c r="Q3086">
        <v>-9.0473670000000006E-2</v>
      </c>
      <c r="R3086">
        <v>-0.74233930000000004</v>
      </c>
      <c r="S3086">
        <v>3.019104</v>
      </c>
      <c r="T3086">
        <v>-0.41844579999999998</v>
      </c>
      <c r="U3086">
        <v>-1.3073429999999999</v>
      </c>
      <c r="V3086">
        <v>-0.31138080000000001</v>
      </c>
      <c r="W3086">
        <v>-6.6019069999999999E-2</v>
      </c>
      <c r="X3086">
        <v>0.94798919999999998</v>
      </c>
      <c r="Y3086">
        <v>-0.67497719999999894</v>
      </c>
      <c r="Z3086">
        <v>0.114782</v>
      </c>
      <c r="AA3086">
        <v>0.72885580000000005</v>
      </c>
      <c r="AB3086">
        <v>10</v>
      </c>
      <c r="AC3086">
        <v>8.0713000000000008</v>
      </c>
      <c r="AD3086">
        <v>-1.124706263178</v>
      </c>
      <c r="AE3086">
        <v>-3.4340999999999702</v>
      </c>
      <c r="AF3086">
        <v>-5.92748493406188</v>
      </c>
      <c r="AG3086">
        <v>-1.124706263178</v>
      </c>
      <c r="AH3086">
        <v>6.2717599374398603</v>
      </c>
      <c r="AI3086">
        <v>97.425570569070899</v>
      </c>
      <c r="AJ3086">
        <v>133.38348432519501</v>
      </c>
      <c r="AK3086">
        <v>8.7025866577034492</v>
      </c>
      <c r="AL3086">
        <v>93.785367164185502</v>
      </c>
      <c r="AM3086">
        <v>108.183516015362</v>
      </c>
      <c r="AN3086">
        <v>1.00000002176447</v>
      </c>
    </row>
    <row r="3087" spans="1:40" x14ac:dyDescent="0.25">
      <c r="A3087" t="str">
        <f>"20190303154827774"</f>
        <v>20190303154827774</v>
      </c>
      <c r="B3087" t="str">
        <f>"1551599307763955"</f>
        <v>1551599307763955</v>
      </c>
      <c r="C3087" t="s">
        <v>40</v>
      </c>
      <c r="D3087">
        <v>5.0847749999999996</v>
      </c>
      <c r="E3087">
        <v>0.32265949999999999</v>
      </c>
      <c r="F3087" t="s">
        <v>47</v>
      </c>
      <c r="G3087">
        <v>-479.87360000000001</v>
      </c>
      <c r="H3087" s="1">
        <v>1.7134960000000001E-6</v>
      </c>
      <c r="I3087">
        <v>217.6721</v>
      </c>
      <c r="J3087">
        <v>-488.2971</v>
      </c>
      <c r="K3087">
        <v>1.1246069999999999</v>
      </c>
      <c r="L3087">
        <v>221.14590000000001</v>
      </c>
      <c r="M3087">
        <v>0.4061594</v>
      </c>
      <c r="N3087">
        <v>-2.6683140000000001E-2</v>
      </c>
      <c r="O3087">
        <v>-0.91341269999999997</v>
      </c>
      <c r="P3087">
        <v>0.67125480000000004</v>
      </c>
      <c r="Q3087">
        <v>-8.846453E-2</v>
      </c>
      <c r="R3087">
        <v>-0.73592899999999895</v>
      </c>
      <c r="S3087">
        <v>3.0382389999999999</v>
      </c>
      <c r="T3087">
        <v>-0.40353519999999998</v>
      </c>
      <c r="U3087">
        <v>-1.274948</v>
      </c>
      <c r="V3087">
        <v>-0.31402449999999998</v>
      </c>
      <c r="W3087">
        <v>-6.4764039999999995E-2</v>
      </c>
      <c r="X3087">
        <v>0.94720340000000003</v>
      </c>
      <c r="Y3087">
        <v>-0.67856030000000001</v>
      </c>
      <c r="Z3087">
        <v>0.1106219</v>
      </c>
      <c r="AA3087">
        <v>0.72616709999999995</v>
      </c>
      <c r="AB3087">
        <v>10</v>
      </c>
      <c r="AC3087">
        <v>8.42349999999999</v>
      </c>
      <c r="AD3087">
        <v>-1.1246052865039999</v>
      </c>
      <c r="AE3087">
        <v>-3.47380000000001</v>
      </c>
      <c r="AF3087">
        <v>-6.1911390979323802</v>
      </c>
      <c r="AG3087">
        <v>-1.1246052865039999</v>
      </c>
      <c r="AH3087">
        <v>6.4976617997363704</v>
      </c>
      <c r="AI3087">
        <v>97.142213175563001</v>
      </c>
      <c r="AJ3087">
        <v>133.61617797951399</v>
      </c>
      <c r="AK3087">
        <v>9.0451395370183807</v>
      </c>
      <c r="AL3087">
        <v>93.7133049936904</v>
      </c>
      <c r="AM3087">
        <v>108.341807065921</v>
      </c>
      <c r="AN3087">
        <v>1.00000002422446</v>
      </c>
    </row>
    <row r="3088" spans="1:40" x14ac:dyDescent="0.25">
      <c r="A3088" t="str">
        <f>"20190303154827796"</f>
        <v>20190303154827796</v>
      </c>
      <c r="B3088" t="str">
        <f>"1551599307794211"</f>
        <v>1551599307794211</v>
      </c>
      <c r="C3088" t="s">
        <v>40</v>
      </c>
      <c r="D3088">
        <v>4.438205</v>
      </c>
      <c r="E3088">
        <v>0.31979249999999998</v>
      </c>
      <c r="F3088" t="s">
        <v>47</v>
      </c>
      <c r="G3088">
        <v>-479.86630000000002</v>
      </c>
      <c r="H3088" s="1">
        <v>1.7179230000000001E-6</v>
      </c>
      <c r="I3088">
        <v>217.69919999999999</v>
      </c>
      <c r="J3088">
        <v>-488.25310000000002</v>
      </c>
      <c r="K3088">
        <v>1.124371</v>
      </c>
      <c r="L3088">
        <v>221.0684</v>
      </c>
      <c r="M3088">
        <v>0.41256739999999997</v>
      </c>
      <c r="N3088">
        <v>-2.6004960000000001E-2</v>
      </c>
      <c r="O3088">
        <v>-0.91055580000000003</v>
      </c>
      <c r="P3088">
        <v>0.67810579999999998</v>
      </c>
      <c r="Q3088">
        <v>-8.6990999999999999E-2</v>
      </c>
      <c r="R3088">
        <v>-0.72979799999999995</v>
      </c>
      <c r="S3088">
        <v>3.0490719999999998</v>
      </c>
      <c r="T3088">
        <v>-0.40672219999999998</v>
      </c>
      <c r="U3088">
        <v>-1.2465059999999999</v>
      </c>
      <c r="V3088">
        <v>-0.31617610000000002</v>
      </c>
      <c r="W3088">
        <v>-6.3867820000000006E-2</v>
      </c>
      <c r="X3088">
        <v>0.94654819999999995</v>
      </c>
      <c r="Y3088">
        <v>-0.67997209999999997</v>
      </c>
      <c r="Z3088">
        <v>0.1123562</v>
      </c>
      <c r="AA3088">
        <v>0.72457850000000001</v>
      </c>
      <c r="AB3088">
        <v>10</v>
      </c>
      <c r="AC3088">
        <v>8.3867999999999903</v>
      </c>
      <c r="AD3088">
        <v>-1.1243692820769999</v>
      </c>
      <c r="AE3088">
        <v>-3.3692000000000002</v>
      </c>
      <c r="AF3088">
        <v>-6.1535108885574497</v>
      </c>
      <c r="AG3088">
        <v>-1.1243692820769999</v>
      </c>
      <c r="AH3088">
        <v>6.4306546545716099</v>
      </c>
      <c r="AI3088">
        <v>97.199834186968801</v>
      </c>
      <c r="AJ3088">
        <v>133.73836675502099</v>
      </c>
      <c r="AK3088">
        <v>8.9712441625694801</v>
      </c>
      <c r="AL3088">
        <v>93.661849070486099</v>
      </c>
      <c r="AM3088">
        <v>108.470898697427</v>
      </c>
      <c r="AN3088">
        <v>0.99999995978300005</v>
      </c>
    </row>
    <row r="3089" spans="1:40" x14ac:dyDescent="0.25">
      <c r="A3089" t="str">
        <f>"20190303154827820"</f>
        <v>20190303154827820</v>
      </c>
      <c r="B3089" t="str">
        <f>"1551599307813731"</f>
        <v>1551599307813731</v>
      </c>
      <c r="C3089" t="s">
        <v>40</v>
      </c>
      <c r="D3089">
        <v>5.2138730000000004</v>
      </c>
      <c r="E3089">
        <v>0.26669700000000002</v>
      </c>
      <c r="F3089" t="s">
        <v>47</v>
      </c>
      <c r="G3089">
        <v>-479.85449999999997</v>
      </c>
      <c r="H3089" s="1">
        <v>1.726939E-6</v>
      </c>
      <c r="I3089">
        <v>217.786</v>
      </c>
      <c r="J3089">
        <v>-488.20580000000001</v>
      </c>
      <c r="K3089">
        <v>1.1240049999999999</v>
      </c>
      <c r="L3089">
        <v>220.9862</v>
      </c>
      <c r="M3089">
        <v>0.41949619999999999</v>
      </c>
      <c r="N3089">
        <v>-2.516063E-2</v>
      </c>
      <c r="O3089">
        <v>-0.90740849999999995</v>
      </c>
      <c r="P3089">
        <v>0.68553940000000002</v>
      </c>
      <c r="Q3089">
        <v>-8.5213460000000005E-2</v>
      </c>
      <c r="R3089">
        <v>-0.72303149999999905</v>
      </c>
      <c r="S3089">
        <v>3.076965</v>
      </c>
      <c r="T3089">
        <v>-0.41192960000000001</v>
      </c>
      <c r="U3089">
        <v>-1.2025600000000001</v>
      </c>
      <c r="V3089">
        <v>-0.31860070000000001</v>
      </c>
      <c r="W3089">
        <v>-6.2745999999999996E-2</v>
      </c>
      <c r="X3089">
        <v>0.94581000000000004</v>
      </c>
      <c r="Y3089">
        <v>-0.68541079999999999</v>
      </c>
      <c r="Z3089">
        <v>0.1146426</v>
      </c>
      <c r="AA3089">
        <v>0.71907519999999903</v>
      </c>
      <c r="AB3089">
        <v>9</v>
      </c>
      <c r="AC3089">
        <v>8.3513000000000304</v>
      </c>
      <c r="AD3089">
        <v>-1.1240032730609999</v>
      </c>
      <c r="AE3089">
        <v>-3.2002000000000201</v>
      </c>
      <c r="AF3089">
        <v>-6.1405516152060198</v>
      </c>
      <c r="AG3089">
        <v>-1.1240032730609999</v>
      </c>
      <c r="AH3089">
        <v>6.3095943235471603</v>
      </c>
      <c r="AI3089">
        <v>97.275248760201507</v>
      </c>
      <c r="AJ3089">
        <v>134.22211043245599</v>
      </c>
      <c r="AK3089">
        <v>8.8758513971674695</v>
      </c>
      <c r="AL3089">
        <v>93.597444138307793</v>
      </c>
      <c r="AM3089">
        <v>108.616348593715</v>
      </c>
      <c r="AN3089">
        <v>1.0000000113282399</v>
      </c>
    </row>
    <row r="3090" spans="1:40" x14ac:dyDescent="0.25">
      <c r="A3090" t="str">
        <f>"20190303154827842"</f>
        <v>20190303154827842</v>
      </c>
      <c r="B3090" t="str">
        <f>"1551599307834227"</f>
        <v>1551599307834227</v>
      </c>
      <c r="C3090" t="s">
        <v>40</v>
      </c>
      <c r="D3090">
        <v>5.2223319999999998</v>
      </c>
      <c r="E3090">
        <v>0.27973690000000001</v>
      </c>
      <c r="F3090" t="s">
        <v>47</v>
      </c>
      <c r="G3090">
        <v>-483.21260000000001</v>
      </c>
      <c r="H3090" s="1">
        <v>2.3590650000000001E-6</v>
      </c>
      <c r="I3090">
        <v>219.70930000000001</v>
      </c>
      <c r="J3090">
        <v>-488.16419999999999</v>
      </c>
      <c r="K3090">
        <v>1.1236919999999999</v>
      </c>
      <c r="L3090">
        <v>220.91480000000001</v>
      </c>
      <c r="M3090">
        <v>0.42550280000000001</v>
      </c>
      <c r="N3090">
        <v>-2.4254419999999999E-2</v>
      </c>
      <c r="O3090">
        <v>-0.90463199999999999</v>
      </c>
      <c r="P3090">
        <v>0.69196820000000003</v>
      </c>
      <c r="Q3090">
        <v>-8.3821370000000006E-2</v>
      </c>
      <c r="R3090">
        <v>-0.71704519999999905</v>
      </c>
      <c r="S3090">
        <v>3.3722840000000001</v>
      </c>
      <c r="T3090">
        <v>-0.75913069999999905</v>
      </c>
      <c r="U3090">
        <v>-0.86236569999999901</v>
      </c>
      <c r="V3090">
        <v>-0.32073689999999999</v>
      </c>
      <c r="W3090">
        <v>-6.2111949999999999E-2</v>
      </c>
      <c r="X3090">
        <v>0.94512960000000001</v>
      </c>
      <c r="Y3090">
        <v>-0.74552669999999999</v>
      </c>
      <c r="Z3090">
        <v>0.21824089999999999</v>
      </c>
      <c r="AA3090">
        <v>0.62973089999999998</v>
      </c>
      <c r="AB3090">
        <v>9</v>
      </c>
      <c r="AC3090">
        <v>4.9515999999999796</v>
      </c>
      <c r="AD3090">
        <v>-1.1236896409349999</v>
      </c>
      <c r="AE3090">
        <v>-1.2055</v>
      </c>
      <c r="AF3090">
        <v>-3.7836471865280101</v>
      </c>
      <c r="AG3090">
        <v>-1.1236896409349999</v>
      </c>
      <c r="AH3090">
        <v>3.0501053656741401</v>
      </c>
      <c r="AI3090">
        <v>103.01881841389</v>
      </c>
      <c r="AJ3090">
        <v>141.126727135956</v>
      </c>
      <c r="AK3090">
        <v>4.9881667156361296</v>
      </c>
      <c r="AL3090">
        <v>93.561044763950505</v>
      </c>
      <c r="AM3090">
        <v>108.745033235718</v>
      </c>
      <c r="AN3090">
        <v>1.0000000070752799</v>
      </c>
    </row>
    <row r="3091" spans="1:40" x14ac:dyDescent="0.25">
      <c r="A3091" t="str">
        <f>"20190303154827863"</f>
        <v>20190303154827863</v>
      </c>
      <c r="B3091" t="str">
        <f>"1551599307853747"</f>
        <v>1551599307853747</v>
      </c>
      <c r="C3091" t="s">
        <v>40</v>
      </c>
      <c r="D3091">
        <v>5.255986</v>
      </c>
      <c r="E3091">
        <v>0.28669480000000003</v>
      </c>
      <c r="F3091" t="s">
        <v>47</v>
      </c>
      <c r="G3091">
        <v>-482.3537</v>
      </c>
      <c r="H3091" s="1">
        <v>2.1729980000000001E-6</v>
      </c>
      <c r="I3091">
        <v>219.31569999999999</v>
      </c>
      <c r="J3091">
        <v>-488.11989999999997</v>
      </c>
      <c r="K3091">
        <v>1.1234409999999999</v>
      </c>
      <c r="L3091">
        <v>220.83920000000001</v>
      </c>
      <c r="M3091">
        <v>0.43173139999999999</v>
      </c>
      <c r="N3091">
        <v>-2.31659E-2</v>
      </c>
      <c r="O3091">
        <v>-0.90170470000000003</v>
      </c>
      <c r="P3091">
        <v>0.69864569999999904</v>
      </c>
      <c r="Q3091">
        <v>-8.2545279999999999E-2</v>
      </c>
      <c r="R3091">
        <v>-0.71068980000000004</v>
      </c>
      <c r="S3091">
        <v>3.31311</v>
      </c>
      <c r="T3091">
        <v>-0.64071369999999905</v>
      </c>
      <c r="U3091">
        <v>-0.91181950000000001</v>
      </c>
      <c r="V3091">
        <v>-0.32301540000000001</v>
      </c>
      <c r="W3091">
        <v>-6.1826119999999998E-2</v>
      </c>
      <c r="X3091">
        <v>0.94437210000000005</v>
      </c>
      <c r="Y3091">
        <v>-0.73651</v>
      </c>
      <c r="Z3091">
        <v>0.18497040000000001</v>
      </c>
      <c r="AA3091">
        <v>0.65064500000000003</v>
      </c>
      <c r="AB3091">
        <v>9</v>
      </c>
      <c r="AC3091">
        <v>5.7661999999999596</v>
      </c>
      <c r="AD3091">
        <v>-1.1234388270019999</v>
      </c>
      <c r="AE3091">
        <v>-1.5235000000000101</v>
      </c>
      <c r="AF3091">
        <v>-4.3872167496290801</v>
      </c>
      <c r="AG3091">
        <v>-1.1234388270019999</v>
      </c>
      <c r="AH3091">
        <v>3.7318195845465998</v>
      </c>
      <c r="AI3091">
        <v>101.037057678506</v>
      </c>
      <c r="AJ3091">
        <v>139.615109715724</v>
      </c>
      <c r="AK3091">
        <v>5.8682419017834597</v>
      </c>
      <c r="AL3091">
        <v>93.544636256971103</v>
      </c>
      <c r="AM3091">
        <v>108.882868341882</v>
      </c>
      <c r="AN3091">
        <v>1.0000000405049101</v>
      </c>
    </row>
    <row r="3092" spans="1:40" x14ac:dyDescent="0.25">
      <c r="A3092" t="str">
        <f>"20190303154827886"</f>
        <v>20190303154827886</v>
      </c>
      <c r="B3092" t="str">
        <f>"1551599307884002"</f>
        <v>1551599307884002</v>
      </c>
      <c r="C3092" t="s">
        <v>40</v>
      </c>
      <c r="D3092">
        <v>5.2119400000000002</v>
      </c>
      <c r="E3092">
        <v>0.29271029999999998</v>
      </c>
      <c r="F3092" t="s">
        <v>47</v>
      </c>
      <c r="G3092">
        <v>-481.83969999999999</v>
      </c>
      <c r="H3092" s="1">
        <v>2.0713270000000001E-6</v>
      </c>
      <c r="I3092">
        <v>219.07560000000001</v>
      </c>
      <c r="J3092">
        <v>-488.0729</v>
      </c>
      <c r="K3092">
        <v>1.1232759999999999</v>
      </c>
      <c r="L3092">
        <v>220.7604</v>
      </c>
      <c r="M3092">
        <v>0.43806270000000003</v>
      </c>
      <c r="N3092">
        <v>-2.202341E-2</v>
      </c>
      <c r="O3092">
        <v>-0.89867459999999899</v>
      </c>
      <c r="P3092">
        <v>0.70514140000000003</v>
      </c>
      <c r="Q3092">
        <v>-8.1759230000000002E-2</v>
      </c>
      <c r="R3092">
        <v>-0.7043374</v>
      </c>
      <c r="S3092">
        <v>3.2858890000000001</v>
      </c>
      <c r="T3092">
        <v>-0.58779879999999995</v>
      </c>
      <c r="U3092">
        <v>-0.92277529999999997</v>
      </c>
      <c r="V3092">
        <v>-0.32501190000000002</v>
      </c>
      <c r="W3092">
        <v>-6.2129999999999998E-2</v>
      </c>
      <c r="X3092">
        <v>0.94366680000000003</v>
      </c>
      <c r="Y3092">
        <v>-0.73120499999999999</v>
      </c>
      <c r="Z3092">
        <v>0.1703742</v>
      </c>
      <c r="AA3092">
        <v>0.66053909999999905</v>
      </c>
      <c r="AB3092">
        <v>9</v>
      </c>
      <c r="AC3092">
        <v>6.2332000000000098</v>
      </c>
      <c r="AD3092">
        <v>-1.123273928673</v>
      </c>
      <c r="AE3092">
        <v>-1.6847999999999901</v>
      </c>
      <c r="AF3092">
        <v>-4.7218486292677504</v>
      </c>
      <c r="AG3092">
        <v>-1.123273928673</v>
      </c>
      <c r="AH3092">
        <v>4.12093344202097</v>
      </c>
      <c r="AI3092">
        <v>100.161248194359</v>
      </c>
      <c r="AJ3092">
        <v>138.88758331059799</v>
      </c>
      <c r="AK3092">
        <v>6.3670787045646797</v>
      </c>
      <c r="AL3092">
        <v>93.562081154991404</v>
      </c>
      <c r="AM3092">
        <v>109.00441631044799</v>
      </c>
      <c r="AN3092">
        <v>0.99999995073192305</v>
      </c>
    </row>
    <row r="3093" spans="1:40" x14ac:dyDescent="0.25">
      <c r="A3093" t="str">
        <f>"20190303154827929"</f>
        <v>20190303154827929</v>
      </c>
      <c r="B3093" t="str">
        <f>"1551599307924020"</f>
        <v>1551599307924020</v>
      </c>
      <c r="C3093" t="s">
        <v>40</v>
      </c>
      <c r="D3093">
        <v>4.8183339999999903</v>
      </c>
      <c r="E3093">
        <v>0.27294839999999998</v>
      </c>
      <c r="F3093" t="s">
        <v>47</v>
      </c>
      <c r="G3093">
        <v>-481.34399999999999</v>
      </c>
      <c r="H3093" s="1">
        <v>1.973336E-6</v>
      </c>
      <c r="I3093">
        <v>218.84520000000001</v>
      </c>
      <c r="J3093">
        <v>-487.98379999999997</v>
      </c>
      <c r="K3093">
        <v>1.1231230000000001</v>
      </c>
      <c r="L3093">
        <v>220.614</v>
      </c>
      <c r="M3093">
        <v>0.44959949999999999</v>
      </c>
      <c r="N3093">
        <v>-2.0154780000000001E-2</v>
      </c>
      <c r="O3093">
        <v>-0.89300279999999999</v>
      </c>
      <c r="P3093">
        <v>0.71779199999999999</v>
      </c>
      <c r="Q3093">
        <v>-8.0910109999999993E-2</v>
      </c>
      <c r="R3093">
        <v>-0.6915405</v>
      </c>
      <c r="S3093">
        <v>3.2634280000000002</v>
      </c>
      <c r="T3093">
        <v>-0.54477449999999905</v>
      </c>
      <c r="U3093">
        <v>-0.9288788</v>
      </c>
      <c r="V3093">
        <v>-0.32991579999999998</v>
      </c>
      <c r="W3093">
        <v>-6.3128149999999994E-2</v>
      </c>
      <c r="X3093">
        <v>0.94189719999999999</v>
      </c>
      <c r="Y3093">
        <v>-0.72225669999999897</v>
      </c>
      <c r="Z3093">
        <v>0.15877520000000001</v>
      </c>
      <c r="AA3093">
        <v>0.67315360000000002</v>
      </c>
      <c r="AB3093">
        <v>9</v>
      </c>
      <c r="AC3093">
        <v>6.6397999999999797</v>
      </c>
      <c r="AD3093">
        <v>-1.1231210266639999</v>
      </c>
      <c r="AE3093">
        <v>-1.7687999999999899</v>
      </c>
      <c r="AF3093">
        <v>-5.0015319239903704</v>
      </c>
      <c r="AG3093">
        <v>-1.1231210266639999</v>
      </c>
      <c r="AH3093">
        <v>4.4469188651746396</v>
      </c>
      <c r="AI3093">
        <v>99.526397026197799</v>
      </c>
      <c r="AJ3093">
        <v>138.35934081381501</v>
      </c>
      <c r="AK3093">
        <v>6.7861483789168497</v>
      </c>
      <c r="AL3093">
        <v>93.619383375670196</v>
      </c>
      <c r="AM3093">
        <v>109.30368946806399</v>
      </c>
      <c r="AN3093">
        <v>0.99999996688994996</v>
      </c>
    </row>
    <row r="3094" spans="1:40" x14ac:dyDescent="0.25">
      <c r="A3094" t="str">
        <f>"20190303154827952"</f>
        <v>20190303154827952</v>
      </c>
      <c r="B3094" t="str">
        <f>"1551599307943539"</f>
        <v>1551599307943539</v>
      </c>
      <c r="C3094" t="s">
        <v>40</v>
      </c>
      <c r="D3094">
        <v>4.9675770000000004</v>
      </c>
      <c r="E3094">
        <v>0.27294839999999998</v>
      </c>
      <c r="F3094" t="s">
        <v>47</v>
      </c>
      <c r="G3094">
        <v>-479.66239999999999</v>
      </c>
      <c r="H3094" s="1">
        <v>1.8542810000000001E-6</v>
      </c>
      <c r="I3094">
        <v>218.75110000000001</v>
      </c>
      <c r="J3094">
        <v>-487.93759999999997</v>
      </c>
      <c r="K3094">
        <v>1.1230800000000001</v>
      </c>
      <c r="L3094">
        <v>220.53980000000001</v>
      </c>
      <c r="M3094">
        <v>0.45544970000000001</v>
      </c>
      <c r="N3094">
        <v>-1.933884E-2</v>
      </c>
      <c r="O3094">
        <v>-0.8900515</v>
      </c>
      <c r="P3094">
        <v>0.72430220000000001</v>
      </c>
      <c r="Q3094">
        <v>-7.9805999999999905E-2</v>
      </c>
      <c r="R3094">
        <v>-0.68484849999999997</v>
      </c>
      <c r="S3094">
        <v>3.395508</v>
      </c>
      <c r="T3094">
        <v>-0.45828930000000001</v>
      </c>
      <c r="U3094">
        <v>-0.76016240000000002</v>
      </c>
      <c r="V3094">
        <v>-0.33258759999999998</v>
      </c>
      <c r="W3094">
        <v>-6.2833890000000003E-2</v>
      </c>
      <c r="X3094">
        <v>0.94097679999999995</v>
      </c>
      <c r="Y3094">
        <v>-0.75967559999999901</v>
      </c>
      <c r="Z3094">
        <v>0.13103389999999901</v>
      </c>
      <c r="AA3094">
        <v>0.63696399999999997</v>
      </c>
      <c r="AB3094">
        <v>9</v>
      </c>
      <c r="AC3094">
        <v>8.2751999999999803</v>
      </c>
      <c r="AD3094">
        <v>-1.12307814571899</v>
      </c>
      <c r="AE3094">
        <v>-1.7887</v>
      </c>
      <c r="AF3094">
        <v>-6.4386177221413199</v>
      </c>
      <c r="AG3094">
        <v>-1.12307814571899</v>
      </c>
      <c r="AH3094">
        <v>5.2692534020122404</v>
      </c>
      <c r="AI3094">
        <v>97.687709798359407</v>
      </c>
      <c r="AJ3094">
        <v>140.703699156997</v>
      </c>
      <c r="AK3094">
        <v>8.3953638460689408</v>
      </c>
      <c r="AL3094">
        <v>93.602489956106297</v>
      </c>
      <c r="AM3094">
        <v>109.465919642895</v>
      </c>
      <c r="AN3094">
        <v>0.99999997377226502</v>
      </c>
    </row>
    <row r="3095" spans="1:40" x14ac:dyDescent="0.25">
      <c r="A3095" t="str">
        <f>"20190303154827976"</f>
        <v>20190303154827976</v>
      </c>
      <c r="B3095" t="str">
        <f>"1551599307973796"</f>
        <v>1551599307973796</v>
      </c>
      <c r="C3095" t="s">
        <v>40</v>
      </c>
      <c r="D3095">
        <v>5.1860790000000003</v>
      </c>
      <c r="E3095">
        <v>0.3055446</v>
      </c>
      <c r="F3095" t="s">
        <v>47</v>
      </c>
      <c r="G3095">
        <v>-479.52019999999999</v>
      </c>
      <c r="H3095" s="1">
        <v>1.9167729999999999E-6</v>
      </c>
      <c r="I3095">
        <v>218.73740000000001</v>
      </c>
      <c r="J3095">
        <v>-487.88740000000001</v>
      </c>
      <c r="K3095">
        <v>1.12304</v>
      </c>
      <c r="L3095">
        <v>220.46029999999999</v>
      </c>
      <c r="M3095">
        <v>0.46175329999999898</v>
      </c>
      <c r="N3095">
        <v>-1.854008E-2</v>
      </c>
      <c r="O3095">
        <v>-0.88681460000000001</v>
      </c>
      <c r="P3095">
        <v>0.73080440000000002</v>
      </c>
      <c r="Q3095">
        <v>-7.9737600000000006E-2</v>
      </c>
      <c r="R3095">
        <v>-0.67791349999999995</v>
      </c>
      <c r="S3095">
        <v>3.4029240000000001</v>
      </c>
      <c r="T3095">
        <v>-0.45402749999999997</v>
      </c>
      <c r="U3095">
        <v>-0.72866819999999999</v>
      </c>
      <c r="V3095">
        <v>-0.3348853</v>
      </c>
      <c r="W3095">
        <v>-6.3549830000000002E-2</v>
      </c>
      <c r="X3095">
        <v>0.94011339999999999</v>
      </c>
      <c r="Y3095">
        <v>-0.7611656</v>
      </c>
      <c r="Z3095">
        <v>0.1303993</v>
      </c>
      <c r="AA3095">
        <v>0.63531329999999997</v>
      </c>
      <c r="AB3095">
        <v>9</v>
      </c>
      <c r="AC3095">
        <v>8.36720000000002</v>
      </c>
      <c r="AD3095">
        <v>-1.1230380832269999</v>
      </c>
      <c r="AE3095">
        <v>-1.7228999999999799</v>
      </c>
      <c r="AF3095">
        <v>-6.5131783936143801</v>
      </c>
      <c r="AG3095">
        <v>-1.1230380832269999</v>
      </c>
      <c r="AH3095">
        <v>5.3007935768643204</v>
      </c>
      <c r="AI3095">
        <v>97.617142047010702</v>
      </c>
      <c r="AJ3095">
        <v>140.859350953194</v>
      </c>
      <c r="AK3095">
        <v>8.47237392163197</v>
      </c>
      <c r="AL3095">
        <v>93.643592441699496</v>
      </c>
      <c r="AM3095">
        <v>109.606813459138</v>
      </c>
      <c r="AN3095">
        <v>0.99999997495433901</v>
      </c>
    </row>
    <row r="3096" spans="1:40" x14ac:dyDescent="0.25">
      <c r="A3096" t="str">
        <f>"20190303154827998"</f>
        <v>20190303154827998</v>
      </c>
      <c r="B3096" t="str">
        <f>"1551599307994291"</f>
        <v>1551599307994291</v>
      </c>
      <c r="C3096" t="s">
        <v>40</v>
      </c>
      <c r="D3096">
        <v>5.1464999999999996</v>
      </c>
      <c r="E3096">
        <v>0.30683379999999999</v>
      </c>
      <c r="F3096" t="s">
        <v>47</v>
      </c>
      <c r="G3096">
        <v>-479.56740000000002</v>
      </c>
      <c r="H3096" s="1">
        <v>1.8714030000000001E-6</v>
      </c>
      <c r="I3096">
        <v>218.178</v>
      </c>
      <c r="J3096">
        <v>-487.84359999999998</v>
      </c>
      <c r="K3096">
        <v>1.1230199999999999</v>
      </c>
      <c r="L3096">
        <v>220.39179999999999</v>
      </c>
      <c r="M3096">
        <v>0.46719050000000001</v>
      </c>
      <c r="N3096">
        <v>-1.7922449999999999E-2</v>
      </c>
      <c r="O3096">
        <v>-0.88397519999999996</v>
      </c>
      <c r="P3096">
        <v>0.73590419999999901</v>
      </c>
      <c r="Q3096">
        <v>-7.8863470000000005E-2</v>
      </c>
      <c r="R3096">
        <v>-0.6724774</v>
      </c>
      <c r="S3096">
        <v>3.2343440000000001</v>
      </c>
      <c r="T3096">
        <v>-0.43657059999999998</v>
      </c>
      <c r="U3096">
        <v>-0.88719179999999997</v>
      </c>
      <c r="V3096">
        <v>-0.33616950000000001</v>
      </c>
      <c r="W3096">
        <v>-6.3270789999999993E-2</v>
      </c>
      <c r="X3096">
        <v>0.9396738</v>
      </c>
      <c r="Y3096">
        <v>-0.71999089999999999</v>
      </c>
      <c r="Z3096">
        <v>0.1279652</v>
      </c>
      <c r="AA3096">
        <v>0.68208359999999901</v>
      </c>
      <c r="AB3096">
        <v>9</v>
      </c>
      <c r="AC3096">
        <v>8.2761999999999603</v>
      </c>
      <c r="AD3096">
        <v>-1.123018128597</v>
      </c>
      <c r="AE3096">
        <v>-2.2137999999999902</v>
      </c>
      <c r="AF3096">
        <v>-6.1765654302244402</v>
      </c>
      <c r="AG3096">
        <v>-1.123018128597</v>
      </c>
      <c r="AH3096">
        <v>5.7260501934237</v>
      </c>
      <c r="AI3096">
        <v>97.594811884733502</v>
      </c>
      <c r="AJ3096">
        <v>137.16761646576001</v>
      </c>
      <c r="AK3096">
        <v>8.49698658634982</v>
      </c>
      <c r="AL3096">
        <v>93.627572339836902</v>
      </c>
      <c r="AM3096">
        <v>109.684734458308</v>
      </c>
      <c r="AN3096">
        <v>0.999999988001957</v>
      </c>
    </row>
    <row r="3097" spans="1:40" x14ac:dyDescent="0.25">
      <c r="A3097" t="str">
        <f>"20190303154828019"</f>
        <v>20190303154828019</v>
      </c>
      <c r="B3097" t="str">
        <f>"1551599308013811"</f>
        <v>1551599308013811</v>
      </c>
      <c r="C3097" t="s">
        <v>40</v>
      </c>
      <c r="D3097">
        <v>5.1671800000000001</v>
      </c>
      <c r="E3097">
        <v>0.30787629999999999</v>
      </c>
      <c r="F3097" t="s">
        <v>47</v>
      </c>
      <c r="G3097">
        <v>-479.3347</v>
      </c>
      <c r="H3097" s="1">
        <v>1.971211E-6</v>
      </c>
      <c r="I3097">
        <v>218.10149999999999</v>
      </c>
      <c r="J3097">
        <v>-487.79599999999999</v>
      </c>
      <c r="K3097">
        <v>1.1230020000000001</v>
      </c>
      <c r="L3097">
        <v>220.3186</v>
      </c>
      <c r="M3097">
        <v>0.47301359999999998</v>
      </c>
      <c r="N3097">
        <v>-1.7334749999999999E-2</v>
      </c>
      <c r="O3097">
        <v>-0.88088459999999902</v>
      </c>
      <c r="P3097">
        <v>0.74157519999999999</v>
      </c>
      <c r="Q3097">
        <v>-7.8603290000000006E-2</v>
      </c>
      <c r="R3097">
        <v>-0.66624890000000003</v>
      </c>
      <c r="S3097">
        <v>3.2351070000000002</v>
      </c>
      <c r="T3097">
        <v>-0.42697869999999999</v>
      </c>
      <c r="U3097">
        <v>-0.87080380000000002</v>
      </c>
      <c r="V3097">
        <v>-0.33791640000000001</v>
      </c>
      <c r="W3097">
        <v>-6.3579689999999994E-2</v>
      </c>
      <c r="X3097">
        <v>0.93902609999999997</v>
      </c>
      <c r="Y3097">
        <v>-0.71907900000000002</v>
      </c>
      <c r="Z3097">
        <v>0.12542809999999999</v>
      </c>
      <c r="AA3097">
        <v>0.6835154</v>
      </c>
      <c r="AB3097">
        <v>9</v>
      </c>
      <c r="AC3097">
        <v>8.4612999999999907</v>
      </c>
      <c r="AD3097">
        <v>-1.1230000287890001</v>
      </c>
      <c r="AE3097">
        <v>-2.2171000000000101</v>
      </c>
      <c r="AF3097">
        <v>-6.3017978672502597</v>
      </c>
      <c r="AG3097">
        <v>-1.1230000287890001</v>
      </c>
      <c r="AH3097">
        <v>5.8596276082829704</v>
      </c>
      <c r="AI3097">
        <v>97.435300588823907</v>
      </c>
      <c r="AJ3097">
        <v>137.08226700448699</v>
      </c>
      <c r="AK3097">
        <v>8.6780770411475405</v>
      </c>
      <c r="AL3097">
        <v>93.645306875646995</v>
      </c>
      <c r="AM3097">
        <v>109.791692153672</v>
      </c>
      <c r="AN3097">
        <v>0.99999994342533105</v>
      </c>
    </row>
    <row r="3098" spans="1:40" x14ac:dyDescent="0.25">
      <c r="A3098" t="str">
        <f>"20190303154828043"</f>
        <v>20190303154828043</v>
      </c>
      <c r="B3098" t="str">
        <f>"1551599308034307"</f>
        <v>1551599308034307</v>
      </c>
      <c r="C3098" t="s">
        <v>40</v>
      </c>
      <c r="D3098">
        <v>5.1167210000000001</v>
      </c>
      <c r="E3098">
        <v>0.30896780000000001</v>
      </c>
      <c r="F3098" t="s">
        <v>47</v>
      </c>
      <c r="G3098">
        <v>-479.20949999999999</v>
      </c>
      <c r="H3098" s="1">
        <v>2.0251549999999999E-6</v>
      </c>
      <c r="I3098">
        <v>218.065</v>
      </c>
      <c r="J3098">
        <v>-487.7491</v>
      </c>
      <c r="K3098">
        <v>1.1229990000000001</v>
      </c>
      <c r="L3098">
        <v>220.24760000000001</v>
      </c>
      <c r="M3098">
        <v>0.47866959999999997</v>
      </c>
      <c r="N3098">
        <v>-1.6839929999999999E-2</v>
      </c>
      <c r="O3098">
        <v>-0.87783369999999905</v>
      </c>
      <c r="P3098">
        <v>0.74684379999999995</v>
      </c>
      <c r="Q3098">
        <v>-7.8199039999999997E-2</v>
      </c>
      <c r="R3098">
        <v>-0.66038599999999903</v>
      </c>
      <c r="S3098">
        <v>3.2371829999999999</v>
      </c>
      <c r="T3098">
        <v>-0.42338110000000001</v>
      </c>
      <c r="U3098">
        <v>-0.84965519999999894</v>
      </c>
      <c r="V3098">
        <v>-0.33931420000000001</v>
      </c>
      <c r="W3098">
        <v>-6.3651429999999995E-2</v>
      </c>
      <c r="X3098">
        <v>0.93851709999999999</v>
      </c>
      <c r="Y3098">
        <v>-0.71903819999999996</v>
      </c>
      <c r="Z3098">
        <v>0.1247677</v>
      </c>
      <c r="AA3098">
        <v>0.68367900000000004</v>
      </c>
      <c r="AB3098">
        <v>9</v>
      </c>
      <c r="AC3098">
        <v>8.5396000000000001</v>
      </c>
      <c r="AD3098">
        <v>-1.1229969748449999</v>
      </c>
      <c r="AE3098">
        <v>-2.1825999999999999</v>
      </c>
      <c r="AF3098">
        <v>-6.3494478483745</v>
      </c>
      <c r="AG3098">
        <v>-1.1229969748449999</v>
      </c>
      <c r="AH3098">
        <v>5.9085439253081402</v>
      </c>
      <c r="AI3098">
        <v>97.377457230350203</v>
      </c>
      <c r="AJ3098">
        <v>137.05996615887099</v>
      </c>
      <c r="AK3098">
        <v>8.7457133215098199</v>
      </c>
      <c r="AL3098">
        <v>93.649425451420797</v>
      </c>
      <c r="AM3098">
        <v>109.877097423869</v>
      </c>
      <c r="AN3098">
        <v>0.99999998892754705</v>
      </c>
    </row>
    <row r="3099" spans="1:40" x14ac:dyDescent="0.25">
      <c r="A3099" t="str">
        <f>"20190303154828065"</f>
        <v>20190303154828065</v>
      </c>
      <c r="B3099" t="str">
        <f>"1551599308053831"</f>
        <v>1551599308053831</v>
      </c>
      <c r="C3099" t="s">
        <v>40</v>
      </c>
      <c r="D3099">
        <v>5.122204</v>
      </c>
      <c r="E3099">
        <v>0.31011840000000002</v>
      </c>
      <c r="F3099" t="s">
        <v>47</v>
      </c>
      <c r="G3099">
        <v>-479.1035</v>
      </c>
      <c r="H3099" s="1">
        <v>2.0706199999999998E-6</v>
      </c>
      <c r="I3099">
        <v>218.0299</v>
      </c>
      <c r="J3099">
        <v>-487.69959999999998</v>
      </c>
      <c r="K3099">
        <v>1.1229800000000001</v>
      </c>
      <c r="L3099">
        <v>220.1738</v>
      </c>
      <c r="M3099">
        <v>0.48457119999999998</v>
      </c>
      <c r="N3099">
        <v>-1.6390289999999998E-2</v>
      </c>
      <c r="O3099">
        <v>-0.8745984</v>
      </c>
      <c r="P3099">
        <v>0.75205449999999996</v>
      </c>
      <c r="Q3099">
        <v>-7.8008259999999996E-2</v>
      </c>
      <c r="R3099">
        <v>-0.65446839999999995</v>
      </c>
      <c r="S3099">
        <v>3.2383730000000002</v>
      </c>
      <c r="T3099">
        <v>-0.42063879999999998</v>
      </c>
      <c r="U3099">
        <v>-0.8306732</v>
      </c>
      <c r="V3099">
        <v>-0.34042270000000002</v>
      </c>
      <c r="W3099">
        <v>-6.3890379999999997E-2</v>
      </c>
      <c r="X3099">
        <v>0.93809940000000003</v>
      </c>
      <c r="Y3099">
        <v>-0.71829279999999995</v>
      </c>
      <c r="Z3099">
        <v>0.124304</v>
      </c>
      <c r="AA3099">
        <v>0.68454649999999995</v>
      </c>
      <c r="AB3099">
        <v>9</v>
      </c>
      <c r="AC3099">
        <v>8.5960999999999697</v>
      </c>
      <c r="AD3099">
        <v>-1.12297792938</v>
      </c>
      <c r="AE3099">
        <v>-2.1438999999999999</v>
      </c>
      <c r="AF3099">
        <v>-6.3776634418807197</v>
      </c>
      <c r="AG3099">
        <v>-1.12297792938</v>
      </c>
      <c r="AH3099">
        <v>5.9457548732523904</v>
      </c>
      <c r="AI3099">
        <v>97.338831457905101</v>
      </c>
      <c r="AJ3099">
        <v>137.007268802927</v>
      </c>
      <c r="AK3099">
        <v>8.7913407066602201</v>
      </c>
      <c r="AL3099">
        <v>93.663144015124601</v>
      </c>
      <c r="AM3099">
        <v>109.94510206112101</v>
      </c>
      <c r="AN3099">
        <v>1.00000003980609</v>
      </c>
    </row>
    <row r="3100" spans="1:40" x14ac:dyDescent="0.25">
      <c r="A3100" t="str">
        <f>"20190303154828087"</f>
        <v>20190303154828087</v>
      </c>
      <c r="B3100" t="str">
        <f>"1551599308084083"</f>
        <v>1551599308084083</v>
      </c>
      <c r="C3100" t="s">
        <v>40</v>
      </c>
      <c r="D3100">
        <v>5.0556660000000004</v>
      </c>
      <c r="E3100">
        <v>0.31147970000000003</v>
      </c>
      <c r="F3100" t="s">
        <v>47</v>
      </c>
      <c r="G3100">
        <v>-479.00240000000002</v>
      </c>
      <c r="H3100" s="1">
        <v>2.1138840000000002E-6</v>
      </c>
      <c r="I3100">
        <v>217.99420000000001</v>
      </c>
      <c r="J3100">
        <v>-487.65019999999998</v>
      </c>
      <c r="K3100">
        <v>1.1229659999999999</v>
      </c>
      <c r="L3100">
        <v>220.1009</v>
      </c>
      <c r="M3100">
        <v>0.49040879999999998</v>
      </c>
      <c r="N3100">
        <v>-1.599915E-2</v>
      </c>
      <c r="O3100">
        <v>-0.87134560000000005</v>
      </c>
      <c r="P3100">
        <v>0.75620109999999996</v>
      </c>
      <c r="Q3100">
        <v>-7.8067910000000004E-2</v>
      </c>
      <c r="R3100">
        <v>-0.64966579999999996</v>
      </c>
      <c r="S3100">
        <v>3.239258</v>
      </c>
      <c r="T3100">
        <v>-0.41825129999999999</v>
      </c>
      <c r="U3100">
        <v>-0.81176759999999903</v>
      </c>
      <c r="V3100">
        <v>-0.34012130000000002</v>
      </c>
      <c r="W3100">
        <v>-6.4311389999999996E-2</v>
      </c>
      <c r="X3100">
        <v>0.93817989999999996</v>
      </c>
      <c r="Y3100">
        <v>-0.71754560000000001</v>
      </c>
      <c r="Z3100">
        <v>0.1239097</v>
      </c>
      <c r="AA3100">
        <v>0.68540119999999904</v>
      </c>
      <c r="AB3100">
        <v>9</v>
      </c>
      <c r="AC3100">
        <v>8.6477999999999593</v>
      </c>
      <c r="AD3100">
        <v>-1.1229638861159901</v>
      </c>
      <c r="AE3100">
        <v>-2.10669999999998</v>
      </c>
      <c r="AF3100">
        <v>-6.4010208616534197</v>
      </c>
      <c r="AG3100">
        <v>-1.1229638861159901</v>
      </c>
      <c r="AH3100">
        <v>5.9821761912281497</v>
      </c>
      <c r="AI3100">
        <v>97.304001247151206</v>
      </c>
      <c r="AJ3100">
        <v>136.93721270107801</v>
      </c>
      <c r="AK3100">
        <v>8.8329240879642992</v>
      </c>
      <c r="AL3100">
        <v>93.687316008573006</v>
      </c>
      <c r="AM3100">
        <v>109.92725861839899</v>
      </c>
      <c r="AN3100">
        <v>0.99999998918071498</v>
      </c>
    </row>
    <row r="3101" spans="1:40" x14ac:dyDescent="0.25">
      <c r="A3101" t="str">
        <f>"20190303154828112"</f>
        <v>20190303154828112</v>
      </c>
      <c r="B3101" t="str">
        <f>"1551599308103603"</f>
        <v>1551599308103603</v>
      </c>
      <c r="C3101" t="s">
        <v>40</v>
      </c>
      <c r="D3101">
        <v>5.0729439999999997</v>
      </c>
      <c r="E3101">
        <v>0.31247930000000002</v>
      </c>
      <c r="F3101" t="s">
        <v>47</v>
      </c>
      <c r="G3101">
        <v>-478.90660000000003</v>
      </c>
      <c r="H3101" s="1">
        <v>2.1541109999999999E-6</v>
      </c>
      <c r="I3101">
        <v>217.94220000000001</v>
      </c>
      <c r="J3101">
        <v>-487.59730000000002</v>
      </c>
      <c r="K3101">
        <v>1.1229530000000001</v>
      </c>
      <c r="L3101">
        <v>220.0241</v>
      </c>
      <c r="M3101">
        <v>0.49657679999999998</v>
      </c>
      <c r="N3101">
        <v>-1.5637410000000001E-2</v>
      </c>
      <c r="O3101">
        <v>-0.86785199999999996</v>
      </c>
      <c r="P3101">
        <v>0.76150519999999999</v>
      </c>
      <c r="Q3101">
        <v>-7.7779749999999995E-2</v>
      </c>
      <c r="R3101">
        <v>-0.64347500000000002</v>
      </c>
      <c r="S3101">
        <v>3.2375790000000002</v>
      </c>
      <c r="T3101">
        <v>-0.41580980000000001</v>
      </c>
      <c r="U3101">
        <v>-0.79931640000000004</v>
      </c>
      <c r="V3101">
        <v>-0.3411479</v>
      </c>
      <c r="W3101">
        <v>-6.4368519999999999E-2</v>
      </c>
      <c r="X3101">
        <v>0.93780319999999995</v>
      </c>
      <c r="Y3101">
        <v>-0.71511919999999995</v>
      </c>
      <c r="Z3101">
        <v>0.1234006</v>
      </c>
      <c r="AA3101">
        <v>0.68802379999999996</v>
      </c>
      <c r="AB3101">
        <v>9</v>
      </c>
      <c r="AC3101">
        <v>8.6906999999999908</v>
      </c>
      <c r="AD3101">
        <v>-1.1229508458890001</v>
      </c>
      <c r="AE3101">
        <v>-2.0818999999999899</v>
      </c>
      <c r="AF3101">
        <v>-6.4080316693539299</v>
      </c>
      <c r="AG3101">
        <v>-1.1229508458890001</v>
      </c>
      <c r="AH3101">
        <v>6.0279488801947103</v>
      </c>
      <c r="AI3101">
        <v>97.274003653558694</v>
      </c>
      <c r="AJ3101">
        <v>136.75059479015101</v>
      </c>
      <c r="AK3101">
        <v>8.8690504666489804</v>
      </c>
      <c r="AL3101">
        <v>93.690596002590894</v>
      </c>
      <c r="AM3101">
        <v>109.99004308019499</v>
      </c>
      <c r="AN3101">
        <v>1.00000001898582</v>
      </c>
    </row>
    <row r="3102" spans="1:40" x14ac:dyDescent="0.25">
      <c r="A3102" t="str">
        <f>"20190303154828144"</f>
        <v>20190303154828144</v>
      </c>
      <c r="B3102" t="str">
        <f>"1551599308133859"</f>
        <v>1551599308133859</v>
      </c>
      <c r="C3102" t="s">
        <v>40</v>
      </c>
      <c r="D3102">
        <v>5.0900019999999904</v>
      </c>
      <c r="E3102">
        <v>0.3271963</v>
      </c>
      <c r="F3102" t="s">
        <v>47</v>
      </c>
      <c r="G3102">
        <v>-478.77859999999998</v>
      </c>
      <c r="H3102" s="1">
        <v>2.2091819999999999E-6</v>
      </c>
      <c r="I3102">
        <v>217.9032</v>
      </c>
      <c r="J3102">
        <v>-487.5283</v>
      </c>
      <c r="K3102">
        <v>1.1229340000000001</v>
      </c>
      <c r="L3102">
        <v>219.92570000000001</v>
      </c>
      <c r="M3102">
        <v>0.50447759999999997</v>
      </c>
      <c r="N3102">
        <v>-1.5241970000000001E-2</v>
      </c>
      <c r="O3102">
        <v>-0.86329029999999995</v>
      </c>
      <c r="P3102">
        <v>0.76717279999999999</v>
      </c>
      <c r="Q3102">
        <v>-7.8525199999999906E-2</v>
      </c>
      <c r="R3102">
        <v>-0.63661619999999997</v>
      </c>
      <c r="S3102">
        <v>3.239166</v>
      </c>
      <c r="T3102">
        <v>-0.41246640000000001</v>
      </c>
      <c r="U3102">
        <v>-0.7790222</v>
      </c>
      <c r="V3102">
        <v>-0.34093810000000002</v>
      </c>
      <c r="W3102">
        <v>-6.5478259999999996E-2</v>
      </c>
      <c r="X3102">
        <v>0.93780269999999999</v>
      </c>
      <c r="Y3102">
        <v>-0.71305719999999995</v>
      </c>
      <c r="Z3102">
        <v>0.1225745</v>
      </c>
      <c r="AA3102">
        <v>0.69030789999999997</v>
      </c>
      <c r="AB3102">
        <v>9</v>
      </c>
      <c r="AC3102">
        <v>8.7497000000000096</v>
      </c>
      <c r="AD3102">
        <v>-1.1229317908180001</v>
      </c>
      <c r="AE3102">
        <v>-2.0225</v>
      </c>
      <c r="AF3102">
        <v>-6.4333939073044197</v>
      </c>
      <c r="AG3102">
        <v>-1.1229317908180001</v>
      </c>
      <c r="AH3102">
        <v>6.06590359727912</v>
      </c>
      <c r="AI3102">
        <v>97.237675663251693</v>
      </c>
      <c r="AJ3102">
        <v>136.68406104417099</v>
      </c>
      <c r="AK3102">
        <v>8.9131767302603908</v>
      </c>
      <c r="AL3102">
        <v>93.754313745084801</v>
      </c>
      <c r="AM3102">
        <v>109.978732166203</v>
      </c>
      <c r="AN3102">
        <v>1.00000004734576</v>
      </c>
    </row>
    <row r="3103" spans="1:40" x14ac:dyDescent="0.25">
      <c r="A3103" t="str">
        <f>"20190303154828165"</f>
        <v>20190303154828165</v>
      </c>
      <c r="B3103" t="str">
        <f>"1551599308153379"</f>
        <v>1551599308153379</v>
      </c>
      <c r="C3103" t="s">
        <v>40</v>
      </c>
      <c r="D3103">
        <v>5.0376589999999997</v>
      </c>
      <c r="E3103">
        <v>0.32788650000000003</v>
      </c>
      <c r="F3103" t="s">
        <v>47</v>
      </c>
      <c r="G3103">
        <v>-478.9212</v>
      </c>
      <c r="H3103" s="1">
        <v>2.134622E-6</v>
      </c>
      <c r="I3103">
        <v>217.64410000000001</v>
      </c>
      <c r="J3103">
        <v>-487.47980000000001</v>
      </c>
      <c r="K3103">
        <v>1.1229129999999901</v>
      </c>
      <c r="L3103">
        <v>219.85769999999999</v>
      </c>
      <c r="M3103">
        <v>0.50993569999999999</v>
      </c>
      <c r="N3103">
        <v>-1.50116E-2</v>
      </c>
      <c r="O3103">
        <v>-0.86008169999999995</v>
      </c>
      <c r="P3103">
        <v>0.77084529999999996</v>
      </c>
      <c r="Q3103">
        <v>-8.0067349999999995E-2</v>
      </c>
      <c r="R3103">
        <v>-0.63197109999999901</v>
      </c>
      <c r="S3103">
        <v>3.1706850000000002</v>
      </c>
      <c r="T3103">
        <v>-0.41366360000000002</v>
      </c>
      <c r="U3103">
        <v>-0.84046939999999903</v>
      </c>
      <c r="V3103">
        <v>-0.34052270000000001</v>
      </c>
      <c r="W3103">
        <v>-6.7228789999999997E-2</v>
      </c>
      <c r="X3103">
        <v>0.93782969999999999</v>
      </c>
      <c r="Y3103">
        <v>-0.6922045</v>
      </c>
      <c r="Z3103">
        <v>0.1238875</v>
      </c>
      <c r="AA3103">
        <v>0.71098859999999997</v>
      </c>
      <c r="AB3103">
        <v>9</v>
      </c>
      <c r="AC3103">
        <v>8.5586000000000109</v>
      </c>
      <c r="AD3103">
        <v>-1.12291086537799</v>
      </c>
      <c r="AE3103">
        <v>-2.21359999999998</v>
      </c>
      <c r="AF3103">
        <v>-6.1340316342763801</v>
      </c>
      <c r="AG3103">
        <v>-1.12291086537799</v>
      </c>
      <c r="AH3103">
        <v>6.1693763570065201</v>
      </c>
      <c r="AI3103">
        <v>97.354636262803893</v>
      </c>
      <c r="AJ3103">
        <v>134.835403501934</v>
      </c>
      <c r="AK3103">
        <v>8.7720281312977093</v>
      </c>
      <c r="AL3103">
        <v>93.8548335106845</v>
      </c>
      <c r="AM3103">
        <v>109.955783353659</v>
      </c>
      <c r="AN3103">
        <v>0.99999998281112101</v>
      </c>
    </row>
    <row r="3104" spans="1:40" x14ac:dyDescent="0.25">
      <c r="A3104" t="str">
        <f>"20190303154828187"</f>
        <v>20190303154828187</v>
      </c>
      <c r="B3104" t="str">
        <f>"1551599308183635"</f>
        <v>1551599308183635</v>
      </c>
      <c r="C3104" t="s">
        <v>40</v>
      </c>
      <c r="D3104">
        <v>5.0868929999999999</v>
      </c>
      <c r="E3104">
        <v>0.32993020000000001</v>
      </c>
      <c r="F3104" t="s">
        <v>47</v>
      </c>
      <c r="G3104">
        <v>-478.9932</v>
      </c>
      <c r="H3104" s="1">
        <v>2.1029429999999999E-6</v>
      </c>
      <c r="I3104">
        <v>217.65049999999999</v>
      </c>
      <c r="J3104">
        <v>-487.43020000000001</v>
      </c>
      <c r="K3104">
        <v>1.1228849999999999</v>
      </c>
      <c r="L3104">
        <v>219.78899999999999</v>
      </c>
      <c r="M3104">
        <v>0.5154512</v>
      </c>
      <c r="N3104">
        <v>-1.480745E-2</v>
      </c>
      <c r="O3104">
        <v>-0.85679099999999997</v>
      </c>
      <c r="P3104">
        <v>0.77464960000000005</v>
      </c>
      <c r="Q3104">
        <v>-8.1265309999999993E-2</v>
      </c>
      <c r="R3104">
        <v>-0.62714759999999903</v>
      </c>
      <c r="S3104">
        <v>3.171875</v>
      </c>
      <c r="T3104">
        <v>-0.41968929999999999</v>
      </c>
      <c r="U3104">
        <v>-0.824951199999999</v>
      </c>
      <c r="V3104">
        <v>-0.34024199999999999</v>
      </c>
      <c r="W3104">
        <v>-6.8609710000000004E-2</v>
      </c>
      <c r="X3104">
        <v>0.93783159999999999</v>
      </c>
      <c r="Y3104">
        <v>-0.69064550000000002</v>
      </c>
      <c r="Z3104">
        <v>0.12592039999999999</v>
      </c>
      <c r="AA3104">
        <v>0.71214659999999996</v>
      </c>
      <c r="AB3104">
        <v>9</v>
      </c>
      <c r="AC3104">
        <v>8.43700000000001</v>
      </c>
      <c r="AD3104">
        <v>-1.122882897057</v>
      </c>
      <c r="AE3104">
        <v>-2.1385000000000201</v>
      </c>
      <c r="AF3104">
        <v>-6.0268161896413499</v>
      </c>
      <c r="AG3104">
        <v>-1.122882897057</v>
      </c>
      <c r="AH3104">
        <v>6.0805833473799797</v>
      </c>
      <c r="AI3104">
        <v>97.472140183118199</v>
      </c>
      <c r="AJ3104">
        <v>134.74555965098401</v>
      </c>
      <c r="AK3104">
        <v>8.6346321999643401</v>
      </c>
      <c r="AL3104">
        <v>93.934137424670794</v>
      </c>
      <c r="AM3104">
        <v>109.940593158333</v>
      </c>
      <c r="AN3104">
        <v>1.00000001041442</v>
      </c>
    </row>
    <row r="3105" spans="1:40" x14ac:dyDescent="0.25">
      <c r="A3105" t="str">
        <f>"20190303154828210"</f>
        <v>20190303154828210</v>
      </c>
      <c r="B3105" t="str">
        <f>"1551599308204132"</f>
        <v>1551599308204132</v>
      </c>
      <c r="C3105" t="s">
        <v>40</v>
      </c>
      <c r="D3105">
        <v>4.679754</v>
      </c>
      <c r="E3105">
        <v>0.33021919999999999</v>
      </c>
      <c r="F3105" t="s">
        <v>47</v>
      </c>
      <c r="G3105">
        <v>-479.05700000000002</v>
      </c>
      <c r="H3105" s="1">
        <v>2.073595E-6</v>
      </c>
      <c r="I3105">
        <v>217.62639999999999</v>
      </c>
      <c r="J3105">
        <v>-487.37819999999999</v>
      </c>
      <c r="K3105">
        <v>1.122854</v>
      </c>
      <c r="L3105">
        <v>219.71789999999999</v>
      </c>
      <c r="M3105">
        <v>0.52115979999999995</v>
      </c>
      <c r="N3105">
        <v>-1.462247E-2</v>
      </c>
      <c r="O3105">
        <v>-0.85333400000000004</v>
      </c>
      <c r="P3105">
        <v>0.7785725</v>
      </c>
      <c r="Q3105">
        <v>-8.2513619999999996E-2</v>
      </c>
      <c r="R3105">
        <v>-0.62210659999999995</v>
      </c>
      <c r="S3105">
        <v>3.1661679999999999</v>
      </c>
      <c r="T3105">
        <v>-0.424597</v>
      </c>
      <c r="U3105">
        <v>-0.8177643</v>
      </c>
      <c r="V3105">
        <v>-0.33995409999999998</v>
      </c>
      <c r="W3105">
        <v>-7.0021760000000002E-2</v>
      </c>
      <c r="X3105">
        <v>0.93783159999999999</v>
      </c>
      <c r="Y3105">
        <v>-0.68680830000000004</v>
      </c>
      <c r="Z3105">
        <v>0.12761789999999901</v>
      </c>
      <c r="AA3105">
        <v>0.7155473</v>
      </c>
      <c r="AB3105">
        <v>9</v>
      </c>
      <c r="AC3105">
        <v>8.3212000000000295</v>
      </c>
      <c r="AD3105">
        <v>-1.1228519264049901</v>
      </c>
      <c r="AE3105">
        <v>-2.0914999999999901</v>
      </c>
      <c r="AF3105">
        <v>-5.9101784358568503</v>
      </c>
      <c r="AG3105">
        <v>-1.1228519264049901</v>
      </c>
      <c r="AH3105">
        <v>6.0189924808648803</v>
      </c>
      <c r="AI3105">
        <v>97.582044137683596</v>
      </c>
      <c r="AJ3105">
        <v>134.47738089539899</v>
      </c>
      <c r="AK3105">
        <v>8.5099515907557706</v>
      </c>
      <c r="AL3105">
        <v>94.015237147700503</v>
      </c>
      <c r="AM3105">
        <v>109.925048504237</v>
      </c>
      <c r="AN3105">
        <v>0.99999997346943303</v>
      </c>
    </row>
    <row r="3106" spans="1:40" x14ac:dyDescent="0.25">
      <c r="A3106" t="str">
        <f>"20190303154828232"</f>
        <v>20190303154828232</v>
      </c>
      <c r="B3106" t="str">
        <f>"1551599308223652"</f>
        <v>1551599308223652</v>
      </c>
      <c r="C3106" t="s">
        <v>40</v>
      </c>
      <c r="D3106">
        <v>4.7167389999999996</v>
      </c>
      <c r="E3106">
        <v>0.30443619999999999</v>
      </c>
      <c r="F3106" t="s">
        <v>47</v>
      </c>
      <c r="G3106">
        <v>-479.05959999999999</v>
      </c>
      <c r="H3106" s="1">
        <v>2.0722109999999999E-6</v>
      </c>
      <c r="I3106">
        <v>217.62110000000001</v>
      </c>
      <c r="J3106">
        <v>-487.32929999999999</v>
      </c>
      <c r="K3106">
        <v>1.1228320000000001</v>
      </c>
      <c r="L3106">
        <v>219.65219999999999</v>
      </c>
      <c r="M3106">
        <v>0.5264472</v>
      </c>
      <c r="N3106">
        <v>-1.4472479999999999E-2</v>
      </c>
      <c r="O3106">
        <v>-0.85008479999999997</v>
      </c>
      <c r="P3106">
        <v>0.78275399999999995</v>
      </c>
      <c r="Q3106">
        <v>-8.2212049999999995E-2</v>
      </c>
      <c r="R3106">
        <v>-0.61687729999999996</v>
      </c>
      <c r="S3106">
        <v>3.1695250000000001</v>
      </c>
      <c r="T3106">
        <v>-0.42782890000000001</v>
      </c>
      <c r="U3106">
        <v>-0.7989349</v>
      </c>
      <c r="V3106">
        <v>-0.34044400000000002</v>
      </c>
      <c r="W3106">
        <v>-6.985624E-2</v>
      </c>
      <c r="X3106">
        <v>0.93766620000000001</v>
      </c>
      <c r="Y3106">
        <v>-0.68635170000000001</v>
      </c>
      <c r="Z3106">
        <v>0.1287112</v>
      </c>
      <c r="AA3106">
        <v>0.71578969999999997</v>
      </c>
      <c r="AB3106">
        <v>9</v>
      </c>
      <c r="AC3106">
        <v>8.2697000000000003</v>
      </c>
      <c r="AD3106">
        <v>-1.1228299277889999</v>
      </c>
      <c r="AE3106">
        <v>-2.0310999999999799</v>
      </c>
      <c r="AF3106">
        <v>-5.8594283790234902</v>
      </c>
      <c r="AG3106">
        <v>-1.1228299277889999</v>
      </c>
      <c r="AH3106">
        <v>5.9768869776911204</v>
      </c>
      <c r="AI3106">
        <v>97.6406194530839</v>
      </c>
      <c r="AJ3106">
        <v>134.431439525928</v>
      </c>
      <c r="AK3106">
        <v>8.44492900619883</v>
      </c>
      <c r="AL3106">
        <v>94.005730336264406</v>
      </c>
      <c r="AM3106">
        <v>109.95473957608699</v>
      </c>
      <c r="AN3106">
        <v>0.99999995701268696</v>
      </c>
    </row>
    <row r="3107" spans="1:40" x14ac:dyDescent="0.25">
      <c r="A3107" t="str">
        <f>"20190303154828253"</f>
        <v>20190303154828253</v>
      </c>
      <c r="B3107" t="str">
        <f>"1551599308244147"</f>
        <v>1551599308244147</v>
      </c>
      <c r="C3107" t="s">
        <v>40</v>
      </c>
      <c r="D3107">
        <v>5.0455930000000002</v>
      </c>
      <c r="E3107">
        <v>0.32128309999999999</v>
      </c>
      <c r="F3107" t="s">
        <v>47</v>
      </c>
      <c r="G3107">
        <v>-477.3098</v>
      </c>
      <c r="H3107" s="1">
        <v>2.8549540000000002E-6</v>
      </c>
      <c r="I3107">
        <v>217.7758</v>
      </c>
      <c r="J3107">
        <v>-487.2801</v>
      </c>
      <c r="K3107">
        <v>1.1228070000000001</v>
      </c>
      <c r="L3107">
        <v>219.58670000000001</v>
      </c>
      <c r="M3107">
        <v>0.5317075</v>
      </c>
      <c r="N3107">
        <v>-1.434153E-2</v>
      </c>
      <c r="O3107">
        <v>-0.84680669999999902</v>
      </c>
      <c r="P3107">
        <v>0.78700950000000003</v>
      </c>
      <c r="Q3107">
        <v>-8.1926579999999999E-2</v>
      </c>
      <c r="R3107">
        <v>-0.61147689999999999</v>
      </c>
      <c r="S3107">
        <v>3.3059080000000001</v>
      </c>
      <c r="T3107">
        <v>-0.3704731</v>
      </c>
      <c r="U3107">
        <v>-0.61907959999999995</v>
      </c>
      <c r="V3107">
        <v>-0.34110970000000002</v>
      </c>
      <c r="W3107">
        <v>-6.9690790000000002E-2</v>
      </c>
      <c r="X3107">
        <v>0.93743659999999995</v>
      </c>
      <c r="Y3107">
        <v>-0.72767789999999999</v>
      </c>
      <c r="Z3107">
        <v>0.10934530000000001</v>
      </c>
      <c r="AA3107">
        <v>0.67714730000000001</v>
      </c>
      <c r="AB3107">
        <v>9</v>
      </c>
      <c r="AC3107">
        <v>9.9702999999999999</v>
      </c>
      <c r="AD3107">
        <v>-1.12280414504599</v>
      </c>
      <c r="AE3107">
        <v>-1.8109</v>
      </c>
      <c r="AF3107">
        <v>-7.3900877602762503</v>
      </c>
      <c r="AG3107">
        <v>-1.12280414504599</v>
      </c>
      <c r="AH3107">
        <v>6.7525661589031101</v>
      </c>
      <c r="AI3107">
        <v>96.399684676300595</v>
      </c>
      <c r="AJ3107">
        <v>137.58102800488399</v>
      </c>
      <c r="AK3107">
        <v>10.073293204463001</v>
      </c>
      <c r="AL3107">
        <v>93.996227392172599</v>
      </c>
      <c r="AM3107">
        <v>109.995179311372</v>
      </c>
      <c r="AN3107">
        <v>1.0000000063322301</v>
      </c>
    </row>
    <row r="3108" spans="1:40" x14ac:dyDescent="0.25">
      <c r="A3108" t="str">
        <f>"20190303154828278"</f>
        <v>20190303154828278</v>
      </c>
      <c r="B3108" t="str">
        <f>"1551599308273428"</f>
        <v>1551599308273428</v>
      </c>
      <c r="C3108" t="s">
        <v>40</v>
      </c>
      <c r="D3108">
        <v>5.0596909999999999</v>
      </c>
      <c r="E3108">
        <v>0.31448690000000001</v>
      </c>
      <c r="F3108" t="s">
        <v>47</v>
      </c>
      <c r="G3108">
        <v>-478.95</v>
      </c>
      <c r="H3108" s="1">
        <v>2.1278230000000002E-6</v>
      </c>
      <c r="I3108">
        <v>217.7809</v>
      </c>
      <c r="J3108">
        <v>-487.22719999999998</v>
      </c>
      <c r="K3108">
        <v>1.122773</v>
      </c>
      <c r="L3108">
        <v>219.51730000000001</v>
      </c>
      <c r="M3108">
        <v>0.53729079999999996</v>
      </c>
      <c r="N3108">
        <v>-1.421993E-2</v>
      </c>
      <c r="O3108">
        <v>-0.84327730000000001</v>
      </c>
      <c r="P3108">
        <v>0.79144930000000002</v>
      </c>
      <c r="Q3108">
        <v>-8.2400929999999997E-2</v>
      </c>
      <c r="R3108">
        <v>-0.60565500000000005</v>
      </c>
      <c r="S3108">
        <v>3.2237239999999998</v>
      </c>
      <c r="T3108">
        <v>-0.43452059999999998</v>
      </c>
      <c r="U3108">
        <v>-0.69882200000000005</v>
      </c>
      <c r="V3108">
        <v>-0.34178969999999997</v>
      </c>
      <c r="W3108">
        <v>-7.0277019999999996E-2</v>
      </c>
      <c r="X3108">
        <v>0.93714509999999995</v>
      </c>
      <c r="Y3108">
        <v>-0.7006696</v>
      </c>
      <c r="Z3108">
        <v>0.13051209999999999</v>
      </c>
      <c r="AA3108">
        <v>0.70144759999999995</v>
      </c>
      <c r="AB3108">
        <v>9</v>
      </c>
      <c r="AC3108">
        <v>8.2771999999999899</v>
      </c>
      <c r="AD3108">
        <v>-1.122770872177</v>
      </c>
      <c r="AE3108">
        <v>-1.7363999999999999</v>
      </c>
      <c r="AF3108">
        <v>-5.9428946694611797</v>
      </c>
      <c r="AG3108">
        <v>-1.122770872177</v>
      </c>
      <c r="AH3108">
        <v>5.8097348213187896</v>
      </c>
      <c r="AI3108">
        <v>97.693862345490899</v>
      </c>
      <c r="AJ3108">
        <v>135.649145865983</v>
      </c>
      <c r="AK3108">
        <v>8.3863955414566096</v>
      </c>
      <c r="AL3108">
        <v>94.029898486230096</v>
      </c>
      <c r="AM3108">
        <v>110.037607830768</v>
      </c>
      <c r="AN3108">
        <v>0.99999999851009003</v>
      </c>
    </row>
    <row r="3109" spans="1:40" x14ac:dyDescent="0.25">
      <c r="A3109" t="str">
        <f>"20190303154828301"</f>
        <v>20190303154828301</v>
      </c>
      <c r="B3109" t="str">
        <f>"1551599308293924"</f>
        <v>1551599308293924</v>
      </c>
      <c r="C3109" t="s">
        <v>40</v>
      </c>
      <c r="D3109">
        <v>5.0234990000000002</v>
      </c>
      <c r="E3109">
        <v>0.3131332</v>
      </c>
      <c r="F3109" t="s">
        <v>47</v>
      </c>
      <c r="G3109">
        <v>-478.85680000000002</v>
      </c>
      <c r="H3109" s="1">
        <v>2.1741340000000002E-6</v>
      </c>
      <c r="I3109">
        <v>217.8955</v>
      </c>
      <c r="J3109">
        <v>-487.1728</v>
      </c>
      <c r="K3109">
        <v>1.1227320000000001</v>
      </c>
      <c r="L3109">
        <v>219.4468</v>
      </c>
      <c r="M3109">
        <v>0.5429541</v>
      </c>
      <c r="N3109">
        <v>-1.411286E-2</v>
      </c>
      <c r="O3109">
        <v>-0.83964399999999995</v>
      </c>
      <c r="P3109">
        <v>0.79583570000000003</v>
      </c>
      <c r="Q3109">
        <v>-8.3881869999999997E-2</v>
      </c>
      <c r="R3109">
        <v>-0.59967479999999995</v>
      </c>
      <c r="S3109">
        <v>3.2614139999999998</v>
      </c>
      <c r="T3109">
        <v>-0.4374768</v>
      </c>
      <c r="U3109">
        <v>-0.63189700000000004</v>
      </c>
      <c r="V3109">
        <v>-0.34240920000000002</v>
      </c>
      <c r="W3109">
        <v>-7.1857149999999995E-2</v>
      </c>
      <c r="X3109">
        <v>0.93679900000000005</v>
      </c>
      <c r="Y3109">
        <v>-0.71124600000000004</v>
      </c>
      <c r="Z3109">
        <v>0.13115760000000001</v>
      </c>
      <c r="AA3109">
        <v>0.69059879999999996</v>
      </c>
      <c r="AB3109">
        <v>9</v>
      </c>
      <c r="AC3109">
        <v>8.3159999999999705</v>
      </c>
      <c r="AD3109">
        <v>-1.1227298258659999</v>
      </c>
      <c r="AE3109">
        <v>-1.5512999999999899</v>
      </c>
      <c r="AF3109">
        <v>-6.0345114598232001</v>
      </c>
      <c r="AG3109">
        <v>-1.1227298258659999</v>
      </c>
      <c r="AH3109">
        <v>5.7176125838386804</v>
      </c>
      <c r="AI3109">
        <v>97.691636896502004</v>
      </c>
      <c r="AJ3109">
        <v>136.544620290502</v>
      </c>
      <c r="AK3109">
        <v>8.3885007289441802</v>
      </c>
      <c r="AL3109">
        <v>94.120663018514307</v>
      </c>
      <c r="AM3109">
        <v>110.07785254996</v>
      </c>
      <c r="AN3109">
        <v>0.99999993832587897</v>
      </c>
    </row>
    <row r="3110" spans="1:40" x14ac:dyDescent="0.25">
      <c r="A3110" t="str">
        <f>"20190303154828324"</f>
        <v>20190303154828324</v>
      </c>
      <c r="B3110" t="str">
        <f>"1551599308313443"</f>
        <v>1551599308313443</v>
      </c>
      <c r="C3110" t="s">
        <v>40</v>
      </c>
      <c r="D3110">
        <v>5.0457749999999999</v>
      </c>
      <c r="E3110">
        <v>0.31305820000000001</v>
      </c>
      <c r="F3110" t="s">
        <v>47</v>
      </c>
      <c r="G3110">
        <v>-478.83600000000001</v>
      </c>
      <c r="H3110" s="1">
        <v>2.184532E-6</v>
      </c>
      <c r="I3110">
        <v>217.9222</v>
      </c>
      <c r="J3110">
        <v>-487.11959999999999</v>
      </c>
      <c r="K3110">
        <v>1.122706</v>
      </c>
      <c r="L3110">
        <v>219.37889999999999</v>
      </c>
      <c r="M3110">
        <v>0.54842400000000002</v>
      </c>
      <c r="N3110">
        <v>-1.4018879999999999E-2</v>
      </c>
      <c r="O3110">
        <v>-0.83608309999999997</v>
      </c>
      <c r="P3110">
        <v>0.79966470000000001</v>
      </c>
      <c r="Q3110">
        <v>-8.4713410000000003E-2</v>
      </c>
      <c r="R3110">
        <v>-0.594441199999999</v>
      </c>
      <c r="S3110">
        <v>3.2722470000000001</v>
      </c>
      <c r="T3110">
        <v>-0.44068089999999999</v>
      </c>
      <c r="U3110">
        <v>-0.59844969999999997</v>
      </c>
      <c r="V3110">
        <v>-0.34236460000000002</v>
      </c>
      <c r="W3110">
        <v>-7.2771009999999997E-2</v>
      </c>
      <c r="X3110">
        <v>0.93674480000000004</v>
      </c>
      <c r="Y3110">
        <v>-0.71379619999999999</v>
      </c>
      <c r="Z3110">
        <v>0.13213730000000001</v>
      </c>
      <c r="AA3110">
        <v>0.68777529999999998</v>
      </c>
      <c r="AB3110">
        <v>9</v>
      </c>
      <c r="AC3110">
        <v>8.2835999999999697</v>
      </c>
      <c r="AD3110">
        <v>-1.122703815468</v>
      </c>
      <c r="AE3110">
        <v>-1.4566999999999799</v>
      </c>
      <c r="AF3110">
        <v>-6.02021990869686</v>
      </c>
      <c r="AG3110">
        <v>-1.122703815468</v>
      </c>
      <c r="AH3110">
        <v>5.6605512429486904</v>
      </c>
      <c r="AI3110">
        <v>97.737033305623399</v>
      </c>
      <c r="AJ3110">
        <v>136.76366673305901</v>
      </c>
      <c r="AK3110">
        <v>8.3393855877027594</v>
      </c>
      <c r="AL3110">
        <v>94.173160615294293</v>
      </c>
      <c r="AM3110">
        <v>110.07651499483499</v>
      </c>
      <c r="AN3110">
        <v>0.99999997977830901</v>
      </c>
    </row>
    <row r="3111" spans="1:40" x14ac:dyDescent="0.25">
      <c r="A3111" t="str">
        <f>"20190303154828344"</f>
        <v>20190303154828344</v>
      </c>
      <c r="B3111" t="str">
        <f>"1551599308333940"</f>
        <v>1551599308333940</v>
      </c>
      <c r="C3111" t="s">
        <v>40</v>
      </c>
      <c r="D3111">
        <v>4.9853189999999996</v>
      </c>
      <c r="E3111">
        <v>0.31225579999999997</v>
      </c>
      <c r="F3111" t="s">
        <v>47</v>
      </c>
      <c r="G3111">
        <v>-478.78739999999999</v>
      </c>
      <c r="H3111" s="1">
        <v>2.2057229999999999E-6</v>
      </c>
      <c r="I3111">
        <v>217.9136</v>
      </c>
      <c r="J3111">
        <v>-487.07319999999999</v>
      </c>
      <c r="K3111">
        <v>1.1226940000000001</v>
      </c>
      <c r="L3111">
        <v>219.32040000000001</v>
      </c>
      <c r="M3111">
        <v>0.55314030000000003</v>
      </c>
      <c r="N3111">
        <v>-1.394067E-2</v>
      </c>
      <c r="O3111">
        <v>-0.83297149999999998</v>
      </c>
      <c r="P3111">
        <v>0.80277319999999996</v>
      </c>
      <c r="Q3111">
        <v>-8.4937120000000005E-2</v>
      </c>
      <c r="R3111">
        <v>-0.59020410000000001</v>
      </c>
      <c r="S3111">
        <v>3.2764890000000002</v>
      </c>
      <c r="T3111">
        <v>-0.44148520000000002</v>
      </c>
      <c r="U3111">
        <v>-0.57621769999999894</v>
      </c>
      <c r="V3111">
        <v>-0.34200530000000001</v>
      </c>
      <c r="W3111">
        <v>-7.3060940000000005E-2</v>
      </c>
      <c r="X3111">
        <v>0.93685350000000001</v>
      </c>
      <c r="Y3111">
        <v>-0.71451379999999998</v>
      </c>
      <c r="Z3111">
        <v>0.13240539999999901</v>
      </c>
      <c r="AA3111">
        <v>0.68697810000000004</v>
      </c>
      <c r="AB3111">
        <v>9</v>
      </c>
      <c r="AC3111">
        <v>8.2857999999999894</v>
      </c>
      <c r="AD3111">
        <v>-1.1226917942770001</v>
      </c>
      <c r="AE3111">
        <v>-1.4068000000000001</v>
      </c>
      <c r="AF3111">
        <v>-6.0169024553406203</v>
      </c>
      <c r="AG3111">
        <v>-1.1226917942770001</v>
      </c>
      <c r="AH3111">
        <v>5.6546869983955697</v>
      </c>
      <c r="AI3111">
        <v>97.742906826402802</v>
      </c>
      <c r="AJ3111">
        <v>136.777543522153</v>
      </c>
      <c r="AK3111">
        <v>8.3330088846613393</v>
      </c>
      <c r="AL3111">
        <v>94.189816619315593</v>
      </c>
      <c r="AM3111">
        <v>110.054984076558</v>
      </c>
      <c r="AN3111">
        <v>1.00000000332201</v>
      </c>
    </row>
    <row r="3112" spans="1:40" x14ac:dyDescent="0.25">
      <c r="A3112" t="str">
        <f>"20190303154828367"</f>
        <v>20190303154828367</v>
      </c>
      <c r="B3112" t="str">
        <f>"1551599308364196"</f>
        <v>1551599308364196</v>
      </c>
      <c r="C3112" t="s">
        <v>40</v>
      </c>
      <c r="D3112">
        <v>4.9431229999999999</v>
      </c>
      <c r="E3112">
        <v>0.31148369999999997</v>
      </c>
      <c r="F3112" t="s">
        <v>47</v>
      </c>
      <c r="G3112">
        <v>-478.69670000000002</v>
      </c>
      <c r="H3112" s="1">
        <v>2.2456850000000002E-6</v>
      </c>
      <c r="I3112">
        <v>217.9076</v>
      </c>
      <c r="J3112">
        <v>-487.01889999999997</v>
      </c>
      <c r="K3112">
        <v>1.1226700000000001</v>
      </c>
      <c r="L3112">
        <v>219.25280000000001</v>
      </c>
      <c r="M3112">
        <v>0.55859380000000003</v>
      </c>
      <c r="N3112">
        <v>-1.3848879999999999E-2</v>
      </c>
      <c r="O3112">
        <v>-0.82932600000000001</v>
      </c>
      <c r="P3112">
        <v>0.8064424</v>
      </c>
      <c r="Q3112">
        <v>-8.4566550000000004E-2</v>
      </c>
      <c r="R3112">
        <v>-0.58523480000000005</v>
      </c>
      <c r="S3112">
        <v>3.2833860000000001</v>
      </c>
      <c r="T3112">
        <v>-0.44007039999999997</v>
      </c>
      <c r="U3112">
        <v>-0.55378719999999904</v>
      </c>
      <c r="V3112">
        <v>-0.341680599999999</v>
      </c>
      <c r="W3112">
        <v>-7.2770260000000003E-2</v>
      </c>
      <c r="X3112">
        <v>0.93699460000000001</v>
      </c>
      <c r="Y3112">
        <v>-0.71485790000000005</v>
      </c>
      <c r="Z3112">
        <v>0.13182339999999901</v>
      </c>
      <c r="AA3112">
        <v>0.68673200000000001</v>
      </c>
      <c r="AB3112">
        <v>9</v>
      </c>
      <c r="AC3112">
        <v>8.3221999999999507</v>
      </c>
      <c r="AD3112">
        <v>-1.1226677543150001</v>
      </c>
      <c r="AE3112">
        <v>-1.3452</v>
      </c>
      <c r="AF3112">
        <v>-6.0437997563877097</v>
      </c>
      <c r="AG3112">
        <v>-1.1226677543150001</v>
      </c>
      <c r="AH3112">
        <v>5.6644329866173297</v>
      </c>
      <c r="AI3112">
        <v>97.718472655921104</v>
      </c>
      <c r="AJ3112">
        <v>136.855831990691</v>
      </c>
      <c r="AK3112">
        <v>8.3590489555791798</v>
      </c>
      <c r="AL3112">
        <v>94.173117395386996</v>
      </c>
      <c r="AM3112">
        <v>110.03468205116199</v>
      </c>
      <c r="AN3112">
        <v>1.0000000117929899</v>
      </c>
    </row>
    <row r="3113" spans="1:40" x14ac:dyDescent="0.25">
      <c r="A3113" t="str">
        <f>"20190303154828388"</f>
        <v>20190303154828388</v>
      </c>
      <c r="B3113" t="str">
        <f>"1551599308383716"</f>
        <v>1551599308383716</v>
      </c>
      <c r="C3113" t="s">
        <v>40</v>
      </c>
      <c r="D3113">
        <v>4.7511020000000004</v>
      </c>
      <c r="E3113">
        <v>0.31010720000000003</v>
      </c>
      <c r="F3113" t="s">
        <v>47</v>
      </c>
      <c r="G3113">
        <v>-478.55399999999997</v>
      </c>
      <c r="H3113" s="1">
        <v>2.3083169999999998E-6</v>
      </c>
      <c r="I3113">
        <v>217.893</v>
      </c>
      <c r="J3113">
        <v>-486.96929999999998</v>
      </c>
      <c r="K3113">
        <v>1.122649</v>
      </c>
      <c r="L3113">
        <v>219.1919</v>
      </c>
      <c r="M3113">
        <v>0.56351399999999996</v>
      </c>
      <c r="N3113">
        <v>-1.376512E-2</v>
      </c>
      <c r="O3113">
        <v>-0.82599179999999905</v>
      </c>
      <c r="P3113">
        <v>0.8095215</v>
      </c>
      <c r="Q3113">
        <v>-8.5182980000000005E-2</v>
      </c>
      <c r="R3113">
        <v>-0.58087759999999999</v>
      </c>
      <c r="S3113">
        <v>3.2907099999999998</v>
      </c>
      <c r="T3113">
        <v>-0.4364345</v>
      </c>
      <c r="U3113">
        <v>-0.52862549999999997</v>
      </c>
      <c r="V3113">
        <v>-0.34110790000000002</v>
      </c>
      <c r="W3113">
        <v>-7.3459750000000004E-2</v>
      </c>
      <c r="X3113">
        <v>0.93714940000000002</v>
      </c>
      <c r="Y3113">
        <v>-0.71628510000000001</v>
      </c>
      <c r="Z3113">
        <v>0.13061199999999901</v>
      </c>
      <c r="AA3113">
        <v>0.6854751</v>
      </c>
      <c r="AB3113">
        <v>9</v>
      </c>
      <c r="AC3113">
        <v>8.4152999999999398</v>
      </c>
      <c r="AD3113">
        <v>-1.122646691683</v>
      </c>
      <c r="AE3113">
        <v>-1.2988999999999999</v>
      </c>
      <c r="AF3113">
        <v>-6.1133423521099903</v>
      </c>
      <c r="AG3113">
        <v>-1.122646691683</v>
      </c>
      <c r="AH3113">
        <v>5.7162070724016196</v>
      </c>
      <c r="AI3113">
        <v>97.639823804355203</v>
      </c>
      <c r="AJ3113">
        <v>136.922781001239</v>
      </c>
      <c r="AK3113">
        <v>8.4444250013261897</v>
      </c>
      <c r="AL3113">
        <v>94.212728473396098</v>
      </c>
      <c r="AM3113">
        <v>110.000724136361</v>
      </c>
      <c r="AN3113">
        <v>0.99999996611641495</v>
      </c>
    </row>
    <row r="3114" spans="1:40" x14ac:dyDescent="0.25">
      <c r="A3114" t="str">
        <f>"20190303154828412"</f>
        <v>20190303154828412</v>
      </c>
      <c r="B3114" t="str">
        <f>"1551599308404212"</f>
        <v>1551599308404212</v>
      </c>
      <c r="C3114" t="s">
        <v>40</v>
      </c>
      <c r="D3114">
        <v>4.7675850000000004</v>
      </c>
      <c r="E3114">
        <v>0.30785410000000002</v>
      </c>
      <c r="F3114" t="s">
        <v>47</v>
      </c>
      <c r="G3114">
        <v>-478.4699</v>
      </c>
      <c r="H3114" s="1">
        <v>2.345899E-6</v>
      </c>
      <c r="I3114">
        <v>217.8991</v>
      </c>
      <c r="J3114">
        <v>-486.91460000000001</v>
      </c>
      <c r="K3114">
        <v>1.122627</v>
      </c>
      <c r="L3114">
        <v>219.12549999999999</v>
      </c>
      <c r="M3114">
        <v>0.56889029999999996</v>
      </c>
      <c r="N3114">
        <v>-1.3670160000000001E-2</v>
      </c>
      <c r="O3114">
        <v>-0.82229979999999903</v>
      </c>
      <c r="P3114">
        <v>0.81282140000000003</v>
      </c>
      <c r="Q3114">
        <v>-8.6384890000000006E-2</v>
      </c>
      <c r="R3114">
        <v>-0.57607229999999998</v>
      </c>
      <c r="S3114">
        <v>3.2998660000000002</v>
      </c>
      <c r="T3114">
        <v>-0.43586330000000001</v>
      </c>
      <c r="U3114">
        <v>-0.5019226</v>
      </c>
      <c r="V3114">
        <v>-0.34043839999999997</v>
      </c>
      <c r="W3114">
        <v>-7.4746720000000003E-2</v>
      </c>
      <c r="X3114">
        <v>0.93729110000000004</v>
      </c>
      <c r="Y3114">
        <v>-0.71753789999999995</v>
      </c>
      <c r="Z3114">
        <v>0.13027659999999999</v>
      </c>
      <c r="AA3114">
        <v>0.68422759999999905</v>
      </c>
      <c r="AB3114">
        <v>9</v>
      </c>
      <c r="AC3114">
        <v>8.4447000000000099</v>
      </c>
      <c r="AD3114">
        <v>-1.1226246541009901</v>
      </c>
      <c r="AE3114">
        <v>-1.22639999999998</v>
      </c>
      <c r="AF3114">
        <v>-6.1406912675579797</v>
      </c>
      <c r="AG3114">
        <v>-1.1226246541009901</v>
      </c>
      <c r="AH3114">
        <v>5.7142202438457197</v>
      </c>
      <c r="AI3114">
        <v>97.622895236888695</v>
      </c>
      <c r="AJ3114">
        <v>137.060281690247</v>
      </c>
      <c r="AK3114">
        <v>8.4629007055875594</v>
      </c>
      <c r="AL3114">
        <v>94.286669618446396</v>
      </c>
      <c r="AM3114">
        <v>109.961792333467</v>
      </c>
      <c r="AN3114">
        <v>0.99999999124226402</v>
      </c>
    </row>
    <row r="3115" spans="1:40" x14ac:dyDescent="0.25">
      <c r="A3115" t="str">
        <f>"20190303154828433"</f>
        <v>20190303154828433</v>
      </c>
      <c r="B3115" t="str">
        <f>"1551599308423732"</f>
        <v>1551599308423732</v>
      </c>
      <c r="C3115" t="s">
        <v>40</v>
      </c>
      <c r="D3115">
        <v>4.796913</v>
      </c>
      <c r="E3115">
        <v>0.3063535</v>
      </c>
      <c r="F3115" t="s">
        <v>47</v>
      </c>
      <c r="G3115">
        <v>-478.37380000000002</v>
      </c>
      <c r="H3115" s="1">
        <v>2.3893979999999999E-6</v>
      </c>
      <c r="I3115">
        <v>217.9195</v>
      </c>
      <c r="J3115">
        <v>-486.86380000000003</v>
      </c>
      <c r="K3115">
        <v>1.122609</v>
      </c>
      <c r="L3115">
        <v>219.06460000000001</v>
      </c>
      <c r="M3115">
        <v>0.57383229999999996</v>
      </c>
      <c r="N3115">
        <v>-1.356713E-2</v>
      </c>
      <c r="O3115">
        <v>-0.81886040000000004</v>
      </c>
      <c r="P3115">
        <v>0.81561689999999998</v>
      </c>
      <c r="Q3115">
        <v>-8.6244799999999996E-2</v>
      </c>
      <c r="R3115">
        <v>-0.57212819999999998</v>
      </c>
      <c r="S3115">
        <v>3.3130190000000002</v>
      </c>
      <c r="T3115">
        <v>-0.43547219999999998</v>
      </c>
      <c r="U3115">
        <v>-0.46781919999999999</v>
      </c>
      <c r="V3115">
        <v>-0.3393466</v>
      </c>
      <c r="W3115">
        <v>-7.4698570000000006E-2</v>
      </c>
      <c r="X3115">
        <v>0.93769080000000005</v>
      </c>
      <c r="Y3115">
        <v>-0.72071799999999997</v>
      </c>
      <c r="Z3115">
        <v>0.1300161</v>
      </c>
      <c r="AA3115">
        <v>0.6809269</v>
      </c>
      <c r="AB3115">
        <v>9</v>
      </c>
      <c r="AC3115">
        <v>8.49</v>
      </c>
      <c r="AD3115">
        <v>-1.1226066106020001</v>
      </c>
      <c r="AE3115">
        <v>-1.14510000000001</v>
      </c>
      <c r="AF3115">
        <v>-6.1893285246157701</v>
      </c>
      <c r="AG3115">
        <v>-1.1226066106020001</v>
      </c>
      <c r="AH3115">
        <v>5.7119647503779198</v>
      </c>
      <c r="AI3115">
        <v>97.592234922657099</v>
      </c>
      <c r="AJ3115">
        <v>137.296916426363</v>
      </c>
      <c r="AK3115">
        <v>8.4967390507976397</v>
      </c>
      <c r="AL3115">
        <v>94.283902995392395</v>
      </c>
      <c r="AM3115">
        <v>109.89499016540699</v>
      </c>
      <c r="AN3115">
        <v>1.00000001384812</v>
      </c>
    </row>
    <row r="3116" spans="1:40" x14ac:dyDescent="0.25">
      <c r="A3116" t="str">
        <f>"20190303154828456"</f>
        <v>20190303154828456</v>
      </c>
      <c r="B3116" t="str">
        <f>"1551599308453460"</f>
        <v>1551599308453460</v>
      </c>
      <c r="C3116" t="s">
        <v>40</v>
      </c>
      <c r="D3116">
        <v>4.8077579999999998</v>
      </c>
      <c r="E3116">
        <v>0.30493540000000002</v>
      </c>
      <c r="F3116" t="s">
        <v>47</v>
      </c>
      <c r="G3116">
        <v>-478.23829999999998</v>
      </c>
      <c r="H3116" s="1">
        <v>2.4493820000000001E-6</v>
      </c>
      <c r="I3116">
        <v>217.9169</v>
      </c>
      <c r="J3116">
        <v>-486.80829999999997</v>
      </c>
      <c r="K3116">
        <v>1.1225889999999901</v>
      </c>
      <c r="L3116">
        <v>218.999</v>
      </c>
      <c r="M3116">
        <v>0.57918639999999999</v>
      </c>
      <c r="N3116">
        <v>-1.341591E-2</v>
      </c>
      <c r="O3116">
        <v>-0.8150849</v>
      </c>
      <c r="P3116">
        <v>0.81916599999999995</v>
      </c>
      <c r="Q3116">
        <v>-8.5069660000000005E-2</v>
      </c>
      <c r="R3116">
        <v>-0.56721269999999901</v>
      </c>
      <c r="S3116">
        <v>3.3224179999999999</v>
      </c>
      <c r="T3116">
        <v>-0.43241190000000002</v>
      </c>
      <c r="U3116">
        <v>-0.44209290000000001</v>
      </c>
      <c r="V3116">
        <v>-0.33894419999999997</v>
      </c>
      <c r="W3116">
        <v>-7.3674219999999999E-2</v>
      </c>
      <c r="X3116">
        <v>0.93791740000000001</v>
      </c>
      <c r="Y3116">
        <v>-0.72183169999999997</v>
      </c>
      <c r="Z3116">
        <v>0.12888160000000001</v>
      </c>
      <c r="AA3116">
        <v>0.67996219999999996</v>
      </c>
      <c r="AB3116">
        <v>9</v>
      </c>
      <c r="AC3116">
        <v>8.5699999999999896</v>
      </c>
      <c r="AD3116">
        <v>-1.1225865506179999</v>
      </c>
      <c r="AE3116">
        <v>-1.08210000000002</v>
      </c>
      <c r="AF3116">
        <v>-6.2534950243051597</v>
      </c>
      <c r="AG3116">
        <v>-1.1225865506179999</v>
      </c>
      <c r="AH3116">
        <v>5.7490592645673102</v>
      </c>
      <c r="AI3116">
        <v>97.528202017265002</v>
      </c>
      <c r="AJ3116">
        <v>137.40657453657201</v>
      </c>
      <c r="AK3116">
        <v>8.5684352719819898</v>
      </c>
      <c r="AL3116">
        <v>94.225049710268905</v>
      </c>
      <c r="AM3116">
        <v>109.868821090022</v>
      </c>
      <c r="AN3116">
        <v>1.0000000553145001</v>
      </c>
    </row>
    <row r="3117" spans="1:40" x14ac:dyDescent="0.25">
      <c r="A3117" t="str">
        <f>"20190303154828478"</f>
        <v>20190303154828478</v>
      </c>
      <c r="B3117" t="str">
        <f>"1551599308473956"</f>
        <v>1551599308473956</v>
      </c>
      <c r="C3117" t="s">
        <v>40</v>
      </c>
      <c r="D3117">
        <v>4.8649040000000001</v>
      </c>
      <c r="E3117">
        <v>0.30445050000000001</v>
      </c>
      <c r="F3117" t="s">
        <v>47</v>
      </c>
      <c r="G3117">
        <v>-478.04790000000003</v>
      </c>
      <c r="H3117" s="1">
        <v>2.5336300000000002E-6</v>
      </c>
      <c r="I3117">
        <v>217.9127</v>
      </c>
      <c r="J3117">
        <v>-486.75490000000002</v>
      </c>
      <c r="K3117">
        <v>1.1225689999999999</v>
      </c>
      <c r="L3117">
        <v>218.9366</v>
      </c>
      <c r="M3117">
        <v>0.58430260000000001</v>
      </c>
      <c r="N3117">
        <v>-1.321551E-2</v>
      </c>
      <c r="O3117">
        <v>-0.81142840000000005</v>
      </c>
      <c r="P3117">
        <v>0.82297070000000005</v>
      </c>
      <c r="Q3117">
        <v>-8.4347420000000006E-2</v>
      </c>
      <c r="R3117">
        <v>-0.5617877</v>
      </c>
      <c r="S3117">
        <v>3.3318180000000002</v>
      </c>
      <c r="T3117">
        <v>-0.42694949999999998</v>
      </c>
      <c r="U3117">
        <v>-0.41314699999999999</v>
      </c>
      <c r="V3117">
        <v>-0.33929989999999999</v>
      </c>
      <c r="W3117">
        <v>-7.3164220000000002E-2</v>
      </c>
      <c r="X3117">
        <v>0.93782869999999996</v>
      </c>
      <c r="Y3117">
        <v>-0.72384979999999999</v>
      </c>
      <c r="Z3117">
        <v>0.1271003</v>
      </c>
      <c r="AA3117">
        <v>0.67814960000000002</v>
      </c>
      <c r="AB3117">
        <v>9</v>
      </c>
      <c r="AC3117">
        <v>8.7069999999999901</v>
      </c>
      <c r="AD3117">
        <v>-1.1225664663699999</v>
      </c>
      <c r="AE3117">
        <v>-1.02389999999999</v>
      </c>
      <c r="AF3117">
        <v>-6.3630783717813397</v>
      </c>
      <c r="AG3117">
        <v>-1.1225664663699999</v>
      </c>
      <c r="AH3117">
        <v>5.8233836809190302</v>
      </c>
      <c r="AI3117">
        <v>97.415022085421995</v>
      </c>
      <c r="AJ3117">
        <v>137.535767629112</v>
      </c>
      <c r="AK3117">
        <v>8.6983170402120908</v>
      </c>
      <c r="AL3117">
        <v>94.1957498196534</v>
      </c>
      <c r="AM3117">
        <v>109.88977143911499</v>
      </c>
      <c r="AN3117">
        <v>1.0000000478859501</v>
      </c>
    </row>
    <row r="3118" spans="1:40" x14ac:dyDescent="0.25">
      <c r="A3118" t="str">
        <f>"20190303154828502"</f>
        <v>20190303154828502</v>
      </c>
      <c r="B3118" t="str">
        <f>"1551599308493476"</f>
        <v>1551599308493476</v>
      </c>
      <c r="C3118" t="s">
        <v>40</v>
      </c>
      <c r="D3118">
        <v>4.8620409999999996</v>
      </c>
      <c r="E3118">
        <v>0.30422670000000002</v>
      </c>
      <c r="F3118" t="s">
        <v>47</v>
      </c>
      <c r="G3118">
        <v>-477.90069999999997</v>
      </c>
      <c r="H3118" s="1">
        <v>2.5986669999999999E-6</v>
      </c>
      <c r="I3118">
        <v>217.90700000000001</v>
      </c>
      <c r="J3118">
        <v>-486.6968</v>
      </c>
      <c r="K3118">
        <v>1.1225419999999999</v>
      </c>
      <c r="L3118">
        <v>218.8698</v>
      </c>
      <c r="M3118">
        <v>0.58983240000000003</v>
      </c>
      <c r="N3118">
        <v>-1.293567E-2</v>
      </c>
      <c r="O3118">
        <v>-0.80742219999999998</v>
      </c>
      <c r="P3118">
        <v>0.82711990000000002</v>
      </c>
      <c r="Q3118">
        <v>-8.4835949999999993E-2</v>
      </c>
      <c r="R3118">
        <v>-0.55558569999999996</v>
      </c>
      <c r="S3118">
        <v>3.337097</v>
      </c>
      <c r="T3118">
        <v>-0.42308679999999899</v>
      </c>
      <c r="U3118">
        <v>-0.38804630000000001</v>
      </c>
      <c r="V3118">
        <v>-0.33989449999999999</v>
      </c>
      <c r="W3118">
        <v>-7.395127E-2</v>
      </c>
      <c r="X3118">
        <v>0.93755160000000004</v>
      </c>
      <c r="Y3118">
        <v>-0.72452249999999996</v>
      </c>
      <c r="Z3118">
        <v>0.12589130000000001</v>
      </c>
      <c r="AA3118">
        <v>0.677656699999999</v>
      </c>
      <c r="AB3118">
        <v>9</v>
      </c>
      <c r="AC3118">
        <v>8.7961000000000205</v>
      </c>
      <c r="AD3118">
        <v>-1.1225394013329999</v>
      </c>
      <c r="AE3118">
        <v>-0.962799999999987</v>
      </c>
      <c r="AF3118">
        <v>-6.4313194418386299</v>
      </c>
      <c r="AG3118">
        <v>-1.1225394013329999</v>
      </c>
      <c r="AH3118">
        <v>5.8716146143680099</v>
      </c>
      <c r="AI3118">
        <v>97.345026202419504</v>
      </c>
      <c r="AJ3118">
        <v>137.60479555537901</v>
      </c>
      <c r="AK3118">
        <v>8.7805365809941698</v>
      </c>
      <c r="AL3118">
        <v>94.240967024212395</v>
      </c>
      <c r="AM3118">
        <v>109.92731152798</v>
      </c>
      <c r="AN3118">
        <v>1.0000000320637099</v>
      </c>
    </row>
    <row r="3119" spans="1:40" x14ac:dyDescent="0.25">
      <c r="A3119" t="str">
        <f>"20190303154828526"</f>
        <v>20190303154828526</v>
      </c>
      <c r="B3119" t="str">
        <f>"1551599308513972"</f>
        <v>1551599308513972</v>
      </c>
      <c r="C3119" t="s">
        <v>40</v>
      </c>
      <c r="D3119">
        <v>4.9211519999999904</v>
      </c>
      <c r="E3119">
        <v>0.30438330000000002</v>
      </c>
      <c r="F3119" t="s">
        <v>47</v>
      </c>
      <c r="G3119">
        <v>-477.80709999999999</v>
      </c>
      <c r="H3119" s="1">
        <v>2.6401910000000001E-6</v>
      </c>
      <c r="I3119">
        <v>217.90790000000001</v>
      </c>
      <c r="J3119">
        <v>-486.63830000000002</v>
      </c>
      <c r="K3119">
        <v>1.122512</v>
      </c>
      <c r="L3119">
        <v>218.80340000000001</v>
      </c>
      <c r="M3119">
        <v>0.59535009999999999</v>
      </c>
      <c r="N3119">
        <v>-1.260902E-2</v>
      </c>
      <c r="O3119">
        <v>-0.80336759999999996</v>
      </c>
      <c r="P3119">
        <v>0.83115110000000003</v>
      </c>
      <c r="Q3119">
        <v>-8.5900889999999994E-2</v>
      </c>
      <c r="R3119">
        <v>-0.54937179999999997</v>
      </c>
      <c r="S3119">
        <v>3.3410030000000002</v>
      </c>
      <c r="T3119">
        <v>-0.42188130000000001</v>
      </c>
      <c r="U3119">
        <v>-0.36148069999999999</v>
      </c>
      <c r="V3119">
        <v>-0.34039979999999997</v>
      </c>
      <c r="W3119">
        <v>-7.5359159999999994E-2</v>
      </c>
      <c r="X3119">
        <v>0.93725610000000004</v>
      </c>
      <c r="Y3119">
        <v>-0.72530530000000004</v>
      </c>
      <c r="Z3119">
        <v>0.12559110000000001</v>
      </c>
      <c r="AA3119">
        <v>0.67687449999999905</v>
      </c>
      <c r="AB3119">
        <v>9</v>
      </c>
      <c r="AC3119">
        <v>8.8312000000000204</v>
      </c>
      <c r="AD3119">
        <v>-1.1225093598089999</v>
      </c>
      <c r="AE3119">
        <v>-0.89549999999999796</v>
      </c>
      <c r="AF3119">
        <v>-6.4587969634034703</v>
      </c>
      <c r="AG3119">
        <v>-1.1225093598089999</v>
      </c>
      <c r="AH3119">
        <v>5.88345881677549</v>
      </c>
      <c r="AI3119">
        <v>97.321312546714495</v>
      </c>
      <c r="AJ3119">
        <v>137.668928772144</v>
      </c>
      <c r="AK3119">
        <v>8.8085851943443192</v>
      </c>
      <c r="AL3119">
        <v>94.321859007163297</v>
      </c>
      <c r="AM3119">
        <v>109.960394227796</v>
      </c>
      <c r="AN3119">
        <v>1.00000001191157</v>
      </c>
    </row>
    <row r="3120" spans="1:40" x14ac:dyDescent="0.25">
      <c r="A3120" t="str">
        <f>"20190303154828546"</f>
        <v>20190303154828546</v>
      </c>
      <c r="B3120" t="str">
        <f>"1551599308533492"</f>
        <v>1551599308533492</v>
      </c>
      <c r="C3120" t="s">
        <v>40</v>
      </c>
      <c r="D3120">
        <v>4.9406160000000003</v>
      </c>
      <c r="E3120">
        <v>0.30453560000000002</v>
      </c>
      <c r="F3120" t="s">
        <v>47</v>
      </c>
      <c r="G3120">
        <v>-477.77480000000003</v>
      </c>
      <c r="H3120" s="1">
        <v>2.6545440000000001E-6</v>
      </c>
      <c r="I3120">
        <v>217.90889999999999</v>
      </c>
      <c r="J3120">
        <v>-486.58800000000002</v>
      </c>
      <c r="K3120">
        <v>1.1224879999999999</v>
      </c>
      <c r="L3120">
        <v>218.74709999999999</v>
      </c>
      <c r="M3120">
        <v>0.60004239999999998</v>
      </c>
      <c r="N3120">
        <v>-1.2319119999999999E-2</v>
      </c>
      <c r="O3120">
        <v>-0.79987330000000001</v>
      </c>
      <c r="P3120">
        <v>0.83452839999999995</v>
      </c>
      <c r="Q3120">
        <v>-8.5955889999999993E-2</v>
      </c>
      <c r="R3120">
        <v>-0.54421839999999999</v>
      </c>
      <c r="S3120">
        <v>3.3427120000000001</v>
      </c>
      <c r="T3120">
        <v>-0.42333670000000001</v>
      </c>
      <c r="U3120">
        <v>-0.33734130000000001</v>
      </c>
      <c r="V3120">
        <v>-0.340703599999999</v>
      </c>
      <c r="W3120">
        <v>-7.5711070000000005E-2</v>
      </c>
      <c r="X3120">
        <v>0.93711730000000004</v>
      </c>
      <c r="Y3120">
        <v>-0.72610129999999995</v>
      </c>
      <c r="Z3120">
        <v>0.12617970000000001</v>
      </c>
      <c r="AA3120">
        <v>0.67591089999999998</v>
      </c>
      <c r="AB3120">
        <v>9</v>
      </c>
      <c r="AC3120">
        <v>8.8131999999999895</v>
      </c>
      <c r="AD3120">
        <v>-1.122485345456</v>
      </c>
      <c r="AE3120">
        <v>-0.83819999999999995</v>
      </c>
      <c r="AF3120">
        <v>-6.4433994574945102</v>
      </c>
      <c r="AG3120">
        <v>-1.122485345456</v>
      </c>
      <c r="AH3120">
        <v>5.8649143308248002</v>
      </c>
      <c r="AI3120">
        <v>97.340996554359506</v>
      </c>
      <c r="AJ3120">
        <v>137.69089527771899</v>
      </c>
      <c r="AK3120">
        <v>8.7849069447273198</v>
      </c>
      <c r="AL3120">
        <v>94.342079908048007</v>
      </c>
      <c r="AM3120">
        <v>109.979524770064</v>
      </c>
      <c r="AN3120">
        <v>0.99999997156639697</v>
      </c>
    </row>
    <row r="3121" spans="1:40" x14ac:dyDescent="0.25">
      <c r="A3121" t="str">
        <f>"20190303154828567"</f>
        <v>20190303154828567</v>
      </c>
      <c r="B3121" t="str">
        <f>"1551599308563747"</f>
        <v>1551599308563747</v>
      </c>
      <c r="C3121" t="s">
        <v>40</v>
      </c>
      <c r="D3121">
        <v>5.0023109999999997</v>
      </c>
      <c r="E3121">
        <v>0.30519770000000002</v>
      </c>
      <c r="F3121" t="s">
        <v>47</v>
      </c>
      <c r="G3121">
        <v>-477.68759999999997</v>
      </c>
      <c r="H3121" s="1">
        <v>2.6929009999999999E-6</v>
      </c>
      <c r="I3121">
        <v>217.90129999999999</v>
      </c>
      <c r="J3121">
        <v>-486.53199999999998</v>
      </c>
      <c r="K3121">
        <v>1.1224620000000001</v>
      </c>
      <c r="L3121">
        <v>218.68520000000001</v>
      </c>
      <c r="M3121">
        <v>0.60520739999999995</v>
      </c>
      <c r="N3121">
        <v>-1.1993790000000001E-2</v>
      </c>
      <c r="O3121">
        <v>-0.79597759999999995</v>
      </c>
      <c r="P3121">
        <v>0.83807579999999904</v>
      </c>
      <c r="Q3121">
        <v>-8.4808010000000003E-2</v>
      </c>
      <c r="R3121">
        <v>-0.53892200000000001</v>
      </c>
      <c r="S3121">
        <v>3.3441770000000002</v>
      </c>
      <c r="T3121">
        <v>-0.42175479999999999</v>
      </c>
      <c r="U3121">
        <v>-0.31777949999999999</v>
      </c>
      <c r="V3121">
        <v>-0.34066809999999997</v>
      </c>
      <c r="W3121">
        <v>-7.4887090000000003E-2</v>
      </c>
      <c r="X3121">
        <v>0.93719640000000004</v>
      </c>
      <c r="Y3121">
        <v>-0.72570840000000003</v>
      </c>
      <c r="Z3121">
        <v>0.12572039999999901</v>
      </c>
      <c r="AA3121">
        <v>0.67641819999999997</v>
      </c>
      <c r="AB3121">
        <v>9</v>
      </c>
      <c r="AC3121">
        <v>8.8444000000000091</v>
      </c>
      <c r="AD3121">
        <v>-1.1224593070990001</v>
      </c>
      <c r="AE3121">
        <v>-0.78390000000001603</v>
      </c>
      <c r="AF3121">
        <v>-6.4627127431729798</v>
      </c>
      <c r="AG3121">
        <v>-1.1224593070990001</v>
      </c>
      <c r="AH3121">
        <v>5.8830746468722799</v>
      </c>
      <c r="AI3121">
        <v>97.318804917269404</v>
      </c>
      <c r="AJ3121">
        <v>137.688078550634</v>
      </c>
      <c r="AK3121">
        <v>8.8111939144213096</v>
      </c>
      <c r="AL3121">
        <v>94.294734960015603</v>
      </c>
      <c r="AM3121">
        <v>109.976054896995</v>
      </c>
      <c r="AN3121">
        <v>0.999999961389618</v>
      </c>
    </row>
    <row r="3122" spans="1:40" x14ac:dyDescent="0.25">
      <c r="A3122" t="str">
        <f>"20190303154828590"</f>
        <v>20190303154828590</v>
      </c>
      <c r="B3122" t="str">
        <f>"1551599308584245"</f>
        <v>1551599308584245</v>
      </c>
      <c r="C3122" t="s">
        <v>40</v>
      </c>
      <c r="D3122">
        <v>4.9426240000000004</v>
      </c>
      <c r="E3122">
        <v>0.30556319999999998</v>
      </c>
      <c r="F3122" t="s">
        <v>47</v>
      </c>
      <c r="G3122">
        <v>-477.53280000000001</v>
      </c>
      <c r="H3122" s="1">
        <v>2.7604089999999999E-6</v>
      </c>
      <c r="I3122">
        <v>217.87479999999999</v>
      </c>
      <c r="J3122">
        <v>-486.47370000000001</v>
      </c>
      <c r="K3122">
        <v>1.1224350000000001</v>
      </c>
      <c r="L3122">
        <v>218.6215</v>
      </c>
      <c r="M3122">
        <v>0.61052910000000005</v>
      </c>
      <c r="N3122">
        <v>-1.164343E-2</v>
      </c>
      <c r="O3122">
        <v>-0.79190830000000001</v>
      </c>
      <c r="P3122">
        <v>0.84137919999999999</v>
      </c>
      <c r="Q3122">
        <v>-8.3662669999999995E-2</v>
      </c>
      <c r="R3122">
        <v>-0.53393049999999997</v>
      </c>
      <c r="S3122">
        <v>3.3437809999999999</v>
      </c>
      <c r="T3122">
        <v>-0.41706189999999999</v>
      </c>
      <c r="U3122">
        <v>-0.30108639999999998</v>
      </c>
      <c r="V3122">
        <v>-0.34005030000000003</v>
      </c>
      <c r="W3122">
        <v>-7.4084940000000002E-2</v>
      </c>
      <c r="X3122">
        <v>0.93748450000000005</v>
      </c>
      <c r="Y3122">
        <v>-0.72469019999999995</v>
      </c>
      <c r="Z3122">
        <v>0.1243068</v>
      </c>
      <c r="AA3122">
        <v>0.67776979999999998</v>
      </c>
      <c r="AB3122">
        <v>9</v>
      </c>
      <c r="AC3122">
        <v>8.9408999999999992</v>
      </c>
      <c r="AD3122">
        <v>-1.122432239591</v>
      </c>
      <c r="AE3122">
        <v>-0.74670000000000403</v>
      </c>
      <c r="AF3122">
        <v>-6.5228511077318396</v>
      </c>
      <c r="AG3122">
        <v>-1.122432239591</v>
      </c>
      <c r="AH3122">
        <v>5.9571722901940198</v>
      </c>
      <c r="AI3122">
        <v>97.2412860738674</v>
      </c>
      <c r="AJ3122">
        <v>137.595254736854</v>
      </c>
      <c r="AK3122">
        <v>8.9047932261882004</v>
      </c>
      <c r="AL3122">
        <v>94.248647012056395</v>
      </c>
      <c r="AM3122">
        <v>109.937040797169</v>
      </c>
      <c r="AN3122">
        <v>0.99999998630257103</v>
      </c>
    </row>
    <row r="3123" spans="1:40" x14ac:dyDescent="0.25">
      <c r="A3123" t="str">
        <f>"20190303154828615"</f>
        <v>20190303154828615</v>
      </c>
      <c r="B3123" t="str">
        <f>"1551599308603764"</f>
        <v>1551599308603764</v>
      </c>
      <c r="C3123" t="s">
        <v>40</v>
      </c>
      <c r="D3123">
        <v>4.9514490000000002</v>
      </c>
      <c r="E3123">
        <v>0.30595860000000002</v>
      </c>
      <c r="F3123" t="s">
        <v>47</v>
      </c>
      <c r="G3123">
        <v>-477.34660000000002</v>
      </c>
      <c r="H3123" s="1">
        <v>2.8417549999999999E-6</v>
      </c>
      <c r="I3123">
        <v>217.84739999999999</v>
      </c>
      <c r="J3123">
        <v>-486.40910000000002</v>
      </c>
      <c r="K3123">
        <v>1.1224050000000001</v>
      </c>
      <c r="L3123">
        <v>218.55179999999999</v>
      </c>
      <c r="M3123">
        <v>0.61636820000000003</v>
      </c>
      <c r="N3123">
        <v>-1.121977E-2</v>
      </c>
      <c r="O3123">
        <v>-0.78737840000000003</v>
      </c>
      <c r="P3123">
        <v>0.84468029999999905</v>
      </c>
      <c r="Q3123">
        <v>-8.3270150000000001E-2</v>
      </c>
      <c r="R3123">
        <v>-0.52875450000000002</v>
      </c>
      <c r="S3123">
        <v>3.3446039999999999</v>
      </c>
      <c r="T3123">
        <v>-0.41131250000000003</v>
      </c>
      <c r="U3123">
        <v>-0.28366089999999999</v>
      </c>
      <c r="V3123">
        <v>-0.33890179999999998</v>
      </c>
      <c r="W3123">
        <v>-7.4112419999999998E-2</v>
      </c>
      <c r="X3123">
        <v>0.93789820000000002</v>
      </c>
      <c r="Y3123">
        <v>-0.72342399999999996</v>
      </c>
      <c r="Z3123">
        <v>0.1225164</v>
      </c>
      <c r="AA3123">
        <v>0.67944649999999995</v>
      </c>
      <c r="AB3123">
        <v>9</v>
      </c>
      <c r="AC3123">
        <v>9.0625</v>
      </c>
      <c r="AD3123">
        <v>-1.1224021582449999</v>
      </c>
      <c r="AE3123">
        <v>-0.70439999999999203</v>
      </c>
      <c r="AF3123">
        <v>-6.6012186022742796</v>
      </c>
      <c r="AG3123">
        <v>-1.1224021582449999</v>
      </c>
      <c r="AH3123">
        <v>6.0486279285997</v>
      </c>
      <c r="AI3123">
        <v>97.145410461100695</v>
      </c>
      <c r="AJ3123">
        <v>137.50129495105</v>
      </c>
      <c r="AK3123">
        <v>9.0234014350732199</v>
      </c>
      <c r="AL3123">
        <v>94.250225538539993</v>
      </c>
      <c r="AM3123">
        <v>109.86690497185501</v>
      </c>
      <c r="AN3123">
        <v>1.00000005720236</v>
      </c>
    </row>
    <row r="3124" spans="1:40" x14ac:dyDescent="0.25">
      <c r="A3124" t="str">
        <f>"20190303154828635"</f>
        <v>20190303154828635</v>
      </c>
      <c r="B3124" t="str">
        <f>"1551599308624261"</f>
        <v>1551599308624261</v>
      </c>
      <c r="C3124" t="s">
        <v>40</v>
      </c>
      <c r="D3124">
        <v>4.9366789999999998</v>
      </c>
      <c r="E3124">
        <v>0.30632999999999999</v>
      </c>
      <c r="F3124" t="s">
        <v>47</v>
      </c>
      <c r="G3124">
        <v>-477.21039999999999</v>
      </c>
      <c r="H3124" s="1">
        <v>2.9009660000000002E-6</v>
      </c>
      <c r="I3124">
        <v>217.82050000000001</v>
      </c>
      <c r="J3124">
        <v>-486.3537</v>
      </c>
      <c r="K3124">
        <v>1.1223829999999999</v>
      </c>
      <c r="L3124">
        <v>218.49289999999999</v>
      </c>
      <c r="M3124">
        <v>0.62133969999999905</v>
      </c>
      <c r="N3124">
        <v>-1.080921E-2</v>
      </c>
      <c r="O3124">
        <v>-0.78346700000000002</v>
      </c>
      <c r="P3124">
        <v>0.84769550000000005</v>
      </c>
      <c r="Q3124">
        <v>-8.3224290000000006E-2</v>
      </c>
      <c r="R3124">
        <v>-0.52391449999999995</v>
      </c>
      <c r="S3124">
        <v>3.3449710000000001</v>
      </c>
      <c r="T3124">
        <v>-0.40814650000000002</v>
      </c>
      <c r="U3124">
        <v>-0.26591490000000001</v>
      </c>
      <c r="V3124">
        <v>-0.33832699999999999</v>
      </c>
      <c r="W3124">
        <v>-7.4489319999999998E-2</v>
      </c>
      <c r="X3124">
        <v>0.93807580000000002</v>
      </c>
      <c r="Y3124">
        <v>-0.7228154</v>
      </c>
      <c r="Z3124">
        <v>0.1215995</v>
      </c>
      <c r="AA3124">
        <v>0.68025839999999904</v>
      </c>
      <c r="AB3124">
        <v>9</v>
      </c>
      <c r="AC3124">
        <v>9.1433</v>
      </c>
      <c r="AD3124">
        <v>-1.1223800990339901</v>
      </c>
      <c r="AE3124">
        <v>-0.67239999999998101</v>
      </c>
      <c r="AF3124">
        <v>-6.64646335104936</v>
      </c>
      <c r="AG3124">
        <v>-1.1223800990339901</v>
      </c>
      <c r="AH3124">
        <v>6.1165870860915597</v>
      </c>
      <c r="AI3124">
        <v>97.083187908667</v>
      </c>
      <c r="AJ3124">
        <v>137.377350855749</v>
      </c>
      <c r="AK3124">
        <v>9.1020794187532701</v>
      </c>
      <c r="AL3124">
        <v>94.271880365830995</v>
      </c>
      <c r="AM3124">
        <v>109.832377406676</v>
      </c>
      <c r="AN3124">
        <v>1.00000001213435</v>
      </c>
    </row>
    <row r="3125" spans="1:40" x14ac:dyDescent="0.25">
      <c r="A3125" t="str">
        <f>"20190303154828659"</f>
        <v>20190303154828659</v>
      </c>
      <c r="B3125" t="str">
        <f>"1551599308653540"</f>
        <v>1551599308653540</v>
      </c>
      <c r="C3125" t="s">
        <v>40</v>
      </c>
      <c r="D3125">
        <v>4.9689030000000001</v>
      </c>
      <c r="E3125">
        <v>0.3068553</v>
      </c>
      <c r="F3125" t="s">
        <v>47</v>
      </c>
      <c r="G3125">
        <v>-477.14699999999999</v>
      </c>
      <c r="H3125" s="1">
        <v>2.9285380000000002E-6</v>
      </c>
      <c r="I3125">
        <v>217.8073</v>
      </c>
      <c r="J3125">
        <v>-486.2894</v>
      </c>
      <c r="K3125">
        <v>1.1223669999999999</v>
      </c>
      <c r="L3125">
        <v>218.4255</v>
      </c>
      <c r="M3125">
        <v>0.62707009999999996</v>
      </c>
      <c r="N3125">
        <v>-1.02694E-2</v>
      </c>
      <c r="O3125">
        <v>-0.77889540000000002</v>
      </c>
      <c r="P3125">
        <v>0.85118890000000003</v>
      </c>
      <c r="Q3125">
        <v>-8.3359500000000003E-2</v>
      </c>
      <c r="R3125">
        <v>-0.51819769999999998</v>
      </c>
      <c r="S3125">
        <v>3.345062</v>
      </c>
      <c r="T3125">
        <v>-0.4077923</v>
      </c>
      <c r="U3125">
        <v>-0.24908449999999999</v>
      </c>
      <c r="V3125">
        <v>-0.33773599999999998</v>
      </c>
      <c r="W3125">
        <v>-7.5194220000000006E-2</v>
      </c>
      <c r="X3125">
        <v>0.93823250000000002</v>
      </c>
      <c r="Y3125">
        <v>-0.72120600000000001</v>
      </c>
      <c r="Z3125">
        <v>0.1215175</v>
      </c>
      <c r="AA3125">
        <v>0.68197909999999995</v>
      </c>
      <c r="AB3125">
        <v>9</v>
      </c>
      <c r="AC3125">
        <v>9.1424000000000092</v>
      </c>
      <c r="AD3125">
        <v>-1.122364071462</v>
      </c>
      <c r="AE3125">
        <v>-0.61820000000000097</v>
      </c>
      <c r="AF3125">
        <v>-6.6341430086866202</v>
      </c>
      <c r="AG3125">
        <v>-1.122364071462</v>
      </c>
      <c r="AH3125">
        <v>6.1229058773110898</v>
      </c>
      <c r="AI3125">
        <v>97.086797988450499</v>
      </c>
      <c r="AJ3125">
        <v>137.29489316192399</v>
      </c>
      <c r="AK3125">
        <v>9.0973364756408195</v>
      </c>
      <c r="AL3125">
        <v>94.312381801872107</v>
      </c>
      <c r="AM3125">
        <v>109.797378839007</v>
      </c>
      <c r="AN3125">
        <v>1.0000000002368199</v>
      </c>
    </row>
    <row r="3126" spans="1:40" x14ac:dyDescent="0.25">
      <c r="A3126" t="str">
        <f>"20190303154828681"</f>
        <v>20190303154828681</v>
      </c>
      <c r="B3126" t="str">
        <f>"1551599308674037"</f>
        <v>1551599308674037</v>
      </c>
      <c r="C3126" t="s">
        <v>40</v>
      </c>
      <c r="D3126">
        <v>4.9742040000000003</v>
      </c>
      <c r="E3126">
        <v>0.32033590000000001</v>
      </c>
      <c r="F3126" t="s">
        <v>47</v>
      </c>
      <c r="G3126">
        <v>-477.09679999999997</v>
      </c>
      <c r="H3126" s="1">
        <v>2.9501579999999998E-6</v>
      </c>
      <c r="I3126">
        <v>217.79310000000001</v>
      </c>
      <c r="J3126">
        <v>-486.22640000000001</v>
      </c>
      <c r="K3126">
        <v>1.1223639999999999</v>
      </c>
      <c r="L3126">
        <v>218.3603</v>
      </c>
      <c r="M3126">
        <v>0.63267390000000001</v>
      </c>
      <c r="N3126">
        <v>-9.6693319999999992E-3</v>
      </c>
      <c r="O3126">
        <v>-0.77435790000000004</v>
      </c>
      <c r="P3126">
        <v>0.85465159999999996</v>
      </c>
      <c r="Q3126">
        <v>-8.439961E-2</v>
      </c>
      <c r="R3126">
        <v>-0.51229629999999904</v>
      </c>
      <c r="S3126">
        <v>3.3444519999999902</v>
      </c>
      <c r="T3126">
        <v>-0.40833839999999999</v>
      </c>
      <c r="U3126">
        <v>-0.23005680000000001</v>
      </c>
      <c r="V3126">
        <v>-0.3373565</v>
      </c>
      <c r="W3126">
        <v>-7.6879169999999997E-2</v>
      </c>
      <c r="X3126">
        <v>0.93823250000000002</v>
      </c>
      <c r="Y3126">
        <v>-0.72006300000000001</v>
      </c>
      <c r="Z3126">
        <v>0.1217941</v>
      </c>
      <c r="AA3126">
        <v>0.68313649999999904</v>
      </c>
      <c r="AB3126">
        <v>9</v>
      </c>
      <c r="AC3126">
        <v>9.1296000000000301</v>
      </c>
      <c r="AD3126">
        <v>-1.122361049842</v>
      </c>
      <c r="AE3126">
        <v>-0.56719999999998505</v>
      </c>
      <c r="AF3126">
        <v>-6.61150131329555</v>
      </c>
      <c r="AG3126">
        <v>-1.122361049842</v>
      </c>
      <c r="AH3126">
        <v>6.1233771620530097</v>
      </c>
      <c r="AI3126">
        <v>97.099470848625202</v>
      </c>
      <c r="AJ3126">
        <v>137.19505585219201</v>
      </c>
      <c r="AK3126">
        <v>9.0811558631412002</v>
      </c>
      <c r="AL3126">
        <v>94.409202546642007</v>
      </c>
      <c r="AM3126">
        <v>109.77685949870499</v>
      </c>
      <c r="AN3126">
        <v>1.00000001946419</v>
      </c>
    </row>
    <row r="3127" spans="1:40" x14ac:dyDescent="0.25">
      <c r="A3127" t="str">
        <f>"20190303154828705"</f>
        <v>20190303154828705</v>
      </c>
      <c r="B3127" t="str">
        <f>"1551599308693557"</f>
        <v>1551599308693557</v>
      </c>
      <c r="C3127" t="s">
        <v>40</v>
      </c>
      <c r="D3127">
        <v>5.0244010000000001</v>
      </c>
      <c r="E3127">
        <v>0.3202816</v>
      </c>
      <c r="F3127" t="s">
        <v>47</v>
      </c>
      <c r="G3127">
        <v>-477.3811</v>
      </c>
      <c r="H3127" s="1">
        <v>2.813752E-6</v>
      </c>
      <c r="I3127">
        <v>217.55699999999999</v>
      </c>
      <c r="J3127">
        <v>-486.16050000000001</v>
      </c>
      <c r="K3127">
        <v>1.122374</v>
      </c>
      <c r="L3127">
        <v>218.29339999999999</v>
      </c>
      <c r="M3127">
        <v>0.63849669999999903</v>
      </c>
      <c r="N3127">
        <v>-8.9970780000000004E-3</v>
      </c>
      <c r="O3127">
        <v>-0.76957200000000003</v>
      </c>
      <c r="P3127">
        <v>0.85803189999999996</v>
      </c>
      <c r="Q3127">
        <v>-8.4605509999999995E-2</v>
      </c>
      <c r="R3127">
        <v>-0.50658000000000003</v>
      </c>
      <c r="S3127">
        <v>3.289825</v>
      </c>
      <c r="T3127">
        <v>-0.41744179999999997</v>
      </c>
      <c r="U3127">
        <v>-0.298797599999999</v>
      </c>
      <c r="V3127">
        <v>-0.33650669999999999</v>
      </c>
      <c r="W3127">
        <v>-7.7804639999999994E-2</v>
      </c>
      <c r="X3127">
        <v>0.9384614</v>
      </c>
      <c r="Y3127">
        <v>-0.69906999999999997</v>
      </c>
      <c r="Z3127">
        <v>0.12508659999999999</v>
      </c>
      <c r="AA3127">
        <v>0.70402739999999997</v>
      </c>
      <c r="AB3127">
        <v>9</v>
      </c>
      <c r="AC3127">
        <v>8.7794000000000096</v>
      </c>
      <c r="AD3127">
        <v>-1.1223711862479999</v>
      </c>
      <c r="AE3127">
        <v>-0.73639999999997396</v>
      </c>
      <c r="AF3127">
        <v>-6.1860507557831301</v>
      </c>
      <c r="AG3127">
        <v>-1.1223711862479999</v>
      </c>
      <c r="AH3127">
        <v>6.0740038886568897</v>
      </c>
      <c r="AI3127">
        <v>97.376574567947202</v>
      </c>
      <c r="AJ3127">
        <v>135.52362196185999</v>
      </c>
      <c r="AK3127">
        <v>8.7418799049325706</v>
      </c>
      <c r="AL3127">
        <v>94.462387198694202</v>
      </c>
      <c r="AM3127">
        <v>109.72645102486899</v>
      </c>
      <c r="AN3127">
        <v>1.00000006022018</v>
      </c>
    </row>
    <row r="3128" spans="1:40" x14ac:dyDescent="0.25">
      <c r="A3128" t="str">
        <f>"20190303154828727"</f>
        <v>20190303154828727</v>
      </c>
      <c r="B3128" t="str">
        <f>"1551599308723812"</f>
        <v>1551599308723812</v>
      </c>
      <c r="C3128" t="s">
        <v>40</v>
      </c>
      <c r="D3128">
        <v>5.0712619999999999</v>
      </c>
      <c r="E3128">
        <v>0.3507574</v>
      </c>
      <c r="F3128" t="s">
        <v>47</v>
      </c>
      <c r="G3128">
        <v>-477.3236</v>
      </c>
      <c r="H3128" s="1">
        <v>2.8390299999999998E-6</v>
      </c>
      <c r="I3128">
        <v>217.5513</v>
      </c>
      <c r="J3128">
        <v>-486.09480000000002</v>
      </c>
      <c r="K3128">
        <v>1.1223879999999999</v>
      </c>
      <c r="L3128">
        <v>218.2277</v>
      </c>
      <c r="M3128">
        <v>0.64426030000000001</v>
      </c>
      <c r="N3128">
        <v>-8.3215759999999903E-3</v>
      </c>
      <c r="O3128">
        <v>-0.76476129999999998</v>
      </c>
      <c r="P3128">
        <v>0.86179380000000005</v>
      </c>
      <c r="Q3128">
        <v>-8.3327929999999995E-2</v>
      </c>
      <c r="R3128">
        <v>-0.50036819999999904</v>
      </c>
      <c r="S3128">
        <v>3.2919619999999998</v>
      </c>
      <c r="T3128">
        <v>-0.41810910000000001</v>
      </c>
      <c r="U3128">
        <v>-0.27644350000000001</v>
      </c>
      <c r="V3128">
        <v>-0.33631809999999901</v>
      </c>
      <c r="W3128">
        <v>-7.7249490000000004E-2</v>
      </c>
      <c r="X3128">
        <v>0.93857480000000004</v>
      </c>
      <c r="Y3128">
        <v>-0.69849039999999996</v>
      </c>
      <c r="Z3128">
        <v>0.12534000000000001</v>
      </c>
      <c r="AA3128">
        <v>0.70455730000000005</v>
      </c>
      <c r="AB3128">
        <v>9</v>
      </c>
      <c r="AC3128">
        <v>8.7712000000000199</v>
      </c>
      <c r="AD3128">
        <v>-1.12238516097</v>
      </c>
      <c r="AE3128">
        <v>-0.676400000000001</v>
      </c>
      <c r="AF3128">
        <v>-6.1718494948621503</v>
      </c>
      <c r="AG3128">
        <v>-1.12238516097</v>
      </c>
      <c r="AH3128">
        <v>6.0696335904260499</v>
      </c>
      <c r="AI3128">
        <v>97.387783427762002</v>
      </c>
      <c r="AJ3128">
        <v>135.478406397215</v>
      </c>
      <c r="AK3128">
        <v>8.7287986893285705</v>
      </c>
      <c r="AL3128">
        <v>94.430483685794698</v>
      </c>
      <c r="AM3128">
        <v>109.714049085588</v>
      </c>
      <c r="AN3128">
        <v>1.0000000016439501</v>
      </c>
    </row>
    <row r="3129" spans="1:40" x14ac:dyDescent="0.25">
      <c r="A3129" t="str">
        <f>"20190303154828750"</f>
        <v>20190303154828750</v>
      </c>
      <c r="B3129" t="str">
        <f>"1551599308744309"</f>
        <v>1551599308744309</v>
      </c>
      <c r="C3129" t="s">
        <v>40</v>
      </c>
      <c r="D3129">
        <v>5.0673219999999999</v>
      </c>
      <c r="E3129">
        <v>0.35408279999999998</v>
      </c>
      <c r="F3129" t="s">
        <v>47</v>
      </c>
      <c r="G3129">
        <v>-476.5498</v>
      </c>
      <c r="H3129" s="1">
        <v>3.1506220000000001E-6</v>
      </c>
      <c r="I3129">
        <v>216.8297</v>
      </c>
      <c r="J3129">
        <v>-486.0231</v>
      </c>
      <c r="K3129">
        <v>1.1223959999999999</v>
      </c>
      <c r="L3129">
        <v>218.15700000000001</v>
      </c>
      <c r="M3129">
        <v>0.65048189999999995</v>
      </c>
      <c r="N3129">
        <v>-7.6070449999999998E-3</v>
      </c>
      <c r="O3129">
        <v>-0.75948389999999999</v>
      </c>
      <c r="P3129">
        <v>0.86570360000000002</v>
      </c>
      <c r="Q3129">
        <v>-8.2844890000000004E-2</v>
      </c>
      <c r="R3129">
        <v>-0.49365399999999998</v>
      </c>
      <c r="S3129">
        <v>3.175049</v>
      </c>
      <c r="T3129">
        <v>-0.37334859999999997</v>
      </c>
      <c r="U3129">
        <v>-0.46502690000000002</v>
      </c>
      <c r="V3129">
        <v>-0.33597120000000003</v>
      </c>
      <c r="W3129">
        <v>-7.7522930000000004E-2</v>
      </c>
      <c r="X3129">
        <v>0.93867650000000002</v>
      </c>
      <c r="Y3129">
        <v>-0.64944329999999995</v>
      </c>
      <c r="Z3129">
        <v>0.11193699999999999</v>
      </c>
      <c r="AA3129">
        <v>0.75212599999999996</v>
      </c>
      <c r="AB3129">
        <v>10</v>
      </c>
      <c r="AC3129">
        <v>9.4732999999999894</v>
      </c>
      <c r="AD3129">
        <v>-1.122392849378</v>
      </c>
      <c r="AE3129">
        <v>-1.3272999999999999</v>
      </c>
      <c r="AF3129">
        <v>-6.2456316527161801</v>
      </c>
      <c r="AG3129">
        <v>-1.122392849378</v>
      </c>
      <c r="AH3129">
        <v>7.0731028053302101</v>
      </c>
      <c r="AI3129">
        <v>96.783396409895502</v>
      </c>
      <c r="AJ3129">
        <v>131.444876564049</v>
      </c>
      <c r="AK3129">
        <v>9.5024451455672807</v>
      </c>
      <c r="AL3129">
        <v>94.446197722148696</v>
      </c>
      <c r="AM3129">
        <v>109.693310143747</v>
      </c>
      <c r="AN3129">
        <v>1.00000001177873</v>
      </c>
    </row>
    <row r="3130" spans="1:40" x14ac:dyDescent="0.25">
      <c r="A3130" t="str">
        <f>"20190303154828769"</f>
        <v>20190303154828769</v>
      </c>
      <c r="B3130" t="str">
        <f>"1551599308763828"</f>
        <v>1551599308763828</v>
      </c>
      <c r="C3130" t="s">
        <v>40</v>
      </c>
      <c r="D3130">
        <v>5.046386</v>
      </c>
      <c r="E3130">
        <v>0.35537560000000001</v>
      </c>
      <c r="F3130" t="s">
        <v>47</v>
      </c>
      <c r="G3130">
        <v>-475.82740000000001</v>
      </c>
      <c r="H3130" s="1">
        <v>3.4636479999999998E-6</v>
      </c>
      <c r="I3130">
        <v>216.66149999999999</v>
      </c>
      <c r="J3130">
        <v>-485.96230000000003</v>
      </c>
      <c r="K3130">
        <v>1.1223970000000001</v>
      </c>
      <c r="L3130">
        <v>218.09800000000001</v>
      </c>
      <c r="M3130">
        <v>0.65568269999999995</v>
      </c>
      <c r="N3130">
        <v>-7.0330059999999996E-3</v>
      </c>
      <c r="O3130">
        <v>-0.75500389999999995</v>
      </c>
      <c r="P3130">
        <v>0.86879280000000003</v>
      </c>
      <c r="Q3130">
        <v>-8.3679359999999994E-2</v>
      </c>
      <c r="R3130">
        <v>-0.48805389999999998</v>
      </c>
      <c r="S3130">
        <v>3.1671749999999999</v>
      </c>
      <c r="T3130">
        <v>-0.34865559999999901</v>
      </c>
      <c r="U3130">
        <v>-0.46455380000000002</v>
      </c>
      <c r="V3130">
        <v>-0.33550439999999998</v>
      </c>
      <c r="W3130">
        <v>-7.8959589999999996E-2</v>
      </c>
      <c r="X3130">
        <v>0.93872370000000005</v>
      </c>
      <c r="Y3130">
        <v>-0.64507409999999998</v>
      </c>
      <c r="Z3130">
        <v>0.1044017</v>
      </c>
      <c r="AA3130">
        <v>0.75695419999999902</v>
      </c>
      <c r="AB3130">
        <v>10</v>
      </c>
      <c r="AC3130">
        <v>10.1349</v>
      </c>
      <c r="AD3130">
        <v>-1.1223935363519999</v>
      </c>
      <c r="AE3130">
        <v>-1.4364999999999899</v>
      </c>
      <c r="AF3130">
        <v>-6.6304483462273804</v>
      </c>
      <c r="AG3130">
        <v>-1.1223935363519999</v>
      </c>
      <c r="AH3130">
        <v>7.6381981797141298</v>
      </c>
      <c r="AI3130">
        <v>96.332079590508101</v>
      </c>
      <c r="AJ3130">
        <v>130.96008679351999</v>
      </c>
      <c r="AK3130">
        <v>10.1766735210982</v>
      </c>
      <c r="AL3130">
        <v>94.528765441937793</v>
      </c>
      <c r="AM3130">
        <v>109.667135778931</v>
      </c>
      <c r="AN3130">
        <v>1.0000000021069999</v>
      </c>
    </row>
    <row r="3131" spans="1:40" x14ac:dyDescent="0.25">
      <c r="A3131" t="str">
        <f>"20190303154828793"</f>
        <v>20190303154828793</v>
      </c>
      <c r="B3131" t="str">
        <f>"1551599308783449"</f>
        <v>1551599308783449</v>
      </c>
      <c r="C3131" t="s">
        <v>40</v>
      </c>
      <c r="D3131">
        <v>5.0189139999999997</v>
      </c>
      <c r="E3131">
        <v>0.35704229999999998</v>
      </c>
      <c r="F3131" t="s">
        <v>47</v>
      </c>
      <c r="G3131">
        <v>-475.59120000000001</v>
      </c>
      <c r="H3131" s="1">
        <v>3.5662310000000001E-6</v>
      </c>
      <c r="I3131">
        <v>216.61259999999999</v>
      </c>
      <c r="J3131">
        <v>-485.8879</v>
      </c>
      <c r="K3131">
        <v>1.122404</v>
      </c>
      <c r="L3131">
        <v>218.02680000000001</v>
      </c>
      <c r="M3131">
        <v>0.66195099999999996</v>
      </c>
      <c r="N3131">
        <v>-6.3806260000000004E-3</v>
      </c>
      <c r="O3131">
        <v>-0.74952010000000002</v>
      </c>
      <c r="P3131">
        <v>0.87255839999999996</v>
      </c>
      <c r="Q3131">
        <v>-8.4514889999999995E-2</v>
      </c>
      <c r="R3131">
        <v>-0.48114380000000001</v>
      </c>
      <c r="S3131">
        <v>3.1654360000000001</v>
      </c>
      <c r="T3131">
        <v>-0.34257280000000001</v>
      </c>
      <c r="U3131">
        <v>-0.45335389999999998</v>
      </c>
      <c r="V3131">
        <v>-0.33505089999999998</v>
      </c>
      <c r="W3131">
        <v>-8.0476679999999995E-2</v>
      </c>
      <c r="X3131">
        <v>0.93875679999999995</v>
      </c>
      <c r="Y3131">
        <v>-0.6415305</v>
      </c>
      <c r="Z3131">
        <v>0.1024859</v>
      </c>
      <c r="AA3131">
        <v>0.76022060000000002</v>
      </c>
      <c r="AB3131">
        <v>10</v>
      </c>
      <c r="AC3131">
        <v>10.2966999999999</v>
      </c>
      <c r="AD3131">
        <v>-1.1224004337689999</v>
      </c>
      <c r="AE3131">
        <v>-1.4142000000000201</v>
      </c>
      <c r="AF3131">
        <v>-6.7034127383453797</v>
      </c>
      <c r="AG3131">
        <v>-1.1224004337689999</v>
      </c>
      <c r="AH3131">
        <v>7.7852479104029202</v>
      </c>
      <c r="AI3131">
        <v>96.234920209087505</v>
      </c>
      <c r="AJ3131">
        <v>130.72977922224399</v>
      </c>
      <c r="AK3131">
        <v>10.3346799708926</v>
      </c>
      <c r="AL3131">
        <v>94.615965993416495</v>
      </c>
      <c r="AM3131">
        <v>109.641947958738</v>
      </c>
      <c r="AN3131">
        <v>0.99999996558043502</v>
      </c>
    </row>
    <row r="3132" spans="1:40" x14ac:dyDescent="0.25">
      <c r="A3132" t="str">
        <f>"20190303154828814"</f>
        <v>20190303154828814</v>
      </c>
      <c r="B3132" t="str">
        <f>"1551599308803946"</f>
        <v>1551599308803946</v>
      </c>
      <c r="C3132" t="s">
        <v>40</v>
      </c>
      <c r="D3132">
        <v>5.012696</v>
      </c>
      <c r="E3132">
        <v>0.35779610000000001</v>
      </c>
      <c r="F3132" t="s">
        <v>47</v>
      </c>
      <c r="G3132">
        <v>-475.40719999999999</v>
      </c>
      <c r="H3132" s="1">
        <v>3.6458650000000002E-6</v>
      </c>
      <c r="I3132">
        <v>216.56780000000001</v>
      </c>
      <c r="J3132">
        <v>-485.81909999999999</v>
      </c>
      <c r="K3132">
        <v>1.1224130000000001</v>
      </c>
      <c r="L3132">
        <v>217.96209999999999</v>
      </c>
      <c r="M3132">
        <v>0.66763380000000005</v>
      </c>
      <c r="N3132">
        <v>-5.8346439999999999E-3</v>
      </c>
      <c r="O3132">
        <v>-0.74446689999999904</v>
      </c>
      <c r="P3132">
        <v>0.87608269999999899</v>
      </c>
      <c r="Q3132">
        <v>-8.4440639999999997E-2</v>
      </c>
      <c r="R3132">
        <v>-0.4747093</v>
      </c>
      <c r="S3132">
        <v>3.162598</v>
      </c>
      <c r="T3132">
        <v>-0.33868969999999998</v>
      </c>
      <c r="U3132">
        <v>-0.44026179999999898</v>
      </c>
      <c r="V3132">
        <v>-0.33480870000000001</v>
      </c>
      <c r="W3132">
        <v>-8.0973110000000001E-2</v>
      </c>
      <c r="X3132">
        <v>0.93880059999999999</v>
      </c>
      <c r="Y3132">
        <v>-0.63884819999999998</v>
      </c>
      <c r="Z3132">
        <v>0.10130160000000001</v>
      </c>
      <c r="AA3132">
        <v>0.76263419999999904</v>
      </c>
      <c r="AB3132">
        <v>10</v>
      </c>
      <c r="AC3132">
        <v>10.411899999999999</v>
      </c>
      <c r="AD3132">
        <v>-1.122409354135</v>
      </c>
      <c r="AE3132">
        <v>-1.3942999999999801</v>
      </c>
      <c r="AF3132">
        <v>-6.7435633584813699</v>
      </c>
      <c r="AG3132">
        <v>-1.122409354135</v>
      </c>
      <c r="AH3132">
        <v>7.8993025614384997</v>
      </c>
      <c r="AI3132">
        <v>96.167826215842993</v>
      </c>
      <c r="AJ3132">
        <v>130.48708686069</v>
      </c>
      <c r="AK3132">
        <v>10.446742577724899</v>
      </c>
      <c r="AL3132">
        <v>94.6445021308744</v>
      </c>
      <c r="AM3132">
        <v>109.627989001814</v>
      </c>
      <c r="AN3132">
        <v>1.00000003834956</v>
      </c>
    </row>
    <row r="3133" spans="1:40" x14ac:dyDescent="0.25">
      <c r="A3133" t="str">
        <f>"20190303154828837"</f>
        <v>20190303154828837</v>
      </c>
      <c r="B3133" t="str">
        <f>"1551599308834201"</f>
        <v>1551599308834201</v>
      </c>
      <c r="C3133" t="s">
        <v>40</v>
      </c>
      <c r="D3133">
        <v>4.9654780000000001</v>
      </c>
      <c r="E3133">
        <v>0.35899809999999999</v>
      </c>
      <c r="F3133" t="s">
        <v>47</v>
      </c>
      <c r="G3133">
        <v>-475.2978</v>
      </c>
      <c r="H3133" s="1">
        <v>3.6939130000000001E-6</v>
      </c>
      <c r="I3133">
        <v>216.55670000000001</v>
      </c>
      <c r="J3133">
        <v>-485.74160000000001</v>
      </c>
      <c r="K3133">
        <v>1.122431</v>
      </c>
      <c r="L3133">
        <v>217.89009999999999</v>
      </c>
      <c r="M3133">
        <v>0.67393080000000005</v>
      </c>
      <c r="N3133">
        <v>-5.2830919999999996E-3</v>
      </c>
      <c r="O3133">
        <v>-0.73877579999999998</v>
      </c>
      <c r="P3133">
        <v>0.87996079999999999</v>
      </c>
      <c r="Q3133">
        <v>-8.4351289999999995E-2</v>
      </c>
      <c r="R3133">
        <v>-0.46749780000000002</v>
      </c>
      <c r="S3133">
        <v>3.162903</v>
      </c>
      <c r="T3133">
        <v>-0.33741749999999998</v>
      </c>
      <c r="U3133">
        <v>-0.42247010000000002</v>
      </c>
      <c r="V3133">
        <v>-0.3345397</v>
      </c>
      <c r="W3133">
        <v>-8.1462960000000001E-2</v>
      </c>
      <c r="X3133">
        <v>0.93885410000000002</v>
      </c>
      <c r="Y3133">
        <v>-0.63661369999999995</v>
      </c>
      <c r="Z3133">
        <v>0.100818</v>
      </c>
      <c r="AA3133">
        <v>0.76456440000000003</v>
      </c>
      <c r="AB3133">
        <v>10</v>
      </c>
      <c r="AC3133">
        <v>10.4438</v>
      </c>
      <c r="AD3133">
        <v>-1.122427306087</v>
      </c>
      <c r="AE3133">
        <v>-1.3333999999999799</v>
      </c>
      <c r="AF3133">
        <v>-6.7404943464864298</v>
      </c>
      <c r="AG3133">
        <v>-1.122427306087</v>
      </c>
      <c r="AH3133">
        <v>7.9334278317576903</v>
      </c>
      <c r="AI3133">
        <v>96.153819439374502</v>
      </c>
      <c r="AJ3133">
        <v>130.35229431084599</v>
      </c>
      <c r="AK3133">
        <v>10.4705961747253</v>
      </c>
      <c r="AL3133">
        <v>94.672661568441001</v>
      </c>
      <c r="AM3133">
        <v>109.61239048586999</v>
      </c>
      <c r="AN3133">
        <v>1.00000002290743</v>
      </c>
    </row>
    <row r="3134" spans="1:40" x14ac:dyDescent="0.25">
      <c r="A3134" t="str">
        <f>"20190303154828858"</f>
        <v>20190303154828858</v>
      </c>
      <c r="B3134" t="str">
        <f>"1551599308853722"</f>
        <v>1551599308853722</v>
      </c>
      <c r="C3134" t="s">
        <v>40</v>
      </c>
      <c r="D3134">
        <v>4.9759250000000002</v>
      </c>
      <c r="E3134">
        <v>0.35953600000000002</v>
      </c>
      <c r="F3134" t="s">
        <v>42</v>
      </c>
      <c r="G3134">
        <v>-484.81950000000001</v>
      </c>
      <c r="H3134">
        <v>1.0246360000000001</v>
      </c>
      <c r="I3134">
        <v>217.77189999999999</v>
      </c>
      <c r="J3134">
        <v>-485.6653</v>
      </c>
      <c r="K3134">
        <v>1.122458</v>
      </c>
      <c r="L3134">
        <v>217.82060000000001</v>
      </c>
      <c r="M3134">
        <v>0.68000439999999995</v>
      </c>
      <c r="N3134">
        <v>-4.8051789999999997E-3</v>
      </c>
      <c r="O3134">
        <v>-0.73319219999999996</v>
      </c>
      <c r="P3134">
        <v>0.8834514</v>
      </c>
      <c r="Q3134">
        <v>-8.4425780000000006E-2</v>
      </c>
      <c r="R3134">
        <v>-0.46085340000000002</v>
      </c>
      <c r="S3134">
        <v>3.1619259999999998</v>
      </c>
      <c r="T3134">
        <v>-0.33528180000000002</v>
      </c>
      <c r="U3134">
        <v>-0.40507510000000002</v>
      </c>
      <c r="V3134">
        <v>-0.33384589999999997</v>
      </c>
      <c r="W3134">
        <v>-8.2041059999999999E-2</v>
      </c>
      <c r="X3134">
        <v>0.93905070000000002</v>
      </c>
      <c r="Y3134">
        <v>-0.63446029999999998</v>
      </c>
      <c r="Z3134">
        <v>0.1000717</v>
      </c>
      <c r="AA3134">
        <v>0.76645010000000002</v>
      </c>
      <c r="AB3134">
        <v>11</v>
      </c>
      <c r="AC3134">
        <v>0.845799999999997</v>
      </c>
      <c r="AD3134">
        <v>-9.7821999999999798E-2</v>
      </c>
      <c r="AE3134">
        <v>-4.8700000000025001E-2</v>
      </c>
      <c r="AF3134">
        <v>-0.57930122960124397</v>
      </c>
      <c r="AG3134">
        <v>-9.7821999999999798E-2</v>
      </c>
      <c r="AH3134">
        <v>0.60282432594076396</v>
      </c>
      <c r="AI3134">
        <v>96.673511632481706</v>
      </c>
      <c r="AJ3134">
        <v>133.860022706748</v>
      </c>
      <c r="AK3134">
        <v>0.84175781923748705</v>
      </c>
      <c r="AL3134">
        <v>94.705895521430406</v>
      </c>
      <c r="AM3134">
        <v>109.571024491535</v>
      </c>
      <c r="AN3134">
        <v>1.00000001882161</v>
      </c>
    </row>
    <row r="3135" spans="1:40" x14ac:dyDescent="0.25">
      <c r="A3135" t="str">
        <f>"20190303154828881"</f>
        <v>20190303154828881</v>
      </c>
      <c r="B3135" t="str">
        <f>"1551599308874217"</f>
        <v>1551599308874217</v>
      </c>
      <c r="C3135" t="s">
        <v>40</v>
      </c>
      <c r="D3135">
        <v>4.9728130000000004</v>
      </c>
      <c r="E3135">
        <v>0.36015540000000001</v>
      </c>
      <c r="F3135" t="s">
        <v>42</v>
      </c>
      <c r="G3135">
        <v>-484.75299999999999</v>
      </c>
      <c r="H3135">
        <v>1.02627</v>
      </c>
      <c r="I3135">
        <v>217.70959999999999</v>
      </c>
      <c r="J3135">
        <v>-485.58670000000001</v>
      </c>
      <c r="K3135">
        <v>1.1224970000000001</v>
      </c>
      <c r="L3135">
        <v>217.7499</v>
      </c>
      <c r="M3135">
        <v>0.68616290000000002</v>
      </c>
      <c r="N3135">
        <v>-4.3711150000000001E-3</v>
      </c>
      <c r="O3135">
        <v>-0.72743500000000005</v>
      </c>
      <c r="P3135">
        <v>0.88692919999999997</v>
      </c>
      <c r="Q3135">
        <v>-8.5228890000000002E-2</v>
      </c>
      <c r="R3135">
        <v>-0.45397500000000002</v>
      </c>
      <c r="S3135">
        <v>3.1630250000000002</v>
      </c>
      <c r="T3135">
        <v>-0.333541799999999</v>
      </c>
      <c r="U3135">
        <v>-0.38505549999999999</v>
      </c>
      <c r="V3135">
        <v>-0.33314739999999998</v>
      </c>
      <c r="W3135">
        <v>-8.3308660000000007E-2</v>
      </c>
      <c r="X3135">
        <v>0.93918710000000005</v>
      </c>
      <c r="Y3135">
        <v>-0.63285219999999998</v>
      </c>
      <c r="Z3135">
        <v>9.9377599999999996E-2</v>
      </c>
      <c r="AA3135">
        <v>0.76786860000000001</v>
      </c>
      <c r="AB3135">
        <v>11</v>
      </c>
      <c r="AC3135">
        <v>0.83369999999996403</v>
      </c>
      <c r="AD3135">
        <v>-9.6226999999999799E-2</v>
      </c>
      <c r="AE3135">
        <v>-4.0300000000002001E-2</v>
      </c>
      <c r="AF3135">
        <v>-0.57122345037853095</v>
      </c>
      <c r="AG3135">
        <v>-9.6226999999999799E-2</v>
      </c>
      <c r="AH3135">
        <v>0.593487198449691</v>
      </c>
      <c r="AI3135">
        <v>96.663052231229301</v>
      </c>
      <c r="AJ3135">
        <v>133.90490958550399</v>
      </c>
      <c r="AK3135">
        <v>0.82932678753011302</v>
      </c>
      <c r="AL3135">
        <v>94.778773399903798</v>
      </c>
      <c r="AM3135">
        <v>109.53055697251099</v>
      </c>
      <c r="AN3135">
        <v>0.99999996588208195</v>
      </c>
    </row>
    <row r="3136" spans="1:40" x14ac:dyDescent="0.25">
      <c r="A3136" t="str">
        <f>"20190303154828904"</f>
        <v>20190303154828904</v>
      </c>
      <c r="B3136" t="str">
        <f>"1551599308893738"</f>
        <v>1551599308893738</v>
      </c>
      <c r="C3136" t="s">
        <v>40</v>
      </c>
      <c r="D3136">
        <v>4.942615</v>
      </c>
      <c r="E3136">
        <v>0.36085620000000002</v>
      </c>
      <c r="F3136" t="s">
        <v>47</v>
      </c>
      <c r="G3136">
        <v>-474.95209999999997</v>
      </c>
      <c r="H3136" s="1">
        <v>3.845713E-6</v>
      </c>
      <c r="I3136">
        <v>216.52289999999999</v>
      </c>
      <c r="J3136">
        <v>-485.50069999999999</v>
      </c>
      <c r="K3136">
        <v>1.1225419999999999</v>
      </c>
      <c r="L3136">
        <v>217.67410000000001</v>
      </c>
      <c r="M3136">
        <v>0.69277029999999995</v>
      </c>
      <c r="N3136">
        <v>-3.9630969999999996E-3</v>
      </c>
      <c r="O3136">
        <v>-0.72114739999999999</v>
      </c>
      <c r="P3136">
        <v>0.89090000000000003</v>
      </c>
      <c r="Q3136">
        <v>-8.529544E-2</v>
      </c>
      <c r="R3136">
        <v>-0.44611869999999998</v>
      </c>
      <c r="S3136">
        <v>3.163605</v>
      </c>
      <c r="T3136">
        <v>-0.3339239</v>
      </c>
      <c r="U3136">
        <v>-0.36502079999999998</v>
      </c>
      <c r="V3136">
        <v>-0.33285619999999999</v>
      </c>
      <c r="W3136">
        <v>-8.3825289999999997E-2</v>
      </c>
      <c r="X3136">
        <v>0.93924439999999998</v>
      </c>
      <c r="Y3136">
        <v>-0.63062489999999904</v>
      </c>
      <c r="Z3136">
        <v>9.9249530000000002E-2</v>
      </c>
      <c r="AA3136">
        <v>0.76971540000000005</v>
      </c>
      <c r="AB3136">
        <v>11</v>
      </c>
      <c r="AC3136">
        <v>10.5486</v>
      </c>
      <c r="AD3136">
        <v>-1.1225381542870001</v>
      </c>
      <c r="AE3136">
        <v>-1.15120000000001</v>
      </c>
      <c r="AF3136">
        <v>-6.7342683748149597</v>
      </c>
      <c r="AG3136">
        <v>-1.1225381542870001</v>
      </c>
      <c r="AH3136">
        <v>8.0479408385251698</v>
      </c>
      <c r="AI3136">
        <v>96.105803360813894</v>
      </c>
      <c r="AJ3136">
        <v>129.92155231891201</v>
      </c>
      <c r="AK3136">
        <v>10.553663543635601</v>
      </c>
      <c r="AL3136">
        <v>94.808477924664203</v>
      </c>
      <c r="AM3136">
        <v>109.513675443945</v>
      </c>
      <c r="AN3136">
        <v>0.99999998602669105</v>
      </c>
    </row>
    <row r="3137" spans="1:40" x14ac:dyDescent="0.25">
      <c r="A3137" t="str">
        <f>"20190303154828928"</f>
        <v>20190303154828928</v>
      </c>
      <c r="B3137" t="str">
        <f>"1551599308923994"</f>
        <v>1551599308923994</v>
      </c>
      <c r="C3137" t="s">
        <v>40</v>
      </c>
      <c r="D3137">
        <v>4.9282370000000002</v>
      </c>
      <c r="E3137">
        <v>0.3617377</v>
      </c>
      <c r="F3137" t="s">
        <v>47</v>
      </c>
      <c r="G3137">
        <v>-474.80090000000001</v>
      </c>
      <c r="H3137" s="1">
        <v>3.912545E-6</v>
      </c>
      <c r="I3137">
        <v>216.5171</v>
      </c>
      <c r="J3137">
        <v>-485.4101</v>
      </c>
      <c r="K3137">
        <v>1.1226100000000001</v>
      </c>
      <c r="L3137">
        <v>217.59559999999999</v>
      </c>
      <c r="M3137">
        <v>0.6996097</v>
      </c>
      <c r="N3137">
        <v>-3.588398E-3</v>
      </c>
      <c r="O3137">
        <v>-0.7145165</v>
      </c>
      <c r="P3137">
        <v>0.89512199999999997</v>
      </c>
      <c r="Q3137">
        <v>-8.5174589999999994E-2</v>
      </c>
      <c r="R3137">
        <v>-0.43761</v>
      </c>
      <c r="S3137">
        <v>3.1642459999999999</v>
      </c>
      <c r="T3137">
        <v>-0.33196740000000002</v>
      </c>
      <c r="U3137">
        <v>-0.3421478</v>
      </c>
      <c r="V3137">
        <v>-0.33284629999999998</v>
      </c>
      <c r="W3137">
        <v>-8.4131570000000003E-2</v>
      </c>
      <c r="X3137">
        <v>0.93922050000000001</v>
      </c>
      <c r="Y3137">
        <v>-0.62886039999999999</v>
      </c>
      <c r="Z3137">
        <v>9.8398830000000007E-2</v>
      </c>
      <c r="AA3137">
        <v>0.77126669999999997</v>
      </c>
      <c r="AB3137">
        <v>11</v>
      </c>
      <c r="AC3137">
        <v>10.6091999999999</v>
      </c>
      <c r="AD3137">
        <v>-1.1226060874549999</v>
      </c>
      <c r="AE3137">
        <v>-1.07849999999999</v>
      </c>
      <c r="AF3137">
        <v>-6.7511445693592096</v>
      </c>
      <c r="AG3137">
        <v>-1.1226060874549999</v>
      </c>
      <c r="AH3137">
        <v>8.1031557491497601</v>
      </c>
      <c r="AI3137">
        <v>96.075601108845106</v>
      </c>
      <c r="AJ3137">
        <v>129.79937280762201</v>
      </c>
      <c r="AK3137">
        <v>10.6065701581122</v>
      </c>
      <c r="AL3137">
        <v>94.826088791340695</v>
      </c>
      <c r="AM3137">
        <v>109.513597934391</v>
      </c>
      <c r="AN3137">
        <v>0.99999996405730096</v>
      </c>
    </row>
    <row r="3138" spans="1:40" x14ac:dyDescent="0.25">
      <c r="A3138" t="str">
        <f>"20190303154828950"</f>
        <v>20190303154828950</v>
      </c>
      <c r="B3138" t="str">
        <f>"1551599308943514"</f>
        <v>1551599308943514</v>
      </c>
      <c r="C3138" t="s">
        <v>40</v>
      </c>
      <c r="D3138">
        <v>4.9266560000000004</v>
      </c>
      <c r="E3138">
        <v>0.3692725</v>
      </c>
      <c r="F3138" t="s">
        <v>47</v>
      </c>
      <c r="G3138">
        <v>-474.6053</v>
      </c>
      <c r="H3138" s="1">
        <v>3.9988700000000004E-6</v>
      </c>
      <c r="I3138">
        <v>216.5078</v>
      </c>
      <c r="J3138">
        <v>-485.32639999999998</v>
      </c>
      <c r="K3138">
        <v>1.1226750000000001</v>
      </c>
      <c r="L3138">
        <v>217.52449999999999</v>
      </c>
      <c r="M3138">
        <v>0.70581660000000002</v>
      </c>
      <c r="N3138">
        <v>-3.2859360000000002E-3</v>
      </c>
      <c r="O3138">
        <v>-0.7083874</v>
      </c>
      <c r="P3138">
        <v>0.89882280000000003</v>
      </c>
      <c r="Q3138">
        <v>-8.4484149999999994E-2</v>
      </c>
      <c r="R3138">
        <v>-0.43009340000000001</v>
      </c>
      <c r="S3138">
        <v>3.1644589999999999</v>
      </c>
      <c r="T3138">
        <v>-0.3287834</v>
      </c>
      <c r="U3138">
        <v>-0.31858829999999999</v>
      </c>
      <c r="V3138">
        <v>-0.33255479999999998</v>
      </c>
      <c r="W3138">
        <v>-8.3794179999999996E-2</v>
      </c>
      <c r="X3138">
        <v>0.93935389999999996</v>
      </c>
      <c r="Y3138">
        <v>-0.62791969999999997</v>
      </c>
      <c r="Z3138">
        <v>9.7227309999999997E-2</v>
      </c>
      <c r="AA3138">
        <v>0.77218109999999995</v>
      </c>
      <c r="AB3138">
        <v>11</v>
      </c>
      <c r="AC3138">
        <v>10.7210999999999</v>
      </c>
      <c r="AD3138">
        <v>-1.1226710011299901</v>
      </c>
      <c r="AE3138">
        <v>-1.01669999999998</v>
      </c>
      <c r="AF3138">
        <v>-6.8031884582071998</v>
      </c>
      <c r="AG3138">
        <v>-1.1226710011299901</v>
      </c>
      <c r="AH3138">
        <v>8.1982934665154001</v>
      </c>
      <c r="AI3138">
        <v>96.015698596646004</v>
      </c>
      <c r="AJ3138">
        <v>129.686899602279</v>
      </c>
      <c r="AK3138">
        <v>10.712412386468801</v>
      </c>
      <c r="AL3138">
        <v>94.806689311435804</v>
      </c>
      <c r="AM3138">
        <v>109.495237870568</v>
      </c>
      <c r="AN3138">
        <v>0.99999995452505996</v>
      </c>
    </row>
    <row r="3139" spans="1:40" x14ac:dyDescent="0.25">
      <c r="A3139" t="str">
        <f>"20190303154828970"</f>
        <v>20190303154828970</v>
      </c>
      <c r="B3139" t="str">
        <f>"1551599308964009"</f>
        <v>1551599308964009</v>
      </c>
      <c r="C3139" t="s">
        <v>40</v>
      </c>
      <c r="D3139">
        <v>4.9014670000000002</v>
      </c>
      <c r="E3139">
        <v>0.36921490000000001</v>
      </c>
      <c r="F3139" t="s">
        <v>42</v>
      </c>
      <c r="G3139">
        <v>-484.3759</v>
      </c>
      <c r="H3139">
        <v>1.030681</v>
      </c>
      <c r="I3139">
        <v>217.41919999999999</v>
      </c>
      <c r="J3139">
        <v>-485.24380000000002</v>
      </c>
      <c r="K3139">
        <v>1.1227510000000001</v>
      </c>
      <c r="L3139">
        <v>217.45529999999999</v>
      </c>
      <c r="M3139">
        <v>0.71185169999999998</v>
      </c>
      <c r="N3139">
        <v>-3.0239289999999999E-3</v>
      </c>
      <c r="O3139">
        <v>-0.70232340000000004</v>
      </c>
      <c r="P3139">
        <v>0.90237060000000002</v>
      </c>
      <c r="Q3139">
        <v>-8.4101880000000004E-2</v>
      </c>
      <c r="R3139">
        <v>-0.42267510000000003</v>
      </c>
      <c r="S3139">
        <v>3.142944</v>
      </c>
      <c r="T3139">
        <v>-0.30408380000000002</v>
      </c>
      <c r="U3139">
        <v>-0.34718320000000003</v>
      </c>
      <c r="V3139">
        <v>-0.3322637</v>
      </c>
      <c r="W3139">
        <v>-8.3727689999999994E-2</v>
      </c>
      <c r="X3139">
        <v>0.93946289999999999</v>
      </c>
      <c r="Y3139">
        <v>-0.61462499999999998</v>
      </c>
      <c r="Z3139">
        <v>8.9467640000000001E-2</v>
      </c>
      <c r="AA3139">
        <v>0.78372929999999996</v>
      </c>
      <c r="AB3139">
        <v>12</v>
      </c>
      <c r="AC3139">
        <v>0.86790000000001999</v>
      </c>
      <c r="AD3139">
        <v>-9.2070000000000096E-2</v>
      </c>
      <c r="AE3139">
        <v>-3.6100000000004601E-2</v>
      </c>
      <c r="AF3139">
        <v>-0.57736496588099395</v>
      </c>
      <c r="AG3139">
        <v>-9.2070000000000096E-2</v>
      </c>
      <c r="AH3139">
        <v>0.63602753236288601</v>
      </c>
      <c r="AI3139">
        <v>96.117763138391695</v>
      </c>
      <c r="AJ3139">
        <v>132.23213843095601</v>
      </c>
      <c r="AK3139">
        <v>0.86392025711311105</v>
      </c>
      <c r="AL3139">
        <v>94.802865982200103</v>
      </c>
      <c r="AM3139">
        <v>109.47736831715901</v>
      </c>
      <c r="AN3139">
        <v>1.00000001644341</v>
      </c>
    </row>
    <row r="3140" spans="1:40" x14ac:dyDescent="0.25">
      <c r="A3140" t="str">
        <f>"20190303154828993"</f>
        <v>20190303154828993</v>
      </c>
      <c r="B3140" t="str">
        <f>"1551599308983530"</f>
        <v>1551599308983530</v>
      </c>
      <c r="C3140" t="s">
        <v>40</v>
      </c>
      <c r="D3140">
        <v>4.9247699999999996</v>
      </c>
      <c r="E3140">
        <v>0.37171179999999998</v>
      </c>
      <c r="F3140" t="s">
        <v>42</v>
      </c>
      <c r="G3140">
        <v>-484.2962</v>
      </c>
      <c r="H3140">
        <v>1.032484</v>
      </c>
      <c r="I3140">
        <v>217.3586</v>
      </c>
      <c r="J3140">
        <v>-485.15260000000001</v>
      </c>
      <c r="K3140">
        <v>1.1228279999999999</v>
      </c>
      <c r="L3140">
        <v>217.38030000000001</v>
      </c>
      <c r="M3140">
        <v>0.71839259999999905</v>
      </c>
      <c r="N3140">
        <v>-2.773139E-3</v>
      </c>
      <c r="O3140">
        <v>-0.69563260000000005</v>
      </c>
      <c r="P3140">
        <v>0.90604189999999996</v>
      </c>
      <c r="Q3140">
        <v>-8.4091609999999997E-2</v>
      </c>
      <c r="R3140">
        <v>-0.41474939999999999</v>
      </c>
      <c r="S3140">
        <v>3.1461790000000001</v>
      </c>
      <c r="T3140">
        <v>-0.29976550000000002</v>
      </c>
      <c r="U3140">
        <v>-0.32116699999999998</v>
      </c>
      <c r="V3140">
        <v>-0.33168720000000002</v>
      </c>
      <c r="W3140">
        <v>-8.4028749999999999E-2</v>
      </c>
      <c r="X3140">
        <v>0.93963969999999997</v>
      </c>
      <c r="Y3140">
        <v>-0.61393249999999999</v>
      </c>
      <c r="Z3140">
        <v>8.7856900000000002E-2</v>
      </c>
      <c r="AA3140">
        <v>0.78445399999999998</v>
      </c>
      <c r="AB3140">
        <v>12</v>
      </c>
      <c r="AC3140">
        <v>0.85640000000000704</v>
      </c>
      <c r="AD3140">
        <v>-9.0344000000000202E-2</v>
      </c>
      <c r="AE3140">
        <v>-2.1700000000009802E-2</v>
      </c>
      <c r="AF3140">
        <v>-0.57377152658904196</v>
      </c>
      <c r="AG3140">
        <v>-9.0344000000000202E-2</v>
      </c>
      <c r="AH3140">
        <v>0.62339582136967098</v>
      </c>
      <c r="AI3140">
        <v>96.086551831983698</v>
      </c>
      <c r="AJ3140">
        <v>132.62636703811401</v>
      </c>
      <c r="AK3140">
        <v>0.85205525241118396</v>
      </c>
      <c r="AL3140">
        <v>94.820176542066406</v>
      </c>
      <c r="AM3140">
        <v>109.442727385632</v>
      </c>
      <c r="AN3140">
        <v>0.99999999764324599</v>
      </c>
    </row>
    <row r="3141" spans="1:40" x14ac:dyDescent="0.25">
      <c r="A3141" t="str">
        <f>"20190303154829015"</f>
        <v>20190303154829015</v>
      </c>
      <c r="B3141" t="str">
        <f>"1551599309004026"</f>
        <v>1551599309004026</v>
      </c>
      <c r="C3141" t="s">
        <v>40</v>
      </c>
      <c r="D3141">
        <v>4.9101759999999999</v>
      </c>
      <c r="E3141">
        <v>0.37345159999999999</v>
      </c>
      <c r="F3141" t="s">
        <v>42</v>
      </c>
      <c r="G3141">
        <v>-484.22109999999998</v>
      </c>
      <c r="H3141">
        <v>1.0334380000000001</v>
      </c>
      <c r="I3141">
        <v>217.2877</v>
      </c>
      <c r="J3141">
        <v>-485.0591</v>
      </c>
      <c r="K3141">
        <v>1.1229070000000001</v>
      </c>
      <c r="L3141">
        <v>217.3049</v>
      </c>
      <c r="M3141">
        <v>0.72497599999999995</v>
      </c>
      <c r="N3141">
        <v>-2.5530819999999999E-3</v>
      </c>
      <c r="O3141">
        <v>-0.68876949999999904</v>
      </c>
      <c r="P3141">
        <v>0.9096438</v>
      </c>
      <c r="Q3141">
        <v>-8.4940080000000001E-2</v>
      </c>
      <c r="R3141">
        <v>-0.40661239999999998</v>
      </c>
      <c r="S3141">
        <v>3.140533</v>
      </c>
      <c r="T3141">
        <v>-0.30130600000000002</v>
      </c>
      <c r="U3141">
        <v>-0.31163020000000002</v>
      </c>
      <c r="V3141">
        <v>-0.33108929999999998</v>
      </c>
      <c r="W3141">
        <v>-8.5161689999999998E-2</v>
      </c>
      <c r="X3141">
        <v>0.93974860000000005</v>
      </c>
      <c r="Y3141">
        <v>-0.60861500000000002</v>
      </c>
      <c r="Z3141">
        <v>8.7916079999999994E-2</v>
      </c>
      <c r="AA3141">
        <v>0.78858009999999901</v>
      </c>
      <c r="AB3141">
        <v>12</v>
      </c>
      <c r="AC3141">
        <v>0.83800000000002195</v>
      </c>
      <c r="AD3141">
        <v>-8.9469000000000007E-2</v>
      </c>
      <c r="AE3141">
        <v>-1.7200000000002501E-2</v>
      </c>
      <c r="AF3141">
        <v>-0.55835913928859604</v>
      </c>
      <c r="AG3141">
        <v>-8.9469000000000007E-2</v>
      </c>
      <c r="AH3141">
        <v>0.61240103262974099</v>
      </c>
      <c r="AI3141">
        <v>96.161710703146795</v>
      </c>
      <c r="AJ3141">
        <v>132.35712221422801</v>
      </c>
      <c r="AK3141">
        <v>0.83354943173999896</v>
      </c>
      <c r="AL3141">
        <v>94.885322568315004</v>
      </c>
      <c r="AM3141">
        <v>109.408221496522</v>
      </c>
      <c r="AN3141">
        <v>1.0000000346100499</v>
      </c>
    </row>
    <row r="3142" spans="1:40" x14ac:dyDescent="0.25">
      <c r="A3142" t="str">
        <f>"20190303154829038"</f>
        <v>20190303154829038</v>
      </c>
      <c r="B3142" t="str">
        <f>"1551599309034281"</f>
        <v>1551599309034281</v>
      </c>
      <c r="C3142" t="s">
        <v>40</v>
      </c>
      <c r="D3142">
        <v>4.9444169999999996</v>
      </c>
      <c r="E3142">
        <v>0.37481510000000001</v>
      </c>
      <c r="F3142" t="s">
        <v>42</v>
      </c>
      <c r="G3142">
        <v>-484.14280000000002</v>
      </c>
      <c r="H3142">
        <v>1.035004</v>
      </c>
      <c r="I3142">
        <v>217.2184</v>
      </c>
      <c r="J3142">
        <v>-484.96640000000002</v>
      </c>
      <c r="K3142">
        <v>1.122987</v>
      </c>
      <c r="L3142">
        <v>217.23140000000001</v>
      </c>
      <c r="M3142">
        <v>0.73138649999999905</v>
      </c>
      <c r="N3142">
        <v>-2.36768E-3</v>
      </c>
      <c r="O3142">
        <v>-0.68195939999999999</v>
      </c>
      <c r="P3142">
        <v>0.91294799999999998</v>
      </c>
      <c r="Q3142">
        <v>-8.5003510000000004E-2</v>
      </c>
      <c r="R3142">
        <v>-0.3991247</v>
      </c>
      <c r="S3142">
        <v>3.1374819999999999</v>
      </c>
      <c r="T3142">
        <v>-0.30097849999999998</v>
      </c>
      <c r="U3142">
        <v>-0.29612729999999998</v>
      </c>
      <c r="V3142">
        <v>-0.32999450000000002</v>
      </c>
      <c r="W3142">
        <v>-8.5470500000000005E-2</v>
      </c>
      <c r="X3142">
        <v>0.94010559999999999</v>
      </c>
      <c r="Y3142">
        <v>-0.60502539999999905</v>
      </c>
      <c r="Z3142">
        <v>8.742983E-2</v>
      </c>
      <c r="AA3142">
        <v>0.79139139999999997</v>
      </c>
      <c r="AB3142">
        <v>12</v>
      </c>
      <c r="AC3142">
        <v>0.823599999999999</v>
      </c>
      <c r="AD3142">
        <v>-8.7983000000000103E-2</v>
      </c>
      <c r="AE3142">
        <v>-1.30000000000052E-2</v>
      </c>
      <c r="AF3142">
        <v>-0.54592655669693602</v>
      </c>
      <c r="AG3142">
        <v>-8.7983000000000103E-2</v>
      </c>
      <c r="AH3142">
        <v>0.60434189102277602</v>
      </c>
      <c r="AI3142">
        <v>96.165904685045305</v>
      </c>
      <c r="AJ3142">
        <v>132.092783621943</v>
      </c>
      <c r="AK3142">
        <v>0.81914951922158796</v>
      </c>
      <c r="AL3142">
        <v>94.903080711337296</v>
      </c>
      <c r="AM3142">
        <v>109.342019310005</v>
      </c>
      <c r="AN3142">
        <v>1.00000005777592</v>
      </c>
    </row>
    <row r="3143" spans="1:40" x14ac:dyDescent="0.25">
      <c r="A3143" t="str">
        <f>"20190303154829059"</f>
        <v>20190303154829059</v>
      </c>
      <c r="B3143" t="str">
        <f>"1551599309053802"</f>
        <v>1551599309053802</v>
      </c>
      <c r="C3143" t="s">
        <v>40</v>
      </c>
      <c r="D3143">
        <v>5.1638729999999997</v>
      </c>
      <c r="E3143">
        <v>0.38293260000000001</v>
      </c>
      <c r="F3143" t="s">
        <v>42</v>
      </c>
      <c r="G3143">
        <v>-484.0616</v>
      </c>
      <c r="H3143">
        <v>1.0358609999999999</v>
      </c>
      <c r="I3143">
        <v>217.15029999999999</v>
      </c>
      <c r="J3143">
        <v>-484.87150000000003</v>
      </c>
      <c r="K3143">
        <v>1.1230739999999999</v>
      </c>
      <c r="L3143">
        <v>217.1576</v>
      </c>
      <c r="M3143">
        <v>0.73782689999999995</v>
      </c>
      <c r="N3143">
        <v>-2.2061060000000002E-3</v>
      </c>
      <c r="O3143">
        <v>-0.67498649999999905</v>
      </c>
      <c r="P3143">
        <v>0.91626730000000001</v>
      </c>
      <c r="Q3143">
        <v>-8.4803420000000004E-2</v>
      </c>
      <c r="R3143">
        <v>-0.39148830000000001</v>
      </c>
      <c r="S3143">
        <v>3.1353759999999999</v>
      </c>
      <c r="T3143">
        <v>-0.30178519999999998</v>
      </c>
      <c r="U3143">
        <v>-0.2802887</v>
      </c>
      <c r="V3143">
        <v>-0.32891189999999998</v>
      </c>
      <c r="W3143">
        <v>-8.5493689999999997E-2</v>
      </c>
      <c r="X3143">
        <v>0.9404827</v>
      </c>
      <c r="Y3143">
        <v>-0.60139500000000001</v>
      </c>
      <c r="Z3143">
        <v>8.7214429999999996E-2</v>
      </c>
      <c r="AA3143">
        <v>0.79417740000000003</v>
      </c>
      <c r="AB3143">
        <v>12</v>
      </c>
      <c r="AC3143">
        <v>0.80990000000002704</v>
      </c>
      <c r="AD3143">
        <v>-8.7212999999999694E-2</v>
      </c>
      <c r="AE3143">
        <v>-7.3000000000149603E-3</v>
      </c>
      <c r="AF3143">
        <v>-0.53508250888767495</v>
      </c>
      <c r="AG3143">
        <v>-8.7212999999999694E-2</v>
      </c>
      <c r="AH3143">
        <v>0.59558906698159098</v>
      </c>
      <c r="AI3143">
        <v>96.216594126387093</v>
      </c>
      <c r="AJ3143">
        <v>131.93680564463699</v>
      </c>
      <c r="AK3143">
        <v>0.80538545765026703</v>
      </c>
      <c r="AL3143">
        <v>94.904414767292806</v>
      </c>
      <c r="AM3143">
        <v>109.27609437442401</v>
      </c>
      <c r="AN3143">
        <v>0.99999995899535699</v>
      </c>
    </row>
    <row r="3144" spans="1:40" x14ac:dyDescent="0.25">
      <c r="A3144" t="str">
        <f>"20190303154829085"</f>
        <v>20190303154829085</v>
      </c>
      <c r="B3144" t="str">
        <f>"1551599309074297"</f>
        <v>1551599309074297</v>
      </c>
      <c r="C3144" t="s">
        <v>40</v>
      </c>
      <c r="D3144">
        <v>5.1927560000000001</v>
      </c>
      <c r="E3144">
        <v>0.45665859999999903</v>
      </c>
      <c r="F3144" t="s">
        <v>42</v>
      </c>
      <c r="G3144">
        <v>-483.9864</v>
      </c>
      <c r="H3144">
        <v>1.0392220000000001</v>
      </c>
      <c r="I3144">
        <v>217.0684</v>
      </c>
      <c r="J3144">
        <v>-484.76170000000002</v>
      </c>
      <c r="K3144">
        <v>1.1231690000000001</v>
      </c>
      <c r="L3144">
        <v>217.07409999999999</v>
      </c>
      <c r="M3144">
        <v>0.74512500000000004</v>
      </c>
      <c r="N3144">
        <v>-2.0501479999999999E-3</v>
      </c>
      <c r="O3144">
        <v>-0.66692169999999995</v>
      </c>
      <c r="P3144">
        <v>0.91991820000000002</v>
      </c>
      <c r="Q3144">
        <v>-8.4190210000000001E-2</v>
      </c>
      <c r="R3144">
        <v>-0.38296520000000001</v>
      </c>
      <c r="S3144">
        <v>3.1127009999999999</v>
      </c>
      <c r="T3144">
        <v>-0.29492750000000001</v>
      </c>
      <c r="U3144">
        <v>-0.31391910000000001</v>
      </c>
      <c r="V3144">
        <v>-0.32743129999999998</v>
      </c>
      <c r="W3144">
        <v>-8.5104840000000001E-2</v>
      </c>
      <c r="X3144">
        <v>0.9410345</v>
      </c>
      <c r="Y3144">
        <v>-0.58384219999999998</v>
      </c>
      <c r="Z3144">
        <v>8.4442619999999996E-2</v>
      </c>
      <c r="AA3144">
        <v>0.80746379999999995</v>
      </c>
      <c r="AB3144">
        <v>13</v>
      </c>
      <c r="AC3144">
        <v>0.77530000000001498</v>
      </c>
      <c r="AD3144">
        <v>-8.3947000000000202E-2</v>
      </c>
      <c r="AE3144">
        <v>-5.6999999999902597E-3</v>
      </c>
      <c r="AF3144">
        <v>-0.50687602868940296</v>
      </c>
      <c r="AG3144">
        <v>-8.3947000000000202E-2</v>
      </c>
      <c r="AH3144">
        <v>0.57476003702103895</v>
      </c>
      <c r="AI3144">
        <v>96.251436804442804</v>
      </c>
      <c r="AJ3144">
        <v>131.40879902355999</v>
      </c>
      <c r="AK3144">
        <v>0.77092120701493605</v>
      </c>
      <c r="AL3144">
        <v>94.882053554961402</v>
      </c>
      <c r="AM3144">
        <v>109.18525139176199</v>
      </c>
      <c r="AN3144">
        <v>1.0000000101006801</v>
      </c>
    </row>
    <row r="3145" spans="1:40" x14ac:dyDescent="0.25">
      <c r="A3145" t="str">
        <f>"20190303154829104"</f>
        <v>20190303154829104</v>
      </c>
      <c r="B3145" t="str">
        <f>"1551599309093818"</f>
        <v>1551599309093818</v>
      </c>
      <c r="C3145" t="s">
        <v>40</v>
      </c>
      <c r="D3145">
        <v>5.1734289999999996</v>
      </c>
      <c r="E3145">
        <v>0.46211940000000001</v>
      </c>
      <c r="F3145" t="s">
        <v>47</v>
      </c>
      <c r="G3145">
        <v>-474.78980000000001</v>
      </c>
      <c r="H3145" s="1">
        <v>3.8170979999999998E-6</v>
      </c>
      <c r="I3145">
        <v>214.2208</v>
      </c>
      <c r="J3145">
        <v>-484.66950000000003</v>
      </c>
      <c r="K3145">
        <v>1.123237</v>
      </c>
      <c r="L3145">
        <v>217.00540000000001</v>
      </c>
      <c r="M3145">
        <v>0.75113260000000004</v>
      </c>
      <c r="N3145">
        <v>-1.940249E-3</v>
      </c>
      <c r="O3145">
        <v>-0.66014859999999997</v>
      </c>
      <c r="P3145">
        <v>0.92268360000000005</v>
      </c>
      <c r="Q3145">
        <v>-8.4128229999999998E-2</v>
      </c>
      <c r="R3145">
        <v>-0.37626779999999999</v>
      </c>
      <c r="S3145">
        <v>2.8874209999999998</v>
      </c>
      <c r="T3145">
        <v>-0.32521679999999997</v>
      </c>
      <c r="U3145">
        <v>-0.82618709999999995</v>
      </c>
      <c r="V3145">
        <v>-0.32573629999999998</v>
      </c>
      <c r="W3145">
        <v>-8.5205110000000001E-2</v>
      </c>
      <c r="X3145">
        <v>0.94161349999999999</v>
      </c>
      <c r="Y3145">
        <v>-0.42262359999999999</v>
      </c>
      <c r="Z3145">
        <v>8.8247790000000007E-2</v>
      </c>
      <c r="AA3145">
        <v>0.90199870000000004</v>
      </c>
      <c r="AB3145">
        <v>13</v>
      </c>
      <c r="AC3145">
        <v>9.8797000000000104</v>
      </c>
      <c r="AD3145">
        <v>-1.1232331829019999</v>
      </c>
      <c r="AE3145">
        <v>-2.78460000000001</v>
      </c>
      <c r="AF3145">
        <v>-4.3780498182078897</v>
      </c>
      <c r="AG3145">
        <v>-1.1232331829019999</v>
      </c>
      <c r="AH3145">
        <v>9.1496695654062403</v>
      </c>
      <c r="AI3145">
        <v>96.319071113945498</v>
      </c>
      <c r="AJ3145">
        <v>115.57077303022901</v>
      </c>
      <c r="AK3145">
        <v>10.2051666399919</v>
      </c>
      <c r="AL3145">
        <v>94.887819519256297</v>
      </c>
      <c r="AM3145">
        <v>109.082252332576</v>
      </c>
      <c r="AN3145">
        <v>1.0000000156450199</v>
      </c>
    </row>
    <row r="3146" spans="1:40" x14ac:dyDescent="0.25">
      <c r="A3146" t="str">
        <f>"20190303154829129"</f>
        <v>20190303154829129</v>
      </c>
      <c r="B3146" t="str">
        <f>"1551599309124073"</f>
        <v>1551599309124073</v>
      </c>
      <c r="C3146" t="s">
        <v>40</v>
      </c>
      <c r="D3146">
        <v>5.1862570000000003</v>
      </c>
      <c r="E3146">
        <v>0.46517209999999998</v>
      </c>
      <c r="F3146" t="s">
        <v>47</v>
      </c>
      <c r="G3146">
        <v>-474.9067</v>
      </c>
      <c r="H3146" s="1">
        <v>3.761518E-6</v>
      </c>
      <c r="I3146">
        <v>214.1361</v>
      </c>
      <c r="J3146">
        <v>-484.55059999999997</v>
      </c>
      <c r="K3146">
        <v>1.1233299999999999</v>
      </c>
      <c r="L3146">
        <v>216.9186</v>
      </c>
      <c r="M3146">
        <v>0.75872259999999903</v>
      </c>
      <c r="N3146">
        <v>-1.8238690000000001E-3</v>
      </c>
      <c r="O3146">
        <v>-0.65141139999999997</v>
      </c>
      <c r="P3146">
        <v>0.92634919999999998</v>
      </c>
      <c r="Q3146">
        <v>-8.4193649999999995E-2</v>
      </c>
      <c r="R3146">
        <v>-0.36713590000000002</v>
      </c>
      <c r="S3146">
        <v>2.8764340000000002</v>
      </c>
      <c r="T3146">
        <v>-0.33094220000000002</v>
      </c>
      <c r="U3146">
        <v>-0.84538269999999904</v>
      </c>
      <c r="V3146">
        <v>-0.32410879999999997</v>
      </c>
      <c r="W3146">
        <v>-8.5458480000000003E-2</v>
      </c>
      <c r="X3146">
        <v>0.94215199999999999</v>
      </c>
      <c r="Y3146">
        <v>-0.40552319999999997</v>
      </c>
      <c r="Z3146">
        <v>8.8428530000000005E-2</v>
      </c>
      <c r="AA3146">
        <v>0.90979739999999998</v>
      </c>
      <c r="AB3146">
        <v>13</v>
      </c>
      <c r="AC3146">
        <v>9.6438999999999702</v>
      </c>
      <c r="AD3146">
        <v>-1.123326238482</v>
      </c>
      <c r="AE3146">
        <v>-2.78249999999999</v>
      </c>
      <c r="AF3146">
        <v>-4.1194116440446296</v>
      </c>
      <c r="AG3146">
        <v>-1.123326238482</v>
      </c>
      <c r="AH3146">
        <v>9.0166774643100194</v>
      </c>
      <c r="AI3146">
        <v>96.465012592623907</v>
      </c>
      <c r="AJ3146">
        <v>114.554040120247</v>
      </c>
      <c r="AK3146">
        <v>9.9765668757618595</v>
      </c>
      <c r="AL3146">
        <v>94.902389630584295</v>
      </c>
      <c r="AM3146">
        <v>108.98367992999999</v>
      </c>
      <c r="AN3146">
        <v>1.00000002857267</v>
      </c>
    </row>
    <row r="3147" spans="1:40" x14ac:dyDescent="0.25">
      <c r="A3147" t="str">
        <f>"20190303154829152"</f>
        <v>20190303154829152</v>
      </c>
      <c r="B3147" t="str">
        <f>"1551599309143594"</f>
        <v>1551599309143594</v>
      </c>
      <c r="C3147" t="s">
        <v>40</v>
      </c>
      <c r="D3147">
        <v>5.1811569999999998</v>
      </c>
      <c r="E3147">
        <v>0.4665069</v>
      </c>
      <c r="F3147" t="s">
        <v>47</v>
      </c>
      <c r="G3147">
        <v>-474.62909999999999</v>
      </c>
      <c r="H3147" s="1">
        <v>3.879667E-6</v>
      </c>
      <c r="I3147">
        <v>214.02199999999999</v>
      </c>
      <c r="J3147">
        <v>-484.44200000000001</v>
      </c>
      <c r="K3147">
        <v>1.1234170000000001</v>
      </c>
      <c r="L3147">
        <v>216.84110000000001</v>
      </c>
      <c r="M3147">
        <v>0.76550909999999905</v>
      </c>
      <c r="N3147">
        <v>-1.736168E-3</v>
      </c>
      <c r="O3147">
        <v>-0.64342270000000001</v>
      </c>
      <c r="P3147">
        <v>0.92921880000000001</v>
      </c>
      <c r="Q3147">
        <v>-8.4608409999999995E-2</v>
      </c>
      <c r="R3147">
        <v>-0.35971350000000002</v>
      </c>
      <c r="S3147">
        <v>2.876099</v>
      </c>
      <c r="T3147">
        <v>-0.3256347</v>
      </c>
      <c r="U3147">
        <v>-0.83969119999999997</v>
      </c>
      <c r="V3147">
        <v>-0.321718</v>
      </c>
      <c r="W3147">
        <v>-8.6016389999999998E-2</v>
      </c>
      <c r="X3147">
        <v>0.94292030000000004</v>
      </c>
      <c r="Y3147">
        <v>-0.39781060000000001</v>
      </c>
      <c r="Z3147">
        <v>8.6042779999999999E-2</v>
      </c>
      <c r="AA3147">
        <v>0.91342400000000001</v>
      </c>
      <c r="AB3147">
        <v>13</v>
      </c>
      <c r="AC3147">
        <v>9.8128999999999493</v>
      </c>
      <c r="AD3147">
        <v>-1.123413120333</v>
      </c>
      <c r="AE3147">
        <v>-2.8190999999999899</v>
      </c>
      <c r="AF3147">
        <v>-4.1060890578819897</v>
      </c>
      <c r="AG3147">
        <v>-1.123413120333</v>
      </c>
      <c r="AH3147">
        <v>9.2141934382078698</v>
      </c>
      <c r="AI3147">
        <v>96.354551813974098</v>
      </c>
      <c r="AJ3147">
        <v>114.019021002835</v>
      </c>
      <c r="AK3147">
        <v>10.1500436012318</v>
      </c>
      <c r="AL3147">
        <v>94.934473842644906</v>
      </c>
      <c r="AM3147">
        <v>108.839292437127</v>
      </c>
      <c r="AN3147">
        <v>0.99999999151236096</v>
      </c>
    </row>
    <row r="3148" spans="1:40" x14ac:dyDescent="0.25">
      <c r="A3148" t="str">
        <f>"20190303154829183"</f>
        <v>20190303154829183</v>
      </c>
      <c r="B3148" t="str">
        <f>"1551599309173850"</f>
        <v>1551599309173850</v>
      </c>
      <c r="C3148" t="s">
        <v>40</v>
      </c>
      <c r="D3148">
        <v>5.330597</v>
      </c>
      <c r="E3148">
        <v>0.46750019999999998</v>
      </c>
      <c r="F3148" t="s">
        <v>47</v>
      </c>
      <c r="G3148">
        <v>-474.4751</v>
      </c>
      <c r="H3148" s="1">
        <v>3.9460669999999999E-6</v>
      </c>
      <c r="I3148">
        <v>213.97890000000001</v>
      </c>
      <c r="J3148">
        <v>-484.28649999999999</v>
      </c>
      <c r="K3148">
        <v>1.1235440000000001</v>
      </c>
      <c r="L3148">
        <v>216.733</v>
      </c>
      <c r="M3148">
        <v>0.77498069999999997</v>
      </c>
      <c r="N3148">
        <v>-1.6350519999999999E-3</v>
      </c>
      <c r="O3148">
        <v>-0.63198290000000001</v>
      </c>
      <c r="P3148">
        <v>0.93332610000000005</v>
      </c>
      <c r="Q3148">
        <v>-8.6274470000000006E-2</v>
      </c>
      <c r="R3148">
        <v>-0.34851009999999999</v>
      </c>
      <c r="S3148">
        <v>2.878876</v>
      </c>
      <c r="T3148">
        <v>-0.32449159999999999</v>
      </c>
      <c r="U3148">
        <v>-0.82673649999999999</v>
      </c>
      <c r="V3148">
        <v>-0.31891019999999998</v>
      </c>
      <c r="W3148">
        <v>-8.7867420000000002E-2</v>
      </c>
      <c r="X3148">
        <v>0.94370319999999996</v>
      </c>
      <c r="Y3148">
        <v>-0.3883412</v>
      </c>
      <c r="Z3148">
        <v>8.43608E-2</v>
      </c>
      <c r="AA3148">
        <v>0.91764610000000002</v>
      </c>
      <c r="AB3148">
        <v>13</v>
      </c>
      <c r="AC3148">
        <v>9.8113999999999901</v>
      </c>
      <c r="AD3148">
        <v>-1.123540053933</v>
      </c>
      <c r="AE3148">
        <v>-2.75409999999999</v>
      </c>
      <c r="AF3148">
        <v>-4.0174335147608202</v>
      </c>
      <c r="AG3148">
        <v>-1.123540053933</v>
      </c>
      <c r="AH3148">
        <v>9.2319813083996394</v>
      </c>
      <c r="AI3148">
        <v>96.367441802670697</v>
      </c>
      <c r="AJ3148">
        <v>113.51698078208599</v>
      </c>
      <c r="AK3148">
        <v>10.130725204888099</v>
      </c>
      <c r="AL3148">
        <v>95.0409328181305</v>
      </c>
      <c r="AM3148">
        <v>108.671903137494</v>
      </c>
      <c r="AN3148">
        <v>1.00000006442586</v>
      </c>
    </row>
    <row r="3149" spans="1:40" x14ac:dyDescent="0.25">
      <c r="A3149" t="str">
        <f>"20190303154829206"</f>
        <v>20190303154829206</v>
      </c>
      <c r="B3149" t="str">
        <f>"1551599309194346"</f>
        <v>1551599309194346</v>
      </c>
      <c r="C3149" t="s">
        <v>40</v>
      </c>
      <c r="D3149">
        <v>5.2913360000000003</v>
      </c>
      <c r="E3149">
        <v>0.4681302</v>
      </c>
      <c r="F3149" t="s">
        <v>47</v>
      </c>
      <c r="G3149">
        <v>-474.4572</v>
      </c>
      <c r="H3149" s="1">
        <v>3.9553619999999997E-6</v>
      </c>
      <c r="I3149">
        <v>214.01060000000001</v>
      </c>
      <c r="J3149">
        <v>-484.17399999999998</v>
      </c>
      <c r="K3149">
        <v>1.12364</v>
      </c>
      <c r="L3149">
        <v>216.65690000000001</v>
      </c>
      <c r="M3149">
        <v>0.78166630000000004</v>
      </c>
      <c r="N3149">
        <v>-1.579811E-3</v>
      </c>
      <c r="O3149">
        <v>-0.62369509999999995</v>
      </c>
      <c r="P3149">
        <v>0.93672789999999995</v>
      </c>
      <c r="Q3149">
        <v>-8.5955599999999993E-2</v>
      </c>
      <c r="R3149">
        <v>-0.33934160000000002</v>
      </c>
      <c r="S3149">
        <v>2.8853759999999999</v>
      </c>
      <c r="T3149">
        <v>-0.3298143</v>
      </c>
      <c r="U3149">
        <v>-0.79916379999999998</v>
      </c>
      <c r="V3149">
        <v>-0.31811339999999999</v>
      </c>
      <c r="W3149">
        <v>-8.7676519999999994E-2</v>
      </c>
      <c r="X3149">
        <v>0.94398979999999999</v>
      </c>
      <c r="Y3149">
        <v>-0.3870826</v>
      </c>
      <c r="Z3149">
        <v>8.500336E-2</v>
      </c>
      <c r="AA3149">
        <v>0.91811849999999995</v>
      </c>
      <c r="AB3149">
        <v>14</v>
      </c>
      <c r="AC3149">
        <v>9.7168000000000294</v>
      </c>
      <c r="AD3149">
        <v>-1.123636044638</v>
      </c>
      <c r="AE3149">
        <v>-2.6462999999999899</v>
      </c>
      <c r="AF3149">
        <v>-3.9427188670964699</v>
      </c>
      <c r="AG3149">
        <v>-1.123636044638</v>
      </c>
      <c r="AH3149">
        <v>9.1321048896761798</v>
      </c>
      <c r="AI3149">
        <v>96.445021153180704</v>
      </c>
      <c r="AJ3149">
        <v>113.351915669145</v>
      </c>
      <c r="AK3149">
        <v>10.010141344747099</v>
      </c>
      <c r="AL3149">
        <v>95.029952876700705</v>
      </c>
      <c r="AM3149">
        <v>108.623208033796</v>
      </c>
      <c r="AN3149">
        <v>1.00000002496145</v>
      </c>
    </row>
    <row r="3150" spans="1:40" x14ac:dyDescent="0.25">
      <c r="A3150" t="str">
        <f>"20190303154829227"</f>
        <v>20190303154829227</v>
      </c>
      <c r="B3150" t="str">
        <f>"1551599309223625"</f>
        <v>1551599309223625</v>
      </c>
      <c r="C3150" t="s">
        <v>40</v>
      </c>
      <c r="D3150">
        <v>5.2712629999999896</v>
      </c>
      <c r="E3150">
        <v>0.46954010000000002</v>
      </c>
      <c r="F3150" t="s">
        <v>47</v>
      </c>
      <c r="G3150">
        <v>-474.30489999999998</v>
      </c>
      <c r="H3150" s="1">
        <v>4.0228940000000003E-6</v>
      </c>
      <c r="I3150">
        <v>214.00970000000001</v>
      </c>
      <c r="J3150">
        <v>-484.06079999999997</v>
      </c>
      <c r="K3150">
        <v>1.123731</v>
      </c>
      <c r="L3150">
        <v>216.5821</v>
      </c>
      <c r="M3150">
        <v>0.78823999999999905</v>
      </c>
      <c r="N3150">
        <v>-1.536887E-3</v>
      </c>
      <c r="O3150">
        <v>-0.61536610000000003</v>
      </c>
      <c r="P3150">
        <v>0.94027300000000003</v>
      </c>
      <c r="Q3150">
        <v>-8.4930989999999998E-2</v>
      </c>
      <c r="R3150">
        <v>-0.32965680000000003</v>
      </c>
      <c r="S3150">
        <v>2.8915099999999998</v>
      </c>
      <c r="T3150">
        <v>-0.32921060000000002</v>
      </c>
      <c r="U3150">
        <v>-0.77560419999999997</v>
      </c>
      <c r="V3150">
        <v>-0.31788300000000003</v>
      </c>
      <c r="W3150">
        <v>-8.6773459999999997E-2</v>
      </c>
      <c r="X3150">
        <v>0.94415079999999996</v>
      </c>
      <c r="Y3150">
        <v>-0.38484669999999999</v>
      </c>
      <c r="Z3150">
        <v>8.4014480000000002E-2</v>
      </c>
      <c r="AA3150">
        <v>0.91914879999999999</v>
      </c>
      <c r="AB3150">
        <v>14</v>
      </c>
      <c r="AC3150">
        <v>9.7558999999999898</v>
      </c>
      <c r="AD3150">
        <v>-1.1237269771059999</v>
      </c>
      <c r="AE3150">
        <v>-2.57239999999998</v>
      </c>
      <c r="AF3150">
        <v>-3.9270708450942702</v>
      </c>
      <c r="AG3150">
        <v>-1.1237269771059999</v>
      </c>
      <c r="AH3150">
        <v>9.1593473959095402</v>
      </c>
      <c r="AI3150">
        <v>96.433455266392698</v>
      </c>
      <c r="AJ3150">
        <v>113.207237144486</v>
      </c>
      <c r="AK3150">
        <v>10.028872940685799</v>
      </c>
      <c r="AL3150">
        <v>94.9780135932658</v>
      </c>
      <c r="AM3150">
        <v>108.60769396111</v>
      </c>
      <c r="AN3150">
        <v>0.99999998409500501</v>
      </c>
    </row>
    <row r="3151" spans="1:40" x14ac:dyDescent="0.25">
      <c r="A3151" t="str">
        <f>"20190303154829272"</f>
        <v>20190303154829272</v>
      </c>
      <c r="B3151" t="str">
        <f>"1551599309263642"</f>
        <v>1551599309263642</v>
      </c>
      <c r="C3151" t="s">
        <v>40</v>
      </c>
      <c r="D3151">
        <v>4.4906509999999997</v>
      </c>
      <c r="E3151">
        <v>0.46954010000000002</v>
      </c>
      <c r="F3151" t="s">
        <v>47</v>
      </c>
      <c r="G3151">
        <v>-474.11700000000002</v>
      </c>
      <c r="H3151" s="1">
        <v>4.105118E-6</v>
      </c>
      <c r="I3151">
        <v>213.98500000000001</v>
      </c>
      <c r="J3151">
        <v>-483.81819999999999</v>
      </c>
      <c r="K3151">
        <v>1.123942</v>
      </c>
      <c r="L3151">
        <v>216.4272</v>
      </c>
      <c r="M3151">
        <v>0.80187310000000001</v>
      </c>
      <c r="N3151">
        <v>-1.4818100000000001E-3</v>
      </c>
      <c r="O3151">
        <v>-0.59749280000000005</v>
      </c>
      <c r="P3151">
        <v>0.94721060000000001</v>
      </c>
      <c r="Q3151">
        <v>-8.3906869999999995E-2</v>
      </c>
      <c r="R3151">
        <v>-0.30943799999999999</v>
      </c>
      <c r="S3151">
        <v>2.895813</v>
      </c>
      <c r="T3151">
        <v>-0.3272504</v>
      </c>
      <c r="U3151">
        <v>-0.75633240000000002</v>
      </c>
      <c r="V3151">
        <v>-0.3169034</v>
      </c>
      <c r="W3151">
        <v>-8.5967669999999996E-2</v>
      </c>
      <c r="X3151">
        <v>0.9445538</v>
      </c>
      <c r="Y3151">
        <v>-0.37035810000000002</v>
      </c>
      <c r="Z3151">
        <v>8.1223630000000005E-2</v>
      </c>
      <c r="AA3151">
        <v>0.92533109999999996</v>
      </c>
      <c r="AB3151">
        <v>14</v>
      </c>
      <c r="AC3151">
        <v>9.7012000000000196</v>
      </c>
      <c r="AD3151">
        <v>-1.123937894882</v>
      </c>
      <c r="AE3151">
        <v>-2.4421999999999802</v>
      </c>
      <c r="AF3151">
        <v>-3.7902239330528902</v>
      </c>
      <c r="AG3151">
        <v>-1.123937894882</v>
      </c>
      <c r="AH3151">
        <v>9.1231790139102191</v>
      </c>
      <c r="AI3151">
        <v>96.490538942887795</v>
      </c>
      <c r="AJ3151">
        <v>112.560437324509</v>
      </c>
      <c r="AK3151">
        <v>9.9429084866597499</v>
      </c>
      <c r="AL3151">
        <v>94.9316717584598</v>
      </c>
      <c r="AM3151">
        <v>108.546908204947</v>
      </c>
      <c r="AN3151">
        <v>1.00000004315561</v>
      </c>
    </row>
    <row r="3152" spans="1:40" x14ac:dyDescent="0.25">
      <c r="A3152" t="str">
        <f>"20190303154829406"</f>
        <v>20190303154829406</v>
      </c>
      <c r="B3152" t="str">
        <f>"1551599309404186"</f>
        <v>1551599309404186</v>
      </c>
      <c r="C3152" t="s">
        <v>40</v>
      </c>
      <c r="D3152">
        <v>5.3417629999999896</v>
      </c>
      <c r="E3152">
        <v>0.43394379999999999</v>
      </c>
      <c r="F3152" t="s">
        <v>47</v>
      </c>
      <c r="G3152">
        <v>-473.72399999999999</v>
      </c>
      <c r="H3152" s="1">
        <v>4.2809760000000004E-6</v>
      </c>
      <c r="I3152">
        <v>214.02080000000001</v>
      </c>
      <c r="J3152">
        <v>-483.04250000000002</v>
      </c>
      <c r="K3152">
        <v>1.124601</v>
      </c>
      <c r="L3152">
        <v>215.9802</v>
      </c>
      <c r="M3152">
        <v>0.84146929999999998</v>
      </c>
      <c r="N3152">
        <v>-1.5148449999999999E-3</v>
      </c>
      <c r="O3152">
        <v>-0.54030299999999998</v>
      </c>
      <c r="P3152">
        <v>0.96383549999999996</v>
      </c>
      <c r="Q3152">
        <v>-8.2889329999999997E-2</v>
      </c>
      <c r="R3152">
        <v>-0.25327939999999999</v>
      </c>
      <c r="S3152">
        <v>2.9116819999999999</v>
      </c>
      <c r="T3152">
        <v>-0.32420120000000002</v>
      </c>
      <c r="U3152">
        <v>-0.69415280000000001</v>
      </c>
      <c r="V3152">
        <v>-0.30658580000000002</v>
      </c>
      <c r="W3152">
        <v>-8.5323490000000002E-2</v>
      </c>
      <c r="X3152">
        <v>0.9480111</v>
      </c>
      <c r="Y3152">
        <v>-0.32585330000000001</v>
      </c>
      <c r="Z3152">
        <v>7.2937520000000006E-2</v>
      </c>
      <c r="AA3152">
        <v>0.94260259999999996</v>
      </c>
      <c r="AB3152">
        <v>16</v>
      </c>
      <c r="AC3152">
        <v>9.3185000000000198</v>
      </c>
      <c r="AD3152">
        <v>-1.124596719024</v>
      </c>
      <c r="AE3152">
        <v>-1.95939999999998</v>
      </c>
      <c r="AF3152">
        <v>-3.33946321457789</v>
      </c>
      <c r="AG3152">
        <v>-1.124596719024</v>
      </c>
      <c r="AH3152">
        <v>8.7774822172717304</v>
      </c>
      <c r="AI3152">
        <v>96.828595257569503</v>
      </c>
      <c r="AJ3152">
        <v>110.82971719763199</v>
      </c>
      <c r="AK3152">
        <v>9.4583786357113002</v>
      </c>
      <c r="AL3152">
        <v>94.894627069327399</v>
      </c>
      <c r="AM3152">
        <v>107.92115317776199</v>
      </c>
      <c r="AN3152">
        <v>0.99999999821531405</v>
      </c>
    </row>
    <row r="3153" spans="1:40" x14ac:dyDescent="0.25">
      <c r="A3153" t="str">
        <f>"20190303154829428"</f>
        <v>20190303154829428</v>
      </c>
      <c r="B3153" t="str">
        <f>"1551599309423706"</f>
        <v>1551599309423706</v>
      </c>
      <c r="C3153" t="s">
        <v>40</v>
      </c>
      <c r="D3153">
        <v>5.3649449999999996</v>
      </c>
      <c r="E3153">
        <v>0.43448199999999998</v>
      </c>
      <c r="F3153" t="s">
        <v>42</v>
      </c>
      <c r="G3153">
        <v>-482.10829999999999</v>
      </c>
      <c r="H3153">
        <v>1.0684400000000001</v>
      </c>
      <c r="I3153">
        <v>215.9024</v>
      </c>
      <c r="J3153">
        <v>-482.90170000000001</v>
      </c>
      <c r="K3153">
        <v>1.124714</v>
      </c>
      <c r="L3153">
        <v>215.90649999999999</v>
      </c>
      <c r="M3153">
        <v>0.84805429999999904</v>
      </c>
      <c r="N3153">
        <v>-1.5405519999999999E-3</v>
      </c>
      <c r="O3153">
        <v>-0.52990729999999997</v>
      </c>
      <c r="P3153">
        <v>0.96621840000000003</v>
      </c>
      <c r="Q3153">
        <v>-8.3362099999999995E-2</v>
      </c>
      <c r="R3153">
        <v>-0.24387059999999999</v>
      </c>
      <c r="S3153">
        <v>3.0304570000000002</v>
      </c>
      <c r="T3153">
        <v>-0.18220230000000001</v>
      </c>
      <c r="U3153">
        <v>-0.25294489999999997</v>
      </c>
      <c r="V3153">
        <v>-0.30410910000000002</v>
      </c>
      <c r="W3153">
        <v>-8.5830459999999997E-2</v>
      </c>
      <c r="X3153">
        <v>0.94876280000000002</v>
      </c>
      <c r="Y3153">
        <v>-0.45588970000000001</v>
      </c>
      <c r="Z3153">
        <v>4.3465509999999999E-2</v>
      </c>
      <c r="AA3153">
        <v>0.8889743</v>
      </c>
      <c r="AB3153">
        <v>16</v>
      </c>
      <c r="AC3153">
        <v>0.79340000000001898</v>
      </c>
      <c r="AD3153">
        <v>-5.62739999999999E-2</v>
      </c>
      <c r="AE3153">
        <v>-4.0999999999939904E-3</v>
      </c>
      <c r="AF3153">
        <v>-0.41486486082012503</v>
      </c>
      <c r="AG3153">
        <v>-5.62739999999999E-2</v>
      </c>
      <c r="AH3153">
        <v>0.67164087478131096</v>
      </c>
      <c r="AI3153">
        <v>94.077347467723101</v>
      </c>
      <c r="AJ3153">
        <v>121.703149376361</v>
      </c>
      <c r="AK3153">
        <v>0.79144240504051</v>
      </c>
      <c r="AL3153">
        <v>94.923781096527094</v>
      </c>
      <c r="AM3153">
        <v>107.77233170734</v>
      </c>
      <c r="AN3153">
        <v>1.00000003161523</v>
      </c>
    </row>
    <row r="3154" spans="1:40" x14ac:dyDescent="0.25">
      <c r="A3154" t="str">
        <f>"20190303154829452"</f>
        <v>20190303154829452</v>
      </c>
      <c r="B3154" t="str">
        <f>"1551599309444201"</f>
        <v>1551599309444201</v>
      </c>
      <c r="C3154" t="s">
        <v>40</v>
      </c>
      <c r="D3154">
        <v>5.386171</v>
      </c>
      <c r="E3154">
        <v>0.4333535</v>
      </c>
      <c r="F3154" t="s">
        <v>42</v>
      </c>
      <c r="G3154">
        <v>-481.9649</v>
      </c>
      <c r="H3154">
        <v>1.0740209999999999</v>
      </c>
      <c r="I3154">
        <v>215.83580000000001</v>
      </c>
      <c r="J3154">
        <v>-482.75599999999997</v>
      </c>
      <c r="K3154">
        <v>1.12483</v>
      </c>
      <c r="L3154">
        <v>215.83250000000001</v>
      </c>
      <c r="M3154">
        <v>0.85467870000000001</v>
      </c>
      <c r="N3154">
        <v>-1.5733050000000001E-3</v>
      </c>
      <c r="O3154">
        <v>-0.51915529999999999</v>
      </c>
      <c r="P3154">
        <v>0.96865400000000002</v>
      </c>
      <c r="Q3154">
        <v>-8.3272879999999994E-2</v>
      </c>
      <c r="R3154">
        <v>-0.23404159999999999</v>
      </c>
      <c r="S3154">
        <v>3.0331730000000001</v>
      </c>
      <c r="T3154">
        <v>-0.16409979999999999</v>
      </c>
      <c r="U3154">
        <v>-0.22828670000000001</v>
      </c>
      <c r="V3154">
        <v>-0.30174590000000001</v>
      </c>
      <c r="W3154">
        <v>-8.5770929999999995E-2</v>
      </c>
      <c r="X3154">
        <v>0.94952239999999999</v>
      </c>
      <c r="Y3154">
        <v>-0.45223259999999998</v>
      </c>
      <c r="Z3154">
        <v>3.8506659999999998E-2</v>
      </c>
      <c r="AA3154">
        <v>0.89106849999999904</v>
      </c>
      <c r="AB3154">
        <v>16</v>
      </c>
      <c r="AC3154">
        <v>0.79109999999997105</v>
      </c>
      <c r="AD3154">
        <v>-5.0809000000000097E-2</v>
      </c>
      <c r="AE3154">
        <v>3.2999999999958601E-3</v>
      </c>
      <c r="AF3154">
        <v>-0.41182589950383103</v>
      </c>
      <c r="AG3154">
        <v>-5.0809000000000097E-2</v>
      </c>
      <c r="AH3154">
        <v>0.67165332614550799</v>
      </c>
      <c r="AI3154">
        <v>93.689902173566495</v>
      </c>
      <c r="AJ3154">
        <v>121.514646799375</v>
      </c>
      <c r="AK3154">
        <v>0.78949370897142901</v>
      </c>
      <c r="AL3154">
        <v>94.920357739481005</v>
      </c>
      <c r="AM3154">
        <v>107.629581478143</v>
      </c>
      <c r="AN3154">
        <v>1.0000000143508101</v>
      </c>
    </row>
    <row r="3155" spans="1:40" x14ac:dyDescent="0.25">
      <c r="A3155" t="str">
        <f>"20190303154829473"</f>
        <v>20190303154829473</v>
      </c>
      <c r="B3155" t="str">
        <f>"1551599309463721"</f>
        <v>1551599309463721</v>
      </c>
      <c r="C3155" t="s">
        <v>40</v>
      </c>
      <c r="D3155">
        <v>5.3440459999999996</v>
      </c>
      <c r="E3155">
        <v>0.4337956</v>
      </c>
      <c r="F3155" t="s">
        <v>42</v>
      </c>
      <c r="G3155">
        <v>-481.81670000000003</v>
      </c>
      <c r="H3155">
        <v>1.0638840000000001</v>
      </c>
      <c r="I3155">
        <v>215.77449999999999</v>
      </c>
      <c r="J3155">
        <v>-482.61689999999999</v>
      </c>
      <c r="K3155">
        <v>1.1249480000000001</v>
      </c>
      <c r="L3155">
        <v>215.76390000000001</v>
      </c>
      <c r="M3155">
        <v>0.86083419999999899</v>
      </c>
      <c r="N3155">
        <v>-1.609171E-3</v>
      </c>
      <c r="O3155">
        <v>-0.50888329999999904</v>
      </c>
      <c r="P3155">
        <v>0.97095509999999996</v>
      </c>
      <c r="Q3155">
        <v>-8.3810860000000001E-2</v>
      </c>
      <c r="R3155">
        <v>-0.22410330000000001</v>
      </c>
      <c r="S3155">
        <v>3.0348510000000002</v>
      </c>
      <c r="T3155">
        <v>-0.1968936</v>
      </c>
      <c r="U3155">
        <v>-0.1874847</v>
      </c>
      <c r="V3155">
        <v>-0.30004999999999998</v>
      </c>
      <c r="W3155">
        <v>-8.6338269999999995E-2</v>
      </c>
      <c r="X3155">
        <v>0.95000830000000003</v>
      </c>
      <c r="Y3155">
        <v>-0.45294790000000001</v>
      </c>
      <c r="Z3155">
        <v>4.576624E-2</v>
      </c>
      <c r="AA3155">
        <v>0.89036150000000003</v>
      </c>
      <c r="AB3155">
        <v>16</v>
      </c>
      <c r="AC3155">
        <v>0.80019999999996105</v>
      </c>
      <c r="AD3155">
        <v>-6.1064E-2</v>
      </c>
      <c r="AE3155">
        <v>1.05999999999824E-2</v>
      </c>
      <c r="AF3155">
        <v>-0.413923728425724</v>
      </c>
      <c r="AG3155">
        <v>-6.1064E-2</v>
      </c>
      <c r="AH3155">
        <v>0.67948992050599699</v>
      </c>
      <c r="AI3155">
        <v>94.388761347332505</v>
      </c>
      <c r="AJ3155">
        <v>121.34844884553399</v>
      </c>
      <c r="AK3155">
        <v>0.79797757933359204</v>
      </c>
      <c r="AL3155">
        <v>94.9529848590862</v>
      </c>
      <c r="AM3155">
        <v>107.528166684626</v>
      </c>
      <c r="AN3155">
        <v>1.00000003471774</v>
      </c>
    </row>
    <row r="3156" spans="1:40" x14ac:dyDescent="0.25">
      <c r="A3156" t="str">
        <f>"20190303154829494"</f>
        <v>20190303154829494</v>
      </c>
      <c r="B3156" t="str">
        <f>"1551599309484218"</f>
        <v>1551599309484218</v>
      </c>
      <c r="C3156" t="s">
        <v>40</v>
      </c>
      <c r="D3156">
        <v>5.3729300000000002</v>
      </c>
      <c r="E3156">
        <v>0.43310209999999999</v>
      </c>
      <c r="F3156" t="s">
        <v>42</v>
      </c>
      <c r="G3156">
        <v>-481.66469999999998</v>
      </c>
      <c r="H3156">
        <v>1.0565279999999999</v>
      </c>
      <c r="I3156">
        <v>215.7139</v>
      </c>
      <c r="J3156">
        <v>-482.47269999999997</v>
      </c>
      <c r="K3156">
        <v>1.125065</v>
      </c>
      <c r="L3156">
        <v>215.69489999999999</v>
      </c>
      <c r="M3156">
        <v>0.86704099999999995</v>
      </c>
      <c r="N3156">
        <v>-1.6494189999999901E-3</v>
      </c>
      <c r="O3156">
        <v>-0.49823440000000002</v>
      </c>
      <c r="P3156">
        <v>0.97351319999999997</v>
      </c>
      <c r="Q3156">
        <v>-8.3435239999999994E-2</v>
      </c>
      <c r="R3156">
        <v>-0.21286350000000001</v>
      </c>
      <c r="S3156">
        <v>3.0342709999999999</v>
      </c>
      <c r="T3156">
        <v>-0.21799579999999999</v>
      </c>
      <c r="U3156">
        <v>-0.158950799999999</v>
      </c>
      <c r="V3156">
        <v>-0.29931980000000002</v>
      </c>
      <c r="W3156">
        <v>-8.6002159999999994E-2</v>
      </c>
      <c r="X3156">
        <v>0.95026900000000003</v>
      </c>
      <c r="Y3156">
        <v>-0.44989790000000002</v>
      </c>
      <c r="Z3156">
        <v>4.9985670000000003E-2</v>
      </c>
      <c r="AA3156">
        <v>0.89168009999999998</v>
      </c>
      <c r="AB3156">
        <v>16</v>
      </c>
      <c r="AC3156">
        <v>0.80799999999999195</v>
      </c>
      <c r="AD3156">
        <v>-6.8536999999999806E-2</v>
      </c>
      <c r="AE3156">
        <v>1.9000000000005401E-2</v>
      </c>
      <c r="AF3156">
        <v>-0.41605582997970297</v>
      </c>
      <c r="AG3156">
        <v>-6.8536999999999806E-2</v>
      </c>
      <c r="AH3156">
        <v>0.68616927759414004</v>
      </c>
      <c r="AI3156">
        <v>94.881748995556507</v>
      </c>
      <c r="AJ3156">
        <v>121.23035022375601</v>
      </c>
      <c r="AK3156">
        <v>0.805374479073657</v>
      </c>
      <c r="AL3156">
        <v>94.933655729717501</v>
      </c>
      <c r="AM3156">
        <v>107.483608110558</v>
      </c>
      <c r="AN3156">
        <v>0.999999943278851</v>
      </c>
    </row>
    <row r="3157" spans="1:40" x14ac:dyDescent="0.25">
      <c r="A3157" t="str">
        <f>"20190303154829519"</f>
        <v>20190303154829519</v>
      </c>
      <c r="B3157" t="str">
        <f>"1551599309513499"</f>
        <v>1551599309513499</v>
      </c>
      <c r="C3157" t="s">
        <v>40</v>
      </c>
      <c r="D3157">
        <v>5.3697039999999996</v>
      </c>
      <c r="E3157">
        <v>0.43305110000000002</v>
      </c>
      <c r="F3157" t="s">
        <v>42</v>
      </c>
      <c r="G3157">
        <v>-481.52030000000002</v>
      </c>
      <c r="H3157">
        <v>1.05507</v>
      </c>
      <c r="I3157">
        <v>215.65770000000001</v>
      </c>
      <c r="J3157">
        <v>-482.31209999999999</v>
      </c>
      <c r="K3157">
        <v>1.1251910000000001</v>
      </c>
      <c r="L3157">
        <v>215.62039999999999</v>
      </c>
      <c r="M3157">
        <v>0.87374779999999996</v>
      </c>
      <c r="N3157">
        <v>-1.6974539999999999E-3</v>
      </c>
      <c r="O3157">
        <v>-0.48637659999999999</v>
      </c>
      <c r="P3157">
        <v>0.97634430000000005</v>
      </c>
      <c r="Q3157">
        <v>-8.2830799999999996E-2</v>
      </c>
      <c r="R3157">
        <v>-0.19972780000000001</v>
      </c>
      <c r="S3157">
        <v>3.0366209999999998</v>
      </c>
      <c r="T3157">
        <v>-0.22316349999999999</v>
      </c>
      <c r="U3157">
        <v>-0.11836240000000001</v>
      </c>
      <c r="V3157">
        <v>-0.29918470000000003</v>
      </c>
      <c r="W3157">
        <v>-8.5445439999999998E-2</v>
      </c>
      <c r="X3157">
        <v>0.95036180000000003</v>
      </c>
      <c r="Y3157">
        <v>-0.4495902</v>
      </c>
      <c r="Z3157">
        <v>5.041549E-2</v>
      </c>
      <c r="AA3157">
        <v>0.89181100000000002</v>
      </c>
      <c r="AB3157">
        <v>17</v>
      </c>
      <c r="AC3157">
        <v>0.79179999999996598</v>
      </c>
      <c r="AD3157">
        <v>-7.0120999999999795E-2</v>
      </c>
      <c r="AE3157">
        <v>3.7300000000016098E-2</v>
      </c>
      <c r="AF3157">
        <v>-0.41446103147954899</v>
      </c>
      <c r="AG3157">
        <v>-7.0120999999999795E-2</v>
      </c>
      <c r="AH3157">
        <v>0.66846160079568195</v>
      </c>
      <c r="AI3157">
        <v>95.094627887676396</v>
      </c>
      <c r="AJ3157">
        <v>121.799831547087</v>
      </c>
      <c r="AK3157">
        <v>0.78964283887997</v>
      </c>
      <c r="AL3157">
        <v>94.901639992341998</v>
      </c>
      <c r="AM3157">
        <v>107.474594666286</v>
      </c>
      <c r="AN3157">
        <v>0.99999997941506102</v>
      </c>
    </row>
    <row r="3158" spans="1:40" x14ac:dyDescent="0.25">
      <c r="A3158" t="str">
        <f>"20190303154829543"</f>
        <v>20190303154829543</v>
      </c>
      <c r="B3158" t="str">
        <f>"1551599309533994"</f>
        <v>1551599309533994</v>
      </c>
      <c r="C3158" t="s">
        <v>40</v>
      </c>
      <c r="D3158">
        <v>5.3170390000000003</v>
      </c>
      <c r="E3158">
        <v>0.43432860000000001</v>
      </c>
      <c r="F3158" t="s">
        <v>52</v>
      </c>
      <c r="G3158">
        <v>-467.41919999999999</v>
      </c>
      <c r="H3158" s="1">
        <v>2.383903E-6</v>
      </c>
      <c r="I3158">
        <v>215.2439</v>
      </c>
      <c r="J3158">
        <v>-482.15230000000003</v>
      </c>
      <c r="K3158">
        <v>1.1253139999999999</v>
      </c>
      <c r="L3158">
        <v>215.54910000000001</v>
      </c>
      <c r="M3158">
        <v>0.88020080000000001</v>
      </c>
      <c r="N3158">
        <v>-1.7479380000000001E-3</v>
      </c>
      <c r="O3158">
        <v>-0.47459849999999998</v>
      </c>
      <c r="P3158">
        <v>0.97875619999999997</v>
      </c>
      <c r="Q3158">
        <v>-8.2689369999999998E-2</v>
      </c>
      <c r="R3158">
        <v>-0.1876139</v>
      </c>
      <c r="S3158">
        <v>3.0374759999999998</v>
      </c>
      <c r="T3158">
        <v>-0.22948769999999999</v>
      </c>
      <c r="U3158">
        <v>-7.6797489999999996E-2</v>
      </c>
      <c r="V3158">
        <v>-0.29818050000000001</v>
      </c>
      <c r="W3158">
        <v>-8.5331859999999995E-2</v>
      </c>
      <c r="X3158">
        <v>0.95068759999999997</v>
      </c>
      <c r="Y3158">
        <v>-0.44969569999999998</v>
      </c>
      <c r="Z3158">
        <v>5.110352E-2</v>
      </c>
      <c r="AA3158">
        <v>0.89171869999999998</v>
      </c>
      <c r="AB3158">
        <v>17</v>
      </c>
      <c r="AC3158">
        <v>14.7331</v>
      </c>
      <c r="AD3158">
        <v>-1.125311616097</v>
      </c>
      <c r="AE3158">
        <v>-0.30520000000001302</v>
      </c>
      <c r="AF3158">
        <v>-6.6846983553958301</v>
      </c>
      <c r="AG3158">
        <v>-1.125311616097</v>
      </c>
      <c r="AH3158">
        <v>13.0369290998044</v>
      </c>
      <c r="AI3158">
        <v>94.392193218339898</v>
      </c>
      <c r="AJ3158">
        <v>117.14652786422801</v>
      </c>
      <c r="AK3158">
        <v>14.6939796749989</v>
      </c>
      <c r="AL3158">
        <v>94.895108259697807</v>
      </c>
      <c r="AM3158">
        <v>107.413886732386</v>
      </c>
      <c r="AN3158">
        <v>1.00000002485253</v>
      </c>
    </row>
    <row r="3159" spans="1:40" x14ac:dyDescent="0.25">
      <c r="A3159" t="str">
        <f>"20190303154829566"</f>
        <v>20190303154829566</v>
      </c>
      <c r="B3159" t="str">
        <f>"1551599309553515"</f>
        <v>1551599309553515</v>
      </c>
      <c r="C3159" t="s">
        <v>40</v>
      </c>
      <c r="D3159">
        <v>5.321898</v>
      </c>
      <c r="E3159">
        <v>0.4356913</v>
      </c>
      <c r="F3159" t="s">
        <v>42</v>
      </c>
      <c r="G3159">
        <v>-481.18310000000002</v>
      </c>
      <c r="H3159">
        <v>1.054392</v>
      </c>
      <c r="I3159">
        <v>215.53309999999999</v>
      </c>
      <c r="J3159">
        <v>-481.99110000000002</v>
      </c>
      <c r="K3159">
        <v>1.125437</v>
      </c>
      <c r="L3159">
        <v>215.47980000000001</v>
      </c>
      <c r="M3159">
        <v>0.88650110000000004</v>
      </c>
      <c r="N3159">
        <v>-1.7995579999999999E-3</v>
      </c>
      <c r="O3159">
        <v>-0.46272289999999999</v>
      </c>
      <c r="P3159">
        <v>0.9807941</v>
      </c>
      <c r="Q3159">
        <v>-8.201899E-2</v>
      </c>
      <c r="R3159">
        <v>-0.17696289999999901</v>
      </c>
      <c r="S3159">
        <v>3.0369869999999999</v>
      </c>
      <c r="T3159">
        <v>-0.2221563</v>
      </c>
      <c r="U3159">
        <v>-4.9209589999999998E-2</v>
      </c>
      <c r="V3159">
        <v>-0.29574630000000002</v>
      </c>
      <c r="W3159">
        <v>-8.4662039999999994E-2</v>
      </c>
      <c r="X3159">
        <v>0.95150749999999995</v>
      </c>
      <c r="Y3159">
        <v>-0.44598450000000001</v>
      </c>
      <c r="Z3159">
        <v>4.8585000000000003E-2</v>
      </c>
      <c r="AA3159">
        <v>0.89372109999999905</v>
      </c>
      <c r="AB3159">
        <v>17</v>
      </c>
      <c r="AC3159">
        <v>0.80799999999999195</v>
      </c>
      <c r="AD3159">
        <v>-7.1044999999999997E-2</v>
      </c>
      <c r="AE3159">
        <v>5.3299999999978802E-2</v>
      </c>
      <c r="AF3159">
        <v>-0.417914348635121</v>
      </c>
      <c r="AG3159">
        <v>-7.1044999999999997E-2</v>
      </c>
      <c r="AH3159">
        <v>0.68634763607270799</v>
      </c>
      <c r="AI3159">
        <v>95.052478005969604</v>
      </c>
      <c r="AJ3159">
        <v>121.337069018009</v>
      </c>
      <c r="AK3159">
        <v>0.80670494752586697</v>
      </c>
      <c r="AL3159">
        <v>94.8565909960585</v>
      </c>
      <c r="AM3159">
        <v>107.26622036335699</v>
      </c>
      <c r="AN3159">
        <v>1.0000000287684501</v>
      </c>
    </row>
    <row r="3160" spans="1:40" x14ac:dyDescent="0.25">
      <c r="A3160" t="str">
        <f>"20190303154829587"</f>
        <v>20190303154829587</v>
      </c>
      <c r="B3160" t="str">
        <f>"1551599309583770"</f>
        <v>1551599309583770</v>
      </c>
      <c r="C3160" t="s">
        <v>40</v>
      </c>
      <c r="D3160">
        <v>5.4160830000000004</v>
      </c>
      <c r="E3160">
        <v>0.43714370000000002</v>
      </c>
      <c r="F3160" t="s">
        <v>42</v>
      </c>
      <c r="G3160">
        <v>-481.01920000000001</v>
      </c>
      <c r="H3160">
        <v>1.0565960000000001</v>
      </c>
      <c r="I3160">
        <v>215.47120000000001</v>
      </c>
      <c r="J3160">
        <v>-481.83730000000003</v>
      </c>
      <c r="K3160">
        <v>1.125553</v>
      </c>
      <c r="L3160">
        <v>215.41589999999999</v>
      </c>
      <c r="M3160">
        <v>0.89232409999999995</v>
      </c>
      <c r="N3160">
        <v>-1.8491499999999999E-3</v>
      </c>
      <c r="O3160">
        <v>-0.45139190000000001</v>
      </c>
      <c r="P3160">
        <v>0.98244050000000005</v>
      </c>
      <c r="Q3160">
        <v>-8.1318089999999996E-2</v>
      </c>
      <c r="R3160">
        <v>-0.16792370000000001</v>
      </c>
      <c r="S3160">
        <v>3.0358890000000001</v>
      </c>
      <c r="T3160">
        <v>-0.21505479999999999</v>
      </c>
      <c r="U3160">
        <v>-2.709961E-2</v>
      </c>
      <c r="V3160">
        <v>-0.29240070000000001</v>
      </c>
      <c r="W3160">
        <v>-8.3940539999999994E-2</v>
      </c>
      <c r="X3160">
        <v>0.95260480000000003</v>
      </c>
      <c r="Y3160">
        <v>-0.44127060000000001</v>
      </c>
      <c r="Z3160">
        <v>4.616928E-2</v>
      </c>
      <c r="AA3160">
        <v>0.89618560000000003</v>
      </c>
      <c r="AB3160">
        <v>17</v>
      </c>
      <c r="AC3160">
        <v>0.81810000000001504</v>
      </c>
      <c r="AD3160">
        <v>-6.8957000000000102E-2</v>
      </c>
      <c r="AE3160">
        <v>5.5300000000016697E-2</v>
      </c>
      <c r="AF3160">
        <v>-0.415689967939746</v>
      </c>
      <c r="AG3160">
        <v>-6.8957000000000102E-2</v>
      </c>
      <c r="AH3160">
        <v>0.70009810771601699</v>
      </c>
      <c r="AI3160">
        <v>94.840945599804598</v>
      </c>
      <c r="AJ3160">
        <v>120.70012895112001</v>
      </c>
      <c r="AK3160">
        <v>0.817123355266691</v>
      </c>
      <c r="AL3160">
        <v>94.815104337099896</v>
      </c>
      <c r="AM3160">
        <v>107.063794292946</v>
      </c>
      <c r="AN3160">
        <v>1.0000000442995101</v>
      </c>
    </row>
    <row r="3161" spans="1:40" x14ac:dyDescent="0.25">
      <c r="A3161" t="str">
        <f>"20190303154829609"</f>
        <v>20190303154829609</v>
      </c>
      <c r="B3161" t="str">
        <f>"1551599309604267"</f>
        <v>1551599309604267</v>
      </c>
      <c r="C3161" t="s">
        <v>40</v>
      </c>
      <c r="D3161">
        <v>5.4115570000000002</v>
      </c>
      <c r="E3161">
        <v>0.43803300000000001</v>
      </c>
      <c r="F3161" t="s">
        <v>42</v>
      </c>
      <c r="G3161">
        <v>-480.83300000000003</v>
      </c>
      <c r="H3161">
        <v>1.05264</v>
      </c>
      <c r="I3161">
        <v>215.41229999999999</v>
      </c>
      <c r="J3161">
        <v>-481.68740000000003</v>
      </c>
      <c r="K3161">
        <v>1.125653</v>
      </c>
      <c r="L3161">
        <v>215.35570000000001</v>
      </c>
      <c r="M3161">
        <v>0.89781529999999998</v>
      </c>
      <c r="N3161">
        <v>-1.8989370000000001E-3</v>
      </c>
      <c r="O3161">
        <v>-0.44036839999999999</v>
      </c>
      <c r="P3161">
        <v>0.98370760000000002</v>
      </c>
      <c r="Q3161">
        <v>-8.2033060000000005E-2</v>
      </c>
      <c r="R3161">
        <v>-0.15997049999999999</v>
      </c>
      <c r="S3161">
        <v>3.03363</v>
      </c>
      <c r="T3161">
        <v>-0.22019059999999999</v>
      </c>
      <c r="U3161">
        <v>-1.029968E-2</v>
      </c>
      <c r="V3161">
        <v>-0.28831699999999999</v>
      </c>
      <c r="W3161">
        <v>-8.4615960000000004E-2</v>
      </c>
      <c r="X3161">
        <v>0.953789</v>
      </c>
      <c r="Y3161">
        <v>-0.43511</v>
      </c>
      <c r="Z3161">
        <v>4.6380820000000003E-2</v>
      </c>
      <c r="AA3161">
        <v>0.89918189999999998</v>
      </c>
      <c r="AB3161">
        <v>18</v>
      </c>
      <c r="AC3161">
        <v>0.85439999999999805</v>
      </c>
      <c r="AD3161">
        <v>-7.3012999999999995E-2</v>
      </c>
      <c r="AE3161">
        <v>5.6599999999974601E-2</v>
      </c>
      <c r="AF3161">
        <v>-0.423985155583048</v>
      </c>
      <c r="AG3161">
        <v>-7.3012999999999995E-2</v>
      </c>
      <c r="AH3161">
        <v>0.73681264410298097</v>
      </c>
      <c r="AI3161">
        <v>94.908993188343103</v>
      </c>
      <c r="AJ3161">
        <v>119.917475573823</v>
      </c>
      <c r="AK3161">
        <v>0.85322164929976296</v>
      </c>
      <c r="AL3161">
        <v>94.853941415042797</v>
      </c>
      <c r="AM3161">
        <v>106.819328550536</v>
      </c>
      <c r="AN3161">
        <v>1.0000000048483599</v>
      </c>
    </row>
    <row r="3162" spans="1:40" x14ac:dyDescent="0.25">
      <c r="A3162" t="str">
        <f>"20190303154829630"</f>
        <v>20190303154829630</v>
      </c>
      <c r="B3162" t="str">
        <f>"1551599309623787"</f>
        <v>1551599309623787</v>
      </c>
      <c r="C3162" t="s">
        <v>40</v>
      </c>
      <c r="D3162">
        <v>5.435575</v>
      </c>
      <c r="E3162">
        <v>0.43885180000000001</v>
      </c>
      <c r="F3162" t="s">
        <v>52</v>
      </c>
      <c r="G3162">
        <v>-466.59399999999999</v>
      </c>
      <c r="H3162" s="1">
        <v>1.9383079999999999E-6</v>
      </c>
      <c r="I3162">
        <v>215.3921</v>
      </c>
      <c r="J3162">
        <v>-481.52120000000002</v>
      </c>
      <c r="K3162">
        <v>1.1257459999999999</v>
      </c>
      <c r="L3162">
        <v>215.29140000000001</v>
      </c>
      <c r="M3162">
        <v>0.90369619999999995</v>
      </c>
      <c r="N3162">
        <v>-1.9554960000000001E-3</v>
      </c>
      <c r="O3162">
        <v>-0.42816949999999998</v>
      </c>
      <c r="P3162">
        <v>0.98516289999999995</v>
      </c>
      <c r="Q3162">
        <v>-8.3198499999999995E-2</v>
      </c>
      <c r="R3162">
        <v>-0.15010570000000001</v>
      </c>
      <c r="S3162">
        <v>3.0320130000000001</v>
      </c>
      <c r="T3162">
        <v>-0.2261251</v>
      </c>
      <c r="U3162">
        <v>7.3242189999999999E-3</v>
      </c>
      <c r="V3162">
        <v>-0.2848752</v>
      </c>
      <c r="W3162">
        <v>-8.5746909999999996E-2</v>
      </c>
      <c r="X3162">
        <v>0.95472170000000001</v>
      </c>
      <c r="Y3162">
        <v>-0.42806569999999999</v>
      </c>
      <c r="Z3162">
        <v>4.6586879999999997E-2</v>
      </c>
      <c r="AA3162">
        <v>0.90254599999999996</v>
      </c>
      <c r="AB3162">
        <v>18</v>
      </c>
      <c r="AC3162">
        <v>14.927199999999999</v>
      </c>
      <c r="AD3162">
        <v>-1.12574406169199</v>
      </c>
      <c r="AE3162">
        <v>0.10069999999998901</v>
      </c>
      <c r="AF3162">
        <v>-6.4457286026936798</v>
      </c>
      <c r="AG3162">
        <v>-1.12574406169199</v>
      </c>
      <c r="AH3162">
        <v>13.370522925380101</v>
      </c>
      <c r="AI3162">
        <v>94.3371692775941</v>
      </c>
      <c r="AJ3162">
        <v>115.738018783344</v>
      </c>
      <c r="AK3162">
        <v>14.8857515836498</v>
      </c>
      <c r="AL3162">
        <v>94.918976633010203</v>
      </c>
      <c r="AM3162">
        <v>106.614345339937</v>
      </c>
      <c r="AN3162">
        <v>0.99999996830023796</v>
      </c>
    </row>
    <row r="3163" spans="1:40" x14ac:dyDescent="0.25">
      <c r="A3163" t="str">
        <f>"20190303154829654"</f>
        <v>20190303154829654</v>
      </c>
      <c r="B3163" t="str">
        <f>"1551599309644283"</f>
        <v>1551599309644283</v>
      </c>
      <c r="C3163" t="s">
        <v>40</v>
      </c>
      <c r="D3163">
        <v>5.4515250000000002</v>
      </c>
      <c r="E3163">
        <v>0.43969639999999999</v>
      </c>
      <c r="F3163" t="s">
        <v>52</v>
      </c>
      <c r="G3163">
        <v>-466.8698</v>
      </c>
      <c r="H3163" s="1">
        <v>2.0828639999999998E-6</v>
      </c>
      <c r="I3163">
        <v>215.4427</v>
      </c>
      <c r="J3163">
        <v>-481.35419999999999</v>
      </c>
      <c r="K3163">
        <v>1.1258349999999999</v>
      </c>
      <c r="L3163">
        <v>215.22919999999999</v>
      </c>
      <c r="M3163">
        <v>0.90938280000000005</v>
      </c>
      <c r="N3163">
        <v>-2.0119669999999999E-3</v>
      </c>
      <c r="O3163">
        <v>-0.41595529999999997</v>
      </c>
      <c r="P3163">
        <v>0.98648080000000005</v>
      </c>
      <c r="Q3163">
        <v>-8.5532170000000005E-2</v>
      </c>
      <c r="R3163">
        <v>-0.1397844</v>
      </c>
      <c r="S3163">
        <v>3.0302730000000002</v>
      </c>
      <c r="T3163">
        <v>-0.23283229999999999</v>
      </c>
      <c r="U3163">
        <v>3.1295780000000002E-2</v>
      </c>
      <c r="V3163">
        <v>-0.2818676</v>
      </c>
      <c r="W3163">
        <v>-8.8046990000000006E-2</v>
      </c>
      <c r="X3163">
        <v>0.95540480000000005</v>
      </c>
      <c r="Y3163">
        <v>-0.42294080000000001</v>
      </c>
      <c r="Z3163">
        <v>4.6966130000000002E-2</v>
      </c>
      <c r="AA3163">
        <v>0.90493939999999995</v>
      </c>
      <c r="AB3163">
        <v>18</v>
      </c>
      <c r="AC3163">
        <v>14.4843999999999</v>
      </c>
      <c r="AD3163">
        <v>-1.125832917136</v>
      </c>
      <c r="AE3163">
        <v>0.21350000000000999</v>
      </c>
      <c r="AF3163">
        <v>-6.1816902115364201</v>
      </c>
      <c r="AG3163">
        <v>-1.125832917136</v>
      </c>
      <c r="AH3163">
        <v>13.0045344612977</v>
      </c>
      <c r="AI3163">
        <v>94.470762123618798</v>
      </c>
      <c r="AJ3163">
        <v>115.42402297819601</v>
      </c>
      <c r="AK3163">
        <v>14.442946727859599</v>
      </c>
      <c r="AL3163">
        <v>95.051261909102706</v>
      </c>
      <c r="AM3163">
        <v>106.437338255984</v>
      </c>
      <c r="AN3163">
        <v>0.99999997412042896</v>
      </c>
    </row>
    <row r="3164" spans="1:40" x14ac:dyDescent="0.25">
      <c r="A3164" t="str">
        <f>"20190303154829677"</f>
        <v>20190303154829677</v>
      </c>
      <c r="B3164" t="str">
        <f>"1551599309673562"</f>
        <v>1551599309673562</v>
      </c>
      <c r="C3164" t="s">
        <v>40</v>
      </c>
      <c r="D3164">
        <v>5.4409789999999996</v>
      </c>
      <c r="E3164">
        <v>0.4409534</v>
      </c>
      <c r="F3164" t="s">
        <v>52</v>
      </c>
      <c r="G3164">
        <v>-467.291</v>
      </c>
      <c r="H3164" s="1">
        <v>2.3048459999999999E-6</v>
      </c>
      <c r="I3164">
        <v>215.49209999999999</v>
      </c>
      <c r="J3164">
        <v>-481.17880000000002</v>
      </c>
      <c r="K3164">
        <v>1.1259300000000001</v>
      </c>
      <c r="L3164">
        <v>215.16650000000001</v>
      </c>
      <c r="M3164">
        <v>0.9151262</v>
      </c>
      <c r="N3164">
        <v>-2.0686820000000001E-3</v>
      </c>
      <c r="O3164">
        <v>-0.40316220000000003</v>
      </c>
      <c r="P3164">
        <v>0.98783259999999995</v>
      </c>
      <c r="Q3164">
        <v>-8.641037E-2</v>
      </c>
      <c r="R3164">
        <v>-0.129306</v>
      </c>
      <c r="S3164">
        <v>3.028076</v>
      </c>
      <c r="T3164">
        <v>-0.24241280000000001</v>
      </c>
      <c r="U3164">
        <v>5.6594850000000002E-2</v>
      </c>
      <c r="V3164">
        <v>-0.2785454</v>
      </c>
      <c r="W3164">
        <v>-8.8881979999999999E-2</v>
      </c>
      <c r="X3164">
        <v>0.95630150000000003</v>
      </c>
      <c r="Y3164">
        <v>-0.41765330000000001</v>
      </c>
      <c r="Z3164">
        <v>4.7807950000000002E-2</v>
      </c>
      <c r="AA3164">
        <v>0.90734789999999998</v>
      </c>
      <c r="AB3164">
        <v>18</v>
      </c>
      <c r="AC3164">
        <v>13.8878</v>
      </c>
      <c r="AD3164">
        <v>-1.12592769515399</v>
      </c>
      <c r="AE3164">
        <v>0.32559999999998002</v>
      </c>
      <c r="AF3164">
        <v>-5.8585276054647801</v>
      </c>
      <c r="AG3164">
        <v>-1.12592769515399</v>
      </c>
      <c r="AH3164">
        <v>12.495759234690601</v>
      </c>
      <c r="AI3164">
        <v>94.664050534564396</v>
      </c>
      <c r="AJ3164">
        <v>115.119121989234</v>
      </c>
      <c r="AK3164">
        <v>13.846806770156901</v>
      </c>
      <c r="AL3164">
        <v>95.099291222224906</v>
      </c>
      <c r="AM3164">
        <v>106.239448178128</v>
      </c>
      <c r="AN3164">
        <v>1.0000000525660599</v>
      </c>
    </row>
    <row r="3165" spans="1:40" x14ac:dyDescent="0.25">
      <c r="A3165" t="str">
        <f>"20190303154829698"</f>
        <v>20190303154829698</v>
      </c>
      <c r="B3165" t="str">
        <f>"1551599309694058"</f>
        <v>1551599309694058</v>
      </c>
      <c r="C3165" t="s">
        <v>40</v>
      </c>
      <c r="D3165">
        <v>5.4698739999999999</v>
      </c>
      <c r="E3165">
        <v>0.44186379999999997</v>
      </c>
      <c r="F3165" t="s">
        <v>52</v>
      </c>
      <c r="G3165">
        <v>-467.38679999999999</v>
      </c>
      <c r="H3165" s="1">
        <v>2.3543390000000001E-6</v>
      </c>
      <c r="I3165">
        <v>215.5256</v>
      </c>
      <c r="J3165">
        <v>-481.01369999999997</v>
      </c>
      <c r="K3165">
        <v>1.1260110000000001</v>
      </c>
      <c r="L3165">
        <v>215.10990000000001</v>
      </c>
      <c r="M3165">
        <v>0.92031499999999999</v>
      </c>
      <c r="N3165">
        <v>-2.1188729999999999E-3</v>
      </c>
      <c r="O3165">
        <v>-0.39117229999999997</v>
      </c>
      <c r="P3165">
        <v>0.98901859999999997</v>
      </c>
      <c r="Q3165">
        <v>-8.656382E-2</v>
      </c>
      <c r="R3165">
        <v>-0.1197863</v>
      </c>
      <c r="S3165">
        <v>3.025665</v>
      </c>
      <c r="T3165">
        <v>-0.247003</v>
      </c>
      <c r="U3165">
        <v>7.8765870000000002E-2</v>
      </c>
      <c r="V3165">
        <v>-0.27523690000000001</v>
      </c>
      <c r="W3165">
        <v>-8.8987209999999997E-2</v>
      </c>
      <c r="X3165">
        <v>0.95724909999999996</v>
      </c>
      <c r="Y3165">
        <v>-0.41239910000000002</v>
      </c>
      <c r="Z3165">
        <v>4.7650190000000002E-2</v>
      </c>
      <c r="AA3165">
        <v>0.90975620000000001</v>
      </c>
      <c r="AB3165">
        <v>18</v>
      </c>
      <c r="AC3165">
        <v>13.6268999999999</v>
      </c>
      <c r="AD3165">
        <v>-1.1260086456609999</v>
      </c>
      <c r="AE3165">
        <v>0.41569999999998603</v>
      </c>
      <c r="AF3165">
        <v>-5.6743456719365399</v>
      </c>
      <c r="AG3165">
        <v>-1.1260086456609999</v>
      </c>
      <c r="AH3165">
        <v>12.294589603687101</v>
      </c>
      <c r="AI3165">
        <v>94.753568585867697</v>
      </c>
      <c r="AJ3165">
        <v>114.774832070632</v>
      </c>
      <c r="AK3165">
        <v>13.5876056683221</v>
      </c>
      <c r="AL3165">
        <v>95.105344931762701</v>
      </c>
      <c r="AM3165">
        <v>106.04147931799599</v>
      </c>
      <c r="AN3165">
        <v>0.99999995705800104</v>
      </c>
    </row>
    <row r="3166" spans="1:40" x14ac:dyDescent="0.25">
      <c r="A3166" t="str">
        <f>"20190303154829720"</f>
        <v>20190303154829720</v>
      </c>
      <c r="B3166" t="str">
        <f>"1551599309713579"</f>
        <v>1551599309713579</v>
      </c>
      <c r="C3166" t="s">
        <v>40</v>
      </c>
      <c r="D3166">
        <v>5.427378</v>
      </c>
      <c r="E3166">
        <v>0.45748519999999998</v>
      </c>
      <c r="F3166" t="s">
        <v>52</v>
      </c>
      <c r="G3166">
        <v>-467.28680000000003</v>
      </c>
      <c r="H3166" s="1">
        <v>2.2993339999999998E-6</v>
      </c>
      <c r="I3166">
        <v>215.56710000000001</v>
      </c>
      <c r="J3166">
        <v>-480.84589999999997</v>
      </c>
      <c r="K3166">
        <v>1.126082</v>
      </c>
      <c r="L3166">
        <v>215.05459999999999</v>
      </c>
      <c r="M3166">
        <v>0.9253709</v>
      </c>
      <c r="N3166">
        <v>-2.1662650000000001E-3</v>
      </c>
      <c r="O3166">
        <v>-0.37905709999999998</v>
      </c>
      <c r="P3166">
        <v>0.9902318</v>
      </c>
      <c r="Q3166">
        <v>-8.6707069999999997E-2</v>
      </c>
      <c r="R3166">
        <v>-0.1091941</v>
      </c>
      <c r="S3166">
        <v>3.0238339999999999</v>
      </c>
      <c r="T3166">
        <v>-0.2480435</v>
      </c>
      <c r="U3166">
        <v>0.1007233</v>
      </c>
      <c r="V3166">
        <v>-0.2728932</v>
      </c>
      <c r="W3166">
        <v>-8.9095099999999997E-2</v>
      </c>
      <c r="X3166">
        <v>0.95790989999999998</v>
      </c>
      <c r="Y3166">
        <v>-0.4070897</v>
      </c>
      <c r="Z3166">
        <v>4.675145E-2</v>
      </c>
      <c r="AA3166">
        <v>0.91219090000000003</v>
      </c>
      <c r="AB3166">
        <v>18</v>
      </c>
      <c r="AC3166">
        <v>13.5590999999999</v>
      </c>
      <c r="AD3166">
        <v>-1.1260797006659999</v>
      </c>
      <c r="AE3166">
        <v>0.51250000000001705</v>
      </c>
      <c r="AF3166">
        <v>-5.5755370351959996</v>
      </c>
      <c r="AG3166">
        <v>-1.1260797006659999</v>
      </c>
      <c r="AH3166">
        <v>12.268459038520399</v>
      </c>
      <c r="AI3166">
        <v>94.776656537220703</v>
      </c>
      <c r="AJ3166">
        <v>114.439947716329</v>
      </c>
      <c r="AK3166">
        <v>13.5229344412722</v>
      </c>
      <c r="AL3166">
        <v>95.111550974653596</v>
      </c>
      <c r="AM3166">
        <v>105.90140450515401</v>
      </c>
      <c r="AN3166">
        <v>1.0000000059841201</v>
      </c>
    </row>
    <row r="3167" spans="1:40" x14ac:dyDescent="0.25">
      <c r="A3167" t="str">
        <f>"20190303154829745"</f>
        <v>20190303154829745</v>
      </c>
      <c r="B3167" t="str">
        <f>"1551599309734074"</f>
        <v>1551599309734074</v>
      </c>
      <c r="C3167" t="s">
        <v>40</v>
      </c>
      <c r="D3167">
        <v>5.5001340000000001</v>
      </c>
      <c r="E3167">
        <v>0.45788659999999998</v>
      </c>
      <c r="F3167" t="s">
        <v>52</v>
      </c>
      <c r="G3167">
        <v>-467.56509999999997</v>
      </c>
      <c r="H3167" s="1">
        <v>2.4680450000000001E-6</v>
      </c>
      <c r="I3167">
        <v>215.09569999999999</v>
      </c>
      <c r="J3167">
        <v>-480.65699999999998</v>
      </c>
      <c r="K3167">
        <v>1.126145</v>
      </c>
      <c r="L3167">
        <v>214.99529999999999</v>
      </c>
      <c r="M3167">
        <v>0.93080039999999997</v>
      </c>
      <c r="N3167">
        <v>-2.2152059999999999E-3</v>
      </c>
      <c r="O3167">
        <v>-0.36552129999999999</v>
      </c>
      <c r="P3167">
        <v>0.99170599999999998</v>
      </c>
      <c r="Q3167">
        <v>-8.5625370000000006E-2</v>
      </c>
      <c r="R3167">
        <v>-9.5853309999999997E-2</v>
      </c>
      <c r="S3167">
        <v>3.0083310000000001</v>
      </c>
      <c r="T3167">
        <v>-0.2550769</v>
      </c>
      <c r="U3167">
        <v>9.3078610000000006E-3</v>
      </c>
      <c r="V3167">
        <v>-0.2718563</v>
      </c>
      <c r="W3167">
        <v>-8.7996679999999994E-2</v>
      </c>
      <c r="X3167">
        <v>0.9583062</v>
      </c>
      <c r="Y3167">
        <v>-0.36585679999999998</v>
      </c>
      <c r="Z3167">
        <v>4.5452069999999997E-2</v>
      </c>
      <c r="AA3167">
        <v>0.92956059999999996</v>
      </c>
      <c r="AB3167">
        <v>19</v>
      </c>
      <c r="AC3167">
        <v>13.091900000000001</v>
      </c>
      <c r="AD3167">
        <v>-1.126142531955</v>
      </c>
      <c r="AE3167">
        <v>0.100400000000007</v>
      </c>
      <c r="AF3167">
        <v>-4.8430004230605403</v>
      </c>
      <c r="AG3167">
        <v>-1.126142531955</v>
      </c>
      <c r="AH3167">
        <v>12.0600477850696</v>
      </c>
      <c r="AI3167">
        <v>94.952431452953206</v>
      </c>
      <c r="AJ3167">
        <v>111.879106776141</v>
      </c>
      <c r="AK3167">
        <v>13.0448304963386</v>
      </c>
      <c r="AL3167">
        <v>95.048367902914904</v>
      </c>
      <c r="AM3167">
        <v>105.837799970042</v>
      </c>
      <c r="AN3167">
        <v>1.0000000182495701</v>
      </c>
    </row>
    <row r="3168" spans="1:40" x14ac:dyDescent="0.25">
      <c r="A3168" t="str">
        <f>"20190303154829768"</f>
        <v>20190303154829768</v>
      </c>
      <c r="B3168" t="str">
        <f>"1551599309764331"</f>
        <v>1551599309764331</v>
      </c>
      <c r="C3168" t="s">
        <v>40</v>
      </c>
      <c r="D3168">
        <v>5.4417470000000003</v>
      </c>
      <c r="E3168">
        <v>0.45994099999999999</v>
      </c>
      <c r="F3168" t="s">
        <v>52</v>
      </c>
      <c r="G3168">
        <v>-467.22070000000002</v>
      </c>
      <c r="H3168" s="1">
        <v>2.2800140000000002E-6</v>
      </c>
      <c r="I3168">
        <v>215.2037</v>
      </c>
      <c r="J3168">
        <v>-480.46800000000002</v>
      </c>
      <c r="K3168">
        <v>1.126214</v>
      </c>
      <c r="L3168">
        <v>214.93879999999999</v>
      </c>
      <c r="M3168">
        <v>0.93596630000000003</v>
      </c>
      <c r="N3168">
        <v>-2.263518E-3</v>
      </c>
      <c r="O3168">
        <v>-0.35208260000000002</v>
      </c>
      <c r="P3168">
        <v>0.99308929999999995</v>
      </c>
      <c r="Q3168">
        <v>-8.3594799999999997E-2</v>
      </c>
      <c r="R3168">
        <v>-8.2374859999999994E-2</v>
      </c>
      <c r="S3168">
        <v>3.0079039999999999</v>
      </c>
      <c r="T3168">
        <v>-0.2521024</v>
      </c>
      <c r="U3168">
        <v>4.6646119999999999E-2</v>
      </c>
      <c r="V3168">
        <v>-0.27115689999999998</v>
      </c>
      <c r="W3168">
        <v>-8.5949629999999999E-2</v>
      </c>
      <c r="X3168">
        <v>0.95869000000000004</v>
      </c>
      <c r="Y3168">
        <v>-0.36411349999999998</v>
      </c>
      <c r="Z3168">
        <v>4.3823760000000003E-2</v>
      </c>
      <c r="AA3168">
        <v>0.93032300000000001</v>
      </c>
      <c r="AB3168">
        <v>19</v>
      </c>
      <c r="AC3168">
        <v>13.2472999999999</v>
      </c>
      <c r="AD3168">
        <v>-1.126211719986</v>
      </c>
      <c r="AE3168">
        <v>0.26490000000001102</v>
      </c>
      <c r="AF3168">
        <v>-4.8768602084561499</v>
      </c>
      <c r="AG3168">
        <v>-1.126211719986</v>
      </c>
      <c r="AH3168">
        <v>12.2175237094817</v>
      </c>
      <c r="AI3168">
        <v>94.893246867966397</v>
      </c>
      <c r="AJ3168">
        <v>111.76036632208201</v>
      </c>
      <c r="AK3168">
        <v>13.2030301038362</v>
      </c>
      <c r="AL3168">
        <v>94.930634715184496</v>
      </c>
      <c r="AM3168">
        <v>105.793081613512</v>
      </c>
      <c r="AN3168">
        <v>0.99999995970737199</v>
      </c>
    </row>
    <row r="3169" spans="1:40" x14ac:dyDescent="0.25">
      <c r="A3169" t="str">
        <f>"20190303154829788"</f>
        <v>20190303154829788</v>
      </c>
      <c r="B3169" t="str">
        <f>"1551599309783850"</f>
        <v>1551599309783850</v>
      </c>
      <c r="C3169" t="s">
        <v>40</v>
      </c>
      <c r="D3169">
        <v>5.560778</v>
      </c>
      <c r="E3169">
        <v>0.46043640000000002</v>
      </c>
      <c r="F3169" t="s">
        <v>52</v>
      </c>
      <c r="G3169">
        <v>-467.01499999999999</v>
      </c>
      <c r="H3169" s="1">
        <v>2.16819E-6</v>
      </c>
      <c r="I3169">
        <v>215.25790000000001</v>
      </c>
      <c r="J3169">
        <v>-480.29719999999998</v>
      </c>
      <c r="K3169">
        <v>1.1262760000000001</v>
      </c>
      <c r="L3169">
        <v>214.89</v>
      </c>
      <c r="M3169">
        <v>0.94040959999999996</v>
      </c>
      <c r="N3169">
        <v>-2.3084080000000001E-3</v>
      </c>
      <c r="O3169">
        <v>-0.3400358</v>
      </c>
      <c r="P3169">
        <v>0.9941489</v>
      </c>
      <c r="Q3169">
        <v>-8.1753999999999993E-2</v>
      </c>
      <c r="R3169">
        <v>-7.0600140000000006E-2</v>
      </c>
      <c r="S3169">
        <v>3.0056150000000001</v>
      </c>
      <c r="T3169">
        <v>-0.25161420000000001</v>
      </c>
      <c r="U3169">
        <v>7.1289060000000001E-2</v>
      </c>
      <c r="V3169">
        <v>-0.27028099999999999</v>
      </c>
      <c r="W3169">
        <v>-8.4087599999999998E-2</v>
      </c>
      <c r="X3169">
        <v>0.95910240000000002</v>
      </c>
      <c r="Y3169">
        <v>-0.35985590000000001</v>
      </c>
      <c r="Z3169">
        <v>4.2659549999999997E-2</v>
      </c>
      <c r="AA3169">
        <v>0.93203219999999998</v>
      </c>
      <c r="AB3169">
        <v>19</v>
      </c>
      <c r="AC3169">
        <v>13.2821999999999</v>
      </c>
      <c r="AD3169">
        <v>-1.1262738318100001</v>
      </c>
      <c r="AE3169">
        <v>0.36790000000001999</v>
      </c>
      <c r="AF3169">
        <v>-4.8277271476965398</v>
      </c>
      <c r="AG3169">
        <v>-1.1262738318100001</v>
      </c>
      <c r="AH3169">
        <v>12.277431912595601</v>
      </c>
      <c r="AI3169">
        <v>94.879636267335897</v>
      </c>
      <c r="AJ3169">
        <v>111.465725894174</v>
      </c>
      <c r="AK3169">
        <v>13.240497593566699</v>
      </c>
      <c r="AL3169">
        <v>94.823560466860201</v>
      </c>
      <c r="AM3169">
        <v>105.73816528712</v>
      </c>
      <c r="AN3169">
        <v>0.99999997856025902</v>
      </c>
    </row>
    <row r="3170" spans="1:40" x14ac:dyDescent="0.25">
      <c r="A3170" t="str">
        <f>"20190303154829809"</f>
        <v>20190303154829809</v>
      </c>
      <c r="B3170" t="str">
        <f>"1551599309804346"</f>
        <v>1551599309804346</v>
      </c>
      <c r="C3170" t="s">
        <v>40</v>
      </c>
      <c r="D3170">
        <v>5.4961820000000001</v>
      </c>
      <c r="E3170">
        <v>0.46080090000000001</v>
      </c>
      <c r="F3170" t="s">
        <v>52</v>
      </c>
      <c r="G3170">
        <v>-467.04309999999998</v>
      </c>
      <c r="H3170" s="1">
        <v>2.179323E-6</v>
      </c>
      <c r="I3170">
        <v>215.34549999999999</v>
      </c>
      <c r="J3170">
        <v>-480.1318</v>
      </c>
      <c r="K3170">
        <v>1.126323</v>
      </c>
      <c r="L3170">
        <v>214.84479999999999</v>
      </c>
      <c r="M3170">
        <v>0.9445171</v>
      </c>
      <c r="N3170">
        <v>-2.353829E-3</v>
      </c>
      <c r="O3170">
        <v>-0.32845400000000002</v>
      </c>
      <c r="P3170">
        <v>0.99485489999999999</v>
      </c>
      <c r="Q3170">
        <v>-8.1591650000000002E-2</v>
      </c>
      <c r="R3170">
        <v>-6.005489E-2</v>
      </c>
      <c r="S3170">
        <v>3.0039980000000002</v>
      </c>
      <c r="T3170">
        <v>-0.25526579999999999</v>
      </c>
      <c r="U3170">
        <v>0.1032257</v>
      </c>
      <c r="V3170">
        <v>-0.26866210000000001</v>
      </c>
      <c r="W3170">
        <v>-8.388756E-2</v>
      </c>
      <c r="X3170">
        <v>0.9595747</v>
      </c>
      <c r="Y3170">
        <v>-0.35828270000000001</v>
      </c>
      <c r="Z3170">
        <v>4.2325229999999998E-2</v>
      </c>
      <c r="AA3170">
        <v>0.93265319999999996</v>
      </c>
      <c r="AB3170">
        <v>19</v>
      </c>
      <c r="AC3170">
        <v>13.088699999999999</v>
      </c>
      <c r="AD3170">
        <v>-1.1263208206769999</v>
      </c>
      <c r="AE3170">
        <v>0.50069999999999404</v>
      </c>
      <c r="AF3170">
        <v>-4.7369422131059897</v>
      </c>
      <c r="AG3170">
        <v>-1.1263208206769999</v>
      </c>
      <c r="AH3170">
        <v>12.108543087373</v>
      </c>
      <c r="AI3170">
        <v>94.950936640696696</v>
      </c>
      <c r="AJ3170">
        <v>111.36576623710999</v>
      </c>
      <c r="AK3170">
        <v>13.050825101125399</v>
      </c>
      <c r="AL3170">
        <v>94.8120581518954</v>
      </c>
      <c r="AM3170">
        <v>105.64120463531501</v>
      </c>
      <c r="AN3170">
        <v>1.00000002578962</v>
      </c>
    </row>
    <row r="3171" spans="1:40" x14ac:dyDescent="0.25">
      <c r="A3171" t="str">
        <f>"20190303154829833"</f>
        <v>20190303154829833</v>
      </c>
      <c r="B3171" t="str">
        <f>"1551599309823867"</f>
        <v>1551599309823867</v>
      </c>
      <c r="C3171" t="s">
        <v>40</v>
      </c>
      <c r="D3171">
        <v>5.5591200000000001</v>
      </c>
      <c r="E3171">
        <v>0.47106490000000001</v>
      </c>
      <c r="F3171" t="s">
        <v>52</v>
      </c>
      <c r="G3171">
        <v>-467.07619999999997</v>
      </c>
      <c r="H3171" s="1">
        <v>2.1937209999999998E-6</v>
      </c>
      <c r="I3171">
        <v>215.4196</v>
      </c>
      <c r="J3171">
        <v>-479.93259999999998</v>
      </c>
      <c r="K3171">
        <v>1.126379</v>
      </c>
      <c r="L3171">
        <v>214.79310000000001</v>
      </c>
      <c r="M3171">
        <v>0.94920610000000005</v>
      </c>
      <c r="N3171">
        <v>-2.4167820000000001E-3</v>
      </c>
      <c r="O3171">
        <v>-0.31464579999999998</v>
      </c>
      <c r="P3171">
        <v>0.99545939999999999</v>
      </c>
      <c r="Q3171">
        <v>-8.2156270000000003E-2</v>
      </c>
      <c r="R3171">
        <v>-4.8072160000000003E-2</v>
      </c>
      <c r="S3171">
        <v>3.0022280000000001</v>
      </c>
      <c r="T3171">
        <v>-0.25900529999999999</v>
      </c>
      <c r="U3171">
        <v>0.13215639999999901</v>
      </c>
      <c r="V3171">
        <v>-0.26618789999999998</v>
      </c>
      <c r="W3171">
        <v>-8.4384139999999996E-2</v>
      </c>
      <c r="X3171">
        <v>0.96022050000000003</v>
      </c>
      <c r="Y3171">
        <v>-0.35365819999999998</v>
      </c>
      <c r="Z3171">
        <v>4.1655600000000001E-2</v>
      </c>
      <c r="AA3171">
        <v>0.93444680000000002</v>
      </c>
      <c r="AB3171">
        <v>19</v>
      </c>
      <c r="AC3171">
        <v>12.856400000000001</v>
      </c>
      <c r="AD3171">
        <v>-1.1263768062790001</v>
      </c>
      <c r="AE3171">
        <v>0.62649999999999295</v>
      </c>
      <c r="AF3171">
        <v>-4.6046423540042802</v>
      </c>
      <c r="AG3171">
        <v>-1.1263768062790001</v>
      </c>
      <c r="AH3171">
        <v>11.915040678263599</v>
      </c>
      <c r="AI3171">
        <v>95.039217555373298</v>
      </c>
      <c r="AJ3171">
        <v>111.12933787667301</v>
      </c>
      <c r="AK3171">
        <v>12.823402445633899</v>
      </c>
      <c r="AL3171">
        <v>94.840611238092706</v>
      </c>
      <c r="AM3171">
        <v>105.494192390655</v>
      </c>
      <c r="AN3171">
        <v>1.0000000449050901</v>
      </c>
    </row>
    <row r="3172" spans="1:40" x14ac:dyDescent="0.25">
      <c r="A3172" t="str">
        <f>"20190303154829854"</f>
        <v>20190303154829854</v>
      </c>
      <c r="B3172" t="str">
        <f>"1551599309844363"</f>
        <v>1551599309844363</v>
      </c>
      <c r="C3172" t="s">
        <v>40</v>
      </c>
      <c r="D3172">
        <v>5.5523699999999998</v>
      </c>
      <c r="E3172">
        <v>0.47300429999999999</v>
      </c>
      <c r="F3172" t="s">
        <v>52</v>
      </c>
      <c r="G3172">
        <v>-466.19080000000002</v>
      </c>
      <c r="H3172" s="1">
        <v>1.7326079999999999E-6</v>
      </c>
      <c r="I3172">
        <v>215.18870000000001</v>
      </c>
      <c r="J3172">
        <v>-479.75380000000001</v>
      </c>
      <c r="K3172">
        <v>1.1264240000000001</v>
      </c>
      <c r="L3172">
        <v>214.749</v>
      </c>
      <c r="M3172">
        <v>0.95317879999999999</v>
      </c>
      <c r="N3172">
        <v>-2.4933899999999998E-3</v>
      </c>
      <c r="O3172">
        <v>-0.30239700000000003</v>
      </c>
      <c r="P3172">
        <v>0.99578270000000002</v>
      </c>
      <c r="Q3172">
        <v>-8.2731780000000005E-2</v>
      </c>
      <c r="R3172">
        <v>-3.9652380000000001E-2</v>
      </c>
      <c r="S3172">
        <v>2.9975589999999999</v>
      </c>
      <c r="T3172">
        <v>-0.2457</v>
      </c>
      <c r="U3172">
        <v>8.6288450000000003E-2</v>
      </c>
      <c r="V3172">
        <v>-0.26191150000000002</v>
      </c>
      <c r="W3172">
        <v>-8.4836010000000003E-2</v>
      </c>
      <c r="X3172">
        <v>0.96135590000000004</v>
      </c>
      <c r="Y3172">
        <v>-0.3276365</v>
      </c>
      <c r="Z3172">
        <v>3.7520640000000001E-2</v>
      </c>
      <c r="AA3172">
        <v>0.94405850000000002</v>
      </c>
      <c r="AB3172">
        <v>20</v>
      </c>
      <c r="AC3172">
        <v>13.562999999999899</v>
      </c>
      <c r="AD3172">
        <v>-1.1264222673919999</v>
      </c>
      <c r="AE3172">
        <v>0.43969999999998699</v>
      </c>
      <c r="AF3172">
        <v>-4.4896028419301599</v>
      </c>
      <c r="AG3172">
        <v>-1.1264222673919999</v>
      </c>
      <c r="AH3172">
        <v>12.7074822786174</v>
      </c>
      <c r="AI3172">
        <v>94.7776454796698</v>
      </c>
      <c r="AJ3172">
        <v>109.458512359873</v>
      </c>
      <c r="AK3172">
        <v>13.5242547544816</v>
      </c>
      <c r="AL3172">
        <v>94.8665949976984</v>
      </c>
      <c r="AM3172">
        <v>105.239780854457</v>
      </c>
      <c r="AN3172">
        <v>0.99999997444488997</v>
      </c>
    </row>
    <row r="3173" spans="1:40" x14ac:dyDescent="0.25">
      <c r="A3173" t="str">
        <f>"20190303154829876"</f>
        <v>20190303154829876</v>
      </c>
      <c r="B3173" t="str">
        <f>"1551599309863882"</f>
        <v>1551599309863882</v>
      </c>
      <c r="C3173" t="s">
        <v>40</v>
      </c>
      <c r="D3173">
        <v>5.5371220000000001</v>
      </c>
      <c r="E3173">
        <v>0.47345209999999999</v>
      </c>
      <c r="F3173" t="s">
        <v>52</v>
      </c>
      <c r="G3173">
        <v>-465.9298</v>
      </c>
      <c r="H3173" s="1">
        <v>1.593573E-6</v>
      </c>
      <c r="I3173">
        <v>215.1925</v>
      </c>
      <c r="J3173">
        <v>-479.56700000000001</v>
      </c>
      <c r="K3173">
        <v>1.126474</v>
      </c>
      <c r="L3173">
        <v>214.7054</v>
      </c>
      <c r="M3173">
        <v>0.95708939999999998</v>
      </c>
      <c r="N3173">
        <v>-2.6158190000000001E-3</v>
      </c>
      <c r="O3173">
        <v>-0.28978169999999998</v>
      </c>
      <c r="P3173">
        <v>0.99595370000000005</v>
      </c>
      <c r="Q3173">
        <v>-8.3312810000000001E-2</v>
      </c>
      <c r="R3173">
        <v>-3.3691289999999999E-2</v>
      </c>
      <c r="S3173">
        <v>2.9962460000000002</v>
      </c>
      <c r="T3173">
        <v>-0.24414379999999999</v>
      </c>
      <c r="U3173">
        <v>9.6115110000000004E-2</v>
      </c>
      <c r="V3173">
        <v>-0.254936</v>
      </c>
      <c r="W3173">
        <v>-8.5193069999999996E-2</v>
      </c>
      <c r="X3173">
        <v>0.96319770000000005</v>
      </c>
      <c r="Y3173">
        <v>-0.31835039999999998</v>
      </c>
      <c r="Z3173">
        <v>3.593437E-2</v>
      </c>
      <c r="AA3173">
        <v>0.94729180000000002</v>
      </c>
      <c r="AB3173">
        <v>20</v>
      </c>
      <c r="AC3173">
        <v>13.637199999999901</v>
      </c>
      <c r="AD3173">
        <v>-1.126472406427</v>
      </c>
      <c r="AE3173">
        <v>0.48709999999999798</v>
      </c>
      <c r="AF3173">
        <v>-4.3881204353096104</v>
      </c>
      <c r="AG3173">
        <v>-1.126472406427</v>
      </c>
      <c r="AH3173">
        <v>12.8235220266439</v>
      </c>
      <c r="AI3173">
        <v>94.751093566179605</v>
      </c>
      <c r="AJ3173">
        <v>108.890591356713</v>
      </c>
      <c r="AK3173">
        <v>13.6002668431559</v>
      </c>
      <c r="AL3173">
        <v>94.8871271575251</v>
      </c>
      <c r="AM3173">
        <v>104.82491804841899</v>
      </c>
      <c r="AN3173">
        <v>1.00000001627865</v>
      </c>
    </row>
    <row r="3174" spans="1:40" x14ac:dyDescent="0.25">
      <c r="A3174" t="str">
        <f>"20190303154829898"</f>
        <v>20190303154829898</v>
      </c>
      <c r="B3174" t="str">
        <f>"1551599309894138"</f>
        <v>1551599309894138</v>
      </c>
      <c r="C3174" t="s">
        <v>40</v>
      </c>
      <c r="D3174">
        <v>5.5849169999999999</v>
      </c>
      <c r="E3174">
        <v>0.47916330000000001</v>
      </c>
      <c r="F3174" t="s">
        <v>52</v>
      </c>
      <c r="G3174">
        <v>-465.73540000000003</v>
      </c>
      <c r="H3174" s="1">
        <v>1.489145E-6</v>
      </c>
      <c r="I3174">
        <v>215.21449999999999</v>
      </c>
      <c r="J3174">
        <v>-479.38</v>
      </c>
      <c r="K3174">
        <v>1.1265229999999999</v>
      </c>
      <c r="L3174">
        <v>214.66399999999999</v>
      </c>
      <c r="M3174">
        <v>0.96076079999999997</v>
      </c>
      <c r="N3174">
        <v>-2.80606E-3</v>
      </c>
      <c r="O3174">
        <v>-0.27736440000000001</v>
      </c>
      <c r="P3174">
        <v>0.99596200000000001</v>
      </c>
      <c r="Q3174">
        <v>-8.3755460000000004E-2</v>
      </c>
      <c r="R3174">
        <v>-3.232637E-2</v>
      </c>
      <c r="S3174">
        <v>2.9955440000000002</v>
      </c>
      <c r="T3174">
        <v>-0.24396219999999999</v>
      </c>
      <c r="U3174">
        <v>0.11026</v>
      </c>
      <c r="V3174">
        <v>-0.2437542</v>
      </c>
      <c r="W3174">
        <v>-8.5259210000000002E-2</v>
      </c>
      <c r="X3174">
        <v>0.9660822</v>
      </c>
      <c r="Y3174">
        <v>-0.310614099999999</v>
      </c>
      <c r="Z3174">
        <v>3.4623340000000002E-2</v>
      </c>
      <c r="AA3174">
        <v>0.94990529999999995</v>
      </c>
      <c r="AB3174">
        <v>20</v>
      </c>
      <c r="AC3174">
        <v>13.644599999999899</v>
      </c>
      <c r="AD3174">
        <v>-1.126521510855</v>
      </c>
      <c r="AE3174">
        <v>0.55049999999997101</v>
      </c>
      <c r="AF3174">
        <v>-4.2842855661637804</v>
      </c>
      <c r="AG3174">
        <v>-1.126521510855</v>
      </c>
      <c r="AH3174">
        <v>12.8689794115009</v>
      </c>
      <c r="AI3174">
        <v>94.747860981087001</v>
      </c>
      <c r="AJ3174">
        <v>108.41341147135201</v>
      </c>
      <c r="AK3174">
        <v>13.610098626405801</v>
      </c>
      <c r="AL3174">
        <v>94.890930470982397</v>
      </c>
      <c r="AM3174">
        <v>104.160854889969</v>
      </c>
      <c r="AN3174">
        <v>1.0000000300321501</v>
      </c>
    </row>
    <row r="3175" spans="1:40" x14ac:dyDescent="0.25">
      <c r="A3175" t="str">
        <f>"20190303154829922"</f>
        <v>20190303154829922</v>
      </c>
      <c r="B3175" t="str">
        <f>"1551599309913658"</f>
        <v>1551599309913658</v>
      </c>
      <c r="C3175" t="s">
        <v>40</v>
      </c>
      <c r="D3175">
        <v>5.6047269999999996</v>
      </c>
      <c r="E3175">
        <v>0.4791899</v>
      </c>
      <c r="F3175" t="s">
        <v>52</v>
      </c>
      <c r="G3175">
        <v>-465.59469999999999</v>
      </c>
      <c r="H3175" s="1">
        <v>1.424443E-6</v>
      </c>
      <c r="I3175">
        <v>214.98179999999999</v>
      </c>
      <c r="J3175">
        <v>-479.17200000000003</v>
      </c>
      <c r="K3175">
        <v>1.1265719999999999</v>
      </c>
      <c r="L3175">
        <v>214.62090000000001</v>
      </c>
      <c r="M3175">
        <v>0.96456770000000003</v>
      </c>
      <c r="N3175">
        <v>-3.1243880000000001E-3</v>
      </c>
      <c r="O3175">
        <v>-0.26381700000000002</v>
      </c>
      <c r="P3175">
        <v>0.99600359999999999</v>
      </c>
      <c r="Q3175">
        <v>-8.4087880000000004E-2</v>
      </c>
      <c r="R3175">
        <v>-3.0101490000000002E-2</v>
      </c>
      <c r="S3175">
        <v>2.9938349999999998</v>
      </c>
      <c r="T3175">
        <v>-0.24465319999999999</v>
      </c>
      <c r="U3175">
        <v>6.9000240000000004E-2</v>
      </c>
      <c r="V3175">
        <v>-0.23229920000000001</v>
      </c>
      <c r="W3175">
        <v>-8.507112E-2</v>
      </c>
      <c r="X3175">
        <v>0.96891689999999997</v>
      </c>
      <c r="Y3175">
        <v>-0.28419090000000002</v>
      </c>
      <c r="Z3175">
        <v>3.2548319999999999E-2</v>
      </c>
      <c r="AA3175">
        <v>0.95821509999999999</v>
      </c>
      <c r="AB3175">
        <v>20</v>
      </c>
      <c r="AC3175">
        <v>13.5772999999999</v>
      </c>
      <c r="AD3175">
        <v>-1.1265705755569999</v>
      </c>
      <c r="AE3175">
        <v>0.36089999999998601</v>
      </c>
      <c r="AF3175">
        <v>-3.9032004840560002</v>
      </c>
      <c r="AG3175">
        <v>-1.1265705755569999</v>
      </c>
      <c r="AH3175">
        <v>12.912241652315201</v>
      </c>
      <c r="AI3175">
        <v>94.774031119355698</v>
      </c>
      <c r="AJ3175">
        <v>106.819375057638</v>
      </c>
      <c r="AK3175">
        <v>13.536252057649801</v>
      </c>
      <c r="AL3175">
        <v>94.880114624970105</v>
      </c>
      <c r="AM3175">
        <v>103.482265481976</v>
      </c>
      <c r="AN3175">
        <v>0.99999998644215204</v>
      </c>
    </row>
    <row r="3176" spans="1:40" x14ac:dyDescent="0.25">
      <c r="A3176" t="str">
        <f>"20190303154829942"</f>
        <v>20190303154829942</v>
      </c>
      <c r="B3176" t="str">
        <f>"1551599309934154"</f>
        <v>1551599309934154</v>
      </c>
      <c r="C3176" t="s">
        <v>40</v>
      </c>
      <c r="D3176">
        <v>5.6111700000000004</v>
      </c>
      <c r="E3176">
        <v>0.47943970000000002</v>
      </c>
      <c r="F3176" t="s">
        <v>52</v>
      </c>
      <c r="G3176">
        <v>-466.0104</v>
      </c>
      <c r="H3176" s="1">
        <v>1.646897E-6</v>
      </c>
      <c r="I3176">
        <v>214.95419999999999</v>
      </c>
      <c r="J3176">
        <v>-478.98520000000002</v>
      </c>
      <c r="K3176">
        <v>1.1266130000000001</v>
      </c>
      <c r="L3176">
        <v>214.58459999999999</v>
      </c>
      <c r="M3176">
        <v>0.96775560000000005</v>
      </c>
      <c r="N3176">
        <v>-3.5245400000000001E-3</v>
      </c>
      <c r="O3176">
        <v>-0.25186700000000001</v>
      </c>
      <c r="P3176">
        <v>0.99596830000000003</v>
      </c>
      <c r="Q3176">
        <v>-8.4437860000000003E-2</v>
      </c>
      <c r="R3176">
        <v>-3.0292779999999998E-2</v>
      </c>
      <c r="S3176">
        <v>2.9927060000000001</v>
      </c>
      <c r="T3176">
        <v>-0.25616280000000002</v>
      </c>
      <c r="U3176">
        <v>7.5790410000000002E-2</v>
      </c>
      <c r="V3176">
        <v>-0.22011739999999999</v>
      </c>
      <c r="W3176">
        <v>-8.4794369999999994E-2</v>
      </c>
      <c r="X3176">
        <v>0.97178100000000001</v>
      </c>
      <c r="Y3176">
        <v>-0.27441090000000001</v>
      </c>
      <c r="Z3176">
        <v>3.2669419999999998E-2</v>
      </c>
      <c r="AA3176">
        <v>0.96105739999999995</v>
      </c>
      <c r="AB3176">
        <v>20</v>
      </c>
      <c r="AC3176">
        <v>12.9748</v>
      </c>
      <c r="AD3176">
        <v>-1.12661135310299</v>
      </c>
      <c r="AE3176">
        <v>0.36959999999999099</v>
      </c>
      <c r="AF3176">
        <v>-3.5985190711728801</v>
      </c>
      <c r="AG3176">
        <v>-1.12661135310299</v>
      </c>
      <c r="AH3176">
        <v>12.3702301344292</v>
      </c>
      <c r="AI3176">
        <v>94.997767024997003</v>
      </c>
      <c r="AJ3176">
        <v>106.219795135838</v>
      </c>
      <c r="AK3176">
        <v>12.932176391670399</v>
      </c>
      <c r="AL3176">
        <v>94.864200285777898</v>
      </c>
      <c r="AM3176">
        <v>102.76266452534099</v>
      </c>
      <c r="AN3176">
        <v>1.00000003346372</v>
      </c>
    </row>
    <row r="3177" spans="1:40" x14ac:dyDescent="0.25">
      <c r="A3177" t="str">
        <f>"20190303154829967"</f>
        <v>20190303154829967</v>
      </c>
      <c r="B3177" t="str">
        <f>"1551599309964013"</f>
        <v>1551599309964013</v>
      </c>
      <c r="C3177" t="s">
        <v>40</v>
      </c>
      <c r="D3177">
        <v>5.6091369999999996</v>
      </c>
      <c r="E3177">
        <v>0.4798866</v>
      </c>
      <c r="F3177" t="s">
        <v>52</v>
      </c>
      <c r="G3177">
        <v>-466.23230000000001</v>
      </c>
      <c r="H3177" s="1">
        <v>1.767452E-6</v>
      </c>
      <c r="I3177">
        <v>214.89689999999999</v>
      </c>
      <c r="J3177">
        <v>-478.76659999999998</v>
      </c>
      <c r="K3177">
        <v>1.1266620000000001</v>
      </c>
      <c r="L3177">
        <v>214.54509999999999</v>
      </c>
      <c r="M3177">
        <v>0.97125410000000001</v>
      </c>
      <c r="N3177">
        <v>-4.0958870000000003E-3</v>
      </c>
      <c r="O3177">
        <v>-0.23801059999999999</v>
      </c>
      <c r="P3177">
        <v>0.99593359999999997</v>
      </c>
      <c r="Q3177">
        <v>-8.5363739999999994E-2</v>
      </c>
      <c r="R3177">
        <v>-2.8802729999999999E-2</v>
      </c>
      <c r="S3177">
        <v>2.9919739999999999</v>
      </c>
      <c r="T3177">
        <v>-0.26431569999999999</v>
      </c>
      <c r="U3177">
        <v>7.3272710000000005E-2</v>
      </c>
      <c r="V3177">
        <v>-0.20765620000000001</v>
      </c>
      <c r="W3177">
        <v>-8.4915649999999995E-2</v>
      </c>
      <c r="X3177">
        <v>0.97450919999999996</v>
      </c>
      <c r="Y3177">
        <v>-0.25983060000000002</v>
      </c>
      <c r="Z3177">
        <v>3.1851150000000002E-2</v>
      </c>
      <c r="AA3177">
        <v>0.96512880000000001</v>
      </c>
      <c r="AB3177">
        <v>20</v>
      </c>
      <c r="AC3177">
        <v>12.534299999999901</v>
      </c>
      <c r="AD3177">
        <v>-1.126660232548</v>
      </c>
      <c r="AE3177">
        <v>0.351799999999997</v>
      </c>
      <c r="AF3177">
        <v>-3.2983823848282698</v>
      </c>
      <c r="AG3177">
        <v>-1.126660232548</v>
      </c>
      <c r="AH3177">
        <v>11.9935316953658</v>
      </c>
      <c r="AI3177">
        <v>95.175509606684699</v>
      </c>
      <c r="AJ3177">
        <v>105.376967051977</v>
      </c>
      <c r="AK3177">
        <v>12.4897354721345</v>
      </c>
      <c r="AL3177">
        <v>94.871174566182404</v>
      </c>
      <c r="AM3177">
        <v>102.02912886502401</v>
      </c>
      <c r="AN3177">
        <v>0.999999972949</v>
      </c>
    </row>
    <row r="3178" spans="1:40" x14ac:dyDescent="0.25">
      <c r="A3178" t="str">
        <f>"20190303154829990"</f>
        <v>20190303154829990</v>
      </c>
      <c r="B3178" t="str">
        <f>"1551599309983533"</f>
        <v>1551599309983533</v>
      </c>
      <c r="C3178" t="s">
        <v>40</v>
      </c>
      <c r="D3178">
        <v>5.5777409999999996</v>
      </c>
      <c r="E3178">
        <v>0.48007420000000001</v>
      </c>
      <c r="F3178" t="s">
        <v>52</v>
      </c>
      <c r="G3178">
        <v>-466.39909999999998</v>
      </c>
      <c r="H3178" s="1">
        <v>1.8582160000000001E-6</v>
      </c>
      <c r="I3178">
        <v>214.8511</v>
      </c>
      <c r="J3178">
        <v>-478.56900000000002</v>
      </c>
      <c r="K3178">
        <v>1.126711</v>
      </c>
      <c r="L3178">
        <v>214.51179999999999</v>
      </c>
      <c r="M3178">
        <v>0.97421690000000005</v>
      </c>
      <c r="N3178">
        <v>-4.6877400000000001E-3</v>
      </c>
      <c r="O3178">
        <v>-0.2255645</v>
      </c>
      <c r="P3178">
        <v>0.99577899999999997</v>
      </c>
      <c r="Q3178">
        <v>-8.7086819999999995E-2</v>
      </c>
      <c r="R3178">
        <v>-2.8985219999999999E-2</v>
      </c>
      <c r="S3178">
        <v>2.9910580000000002</v>
      </c>
      <c r="T3178">
        <v>-0.27247949999999999</v>
      </c>
      <c r="U3178">
        <v>7.4005130000000002E-2</v>
      </c>
      <c r="V3178">
        <v>-0.1949553</v>
      </c>
      <c r="W3178">
        <v>-8.5812100000000002E-2</v>
      </c>
      <c r="X3178">
        <v>0.977051</v>
      </c>
      <c r="Y3178">
        <v>-0.2476874</v>
      </c>
      <c r="Z3178">
        <v>3.1160569999999999E-2</v>
      </c>
      <c r="AA3178">
        <v>0.96833880000000006</v>
      </c>
      <c r="AB3178">
        <v>20</v>
      </c>
      <c r="AC3178">
        <v>12.1699</v>
      </c>
      <c r="AD3178">
        <v>-1.1267091417840001</v>
      </c>
      <c r="AE3178">
        <v>0.33930000000000798</v>
      </c>
      <c r="AF3178">
        <v>-3.04956456457109</v>
      </c>
      <c r="AG3178">
        <v>-1.1267091417840001</v>
      </c>
      <c r="AH3178">
        <v>11.679685309490599</v>
      </c>
      <c r="AI3178">
        <v>95.3324405118518</v>
      </c>
      <c r="AJ3178">
        <v>104.63322915263799</v>
      </c>
      <c r="AK3178">
        <v>12.1237109192029</v>
      </c>
      <c r="AL3178">
        <v>94.922725549423802</v>
      </c>
      <c r="AM3178">
        <v>101.28428014191201</v>
      </c>
      <c r="AN3178">
        <v>0.99999997105274896</v>
      </c>
    </row>
    <row r="3179" spans="1:40" x14ac:dyDescent="0.25">
      <c r="A3179" t="str">
        <f>"20190303154830009"</f>
        <v>20190303154830009</v>
      </c>
      <c r="B3179" t="str">
        <f>"1551599310004029"</f>
        <v>1551599310004029</v>
      </c>
      <c r="C3179" t="s">
        <v>40</v>
      </c>
      <c r="D3179">
        <v>5.5987419999999997</v>
      </c>
      <c r="E3179">
        <v>0.48043570000000002</v>
      </c>
      <c r="F3179" t="s">
        <v>52</v>
      </c>
      <c r="G3179">
        <v>-466.57319999999999</v>
      </c>
      <c r="H3179" s="1">
        <v>1.9530280000000001E-6</v>
      </c>
      <c r="I3179">
        <v>214.8013</v>
      </c>
      <c r="J3179">
        <v>-478.39429999999999</v>
      </c>
      <c r="K3179">
        <v>1.126763</v>
      </c>
      <c r="L3179">
        <v>214.48439999999999</v>
      </c>
      <c r="M3179">
        <v>0.97667590000000004</v>
      </c>
      <c r="N3179">
        <v>-5.255951E-3</v>
      </c>
      <c r="O3179">
        <v>-0.2146544</v>
      </c>
      <c r="P3179">
        <v>0.99564180000000002</v>
      </c>
      <c r="Q3179">
        <v>-8.8479050000000004E-2</v>
      </c>
      <c r="R3179">
        <v>-2.9480579999999999E-2</v>
      </c>
      <c r="S3179">
        <v>2.9902340000000001</v>
      </c>
      <c r="T3179">
        <v>-0.28085739999999998</v>
      </c>
      <c r="U3179">
        <v>7.2158810000000004E-2</v>
      </c>
      <c r="V3179">
        <v>-0.1835041</v>
      </c>
      <c r="W3179">
        <v>-8.6424689999999998E-2</v>
      </c>
      <c r="X3179">
        <v>0.97921250000000004</v>
      </c>
      <c r="Y3179">
        <v>-0.2362273</v>
      </c>
      <c r="Z3179">
        <v>3.0566909999999999E-2</v>
      </c>
      <c r="AA3179">
        <v>0.97121690000000005</v>
      </c>
      <c r="AB3179">
        <v>21</v>
      </c>
      <c r="AC3179">
        <v>11.821099999999999</v>
      </c>
      <c r="AD3179">
        <v>-1.126761046972</v>
      </c>
      <c r="AE3179">
        <v>0.31690000000000401</v>
      </c>
      <c r="AF3179">
        <v>-2.8213838985114599</v>
      </c>
      <c r="AG3179">
        <v>-1.126761046972</v>
      </c>
      <c r="AH3179">
        <v>11.374252000474799</v>
      </c>
      <c r="AI3179">
        <v>95.492028191111302</v>
      </c>
      <c r="AJ3179">
        <v>103.931043982802</v>
      </c>
      <c r="AK3179">
        <v>11.772994781705201</v>
      </c>
      <c r="AL3179">
        <v>94.957954856950494</v>
      </c>
      <c r="AM3179">
        <v>100.614101957462</v>
      </c>
      <c r="AN3179">
        <v>1.0000000509573199</v>
      </c>
    </row>
    <row r="3180" spans="1:40" x14ac:dyDescent="0.25">
      <c r="A3180" t="str">
        <f>"20190303154830032"</f>
        <v>20190303154830032</v>
      </c>
      <c r="B3180" t="str">
        <f>"1551599310023549"</f>
        <v>1551599310023549</v>
      </c>
      <c r="C3180" t="s">
        <v>40</v>
      </c>
      <c r="D3180">
        <v>5.5769469999999997</v>
      </c>
      <c r="E3180">
        <v>0.48041869999999998</v>
      </c>
      <c r="F3180" t="s">
        <v>52</v>
      </c>
      <c r="G3180">
        <v>-466.63619999999997</v>
      </c>
      <c r="H3180" s="1">
        <v>1.988795E-6</v>
      </c>
      <c r="I3180">
        <v>214.7509</v>
      </c>
      <c r="J3180">
        <v>-478.19200000000001</v>
      </c>
      <c r="K3180">
        <v>1.126811</v>
      </c>
      <c r="L3180">
        <v>214.45500000000001</v>
      </c>
      <c r="M3180">
        <v>0.97933409999999999</v>
      </c>
      <c r="N3180">
        <v>-5.9396350000000004E-3</v>
      </c>
      <c r="O3180">
        <v>-0.2021626</v>
      </c>
      <c r="P3180">
        <v>0.99571030000000005</v>
      </c>
      <c r="Q3180">
        <v>-8.841939E-2</v>
      </c>
      <c r="R3180">
        <v>-2.7266240000000001E-2</v>
      </c>
      <c r="S3180">
        <v>2.989655</v>
      </c>
      <c r="T3180">
        <v>-0.2864949</v>
      </c>
      <c r="U3180">
        <v>6.7764279999999996E-2</v>
      </c>
      <c r="V3180">
        <v>-0.17319809999999999</v>
      </c>
      <c r="W3180">
        <v>-8.5485510000000001E-2</v>
      </c>
      <c r="X3180">
        <v>0.98117010000000004</v>
      </c>
      <c r="Y3180">
        <v>-0.22241859999999999</v>
      </c>
      <c r="Z3180">
        <v>2.9326209999999998E-2</v>
      </c>
      <c r="AA3180">
        <v>0.97451010000000005</v>
      </c>
      <c r="AB3180">
        <v>21</v>
      </c>
      <c r="AC3180">
        <v>11.5557999999999</v>
      </c>
      <c r="AD3180">
        <v>-1.126809011205</v>
      </c>
      <c r="AE3180">
        <v>0.29589999999998801</v>
      </c>
      <c r="AF3180">
        <v>-2.60126422934513</v>
      </c>
      <c r="AG3180">
        <v>-1.126809011205</v>
      </c>
      <c r="AH3180">
        <v>11.1514052340699</v>
      </c>
      <c r="AI3180">
        <v>95.620071120228104</v>
      </c>
      <c r="AJ3180">
        <v>103.130463601683</v>
      </c>
      <c r="AK3180">
        <v>11.506090249648</v>
      </c>
      <c r="AL3180">
        <v>94.903943870632901</v>
      </c>
      <c r="AM3180">
        <v>100.01083601477799</v>
      </c>
      <c r="AN3180">
        <v>1.0000000596987799</v>
      </c>
    </row>
    <row r="3181" spans="1:40" x14ac:dyDescent="0.25">
      <c r="A3181" t="str">
        <f>"20190303154830054"</f>
        <v>20190303154830054</v>
      </c>
      <c r="B3181" t="str">
        <f>"1551599310044045"</f>
        <v>1551599310044045</v>
      </c>
      <c r="C3181" t="s">
        <v>40</v>
      </c>
      <c r="D3181">
        <v>5.6050750000000003</v>
      </c>
      <c r="E3181">
        <v>0.48053040000000002</v>
      </c>
      <c r="F3181" t="s">
        <v>52</v>
      </c>
      <c r="G3181">
        <v>-466.50490000000002</v>
      </c>
      <c r="H3181" s="1">
        <v>1.9191240000000002E-6</v>
      </c>
      <c r="I3181">
        <v>214.74639999999999</v>
      </c>
      <c r="J3181">
        <v>-477.99540000000002</v>
      </c>
      <c r="K3181">
        <v>1.1268359999999999</v>
      </c>
      <c r="L3181">
        <v>214.42869999999999</v>
      </c>
      <c r="M3181">
        <v>0.98172570000000003</v>
      </c>
      <c r="N3181">
        <v>-6.5977569999999897E-3</v>
      </c>
      <c r="O3181">
        <v>-0.1901881</v>
      </c>
      <c r="P3181">
        <v>0.99591790000000002</v>
      </c>
      <c r="Q3181">
        <v>-8.6660920000000002E-2</v>
      </c>
      <c r="R3181">
        <v>-2.525386E-2</v>
      </c>
      <c r="S3181">
        <v>2.9893800000000001</v>
      </c>
      <c r="T3181">
        <v>-0.28821989999999997</v>
      </c>
      <c r="U3181">
        <v>7.4539179999999997E-2</v>
      </c>
      <c r="V3181">
        <v>-0.1632807</v>
      </c>
      <c r="W3181">
        <v>-8.287564E-2</v>
      </c>
      <c r="X3181">
        <v>0.98309259999999998</v>
      </c>
      <c r="Y3181">
        <v>-0.2127927</v>
      </c>
      <c r="Z3181">
        <v>2.789778E-2</v>
      </c>
      <c r="AA3181">
        <v>0.97669899999999998</v>
      </c>
      <c r="AB3181">
        <v>21</v>
      </c>
      <c r="AC3181">
        <v>11.4904999999999</v>
      </c>
      <c r="AD3181">
        <v>-1.126834080876</v>
      </c>
      <c r="AE3181">
        <v>0.31770000000000198</v>
      </c>
      <c r="AF3181">
        <v>-2.4735345350486999</v>
      </c>
      <c r="AG3181">
        <v>-1.126834080876</v>
      </c>
      <c r="AH3181">
        <v>11.113540516875499</v>
      </c>
      <c r="AI3181">
        <v>95.652222235834699</v>
      </c>
      <c r="AJ3181">
        <v>102.547764459219</v>
      </c>
      <c r="AK3181">
        <v>11.441106194863099</v>
      </c>
      <c r="AL3181">
        <v>94.753876878137604</v>
      </c>
      <c r="AM3181">
        <v>99.430106406633399</v>
      </c>
      <c r="AN3181">
        <v>1.0000000094363199</v>
      </c>
    </row>
    <row r="3182" spans="1:40" x14ac:dyDescent="0.25">
      <c r="A3182" t="str">
        <f>"20190303154830076"</f>
        <v>20190303154830076</v>
      </c>
      <c r="B3182" t="str">
        <f>"1551599310063565"</f>
        <v>1551599310063565</v>
      </c>
      <c r="C3182" t="s">
        <v>40</v>
      </c>
      <c r="D3182">
        <v>5.6040169999999998</v>
      </c>
      <c r="E3182">
        <v>0.48052600000000001</v>
      </c>
      <c r="F3182" t="s">
        <v>52</v>
      </c>
      <c r="G3182">
        <v>-466.16320000000002</v>
      </c>
      <c r="H3182" s="1">
        <v>1.73739E-6</v>
      </c>
      <c r="I3182">
        <v>214.7439</v>
      </c>
      <c r="J3182">
        <v>-477.79860000000002</v>
      </c>
      <c r="K3182">
        <v>1.1268260000000001</v>
      </c>
      <c r="L3182">
        <v>214.40469999999999</v>
      </c>
      <c r="M3182">
        <v>0.98393220000000003</v>
      </c>
      <c r="N3182">
        <v>-7.2226340000000003E-3</v>
      </c>
      <c r="O3182">
        <v>-0.17839650000000001</v>
      </c>
      <c r="P3182">
        <v>0.99615160000000003</v>
      </c>
      <c r="Q3182">
        <v>-8.4510489999999994E-2</v>
      </c>
      <c r="R3182">
        <v>-2.3241499999999998E-2</v>
      </c>
      <c r="S3182">
        <v>2.9895019999999999</v>
      </c>
      <c r="T3182">
        <v>-0.28470519999999999</v>
      </c>
      <c r="U3182">
        <v>7.9635620000000004E-2</v>
      </c>
      <c r="V3182">
        <v>-0.15356719999999999</v>
      </c>
      <c r="W3182">
        <v>-7.9906110000000002E-2</v>
      </c>
      <c r="X3182">
        <v>0.9849021</v>
      </c>
      <c r="Y3182">
        <v>-0.20286870000000001</v>
      </c>
      <c r="Z3182">
        <v>2.5970730000000001E-2</v>
      </c>
      <c r="AA3182">
        <v>0.97886150000000005</v>
      </c>
      <c r="AB3182">
        <v>21</v>
      </c>
      <c r="AC3182">
        <v>11.635400000000001</v>
      </c>
      <c r="AD3182">
        <v>-1.12682426261</v>
      </c>
      <c r="AE3182">
        <v>0.339200000000005</v>
      </c>
      <c r="AF3182">
        <v>-2.3871574367622101</v>
      </c>
      <c r="AG3182">
        <v>-1.12682426261</v>
      </c>
      <c r="AH3182">
        <v>11.2825022969876</v>
      </c>
      <c r="AI3182">
        <v>95.580683311145606</v>
      </c>
      <c r="AJ3182">
        <v>101.946482432511</v>
      </c>
      <c r="AK3182">
        <v>11.5871960209632</v>
      </c>
      <c r="AL3182">
        <v>94.583168916820398</v>
      </c>
      <c r="AM3182">
        <v>98.862273044218398</v>
      </c>
      <c r="AN3182">
        <v>1.0000000089577901</v>
      </c>
    </row>
    <row r="3183" spans="1:40" x14ac:dyDescent="0.25">
      <c r="A3183" t="str">
        <f>"20190303154830098"</f>
        <v>20190303154830098</v>
      </c>
      <c r="B3183" t="str">
        <f>"1551599310093821"</f>
        <v>1551599310093821</v>
      </c>
      <c r="C3183" t="s">
        <v>40</v>
      </c>
      <c r="D3183">
        <v>5.5822900000000004</v>
      </c>
      <c r="E3183">
        <v>0.48080709999999999</v>
      </c>
      <c r="F3183" t="s">
        <v>52</v>
      </c>
      <c r="G3183">
        <v>-465.73669999999998</v>
      </c>
      <c r="H3183" s="1">
        <v>1.5101599999999999E-6</v>
      </c>
      <c r="I3183">
        <v>214.7501</v>
      </c>
      <c r="J3183">
        <v>-477.60230000000001</v>
      </c>
      <c r="K3183">
        <v>1.1267860000000001</v>
      </c>
      <c r="L3183">
        <v>214.38290000000001</v>
      </c>
      <c r="M3183">
        <v>0.98595060000000001</v>
      </c>
      <c r="N3183">
        <v>-7.8079909999999898E-3</v>
      </c>
      <c r="O3183">
        <v>-0.16685469999999999</v>
      </c>
      <c r="P3183">
        <v>0.99620039999999999</v>
      </c>
      <c r="Q3183">
        <v>-8.4277690000000002E-2</v>
      </c>
      <c r="R3183">
        <v>-2.1954680000000001E-2</v>
      </c>
      <c r="S3183">
        <v>2.9898989999999999</v>
      </c>
      <c r="T3183">
        <v>-0.27931820000000002</v>
      </c>
      <c r="U3183">
        <v>8.5617070000000003E-2</v>
      </c>
      <c r="V3183">
        <v>-0.14333499999999999</v>
      </c>
      <c r="W3183">
        <v>-7.8881119999999999E-2</v>
      </c>
      <c r="X3183">
        <v>0.98652569999999995</v>
      </c>
      <c r="Y3183">
        <v>-0.19349540000000001</v>
      </c>
      <c r="Z3183">
        <v>2.397523E-2</v>
      </c>
      <c r="AA3183">
        <v>0.98080820000000002</v>
      </c>
      <c r="AB3183">
        <v>21</v>
      </c>
      <c r="AC3183">
        <v>11.865600000000001</v>
      </c>
      <c r="AD3183">
        <v>-1.1267844898399999</v>
      </c>
      <c r="AE3183">
        <v>0.36719999999999597</v>
      </c>
      <c r="AF3183">
        <v>-2.3210328625971899</v>
      </c>
      <c r="AG3183">
        <v>-1.1267844898399999</v>
      </c>
      <c r="AH3183">
        <v>11.5340680985988</v>
      </c>
      <c r="AI3183">
        <v>95.4706443704533</v>
      </c>
      <c r="AJ3183">
        <v>101.377834088683</v>
      </c>
      <c r="AK3183">
        <v>11.8191185686122</v>
      </c>
      <c r="AL3183">
        <v>94.524255134911201</v>
      </c>
      <c r="AM3183">
        <v>98.266812673148394</v>
      </c>
      <c r="AN3183">
        <v>1.00000005503897</v>
      </c>
    </row>
    <row r="3184" spans="1:40" x14ac:dyDescent="0.25">
      <c r="A3184" t="str">
        <f>"20190303154830122"</f>
        <v>20190303154830122</v>
      </c>
      <c r="B3184" t="str">
        <f>"1551599310114317"</f>
        <v>1551599310114317</v>
      </c>
      <c r="C3184" t="s">
        <v>40</v>
      </c>
      <c r="D3184">
        <v>5.5571989999999998</v>
      </c>
      <c r="E3184">
        <v>0.48092960000000001</v>
      </c>
      <c r="F3184" t="s">
        <v>52</v>
      </c>
      <c r="G3184">
        <v>-465.58479999999997</v>
      </c>
      <c r="H3184" s="1">
        <v>1.430037E-6</v>
      </c>
      <c r="I3184">
        <v>214.73390000000001</v>
      </c>
      <c r="J3184">
        <v>-477.38920000000002</v>
      </c>
      <c r="K3184">
        <v>1.126709</v>
      </c>
      <c r="L3184">
        <v>214.36160000000001</v>
      </c>
      <c r="M3184">
        <v>0.98794349999999997</v>
      </c>
      <c r="N3184">
        <v>-8.4215790000000002E-3</v>
      </c>
      <c r="O3184">
        <v>-0.15458629999999901</v>
      </c>
      <c r="P3184">
        <v>0.99609119999999995</v>
      </c>
      <c r="Q3184">
        <v>-8.6120269999999999E-2</v>
      </c>
      <c r="R3184">
        <v>-1.9643750000000001E-2</v>
      </c>
      <c r="S3184">
        <v>2.9896240000000001</v>
      </c>
      <c r="T3184">
        <v>-0.2803136</v>
      </c>
      <c r="U3184">
        <v>8.7326050000000002E-2</v>
      </c>
      <c r="V3184">
        <v>-0.1333462</v>
      </c>
      <c r="W3184">
        <v>-7.9900669999999993E-2</v>
      </c>
      <c r="X3184">
        <v>0.98784349999999999</v>
      </c>
      <c r="Y3184">
        <v>-0.18194450000000001</v>
      </c>
      <c r="Z3184">
        <v>2.2399100000000002E-2</v>
      </c>
      <c r="AA3184">
        <v>0.98305370000000003</v>
      </c>
      <c r="AB3184">
        <v>21</v>
      </c>
      <c r="AC3184">
        <v>11.804399999999999</v>
      </c>
      <c r="AD3184">
        <v>-1.126707569963</v>
      </c>
      <c r="AE3184">
        <v>0.37229999999999502</v>
      </c>
      <c r="AF3184">
        <v>-2.1729111282925699</v>
      </c>
      <c r="AG3184">
        <v>-1.126707569963</v>
      </c>
      <c r="AH3184">
        <v>11.500270845859299</v>
      </c>
      <c r="AI3184">
        <v>95.498858125087096</v>
      </c>
      <c r="AJ3184">
        <v>100.69957857743999</v>
      </c>
      <c r="AK3184">
        <v>11.757858744167301</v>
      </c>
      <c r="AL3184">
        <v>94.582856024316698</v>
      </c>
      <c r="AM3184">
        <v>97.687725908587495</v>
      </c>
      <c r="AN3184">
        <v>1.0000000533065601</v>
      </c>
    </row>
    <row r="3185" spans="1:40" x14ac:dyDescent="0.25">
      <c r="A3185" t="str">
        <f>"20190303154830143"</f>
        <v>20190303154830143</v>
      </c>
      <c r="B3185" t="str">
        <f>"1551599310133837"</f>
        <v>1551599310133837</v>
      </c>
      <c r="C3185" t="s">
        <v>40</v>
      </c>
      <c r="D3185">
        <v>5.6011059999999997</v>
      </c>
      <c r="E3185">
        <v>0.48106369999999998</v>
      </c>
      <c r="F3185" t="s">
        <v>52</v>
      </c>
      <c r="G3185">
        <v>-465.66329999999999</v>
      </c>
      <c r="H3185" s="1">
        <v>1.472043E-6</v>
      </c>
      <c r="I3185">
        <v>214.7285</v>
      </c>
      <c r="J3185">
        <v>-477.1934</v>
      </c>
      <c r="K3185">
        <v>1.1266160000000001</v>
      </c>
      <c r="L3185">
        <v>214.3442</v>
      </c>
      <c r="M3185">
        <v>0.98959710000000001</v>
      </c>
      <c r="N3185">
        <v>-8.9830190000000001E-3</v>
      </c>
      <c r="O3185">
        <v>-0.1435855</v>
      </c>
      <c r="P3185">
        <v>0.996058</v>
      </c>
      <c r="Q3185">
        <v>-8.6853250000000007E-2</v>
      </c>
      <c r="R3185">
        <v>-1.8030870000000001E-2</v>
      </c>
      <c r="S3185">
        <v>2.9887999999999999</v>
      </c>
      <c r="T3185">
        <v>-0.28718640000000001</v>
      </c>
      <c r="U3185">
        <v>9.3521119999999999E-2</v>
      </c>
      <c r="V3185">
        <v>-0.1239763</v>
      </c>
      <c r="W3185">
        <v>-7.9873399999999997E-2</v>
      </c>
      <c r="X3185">
        <v>0.98906530000000004</v>
      </c>
      <c r="Y3185">
        <v>-0.173060299999999</v>
      </c>
      <c r="Z3185">
        <v>2.1516850000000001E-2</v>
      </c>
      <c r="AA3185">
        <v>0.9846762</v>
      </c>
      <c r="AB3185">
        <v>21</v>
      </c>
      <c r="AC3185">
        <v>11.530099999999999</v>
      </c>
      <c r="AD3185">
        <v>-1.1266145279569999</v>
      </c>
      <c r="AE3185">
        <v>0.38429999999999598</v>
      </c>
      <c r="AF3185">
        <v>-2.0167066622513898</v>
      </c>
      <c r="AG3185">
        <v>-1.1266145279569999</v>
      </c>
      <c r="AH3185">
        <v>11.248160909707201</v>
      </c>
      <c r="AI3185">
        <v>95.6304720006803</v>
      </c>
      <c r="AJ3185">
        <v>100.164683428529</v>
      </c>
      <c r="AK3185">
        <v>11.482921662488099</v>
      </c>
      <c r="AL3185">
        <v>94.581288687211</v>
      </c>
      <c r="AM3185">
        <v>97.144587388989706</v>
      </c>
      <c r="AN3185">
        <v>1.0000000253266601</v>
      </c>
    </row>
    <row r="3186" spans="1:40" x14ac:dyDescent="0.25">
      <c r="A3186" t="str">
        <f>"20190303154830167"</f>
        <v>20190303154830167</v>
      </c>
      <c r="B3186" t="str">
        <f>"1551599310164093"</f>
        <v>1551599310164093</v>
      </c>
      <c r="C3186" t="s">
        <v>40</v>
      </c>
      <c r="D3186">
        <v>5.5763049999999996</v>
      </c>
      <c r="E3186">
        <v>0.48131200000000002</v>
      </c>
      <c r="F3186" t="s">
        <v>52</v>
      </c>
      <c r="G3186">
        <v>-465.63850000000002</v>
      </c>
      <c r="H3186" s="1">
        <v>1.459178E-6</v>
      </c>
      <c r="I3186">
        <v>214.72020000000001</v>
      </c>
      <c r="J3186">
        <v>-476.9753</v>
      </c>
      <c r="K3186">
        <v>1.1265130000000001</v>
      </c>
      <c r="L3186">
        <v>214.3271</v>
      </c>
      <c r="M3186">
        <v>0.9912609</v>
      </c>
      <c r="N3186">
        <v>-9.5978339999999995E-3</v>
      </c>
      <c r="O3186">
        <v>-0.13156670000000001</v>
      </c>
      <c r="P3186">
        <v>0.99597930000000001</v>
      </c>
      <c r="Q3186">
        <v>-8.8183239999999996E-2</v>
      </c>
      <c r="R3186">
        <v>-1.578972E-2</v>
      </c>
      <c r="S3186">
        <v>2.9881899999999999</v>
      </c>
      <c r="T3186">
        <v>-0.29135159999999999</v>
      </c>
      <c r="U3186">
        <v>9.7244259999999999E-2</v>
      </c>
      <c r="V3186">
        <v>-0.1142106</v>
      </c>
      <c r="W3186">
        <v>-8.038758E-2</v>
      </c>
      <c r="X3186">
        <v>0.99019889999999999</v>
      </c>
      <c r="Y3186">
        <v>-0.1623956</v>
      </c>
      <c r="Z3186">
        <v>2.018882E-2</v>
      </c>
      <c r="AA3186">
        <v>0.98651920000000004</v>
      </c>
      <c r="AB3186">
        <v>21</v>
      </c>
      <c r="AC3186">
        <v>11.336799999999901</v>
      </c>
      <c r="AD3186">
        <v>-1.1265115408219999</v>
      </c>
      <c r="AE3186">
        <v>0.393100000000003</v>
      </c>
      <c r="AF3186">
        <v>-1.8629242895963001</v>
      </c>
      <c r="AG3186">
        <v>-1.1265115408219999</v>
      </c>
      <c r="AH3186">
        <v>11.0772774866838</v>
      </c>
      <c r="AI3186">
        <v>95.726895470726106</v>
      </c>
      <c r="AJ3186">
        <v>99.546402849806498</v>
      </c>
      <c r="AK3186">
        <v>11.2891802925351</v>
      </c>
      <c r="AL3186">
        <v>94.610843988471103</v>
      </c>
      <c r="AM3186">
        <v>96.579482420321298</v>
      </c>
      <c r="AN3186">
        <v>1.0000000428659099</v>
      </c>
    </row>
    <row r="3187" spans="1:40" x14ac:dyDescent="0.25">
      <c r="A3187" t="str">
        <f>"20190303154830191"</f>
        <v>20190303154830191</v>
      </c>
      <c r="B3187" t="str">
        <f>"1551599310183613"</f>
        <v>1551599310183613</v>
      </c>
      <c r="C3187" t="s">
        <v>40</v>
      </c>
      <c r="D3187">
        <v>5.6225740000000002</v>
      </c>
      <c r="E3187">
        <v>0.48150270000000001</v>
      </c>
      <c r="F3187" t="s">
        <v>52</v>
      </c>
      <c r="G3187">
        <v>-465.68189999999998</v>
      </c>
      <c r="H3187" s="1">
        <v>1.4826330000000001E-6</v>
      </c>
      <c r="I3187">
        <v>214.7124</v>
      </c>
      <c r="J3187">
        <v>-476.76139999999998</v>
      </c>
      <c r="K3187">
        <v>1.126433</v>
      </c>
      <c r="L3187">
        <v>214.3126</v>
      </c>
      <c r="M3187">
        <v>0.9927184</v>
      </c>
      <c r="N3187">
        <v>-1.019228E-2</v>
      </c>
      <c r="O3187">
        <v>-0.12002699999999999</v>
      </c>
      <c r="P3187">
        <v>0.99597780000000002</v>
      </c>
      <c r="Q3187">
        <v>-8.8257790000000003E-2</v>
      </c>
      <c r="R3187">
        <v>-1.545271E-2</v>
      </c>
      <c r="S3187">
        <v>2.9873660000000002</v>
      </c>
      <c r="T3187">
        <v>-0.29798720000000001</v>
      </c>
      <c r="U3187">
        <v>0.1019287</v>
      </c>
      <c r="V3187">
        <v>-0.10306849999999999</v>
      </c>
      <c r="W3187">
        <v>-7.965498E-2</v>
      </c>
      <c r="X3187">
        <v>0.99147969999999996</v>
      </c>
      <c r="Y3187">
        <v>-0.152504799999999</v>
      </c>
      <c r="Z3187">
        <v>1.9066630000000001E-2</v>
      </c>
      <c r="AA3187">
        <v>0.98811879999999996</v>
      </c>
      <c r="AB3187">
        <v>21</v>
      </c>
      <c r="AC3187">
        <v>11.0794999999999</v>
      </c>
      <c r="AD3187">
        <v>-1.1264315173670001</v>
      </c>
      <c r="AE3187">
        <v>0.39979999999999899</v>
      </c>
      <c r="AF3187">
        <v>-1.7091737705126999</v>
      </c>
      <c r="AG3187">
        <v>-1.1264315173670001</v>
      </c>
      <c r="AH3187">
        <v>10.839508762774299</v>
      </c>
      <c r="AI3187">
        <v>95.860928568354694</v>
      </c>
      <c r="AJ3187">
        <v>98.960622126401105</v>
      </c>
      <c r="AK3187">
        <v>11.0310957370239</v>
      </c>
      <c r="AL3187">
        <v>94.5687341956084</v>
      </c>
      <c r="AM3187">
        <v>95.934821218492701</v>
      </c>
      <c r="AN3187">
        <v>1.0000000135215701</v>
      </c>
    </row>
    <row r="3188" spans="1:40" x14ac:dyDescent="0.25">
      <c r="A3188" t="str">
        <f>"20190303154830210"</f>
        <v>20190303154830210</v>
      </c>
      <c r="B3188" t="str">
        <f>"1551599310204110"</f>
        <v>1551599310204110</v>
      </c>
      <c r="C3188" t="s">
        <v>40</v>
      </c>
      <c r="D3188">
        <v>5.5703180000000003</v>
      </c>
      <c r="E3188">
        <v>0.4817109</v>
      </c>
      <c r="F3188" t="s">
        <v>52</v>
      </c>
      <c r="G3188">
        <v>-465.55059999999997</v>
      </c>
      <c r="H3188" s="1">
        <v>1.4135760000000001E-6</v>
      </c>
      <c r="I3188">
        <v>214.6936</v>
      </c>
      <c r="J3188">
        <v>-476.59050000000002</v>
      </c>
      <c r="K3188">
        <v>1.1263829999999999</v>
      </c>
      <c r="L3188">
        <v>214.30260000000001</v>
      </c>
      <c r="M3188">
        <v>0.99376260000000005</v>
      </c>
      <c r="N3188">
        <v>-1.0658269999999999E-2</v>
      </c>
      <c r="O3188">
        <v>-0.11100690000000001</v>
      </c>
      <c r="P3188">
        <v>0.99598940000000002</v>
      </c>
      <c r="Q3188">
        <v>-8.7633550000000004E-2</v>
      </c>
      <c r="R3188">
        <v>-1.8049989999999998E-2</v>
      </c>
      <c r="S3188">
        <v>2.9870909999999999</v>
      </c>
      <c r="T3188">
        <v>-0.30013410000000001</v>
      </c>
      <c r="U3188">
        <v>0.1015167</v>
      </c>
      <c r="V3188">
        <v>-9.1529860000000005E-2</v>
      </c>
      <c r="W3188">
        <v>-7.8360680000000002E-2</v>
      </c>
      <c r="X3188">
        <v>0.9927144</v>
      </c>
      <c r="Y3188">
        <v>-0.1434609</v>
      </c>
      <c r="Z3188">
        <v>1.788294E-2</v>
      </c>
      <c r="AA3188">
        <v>0.9894944</v>
      </c>
      <c r="AB3188">
        <v>21</v>
      </c>
      <c r="AC3188">
        <v>11.039899999999999</v>
      </c>
      <c r="AD3188">
        <v>-1.1263815864240001</v>
      </c>
      <c r="AE3188">
        <v>0.39099999999999102</v>
      </c>
      <c r="AF3188">
        <v>-1.5975484817573</v>
      </c>
      <c r="AG3188">
        <v>-1.1263815864240001</v>
      </c>
      <c r="AH3188">
        <v>10.8158065556535</v>
      </c>
      <c r="AI3188">
        <v>95.882111273960803</v>
      </c>
      <c r="AJ3188">
        <v>98.402121038681798</v>
      </c>
      <c r="AK3188">
        <v>10.991022158066899</v>
      </c>
      <c r="AL3188">
        <v>94.4943437991585</v>
      </c>
      <c r="AM3188">
        <v>95.267868841722503</v>
      </c>
      <c r="AN3188">
        <v>0.99999999570452003</v>
      </c>
    </row>
    <row r="3189" spans="1:40" x14ac:dyDescent="0.25">
      <c r="A3189" t="str">
        <f>"20190303154830233"</f>
        <v>20190303154830233</v>
      </c>
      <c r="B3189" t="str">
        <f>"1551599310223629"</f>
        <v>1551599310223629</v>
      </c>
      <c r="C3189" t="s">
        <v>40</v>
      </c>
      <c r="D3189">
        <v>5.6201089999999896</v>
      </c>
      <c r="E3189">
        <v>0.4818345</v>
      </c>
      <c r="F3189" t="s">
        <v>52</v>
      </c>
      <c r="G3189">
        <v>-465.35300000000001</v>
      </c>
      <c r="H3189" s="1">
        <v>1.31034E-6</v>
      </c>
      <c r="I3189">
        <v>214.64940000000001</v>
      </c>
      <c r="J3189">
        <v>-476.38569999999999</v>
      </c>
      <c r="K3189">
        <v>1.126301</v>
      </c>
      <c r="L3189">
        <v>214.29239999999999</v>
      </c>
      <c r="M3189">
        <v>0.99487999999999999</v>
      </c>
      <c r="N3189">
        <v>-1.1191680000000001E-2</v>
      </c>
      <c r="O3189">
        <v>-0.100442</v>
      </c>
      <c r="P3189">
        <v>0.99602069999999998</v>
      </c>
      <c r="Q3189">
        <v>-8.7371219999999999E-2</v>
      </c>
      <c r="R3189">
        <v>-1.757995E-2</v>
      </c>
      <c r="S3189">
        <v>2.9874269999999998</v>
      </c>
      <c r="T3189">
        <v>-0.29944229999999999</v>
      </c>
      <c r="U3189">
        <v>9.2193600000000001E-2</v>
      </c>
      <c r="V3189">
        <v>-8.1498650000000006E-2</v>
      </c>
      <c r="W3189">
        <v>-7.7385689999999993E-2</v>
      </c>
      <c r="X3189">
        <v>0.99366460000000001</v>
      </c>
      <c r="Y3189">
        <v>-0.12997040000000001</v>
      </c>
      <c r="Z3189">
        <v>1.6134369999999999E-2</v>
      </c>
      <c r="AA3189">
        <v>0.99138660000000001</v>
      </c>
      <c r="AB3189">
        <v>21</v>
      </c>
      <c r="AC3189">
        <v>11.032699999999901</v>
      </c>
      <c r="AD3189">
        <v>-1.1262996896599999</v>
      </c>
      <c r="AE3189">
        <v>0.35700000000002702</v>
      </c>
      <c r="AF3189">
        <v>-1.44833172834208</v>
      </c>
      <c r="AG3189">
        <v>-1.1262996896599999</v>
      </c>
      <c r="AH3189">
        <v>10.8283068396657</v>
      </c>
      <c r="AI3189">
        <v>95.886185400656899</v>
      </c>
      <c r="AJ3189">
        <v>97.618335831349896</v>
      </c>
      <c r="AK3189">
        <v>10.9826428877662</v>
      </c>
      <c r="AL3189">
        <v>94.438311003719406</v>
      </c>
      <c r="AM3189">
        <v>94.688805565163705</v>
      </c>
      <c r="AN3189">
        <v>0.999999956130878</v>
      </c>
    </row>
    <row r="3190" spans="1:40" x14ac:dyDescent="0.25">
      <c r="A3190" t="str">
        <f>"20190303154830255"</f>
        <v>20190303154830255</v>
      </c>
      <c r="B3190" t="str">
        <f>"1551599310244125"</f>
        <v>1551599310244125</v>
      </c>
      <c r="C3190" t="s">
        <v>40</v>
      </c>
      <c r="D3190">
        <v>5.6192320000000002</v>
      </c>
      <c r="E3190">
        <v>0.4819116</v>
      </c>
      <c r="F3190" t="s">
        <v>52</v>
      </c>
      <c r="G3190">
        <v>-465.17</v>
      </c>
      <c r="H3190" s="1">
        <v>1.2133600000000001E-6</v>
      </c>
      <c r="I3190">
        <v>214.64109999999999</v>
      </c>
      <c r="J3190">
        <v>-476.19040000000001</v>
      </c>
      <c r="K3190">
        <v>1.1262080000000001</v>
      </c>
      <c r="L3190">
        <v>214.28450000000001</v>
      </c>
      <c r="M3190">
        <v>0.99581949999999997</v>
      </c>
      <c r="N3190">
        <v>-1.165859E-2</v>
      </c>
      <c r="O3190">
        <v>-9.0596140000000006E-2</v>
      </c>
      <c r="P3190">
        <v>0.99601890000000004</v>
      </c>
      <c r="Q3190">
        <v>-8.7591589999999997E-2</v>
      </c>
      <c r="R3190">
        <v>-1.6558989999999999E-2</v>
      </c>
      <c r="S3190">
        <v>2.9873050000000001</v>
      </c>
      <c r="T3190">
        <v>-0.29998979999999997</v>
      </c>
      <c r="U3190">
        <v>9.2880249999999998E-2</v>
      </c>
      <c r="V3190">
        <v>-7.2725150000000002E-2</v>
      </c>
      <c r="W3190">
        <v>-7.6985929999999994E-2</v>
      </c>
      <c r="X3190">
        <v>0.99437629999999999</v>
      </c>
      <c r="Y3190">
        <v>-0.120476</v>
      </c>
      <c r="Z3190">
        <v>1.474927E-2</v>
      </c>
      <c r="AA3190">
        <v>0.99260660000000001</v>
      </c>
      <c r="AB3190">
        <v>20</v>
      </c>
      <c r="AC3190">
        <v>11.020399999999899</v>
      </c>
      <c r="AD3190">
        <v>-1.1262067866399901</v>
      </c>
      <c r="AE3190">
        <v>0.35659999999998598</v>
      </c>
      <c r="AF3190">
        <v>-1.3396312301859199</v>
      </c>
      <c r="AG3190">
        <v>-1.1262067866399901</v>
      </c>
      <c r="AH3190">
        <v>10.8297846323757</v>
      </c>
      <c r="AI3190">
        <v>95.892350908819296</v>
      </c>
      <c r="AJ3190">
        <v>97.051597642859704</v>
      </c>
      <c r="AK3190">
        <v>10.9702866299293</v>
      </c>
      <c r="AL3190">
        <v>94.415337697416604</v>
      </c>
      <c r="AM3190">
        <v>94.182962237394904</v>
      </c>
      <c r="AN3190">
        <v>1.0000000034310801</v>
      </c>
    </row>
    <row r="3191" spans="1:40" x14ac:dyDescent="0.25">
      <c r="A3191" t="str">
        <f>"20190303154830277"</f>
        <v>20190303154830277</v>
      </c>
      <c r="B3191" t="str">
        <f>"1551599310273910"</f>
        <v>1551599310273910</v>
      </c>
      <c r="C3191" t="s">
        <v>40</v>
      </c>
      <c r="D3191">
        <v>5.6168399999999998</v>
      </c>
      <c r="E3191">
        <v>0.48188950000000003</v>
      </c>
      <c r="F3191" t="s">
        <v>52</v>
      </c>
      <c r="G3191">
        <v>-465.03269999999998</v>
      </c>
      <c r="H3191" s="1">
        <v>1.140297E-6</v>
      </c>
      <c r="I3191">
        <v>214.64060000000001</v>
      </c>
      <c r="J3191">
        <v>-475.99279999999999</v>
      </c>
      <c r="K3191">
        <v>1.126091</v>
      </c>
      <c r="L3191">
        <v>214.2782</v>
      </c>
      <c r="M3191">
        <v>0.99665239999999999</v>
      </c>
      <c r="N3191">
        <v>-1.2080570000000001E-2</v>
      </c>
      <c r="O3191">
        <v>-8.0857750000000006E-2</v>
      </c>
      <c r="P3191">
        <v>0.99618850000000003</v>
      </c>
      <c r="Q3191">
        <v>-8.5942710000000005E-2</v>
      </c>
      <c r="R3191">
        <v>-1.491555E-2</v>
      </c>
      <c r="S3191">
        <v>2.9870909999999999</v>
      </c>
      <c r="T3191">
        <v>-0.3015022</v>
      </c>
      <c r="U3191">
        <v>9.5336909999999997E-2</v>
      </c>
      <c r="V3191">
        <v>-6.4721520000000005E-2</v>
      </c>
      <c r="W3191">
        <v>-7.4775439999999999E-2</v>
      </c>
      <c r="X3191">
        <v>0.99509789999999998</v>
      </c>
      <c r="Y3191">
        <v>-0.11166520000000001</v>
      </c>
      <c r="Z3191">
        <v>1.3456030000000001E-2</v>
      </c>
      <c r="AA3191">
        <v>0.99365479999999995</v>
      </c>
      <c r="AB3191">
        <v>20</v>
      </c>
      <c r="AC3191">
        <v>10.960100000000001</v>
      </c>
      <c r="AD3191">
        <v>-1.126089859703</v>
      </c>
      <c r="AE3191">
        <v>0.36240000000000799</v>
      </c>
      <c r="AF3191">
        <v>-1.2344695772982499</v>
      </c>
      <c r="AG3191">
        <v>-1.126089859703</v>
      </c>
      <c r="AH3191">
        <v>10.7812157244103</v>
      </c>
      <c r="AI3191">
        <v>95.924447136225197</v>
      </c>
      <c r="AJ3191">
        <v>96.532027721234698</v>
      </c>
      <c r="AK3191">
        <v>10.909931530750899</v>
      </c>
      <c r="AL3191">
        <v>94.288319578598902</v>
      </c>
      <c r="AM3191">
        <v>93.721296371757006</v>
      </c>
      <c r="AN3191">
        <v>1.0000000360813499</v>
      </c>
    </row>
    <row r="3192" spans="1:40" x14ac:dyDescent="0.25">
      <c r="A3192" t="str">
        <f>"20190303154830299"</f>
        <v>20190303154830299</v>
      </c>
      <c r="B3192" t="str">
        <f>"1551599310294406"</f>
        <v>1551599310294406</v>
      </c>
      <c r="C3192" t="s">
        <v>40</v>
      </c>
      <c r="D3192">
        <v>5.5680579999999997</v>
      </c>
      <c r="E3192">
        <v>0.482101</v>
      </c>
      <c r="F3192" t="s">
        <v>52</v>
      </c>
      <c r="G3192">
        <v>-464.72089999999997</v>
      </c>
      <c r="H3192" s="1">
        <v>9.7365380000000001E-7</v>
      </c>
      <c r="I3192">
        <v>214.65690000000001</v>
      </c>
      <c r="J3192">
        <v>-475.79989999999998</v>
      </c>
      <c r="K3192">
        <v>1.1259669999999999</v>
      </c>
      <c r="L3192">
        <v>214.27359999999999</v>
      </c>
      <c r="M3192">
        <v>0.99735600000000002</v>
      </c>
      <c r="N3192">
        <v>-1.2441799999999999E-2</v>
      </c>
      <c r="O3192">
        <v>-7.1597850000000005E-2</v>
      </c>
      <c r="P3192">
        <v>0.99633570000000005</v>
      </c>
      <c r="Q3192">
        <v>-8.4321789999999994E-2</v>
      </c>
      <c r="R3192">
        <v>-1.4320029999999999E-2</v>
      </c>
      <c r="S3192">
        <v>2.9872130000000001</v>
      </c>
      <c r="T3192">
        <v>-0.29842940000000001</v>
      </c>
      <c r="U3192">
        <v>0.1003723</v>
      </c>
      <c r="V3192">
        <v>-5.614719E-2</v>
      </c>
      <c r="W3192">
        <v>-7.2651010000000002E-2</v>
      </c>
      <c r="X3192">
        <v>0.99577579999999999</v>
      </c>
      <c r="Y3192">
        <v>-0.1042027</v>
      </c>
      <c r="Z3192">
        <v>1.2082529999999999E-2</v>
      </c>
      <c r="AA3192">
        <v>0.99448270000000005</v>
      </c>
      <c r="AB3192">
        <v>20</v>
      </c>
      <c r="AC3192">
        <v>11.079000000000001</v>
      </c>
      <c r="AD3192">
        <v>-1.1259660263461999</v>
      </c>
      <c r="AE3192">
        <v>0.38330000000001901</v>
      </c>
      <c r="AF3192">
        <v>-1.16360583369596</v>
      </c>
      <c r="AG3192">
        <v>-1.1259660263461999</v>
      </c>
      <c r="AH3192">
        <v>10.9105585127508</v>
      </c>
      <c r="AI3192">
        <v>95.859053973482602</v>
      </c>
      <c r="AJ3192">
        <v>96.087556800876399</v>
      </c>
      <c r="AK3192">
        <v>11.030052814418299</v>
      </c>
      <c r="AL3192">
        <v>94.166266539280102</v>
      </c>
      <c r="AM3192">
        <v>93.227226680971697</v>
      </c>
      <c r="AN3192">
        <v>1.00000006003227</v>
      </c>
    </row>
    <row r="3193" spans="1:40" x14ac:dyDescent="0.25">
      <c r="A3193" t="str">
        <f>"20190303154830323"</f>
        <v>20190303154830323</v>
      </c>
      <c r="B3193" t="str">
        <f>"1551599310313926"</f>
        <v>1551599310313926</v>
      </c>
      <c r="C3193" t="s">
        <v>40</v>
      </c>
      <c r="D3193">
        <v>5.5446179999999998</v>
      </c>
      <c r="E3193">
        <v>0.48215590000000003</v>
      </c>
      <c r="F3193" t="s">
        <v>52</v>
      </c>
      <c r="G3193">
        <v>-464.31869999999998</v>
      </c>
      <c r="H3193" s="1">
        <v>7.5952369999999999E-7</v>
      </c>
      <c r="I3193">
        <v>214.65899999999999</v>
      </c>
      <c r="J3193">
        <v>-475.58690000000001</v>
      </c>
      <c r="K3193">
        <v>1.1257820000000001</v>
      </c>
      <c r="L3193">
        <v>214.27029999999999</v>
      </c>
      <c r="M3193">
        <v>0.99801240000000002</v>
      </c>
      <c r="N3193">
        <v>-1.2783900000000001E-2</v>
      </c>
      <c r="O3193">
        <v>-6.1708930000000002E-2</v>
      </c>
      <c r="P3193">
        <v>0.99647490000000005</v>
      </c>
      <c r="Q3193">
        <v>-8.3119209999999999E-2</v>
      </c>
      <c r="R3193">
        <v>-1.1353459999999999E-2</v>
      </c>
      <c r="S3193">
        <v>2.9876710000000002</v>
      </c>
      <c r="T3193">
        <v>-0.2930006</v>
      </c>
      <c r="U3193">
        <v>0.100296</v>
      </c>
      <c r="V3193">
        <v>-4.931249E-2</v>
      </c>
      <c r="W3193">
        <v>-7.0988179999999998E-2</v>
      </c>
      <c r="X3193">
        <v>0.99625750000000002</v>
      </c>
      <c r="Y3193">
        <v>-9.4430829999999993E-2</v>
      </c>
      <c r="Z3193">
        <v>1.047053E-2</v>
      </c>
      <c r="AA3193">
        <v>0.99547640000000004</v>
      </c>
      <c r="AB3193">
        <v>20</v>
      </c>
      <c r="AC3193">
        <v>11.2682</v>
      </c>
      <c r="AD3193">
        <v>-1.1257812404762999</v>
      </c>
      <c r="AE3193">
        <v>0.38870000000002802</v>
      </c>
      <c r="AF3193">
        <v>-1.0726702130501899</v>
      </c>
      <c r="AG3193">
        <v>-1.1257812404762999</v>
      </c>
      <c r="AH3193">
        <v>11.111950296329301</v>
      </c>
      <c r="AI3193">
        <v>95.758461519184095</v>
      </c>
      <c r="AJ3193">
        <v>95.513850293617907</v>
      </c>
      <c r="AK3193">
        <v>11.2202247827513</v>
      </c>
      <c r="AL3193">
        <v>94.070746869605998</v>
      </c>
      <c r="AM3193">
        <v>92.833698625123503</v>
      </c>
      <c r="AN3193">
        <v>1.0000000248379799</v>
      </c>
    </row>
    <row r="3194" spans="1:40" x14ac:dyDescent="0.25">
      <c r="A3194" t="str">
        <f>"20190303154830344"</f>
        <v>20190303154830344</v>
      </c>
      <c r="B3194" t="str">
        <f>"1551599310333446"</f>
        <v>1551599310333446</v>
      </c>
      <c r="C3194" t="s">
        <v>40</v>
      </c>
      <c r="D3194">
        <v>5.538424</v>
      </c>
      <c r="E3194">
        <v>0.48238389999999998</v>
      </c>
      <c r="F3194" t="s">
        <v>52</v>
      </c>
      <c r="G3194">
        <v>-463.97890000000001</v>
      </c>
      <c r="H3194" s="1">
        <v>5.7717939999999998E-7</v>
      </c>
      <c r="I3194">
        <v>214.6935</v>
      </c>
      <c r="J3194">
        <v>-475.39640000000003</v>
      </c>
      <c r="K3194">
        <v>1.125575</v>
      </c>
      <c r="L3194">
        <v>214.2689</v>
      </c>
      <c r="M3194">
        <v>0.99849860000000001</v>
      </c>
      <c r="N3194">
        <v>-1.3042710000000001E-2</v>
      </c>
      <c r="O3194">
        <v>-5.3204029999999999E-2</v>
      </c>
      <c r="P3194">
        <v>0.99664470000000005</v>
      </c>
      <c r="Q3194">
        <v>-8.1501450000000003E-2</v>
      </c>
      <c r="R3194">
        <v>-7.5373419999999998E-3</v>
      </c>
      <c r="S3194">
        <v>2.9876399999999999</v>
      </c>
      <c r="T3194">
        <v>-0.28975000000000001</v>
      </c>
      <c r="U3194">
        <v>0.108902</v>
      </c>
      <c r="V3194">
        <v>-4.4713469999999998E-2</v>
      </c>
      <c r="W3194">
        <v>-6.9026799999999999E-2</v>
      </c>
      <c r="X3194">
        <v>0.99661230000000001</v>
      </c>
      <c r="Y3194">
        <v>-8.8888590000000003E-2</v>
      </c>
      <c r="Z3194">
        <v>9.3333849999999996E-3</v>
      </c>
      <c r="AA3194">
        <v>0.99599780000000004</v>
      </c>
      <c r="AB3194">
        <v>20</v>
      </c>
      <c r="AC3194">
        <v>11.4175</v>
      </c>
      <c r="AD3194">
        <v>-1.1255744228205999</v>
      </c>
      <c r="AE3194">
        <v>0.42459999999999798</v>
      </c>
      <c r="AF3194">
        <v>-1.0215923398429401</v>
      </c>
      <c r="AG3194">
        <v>-1.1255744228205999</v>
      </c>
      <c r="AH3194">
        <v>11.269362029216101</v>
      </c>
      <c r="AI3194">
        <v>95.680598001583306</v>
      </c>
      <c r="AJ3194">
        <v>95.179829841972605</v>
      </c>
      <c r="AK3194">
        <v>11.371415445566701</v>
      </c>
      <c r="AL3194">
        <v>93.958091614248502</v>
      </c>
      <c r="AM3194">
        <v>92.568878829217695</v>
      </c>
      <c r="AN3194">
        <v>1.00000003501448</v>
      </c>
    </row>
    <row r="3195" spans="1:40" x14ac:dyDescent="0.25">
      <c r="A3195" t="str">
        <f>"20190303154830369"</f>
        <v>20190303154830369</v>
      </c>
      <c r="B3195" t="str">
        <f>"1551599310363702"</f>
        <v>1551599310363702</v>
      </c>
      <c r="C3195" t="s">
        <v>40</v>
      </c>
      <c r="D3195">
        <v>5.5788799999999998</v>
      </c>
      <c r="E3195">
        <v>0.48692400000000002</v>
      </c>
      <c r="F3195" t="s">
        <v>52</v>
      </c>
      <c r="G3195">
        <v>-463.57990000000001</v>
      </c>
      <c r="H3195" s="1">
        <v>3.6298300000000002E-7</v>
      </c>
      <c r="I3195">
        <v>214.7372</v>
      </c>
      <c r="J3195">
        <v>-475.17540000000002</v>
      </c>
      <c r="K3195">
        <v>1.1253379999999999</v>
      </c>
      <c r="L3195">
        <v>214.2687</v>
      </c>
      <c r="M3195">
        <v>0.99895630000000002</v>
      </c>
      <c r="N3195">
        <v>-1.3294540000000001E-2</v>
      </c>
      <c r="O3195">
        <v>-4.3697809999999997E-2</v>
      </c>
      <c r="P3195">
        <v>0.99670420000000004</v>
      </c>
      <c r="Q3195">
        <v>-8.1116380000000002E-2</v>
      </c>
      <c r="R3195">
        <v>-1.1394980000000001E-3</v>
      </c>
      <c r="S3195">
        <v>2.9877319999999998</v>
      </c>
      <c r="T3195">
        <v>-0.28459489999999998</v>
      </c>
      <c r="U3195">
        <v>0.1184235</v>
      </c>
      <c r="V3195">
        <v>-4.1680990000000001E-2</v>
      </c>
      <c r="W3195">
        <v>-6.8326230000000002E-2</v>
      </c>
      <c r="X3195">
        <v>0.99679200000000001</v>
      </c>
      <c r="Y3195">
        <v>-8.2662669999999994E-2</v>
      </c>
      <c r="Z3195">
        <v>8.0493800000000001E-3</v>
      </c>
      <c r="AA3195">
        <v>0.99654509999999996</v>
      </c>
      <c r="AB3195">
        <v>20</v>
      </c>
      <c r="AC3195">
        <v>11.595499999999999</v>
      </c>
      <c r="AD3195">
        <v>-1.1253376370169901</v>
      </c>
      <c r="AE3195">
        <v>0.46850000000000502</v>
      </c>
      <c r="AF3195">
        <v>-0.96571430347816101</v>
      </c>
      <c r="AG3195">
        <v>-1.1253376370169901</v>
      </c>
      <c r="AH3195">
        <v>11.456221913095099</v>
      </c>
      <c r="AI3195">
        <v>95.590430438776593</v>
      </c>
      <c r="AJ3195">
        <v>94.8184167405404</v>
      </c>
      <c r="AK3195">
        <v>11.551796805489101</v>
      </c>
      <c r="AL3195">
        <v>93.9178569159386</v>
      </c>
      <c r="AM3195">
        <v>92.394435726502095</v>
      </c>
      <c r="AN3195">
        <v>1.0000000349486899</v>
      </c>
    </row>
    <row r="3196" spans="1:40" x14ac:dyDescent="0.25">
      <c r="A3196" t="str">
        <f>"20190303154830391"</f>
        <v>20190303154830391</v>
      </c>
      <c r="B3196" t="str">
        <f>"1551599310384198"</f>
        <v>1551599310384198</v>
      </c>
      <c r="C3196" t="s">
        <v>40</v>
      </c>
      <c r="D3196">
        <v>5.5397790000000002</v>
      </c>
      <c r="E3196">
        <v>0.48716389999999998</v>
      </c>
      <c r="F3196" t="s">
        <v>52</v>
      </c>
      <c r="G3196">
        <v>-464.298</v>
      </c>
      <c r="H3196" s="1">
        <v>7.4938699999999898E-7</v>
      </c>
      <c r="I3196">
        <v>214.63990000000001</v>
      </c>
      <c r="J3196">
        <v>-474.9794</v>
      </c>
      <c r="K3196">
        <v>1.125111</v>
      </c>
      <c r="L3196">
        <v>214.26990000000001</v>
      </c>
      <c r="M3196">
        <v>0.99927480000000002</v>
      </c>
      <c r="N3196">
        <v>-1.3481989999999999E-2</v>
      </c>
      <c r="O3196">
        <v>-3.5612980000000002E-2</v>
      </c>
      <c r="P3196">
        <v>0.99663650000000004</v>
      </c>
      <c r="Q3196">
        <v>-8.1804130000000003E-2</v>
      </c>
      <c r="R3196">
        <v>4.9252230000000003E-3</v>
      </c>
      <c r="S3196">
        <v>2.9848940000000002</v>
      </c>
      <c r="T3196">
        <v>-0.30880839999999998</v>
      </c>
      <c r="U3196">
        <v>0.10186770000000001</v>
      </c>
      <c r="V3196">
        <v>-3.9714270000000003E-2</v>
      </c>
      <c r="W3196">
        <v>-6.8782330000000003E-2</v>
      </c>
      <c r="X3196">
        <v>0.99684090000000003</v>
      </c>
      <c r="Y3196">
        <v>-6.9121219999999997E-2</v>
      </c>
      <c r="Z3196">
        <v>7.2271100000000001E-3</v>
      </c>
      <c r="AA3196">
        <v>0.99758210000000003</v>
      </c>
      <c r="AB3196">
        <v>20</v>
      </c>
      <c r="AC3196">
        <v>10.681399999999901</v>
      </c>
      <c r="AD3196">
        <v>-1.125110250613</v>
      </c>
      <c r="AE3196">
        <v>0.37000000000000399</v>
      </c>
      <c r="AF3196">
        <v>-0.74197382108391696</v>
      </c>
      <c r="AG3196">
        <v>-1.125110250613</v>
      </c>
      <c r="AH3196">
        <v>10.5445913168431</v>
      </c>
      <c r="AI3196">
        <v>96.075519718343898</v>
      </c>
      <c r="AJ3196">
        <v>94.025003148158603</v>
      </c>
      <c r="AK3196">
        <v>10.6303717840182</v>
      </c>
      <c r="AL3196">
        <v>93.944051259355206</v>
      </c>
      <c r="AM3196">
        <v>92.281464680459806</v>
      </c>
      <c r="AN3196">
        <v>1.00000000603733</v>
      </c>
    </row>
    <row r="3197" spans="1:40" x14ac:dyDescent="0.25">
      <c r="A3197" t="str">
        <f>"20190303154830412"</f>
        <v>20190303154830412</v>
      </c>
      <c r="B3197" t="str">
        <f>"1551599310403718"</f>
        <v>1551599310403718</v>
      </c>
      <c r="C3197" t="s">
        <v>40</v>
      </c>
      <c r="D3197">
        <v>5.5329199999999998</v>
      </c>
      <c r="E3197">
        <v>0.48826910000000001</v>
      </c>
      <c r="F3197" t="s">
        <v>52</v>
      </c>
      <c r="G3197">
        <v>-464.44029999999998</v>
      </c>
      <c r="H3197" s="1">
        <v>8.2299449999999995E-7</v>
      </c>
      <c r="I3197">
        <v>214.68790000000001</v>
      </c>
      <c r="J3197">
        <v>-474.78919999999999</v>
      </c>
      <c r="K3197">
        <v>1.1248739999999999</v>
      </c>
      <c r="L3197">
        <v>214.27199999999999</v>
      </c>
      <c r="M3197">
        <v>0.99951060000000003</v>
      </c>
      <c r="N3197">
        <v>-1.3633330000000001E-2</v>
      </c>
      <c r="O3197">
        <v>-2.8153830000000001E-2</v>
      </c>
      <c r="P3197">
        <v>0.99641590000000002</v>
      </c>
      <c r="Q3197">
        <v>-8.4031339999999996E-2</v>
      </c>
      <c r="R3197">
        <v>9.7177340000000004E-3</v>
      </c>
      <c r="S3197">
        <v>2.9833980000000002</v>
      </c>
      <c r="T3197">
        <v>-0.31849620000000001</v>
      </c>
      <c r="U3197">
        <v>0.1183319</v>
      </c>
      <c r="V3197">
        <v>-3.7085029999999998E-2</v>
      </c>
      <c r="W3197">
        <v>-7.081084E-2</v>
      </c>
      <c r="X3197">
        <v>0.99680009999999997</v>
      </c>
      <c r="Y3197">
        <v>-6.719899E-2</v>
      </c>
      <c r="Z3197">
        <v>6.6484309999999998E-3</v>
      </c>
      <c r="AA3197">
        <v>0.99771739999999998</v>
      </c>
      <c r="AB3197">
        <v>20</v>
      </c>
      <c r="AC3197">
        <v>10.3489</v>
      </c>
      <c r="AD3197">
        <v>-1.1248731770054901</v>
      </c>
      <c r="AE3197">
        <v>0.415899999999993</v>
      </c>
      <c r="AF3197">
        <v>-0.69887970314753201</v>
      </c>
      <c r="AG3197">
        <v>-1.1248731770054901</v>
      </c>
      <c r="AH3197">
        <v>10.212623266311301</v>
      </c>
      <c r="AI3197">
        <v>96.270978621548394</v>
      </c>
      <c r="AJ3197">
        <v>93.914814402905293</v>
      </c>
      <c r="AK3197">
        <v>10.298128300007701</v>
      </c>
      <c r="AL3197">
        <v>94.060560677869901</v>
      </c>
      <c r="AM3197">
        <v>92.130654045397705</v>
      </c>
      <c r="AN3197">
        <v>0.99999995693580701</v>
      </c>
    </row>
    <row r="3198" spans="1:40" x14ac:dyDescent="0.25">
      <c r="A3198" t="str">
        <f>"20190303154830434"</f>
        <v>20190303154830434</v>
      </c>
      <c r="B3198" t="str">
        <f>"1551599310424215"</f>
        <v>1551599310424215</v>
      </c>
      <c r="C3198" t="s">
        <v>40</v>
      </c>
      <c r="D3198">
        <v>5.504804</v>
      </c>
      <c r="E3198">
        <v>0.48897479999999899</v>
      </c>
      <c r="F3198" t="s">
        <v>52</v>
      </c>
      <c r="G3198">
        <v>-464.08760000000001</v>
      </c>
      <c r="H3198" s="1">
        <v>6.3408980000000005E-7</v>
      </c>
      <c r="I3198">
        <v>214.7159</v>
      </c>
      <c r="J3198">
        <v>-474.59429999999998</v>
      </c>
      <c r="K3198">
        <v>1.1246160000000001</v>
      </c>
      <c r="L3198">
        <v>214.27529999999999</v>
      </c>
      <c r="M3198">
        <v>0.99968619999999997</v>
      </c>
      <c r="N3198">
        <v>-1.375968E-2</v>
      </c>
      <c r="O3198">
        <v>-2.0936949999999999E-2</v>
      </c>
      <c r="P3198">
        <v>0.99619170000000001</v>
      </c>
      <c r="Q3198">
        <v>-8.6137320000000003E-2</v>
      </c>
      <c r="R3198">
        <v>1.3517670000000001E-2</v>
      </c>
      <c r="S3198">
        <v>2.9831850000000002</v>
      </c>
      <c r="T3198">
        <v>-0.31357000000000002</v>
      </c>
      <c r="U3198">
        <v>0.1237335</v>
      </c>
      <c r="V3198">
        <v>-3.3717320000000002E-2</v>
      </c>
      <c r="W3198">
        <v>-7.2736919999999997E-2</v>
      </c>
      <c r="X3198">
        <v>0.99678109999999998</v>
      </c>
      <c r="Y3198">
        <v>-6.1880980000000002E-2</v>
      </c>
      <c r="Z3198">
        <v>5.5757710000000002E-3</v>
      </c>
      <c r="AA3198">
        <v>0.99806799999999996</v>
      </c>
      <c r="AB3198">
        <v>20</v>
      </c>
      <c r="AC3198">
        <v>10.506699999999899</v>
      </c>
      <c r="AD3198">
        <v>-1.1246153659101901</v>
      </c>
      <c r="AE3198">
        <v>0.44060000000001698</v>
      </c>
      <c r="AF3198">
        <v>-0.65303371116406095</v>
      </c>
      <c r="AG3198">
        <v>-1.1246153659101901</v>
      </c>
      <c r="AH3198">
        <v>10.3764947623391</v>
      </c>
      <c r="AI3198">
        <v>96.173513240498195</v>
      </c>
      <c r="AJ3198">
        <v>93.601099960130796</v>
      </c>
      <c r="AK3198">
        <v>10.4576697357494</v>
      </c>
      <c r="AL3198">
        <v>94.171201963662099</v>
      </c>
      <c r="AM3198">
        <v>91.937359986791606</v>
      </c>
      <c r="AN3198">
        <v>1.0000000392581301</v>
      </c>
    </row>
    <row r="3199" spans="1:40" x14ac:dyDescent="0.25">
      <c r="A3199" t="str">
        <f>"20190303154830456"</f>
        <v>20190303154830456</v>
      </c>
      <c r="B3199" t="str">
        <f>"1551599310453494"</f>
        <v>1551599310453494</v>
      </c>
      <c r="C3199" t="s">
        <v>40</v>
      </c>
      <c r="D3199">
        <v>5.4799769999999999</v>
      </c>
      <c r="E3199">
        <v>0.49013859999999898</v>
      </c>
      <c r="F3199" t="s">
        <v>52</v>
      </c>
      <c r="G3199">
        <v>-463.90589999999997</v>
      </c>
      <c r="H3199" s="1">
        <v>5.3637059999999898E-7</v>
      </c>
      <c r="I3199">
        <v>214.73869999999999</v>
      </c>
      <c r="J3199">
        <v>-474.40370000000001</v>
      </c>
      <c r="K3199">
        <v>1.1243540000000001</v>
      </c>
      <c r="L3199">
        <v>214.27930000000001</v>
      </c>
      <c r="M3199">
        <v>0.99980159999999996</v>
      </c>
      <c r="N3199">
        <v>-1.3858219999999999E-2</v>
      </c>
      <c r="O3199">
        <v>-1.4310160000000001E-2</v>
      </c>
      <c r="P3199">
        <v>0.99603249999999999</v>
      </c>
      <c r="Q3199">
        <v>-8.7195659999999994E-2</v>
      </c>
      <c r="R3199">
        <v>1.7790029999999998E-2</v>
      </c>
      <c r="S3199">
        <v>2.9825439999999999</v>
      </c>
      <c r="T3199">
        <v>-0.3138167</v>
      </c>
      <c r="U3199">
        <v>0.12933349999999999</v>
      </c>
      <c r="V3199">
        <v>-3.1426519999999999E-2</v>
      </c>
      <c r="W3199">
        <v>-7.3654990000000004E-2</v>
      </c>
      <c r="X3199">
        <v>0.99678849999999997</v>
      </c>
      <c r="Y3199">
        <v>-5.7199970000000003E-2</v>
      </c>
      <c r="Z3199">
        <v>4.7005010000000002E-3</v>
      </c>
      <c r="AA3199">
        <v>0.99835169999999995</v>
      </c>
      <c r="AB3199">
        <v>20</v>
      </c>
      <c r="AC3199">
        <v>10.4978</v>
      </c>
      <c r="AD3199">
        <v>-1.1243534636293999</v>
      </c>
      <c r="AE3199">
        <v>0.45939999999998798</v>
      </c>
      <c r="AF3199">
        <v>-0.60269217800678498</v>
      </c>
      <c r="AG3199">
        <v>-1.1243534636293999</v>
      </c>
      <c r="AH3199">
        <v>10.3714050133919</v>
      </c>
      <c r="AI3199">
        <v>96.176874480785401</v>
      </c>
      <c r="AJ3199">
        <v>93.3257718522798</v>
      </c>
      <c r="AK3199">
        <v>10.449567001767001</v>
      </c>
      <c r="AL3199">
        <v>94.223945150308495</v>
      </c>
      <c r="AM3199">
        <v>91.805810074067494</v>
      </c>
      <c r="AN3199">
        <v>0.99999999872172995</v>
      </c>
    </row>
    <row r="3200" spans="1:40" x14ac:dyDescent="0.25">
      <c r="A3200" t="str">
        <f>"20190303154830477"</f>
        <v>20190303154830477</v>
      </c>
      <c r="B3200" t="str">
        <f>"1551599310473990"</f>
        <v>1551599310473990</v>
      </c>
      <c r="C3200" t="s">
        <v>40</v>
      </c>
      <c r="D3200">
        <v>5.4294669999999998</v>
      </c>
      <c r="E3200">
        <v>0.49084800000000001</v>
      </c>
      <c r="F3200" t="s">
        <v>52</v>
      </c>
      <c r="G3200">
        <v>-463.60180000000003</v>
      </c>
      <c r="H3200" s="1">
        <v>3.7364699999999998E-7</v>
      </c>
      <c r="I3200">
        <v>214.75989999999999</v>
      </c>
      <c r="J3200">
        <v>-474.2133</v>
      </c>
      <c r="K3200">
        <v>1.12409</v>
      </c>
      <c r="L3200">
        <v>214.2841</v>
      </c>
      <c r="M3200">
        <v>0.99987020000000004</v>
      </c>
      <c r="N3200">
        <v>-1.3936530000000001E-2</v>
      </c>
      <c r="O3200">
        <v>-8.1093910000000005E-3</v>
      </c>
      <c r="P3200">
        <v>0.99592170000000002</v>
      </c>
      <c r="Q3200">
        <v>-8.7395710000000001E-2</v>
      </c>
      <c r="R3200">
        <v>2.2417449999999998E-2</v>
      </c>
      <c r="S3200">
        <v>2.982361</v>
      </c>
      <c r="T3200">
        <v>-0.31042900000000001</v>
      </c>
      <c r="U3200">
        <v>0.13269039999999999</v>
      </c>
      <c r="V3200">
        <v>-2.992765E-2</v>
      </c>
      <c r="W3200">
        <v>-7.37429E-2</v>
      </c>
      <c r="X3200">
        <v>0.99682809999999999</v>
      </c>
      <c r="Y3200">
        <v>-5.219625E-2</v>
      </c>
      <c r="Z3200">
        <v>3.8016259999999998E-3</v>
      </c>
      <c r="AA3200">
        <v>0.99862960000000001</v>
      </c>
      <c r="AB3200">
        <v>20</v>
      </c>
      <c r="AC3200">
        <v>10.6114999999999</v>
      </c>
      <c r="AD3200">
        <v>-1.124089626353</v>
      </c>
      <c r="AE3200">
        <v>0.47579999999999201</v>
      </c>
      <c r="AF3200">
        <v>-0.55562311732354097</v>
      </c>
      <c r="AG3200">
        <v>-1.124089626353</v>
      </c>
      <c r="AH3200">
        <v>10.489817578654501</v>
      </c>
      <c r="AI3200">
        <v>96.107981416502895</v>
      </c>
      <c r="AJ3200">
        <v>93.032001034252204</v>
      </c>
      <c r="AK3200">
        <v>10.5644956041464</v>
      </c>
      <c r="AL3200">
        <v>94.228995877901099</v>
      </c>
      <c r="AM3200">
        <v>91.719667724901498</v>
      </c>
      <c r="AN3200">
        <v>0.99999997024227005</v>
      </c>
    </row>
    <row r="3201" spans="1:40" x14ac:dyDescent="0.25">
      <c r="A3201" t="str">
        <f>"20190303154830501"</f>
        <v>20190303154830501</v>
      </c>
      <c r="B3201" t="str">
        <f>"1551599310493511"</f>
        <v>1551599310493511</v>
      </c>
      <c r="C3201" t="s">
        <v>40</v>
      </c>
      <c r="D3201">
        <v>5.402425</v>
      </c>
      <c r="E3201">
        <v>0.49161339999999998</v>
      </c>
      <c r="F3201" t="s">
        <v>52</v>
      </c>
      <c r="G3201">
        <v>-463.233</v>
      </c>
      <c r="H3201" s="1">
        <v>1.754628E-7</v>
      </c>
      <c r="I3201">
        <v>214.80340000000001</v>
      </c>
      <c r="J3201">
        <v>-474.0095</v>
      </c>
      <c r="K3201">
        <v>1.1238090000000001</v>
      </c>
      <c r="L3201">
        <v>214.28989999999999</v>
      </c>
      <c r="M3201">
        <v>0.99990009999999996</v>
      </c>
      <c r="N3201">
        <v>-1.400386E-2</v>
      </c>
      <c r="O3201">
        <v>-1.9276600000000001E-3</v>
      </c>
      <c r="P3201">
        <v>0.99581310000000001</v>
      </c>
      <c r="Q3201">
        <v>-8.7389930000000005E-2</v>
      </c>
      <c r="R3201">
        <v>2.682555E-2</v>
      </c>
      <c r="S3201">
        <v>2.9823</v>
      </c>
      <c r="T3201">
        <v>-0.30530669999999999</v>
      </c>
      <c r="U3201">
        <v>0.141037</v>
      </c>
      <c r="V3201">
        <v>-2.823378E-2</v>
      </c>
      <c r="W3201">
        <v>-7.3635249999999999E-2</v>
      </c>
      <c r="X3201">
        <v>0.99688549999999998</v>
      </c>
      <c r="Y3201">
        <v>-4.8866720000000002E-2</v>
      </c>
      <c r="Z3201">
        <v>3.0065920000000002E-3</v>
      </c>
      <c r="AA3201">
        <v>0.99880080000000004</v>
      </c>
      <c r="AB3201">
        <v>20</v>
      </c>
      <c r="AC3201">
        <v>10.7765</v>
      </c>
      <c r="AD3201">
        <v>-1.1238088245372</v>
      </c>
      <c r="AE3201">
        <v>0.51350000000002105</v>
      </c>
      <c r="AF3201">
        <v>-0.52853966099347904</v>
      </c>
      <c r="AG3201">
        <v>-1.1238088245372</v>
      </c>
      <c r="AH3201">
        <v>10.6598269820099</v>
      </c>
      <c r="AI3201">
        <v>96.0108289350257</v>
      </c>
      <c r="AJ3201">
        <v>92.838536906462906</v>
      </c>
      <c r="AK3201">
        <v>10.7319248848348</v>
      </c>
      <c r="AL3201">
        <v>94.222811054013604</v>
      </c>
      <c r="AM3201">
        <v>91.622296753332705</v>
      </c>
      <c r="AN3201">
        <v>0.99999999824295005</v>
      </c>
    </row>
    <row r="3202" spans="1:40" x14ac:dyDescent="0.25">
      <c r="A3202" t="str">
        <f>"20190303154830523"</f>
        <v>20190303154830523</v>
      </c>
      <c r="B3202" t="str">
        <f>"1551599310514006"</f>
        <v>1551599310514006</v>
      </c>
      <c r="C3202" t="s">
        <v>40</v>
      </c>
      <c r="D3202">
        <v>5.4174379999999998</v>
      </c>
      <c r="E3202">
        <v>0.49232860000000001</v>
      </c>
      <c r="F3202" t="s">
        <v>52</v>
      </c>
      <c r="G3202">
        <v>-462.85660000000001</v>
      </c>
      <c r="H3202" s="1">
        <v>-2.6587920000000001E-8</v>
      </c>
      <c r="I3202">
        <v>214.8432</v>
      </c>
      <c r="J3202">
        <v>-473.80599999999998</v>
      </c>
      <c r="K3202">
        <v>1.1235539999999999</v>
      </c>
      <c r="L3202">
        <v>214.29660000000001</v>
      </c>
      <c r="M3202">
        <v>0.99989430000000001</v>
      </c>
      <c r="N3202">
        <v>-1.405522E-2</v>
      </c>
      <c r="O3202">
        <v>3.7182159999999999E-3</v>
      </c>
      <c r="P3202">
        <v>0.99586850000000005</v>
      </c>
      <c r="Q3202">
        <v>-8.6068660000000005E-2</v>
      </c>
      <c r="R3202">
        <v>2.8951310000000001E-2</v>
      </c>
      <c r="S3202">
        <v>2.9823</v>
      </c>
      <c r="T3202">
        <v>-0.30050650000000001</v>
      </c>
      <c r="U3202">
        <v>0.1479492</v>
      </c>
      <c r="V3202">
        <v>-2.4794170000000001E-2</v>
      </c>
      <c r="W3202">
        <v>-7.2218889999999994E-2</v>
      </c>
      <c r="X3202">
        <v>0.99708059999999998</v>
      </c>
      <c r="Y3202">
        <v>-4.5585100000000003E-2</v>
      </c>
      <c r="Z3202">
        <v>2.2895860000000001E-3</v>
      </c>
      <c r="AA3202">
        <v>0.99895780000000001</v>
      </c>
      <c r="AB3202">
        <v>20</v>
      </c>
      <c r="AC3202">
        <v>10.949399999999899</v>
      </c>
      <c r="AD3202">
        <v>-1.12355402658792</v>
      </c>
      <c r="AE3202">
        <v>0.54659999999998299</v>
      </c>
      <c r="AF3202">
        <v>-0.500621776777462</v>
      </c>
      <c r="AG3202">
        <v>-1.12355402658792</v>
      </c>
      <c r="AH3202">
        <v>10.8375269291026</v>
      </c>
      <c r="AI3202">
        <v>95.912594462178404</v>
      </c>
      <c r="AJ3202">
        <v>92.644804421607404</v>
      </c>
      <c r="AK3202">
        <v>10.907107121188</v>
      </c>
      <c r="AL3202">
        <v>94.141442841774406</v>
      </c>
      <c r="AM3202">
        <v>91.424467183143307</v>
      </c>
      <c r="AN3202">
        <v>1.0000000209175901</v>
      </c>
    </row>
    <row r="3203" spans="1:40" x14ac:dyDescent="0.25">
      <c r="A3203" t="str">
        <f>"20190303154830545"</f>
        <v>20190303154830545</v>
      </c>
      <c r="B3203" t="str">
        <f>"1551599310533526"</f>
        <v>1551599310533526</v>
      </c>
      <c r="C3203" t="s">
        <v>40</v>
      </c>
      <c r="D3203">
        <v>5.4419219999999999</v>
      </c>
      <c r="E3203">
        <v>0.49308249999999998</v>
      </c>
      <c r="F3203" t="s">
        <v>52</v>
      </c>
      <c r="G3203">
        <v>-462.33589999999998</v>
      </c>
      <c r="H3203" s="1">
        <v>-3.0469769999999999E-7</v>
      </c>
      <c r="I3203">
        <v>214.86750000000001</v>
      </c>
      <c r="J3203">
        <v>-473.62270000000001</v>
      </c>
      <c r="K3203">
        <v>1.123372</v>
      </c>
      <c r="L3203">
        <v>214.303</v>
      </c>
      <c r="M3203">
        <v>0.99986489999999995</v>
      </c>
      <c r="N3203">
        <v>-1.4093120000000001E-2</v>
      </c>
      <c r="O3203">
        <v>8.4769649999999995E-3</v>
      </c>
      <c r="P3203">
        <v>0.99604910000000002</v>
      </c>
      <c r="Q3203">
        <v>-8.4053370000000002E-2</v>
      </c>
      <c r="R3203">
        <v>2.8664579999999999E-2</v>
      </c>
      <c r="S3203">
        <v>2.9828800000000002</v>
      </c>
      <c r="T3203">
        <v>-0.29218840000000001</v>
      </c>
      <c r="U3203">
        <v>0.14848329999999901</v>
      </c>
      <c r="V3203">
        <v>-1.9813709999999998E-2</v>
      </c>
      <c r="W3203">
        <v>-7.0120539999999995E-2</v>
      </c>
      <c r="X3203">
        <v>0.99734179999999995</v>
      </c>
      <c r="Y3203">
        <v>-4.1053109999999997E-2</v>
      </c>
      <c r="Z3203">
        <v>1.586257E-3</v>
      </c>
      <c r="AA3203">
        <v>0.99915569999999998</v>
      </c>
      <c r="AB3203">
        <v>20</v>
      </c>
      <c r="AC3203">
        <v>11.286799999999999</v>
      </c>
      <c r="AD3203">
        <v>-1.1233723046977</v>
      </c>
      <c r="AE3203">
        <v>0.56450000000000899</v>
      </c>
      <c r="AF3203">
        <v>-0.46420539254500698</v>
      </c>
      <c r="AG3203">
        <v>-1.1233723046977</v>
      </c>
      <c r="AH3203">
        <v>11.180698567246599</v>
      </c>
      <c r="AI3203">
        <v>95.732589563629702</v>
      </c>
      <c r="AJ3203">
        <v>92.377467110811395</v>
      </c>
      <c r="AK3203">
        <v>11.2465760315333</v>
      </c>
      <c r="AL3203">
        <v>94.020910383450499</v>
      </c>
      <c r="AM3203">
        <v>91.1381179881935</v>
      </c>
      <c r="AN3203">
        <v>1.00000006963054</v>
      </c>
    </row>
    <row r="3204" spans="1:40" x14ac:dyDescent="0.25">
      <c r="A3204" t="str">
        <f>"20190303154830569"</f>
        <v>20190303154830569</v>
      </c>
      <c r="B3204" t="str">
        <f>"1551599310563782"</f>
        <v>1551599310563782</v>
      </c>
      <c r="C3204" t="s">
        <v>40</v>
      </c>
      <c r="D3204">
        <v>5.41934</v>
      </c>
      <c r="E3204">
        <v>0.49401240000000002</v>
      </c>
      <c r="F3204" t="s">
        <v>52</v>
      </c>
      <c r="G3204">
        <v>-461.80239999999998</v>
      </c>
      <c r="H3204" s="1">
        <v>-5.8847269999999897E-7</v>
      </c>
      <c r="I3204">
        <v>214.864</v>
      </c>
      <c r="J3204">
        <v>-473.4058</v>
      </c>
      <c r="K3204">
        <v>1.123197</v>
      </c>
      <c r="L3204">
        <v>214.31129999999999</v>
      </c>
      <c r="M3204">
        <v>0.99980650000000004</v>
      </c>
      <c r="N3204">
        <v>-1.412859E-2</v>
      </c>
      <c r="O3204">
        <v>1.3699970000000001E-2</v>
      </c>
      <c r="P3204">
        <v>0.99621420000000005</v>
      </c>
      <c r="Q3204">
        <v>-8.1953999999999999E-2</v>
      </c>
      <c r="R3204">
        <v>2.900347E-2</v>
      </c>
      <c r="S3204">
        <v>2.9838870000000002</v>
      </c>
      <c r="T3204">
        <v>-0.28358100000000003</v>
      </c>
      <c r="U3204">
        <v>0.14163210000000001</v>
      </c>
      <c r="V3204">
        <v>-1.4990150000000001E-2</v>
      </c>
      <c r="W3204">
        <v>-6.7947099999999996E-2</v>
      </c>
      <c r="X3204">
        <v>0.99757629999999997</v>
      </c>
      <c r="Y3204">
        <v>-3.359289E-2</v>
      </c>
      <c r="Z3204">
        <v>7.2477199999999896E-4</v>
      </c>
      <c r="AA3204">
        <v>0.99943539999999997</v>
      </c>
      <c r="AB3204">
        <v>20</v>
      </c>
      <c r="AC3204">
        <v>11.603400000000001</v>
      </c>
      <c r="AD3204">
        <v>-1.1231975884726999</v>
      </c>
      <c r="AE3204">
        <v>0.55270000000001496</v>
      </c>
      <c r="AF3204">
        <v>-0.390019814760733</v>
      </c>
      <c r="AG3204">
        <v>-1.1231975884726999</v>
      </c>
      <c r="AH3204">
        <v>11.5023499559684</v>
      </c>
      <c r="AI3204">
        <v>95.574033183638704</v>
      </c>
      <c r="AJ3204">
        <v>91.942031938912507</v>
      </c>
      <c r="AK3204">
        <v>11.563638821245799</v>
      </c>
      <c r="AL3204">
        <v>93.896083927935194</v>
      </c>
      <c r="AM3204">
        <v>90.860894243574293</v>
      </c>
      <c r="AN3204">
        <v>0.99999999365856096</v>
      </c>
    </row>
    <row r="3205" spans="1:40" x14ac:dyDescent="0.25">
      <c r="A3205" t="str">
        <f>"20190303154830592"</f>
        <v>20190303154830592</v>
      </c>
      <c r="B3205" t="str">
        <f>"1551599310584279"</f>
        <v>1551599310584279</v>
      </c>
      <c r="C3205" t="s">
        <v>40</v>
      </c>
      <c r="D3205">
        <v>5.4095309999999897</v>
      </c>
      <c r="E3205">
        <v>0.49466739999999998</v>
      </c>
      <c r="F3205" t="s">
        <v>52</v>
      </c>
      <c r="G3205">
        <v>-461.18549999999999</v>
      </c>
      <c r="H3205" s="1">
        <v>-9.1677220000000001E-7</v>
      </c>
      <c r="I3205">
        <v>214.8646</v>
      </c>
      <c r="J3205">
        <v>-473.21089999999998</v>
      </c>
      <c r="K3205">
        <v>1.1230530000000001</v>
      </c>
      <c r="L3205">
        <v>214.3193</v>
      </c>
      <c r="M3205">
        <v>0.99973749999999995</v>
      </c>
      <c r="N3205">
        <v>-1.4153300000000001E-2</v>
      </c>
      <c r="O3205">
        <v>1.8024439999999999E-2</v>
      </c>
      <c r="P3205">
        <v>0.99631789999999998</v>
      </c>
      <c r="Q3205">
        <v>-8.062395E-2</v>
      </c>
      <c r="R3205">
        <v>2.9169469999999999E-2</v>
      </c>
      <c r="S3205">
        <v>2.9848629999999998</v>
      </c>
      <c r="T3205">
        <v>-0.27434720000000001</v>
      </c>
      <c r="U3205">
        <v>0.13514709999999999</v>
      </c>
      <c r="V3205">
        <v>-1.0877360000000001E-2</v>
      </c>
      <c r="W3205">
        <v>-6.6563860000000002E-2</v>
      </c>
      <c r="X3205">
        <v>0.99772289999999997</v>
      </c>
      <c r="Y3205">
        <v>-2.713842E-2</v>
      </c>
      <c r="Z3205" s="1">
        <v>3.9005070000000002E-5</v>
      </c>
      <c r="AA3205">
        <v>0.99963170000000001</v>
      </c>
      <c r="AB3205">
        <v>20</v>
      </c>
      <c r="AC3205">
        <v>12.0253999999999</v>
      </c>
      <c r="AD3205">
        <v>-1.1230539167722</v>
      </c>
      <c r="AE3205">
        <v>0.54529999999999701</v>
      </c>
      <c r="AF3205">
        <v>-0.32560460688106502</v>
      </c>
      <c r="AG3205">
        <v>-1.1230539167722</v>
      </c>
      <c r="AH3205">
        <v>11.9294439814642</v>
      </c>
      <c r="AI3205">
        <v>95.376060966963905</v>
      </c>
      <c r="AJ3205">
        <v>91.563454187787897</v>
      </c>
      <c r="AK3205">
        <v>11.9866134569733</v>
      </c>
      <c r="AL3205">
        <v>93.816650133133805</v>
      </c>
      <c r="AM3205">
        <v>90.624624462611393</v>
      </c>
      <c r="AN3205">
        <v>1.0000000248015299</v>
      </c>
    </row>
    <row r="3206" spans="1:40" x14ac:dyDescent="0.25">
      <c r="A3206" t="str">
        <f>"20190303154830615"</f>
        <v>20190303154830615</v>
      </c>
      <c r="B3206" t="str">
        <f>"1551599310603798"</f>
        <v>1551599310603798</v>
      </c>
      <c r="C3206" t="s">
        <v>40</v>
      </c>
      <c r="D3206">
        <v>5.4017819999999999</v>
      </c>
      <c r="E3206">
        <v>0.4952279</v>
      </c>
      <c r="F3206" t="s">
        <v>52</v>
      </c>
      <c r="G3206">
        <v>-460.75420000000003</v>
      </c>
      <c r="H3206" s="1">
        <v>-1.146225E-6</v>
      </c>
      <c r="I3206">
        <v>214.86250000000001</v>
      </c>
      <c r="J3206">
        <v>-472.99919999999997</v>
      </c>
      <c r="K3206">
        <v>1.12287</v>
      </c>
      <c r="L3206">
        <v>214.32859999999999</v>
      </c>
      <c r="M3206">
        <v>0.99965040000000005</v>
      </c>
      <c r="N3206">
        <v>-1.417294E-2</v>
      </c>
      <c r="O3206">
        <v>2.2322769999999999E-2</v>
      </c>
      <c r="P3206">
        <v>0.99623110000000004</v>
      </c>
      <c r="Q3206">
        <v>-8.1289100000000003E-2</v>
      </c>
      <c r="R3206">
        <v>3.0261699999999999E-2</v>
      </c>
      <c r="S3206">
        <v>2.9855040000000002</v>
      </c>
      <c r="T3206">
        <v>-0.26916109999999999</v>
      </c>
      <c r="U3206">
        <v>0.130172699999999</v>
      </c>
      <c r="V3206">
        <v>-7.7146659999999898E-3</v>
      </c>
      <c r="W3206">
        <v>-6.7190330000000006E-2</v>
      </c>
      <c r="X3206">
        <v>0.99771030000000005</v>
      </c>
      <c r="Y3206">
        <v>-2.121025E-2</v>
      </c>
      <c r="Z3206">
        <v>-5.8691089999999895E-4</v>
      </c>
      <c r="AA3206">
        <v>0.99977490000000002</v>
      </c>
      <c r="AB3206">
        <v>20</v>
      </c>
      <c r="AC3206">
        <v>12.2449999999999</v>
      </c>
      <c r="AD3206">
        <v>-1.1228711462250001</v>
      </c>
      <c r="AE3206">
        <v>0.53390000000001603</v>
      </c>
      <c r="AF3206">
        <v>-0.25822984733931498</v>
      </c>
      <c r="AG3206">
        <v>-1.1228711462250001</v>
      </c>
      <c r="AH3206">
        <v>12.15187670493</v>
      </c>
      <c r="AI3206">
        <v>95.278131641653999</v>
      </c>
      <c r="AJ3206">
        <v>91.217363728144505</v>
      </c>
      <c r="AK3206">
        <v>12.2063766006503</v>
      </c>
      <c r="AL3206">
        <v>93.852625049142802</v>
      </c>
      <c r="AM3206">
        <v>90.443023383761101</v>
      </c>
      <c r="AN3206">
        <v>0.99999994962154404</v>
      </c>
    </row>
    <row r="3207" spans="1:40" x14ac:dyDescent="0.25">
      <c r="A3207" t="str">
        <f>"20190303154830635"</f>
        <v>20190303154830635</v>
      </c>
      <c r="B3207" t="str">
        <f>"1551599310623319"</f>
        <v>1551599310623319</v>
      </c>
      <c r="C3207" t="s">
        <v>40</v>
      </c>
      <c r="D3207">
        <v>5.4020219999999997</v>
      </c>
      <c r="E3207">
        <v>0.50347439999999999</v>
      </c>
      <c r="F3207" t="s">
        <v>52</v>
      </c>
      <c r="G3207">
        <v>-460.59469999999999</v>
      </c>
      <c r="H3207" s="1">
        <v>-1.2311989999999999E-6</v>
      </c>
      <c r="I3207">
        <v>214.86519999999999</v>
      </c>
      <c r="J3207">
        <v>-472.83069999999998</v>
      </c>
      <c r="K3207">
        <v>1.1226910000000001</v>
      </c>
      <c r="L3207">
        <v>214.33619999999999</v>
      </c>
      <c r="M3207">
        <v>0.99957609999999997</v>
      </c>
      <c r="N3207">
        <v>-1.4183640000000001E-2</v>
      </c>
      <c r="O3207">
        <v>2.5432380000000001E-2</v>
      </c>
      <c r="P3207">
        <v>0.99599119999999997</v>
      </c>
      <c r="Q3207">
        <v>-8.3813349999999995E-2</v>
      </c>
      <c r="R3207">
        <v>3.1260700000000002E-2</v>
      </c>
      <c r="S3207">
        <v>2.9853519999999998</v>
      </c>
      <c r="T3207">
        <v>-0.270237</v>
      </c>
      <c r="U3207">
        <v>0.1291504</v>
      </c>
      <c r="V3207">
        <v>-5.6384790000000001E-3</v>
      </c>
      <c r="W3207">
        <v>-6.9694580000000006E-2</v>
      </c>
      <c r="X3207">
        <v>0.99755249999999995</v>
      </c>
      <c r="Y3207">
        <v>-1.7785559999999999E-2</v>
      </c>
      <c r="Z3207">
        <v>-1.006404E-3</v>
      </c>
      <c r="AA3207">
        <v>0.99984130000000004</v>
      </c>
      <c r="AB3207">
        <v>20</v>
      </c>
      <c r="AC3207">
        <v>12.235999999999899</v>
      </c>
      <c r="AD3207">
        <v>-1.122692231199</v>
      </c>
      <c r="AE3207">
        <v>0.52899999999999603</v>
      </c>
      <c r="AF3207">
        <v>-0.21579370302388501</v>
      </c>
      <c r="AG3207">
        <v>-1.122692231199</v>
      </c>
      <c r="AH3207">
        <v>12.143455696858201</v>
      </c>
      <c r="AI3207">
        <v>95.281290684905898</v>
      </c>
      <c r="AJ3207">
        <v>91.018060057788801</v>
      </c>
      <c r="AK3207">
        <v>12.1971521688391</v>
      </c>
      <c r="AL3207">
        <v>93.996444863272501</v>
      </c>
      <c r="AM3207">
        <v>90.323850232629397</v>
      </c>
      <c r="AN3207">
        <v>1.0000000585915201</v>
      </c>
    </row>
    <row r="3208" spans="1:40" x14ac:dyDescent="0.25">
      <c r="A3208" t="str">
        <f>"20190303154830659"</f>
        <v>20190303154830659</v>
      </c>
      <c r="B3208" t="str">
        <f>"1551599310653575"</f>
        <v>1551599310653575</v>
      </c>
      <c r="C3208" t="s">
        <v>40</v>
      </c>
      <c r="D3208">
        <v>5.4129759999999996</v>
      </c>
      <c r="E3208">
        <v>0.50416609999999995</v>
      </c>
      <c r="F3208" t="s">
        <v>52</v>
      </c>
      <c r="G3208">
        <v>-460.32600000000002</v>
      </c>
      <c r="H3208" s="1">
        <v>-1.3632050000000001E-6</v>
      </c>
      <c r="I3208">
        <v>214.61330000000001</v>
      </c>
      <c r="J3208">
        <v>-472.6234</v>
      </c>
      <c r="K3208">
        <v>1.1224590000000001</v>
      </c>
      <c r="L3208">
        <v>214.3459</v>
      </c>
      <c r="M3208">
        <v>0.99948099999999995</v>
      </c>
      <c r="N3208">
        <v>-1.419291E-2</v>
      </c>
      <c r="O3208">
        <v>2.8916520000000001E-2</v>
      </c>
      <c r="P3208">
        <v>0.99581679999999995</v>
      </c>
      <c r="Q3208">
        <v>-8.5267410000000002E-2</v>
      </c>
      <c r="R3208">
        <v>3.2835000000000003E-2</v>
      </c>
      <c r="S3208">
        <v>2.9874269999999998</v>
      </c>
      <c r="T3208">
        <v>-0.26821400000000001</v>
      </c>
      <c r="U3208">
        <v>6.6207890000000005E-2</v>
      </c>
      <c r="V3208">
        <v>-3.780594E-3</v>
      </c>
      <c r="W3208">
        <v>-7.1131E-2</v>
      </c>
      <c r="X3208">
        <v>0.99745980000000001</v>
      </c>
      <c r="Y3208">
        <v>6.651527E-3</v>
      </c>
      <c r="Z3208">
        <v>-2.525659E-3</v>
      </c>
      <c r="AA3208">
        <v>0.99997469999999999</v>
      </c>
      <c r="AB3208">
        <v>20</v>
      </c>
      <c r="AC3208">
        <v>12.2974</v>
      </c>
      <c r="AD3208">
        <v>-1.1224603632050001</v>
      </c>
      <c r="AE3208">
        <v>0.26740000000000902</v>
      </c>
      <c r="AF3208">
        <v>8.7616082465465706E-2</v>
      </c>
      <c r="AG3208">
        <v>-1.1224603632050001</v>
      </c>
      <c r="AH3208">
        <v>12.1984084243174</v>
      </c>
      <c r="AI3208">
        <v>95.257243221954994</v>
      </c>
      <c r="AJ3208">
        <v>89.588475377785301</v>
      </c>
      <c r="AK3208">
        <v>12.250255586367601</v>
      </c>
      <c r="AL3208">
        <v>94.078950764720005</v>
      </c>
      <c r="AM3208">
        <v>90.217162679632906</v>
      </c>
      <c r="AN3208">
        <v>0.99999998233401599</v>
      </c>
    </row>
    <row r="3209" spans="1:40" x14ac:dyDescent="0.25">
      <c r="A3209" t="str">
        <f>"20190303154830681"</f>
        <v>20190303154830681</v>
      </c>
      <c r="B3209" t="str">
        <f>"1551599310674071"</f>
        <v>1551599310674071</v>
      </c>
      <c r="C3209" t="s">
        <v>40</v>
      </c>
      <c r="D3209">
        <v>5.5591689999999998</v>
      </c>
      <c r="E3209">
        <v>0.50398329999999902</v>
      </c>
      <c r="F3209" t="s">
        <v>52</v>
      </c>
      <c r="G3209">
        <v>-460.5077</v>
      </c>
      <c r="H3209" s="1">
        <v>-1.2663649999999999E-6</v>
      </c>
      <c r="I3209">
        <v>214.61099999999999</v>
      </c>
      <c r="J3209">
        <v>-472.43079999999998</v>
      </c>
      <c r="K3209">
        <v>1.1222369999999999</v>
      </c>
      <c r="L3209">
        <v>214.35499999999999</v>
      </c>
      <c r="M3209">
        <v>0.99939350000000005</v>
      </c>
      <c r="N3209">
        <v>-1.419861E-2</v>
      </c>
      <c r="O3209">
        <v>3.1797619999999999E-2</v>
      </c>
      <c r="P3209">
        <v>0.99574660000000004</v>
      </c>
      <c r="Q3209">
        <v>-8.5768040000000004E-2</v>
      </c>
      <c r="R3209">
        <v>3.3661139999999999E-2</v>
      </c>
      <c r="S3209">
        <v>2.986755</v>
      </c>
      <c r="T3209">
        <v>-0.27671000000000001</v>
      </c>
      <c r="U3209">
        <v>6.5353389999999997E-2</v>
      </c>
      <c r="V3209">
        <v>-1.7748110000000001E-3</v>
      </c>
      <c r="W3209">
        <v>-7.1618470000000004E-2</v>
      </c>
      <c r="X3209">
        <v>0.9974305</v>
      </c>
      <c r="Y3209">
        <v>9.7826100000000006E-3</v>
      </c>
      <c r="Z3209">
        <v>-3.0096799999999998E-3</v>
      </c>
      <c r="AA3209">
        <v>0.99994760000000005</v>
      </c>
      <c r="AB3209">
        <v>20</v>
      </c>
      <c r="AC3209">
        <v>11.9230999999999</v>
      </c>
      <c r="AD3209">
        <v>-1.1222382663649999</v>
      </c>
      <c r="AE3209">
        <v>0.25600000000000001</v>
      </c>
      <c r="AF3209">
        <v>0.122211700001205</v>
      </c>
      <c r="AG3209">
        <v>-1.1222382663649999</v>
      </c>
      <c r="AH3209">
        <v>11.820539008943699</v>
      </c>
      <c r="AI3209">
        <v>95.423099561206101</v>
      </c>
      <c r="AJ3209">
        <v>89.407644175026206</v>
      </c>
      <c r="AK3209">
        <v>11.874320902185101</v>
      </c>
      <c r="AL3209">
        <v>94.106952169371198</v>
      </c>
      <c r="AM3209">
        <v>90.101951035596599</v>
      </c>
      <c r="AN3209">
        <v>0.99999997876473801</v>
      </c>
    </row>
    <row r="3210" spans="1:40" x14ac:dyDescent="0.25">
      <c r="A3210" t="str">
        <f>"20190303154830702"</f>
        <v>20190303154830702</v>
      </c>
      <c r="B3210" t="str">
        <f>"1551599310693591"</f>
        <v>1551599310693591</v>
      </c>
      <c r="C3210" t="s">
        <v>40</v>
      </c>
      <c r="D3210">
        <v>5.4072329999999997</v>
      </c>
      <c r="E3210">
        <v>0.50445870000000004</v>
      </c>
      <c r="F3210" t="s">
        <v>42</v>
      </c>
      <c r="G3210">
        <v>-471.53019999999998</v>
      </c>
      <c r="H3210">
        <v>1.0387139999999999</v>
      </c>
      <c r="I3210">
        <v>214.3758</v>
      </c>
      <c r="J3210">
        <v>-472.24369999999999</v>
      </c>
      <c r="K3210">
        <v>1.122053</v>
      </c>
      <c r="L3210">
        <v>214.364</v>
      </c>
      <c r="M3210">
        <v>0.99931219999999998</v>
      </c>
      <c r="N3210">
        <v>-1.4202569999999999E-2</v>
      </c>
      <c r="O3210">
        <v>3.4256580000000002E-2</v>
      </c>
      <c r="P3210">
        <v>0.99572780000000005</v>
      </c>
      <c r="Q3210">
        <v>-8.5965899999999998E-2</v>
      </c>
      <c r="R3210">
        <v>3.371217E-2</v>
      </c>
      <c r="S3210">
        <v>2.9866030000000001</v>
      </c>
      <c r="T3210">
        <v>-0.27707769999999998</v>
      </c>
      <c r="U3210">
        <v>6.9427489999999994E-2</v>
      </c>
      <c r="V3210">
        <v>5.9110529999999997E-4</v>
      </c>
      <c r="W3210">
        <v>-7.1806019999999998E-2</v>
      </c>
      <c r="X3210">
        <v>0.99741849999999999</v>
      </c>
      <c r="Y3210">
        <v>1.086522E-2</v>
      </c>
      <c r="Z3210">
        <v>-3.2645769999999998E-3</v>
      </c>
      <c r="AA3210">
        <v>0.99993560000000004</v>
      </c>
      <c r="AB3210">
        <v>20</v>
      </c>
      <c r="AC3210">
        <v>0.71350000000001002</v>
      </c>
      <c r="AD3210">
        <v>-8.3338999999999996E-2</v>
      </c>
      <c r="AE3210">
        <v>1.17999999999938E-2</v>
      </c>
      <c r="AF3210">
        <v>1.2481226965229301E-2</v>
      </c>
      <c r="AG3210">
        <v>-8.3338999999999996E-2</v>
      </c>
      <c r="AH3210">
        <v>0.703884961429871</v>
      </c>
      <c r="AI3210">
        <v>96.751254378946399</v>
      </c>
      <c r="AJ3210">
        <v>88.984142676886705</v>
      </c>
      <c r="AK3210">
        <v>0.70891128420606297</v>
      </c>
      <c r="AL3210">
        <v>94.117725400007302</v>
      </c>
      <c r="AM3210">
        <v>89.966044508926899</v>
      </c>
      <c r="AN3210">
        <v>1.0000000590279801</v>
      </c>
    </row>
    <row r="3211" spans="1:40" x14ac:dyDescent="0.25">
      <c r="A3211" t="str">
        <f>"20190303154830723"</f>
        <v>20190303154830723</v>
      </c>
      <c r="B3211" t="str">
        <f>"1551599310714086"</f>
        <v>1551599310714086</v>
      </c>
      <c r="C3211" t="s">
        <v>40</v>
      </c>
      <c r="D3211">
        <v>5.3377049999999997</v>
      </c>
      <c r="E3211">
        <v>0.5045887</v>
      </c>
      <c r="F3211" t="s">
        <v>42</v>
      </c>
      <c r="G3211">
        <v>-471.35610000000003</v>
      </c>
      <c r="H3211">
        <v>1.0390569999999999</v>
      </c>
      <c r="I3211">
        <v>214.38310000000001</v>
      </c>
      <c r="J3211">
        <v>-472.05349999999999</v>
      </c>
      <c r="K3211">
        <v>1.121918</v>
      </c>
      <c r="L3211">
        <v>214.3733</v>
      </c>
      <c r="M3211">
        <v>0.99923309999999999</v>
      </c>
      <c r="N3211">
        <v>-1.420504E-2</v>
      </c>
      <c r="O3211">
        <v>3.648829E-2</v>
      </c>
      <c r="P3211">
        <v>0.99566049999999995</v>
      </c>
      <c r="Q3211">
        <v>-8.6658730000000003E-2</v>
      </c>
      <c r="R3211">
        <v>3.391893E-2</v>
      </c>
      <c r="S3211">
        <v>2.986542</v>
      </c>
      <c r="T3211">
        <v>-0.27972019999999997</v>
      </c>
      <c r="U3211">
        <v>6.5704349999999995E-2</v>
      </c>
      <c r="V3211">
        <v>2.5830200000000001E-3</v>
      </c>
      <c r="W3211">
        <v>-7.2493370000000001E-2</v>
      </c>
      <c r="X3211">
        <v>0.99736550000000002</v>
      </c>
      <c r="Y3211">
        <v>1.431604E-2</v>
      </c>
      <c r="Z3211">
        <v>-3.6620910000000001E-3</v>
      </c>
      <c r="AA3211">
        <v>0.99989079999999997</v>
      </c>
      <c r="AB3211">
        <v>20</v>
      </c>
      <c r="AC3211">
        <v>0.69739999999995905</v>
      </c>
      <c r="AD3211">
        <v>-8.2861000000000004E-2</v>
      </c>
      <c r="AE3211">
        <v>9.8000000000126805E-3</v>
      </c>
      <c r="AF3211">
        <v>1.5438134836452899E-2</v>
      </c>
      <c r="AG3211">
        <v>-8.2861000000000004E-2</v>
      </c>
      <c r="AH3211">
        <v>0.68758847836435399</v>
      </c>
      <c r="AI3211">
        <v>96.869839261472706</v>
      </c>
      <c r="AJ3211">
        <v>88.713778073872703</v>
      </c>
      <c r="AK3211">
        <v>0.69273530075176304</v>
      </c>
      <c r="AL3211">
        <v>94.157211009542095</v>
      </c>
      <c r="AM3211">
        <v>89.851613261622703</v>
      </c>
      <c r="AN3211">
        <v>0.99999995063826197</v>
      </c>
    </row>
    <row r="3212" spans="1:40" x14ac:dyDescent="0.25">
      <c r="A3212" t="str">
        <f>"20190303154830903"</f>
        <v>20190303154830903</v>
      </c>
      <c r="B3212" t="str">
        <f>"1551599310893671"</f>
        <v>1551599310893671</v>
      </c>
      <c r="C3212" t="s">
        <v>40</v>
      </c>
      <c r="D3212">
        <v>5.5504129999999998</v>
      </c>
      <c r="E3212">
        <v>0.52733189999999996</v>
      </c>
      <c r="F3212" t="s">
        <v>42</v>
      </c>
      <c r="G3212">
        <v>-470.38249999999999</v>
      </c>
      <c r="H3212">
        <v>0.90531280000000003</v>
      </c>
      <c r="I3212">
        <v>214.37039999999999</v>
      </c>
      <c r="J3212">
        <v>-470.51249999999999</v>
      </c>
      <c r="K3212">
        <v>1.1217189999999999</v>
      </c>
      <c r="L3212">
        <v>214.4555</v>
      </c>
      <c r="M3212">
        <v>0.99865409999999999</v>
      </c>
      <c r="N3212">
        <v>-1.42132E-2</v>
      </c>
      <c r="O3212">
        <v>4.9878169999999999E-2</v>
      </c>
      <c r="P3212">
        <v>0.99537679999999995</v>
      </c>
      <c r="Q3212">
        <v>-9.2300670000000001E-2</v>
      </c>
      <c r="R3212">
        <v>2.6565700000000001E-2</v>
      </c>
      <c r="S3212">
        <v>2.9419559999999998</v>
      </c>
      <c r="T3212">
        <v>-0.91418900000000003</v>
      </c>
      <c r="U3212">
        <v>-0.2217102</v>
      </c>
      <c r="V3212">
        <v>2.3250030000000001E-2</v>
      </c>
      <c r="W3212">
        <v>-7.8103999999999896E-2</v>
      </c>
      <c r="X3212">
        <v>0.99667410000000001</v>
      </c>
      <c r="Y3212">
        <v>0.11691269999999999</v>
      </c>
      <c r="Z3212">
        <v>-3.3006769999999998E-2</v>
      </c>
      <c r="AA3212">
        <v>0.99259359999999996</v>
      </c>
      <c r="AB3212">
        <v>19</v>
      </c>
      <c r="AC3212">
        <v>0.12999999999999501</v>
      </c>
      <c r="AD3212">
        <v>-0.21640619999999999</v>
      </c>
      <c r="AE3212">
        <v>-8.5100000000011194E-2</v>
      </c>
      <c r="AF3212">
        <v>3.11169534225859E-2</v>
      </c>
      <c r="AG3212">
        <v>-0.21640619999999999</v>
      </c>
      <c r="AH3212">
        <v>4.2721061087213803E-2</v>
      </c>
      <c r="AI3212">
        <v>166.275500533886</v>
      </c>
      <c r="AJ3212">
        <v>53.931340624339001</v>
      </c>
      <c r="AK3212">
        <v>0.222766687925194</v>
      </c>
      <c r="AL3212">
        <v>94.479591751419605</v>
      </c>
      <c r="AM3212">
        <v>88.663668461714707</v>
      </c>
      <c r="AN3212">
        <v>1.0000000301609</v>
      </c>
    </row>
    <row r="3213" spans="1:40" x14ac:dyDescent="0.25">
      <c r="A3213" t="str">
        <f>"20190303154830923"</f>
        <v>20190303154830923</v>
      </c>
      <c r="B3213" t="str">
        <f>"1551599310914167"</f>
        <v>1551599310914167</v>
      </c>
      <c r="C3213" t="s">
        <v>40</v>
      </c>
      <c r="D3213">
        <v>5.3811429999999998</v>
      </c>
      <c r="E3213">
        <v>0.52769639999999995</v>
      </c>
      <c r="F3213" t="s">
        <v>52</v>
      </c>
      <c r="G3213">
        <v>-452.51909999999998</v>
      </c>
      <c r="H3213" s="1">
        <v>-1.523816E-7</v>
      </c>
      <c r="I3213">
        <v>213.61330000000001</v>
      </c>
      <c r="J3213">
        <v>-470.33330000000001</v>
      </c>
      <c r="K3213">
        <v>1.1216930000000001</v>
      </c>
      <c r="L3213">
        <v>214.46619999999999</v>
      </c>
      <c r="M3213">
        <v>0.99858360000000002</v>
      </c>
      <c r="N3213">
        <v>-1.4212870000000001E-2</v>
      </c>
      <c r="O3213">
        <v>5.1275500000000002E-2</v>
      </c>
      <c r="P3213">
        <v>0.99521459999999995</v>
      </c>
      <c r="Q3213">
        <v>-9.4466159999999993E-2</v>
      </c>
      <c r="R3213">
        <v>2.4984969999999999E-2</v>
      </c>
      <c r="S3213">
        <v>3.0003660000000001</v>
      </c>
      <c r="T3213">
        <v>-0.18704499999999999</v>
      </c>
      <c r="U3213">
        <v>-0.14044189999999901</v>
      </c>
      <c r="V3213">
        <v>2.621501E-2</v>
      </c>
      <c r="W3213">
        <v>-8.0269220000000002E-2</v>
      </c>
      <c r="X3213">
        <v>0.99642839999999999</v>
      </c>
      <c r="Y3213">
        <v>9.7628489999999998E-2</v>
      </c>
      <c r="Z3213">
        <v>-6.1972629999999997E-3</v>
      </c>
      <c r="AA3213">
        <v>0.99520359999999997</v>
      </c>
      <c r="AB3213">
        <v>19</v>
      </c>
      <c r="AC3213">
        <v>17.8142</v>
      </c>
      <c r="AD3213">
        <v>-1.1216931523816001</v>
      </c>
      <c r="AE3213">
        <v>-0.85289999999997601</v>
      </c>
      <c r="AF3213">
        <v>1.7583464754916101</v>
      </c>
      <c r="AG3213">
        <v>-1.1216931523816001</v>
      </c>
      <c r="AH3213">
        <v>17.677099291424199</v>
      </c>
      <c r="AI3213">
        <v>93.613029789772597</v>
      </c>
      <c r="AJ3213">
        <v>84.319457179635904</v>
      </c>
      <c r="AK3213">
        <v>17.799713964410799</v>
      </c>
      <c r="AL3213">
        <v>94.604040831947501</v>
      </c>
      <c r="AM3213">
        <v>88.492954403911895</v>
      </c>
      <c r="AN3213">
        <v>0.99999996537763303</v>
      </c>
    </row>
    <row r="3214" spans="1:40" x14ac:dyDescent="0.25">
      <c r="A3214" t="str">
        <f>"20190303154830947"</f>
        <v>20190303154830947</v>
      </c>
      <c r="B3214" t="str">
        <f>"1551599310944423"</f>
        <v>1551599310944423</v>
      </c>
      <c r="C3214" t="s">
        <v>40</v>
      </c>
      <c r="D3214">
        <v>5.5055019999999999</v>
      </c>
      <c r="E3214">
        <v>0.52534139999999996</v>
      </c>
      <c r="F3214" t="s">
        <v>52</v>
      </c>
      <c r="G3214">
        <v>-453.22620000000001</v>
      </c>
      <c r="H3214" s="1">
        <v>2.2352270000000001E-7</v>
      </c>
      <c r="I3214">
        <v>213.62100000000001</v>
      </c>
      <c r="J3214">
        <v>-470.13369999999998</v>
      </c>
      <c r="K3214">
        <v>1.1216619999999999</v>
      </c>
      <c r="L3214">
        <v>214.47829999999999</v>
      </c>
      <c r="M3214">
        <v>0.99850539999999999</v>
      </c>
      <c r="N3214">
        <v>-1.42113E-2</v>
      </c>
      <c r="O3214">
        <v>5.2777099999999903E-2</v>
      </c>
      <c r="P3214">
        <v>0.99527560000000004</v>
      </c>
      <c r="Q3214">
        <v>-9.4385520000000001E-2</v>
      </c>
      <c r="R3214">
        <v>2.2764650000000001E-2</v>
      </c>
      <c r="S3214">
        <v>2.9994510000000001</v>
      </c>
      <c r="T3214">
        <v>-0.1966707</v>
      </c>
      <c r="U3214">
        <v>-0.14817810000000001</v>
      </c>
      <c r="V3214">
        <v>2.992504E-2</v>
      </c>
      <c r="W3214">
        <v>-8.0187990000000001E-2</v>
      </c>
      <c r="X3214">
        <v>0.99633039999999995</v>
      </c>
      <c r="Y3214">
        <v>0.1016563</v>
      </c>
      <c r="Z3214">
        <v>-6.7565430000000003E-3</v>
      </c>
      <c r="AA3214">
        <v>0.99479660000000003</v>
      </c>
      <c r="AB3214">
        <v>19</v>
      </c>
      <c r="AC3214">
        <v>16.907499999999899</v>
      </c>
      <c r="AD3214">
        <v>-1.1216617764773</v>
      </c>
      <c r="AE3214">
        <v>-0.85730000000000905</v>
      </c>
      <c r="AF3214">
        <v>1.7408814962190899</v>
      </c>
      <c r="AG3214">
        <v>-1.1216617764773</v>
      </c>
      <c r="AH3214">
        <v>16.765084949793401</v>
      </c>
      <c r="AI3214">
        <v>93.807238089407903</v>
      </c>
      <c r="AJ3214">
        <v>84.071669933500004</v>
      </c>
      <c r="AK3214">
        <v>16.8925091948615</v>
      </c>
      <c r="AL3214">
        <v>94.599371743614299</v>
      </c>
      <c r="AM3214">
        <v>88.279623717834198</v>
      </c>
      <c r="AN3214">
        <v>0.99999994386169899</v>
      </c>
    </row>
    <row r="3215" spans="1:40" x14ac:dyDescent="0.25">
      <c r="A3215" t="str">
        <f>"20190303154830969"</f>
        <v>20190303154830969</v>
      </c>
      <c r="B3215" t="str">
        <f>"1551599310963943"</f>
        <v>1551599310963943</v>
      </c>
      <c r="C3215" t="s">
        <v>40</v>
      </c>
      <c r="D3215">
        <v>5.5100809999999996</v>
      </c>
      <c r="E3215">
        <v>0.52299910000000005</v>
      </c>
      <c r="F3215" t="s">
        <v>52</v>
      </c>
      <c r="G3215">
        <v>-454.161</v>
      </c>
      <c r="H3215" s="1">
        <v>7.1517600000000002E-7</v>
      </c>
      <c r="I3215">
        <v>213.75470000000001</v>
      </c>
      <c r="J3215">
        <v>-469.94670000000002</v>
      </c>
      <c r="K3215">
        <v>1.121618</v>
      </c>
      <c r="L3215">
        <v>214.4898</v>
      </c>
      <c r="M3215">
        <v>0.99843349999999997</v>
      </c>
      <c r="N3215">
        <v>-1.4209299999999999E-2</v>
      </c>
      <c r="O3215">
        <v>5.4117249999999999E-2</v>
      </c>
      <c r="P3215">
        <v>0.99519440000000003</v>
      </c>
      <c r="Q3215">
        <v>-9.5692630000000001E-2</v>
      </c>
      <c r="R3215">
        <v>2.0758459999999999E-2</v>
      </c>
      <c r="S3215">
        <v>2.9973749999999999</v>
      </c>
      <c r="T3215">
        <v>-0.2104868</v>
      </c>
      <c r="U3215">
        <v>-0.13578799999999999</v>
      </c>
      <c r="V3215">
        <v>3.3251669999999997E-2</v>
      </c>
      <c r="W3215">
        <v>-8.1499150000000006E-2</v>
      </c>
      <c r="X3215">
        <v>0.99611850000000002</v>
      </c>
      <c r="Y3215">
        <v>9.8879720000000004E-2</v>
      </c>
      <c r="Z3215">
        <v>-7.1953109999999898E-3</v>
      </c>
      <c r="AA3215">
        <v>0.9950734</v>
      </c>
      <c r="AB3215">
        <v>19</v>
      </c>
      <c r="AC3215">
        <v>15.7857</v>
      </c>
      <c r="AD3215">
        <v>-1.121617284824</v>
      </c>
      <c r="AE3215">
        <v>-0.73509999999998799</v>
      </c>
      <c r="AF3215">
        <v>1.5804259670712399</v>
      </c>
      <c r="AG3215">
        <v>-1.121617284824</v>
      </c>
      <c r="AH3215">
        <v>15.6439696004469</v>
      </c>
      <c r="AI3215">
        <v>94.080190000904693</v>
      </c>
      <c r="AJ3215">
        <v>84.231288052948798</v>
      </c>
      <c r="AK3215">
        <v>15.7635515170509</v>
      </c>
      <c r="AL3215">
        <v>94.6747424766329</v>
      </c>
      <c r="AM3215">
        <v>88.088105809208599</v>
      </c>
      <c r="AN3215">
        <v>0.99999992552537798</v>
      </c>
    </row>
    <row r="3216" spans="1:40" x14ac:dyDescent="0.25">
      <c r="A3216" t="str">
        <f>"20190303154830994"</f>
        <v>20190303154830994</v>
      </c>
      <c r="B3216" t="str">
        <f>"1551599310984441"</f>
        <v>1551599310984441</v>
      </c>
      <c r="C3216" t="s">
        <v>40</v>
      </c>
      <c r="D3216">
        <v>5.5388080000000004</v>
      </c>
      <c r="E3216">
        <v>0.5214162</v>
      </c>
      <c r="F3216" t="s">
        <v>52</v>
      </c>
      <c r="G3216">
        <v>-455.06110000000001</v>
      </c>
      <c r="H3216" s="1">
        <v>1.1886759999999999E-6</v>
      </c>
      <c r="I3216">
        <v>213.88</v>
      </c>
      <c r="J3216">
        <v>-469.73790000000002</v>
      </c>
      <c r="K3216">
        <v>1.1215569999999999</v>
      </c>
      <c r="L3216">
        <v>214.50280000000001</v>
      </c>
      <c r="M3216">
        <v>0.99835790000000002</v>
      </c>
      <c r="N3216">
        <v>-1.420651E-2</v>
      </c>
      <c r="O3216">
        <v>5.5495299999999997E-2</v>
      </c>
      <c r="P3216">
        <v>0.99496960000000001</v>
      </c>
      <c r="Q3216">
        <v>-9.8180119999999996E-2</v>
      </c>
      <c r="R3216">
        <v>1.990977E-2</v>
      </c>
      <c r="S3216">
        <v>2.9952999999999999</v>
      </c>
      <c r="T3216">
        <v>-0.22569349999999999</v>
      </c>
      <c r="U3216">
        <v>-0.122695899999999</v>
      </c>
      <c r="V3216">
        <v>3.5448880000000002E-2</v>
      </c>
      <c r="W3216">
        <v>-8.3996479999999998E-2</v>
      </c>
      <c r="X3216">
        <v>0.99583529999999998</v>
      </c>
      <c r="Y3216">
        <v>9.5893549999999994E-2</v>
      </c>
      <c r="Z3216">
        <v>-7.67491099999999E-3</v>
      </c>
      <c r="AA3216">
        <v>0.99536199999999997</v>
      </c>
      <c r="AB3216">
        <v>19</v>
      </c>
      <c r="AC3216">
        <v>14.6768</v>
      </c>
      <c r="AD3216">
        <v>-1.1215558113239901</v>
      </c>
      <c r="AE3216">
        <v>-0.62280000000001201</v>
      </c>
      <c r="AF3216">
        <v>1.4280912291749099</v>
      </c>
      <c r="AG3216">
        <v>-1.1215558113239901</v>
      </c>
      <c r="AH3216">
        <v>14.5348871954338</v>
      </c>
      <c r="AI3216">
        <v>94.391310310473699</v>
      </c>
      <c r="AJ3216">
        <v>84.388548275735204</v>
      </c>
      <c r="AK3216">
        <v>14.6478762208297</v>
      </c>
      <c r="AL3216">
        <v>94.818321092945496</v>
      </c>
      <c r="AM3216">
        <v>87.961295437510998</v>
      </c>
      <c r="AN3216">
        <v>0.999999988235867</v>
      </c>
    </row>
    <row r="3217" spans="1:40" x14ac:dyDescent="0.25">
      <c r="A3217" t="str">
        <f>"20190303154831016"</f>
        <v>20190303154831016</v>
      </c>
      <c r="B3217" t="str">
        <f>"1551599311003959"</f>
        <v>1551599311003959</v>
      </c>
      <c r="C3217" t="s">
        <v>40</v>
      </c>
      <c r="D3217">
        <v>5.5390620000000004</v>
      </c>
      <c r="E3217">
        <v>0.52052399999999999</v>
      </c>
      <c r="F3217" t="s">
        <v>52</v>
      </c>
      <c r="G3217">
        <v>-455.70310000000001</v>
      </c>
      <c r="H3217" s="1">
        <v>1.5261389999999999E-6</v>
      </c>
      <c r="I3217">
        <v>213.97569999999999</v>
      </c>
      <c r="J3217">
        <v>-469.55110000000002</v>
      </c>
      <c r="K3217">
        <v>1.12148799999999</v>
      </c>
      <c r="L3217">
        <v>214.5145</v>
      </c>
      <c r="M3217">
        <v>0.99829610000000002</v>
      </c>
      <c r="N3217">
        <v>-1.4203489999999999E-2</v>
      </c>
      <c r="O3217">
        <v>5.6598160000000002E-2</v>
      </c>
      <c r="P3217">
        <v>0.99475959999999997</v>
      </c>
      <c r="Q3217">
        <v>-0.1005585</v>
      </c>
      <c r="R3217">
        <v>1.8480369999999999E-2</v>
      </c>
      <c r="S3217">
        <v>2.9938349999999998</v>
      </c>
      <c r="T3217">
        <v>-0.23924509999999999</v>
      </c>
      <c r="U3217">
        <v>-0.11242679999999999</v>
      </c>
      <c r="V3217">
        <v>3.7952020000000003E-2</v>
      </c>
      <c r="W3217">
        <v>-8.6385279999999995E-2</v>
      </c>
      <c r="X3217">
        <v>0.9955387</v>
      </c>
      <c r="Y3217">
        <v>9.3557249999999995E-2</v>
      </c>
      <c r="Z3217">
        <v>-8.1076729999999993E-3</v>
      </c>
      <c r="AA3217">
        <v>0.99558089999999999</v>
      </c>
      <c r="AB3217">
        <v>19</v>
      </c>
      <c r="AC3217">
        <v>13.848000000000001</v>
      </c>
      <c r="AD3217">
        <v>-1.12148647386099</v>
      </c>
      <c r="AE3217">
        <v>-0.53880000000000805</v>
      </c>
      <c r="AF3217">
        <v>1.3131867606908101</v>
      </c>
      <c r="AG3217">
        <v>-1.12148647386099</v>
      </c>
      <c r="AH3217">
        <v>13.7055456579525</v>
      </c>
      <c r="AI3217">
        <v>94.656699474182304</v>
      </c>
      <c r="AJ3217">
        <v>84.526954488882694</v>
      </c>
      <c r="AK3217">
        <v>13.813912304692201</v>
      </c>
      <c r="AL3217">
        <v>94.955688419207405</v>
      </c>
      <c r="AM3217">
        <v>87.8168220922324</v>
      </c>
      <c r="AN3217">
        <v>1.0000000378102201</v>
      </c>
    </row>
    <row r="3218" spans="1:40" x14ac:dyDescent="0.25">
      <c r="A3218" t="str">
        <f>"20190303154831038"</f>
        <v>20190303154831038</v>
      </c>
      <c r="B3218" t="str">
        <f>"1551599311034215"</f>
        <v>1551599311034215</v>
      </c>
      <c r="C3218" t="s">
        <v>40</v>
      </c>
      <c r="D3218">
        <v>5.566846</v>
      </c>
      <c r="E3218">
        <v>0.51950280000000004</v>
      </c>
      <c r="F3218" t="s">
        <v>52</v>
      </c>
      <c r="G3218">
        <v>-456.01609999999999</v>
      </c>
      <c r="H3218" s="1">
        <v>1.690793E-6</v>
      </c>
      <c r="I3218">
        <v>214.01929999999999</v>
      </c>
      <c r="J3218">
        <v>-469.37119999999999</v>
      </c>
      <c r="K3218">
        <v>1.121418</v>
      </c>
      <c r="L3218">
        <v>214.52590000000001</v>
      </c>
      <c r="M3218">
        <v>0.99824199999999996</v>
      </c>
      <c r="N3218">
        <v>-1.420013E-2</v>
      </c>
      <c r="O3218">
        <v>5.754633E-2</v>
      </c>
      <c r="P3218">
        <v>0.99436959999999996</v>
      </c>
      <c r="Q3218">
        <v>-0.10443089999999999</v>
      </c>
      <c r="R3218">
        <v>1.799711E-2</v>
      </c>
      <c r="S3218">
        <v>2.9927670000000002</v>
      </c>
      <c r="T3218">
        <v>-0.2479751</v>
      </c>
      <c r="U3218">
        <v>-0.1094971</v>
      </c>
      <c r="V3218">
        <v>3.9347479999999997E-2</v>
      </c>
      <c r="W3218">
        <v>-9.0271119999999996E-2</v>
      </c>
      <c r="X3218">
        <v>0.99513969999999896</v>
      </c>
      <c r="Y3218">
        <v>9.3505439999999995E-2</v>
      </c>
      <c r="Z3218">
        <v>-8.4732230000000002E-3</v>
      </c>
      <c r="AA3218">
        <v>0.99558270000000004</v>
      </c>
      <c r="AB3218">
        <v>19</v>
      </c>
      <c r="AC3218">
        <v>13.355099999999901</v>
      </c>
      <c r="AD3218">
        <v>-1.121416309207</v>
      </c>
      <c r="AE3218">
        <v>-0.50660000000002003</v>
      </c>
      <c r="AF3218">
        <v>1.26546493854401</v>
      </c>
      <c r="AG3218">
        <v>-1.121416309207</v>
      </c>
      <c r="AH3218">
        <v>13.2107949935981</v>
      </c>
      <c r="AI3218">
        <v>94.829994968555297</v>
      </c>
      <c r="AJ3218">
        <v>84.528319628515007</v>
      </c>
      <c r="AK3218">
        <v>13.318561499355599</v>
      </c>
      <c r="AL3218">
        <v>95.179204295968006</v>
      </c>
      <c r="AM3218">
        <v>87.735724155203201</v>
      </c>
      <c r="AN3218">
        <v>1.0000000609022399</v>
      </c>
    </row>
    <row r="3219" spans="1:40" x14ac:dyDescent="0.25">
      <c r="A3219" t="str">
        <f>"20190303154831058"</f>
        <v>20190303154831058</v>
      </c>
      <c r="B3219" t="str">
        <f>"1551599311053735"</f>
        <v>1551599311053735</v>
      </c>
      <c r="C3219" t="s">
        <v>40</v>
      </c>
      <c r="D3219">
        <v>5.5821899999999998</v>
      </c>
      <c r="E3219">
        <v>0.51886549999999998</v>
      </c>
      <c r="F3219" t="s">
        <v>52</v>
      </c>
      <c r="G3219">
        <v>-456.49930000000001</v>
      </c>
      <c r="H3219" s="1">
        <v>1.94509E-6</v>
      </c>
      <c r="I3219">
        <v>214.08330000000001</v>
      </c>
      <c r="J3219">
        <v>-469.19029999999998</v>
      </c>
      <c r="K3219">
        <v>1.121332</v>
      </c>
      <c r="L3219">
        <v>214.53739999999999</v>
      </c>
      <c r="M3219">
        <v>0.99819239999999998</v>
      </c>
      <c r="N3219">
        <v>-1.419656E-2</v>
      </c>
      <c r="O3219">
        <v>5.83983E-2</v>
      </c>
      <c r="P3219">
        <v>0.99389039999999995</v>
      </c>
      <c r="Q3219">
        <v>-0.10883329999999999</v>
      </c>
      <c r="R3219">
        <v>1.836639E-2</v>
      </c>
      <c r="S3219">
        <v>2.9915159999999998</v>
      </c>
      <c r="T3219">
        <v>-0.260623299999999</v>
      </c>
      <c r="U3219">
        <v>-0.10285950000000001</v>
      </c>
      <c r="V3219">
        <v>3.9791409999999999E-2</v>
      </c>
      <c r="W3219">
        <v>-9.4688190000000005E-2</v>
      </c>
      <c r="X3219">
        <v>0.99471140000000002</v>
      </c>
      <c r="Y3219">
        <v>9.2114080000000001E-2</v>
      </c>
      <c r="Z3219">
        <v>-8.9072909999999995E-3</v>
      </c>
      <c r="AA3219">
        <v>0.99570860000000005</v>
      </c>
      <c r="AB3219">
        <v>19</v>
      </c>
      <c r="AC3219">
        <v>12.690999999999899</v>
      </c>
      <c r="AD3219">
        <v>-1.12133005491</v>
      </c>
      <c r="AE3219">
        <v>-0.45409999999998202</v>
      </c>
      <c r="AF3219">
        <v>1.18529084864745</v>
      </c>
      <c r="AG3219">
        <v>-1.12133005491</v>
      </c>
      <c r="AH3219">
        <v>12.5450037582319</v>
      </c>
      <c r="AI3219">
        <v>95.085257509495193</v>
      </c>
      <c r="AJ3219">
        <v>84.602540201988106</v>
      </c>
      <c r="AK3219">
        <v>12.650668550791501</v>
      </c>
      <c r="AL3219">
        <v>95.433373573337903</v>
      </c>
      <c r="AM3219">
        <v>87.709220077592803</v>
      </c>
      <c r="AN3219">
        <v>0.99999998946261204</v>
      </c>
    </row>
    <row r="3220" spans="1:40" x14ac:dyDescent="0.25">
      <c r="A3220" t="str">
        <f>"20190303154831082"</f>
        <v>20190303154831082</v>
      </c>
      <c r="B3220" t="str">
        <f>"1551599311074232"</f>
        <v>1551599311074232</v>
      </c>
      <c r="C3220" t="s">
        <v>40</v>
      </c>
      <c r="D3220">
        <v>5.5928319999999996</v>
      </c>
      <c r="E3220">
        <v>0.51819320000000002</v>
      </c>
      <c r="F3220" t="s">
        <v>42</v>
      </c>
      <c r="G3220">
        <v>-468.43579999999997</v>
      </c>
      <c r="H3220">
        <v>1.0524899999999999</v>
      </c>
      <c r="I3220">
        <v>214.5129</v>
      </c>
      <c r="J3220">
        <v>-468.99959999999999</v>
      </c>
      <c r="K3220">
        <v>1.1212530000000001</v>
      </c>
      <c r="L3220">
        <v>214.5496</v>
      </c>
      <c r="M3220">
        <v>0.99814559999999997</v>
      </c>
      <c r="N3220">
        <v>-1.419248E-2</v>
      </c>
      <c r="O3220">
        <v>5.9193809999999999E-2</v>
      </c>
      <c r="P3220">
        <v>0.99348199999999998</v>
      </c>
      <c r="Q3220">
        <v>-0.1122114</v>
      </c>
      <c r="R3220">
        <v>2.004995E-2</v>
      </c>
      <c r="S3220">
        <v>2.9903559999999998</v>
      </c>
      <c r="T3220">
        <v>-0.27295970000000003</v>
      </c>
      <c r="U3220">
        <v>-9.6679689999999999E-2</v>
      </c>
      <c r="V3220">
        <v>3.8869559999999997E-2</v>
      </c>
      <c r="W3220">
        <v>-9.8080180000000003E-2</v>
      </c>
      <c r="X3220">
        <v>0.99441919999999995</v>
      </c>
      <c r="Y3220">
        <v>9.0814370000000005E-2</v>
      </c>
      <c r="Z3220">
        <v>-9.3321740000000004E-3</v>
      </c>
      <c r="AA3220">
        <v>0.99582409999999999</v>
      </c>
      <c r="AB3220">
        <v>19</v>
      </c>
      <c r="AC3220">
        <v>0.56380000000001396</v>
      </c>
      <c r="AD3220">
        <v>-6.8763000000000102E-2</v>
      </c>
      <c r="AE3220">
        <v>-3.6699999999996097E-2</v>
      </c>
      <c r="AF3220">
        <v>6.8990555712276497E-2</v>
      </c>
      <c r="AG3220">
        <v>-6.8763000000000102E-2</v>
      </c>
      <c r="AH3220">
        <v>0.55245540293389395</v>
      </c>
      <c r="AI3220">
        <v>97.040866573984502</v>
      </c>
      <c r="AJ3220">
        <v>82.8817611272883</v>
      </c>
      <c r="AK3220">
        <v>0.56097684370866796</v>
      </c>
      <c r="AL3220">
        <v>95.628629085038099</v>
      </c>
      <c r="AM3220">
        <v>87.761579247527095</v>
      </c>
      <c r="AN3220">
        <v>1.0000000548660299</v>
      </c>
    </row>
    <row r="3221" spans="1:40" x14ac:dyDescent="0.25">
      <c r="A3221" t="str">
        <f>"20190303154831103"</f>
        <v>20190303154831103</v>
      </c>
      <c r="B3221" t="str">
        <f>"1551599311093751"</f>
        <v>1551599311093751</v>
      </c>
      <c r="C3221" t="s">
        <v>40</v>
      </c>
      <c r="D3221">
        <v>5.629505</v>
      </c>
      <c r="E3221">
        <v>0.51749120000000004</v>
      </c>
      <c r="F3221" t="s">
        <v>42</v>
      </c>
      <c r="G3221">
        <v>-468.10950000000003</v>
      </c>
      <c r="H3221">
        <v>1.037922</v>
      </c>
      <c r="I3221">
        <v>214.52359999999999</v>
      </c>
      <c r="J3221">
        <v>-468.81169999999997</v>
      </c>
      <c r="K3221">
        <v>1.121192</v>
      </c>
      <c r="L3221">
        <v>214.5617</v>
      </c>
      <c r="M3221">
        <v>0.99810529999999997</v>
      </c>
      <c r="N3221">
        <v>-1.4188289999999999E-2</v>
      </c>
      <c r="O3221">
        <v>5.987104E-2</v>
      </c>
      <c r="P3221">
        <v>0.9934402</v>
      </c>
      <c r="Q3221">
        <v>-0.11221250000000001</v>
      </c>
      <c r="R3221">
        <v>2.2030190000000002E-2</v>
      </c>
      <c r="S3221">
        <v>2.9897770000000001</v>
      </c>
      <c r="T3221">
        <v>-0.2801477</v>
      </c>
      <c r="U3221">
        <v>-8.6166380000000001E-2</v>
      </c>
      <c r="V3221">
        <v>3.7552769999999999E-2</v>
      </c>
      <c r="W3221">
        <v>-9.8089960000000004E-2</v>
      </c>
      <c r="X3221">
        <v>0.99446869999999998</v>
      </c>
      <c r="Y3221">
        <v>8.7976570000000004E-2</v>
      </c>
      <c r="Z3221">
        <v>-9.4851209999999991E-3</v>
      </c>
      <c r="AA3221">
        <v>0.9960774</v>
      </c>
      <c r="AB3221">
        <v>19</v>
      </c>
      <c r="AC3221">
        <v>0.70219999999994798</v>
      </c>
      <c r="AD3221">
        <v>-8.32699999999999E-2</v>
      </c>
      <c r="AE3221">
        <v>-3.8100000000014199E-2</v>
      </c>
      <c r="AF3221">
        <v>7.8970076139424097E-2</v>
      </c>
      <c r="AG3221">
        <v>-8.32699999999999E-2</v>
      </c>
      <c r="AH3221">
        <v>0.68899832582560905</v>
      </c>
      <c r="AI3221">
        <v>96.846755998437203</v>
      </c>
      <c r="AJ3221">
        <v>83.461531753400195</v>
      </c>
      <c r="AK3221">
        <v>0.69849041426204195</v>
      </c>
      <c r="AL3221">
        <v>95.629192897331805</v>
      </c>
      <c r="AM3221">
        <v>87.8374448470706</v>
      </c>
      <c r="AN3221">
        <v>0.99999992303357899</v>
      </c>
    </row>
    <row r="3222" spans="1:40" x14ac:dyDescent="0.25">
      <c r="A3222" t="str">
        <f>"20190303154831126"</f>
        <v>20190303154831126</v>
      </c>
      <c r="B3222" t="str">
        <f>"1551599311114250"</f>
        <v>1551599311114250</v>
      </c>
      <c r="C3222" t="s">
        <v>40</v>
      </c>
      <c r="D3222">
        <v>5.6147539999999996</v>
      </c>
      <c r="E3222">
        <v>0.51707780000000003</v>
      </c>
      <c r="F3222" t="s">
        <v>42</v>
      </c>
      <c r="G3222">
        <v>-467.94069999999999</v>
      </c>
      <c r="H3222">
        <v>1.040808</v>
      </c>
      <c r="I3222">
        <v>214.53960000000001</v>
      </c>
      <c r="J3222">
        <v>-468.62270000000001</v>
      </c>
      <c r="K3222">
        <v>1.1211359999999999</v>
      </c>
      <c r="L3222">
        <v>214.57380000000001</v>
      </c>
      <c r="M3222">
        <v>0.99806899999999998</v>
      </c>
      <c r="N3222">
        <v>-1.4183909999999999E-2</v>
      </c>
      <c r="O3222">
        <v>6.047255E-2</v>
      </c>
      <c r="P3222">
        <v>0.99360309999999996</v>
      </c>
      <c r="Q3222">
        <v>-0.11038679999999999</v>
      </c>
      <c r="R3222">
        <v>2.382857E-2</v>
      </c>
      <c r="S3222">
        <v>2.9902950000000001</v>
      </c>
      <c r="T3222">
        <v>-0.27622560000000002</v>
      </c>
      <c r="U3222">
        <v>-7.455444E-2</v>
      </c>
      <c r="V3222">
        <v>3.6354530000000003E-2</v>
      </c>
      <c r="W3222">
        <v>-9.6269820000000006E-2</v>
      </c>
      <c r="X3222">
        <v>0.99469110000000005</v>
      </c>
      <c r="Y3222">
        <v>8.4738170000000002E-2</v>
      </c>
      <c r="Z3222">
        <v>-9.2229600000000005E-3</v>
      </c>
      <c r="AA3222">
        <v>0.99636049999999998</v>
      </c>
      <c r="AB3222">
        <v>19</v>
      </c>
      <c r="AC3222">
        <v>0.68200000000001604</v>
      </c>
      <c r="AD3222">
        <v>-8.0328000000000094E-2</v>
      </c>
      <c r="AE3222">
        <v>-3.4199999999998398E-2</v>
      </c>
      <c r="AF3222">
        <v>7.4354902521645103E-2</v>
      </c>
      <c r="AG3222">
        <v>-8.0328000000000094E-2</v>
      </c>
      <c r="AH3222">
        <v>0.66941976990255803</v>
      </c>
      <c r="AI3222">
        <v>96.801143145126204</v>
      </c>
      <c r="AJ3222">
        <v>83.661928003407596</v>
      </c>
      <c r="AK3222">
        <v>0.67830971351543901</v>
      </c>
      <c r="AL3222">
        <v>95.524410392314806</v>
      </c>
      <c r="AM3222">
        <v>87.906853286972606</v>
      </c>
      <c r="AN3222">
        <v>0.99999995725678004</v>
      </c>
    </row>
    <row r="3223" spans="1:40" x14ac:dyDescent="0.25">
      <c r="A3223" t="str">
        <f>"20190303154831149"</f>
        <v>20190303154831149</v>
      </c>
      <c r="B3223" t="str">
        <f>"1551599311144503"</f>
        <v>1551599311144503</v>
      </c>
      <c r="C3223" t="s">
        <v>40</v>
      </c>
      <c r="D3223">
        <v>5.6407109999999996</v>
      </c>
      <c r="E3223">
        <v>0.51676369999999905</v>
      </c>
      <c r="F3223" t="s">
        <v>42</v>
      </c>
      <c r="G3223">
        <v>-467.77159999999998</v>
      </c>
      <c r="H3223">
        <v>1.0446599999999999</v>
      </c>
      <c r="I3223">
        <v>214.5548</v>
      </c>
      <c r="J3223">
        <v>-468.43200000000002</v>
      </c>
      <c r="K3223">
        <v>1.1210639999999901</v>
      </c>
      <c r="L3223">
        <v>214.58609999999999</v>
      </c>
      <c r="M3223">
        <v>0.99803750000000002</v>
      </c>
      <c r="N3223">
        <v>-1.417944E-2</v>
      </c>
      <c r="O3223">
        <v>6.0994449999999999E-2</v>
      </c>
      <c r="P3223">
        <v>0.99345430000000001</v>
      </c>
      <c r="Q3223">
        <v>-0.1110587</v>
      </c>
      <c r="R3223">
        <v>2.6738979999999999E-2</v>
      </c>
      <c r="S3223">
        <v>2.9910580000000002</v>
      </c>
      <c r="T3223">
        <v>-0.26890770000000003</v>
      </c>
      <c r="U3223">
        <v>-6.6131590000000004E-2</v>
      </c>
      <c r="V3223">
        <v>3.3949130000000001E-2</v>
      </c>
      <c r="W3223">
        <v>-9.6951029999999994E-2</v>
      </c>
      <c r="X3223">
        <v>0.99470999999999998</v>
      </c>
      <c r="Y3223">
        <v>8.2489309999999996E-2</v>
      </c>
      <c r="Z3223">
        <v>-8.8931359999999994E-3</v>
      </c>
      <c r="AA3223">
        <v>0.99655229999999995</v>
      </c>
      <c r="AB3223">
        <v>19</v>
      </c>
      <c r="AC3223">
        <v>0.660399999999981</v>
      </c>
      <c r="AD3223">
        <v>-7.6403999999999694E-2</v>
      </c>
      <c r="AE3223">
        <v>-3.12999999999874E-2</v>
      </c>
      <c r="AF3223">
        <v>7.0583844490354306E-2</v>
      </c>
      <c r="AG3223">
        <v>-7.6403999999999694E-2</v>
      </c>
      <c r="AH3223">
        <v>0.64859880847802998</v>
      </c>
      <c r="AI3223">
        <v>96.679322589870296</v>
      </c>
      <c r="AJ3223">
        <v>83.789220742477198</v>
      </c>
      <c r="AK3223">
        <v>0.656886645227439</v>
      </c>
      <c r="AL3223">
        <v>95.563623963087906</v>
      </c>
      <c r="AM3223">
        <v>88.045272352494706</v>
      </c>
      <c r="AN3223">
        <v>1.0000000148729</v>
      </c>
    </row>
    <row r="3224" spans="1:40" x14ac:dyDescent="0.25">
      <c r="A3224" t="str">
        <f>"20190303154831171"</f>
        <v>20190303154831171</v>
      </c>
      <c r="B3224" t="str">
        <f>"1551599311164023"</f>
        <v>1551599311164023</v>
      </c>
      <c r="C3224" t="s">
        <v>40</v>
      </c>
      <c r="D3224">
        <v>5.6537350000000002</v>
      </c>
      <c r="E3224">
        <v>0.51681199999999905</v>
      </c>
      <c r="F3224" t="s">
        <v>42</v>
      </c>
      <c r="G3224">
        <v>-467.60300000000001</v>
      </c>
      <c r="H3224">
        <v>1.0470280000000001</v>
      </c>
      <c r="I3224">
        <v>214.57060000000001</v>
      </c>
      <c r="J3224">
        <v>-468.24459999999999</v>
      </c>
      <c r="K3224">
        <v>1.120978</v>
      </c>
      <c r="L3224">
        <v>214.59819999999999</v>
      </c>
      <c r="M3224">
        <v>0.9980118</v>
      </c>
      <c r="N3224">
        <v>-1.417504E-2</v>
      </c>
      <c r="O3224">
        <v>6.1413559999999999E-2</v>
      </c>
      <c r="P3224">
        <v>0.99294629999999995</v>
      </c>
      <c r="Q3224">
        <v>-0.1146269</v>
      </c>
      <c r="R3224">
        <v>3.030559E-2</v>
      </c>
      <c r="S3224">
        <v>2.991333</v>
      </c>
      <c r="T3224">
        <v>-0.26731670000000002</v>
      </c>
      <c r="U3224">
        <v>-5.476379E-2</v>
      </c>
      <c r="V3224">
        <v>3.076373E-2</v>
      </c>
      <c r="W3224">
        <v>-0.1005326</v>
      </c>
      <c r="X3224">
        <v>0.99445799999999995</v>
      </c>
      <c r="Y3224">
        <v>7.9140749999999996E-2</v>
      </c>
      <c r="Z3224">
        <v>-8.6967180000000009E-3</v>
      </c>
      <c r="AA3224">
        <v>0.99682550000000003</v>
      </c>
      <c r="AB3224">
        <v>19</v>
      </c>
      <c r="AC3224">
        <v>0.64159999999998196</v>
      </c>
      <c r="AD3224">
        <v>-7.3949999999999905E-2</v>
      </c>
      <c r="AE3224">
        <v>-2.7599999999978302E-2</v>
      </c>
      <c r="AF3224">
        <v>6.6078584643464694E-2</v>
      </c>
      <c r="AG3224">
        <v>-7.3949999999999905E-2</v>
      </c>
      <c r="AH3224">
        <v>0.63033522340568804</v>
      </c>
      <c r="AI3224">
        <v>96.655130997308405</v>
      </c>
      <c r="AJ3224">
        <v>84.015492451464695</v>
      </c>
      <c r="AK3224">
        <v>0.63808892461347599</v>
      </c>
      <c r="AL3224">
        <v>95.769840987064399</v>
      </c>
      <c r="AM3224">
        <v>88.228110243969994</v>
      </c>
      <c r="AN3224">
        <v>0.99999996225513499</v>
      </c>
    </row>
    <row r="3225" spans="1:40" x14ac:dyDescent="0.25">
      <c r="A3225" t="str">
        <f>"20190303154831196"</f>
        <v>20190303154831196</v>
      </c>
      <c r="B3225" t="str">
        <f>"1551599311184518"</f>
        <v>1551599311184518</v>
      </c>
      <c r="C3225" t="s">
        <v>40</v>
      </c>
      <c r="D3225">
        <v>5.6402419999999998</v>
      </c>
      <c r="E3225">
        <v>0.51690530000000001</v>
      </c>
      <c r="F3225" t="s">
        <v>42</v>
      </c>
      <c r="G3225">
        <v>-467.43680000000001</v>
      </c>
      <c r="H3225">
        <v>1.0465</v>
      </c>
      <c r="I3225">
        <v>214.58619999999999</v>
      </c>
      <c r="J3225">
        <v>-468.04469999999998</v>
      </c>
      <c r="K3225">
        <v>1.120884</v>
      </c>
      <c r="L3225">
        <v>214.61099999999999</v>
      </c>
      <c r="M3225">
        <v>0.99799130000000003</v>
      </c>
      <c r="N3225">
        <v>-1.417038E-2</v>
      </c>
      <c r="O3225">
        <v>6.1748049999999999E-2</v>
      </c>
      <c r="P3225">
        <v>0.99205659999999896</v>
      </c>
      <c r="Q3225">
        <v>-0.1212675</v>
      </c>
      <c r="R3225">
        <v>3.3438099999999998E-2</v>
      </c>
      <c r="S3225">
        <v>2.9908139999999999</v>
      </c>
      <c r="T3225">
        <v>-0.27577570000000001</v>
      </c>
      <c r="U3225">
        <v>-4.4143679999999998E-2</v>
      </c>
      <c r="V3225">
        <v>2.7899920000000002E-2</v>
      </c>
      <c r="W3225">
        <v>-0.1071923</v>
      </c>
      <c r="X3225">
        <v>0.99384680000000003</v>
      </c>
      <c r="Y3225">
        <v>7.5918410000000006E-2</v>
      </c>
      <c r="Z3225">
        <v>-8.8372599999999996E-3</v>
      </c>
      <c r="AA3225">
        <v>0.99707480000000004</v>
      </c>
      <c r="AB3225">
        <v>19</v>
      </c>
      <c r="AC3225">
        <v>0.60789999999997202</v>
      </c>
      <c r="AD3225">
        <v>-7.4384000000000006E-2</v>
      </c>
      <c r="AE3225">
        <v>-2.4799999999999E-2</v>
      </c>
      <c r="AF3225">
        <v>6.1375649410442698E-2</v>
      </c>
      <c r="AG3225">
        <v>-7.4384000000000006E-2</v>
      </c>
      <c r="AH3225">
        <v>0.59629504563957902</v>
      </c>
      <c r="AI3225">
        <v>97.073562896429294</v>
      </c>
      <c r="AJ3225">
        <v>84.123336088451794</v>
      </c>
      <c r="AK3225">
        <v>0.60404282236515405</v>
      </c>
      <c r="AL3225">
        <v>96.1534889292722</v>
      </c>
      <c r="AM3225">
        <v>88.391977577877697</v>
      </c>
      <c r="AN3225">
        <v>1.0000000282927599</v>
      </c>
    </row>
    <row r="3226" spans="1:40" x14ac:dyDescent="0.25">
      <c r="A3226" t="str">
        <f>"20190303154831217"</f>
        <v>20190303154831217</v>
      </c>
      <c r="B3226" t="str">
        <f>"1551599311214775"</f>
        <v>1551599311214775</v>
      </c>
      <c r="C3226" t="s">
        <v>40</v>
      </c>
      <c r="D3226">
        <v>5.727913</v>
      </c>
      <c r="E3226">
        <v>0.51723710000000001</v>
      </c>
      <c r="F3226" t="s">
        <v>42</v>
      </c>
      <c r="G3226">
        <v>-467.27190000000002</v>
      </c>
      <c r="H3226">
        <v>1.0447930000000001</v>
      </c>
      <c r="I3226">
        <v>214.6018</v>
      </c>
      <c r="J3226">
        <v>-467.86750000000001</v>
      </c>
      <c r="K3226">
        <v>1.1208100000000001</v>
      </c>
      <c r="L3226">
        <v>214.6223</v>
      </c>
      <c r="M3226">
        <v>0.99797950000000002</v>
      </c>
      <c r="N3226">
        <v>-1.416624E-2</v>
      </c>
      <c r="O3226">
        <v>6.1938199999999902E-2</v>
      </c>
      <c r="P3226">
        <v>0.99157879999999998</v>
      </c>
      <c r="Q3226">
        <v>-0.1242335</v>
      </c>
      <c r="R3226">
        <v>3.6573580000000001E-2</v>
      </c>
      <c r="S3226">
        <v>2.9891969999999999</v>
      </c>
      <c r="T3226">
        <v>-0.29432329999999901</v>
      </c>
      <c r="U3226">
        <v>-3.5324099999999997E-2</v>
      </c>
      <c r="V3226">
        <v>2.4913319999999999E-2</v>
      </c>
      <c r="W3226">
        <v>-0.1101703</v>
      </c>
      <c r="X3226">
        <v>0.99360040000000005</v>
      </c>
      <c r="Y3226">
        <v>7.3109950000000007E-2</v>
      </c>
      <c r="Z3226">
        <v>-9.3151129999999999E-3</v>
      </c>
      <c r="AA3226">
        <v>0.99728039999999996</v>
      </c>
      <c r="AB3226">
        <v>19</v>
      </c>
      <c r="AC3226">
        <v>0.59559999999999003</v>
      </c>
      <c r="AD3226">
        <v>-7.6017000000000001E-2</v>
      </c>
      <c r="AE3226">
        <v>-2.0499999999998401E-2</v>
      </c>
      <c r="AF3226">
        <v>5.6436480598289498E-2</v>
      </c>
      <c r="AG3226">
        <v>-7.6017000000000001E-2</v>
      </c>
      <c r="AH3226">
        <v>0.583689495875652</v>
      </c>
      <c r="AI3226">
        <v>97.386109279959598</v>
      </c>
      <c r="AJ3226">
        <v>84.477283484451206</v>
      </c>
      <c r="AK3226">
        <v>0.59131809394512302</v>
      </c>
      <c r="AL3226">
        <v>96.325132950873595</v>
      </c>
      <c r="AM3226">
        <v>88.563679056798193</v>
      </c>
      <c r="AN3226">
        <v>0.999999961697835</v>
      </c>
    </row>
    <row r="3227" spans="1:40" x14ac:dyDescent="0.25">
      <c r="A3227" t="str">
        <f>"20190303154831238"</f>
        <v>20190303154831238</v>
      </c>
      <c r="B3227" t="str">
        <f>"1551599311234295"</f>
        <v>1551599311234295</v>
      </c>
      <c r="C3227" t="s">
        <v>40</v>
      </c>
      <c r="D3227">
        <v>5.7626059999999999</v>
      </c>
      <c r="E3227">
        <v>0.51755859999999998</v>
      </c>
      <c r="F3227" t="s">
        <v>42</v>
      </c>
      <c r="G3227">
        <v>-467.10599999999999</v>
      </c>
      <c r="H3227">
        <v>1.0445660000000001</v>
      </c>
      <c r="I3227">
        <v>214.61490000000001</v>
      </c>
      <c r="J3227">
        <v>-467.69200000000001</v>
      </c>
      <c r="K3227">
        <v>1.1207769999999999</v>
      </c>
      <c r="L3227">
        <v>214.63329999999999</v>
      </c>
      <c r="M3227">
        <v>0.99797380000000002</v>
      </c>
      <c r="N3227">
        <v>-1.416247E-2</v>
      </c>
      <c r="O3227">
        <v>6.2031879999999998E-2</v>
      </c>
      <c r="P3227">
        <v>0.99174110000000004</v>
      </c>
      <c r="Q3227">
        <v>-0.12178219999999999</v>
      </c>
      <c r="R3227">
        <v>4.023939E-2</v>
      </c>
      <c r="S3227">
        <v>2.9890140000000001</v>
      </c>
      <c r="T3227">
        <v>-0.29933070000000001</v>
      </c>
      <c r="U3227">
        <v>-2.8457639999999999E-2</v>
      </c>
      <c r="V3227">
        <v>2.134192E-2</v>
      </c>
      <c r="W3227">
        <v>-0.10772039999999999</v>
      </c>
      <c r="X3227">
        <v>0.99395219999999995</v>
      </c>
      <c r="Y3227">
        <v>7.0903789999999994E-2</v>
      </c>
      <c r="Z3227">
        <v>-9.3617969999999998E-3</v>
      </c>
      <c r="AA3227">
        <v>0.99743919999999997</v>
      </c>
      <c r="AB3227">
        <v>19</v>
      </c>
      <c r="AC3227">
        <v>0.585999999999955</v>
      </c>
      <c r="AD3227">
        <v>-7.6211000000000195E-2</v>
      </c>
      <c r="AE3227">
        <v>-1.8399999999985501E-2</v>
      </c>
      <c r="AF3227">
        <v>5.3809654080787098E-2</v>
      </c>
      <c r="AG3227">
        <v>-7.6211000000000195E-2</v>
      </c>
      <c r="AH3227">
        <v>0.57403028944114598</v>
      </c>
      <c r="AI3227">
        <v>97.530003574282901</v>
      </c>
      <c r="AJ3227">
        <v>84.644737506551905</v>
      </c>
      <c r="AK3227">
        <v>0.58156200751869902</v>
      </c>
      <c r="AL3227">
        <v>96.183922796735303</v>
      </c>
      <c r="AM3227">
        <v>88.769946808702898</v>
      </c>
      <c r="AN3227">
        <v>1.00000006900514</v>
      </c>
    </row>
    <row r="3228" spans="1:40" x14ac:dyDescent="0.25">
      <c r="A3228" t="str">
        <f>"20190303154831259"</f>
        <v>20190303154831259</v>
      </c>
      <c r="B3228" t="str">
        <f>"1551599311253815"</f>
        <v>1551599311253815</v>
      </c>
      <c r="C3228" t="s">
        <v>40</v>
      </c>
      <c r="D3228">
        <v>5.7118890000000002</v>
      </c>
      <c r="E3228">
        <v>0.51796249999999999</v>
      </c>
      <c r="F3228" t="s">
        <v>42</v>
      </c>
      <c r="G3228">
        <v>-466.93729999999999</v>
      </c>
      <c r="H3228">
        <v>1.047744</v>
      </c>
      <c r="I3228">
        <v>214.62790000000001</v>
      </c>
      <c r="J3228">
        <v>-467.51589999999999</v>
      </c>
      <c r="K3228">
        <v>1.1207640000000001</v>
      </c>
      <c r="L3228">
        <v>214.64439999999999</v>
      </c>
      <c r="M3228">
        <v>0.997973</v>
      </c>
      <c r="N3228">
        <v>-1.415858E-2</v>
      </c>
      <c r="O3228">
        <v>6.2045410000000002E-2</v>
      </c>
      <c r="P3228">
        <v>0.99223079999999997</v>
      </c>
      <c r="Q3228">
        <v>-0.1163106</v>
      </c>
      <c r="R3228">
        <v>4.4160789999999998E-2</v>
      </c>
      <c r="S3228">
        <v>2.9902340000000001</v>
      </c>
      <c r="T3228">
        <v>-0.2896225</v>
      </c>
      <c r="U3228">
        <v>-2.0004270000000001E-2</v>
      </c>
      <c r="V3228">
        <v>1.7460659999999999E-2</v>
      </c>
      <c r="W3228">
        <v>-0.1022443</v>
      </c>
      <c r="X3228">
        <v>0.99460610000000005</v>
      </c>
      <c r="Y3228">
        <v>6.8149929999999997E-2</v>
      </c>
      <c r="Z3228">
        <v>-8.8920609999999997E-3</v>
      </c>
      <c r="AA3228">
        <v>0.99763550000000001</v>
      </c>
      <c r="AB3228">
        <v>19</v>
      </c>
      <c r="AC3228">
        <v>0.57859999999999401</v>
      </c>
      <c r="AD3228">
        <v>-7.3019999999999793E-2</v>
      </c>
      <c r="AE3228">
        <v>-1.6499999999979299E-2</v>
      </c>
      <c r="AF3228">
        <v>5.1550902382136998E-2</v>
      </c>
      <c r="AG3228">
        <v>-7.3019999999999793E-2</v>
      </c>
      <c r="AH3228">
        <v>0.56743116864226395</v>
      </c>
      <c r="AI3228">
        <v>97.303069961439604</v>
      </c>
      <c r="AJ3228">
        <v>84.808950979763196</v>
      </c>
      <c r="AK3228">
        <v>0.57442801732082904</v>
      </c>
      <c r="AL3228">
        <v>95.868421770776195</v>
      </c>
      <c r="AM3228">
        <v>88.994255745040903</v>
      </c>
      <c r="AN3228">
        <v>1.00000003284366</v>
      </c>
    </row>
    <row r="3229" spans="1:40" x14ac:dyDescent="0.25">
      <c r="A3229" t="str">
        <f>"20190303154831284"</f>
        <v>20190303154831284</v>
      </c>
      <c r="B3229" t="str">
        <f>"1551599311274311"</f>
        <v>1551599311274311</v>
      </c>
      <c r="C3229" t="s">
        <v>40</v>
      </c>
      <c r="D3229">
        <v>5.8459690000000002</v>
      </c>
      <c r="E3229">
        <v>0.51813129999999996</v>
      </c>
      <c r="F3229" t="s">
        <v>42</v>
      </c>
      <c r="G3229">
        <v>-466.75889999999998</v>
      </c>
      <c r="H3229">
        <v>1.052292</v>
      </c>
      <c r="I3229">
        <v>214.6414</v>
      </c>
      <c r="J3229">
        <v>-467.31880000000001</v>
      </c>
      <c r="K3229">
        <v>1.1207769999999999</v>
      </c>
      <c r="L3229">
        <v>214.6566</v>
      </c>
      <c r="M3229">
        <v>0.99797740000000001</v>
      </c>
      <c r="N3229">
        <v>-1.4154160000000001E-2</v>
      </c>
      <c r="O3229">
        <v>6.197478E-2</v>
      </c>
      <c r="P3229">
        <v>0.99282700000000002</v>
      </c>
      <c r="Q3229">
        <v>-0.1097458</v>
      </c>
      <c r="R3229">
        <v>4.7442709999999999E-2</v>
      </c>
      <c r="S3229">
        <v>2.9922490000000002</v>
      </c>
      <c r="T3229">
        <v>-0.27067469999999999</v>
      </c>
      <c r="U3229">
        <v>-1.1169429999999999E-2</v>
      </c>
      <c r="V3229">
        <v>1.4145599999999999E-2</v>
      </c>
      <c r="W3229">
        <v>-9.5673350000000004E-2</v>
      </c>
      <c r="X3229">
        <v>0.99531230000000004</v>
      </c>
      <c r="Y3229">
        <v>6.5218230000000002E-2</v>
      </c>
      <c r="Z3229">
        <v>-8.1224680000000007E-3</v>
      </c>
      <c r="AA3229">
        <v>0.997838</v>
      </c>
      <c r="AB3229">
        <v>19</v>
      </c>
      <c r="AC3229">
        <v>0.55990000000002704</v>
      </c>
      <c r="AD3229">
        <v>-6.8485000000000101E-2</v>
      </c>
      <c r="AE3229">
        <v>-1.51999999999929E-2</v>
      </c>
      <c r="AF3229">
        <v>4.9139282108600899E-2</v>
      </c>
      <c r="AG3229">
        <v>-6.8485000000000101E-2</v>
      </c>
      <c r="AH3229">
        <v>0.54966374609292601</v>
      </c>
      <c r="AI3229">
        <v>97.074205792445298</v>
      </c>
      <c r="AJ3229">
        <v>84.891406432239705</v>
      </c>
      <c r="AK3229">
        <v>0.556089109801709</v>
      </c>
      <c r="AL3229">
        <v>95.490076287617995</v>
      </c>
      <c r="AM3229">
        <v>89.185754444914195</v>
      </c>
      <c r="AN3229">
        <v>1.00000003121543</v>
      </c>
    </row>
    <row r="3230" spans="1:40" x14ac:dyDescent="0.25">
      <c r="A3230" t="str">
        <f>"20190303154831304"</f>
        <v>20190303154831304</v>
      </c>
      <c r="B3230" t="str">
        <f>"1551599311293832"</f>
        <v>1551599311293832</v>
      </c>
      <c r="C3230" t="s">
        <v>40</v>
      </c>
      <c r="D3230">
        <v>5.7348299999999997</v>
      </c>
      <c r="E3230">
        <v>0.5183371</v>
      </c>
      <c r="F3230" t="s">
        <v>42</v>
      </c>
      <c r="G3230">
        <v>-466.44189999999998</v>
      </c>
      <c r="H3230">
        <v>1.0472779999999999</v>
      </c>
      <c r="I3230">
        <v>214.6557</v>
      </c>
      <c r="J3230">
        <v>-467.1465</v>
      </c>
      <c r="K3230">
        <v>1.12079</v>
      </c>
      <c r="L3230">
        <v>214.66720000000001</v>
      </c>
      <c r="M3230">
        <v>0.99798529999999996</v>
      </c>
      <c r="N3230">
        <v>-1.415025E-2</v>
      </c>
      <c r="O3230">
        <v>6.1848439999999998E-2</v>
      </c>
      <c r="P3230">
        <v>0.99312650000000002</v>
      </c>
      <c r="Q3230">
        <v>-0.1059095</v>
      </c>
      <c r="R3230">
        <v>4.9829400000000003E-2</v>
      </c>
      <c r="S3230">
        <v>2.9940799999999999</v>
      </c>
      <c r="T3230">
        <v>-0.25096950000000001</v>
      </c>
      <c r="U3230">
        <v>-2.5482180000000001E-3</v>
      </c>
      <c r="V3230">
        <v>1.165392E-2</v>
      </c>
      <c r="W3230">
        <v>-9.1834520000000003E-2</v>
      </c>
      <c r="X3230">
        <v>0.99570610000000004</v>
      </c>
      <c r="Y3230">
        <v>6.2298979999999997E-2</v>
      </c>
      <c r="Z3230">
        <v>-7.3465140000000002E-3</v>
      </c>
      <c r="AA3230">
        <v>0.99803050000000004</v>
      </c>
      <c r="AB3230">
        <v>19</v>
      </c>
      <c r="AC3230">
        <v>0.70460000000002698</v>
      </c>
      <c r="AD3230">
        <v>-7.35119999999998E-2</v>
      </c>
      <c r="AE3230">
        <v>-1.15000000000122E-2</v>
      </c>
      <c r="AF3230">
        <v>5.4468020904253497E-2</v>
      </c>
      <c r="AG3230">
        <v>-7.35119999999998E-2</v>
      </c>
      <c r="AH3230">
        <v>0.694976627796135</v>
      </c>
      <c r="AI3230">
        <v>96.019754886738497</v>
      </c>
      <c r="AJ3230">
        <v>85.518667448209001</v>
      </c>
      <c r="AK3230">
        <v>0.70097310406898905</v>
      </c>
      <c r="AL3230">
        <v>95.269154408811502</v>
      </c>
      <c r="AM3230">
        <v>89.329430699029203</v>
      </c>
      <c r="AN3230">
        <v>1.0000000152460999</v>
      </c>
    </row>
    <row r="3231" spans="1:40" x14ac:dyDescent="0.25">
      <c r="A3231" t="str">
        <f>"20190303154831327"</f>
        <v>20190303154831327</v>
      </c>
      <c r="B3231" t="str">
        <f>"1551599311324087"</f>
        <v>1551599311324087</v>
      </c>
      <c r="C3231" t="s">
        <v>40</v>
      </c>
      <c r="D3231">
        <v>5.6942380000000004</v>
      </c>
      <c r="E3231">
        <v>0.51837659999999997</v>
      </c>
      <c r="F3231" t="s">
        <v>42</v>
      </c>
      <c r="G3231">
        <v>-466.27350000000001</v>
      </c>
      <c r="H3231">
        <v>1.05162</v>
      </c>
      <c r="I3231">
        <v>214.6679</v>
      </c>
      <c r="J3231">
        <v>-466.95699999999999</v>
      </c>
      <c r="K3231">
        <v>1.120798</v>
      </c>
      <c r="L3231">
        <v>214.6788</v>
      </c>
      <c r="M3231">
        <v>0.99799729999999998</v>
      </c>
      <c r="N3231">
        <v>-1.4145919999999999E-2</v>
      </c>
      <c r="O3231">
        <v>6.1656460000000003E-2</v>
      </c>
      <c r="P3231">
        <v>0.99314460000000004</v>
      </c>
      <c r="Q3231">
        <v>-0.1051499</v>
      </c>
      <c r="R3231">
        <v>5.1061099999999998E-2</v>
      </c>
      <c r="S3231">
        <v>2.9952999999999999</v>
      </c>
      <c r="T3231">
        <v>-0.2373596</v>
      </c>
      <c r="U3231">
        <v>3.0975339999999999E-3</v>
      </c>
      <c r="V3231">
        <v>1.023278E-2</v>
      </c>
      <c r="W3231">
        <v>-9.1077539999999998E-2</v>
      </c>
      <c r="X3231">
        <v>0.99579130000000005</v>
      </c>
      <c r="Y3231">
        <v>6.0277419999999998E-2</v>
      </c>
      <c r="Z3231">
        <v>-6.816084E-3</v>
      </c>
      <c r="AA3231">
        <v>0.9981584</v>
      </c>
      <c r="AB3231">
        <v>18</v>
      </c>
      <c r="AC3231">
        <v>0.68349999999998001</v>
      </c>
      <c r="AD3231">
        <v>-6.9177999999999906E-2</v>
      </c>
      <c r="AE3231">
        <v>-1.08999999999923E-2</v>
      </c>
      <c r="AF3231">
        <v>5.24881218803731E-2</v>
      </c>
      <c r="AG3231">
        <v>-6.9177999999999906E-2</v>
      </c>
      <c r="AH3231">
        <v>0.67461834643934204</v>
      </c>
      <c r="AI3231">
        <v>95.837349289409204</v>
      </c>
      <c r="AJ3231">
        <v>85.551111967117805</v>
      </c>
      <c r="AK3231">
        <v>0.68018417504017303</v>
      </c>
      <c r="AL3231">
        <v>95.225599828079098</v>
      </c>
      <c r="AM3231">
        <v>89.4112476469341</v>
      </c>
      <c r="AN3231">
        <v>1.00000007061733</v>
      </c>
    </row>
    <row r="3232" spans="1:40" x14ac:dyDescent="0.25">
      <c r="A3232" t="str">
        <f>"20190303154831348"</f>
        <v>20190303154831348</v>
      </c>
      <c r="B3232" t="str">
        <f>"1551599311344584"</f>
        <v>1551599311344584</v>
      </c>
      <c r="C3232" t="s">
        <v>40</v>
      </c>
      <c r="D3232">
        <v>5.744974</v>
      </c>
      <c r="E3232">
        <v>0.51857509999999996</v>
      </c>
      <c r="F3232" t="s">
        <v>52</v>
      </c>
      <c r="G3232">
        <v>-452.34480000000002</v>
      </c>
      <c r="H3232" s="1">
        <v>-2.9315439999999997E-7</v>
      </c>
      <c r="I3232">
        <v>214.71180000000001</v>
      </c>
      <c r="J3232">
        <v>-466.78210000000001</v>
      </c>
      <c r="K3232">
        <v>1.1207819999999999</v>
      </c>
      <c r="L3232">
        <v>214.68940000000001</v>
      </c>
      <c r="M3232">
        <v>0.99801050000000002</v>
      </c>
      <c r="N3232">
        <v>-1.4141870000000001E-2</v>
      </c>
      <c r="O3232">
        <v>6.144049E-2</v>
      </c>
      <c r="P3232">
        <v>0.99302630000000003</v>
      </c>
      <c r="Q3232">
        <v>-0.10594969999999999</v>
      </c>
      <c r="R3232">
        <v>5.1706259999999997E-2</v>
      </c>
      <c r="S3232">
        <v>2.9960330000000002</v>
      </c>
      <c r="T3232">
        <v>-0.22980510000000001</v>
      </c>
      <c r="U3232">
        <v>6.7596440000000004E-3</v>
      </c>
      <c r="V3232">
        <v>9.3643500000000005E-3</v>
      </c>
      <c r="W3232">
        <v>-9.1882069999999996E-2</v>
      </c>
      <c r="X3232">
        <v>0.99572590000000005</v>
      </c>
      <c r="Y3232">
        <v>5.8869820000000003E-2</v>
      </c>
      <c r="Z3232">
        <v>-6.506586E-3</v>
      </c>
      <c r="AA3232">
        <v>0.99824449999999998</v>
      </c>
      <c r="AB3232">
        <v>18</v>
      </c>
      <c r="AC3232">
        <v>14.437299999999899</v>
      </c>
      <c r="AD3232">
        <v>-1.12078229315439</v>
      </c>
      <c r="AE3232">
        <v>2.24000000000046E-2</v>
      </c>
      <c r="AF3232">
        <v>0.85958553456845099</v>
      </c>
      <c r="AG3232">
        <v>-1.12078229315439</v>
      </c>
      <c r="AH3232">
        <v>14.325064383108399</v>
      </c>
      <c r="AI3232">
        <v>94.465665410128594</v>
      </c>
      <c r="AJ3232">
        <v>86.566044148623703</v>
      </c>
      <c r="AK3232">
        <v>14.394530552265</v>
      </c>
      <c r="AL3232">
        <v>95.271890276173707</v>
      </c>
      <c r="AM3232">
        <v>89.461175092855001</v>
      </c>
      <c r="AN3232">
        <v>1.0000000368846</v>
      </c>
    </row>
    <row r="3233" spans="1:40" x14ac:dyDescent="0.25">
      <c r="A3233" t="str">
        <f>"20190303154831370"</f>
        <v>20190303154831370</v>
      </c>
      <c r="B3233" t="str">
        <f>"1551599311364103"</f>
        <v>1551599311364103</v>
      </c>
      <c r="C3233" t="s">
        <v>40</v>
      </c>
      <c r="D3233">
        <v>5.7446650000000004</v>
      </c>
      <c r="E3233">
        <v>0.51884819999999998</v>
      </c>
      <c r="F3233" t="s">
        <v>52</v>
      </c>
      <c r="G3233">
        <v>-452.23439999999999</v>
      </c>
      <c r="H3233" s="1">
        <v>-3.5244860000000001E-7</v>
      </c>
      <c r="I3233">
        <v>214.7242</v>
      </c>
      <c r="J3233">
        <v>-466.59789999999998</v>
      </c>
      <c r="K3233">
        <v>1.1207530000000001</v>
      </c>
      <c r="L3233">
        <v>214.70050000000001</v>
      </c>
      <c r="M3233">
        <v>0.99802709999999994</v>
      </c>
      <c r="N3233">
        <v>-1.413763E-2</v>
      </c>
      <c r="O3233">
        <v>6.1174890000000003E-2</v>
      </c>
      <c r="P3233">
        <v>0.99289570000000005</v>
      </c>
      <c r="Q3233">
        <v>-0.10707079999999999</v>
      </c>
      <c r="R3233">
        <v>5.1909410000000003E-2</v>
      </c>
      <c r="S3233">
        <v>2.9960629999999999</v>
      </c>
      <c r="T3233">
        <v>-0.2308229</v>
      </c>
      <c r="U3233">
        <v>7.1716310000000004E-3</v>
      </c>
      <c r="V3233">
        <v>8.8854469999999994E-3</v>
      </c>
      <c r="W3233">
        <v>-9.3008930000000004E-2</v>
      </c>
      <c r="X3233">
        <v>0.9956256</v>
      </c>
      <c r="Y3233">
        <v>5.846585E-2</v>
      </c>
      <c r="Z3233">
        <v>-6.5023379999999999E-3</v>
      </c>
      <c r="AA3233">
        <v>0.99826820000000005</v>
      </c>
      <c r="AB3233">
        <v>18</v>
      </c>
      <c r="AC3233">
        <v>14.363499999999901</v>
      </c>
      <c r="AD3233">
        <v>-1.1207533524486</v>
      </c>
      <c r="AE3233">
        <v>2.3699999999990898E-2</v>
      </c>
      <c r="AF3233">
        <v>0.84994287507630295</v>
      </c>
      <c r="AG3233">
        <v>-1.1207533524486</v>
      </c>
      <c r="AH3233">
        <v>14.2512761711231</v>
      </c>
      <c r="AI3233">
        <v>94.488674918852197</v>
      </c>
      <c r="AJ3233">
        <v>86.586935533641295</v>
      </c>
      <c r="AK3233">
        <v>14.3205224581206</v>
      </c>
      <c r="AL3233">
        <v>95.336732606931704</v>
      </c>
      <c r="AM3233">
        <v>89.488678176950799</v>
      </c>
      <c r="AN3233">
        <v>0.99999997380174699</v>
      </c>
    </row>
    <row r="3234" spans="1:40" x14ac:dyDescent="0.25">
      <c r="A3234" t="str">
        <f>"20190303154831396"</f>
        <v>20190303154831396</v>
      </c>
      <c r="B3234" t="str">
        <f>"1551599311383623"</f>
        <v>1551599311383623</v>
      </c>
      <c r="C3234" t="s">
        <v>40</v>
      </c>
      <c r="D3234">
        <v>5.7304199999999996</v>
      </c>
      <c r="E3234">
        <v>0.51897970000000004</v>
      </c>
      <c r="F3234" t="s">
        <v>52</v>
      </c>
      <c r="G3234">
        <v>-452.16660000000002</v>
      </c>
      <c r="H3234" s="1">
        <v>-3.8875310000000001E-7</v>
      </c>
      <c r="I3234">
        <v>214.72880000000001</v>
      </c>
      <c r="J3234">
        <v>-466.39569999999998</v>
      </c>
      <c r="K3234">
        <v>1.1207290000000001</v>
      </c>
      <c r="L3234">
        <v>214.71250000000001</v>
      </c>
      <c r="M3234">
        <v>0.99804749999999998</v>
      </c>
      <c r="N3234">
        <v>-1.41332E-2</v>
      </c>
      <c r="O3234">
        <v>6.0840940000000003E-2</v>
      </c>
      <c r="P3234">
        <v>0.99268089999999998</v>
      </c>
      <c r="Q3234">
        <v>-0.10908329999999999</v>
      </c>
      <c r="R3234">
        <v>5.1823090000000002E-2</v>
      </c>
      <c r="S3234">
        <v>2.9960629999999999</v>
      </c>
      <c r="T3234">
        <v>-0.2326781</v>
      </c>
      <c r="U3234">
        <v>5.8746340000000001E-3</v>
      </c>
      <c r="V3234">
        <v>8.6198730000000001E-3</v>
      </c>
      <c r="W3234">
        <v>-9.5029119999999995E-2</v>
      </c>
      <c r="X3234">
        <v>0.99543709999999996</v>
      </c>
      <c r="Y3234">
        <v>5.8558859999999997E-2</v>
      </c>
      <c r="Z3234">
        <v>-6.5413679999999997E-3</v>
      </c>
      <c r="AA3234">
        <v>0.99826250000000005</v>
      </c>
      <c r="AB3234">
        <v>18</v>
      </c>
      <c r="AC3234">
        <v>14.229099999999899</v>
      </c>
      <c r="AD3234">
        <v>-1.1207293887531</v>
      </c>
      <c r="AE3234">
        <v>1.6300000000001001E-2</v>
      </c>
      <c r="AF3234">
        <v>0.84429074874042798</v>
      </c>
      <c r="AG3234">
        <v>-1.1207293887531</v>
      </c>
      <c r="AH3234">
        <v>14.116155318222299</v>
      </c>
      <c r="AI3234">
        <v>94.531320466619704</v>
      </c>
      <c r="AJ3234">
        <v>86.577202756973506</v>
      </c>
      <c r="AK3234">
        <v>14.1857217722398</v>
      </c>
      <c r="AL3234">
        <v>95.452996242137104</v>
      </c>
      <c r="AM3234">
        <v>89.503866192234796</v>
      </c>
      <c r="AN3234">
        <v>0.99999992795745696</v>
      </c>
    </row>
    <row r="3235" spans="1:40" x14ac:dyDescent="0.25">
      <c r="A3235" t="str">
        <f>"20190303154831416"</f>
        <v>20190303154831416</v>
      </c>
      <c r="B3235" t="str">
        <f>"1551599311404119"</f>
        <v>1551599311404119</v>
      </c>
      <c r="C3235" t="s">
        <v>40</v>
      </c>
      <c r="D3235">
        <v>5.8474180000000002</v>
      </c>
      <c r="E3235">
        <v>0.5191384</v>
      </c>
      <c r="F3235" t="s">
        <v>52</v>
      </c>
      <c r="G3235">
        <v>-452.37810000000002</v>
      </c>
      <c r="H3235" s="1">
        <v>-2.7651269999999998E-7</v>
      </c>
      <c r="I3235">
        <v>214.7354</v>
      </c>
      <c r="J3235">
        <v>-466.22410000000002</v>
      </c>
      <c r="K3235">
        <v>1.1206940000000001</v>
      </c>
      <c r="L3235">
        <v>214.7226</v>
      </c>
      <c r="M3235">
        <v>0.99806689999999998</v>
      </c>
      <c r="N3235">
        <v>-1.412939E-2</v>
      </c>
      <c r="O3235">
        <v>6.0521180000000001E-2</v>
      </c>
      <c r="P3235">
        <v>0.99231659999999999</v>
      </c>
      <c r="Q3235">
        <v>-0.1127952</v>
      </c>
      <c r="R3235">
        <v>5.084056E-2</v>
      </c>
      <c r="S3235">
        <v>2.9955440000000002</v>
      </c>
      <c r="T3235">
        <v>-0.23949790000000001</v>
      </c>
      <c r="U3235">
        <v>4.8980710000000004E-3</v>
      </c>
      <c r="V3235">
        <v>9.2527579999999998E-3</v>
      </c>
      <c r="W3235">
        <v>-9.8751190000000003E-2</v>
      </c>
      <c r="X3235">
        <v>0.99506910000000004</v>
      </c>
      <c r="Y3235">
        <v>5.8544409999999998E-2</v>
      </c>
      <c r="Z3235">
        <v>-6.725328E-3</v>
      </c>
      <c r="AA3235">
        <v>0.99826219999999999</v>
      </c>
      <c r="AB3235">
        <v>18</v>
      </c>
      <c r="AC3235">
        <v>13.846</v>
      </c>
      <c r="AD3235">
        <v>-1.1206942765126999</v>
      </c>
      <c r="AE3235">
        <v>1.27999999999985E-2</v>
      </c>
      <c r="AF3235">
        <v>0.81991192820162195</v>
      </c>
      <c r="AG3235">
        <v>-1.1206942765126999</v>
      </c>
      <c r="AH3235">
        <v>13.731430492954001</v>
      </c>
      <c r="AI3235">
        <v>94.657609411173993</v>
      </c>
      <c r="AJ3235">
        <v>86.582891948204093</v>
      </c>
      <c r="AK3235">
        <v>13.8014634953777</v>
      </c>
      <c r="AL3235">
        <v>95.667263201227499</v>
      </c>
      <c r="AM3235">
        <v>89.467244331503295</v>
      </c>
      <c r="AN3235">
        <v>0.99999996241591504</v>
      </c>
    </row>
    <row r="3236" spans="1:40" x14ac:dyDescent="0.25">
      <c r="A3236" t="str">
        <f>"20190303154831439"</f>
        <v>20190303154831439</v>
      </c>
      <c r="B3236" t="str">
        <f>"1551599311434376"</f>
        <v>1551599311434376</v>
      </c>
      <c r="C3236" t="s">
        <v>40</v>
      </c>
      <c r="D3236">
        <v>5.8644480000000003</v>
      </c>
      <c r="E3236">
        <v>0.51925940000000004</v>
      </c>
      <c r="F3236" t="s">
        <v>52</v>
      </c>
      <c r="G3236">
        <v>-452.89760000000001</v>
      </c>
      <c r="H3236" s="1">
        <v>3.6129629999999999E-10</v>
      </c>
      <c r="I3236">
        <v>214.72620000000001</v>
      </c>
      <c r="J3236">
        <v>-466.0437</v>
      </c>
      <c r="K3236">
        <v>1.12066</v>
      </c>
      <c r="L3236">
        <v>214.73310000000001</v>
      </c>
      <c r="M3236">
        <v>0.99808929999999996</v>
      </c>
      <c r="N3236">
        <v>-1.4125179999999999E-2</v>
      </c>
      <c r="O3236">
        <v>6.0150910000000002E-2</v>
      </c>
      <c r="P3236">
        <v>0.9918458</v>
      </c>
      <c r="Q3236">
        <v>-0.1174413</v>
      </c>
      <c r="R3236">
        <v>4.9492399999999999E-2</v>
      </c>
      <c r="S3236">
        <v>2.9945680000000001</v>
      </c>
      <c r="T3236">
        <v>-0.2518282</v>
      </c>
      <c r="U3236">
        <v>8.0871580000000005E-4</v>
      </c>
      <c r="V3236">
        <v>1.0193600000000001E-2</v>
      </c>
      <c r="W3236">
        <v>-0.1034098</v>
      </c>
      <c r="X3236">
        <v>0.99458659999999999</v>
      </c>
      <c r="Y3236">
        <v>5.9495190000000003E-2</v>
      </c>
      <c r="Z3236">
        <v>-7.1166440000000001E-3</v>
      </c>
      <c r="AA3236">
        <v>0.99820319999999996</v>
      </c>
      <c r="AB3236">
        <v>18</v>
      </c>
      <c r="AC3236">
        <v>13.146099999999899</v>
      </c>
      <c r="AD3236">
        <v>-1.1206599996387001</v>
      </c>
      <c r="AE3236">
        <v>-6.90000000000168E-3</v>
      </c>
      <c r="AF3236">
        <v>0.79196115393186095</v>
      </c>
      <c r="AG3236">
        <v>-1.1206599996387001</v>
      </c>
      <c r="AH3236">
        <v>13.027208032022401</v>
      </c>
      <c r="AI3236">
        <v>94.907724264581702</v>
      </c>
      <c r="AJ3236">
        <v>86.521107564401902</v>
      </c>
      <c r="AK3236">
        <v>13.0992835839872</v>
      </c>
      <c r="AL3236">
        <v>95.935556056897894</v>
      </c>
      <c r="AM3236">
        <v>89.412791395873697</v>
      </c>
      <c r="AN3236">
        <v>1.0000000005582701</v>
      </c>
    </row>
    <row r="3237" spans="1:40" x14ac:dyDescent="0.25">
      <c r="A3237" t="str">
        <f>"20190303154831461"</f>
        <v>20190303154831461</v>
      </c>
      <c r="B3237" t="str">
        <f>"1551599311453895"</f>
        <v>1551599311453895</v>
      </c>
      <c r="C3237" t="s">
        <v>40</v>
      </c>
      <c r="D3237">
        <v>5.8447769999999997</v>
      </c>
      <c r="E3237">
        <v>0.51933370000000001</v>
      </c>
      <c r="F3237" t="s">
        <v>42</v>
      </c>
      <c r="G3237">
        <v>-465.28530000000001</v>
      </c>
      <c r="H3237">
        <v>1.0522720000000001</v>
      </c>
      <c r="I3237">
        <v>214.73169999999999</v>
      </c>
      <c r="J3237">
        <v>-465.86439999999999</v>
      </c>
      <c r="K3237">
        <v>1.120636</v>
      </c>
      <c r="L3237">
        <v>214.74350000000001</v>
      </c>
      <c r="M3237">
        <v>0.99811349999999999</v>
      </c>
      <c r="N3237">
        <v>-1.4121089999999999E-2</v>
      </c>
      <c r="O3237">
        <v>5.97513E-2</v>
      </c>
      <c r="P3237">
        <v>0.99173440000000002</v>
      </c>
      <c r="Q3237">
        <v>-0.11884119999999999</v>
      </c>
      <c r="R3237">
        <v>4.8374599999999997E-2</v>
      </c>
      <c r="S3237">
        <v>2.9929809999999999</v>
      </c>
      <c r="T3237">
        <v>-0.26988879999999998</v>
      </c>
      <c r="U3237">
        <v>-4.4250490000000003E-3</v>
      </c>
      <c r="V3237">
        <v>1.0901370000000001E-2</v>
      </c>
      <c r="W3237">
        <v>-0.1048168</v>
      </c>
      <c r="X3237">
        <v>0.99443179999999998</v>
      </c>
      <c r="Y3237">
        <v>6.077544E-2</v>
      </c>
      <c r="Z3237">
        <v>-7.6967889999999999E-3</v>
      </c>
      <c r="AA3237">
        <v>0.99812179999999995</v>
      </c>
      <c r="AB3237">
        <v>18</v>
      </c>
      <c r="AC3237">
        <v>0.57909999999998196</v>
      </c>
      <c r="AD3237">
        <v>-6.8363999999999994E-2</v>
      </c>
      <c r="AE3237">
        <v>-1.1800000000022201E-2</v>
      </c>
      <c r="AF3237">
        <v>4.5747057203381999E-2</v>
      </c>
      <c r="AG3237">
        <v>-6.8363999999999994E-2</v>
      </c>
      <c r="AH3237">
        <v>0.56942755174766901</v>
      </c>
      <c r="AI3237">
        <v>96.824237259335405</v>
      </c>
      <c r="AJ3237">
        <v>85.406797793065707</v>
      </c>
      <c r="AK3237">
        <v>0.57533830606706005</v>
      </c>
      <c r="AL3237">
        <v>96.016611711622204</v>
      </c>
      <c r="AM3237">
        <v>89.371925281056306</v>
      </c>
      <c r="AN3237">
        <v>1.0000000031406699</v>
      </c>
    </row>
    <row r="3238" spans="1:40" x14ac:dyDescent="0.25">
      <c r="A3238" t="str">
        <f>"20190303154831483"</f>
        <v>20190303154831483</v>
      </c>
      <c r="B3238" t="str">
        <f>"1551599311474391"</f>
        <v>1551599311474391</v>
      </c>
      <c r="C3238" t="s">
        <v>40</v>
      </c>
      <c r="D3238">
        <v>5.8963549999999998</v>
      </c>
      <c r="E3238">
        <v>0.51941380000000004</v>
      </c>
      <c r="F3238" t="s">
        <v>42</v>
      </c>
      <c r="G3238">
        <v>-464.97750000000002</v>
      </c>
      <c r="H3238">
        <v>1.0389900000000001</v>
      </c>
      <c r="I3238">
        <v>214.7407</v>
      </c>
      <c r="J3238">
        <v>-465.68439999999998</v>
      </c>
      <c r="K3238">
        <v>1.1206389999999999</v>
      </c>
      <c r="L3238">
        <v>214.75370000000001</v>
      </c>
      <c r="M3238">
        <v>0.99813890000000005</v>
      </c>
      <c r="N3238">
        <v>-1.4116979999999999E-2</v>
      </c>
      <c r="O3238">
        <v>5.9326139999999999E-2</v>
      </c>
      <c r="P3238">
        <v>0.99206019999999995</v>
      </c>
      <c r="Q3238">
        <v>-0.11663949999999999</v>
      </c>
      <c r="R3238">
        <v>4.703135E-2</v>
      </c>
      <c r="S3238">
        <v>2.9924010000000001</v>
      </c>
      <c r="T3238">
        <v>-0.27556160000000002</v>
      </c>
      <c r="U3238">
        <v>-8.4686280000000006E-3</v>
      </c>
      <c r="V3238">
        <v>1.1840359999999999E-2</v>
      </c>
      <c r="W3238">
        <v>-0.1026166</v>
      </c>
      <c r="X3238">
        <v>0.99465049999999999</v>
      </c>
      <c r="Y3238">
        <v>6.1676019999999998E-2</v>
      </c>
      <c r="Z3238">
        <v>-7.8831409999999998E-3</v>
      </c>
      <c r="AA3238">
        <v>0.99806510000000004</v>
      </c>
      <c r="AB3238">
        <v>18</v>
      </c>
      <c r="AC3238">
        <v>0.706899999999961</v>
      </c>
      <c r="AD3238">
        <v>-8.1648999999999999E-2</v>
      </c>
      <c r="AE3238">
        <v>-1.30000000000052E-2</v>
      </c>
      <c r="AF3238">
        <v>5.4196140833450097E-2</v>
      </c>
      <c r="AG3238">
        <v>-8.1648999999999999E-2</v>
      </c>
      <c r="AH3238">
        <v>0.69560644676142402</v>
      </c>
      <c r="AI3238">
        <v>96.674595118784097</v>
      </c>
      <c r="AJ3238">
        <v>85.5449669003021</v>
      </c>
      <c r="AK3238">
        <v>0.70247570040414398</v>
      </c>
      <c r="AL3238">
        <v>95.889866040316605</v>
      </c>
      <c r="AM3238">
        <v>89.317980924935299</v>
      </c>
      <c r="AN3238">
        <v>0.99999998893536901</v>
      </c>
    </row>
    <row r="3239" spans="1:40" x14ac:dyDescent="0.25">
      <c r="A3239" t="str">
        <f>"20190303154831504"</f>
        <v>20190303154831504</v>
      </c>
      <c r="B3239" t="str">
        <f>"1551599311493912"</f>
        <v>1551599311493912</v>
      </c>
      <c r="C3239" t="s">
        <v>40</v>
      </c>
      <c r="D3239">
        <v>5.6616039999999996</v>
      </c>
      <c r="E3239">
        <v>0.51970850000000002</v>
      </c>
      <c r="F3239" t="s">
        <v>42</v>
      </c>
      <c r="G3239">
        <v>-464.81439999999998</v>
      </c>
      <c r="H3239">
        <v>1.0418069999999999</v>
      </c>
      <c r="I3239">
        <v>214.74959999999999</v>
      </c>
      <c r="J3239">
        <v>-465.50920000000002</v>
      </c>
      <c r="K3239">
        <v>1.1206419999999999</v>
      </c>
      <c r="L3239">
        <v>214.7636</v>
      </c>
      <c r="M3239">
        <v>0.9981641</v>
      </c>
      <c r="N3239">
        <v>-1.4112919999999999E-2</v>
      </c>
      <c r="O3239">
        <v>5.8901019999999998E-2</v>
      </c>
      <c r="P3239">
        <v>0.99217500000000003</v>
      </c>
      <c r="Q3239">
        <v>-0.11626060000000001</v>
      </c>
      <c r="R3239">
        <v>4.5522E-2</v>
      </c>
      <c r="S3239">
        <v>2.992737</v>
      </c>
      <c r="T3239">
        <v>-0.27124730000000002</v>
      </c>
      <c r="U3239">
        <v>-1.312256E-2</v>
      </c>
      <c r="V3239">
        <v>1.293353E-2</v>
      </c>
      <c r="W3239">
        <v>-0.1022419</v>
      </c>
      <c r="X3239">
        <v>0.99467550000000005</v>
      </c>
      <c r="Y3239">
        <v>6.2813859999999999E-2</v>
      </c>
      <c r="Z3239">
        <v>-7.7802649999999998E-3</v>
      </c>
      <c r="AA3239">
        <v>0.99799499999999997</v>
      </c>
      <c r="AB3239">
        <v>18</v>
      </c>
      <c r="AC3239">
        <v>0.69480000000004305</v>
      </c>
      <c r="AD3239">
        <v>-7.8834999999999905E-2</v>
      </c>
      <c r="AE3239">
        <v>-1.4000000000009999E-2</v>
      </c>
      <c r="AF3239">
        <v>5.4206611306345201E-2</v>
      </c>
      <c r="AG3239">
        <v>-7.8834999999999905E-2</v>
      </c>
      <c r="AH3239">
        <v>0.68396685334759699</v>
      </c>
      <c r="AI3239">
        <v>96.554606386473495</v>
      </c>
      <c r="AJ3239">
        <v>85.468593520233796</v>
      </c>
      <c r="AK3239">
        <v>0.69062578174618505</v>
      </c>
      <c r="AL3239">
        <v>95.868283633867506</v>
      </c>
      <c r="AM3239">
        <v>89.255038528015106</v>
      </c>
      <c r="AN3239">
        <v>1.0000000163070599</v>
      </c>
    </row>
    <row r="3240" spans="1:40" x14ac:dyDescent="0.25">
      <c r="A3240" t="str">
        <f>"20190303154831528"</f>
        <v>20190303154831528</v>
      </c>
      <c r="B3240" t="str">
        <f>"1551599311524168"</f>
        <v>1551599311524168</v>
      </c>
      <c r="C3240" t="s">
        <v>40</v>
      </c>
      <c r="D3240">
        <v>5.8654570000000001</v>
      </c>
      <c r="E3240">
        <v>0.51978729999999995</v>
      </c>
      <c r="F3240" t="s">
        <v>42</v>
      </c>
      <c r="G3240">
        <v>-464.65170000000001</v>
      </c>
      <c r="H3240">
        <v>1.043841</v>
      </c>
      <c r="I3240">
        <v>214.7576</v>
      </c>
      <c r="J3240">
        <v>-465.32369999999997</v>
      </c>
      <c r="K3240">
        <v>1.120663</v>
      </c>
      <c r="L3240">
        <v>214.774</v>
      </c>
      <c r="M3240">
        <v>0.99819029999999997</v>
      </c>
      <c r="N3240">
        <v>-1.4108529999999999E-2</v>
      </c>
      <c r="O3240">
        <v>5.8456330000000001E-2</v>
      </c>
      <c r="P3240">
        <v>0.9922453</v>
      </c>
      <c r="Q3240">
        <v>-0.116508</v>
      </c>
      <c r="R3240">
        <v>4.3305759999999999E-2</v>
      </c>
      <c r="S3240">
        <v>2.9931030000000001</v>
      </c>
      <c r="T3240">
        <v>-0.26823340000000001</v>
      </c>
      <c r="U3240">
        <v>-1.9882199999999999E-2</v>
      </c>
      <c r="V3240">
        <v>1.471196E-2</v>
      </c>
      <c r="W3240">
        <v>-0.1024949</v>
      </c>
      <c r="X3240">
        <v>0.99462470000000003</v>
      </c>
      <c r="Y3240">
        <v>6.4625970000000005E-2</v>
      </c>
      <c r="Z3240">
        <v>-7.7494290000000004E-3</v>
      </c>
      <c r="AA3240">
        <v>0.99787939999999997</v>
      </c>
      <c r="AB3240">
        <v>18</v>
      </c>
      <c r="AC3240">
        <v>0.67199999999996796</v>
      </c>
      <c r="AD3240">
        <v>-7.6821999999999904E-2</v>
      </c>
      <c r="AE3240">
        <v>-1.6400000000004401E-2</v>
      </c>
      <c r="AF3240">
        <v>5.49409328356458E-2</v>
      </c>
      <c r="AG3240">
        <v>-7.6821999999999904E-2</v>
      </c>
      <c r="AH3240">
        <v>0.66125524133960401</v>
      </c>
      <c r="AI3240">
        <v>96.604135055441205</v>
      </c>
      <c r="AJ3240">
        <v>85.250442360029794</v>
      </c>
      <c r="AK3240">
        <v>0.66796603205847904</v>
      </c>
      <c r="AL3240">
        <v>95.882856294062506</v>
      </c>
      <c r="AM3240">
        <v>89.1525730760508</v>
      </c>
      <c r="AN3240">
        <v>0.99999997007157004</v>
      </c>
    </row>
    <row r="3241" spans="1:40" x14ac:dyDescent="0.25">
      <c r="A3241" t="str">
        <f>"20190303154831551"</f>
        <v>20190303154831551</v>
      </c>
      <c r="B3241" t="str">
        <f>"1551599311543688"</f>
        <v>1551599311543688</v>
      </c>
      <c r="C3241" t="s">
        <v>40</v>
      </c>
      <c r="D3241">
        <v>5.8720059999999998</v>
      </c>
      <c r="E3241">
        <v>0.51984059999999999</v>
      </c>
      <c r="F3241" t="s">
        <v>42</v>
      </c>
      <c r="G3241">
        <v>-464.48919999999998</v>
      </c>
      <c r="H3241">
        <v>1.0453600000000001</v>
      </c>
      <c r="I3241">
        <v>214.7664</v>
      </c>
      <c r="J3241">
        <v>-465.13650000000001</v>
      </c>
      <c r="K3241">
        <v>1.120689</v>
      </c>
      <c r="L3241">
        <v>214.78450000000001</v>
      </c>
      <c r="M3241">
        <v>0.99821519999999997</v>
      </c>
      <c r="N3241">
        <v>-1.410398E-2</v>
      </c>
      <c r="O3241">
        <v>5.8031970000000002E-2</v>
      </c>
      <c r="P3241">
        <v>0.99228289999999997</v>
      </c>
      <c r="Q3241">
        <v>-0.11691410000000001</v>
      </c>
      <c r="R3241">
        <v>4.1302129999999999E-2</v>
      </c>
      <c r="S3241">
        <v>2.9928889999999999</v>
      </c>
      <c r="T3241">
        <v>-0.27007589999999998</v>
      </c>
      <c r="U3241">
        <v>-2.7114869999999999E-2</v>
      </c>
      <c r="V3241">
        <v>1.6298090000000001E-2</v>
      </c>
      <c r="W3241">
        <v>-0.1029065</v>
      </c>
      <c r="X3241">
        <v>0.99455749999999998</v>
      </c>
      <c r="Y3241">
        <v>6.6598760000000007E-2</v>
      </c>
      <c r="Z3241">
        <v>-7.8763150000000001E-3</v>
      </c>
      <c r="AA3241">
        <v>0.99774870000000004</v>
      </c>
      <c r="AB3241">
        <v>18</v>
      </c>
      <c r="AC3241">
        <v>0.64730000000002896</v>
      </c>
      <c r="AD3241">
        <v>-7.5328999999999896E-2</v>
      </c>
      <c r="AE3241">
        <v>-1.8100000000003998E-2</v>
      </c>
      <c r="AF3241">
        <v>5.4894465256521502E-2</v>
      </c>
      <c r="AG3241">
        <v>-7.5328999999999896E-2</v>
      </c>
      <c r="AH3241">
        <v>0.63654446851332602</v>
      </c>
      <c r="AI3241">
        <v>96.724295048138302</v>
      </c>
      <c r="AJ3241">
        <v>85.071108296393504</v>
      </c>
      <c r="AK3241">
        <v>0.64333251196539998</v>
      </c>
      <c r="AL3241">
        <v>95.906564433734204</v>
      </c>
      <c r="AM3241">
        <v>89.061162180073197</v>
      </c>
      <c r="AN3241">
        <v>0.99999999814307405</v>
      </c>
    </row>
    <row r="3242" spans="1:40" x14ac:dyDescent="0.25">
      <c r="A3242" t="str">
        <f>"20190303154831572"</f>
        <v>20190303154831572</v>
      </c>
      <c r="B3242" t="str">
        <f>"1551599311564183"</f>
        <v>1551599311564183</v>
      </c>
      <c r="C3242" t="s">
        <v>40</v>
      </c>
      <c r="D3242">
        <v>5.8552379999999999</v>
      </c>
      <c r="E3242">
        <v>0.51975109999999902</v>
      </c>
      <c r="F3242" t="s">
        <v>42</v>
      </c>
      <c r="G3242">
        <v>-464.32690000000002</v>
      </c>
      <c r="H3242">
        <v>1.047099</v>
      </c>
      <c r="I3242">
        <v>214.7748</v>
      </c>
      <c r="J3242">
        <v>-464.96379999999999</v>
      </c>
      <c r="K3242">
        <v>1.1207210000000001</v>
      </c>
      <c r="L3242">
        <v>214.79409999999999</v>
      </c>
      <c r="M3242">
        <v>0.99823580000000001</v>
      </c>
      <c r="N3242">
        <v>-1.409971E-2</v>
      </c>
      <c r="O3242">
        <v>5.7675669999999998E-2</v>
      </c>
      <c r="P3242">
        <v>0.99230209999999996</v>
      </c>
      <c r="Q3242">
        <v>-0.1171035</v>
      </c>
      <c r="R3242">
        <v>4.0292210000000002E-2</v>
      </c>
      <c r="S3242">
        <v>2.9926149999999998</v>
      </c>
      <c r="T3242">
        <v>-0.2721575</v>
      </c>
      <c r="U3242">
        <v>-3.385925E-2</v>
      </c>
      <c r="V3242">
        <v>1.6959889999999998E-2</v>
      </c>
      <c r="W3242">
        <v>-0.10309980000000001</v>
      </c>
      <c r="X3242">
        <v>0.99452640000000003</v>
      </c>
      <c r="Y3242">
        <v>6.8476120000000001E-2</v>
      </c>
      <c r="Z3242">
        <v>-8.0115329999999995E-3</v>
      </c>
      <c r="AA3242">
        <v>0.99762059999999997</v>
      </c>
      <c r="AB3242">
        <v>18</v>
      </c>
      <c r="AC3242">
        <v>0.63689999999996805</v>
      </c>
      <c r="AD3242">
        <v>-7.3621999999999799E-2</v>
      </c>
      <c r="AE3242">
        <v>-1.9299999999986901E-2</v>
      </c>
      <c r="AF3242">
        <v>5.5267345582236303E-2</v>
      </c>
      <c r="AG3242">
        <v>-7.3621999999999799E-2</v>
      </c>
      <c r="AH3242">
        <v>0.62636450866349103</v>
      </c>
      <c r="AI3242">
        <v>96.677997188851904</v>
      </c>
      <c r="AJ3242">
        <v>84.957559011811</v>
      </c>
      <c r="AK3242">
        <v>0.63309333915700206</v>
      </c>
      <c r="AL3242">
        <v>95.917699019200199</v>
      </c>
      <c r="AM3242">
        <v>89.023016445543803</v>
      </c>
      <c r="AN3242">
        <v>0.99999998346290497</v>
      </c>
    </row>
    <row r="3243" spans="1:40" x14ac:dyDescent="0.25">
      <c r="A3243" t="str">
        <f>"20190303154831595"</f>
        <v>20190303154831595</v>
      </c>
      <c r="B3243" t="str">
        <f>"1551599311584680"</f>
        <v>1551599311584680</v>
      </c>
      <c r="C3243" t="s">
        <v>40</v>
      </c>
      <c r="D3243">
        <v>5.8793350000000002</v>
      </c>
      <c r="E3243">
        <v>0.51962050000000004</v>
      </c>
      <c r="F3243" t="s">
        <v>42</v>
      </c>
      <c r="G3243">
        <v>-464.166</v>
      </c>
      <c r="H3243">
        <v>1.047661</v>
      </c>
      <c r="I3243">
        <v>214.78469999999999</v>
      </c>
      <c r="J3243">
        <v>-464.78379999999999</v>
      </c>
      <c r="K3243">
        <v>1.1207609999999999</v>
      </c>
      <c r="L3243">
        <v>214.80410000000001</v>
      </c>
      <c r="M3243">
        <v>0.99825489999999995</v>
      </c>
      <c r="N3243">
        <v>-1.409522E-2</v>
      </c>
      <c r="O3243">
        <v>5.7347639999999998E-2</v>
      </c>
      <c r="P3243">
        <v>0.99228749999999999</v>
      </c>
      <c r="Q3243">
        <v>-0.11739620000000001</v>
      </c>
      <c r="R3243">
        <v>3.9800490000000001E-2</v>
      </c>
      <c r="S3243">
        <v>2.9924010000000001</v>
      </c>
      <c r="T3243">
        <v>-0.27405000000000002</v>
      </c>
      <c r="U3243">
        <v>-3.6071779999999998E-2</v>
      </c>
      <c r="V3243">
        <v>1.7131899999999999E-2</v>
      </c>
      <c r="W3243">
        <v>-0.10339619999999999</v>
      </c>
      <c r="X3243">
        <v>0.99449270000000001</v>
      </c>
      <c r="Y3243">
        <v>6.8878540000000002E-2</v>
      </c>
      <c r="Z3243">
        <v>-8.065928E-3</v>
      </c>
      <c r="AA3243">
        <v>0.99759240000000005</v>
      </c>
      <c r="AB3243">
        <v>18</v>
      </c>
      <c r="AC3243">
        <v>0.61779999999998803</v>
      </c>
      <c r="AD3243">
        <v>-7.3100000000000095E-2</v>
      </c>
      <c r="AE3243">
        <v>-1.9400000000018701E-2</v>
      </c>
      <c r="AF3243">
        <v>5.4045049328918897E-2</v>
      </c>
      <c r="AG3243">
        <v>-7.3100000000000095E-2</v>
      </c>
      <c r="AH3243">
        <v>0.607178078782598</v>
      </c>
      <c r="AI3243">
        <v>96.838192934297794</v>
      </c>
      <c r="AJ3243">
        <v>84.913495422238597</v>
      </c>
      <c r="AK3243">
        <v>0.61394600471954497</v>
      </c>
      <c r="AL3243">
        <v>95.934772618688498</v>
      </c>
      <c r="AM3243">
        <v>89.013076231406501</v>
      </c>
      <c r="AN3243">
        <v>1.0000000032626699</v>
      </c>
    </row>
    <row r="3244" spans="1:40" x14ac:dyDescent="0.25">
      <c r="A3244" t="str">
        <f>"20190303154831620"</f>
        <v>20190303154831620</v>
      </c>
      <c r="B3244" t="str">
        <f>"1551599311613961"</f>
        <v>1551599311613961</v>
      </c>
      <c r="C3244" t="s">
        <v>40</v>
      </c>
      <c r="D3244">
        <v>5.8527509999999996</v>
      </c>
      <c r="E3244">
        <v>0.51944399999999902</v>
      </c>
      <c r="F3244" t="s">
        <v>42</v>
      </c>
      <c r="G3244">
        <v>-464.00490000000002</v>
      </c>
      <c r="H3244">
        <v>1.0487979999999999</v>
      </c>
      <c r="I3244">
        <v>214.7944</v>
      </c>
      <c r="J3244">
        <v>-464.584</v>
      </c>
      <c r="K3244">
        <v>1.1208039999999999</v>
      </c>
      <c r="L3244">
        <v>214.8151</v>
      </c>
      <c r="M3244">
        <v>0.99827270000000001</v>
      </c>
      <c r="N3244">
        <v>-1.4090170000000001E-2</v>
      </c>
      <c r="O3244">
        <v>5.7037060000000001E-2</v>
      </c>
      <c r="P3244">
        <v>0.9923208</v>
      </c>
      <c r="Q3244">
        <v>-0.1171233</v>
      </c>
      <c r="R3244">
        <v>3.9770880000000002E-2</v>
      </c>
      <c r="S3244">
        <v>2.9920650000000002</v>
      </c>
      <c r="T3244">
        <v>-0.27647349999999998</v>
      </c>
      <c r="U3244">
        <v>-3.6544800000000002E-2</v>
      </c>
      <c r="V3244">
        <v>1.6864199999999999E-2</v>
      </c>
      <c r="W3244">
        <v>-0.1031262</v>
      </c>
      <c r="X3244">
        <v>0.99452529999999995</v>
      </c>
      <c r="Y3244">
        <v>6.8719699999999995E-2</v>
      </c>
      <c r="Z3244">
        <v>-8.1082080000000004E-3</v>
      </c>
      <c r="AA3244">
        <v>0.99760309999999996</v>
      </c>
      <c r="AB3244">
        <v>18</v>
      </c>
      <c r="AC3244">
        <v>0.57909999999998196</v>
      </c>
      <c r="AD3244">
        <v>-7.2006000000000195E-2</v>
      </c>
      <c r="AE3244">
        <v>-2.0700000000004999E-2</v>
      </c>
      <c r="AF3244">
        <v>5.2883163910358598E-2</v>
      </c>
      <c r="AG3244">
        <v>-7.2006000000000195E-2</v>
      </c>
      <c r="AH3244">
        <v>0.56820266667113395</v>
      </c>
      <c r="AI3244">
        <v>97.1916086666495</v>
      </c>
      <c r="AJ3244">
        <v>84.682744917253601</v>
      </c>
      <c r="AK3244">
        <v>0.57518324338714699</v>
      </c>
      <c r="AL3244">
        <v>95.919219674990799</v>
      </c>
      <c r="AM3244">
        <v>89.028526585589802</v>
      </c>
      <c r="AN3244">
        <v>0.99999999335408396</v>
      </c>
    </row>
    <row r="3245" spans="1:40" x14ac:dyDescent="0.25">
      <c r="A3245" t="str">
        <f>"20190303154831643"</f>
        <v>20190303154831643</v>
      </c>
      <c r="B3245" t="str">
        <f>"1551599311634456"</f>
        <v>1551599311634456</v>
      </c>
      <c r="C3245" t="s">
        <v>40</v>
      </c>
      <c r="D3245">
        <v>5.8490099999999998</v>
      </c>
      <c r="E3245">
        <v>0.51939060000000004</v>
      </c>
      <c r="F3245" t="s">
        <v>42</v>
      </c>
      <c r="G3245">
        <v>-463.84230000000002</v>
      </c>
      <c r="H3245">
        <v>1.0519579999999999</v>
      </c>
      <c r="I3245">
        <v>214.8064</v>
      </c>
      <c r="J3245">
        <v>-464.40769999999998</v>
      </c>
      <c r="K3245">
        <v>1.120835</v>
      </c>
      <c r="L3245">
        <v>214.82490000000001</v>
      </c>
      <c r="M3245">
        <v>0.9982856</v>
      </c>
      <c r="N3245">
        <v>-1.408561E-2</v>
      </c>
      <c r="O3245">
        <v>5.6810890000000003E-2</v>
      </c>
      <c r="P3245">
        <v>0.99234520000000004</v>
      </c>
      <c r="Q3245">
        <v>-0.11680649999999999</v>
      </c>
      <c r="R3245">
        <v>4.0091849999999998E-2</v>
      </c>
      <c r="S3245">
        <v>2.9918520000000002</v>
      </c>
      <c r="T3245">
        <v>-0.27774559999999998</v>
      </c>
      <c r="U3245">
        <v>-3.5049440000000001E-2</v>
      </c>
      <c r="V3245">
        <v>1.632778E-2</v>
      </c>
      <c r="W3245">
        <v>-0.1028119</v>
      </c>
      <c r="X3245">
        <v>0.99456679999999997</v>
      </c>
      <c r="Y3245">
        <v>6.7995390000000003E-2</v>
      </c>
      <c r="Z3245">
        <v>-8.0911319999999991E-3</v>
      </c>
      <c r="AA3245">
        <v>0.99765280000000001</v>
      </c>
      <c r="AB3245">
        <v>18</v>
      </c>
      <c r="AC3245">
        <v>0.56539999999995405</v>
      </c>
      <c r="AD3245">
        <v>-6.8876999999999994E-2</v>
      </c>
      <c r="AE3245">
        <v>-1.8500000000017201E-2</v>
      </c>
      <c r="AF3245">
        <v>4.98551159106057E-2</v>
      </c>
      <c r="AG3245">
        <v>-6.8876999999999994E-2</v>
      </c>
      <c r="AH3245">
        <v>0.55520508029371196</v>
      </c>
      <c r="AI3245">
        <v>97.043749196916394</v>
      </c>
      <c r="AJ3245">
        <v>84.868838213783206</v>
      </c>
      <c r="AK3245">
        <v>0.56167807051317897</v>
      </c>
      <c r="AL3245">
        <v>95.901115331222599</v>
      </c>
      <c r="AM3245">
        <v>89.059461012748599</v>
      </c>
      <c r="AN3245">
        <v>1.00000000142178</v>
      </c>
    </row>
    <row r="3246" spans="1:40" x14ac:dyDescent="0.25">
      <c r="A3246" t="str">
        <f>"20190303154831664"</f>
        <v>20190303154831664</v>
      </c>
      <c r="B3246" t="str">
        <f>"1551599311653976"</f>
        <v>1551599311653976</v>
      </c>
      <c r="C3246" t="s">
        <v>40</v>
      </c>
      <c r="D3246">
        <v>5.8818530000000004</v>
      </c>
      <c r="E3246">
        <v>0.51931919999999998</v>
      </c>
      <c r="F3246" t="s">
        <v>42</v>
      </c>
      <c r="G3246">
        <v>-463.53309999999999</v>
      </c>
      <c r="H3246">
        <v>1.0397339999999999</v>
      </c>
      <c r="I3246">
        <v>214.81489999999999</v>
      </c>
      <c r="J3246">
        <v>-464.2337</v>
      </c>
      <c r="K3246">
        <v>1.1208629999999999</v>
      </c>
      <c r="L3246">
        <v>214.83459999999999</v>
      </c>
      <c r="M3246">
        <v>0.99829659999999998</v>
      </c>
      <c r="N3246">
        <v>-1.4081099999999999E-2</v>
      </c>
      <c r="O3246">
        <v>5.6619379999999997E-2</v>
      </c>
      <c r="P3246">
        <v>0.99244560000000004</v>
      </c>
      <c r="Q3246">
        <v>-0.1158676</v>
      </c>
      <c r="R3246">
        <v>4.033142E-2</v>
      </c>
      <c r="S3246">
        <v>2.9917910000000001</v>
      </c>
      <c r="T3246">
        <v>-0.27764070000000002</v>
      </c>
      <c r="U3246">
        <v>-3.337097E-2</v>
      </c>
      <c r="V3246">
        <v>1.5909340000000001E-2</v>
      </c>
      <c r="W3246">
        <v>-0.10187499999999999</v>
      </c>
      <c r="X3246">
        <v>0.99467000000000005</v>
      </c>
      <c r="Y3246">
        <v>6.7249229999999993E-2</v>
      </c>
      <c r="Z3246">
        <v>-8.0334039999999992E-3</v>
      </c>
      <c r="AA3246">
        <v>0.99770389999999998</v>
      </c>
      <c r="AB3246">
        <v>18</v>
      </c>
      <c r="AC3246">
        <v>0.70060000000000799</v>
      </c>
      <c r="AD3246">
        <v>-8.1128999999999896E-2</v>
      </c>
      <c r="AE3246">
        <v>-1.97000000000002E-2</v>
      </c>
      <c r="AF3246">
        <v>5.8555284210805497E-2</v>
      </c>
      <c r="AG3246">
        <v>-8.1128999999999896E-2</v>
      </c>
      <c r="AH3246">
        <v>0.68912685458345602</v>
      </c>
      <c r="AI3246">
        <v>96.690478606142094</v>
      </c>
      <c r="AJ3246">
        <v>85.143229152132093</v>
      </c>
      <c r="AK3246">
        <v>0.69635225113307198</v>
      </c>
      <c r="AL3246">
        <v>95.847151471860897</v>
      </c>
      <c r="AM3246">
        <v>89.083655567403795</v>
      </c>
      <c r="AN3246">
        <v>1.0000000158121101</v>
      </c>
    </row>
    <row r="3247" spans="1:40" x14ac:dyDescent="0.25">
      <c r="A3247" t="str">
        <f>"20190303154831685"</f>
        <v>20190303154831685</v>
      </c>
      <c r="B3247" t="str">
        <f>"1551599311673957"</f>
        <v>1551599311673957</v>
      </c>
      <c r="C3247" t="s">
        <v>40</v>
      </c>
      <c r="D3247">
        <v>5.864795</v>
      </c>
      <c r="E3247">
        <v>0.51927769999999995</v>
      </c>
      <c r="F3247" t="s">
        <v>42</v>
      </c>
      <c r="G3247">
        <v>-463.37349999999998</v>
      </c>
      <c r="H3247">
        <v>1.041617</v>
      </c>
      <c r="I3247">
        <v>214.82490000000001</v>
      </c>
      <c r="J3247">
        <v>-464.06139999999999</v>
      </c>
      <c r="K3247">
        <v>1.120884</v>
      </c>
      <c r="L3247">
        <v>214.8441</v>
      </c>
      <c r="M3247">
        <v>0.99830629999999998</v>
      </c>
      <c r="N3247">
        <v>-1.407664E-2</v>
      </c>
      <c r="O3247">
        <v>5.6450170000000001E-2</v>
      </c>
      <c r="P3247">
        <v>0.99259730000000002</v>
      </c>
      <c r="Q3247">
        <v>-0.11458550000000001</v>
      </c>
      <c r="R3247">
        <v>4.0258879999999997E-2</v>
      </c>
      <c r="S3247">
        <v>2.9919739999999999</v>
      </c>
      <c r="T3247">
        <v>-0.2757542</v>
      </c>
      <c r="U3247">
        <v>-3.1982419999999998E-2</v>
      </c>
      <c r="V3247">
        <v>1.582509E-2</v>
      </c>
      <c r="W3247">
        <v>-0.1005949</v>
      </c>
      <c r="X3247">
        <v>0.99480159999999995</v>
      </c>
      <c r="Y3247">
        <v>6.6627049999999993E-2</v>
      </c>
      <c r="Z3247">
        <v>-7.9302690000000002E-3</v>
      </c>
      <c r="AA3247">
        <v>0.99774640000000003</v>
      </c>
      <c r="AB3247">
        <v>18</v>
      </c>
      <c r="AC3247">
        <v>0.68790000000001295</v>
      </c>
      <c r="AD3247">
        <v>-7.9266999999999893E-2</v>
      </c>
      <c r="AE3247">
        <v>-1.9199999999983602E-2</v>
      </c>
      <c r="AF3247">
        <v>5.7245772676871101E-2</v>
      </c>
      <c r="AG3247">
        <v>-7.9266999999999893E-2</v>
      </c>
      <c r="AH3247">
        <v>0.67674012610126899</v>
      </c>
      <c r="AI3247">
        <v>96.657089456238893</v>
      </c>
      <c r="AJ3247">
        <v>85.164833294420504</v>
      </c>
      <c r="AK3247">
        <v>0.68376716362657597</v>
      </c>
      <c r="AL3247">
        <v>95.773428509923505</v>
      </c>
      <c r="AM3247">
        <v>89.088627927760299</v>
      </c>
      <c r="AN3247">
        <v>0.99999999537103801</v>
      </c>
    </row>
    <row r="3248" spans="1:40" x14ac:dyDescent="0.25">
      <c r="A3248" t="str">
        <f>"20190303154831707"</f>
        <v>20190303154831707</v>
      </c>
      <c r="B3248" t="str">
        <f>"1551599311694452"</f>
        <v>1551599311694452</v>
      </c>
      <c r="C3248" t="s">
        <v>40</v>
      </c>
      <c r="D3248">
        <v>5.874015</v>
      </c>
      <c r="E3248">
        <v>0.51922919999999995</v>
      </c>
      <c r="F3248" t="s">
        <v>42</v>
      </c>
      <c r="G3248">
        <v>-463.21409999999997</v>
      </c>
      <c r="H3248">
        <v>1.043644</v>
      </c>
      <c r="I3248">
        <v>214.8349</v>
      </c>
      <c r="J3248">
        <v>-463.89620000000002</v>
      </c>
      <c r="K3248">
        <v>1.120887</v>
      </c>
      <c r="L3248">
        <v>214.85319999999999</v>
      </c>
      <c r="M3248">
        <v>0.99831490000000001</v>
      </c>
      <c r="N3248">
        <v>-1.40722E-2</v>
      </c>
      <c r="O3248">
        <v>5.6298609999999999E-2</v>
      </c>
      <c r="P3248">
        <v>0.99249290000000001</v>
      </c>
      <c r="Q3248">
        <v>-0.11557770000000001</v>
      </c>
      <c r="R3248">
        <v>3.9998489999999998E-2</v>
      </c>
      <c r="S3248">
        <v>2.9922179999999998</v>
      </c>
      <c r="T3248">
        <v>-0.27280880000000002</v>
      </c>
      <c r="U3248">
        <v>-3.20282E-2</v>
      </c>
      <c r="V3248">
        <v>1.592874E-2</v>
      </c>
      <c r="W3248">
        <v>-0.1015929</v>
      </c>
      <c r="X3248">
        <v>0.99469850000000004</v>
      </c>
      <c r="Y3248">
        <v>6.6501840000000007E-2</v>
      </c>
      <c r="Z3248">
        <v>-7.8236369999999996E-3</v>
      </c>
      <c r="AA3248">
        <v>0.99775559999999996</v>
      </c>
      <c r="AB3248">
        <v>18</v>
      </c>
      <c r="AC3248">
        <v>0.682100000000048</v>
      </c>
      <c r="AD3248">
        <v>-7.7243000000000103E-2</v>
      </c>
      <c r="AE3248">
        <v>-1.8299999999982199E-2</v>
      </c>
      <c r="AF3248">
        <v>5.5958951637698998E-2</v>
      </c>
      <c r="AG3248">
        <v>-7.7243000000000103E-2</v>
      </c>
      <c r="AH3248">
        <v>0.67138398320653503</v>
      </c>
      <c r="AI3248">
        <v>96.540564951701199</v>
      </c>
      <c r="AJ3248">
        <v>85.235486527554997</v>
      </c>
      <c r="AK3248">
        <v>0.67812560652408904</v>
      </c>
      <c r="AL3248">
        <v>95.830904279822406</v>
      </c>
      <c r="AM3248">
        <v>89.082564641721206</v>
      </c>
      <c r="AN3248">
        <v>0.99999997399532303</v>
      </c>
    </row>
    <row r="3249" spans="1:40" x14ac:dyDescent="0.25">
      <c r="A3249" t="str">
        <f>"20190303154831728"</f>
        <v>20190303154831728</v>
      </c>
      <c r="B3249" t="str">
        <f>"1551599311723733"</f>
        <v>1551599311723733</v>
      </c>
      <c r="C3249" t="s">
        <v>40</v>
      </c>
      <c r="D3249">
        <v>5.9126779999999997</v>
      </c>
      <c r="E3249">
        <v>0.51914950000000004</v>
      </c>
      <c r="F3249" t="s">
        <v>42</v>
      </c>
      <c r="G3249">
        <v>-463.05630000000002</v>
      </c>
      <c r="H3249">
        <v>1.043156</v>
      </c>
      <c r="I3249">
        <v>214.8442</v>
      </c>
      <c r="J3249">
        <v>-463.72340000000003</v>
      </c>
      <c r="K3249">
        <v>1.1208659999999999</v>
      </c>
      <c r="L3249">
        <v>214.86279999999999</v>
      </c>
      <c r="M3249">
        <v>0.99832370000000004</v>
      </c>
      <c r="N3249">
        <v>-1.40676E-2</v>
      </c>
      <c r="O3249">
        <v>5.6142839999999999E-2</v>
      </c>
      <c r="P3249">
        <v>0.99222279999999996</v>
      </c>
      <c r="Q3249">
        <v>-0.1180592</v>
      </c>
      <c r="R3249">
        <v>3.9445309999999997E-2</v>
      </c>
      <c r="S3249">
        <v>2.9917600000000002</v>
      </c>
      <c r="T3249">
        <v>-0.2768642</v>
      </c>
      <c r="U3249">
        <v>-3.2424929999999998E-2</v>
      </c>
      <c r="V3249">
        <v>1.6309669999999998E-2</v>
      </c>
      <c r="W3249">
        <v>-0.1040832</v>
      </c>
      <c r="X3249">
        <v>0.99443479999999995</v>
      </c>
      <c r="Y3249">
        <v>6.6465789999999997E-2</v>
      </c>
      <c r="Z3249">
        <v>-7.9315569999999901E-3</v>
      </c>
      <c r="AA3249">
        <v>0.99775720000000001</v>
      </c>
      <c r="AB3249">
        <v>18</v>
      </c>
      <c r="AC3249">
        <v>0.66710000000000402</v>
      </c>
      <c r="AD3249">
        <v>-7.7709999999999904E-2</v>
      </c>
      <c r="AE3249">
        <v>-1.8599999999992099E-2</v>
      </c>
      <c r="AF3249">
        <v>5.52777275348625E-2</v>
      </c>
      <c r="AG3249">
        <v>-7.7709999999999904E-2</v>
      </c>
      <c r="AH3249">
        <v>0.65610695285474596</v>
      </c>
      <c r="AI3249">
        <v>96.731077045814303</v>
      </c>
      <c r="AJ3249">
        <v>85.184141212750802</v>
      </c>
      <c r="AK3249">
        <v>0.66300136111908403</v>
      </c>
      <c r="AL3249">
        <v>95.974348702911101</v>
      </c>
      <c r="AM3249">
        <v>89.0603793418137</v>
      </c>
      <c r="AN3249">
        <v>0.99999994465439201</v>
      </c>
    </row>
    <row r="3250" spans="1:40" x14ac:dyDescent="0.25">
      <c r="A3250" t="str">
        <f>"20190303154831752"</f>
        <v>20190303154831752</v>
      </c>
      <c r="B3250" t="str">
        <f>"1551599311744229"</f>
        <v>1551599311744229</v>
      </c>
      <c r="C3250" t="s">
        <v>40</v>
      </c>
      <c r="D3250">
        <v>5.8889719999999999</v>
      </c>
      <c r="E3250">
        <v>0.51907829999999999</v>
      </c>
      <c r="F3250" t="s">
        <v>42</v>
      </c>
      <c r="G3250">
        <v>-462.89920000000001</v>
      </c>
      <c r="H3250">
        <v>1.041928</v>
      </c>
      <c r="I3250">
        <v>214.8535</v>
      </c>
      <c r="J3250">
        <v>-463.53960000000001</v>
      </c>
      <c r="K3250">
        <v>1.120851</v>
      </c>
      <c r="L3250">
        <v>214.87289999999999</v>
      </c>
      <c r="M3250">
        <v>0.99833360000000004</v>
      </c>
      <c r="N3250">
        <v>-1.4062710000000001E-2</v>
      </c>
      <c r="O3250">
        <v>5.5968629999999998E-2</v>
      </c>
      <c r="P3250">
        <v>0.99204930000000002</v>
      </c>
      <c r="Q3250">
        <v>-0.11994389999999901</v>
      </c>
      <c r="R3250">
        <v>3.8107420000000003E-2</v>
      </c>
      <c r="S3250">
        <v>2.9907840000000001</v>
      </c>
      <c r="T3250">
        <v>-0.28645910000000002</v>
      </c>
      <c r="U3250">
        <v>-3.3355709999999997E-2</v>
      </c>
      <c r="V3250">
        <v>1.745942E-2</v>
      </c>
      <c r="W3250">
        <v>-0.1059766</v>
      </c>
      <c r="X3250">
        <v>0.99421530000000002</v>
      </c>
      <c r="Y3250">
        <v>6.6569509999999998E-2</v>
      </c>
      <c r="Z3250">
        <v>-8.2108149999999998E-3</v>
      </c>
      <c r="AA3250">
        <v>0.99774799999999997</v>
      </c>
      <c r="AB3250">
        <v>18</v>
      </c>
      <c r="AC3250">
        <v>0.64039999999999897</v>
      </c>
      <c r="AD3250">
        <v>-7.8922999999999993E-2</v>
      </c>
      <c r="AE3250">
        <v>-1.93999999999903E-2</v>
      </c>
      <c r="AF3250">
        <v>5.4390109206147598E-2</v>
      </c>
      <c r="AG3250">
        <v>-7.8922999999999993E-2</v>
      </c>
      <c r="AH3250">
        <v>0.62876901905296601</v>
      </c>
      <c r="AI3250">
        <v>97.1279988083039</v>
      </c>
      <c r="AJ3250">
        <v>85.056077037961003</v>
      </c>
      <c r="AK3250">
        <v>0.63603270610031204</v>
      </c>
      <c r="AL3250">
        <v>96.083435773166997</v>
      </c>
      <c r="AM3250">
        <v>88.993931932671501</v>
      </c>
      <c r="AN3250">
        <v>0.99999996692419202</v>
      </c>
    </row>
    <row r="3251" spans="1:40" x14ac:dyDescent="0.25">
      <c r="A3251" t="str">
        <f>"20190303154831775"</f>
        <v>20190303154831775</v>
      </c>
      <c r="B3251" t="str">
        <f>"1551599311763749"</f>
        <v>1551599311763749</v>
      </c>
      <c r="C3251" t="s">
        <v>40</v>
      </c>
      <c r="D3251">
        <v>5.9009640000000001</v>
      </c>
      <c r="E3251">
        <v>0.51905649999999903</v>
      </c>
      <c r="F3251" t="s">
        <v>42</v>
      </c>
      <c r="G3251">
        <v>-462.74149999999997</v>
      </c>
      <c r="H3251">
        <v>1.0424949999999999</v>
      </c>
      <c r="I3251">
        <v>214.86259999999999</v>
      </c>
      <c r="J3251">
        <v>-463.35939999999999</v>
      </c>
      <c r="K3251">
        <v>1.1208469999999999</v>
      </c>
      <c r="L3251">
        <v>214.8827</v>
      </c>
      <c r="M3251">
        <v>0.99834429999999996</v>
      </c>
      <c r="N3251">
        <v>-1.4057969999999999E-2</v>
      </c>
      <c r="O3251">
        <v>5.577911E-2</v>
      </c>
      <c r="P3251">
        <v>0.99206910000000004</v>
      </c>
      <c r="Q3251">
        <v>-0.12029810000000001</v>
      </c>
      <c r="R3251">
        <v>3.6436459999999997E-2</v>
      </c>
      <c r="S3251">
        <v>2.98996</v>
      </c>
      <c r="T3251">
        <v>-0.29370689999999999</v>
      </c>
      <c r="U3251">
        <v>-3.6911010000000001E-2</v>
      </c>
      <c r="V3251">
        <v>1.8937659999999999E-2</v>
      </c>
      <c r="W3251">
        <v>-0.1063373</v>
      </c>
      <c r="X3251">
        <v>0.99414970000000003</v>
      </c>
      <c r="Y3251">
        <v>6.7536490000000005E-2</v>
      </c>
      <c r="Z3251">
        <v>-8.4664969999999999E-3</v>
      </c>
      <c r="AA3251">
        <v>0.99768089999999998</v>
      </c>
      <c r="AB3251">
        <v>18</v>
      </c>
      <c r="AC3251">
        <v>0.61790000000001999</v>
      </c>
      <c r="AD3251">
        <v>-7.83519999999997E-2</v>
      </c>
      <c r="AE3251">
        <v>-2.0100000000013499E-2</v>
      </c>
      <c r="AF3251">
        <v>5.3675862958495101E-2</v>
      </c>
      <c r="AG3251">
        <v>-7.83519999999997E-2</v>
      </c>
      <c r="AH3251">
        <v>0.60608156074692998</v>
      </c>
      <c r="AI3251">
        <v>97.337729425280003</v>
      </c>
      <c r="AJ3251">
        <v>84.938968846558097</v>
      </c>
      <c r="AK3251">
        <v>0.61347778480216697</v>
      </c>
      <c r="AL3251">
        <v>96.104219961960297</v>
      </c>
      <c r="AM3251">
        <v>88.908698783253001</v>
      </c>
      <c r="AN3251">
        <v>0.99999994117382596</v>
      </c>
    </row>
    <row r="3252" spans="1:40" x14ac:dyDescent="0.25">
      <c r="A3252" t="str">
        <f>"20190303154831796"</f>
        <v>20190303154831796</v>
      </c>
      <c r="B3252" t="str">
        <f>"1551599311784244"</f>
        <v>1551599311784244</v>
      </c>
      <c r="C3252" t="s">
        <v>40</v>
      </c>
      <c r="D3252">
        <v>5.8809699999999996</v>
      </c>
      <c r="E3252">
        <v>0.51902190000000004</v>
      </c>
      <c r="F3252" t="s">
        <v>42</v>
      </c>
      <c r="G3252">
        <v>-462.58339999999998</v>
      </c>
      <c r="H3252">
        <v>1.043976</v>
      </c>
      <c r="I3252">
        <v>214.8717</v>
      </c>
      <c r="J3252">
        <v>-463.19069999999999</v>
      </c>
      <c r="K3252">
        <v>1.120841</v>
      </c>
      <c r="L3252">
        <v>214.89189999999999</v>
      </c>
      <c r="M3252">
        <v>0.9983554</v>
      </c>
      <c r="N3252">
        <v>-1.405376E-2</v>
      </c>
      <c r="O3252">
        <v>5.5578710000000003E-2</v>
      </c>
      <c r="P3252">
        <v>0.99219420000000003</v>
      </c>
      <c r="Q3252">
        <v>-0.119726399999999</v>
      </c>
      <c r="R3252">
        <v>3.4876570000000003E-2</v>
      </c>
      <c r="S3252">
        <v>2.9895939999999999</v>
      </c>
      <c r="T3252">
        <v>-0.29618620000000001</v>
      </c>
      <c r="U3252">
        <v>-4.2068479999999998E-2</v>
      </c>
      <c r="V3252">
        <v>2.0299600000000001E-2</v>
      </c>
      <c r="W3252">
        <v>-0.1057703</v>
      </c>
      <c r="X3252">
        <v>0.99418340000000005</v>
      </c>
      <c r="Y3252">
        <v>6.9040859999999996E-2</v>
      </c>
      <c r="Z3252">
        <v>-8.609373E-3</v>
      </c>
      <c r="AA3252">
        <v>0.99757669999999998</v>
      </c>
      <c r="AB3252">
        <v>18</v>
      </c>
      <c r="AC3252">
        <v>0.60730000000000905</v>
      </c>
      <c r="AD3252">
        <v>-7.6864999999999906E-2</v>
      </c>
      <c r="AE3252">
        <v>-2.0199999999988401E-2</v>
      </c>
      <c r="AF3252">
        <v>5.3075744427251097E-2</v>
      </c>
      <c r="AG3252">
        <v>-7.6864999999999906E-2</v>
      </c>
      <c r="AH3252">
        <v>0.59570591248009097</v>
      </c>
      <c r="AI3252">
        <v>97.323658484974203</v>
      </c>
      <c r="AJ3252">
        <v>84.908549086125007</v>
      </c>
      <c r="AK3252">
        <v>0.60298490614213995</v>
      </c>
      <c r="AL3252">
        <v>96.071548450861798</v>
      </c>
      <c r="AM3252">
        <v>88.830276372611905</v>
      </c>
      <c r="AN3252">
        <v>1.0000000314788999</v>
      </c>
    </row>
    <row r="3253" spans="1:40" x14ac:dyDescent="0.25">
      <c r="A3253" t="str">
        <f>"20190303154831821"</f>
        <v>20190303154831821</v>
      </c>
      <c r="B3253" t="str">
        <f>"1551599311814501"</f>
        <v>1551599311814501</v>
      </c>
      <c r="C3253" t="s">
        <v>40</v>
      </c>
      <c r="D3253">
        <v>5.8677760000000001</v>
      </c>
      <c r="E3253">
        <v>0.51899980000000001</v>
      </c>
      <c r="F3253" t="s">
        <v>42</v>
      </c>
      <c r="G3253">
        <v>-462.4255</v>
      </c>
      <c r="H3253">
        <v>1.0451889999999999</v>
      </c>
      <c r="I3253">
        <v>214.87950000000001</v>
      </c>
      <c r="J3253">
        <v>-462.99889999999999</v>
      </c>
      <c r="K3253">
        <v>1.120824</v>
      </c>
      <c r="L3253">
        <v>214.9023</v>
      </c>
      <c r="M3253">
        <v>0.99836990000000003</v>
      </c>
      <c r="N3253">
        <v>-1.4048959999999999E-2</v>
      </c>
      <c r="O3253">
        <v>5.532173E-2</v>
      </c>
      <c r="P3253">
        <v>0.99228159999999999</v>
      </c>
      <c r="Q3253">
        <v>-0.1194516</v>
      </c>
      <c r="R3253">
        <v>3.3302989999999998E-2</v>
      </c>
      <c r="S3253">
        <v>2.989563</v>
      </c>
      <c r="T3253">
        <v>-0.29567660000000001</v>
      </c>
      <c r="U3253">
        <v>-4.6493529999999998E-2</v>
      </c>
      <c r="V3253">
        <v>2.1615479999999999E-2</v>
      </c>
      <c r="W3253">
        <v>-0.1055014</v>
      </c>
      <c r="X3253">
        <v>0.99418419999999996</v>
      </c>
      <c r="Y3253">
        <v>7.0256609999999997E-2</v>
      </c>
      <c r="Z3253">
        <v>-8.6411030000000007E-3</v>
      </c>
      <c r="AA3253">
        <v>0.99749149999999998</v>
      </c>
      <c r="AB3253">
        <v>18</v>
      </c>
      <c r="AC3253">
        <v>0.57339999999999203</v>
      </c>
      <c r="AD3253">
        <v>-7.5635000000000105E-2</v>
      </c>
      <c r="AE3253">
        <v>-2.2799999999989402E-2</v>
      </c>
      <c r="AF3253">
        <v>5.3559263200325599E-2</v>
      </c>
      <c r="AG3253">
        <v>-7.5635000000000105E-2</v>
      </c>
      <c r="AH3253">
        <v>0.56150589840238896</v>
      </c>
      <c r="AI3253">
        <v>97.637328804737706</v>
      </c>
      <c r="AJ3253">
        <v>84.551324386530695</v>
      </c>
      <c r="AK3253">
        <v>0.56910290970986599</v>
      </c>
      <c r="AL3253">
        <v>96.056055125799503</v>
      </c>
      <c r="AM3253">
        <v>88.7544755948812</v>
      </c>
      <c r="AN3253">
        <v>0.99999999895361502</v>
      </c>
    </row>
    <row r="3254" spans="1:40" x14ac:dyDescent="0.25">
      <c r="A3254" t="str">
        <f>"20190303154831841"</f>
        <v>20190303154831841</v>
      </c>
      <c r="B3254" t="str">
        <f>"1551599311834021"</f>
        <v>1551599311834021</v>
      </c>
      <c r="C3254" t="s">
        <v>40</v>
      </c>
      <c r="D3254">
        <v>5.8841999999999999</v>
      </c>
      <c r="E3254">
        <v>0.5190015</v>
      </c>
      <c r="F3254" t="s">
        <v>42</v>
      </c>
      <c r="G3254">
        <v>-462.11860000000001</v>
      </c>
      <c r="H3254">
        <v>1.033736</v>
      </c>
      <c r="I3254">
        <v>214.8869</v>
      </c>
      <c r="J3254">
        <v>-462.83260000000001</v>
      </c>
      <c r="K3254">
        <v>1.120803</v>
      </c>
      <c r="L3254">
        <v>214.91120000000001</v>
      </c>
      <c r="M3254">
        <v>0.99838380000000004</v>
      </c>
      <c r="N3254">
        <v>-1.404481E-2</v>
      </c>
      <c r="O3254">
        <v>5.5071080000000001E-2</v>
      </c>
      <c r="P3254">
        <v>0.99228450000000001</v>
      </c>
      <c r="Q3254">
        <v>-0.1200089</v>
      </c>
      <c r="R3254">
        <v>3.1133609999999999E-2</v>
      </c>
      <c r="S3254">
        <v>2.9894409999999998</v>
      </c>
      <c r="T3254">
        <v>-0.29579809999999901</v>
      </c>
      <c r="U3254">
        <v>-5.1239010000000001E-2</v>
      </c>
      <c r="V3254">
        <v>2.3528150000000001E-2</v>
      </c>
      <c r="W3254">
        <v>-0.1060659</v>
      </c>
      <c r="X3254">
        <v>0.99408070000000004</v>
      </c>
      <c r="Y3254">
        <v>7.1582720000000002E-2</v>
      </c>
      <c r="Z3254">
        <v>-8.6987519999999902E-3</v>
      </c>
      <c r="AA3254">
        <v>0.99739670000000002</v>
      </c>
      <c r="AB3254">
        <v>18</v>
      </c>
      <c r="AC3254">
        <v>0.71399999999999797</v>
      </c>
      <c r="AD3254">
        <v>-8.7066999999999894E-2</v>
      </c>
      <c r="AE3254">
        <v>-2.4300000000010799E-2</v>
      </c>
      <c r="AF3254">
        <v>6.2657107267685502E-2</v>
      </c>
      <c r="AG3254">
        <v>-8.7066999999999894E-2</v>
      </c>
      <c r="AH3254">
        <v>0.70116365175092799</v>
      </c>
      <c r="AI3254">
        <v>97.050659038043904</v>
      </c>
      <c r="AJ3254">
        <v>84.893521112382004</v>
      </c>
      <c r="AK3254">
        <v>0.70932153648176499</v>
      </c>
      <c r="AL3254">
        <v>96.088581124546906</v>
      </c>
      <c r="AM3254">
        <v>88.644162332924694</v>
      </c>
      <c r="AN3254">
        <v>0.99999999354886104</v>
      </c>
    </row>
    <row r="3255" spans="1:40" x14ac:dyDescent="0.25">
      <c r="A3255" t="str">
        <f>"20190303154831865"</f>
        <v>20190303154831865</v>
      </c>
      <c r="B3255" t="str">
        <f>"1551599311854516"</f>
        <v>1551599311854516</v>
      </c>
      <c r="C3255" t="s">
        <v>40</v>
      </c>
      <c r="D3255">
        <v>5.8737969999999997</v>
      </c>
      <c r="E3255">
        <v>0.51898219999999995</v>
      </c>
      <c r="F3255" t="s">
        <v>42</v>
      </c>
      <c r="G3255">
        <v>-461.96249999999998</v>
      </c>
      <c r="H3255">
        <v>1.0339929999999999</v>
      </c>
      <c r="I3255">
        <v>214.89420000000001</v>
      </c>
      <c r="J3255">
        <v>-462.65289999999999</v>
      </c>
      <c r="K3255">
        <v>1.120768</v>
      </c>
      <c r="L3255">
        <v>214.92080000000001</v>
      </c>
      <c r="M3255">
        <v>0.99839990000000001</v>
      </c>
      <c r="N3255">
        <v>-1.404028E-2</v>
      </c>
      <c r="O3255">
        <v>5.4779620000000001E-2</v>
      </c>
      <c r="P3255">
        <v>0.99225289999999999</v>
      </c>
      <c r="Q3255">
        <v>-0.1209276</v>
      </c>
      <c r="R3255">
        <v>2.8475250000000001E-2</v>
      </c>
      <c r="S3255">
        <v>2.9891049999999999</v>
      </c>
      <c r="T3255">
        <v>-0.29824070000000003</v>
      </c>
      <c r="U3255">
        <v>-5.7830810000000003E-2</v>
      </c>
      <c r="V3255">
        <v>2.5886490000000002E-2</v>
      </c>
      <c r="W3255">
        <v>-0.1069933</v>
      </c>
      <c r="X3255">
        <v>0.99392270000000005</v>
      </c>
      <c r="Y3255">
        <v>7.3472350000000006E-2</v>
      </c>
      <c r="Z3255">
        <v>-8.8559569999999994E-3</v>
      </c>
      <c r="AA3255">
        <v>0.99725790000000003</v>
      </c>
      <c r="AB3255">
        <v>17</v>
      </c>
      <c r="AC3255">
        <v>0.690400000000011</v>
      </c>
      <c r="AD3255">
        <v>-8.6775000000000005E-2</v>
      </c>
      <c r="AE3255">
        <v>-2.66000000000019E-2</v>
      </c>
      <c r="AF3255">
        <v>6.3383803815364403E-2</v>
      </c>
      <c r="AG3255">
        <v>-8.6775000000000005E-2</v>
      </c>
      <c r="AH3255">
        <v>0.67722329707541695</v>
      </c>
      <c r="AI3255">
        <v>97.270291140835695</v>
      </c>
      <c r="AJ3255">
        <v>84.653054933061298</v>
      </c>
      <c r="AK3255">
        <v>0.68569585189995297</v>
      </c>
      <c r="AL3255">
        <v>96.142021261456904</v>
      </c>
      <c r="AM3255">
        <v>88.508081768898407</v>
      </c>
      <c r="AN3255">
        <v>1.0000000050923501</v>
      </c>
    </row>
    <row r="3256" spans="1:40" x14ac:dyDescent="0.25">
      <c r="A3256" t="str">
        <f>"20190303154831885"</f>
        <v>20190303154831885</v>
      </c>
      <c r="B3256" t="str">
        <f>"1551599311874036"</f>
        <v>1551599311874036</v>
      </c>
      <c r="C3256" t="s">
        <v>40</v>
      </c>
      <c r="D3256">
        <v>5.8847670000000001</v>
      </c>
      <c r="E3256">
        <v>0.51895930000000001</v>
      </c>
      <c r="F3256" t="s">
        <v>42</v>
      </c>
      <c r="G3256">
        <v>-461.80619999999999</v>
      </c>
      <c r="H3256">
        <v>1.035277</v>
      </c>
      <c r="I3256">
        <v>214.9016</v>
      </c>
      <c r="J3256">
        <v>-462.49220000000003</v>
      </c>
      <c r="K3256">
        <v>1.120749</v>
      </c>
      <c r="L3256">
        <v>214.92930000000001</v>
      </c>
      <c r="M3256">
        <v>0.99841489999999999</v>
      </c>
      <c r="N3256">
        <v>-1.4036109999999999E-2</v>
      </c>
      <c r="O3256">
        <v>5.4506079999999998E-2</v>
      </c>
      <c r="P3256">
        <v>0.99220980000000003</v>
      </c>
      <c r="Q3256">
        <v>-0.12179470000000001</v>
      </c>
      <c r="R3256">
        <v>2.6195659999999999E-2</v>
      </c>
      <c r="S3256">
        <v>2.9885250000000001</v>
      </c>
      <c r="T3256">
        <v>-0.30186220000000002</v>
      </c>
      <c r="U3256">
        <v>-6.5597530000000001E-2</v>
      </c>
      <c r="V3256">
        <v>2.7885320000000002E-2</v>
      </c>
      <c r="W3256">
        <v>-0.10786809999999999</v>
      </c>
      <c r="X3256">
        <v>0.99377409999999999</v>
      </c>
      <c r="Y3256">
        <v>7.5765559999999996E-2</v>
      </c>
      <c r="Z3256">
        <v>-9.0757630000000006E-3</v>
      </c>
      <c r="AA3256">
        <v>0.99708439999999998</v>
      </c>
      <c r="AB3256">
        <v>17</v>
      </c>
      <c r="AC3256">
        <v>0.68600000000003503</v>
      </c>
      <c r="AD3256">
        <v>-8.5471999999999895E-2</v>
      </c>
      <c r="AE3256">
        <v>-2.7700000000010001E-2</v>
      </c>
      <c r="AF3256">
        <v>6.4060812600750805E-2</v>
      </c>
      <c r="AG3256">
        <v>-8.5471999999999895E-2</v>
      </c>
      <c r="AH3256">
        <v>0.67303890222446905</v>
      </c>
      <c r="AI3256">
        <v>97.205266954617997</v>
      </c>
      <c r="AJ3256">
        <v>84.562884853757296</v>
      </c>
      <c r="AK3256">
        <v>0.68146211516311495</v>
      </c>
      <c r="AL3256">
        <v>96.1924351620045</v>
      </c>
      <c r="AM3256">
        <v>88.392701100520696</v>
      </c>
      <c r="AN3256">
        <v>1.00000003994996</v>
      </c>
    </row>
    <row r="3257" spans="1:40" x14ac:dyDescent="0.25">
      <c r="A3257" t="str">
        <f>"20190303154831908"</f>
        <v>20190303154831908</v>
      </c>
      <c r="B3257" t="str">
        <f>"1551599311904292"</f>
        <v>1551599311904292</v>
      </c>
      <c r="C3257" t="s">
        <v>40</v>
      </c>
      <c r="D3257">
        <v>5.8891580000000001</v>
      </c>
      <c r="E3257">
        <v>0.51884699999999995</v>
      </c>
      <c r="F3257" t="s">
        <v>42</v>
      </c>
      <c r="G3257">
        <v>-461.65109999999999</v>
      </c>
      <c r="H3257">
        <v>1.034816</v>
      </c>
      <c r="I3257">
        <v>214.90899999999999</v>
      </c>
      <c r="J3257">
        <v>-462.31849999999997</v>
      </c>
      <c r="K3257">
        <v>1.120741</v>
      </c>
      <c r="L3257">
        <v>214.9384</v>
      </c>
      <c r="M3257">
        <v>0.99843159999999997</v>
      </c>
      <c r="N3257">
        <v>-1.4031709999999999E-2</v>
      </c>
      <c r="O3257">
        <v>5.4200270000000002E-2</v>
      </c>
      <c r="P3257">
        <v>0.99222509999999997</v>
      </c>
      <c r="Q3257">
        <v>-0.1221372</v>
      </c>
      <c r="R3257">
        <v>2.391559E-2</v>
      </c>
      <c r="S3257">
        <v>2.9879760000000002</v>
      </c>
      <c r="T3257">
        <v>-0.30530930000000001</v>
      </c>
      <c r="U3257">
        <v>-7.2250369999999994E-2</v>
      </c>
      <c r="V3257">
        <v>2.9857669999999999E-2</v>
      </c>
      <c r="W3257">
        <v>-0.1082176</v>
      </c>
      <c r="X3257">
        <v>0.99367870000000003</v>
      </c>
      <c r="Y3257">
        <v>7.7657729999999994E-2</v>
      </c>
      <c r="Z3257">
        <v>-9.2661080000000003E-3</v>
      </c>
      <c r="AA3257">
        <v>0.99693699999999996</v>
      </c>
      <c r="AB3257">
        <v>17</v>
      </c>
      <c r="AC3257">
        <v>0.667399999999986</v>
      </c>
      <c r="AD3257">
        <v>-8.5925000000000001E-2</v>
      </c>
      <c r="AE3257">
        <v>-2.9399999999981202E-2</v>
      </c>
      <c r="AF3257">
        <v>6.4467089090541399E-2</v>
      </c>
      <c r="AG3257">
        <v>-8.5925000000000001E-2</v>
      </c>
      <c r="AH3257">
        <v>0.65400566471619104</v>
      </c>
      <c r="AI3257">
        <v>97.449107934459704</v>
      </c>
      <c r="AJ3257">
        <v>84.370388142495401</v>
      </c>
      <c r="AK3257">
        <v>0.66276882899067802</v>
      </c>
      <c r="AL3257">
        <v>96.212578545003893</v>
      </c>
      <c r="AM3257">
        <v>88.278916605504193</v>
      </c>
      <c r="AN3257">
        <v>0.99999994412063797</v>
      </c>
    </row>
    <row r="3258" spans="1:40" x14ac:dyDescent="0.25">
      <c r="A3258" t="str">
        <f>"20190303154831930"</f>
        <v>20190303154831930</v>
      </c>
      <c r="B3258" t="str">
        <f>"1551599311923813"</f>
        <v>1551599311923813</v>
      </c>
      <c r="C3258" t="s">
        <v>40</v>
      </c>
      <c r="D3258">
        <v>5.89445</v>
      </c>
      <c r="E3258">
        <v>0.51882799999999996</v>
      </c>
      <c r="F3258" t="s">
        <v>42</v>
      </c>
      <c r="G3258">
        <v>-461.49549999999999</v>
      </c>
      <c r="H3258">
        <v>1.03606</v>
      </c>
      <c r="I3258">
        <v>214.91669999999999</v>
      </c>
      <c r="J3258">
        <v>-462.14179999999999</v>
      </c>
      <c r="K3258">
        <v>1.1207450000000001</v>
      </c>
      <c r="L3258">
        <v>214.94759999999999</v>
      </c>
      <c r="M3258">
        <v>0.99844869999999997</v>
      </c>
      <c r="N3258">
        <v>-1.40272E-2</v>
      </c>
      <c r="O3258">
        <v>5.3882739999999998E-2</v>
      </c>
      <c r="P3258">
        <v>0.99233740000000004</v>
      </c>
      <c r="Q3258">
        <v>-0.121534199999999</v>
      </c>
      <c r="R3258">
        <v>2.2266589999999999E-2</v>
      </c>
      <c r="S3258">
        <v>2.9875180000000001</v>
      </c>
      <c r="T3258">
        <v>-0.30741859999999999</v>
      </c>
      <c r="U3258">
        <v>-7.830811E-2</v>
      </c>
      <c r="V3258">
        <v>3.1194969999999999E-2</v>
      </c>
      <c r="W3258">
        <v>-0.1076192</v>
      </c>
      <c r="X3258">
        <v>0.99370270000000005</v>
      </c>
      <c r="Y3258">
        <v>7.9346050000000001E-2</v>
      </c>
      <c r="Z3258">
        <v>-9.4030869999999992E-3</v>
      </c>
      <c r="AA3258">
        <v>0.99680279999999999</v>
      </c>
      <c r="AB3258">
        <v>17</v>
      </c>
      <c r="AC3258">
        <v>0.64629999999999599</v>
      </c>
      <c r="AD3258">
        <v>-8.4685000000000094E-2</v>
      </c>
      <c r="AE3258">
        <v>-3.0900000000002498E-2</v>
      </c>
      <c r="AF3258">
        <v>6.4576755757218093E-2</v>
      </c>
      <c r="AG3258">
        <v>-8.4685000000000094E-2</v>
      </c>
      <c r="AH3258">
        <v>0.63285507473650204</v>
      </c>
      <c r="AI3258">
        <v>97.582799412173998</v>
      </c>
      <c r="AJ3258">
        <v>84.173684195754404</v>
      </c>
      <c r="AK3258">
        <v>0.64175326429155799</v>
      </c>
      <c r="AL3258">
        <v>96.178090757183</v>
      </c>
      <c r="AM3258">
        <v>88.201923644454894</v>
      </c>
      <c r="AN3258">
        <v>1.0000000371746101</v>
      </c>
    </row>
    <row r="3259" spans="1:40" x14ac:dyDescent="0.25">
      <c r="A3259" t="str">
        <f>"20190303154831953"</f>
        <v>20190303154831953</v>
      </c>
      <c r="B3259" t="str">
        <f>"1551599311944308"</f>
        <v>1551599311944308</v>
      </c>
      <c r="C3259" t="s">
        <v>40</v>
      </c>
      <c r="D3259">
        <v>5.8877470000000001</v>
      </c>
      <c r="E3259">
        <v>0.51878939999999996</v>
      </c>
      <c r="F3259" t="s">
        <v>42</v>
      </c>
      <c r="G3259">
        <v>-461.33949999999999</v>
      </c>
      <c r="H3259">
        <v>1.038659</v>
      </c>
      <c r="I3259">
        <v>214.92519999999999</v>
      </c>
      <c r="J3259">
        <v>-461.97430000000003</v>
      </c>
      <c r="K3259">
        <v>1.1207469999999999</v>
      </c>
      <c r="L3259">
        <v>214.9563</v>
      </c>
      <c r="M3259">
        <v>0.99846539999999995</v>
      </c>
      <c r="N3259">
        <v>-1.4023030000000001E-2</v>
      </c>
      <c r="O3259">
        <v>5.3575659999999997E-2</v>
      </c>
      <c r="P3259">
        <v>0.99256469999999997</v>
      </c>
      <c r="Q3259">
        <v>-0.1198501</v>
      </c>
      <c r="R3259">
        <v>2.124098E-2</v>
      </c>
      <c r="S3259">
        <v>2.9875790000000002</v>
      </c>
      <c r="T3259">
        <v>-0.30571029999999999</v>
      </c>
      <c r="U3259">
        <v>-8.2839969999999999E-2</v>
      </c>
      <c r="V3259">
        <v>3.1927249999999997E-2</v>
      </c>
      <c r="W3259">
        <v>-0.1059372</v>
      </c>
      <c r="X3259">
        <v>0.99386010000000002</v>
      </c>
      <c r="Y3259">
        <v>8.0551590000000006E-2</v>
      </c>
      <c r="Z3259">
        <v>-9.3927230000000004E-3</v>
      </c>
      <c r="AA3259">
        <v>0.99670619999999999</v>
      </c>
      <c r="AB3259">
        <v>17</v>
      </c>
      <c r="AC3259">
        <v>0.634800000000041</v>
      </c>
      <c r="AD3259">
        <v>-8.2087999999999897E-2</v>
      </c>
      <c r="AE3259">
        <v>-3.11000000000092E-2</v>
      </c>
      <c r="AF3259">
        <v>6.4000843142410502E-2</v>
      </c>
      <c r="AG3259">
        <v>-8.2087999999999897E-2</v>
      </c>
      <c r="AH3259">
        <v>0.62184816809592303</v>
      </c>
      <c r="AI3259">
        <v>97.480870855423206</v>
      </c>
      <c r="AJ3259">
        <v>84.123787055118697</v>
      </c>
      <c r="AK3259">
        <v>0.63049955736003105</v>
      </c>
      <c r="AL3259">
        <v>96.081165526909004</v>
      </c>
      <c r="AM3259">
        <v>88.160035000742397</v>
      </c>
      <c r="AN3259">
        <v>0.99999996900420496</v>
      </c>
    </row>
    <row r="3260" spans="1:40" x14ac:dyDescent="0.25">
      <c r="A3260" t="str">
        <f>"20190303154831974"</f>
        <v>20190303154831974</v>
      </c>
      <c r="B3260" t="str">
        <f>"1551599311963828"</f>
        <v>1551599311963828</v>
      </c>
      <c r="C3260" t="s">
        <v>40</v>
      </c>
      <c r="D3260">
        <v>5.8493940000000002</v>
      </c>
      <c r="E3260">
        <v>0.51874670000000001</v>
      </c>
      <c r="F3260" t="s">
        <v>42</v>
      </c>
      <c r="G3260">
        <v>-461.18389999999999</v>
      </c>
      <c r="H3260">
        <v>1.041283</v>
      </c>
      <c r="I3260">
        <v>214.9331</v>
      </c>
      <c r="J3260">
        <v>-461.8073</v>
      </c>
      <c r="K3260">
        <v>1.120743</v>
      </c>
      <c r="L3260">
        <v>214.9649</v>
      </c>
      <c r="M3260">
        <v>0.99848230000000004</v>
      </c>
      <c r="N3260">
        <v>-1.401876E-2</v>
      </c>
      <c r="O3260">
        <v>5.3261389999999999E-2</v>
      </c>
      <c r="P3260">
        <v>0.9925427</v>
      </c>
      <c r="Q3260">
        <v>-0.1201911</v>
      </c>
      <c r="R3260">
        <v>2.032457E-2</v>
      </c>
      <c r="S3260">
        <v>2.9879760000000002</v>
      </c>
      <c r="T3260">
        <v>-0.30058439999999997</v>
      </c>
      <c r="U3260">
        <v>-8.5662840000000004E-2</v>
      </c>
      <c r="V3260">
        <v>3.2528330000000001E-2</v>
      </c>
      <c r="W3260">
        <v>-0.1062835</v>
      </c>
      <c r="X3260">
        <v>0.99380369999999996</v>
      </c>
      <c r="Y3260">
        <v>8.1195630000000005E-2</v>
      </c>
      <c r="Z3260">
        <v>-9.2413349999999998E-3</v>
      </c>
      <c r="AA3260">
        <v>0.99665530000000002</v>
      </c>
      <c r="AB3260">
        <v>17</v>
      </c>
      <c r="AC3260">
        <v>0.62340000000000295</v>
      </c>
      <c r="AD3260">
        <v>-7.9460000000000003E-2</v>
      </c>
      <c r="AE3260">
        <v>-3.1800000000003999E-2</v>
      </c>
      <c r="AF3260">
        <v>6.3925387362690295E-2</v>
      </c>
      <c r="AG3260">
        <v>-7.9460000000000003E-2</v>
      </c>
      <c r="AH3260">
        <v>0.61092143648064101</v>
      </c>
      <c r="AI3260">
        <v>97.370825085589701</v>
      </c>
      <c r="AJ3260">
        <v>84.026442189936205</v>
      </c>
      <c r="AK3260">
        <v>0.61937496583333096</v>
      </c>
      <c r="AL3260">
        <v>96.101119309836207</v>
      </c>
      <c r="AM3260">
        <v>88.125312983051799</v>
      </c>
      <c r="AN3260">
        <v>1.0000000343792601</v>
      </c>
    </row>
    <row r="3261" spans="1:40" x14ac:dyDescent="0.25">
      <c r="A3261" t="str">
        <f>"20190303154831997"</f>
        <v>20190303154831997</v>
      </c>
      <c r="B3261" t="str">
        <f>"1551599311994085"</f>
        <v>1551599311994085</v>
      </c>
      <c r="C3261" t="s">
        <v>40</v>
      </c>
      <c r="D3261">
        <v>5.8453619999999997</v>
      </c>
      <c r="E3261">
        <v>0.51873449999999999</v>
      </c>
      <c r="F3261" t="s">
        <v>42</v>
      </c>
      <c r="G3261">
        <v>-461.02949999999998</v>
      </c>
      <c r="H3261">
        <v>1.042184</v>
      </c>
      <c r="I3261">
        <v>214.94229999999999</v>
      </c>
      <c r="J3261">
        <v>-461.63380000000001</v>
      </c>
      <c r="K3261">
        <v>1.1207199999999999</v>
      </c>
      <c r="L3261">
        <v>214.97380000000001</v>
      </c>
      <c r="M3261">
        <v>0.99850059999999996</v>
      </c>
      <c r="N3261">
        <v>-1.401438E-2</v>
      </c>
      <c r="O3261">
        <v>5.2917779999999998E-2</v>
      </c>
      <c r="P3261">
        <v>0.99234270000000002</v>
      </c>
      <c r="Q3261">
        <v>-0.1221911</v>
      </c>
      <c r="R3261">
        <v>1.8047750000000001E-2</v>
      </c>
      <c r="S3261">
        <v>2.9877929999999999</v>
      </c>
      <c r="T3261">
        <v>-0.30174849999999998</v>
      </c>
      <c r="U3261">
        <v>-8.7936399999999998E-2</v>
      </c>
      <c r="V3261">
        <v>3.4446490000000003E-2</v>
      </c>
      <c r="W3261">
        <v>-0.1082936</v>
      </c>
      <c r="X3261">
        <v>0.99352200000000002</v>
      </c>
      <c r="Y3261">
        <v>8.1605810000000001E-2</v>
      </c>
      <c r="Z3261">
        <v>-9.2719740000000005E-3</v>
      </c>
      <c r="AA3261">
        <v>0.99662150000000005</v>
      </c>
      <c r="AB3261">
        <v>17</v>
      </c>
      <c r="AC3261">
        <v>0.60430000000002304</v>
      </c>
      <c r="AD3261">
        <v>-7.8536000000000106E-2</v>
      </c>
      <c r="AE3261">
        <v>-3.1500000000022503E-2</v>
      </c>
      <c r="AF3261">
        <v>6.2386352034513197E-2</v>
      </c>
      <c r="AG3261">
        <v>-7.8536000000000106E-2</v>
      </c>
      <c r="AH3261">
        <v>0.59181728900126496</v>
      </c>
      <c r="AI3261">
        <v>97.517987265998897</v>
      </c>
      <c r="AJ3261">
        <v>83.982396070000306</v>
      </c>
      <c r="AK3261">
        <v>0.60025633172585602</v>
      </c>
      <c r="AL3261">
        <v>96.216958327506404</v>
      </c>
      <c r="AM3261">
        <v>88.014288320510701</v>
      </c>
      <c r="AN3261">
        <v>1.0000000144791299</v>
      </c>
    </row>
    <row r="3262" spans="1:40" x14ac:dyDescent="0.25">
      <c r="A3262" t="str">
        <f>"20190303154832032"</f>
        <v>20190303154832032</v>
      </c>
      <c r="B3262" t="str">
        <f>"1551599312024341"</f>
        <v>1551599312024341</v>
      </c>
      <c r="C3262" t="s">
        <v>40</v>
      </c>
      <c r="D3262">
        <v>5.8306909999999998</v>
      </c>
      <c r="E3262">
        <v>0.51868069999999999</v>
      </c>
      <c r="F3262" t="s">
        <v>42</v>
      </c>
      <c r="G3262">
        <v>-460.87549999999999</v>
      </c>
      <c r="H3262">
        <v>1.0429079999999999</v>
      </c>
      <c r="I3262">
        <v>214.9495</v>
      </c>
      <c r="J3262">
        <v>-461.37020000000001</v>
      </c>
      <c r="K3262">
        <v>1.1206769999999999</v>
      </c>
      <c r="L3262">
        <v>214.9871</v>
      </c>
      <c r="M3262">
        <v>0.99853239999999999</v>
      </c>
      <c r="N3262">
        <v>-1.4008039999999999E-2</v>
      </c>
      <c r="O3262">
        <v>5.23174E-2</v>
      </c>
      <c r="P3262">
        <v>0.99235580000000001</v>
      </c>
      <c r="Q3262">
        <v>-0.12248050000000001</v>
      </c>
      <c r="R3262">
        <v>1.5122480000000001E-2</v>
      </c>
      <c r="S3262">
        <v>2.9870909999999999</v>
      </c>
      <c r="T3262">
        <v>-0.30654429999999999</v>
      </c>
      <c r="U3262">
        <v>-9.4375609999999999E-2</v>
      </c>
      <c r="V3262">
        <v>3.6761120000000001E-2</v>
      </c>
      <c r="W3262">
        <v>-0.1085957</v>
      </c>
      <c r="X3262">
        <v>0.99340609999999996</v>
      </c>
      <c r="Y3262">
        <v>8.3131109999999994E-2</v>
      </c>
      <c r="Z3262">
        <v>-9.4591999999999992E-3</v>
      </c>
      <c r="AA3262">
        <v>0.99649370000000004</v>
      </c>
      <c r="AB3262">
        <v>17</v>
      </c>
      <c r="AC3262">
        <v>0.49470000000002201</v>
      </c>
      <c r="AD3262">
        <v>-7.7769000000000199E-2</v>
      </c>
      <c r="AE3262">
        <v>-3.7599999999997601E-2</v>
      </c>
      <c r="AF3262">
        <v>6.19112136462883E-2</v>
      </c>
      <c r="AG3262">
        <v>-7.7769000000000199E-2</v>
      </c>
      <c r="AH3262">
        <v>0.48025458782062003</v>
      </c>
      <c r="AI3262">
        <v>99.124008300808896</v>
      </c>
      <c r="AJ3262">
        <v>82.654323755713605</v>
      </c>
      <c r="AK3262">
        <v>0.49043397604459499</v>
      </c>
      <c r="AL3262">
        <v>96.2343698912414</v>
      </c>
      <c r="AM3262">
        <v>87.880729347648398</v>
      </c>
      <c r="AN3262">
        <v>1.00000004275967</v>
      </c>
    </row>
    <row r="3263" spans="1:40" x14ac:dyDescent="0.25">
      <c r="A3263" t="str">
        <f>"20190303154832054"</f>
        <v>20190303154832054</v>
      </c>
      <c r="B3263" t="str">
        <f>"1551599312043861"</f>
        <v>1551599312043861</v>
      </c>
      <c r="C3263" t="s">
        <v>40</v>
      </c>
      <c r="D3263">
        <v>5.6848489999999998</v>
      </c>
      <c r="E3263">
        <v>0.51876259999999996</v>
      </c>
      <c r="F3263" t="s">
        <v>42</v>
      </c>
      <c r="G3263">
        <v>-460.57080000000002</v>
      </c>
      <c r="H3263">
        <v>1.0383009999999999</v>
      </c>
      <c r="I3263">
        <v>214.959</v>
      </c>
      <c r="J3263">
        <v>-461.19619999999998</v>
      </c>
      <c r="K3263">
        <v>1.12064599999999</v>
      </c>
      <c r="L3263">
        <v>214.9957</v>
      </c>
      <c r="M3263">
        <v>0.99855680000000002</v>
      </c>
      <c r="N3263">
        <v>-1.40042E-2</v>
      </c>
      <c r="O3263">
        <v>5.1848930000000001E-2</v>
      </c>
      <c r="P3263">
        <v>0.99256500000000003</v>
      </c>
      <c r="Q3263">
        <v>-0.12087630000000001</v>
      </c>
      <c r="R3263">
        <v>1.4280620000000001E-2</v>
      </c>
      <c r="S3263">
        <v>2.986694</v>
      </c>
      <c r="T3263">
        <v>-0.30782470000000001</v>
      </c>
      <c r="U3263">
        <v>-0.10298160000000001</v>
      </c>
      <c r="V3263">
        <v>3.7137389999999999E-2</v>
      </c>
      <c r="W3263">
        <v>-0.10699690000000001</v>
      </c>
      <c r="X3263">
        <v>0.99356560000000005</v>
      </c>
      <c r="Y3263">
        <v>8.5517209999999996E-2</v>
      </c>
      <c r="Z3263">
        <v>-9.5979800000000007E-3</v>
      </c>
      <c r="AA3263">
        <v>0.99629040000000002</v>
      </c>
      <c r="AB3263">
        <v>17</v>
      </c>
      <c r="AC3263">
        <v>0.62539999999995599</v>
      </c>
      <c r="AD3263">
        <v>-8.2344999999999793E-2</v>
      </c>
      <c r="AE3263">
        <v>-3.6699999999996097E-2</v>
      </c>
      <c r="AF3263">
        <v>6.7906905181575397E-2</v>
      </c>
      <c r="AG3263">
        <v>-8.2344999999999793E-2</v>
      </c>
      <c r="AH3263">
        <v>0.61208073638919003</v>
      </c>
      <c r="AI3263">
        <v>97.615988172067304</v>
      </c>
      <c r="AJ3263">
        <v>83.669246083433094</v>
      </c>
      <c r="AK3263">
        <v>0.62131704841817503</v>
      </c>
      <c r="AL3263">
        <v>96.142228366732198</v>
      </c>
      <c r="AM3263">
        <v>87.859400919039402</v>
      </c>
      <c r="AN3263">
        <v>1.00000006192448</v>
      </c>
    </row>
    <row r="3264" spans="1:40" x14ac:dyDescent="0.25">
      <c r="A3264" t="str">
        <f>"20190303154832074"</f>
        <v>20190303154832074</v>
      </c>
      <c r="B3264" t="str">
        <f>"1551599312064357"</f>
        <v>1551599312064357</v>
      </c>
      <c r="C3264" t="s">
        <v>40</v>
      </c>
      <c r="D3264">
        <v>5.6857600000000001</v>
      </c>
      <c r="E3264">
        <v>0.5187581</v>
      </c>
      <c r="F3264" t="s">
        <v>42</v>
      </c>
      <c r="G3264">
        <v>-460.41640000000001</v>
      </c>
      <c r="H3264">
        <v>1.041806</v>
      </c>
      <c r="I3264">
        <v>214.96809999999999</v>
      </c>
      <c r="J3264">
        <v>-461.0403</v>
      </c>
      <c r="K3264">
        <v>1.1206149999999999</v>
      </c>
      <c r="L3264">
        <v>215.00319999999999</v>
      </c>
      <c r="M3264">
        <v>0.99858210000000003</v>
      </c>
      <c r="N3264">
        <v>-1.400093E-2</v>
      </c>
      <c r="O3264">
        <v>5.1360599999999999E-2</v>
      </c>
      <c r="P3264">
        <v>0.99279079999999997</v>
      </c>
      <c r="Q3264">
        <v>-0.1188916</v>
      </c>
      <c r="R3264">
        <v>1.521134E-2</v>
      </c>
      <c r="S3264">
        <v>2.9872740000000002</v>
      </c>
      <c r="T3264">
        <v>-0.30192760000000002</v>
      </c>
      <c r="U3264">
        <v>-0.1062317</v>
      </c>
      <c r="V3264">
        <v>3.5723860000000003E-2</v>
      </c>
      <c r="W3264">
        <v>-0.1050147</v>
      </c>
      <c r="X3264">
        <v>0.99382879999999996</v>
      </c>
      <c r="Y3264">
        <v>8.6131830000000006E-2</v>
      </c>
      <c r="Z3264">
        <v>-9.4035579999999994E-3</v>
      </c>
      <c r="AA3264">
        <v>0.9962394</v>
      </c>
      <c r="AB3264">
        <v>17</v>
      </c>
      <c r="AC3264">
        <v>0.62389999999999102</v>
      </c>
      <c r="AD3264">
        <v>-7.8808999999999907E-2</v>
      </c>
      <c r="AE3264">
        <v>-3.5099999999999902E-2</v>
      </c>
      <c r="AF3264">
        <v>6.6050117342338899E-2</v>
      </c>
      <c r="AG3264">
        <v>-7.8808999999999907E-2</v>
      </c>
      <c r="AH3264">
        <v>0.61154646947847102</v>
      </c>
      <c r="AI3264">
        <v>97.301144472584397</v>
      </c>
      <c r="AJ3264">
        <v>83.835660593067701</v>
      </c>
      <c r="AK3264">
        <v>0.620131083573078</v>
      </c>
      <c r="AL3264">
        <v>96.028013595971998</v>
      </c>
      <c r="AM3264">
        <v>87.941350134233403</v>
      </c>
      <c r="AN3264">
        <v>0.99999998254941402</v>
      </c>
    </row>
    <row r="3265" spans="1:40" x14ac:dyDescent="0.25">
      <c r="A3265" t="str">
        <f>"20190303154832097"</f>
        <v>20190303154832097</v>
      </c>
      <c r="B3265" t="str">
        <f>"1551599312093636"</f>
        <v>1551599312093636</v>
      </c>
      <c r="C3265" t="s">
        <v>40</v>
      </c>
      <c r="D3265">
        <v>5.6790599999999998</v>
      </c>
      <c r="E3265">
        <v>0.51578440000000003</v>
      </c>
      <c r="F3265" t="s">
        <v>42</v>
      </c>
      <c r="G3265">
        <v>-460.26280000000003</v>
      </c>
      <c r="H3265">
        <v>1.043898</v>
      </c>
      <c r="I3265">
        <v>214.976</v>
      </c>
      <c r="J3265">
        <v>-460.86599999999999</v>
      </c>
      <c r="K3265">
        <v>1.1205639999999999</v>
      </c>
      <c r="L3265">
        <v>215.01150000000001</v>
      </c>
      <c r="M3265">
        <v>0.9986157</v>
      </c>
      <c r="N3265">
        <v>-1.399737E-2</v>
      </c>
      <c r="O3265">
        <v>5.0705859999999998E-2</v>
      </c>
      <c r="P3265">
        <v>0.99298770000000003</v>
      </c>
      <c r="Q3265">
        <v>-0.11713179999999999</v>
      </c>
      <c r="R3265">
        <v>1.600242E-2</v>
      </c>
      <c r="S3265">
        <v>2.9880979999999999</v>
      </c>
      <c r="T3265">
        <v>-0.2947922</v>
      </c>
      <c r="U3265">
        <v>-0.1032257</v>
      </c>
      <c r="V3265">
        <v>3.4278099999999999E-2</v>
      </c>
      <c r="W3265">
        <v>-0.1032593</v>
      </c>
      <c r="X3265">
        <v>0.99406369999999999</v>
      </c>
      <c r="Y3265">
        <v>8.4511790000000003E-2</v>
      </c>
      <c r="Z3265">
        <v>-9.0308869999999996E-3</v>
      </c>
      <c r="AA3265">
        <v>0.99638159999999998</v>
      </c>
      <c r="AB3265">
        <v>17</v>
      </c>
      <c r="AC3265">
        <v>0.60319999999995799</v>
      </c>
      <c r="AD3265">
        <v>-7.6665999999999901E-2</v>
      </c>
      <c r="AE3265">
        <v>-3.5500000000013097E-2</v>
      </c>
      <c r="AF3265">
        <v>6.4996751126735003E-2</v>
      </c>
      <c r="AG3265">
        <v>-7.6665999999999901E-2</v>
      </c>
      <c r="AH3265">
        <v>0.59110781685528102</v>
      </c>
      <c r="AI3265">
        <v>97.346154704477897</v>
      </c>
      <c r="AJ3265">
        <v>83.725106201028893</v>
      </c>
      <c r="AK3265">
        <v>0.59959211499188902</v>
      </c>
      <c r="AL3265">
        <v>95.926886305358593</v>
      </c>
      <c r="AM3265">
        <v>88.025063606932505</v>
      </c>
      <c r="AN3265">
        <v>1.00000005541689</v>
      </c>
    </row>
    <row r="3266" spans="1:40" x14ac:dyDescent="0.25">
      <c r="A3266" t="str">
        <f>"20190303154832119"</f>
        <v>20190303154832119</v>
      </c>
      <c r="B3266" t="str">
        <f>"1551599312114133"</f>
        <v>1551599312114133</v>
      </c>
      <c r="C3266" t="s">
        <v>40</v>
      </c>
      <c r="D3266">
        <v>5.660444</v>
      </c>
      <c r="E3266">
        <v>0.51579269999999999</v>
      </c>
      <c r="F3266" t="s">
        <v>52</v>
      </c>
      <c r="G3266">
        <v>-442.23540000000003</v>
      </c>
      <c r="H3266" s="1">
        <v>-3.4392469999999997E-7</v>
      </c>
      <c r="I3266">
        <v>214.54150000000001</v>
      </c>
      <c r="J3266">
        <v>-460.69310000000002</v>
      </c>
      <c r="K3266">
        <v>1.1204909999999999</v>
      </c>
      <c r="L3266">
        <v>215.01939999999999</v>
      </c>
      <c r="M3266">
        <v>0.99865550000000003</v>
      </c>
      <c r="N3266">
        <v>-1.399396E-2</v>
      </c>
      <c r="O3266">
        <v>4.9913560000000003E-2</v>
      </c>
      <c r="P3266">
        <v>0.9931179</v>
      </c>
      <c r="Q3266">
        <v>-0.1159082</v>
      </c>
      <c r="R3266">
        <v>1.6799060000000001E-2</v>
      </c>
      <c r="S3266">
        <v>3.001099</v>
      </c>
      <c r="T3266">
        <v>-0.18050550000000001</v>
      </c>
      <c r="U3266">
        <v>-7.5714110000000001E-2</v>
      </c>
      <c r="V3266">
        <v>3.268273E-2</v>
      </c>
      <c r="W3266">
        <v>-0.1020414</v>
      </c>
      <c r="X3266">
        <v>0.99424310000000005</v>
      </c>
      <c r="Y3266">
        <v>7.4872079999999994E-2</v>
      </c>
      <c r="Z3266">
        <v>-5.0742649999999997E-3</v>
      </c>
      <c r="AA3266">
        <v>0.99718019999999996</v>
      </c>
      <c r="AB3266">
        <v>17</v>
      </c>
      <c r="AC3266">
        <v>18.4576999999999</v>
      </c>
      <c r="AD3266">
        <v>-1.1204913439247</v>
      </c>
      <c r="AE3266">
        <v>-0.47789999999997601</v>
      </c>
      <c r="AF3266">
        <v>1.3935518517835599</v>
      </c>
      <c r="AG3266">
        <v>-1.1204913439247</v>
      </c>
      <c r="AH3266">
        <v>18.3432792181537</v>
      </c>
      <c r="AI3266">
        <v>93.485525665812503</v>
      </c>
      <c r="AJ3266">
        <v>85.655544497279607</v>
      </c>
      <c r="AK3266">
        <v>18.430230060706499</v>
      </c>
      <c r="AL3266">
        <v>95.856735674200095</v>
      </c>
      <c r="AM3266">
        <v>88.117252766804995</v>
      </c>
      <c r="AN3266">
        <v>0.99999997502591098</v>
      </c>
    </row>
    <row r="3267" spans="1:40" x14ac:dyDescent="0.25">
      <c r="A3267" t="str">
        <f>"20190303154832143"</f>
        <v>20190303154832143</v>
      </c>
      <c r="B3267" t="str">
        <f>"1551599312133653"</f>
        <v>1551599312133653</v>
      </c>
      <c r="C3267" t="s">
        <v>40</v>
      </c>
      <c r="D3267">
        <v>5.6622240000000001</v>
      </c>
      <c r="E3267">
        <v>0.51623799999999997</v>
      </c>
      <c r="F3267" t="s">
        <v>52</v>
      </c>
      <c r="G3267">
        <v>-441.84109999999998</v>
      </c>
      <c r="H3267" s="1">
        <v>-5.5462390000000004E-7</v>
      </c>
      <c r="I3267">
        <v>214.56049999999999</v>
      </c>
      <c r="J3267">
        <v>-460.5224</v>
      </c>
      <c r="K3267">
        <v>1.1204000000000001</v>
      </c>
      <c r="L3267">
        <v>215.02690000000001</v>
      </c>
      <c r="M3267">
        <v>0.99870270000000005</v>
      </c>
      <c r="N3267">
        <v>-1.399163E-2</v>
      </c>
      <c r="O3267">
        <v>4.8960400000000001E-2</v>
      </c>
      <c r="P3267">
        <v>0.99324080000000003</v>
      </c>
      <c r="Q3267">
        <v>-0.1146918</v>
      </c>
      <c r="R3267">
        <v>1.7853830000000001E-2</v>
      </c>
      <c r="S3267">
        <v>3.0012509999999999</v>
      </c>
      <c r="T3267">
        <v>-0.17838309999999999</v>
      </c>
      <c r="U3267">
        <v>-7.3059079999999998E-2</v>
      </c>
      <c r="V3267">
        <v>3.0665540000000002E-2</v>
      </c>
      <c r="W3267">
        <v>-0.1008294</v>
      </c>
      <c r="X3267">
        <v>0.99443099999999995</v>
      </c>
      <c r="Y3267">
        <v>7.3047470000000003E-2</v>
      </c>
      <c r="Z3267">
        <v>-4.9022609999999998E-3</v>
      </c>
      <c r="AA3267">
        <v>0.99731639999999999</v>
      </c>
      <c r="AB3267">
        <v>17</v>
      </c>
      <c r="AC3267">
        <v>18.6813</v>
      </c>
      <c r="AD3267">
        <v>-1.1204005546239</v>
      </c>
      <c r="AE3267">
        <v>-0.46640000000002102</v>
      </c>
      <c r="AF3267">
        <v>1.3756290576515</v>
      </c>
      <c r="AG3267">
        <v>-1.1204005546239</v>
      </c>
      <c r="AH3267">
        <v>18.569303195718099</v>
      </c>
      <c r="AI3267">
        <v>93.443408830329901</v>
      </c>
      <c r="AJ3267">
        <v>85.763221257302007</v>
      </c>
      <c r="AK3267">
        <v>18.6538648510587</v>
      </c>
      <c r="AL3267">
        <v>95.786933130569096</v>
      </c>
      <c r="AM3267">
        <v>88.233714152314803</v>
      </c>
      <c r="AN3267">
        <v>0.99999997850442501</v>
      </c>
    </row>
    <row r="3268" spans="1:40" x14ac:dyDescent="0.25">
      <c r="A3268" t="str">
        <f>"20190303154832164"</f>
        <v>20190303154832164</v>
      </c>
      <c r="B3268" t="str">
        <f>"1551599312154149"</f>
        <v>1551599312154149</v>
      </c>
      <c r="C3268" t="s">
        <v>40</v>
      </c>
      <c r="D3268">
        <v>5.6800110000000004</v>
      </c>
      <c r="E3268">
        <v>0.51626669999999997</v>
      </c>
      <c r="F3268" t="s">
        <v>52</v>
      </c>
      <c r="G3268">
        <v>-441.40410000000003</v>
      </c>
      <c r="H3268" s="1">
        <v>-7.8709760000000003E-7</v>
      </c>
      <c r="I3268">
        <v>214.55930000000001</v>
      </c>
      <c r="J3268">
        <v>-460.35079999999999</v>
      </c>
      <c r="K3268">
        <v>1.1203050000000001</v>
      </c>
      <c r="L3268">
        <v>215.03399999999999</v>
      </c>
      <c r="M3268">
        <v>0.99875740000000002</v>
      </c>
      <c r="N3268">
        <v>-1.3989919999999999E-2</v>
      </c>
      <c r="O3268">
        <v>4.7833899999999999E-2</v>
      </c>
      <c r="P3268">
        <v>0.99338000000000004</v>
      </c>
      <c r="Q3268">
        <v>-0.11323709999999999</v>
      </c>
      <c r="R3268">
        <v>1.9324999999999998E-2</v>
      </c>
      <c r="S3268">
        <v>3.001465</v>
      </c>
      <c r="T3268">
        <v>-0.17589639999999901</v>
      </c>
      <c r="U3268">
        <v>-7.3410030000000001E-2</v>
      </c>
      <c r="V3268">
        <v>2.806051E-2</v>
      </c>
      <c r="W3268">
        <v>-9.9376649999999997E-2</v>
      </c>
      <c r="X3268">
        <v>0.99465420000000004</v>
      </c>
      <c r="Y3268">
        <v>7.2046410000000005E-2</v>
      </c>
      <c r="Z3268">
        <v>-4.7447970000000003E-3</v>
      </c>
      <c r="AA3268">
        <v>0.99739</v>
      </c>
      <c r="AB3268">
        <v>17</v>
      </c>
      <c r="AC3268">
        <v>18.9466999999999</v>
      </c>
      <c r="AD3268">
        <v>-1.1203057870976001</v>
      </c>
      <c r="AE3268">
        <v>-0.474700000000012</v>
      </c>
      <c r="AF3268">
        <v>1.37573276905459</v>
      </c>
      <c r="AG3268">
        <v>-1.1203057870976001</v>
      </c>
      <c r="AH3268">
        <v>18.8364822966426</v>
      </c>
      <c r="AI3268">
        <v>93.394654637314403</v>
      </c>
      <c r="AJ3268">
        <v>85.822788273123194</v>
      </c>
      <c r="AK3268">
        <v>18.919851770565899</v>
      </c>
      <c r="AL3268">
        <v>95.703276100730605</v>
      </c>
      <c r="AM3268">
        <v>88.384038922060299</v>
      </c>
      <c r="AN3268">
        <v>1.0000000441821599</v>
      </c>
    </row>
    <row r="3269" spans="1:40" x14ac:dyDescent="0.25">
      <c r="A3269" t="str">
        <f>"20190303154832187"</f>
        <v>20190303154832187</v>
      </c>
      <c r="B3269" t="str">
        <f>"1551599312184405"</f>
        <v>1551599312184405</v>
      </c>
      <c r="C3269" t="s">
        <v>40</v>
      </c>
      <c r="D3269">
        <v>5.6547710000000002</v>
      </c>
      <c r="E3269">
        <v>0.51651899999999995</v>
      </c>
      <c r="F3269" t="s">
        <v>52</v>
      </c>
      <c r="G3269">
        <v>-440.93610000000001</v>
      </c>
      <c r="H3269" s="1">
        <v>-1.037422E-6</v>
      </c>
      <c r="I3269">
        <v>214.58840000000001</v>
      </c>
      <c r="J3269">
        <v>-460.1857</v>
      </c>
      <c r="K3269">
        <v>1.120228</v>
      </c>
      <c r="L3269">
        <v>215.04050000000001</v>
      </c>
      <c r="M3269">
        <v>0.99881489999999995</v>
      </c>
      <c r="N3269">
        <v>-1.398858E-2</v>
      </c>
      <c r="O3269">
        <v>4.6618760000000002E-2</v>
      </c>
      <c r="P3269">
        <v>0.99339149999999998</v>
      </c>
      <c r="Q3269">
        <v>-0.1127532</v>
      </c>
      <c r="R3269">
        <v>2.1463070000000001E-2</v>
      </c>
      <c r="S3269">
        <v>3.0015559999999999</v>
      </c>
      <c r="T3269">
        <v>-0.1732022</v>
      </c>
      <c r="U3269">
        <v>-6.8893430000000005E-2</v>
      </c>
      <c r="V3269">
        <v>2.4697239999999999E-2</v>
      </c>
      <c r="W3269">
        <v>-9.8891720000000002E-2</v>
      </c>
      <c r="X3269">
        <v>0.99479169999999995</v>
      </c>
      <c r="Y3269">
        <v>6.9344840000000005E-2</v>
      </c>
      <c r="Z3269">
        <v>-4.5197989999999997E-3</v>
      </c>
      <c r="AA3269">
        <v>0.99758250000000004</v>
      </c>
      <c r="AB3269">
        <v>17</v>
      </c>
      <c r="AC3269">
        <v>19.249599999999901</v>
      </c>
      <c r="AD3269">
        <v>-1.1202290374220001</v>
      </c>
      <c r="AE3269">
        <v>-0.452100000000001</v>
      </c>
      <c r="AF3269">
        <v>1.34453760262558</v>
      </c>
      <c r="AG3269">
        <v>-1.1202290374220001</v>
      </c>
      <c r="AH3269">
        <v>19.142794272751502</v>
      </c>
      <c r="AI3269">
        <v>93.340895718442795</v>
      </c>
      <c r="AJ3269">
        <v>85.982299023739799</v>
      </c>
      <c r="AK3269">
        <v>19.2226238331308</v>
      </c>
      <c r="AL3269">
        <v>95.675354220283893</v>
      </c>
      <c r="AM3269">
        <v>88.577835942824606</v>
      </c>
      <c r="AN3269">
        <v>1.00000002616853</v>
      </c>
    </row>
    <row r="3270" spans="1:40" x14ac:dyDescent="0.25">
      <c r="A3270" t="str">
        <f>"20190303154832209"</f>
        <v>20190303154832209</v>
      </c>
      <c r="B3270" t="str">
        <f>"1551599312203924"</f>
        <v>1551599312203924</v>
      </c>
      <c r="C3270" t="s">
        <v>40</v>
      </c>
      <c r="D3270">
        <v>5.6797250000000004</v>
      </c>
      <c r="E3270">
        <v>0.51694149999999905</v>
      </c>
      <c r="F3270" t="s">
        <v>52</v>
      </c>
      <c r="G3270">
        <v>-441.0102</v>
      </c>
      <c r="H3270" s="1">
        <v>-9.9984519999999894E-7</v>
      </c>
      <c r="I3270">
        <v>214.63130000000001</v>
      </c>
      <c r="J3270">
        <v>-460.02300000000002</v>
      </c>
      <c r="K3270">
        <v>1.1201559999999999</v>
      </c>
      <c r="L3270">
        <v>215.04660000000001</v>
      </c>
      <c r="M3270">
        <v>0.99887570000000003</v>
      </c>
      <c r="N3270">
        <v>-1.398719E-2</v>
      </c>
      <c r="O3270">
        <v>4.5299520000000003E-2</v>
      </c>
      <c r="P3270">
        <v>0.99328559999999999</v>
      </c>
      <c r="Q3270">
        <v>-0.1132528</v>
      </c>
      <c r="R3270">
        <v>2.3616870000000002E-2</v>
      </c>
      <c r="S3270">
        <v>3.0014340000000002</v>
      </c>
      <c r="T3270">
        <v>-0.1753439</v>
      </c>
      <c r="U3270">
        <v>-6.4056399999999999E-2</v>
      </c>
      <c r="V3270">
        <v>2.1212870000000002E-2</v>
      </c>
      <c r="W3270">
        <v>-9.9389430000000001E-2</v>
      </c>
      <c r="X3270">
        <v>0.99482250000000005</v>
      </c>
      <c r="Y3270">
        <v>6.6423789999999996E-2</v>
      </c>
      <c r="Z3270">
        <v>-4.4137100000000004E-3</v>
      </c>
      <c r="AA3270">
        <v>0.99778180000000005</v>
      </c>
      <c r="AB3270">
        <v>17</v>
      </c>
      <c r="AC3270">
        <v>19.012799999999999</v>
      </c>
      <c r="AD3270">
        <v>-1.1201569998451999</v>
      </c>
      <c r="AE3270">
        <v>-0.415300000000002</v>
      </c>
      <c r="AF3270">
        <v>1.27181593527926</v>
      </c>
      <c r="AG3270">
        <v>-1.1201569998451999</v>
      </c>
      <c r="AH3270">
        <v>18.908860844201602</v>
      </c>
      <c r="AI3270">
        <v>93.382603056701896</v>
      </c>
      <c r="AJ3270">
        <v>86.152063466445796</v>
      </c>
      <c r="AK3270">
        <v>18.984659225356499</v>
      </c>
      <c r="AL3270">
        <v>95.704012090404802</v>
      </c>
      <c r="AM3270">
        <v>88.7784516689117</v>
      </c>
      <c r="AN3270">
        <v>1.0000000255778001</v>
      </c>
    </row>
    <row r="3271" spans="1:40" x14ac:dyDescent="0.25">
      <c r="A3271" t="str">
        <f>"20190303154832233"</f>
        <v>20190303154832233</v>
      </c>
      <c r="B3271" t="str">
        <f>"1551599312224421"</f>
        <v>1551599312224421</v>
      </c>
      <c r="C3271" t="s">
        <v>40</v>
      </c>
      <c r="D3271">
        <v>5.6971639999999999</v>
      </c>
      <c r="E3271">
        <v>0.51689689999999999</v>
      </c>
      <c r="F3271" t="s">
        <v>52</v>
      </c>
      <c r="G3271">
        <v>-441.14100000000002</v>
      </c>
      <c r="H3271" s="1">
        <v>-9.3174759999999999E-7</v>
      </c>
      <c r="I3271">
        <v>214.66470000000001</v>
      </c>
      <c r="J3271">
        <v>-459.83699999999999</v>
      </c>
      <c r="K3271">
        <v>1.1201049999999999</v>
      </c>
      <c r="L3271">
        <v>215.0531</v>
      </c>
      <c r="M3271">
        <v>0.99894899999999998</v>
      </c>
      <c r="N3271">
        <v>-1.39852999999999E-2</v>
      </c>
      <c r="O3271">
        <v>4.3652719999999999E-2</v>
      </c>
      <c r="P3271">
        <v>0.99314709999999995</v>
      </c>
      <c r="Q3271">
        <v>-0.1140635</v>
      </c>
      <c r="R3271">
        <v>2.5469450000000001E-2</v>
      </c>
      <c r="S3271">
        <v>3.0014340000000002</v>
      </c>
      <c r="T3271">
        <v>-0.17805699999999999</v>
      </c>
      <c r="U3271">
        <v>-6.0699459999999997E-2</v>
      </c>
      <c r="V3271">
        <v>1.770453E-2</v>
      </c>
      <c r="W3271">
        <v>-0.1001976</v>
      </c>
      <c r="X3271">
        <v>0.99480999999999997</v>
      </c>
      <c r="Y3271">
        <v>6.3665020000000003E-2</v>
      </c>
      <c r="Z3271">
        <v>-4.308966E-3</v>
      </c>
      <c r="AA3271">
        <v>0.99796200000000002</v>
      </c>
      <c r="AB3271">
        <v>17</v>
      </c>
      <c r="AC3271">
        <v>18.696000000000002</v>
      </c>
      <c r="AD3271">
        <v>-1.1201059317476001</v>
      </c>
      <c r="AE3271">
        <v>-0.38839999999998998</v>
      </c>
      <c r="AF3271">
        <v>1.1999354860383999</v>
      </c>
      <c r="AG3271">
        <v>-1.1201059317476001</v>
      </c>
      <c r="AH3271">
        <v>18.594504317227599</v>
      </c>
      <c r="AI3271">
        <v>93.440110683727099</v>
      </c>
      <c r="AJ3271">
        <v>86.3077239912827</v>
      </c>
      <c r="AK3271">
        <v>18.666817438234801</v>
      </c>
      <c r="AL3271">
        <v>95.750549430442902</v>
      </c>
      <c r="AM3271">
        <v>88.980420611622506</v>
      </c>
      <c r="AN3271">
        <v>0.99999997276413999</v>
      </c>
    </row>
    <row r="3272" spans="1:40" x14ac:dyDescent="0.25">
      <c r="A3272" t="str">
        <f>"20190303154832257"</f>
        <v>20190303154832257</v>
      </c>
      <c r="B3272" t="str">
        <f>"1551599312253701"</f>
        <v>1551599312253701</v>
      </c>
      <c r="C3272" t="s">
        <v>40</v>
      </c>
      <c r="D3272">
        <v>5.7284050000000004</v>
      </c>
      <c r="E3272">
        <v>0.51758870000000001</v>
      </c>
      <c r="F3272" t="s">
        <v>52</v>
      </c>
      <c r="G3272">
        <v>-441.02929999999998</v>
      </c>
      <c r="H3272" s="1">
        <v>-9.9318559999999994E-7</v>
      </c>
      <c r="I3272">
        <v>214.7105</v>
      </c>
      <c r="J3272">
        <v>-459.66079999999999</v>
      </c>
      <c r="K3272">
        <v>1.1200779999999999</v>
      </c>
      <c r="L3272">
        <v>215.05889999999999</v>
      </c>
      <c r="M3272">
        <v>0.99902040000000003</v>
      </c>
      <c r="N3272">
        <v>-1.3983249999999999E-2</v>
      </c>
      <c r="O3272">
        <v>4.1984760000000003E-2</v>
      </c>
      <c r="P3272">
        <v>0.9929791</v>
      </c>
      <c r="Q3272">
        <v>-0.1151353</v>
      </c>
      <c r="R3272">
        <v>2.7144720000000001E-2</v>
      </c>
      <c r="S3272">
        <v>3.0015869999999998</v>
      </c>
      <c r="T3272">
        <v>-0.1787609</v>
      </c>
      <c r="U3272">
        <v>-5.4672239999999997E-2</v>
      </c>
      <c r="V3272">
        <v>1.435589E-2</v>
      </c>
      <c r="W3272">
        <v>-0.1012663</v>
      </c>
      <c r="X3272">
        <v>0.99475579999999997</v>
      </c>
      <c r="Y3272">
        <v>6.0002449999999999E-2</v>
      </c>
      <c r="Z3272">
        <v>-4.1159859999999899E-3</v>
      </c>
      <c r="AA3272">
        <v>0.99818969999999996</v>
      </c>
      <c r="AB3272">
        <v>17</v>
      </c>
      <c r="AC3272">
        <v>18.631499999999999</v>
      </c>
      <c r="AD3272">
        <v>-1.1200789931855999</v>
      </c>
      <c r="AE3272">
        <v>-0.34839999999999799</v>
      </c>
      <c r="AF3272">
        <v>1.1263389847456799</v>
      </c>
      <c r="AG3272">
        <v>-1.1200789931855999</v>
      </c>
      <c r="AH3272">
        <v>18.533480892252399</v>
      </c>
      <c r="AI3272">
        <v>93.452135143965407</v>
      </c>
      <c r="AJ3272">
        <v>86.522229366970905</v>
      </c>
      <c r="AK3272">
        <v>18.6014281828847</v>
      </c>
      <c r="AL3272">
        <v>95.812094153106401</v>
      </c>
      <c r="AM3272">
        <v>89.173189226634904</v>
      </c>
      <c r="AN3272">
        <v>1.00000002836351</v>
      </c>
    </row>
    <row r="3273" spans="1:40" x14ac:dyDescent="0.25">
      <c r="A3273" t="str">
        <f>"20190303154832277"</f>
        <v>20190303154832277</v>
      </c>
      <c r="B3273" t="str">
        <f>"1551599312264437"</f>
        <v>1551599312264437</v>
      </c>
      <c r="C3273" t="s">
        <v>40</v>
      </c>
      <c r="D3273">
        <v>5.7238600000000002</v>
      </c>
      <c r="E3273">
        <v>0.51783630000000003</v>
      </c>
      <c r="F3273" t="s">
        <v>52</v>
      </c>
      <c r="G3273">
        <v>-441.37079999999997</v>
      </c>
      <c r="H3273" s="1">
        <v>-8.1196110000000005E-7</v>
      </c>
      <c r="I3273">
        <v>214.72300000000001</v>
      </c>
      <c r="J3273">
        <v>-459.51080000000002</v>
      </c>
      <c r="K3273">
        <v>1.120066</v>
      </c>
      <c r="L3273">
        <v>215.0635</v>
      </c>
      <c r="M3273">
        <v>0.99908140000000001</v>
      </c>
      <c r="N3273">
        <v>-1.398134E-2</v>
      </c>
      <c r="O3273">
        <v>4.0510930000000001E-2</v>
      </c>
      <c r="P3273">
        <v>0.99299040000000005</v>
      </c>
      <c r="Q3273">
        <v>-0.1147671</v>
      </c>
      <c r="R3273">
        <v>2.8266019999999999E-2</v>
      </c>
      <c r="S3273">
        <v>3.001404</v>
      </c>
      <c r="T3273">
        <v>-0.18380589999999999</v>
      </c>
      <c r="U3273">
        <v>-5.5114749999999997E-2</v>
      </c>
      <c r="V3273">
        <v>1.1769099999999999E-2</v>
      </c>
      <c r="W3273">
        <v>-0.10089380000000001</v>
      </c>
      <c r="X3273">
        <v>0.99482760000000003</v>
      </c>
      <c r="Y3273">
        <v>5.867269E-2</v>
      </c>
      <c r="Z3273">
        <v>-4.1174609999999898E-3</v>
      </c>
      <c r="AA3273">
        <v>0.99826879999999996</v>
      </c>
      <c r="AB3273">
        <v>17</v>
      </c>
      <c r="AC3273">
        <v>18.14</v>
      </c>
      <c r="AD3273">
        <v>-1.1200668119610999</v>
      </c>
      <c r="AE3273">
        <v>-0.34050000000002001</v>
      </c>
      <c r="AF3273">
        <v>1.07107835850453</v>
      </c>
      <c r="AG3273">
        <v>-1.1200668119610999</v>
      </c>
      <c r="AH3273">
        <v>18.042547034732301</v>
      </c>
      <c r="AI3273">
        <v>93.546090362055494</v>
      </c>
      <c r="AJ3273">
        <v>86.6026785281949</v>
      </c>
      <c r="AK3273">
        <v>18.1089829094248</v>
      </c>
      <c r="AL3273">
        <v>95.7906416962647</v>
      </c>
      <c r="AM3273">
        <v>89.322205874674395</v>
      </c>
      <c r="AN3273">
        <v>1.0000000121574999</v>
      </c>
    </row>
    <row r="3274" spans="1:40" x14ac:dyDescent="0.25">
      <c r="A3274" t="str">
        <f>"20190303154832297"</f>
        <v>20190303154832297</v>
      </c>
      <c r="B3274" t="str">
        <f>"1551599312293717"</f>
        <v>1551599312293717</v>
      </c>
      <c r="C3274" t="s">
        <v>40</v>
      </c>
      <c r="D3274">
        <v>5.7225380000000001</v>
      </c>
      <c r="E3274">
        <v>0.51841119999999996</v>
      </c>
      <c r="F3274" t="s">
        <v>52</v>
      </c>
      <c r="G3274">
        <v>-441.12169999999998</v>
      </c>
      <c r="H3274" s="1">
        <v>-9.4512069999999998E-7</v>
      </c>
      <c r="I3274">
        <v>214.73599999999999</v>
      </c>
      <c r="J3274">
        <v>-459.35469999999998</v>
      </c>
      <c r="K3274">
        <v>1.1200589999999999</v>
      </c>
      <c r="L3274">
        <v>215.06800000000001</v>
      </c>
      <c r="M3274">
        <v>0.999143</v>
      </c>
      <c r="N3274">
        <v>-1.397899E-2</v>
      </c>
      <c r="O3274">
        <v>3.89597E-2</v>
      </c>
      <c r="P3274">
        <v>0.9930542</v>
      </c>
      <c r="Q3274">
        <v>-0.1141831</v>
      </c>
      <c r="R3274">
        <v>2.8379330000000001E-2</v>
      </c>
      <c r="S3274">
        <v>3.0015260000000001</v>
      </c>
      <c r="T3274">
        <v>-0.1828206</v>
      </c>
      <c r="U3274">
        <v>-5.3451539999999999E-2</v>
      </c>
      <c r="V3274">
        <v>1.011857E-2</v>
      </c>
      <c r="W3274">
        <v>-0.1003072</v>
      </c>
      <c r="X3274">
        <v>0.99490509999999999</v>
      </c>
      <c r="Y3274">
        <v>5.6577349999999998E-2</v>
      </c>
      <c r="Z3274">
        <v>-3.9433640000000004E-3</v>
      </c>
      <c r="AA3274">
        <v>0.99839040000000001</v>
      </c>
      <c r="AB3274">
        <v>17</v>
      </c>
      <c r="AC3274">
        <v>18.233000000000001</v>
      </c>
      <c r="AD3274">
        <v>-1.1200599451206901</v>
      </c>
      <c r="AE3274">
        <v>-0.33199999999999302</v>
      </c>
      <c r="AF3274">
        <v>1.03825276895783</v>
      </c>
      <c r="AG3274">
        <v>-1.1200599451206901</v>
      </c>
      <c r="AH3274">
        <v>18.1377948635322</v>
      </c>
      <c r="AI3274">
        <v>93.527927962398607</v>
      </c>
      <c r="AJ3274">
        <v>86.723821428939303</v>
      </c>
      <c r="AK3274">
        <v>18.201980815408199</v>
      </c>
      <c r="AL3274">
        <v>95.756860462594005</v>
      </c>
      <c r="AM3274">
        <v>89.417299833175093</v>
      </c>
      <c r="AN3274">
        <v>1.0000000389183401</v>
      </c>
    </row>
    <row r="3275" spans="1:40" x14ac:dyDescent="0.25">
      <c r="A3275" t="str">
        <f>"20190303154832322"</f>
        <v>20190303154832322</v>
      </c>
      <c r="B3275" t="str">
        <f>"1551599312314213"</f>
        <v>1551599312314213</v>
      </c>
      <c r="C3275" t="s">
        <v>40</v>
      </c>
      <c r="D3275">
        <v>5.8342720000000003</v>
      </c>
      <c r="E3275">
        <v>0.51857120000000001</v>
      </c>
      <c r="F3275" t="s">
        <v>52</v>
      </c>
      <c r="G3275">
        <v>-441.0093</v>
      </c>
      <c r="H3275" s="1">
        <v>-1.0040090000000001E-6</v>
      </c>
      <c r="I3275">
        <v>214.7149</v>
      </c>
      <c r="J3275">
        <v>-459.17590000000001</v>
      </c>
      <c r="K3275">
        <v>1.120069</v>
      </c>
      <c r="L3275">
        <v>215.0728</v>
      </c>
      <c r="M3275">
        <v>0.9992103</v>
      </c>
      <c r="N3275">
        <v>-1.397546E-2</v>
      </c>
      <c r="O3275">
        <v>3.71948E-2</v>
      </c>
      <c r="P3275">
        <v>0.99284720000000004</v>
      </c>
      <c r="Q3275">
        <v>-0.11629489999999899</v>
      </c>
      <c r="R3275">
        <v>2.7014679999999999E-2</v>
      </c>
      <c r="S3275">
        <v>3.0015559999999999</v>
      </c>
      <c r="T3275">
        <v>-0.183257</v>
      </c>
      <c r="U3275">
        <v>-5.776978E-2</v>
      </c>
      <c r="V3275">
        <v>9.7211889999999999E-3</v>
      </c>
      <c r="W3275">
        <v>-0.10242420000000001</v>
      </c>
      <c r="X3275">
        <v>0.9946933</v>
      </c>
      <c r="Y3275">
        <v>5.6251389999999998E-2</v>
      </c>
      <c r="Z3275">
        <v>-3.8579209999999998E-3</v>
      </c>
      <c r="AA3275">
        <v>0.9984092</v>
      </c>
      <c r="AB3275">
        <v>17</v>
      </c>
      <c r="AC3275">
        <v>18.166599999999999</v>
      </c>
      <c r="AD3275">
        <v>-1.1200700040089999</v>
      </c>
      <c r="AE3275">
        <v>-0.3579</v>
      </c>
      <c r="AF3275">
        <v>1.02950929722026</v>
      </c>
      <c r="AG3275">
        <v>-1.1200700040089999</v>
      </c>
      <c r="AH3275">
        <v>18.072041237215601</v>
      </c>
      <c r="AI3275">
        <v>93.540818548166499</v>
      </c>
      <c r="AJ3275">
        <v>86.739557391741897</v>
      </c>
      <c r="AK3275">
        <v>18.135962083290899</v>
      </c>
      <c r="AL3275">
        <v>95.878783935230302</v>
      </c>
      <c r="AM3275">
        <v>89.440063213848404</v>
      </c>
      <c r="AN3275">
        <v>0.99999998966305104</v>
      </c>
    </row>
    <row r="3276" spans="1:40" x14ac:dyDescent="0.25">
      <c r="A3276" t="str">
        <f>"20190303154832343"</f>
        <v>20190303154832343</v>
      </c>
      <c r="B3276" t="str">
        <f>"1551599312333734"</f>
        <v>1551599312333734</v>
      </c>
      <c r="C3276" t="s">
        <v>40</v>
      </c>
      <c r="D3276">
        <v>5.7096289999999996</v>
      </c>
      <c r="E3276">
        <v>0.51887129999999904</v>
      </c>
      <c r="F3276" t="s">
        <v>52</v>
      </c>
      <c r="G3276">
        <v>-441.51909999999998</v>
      </c>
      <c r="H3276" s="1">
        <v>-7.3209859999999995E-7</v>
      </c>
      <c r="I3276">
        <v>214.70070000000001</v>
      </c>
      <c r="J3276">
        <v>-459.01670000000001</v>
      </c>
      <c r="K3276">
        <v>1.1201030000000001</v>
      </c>
      <c r="L3276">
        <v>215.07679999999999</v>
      </c>
      <c r="M3276">
        <v>0.99926630000000005</v>
      </c>
      <c r="N3276">
        <v>-1.3971249999999999E-2</v>
      </c>
      <c r="O3276">
        <v>3.5662050000000001E-2</v>
      </c>
      <c r="P3276">
        <v>0.99259129999999995</v>
      </c>
      <c r="Q3276">
        <v>-0.11867850000000001</v>
      </c>
      <c r="R3276">
        <v>2.6041430000000001E-2</v>
      </c>
      <c r="S3276">
        <v>3.0010680000000001</v>
      </c>
      <c r="T3276">
        <v>-0.19037390000000001</v>
      </c>
      <c r="U3276">
        <v>-6.3247680000000001E-2</v>
      </c>
      <c r="V3276">
        <v>9.1670320000000003E-3</v>
      </c>
      <c r="W3276">
        <v>-0.1048135</v>
      </c>
      <c r="X3276">
        <v>0.99444960000000004</v>
      </c>
      <c r="Y3276">
        <v>5.6532369999999998E-2</v>
      </c>
      <c r="Z3276">
        <v>-3.9482500000000004E-3</v>
      </c>
      <c r="AA3276">
        <v>0.99839290000000003</v>
      </c>
      <c r="AB3276">
        <v>17</v>
      </c>
      <c r="AC3276">
        <v>17.497599999999998</v>
      </c>
      <c r="AD3276">
        <v>-1.1201037320986</v>
      </c>
      <c r="AE3276">
        <v>-0.37609999999997901</v>
      </c>
      <c r="AF3276">
        <v>0.99584291566748495</v>
      </c>
      <c r="AG3276">
        <v>-1.1201037320986</v>
      </c>
      <c r="AH3276">
        <v>17.401776410310902</v>
      </c>
      <c r="AI3276">
        <v>93.676889420124496</v>
      </c>
      <c r="AJ3276">
        <v>86.724734796281297</v>
      </c>
      <c r="AK3276">
        <v>17.466200437353201</v>
      </c>
      <c r="AL3276">
        <v>96.016421875384694</v>
      </c>
      <c r="AM3276">
        <v>89.471851195082905</v>
      </c>
      <c r="AN3276">
        <v>0.99999995559904797</v>
      </c>
    </row>
    <row r="3277" spans="1:40" x14ac:dyDescent="0.25">
      <c r="A3277" t="str">
        <f>"20190303154832366"</f>
        <v>20190303154832366</v>
      </c>
      <c r="B3277" t="str">
        <f>"1551599312363990"</f>
        <v>1551599312363990</v>
      </c>
      <c r="C3277" t="s">
        <v>40</v>
      </c>
      <c r="D3277">
        <v>5.845345</v>
      </c>
      <c r="E3277">
        <v>0.51866080000000003</v>
      </c>
      <c r="F3277" t="s">
        <v>52</v>
      </c>
      <c r="G3277">
        <v>-442.07749999999999</v>
      </c>
      <c r="H3277" s="1">
        <v>-4.3449989999999999E-7</v>
      </c>
      <c r="I3277">
        <v>214.6909</v>
      </c>
      <c r="J3277">
        <v>-458.84100000000001</v>
      </c>
      <c r="K3277">
        <v>1.1201559999999999</v>
      </c>
      <c r="L3277">
        <v>215.08109999999999</v>
      </c>
      <c r="M3277">
        <v>0.99932339999999997</v>
      </c>
      <c r="N3277">
        <v>-1.3965750000000001E-2</v>
      </c>
      <c r="O3277">
        <v>3.4027200000000001E-2</v>
      </c>
      <c r="P3277">
        <v>0.99234860000000003</v>
      </c>
      <c r="Q3277">
        <v>-0.1209876</v>
      </c>
      <c r="R3277">
        <v>2.4626180000000001E-2</v>
      </c>
      <c r="S3277">
        <v>3.0004580000000001</v>
      </c>
      <c r="T3277">
        <v>-0.198405</v>
      </c>
      <c r="U3277">
        <v>-6.8359379999999997E-2</v>
      </c>
      <c r="V3277">
        <v>8.9601049999999995E-3</v>
      </c>
      <c r="W3277">
        <v>-0.10713</v>
      </c>
      <c r="X3277">
        <v>0.99420459999999999</v>
      </c>
      <c r="Y3277">
        <v>5.6589670000000002E-2</v>
      </c>
      <c r="Z3277">
        <v>-4.0368640000000003E-3</v>
      </c>
      <c r="AA3277">
        <v>0.99838939999999998</v>
      </c>
      <c r="AB3277">
        <v>17</v>
      </c>
      <c r="AC3277">
        <v>16.763500000000001</v>
      </c>
      <c r="AD3277">
        <v>-1.1201564344999</v>
      </c>
      <c r="AE3277">
        <v>-0.390199999999993</v>
      </c>
      <c r="AF3277">
        <v>0.956177469546309</v>
      </c>
      <c r="AG3277">
        <v>-1.1201564344999</v>
      </c>
      <c r="AH3277">
        <v>16.666136660700399</v>
      </c>
      <c r="AI3277">
        <v>93.838859683159797</v>
      </c>
      <c r="AJ3277">
        <v>86.716399068307894</v>
      </c>
      <c r="AK3277">
        <v>16.731082959096199</v>
      </c>
      <c r="AL3277">
        <v>96.149899190342396</v>
      </c>
      <c r="AM3277">
        <v>89.483645215489105</v>
      </c>
      <c r="AN3277">
        <v>0.99999995352138404</v>
      </c>
    </row>
    <row r="3278" spans="1:40" x14ac:dyDescent="0.25">
      <c r="A3278" t="str">
        <f>"20190303154832388"</f>
        <v>20190303154832388</v>
      </c>
      <c r="B3278" t="str">
        <f>"1551599312384484"</f>
        <v>1551599312384484</v>
      </c>
      <c r="C3278" t="s">
        <v>40</v>
      </c>
      <c r="D3278">
        <v>5.8403109999999998</v>
      </c>
      <c r="E3278">
        <v>0.5184183</v>
      </c>
      <c r="F3278" t="s">
        <v>52</v>
      </c>
      <c r="G3278">
        <v>-443.34660000000002</v>
      </c>
      <c r="H3278" s="1">
        <v>2.3982440000000001E-7</v>
      </c>
      <c r="I3278">
        <v>214.7141</v>
      </c>
      <c r="J3278">
        <v>-458.6798</v>
      </c>
      <c r="K3278">
        <v>1.1202259999999999</v>
      </c>
      <c r="L3278">
        <v>215.0848</v>
      </c>
      <c r="M3278">
        <v>0.99937100000000001</v>
      </c>
      <c r="N3278">
        <v>-1.3960419999999999E-2</v>
      </c>
      <c r="O3278">
        <v>3.2596960000000001E-2</v>
      </c>
      <c r="P3278">
        <v>0.99247969999999996</v>
      </c>
      <c r="Q3278">
        <v>-0.1200526</v>
      </c>
      <c r="R3278">
        <v>2.3898200000000001E-2</v>
      </c>
      <c r="S3278">
        <v>2.9985050000000002</v>
      </c>
      <c r="T3278">
        <v>-0.21677450000000001</v>
      </c>
      <c r="U3278">
        <v>-7.1014399999999894E-2</v>
      </c>
      <c r="V3278">
        <v>8.2898989999999999E-3</v>
      </c>
      <c r="W3278">
        <v>-0.1061962</v>
      </c>
      <c r="X3278">
        <v>0.99431060000000004</v>
      </c>
      <c r="Y3278">
        <v>5.6025239999999997E-2</v>
      </c>
      <c r="Z3278">
        <v>-4.312499E-3</v>
      </c>
      <c r="AA3278">
        <v>0.99842010000000003</v>
      </c>
      <c r="AB3278">
        <v>17</v>
      </c>
      <c r="AC3278">
        <v>15.3331999999999</v>
      </c>
      <c r="AD3278">
        <v>-1.1202257601756</v>
      </c>
      <c r="AE3278">
        <v>-0.37069999999999897</v>
      </c>
      <c r="AF3278">
        <v>0.86574910270029304</v>
      </c>
      <c r="AG3278">
        <v>-1.1202257601756</v>
      </c>
      <c r="AH3278">
        <v>15.2317119396106</v>
      </c>
      <c r="AI3278">
        <v>94.199527129406505</v>
      </c>
      <c r="AJ3278">
        <v>86.746888588178706</v>
      </c>
      <c r="AK3278">
        <v>15.2973682662693</v>
      </c>
      <c r="AL3278">
        <v>96.096089360214506</v>
      </c>
      <c r="AM3278">
        <v>89.522317050254799</v>
      </c>
      <c r="AN3278">
        <v>0.99999996229611399</v>
      </c>
    </row>
    <row r="3279" spans="1:40" x14ac:dyDescent="0.25">
      <c r="A3279" t="str">
        <f>"20190303154832409"</f>
        <v>20190303154832409</v>
      </c>
      <c r="B3279" t="str">
        <f>"1551599312404006"</f>
        <v>1551599312404006</v>
      </c>
      <c r="C3279" t="s">
        <v>40</v>
      </c>
      <c r="D3279">
        <v>5.827979</v>
      </c>
      <c r="E3279">
        <v>0.51827479999999904</v>
      </c>
      <c r="F3279" t="s">
        <v>52</v>
      </c>
      <c r="G3279">
        <v>-443.41449999999998</v>
      </c>
      <c r="H3279" s="1">
        <v>2.7554829999999998E-7</v>
      </c>
      <c r="I3279">
        <v>214.72329999999999</v>
      </c>
      <c r="J3279">
        <v>-458.52330000000001</v>
      </c>
      <c r="K3279">
        <v>1.120298</v>
      </c>
      <c r="L3279">
        <v>215.0883</v>
      </c>
      <c r="M3279">
        <v>0.999413</v>
      </c>
      <c r="N3279">
        <v>-1.3949710000000001E-2</v>
      </c>
      <c r="O3279">
        <v>3.1293179999999997E-2</v>
      </c>
      <c r="P3279">
        <v>0.99271730000000002</v>
      </c>
      <c r="Q3279">
        <v>-0.1183413</v>
      </c>
      <c r="R3279">
        <v>2.254898E-2</v>
      </c>
      <c r="S3279">
        <v>2.997833</v>
      </c>
      <c r="T3279">
        <v>-0.21999179999999999</v>
      </c>
      <c r="U3279">
        <v>-7.0999149999999997E-2</v>
      </c>
      <c r="V3279">
        <v>8.3708919999999996E-3</v>
      </c>
      <c r="W3279">
        <v>-0.1044915</v>
      </c>
      <c r="X3279">
        <v>0.9944906</v>
      </c>
      <c r="Y3279">
        <v>5.4722420000000001E-2</v>
      </c>
      <c r="Z3279">
        <v>-4.2441559999999998E-3</v>
      </c>
      <c r="AA3279">
        <v>0.99849259999999995</v>
      </c>
      <c r="AB3279">
        <v>17</v>
      </c>
      <c r="AC3279">
        <v>15.1088</v>
      </c>
      <c r="AD3279">
        <v>-1.1202977244517001</v>
      </c>
      <c r="AE3279">
        <v>-0.36500000000000898</v>
      </c>
      <c r="AF3279">
        <v>0.83309187419312203</v>
      </c>
      <c r="AG3279">
        <v>-1.1202977244517001</v>
      </c>
      <c r="AH3279">
        <v>15.0075122838543</v>
      </c>
      <c r="AI3279">
        <v>94.262623409111498</v>
      </c>
      <c r="AJ3279">
        <v>86.822677349608099</v>
      </c>
      <c r="AK3279">
        <v>15.072310175029401</v>
      </c>
      <c r="AL3279">
        <v>95.997870201611406</v>
      </c>
      <c r="AM3279">
        <v>89.517737567521706</v>
      </c>
      <c r="AN3279">
        <v>1.00000004944674</v>
      </c>
    </row>
    <row r="3280" spans="1:40" x14ac:dyDescent="0.25">
      <c r="A3280" t="str">
        <f>"20190303154832435"</f>
        <v>20190303154832435</v>
      </c>
      <c r="B3280" t="str">
        <f>"1551599312424501"</f>
        <v>1551599312424501</v>
      </c>
      <c r="C3280" t="s">
        <v>40</v>
      </c>
      <c r="D3280">
        <v>5.8471029999999997</v>
      </c>
      <c r="E3280">
        <v>0.51813009999999904</v>
      </c>
      <c r="F3280" t="s">
        <v>52</v>
      </c>
      <c r="G3280">
        <v>-443.36970000000002</v>
      </c>
      <c r="H3280" s="1">
        <v>2.5215479999999999E-7</v>
      </c>
      <c r="I3280">
        <v>214.7132</v>
      </c>
      <c r="J3280">
        <v>-458.3399</v>
      </c>
      <c r="K3280">
        <v>1.120385</v>
      </c>
      <c r="L3280">
        <v>215.09219999999999</v>
      </c>
      <c r="M3280">
        <v>0.99945640000000002</v>
      </c>
      <c r="N3280">
        <v>-1.3901480000000001E-2</v>
      </c>
      <c r="O3280">
        <v>2.989584E-2</v>
      </c>
      <c r="P3280">
        <v>0.99287199999999998</v>
      </c>
      <c r="Q3280">
        <v>-0.117254399999999</v>
      </c>
      <c r="R3280">
        <v>2.137505E-2</v>
      </c>
      <c r="S3280">
        <v>2.9972840000000001</v>
      </c>
      <c r="T3280">
        <v>-0.22158810000000001</v>
      </c>
      <c r="U3280">
        <v>-7.4188229999999994E-2</v>
      </c>
      <c r="V3280">
        <v>8.184106E-3</v>
      </c>
      <c r="W3280">
        <v>-0.10344879999999999</v>
      </c>
      <c r="X3280">
        <v>0.99460110000000002</v>
      </c>
      <c r="Y3280">
        <v>5.4392650000000001E-2</v>
      </c>
      <c r="Z3280">
        <v>-4.178022E-3</v>
      </c>
      <c r="AA3280">
        <v>0.99851089999999998</v>
      </c>
      <c r="AB3280">
        <v>17</v>
      </c>
      <c r="AC3280">
        <v>14.970199999999901</v>
      </c>
      <c r="AD3280">
        <v>-1.1203847478452</v>
      </c>
      <c r="AE3280">
        <v>-0.37899999999999001</v>
      </c>
      <c r="AF3280">
        <v>0.82182028116708905</v>
      </c>
      <c r="AG3280">
        <v>-1.1203847478452</v>
      </c>
      <c r="AH3280">
        <v>14.868945476557901</v>
      </c>
      <c r="AI3280">
        <v>94.302589143653194</v>
      </c>
      <c r="AJ3280">
        <v>86.836428428968702</v>
      </c>
      <c r="AK3280">
        <v>14.933726599298399</v>
      </c>
      <c r="AL3280">
        <v>95.937802698317398</v>
      </c>
      <c r="AM3280">
        <v>89.528550541406204</v>
      </c>
      <c r="AN3280">
        <v>0.99999999096683401</v>
      </c>
    </row>
    <row r="3281" spans="1:40" x14ac:dyDescent="0.25">
      <c r="A3281" t="str">
        <f>"20190303154832455"</f>
        <v>20190303154832455</v>
      </c>
      <c r="B3281" t="str">
        <f>"1551599312444021"</f>
        <v>1551599312444021</v>
      </c>
      <c r="C3281" t="s">
        <v>40</v>
      </c>
      <c r="D3281">
        <v>5.8472970000000002</v>
      </c>
      <c r="E3281">
        <v>0.51793400000000001</v>
      </c>
      <c r="F3281" t="s">
        <v>52</v>
      </c>
      <c r="G3281">
        <v>-443.28559999999999</v>
      </c>
      <c r="H3281" s="1">
        <v>2.077408E-7</v>
      </c>
      <c r="I3281">
        <v>214.70490000000001</v>
      </c>
      <c r="J3281">
        <v>-458.18049999999999</v>
      </c>
      <c r="K3281">
        <v>1.120436</v>
      </c>
      <c r="L3281">
        <v>215.09559999999999</v>
      </c>
      <c r="M3281">
        <v>0.99948950000000003</v>
      </c>
      <c r="N3281">
        <v>-1.3793410000000001E-2</v>
      </c>
      <c r="O3281">
        <v>2.88168E-2</v>
      </c>
      <c r="P3281">
        <v>0.9927899</v>
      </c>
      <c r="Q3281">
        <v>-0.1181374</v>
      </c>
      <c r="R3281">
        <v>2.0296310000000001E-2</v>
      </c>
      <c r="S3281">
        <v>2.996918</v>
      </c>
      <c r="T3281">
        <v>-0.2230384</v>
      </c>
      <c r="U3281">
        <v>-7.7102660000000003E-2</v>
      </c>
      <c r="V3281">
        <v>8.2071149999999992E-3</v>
      </c>
      <c r="W3281">
        <v>-0.10443910000000001</v>
      </c>
      <c r="X3281">
        <v>0.99449739999999998</v>
      </c>
      <c r="Y3281">
        <v>5.4287340000000003E-2</v>
      </c>
      <c r="Z3281">
        <v>-4.1363670000000002E-3</v>
      </c>
      <c r="AA3281">
        <v>0.99851679999999998</v>
      </c>
      <c r="AB3281">
        <v>16</v>
      </c>
      <c r="AC3281">
        <v>14.8949</v>
      </c>
      <c r="AD3281">
        <v>-1.1204357922591901</v>
      </c>
      <c r="AE3281">
        <v>-0.39069999999998101</v>
      </c>
      <c r="AF3281">
        <v>0.81519235547516</v>
      </c>
      <c r="AG3281">
        <v>-1.1204357922591901</v>
      </c>
      <c r="AH3281">
        <v>14.7938006484667</v>
      </c>
      <c r="AI3281">
        <v>94.324597288654104</v>
      </c>
      <c r="AJ3281">
        <v>86.845983359488201</v>
      </c>
      <c r="AK3281">
        <v>14.858548131213</v>
      </c>
      <c r="AL3281">
        <v>95.994851800543699</v>
      </c>
      <c r="AM3281">
        <v>89.527175860922199</v>
      </c>
      <c r="AN3281">
        <v>0.99999998047609595</v>
      </c>
    </row>
    <row r="3282" spans="1:40" x14ac:dyDescent="0.25">
      <c r="A3282" t="str">
        <f>"20190303154832477"</f>
        <v>20190303154832477</v>
      </c>
      <c r="B3282" t="str">
        <f>"1551599312474277"</f>
        <v>1551599312474277</v>
      </c>
      <c r="C3282" t="s">
        <v>40</v>
      </c>
      <c r="D3282">
        <v>5.8584180000000003</v>
      </c>
      <c r="E3282">
        <v>0.51775479999999996</v>
      </c>
      <c r="F3282" t="s">
        <v>52</v>
      </c>
      <c r="G3282">
        <v>-443.6164</v>
      </c>
      <c r="H3282" s="1">
        <v>3.8352900000000002E-7</v>
      </c>
      <c r="I3282">
        <v>214.7114</v>
      </c>
      <c r="J3282">
        <v>-458.02140000000003</v>
      </c>
      <c r="K3282">
        <v>1.120468</v>
      </c>
      <c r="L3282">
        <v>215.09899999999999</v>
      </c>
      <c r="M3282">
        <v>0.99951920000000005</v>
      </c>
      <c r="N3282">
        <v>-1.3610199999999999E-2</v>
      </c>
      <c r="O3282">
        <v>2.7864839999999998E-2</v>
      </c>
      <c r="P3282">
        <v>0.99263500000000005</v>
      </c>
      <c r="Q3282">
        <v>-0.1195601</v>
      </c>
      <c r="R3282">
        <v>1.953272E-2</v>
      </c>
      <c r="S3282">
        <v>2.9959720000000001</v>
      </c>
      <c r="T3282">
        <v>-0.23048350000000001</v>
      </c>
      <c r="U3282">
        <v>-7.9040529999999998E-2</v>
      </c>
      <c r="V3282">
        <v>8.0398269999999994E-3</v>
      </c>
      <c r="W3282">
        <v>-0.10604429999999999</v>
      </c>
      <c r="X3282">
        <v>0.99432889999999996</v>
      </c>
      <c r="Y3282">
        <v>5.3977120000000003E-2</v>
      </c>
      <c r="Z3282">
        <v>-4.2022659999999996E-3</v>
      </c>
      <c r="AA3282">
        <v>0.99853329999999996</v>
      </c>
      <c r="AB3282">
        <v>16</v>
      </c>
      <c r="AC3282">
        <v>14.404999999999999</v>
      </c>
      <c r="AD3282">
        <v>-1.1204676164709999</v>
      </c>
      <c r="AE3282">
        <v>-0.38760000000001998</v>
      </c>
      <c r="AF3282">
        <v>0.78413881500481797</v>
      </c>
      <c r="AG3282">
        <v>-1.1204676164709999</v>
      </c>
      <c r="AH3282">
        <v>14.302135445624501</v>
      </c>
      <c r="AI3282">
        <v>94.472865042667905</v>
      </c>
      <c r="AJ3282">
        <v>86.861803704564593</v>
      </c>
      <c r="AK3282">
        <v>14.3673727475049</v>
      </c>
      <c r="AL3282">
        <v>96.087336496086493</v>
      </c>
      <c r="AM3282">
        <v>89.536734659206601</v>
      </c>
      <c r="AN3282">
        <v>0.99999999687794405</v>
      </c>
    </row>
    <row r="3283" spans="1:40" x14ac:dyDescent="0.25">
      <c r="A3283" t="str">
        <f>"20190303154832498"</f>
        <v>20190303154832498</v>
      </c>
      <c r="B3283" t="str">
        <f>"1551599312493798"</f>
        <v>1551599312493798</v>
      </c>
      <c r="C3283" t="s">
        <v>40</v>
      </c>
      <c r="D3283">
        <v>5.8915620000000004</v>
      </c>
      <c r="E3283">
        <v>0.51763000000000003</v>
      </c>
      <c r="F3283" t="s">
        <v>52</v>
      </c>
      <c r="G3283">
        <v>-444.04360000000003</v>
      </c>
      <c r="H3283" s="1">
        <v>6.1021119999999997E-7</v>
      </c>
      <c r="I3283">
        <v>214.7269</v>
      </c>
      <c r="J3283">
        <v>-457.86219999999997</v>
      </c>
      <c r="K3283">
        <v>1.120493</v>
      </c>
      <c r="L3283">
        <v>215.10230000000001</v>
      </c>
      <c r="M3283">
        <v>0.99954540000000003</v>
      </c>
      <c r="N3283">
        <v>-1.336589E-2</v>
      </c>
      <c r="O3283">
        <v>2.702924E-2</v>
      </c>
      <c r="P3283">
        <v>0.99256509999999998</v>
      </c>
      <c r="Q3283">
        <v>-0.1202486</v>
      </c>
      <c r="R3283">
        <v>1.884044E-2</v>
      </c>
      <c r="S3283">
        <v>2.994904</v>
      </c>
      <c r="T3283">
        <v>-0.24007390000000001</v>
      </c>
      <c r="U3283">
        <v>-7.972717E-2</v>
      </c>
      <c r="V3283">
        <v>7.9207830000000007E-3</v>
      </c>
      <c r="W3283">
        <v>-0.1069751</v>
      </c>
      <c r="X3283">
        <v>0.99423019999999995</v>
      </c>
      <c r="Y3283">
        <v>5.3364000000000002E-2</v>
      </c>
      <c r="Z3283">
        <v>-4.2945140000000001E-3</v>
      </c>
      <c r="AA3283">
        <v>0.99856590000000001</v>
      </c>
      <c r="AB3283">
        <v>16</v>
      </c>
      <c r="AC3283">
        <v>13.818599999999901</v>
      </c>
      <c r="AD3283">
        <v>-1.1204923897887999</v>
      </c>
      <c r="AE3283">
        <v>-0.375400000000013</v>
      </c>
      <c r="AF3283">
        <v>0.74391483512610201</v>
      </c>
      <c r="AG3283">
        <v>-1.1204923897887999</v>
      </c>
      <c r="AH3283">
        <v>13.713305459615199</v>
      </c>
      <c r="AI3283">
        <v>94.664342417416094</v>
      </c>
      <c r="AJ3283">
        <v>86.894881140618196</v>
      </c>
      <c r="AK3283">
        <v>13.7791022605323</v>
      </c>
      <c r="AL3283">
        <v>96.140972177704299</v>
      </c>
      <c r="AM3283">
        <v>89.543548530948598</v>
      </c>
      <c r="AN3283">
        <v>1.00000005070769</v>
      </c>
    </row>
    <row r="3284" spans="1:40" x14ac:dyDescent="0.25">
      <c r="A3284" t="str">
        <f>"20190303154832524"</f>
        <v>20190303154832524</v>
      </c>
      <c r="B3284" t="str">
        <f>"1551599312514293"</f>
        <v>1551599312514293</v>
      </c>
      <c r="C3284" t="s">
        <v>40</v>
      </c>
      <c r="D3284">
        <v>5.8733839999999997</v>
      </c>
      <c r="E3284">
        <v>0.51751939999999996</v>
      </c>
      <c r="F3284" t="s">
        <v>52</v>
      </c>
      <c r="G3284">
        <v>-444.2072</v>
      </c>
      <c r="H3284" s="1">
        <v>6.9701949999999996E-7</v>
      </c>
      <c r="I3284">
        <v>214.73249999999999</v>
      </c>
      <c r="J3284">
        <v>-457.6848</v>
      </c>
      <c r="K3284">
        <v>1.120514</v>
      </c>
      <c r="L3284">
        <v>215.1061</v>
      </c>
      <c r="M3284">
        <v>0.99957070000000003</v>
      </c>
      <c r="N3284">
        <v>-1.30452E-2</v>
      </c>
      <c r="O3284">
        <v>2.623814E-2</v>
      </c>
      <c r="P3284">
        <v>0.9925851</v>
      </c>
      <c r="Q3284">
        <v>-0.1203757</v>
      </c>
      <c r="R3284">
        <v>1.6877E-2</v>
      </c>
      <c r="S3284">
        <v>2.9942319999999998</v>
      </c>
      <c r="T3284">
        <v>-0.24569859999999999</v>
      </c>
      <c r="U3284">
        <v>-8.1085210000000005E-2</v>
      </c>
      <c r="V3284">
        <v>9.1209199999999994E-3</v>
      </c>
      <c r="W3284">
        <v>-0.1074203</v>
      </c>
      <c r="X3284">
        <v>0.9941719</v>
      </c>
      <c r="Y3284">
        <v>5.3023109999999998E-2</v>
      </c>
      <c r="Z3284">
        <v>-4.3252999999999998E-3</v>
      </c>
      <c r="AA3284">
        <v>0.99858389999999997</v>
      </c>
      <c r="AB3284">
        <v>16</v>
      </c>
      <c r="AC3284">
        <v>13.477599999999899</v>
      </c>
      <c r="AD3284">
        <v>-1.1205133029804999</v>
      </c>
      <c r="AE3284">
        <v>-0.37360000000000998</v>
      </c>
      <c r="AF3284">
        <v>0.72214090399205799</v>
      </c>
      <c r="AG3284">
        <v>-1.1205133029804999</v>
      </c>
      <c r="AH3284">
        <v>13.370806594642501</v>
      </c>
      <c r="AI3284">
        <v>94.7834242707345</v>
      </c>
      <c r="AJ3284">
        <v>86.908528606637702</v>
      </c>
      <c r="AK3284">
        <v>13.4370944232267</v>
      </c>
      <c r="AL3284">
        <v>96.166628164162702</v>
      </c>
      <c r="AM3284">
        <v>89.474360963150701</v>
      </c>
      <c r="AN3284">
        <v>1.0000000393916699</v>
      </c>
    </row>
    <row r="3285" spans="1:40" x14ac:dyDescent="0.25">
      <c r="A3285" t="str">
        <f>"20190303154832543"</f>
        <v>20190303154832543</v>
      </c>
      <c r="B3285" t="str">
        <f>"1551599312533813"</f>
        <v>1551599312533813</v>
      </c>
      <c r="C3285" t="s">
        <v>40</v>
      </c>
      <c r="D3285">
        <v>5.900264</v>
      </c>
      <c r="E3285">
        <v>0.5174048</v>
      </c>
      <c r="F3285" t="s">
        <v>42</v>
      </c>
      <c r="G3285">
        <v>-456.82119999999998</v>
      </c>
      <c r="H3285">
        <v>1.048613</v>
      </c>
      <c r="I3285">
        <v>215.08099999999999</v>
      </c>
      <c r="J3285">
        <v>-457.53230000000002</v>
      </c>
      <c r="K3285">
        <v>1.1205229999999999</v>
      </c>
      <c r="L3285">
        <v>215.10929999999999</v>
      </c>
      <c r="M3285">
        <v>0.99958910000000001</v>
      </c>
      <c r="N3285">
        <v>-1.274455E-2</v>
      </c>
      <c r="O3285">
        <v>2.5672759999999999E-2</v>
      </c>
      <c r="P3285">
        <v>0.99258630000000003</v>
      </c>
      <c r="Q3285">
        <v>-0.12055929999999999</v>
      </c>
      <c r="R3285">
        <v>1.541871E-2</v>
      </c>
      <c r="S3285">
        <v>2.9936829999999999</v>
      </c>
      <c r="T3285">
        <v>-0.24912999999999999</v>
      </c>
      <c r="U3285">
        <v>-8.64563E-2</v>
      </c>
      <c r="V3285">
        <v>1.003429E-2</v>
      </c>
      <c r="W3285">
        <v>-0.107902</v>
      </c>
      <c r="X3285">
        <v>0.99411090000000002</v>
      </c>
      <c r="Y3285">
        <v>5.4242409999999998E-2</v>
      </c>
      <c r="Z3285">
        <v>-4.4047390000000004E-3</v>
      </c>
      <c r="AA3285">
        <v>0.99851809999999996</v>
      </c>
      <c r="AB3285">
        <v>17</v>
      </c>
      <c r="AC3285">
        <v>0.71110000000004403</v>
      </c>
      <c r="AD3285">
        <v>-7.1909999999999905E-2</v>
      </c>
      <c r="AE3285">
        <v>-2.8300000000001501E-2</v>
      </c>
      <c r="AF3285">
        <v>4.60775975063836E-2</v>
      </c>
      <c r="AG3285">
        <v>-7.1909999999999905E-2</v>
      </c>
      <c r="AH3285">
        <v>0.70296167781153096</v>
      </c>
      <c r="AI3285">
        <v>95.8283773442474</v>
      </c>
      <c r="AJ3285">
        <v>86.249752070358497</v>
      </c>
      <c r="AK3285">
        <v>0.70813085906742101</v>
      </c>
      <c r="AL3285">
        <v>96.194389109138001</v>
      </c>
      <c r="AM3285">
        <v>89.421691338887399</v>
      </c>
      <c r="AN3285">
        <v>1.0000000050393001</v>
      </c>
    </row>
    <row r="3286" spans="1:40" x14ac:dyDescent="0.25">
      <c r="A3286" t="str">
        <f>"20190303154832566"</f>
        <v>20190303154832566</v>
      </c>
      <c r="B3286" t="str">
        <f>"1551599312554309"</f>
        <v>1551599312554309</v>
      </c>
      <c r="C3286" t="s">
        <v>40</v>
      </c>
      <c r="D3286">
        <v>5.877205</v>
      </c>
      <c r="E3286">
        <v>0.51730010000000004</v>
      </c>
      <c r="F3286" t="s">
        <v>42</v>
      </c>
      <c r="G3286">
        <v>-456.673</v>
      </c>
      <c r="H3286">
        <v>1.0481240000000001</v>
      </c>
      <c r="I3286">
        <v>215.0831</v>
      </c>
      <c r="J3286">
        <v>-457.36599999999999</v>
      </c>
      <c r="K3286">
        <v>1.1205259999999999</v>
      </c>
      <c r="L3286">
        <v>215.113</v>
      </c>
      <c r="M3286">
        <v>0.99960669999999996</v>
      </c>
      <c r="N3286">
        <v>-1.240691E-2</v>
      </c>
      <c r="O3286">
        <v>2.5156700000000001E-2</v>
      </c>
      <c r="P3286">
        <v>0.99269510000000005</v>
      </c>
      <c r="Q3286">
        <v>-0.1197087</v>
      </c>
      <c r="R3286">
        <v>1.5049979999999999E-2</v>
      </c>
      <c r="S3286">
        <v>2.9931640000000002</v>
      </c>
      <c r="T3286">
        <v>-0.25225370000000003</v>
      </c>
      <c r="U3286">
        <v>-8.9950559999999999E-2</v>
      </c>
      <c r="V3286">
        <v>9.9065339999999998E-3</v>
      </c>
      <c r="W3286">
        <v>-0.1073846</v>
      </c>
      <c r="X3286">
        <v>0.99416819999999895</v>
      </c>
      <c r="Y3286">
        <v>5.4888239999999998E-2</v>
      </c>
      <c r="Z3286">
        <v>-4.453907E-3</v>
      </c>
      <c r="AA3286">
        <v>0.9984826</v>
      </c>
      <c r="AB3286">
        <v>17</v>
      </c>
      <c r="AC3286">
        <v>0.69299999999998296</v>
      </c>
      <c r="AD3286">
        <v>-7.24019999999998E-2</v>
      </c>
      <c r="AE3286">
        <v>-2.98999999999978E-2</v>
      </c>
      <c r="AF3286">
        <v>4.68154142300648E-2</v>
      </c>
      <c r="AG3286">
        <v>-7.24019999999998E-2</v>
      </c>
      <c r="AH3286">
        <v>0.68457001729189804</v>
      </c>
      <c r="AI3286">
        <v>96.023350111626101</v>
      </c>
      <c r="AJ3286">
        <v>86.087827721147406</v>
      </c>
      <c r="AK3286">
        <v>0.68997814544271097</v>
      </c>
      <c r="AL3286">
        <v>96.164571043128007</v>
      </c>
      <c r="AM3286">
        <v>89.429086745703501</v>
      </c>
      <c r="AN3286">
        <v>1.0000000008121399</v>
      </c>
    </row>
    <row r="3287" spans="1:40" x14ac:dyDescent="0.25">
      <c r="A3287" t="str">
        <f>"20190303154832588"</f>
        <v>20190303154832588</v>
      </c>
      <c r="B3287" t="str">
        <f>"1551599312583589"</f>
        <v>1551599312583589</v>
      </c>
      <c r="C3287" t="s">
        <v>40</v>
      </c>
      <c r="D3287">
        <v>5.8604159999999998</v>
      </c>
      <c r="E3287">
        <v>0.5171692</v>
      </c>
      <c r="F3287" t="s">
        <v>42</v>
      </c>
      <c r="G3287">
        <v>-456.52289999999999</v>
      </c>
      <c r="H3287">
        <v>1.0495080000000001</v>
      </c>
      <c r="I3287">
        <v>215.08709999999999</v>
      </c>
      <c r="J3287">
        <v>-457.20229999999998</v>
      </c>
      <c r="K3287">
        <v>1.120514</v>
      </c>
      <c r="L3287">
        <v>215.11660000000001</v>
      </c>
      <c r="M3287">
        <v>0.99962110000000004</v>
      </c>
      <c r="N3287">
        <v>-1.206727E-2</v>
      </c>
      <c r="O3287">
        <v>2.4742750000000001E-2</v>
      </c>
      <c r="P3287">
        <v>0.99278409999999995</v>
      </c>
      <c r="Q3287">
        <v>-0.1190113</v>
      </c>
      <c r="R3287">
        <v>1.470082E-2</v>
      </c>
      <c r="S3287">
        <v>2.9929809999999999</v>
      </c>
      <c r="T3287">
        <v>-0.25220239999999999</v>
      </c>
      <c r="U3287">
        <v>-9.0332029999999994E-2</v>
      </c>
      <c r="V3287">
        <v>9.8555159999999999E-3</v>
      </c>
      <c r="W3287">
        <v>-0.10702299999999999</v>
      </c>
      <c r="X3287">
        <v>0.99420770000000003</v>
      </c>
      <c r="Y3287">
        <v>5.4606099999999998E-2</v>
      </c>
      <c r="Z3287">
        <v>-4.4090680000000004E-3</v>
      </c>
      <c r="AA3287">
        <v>0.99849829999999995</v>
      </c>
      <c r="AB3287">
        <v>17</v>
      </c>
      <c r="AC3287">
        <v>0.67939999999998602</v>
      </c>
      <c r="AD3287">
        <v>-7.1006000000000097E-2</v>
      </c>
      <c r="AE3287">
        <v>-2.9500000000012901E-2</v>
      </c>
      <c r="AF3287">
        <v>4.5803052428460701E-2</v>
      </c>
      <c r="AG3287">
        <v>-7.1006000000000097E-2</v>
      </c>
      <c r="AH3287">
        <v>0.67114493655541696</v>
      </c>
      <c r="AI3287">
        <v>96.025418159494293</v>
      </c>
      <c r="AJ3287">
        <v>86.095837862191999</v>
      </c>
      <c r="AK3287">
        <v>0.67644312215569102</v>
      </c>
      <c r="AL3287">
        <v>96.143732790996694</v>
      </c>
      <c r="AM3287">
        <v>89.432049282561195</v>
      </c>
      <c r="AN3287">
        <v>1.00000000223195</v>
      </c>
    </row>
    <row r="3288" spans="1:40" x14ac:dyDescent="0.25">
      <c r="A3288" t="str">
        <f>"20190303154832612"</f>
        <v>20190303154832612</v>
      </c>
      <c r="B3288" t="str">
        <f>"1551599312604085"</f>
        <v>1551599312604085</v>
      </c>
      <c r="C3288" t="s">
        <v>40</v>
      </c>
      <c r="D3288">
        <v>5.8856630000000001</v>
      </c>
      <c r="E3288">
        <v>0.51705599999999996</v>
      </c>
      <c r="F3288" t="s">
        <v>42</v>
      </c>
      <c r="G3288">
        <v>-456.37279999999998</v>
      </c>
      <c r="H3288">
        <v>1.0504309999999999</v>
      </c>
      <c r="I3288">
        <v>215.09100000000001</v>
      </c>
      <c r="J3288">
        <v>-457.01819999999998</v>
      </c>
      <c r="K3288">
        <v>1.120493</v>
      </c>
      <c r="L3288">
        <v>215.1207</v>
      </c>
      <c r="M3288">
        <v>0.99963460000000004</v>
      </c>
      <c r="N3288">
        <v>-1.167749E-2</v>
      </c>
      <c r="O3288">
        <v>2.4381750000000001E-2</v>
      </c>
      <c r="P3288">
        <v>0.9928498</v>
      </c>
      <c r="Q3288">
        <v>-0.11854190000000001</v>
      </c>
      <c r="R3288">
        <v>1.403448E-2</v>
      </c>
      <c r="S3288">
        <v>2.9928889999999999</v>
      </c>
      <c r="T3288">
        <v>-0.25297550000000002</v>
      </c>
      <c r="U3288">
        <v>-9.0347289999999997E-2</v>
      </c>
      <c r="V3288">
        <v>1.017214E-2</v>
      </c>
      <c r="W3288">
        <v>-0.10693999999999999</v>
      </c>
      <c r="X3288">
        <v>0.99421349999999997</v>
      </c>
      <c r="Y3288">
        <v>5.425224E-2</v>
      </c>
      <c r="Z3288">
        <v>-4.3782980000000001E-3</v>
      </c>
      <c r="AA3288">
        <v>0.99851769999999995</v>
      </c>
      <c r="AB3288">
        <v>17</v>
      </c>
      <c r="AC3288">
        <v>0.64539999999999498</v>
      </c>
      <c r="AD3288">
        <v>-7.0061999999999999E-2</v>
      </c>
      <c r="AE3288">
        <v>-2.97000000000196E-2</v>
      </c>
      <c r="AF3288">
        <v>4.4900219159536001E-2</v>
      </c>
      <c r="AG3288">
        <v>-7.0061999999999999E-2</v>
      </c>
      <c r="AH3288">
        <v>0.636993208455499</v>
      </c>
      <c r="AI3288">
        <v>96.261242457514498</v>
      </c>
      <c r="AJ3288">
        <v>85.968018156459493</v>
      </c>
      <c r="AK3288">
        <v>0.64240568268268305</v>
      </c>
      <c r="AL3288">
        <v>96.1389494369174</v>
      </c>
      <c r="AM3288">
        <v>89.413807642663897</v>
      </c>
      <c r="AN3288">
        <v>1.0000000598072101</v>
      </c>
    </row>
    <row r="3289" spans="1:40" x14ac:dyDescent="0.25">
      <c r="A3289" t="str">
        <f>"20190303154832636"</f>
        <v>20190303154832636</v>
      </c>
      <c r="B3289" t="str">
        <f>"1551599312623606"</f>
        <v>1551599312623606</v>
      </c>
      <c r="C3289" t="s">
        <v>40</v>
      </c>
      <c r="D3289">
        <v>5.8648740000000004</v>
      </c>
      <c r="E3289">
        <v>0.51708279999999995</v>
      </c>
      <c r="F3289" t="s">
        <v>42</v>
      </c>
      <c r="G3289">
        <v>-456.2208</v>
      </c>
      <c r="H3289">
        <v>1.052915</v>
      </c>
      <c r="I3289">
        <v>215.09610000000001</v>
      </c>
      <c r="J3289">
        <v>-456.84289999999999</v>
      </c>
      <c r="K3289">
        <v>1.120476</v>
      </c>
      <c r="L3289">
        <v>215.12459999999999</v>
      </c>
      <c r="M3289">
        <v>0.99964489999999995</v>
      </c>
      <c r="N3289">
        <v>-1.1312630000000001E-2</v>
      </c>
      <c r="O3289">
        <v>2.412833E-2</v>
      </c>
      <c r="P3289">
        <v>0.9928768</v>
      </c>
      <c r="Q3289">
        <v>-0.1183435</v>
      </c>
      <c r="R3289">
        <v>1.379969E-2</v>
      </c>
      <c r="S3289">
        <v>2.9925839999999999</v>
      </c>
      <c r="T3289">
        <v>-0.25363330000000001</v>
      </c>
      <c r="U3289">
        <v>-9.144592E-2</v>
      </c>
      <c r="V3289">
        <v>1.0162320000000001E-2</v>
      </c>
      <c r="W3289">
        <v>-0.1071034</v>
      </c>
      <c r="X3289">
        <v>0.99419590000000002</v>
      </c>
      <c r="Y3289">
        <v>5.4367209999999999E-2</v>
      </c>
      <c r="Z3289">
        <v>-4.375889E-3</v>
      </c>
      <c r="AA3289">
        <v>0.99851140000000005</v>
      </c>
      <c r="AB3289">
        <v>17</v>
      </c>
      <c r="AC3289">
        <v>0.622099999999989</v>
      </c>
      <c r="AD3289">
        <v>-6.7560999999999899E-2</v>
      </c>
      <c r="AE3289">
        <v>-2.8499999999979701E-2</v>
      </c>
      <c r="AF3289">
        <v>4.2996840762479699E-2</v>
      </c>
      <c r="AG3289">
        <v>-6.7560999999999899E-2</v>
      </c>
      <c r="AH3289">
        <v>0.614004583219666</v>
      </c>
      <c r="AI3289">
        <v>96.263970822817001</v>
      </c>
      <c r="AJ3289">
        <v>85.994293022594206</v>
      </c>
      <c r="AK3289">
        <v>0.61920501068007305</v>
      </c>
      <c r="AL3289">
        <v>96.148366329003593</v>
      </c>
      <c r="AM3289">
        <v>89.414363136256497</v>
      </c>
      <c r="AN3289">
        <v>0.99999994930807401</v>
      </c>
    </row>
    <row r="3290" spans="1:40" x14ac:dyDescent="0.25">
      <c r="A3290" t="str">
        <f>"20190303154832660"</f>
        <v>20190303154832660</v>
      </c>
      <c r="B3290" t="str">
        <f>"1551599312653861"</f>
        <v>1551599312653861</v>
      </c>
      <c r="C3290" t="s">
        <v>40</v>
      </c>
      <c r="D3290">
        <v>5.8717810000000004</v>
      </c>
      <c r="E3290">
        <v>0.51707069999999999</v>
      </c>
      <c r="F3290" t="s">
        <v>52</v>
      </c>
      <c r="G3290">
        <v>-443.57499999999999</v>
      </c>
      <c r="H3290" s="1">
        <v>3.6136359999999998E-7</v>
      </c>
      <c r="I3290">
        <v>214.7149</v>
      </c>
      <c r="J3290">
        <v>-456.6678</v>
      </c>
      <c r="K3290">
        <v>1.1204700000000001</v>
      </c>
      <c r="L3290">
        <v>215.1285</v>
      </c>
      <c r="M3290">
        <v>0.99965300000000001</v>
      </c>
      <c r="N3290">
        <v>-1.096742E-2</v>
      </c>
      <c r="O3290">
        <v>2.394845E-2</v>
      </c>
      <c r="P3290">
        <v>0.99294300000000002</v>
      </c>
      <c r="Q3290">
        <v>-0.11791550000000001</v>
      </c>
      <c r="R3290">
        <v>1.267385E-2</v>
      </c>
      <c r="S3290">
        <v>2.9927060000000001</v>
      </c>
      <c r="T3290">
        <v>-0.25273489999999998</v>
      </c>
      <c r="U3290">
        <v>-9.2407230000000007E-2</v>
      </c>
      <c r="V3290">
        <v>1.111739E-2</v>
      </c>
      <c r="W3290">
        <v>-0.1070175</v>
      </c>
      <c r="X3290">
        <v>0.99419500000000005</v>
      </c>
      <c r="Y3290">
        <v>5.4508760000000003E-2</v>
      </c>
      <c r="Z3290">
        <v>-4.3528339999999999E-3</v>
      </c>
      <c r="AA3290">
        <v>0.99850380000000005</v>
      </c>
      <c r="AB3290">
        <v>17</v>
      </c>
      <c r="AC3290">
        <v>13.0928</v>
      </c>
      <c r="AD3290">
        <v>-1.1204696386363999</v>
      </c>
      <c r="AE3290">
        <v>-0.41360000000000202</v>
      </c>
      <c r="AF3290">
        <v>0.72177167412847798</v>
      </c>
      <c r="AG3290">
        <v>-1.1204696386363999</v>
      </c>
      <c r="AH3290">
        <v>12.984140637759699</v>
      </c>
      <c r="AI3290">
        <v>94.924569366731006</v>
      </c>
      <c r="AJ3290">
        <v>86.818275918152494</v>
      </c>
      <c r="AK3290">
        <v>13.0523681629734</v>
      </c>
      <c r="AL3290">
        <v>96.143415735306704</v>
      </c>
      <c r="AM3290">
        <v>89.359327920522006</v>
      </c>
      <c r="AN3290">
        <v>1.0000000198458301</v>
      </c>
    </row>
    <row r="3291" spans="1:40" x14ac:dyDescent="0.25">
      <c r="A3291" t="str">
        <f>"20190303154832681"</f>
        <v>20190303154832681</v>
      </c>
      <c r="B3291" t="str">
        <f>"1551599312674358"</f>
        <v>1551599312674358</v>
      </c>
      <c r="C3291" t="s">
        <v>40</v>
      </c>
      <c r="D3291">
        <v>5.8673250000000001</v>
      </c>
      <c r="E3291">
        <v>0.5169899</v>
      </c>
      <c r="F3291" t="s">
        <v>52</v>
      </c>
      <c r="G3291">
        <v>-443.36900000000003</v>
      </c>
      <c r="H3291" s="1">
        <v>2.5225489999999999E-7</v>
      </c>
      <c r="I3291">
        <v>214.70269999999999</v>
      </c>
      <c r="J3291">
        <v>-456.50650000000002</v>
      </c>
      <c r="K3291">
        <v>1.1204609999999999</v>
      </c>
      <c r="L3291">
        <v>215.13229999999999</v>
      </c>
      <c r="M3291">
        <v>0.99965919999999997</v>
      </c>
      <c r="N3291">
        <v>-1.065173E-2</v>
      </c>
      <c r="O3291">
        <v>2.3835559999999999E-2</v>
      </c>
      <c r="P3291">
        <v>0.99298090000000006</v>
      </c>
      <c r="Q3291">
        <v>-0.117747</v>
      </c>
      <c r="R3291">
        <v>1.117836E-2</v>
      </c>
      <c r="S3291">
        <v>2.992645</v>
      </c>
      <c r="T3291">
        <v>-0.25214120000000001</v>
      </c>
      <c r="U3291">
        <v>-9.5825199999999999E-2</v>
      </c>
      <c r="V3291">
        <v>1.250709E-2</v>
      </c>
      <c r="W3291">
        <v>-0.1071621</v>
      </c>
      <c r="X3291">
        <v>0.99416289999999996</v>
      </c>
      <c r="Y3291">
        <v>5.55335E-2</v>
      </c>
      <c r="Z3291">
        <v>-4.3819389999999996E-3</v>
      </c>
      <c r="AA3291">
        <v>0.99844719999999998</v>
      </c>
      <c r="AB3291">
        <v>17</v>
      </c>
      <c r="AC3291">
        <v>13.1374999999999</v>
      </c>
      <c r="AD3291">
        <v>-1.1204607477451001</v>
      </c>
      <c r="AE3291">
        <v>-0.42959999999999299</v>
      </c>
      <c r="AF3291">
        <v>0.73727818622157404</v>
      </c>
      <c r="AG3291">
        <v>-1.1204607477451001</v>
      </c>
      <c r="AH3291">
        <v>13.0288572946187</v>
      </c>
      <c r="AI3291">
        <v>94.907438687072798</v>
      </c>
      <c r="AJ3291">
        <v>86.761195275642905</v>
      </c>
      <c r="AK3291">
        <v>13.097714831780999</v>
      </c>
      <c r="AL3291">
        <v>96.151748701501702</v>
      </c>
      <c r="AM3291">
        <v>89.279227107478803</v>
      </c>
      <c r="AN3291">
        <v>1.00000000735654</v>
      </c>
    </row>
    <row r="3292" spans="1:40" x14ac:dyDescent="0.25">
      <c r="A3292" t="str">
        <f>"20190303154832701"</f>
        <v>20190303154832701</v>
      </c>
      <c r="B3292" t="str">
        <f>"1551599312693878"</f>
        <v>1551599312693878</v>
      </c>
      <c r="C3292" t="s">
        <v>40</v>
      </c>
      <c r="D3292">
        <v>5.8659280000000003</v>
      </c>
      <c r="E3292">
        <v>0.51691129999999996</v>
      </c>
      <c r="F3292" t="s">
        <v>52</v>
      </c>
      <c r="G3292">
        <v>-443.26609999999999</v>
      </c>
      <c r="H3292" s="1">
        <v>1.9797990000000001E-7</v>
      </c>
      <c r="I3292">
        <v>214.6919</v>
      </c>
      <c r="J3292">
        <v>-456.34539999999998</v>
      </c>
      <c r="K3292">
        <v>1.120436</v>
      </c>
      <c r="L3292">
        <v>215.136</v>
      </c>
      <c r="M3292">
        <v>0.99966469999999996</v>
      </c>
      <c r="N3292">
        <v>-1.030143E-2</v>
      </c>
      <c r="O3292">
        <v>2.3760449999999999E-2</v>
      </c>
      <c r="P3292">
        <v>0.99309539999999996</v>
      </c>
      <c r="Q3292">
        <v>-0.11686299999999999</v>
      </c>
      <c r="R3292">
        <v>1.0247040000000001E-2</v>
      </c>
      <c r="S3292">
        <v>2.9922789999999999</v>
      </c>
      <c r="T3292">
        <v>-0.25322099999999997</v>
      </c>
      <c r="U3292">
        <v>-9.9517820000000007E-2</v>
      </c>
      <c r="V3292">
        <v>1.336941E-2</v>
      </c>
      <c r="W3292">
        <v>-0.10662489999999999</v>
      </c>
      <c r="X3292">
        <v>0.99420940000000002</v>
      </c>
      <c r="Y3292">
        <v>5.668641E-2</v>
      </c>
      <c r="Z3292">
        <v>-4.4485740000000003E-3</v>
      </c>
      <c r="AA3292">
        <v>0.9983822</v>
      </c>
      <c r="AB3292">
        <v>17</v>
      </c>
      <c r="AC3292">
        <v>13.0792999999999</v>
      </c>
      <c r="AD3292">
        <v>-1.1204358020201</v>
      </c>
      <c r="AE3292">
        <v>-0.444099999999991</v>
      </c>
      <c r="AF3292">
        <v>0.74926897464555198</v>
      </c>
      <c r="AG3292">
        <v>-1.1204358020201</v>
      </c>
      <c r="AH3292">
        <v>12.9699843848539</v>
      </c>
      <c r="AI3292">
        <v>94.929165381013306</v>
      </c>
      <c r="AJ3292">
        <v>86.693728593657696</v>
      </c>
      <c r="AK3292">
        <v>13.0398341755625</v>
      </c>
      <c r="AL3292">
        <v>96.120792266669696</v>
      </c>
      <c r="AM3292">
        <v>89.229574172003396</v>
      </c>
      <c r="AN3292">
        <v>0.99999997073605795</v>
      </c>
    </row>
    <row r="3293" spans="1:40" x14ac:dyDescent="0.25">
      <c r="A3293" t="str">
        <f>"20190303154832724"</f>
        <v>20190303154832724</v>
      </c>
      <c r="B3293" t="str">
        <f>"1551599312714373"</f>
        <v>1551599312714373</v>
      </c>
      <c r="C3293" t="s">
        <v>40</v>
      </c>
      <c r="D3293">
        <v>5.7689120000000003</v>
      </c>
      <c r="E3293">
        <v>0.51705210000000001</v>
      </c>
      <c r="F3293" t="s">
        <v>42</v>
      </c>
      <c r="G3293">
        <v>-455.46949999999998</v>
      </c>
      <c r="H3293">
        <v>1.046713</v>
      </c>
      <c r="I3293">
        <v>215.10599999999999</v>
      </c>
      <c r="J3293">
        <v>-456.17689999999999</v>
      </c>
      <c r="K3293">
        <v>1.120382</v>
      </c>
      <c r="L3293">
        <v>215.13990000000001</v>
      </c>
      <c r="M3293">
        <v>0.99967030000000001</v>
      </c>
      <c r="N3293">
        <v>-9.8712169999999998E-3</v>
      </c>
      <c r="O3293">
        <v>2.3706209999999998E-2</v>
      </c>
      <c r="P3293">
        <v>0.99321570000000003</v>
      </c>
      <c r="Q3293">
        <v>-0.11586249999999999</v>
      </c>
      <c r="R3293">
        <v>9.9341519999999999E-3</v>
      </c>
      <c r="S3293">
        <v>2.9922789999999999</v>
      </c>
      <c r="T3293">
        <v>-0.2518649</v>
      </c>
      <c r="U3293">
        <v>-0.1017609</v>
      </c>
      <c r="V3293">
        <v>1.363139E-2</v>
      </c>
      <c r="W3293">
        <v>-0.10605100000000001</v>
      </c>
      <c r="X3293">
        <v>0.99426729999999997</v>
      </c>
      <c r="Y3293">
        <v>5.738045E-2</v>
      </c>
      <c r="Z3293">
        <v>-4.4515800000000001E-3</v>
      </c>
      <c r="AA3293">
        <v>0.99834250000000002</v>
      </c>
      <c r="AB3293">
        <v>17</v>
      </c>
      <c r="AC3293">
        <v>0.70740000000000602</v>
      </c>
      <c r="AD3293">
        <v>-7.3668999999999901E-2</v>
      </c>
      <c r="AE3293">
        <v>-3.3900000000016903E-2</v>
      </c>
      <c r="AF3293">
        <v>5.0118756152352402E-2</v>
      </c>
      <c r="AG3293">
        <v>-7.3668999999999901E-2</v>
      </c>
      <c r="AH3293">
        <v>0.69883581783098803</v>
      </c>
      <c r="AI3293">
        <v>96.002405894062505</v>
      </c>
      <c r="AJ3293">
        <v>85.897913334923203</v>
      </c>
      <c r="AK3293">
        <v>0.70449308837118096</v>
      </c>
      <c r="AL3293">
        <v>96.087722250804902</v>
      </c>
      <c r="AM3293">
        <v>89.214524920133002</v>
      </c>
      <c r="AN3293">
        <v>1.00000004662181</v>
      </c>
    </row>
    <row r="3294" spans="1:40" x14ac:dyDescent="0.25">
      <c r="A3294" t="str">
        <f>"20190303154832745"</f>
        <v>20190303154832745</v>
      </c>
      <c r="B3294" t="str">
        <f>"1551599312733893"</f>
        <v>1551599312733893</v>
      </c>
      <c r="C3294" t="s">
        <v>40</v>
      </c>
      <c r="D3294">
        <v>5.7509509999999997</v>
      </c>
      <c r="E3294">
        <v>0.51722129999999999</v>
      </c>
      <c r="F3294" t="s">
        <v>42</v>
      </c>
      <c r="G3294">
        <v>-455.31330000000003</v>
      </c>
      <c r="H3294">
        <v>1.0492140000000001</v>
      </c>
      <c r="I3294">
        <v>215.1097</v>
      </c>
      <c r="J3294">
        <v>-456.01179999999999</v>
      </c>
      <c r="K3294">
        <v>1.120303</v>
      </c>
      <c r="L3294">
        <v>215.1438</v>
      </c>
      <c r="M3294">
        <v>0.9996758</v>
      </c>
      <c r="N3294">
        <v>-9.4107759999999992E-3</v>
      </c>
      <c r="O3294">
        <v>2.3664810000000001E-2</v>
      </c>
      <c r="P3294">
        <v>0.99337609999999998</v>
      </c>
      <c r="Q3294">
        <v>-0.11440980000000001</v>
      </c>
      <c r="R3294">
        <v>1.0706459999999999E-2</v>
      </c>
      <c r="S3294">
        <v>2.992737</v>
      </c>
      <c r="T3294">
        <v>-0.24667320000000001</v>
      </c>
      <c r="U3294">
        <v>-0.1036377</v>
      </c>
      <c r="V3294">
        <v>1.2818990000000001E-2</v>
      </c>
      <c r="W3294">
        <v>-0.105055</v>
      </c>
      <c r="X3294">
        <v>0.99438380000000004</v>
      </c>
      <c r="Y3294">
        <v>5.7969189999999997E-2</v>
      </c>
      <c r="Z3294">
        <v>-4.3820650000000001E-3</v>
      </c>
      <c r="AA3294">
        <v>0.9983088</v>
      </c>
      <c r="AB3294">
        <v>17</v>
      </c>
      <c r="AC3294">
        <v>0.69849999999996704</v>
      </c>
      <c r="AD3294">
        <v>-7.1089000000000097E-2</v>
      </c>
      <c r="AE3294">
        <v>-3.40999999999951E-2</v>
      </c>
      <c r="AF3294">
        <v>5.0103317239304501E-2</v>
      </c>
      <c r="AG3294">
        <v>-7.1089000000000097E-2</v>
      </c>
      <c r="AH3294">
        <v>0.69036364117628601</v>
      </c>
      <c r="AI3294">
        <v>95.863897118516604</v>
      </c>
      <c r="AJ3294">
        <v>85.849021953898401</v>
      </c>
      <c r="AK3294">
        <v>0.69582033987054603</v>
      </c>
      <c r="AL3294">
        <v>96.030335289338296</v>
      </c>
      <c r="AM3294">
        <v>89.2614186375868</v>
      </c>
      <c r="AN3294">
        <v>1.0000000106160301</v>
      </c>
    </row>
    <row r="3295" spans="1:40" x14ac:dyDescent="0.25">
      <c r="A3295" t="str">
        <f>"20190303154832767"</f>
        <v>20190303154832767</v>
      </c>
      <c r="B3295" t="str">
        <f>"1551599312764150"</f>
        <v>1551599312764150</v>
      </c>
      <c r="C3295" t="s">
        <v>40</v>
      </c>
      <c r="D3295">
        <v>5.8749379999999896</v>
      </c>
      <c r="E3295">
        <v>0.51736970000000004</v>
      </c>
      <c r="F3295" t="s">
        <v>42</v>
      </c>
      <c r="G3295">
        <v>-455.15609999999998</v>
      </c>
      <c r="H3295">
        <v>1.0516299999999901</v>
      </c>
      <c r="I3295">
        <v>215.11420000000001</v>
      </c>
      <c r="J3295">
        <v>-455.8408</v>
      </c>
      <c r="K3295">
        <v>1.120214</v>
      </c>
      <c r="L3295">
        <v>215.14779999999999</v>
      </c>
      <c r="M3295">
        <v>0.99968120000000005</v>
      </c>
      <c r="N3295">
        <v>-8.9120609999999902E-3</v>
      </c>
      <c r="O3295">
        <v>2.3623760000000001E-2</v>
      </c>
      <c r="P3295">
        <v>0.99342920000000001</v>
      </c>
      <c r="Q3295">
        <v>-0.1137913</v>
      </c>
      <c r="R3295">
        <v>1.2255220000000001E-2</v>
      </c>
      <c r="S3295">
        <v>2.993439</v>
      </c>
      <c r="T3295">
        <v>-0.24032010000000001</v>
      </c>
      <c r="U3295">
        <v>-0.1025085</v>
      </c>
      <c r="V3295">
        <v>1.122594E-2</v>
      </c>
      <c r="W3295">
        <v>-0.1049322</v>
      </c>
      <c r="X3295">
        <v>0.99441599999999997</v>
      </c>
      <c r="Y3295">
        <v>5.7560020000000003E-2</v>
      </c>
      <c r="Z3295">
        <v>-4.246026E-3</v>
      </c>
      <c r="AA3295">
        <v>0.99833300000000003</v>
      </c>
      <c r="AB3295">
        <v>17</v>
      </c>
      <c r="AC3295">
        <v>0.68470000000001996</v>
      </c>
      <c r="AD3295">
        <v>-6.85840000000002E-2</v>
      </c>
      <c r="AE3295">
        <v>-3.3599999999978501E-2</v>
      </c>
      <c r="AF3295">
        <v>4.9273265831653597E-2</v>
      </c>
      <c r="AG3295">
        <v>-6.85840000000002E-2</v>
      </c>
      <c r="AH3295">
        <v>0.67693947040788605</v>
      </c>
      <c r="AI3295">
        <v>95.770009547869407</v>
      </c>
      <c r="AJ3295">
        <v>85.836880138521906</v>
      </c>
      <c r="AK3295">
        <v>0.68218668000615901</v>
      </c>
      <c r="AL3295">
        <v>96.023260420023007</v>
      </c>
      <c r="AM3295">
        <v>89.353216700208506</v>
      </c>
      <c r="AN3295">
        <v>0.99999998469086104</v>
      </c>
    </row>
    <row r="3296" spans="1:40" x14ac:dyDescent="0.25">
      <c r="A3296" t="str">
        <f>"20190303154832790"</f>
        <v>20190303154832790</v>
      </c>
      <c r="B3296" t="str">
        <f>"1551599312783669"</f>
        <v>1551599312783669</v>
      </c>
      <c r="C3296" t="s">
        <v>40</v>
      </c>
      <c r="D3296">
        <v>5.8653899999999997</v>
      </c>
      <c r="E3296">
        <v>0.51740980000000003</v>
      </c>
      <c r="F3296" t="s">
        <v>42</v>
      </c>
      <c r="G3296">
        <v>-454.9984</v>
      </c>
      <c r="H3296">
        <v>1.053204</v>
      </c>
      <c r="I3296">
        <v>215.1198</v>
      </c>
      <c r="J3296">
        <v>-455.6585</v>
      </c>
      <c r="K3296">
        <v>1.1201129999999999</v>
      </c>
      <c r="L3296">
        <v>215.15209999999999</v>
      </c>
      <c r="M3296">
        <v>0.99968710000000005</v>
      </c>
      <c r="N3296">
        <v>-8.3675910000000006E-3</v>
      </c>
      <c r="O3296">
        <v>2.357076E-2</v>
      </c>
      <c r="P3296">
        <v>0.99345589999999995</v>
      </c>
      <c r="Q3296">
        <v>-0.1134149</v>
      </c>
      <c r="R3296">
        <v>1.35117E-2</v>
      </c>
      <c r="S3296">
        <v>2.9937740000000002</v>
      </c>
      <c r="T3296">
        <v>-0.23823340000000001</v>
      </c>
      <c r="U3296">
        <v>-9.8937990000000003E-2</v>
      </c>
      <c r="V3296">
        <v>9.9113399999999994E-3</v>
      </c>
      <c r="W3296">
        <v>-0.1050976</v>
      </c>
      <c r="X3296">
        <v>0.99441250000000003</v>
      </c>
      <c r="Y3296">
        <v>5.6323159999999997E-2</v>
      </c>
      <c r="Z3296">
        <v>-4.148334E-3</v>
      </c>
      <c r="AA3296">
        <v>0.99840399999999996</v>
      </c>
      <c r="AB3296">
        <v>17</v>
      </c>
      <c r="AC3296">
        <v>0.66009999999999902</v>
      </c>
      <c r="AD3296">
        <v>-6.6908999999999802E-2</v>
      </c>
      <c r="AE3296">
        <v>-3.2299999999992203E-2</v>
      </c>
      <c r="AF3296">
        <v>4.7365151283964103E-2</v>
      </c>
      <c r="AG3296">
        <v>-6.6908999999999802E-2</v>
      </c>
      <c r="AH3296">
        <v>0.65246763474189096</v>
      </c>
      <c r="AI3296">
        <v>95.839818068940701</v>
      </c>
      <c r="AJ3296">
        <v>85.847960922723203</v>
      </c>
      <c r="AK3296">
        <v>0.65759735874076497</v>
      </c>
      <c r="AL3296">
        <v>96.0327898609562</v>
      </c>
      <c r="AM3296">
        <v>89.428950110959207</v>
      </c>
      <c r="AN3296">
        <v>0.99999998017130198</v>
      </c>
    </row>
    <row r="3297" spans="1:40" x14ac:dyDescent="0.25">
      <c r="A3297" t="str">
        <f>"20190303154832813"</f>
        <v>20190303154832813</v>
      </c>
      <c r="B3297" t="str">
        <f>"1551599312804166"</f>
        <v>1551599312804166</v>
      </c>
      <c r="C3297" t="s">
        <v>40</v>
      </c>
      <c r="D3297">
        <v>5.9277759999999997</v>
      </c>
      <c r="E3297">
        <v>0.51745399999999997</v>
      </c>
      <c r="F3297" t="s">
        <v>42</v>
      </c>
      <c r="G3297">
        <v>-454.83929999999998</v>
      </c>
      <c r="H3297">
        <v>1.055048</v>
      </c>
      <c r="I3297">
        <v>215.12540000000001</v>
      </c>
      <c r="J3297">
        <v>-455.47410000000002</v>
      </c>
      <c r="K3297">
        <v>1.1200139999999901</v>
      </c>
      <c r="L3297">
        <v>215.15629999999999</v>
      </c>
      <c r="M3297">
        <v>0.99969330000000001</v>
      </c>
      <c r="N3297">
        <v>-7.8192629999999999E-3</v>
      </c>
      <c r="O3297">
        <v>2.3499840000000001E-2</v>
      </c>
      <c r="P3297">
        <v>0.99351319999999999</v>
      </c>
      <c r="Q3297">
        <v>-0.1128033</v>
      </c>
      <c r="R3297">
        <v>1.439269E-2</v>
      </c>
      <c r="S3297">
        <v>2.9938959999999999</v>
      </c>
      <c r="T3297">
        <v>-0.23797989999999999</v>
      </c>
      <c r="U3297">
        <v>-9.5718380000000006E-2</v>
      </c>
      <c r="V3297">
        <v>8.9552299999999998E-3</v>
      </c>
      <c r="W3297">
        <v>-0.1050311</v>
      </c>
      <c r="X3297">
        <v>0.9944286</v>
      </c>
      <c r="Y3297">
        <v>5.5183299999999998E-2</v>
      </c>
      <c r="Z3297">
        <v>-4.0865340000000002E-3</v>
      </c>
      <c r="AA3297">
        <v>0.99846789999999996</v>
      </c>
      <c r="AB3297">
        <v>18</v>
      </c>
      <c r="AC3297">
        <v>0.634800000000041</v>
      </c>
      <c r="AD3297">
        <v>-6.4965999999999802E-2</v>
      </c>
      <c r="AE3297">
        <v>-3.0899999999974101E-2</v>
      </c>
      <c r="AF3297">
        <v>4.5335909645493201E-2</v>
      </c>
      <c r="AG3297">
        <v>-6.4965999999999802E-2</v>
      </c>
      <c r="AH3297">
        <v>0.62734346641895999</v>
      </c>
      <c r="AI3297">
        <v>95.897052259060899</v>
      </c>
      <c r="AJ3297">
        <v>85.866620642358896</v>
      </c>
      <c r="AK3297">
        <v>0.63232566824219705</v>
      </c>
      <c r="AL3297">
        <v>96.028958461501006</v>
      </c>
      <c r="AM3297">
        <v>89.484042379724002</v>
      </c>
      <c r="AN3297">
        <v>0.999999984304761</v>
      </c>
    </row>
    <row r="3298" spans="1:40" x14ac:dyDescent="0.25">
      <c r="A3298" t="str">
        <f>"20190303154832836"</f>
        <v>20190303154832836</v>
      </c>
      <c r="B3298" t="str">
        <f>"1551599312834421"</f>
        <v>1551599312834421</v>
      </c>
      <c r="C3298" t="s">
        <v>40</v>
      </c>
      <c r="D3298">
        <v>5.7783429999999996</v>
      </c>
      <c r="E3298">
        <v>0.5178277</v>
      </c>
      <c r="F3298" t="s">
        <v>52</v>
      </c>
      <c r="G3298">
        <v>-441.34089999999998</v>
      </c>
      <c r="H3298" s="1">
        <v>-8.2755569999999899E-7</v>
      </c>
      <c r="I3298">
        <v>214.7149</v>
      </c>
      <c r="J3298">
        <v>-455.29129999999998</v>
      </c>
      <c r="K3298">
        <v>1.1199300000000001</v>
      </c>
      <c r="L3298">
        <v>215.16050000000001</v>
      </c>
      <c r="M3298">
        <v>0.99969940000000002</v>
      </c>
      <c r="N3298">
        <v>-7.30139999999999E-3</v>
      </c>
      <c r="O3298">
        <v>2.3410540000000001E-2</v>
      </c>
      <c r="P3298">
        <v>0.99351599999999995</v>
      </c>
      <c r="Q3298">
        <v>-0.11273569999999999</v>
      </c>
      <c r="R3298">
        <v>1.4732200000000001E-2</v>
      </c>
      <c r="S3298">
        <v>2.9940190000000002</v>
      </c>
      <c r="T3298">
        <v>-0.23726729999999999</v>
      </c>
      <c r="U3298">
        <v>-9.3521119999999999E-2</v>
      </c>
      <c r="V3298">
        <v>8.5219230000000007E-3</v>
      </c>
      <c r="W3298">
        <v>-0.1054789</v>
      </c>
      <c r="X3298">
        <v>0.99438499999999996</v>
      </c>
      <c r="Y3298">
        <v>5.4365459999999997E-2</v>
      </c>
      <c r="Z3298">
        <v>-4.0303830000000002E-3</v>
      </c>
      <c r="AA3298">
        <v>0.99851299999999998</v>
      </c>
      <c r="AB3298">
        <v>18</v>
      </c>
      <c r="AC3298">
        <v>13.9504</v>
      </c>
      <c r="AD3298">
        <v>-1.1199308275556901</v>
      </c>
      <c r="AE3298">
        <v>-0.44560000000001299</v>
      </c>
      <c r="AF3298">
        <v>0.76713395018480202</v>
      </c>
      <c r="AG3298">
        <v>-1.1199308275556901</v>
      </c>
      <c r="AH3298">
        <v>13.8469944012163</v>
      </c>
      <c r="AI3298">
        <v>94.616910405150406</v>
      </c>
      <c r="AJ3298">
        <v>86.829012059614101</v>
      </c>
      <c r="AK3298">
        <v>13.9133746267162</v>
      </c>
      <c r="AL3298">
        <v>96.054758883722798</v>
      </c>
      <c r="AM3298">
        <v>89.508984680996207</v>
      </c>
      <c r="AN3298">
        <v>0.99999997487091297</v>
      </c>
    </row>
    <row r="3299" spans="1:40" x14ac:dyDescent="0.25">
      <c r="A3299" t="str">
        <f>"20190303154832858"</f>
        <v>20190303154832858</v>
      </c>
      <c r="B3299" t="str">
        <f>"1551599312853942"</f>
        <v>1551599312853942</v>
      </c>
      <c r="C3299" t="s">
        <v>40</v>
      </c>
      <c r="D3299">
        <v>5.8073040000000002</v>
      </c>
      <c r="E3299">
        <v>0.51802230000000005</v>
      </c>
      <c r="F3299" t="s">
        <v>52</v>
      </c>
      <c r="G3299">
        <v>-441.20389999999998</v>
      </c>
      <c r="H3299" s="1">
        <v>-9.0023460000000002E-7</v>
      </c>
      <c r="I3299">
        <v>214.71039999999999</v>
      </c>
      <c r="J3299">
        <v>-455.11</v>
      </c>
      <c r="K3299">
        <v>1.1198600000000001</v>
      </c>
      <c r="L3299">
        <v>215.16470000000001</v>
      </c>
      <c r="M3299">
        <v>0.99970499999999995</v>
      </c>
      <c r="N3299">
        <v>-6.8318169999999996E-3</v>
      </c>
      <c r="O3299">
        <v>2.330699E-2</v>
      </c>
      <c r="P3299">
        <v>0.99352600000000002</v>
      </c>
      <c r="Q3299">
        <v>-0.1126651</v>
      </c>
      <c r="R3299">
        <v>1.4588800000000001E-2</v>
      </c>
      <c r="S3299">
        <v>2.9939879999999999</v>
      </c>
      <c r="T3299">
        <v>-0.23801839999999999</v>
      </c>
      <c r="U3299">
        <v>-9.5672610000000005E-2</v>
      </c>
      <c r="V3299">
        <v>8.5584059999999993E-3</v>
      </c>
      <c r="W3299">
        <v>-0.1058755</v>
      </c>
      <c r="X3299">
        <v>0.99434259999999997</v>
      </c>
      <c r="Y3299">
        <v>5.4975929999999999E-2</v>
      </c>
      <c r="Z3299">
        <v>-4.0600050000000002E-3</v>
      </c>
      <c r="AA3299">
        <v>0.99847940000000002</v>
      </c>
      <c r="AB3299">
        <v>18</v>
      </c>
      <c r="AC3299">
        <v>13.9061</v>
      </c>
      <c r="AD3299">
        <v>-1.1198609002346001</v>
      </c>
      <c r="AE3299">
        <v>-0.45430000000001702</v>
      </c>
      <c r="AF3299">
        <v>0.77328400070076297</v>
      </c>
      <c r="AG3299">
        <v>-1.1198609002346001</v>
      </c>
      <c r="AH3299">
        <v>13.802319535186401</v>
      </c>
      <c r="AI3299">
        <v>94.6313413509029</v>
      </c>
      <c r="AJ3299">
        <v>86.793318709103701</v>
      </c>
      <c r="AK3299">
        <v>13.8692494798025</v>
      </c>
      <c r="AL3299">
        <v>96.077609968687199</v>
      </c>
      <c r="AM3299">
        <v>89.506861684587307</v>
      </c>
      <c r="AN3299">
        <v>1.00000003699413</v>
      </c>
    </row>
    <row r="3300" spans="1:40" x14ac:dyDescent="0.25">
      <c r="A3300" t="str">
        <f>"20190303154832879"</f>
        <v>20190303154832879</v>
      </c>
      <c r="B3300" t="str">
        <f>"1551599312873462"</f>
        <v>1551599312873462</v>
      </c>
      <c r="C3300" t="s">
        <v>40</v>
      </c>
      <c r="D3300">
        <v>3.658318</v>
      </c>
      <c r="E3300">
        <v>0.51812369999999996</v>
      </c>
      <c r="F3300" t="s">
        <v>52</v>
      </c>
      <c r="G3300">
        <v>-441.17899999999997</v>
      </c>
      <c r="H3300" s="1">
        <v>-9.1347409999999998E-7</v>
      </c>
      <c r="I3300">
        <v>214.71029999999999</v>
      </c>
      <c r="J3300">
        <v>-454.94630000000001</v>
      </c>
      <c r="K3300">
        <v>1.119815</v>
      </c>
      <c r="L3300">
        <v>215.16839999999999</v>
      </c>
      <c r="M3300">
        <v>0.99971010000000005</v>
      </c>
      <c r="N3300">
        <v>-6.4558330000000002E-3</v>
      </c>
      <c r="O3300">
        <v>2.3203789999999998E-2</v>
      </c>
      <c r="P3300">
        <v>0.99353239999999998</v>
      </c>
      <c r="Q3300">
        <v>-0.1127486</v>
      </c>
      <c r="R3300">
        <v>1.346348E-2</v>
      </c>
      <c r="S3300">
        <v>2.9936219999999998</v>
      </c>
      <c r="T3300">
        <v>-0.240647</v>
      </c>
      <c r="U3300">
        <v>-9.7640989999999997E-2</v>
      </c>
      <c r="V3300">
        <v>9.5786150000000004E-3</v>
      </c>
      <c r="W3300">
        <v>-0.10633330000000001</v>
      </c>
      <c r="X3300">
        <v>0.99428439999999996</v>
      </c>
      <c r="Y3300">
        <v>5.5525539999999998E-2</v>
      </c>
      <c r="Z3300">
        <v>-4.1194539999999998E-3</v>
      </c>
      <c r="AA3300">
        <v>0.99844880000000003</v>
      </c>
      <c r="AB3300">
        <v>18</v>
      </c>
      <c r="AC3300">
        <v>13.767299999999899</v>
      </c>
      <c r="AD3300">
        <v>-1.1198159134740999</v>
      </c>
      <c r="AE3300">
        <v>-0.45810000000000101</v>
      </c>
      <c r="AF3300">
        <v>0.77233268472953498</v>
      </c>
      <c r="AG3300">
        <v>-1.1198159134740999</v>
      </c>
      <c r="AH3300">
        <v>13.662670900034</v>
      </c>
      <c r="AI3300">
        <v>94.678151512631104</v>
      </c>
      <c r="AJ3300">
        <v>86.764588804357103</v>
      </c>
      <c r="AK3300">
        <v>13.730224381946901</v>
      </c>
      <c r="AL3300">
        <v>96.103989146397495</v>
      </c>
      <c r="AM3300">
        <v>89.448048027347397</v>
      </c>
      <c r="AN3300">
        <v>0.99999999431878395</v>
      </c>
    </row>
    <row r="3301" spans="1:40" x14ac:dyDescent="0.25">
      <c r="A3301" t="str">
        <f>"20190303154832902"</f>
        <v>20190303154832902</v>
      </c>
      <c r="B3301" t="str">
        <f>"1551599312893958"</f>
        <v>1551599312893958</v>
      </c>
      <c r="C3301" t="s">
        <v>40</v>
      </c>
      <c r="D3301">
        <v>5.7755150000000004</v>
      </c>
      <c r="E3301">
        <v>0.51838890000000004</v>
      </c>
      <c r="F3301" t="s">
        <v>52</v>
      </c>
      <c r="G3301">
        <v>-441.11279999999999</v>
      </c>
      <c r="H3301" s="1">
        <v>-9.4816490000000003E-7</v>
      </c>
      <c r="I3301">
        <v>214.69730000000001</v>
      </c>
      <c r="J3301">
        <v>-454.75630000000001</v>
      </c>
      <c r="K3301">
        <v>1.1197779999999999</v>
      </c>
      <c r="L3301">
        <v>215.17259999999999</v>
      </c>
      <c r="M3301">
        <v>0.99971529999999997</v>
      </c>
      <c r="N3301">
        <v>-6.074744E-3</v>
      </c>
      <c r="O3301">
        <v>2.3078319999999999E-2</v>
      </c>
      <c r="P3301">
        <v>0.99360099999999996</v>
      </c>
      <c r="Q3301">
        <v>-0.1122846</v>
      </c>
      <c r="R3301">
        <v>1.221176E-2</v>
      </c>
      <c r="S3301">
        <v>2.9934080000000001</v>
      </c>
      <c r="T3301">
        <v>-0.24231420000000001</v>
      </c>
      <c r="U3301">
        <v>-0.10194400000000001</v>
      </c>
      <c r="V3301">
        <v>1.070485E-2</v>
      </c>
      <c r="W3301">
        <v>-0.10624840000000001</v>
      </c>
      <c r="X3301">
        <v>0.994282</v>
      </c>
      <c r="Y3301">
        <v>5.682852E-2</v>
      </c>
      <c r="Z3301">
        <v>-4.1933650000000001E-3</v>
      </c>
      <c r="AA3301">
        <v>0.99837509999999996</v>
      </c>
      <c r="AB3301">
        <v>18</v>
      </c>
      <c r="AC3301">
        <v>13.6435</v>
      </c>
      <c r="AD3301">
        <v>-1.1197789481648901</v>
      </c>
      <c r="AE3301">
        <v>-0.47529999999997502</v>
      </c>
      <c r="AF3301">
        <v>0.78476831794933999</v>
      </c>
      <c r="AG3301">
        <v>-1.1197789481648901</v>
      </c>
      <c r="AH3301">
        <v>13.5378142597232</v>
      </c>
      <c r="AI3301">
        <v>94.720561786174997</v>
      </c>
      <c r="AJ3301">
        <v>86.682355956684304</v>
      </c>
      <c r="AK3301">
        <v>13.6066961874062</v>
      </c>
      <c r="AL3301">
        <v>96.099096950173305</v>
      </c>
      <c r="AM3301">
        <v>89.3831538453896</v>
      </c>
      <c r="AN3301">
        <v>1.00000000592004</v>
      </c>
    </row>
    <row r="3302" spans="1:40" x14ac:dyDescent="0.25">
      <c r="A3302" t="str">
        <f>"20190303154832923"</f>
        <v>20190303154832923</v>
      </c>
      <c r="B3302" t="str">
        <f>"1551599312913478"</f>
        <v>1551599312913478</v>
      </c>
      <c r="C3302" t="s">
        <v>40</v>
      </c>
      <c r="D3302">
        <v>5.8040349999999998</v>
      </c>
      <c r="E3302">
        <v>0.51859940000000004</v>
      </c>
      <c r="F3302" t="s">
        <v>42</v>
      </c>
      <c r="G3302">
        <v>-453.87380000000002</v>
      </c>
      <c r="H3302">
        <v>1.048416</v>
      </c>
      <c r="I3302">
        <v>215.14019999999999</v>
      </c>
      <c r="J3302">
        <v>-454.58510000000001</v>
      </c>
      <c r="K3302">
        <v>1.119753</v>
      </c>
      <c r="L3302">
        <v>215.1764</v>
      </c>
      <c r="M3302">
        <v>0.99971960000000004</v>
      </c>
      <c r="N3302">
        <v>-5.77977E-3</v>
      </c>
      <c r="O3302">
        <v>2.296227E-2</v>
      </c>
      <c r="P3302">
        <v>0.99374890000000005</v>
      </c>
      <c r="Q3302">
        <v>-0.1111123</v>
      </c>
      <c r="R3302">
        <v>1.081215E-2</v>
      </c>
      <c r="S3302">
        <v>2.9932859999999999</v>
      </c>
      <c r="T3302">
        <v>-0.24219850000000001</v>
      </c>
      <c r="U3302">
        <v>-0.1079712</v>
      </c>
      <c r="V3302">
        <v>1.199134E-2</v>
      </c>
      <c r="W3302">
        <v>-0.10536909999999999</v>
      </c>
      <c r="X3302">
        <v>0.99436089999999999</v>
      </c>
      <c r="Y3302">
        <v>5.8715860000000002E-2</v>
      </c>
      <c r="Z3302">
        <v>-4.2627940000000003E-3</v>
      </c>
      <c r="AA3302">
        <v>0.99826559999999998</v>
      </c>
      <c r="AB3302">
        <v>18</v>
      </c>
      <c r="AC3302">
        <v>0.71129999999999405</v>
      </c>
      <c r="AD3302">
        <v>-7.13369999999999E-2</v>
      </c>
      <c r="AE3302">
        <v>-3.6200000000007997E-2</v>
      </c>
      <c r="AF3302">
        <v>5.2002090028504797E-2</v>
      </c>
      <c r="AG3302">
        <v>-7.13369999999999E-2</v>
      </c>
      <c r="AH3302">
        <v>0.70322621987855005</v>
      </c>
      <c r="AI3302">
        <v>95.776744354575598</v>
      </c>
      <c r="AJ3302">
        <v>85.770796044570204</v>
      </c>
      <c r="AK3302">
        <v>0.70874558288641698</v>
      </c>
      <c r="AL3302">
        <v>96.048432281925898</v>
      </c>
      <c r="AM3302">
        <v>89.309083985427804</v>
      </c>
      <c r="AN3302">
        <v>1.0000000194592999</v>
      </c>
    </row>
    <row r="3303" spans="1:40" x14ac:dyDescent="0.25">
      <c r="A3303" t="str">
        <f>"20190303154832946"</f>
        <v>20190303154832946</v>
      </c>
      <c r="B3303" t="str">
        <f>"1551599312943733"</f>
        <v>1551599312943733</v>
      </c>
      <c r="C3303" t="s">
        <v>40</v>
      </c>
      <c r="D3303">
        <v>5.8345830000000003</v>
      </c>
      <c r="E3303">
        <v>0.51875379999999904</v>
      </c>
      <c r="F3303" t="s">
        <v>42</v>
      </c>
      <c r="G3303">
        <v>-453.70670000000001</v>
      </c>
      <c r="H3303">
        <v>1.049285</v>
      </c>
      <c r="I3303">
        <v>215.14320000000001</v>
      </c>
      <c r="J3303">
        <v>-454.38440000000003</v>
      </c>
      <c r="K3303">
        <v>1.1197379999999999</v>
      </c>
      <c r="L3303">
        <v>215.18090000000001</v>
      </c>
      <c r="M3303">
        <v>0.99972450000000002</v>
      </c>
      <c r="N3303">
        <v>-5.4837840000000002E-3</v>
      </c>
      <c r="O3303">
        <v>2.2825620000000001E-2</v>
      </c>
      <c r="P3303">
        <v>0.99389819999999995</v>
      </c>
      <c r="Q3303">
        <v>-0.1098962</v>
      </c>
      <c r="R3303">
        <v>9.4626859999999997E-3</v>
      </c>
      <c r="S3303">
        <v>2.9932560000000001</v>
      </c>
      <c r="T3303">
        <v>-0.24014840000000001</v>
      </c>
      <c r="U3303">
        <v>-0.1138</v>
      </c>
      <c r="V3303">
        <v>1.320735E-2</v>
      </c>
      <c r="W3303">
        <v>-0.1044469</v>
      </c>
      <c r="X3303">
        <v>0.99444279999999996</v>
      </c>
      <c r="Y3303">
        <v>6.0519829999999997E-2</v>
      </c>
      <c r="Z3303">
        <v>-4.2921130000000002E-3</v>
      </c>
      <c r="AA3303">
        <v>0.99815770000000004</v>
      </c>
      <c r="AB3303">
        <v>18</v>
      </c>
      <c r="AC3303">
        <v>0.67770000000001496</v>
      </c>
      <c r="AD3303">
        <v>-7.0452999999999794E-2</v>
      </c>
      <c r="AE3303">
        <v>-3.7700000000000899E-2</v>
      </c>
      <c r="AF3303">
        <v>5.2592691109162697E-2</v>
      </c>
      <c r="AG3303">
        <v>-7.0452999999999794E-2</v>
      </c>
      <c r="AH3303">
        <v>0.66945014789160595</v>
      </c>
      <c r="AI3303">
        <v>95.989379728601804</v>
      </c>
      <c r="AJ3303">
        <v>85.508010833038995</v>
      </c>
      <c r="AK3303">
        <v>0.67519857588652898</v>
      </c>
      <c r="AL3303">
        <v>95.9953008327101</v>
      </c>
      <c r="AM3303">
        <v>89.239090548441794</v>
      </c>
      <c r="AN3303">
        <v>1.0000000357427301</v>
      </c>
    </row>
    <row r="3304" spans="1:40" x14ac:dyDescent="0.25">
      <c r="A3304" t="str">
        <f>"20190303154832969"</f>
        <v>20190303154832969</v>
      </c>
      <c r="B3304" t="str">
        <f>"1551599312964229"</f>
        <v>1551599312964229</v>
      </c>
      <c r="C3304" t="s">
        <v>40</v>
      </c>
      <c r="D3304">
        <v>5.7032410000000002</v>
      </c>
      <c r="E3304">
        <v>0.51880919999999997</v>
      </c>
      <c r="F3304" t="s">
        <v>42</v>
      </c>
      <c r="G3304">
        <v>-453.53629999999998</v>
      </c>
      <c r="H3304">
        <v>1.0524279999999999</v>
      </c>
      <c r="I3304">
        <v>215.14680000000001</v>
      </c>
      <c r="J3304">
        <v>-454.19959999999998</v>
      </c>
      <c r="K3304">
        <v>1.1197319999999999</v>
      </c>
      <c r="L3304">
        <v>215.185</v>
      </c>
      <c r="M3304">
        <v>0.99972870000000003</v>
      </c>
      <c r="N3304">
        <v>-5.250551E-3</v>
      </c>
      <c r="O3304">
        <v>2.2698599999999999E-2</v>
      </c>
      <c r="P3304">
        <v>0.99406640000000002</v>
      </c>
      <c r="Q3304">
        <v>-0.1084613</v>
      </c>
      <c r="R3304">
        <v>8.2828999999999993E-3</v>
      </c>
      <c r="S3304">
        <v>2.9932859999999999</v>
      </c>
      <c r="T3304">
        <v>-0.23768819999999999</v>
      </c>
      <c r="U3304">
        <v>-0.11912540000000001</v>
      </c>
      <c r="V3304">
        <v>1.426385E-2</v>
      </c>
      <c r="W3304">
        <v>-0.1032434</v>
      </c>
      <c r="X3304">
        <v>0.99455389999999999</v>
      </c>
      <c r="Y3304">
        <v>6.216613E-2</v>
      </c>
      <c r="Z3304">
        <v>-4.306931E-3</v>
      </c>
      <c r="AA3304">
        <v>0.99805650000000001</v>
      </c>
      <c r="AB3304">
        <v>19</v>
      </c>
      <c r="AC3304">
        <v>0.66329999999999201</v>
      </c>
      <c r="AD3304">
        <v>-6.7303999999999795E-2</v>
      </c>
      <c r="AE3304">
        <v>-3.8199999999989097E-2</v>
      </c>
      <c r="AF3304">
        <v>5.2705491118018401E-2</v>
      </c>
      <c r="AG3304">
        <v>-6.7303999999999795E-2</v>
      </c>
      <c r="AH3304">
        <v>0.65553502815446996</v>
      </c>
      <c r="AI3304">
        <v>95.843311880944498</v>
      </c>
      <c r="AJ3304">
        <v>85.403265660818803</v>
      </c>
      <c r="AK3304">
        <v>0.66108537296439496</v>
      </c>
      <c r="AL3304">
        <v>95.925970388780996</v>
      </c>
      <c r="AM3304">
        <v>89.178322686096195</v>
      </c>
      <c r="AN3304">
        <v>1.0000000585327899</v>
      </c>
    </row>
    <row r="3305" spans="1:40" x14ac:dyDescent="0.25">
      <c r="A3305" t="str">
        <f>"20190303154832991"</f>
        <v>20190303154832991</v>
      </c>
      <c r="B3305" t="str">
        <f>"1551599312983750"</f>
        <v>1551599312983750</v>
      </c>
      <c r="C3305" t="s">
        <v>40</v>
      </c>
      <c r="D3305">
        <v>5.764005</v>
      </c>
      <c r="E3305">
        <v>0.51878979999999997</v>
      </c>
      <c r="F3305" t="s">
        <v>42</v>
      </c>
      <c r="G3305">
        <v>-453.3657</v>
      </c>
      <c r="H3305">
        <v>1.054559</v>
      </c>
      <c r="I3305">
        <v>215.15049999999999</v>
      </c>
      <c r="J3305">
        <v>-454.01049999999998</v>
      </c>
      <c r="K3305">
        <v>1.119721</v>
      </c>
      <c r="L3305">
        <v>215.1891</v>
      </c>
      <c r="M3305">
        <v>0.99973270000000003</v>
      </c>
      <c r="N3305">
        <v>-5.0463829999999998E-3</v>
      </c>
      <c r="O3305">
        <v>2.256466E-2</v>
      </c>
      <c r="P3305">
        <v>0.99419139999999995</v>
      </c>
      <c r="Q3305">
        <v>-0.1073317</v>
      </c>
      <c r="R3305">
        <v>7.9673980000000005E-3</v>
      </c>
      <c r="S3305">
        <v>2.993439</v>
      </c>
      <c r="T3305">
        <v>-0.23401279999999999</v>
      </c>
      <c r="U3305">
        <v>-0.1231995</v>
      </c>
      <c r="V3305">
        <v>1.444806E-2</v>
      </c>
      <c r="W3305">
        <v>-0.1023165</v>
      </c>
      <c r="X3305">
        <v>0.99464699999999995</v>
      </c>
      <c r="Y3305">
        <v>6.3391290000000003E-2</v>
      </c>
      <c r="Z3305">
        <v>-4.2802819999999998E-3</v>
      </c>
      <c r="AA3305">
        <v>0.99797959999999997</v>
      </c>
      <c r="AB3305">
        <v>19</v>
      </c>
      <c r="AC3305">
        <v>0.64479999999997495</v>
      </c>
      <c r="AD3305">
        <v>-6.5161999999999901E-2</v>
      </c>
      <c r="AE3305">
        <v>-3.8600000000002403E-2</v>
      </c>
      <c r="AF3305">
        <v>5.2604733205810703E-2</v>
      </c>
      <c r="AG3305">
        <v>-6.5161999999999901E-2</v>
      </c>
      <c r="AH3305">
        <v>0.63727973432460205</v>
      </c>
      <c r="AI3305">
        <v>95.818563560448993</v>
      </c>
      <c r="AJ3305">
        <v>85.281175251846904</v>
      </c>
      <c r="AK3305">
        <v>0.64275874477169903</v>
      </c>
      <c r="AL3305">
        <v>95.872580330548402</v>
      </c>
      <c r="AM3305">
        <v>89.167790537886304</v>
      </c>
      <c r="AN3305">
        <v>1.0000000336095001</v>
      </c>
    </row>
    <row r="3306" spans="1:40" x14ac:dyDescent="0.25">
      <c r="A3306" t="str">
        <f>"20190303154833014"</f>
        <v>20190303154833014</v>
      </c>
      <c r="B3306" t="str">
        <f>"1551599313004245"</f>
        <v>1551599313004245</v>
      </c>
      <c r="C3306" t="s">
        <v>40</v>
      </c>
      <c r="D3306">
        <v>5.5932629999999897</v>
      </c>
      <c r="E3306">
        <v>0.51892780000000005</v>
      </c>
      <c r="F3306" t="s">
        <v>42</v>
      </c>
      <c r="G3306">
        <v>-453.19369999999998</v>
      </c>
      <c r="H3306">
        <v>1.0566799999999901</v>
      </c>
      <c r="I3306">
        <v>215.155</v>
      </c>
      <c r="J3306">
        <v>-453.81630000000001</v>
      </c>
      <c r="K3306">
        <v>1.1197060000000001</v>
      </c>
      <c r="L3306">
        <v>215.1934</v>
      </c>
      <c r="M3306">
        <v>0.99973690000000004</v>
      </c>
      <c r="N3306">
        <v>-4.8675059999999997E-3</v>
      </c>
      <c r="O3306">
        <v>2.24187E-2</v>
      </c>
      <c r="P3306">
        <v>0.99435530000000005</v>
      </c>
      <c r="Q3306">
        <v>-0.1058021</v>
      </c>
      <c r="R3306">
        <v>7.9857260000000003E-3</v>
      </c>
      <c r="S3306">
        <v>2.9935610000000001</v>
      </c>
      <c r="T3306">
        <v>-0.23117760000000001</v>
      </c>
      <c r="U3306">
        <v>-0.1239166</v>
      </c>
      <c r="V3306">
        <v>1.4286800000000001E-2</v>
      </c>
      <c r="W3306">
        <v>-0.10096430000000001</v>
      </c>
      <c r="X3306">
        <v>0.99478750000000005</v>
      </c>
      <c r="Y3306">
        <v>6.3489169999999998E-2</v>
      </c>
      <c r="Z3306">
        <v>-4.2207590000000001E-3</v>
      </c>
      <c r="AA3306">
        <v>0.99797360000000002</v>
      </c>
      <c r="AB3306">
        <v>19</v>
      </c>
      <c r="AC3306">
        <v>0.62260000000003302</v>
      </c>
      <c r="AD3306">
        <v>-6.3025999999999999E-2</v>
      </c>
      <c r="AE3306">
        <v>-3.8399999999995701E-2</v>
      </c>
      <c r="AF3306">
        <v>5.1819384689809997E-2</v>
      </c>
      <c r="AG3306">
        <v>-6.3025999999999999E-2</v>
      </c>
      <c r="AH3306">
        <v>0.61530117733110901</v>
      </c>
      <c r="AI3306">
        <v>95.827985825189401</v>
      </c>
      <c r="AJ3306">
        <v>85.186028521656496</v>
      </c>
      <c r="AK3306">
        <v>0.62068757368798599</v>
      </c>
      <c r="AL3306">
        <v>95.794701640358497</v>
      </c>
      <c r="AM3306">
        <v>89.177194053195393</v>
      </c>
      <c r="AN3306">
        <v>1.0000000363424799</v>
      </c>
    </row>
    <row r="3307" spans="1:40" x14ac:dyDescent="0.25">
      <c r="A3307" t="str">
        <f>"20190303154833037"</f>
        <v>20190303154833037</v>
      </c>
      <c r="B3307" t="str">
        <f>"1551599313034502"</f>
        <v>1551599313034502</v>
      </c>
      <c r="C3307" t="s">
        <v>40</v>
      </c>
      <c r="D3307">
        <v>5.7431179999999999</v>
      </c>
      <c r="E3307">
        <v>0.51893610000000001</v>
      </c>
      <c r="F3307" t="s">
        <v>54</v>
      </c>
      <c r="G3307">
        <v>-438.9513</v>
      </c>
      <c r="H3307" s="1">
        <v>6.1903470000000001E-6</v>
      </c>
      <c r="I3307">
        <v>214.57259999999999</v>
      </c>
      <c r="J3307">
        <v>-453.6155</v>
      </c>
      <c r="K3307">
        <v>1.119685</v>
      </c>
      <c r="L3307">
        <v>215.1977</v>
      </c>
      <c r="M3307">
        <v>0.9997414</v>
      </c>
      <c r="N3307">
        <v>-4.7104699999999996E-3</v>
      </c>
      <c r="O3307">
        <v>2.2251719999999999E-2</v>
      </c>
      <c r="P3307">
        <v>0.99447920000000001</v>
      </c>
      <c r="Q3307">
        <v>-0.1045876</v>
      </c>
      <c r="R3307">
        <v>8.5318740000000001E-3</v>
      </c>
      <c r="S3307">
        <v>2.994049</v>
      </c>
      <c r="T3307">
        <v>-0.22552649999999999</v>
      </c>
      <c r="U3307">
        <v>-0.12503049999999999</v>
      </c>
      <c r="V3307">
        <v>1.3574599999999999E-2</v>
      </c>
      <c r="W3307">
        <v>-9.9905599999999997E-2</v>
      </c>
      <c r="X3307">
        <v>0.99490429999999996</v>
      </c>
      <c r="Y3307">
        <v>6.3698770000000002E-2</v>
      </c>
      <c r="Z3307">
        <v>-4.1134120000000003E-3</v>
      </c>
      <c r="AA3307">
        <v>0.99796070000000003</v>
      </c>
      <c r="AB3307">
        <v>19</v>
      </c>
      <c r="AC3307">
        <v>14.6641999999999</v>
      </c>
      <c r="AD3307">
        <v>-1.1196788096529999</v>
      </c>
      <c r="AE3307">
        <v>-0.62510000000000299</v>
      </c>
      <c r="AF3307">
        <v>0.94574874782083196</v>
      </c>
      <c r="AG3307">
        <v>-1.1196788096529999</v>
      </c>
      <c r="AH3307">
        <v>14.5619170532278</v>
      </c>
      <c r="AI3307">
        <v>94.387664406154798</v>
      </c>
      <c r="AJ3307">
        <v>86.284045919634806</v>
      </c>
      <c r="AK3307">
        <v>14.635489386962</v>
      </c>
      <c r="AL3307">
        <v>95.733734634600395</v>
      </c>
      <c r="AM3307">
        <v>89.218297648980496</v>
      </c>
      <c r="AN3307">
        <v>0.99999998241750399</v>
      </c>
    </row>
    <row r="3308" spans="1:40" x14ac:dyDescent="0.25">
      <c r="A3308" t="str">
        <f>"20190303154833059"</f>
        <v>20190303154833059</v>
      </c>
      <c r="B3308" t="str">
        <f>"1551599313054021"</f>
        <v>1551599313054021</v>
      </c>
      <c r="C3308" t="s">
        <v>40</v>
      </c>
      <c r="D3308">
        <v>5.5014849999999997</v>
      </c>
      <c r="E3308">
        <v>0.51891579999999904</v>
      </c>
      <c r="F3308" t="s">
        <v>54</v>
      </c>
      <c r="G3308">
        <v>-438.52780000000001</v>
      </c>
      <c r="H3308" s="1">
        <v>6.0023429999999901E-6</v>
      </c>
      <c r="I3308">
        <v>214.57499999999999</v>
      </c>
      <c r="J3308">
        <v>-453.42489999999998</v>
      </c>
      <c r="K3308">
        <v>1.119653</v>
      </c>
      <c r="L3308">
        <v>215.20179999999999</v>
      </c>
      <c r="M3308">
        <v>0.99974589999999997</v>
      </c>
      <c r="N3308">
        <v>-4.5872680000000002E-3</v>
      </c>
      <c r="O3308">
        <v>2.2068040000000001E-2</v>
      </c>
      <c r="P3308">
        <v>0.99451869999999998</v>
      </c>
      <c r="Q3308">
        <v>-0.10413169999999999</v>
      </c>
      <c r="R3308">
        <v>9.4337129999999998E-3</v>
      </c>
      <c r="S3308">
        <v>2.9943240000000002</v>
      </c>
      <c r="T3308">
        <v>-0.22221369999999999</v>
      </c>
      <c r="U3308">
        <v>-0.12358089999999999</v>
      </c>
      <c r="V3308">
        <v>1.248691E-2</v>
      </c>
      <c r="W3308">
        <v>-9.9572330000000001E-2</v>
      </c>
      <c r="X3308">
        <v>0.99495199999999995</v>
      </c>
      <c r="Y3308">
        <v>6.3038919999999998E-2</v>
      </c>
      <c r="Z3308">
        <v>-4.013567E-3</v>
      </c>
      <c r="AA3308">
        <v>0.99800299999999997</v>
      </c>
      <c r="AB3308">
        <v>19</v>
      </c>
      <c r="AC3308">
        <v>14.897099999999901</v>
      </c>
      <c r="AD3308">
        <v>-1.119646997657</v>
      </c>
      <c r="AE3308">
        <v>-0.62680000000000202</v>
      </c>
      <c r="AF3308">
        <v>0.95004347257653898</v>
      </c>
      <c r="AG3308">
        <v>-1.119646997657</v>
      </c>
      <c r="AH3308">
        <v>14.796206056784699</v>
      </c>
      <c r="AI3308">
        <v>94.318535293940997</v>
      </c>
      <c r="AJ3308">
        <v>86.3261622239133</v>
      </c>
      <c r="AK3308">
        <v>14.868890532719</v>
      </c>
      <c r="AL3308">
        <v>95.714543722181006</v>
      </c>
      <c r="AM3308">
        <v>89.280960606587897</v>
      </c>
      <c r="AN3308">
        <v>1.0000000270634799</v>
      </c>
    </row>
    <row r="3309" spans="1:40" x14ac:dyDescent="0.25">
      <c r="A3309" t="str">
        <f>"20190303154833082"</f>
        <v>20190303154833082</v>
      </c>
      <c r="B3309" t="str">
        <f>"1551599313073541"</f>
        <v>1551599313073541</v>
      </c>
      <c r="C3309" t="s">
        <v>40</v>
      </c>
      <c r="D3309">
        <v>5.5026729999999997</v>
      </c>
      <c r="E3309">
        <v>0.51883619999999997</v>
      </c>
      <c r="F3309" t="s">
        <v>54</v>
      </c>
      <c r="G3309">
        <v>-438.18299999999999</v>
      </c>
      <c r="H3309" s="1">
        <v>5.8483169999999901E-6</v>
      </c>
      <c r="I3309">
        <v>214.58760000000001</v>
      </c>
      <c r="J3309">
        <v>-453.22550000000001</v>
      </c>
      <c r="K3309">
        <v>1.1196159999999999</v>
      </c>
      <c r="L3309">
        <v>215.20590000000001</v>
      </c>
      <c r="M3309">
        <v>0.99975159999999996</v>
      </c>
      <c r="N3309">
        <v>-4.4849190000000004E-3</v>
      </c>
      <c r="O3309">
        <v>2.1838179999999999E-2</v>
      </c>
      <c r="P3309">
        <v>0.99452910000000005</v>
      </c>
      <c r="Q3309">
        <v>-0.1039698</v>
      </c>
      <c r="R3309">
        <v>1.012419E-2</v>
      </c>
      <c r="S3309">
        <v>2.9946290000000002</v>
      </c>
      <c r="T3309">
        <v>-0.2199805</v>
      </c>
      <c r="U3309">
        <v>-0.1206665</v>
      </c>
      <c r="V3309">
        <v>1.156164E-2</v>
      </c>
      <c r="W3309">
        <v>-9.9512550000000005E-2</v>
      </c>
      <c r="X3309">
        <v>0.99496910000000005</v>
      </c>
      <c r="Y3309">
        <v>6.1844349999999999E-2</v>
      </c>
      <c r="Z3309">
        <v>-3.9101539999999999E-3</v>
      </c>
      <c r="AA3309">
        <v>0.99807820000000003</v>
      </c>
      <c r="AB3309">
        <v>19</v>
      </c>
      <c r="AC3309">
        <v>15.042499999999899</v>
      </c>
      <c r="AD3309">
        <v>-1.1196101516829999</v>
      </c>
      <c r="AE3309">
        <v>-0.61830000000000496</v>
      </c>
      <c r="AF3309">
        <v>0.94144998178907302</v>
      </c>
      <c r="AG3309">
        <v>-1.1196101516829999</v>
      </c>
      <c r="AH3309">
        <v>14.942769645721</v>
      </c>
      <c r="AI3309">
        <v>94.276520575313697</v>
      </c>
      <c r="AJ3309">
        <v>86.394918153781603</v>
      </c>
      <c r="AK3309">
        <v>15.0142005996004</v>
      </c>
      <c r="AL3309">
        <v>95.711101842330706</v>
      </c>
      <c r="AM3309">
        <v>89.334247301475699</v>
      </c>
      <c r="AN3309">
        <v>0.99999996454090001</v>
      </c>
    </row>
    <row r="3310" spans="1:40" x14ac:dyDescent="0.25">
      <c r="A3310" t="str">
        <f>"20190303154833113"</f>
        <v>20190303154833113</v>
      </c>
      <c r="B3310" t="str">
        <f>"1551599313103798"</f>
        <v>1551599313103798</v>
      </c>
      <c r="C3310" t="s">
        <v>40</v>
      </c>
      <c r="D3310">
        <v>5.4786999999999999</v>
      </c>
      <c r="E3310">
        <v>0.50618299999999905</v>
      </c>
      <c r="F3310" t="s">
        <v>42</v>
      </c>
      <c r="G3310">
        <v>-452.32749999999999</v>
      </c>
      <c r="H3310">
        <v>1.054041</v>
      </c>
      <c r="I3310">
        <v>215.1704</v>
      </c>
      <c r="J3310">
        <v>-452.94779999999997</v>
      </c>
      <c r="K3310">
        <v>1.119569</v>
      </c>
      <c r="L3310">
        <v>215.2115</v>
      </c>
      <c r="M3310">
        <v>0.99976050000000005</v>
      </c>
      <c r="N3310">
        <v>-4.379417E-3</v>
      </c>
      <c r="O3310">
        <v>2.1441990000000001E-2</v>
      </c>
      <c r="P3310">
        <v>0.99456420000000001</v>
      </c>
      <c r="Q3310">
        <v>-0.10360510000000001</v>
      </c>
      <c r="R3310">
        <v>1.038789E-2</v>
      </c>
      <c r="S3310">
        <v>2.994812</v>
      </c>
      <c r="T3310">
        <v>-0.21876039999999999</v>
      </c>
      <c r="U3310">
        <v>-0.11776730000000001</v>
      </c>
      <c r="V3310">
        <v>1.0893999999999999E-2</v>
      </c>
      <c r="W3310">
        <v>-9.9253620000000001E-2</v>
      </c>
      <c r="X3310">
        <v>0.99500250000000001</v>
      </c>
      <c r="Y3310">
        <v>6.0488979999999998E-2</v>
      </c>
      <c r="Z3310">
        <v>-3.8080610000000002E-3</v>
      </c>
      <c r="AA3310">
        <v>0.99816159999999998</v>
      </c>
      <c r="AB3310">
        <v>20</v>
      </c>
      <c r="AC3310">
        <v>0.62029999999998597</v>
      </c>
      <c r="AD3310">
        <v>-6.5528000000000003E-2</v>
      </c>
      <c r="AE3310">
        <v>-4.1100000000000102E-2</v>
      </c>
      <c r="AF3310">
        <v>5.3793452944064499E-2</v>
      </c>
      <c r="AG3310">
        <v>-6.5528000000000003E-2</v>
      </c>
      <c r="AH3310">
        <v>0.61247103032860095</v>
      </c>
      <c r="AI3310">
        <v>96.083576188636997</v>
      </c>
      <c r="AJ3310">
        <v>84.980580636933297</v>
      </c>
      <c r="AK3310">
        <v>0.61831093905528101</v>
      </c>
      <c r="AL3310">
        <v>95.6961924149102</v>
      </c>
      <c r="AM3310">
        <v>89.372709834663198</v>
      </c>
      <c r="AN3310">
        <v>0.99999996766267596</v>
      </c>
    </row>
    <row r="3311" spans="1:40" x14ac:dyDescent="0.25">
      <c r="A3311" t="str">
        <f>"20190303154833136"</f>
        <v>20190303154833136</v>
      </c>
      <c r="B3311" t="str">
        <f>"1551599313124293"</f>
        <v>1551599313124293</v>
      </c>
      <c r="C3311" t="s">
        <v>40</v>
      </c>
      <c r="D3311">
        <v>5.4917280000000002</v>
      </c>
      <c r="E3311">
        <v>0.50624639999999999</v>
      </c>
      <c r="F3311" t="s">
        <v>54</v>
      </c>
      <c r="G3311">
        <v>-425.87119999999999</v>
      </c>
      <c r="H3311" s="1">
        <v>2.8823669999999999E-6</v>
      </c>
      <c r="I3311">
        <v>215.08279999999999</v>
      </c>
      <c r="J3311">
        <v>-452.74470000000002</v>
      </c>
      <c r="K3311">
        <v>1.1195280000000001</v>
      </c>
      <c r="L3311">
        <v>215.21549999999999</v>
      </c>
      <c r="M3311">
        <v>0.99976799999999999</v>
      </c>
      <c r="N3311">
        <v>-4.3230999999999999E-3</v>
      </c>
      <c r="O3311">
        <v>2.110368E-2</v>
      </c>
      <c r="P3311">
        <v>0.99470700000000001</v>
      </c>
      <c r="Q3311">
        <v>-0.1022353</v>
      </c>
      <c r="R3311">
        <v>1.031199E-2</v>
      </c>
      <c r="S3311">
        <v>3.0036320000000001</v>
      </c>
      <c r="T3311">
        <v>-0.1241946</v>
      </c>
      <c r="U3311">
        <v>-1.428223E-2</v>
      </c>
      <c r="V3311">
        <v>1.062915E-2</v>
      </c>
      <c r="W3311">
        <v>-9.793992E-2</v>
      </c>
      <c r="X3311">
        <v>0.99513549999999995</v>
      </c>
      <c r="Y3311">
        <v>2.5818689999999998E-2</v>
      </c>
      <c r="Z3311">
        <v>-1.3703630000000001E-3</v>
      </c>
      <c r="AA3311">
        <v>0.99966569999999999</v>
      </c>
      <c r="AB3311">
        <v>20</v>
      </c>
      <c r="AC3311">
        <v>26.8735</v>
      </c>
      <c r="AD3311">
        <v>-1.1195251176330001</v>
      </c>
      <c r="AE3311">
        <v>-0.13269999999999901</v>
      </c>
      <c r="AF3311">
        <v>0.69859309592296803</v>
      </c>
      <c r="AG3311">
        <v>-1.1195251176330001</v>
      </c>
      <c r="AH3311">
        <v>26.8181732494646</v>
      </c>
      <c r="AI3311">
        <v>92.389615745686697</v>
      </c>
      <c r="AJ3311">
        <v>88.507825800855699</v>
      </c>
      <c r="AK3311">
        <v>26.8506198297354</v>
      </c>
      <c r="AL3311">
        <v>95.620554576407798</v>
      </c>
      <c r="AM3311">
        <v>89.388040847987895</v>
      </c>
      <c r="AN3311">
        <v>0.99999993505978702</v>
      </c>
    </row>
    <row r="3312" spans="1:40" x14ac:dyDescent="0.25">
      <c r="A3312" t="str">
        <f>"20190303154833158"</f>
        <v>20190303154833158</v>
      </c>
      <c r="B3312" t="str">
        <f>"1551599313154550"</f>
        <v>1551599313154550</v>
      </c>
      <c r="C3312" t="s">
        <v>40</v>
      </c>
      <c r="D3312">
        <v>5.4484149999999998</v>
      </c>
      <c r="E3312">
        <v>0.50614079999999995</v>
      </c>
      <c r="F3312" t="s">
        <v>54</v>
      </c>
      <c r="G3312">
        <v>-424.75139999999999</v>
      </c>
      <c r="H3312" s="1">
        <v>3.0814549999999999E-6</v>
      </c>
      <c r="I3312">
        <v>215.07759999999999</v>
      </c>
      <c r="J3312">
        <v>-452.55360000000002</v>
      </c>
      <c r="K3312">
        <v>1.1194919999999999</v>
      </c>
      <c r="L3312">
        <v>215.2192</v>
      </c>
      <c r="M3312">
        <v>0.99977570000000004</v>
      </c>
      <c r="N3312">
        <v>-4.2859320000000001E-3</v>
      </c>
      <c r="O3312">
        <v>2.0741619999999999E-2</v>
      </c>
      <c r="P3312">
        <v>0.9946933</v>
      </c>
      <c r="Q3312">
        <v>-0.1023549</v>
      </c>
      <c r="R3312">
        <v>1.0430790000000001E-2</v>
      </c>
      <c r="S3312">
        <v>3.003784</v>
      </c>
      <c r="T3312">
        <v>-0.12012920000000001</v>
      </c>
      <c r="U3312">
        <v>-1.480103E-2</v>
      </c>
      <c r="V3312">
        <v>1.0142999999999999E-2</v>
      </c>
      <c r="W3312">
        <v>-9.8097069999999995E-2</v>
      </c>
      <c r="X3312">
        <v>0.99512520000000004</v>
      </c>
      <c r="Y3312">
        <v>2.5631999999999999E-2</v>
      </c>
      <c r="Z3312">
        <v>-1.307564E-3</v>
      </c>
      <c r="AA3312">
        <v>0.99967059999999996</v>
      </c>
      <c r="AB3312">
        <v>20</v>
      </c>
      <c r="AC3312">
        <v>27.802199999999999</v>
      </c>
      <c r="AD3312">
        <v>-1.1194889185450001</v>
      </c>
      <c r="AE3312">
        <v>-0.14160000000001099</v>
      </c>
      <c r="AF3312">
        <v>0.71707487988279295</v>
      </c>
      <c r="AG3312">
        <v>-1.1194889185450001</v>
      </c>
      <c r="AH3312">
        <v>27.748292754513798</v>
      </c>
      <c r="AI3312">
        <v>92.3095421410884</v>
      </c>
      <c r="AJ3312">
        <v>88.519684709097803</v>
      </c>
      <c r="AK3312">
        <v>27.780122436956699</v>
      </c>
      <c r="AL3312">
        <v>95.629601586024407</v>
      </c>
      <c r="AM3312">
        <v>89.416022257878794</v>
      </c>
      <c r="AN3312">
        <v>1.00000003963331</v>
      </c>
    </row>
    <row r="3313" spans="1:40" x14ac:dyDescent="0.25">
      <c r="A3313" t="str">
        <f>"20190303154833181"</f>
        <v>20190303154833181</v>
      </c>
      <c r="B3313" t="str">
        <f>"1551599313173926"</f>
        <v>1551599313173926</v>
      </c>
      <c r="C3313" t="s">
        <v>40</v>
      </c>
      <c r="D3313">
        <v>5.4769540000000001</v>
      </c>
      <c r="E3313">
        <v>0.50619970000000003</v>
      </c>
      <c r="F3313" t="s">
        <v>54</v>
      </c>
      <c r="G3313">
        <v>-425.63959999999997</v>
      </c>
      <c r="H3313" s="1">
        <v>2.9223360000000001E-6</v>
      </c>
      <c r="I3313">
        <v>215.09540000000001</v>
      </c>
      <c r="J3313">
        <v>-452.34140000000002</v>
      </c>
      <c r="K3313">
        <v>1.1194539999999999</v>
      </c>
      <c r="L3313">
        <v>215.22309999999999</v>
      </c>
      <c r="M3313">
        <v>0.99978509999999998</v>
      </c>
      <c r="N3313">
        <v>-4.2592589999999996E-3</v>
      </c>
      <c r="O3313">
        <v>2.0290720000000002E-2</v>
      </c>
      <c r="P3313">
        <v>0.9946393</v>
      </c>
      <c r="Q3313">
        <v>-0.1029159</v>
      </c>
      <c r="R3313">
        <v>1.005608E-2</v>
      </c>
      <c r="S3313">
        <v>3.0033259999999999</v>
      </c>
      <c r="T3313">
        <v>-0.1249239</v>
      </c>
      <c r="U3313">
        <v>-1.3809200000000001E-2</v>
      </c>
      <c r="V3313">
        <v>1.0060070000000001E-2</v>
      </c>
      <c r="W3313">
        <v>-9.8685560000000005E-2</v>
      </c>
      <c r="X3313">
        <v>0.99506779999999995</v>
      </c>
      <c r="Y3313">
        <v>2.484985E-2</v>
      </c>
      <c r="Z3313">
        <v>-1.3267379999999901E-3</v>
      </c>
      <c r="AA3313">
        <v>0.99969030000000003</v>
      </c>
      <c r="AB3313">
        <v>20</v>
      </c>
      <c r="AC3313">
        <v>26.701799999999999</v>
      </c>
      <c r="AD3313">
        <v>-1.1194510776639901</v>
      </c>
      <c r="AE3313">
        <v>-0.127699999999975</v>
      </c>
      <c r="AF3313">
        <v>0.66830273676491403</v>
      </c>
      <c r="AG3313">
        <v>-1.1194510776639901</v>
      </c>
      <c r="AH3313">
        <v>26.646876980363501</v>
      </c>
      <c r="AI3313">
        <v>92.404859741530103</v>
      </c>
      <c r="AJ3313">
        <v>88.563325041038198</v>
      </c>
      <c r="AK3313">
        <v>26.678752820734999</v>
      </c>
      <c r="AL3313">
        <v>95.663484289109903</v>
      </c>
      <c r="AM3313">
        <v>89.420763172389101</v>
      </c>
      <c r="AN3313">
        <v>0.99999998567887904</v>
      </c>
    </row>
    <row r="3314" spans="1:40" x14ac:dyDescent="0.25">
      <c r="A3314" t="str">
        <f>"20190303154833202"</f>
        <v>20190303154833202</v>
      </c>
      <c r="B3314" t="str">
        <f>"1551599313194422"</f>
        <v>1551599313194422</v>
      </c>
      <c r="C3314" t="s">
        <v>40</v>
      </c>
      <c r="D3314">
        <v>5.5195400000000001</v>
      </c>
      <c r="E3314">
        <v>0.50642410000000004</v>
      </c>
      <c r="F3314" t="s">
        <v>54</v>
      </c>
      <c r="G3314">
        <v>-426.13459999999998</v>
      </c>
      <c r="H3314" s="1">
        <v>2.8352259999999998E-6</v>
      </c>
      <c r="I3314">
        <v>215.08750000000001</v>
      </c>
      <c r="J3314">
        <v>-452.1474</v>
      </c>
      <c r="K3314">
        <v>1.1194189999999999</v>
      </c>
      <c r="L3314">
        <v>215.22649999999999</v>
      </c>
      <c r="M3314">
        <v>0.99979419999999997</v>
      </c>
      <c r="N3314">
        <v>-4.2454140000000003E-3</v>
      </c>
      <c r="O3314">
        <v>1.983714E-2</v>
      </c>
      <c r="P3314">
        <v>0.99462099999999998</v>
      </c>
      <c r="Q3314">
        <v>-0.1031841</v>
      </c>
      <c r="R3314">
        <v>9.0787880000000008E-3</v>
      </c>
      <c r="S3314">
        <v>3.0030519999999998</v>
      </c>
      <c r="T3314">
        <v>-0.12827849999999999</v>
      </c>
      <c r="U3314">
        <v>-1.5533450000000001E-2</v>
      </c>
      <c r="V3314">
        <v>1.057933E-2</v>
      </c>
      <c r="W3314">
        <v>-9.8968650000000005E-2</v>
      </c>
      <c r="X3314">
        <v>0.99503430000000004</v>
      </c>
      <c r="Y3314">
        <v>2.4968819999999999E-2</v>
      </c>
      <c r="Z3314">
        <v>-1.3488230000000001E-3</v>
      </c>
      <c r="AA3314">
        <v>0.99968729999999995</v>
      </c>
      <c r="AB3314">
        <v>20</v>
      </c>
      <c r="AC3314">
        <v>26.012799999999999</v>
      </c>
      <c r="AD3314">
        <v>-1.119416164774</v>
      </c>
      <c r="AE3314">
        <v>-0.138999999999981</v>
      </c>
      <c r="AF3314">
        <v>0.653786170998371</v>
      </c>
      <c r="AG3314">
        <v>-1.119416164774</v>
      </c>
      <c r="AH3314">
        <v>25.956856660694001</v>
      </c>
      <c r="AI3314">
        <v>92.468627356454405</v>
      </c>
      <c r="AJ3314">
        <v>88.557172374089305</v>
      </c>
      <c r="AK3314">
        <v>25.989208079723401</v>
      </c>
      <c r="AL3314">
        <v>95.679783936878906</v>
      </c>
      <c r="AM3314">
        <v>89.390847008558097</v>
      </c>
      <c r="AN3314">
        <v>0.99999998704128001</v>
      </c>
    </row>
    <row r="3315" spans="1:40" x14ac:dyDescent="0.25">
      <c r="A3315" t="str">
        <f>"20190303154833225"</f>
        <v>20190303154833225</v>
      </c>
      <c r="B3315" t="str">
        <f>"1551599313213945"</f>
        <v>1551599313213945</v>
      </c>
      <c r="C3315" t="s">
        <v>40</v>
      </c>
      <c r="D3315">
        <v>5.4732190000000003</v>
      </c>
      <c r="E3315">
        <v>0.50646720000000001</v>
      </c>
      <c r="F3315" t="s">
        <v>54</v>
      </c>
      <c r="G3315">
        <v>-426.4486</v>
      </c>
      <c r="H3315" s="1">
        <v>2.7827929999999999E-6</v>
      </c>
      <c r="I3315">
        <v>215.05009999999999</v>
      </c>
      <c r="J3315">
        <v>-451.9391</v>
      </c>
      <c r="K3315">
        <v>1.119399</v>
      </c>
      <c r="L3315">
        <v>215.23009999999999</v>
      </c>
      <c r="M3315">
        <v>0.99980440000000004</v>
      </c>
      <c r="N3315">
        <v>-4.2375549999999996E-3</v>
      </c>
      <c r="O3315">
        <v>1.932242E-2</v>
      </c>
      <c r="P3315">
        <v>0.99465729999999997</v>
      </c>
      <c r="Q3315">
        <v>-0.1029518</v>
      </c>
      <c r="R3315">
        <v>7.6130729999999997E-3</v>
      </c>
      <c r="S3315">
        <v>3.002869</v>
      </c>
      <c r="T3315">
        <v>-0.13080230000000001</v>
      </c>
      <c r="U3315">
        <v>-2.061462E-2</v>
      </c>
      <c r="V3315">
        <v>1.152918E-2</v>
      </c>
      <c r="W3315">
        <v>-9.8745349999999996E-2</v>
      </c>
      <c r="X3315">
        <v>0.99504599999999999</v>
      </c>
      <c r="Y3315">
        <v>2.614354E-2</v>
      </c>
      <c r="Z3315">
        <v>-1.3839270000000001E-3</v>
      </c>
      <c r="AA3315">
        <v>0.99965720000000002</v>
      </c>
      <c r="AB3315">
        <v>20</v>
      </c>
      <c r="AC3315">
        <v>25.490500000000001</v>
      </c>
      <c r="AD3315">
        <v>-1.119396217207</v>
      </c>
      <c r="AE3315">
        <v>-0.18000000000000599</v>
      </c>
      <c r="AF3315">
        <v>0.67121457942678098</v>
      </c>
      <c r="AG3315">
        <v>-1.119396217207</v>
      </c>
      <c r="AH3315">
        <v>25.433218354445</v>
      </c>
      <c r="AI3315">
        <v>92.519265591669907</v>
      </c>
      <c r="AJ3315">
        <v>88.488243322085907</v>
      </c>
      <c r="AK3315">
        <v>25.466687510699401</v>
      </c>
      <c r="AL3315">
        <v>95.666926428996703</v>
      </c>
      <c r="AM3315">
        <v>89.336167576949606</v>
      </c>
      <c r="AN3315">
        <v>1.00000005412704</v>
      </c>
    </row>
    <row r="3316" spans="1:40" x14ac:dyDescent="0.25">
      <c r="A3316" t="str">
        <f>"20190303154833249"</f>
        <v>20190303154833249</v>
      </c>
      <c r="B3316" t="str">
        <f>"1551599313244198"</f>
        <v>1551599313244198</v>
      </c>
      <c r="C3316" t="s">
        <v>40</v>
      </c>
      <c r="D3316">
        <v>5.4923520000000003</v>
      </c>
      <c r="E3316">
        <v>0.50652339999999996</v>
      </c>
      <c r="F3316" t="s">
        <v>54</v>
      </c>
      <c r="G3316">
        <v>-426.5292</v>
      </c>
      <c r="H3316" s="1">
        <v>2.7715309999999999E-6</v>
      </c>
      <c r="I3316">
        <v>215.0155</v>
      </c>
      <c r="J3316">
        <v>-451.72710000000001</v>
      </c>
      <c r="K3316">
        <v>1.1193789999999999</v>
      </c>
      <c r="L3316">
        <v>215.2336</v>
      </c>
      <c r="M3316">
        <v>0.99981469999999995</v>
      </c>
      <c r="N3316">
        <v>-4.2350319999999997E-3</v>
      </c>
      <c r="O3316">
        <v>1.8780740000000001E-2</v>
      </c>
      <c r="P3316">
        <v>0.99467430000000001</v>
      </c>
      <c r="Q3316">
        <v>-0.10291699999999999</v>
      </c>
      <c r="R3316">
        <v>5.6140959999999998E-3</v>
      </c>
      <c r="S3316">
        <v>3.0026250000000001</v>
      </c>
      <c r="T3316">
        <v>-0.13227649999999999</v>
      </c>
      <c r="U3316">
        <v>-2.5360110000000002E-2</v>
      </c>
      <c r="V3316">
        <v>1.298673E-2</v>
      </c>
      <c r="W3316">
        <v>-9.8714579999999996E-2</v>
      </c>
      <c r="X3316">
        <v>0.99503109999999995</v>
      </c>
      <c r="Y3316">
        <v>2.7180650000000001E-2</v>
      </c>
      <c r="Z3316">
        <v>-1.403411E-3</v>
      </c>
      <c r="AA3316">
        <v>0.99962960000000001</v>
      </c>
      <c r="AB3316">
        <v>20</v>
      </c>
      <c r="AC3316">
        <v>25.197900000000001</v>
      </c>
      <c r="AD3316">
        <v>-1.1193762284690001</v>
      </c>
      <c r="AE3316">
        <v>-0.21809999999999199</v>
      </c>
      <c r="AF3316">
        <v>0.68993951343635795</v>
      </c>
      <c r="AG3316">
        <v>-1.1193762284690001</v>
      </c>
      <c r="AH3316">
        <v>25.139751537234599</v>
      </c>
      <c r="AI3316">
        <v>92.548517943023</v>
      </c>
      <c r="AJ3316">
        <v>88.427959716480203</v>
      </c>
      <c r="AK3316">
        <v>25.174116211437301</v>
      </c>
      <c r="AL3316">
        <v>95.665154767451597</v>
      </c>
      <c r="AM3316">
        <v>89.252241891819295</v>
      </c>
      <c r="AN3316">
        <v>1.00000005671393</v>
      </c>
    </row>
    <row r="3317" spans="1:40" x14ac:dyDescent="0.25">
      <c r="A3317" t="str">
        <f>"20190303154833271"</f>
        <v>20190303154833271</v>
      </c>
      <c r="B3317" t="str">
        <f>"1551599313263718"</f>
        <v>1551599313263718</v>
      </c>
      <c r="C3317" t="s">
        <v>40</v>
      </c>
      <c r="D3317">
        <v>5.4827269999999997</v>
      </c>
      <c r="E3317">
        <v>0.50654509999999997</v>
      </c>
      <c r="F3317" t="s">
        <v>54</v>
      </c>
      <c r="G3317">
        <v>-426.93619999999999</v>
      </c>
      <c r="H3317" s="1">
        <v>2.7034389999999998E-6</v>
      </c>
      <c r="I3317">
        <v>214.96850000000001</v>
      </c>
      <c r="J3317">
        <v>-451.51130000000001</v>
      </c>
      <c r="K3317">
        <v>1.119373</v>
      </c>
      <c r="L3317">
        <v>215.23699999999999</v>
      </c>
      <c r="M3317">
        <v>0.99982499999999996</v>
      </c>
      <c r="N3317">
        <v>-4.2371980000000002E-3</v>
      </c>
      <c r="O3317">
        <v>1.821965E-2</v>
      </c>
      <c r="P3317">
        <v>0.99467989999999995</v>
      </c>
      <c r="Q3317">
        <v>-0.10295410000000001</v>
      </c>
      <c r="R3317">
        <v>3.520277E-3</v>
      </c>
      <c r="S3317">
        <v>3.0022579999999999</v>
      </c>
      <c r="T3317">
        <v>-0.1355605</v>
      </c>
      <c r="U3317">
        <v>-3.2104489999999999E-2</v>
      </c>
      <c r="V3317">
        <v>1.452119E-2</v>
      </c>
      <c r="W3317">
        <v>-9.8751099999999994E-2</v>
      </c>
      <c r="X3317">
        <v>0.99500619999999995</v>
      </c>
      <c r="Y3317">
        <v>2.8862430000000001E-2</v>
      </c>
      <c r="Z3317">
        <v>-1.4574929999999901E-3</v>
      </c>
      <c r="AA3317">
        <v>0.99958239999999998</v>
      </c>
      <c r="AB3317">
        <v>21</v>
      </c>
      <c r="AC3317">
        <v>24.575099999999999</v>
      </c>
      <c r="AD3317">
        <v>-1.119370296561</v>
      </c>
      <c r="AE3317">
        <v>-0.26849999999998803</v>
      </c>
      <c r="AF3317">
        <v>0.71472651225997996</v>
      </c>
      <c r="AG3317">
        <v>-1.119370296561</v>
      </c>
      <c r="AH3317">
        <v>24.5152726860549</v>
      </c>
      <c r="AI3317">
        <v>92.613207564983796</v>
      </c>
      <c r="AJ3317">
        <v>88.330052587925707</v>
      </c>
      <c r="AK3317">
        <v>24.551220310196001</v>
      </c>
      <c r="AL3317">
        <v>95.667257854626499</v>
      </c>
      <c r="AM3317">
        <v>89.163880748191303</v>
      </c>
      <c r="AN3317">
        <v>0.99999999137433204</v>
      </c>
    </row>
    <row r="3318" spans="1:40" x14ac:dyDescent="0.25">
      <c r="A3318" t="str">
        <f>"20190303154833292"</f>
        <v>20190303154833292</v>
      </c>
      <c r="B3318" t="str">
        <f>"1551599313284214"</f>
        <v>1551599313284214</v>
      </c>
      <c r="C3318" t="s">
        <v>40</v>
      </c>
      <c r="D3318">
        <v>5.4711379999999998</v>
      </c>
      <c r="E3318">
        <v>0.50648549999999903</v>
      </c>
      <c r="F3318" t="s">
        <v>54</v>
      </c>
      <c r="G3318">
        <v>-427.23899999999998</v>
      </c>
      <c r="H3318" s="1">
        <v>2.6536520000000001E-6</v>
      </c>
      <c r="I3318">
        <v>214.9237</v>
      </c>
      <c r="J3318">
        <v>-451.3211</v>
      </c>
      <c r="K3318">
        <v>1.11937</v>
      </c>
      <c r="L3318">
        <v>215.23990000000001</v>
      </c>
      <c r="M3318">
        <v>0.99983390000000005</v>
      </c>
      <c r="N3318">
        <v>-4.2422040000000003E-3</v>
      </c>
      <c r="O3318">
        <v>1.7722479999999999E-2</v>
      </c>
      <c r="P3318">
        <v>0.99470119999999895</v>
      </c>
      <c r="Q3318">
        <v>-0.10278569999999999</v>
      </c>
      <c r="R3318">
        <v>2.1436509999999999E-3</v>
      </c>
      <c r="S3318">
        <v>3.001862</v>
      </c>
      <c r="T3318">
        <v>-0.13843749999999999</v>
      </c>
      <c r="U3318">
        <v>-3.8742070000000003E-2</v>
      </c>
      <c r="V3318">
        <v>1.5403760000000001E-2</v>
      </c>
      <c r="W3318">
        <v>-9.8578360000000004E-2</v>
      </c>
      <c r="X3318">
        <v>0.99501010000000001</v>
      </c>
      <c r="Y3318">
        <v>3.0573070000000001E-2</v>
      </c>
      <c r="Z3318">
        <v>-1.511149E-3</v>
      </c>
      <c r="AA3318">
        <v>0.99953139999999996</v>
      </c>
      <c r="AB3318">
        <v>21</v>
      </c>
      <c r="AC3318">
        <v>24.082099999999901</v>
      </c>
      <c r="AD3318">
        <v>-1.1193673463480001</v>
      </c>
      <c r="AE3318">
        <v>-0.31620000000000897</v>
      </c>
      <c r="AF3318">
        <v>0.74134732011262405</v>
      </c>
      <c r="AG3318">
        <v>-1.1193673463480001</v>
      </c>
      <c r="AH3318">
        <v>24.020825485794301</v>
      </c>
      <c r="AI3318">
        <v>92.6667778103795</v>
      </c>
      <c r="AJ3318">
        <v>88.232259166563907</v>
      </c>
      <c r="AK3318">
        <v>24.058317400102801</v>
      </c>
      <c r="AL3318">
        <v>95.657311811454207</v>
      </c>
      <c r="AM3318">
        <v>89.1130743892152</v>
      </c>
      <c r="AN3318">
        <v>1.0000000339922099</v>
      </c>
    </row>
    <row r="3319" spans="1:40" x14ac:dyDescent="0.25">
      <c r="A3319" t="str">
        <f>"20190303154833313"</f>
        <v>20190303154833313</v>
      </c>
      <c r="B3319" t="str">
        <f>"1551599313304710"</f>
        <v>1551599313304710</v>
      </c>
      <c r="C3319" t="s">
        <v>40</v>
      </c>
      <c r="D3319">
        <v>5.5070639999999997</v>
      </c>
      <c r="E3319">
        <v>0.50655689999999998</v>
      </c>
      <c r="F3319" t="s">
        <v>54</v>
      </c>
      <c r="G3319">
        <v>-427.20940000000002</v>
      </c>
      <c r="H3319" s="1">
        <v>2.660975E-6</v>
      </c>
      <c r="I3319">
        <v>214.9</v>
      </c>
      <c r="J3319">
        <v>-451.11419999999998</v>
      </c>
      <c r="K3319">
        <v>1.119367</v>
      </c>
      <c r="L3319">
        <v>215.24299999999999</v>
      </c>
      <c r="M3319">
        <v>0.9998435</v>
      </c>
      <c r="N3319">
        <v>-4.2504370000000001E-3</v>
      </c>
      <c r="O3319">
        <v>1.71824E-2</v>
      </c>
      <c r="P3319">
        <v>0.99471799999999999</v>
      </c>
      <c r="Q3319">
        <v>-0.102629</v>
      </c>
      <c r="R3319">
        <v>1.8797429999999999E-3</v>
      </c>
      <c r="S3319">
        <v>3.0016780000000001</v>
      </c>
      <c r="T3319">
        <v>-0.13935040000000001</v>
      </c>
      <c r="U3319">
        <v>-4.2312620000000002E-2</v>
      </c>
      <c r="V3319">
        <v>1.513156E-2</v>
      </c>
      <c r="W3319">
        <v>-9.8412990000000006E-2</v>
      </c>
      <c r="X3319">
        <v>0.99503059999999999</v>
      </c>
      <c r="Y3319">
        <v>3.122171E-2</v>
      </c>
      <c r="Z3319">
        <v>-1.5149009999999999E-3</v>
      </c>
      <c r="AA3319">
        <v>0.99951140000000005</v>
      </c>
      <c r="AB3319">
        <v>21</v>
      </c>
      <c r="AC3319">
        <v>23.904799999999899</v>
      </c>
      <c r="AD3319">
        <v>-1.1193643390250001</v>
      </c>
      <c r="AE3319">
        <v>-0.34299999999998898</v>
      </c>
      <c r="AF3319">
        <v>0.75204619402514195</v>
      </c>
      <c r="AG3319">
        <v>-1.1193643390250001</v>
      </c>
      <c r="AH3319">
        <v>23.843108058292</v>
      </c>
      <c r="AI3319">
        <v>92.6865619713694</v>
      </c>
      <c r="AJ3319">
        <v>88.1934069965845</v>
      </c>
      <c r="AK3319">
        <v>23.881213367013402</v>
      </c>
      <c r="AL3319">
        <v>95.647790772791495</v>
      </c>
      <c r="AM3319">
        <v>89.128762770244904</v>
      </c>
      <c r="AN3319">
        <v>0.99999998782256605</v>
      </c>
    </row>
    <row r="3320" spans="1:40" x14ac:dyDescent="0.25">
      <c r="A3320" t="str">
        <f>"20190303154833337"</f>
        <v>20190303154833337</v>
      </c>
      <c r="B3320" t="str">
        <f>"1551599313333990"</f>
        <v>1551599313333990</v>
      </c>
      <c r="C3320" t="s">
        <v>40</v>
      </c>
      <c r="D3320">
        <v>5.459721</v>
      </c>
      <c r="E3320">
        <v>0.50652299999999995</v>
      </c>
      <c r="F3320" t="s">
        <v>54</v>
      </c>
      <c r="G3320">
        <v>-427.0575</v>
      </c>
      <c r="H3320" s="1">
        <v>2.688379E-6</v>
      </c>
      <c r="I3320">
        <v>214.8947</v>
      </c>
      <c r="J3320">
        <v>-450.88659999999999</v>
      </c>
      <c r="K3320">
        <v>1.119362</v>
      </c>
      <c r="L3320">
        <v>215.24619999999999</v>
      </c>
      <c r="M3320">
        <v>0.99985329999999994</v>
      </c>
      <c r="N3320">
        <v>-4.2621610000000004E-3</v>
      </c>
      <c r="O3320">
        <v>1.6593440000000001E-2</v>
      </c>
      <c r="P3320">
        <v>0.99473900000000004</v>
      </c>
      <c r="Q3320">
        <v>-0.10242800000000001</v>
      </c>
      <c r="R3320">
        <v>1.733046E-3</v>
      </c>
      <c r="S3320">
        <v>3.001617</v>
      </c>
      <c r="T3320">
        <v>-0.13966609999999999</v>
      </c>
      <c r="U3320">
        <v>-4.3457030000000001E-2</v>
      </c>
      <c r="V3320">
        <v>1.4693609999999999E-2</v>
      </c>
      <c r="W3320">
        <v>-9.8199759999999997E-2</v>
      </c>
      <c r="X3320">
        <v>0.9950582</v>
      </c>
      <c r="Y3320">
        <v>3.1014779999999999E-2</v>
      </c>
      <c r="Z3320">
        <v>-1.4882230000000001E-3</v>
      </c>
      <c r="AA3320">
        <v>0.99951780000000001</v>
      </c>
      <c r="AB3320">
        <v>21</v>
      </c>
      <c r="AC3320">
        <v>23.829099999999901</v>
      </c>
      <c r="AD3320">
        <v>-1.1193593116210001</v>
      </c>
      <c r="AE3320">
        <v>-0.35149999999998699</v>
      </c>
      <c r="AF3320">
        <v>0.74521787081293001</v>
      </c>
      <c r="AG3320">
        <v>-1.1193593116210001</v>
      </c>
      <c r="AH3320">
        <v>23.767552400284899</v>
      </c>
      <c r="AI3320">
        <v>92.695093548344403</v>
      </c>
      <c r="AJ3320">
        <v>88.2041123012892</v>
      </c>
      <c r="AK3320">
        <v>23.805563678345901</v>
      </c>
      <c r="AL3320">
        <v>95.635514295308596</v>
      </c>
      <c r="AM3320">
        <v>89.153998574676905</v>
      </c>
      <c r="AN3320">
        <v>0.99999995821306398</v>
      </c>
    </row>
    <row r="3321" spans="1:40" x14ac:dyDescent="0.25">
      <c r="A3321" t="str">
        <f>"20190303154833358"</f>
        <v>20190303154833358</v>
      </c>
      <c r="B3321" t="str">
        <f>"1551599313354486"</f>
        <v>1551599313354486</v>
      </c>
      <c r="C3321" t="s">
        <v>40</v>
      </c>
      <c r="D3321">
        <v>5.5489930000000003</v>
      </c>
      <c r="E3321">
        <v>0.50722479999999903</v>
      </c>
      <c r="F3321" t="s">
        <v>54</v>
      </c>
      <c r="G3321">
        <v>-427.1481</v>
      </c>
      <c r="H3321" s="1">
        <v>2.6716890000000001E-6</v>
      </c>
      <c r="I3321">
        <v>214.90180000000001</v>
      </c>
      <c r="J3321">
        <v>-450.68669999999997</v>
      </c>
      <c r="K3321">
        <v>1.119359</v>
      </c>
      <c r="L3321">
        <v>215.249</v>
      </c>
      <c r="M3321">
        <v>0.99986149999999996</v>
      </c>
      <c r="N3321">
        <v>-4.2766119999999999E-3</v>
      </c>
      <c r="O3321">
        <v>1.608267E-2</v>
      </c>
      <c r="P3321">
        <v>0.99470950000000002</v>
      </c>
      <c r="Q3321">
        <v>-0.1027188</v>
      </c>
      <c r="R3321">
        <v>1.3959070000000001E-3</v>
      </c>
      <c r="S3321">
        <v>3.0013429999999999</v>
      </c>
      <c r="T3321">
        <v>-0.14152479999999901</v>
      </c>
      <c r="U3321">
        <v>-4.3548580000000003E-2</v>
      </c>
      <c r="V3321">
        <v>1.452232E-2</v>
      </c>
      <c r="W3321">
        <v>-9.8476069999999999E-2</v>
      </c>
      <c r="X3321">
        <v>0.99503339999999996</v>
      </c>
      <c r="Y3321">
        <v>3.0535639999999999E-2</v>
      </c>
      <c r="Z3321">
        <v>-1.473991E-3</v>
      </c>
      <c r="AA3321">
        <v>0.99953259999999999</v>
      </c>
      <c r="AB3321">
        <v>21</v>
      </c>
      <c r="AC3321">
        <v>23.538599999999899</v>
      </c>
      <c r="AD3321">
        <v>-1.119356328311</v>
      </c>
      <c r="AE3321">
        <v>-0.347200000000015</v>
      </c>
      <c r="AF3321">
        <v>0.72408501719659002</v>
      </c>
      <c r="AG3321">
        <v>-1.119356328311</v>
      </c>
      <c r="AH3321">
        <v>23.476892775594301</v>
      </c>
      <c r="AI3321">
        <v>92.728446567285204</v>
      </c>
      <c r="AJ3321">
        <v>88.233417494601696</v>
      </c>
      <c r="AK3321">
        <v>23.5147135236348</v>
      </c>
      <c r="AL3321">
        <v>95.651422843106403</v>
      </c>
      <c r="AM3321">
        <v>89.163838547368101</v>
      </c>
      <c r="AN3321">
        <v>0.99999995062819202</v>
      </c>
    </row>
    <row r="3322" spans="1:40" x14ac:dyDescent="0.25">
      <c r="A3322" t="str">
        <f>"20190303154833382"</f>
        <v>20190303154833382</v>
      </c>
      <c r="B3322" t="str">
        <f>"1551599313374007"</f>
        <v>1551599313374007</v>
      </c>
      <c r="C3322" t="s">
        <v>40</v>
      </c>
      <c r="D3322">
        <v>5.5617519999999896</v>
      </c>
      <c r="E3322">
        <v>0.5078532</v>
      </c>
      <c r="F3322" t="s">
        <v>54</v>
      </c>
      <c r="G3322">
        <v>-427.48509999999999</v>
      </c>
      <c r="H3322" s="1">
        <v>2.6156509999999999E-6</v>
      </c>
      <c r="I3322">
        <v>214.85900000000001</v>
      </c>
      <c r="J3322">
        <v>-450.46230000000003</v>
      </c>
      <c r="K3322">
        <v>1.1193599999999999</v>
      </c>
      <c r="L3322">
        <v>215.25190000000001</v>
      </c>
      <c r="M3322">
        <v>0.9998705</v>
      </c>
      <c r="N3322">
        <v>-4.2992780000000001E-3</v>
      </c>
      <c r="O3322">
        <v>1.551494E-2</v>
      </c>
      <c r="P3322">
        <v>0.99477289999999996</v>
      </c>
      <c r="Q3322">
        <v>-0.1021027</v>
      </c>
      <c r="R3322">
        <v>1.546604E-3</v>
      </c>
      <c r="S3322">
        <v>3.0010680000000001</v>
      </c>
      <c r="T3322">
        <v>-0.1447859</v>
      </c>
      <c r="U3322">
        <v>-5.044556E-2</v>
      </c>
      <c r="V3322">
        <v>1.380876E-2</v>
      </c>
      <c r="W3322">
        <v>-9.7836480000000003E-2</v>
      </c>
      <c r="X3322">
        <v>0.99510670000000001</v>
      </c>
      <c r="Y3322">
        <v>3.2261869999999998E-2</v>
      </c>
      <c r="Z3322">
        <v>-1.5284929999999999E-3</v>
      </c>
      <c r="AA3322">
        <v>0.99947830000000004</v>
      </c>
      <c r="AB3322">
        <v>21</v>
      </c>
      <c r="AC3322">
        <v>22.9772</v>
      </c>
      <c r="AD3322">
        <v>-1.1193573843489999</v>
      </c>
      <c r="AE3322">
        <v>-0.39289999999999697</v>
      </c>
      <c r="AF3322">
        <v>0.747572187646112</v>
      </c>
      <c r="AG3322">
        <v>-1.1193573843489999</v>
      </c>
      <c r="AH3322">
        <v>22.913973775754101</v>
      </c>
      <c r="AI3322">
        <v>92.795215153727199</v>
      </c>
      <c r="AJ3322">
        <v>88.131378508276001</v>
      </c>
      <c r="AK3322">
        <v>22.953475103469302</v>
      </c>
      <c r="AL3322">
        <v>95.614598925485595</v>
      </c>
      <c r="AM3322">
        <v>89.204976822819802</v>
      </c>
      <c r="AN3322">
        <v>1.0000000015282</v>
      </c>
    </row>
    <row r="3323" spans="1:40" x14ac:dyDescent="0.25">
      <c r="A3323" t="str">
        <f>"20190303154833403"</f>
        <v>20190303154833403</v>
      </c>
      <c r="B3323" t="str">
        <f>"1551599313394502"</f>
        <v>1551599313394502</v>
      </c>
      <c r="C3323" t="s">
        <v>40</v>
      </c>
      <c r="D3323">
        <v>5.5361289999999999</v>
      </c>
      <c r="E3323">
        <v>0.50840529999999995</v>
      </c>
      <c r="F3323" t="s">
        <v>54</v>
      </c>
      <c r="G3323">
        <v>-427.82369999999997</v>
      </c>
      <c r="H3323" s="1">
        <v>2.5575300000000001E-6</v>
      </c>
      <c r="I3323">
        <v>214.83680000000001</v>
      </c>
      <c r="J3323">
        <v>-450.25639999999999</v>
      </c>
      <c r="K3323">
        <v>1.1193610000000001</v>
      </c>
      <c r="L3323">
        <v>215.25460000000001</v>
      </c>
      <c r="M3323">
        <v>0.99987820000000005</v>
      </c>
      <c r="N3323">
        <v>-4.3247540000000001E-3</v>
      </c>
      <c r="O3323">
        <v>1.499876E-2</v>
      </c>
      <c r="P3323">
        <v>0.994838</v>
      </c>
      <c r="Q3323">
        <v>-0.1014603</v>
      </c>
      <c r="R3323">
        <v>1.8233329999999999E-3</v>
      </c>
      <c r="S3323">
        <v>3.00061</v>
      </c>
      <c r="T3323">
        <v>-0.14836429999999901</v>
      </c>
      <c r="U3323">
        <v>-5.502319E-2</v>
      </c>
      <c r="V3323">
        <v>1.301979E-2</v>
      </c>
      <c r="W3323">
        <v>-9.7167809999999993E-2</v>
      </c>
      <c r="X3323">
        <v>0.99518289999999998</v>
      </c>
      <c r="Y3323">
        <v>3.3269119999999999E-2</v>
      </c>
      <c r="Z3323">
        <v>-1.570189E-3</v>
      </c>
      <c r="AA3323">
        <v>0.99944520000000003</v>
      </c>
      <c r="AB3323">
        <v>21</v>
      </c>
      <c r="AC3323">
        <v>22.432700000000001</v>
      </c>
      <c r="AD3323">
        <v>-1.11935844247</v>
      </c>
      <c r="AE3323">
        <v>-0.41779999999999901</v>
      </c>
      <c r="AF3323">
        <v>0.75234622944818297</v>
      </c>
      <c r="AG3323">
        <v>-1.11935844247</v>
      </c>
      <c r="AH3323">
        <v>22.368235503823801</v>
      </c>
      <c r="AI3323">
        <v>92.863207645140406</v>
      </c>
      <c r="AJ3323">
        <v>88.073606675853796</v>
      </c>
      <c r="AK3323">
        <v>22.408858688612799</v>
      </c>
      <c r="AL3323">
        <v>95.576103258861096</v>
      </c>
      <c r="AM3323">
        <v>89.250452895703802</v>
      </c>
      <c r="AN3323">
        <v>1.0000000513421201</v>
      </c>
    </row>
    <row r="3324" spans="1:40" x14ac:dyDescent="0.25">
      <c r="A3324" t="str">
        <f>"20190303154833426"</f>
        <v>20190303154833426</v>
      </c>
      <c r="B3324" t="str">
        <f>"1551599313414022"</f>
        <v>1551599313414022</v>
      </c>
      <c r="C3324" t="s">
        <v>40</v>
      </c>
      <c r="D3324">
        <v>5.5375040000000002</v>
      </c>
      <c r="E3324">
        <v>0.50897510000000001</v>
      </c>
      <c r="F3324" t="s">
        <v>54</v>
      </c>
      <c r="G3324">
        <v>-427.99900000000002</v>
      </c>
      <c r="H3324" s="1">
        <v>2.5280190000000001E-6</v>
      </c>
      <c r="I3324">
        <v>214.8186</v>
      </c>
      <c r="J3324">
        <v>-450.03280000000001</v>
      </c>
      <c r="K3324">
        <v>1.1193610000000001</v>
      </c>
      <c r="L3324">
        <v>215.25729999999999</v>
      </c>
      <c r="M3324">
        <v>0.99988630000000001</v>
      </c>
      <c r="N3324">
        <v>-4.3546110000000004E-3</v>
      </c>
      <c r="O3324">
        <v>1.444178E-2</v>
      </c>
      <c r="P3324">
        <v>0.99493810000000005</v>
      </c>
      <c r="Q3324">
        <v>-0.10047</v>
      </c>
      <c r="R3324">
        <v>2.016337E-3</v>
      </c>
      <c r="S3324">
        <v>3.0002140000000002</v>
      </c>
      <c r="T3324">
        <v>-0.15088550000000001</v>
      </c>
      <c r="U3324">
        <v>-5.8761599999999997E-2</v>
      </c>
      <c r="V3324">
        <v>1.2274490000000001E-2</v>
      </c>
      <c r="W3324">
        <v>-9.6146819999999994E-2</v>
      </c>
      <c r="X3324">
        <v>0.9952915</v>
      </c>
      <c r="Y3324">
        <v>3.3957309999999997E-2</v>
      </c>
      <c r="Z3324">
        <v>-1.5901890000000001E-3</v>
      </c>
      <c r="AA3324">
        <v>0.99942200000000003</v>
      </c>
      <c r="AB3324">
        <v>22</v>
      </c>
      <c r="AC3324">
        <v>22.0337999999999</v>
      </c>
      <c r="AD3324">
        <v>-1.1193584719809999</v>
      </c>
      <c r="AE3324">
        <v>-0.43869999999998199</v>
      </c>
      <c r="AF3324">
        <v>0.75491699371138699</v>
      </c>
      <c r="AG3324">
        <v>-1.1193584719809999</v>
      </c>
      <c r="AH3324">
        <v>21.9684919294106</v>
      </c>
      <c r="AI3324">
        <v>92.915146166920707</v>
      </c>
      <c r="AJ3324">
        <v>88.031883828526205</v>
      </c>
      <c r="AK3324">
        <v>22.009940951960001</v>
      </c>
      <c r="AL3324">
        <v>95.517329809003797</v>
      </c>
      <c r="AM3324">
        <v>89.293432304313797</v>
      </c>
      <c r="AN3324">
        <v>1.0000000220365599</v>
      </c>
    </row>
    <row r="3325" spans="1:40" x14ac:dyDescent="0.25">
      <c r="A3325" t="str">
        <f>"20190303154833449"</f>
        <v>20190303154833449</v>
      </c>
      <c r="B3325" t="str">
        <f>"1551599313444278"</f>
        <v>1551599313444278</v>
      </c>
      <c r="C3325" t="s">
        <v>40</v>
      </c>
      <c r="D3325">
        <v>5.5220649999999996</v>
      </c>
      <c r="E3325">
        <v>0.50977899999999998</v>
      </c>
      <c r="F3325" t="s">
        <v>54</v>
      </c>
      <c r="G3325">
        <v>-427.9622</v>
      </c>
      <c r="H3325" s="1">
        <v>2.5365920000000002E-6</v>
      </c>
      <c r="I3325">
        <v>214.79519999999999</v>
      </c>
      <c r="J3325">
        <v>-449.8107</v>
      </c>
      <c r="K3325">
        <v>1.1193630000000001</v>
      </c>
      <c r="L3325">
        <v>215.25989999999999</v>
      </c>
      <c r="M3325">
        <v>0.99989399999999995</v>
      </c>
      <c r="N3325">
        <v>-4.3863749999999996E-3</v>
      </c>
      <c r="O3325">
        <v>1.3889449999999999E-2</v>
      </c>
      <c r="P3325">
        <v>0.99496169999999995</v>
      </c>
      <c r="Q3325">
        <v>-0.1002315</v>
      </c>
      <c r="R3325">
        <v>2.2243100000000002E-3</v>
      </c>
      <c r="S3325">
        <v>3</v>
      </c>
      <c r="T3325">
        <v>-0.1521516</v>
      </c>
      <c r="U3325">
        <v>-6.2805180000000002E-2</v>
      </c>
      <c r="V3325">
        <v>1.1517080000000001E-2</v>
      </c>
      <c r="W3325">
        <v>-9.5875989999999994E-2</v>
      </c>
      <c r="X3325">
        <v>0.99532659999999995</v>
      </c>
      <c r="Y3325">
        <v>3.4751589999999999E-2</v>
      </c>
      <c r="Z3325">
        <v>-1.5998989999999999E-3</v>
      </c>
      <c r="AA3325">
        <v>0.99939469999999997</v>
      </c>
      <c r="AB3325">
        <v>22</v>
      </c>
      <c r="AC3325">
        <v>21.848500000000001</v>
      </c>
      <c r="AD3325">
        <v>-1.1193604634080001</v>
      </c>
      <c r="AE3325">
        <v>-0.46469999999999301</v>
      </c>
      <c r="AF3325">
        <v>0.76611173202919003</v>
      </c>
      <c r="AG3325">
        <v>-1.1193604634080001</v>
      </c>
      <c r="AH3325">
        <v>21.782788228170102</v>
      </c>
      <c r="AI3325">
        <v>92.939878090720796</v>
      </c>
      <c r="AJ3325">
        <v>87.9857085787052</v>
      </c>
      <c r="AK3325">
        <v>21.824980138050599</v>
      </c>
      <c r="AL3325">
        <v>95.501740800981196</v>
      </c>
      <c r="AM3325">
        <v>89.3370511469642</v>
      </c>
      <c r="AN3325">
        <v>0.99999994462888098</v>
      </c>
    </row>
    <row r="3326" spans="1:40" x14ac:dyDescent="0.25">
      <c r="A3326" t="str">
        <f>"20190303154833474"</f>
        <v>20190303154833474</v>
      </c>
      <c r="B3326" t="str">
        <f>"1551599313463798"</f>
        <v>1551599313463798</v>
      </c>
      <c r="C3326" t="s">
        <v>40</v>
      </c>
      <c r="D3326">
        <v>5.5778480000000004</v>
      </c>
      <c r="E3326">
        <v>0.51030540000000002</v>
      </c>
      <c r="F3326" t="s">
        <v>54</v>
      </c>
      <c r="G3326">
        <v>-428.38099999999997</v>
      </c>
      <c r="H3326" s="1">
        <v>2.464734E-6</v>
      </c>
      <c r="I3326">
        <v>214.76740000000001</v>
      </c>
      <c r="J3326">
        <v>-449.56560000000002</v>
      </c>
      <c r="K3326">
        <v>1.119354</v>
      </c>
      <c r="L3326">
        <v>215.26259999999999</v>
      </c>
      <c r="M3326">
        <v>0.99990210000000002</v>
      </c>
      <c r="N3326">
        <v>-4.4264919999999998E-3</v>
      </c>
      <c r="O3326">
        <v>1.3281070000000001E-2</v>
      </c>
      <c r="P3326">
        <v>0.99493529999999997</v>
      </c>
      <c r="Q3326">
        <v>-0.1005062</v>
      </c>
      <c r="R3326">
        <v>1.6644079999999901E-3</v>
      </c>
      <c r="S3326">
        <v>2.9995419999999999</v>
      </c>
      <c r="T3326">
        <v>-0.1566787</v>
      </c>
      <c r="U3326">
        <v>-6.8923949999999998E-2</v>
      </c>
      <c r="V3326">
        <v>1.1470340000000001E-2</v>
      </c>
      <c r="W3326">
        <v>-9.6110950000000001E-2</v>
      </c>
      <c r="X3326">
        <v>0.99530450000000004</v>
      </c>
      <c r="Y3326">
        <v>3.617911E-2</v>
      </c>
      <c r="Z3326">
        <v>-1.658699E-3</v>
      </c>
      <c r="AA3326">
        <v>0.99934389999999995</v>
      </c>
      <c r="AB3326">
        <v>22</v>
      </c>
      <c r="AC3326">
        <v>21.1846</v>
      </c>
      <c r="AD3326">
        <v>-1.119351535266</v>
      </c>
      <c r="AE3326">
        <v>-0.49519999999998199</v>
      </c>
      <c r="AF3326">
        <v>0.77435251172742403</v>
      </c>
      <c r="AG3326">
        <v>-1.119351535266</v>
      </c>
      <c r="AH3326">
        <v>21.117230694113999</v>
      </c>
      <c r="AI3326">
        <v>93.0321778757028</v>
      </c>
      <c r="AJ3326">
        <v>87.899949021528002</v>
      </c>
      <c r="AK3326">
        <v>21.161049167287299</v>
      </c>
      <c r="AL3326">
        <v>95.515265359731899</v>
      </c>
      <c r="AM3326">
        <v>89.339726707855306</v>
      </c>
      <c r="AN3326">
        <v>0.99999996556493298</v>
      </c>
    </row>
    <row r="3327" spans="1:40" x14ac:dyDescent="0.25">
      <c r="A3327" t="str">
        <f>"20190303154833494"</f>
        <v>20190303154833494</v>
      </c>
      <c r="B3327" t="str">
        <f>"1551599313484294"</f>
        <v>1551599313484294</v>
      </c>
      <c r="C3327" t="s">
        <v>40</v>
      </c>
      <c r="D3327">
        <v>5.5657319999999997</v>
      </c>
      <c r="E3327">
        <v>0.51076719999999998</v>
      </c>
      <c r="F3327" t="s">
        <v>54</v>
      </c>
      <c r="G3327">
        <v>-428.61239999999998</v>
      </c>
      <c r="H3327" s="1">
        <v>2.4261329999999998E-6</v>
      </c>
      <c r="I3327">
        <v>214.73949999999999</v>
      </c>
      <c r="J3327">
        <v>-449.36660000000001</v>
      </c>
      <c r="K3327">
        <v>1.1193500000000001</v>
      </c>
      <c r="L3327">
        <v>215.2646</v>
      </c>
      <c r="M3327">
        <v>0.99990840000000003</v>
      </c>
      <c r="N3327">
        <v>-4.4622949999999998E-3</v>
      </c>
      <c r="O3327">
        <v>1.278701E-2</v>
      </c>
      <c r="P3327">
        <v>0.99495040000000001</v>
      </c>
      <c r="Q3327">
        <v>-0.10036390000000001</v>
      </c>
      <c r="R3327">
        <v>9.7673339999999995E-4</v>
      </c>
      <c r="S3327">
        <v>2.9992070000000002</v>
      </c>
      <c r="T3327">
        <v>-0.16022220000000001</v>
      </c>
      <c r="U3327">
        <v>-7.4874880000000005E-2</v>
      </c>
      <c r="V3327">
        <v>1.1666269999999999E-2</v>
      </c>
      <c r="W3327">
        <v>-9.5933210000000005E-2</v>
      </c>
      <c r="X3327">
        <v>0.99531939999999997</v>
      </c>
      <c r="Y3327">
        <v>3.766477E-2</v>
      </c>
      <c r="Z3327">
        <v>-1.714805E-3</v>
      </c>
      <c r="AA3327">
        <v>0.99928899999999998</v>
      </c>
      <c r="AB3327">
        <v>22</v>
      </c>
      <c r="AC3327">
        <v>20.754200000000001</v>
      </c>
      <c r="AD3327">
        <v>-1.119347573867</v>
      </c>
      <c r="AE3327">
        <v>-0.525100000000008</v>
      </c>
      <c r="AF3327">
        <v>0.78815270992199704</v>
      </c>
      <c r="AG3327">
        <v>-1.119347573867</v>
      </c>
      <c r="AH3327">
        <v>20.6856561300328</v>
      </c>
      <c r="AI3327">
        <v>93.095141758115105</v>
      </c>
      <c r="AJ3327">
        <v>87.818005361554299</v>
      </c>
      <c r="AK3327">
        <v>20.730906714739799</v>
      </c>
      <c r="AL3327">
        <v>95.505034167679099</v>
      </c>
      <c r="AM3327">
        <v>89.328459361350596</v>
      </c>
      <c r="AN3327">
        <v>0.99999999532648798</v>
      </c>
    </row>
    <row r="3328" spans="1:40" x14ac:dyDescent="0.25">
      <c r="A3328" t="str">
        <f>"20190303154833515"</f>
        <v>20190303154833515</v>
      </c>
      <c r="B3328" t="str">
        <f>"1551599313503818"</f>
        <v>1551599313503818</v>
      </c>
      <c r="C3328" t="s">
        <v>40</v>
      </c>
      <c r="D3328">
        <v>5.5722259999999997</v>
      </c>
      <c r="E3328">
        <v>0.51129230000000003</v>
      </c>
      <c r="F3328" t="s">
        <v>54</v>
      </c>
      <c r="G3328">
        <v>-428.59519999999998</v>
      </c>
      <c r="H3328" s="1">
        <v>2.4320409999999998E-6</v>
      </c>
      <c r="I3328">
        <v>214.70689999999999</v>
      </c>
      <c r="J3328">
        <v>-449.15660000000003</v>
      </c>
      <c r="K3328">
        <v>1.1193489999999999</v>
      </c>
      <c r="L3328">
        <v>215.26669999999999</v>
      </c>
      <c r="M3328">
        <v>0.99991459999999999</v>
      </c>
      <c r="N3328">
        <v>-4.5011820000000003E-3</v>
      </c>
      <c r="O3328">
        <v>1.226589E-2</v>
      </c>
      <c r="P3328">
        <v>0.99501090000000003</v>
      </c>
      <c r="Q3328">
        <v>-9.9765409999999999E-2</v>
      </c>
      <c r="R3328">
        <v>-3.3142049999999998E-4</v>
      </c>
      <c r="S3328">
        <v>2.9989620000000001</v>
      </c>
      <c r="T3328">
        <v>-0.16161049999999999</v>
      </c>
      <c r="U3328">
        <v>-8.0520629999999996E-2</v>
      </c>
      <c r="V3328">
        <v>1.245664E-2</v>
      </c>
      <c r="W3328">
        <v>-9.5296500000000006E-2</v>
      </c>
      <c r="X3328">
        <v>0.99537100000000001</v>
      </c>
      <c r="Y3328">
        <v>3.9023139999999998E-2</v>
      </c>
      <c r="Z3328">
        <v>-1.743662E-3</v>
      </c>
      <c r="AA3328">
        <v>0.99923680000000004</v>
      </c>
      <c r="AB3328">
        <v>22</v>
      </c>
      <c r="AC3328">
        <v>20.561399999999999</v>
      </c>
      <c r="AD3328">
        <v>-1.119346567959</v>
      </c>
      <c r="AE3328">
        <v>-0.55979999999999497</v>
      </c>
      <c r="AF3328">
        <v>0.80956684335492601</v>
      </c>
      <c r="AG3328">
        <v>-1.119346567959</v>
      </c>
      <c r="AH3328">
        <v>20.492300059359501</v>
      </c>
      <c r="AI3328">
        <v>93.124116051465407</v>
      </c>
      <c r="AJ3328">
        <v>87.737654892766201</v>
      </c>
      <c r="AK3328">
        <v>20.538809530639501</v>
      </c>
      <c r="AL3328">
        <v>95.468385385349194</v>
      </c>
      <c r="AM3328">
        <v>89.283005388783593</v>
      </c>
      <c r="AN3328">
        <v>1.0000000092166601</v>
      </c>
    </row>
    <row r="3329" spans="1:40" x14ac:dyDescent="0.25">
      <c r="A3329" t="str">
        <f>"20190303154833536"</f>
        <v>20190303154833536</v>
      </c>
      <c r="B3329" t="str">
        <f>"1551599313534071"</f>
        <v>1551599313534071</v>
      </c>
      <c r="C3329" t="s">
        <v>40</v>
      </c>
      <c r="D3329">
        <v>5.5547570000000004</v>
      </c>
      <c r="E3329">
        <v>0.51196600000000003</v>
      </c>
      <c r="F3329" t="s">
        <v>54</v>
      </c>
      <c r="G3329">
        <v>-428.11040000000003</v>
      </c>
      <c r="H3329" s="1">
        <v>2.523427E-6</v>
      </c>
      <c r="I3329">
        <v>214.64510000000001</v>
      </c>
      <c r="J3329">
        <v>-448.9348</v>
      </c>
      <c r="K3329">
        <v>1.1193519999999999</v>
      </c>
      <c r="L3329">
        <v>215.2688</v>
      </c>
      <c r="M3329">
        <v>0.99992110000000001</v>
      </c>
      <c r="N3329">
        <v>-4.5419479999999996E-3</v>
      </c>
      <c r="O3329">
        <v>1.1714779999999999E-2</v>
      </c>
      <c r="P3329">
        <v>0.99506870000000003</v>
      </c>
      <c r="Q3329">
        <v>-9.9177550000000003E-2</v>
      </c>
      <c r="R3329">
        <v>-1.446913E-3</v>
      </c>
      <c r="S3329">
        <v>2.9990230000000002</v>
      </c>
      <c r="T3329">
        <v>-0.159503799999999</v>
      </c>
      <c r="U3329">
        <v>-8.857727E-2</v>
      </c>
      <c r="V3329">
        <v>1.3023949999999999E-2</v>
      </c>
      <c r="W3329">
        <v>-9.4668379999999996E-2</v>
      </c>
      <c r="X3329">
        <v>0.99542370000000002</v>
      </c>
      <c r="Y3329">
        <v>4.1153349999999998E-2</v>
      </c>
      <c r="Z3329">
        <v>-1.7562490000000001E-3</v>
      </c>
      <c r="AA3329">
        <v>0.99915129999999996</v>
      </c>
      <c r="AB3329">
        <v>22</v>
      </c>
      <c r="AC3329">
        <v>20.824399999999901</v>
      </c>
      <c r="AD3329">
        <v>-1.1193494765729901</v>
      </c>
      <c r="AE3329">
        <v>-0.62369999999998504</v>
      </c>
      <c r="AF3329">
        <v>0.86511567012267698</v>
      </c>
      <c r="AG3329">
        <v>-1.1193494765729901</v>
      </c>
      <c r="AH3329">
        <v>20.755749427843998</v>
      </c>
      <c r="AI3329">
        <v>93.084275881262798</v>
      </c>
      <c r="AJ3329">
        <v>87.613249165645897</v>
      </c>
      <c r="AK3329">
        <v>20.803905947798398</v>
      </c>
      <c r="AL3329">
        <v>95.432233179710593</v>
      </c>
      <c r="AM3329">
        <v>89.250394790494596</v>
      </c>
      <c r="AN3329">
        <v>1.00000003398355</v>
      </c>
    </row>
    <row r="3330" spans="1:40" x14ac:dyDescent="0.25">
      <c r="A3330" t="str">
        <f>"20190303154833560"</f>
        <v>20190303154833560</v>
      </c>
      <c r="B3330" t="str">
        <f>"1551599313554566"</f>
        <v>1551599313554566</v>
      </c>
      <c r="C3330" t="s">
        <v>40</v>
      </c>
      <c r="D3330">
        <v>5.4339709999999997</v>
      </c>
      <c r="E3330">
        <v>0.51244319999999999</v>
      </c>
      <c r="F3330" t="s">
        <v>54</v>
      </c>
      <c r="G3330">
        <v>-428.24810000000002</v>
      </c>
      <c r="H3330" s="1">
        <v>2.503382E-6</v>
      </c>
      <c r="I3330">
        <v>214.595</v>
      </c>
      <c r="J3330">
        <v>-448.70139999999998</v>
      </c>
      <c r="K3330">
        <v>1.119346</v>
      </c>
      <c r="L3330">
        <v>215.27090000000001</v>
      </c>
      <c r="M3330">
        <v>0.99992760000000003</v>
      </c>
      <c r="N3330">
        <v>-4.584177E-3</v>
      </c>
      <c r="O3330">
        <v>1.1134689999999999E-2</v>
      </c>
      <c r="P3330">
        <v>0.99510259999999995</v>
      </c>
      <c r="Q3330">
        <v>-9.8807069999999997E-2</v>
      </c>
      <c r="R3330">
        <v>-2.8118729999999999E-3</v>
      </c>
      <c r="S3330">
        <v>2.9985659999999998</v>
      </c>
      <c r="T3330">
        <v>-0.16225139999999999</v>
      </c>
      <c r="U3330">
        <v>-9.7671510000000003E-2</v>
      </c>
      <c r="V3330">
        <v>1.381169E-2</v>
      </c>
      <c r="W3330">
        <v>-9.4256510000000002E-2</v>
      </c>
      <c r="X3330">
        <v>0.99545209999999995</v>
      </c>
      <c r="Y3330">
        <v>4.3599600000000002E-2</v>
      </c>
      <c r="Z3330">
        <v>-1.829364E-3</v>
      </c>
      <c r="AA3330">
        <v>0.99904740000000003</v>
      </c>
      <c r="AB3330">
        <v>22</v>
      </c>
      <c r="AC3330">
        <v>20.453299999999899</v>
      </c>
      <c r="AD3330">
        <v>-1.119343496618</v>
      </c>
      <c r="AE3330">
        <v>-0.67590000000001205</v>
      </c>
      <c r="AF3330">
        <v>0.900906332674828</v>
      </c>
      <c r="AG3330">
        <v>-1.119343496618</v>
      </c>
      <c r="AH3330">
        <v>20.3835235040081</v>
      </c>
      <c r="AI3330">
        <v>93.140131635803698</v>
      </c>
      <c r="AJ3330">
        <v>87.469301178404507</v>
      </c>
      <c r="AK3330">
        <v>20.434103663291101</v>
      </c>
      <c r="AL3330">
        <v>95.408529129956094</v>
      </c>
      <c r="AM3330">
        <v>89.205084031844393</v>
      </c>
      <c r="AN3330">
        <v>0.99999996792622203</v>
      </c>
    </row>
    <row r="3331" spans="1:40" x14ac:dyDescent="0.25">
      <c r="A3331" t="str">
        <f>"20190303154833716"</f>
        <v>20190303154833716</v>
      </c>
      <c r="B3331" t="str">
        <f>"1551599313714630"</f>
        <v>1551599313714630</v>
      </c>
      <c r="C3331" t="s">
        <v>40</v>
      </c>
      <c r="D3331">
        <v>5.5416299999999996</v>
      </c>
      <c r="E3331">
        <v>0.54205800000000004</v>
      </c>
      <c r="F3331" t="s">
        <v>54</v>
      </c>
      <c r="G3331">
        <v>-428.07089999999999</v>
      </c>
      <c r="H3331" s="1">
        <v>2.539162E-6</v>
      </c>
      <c r="I3331">
        <v>214.5454</v>
      </c>
      <c r="J3331">
        <v>-447.08940000000001</v>
      </c>
      <c r="K3331">
        <v>1.1193610000000001</v>
      </c>
      <c r="L3331">
        <v>215.2817</v>
      </c>
      <c r="M3331">
        <v>0.99996260000000003</v>
      </c>
      <c r="N3331">
        <v>-4.8394409999999999E-3</v>
      </c>
      <c r="O3331">
        <v>7.1715059999999898E-3</v>
      </c>
      <c r="P3331">
        <v>0.99538219999999999</v>
      </c>
      <c r="Q3331">
        <v>-9.5757369999999994E-2</v>
      </c>
      <c r="R3331">
        <v>-6.6996859999999998E-3</v>
      </c>
      <c r="S3331">
        <v>2.9983219999999999</v>
      </c>
      <c r="T3331">
        <v>-0.16267860000000001</v>
      </c>
      <c r="U3331">
        <v>-0.1054382</v>
      </c>
      <c r="V3331">
        <v>1.3757470000000001E-2</v>
      </c>
      <c r="W3331">
        <v>-9.0951699999999996E-2</v>
      </c>
      <c r="X3331">
        <v>0.99576030000000004</v>
      </c>
      <c r="Y3331">
        <v>4.2233949999999999E-2</v>
      </c>
      <c r="Z3331">
        <v>-1.6008820000000001E-3</v>
      </c>
      <c r="AA3331">
        <v>0.99910650000000001</v>
      </c>
      <c r="AB3331">
        <v>23</v>
      </c>
      <c r="AC3331">
        <v>19.0185</v>
      </c>
      <c r="AD3331">
        <v>-1.1193584608380001</v>
      </c>
      <c r="AE3331">
        <v>-0.73629999999999995</v>
      </c>
      <c r="AF3331">
        <v>0.86966587643771698</v>
      </c>
      <c r="AG3331">
        <v>-1.1193584608380001</v>
      </c>
      <c r="AH3331">
        <v>18.947194418161999</v>
      </c>
      <c r="AI3331">
        <v>93.377430933885293</v>
      </c>
      <c r="AJ3331">
        <v>87.3719994967812</v>
      </c>
      <c r="AK3331">
        <v>19.0001436420918</v>
      </c>
      <c r="AL3331">
        <v>95.218359904086697</v>
      </c>
      <c r="AM3331">
        <v>89.2084492429547</v>
      </c>
      <c r="AN3331">
        <v>1.0000000273848899</v>
      </c>
    </row>
    <row r="3332" spans="1:40" x14ac:dyDescent="0.25">
      <c r="A3332" t="str">
        <f>"20190303154833739"</f>
        <v>20190303154833739</v>
      </c>
      <c r="B3332" t="str">
        <f>"1551599313734151"</f>
        <v>1551599313734151</v>
      </c>
      <c r="C3332" t="s">
        <v>40</v>
      </c>
      <c r="D3332">
        <v>5.3569630000000004</v>
      </c>
      <c r="E3332">
        <v>0.54227069999999999</v>
      </c>
      <c r="F3332" t="s">
        <v>54</v>
      </c>
      <c r="G3332">
        <v>-416.03789999999998</v>
      </c>
      <c r="H3332" s="1">
        <v>3.5376979999999898E-6</v>
      </c>
      <c r="I3332">
        <v>211.6318</v>
      </c>
      <c r="J3332">
        <v>-446.85750000000002</v>
      </c>
      <c r="K3332">
        <v>1.1193690000000001</v>
      </c>
      <c r="L3332">
        <v>215.28280000000001</v>
      </c>
      <c r="M3332">
        <v>0.99996629999999997</v>
      </c>
      <c r="N3332">
        <v>-4.8718999999999898E-3</v>
      </c>
      <c r="O3332">
        <v>6.6252230000000004E-3</v>
      </c>
      <c r="P3332">
        <v>0.99543110000000001</v>
      </c>
      <c r="Q3332">
        <v>-9.525248E-2</v>
      </c>
      <c r="R3332">
        <v>-6.6468849999999999E-3</v>
      </c>
      <c r="S3332">
        <v>3.0011290000000002</v>
      </c>
      <c r="T3332">
        <v>-0.1081862</v>
      </c>
      <c r="U3332">
        <v>-0.35276790000000002</v>
      </c>
      <c r="V3332">
        <v>1.316257E-2</v>
      </c>
      <c r="W3332">
        <v>-9.0413590000000002E-2</v>
      </c>
      <c r="X3332">
        <v>0.99581730000000002</v>
      </c>
      <c r="Y3332">
        <v>0.1232259</v>
      </c>
      <c r="Z3332">
        <v>-2.719838E-3</v>
      </c>
      <c r="AA3332">
        <v>0.99237489999999995</v>
      </c>
      <c r="AB3332">
        <v>23</v>
      </c>
      <c r="AC3332">
        <v>30.819600000000001</v>
      </c>
      <c r="AD3332">
        <v>-1.119365462302</v>
      </c>
      <c r="AE3332">
        <v>-3.65100000000001</v>
      </c>
      <c r="AF3332">
        <v>3.8501004708221398</v>
      </c>
      <c r="AG3332">
        <v>-1.119365462302</v>
      </c>
      <c r="AH3332">
        <v>30.754726383255701</v>
      </c>
      <c r="AI3332">
        <v>92.068317722600199</v>
      </c>
      <c r="AJ3332">
        <v>82.864418756025103</v>
      </c>
      <c r="AK3332">
        <v>31.014987467070501</v>
      </c>
      <c r="AL3332">
        <v>95.187401148904996</v>
      </c>
      <c r="AM3332">
        <v>89.242716718249895</v>
      </c>
      <c r="AN3332">
        <v>0.99999998274249102</v>
      </c>
    </row>
    <row r="3333" spans="1:40" x14ac:dyDescent="0.25">
      <c r="A3333" t="str">
        <f>"20190303154833761"</f>
        <v>20190303154833761</v>
      </c>
      <c r="B3333" t="str">
        <f>"1551599313753671"</f>
        <v>1551599313753671</v>
      </c>
      <c r="C3333" t="s">
        <v>40</v>
      </c>
      <c r="D3333">
        <v>5.490278</v>
      </c>
      <c r="E3333">
        <v>0.54180309999999998</v>
      </c>
      <c r="F3333" t="s">
        <v>43</v>
      </c>
      <c r="G3333">
        <v>-313.17599999999999</v>
      </c>
      <c r="H3333">
        <v>-0.05</v>
      </c>
      <c r="I3333">
        <v>199.5942</v>
      </c>
      <c r="J3333">
        <v>-446.61970000000002</v>
      </c>
      <c r="K3333">
        <v>1.119375</v>
      </c>
      <c r="L3333">
        <v>215.28370000000001</v>
      </c>
      <c r="M3333">
        <v>0.99996949999999996</v>
      </c>
      <c r="N3333">
        <v>-4.904378E-3</v>
      </c>
      <c r="O3333">
        <v>6.0783549999999997E-3</v>
      </c>
      <c r="P3333">
        <v>0.99543709999999996</v>
      </c>
      <c r="Q3333">
        <v>-9.515229E-2</v>
      </c>
      <c r="R3333">
        <v>-7.1311250000000003E-3</v>
      </c>
      <c r="S3333">
        <v>3.0089109999999999</v>
      </c>
      <c r="T3333">
        <v>-2.6320219999999998E-2</v>
      </c>
      <c r="U3333">
        <v>-0.35311890000000001</v>
      </c>
      <c r="V3333">
        <v>1.3103719999999999E-2</v>
      </c>
      <c r="W3333">
        <v>-9.0280799999999994E-2</v>
      </c>
      <c r="X3333">
        <v>0.99583010000000005</v>
      </c>
      <c r="Y3333">
        <v>0.12258529999999999</v>
      </c>
      <c r="Z3333">
        <v>-8.5923580000000002E-4</v>
      </c>
      <c r="AA3333">
        <v>0.99245760000000005</v>
      </c>
      <c r="AB3333">
        <v>23</v>
      </c>
      <c r="AC3333">
        <v>133.44370000000001</v>
      </c>
      <c r="AD3333">
        <v>-1.1693750000000001</v>
      </c>
      <c r="AE3333">
        <v>-15.689500000000001</v>
      </c>
      <c r="AF3333">
        <v>16.499088381858801</v>
      </c>
      <c r="AG3333">
        <v>-1.1693750000000001</v>
      </c>
      <c r="AH3333">
        <v>133.33576788476901</v>
      </c>
      <c r="AI3333">
        <v>90.498676709675607</v>
      </c>
      <c r="AJ3333">
        <v>82.946025681133804</v>
      </c>
      <c r="AK3333">
        <v>134.35778486096001</v>
      </c>
      <c r="AL3333">
        <v>95.179761721260405</v>
      </c>
      <c r="AM3333">
        <v>89.246111837925</v>
      </c>
      <c r="AN3333">
        <v>0.99999995919624296</v>
      </c>
    </row>
    <row r="3334" spans="1:40" x14ac:dyDescent="0.25">
      <c r="A3334" t="str">
        <f>"20190303154833784"</f>
        <v>20190303154833784</v>
      </c>
      <c r="B3334" t="str">
        <f>"1551599313774167"</f>
        <v>1551599313774167</v>
      </c>
      <c r="C3334" t="s">
        <v>40</v>
      </c>
      <c r="D3334">
        <v>5.5259349999999996</v>
      </c>
      <c r="E3334">
        <v>0.53694010000000003</v>
      </c>
      <c r="F3334" t="s">
        <v>56</v>
      </c>
      <c r="G3334">
        <v>-256.33499999999998</v>
      </c>
      <c r="H3334">
        <v>1.587105</v>
      </c>
      <c r="I3334">
        <v>193.14869999999999</v>
      </c>
      <c r="J3334">
        <v>-446.375</v>
      </c>
      <c r="K3334">
        <v>1.1193869999999999</v>
      </c>
      <c r="L3334">
        <v>215.28460000000001</v>
      </c>
      <c r="M3334">
        <v>0.99997250000000004</v>
      </c>
      <c r="N3334">
        <v>-4.9368709999999998E-3</v>
      </c>
      <c r="O3334">
        <v>5.5326339999999998E-3</v>
      </c>
      <c r="P3334">
        <v>0.99551500000000004</v>
      </c>
      <c r="Q3334">
        <v>-9.4286079999999994E-2</v>
      </c>
      <c r="R3334">
        <v>-7.7442619999999896E-3</v>
      </c>
      <c r="S3334">
        <v>3.0119929999999999</v>
      </c>
      <c r="T3334">
        <v>7.40361199999999E-3</v>
      </c>
      <c r="U3334">
        <v>-0.35037230000000003</v>
      </c>
      <c r="V3334">
        <v>1.317638E-2</v>
      </c>
      <c r="W3334">
        <v>-8.938169E-2</v>
      </c>
      <c r="X3334">
        <v>0.99591030000000003</v>
      </c>
      <c r="Y3334">
        <v>0.1210407</v>
      </c>
      <c r="Z3334">
        <v>-1.107501E-4</v>
      </c>
      <c r="AA3334">
        <v>0.99264750000000002</v>
      </c>
      <c r="AB3334">
        <v>24</v>
      </c>
      <c r="AC3334">
        <v>190.04</v>
      </c>
      <c r="AD3334">
        <v>0.46771799999999902</v>
      </c>
      <c r="AE3334">
        <v>-22.135899999999999</v>
      </c>
      <c r="AF3334">
        <v>23.186857216647699</v>
      </c>
      <c r="AG3334">
        <v>0.46771799999999902</v>
      </c>
      <c r="AH3334">
        <v>189.91348505277799</v>
      </c>
      <c r="AI3334">
        <v>89.859932603413</v>
      </c>
      <c r="AJ3334">
        <v>83.039112576783097</v>
      </c>
      <c r="AK3334">
        <v>191.32428207784901</v>
      </c>
      <c r="AL3334">
        <v>95.128037102863402</v>
      </c>
      <c r="AM3334">
        <v>89.241993061476805</v>
      </c>
      <c r="AN3334">
        <v>1.0000000145716199</v>
      </c>
    </row>
    <row r="3335" spans="1:40" x14ac:dyDescent="0.25">
      <c r="A3335" t="str">
        <f>"20190303154833806"</f>
        <v>20190303154833806</v>
      </c>
      <c r="B3335" t="str">
        <f>"1551599313804423"</f>
        <v>1551599313804423</v>
      </c>
      <c r="C3335" t="s">
        <v>40</v>
      </c>
      <c r="D3335">
        <v>5.5334269999999997</v>
      </c>
      <c r="E3335">
        <v>0.53340489999999996</v>
      </c>
      <c r="F3335" t="s">
        <v>54</v>
      </c>
      <c r="G3335">
        <v>-297.16469999999998</v>
      </c>
      <c r="H3335" s="1">
        <v>4.5627829999999999E-6</v>
      </c>
      <c r="I3335">
        <v>199.70410000000001</v>
      </c>
      <c r="J3335">
        <v>-446.13560000000001</v>
      </c>
      <c r="K3335">
        <v>1.119402</v>
      </c>
      <c r="L3335">
        <v>215.28530000000001</v>
      </c>
      <c r="M3335">
        <v>0.99997530000000001</v>
      </c>
      <c r="N3335">
        <v>-4.9683610000000001E-3</v>
      </c>
      <c r="O3335">
        <v>5.0125450000000002E-3</v>
      </c>
      <c r="P3335">
        <v>0.99556299999999998</v>
      </c>
      <c r="Q3335">
        <v>-9.3702820000000006E-2</v>
      </c>
      <c r="R3335">
        <v>-8.6172719999999901E-3</v>
      </c>
      <c r="S3335">
        <v>3.0089419999999998</v>
      </c>
      <c r="T3335">
        <v>-2.257323E-2</v>
      </c>
      <c r="U3335">
        <v>-0.31419370000000002</v>
      </c>
      <c r="V3335">
        <v>1.3534010000000001E-2</v>
      </c>
      <c r="W3335">
        <v>-8.8766880000000006E-2</v>
      </c>
      <c r="X3335">
        <v>0.99596050000000003</v>
      </c>
      <c r="Y3335">
        <v>0.1088345</v>
      </c>
      <c r="Z3335">
        <v>-6.9090329999999998E-4</v>
      </c>
      <c r="AA3335">
        <v>0.99405960000000004</v>
      </c>
      <c r="AB3335">
        <v>24</v>
      </c>
      <c r="AC3335">
        <v>148.9709</v>
      </c>
      <c r="AD3335">
        <v>-1.1193974372169999</v>
      </c>
      <c r="AE3335">
        <v>-15.5811999999999</v>
      </c>
      <c r="AF3335">
        <v>16.326824763823801</v>
      </c>
      <c r="AG3335">
        <v>-1.1193974372169999</v>
      </c>
      <c r="AH3335">
        <v>148.882610610097</v>
      </c>
      <c r="AI3335">
        <v>90.4282122408665</v>
      </c>
      <c r="AJ3335">
        <v>83.741813874126905</v>
      </c>
      <c r="AK3335">
        <v>149.779337692383</v>
      </c>
      <c r="AL3335">
        <v>95.0926704588896</v>
      </c>
      <c r="AM3335">
        <v>89.221461164770304</v>
      </c>
      <c r="AN3335">
        <v>1.00000002298593</v>
      </c>
    </row>
    <row r="3336" spans="1:40" x14ac:dyDescent="0.25">
      <c r="A3336" t="str">
        <f>"20190303154833829"</f>
        <v>20190303154833829</v>
      </c>
      <c r="B3336" t="str">
        <f>"1551599313823942"</f>
        <v>1551599313823942</v>
      </c>
      <c r="C3336" t="s">
        <v>40</v>
      </c>
      <c r="D3336">
        <v>5.5486969999999998</v>
      </c>
      <c r="E3336">
        <v>0.53161610000000004</v>
      </c>
      <c r="F3336" t="s">
        <v>52</v>
      </c>
      <c r="G3336">
        <v>-377.86059999999998</v>
      </c>
      <c r="H3336">
        <v>8.0000619999999995E-2</v>
      </c>
      <c r="I3336">
        <v>208.72669999999999</v>
      </c>
      <c r="J3336">
        <v>-445.88209999999998</v>
      </c>
      <c r="K3336">
        <v>1.1194059999999999</v>
      </c>
      <c r="L3336">
        <v>215.286</v>
      </c>
      <c r="M3336">
        <v>0.99997749999999996</v>
      </c>
      <c r="N3336">
        <v>-5.0010760000000001E-3</v>
      </c>
      <c r="O3336">
        <v>4.4768309999999997E-3</v>
      </c>
      <c r="P3336">
        <v>0.99556909999999998</v>
      </c>
      <c r="Q3336">
        <v>-9.3550830000000001E-2</v>
      </c>
      <c r="R3336">
        <v>-9.5209130000000006E-3</v>
      </c>
      <c r="S3336">
        <v>3.006561</v>
      </c>
      <c r="T3336">
        <v>-4.5771119999999998E-2</v>
      </c>
      <c r="U3336">
        <v>-0.28881839999999998</v>
      </c>
      <c r="V3336">
        <v>1.39057E-2</v>
      </c>
      <c r="W3336">
        <v>-8.8582350000000004E-2</v>
      </c>
      <c r="X3336">
        <v>0.99597179999999996</v>
      </c>
      <c r="Y3336">
        <v>0.1000624</v>
      </c>
      <c r="Z3336">
        <v>-1.056336E-3</v>
      </c>
      <c r="AA3336">
        <v>0.99498059999999999</v>
      </c>
      <c r="AB3336">
        <v>24</v>
      </c>
      <c r="AC3336">
        <v>68.021500000000003</v>
      </c>
      <c r="AD3336">
        <v>-1.0394053799999901</v>
      </c>
      <c r="AE3336">
        <v>-6.5592999999999702</v>
      </c>
      <c r="AF3336">
        <v>6.8621713066771299</v>
      </c>
      <c r="AG3336">
        <v>-1.0394053799999901</v>
      </c>
      <c r="AH3336">
        <v>67.975727331046201</v>
      </c>
      <c r="AI3336">
        <v>90.871602539090304</v>
      </c>
      <c r="AJ3336">
        <v>84.235501827254794</v>
      </c>
      <c r="AK3336">
        <v>68.329124571963504</v>
      </c>
      <c r="AL3336">
        <v>95.0820559010089</v>
      </c>
      <c r="AM3336">
        <v>89.200091652884097</v>
      </c>
      <c r="AN3336">
        <v>1.0000000138096199</v>
      </c>
    </row>
    <row r="3337" spans="1:40" x14ac:dyDescent="0.25">
      <c r="A3337" t="str">
        <f>"20190303154833851"</f>
        <v>20190303154833851</v>
      </c>
      <c r="B3337" t="str">
        <f>"1551599313844439"</f>
        <v>1551599313844439</v>
      </c>
      <c r="C3337" t="s">
        <v>40</v>
      </c>
      <c r="D3337">
        <v>5.6585380000000001</v>
      </c>
      <c r="E3337">
        <v>0.52903940000000005</v>
      </c>
      <c r="F3337" t="s">
        <v>52</v>
      </c>
      <c r="G3337">
        <v>-385.69549999999998</v>
      </c>
      <c r="H3337" s="1">
        <v>1.707646E-6</v>
      </c>
      <c r="I3337">
        <v>209.73009999999999</v>
      </c>
      <c r="J3337">
        <v>-445.6551</v>
      </c>
      <c r="K3337">
        <v>1.119413</v>
      </c>
      <c r="L3337">
        <v>215.28649999999999</v>
      </c>
      <c r="M3337">
        <v>0.99997939999999996</v>
      </c>
      <c r="N3337">
        <v>-5.0300140000000002E-3</v>
      </c>
      <c r="O3337">
        <v>4.0097819999999999E-3</v>
      </c>
      <c r="P3337">
        <v>0.99556489999999997</v>
      </c>
      <c r="Q3337">
        <v>-9.34754E-2</v>
      </c>
      <c r="R3337">
        <v>-1.064176E-2</v>
      </c>
      <c r="S3337">
        <v>3.0054319999999999</v>
      </c>
      <c r="T3337">
        <v>-5.5897710000000003E-2</v>
      </c>
      <c r="U3337">
        <v>-0.2774353</v>
      </c>
      <c r="V3337">
        <v>1.4562780000000001E-2</v>
      </c>
      <c r="W3337">
        <v>-8.8478459999999995E-2</v>
      </c>
      <c r="X3337">
        <v>0.99597159999999996</v>
      </c>
      <c r="Y3337">
        <v>9.5891299999999999E-2</v>
      </c>
      <c r="Z3337">
        <v>-1.185766E-3</v>
      </c>
      <c r="AA3337">
        <v>0.99539109999999997</v>
      </c>
      <c r="AB3337">
        <v>24</v>
      </c>
      <c r="AC3337">
        <v>59.959600000000002</v>
      </c>
      <c r="AD3337">
        <v>-1.1194112923540001</v>
      </c>
      <c r="AE3337">
        <v>-5.5563999999999902</v>
      </c>
      <c r="AF3337">
        <v>5.79478071559718</v>
      </c>
      <c r="AG3337">
        <v>-1.1194112923540001</v>
      </c>
      <c r="AH3337">
        <v>59.916131924681899</v>
      </c>
      <c r="AI3337">
        <v>91.065360986978803</v>
      </c>
      <c r="AJ3337">
        <v>84.475827503607206</v>
      </c>
      <c r="AK3337">
        <v>60.206107912729202</v>
      </c>
      <c r="AL3337">
        <v>95.076080199758394</v>
      </c>
      <c r="AM3337">
        <v>89.162299027912596</v>
      </c>
      <c r="AN3337">
        <v>0.99999997022592901</v>
      </c>
    </row>
    <row r="3338" spans="1:40" x14ac:dyDescent="0.25">
      <c r="A3338" t="str">
        <f>"20190303154833875"</f>
        <v>20190303154833875</v>
      </c>
      <c r="B3338" t="str">
        <f>"1551599313863959"</f>
        <v>1551599313863959</v>
      </c>
      <c r="C3338" t="s">
        <v>40</v>
      </c>
      <c r="D3338">
        <v>5.5462099999999896</v>
      </c>
      <c r="E3338">
        <v>0.5278176</v>
      </c>
      <c r="F3338" t="s">
        <v>54</v>
      </c>
      <c r="G3338">
        <v>-402.41059999999999</v>
      </c>
      <c r="H3338" s="1">
        <v>7.9699680000000007E-6</v>
      </c>
      <c r="I3338">
        <v>211.535</v>
      </c>
      <c r="J3338">
        <v>-445.39830000000001</v>
      </c>
      <c r="K3338">
        <v>1.119429</v>
      </c>
      <c r="L3338">
        <v>215.28700000000001</v>
      </c>
      <c r="M3338">
        <v>0.99998109999999996</v>
      </c>
      <c r="N3338">
        <v>-5.0624069999999997E-3</v>
      </c>
      <c r="O3338">
        <v>3.4946790000000001E-3</v>
      </c>
      <c r="P3338">
        <v>0.99553469999999999</v>
      </c>
      <c r="Q3338">
        <v>-9.369943E-2</v>
      </c>
      <c r="R3338">
        <v>-1.1475590000000001E-2</v>
      </c>
      <c r="S3338">
        <v>3.0032960000000002</v>
      </c>
      <c r="T3338">
        <v>-7.7741740000000004E-2</v>
      </c>
      <c r="U3338">
        <v>-0.26054379999999999</v>
      </c>
      <c r="V3338">
        <v>1.4884420000000001E-2</v>
      </c>
      <c r="W3338">
        <v>-8.8670429999999995E-2</v>
      </c>
      <c r="X3338">
        <v>0.9959498</v>
      </c>
      <c r="Y3338">
        <v>8.9872610000000006E-2</v>
      </c>
      <c r="Z3338">
        <v>-1.461408E-3</v>
      </c>
      <c r="AA3338">
        <v>0.99595219999999995</v>
      </c>
      <c r="AB3338">
        <v>24</v>
      </c>
      <c r="AC3338">
        <v>42.987699999999997</v>
      </c>
      <c r="AD3338">
        <v>-1.119421030032</v>
      </c>
      <c r="AE3338">
        <v>-3.7519999999999998</v>
      </c>
      <c r="AF3338">
        <v>3.8995828785348801</v>
      </c>
      <c r="AG3338">
        <v>-1.119421030032</v>
      </c>
      <c r="AH3338">
        <v>42.945423847641599</v>
      </c>
      <c r="AI3338">
        <v>91.487026085371795</v>
      </c>
      <c r="AJ3338">
        <v>84.811587240877401</v>
      </c>
      <c r="AK3338">
        <v>43.136635004629397</v>
      </c>
      <c r="AL3338">
        <v>95.087122532967996</v>
      </c>
      <c r="AM3338">
        <v>89.143781179998697</v>
      </c>
      <c r="AN3338">
        <v>0.99999999761757996</v>
      </c>
    </row>
    <row r="3339" spans="1:40" x14ac:dyDescent="0.25">
      <c r="A3339" t="str">
        <f>"20190303154833897"</f>
        <v>20190303154833897</v>
      </c>
      <c r="B3339" t="str">
        <f>"1551599313894215"</f>
        <v>1551599313894215</v>
      </c>
      <c r="C3339" t="s">
        <v>40</v>
      </c>
      <c r="D3339">
        <v>5.6917369999999998</v>
      </c>
      <c r="E3339">
        <v>0.52587399999999995</v>
      </c>
      <c r="F3339" t="s">
        <v>54</v>
      </c>
      <c r="G3339">
        <v>-406.89089999999999</v>
      </c>
      <c r="H3339" s="1">
        <v>5.8797720000000001E-6</v>
      </c>
      <c r="I3339">
        <v>212.0351</v>
      </c>
      <c r="J3339">
        <v>-445.15460000000002</v>
      </c>
      <c r="K3339">
        <v>1.119434</v>
      </c>
      <c r="L3339">
        <v>215.28729999999999</v>
      </c>
      <c r="M3339">
        <v>0.9999825</v>
      </c>
      <c r="N3339">
        <v>-5.092549E-3</v>
      </c>
      <c r="O3339">
        <v>3.016407E-3</v>
      </c>
      <c r="P3339">
        <v>0.99558630000000004</v>
      </c>
      <c r="Q3339">
        <v>-9.3079079999999995E-2</v>
      </c>
      <c r="R3339">
        <v>-1.200097E-2</v>
      </c>
      <c r="S3339">
        <v>3.002319</v>
      </c>
      <c r="T3339">
        <v>-8.7278599999999998E-2</v>
      </c>
      <c r="U3339">
        <v>-0.25353999999999999</v>
      </c>
      <c r="V3339">
        <v>1.4935399999999901E-2</v>
      </c>
      <c r="W3339">
        <v>-8.8019739999999999E-2</v>
      </c>
      <c r="X3339">
        <v>0.99600670000000002</v>
      </c>
      <c r="Y3339">
        <v>8.7110069999999998E-2</v>
      </c>
      <c r="Z3339">
        <v>-1.5580889999999999E-3</v>
      </c>
      <c r="AA3339">
        <v>0.99619749999999996</v>
      </c>
      <c r="AB3339">
        <v>24</v>
      </c>
      <c r="AC3339">
        <v>38.2637</v>
      </c>
      <c r="AD3339">
        <v>-1.1194281202280001</v>
      </c>
      <c r="AE3339">
        <v>-3.2521999999999802</v>
      </c>
      <c r="AF3339">
        <v>3.3647463900484502</v>
      </c>
      <c r="AG3339">
        <v>-1.1194281202280001</v>
      </c>
      <c r="AH3339">
        <v>38.221237244965103</v>
      </c>
      <c r="AI3339">
        <v>91.6711465895619</v>
      </c>
      <c r="AJ3339">
        <v>84.969026077130394</v>
      </c>
      <c r="AK3339">
        <v>38.385382818484601</v>
      </c>
      <c r="AL3339">
        <v>95.049694668097501</v>
      </c>
      <c r="AM3339">
        <v>89.140898094142699</v>
      </c>
      <c r="AN3339">
        <v>0.99999994362385702</v>
      </c>
    </row>
    <row r="3340" spans="1:40" x14ac:dyDescent="0.25">
      <c r="A3340" t="str">
        <f>"20190303154833918"</f>
        <v>20190303154833918</v>
      </c>
      <c r="B3340" t="str">
        <f>"1551599313913735"</f>
        <v>1551599313913735</v>
      </c>
      <c r="C3340" t="s">
        <v>40</v>
      </c>
      <c r="D3340">
        <v>5.5954739999999896</v>
      </c>
      <c r="E3340">
        <v>0.52484659999999905</v>
      </c>
      <c r="F3340" t="s">
        <v>54</v>
      </c>
      <c r="G3340">
        <v>-411.3426</v>
      </c>
      <c r="H3340" s="1">
        <v>2.621317E-6</v>
      </c>
      <c r="I3340">
        <v>212.58690000000001</v>
      </c>
      <c r="J3340">
        <v>-444.91340000000002</v>
      </c>
      <c r="K3340">
        <v>1.119442</v>
      </c>
      <c r="L3340">
        <v>215.28749999999999</v>
      </c>
      <c r="M3340">
        <v>0.99998379999999998</v>
      </c>
      <c r="N3340">
        <v>-5.1221629999999999E-3</v>
      </c>
      <c r="O3340">
        <v>2.5491490000000001E-3</v>
      </c>
      <c r="P3340">
        <v>0.99559390000000003</v>
      </c>
      <c r="Q3340">
        <v>-9.2963039999999997E-2</v>
      </c>
      <c r="R3340">
        <v>-1.228215E-2</v>
      </c>
      <c r="S3340">
        <v>3.001099</v>
      </c>
      <c r="T3340">
        <v>-9.9358799999999997E-2</v>
      </c>
      <c r="U3340">
        <v>-0.23968510000000001</v>
      </c>
      <c r="V3340">
        <v>1.475163E-2</v>
      </c>
      <c r="W3340">
        <v>-8.7873950000000006E-2</v>
      </c>
      <c r="X3340">
        <v>0.99602230000000003</v>
      </c>
      <c r="Y3340">
        <v>8.2100469999999995E-2</v>
      </c>
      <c r="Z3340">
        <v>-1.6384150000000001E-3</v>
      </c>
      <c r="AA3340">
        <v>0.99662269999999997</v>
      </c>
      <c r="AB3340">
        <v>24</v>
      </c>
      <c r="AC3340">
        <v>33.570799999999998</v>
      </c>
      <c r="AD3340">
        <v>-1.1194393786829999</v>
      </c>
      <c r="AE3340">
        <v>-2.7005999999999699</v>
      </c>
      <c r="AF3340">
        <v>2.7830945937566902</v>
      </c>
      <c r="AG3340">
        <v>-1.1194393786829999</v>
      </c>
      <c r="AH3340">
        <v>33.526766853958698</v>
      </c>
      <c r="AI3340">
        <v>91.905812326179401</v>
      </c>
      <c r="AJ3340">
        <v>85.254692725275106</v>
      </c>
      <c r="AK3340">
        <v>33.6607019493065</v>
      </c>
      <c r="AL3340">
        <v>95.041309082286404</v>
      </c>
      <c r="AM3340">
        <v>89.151480495156406</v>
      </c>
      <c r="AN3340">
        <v>0.99999993188677205</v>
      </c>
    </row>
    <row r="3341" spans="1:40" x14ac:dyDescent="0.25">
      <c r="A3341" t="str">
        <f>"20190303154833940"</f>
        <v>20190303154833940</v>
      </c>
      <c r="B3341" t="str">
        <f>"1551599313934231"</f>
        <v>1551599313934231</v>
      </c>
      <c r="C3341" t="s">
        <v>40</v>
      </c>
      <c r="D3341">
        <v>5.6070880000000001</v>
      </c>
      <c r="E3341">
        <v>0.52442759999999999</v>
      </c>
      <c r="F3341" t="s">
        <v>54</v>
      </c>
      <c r="G3341">
        <v>-413.30459999999999</v>
      </c>
      <c r="H3341" s="1">
        <v>2.9471920000000001E-6</v>
      </c>
      <c r="I3341">
        <v>212.84030000000001</v>
      </c>
      <c r="J3341">
        <v>-444.68009999999998</v>
      </c>
      <c r="K3341">
        <v>1.119442</v>
      </c>
      <c r="L3341">
        <v>215.2876</v>
      </c>
      <c r="M3341">
        <v>0.9999846</v>
      </c>
      <c r="N3341">
        <v>-5.1506159999999898E-3</v>
      </c>
      <c r="O3341">
        <v>2.101014E-3</v>
      </c>
      <c r="P3341">
        <v>0.99561279999999996</v>
      </c>
      <c r="Q3341">
        <v>-9.2700050000000006E-2</v>
      </c>
      <c r="R3341">
        <v>-1.273767E-2</v>
      </c>
      <c r="S3341">
        <v>3.0004580000000001</v>
      </c>
      <c r="T3341">
        <v>-0.10626240000000001</v>
      </c>
      <c r="U3341">
        <v>-0.2322998</v>
      </c>
      <c r="V3341">
        <v>1.4760840000000001E-2</v>
      </c>
      <c r="W3341">
        <v>-8.7582519999999997E-2</v>
      </c>
      <c r="X3341">
        <v>0.99604789999999999</v>
      </c>
      <c r="Y3341">
        <v>7.9227510000000001E-2</v>
      </c>
      <c r="Z3341">
        <v>-1.668292E-3</v>
      </c>
      <c r="AA3341">
        <v>0.99685509999999999</v>
      </c>
      <c r="AB3341">
        <v>24</v>
      </c>
      <c r="AC3341">
        <v>31.375499999999899</v>
      </c>
      <c r="AD3341">
        <v>-1.119439052808</v>
      </c>
      <c r="AE3341">
        <v>-2.4472999999999798</v>
      </c>
      <c r="AF3341">
        <v>2.5100399390543999</v>
      </c>
      <c r="AG3341">
        <v>-1.119439052808</v>
      </c>
      <c r="AH3341">
        <v>31.330646947762201</v>
      </c>
      <c r="AI3341">
        <v>92.039768695272898</v>
      </c>
      <c r="AJ3341">
        <v>85.419558654483794</v>
      </c>
      <c r="AK3341">
        <v>31.450959960769399</v>
      </c>
      <c r="AL3341">
        <v>95.024546402592193</v>
      </c>
      <c r="AM3341">
        <v>89.150972628603</v>
      </c>
      <c r="AN3341">
        <v>0.99999999965073205</v>
      </c>
    </row>
    <row r="3342" spans="1:40" x14ac:dyDescent="0.25">
      <c r="A3342" t="str">
        <f>"20190303154833963"</f>
        <v>20190303154833963</v>
      </c>
      <c r="B3342" t="str">
        <f>"1551599313953751"</f>
        <v>1551599313953751</v>
      </c>
      <c r="C3342" t="s">
        <v>40</v>
      </c>
      <c r="D3342">
        <v>5.6029689999999999</v>
      </c>
      <c r="E3342">
        <v>0.52400729999999995</v>
      </c>
      <c r="F3342" t="s">
        <v>54</v>
      </c>
      <c r="G3342">
        <v>-413.24489999999997</v>
      </c>
      <c r="H3342" s="1">
        <v>2.934091E-6</v>
      </c>
      <c r="I3342">
        <v>212.869</v>
      </c>
      <c r="J3342">
        <v>-444.42950000000002</v>
      </c>
      <c r="K3342">
        <v>1.1194440000000001</v>
      </c>
      <c r="L3342">
        <v>215.2876</v>
      </c>
      <c r="M3342">
        <v>0.99998529999999997</v>
      </c>
      <c r="N3342">
        <v>-5.1809940000000004E-3</v>
      </c>
      <c r="O3342">
        <v>1.6216869999999999E-3</v>
      </c>
      <c r="P3342">
        <v>0.99557099999999998</v>
      </c>
      <c r="Q3342">
        <v>-9.3096960000000006E-2</v>
      </c>
      <c r="R3342">
        <v>-1.309595E-2</v>
      </c>
      <c r="S3342">
        <v>3.0002439999999999</v>
      </c>
      <c r="T3342">
        <v>-0.1068418</v>
      </c>
      <c r="U3342">
        <v>-0.23083500000000001</v>
      </c>
      <c r="V3342">
        <v>1.464119E-2</v>
      </c>
      <c r="W3342">
        <v>-8.7949340000000001E-2</v>
      </c>
      <c r="X3342">
        <v>0.99601729999999999</v>
      </c>
      <c r="Y3342">
        <v>7.8271579999999993E-2</v>
      </c>
      <c r="Z3342">
        <v>-1.6435670000000001E-3</v>
      </c>
      <c r="AA3342">
        <v>0.99693069999999895</v>
      </c>
      <c r="AB3342">
        <v>25</v>
      </c>
      <c r="AC3342">
        <v>31.1846</v>
      </c>
      <c r="AD3342">
        <v>-1.1194410659089999</v>
      </c>
      <c r="AE3342">
        <v>-2.4185999999999601</v>
      </c>
      <c r="AF3342">
        <v>2.4660104270292398</v>
      </c>
      <c r="AG3342">
        <v>-1.1194410659089999</v>
      </c>
      <c r="AH3342">
        <v>31.140748327259299</v>
      </c>
      <c r="AI3342">
        <v>92.052350623113696</v>
      </c>
      <c r="AJ3342">
        <v>85.472242650980405</v>
      </c>
      <c r="AK3342">
        <v>31.258287894700199</v>
      </c>
      <c r="AL3342">
        <v>95.045645276547305</v>
      </c>
      <c r="AM3342">
        <v>89.157827901530894</v>
      </c>
      <c r="AN3342">
        <v>0.99999995637516903</v>
      </c>
    </row>
    <row r="3343" spans="1:40" x14ac:dyDescent="0.25">
      <c r="A3343" t="str">
        <f>"20190303154833984"</f>
        <v>20190303154833984</v>
      </c>
      <c r="B3343" t="str">
        <f>"1551599313974247"</f>
        <v>1551599313974247</v>
      </c>
      <c r="C3343" t="s">
        <v>40</v>
      </c>
      <c r="D3343">
        <v>5.6466240000000001</v>
      </c>
      <c r="E3343">
        <v>0.52371690000000004</v>
      </c>
      <c r="F3343" t="s">
        <v>54</v>
      </c>
      <c r="G3343">
        <v>-413.8759</v>
      </c>
      <c r="H3343" s="1">
        <v>3.0382049999999999E-6</v>
      </c>
      <c r="I3343">
        <v>212.95849999999999</v>
      </c>
      <c r="J3343">
        <v>-444.1925</v>
      </c>
      <c r="K3343">
        <v>1.1194440000000001</v>
      </c>
      <c r="L3343">
        <v>215.28749999999999</v>
      </c>
      <c r="M3343">
        <v>0.99998580000000004</v>
      </c>
      <c r="N3343">
        <v>-5.2095190000000001E-3</v>
      </c>
      <c r="O3343">
        <v>1.168943E-3</v>
      </c>
      <c r="P3343">
        <v>0.99555610000000005</v>
      </c>
      <c r="Q3343">
        <v>-9.3201099999999995E-2</v>
      </c>
      <c r="R3343">
        <v>-1.348224E-2</v>
      </c>
      <c r="S3343">
        <v>3.000092</v>
      </c>
      <c r="T3343">
        <v>-0.10991919999999999</v>
      </c>
      <c r="U3343">
        <v>-0.2286987</v>
      </c>
      <c r="V3343">
        <v>1.4575930000000001E-2</v>
      </c>
      <c r="W3343">
        <v>-8.8025190000000003E-2</v>
      </c>
      <c r="X3343">
        <v>0.9960116</v>
      </c>
      <c r="Y3343">
        <v>7.7116210000000004E-2</v>
      </c>
      <c r="Z3343">
        <v>-1.6481099999999999E-3</v>
      </c>
      <c r="AA3343">
        <v>0.99702069999999998</v>
      </c>
      <c r="AB3343">
        <v>25</v>
      </c>
      <c r="AC3343">
        <v>30.316599999999902</v>
      </c>
      <c r="AD3343">
        <v>-1.1194409617950001</v>
      </c>
      <c r="AE3343">
        <v>-2.3290000000000002</v>
      </c>
      <c r="AF3343">
        <v>2.3612367094923101</v>
      </c>
      <c r="AG3343">
        <v>-1.1194409617950001</v>
      </c>
      <c r="AH3343">
        <v>30.272823261139902</v>
      </c>
      <c r="AI3343">
        <v>92.111335205449606</v>
      </c>
      <c r="AJ3343">
        <v>85.5400413735602</v>
      </c>
      <c r="AK3343">
        <v>30.385398056721499</v>
      </c>
      <c r="AL3343">
        <v>95.0500078636111</v>
      </c>
      <c r="AM3343">
        <v>89.161576370608401</v>
      </c>
      <c r="AN3343">
        <v>0.99999999957222996</v>
      </c>
    </row>
    <row r="3344" spans="1:40" x14ac:dyDescent="0.25">
      <c r="A3344" t="str">
        <f>"20190303154834007"</f>
        <v>20190303154834007</v>
      </c>
      <c r="B3344" t="str">
        <f>"1551599314004502"</f>
        <v>1551599314004502</v>
      </c>
      <c r="C3344" t="s">
        <v>40</v>
      </c>
      <c r="D3344">
        <v>5.7555949999999996</v>
      </c>
      <c r="E3344">
        <v>0.52307479999999995</v>
      </c>
      <c r="F3344" t="s">
        <v>54</v>
      </c>
      <c r="G3344">
        <v>-414.04829999999998</v>
      </c>
      <c r="H3344" s="1">
        <v>3.064852E-6</v>
      </c>
      <c r="I3344">
        <v>213.0035</v>
      </c>
      <c r="J3344">
        <v>-443.93090000000001</v>
      </c>
      <c r="K3344">
        <v>1.1194379999999999</v>
      </c>
      <c r="L3344">
        <v>215.28729999999999</v>
      </c>
      <c r="M3344">
        <v>0.99998609999999999</v>
      </c>
      <c r="N3344">
        <v>-5.2408719999999997E-3</v>
      </c>
      <c r="O3344">
        <v>6.6868119999999895E-4</v>
      </c>
      <c r="P3344">
        <v>0.99552459999999998</v>
      </c>
      <c r="Q3344">
        <v>-9.3515169999999995E-2</v>
      </c>
      <c r="R3344">
        <v>-1.362701E-2</v>
      </c>
      <c r="S3344">
        <v>2.9998779999999998</v>
      </c>
      <c r="T3344">
        <v>-0.1114043</v>
      </c>
      <c r="U3344">
        <v>-0.22729489999999999</v>
      </c>
      <c r="V3344">
        <v>1.4221660000000001E-2</v>
      </c>
      <c r="W3344">
        <v>-8.8307990000000003E-2</v>
      </c>
      <c r="X3344">
        <v>0.99599170000000004</v>
      </c>
      <c r="Y3344">
        <v>7.6158320000000002E-2</v>
      </c>
      <c r="Z3344">
        <v>-1.632833E-3</v>
      </c>
      <c r="AA3344">
        <v>0.99709440000000005</v>
      </c>
      <c r="AB3344">
        <v>25</v>
      </c>
      <c r="AC3344">
        <v>29.8826</v>
      </c>
      <c r="AD3344">
        <v>-1.119434935148</v>
      </c>
      <c r="AE3344">
        <v>-2.2837999999999798</v>
      </c>
      <c r="AF3344">
        <v>2.3005719730264702</v>
      </c>
      <c r="AG3344">
        <v>-1.119434935148</v>
      </c>
      <c r="AH3344">
        <v>29.839434645629002</v>
      </c>
      <c r="AI3344">
        <v>92.142108903758995</v>
      </c>
      <c r="AJ3344">
        <v>85.591309923183701</v>
      </c>
      <c r="AK3344">
        <v>29.948916941149399</v>
      </c>
      <c r="AL3344">
        <v>95.066274395359102</v>
      </c>
      <c r="AM3344">
        <v>89.181935226978993</v>
      </c>
      <c r="AN3344">
        <v>1.0000000115899399</v>
      </c>
    </row>
    <row r="3345" spans="1:40" x14ac:dyDescent="0.25">
      <c r="A3345" t="str">
        <f>"20190303154834029"</f>
        <v>20190303154834029</v>
      </c>
      <c r="B3345" t="str">
        <f>"1551599314024023"</f>
        <v>1551599314024023</v>
      </c>
      <c r="C3345" t="s">
        <v>40</v>
      </c>
      <c r="D3345">
        <v>5.6502339999999904</v>
      </c>
      <c r="E3345">
        <v>0.5225109</v>
      </c>
      <c r="F3345" t="s">
        <v>54</v>
      </c>
      <c r="G3345">
        <v>-415.14460000000003</v>
      </c>
      <c r="H3345" s="1">
        <v>3.246533E-6</v>
      </c>
      <c r="I3345">
        <v>213.1497</v>
      </c>
      <c r="J3345">
        <v>-443.68729999999999</v>
      </c>
      <c r="K3345">
        <v>1.119434</v>
      </c>
      <c r="L3345">
        <v>215.28700000000001</v>
      </c>
      <c r="M3345">
        <v>0.99998609999999999</v>
      </c>
      <c r="N3345">
        <v>-5.2699139999999997E-3</v>
      </c>
      <c r="O3345">
        <v>2.0234140000000001E-4</v>
      </c>
      <c r="P3345">
        <v>0.99551990000000001</v>
      </c>
      <c r="Q3345">
        <v>-9.3522040000000001E-2</v>
      </c>
      <c r="R3345">
        <v>-1.3923680000000001E-2</v>
      </c>
      <c r="S3345">
        <v>2.9994809999999998</v>
      </c>
      <c r="T3345">
        <v>-0.1166431</v>
      </c>
      <c r="U3345">
        <v>-0.2227325</v>
      </c>
      <c r="V3345">
        <v>1.405321E-2</v>
      </c>
      <c r="W3345">
        <v>-8.8285920000000004E-2</v>
      </c>
      <c r="X3345">
        <v>0.99599610000000005</v>
      </c>
      <c r="Y3345">
        <v>7.4191450000000006E-2</v>
      </c>
      <c r="Z3345">
        <v>-1.642679E-3</v>
      </c>
      <c r="AA3345">
        <v>0.99724270000000004</v>
      </c>
      <c r="AB3345">
        <v>25</v>
      </c>
      <c r="AC3345">
        <v>28.5426999999999</v>
      </c>
      <c r="AD3345">
        <v>-1.1194307534670001</v>
      </c>
      <c r="AE3345">
        <v>-2.13730000000001</v>
      </c>
      <c r="AF3345">
        <v>2.1398023785705398</v>
      </c>
      <c r="AG3345">
        <v>-1.1194307534670001</v>
      </c>
      <c r="AH3345">
        <v>28.498675557791501</v>
      </c>
      <c r="AI3345">
        <v>92.243119782493395</v>
      </c>
      <c r="AJ3345">
        <v>85.706045136794302</v>
      </c>
      <c r="AK3345">
        <v>28.600810967163302</v>
      </c>
      <c r="AL3345">
        <v>95.065004654068204</v>
      </c>
      <c r="AM3345">
        <v>89.191627161386407</v>
      </c>
      <c r="AN3345">
        <v>1.0000000637983699</v>
      </c>
    </row>
    <row r="3346" spans="1:40" x14ac:dyDescent="0.25">
      <c r="A3346" t="str">
        <f>"20190303154834052"</f>
        <v>20190303154834052</v>
      </c>
      <c r="B3346" t="str">
        <f>"1551599314044519"</f>
        <v>1551599314044519</v>
      </c>
      <c r="C3346" t="s">
        <v>40</v>
      </c>
      <c r="D3346">
        <v>5.6283430000000001</v>
      </c>
      <c r="E3346">
        <v>0.49859340000000002</v>
      </c>
      <c r="F3346" t="s">
        <v>54</v>
      </c>
      <c r="G3346">
        <v>-415.71929999999998</v>
      </c>
      <c r="H3346" s="1">
        <v>3.3402479999999999E-6</v>
      </c>
      <c r="I3346">
        <v>213.24379999999999</v>
      </c>
      <c r="J3346">
        <v>-443.4289</v>
      </c>
      <c r="K3346">
        <v>1.119434</v>
      </c>
      <c r="L3346">
        <v>215.28649999999999</v>
      </c>
      <c r="M3346">
        <v>0.99998589999999998</v>
      </c>
      <c r="N3346">
        <v>-5.3006019999999997E-3</v>
      </c>
      <c r="O3346">
        <v>-2.929726E-4</v>
      </c>
      <c r="P3346">
        <v>0.99551149999999999</v>
      </c>
      <c r="Q3346">
        <v>-9.3611970000000003E-2</v>
      </c>
      <c r="R3346">
        <v>-1.3906740000000001E-2</v>
      </c>
      <c r="S3346">
        <v>2.9991759999999998</v>
      </c>
      <c r="T3346">
        <v>-0.12004330000000001</v>
      </c>
      <c r="U3346">
        <v>-0.21910099999999999</v>
      </c>
      <c r="V3346">
        <v>1.354254E-2</v>
      </c>
      <c r="W3346">
        <v>-8.8345019999999996E-2</v>
      </c>
      <c r="X3346">
        <v>0.99599780000000004</v>
      </c>
      <c r="Y3346">
        <v>7.2502109999999995E-2</v>
      </c>
      <c r="Z3346">
        <v>-1.630795E-3</v>
      </c>
      <c r="AA3346">
        <v>0.99736689999999995</v>
      </c>
      <c r="AB3346">
        <v>25</v>
      </c>
      <c r="AC3346">
        <v>27.709599999999998</v>
      </c>
      <c r="AD3346">
        <v>-1.1194306597520001</v>
      </c>
      <c r="AE3346">
        <v>-2.0426999999999902</v>
      </c>
      <c r="AF3346">
        <v>2.03128440213976</v>
      </c>
      <c r="AG3346">
        <v>-1.1194306597520001</v>
      </c>
      <c r="AH3346">
        <v>27.665290135379301</v>
      </c>
      <c r="AI3346">
        <v>92.310901932026994</v>
      </c>
      <c r="AJ3346">
        <v>85.8006746479236</v>
      </c>
      <c r="AK3346">
        <v>27.762339951795902</v>
      </c>
      <c r="AL3346">
        <v>95.068404796150702</v>
      </c>
      <c r="AM3346">
        <v>89.220999711147897</v>
      </c>
      <c r="AN3346">
        <v>0.99999993027664302</v>
      </c>
    </row>
    <row r="3347" spans="1:40" x14ac:dyDescent="0.25">
      <c r="A3347" t="str">
        <f>"20190303154834074"</f>
        <v>20190303154834074</v>
      </c>
      <c r="B3347" t="str">
        <f>"1551599314064039"</f>
        <v>1551599314064039</v>
      </c>
      <c r="C3347" t="s">
        <v>40</v>
      </c>
      <c r="D3347">
        <v>5.6664909999999997</v>
      </c>
      <c r="E3347">
        <v>0.49934659999999897</v>
      </c>
      <c r="F3347" t="s">
        <v>54</v>
      </c>
      <c r="G3347">
        <v>-423.11500000000001</v>
      </c>
      <c r="H3347" s="1">
        <v>3.3705709999999998E-6</v>
      </c>
      <c r="I3347">
        <v>215.0908</v>
      </c>
      <c r="J3347">
        <v>-443.1712</v>
      </c>
      <c r="K3347">
        <v>1.119424</v>
      </c>
      <c r="L3347">
        <v>215.28579999999999</v>
      </c>
      <c r="M3347">
        <v>0.99998560000000003</v>
      </c>
      <c r="N3347">
        <v>-5.3312430000000003E-3</v>
      </c>
      <c r="O3347">
        <v>-7.873302E-4</v>
      </c>
      <c r="P3347">
        <v>0.99548950000000003</v>
      </c>
      <c r="Q3347">
        <v>-9.3873300000000007E-2</v>
      </c>
      <c r="R3347">
        <v>-1.372368E-2</v>
      </c>
      <c r="S3347">
        <v>2.9975890000000001</v>
      </c>
      <c r="T3347">
        <v>-0.165187</v>
      </c>
      <c r="U3347">
        <v>-2.886963E-2</v>
      </c>
      <c r="V3347">
        <v>1.2866280000000001E-2</v>
      </c>
      <c r="W3347">
        <v>-8.857545E-2</v>
      </c>
      <c r="X3347">
        <v>0.99598629999999999</v>
      </c>
      <c r="Y3347">
        <v>8.829478E-3</v>
      </c>
      <c r="Z3347">
        <v>-2.2748899999999999E-4</v>
      </c>
      <c r="AA3347">
        <v>0.99996099999999999</v>
      </c>
      <c r="AB3347">
        <v>25</v>
      </c>
      <c r="AC3347">
        <v>20.056199999999901</v>
      </c>
      <c r="AD3347">
        <v>-1.1194206294289999</v>
      </c>
      <c r="AE3347">
        <v>-0.19499999999999301</v>
      </c>
      <c r="AF3347">
        <v>0.17865237550546501</v>
      </c>
      <c r="AG3347">
        <v>-1.1194206294289999</v>
      </c>
      <c r="AH3347">
        <v>19.9940672003234</v>
      </c>
      <c r="AI3347">
        <v>93.204382299985696</v>
      </c>
      <c r="AJ3347">
        <v>89.488060402347003</v>
      </c>
      <c r="AK3347">
        <v>20.0261764305599</v>
      </c>
      <c r="AL3347">
        <v>95.081659423705005</v>
      </c>
      <c r="AM3347">
        <v>89.2598868683734</v>
      </c>
      <c r="AN3347">
        <v>0.99999993064571302</v>
      </c>
    </row>
    <row r="3348" spans="1:40" x14ac:dyDescent="0.25">
      <c r="A3348" t="str">
        <f>"20190303154834099"</f>
        <v>20190303154834099</v>
      </c>
      <c r="B3348" t="str">
        <f>"1551599314094295"</f>
        <v>1551599314094295</v>
      </c>
      <c r="C3348" t="s">
        <v>40</v>
      </c>
      <c r="D3348">
        <v>5.6273530000000003</v>
      </c>
      <c r="E3348">
        <v>0.50001969999999996</v>
      </c>
      <c r="F3348" t="s">
        <v>54</v>
      </c>
      <c r="G3348">
        <v>-422.2285</v>
      </c>
      <c r="H3348" s="1">
        <v>3.531617E-6</v>
      </c>
      <c r="I3348">
        <v>215.04740000000001</v>
      </c>
      <c r="J3348">
        <v>-442.89490000000001</v>
      </c>
      <c r="K3348">
        <v>1.1194170000000001</v>
      </c>
      <c r="L3348">
        <v>215.2851</v>
      </c>
      <c r="M3348">
        <v>0.99998489999999995</v>
      </c>
      <c r="N3348">
        <v>-5.3639899999999999E-3</v>
      </c>
      <c r="O3348">
        <v>-1.3148260000000001E-3</v>
      </c>
      <c r="P3348">
        <v>0.99542370000000002</v>
      </c>
      <c r="Q3348">
        <v>-9.4560549999999993E-2</v>
      </c>
      <c r="R3348">
        <v>-1.378885E-2</v>
      </c>
      <c r="S3348">
        <v>2.9980159999999998</v>
      </c>
      <c r="T3348">
        <v>-0.1602489</v>
      </c>
      <c r="U3348">
        <v>-3.4133910000000003E-2</v>
      </c>
      <c r="V3348">
        <v>1.2405269999999999E-2</v>
      </c>
      <c r="W3348">
        <v>-8.9230080000000003E-2</v>
      </c>
      <c r="X3348">
        <v>0.99593379999999998</v>
      </c>
      <c r="Y3348">
        <v>1.0055710000000001E-2</v>
      </c>
      <c r="Z3348">
        <v>-2.3235939999999999E-4</v>
      </c>
      <c r="AA3348">
        <v>0.99994939999999999</v>
      </c>
      <c r="AB3348">
        <v>25</v>
      </c>
      <c r="AC3348">
        <v>20.666399999999999</v>
      </c>
      <c r="AD3348">
        <v>-1.1194134683829999</v>
      </c>
      <c r="AE3348">
        <v>-0.237699999999989</v>
      </c>
      <c r="AF3348">
        <v>0.20991090289109701</v>
      </c>
      <c r="AG3348">
        <v>-1.1194134683829999</v>
      </c>
      <c r="AH3348">
        <v>20.606245161270898</v>
      </c>
      <c r="AI3348">
        <v>93.109317994274207</v>
      </c>
      <c r="AJ3348">
        <v>89.416361752150806</v>
      </c>
      <c r="AK3348">
        <v>20.637695819707002</v>
      </c>
      <c r="AL3348">
        <v>95.119315634006597</v>
      </c>
      <c r="AM3348">
        <v>89.286365359293598</v>
      </c>
      <c r="AN3348">
        <v>1.0000000159414999</v>
      </c>
    </row>
    <row r="3349" spans="1:40" x14ac:dyDescent="0.25">
      <c r="A3349" t="str">
        <f>"20190303154834121"</f>
        <v>20190303154834121</v>
      </c>
      <c r="B3349" t="str">
        <f>"1551599314113814"</f>
        <v>1551599314113814</v>
      </c>
      <c r="C3349" t="s">
        <v>40</v>
      </c>
      <c r="D3349">
        <v>5.5936510000000004</v>
      </c>
      <c r="E3349">
        <v>0.50022699999999998</v>
      </c>
      <c r="F3349" t="s">
        <v>54</v>
      </c>
      <c r="G3349">
        <v>-422.791</v>
      </c>
      <c r="H3349" s="1">
        <v>3.43435E-6</v>
      </c>
      <c r="I3349">
        <v>215.01859999999999</v>
      </c>
      <c r="J3349">
        <v>-442.64170000000001</v>
      </c>
      <c r="K3349">
        <v>1.1194200000000001</v>
      </c>
      <c r="L3349">
        <v>215.2842</v>
      </c>
      <c r="M3349">
        <v>0.99998390000000004</v>
      </c>
      <c r="N3349">
        <v>-5.3938529999999997E-3</v>
      </c>
      <c r="O3349">
        <v>-1.790912E-3</v>
      </c>
      <c r="P3349">
        <v>0.99535660000000004</v>
      </c>
      <c r="Q3349">
        <v>-9.5256720000000003E-2</v>
      </c>
      <c r="R3349">
        <v>-1.3839499999999999E-2</v>
      </c>
      <c r="S3349">
        <v>2.9974370000000001</v>
      </c>
      <c r="T3349">
        <v>-0.16690179999999999</v>
      </c>
      <c r="U3349">
        <v>-3.9733890000000001E-2</v>
      </c>
      <c r="V3349">
        <v>1.1981749999999999E-2</v>
      </c>
      <c r="W3349">
        <v>-8.9896429999999999E-2</v>
      </c>
      <c r="X3349">
        <v>0.99587910000000002</v>
      </c>
      <c r="Y3349">
        <v>1.1446799999999899E-2</v>
      </c>
      <c r="Z3349">
        <v>-2.5934009999999997E-4</v>
      </c>
      <c r="AA3349">
        <v>0.9999344</v>
      </c>
      <c r="AB3349">
        <v>25</v>
      </c>
      <c r="AC3349">
        <v>19.8507</v>
      </c>
      <c r="AD3349">
        <v>-1.1194165656499999</v>
      </c>
      <c r="AE3349">
        <v>-0.265600000000006</v>
      </c>
      <c r="AF3349">
        <v>0.22931908979844201</v>
      </c>
      <c r="AG3349">
        <v>-1.1194165656499999</v>
      </c>
      <c r="AH3349">
        <v>19.788227857527801</v>
      </c>
      <c r="AI3349">
        <v>93.237544405835493</v>
      </c>
      <c r="AJ3349">
        <v>89.336048282241507</v>
      </c>
      <c r="AK3349">
        <v>19.8211917510991</v>
      </c>
      <c r="AL3349">
        <v>95.157648524425298</v>
      </c>
      <c r="AM3349">
        <v>89.3106888330218</v>
      </c>
      <c r="AN3349">
        <v>1.0000000561383</v>
      </c>
    </row>
    <row r="3350" spans="1:40" x14ac:dyDescent="0.25">
      <c r="A3350" t="str">
        <f>"20190303154834143"</f>
        <v>20190303154834143</v>
      </c>
      <c r="B3350" t="str">
        <f>"1551599314134311"</f>
        <v>1551599314134311</v>
      </c>
      <c r="C3350" t="s">
        <v>40</v>
      </c>
      <c r="D3350">
        <v>5.5838609999999997</v>
      </c>
      <c r="E3350">
        <v>0.50048119999999996</v>
      </c>
      <c r="F3350" t="s">
        <v>54</v>
      </c>
      <c r="G3350">
        <v>-423.01280000000003</v>
      </c>
      <c r="H3350" s="1">
        <v>3.3954850000000002E-6</v>
      </c>
      <c r="I3350">
        <v>215.01310000000001</v>
      </c>
      <c r="J3350">
        <v>-442.39150000000001</v>
      </c>
      <c r="K3350">
        <v>1.119432</v>
      </c>
      <c r="L3350">
        <v>215.2833</v>
      </c>
      <c r="M3350">
        <v>0.99998279999999995</v>
      </c>
      <c r="N3350">
        <v>-5.4231399999999999E-3</v>
      </c>
      <c r="O3350">
        <v>-2.2462139999999998E-3</v>
      </c>
      <c r="P3350">
        <v>0.99528799999999995</v>
      </c>
      <c r="Q3350">
        <v>-9.593923E-2</v>
      </c>
      <c r="R3350">
        <v>-1.4065319999999999E-2</v>
      </c>
      <c r="S3350">
        <v>2.9970699999999999</v>
      </c>
      <c r="T3350">
        <v>-0.17092060000000001</v>
      </c>
      <c r="U3350">
        <v>-4.1397089999999998E-2</v>
      </c>
      <c r="V3350">
        <v>1.175525E-2</v>
      </c>
      <c r="W3350">
        <v>-9.0549770000000002E-2</v>
      </c>
      <c r="X3350">
        <v>0.99582250000000005</v>
      </c>
      <c r="Y3350">
        <v>1.154758E-2</v>
      </c>
      <c r="Z3350">
        <v>-2.4451639999999999E-4</v>
      </c>
      <c r="AA3350">
        <v>0.99993330000000002</v>
      </c>
      <c r="AB3350">
        <v>26</v>
      </c>
      <c r="AC3350">
        <v>19.378699999999899</v>
      </c>
      <c r="AD3350">
        <v>-1.1194286045149999</v>
      </c>
      <c r="AE3350">
        <v>-0.27019999999998801</v>
      </c>
      <c r="AF3350">
        <v>0.22591625820028899</v>
      </c>
      <c r="AG3350">
        <v>-1.1194286045149999</v>
      </c>
      <c r="AH3350">
        <v>19.314818906645101</v>
      </c>
      <c r="AI3350">
        <v>93.316753470687701</v>
      </c>
      <c r="AJ3350">
        <v>89.329869053229203</v>
      </c>
      <c r="AK3350">
        <v>19.348550021973701</v>
      </c>
      <c r="AL3350">
        <v>95.195236000318204</v>
      </c>
      <c r="AM3350">
        <v>89.323679742167201</v>
      </c>
      <c r="AN3350">
        <v>0.999999949127931</v>
      </c>
    </row>
    <row r="3351" spans="1:40" x14ac:dyDescent="0.25">
      <c r="A3351" t="str">
        <f>"20190303154834175"</f>
        <v>20190303154834175</v>
      </c>
      <c r="B3351" t="str">
        <f>"1551599314164567"</f>
        <v>1551599314164567</v>
      </c>
      <c r="C3351" t="s">
        <v>40</v>
      </c>
      <c r="D3351">
        <v>5.5768180000000003</v>
      </c>
      <c r="E3351">
        <v>0.50055229999999995</v>
      </c>
      <c r="F3351" t="s">
        <v>54</v>
      </c>
      <c r="G3351">
        <v>-423.32119999999998</v>
      </c>
      <c r="H3351" s="1">
        <v>3.341981E-6</v>
      </c>
      <c r="I3351">
        <v>214.99950000000001</v>
      </c>
      <c r="J3351">
        <v>-442.02080000000001</v>
      </c>
      <c r="K3351">
        <v>1.1194550000000001</v>
      </c>
      <c r="L3351">
        <v>215.2817</v>
      </c>
      <c r="M3351">
        <v>0.99998100000000001</v>
      </c>
      <c r="N3351">
        <v>-5.4663439999999997E-3</v>
      </c>
      <c r="O3351">
        <v>-2.8910339999999998E-3</v>
      </c>
      <c r="P3351">
        <v>0.99535819999999997</v>
      </c>
      <c r="Q3351">
        <v>-9.4939990000000002E-2</v>
      </c>
      <c r="R3351">
        <v>-1.5777099999999999E-2</v>
      </c>
      <c r="S3351">
        <v>2.9965820000000001</v>
      </c>
      <c r="T3351">
        <v>-0.17589959999999999</v>
      </c>
      <c r="U3351">
        <v>-4.4586180000000003E-2</v>
      </c>
      <c r="V3351">
        <v>1.282908E-2</v>
      </c>
      <c r="W3351">
        <v>-8.950748E-2</v>
      </c>
      <c r="X3351">
        <v>0.9959036</v>
      </c>
      <c r="Y3351">
        <v>1.196812E-2</v>
      </c>
      <c r="Z3351">
        <v>-2.2992999999999999E-4</v>
      </c>
      <c r="AA3351">
        <v>0.99992840000000005</v>
      </c>
      <c r="AB3351">
        <v>26</v>
      </c>
      <c r="AC3351">
        <v>18.6996</v>
      </c>
      <c r="AD3351">
        <v>-1.1194516580189999</v>
      </c>
      <c r="AE3351">
        <v>-0.28219999999998802</v>
      </c>
      <c r="AF3351">
        <v>0.227322343393875</v>
      </c>
      <c r="AG3351">
        <v>-1.1194516580189999</v>
      </c>
      <c r="AH3351">
        <v>18.633573565321999</v>
      </c>
      <c r="AI3351">
        <v>93.437778625469903</v>
      </c>
      <c r="AJ3351">
        <v>89.301048469075994</v>
      </c>
      <c r="AK3351">
        <v>18.668554075683399</v>
      </c>
      <c r="AL3351">
        <v>95.135273019752603</v>
      </c>
      <c r="AM3351">
        <v>89.261965229968197</v>
      </c>
      <c r="AN3351">
        <v>1.0000000773812701</v>
      </c>
    </row>
    <row r="3352" spans="1:40" x14ac:dyDescent="0.25">
      <c r="A3352" t="str">
        <f>"20190303154834197"</f>
        <v>20190303154834197</v>
      </c>
      <c r="B3352" t="str">
        <f>"1551599314193846"</f>
        <v>1551599314193846</v>
      </c>
      <c r="C3352" t="s">
        <v>40</v>
      </c>
      <c r="D3352">
        <v>5.5506019999999996</v>
      </c>
      <c r="E3352">
        <v>0.50046239999999997</v>
      </c>
      <c r="F3352" t="s">
        <v>54</v>
      </c>
      <c r="G3352">
        <v>-422.94150000000002</v>
      </c>
      <c r="H3352" s="1">
        <v>3.4125980000000001E-6</v>
      </c>
      <c r="I3352">
        <v>214.96209999999999</v>
      </c>
      <c r="J3352">
        <v>-441.75040000000001</v>
      </c>
      <c r="K3352">
        <v>1.119483</v>
      </c>
      <c r="L3352">
        <v>215.28039999999999</v>
      </c>
      <c r="M3352">
        <v>0.99997930000000002</v>
      </c>
      <c r="N3352">
        <v>-5.4976410000000002E-3</v>
      </c>
      <c r="O3352">
        <v>-3.3270629999999999E-3</v>
      </c>
      <c r="P3352">
        <v>0.99535819999999997</v>
      </c>
      <c r="Q3352">
        <v>-9.4658950000000006E-2</v>
      </c>
      <c r="R3352">
        <v>-1.7372820000000001E-2</v>
      </c>
      <c r="S3352">
        <v>2.996429</v>
      </c>
      <c r="T3352">
        <v>-0.1758111</v>
      </c>
      <c r="U3352">
        <v>-5.018616E-2</v>
      </c>
      <c r="V3352">
        <v>1.3994799999999899E-2</v>
      </c>
      <c r="W3352">
        <v>-8.9195499999999997E-2</v>
      </c>
      <c r="X3352">
        <v>0.99591580000000002</v>
      </c>
      <c r="Y3352">
        <v>1.3399060000000001E-2</v>
      </c>
      <c r="Z3352">
        <v>-2.528373E-4</v>
      </c>
      <c r="AA3352">
        <v>0.99991019999999997</v>
      </c>
      <c r="AB3352">
        <v>26</v>
      </c>
      <c r="AC3352">
        <v>18.808899999999898</v>
      </c>
      <c r="AD3352">
        <v>-1.119479587402</v>
      </c>
      <c r="AE3352">
        <v>-0.31829999999999298</v>
      </c>
      <c r="AF3352">
        <v>0.25481647397124702</v>
      </c>
      <c r="AG3352">
        <v>-1.119479587402</v>
      </c>
      <c r="AH3352">
        <v>18.743475819125901</v>
      </c>
      <c r="AI3352">
        <v>93.417692869174601</v>
      </c>
      <c r="AJ3352">
        <v>89.221115161034803</v>
      </c>
      <c r="AK3352">
        <v>18.778606225281301</v>
      </c>
      <c r="AL3352">
        <v>95.117326566911004</v>
      </c>
      <c r="AM3352">
        <v>89.194921696209903</v>
      </c>
      <c r="AN3352">
        <v>0.99999998616846397</v>
      </c>
    </row>
    <row r="3353" spans="1:40" x14ac:dyDescent="0.25">
      <c r="A3353" t="str">
        <f>"20190303154834218"</f>
        <v>20190303154834218</v>
      </c>
      <c r="B3353" t="str">
        <f>"1551599314214343"</f>
        <v>1551599314214343</v>
      </c>
      <c r="C3353" t="s">
        <v>40</v>
      </c>
      <c r="D3353">
        <v>5.5190299999999999</v>
      </c>
      <c r="E3353">
        <v>0.50054639999999995</v>
      </c>
      <c r="F3353" t="s">
        <v>54</v>
      </c>
      <c r="G3353">
        <v>-423.11930000000001</v>
      </c>
      <c r="H3353" s="1">
        <v>3.38289E-6</v>
      </c>
      <c r="I3353">
        <v>214.94110000000001</v>
      </c>
      <c r="J3353">
        <v>-441.51209999999998</v>
      </c>
      <c r="K3353">
        <v>1.1195120000000001</v>
      </c>
      <c r="L3353">
        <v>215.27930000000001</v>
      </c>
      <c r="M3353">
        <v>0.99997809999999998</v>
      </c>
      <c r="N3353">
        <v>-5.5253669999999998E-3</v>
      </c>
      <c r="O3353">
        <v>-3.6695719999999999E-3</v>
      </c>
      <c r="P3353">
        <v>0.99535640000000003</v>
      </c>
      <c r="Q3353">
        <v>-9.4313369999999994E-2</v>
      </c>
      <c r="R3353">
        <v>-1.9257549999999998E-2</v>
      </c>
      <c r="S3353">
        <v>2.9958800000000001</v>
      </c>
      <c r="T3353">
        <v>-0.1800129</v>
      </c>
      <c r="U3353">
        <v>-5.4565429999999998E-2</v>
      </c>
      <c r="V3353">
        <v>1.554414E-2</v>
      </c>
      <c r="W3353">
        <v>-8.8822509999999993E-2</v>
      </c>
      <c r="X3353">
        <v>0.99592619999999998</v>
      </c>
      <c r="Y3353">
        <v>1.451819E-2</v>
      </c>
      <c r="Z3353">
        <v>-2.758832E-4</v>
      </c>
      <c r="AA3353">
        <v>0.99989459999999997</v>
      </c>
      <c r="AB3353">
        <v>26</v>
      </c>
      <c r="AC3353">
        <v>18.392799999999902</v>
      </c>
      <c r="AD3353">
        <v>-1.1195086171099999</v>
      </c>
      <c r="AE3353">
        <v>-0.3382</v>
      </c>
      <c r="AF3353">
        <v>0.26970414593125203</v>
      </c>
      <c r="AG3353">
        <v>-1.1195086171099999</v>
      </c>
      <c r="AH3353">
        <v>18.326046709744801</v>
      </c>
      <c r="AI3353">
        <v>93.495384961845204</v>
      </c>
      <c r="AJ3353">
        <v>89.1568397689867</v>
      </c>
      <c r="AK3353">
        <v>18.362190171051601</v>
      </c>
      <c r="AL3353">
        <v>95.095870441632897</v>
      </c>
      <c r="AM3353">
        <v>89.105815962464504</v>
      </c>
      <c r="AN3353">
        <v>1.0000000272087299</v>
      </c>
    </row>
    <row r="3354" spans="1:40" x14ac:dyDescent="0.25">
      <c r="A3354" t="str">
        <f>"20190303154834243"</f>
        <v>20190303154834243</v>
      </c>
      <c r="B3354" t="str">
        <f>"1551599314233863"</f>
        <v>1551599314233863</v>
      </c>
      <c r="C3354" t="s">
        <v>40</v>
      </c>
      <c r="D3354">
        <v>5.5078149999999999</v>
      </c>
      <c r="E3354">
        <v>0.50092360000000002</v>
      </c>
      <c r="F3354" t="s">
        <v>54</v>
      </c>
      <c r="G3354">
        <v>-422.98739999999998</v>
      </c>
      <c r="H3354" s="1">
        <v>3.4096879999999998E-6</v>
      </c>
      <c r="I3354">
        <v>214.90219999999999</v>
      </c>
      <c r="J3354">
        <v>-441.21640000000002</v>
      </c>
      <c r="K3354">
        <v>1.1195550000000001</v>
      </c>
      <c r="L3354">
        <v>215.27770000000001</v>
      </c>
      <c r="M3354">
        <v>0.99997650000000005</v>
      </c>
      <c r="N3354">
        <v>-5.5598669999999996E-3</v>
      </c>
      <c r="O3354">
        <v>-4.0315339999999998E-3</v>
      </c>
      <c r="P3354">
        <v>0.99537240000000005</v>
      </c>
      <c r="Q3354">
        <v>-9.3962069999999995E-2</v>
      </c>
      <c r="R3354">
        <v>-2.0128380000000001E-2</v>
      </c>
      <c r="S3354">
        <v>2.9956670000000001</v>
      </c>
      <c r="T3354">
        <v>-0.181038</v>
      </c>
      <c r="U3354">
        <v>-6.097412E-2</v>
      </c>
      <c r="V3354">
        <v>1.6063299999999999E-2</v>
      </c>
      <c r="W3354">
        <v>-8.8435490000000005E-2</v>
      </c>
      <c r="X3354">
        <v>0.99595239999999996</v>
      </c>
      <c r="Y3354">
        <v>1.6292580000000001E-2</v>
      </c>
      <c r="Z3354">
        <v>-3.1615570000000001E-4</v>
      </c>
      <c r="AA3354">
        <v>0.99986719999999896</v>
      </c>
      <c r="AB3354">
        <v>26</v>
      </c>
      <c r="AC3354">
        <v>18.228999999999999</v>
      </c>
      <c r="AD3354">
        <v>-1.1195515903119999</v>
      </c>
      <c r="AE3354">
        <v>-0.37550000000001599</v>
      </c>
      <c r="AF3354">
        <v>0.300870606576292</v>
      </c>
      <c r="AG3354">
        <v>-1.1195515903119999</v>
      </c>
      <c r="AH3354">
        <v>18.161889570691599</v>
      </c>
      <c r="AI3354">
        <v>93.5269320967667</v>
      </c>
      <c r="AJ3354">
        <v>89.050922582894202</v>
      </c>
      <c r="AK3354">
        <v>18.198850284104999</v>
      </c>
      <c r="AL3354">
        <v>95.073608236036307</v>
      </c>
      <c r="AM3354">
        <v>89.075980435615193</v>
      </c>
      <c r="AN3354">
        <v>1.0000000242820899</v>
      </c>
    </row>
    <row r="3355" spans="1:40" x14ac:dyDescent="0.25">
      <c r="A3355" t="str">
        <f>"20190303154834263"</f>
        <v>20190303154834263</v>
      </c>
      <c r="B3355" t="str">
        <f>"1551599314254359"</f>
        <v>1551599314254359</v>
      </c>
      <c r="C3355" t="s">
        <v>40</v>
      </c>
      <c r="D3355">
        <v>5.516508</v>
      </c>
      <c r="E3355">
        <v>0.50074280000000004</v>
      </c>
      <c r="F3355" t="s">
        <v>54</v>
      </c>
      <c r="G3355">
        <v>-422.38290000000001</v>
      </c>
      <c r="H3355" s="1">
        <v>3.5206109999999999E-6</v>
      </c>
      <c r="I3355">
        <v>214.86</v>
      </c>
      <c r="J3355">
        <v>-440.98649999999998</v>
      </c>
      <c r="K3355">
        <v>1.119591</v>
      </c>
      <c r="L3355">
        <v>215.2765</v>
      </c>
      <c r="M3355">
        <v>0.99997539999999996</v>
      </c>
      <c r="N3355">
        <v>-5.586868E-3</v>
      </c>
      <c r="O3355">
        <v>-4.2688309999999998E-3</v>
      </c>
      <c r="P3355">
        <v>0.99540729999999999</v>
      </c>
      <c r="Q3355">
        <v>-9.3435509999999999E-2</v>
      </c>
      <c r="R3355">
        <v>-2.0844080000000001E-2</v>
      </c>
      <c r="S3355">
        <v>2.9957579999999999</v>
      </c>
      <c r="T3355">
        <v>-0.1780822</v>
      </c>
      <c r="U3355">
        <v>-6.6452029999999995E-2</v>
      </c>
      <c r="V3355">
        <v>1.655011E-2</v>
      </c>
      <c r="W3355">
        <v>-8.7880760000000002E-2</v>
      </c>
      <c r="X3355">
        <v>0.99599349999999998</v>
      </c>
      <c r="Y3355">
        <v>1.7880199999999999E-2</v>
      </c>
      <c r="Z3355">
        <v>-3.5123709999999999E-4</v>
      </c>
      <c r="AA3355">
        <v>0.99984010000000001</v>
      </c>
      <c r="AB3355">
        <v>26</v>
      </c>
      <c r="AC3355">
        <v>18.603599999999901</v>
      </c>
      <c r="AD3355">
        <v>-1.1195874793889999</v>
      </c>
      <c r="AE3355">
        <v>-0.41649999999998399</v>
      </c>
      <c r="AF3355">
        <v>0.33586353603950803</v>
      </c>
      <c r="AG3355">
        <v>-1.1195874793889999</v>
      </c>
      <c r="AH3355">
        <v>18.5381011935381</v>
      </c>
      <c r="AI3355">
        <v>93.455549663889997</v>
      </c>
      <c r="AJ3355">
        <v>88.962058853777805</v>
      </c>
      <c r="AK3355">
        <v>18.574915243432599</v>
      </c>
      <c r="AL3355">
        <v>95.041700472618999</v>
      </c>
      <c r="AM3355">
        <v>89.048021706267207</v>
      </c>
      <c r="AN3355">
        <v>0.99999999308071896</v>
      </c>
    </row>
    <row r="3356" spans="1:40" x14ac:dyDescent="0.25">
      <c r="A3356" t="str">
        <f>"20190303154834289"</f>
        <v>20190303154834289</v>
      </c>
      <c r="B3356" t="str">
        <f>"1551599314284615"</f>
        <v>1551599314284615</v>
      </c>
      <c r="C3356" t="s">
        <v>40</v>
      </c>
      <c r="D3356">
        <v>5.5007460000000004</v>
      </c>
      <c r="E3356">
        <v>0.50067029999999901</v>
      </c>
      <c r="F3356" t="s">
        <v>54</v>
      </c>
      <c r="G3356">
        <v>-422.2296</v>
      </c>
      <c r="H3356" s="1">
        <v>3.5482460000000002E-6</v>
      </c>
      <c r="I3356">
        <v>214.85489999999999</v>
      </c>
      <c r="J3356">
        <v>-440.68049999999999</v>
      </c>
      <c r="K3356">
        <v>1.1196330000000001</v>
      </c>
      <c r="L3356">
        <v>215.2749</v>
      </c>
      <c r="M3356">
        <v>0.99997409999999998</v>
      </c>
      <c r="N3356">
        <v>-5.6223719999999996E-3</v>
      </c>
      <c r="O3356">
        <v>-4.5356959999999997E-3</v>
      </c>
      <c r="P3356">
        <v>0.9955117</v>
      </c>
      <c r="Q3356">
        <v>-9.2337699999999995E-2</v>
      </c>
      <c r="R3356">
        <v>-2.0752590000000001E-2</v>
      </c>
      <c r="S3356">
        <v>2.9956670000000001</v>
      </c>
      <c r="T3356">
        <v>-0.17881</v>
      </c>
      <c r="U3356">
        <v>-6.7337040000000001E-2</v>
      </c>
      <c r="V3356">
        <v>1.6200780000000001E-2</v>
      </c>
      <c r="W3356">
        <v>-8.6745340000000004E-2</v>
      </c>
      <c r="X3356">
        <v>0.99609879999999995</v>
      </c>
      <c r="Y3356">
        <v>1.7909370000000001E-2</v>
      </c>
      <c r="Z3356">
        <v>-3.393844E-4</v>
      </c>
      <c r="AA3356">
        <v>0.99983949999999999</v>
      </c>
      <c r="AB3356">
        <v>26</v>
      </c>
      <c r="AC3356">
        <v>18.450899999999901</v>
      </c>
      <c r="AD3356">
        <v>-1.119629451754</v>
      </c>
      <c r="AE3356">
        <v>-0.42000000000001497</v>
      </c>
      <c r="AF3356">
        <v>0.33507351344449499</v>
      </c>
      <c r="AG3356">
        <v>-1.119629451754</v>
      </c>
      <c r="AH3356">
        <v>18.384952255495602</v>
      </c>
      <c r="AI3356">
        <v>93.484387684152395</v>
      </c>
      <c r="AJ3356">
        <v>88.955875836404005</v>
      </c>
      <c r="AK3356">
        <v>18.422060520080301</v>
      </c>
      <c r="AL3356">
        <v>94.976396161975103</v>
      </c>
      <c r="AM3356">
        <v>89.068210417967094</v>
      </c>
      <c r="AN3356">
        <v>1.00000001932288</v>
      </c>
    </row>
    <row r="3357" spans="1:40" x14ac:dyDescent="0.25">
      <c r="A3357" t="str">
        <f>"20190303154834310"</f>
        <v>20190303154834310</v>
      </c>
      <c r="B3357" t="str">
        <f>"1551599314304136"</f>
        <v>1551599314304136</v>
      </c>
      <c r="C3357" t="s">
        <v>40</v>
      </c>
      <c r="D3357">
        <v>5.494421</v>
      </c>
      <c r="E3357">
        <v>0.50059449999999905</v>
      </c>
      <c r="F3357" t="s">
        <v>54</v>
      </c>
      <c r="G3357">
        <v>-421.86259999999999</v>
      </c>
      <c r="H3357" s="1">
        <v>3.6131460000000002E-6</v>
      </c>
      <c r="I3357">
        <v>214.85720000000001</v>
      </c>
      <c r="J3357">
        <v>-440.42419999999998</v>
      </c>
      <c r="K3357">
        <v>1.1196520000000001</v>
      </c>
      <c r="L3357">
        <v>215.27359999999999</v>
      </c>
      <c r="M3357">
        <v>0.99997290000000005</v>
      </c>
      <c r="N3357">
        <v>-5.6518200000000001E-3</v>
      </c>
      <c r="O3357">
        <v>-4.7283910000000002E-3</v>
      </c>
      <c r="P3357">
        <v>0.99560040000000005</v>
      </c>
      <c r="Q3357">
        <v>-9.1556979999999996E-2</v>
      </c>
      <c r="R3357">
        <v>-1.9938540000000001E-2</v>
      </c>
      <c r="S3357">
        <v>2.9956360000000002</v>
      </c>
      <c r="T3357">
        <v>-0.17823429999999901</v>
      </c>
      <c r="U3357">
        <v>-6.6497799999999996E-2</v>
      </c>
      <c r="V3357">
        <v>1.519915E-2</v>
      </c>
      <c r="W3357">
        <v>-8.593365E-2</v>
      </c>
      <c r="X3357">
        <v>0.99618490000000004</v>
      </c>
      <c r="Y3357">
        <v>1.74382999999999E-2</v>
      </c>
      <c r="Z3357">
        <v>-3.132408E-4</v>
      </c>
      <c r="AA3357">
        <v>0.99984790000000001</v>
      </c>
      <c r="AB3357">
        <v>26</v>
      </c>
      <c r="AC3357">
        <v>18.561599999999999</v>
      </c>
      <c r="AD3357">
        <v>-1.1196483868539999</v>
      </c>
      <c r="AE3357">
        <v>-0.41639999999998101</v>
      </c>
      <c r="AF3357">
        <v>0.32743663853878302</v>
      </c>
      <c r="AG3357">
        <v>-1.1196483868539999</v>
      </c>
      <c r="AH3357">
        <v>18.4960956682629</v>
      </c>
      <c r="AI3357">
        <v>93.463591897444005</v>
      </c>
      <c r="AJ3357">
        <v>88.985797959740097</v>
      </c>
      <c r="AK3357">
        <v>18.532846037022399</v>
      </c>
      <c r="AL3357">
        <v>94.929715624875996</v>
      </c>
      <c r="AM3357">
        <v>89.125885583426594</v>
      </c>
      <c r="AN3357">
        <v>0.99999998067552698</v>
      </c>
    </row>
    <row r="3358" spans="1:40" x14ac:dyDescent="0.25">
      <c r="A3358" t="str">
        <f>"20190303154834332"</f>
        <v>20190303154834332</v>
      </c>
      <c r="B3358" t="str">
        <f>"1551599314324631"</f>
        <v>1551599314324631</v>
      </c>
      <c r="C3358" t="s">
        <v>40</v>
      </c>
      <c r="D3358">
        <v>5.4996780000000003</v>
      </c>
      <c r="E3358">
        <v>0.50054560000000003</v>
      </c>
      <c r="F3358" t="s">
        <v>54</v>
      </c>
      <c r="G3358">
        <v>-421.55290000000002</v>
      </c>
      <c r="H3358" s="1">
        <v>3.6665299999999999E-6</v>
      </c>
      <c r="I3358">
        <v>214.87479999999999</v>
      </c>
      <c r="J3358">
        <v>-440.16399999999999</v>
      </c>
      <c r="K3358">
        <v>1.1196660000000001</v>
      </c>
      <c r="L3358">
        <v>215.2722</v>
      </c>
      <c r="M3358">
        <v>0.99997179999999997</v>
      </c>
      <c r="N3358">
        <v>-5.6814980000000001E-3</v>
      </c>
      <c r="O3358">
        <v>-4.9030360000000004E-3</v>
      </c>
      <c r="P3358">
        <v>0.99563950000000001</v>
      </c>
      <c r="Q3358">
        <v>-9.1411989999999999E-2</v>
      </c>
      <c r="R3358">
        <v>-1.860059E-2</v>
      </c>
      <c r="S3358">
        <v>2.9955750000000001</v>
      </c>
      <c r="T3358">
        <v>-0.17773059999999999</v>
      </c>
      <c r="U3358">
        <v>-6.3293459999999996E-2</v>
      </c>
      <c r="V3358">
        <v>1.36896E-2</v>
      </c>
      <c r="W3358">
        <v>-8.5757959999999994E-2</v>
      </c>
      <c r="X3358">
        <v>0.99622200000000005</v>
      </c>
      <c r="Y3358">
        <v>1.6197840000000002E-2</v>
      </c>
      <c r="Z3358">
        <v>-2.6332770000000002E-4</v>
      </c>
      <c r="AA3358">
        <v>0.9998688</v>
      </c>
      <c r="AB3358">
        <v>27</v>
      </c>
      <c r="AC3358">
        <v>18.611099999999901</v>
      </c>
      <c r="AD3358">
        <v>-1.11966233347</v>
      </c>
      <c r="AE3358">
        <v>-0.39740000000000397</v>
      </c>
      <c r="AF3358">
        <v>0.30503931382844601</v>
      </c>
      <c r="AG3358">
        <v>-1.11966233347</v>
      </c>
      <c r="AH3358">
        <v>18.5457319639156</v>
      </c>
      <c r="AI3358">
        <v>93.454461078273496</v>
      </c>
      <c r="AJ3358">
        <v>89.057686724457298</v>
      </c>
      <c r="AK3358">
        <v>18.582003842464701</v>
      </c>
      <c r="AL3358">
        <v>94.919611674071902</v>
      </c>
      <c r="AM3358">
        <v>89.212718712283305</v>
      </c>
      <c r="AN3358">
        <v>1.00000005306775</v>
      </c>
    </row>
    <row r="3359" spans="1:40" x14ac:dyDescent="0.25">
      <c r="A3359" t="str">
        <f>"20190303154834353"</f>
        <v>20190303154834353</v>
      </c>
      <c r="B3359" t="str">
        <f>"1551599314344151"</f>
        <v>1551599314344151</v>
      </c>
      <c r="C3359" t="s">
        <v>40</v>
      </c>
      <c r="D3359">
        <v>5.4988960000000002</v>
      </c>
      <c r="E3359">
        <v>0.50057070000000004</v>
      </c>
      <c r="F3359" t="s">
        <v>54</v>
      </c>
      <c r="G3359">
        <v>-421.3997</v>
      </c>
      <c r="H3359" s="1">
        <v>3.6911859999999999E-6</v>
      </c>
      <c r="I3359">
        <v>214.90369999999999</v>
      </c>
      <c r="J3359">
        <v>-439.90879999999999</v>
      </c>
      <c r="K3359">
        <v>1.1196710000000001</v>
      </c>
      <c r="L3359">
        <v>215.27070000000001</v>
      </c>
      <c r="M3359">
        <v>0.99997100000000005</v>
      </c>
      <c r="N3359">
        <v>-5.7103930000000002E-3</v>
      </c>
      <c r="O3359">
        <v>-5.0618779999999997E-3</v>
      </c>
      <c r="P3359">
        <v>0.99565230000000005</v>
      </c>
      <c r="Q3359">
        <v>-9.151223E-2</v>
      </c>
      <c r="R3359">
        <v>-1.7390039999999999E-2</v>
      </c>
      <c r="S3359">
        <v>2.9956360000000002</v>
      </c>
      <c r="T3359">
        <v>-0.1787493</v>
      </c>
      <c r="U3359">
        <v>-5.8822630000000001E-2</v>
      </c>
      <c r="V3359">
        <v>1.2321530000000001E-2</v>
      </c>
      <c r="W3359">
        <v>-8.5828769999999999E-2</v>
      </c>
      <c r="X3359">
        <v>0.9962337</v>
      </c>
      <c r="Y3359">
        <v>1.45501E-2</v>
      </c>
      <c r="Z3359">
        <v>-2.0240260000000001E-4</v>
      </c>
      <c r="AA3359">
        <v>0.99989410000000001</v>
      </c>
      <c r="AB3359">
        <v>27</v>
      </c>
      <c r="AC3359">
        <v>18.509099999999901</v>
      </c>
      <c r="AD3359">
        <v>-1.1196673088139999</v>
      </c>
      <c r="AE3359">
        <v>-0.36700000000001798</v>
      </c>
      <c r="AF3359">
        <v>0.27230689273473602</v>
      </c>
      <c r="AG3359">
        <v>-1.1196673088139999</v>
      </c>
      <c r="AH3359">
        <v>18.4432562633293</v>
      </c>
      <c r="AI3359">
        <v>93.473714536391796</v>
      </c>
      <c r="AJ3359">
        <v>89.154113465579499</v>
      </c>
      <c r="AK3359">
        <v>18.479218260551299</v>
      </c>
      <c r="AL3359">
        <v>94.923684106326704</v>
      </c>
      <c r="AM3359">
        <v>89.291395511006797</v>
      </c>
      <c r="AN3359">
        <v>0.99999999143847196</v>
      </c>
    </row>
    <row r="3360" spans="1:40" x14ac:dyDescent="0.25">
      <c r="A3360" t="str">
        <f>"20190303154834375"</f>
        <v>20190303154834375</v>
      </c>
      <c r="B3360" t="str">
        <f>"1551599314363671"</f>
        <v>1551599314363671</v>
      </c>
      <c r="C3360" t="s">
        <v>40</v>
      </c>
      <c r="D3360">
        <v>5.4916229999999997</v>
      </c>
      <c r="E3360">
        <v>0.50057649999999998</v>
      </c>
      <c r="F3360" t="s">
        <v>54</v>
      </c>
      <c r="G3360">
        <v>-421.27980000000002</v>
      </c>
      <c r="H3360" s="1">
        <v>3.7105470000000001E-6</v>
      </c>
      <c r="I3360">
        <v>214.9256</v>
      </c>
      <c r="J3360">
        <v>-439.65629999999999</v>
      </c>
      <c r="K3360">
        <v>1.1196660000000001</v>
      </c>
      <c r="L3360">
        <v>215.26929999999999</v>
      </c>
      <c r="M3360">
        <v>0.99997000000000003</v>
      </c>
      <c r="N3360">
        <v>-5.7389850000000003E-3</v>
      </c>
      <c r="O3360">
        <v>-5.213601E-3</v>
      </c>
      <c r="P3360">
        <v>0.99559880000000001</v>
      </c>
      <c r="Q3360">
        <v>-9.2254299999999997E-2</v>
      </c>
      <c r="R3360">
        <v>-1.650223E-2</v>
      </c>
      <c r="S3360">
        <v>2.9955440000000002</v>
      </c>
      <c r="T3360">
        <v>-0.1800426</v>
      </c>
      <c r="U3360">
        <v>-5.5496219999999999E-2</v>
      </c>
      <c r="V3360">
        <v>1.128267E-2</v>
      </c>
      <c r="W3360">
        <v>-8.6542380000000002E-2</v>
      </c>
      <c r="X3360">
        <v>0.99618430000000002</v>
      </c>
      <c r="Y3360">
        <v>1.329145E-2</v>
      </c>
      <c r="Z3360">
        <v>-1.540712E-4</v>
      </c>
      <c r="AA3360">
        <v>0.99991169999999996</v>
      </c>
      <c r="AB3360">
        <v>27</v>
      </c>
      <c r="AC3360">
        <v>18.376499999999901</v>
      </c>
      <c r="AD3360">
        <v>-1.1196622894529999</v>
      </c>
      <c r="AE3360">
        <v>-0.34369999999998402</v>
      </c>
      <c r="AF3360">
        <v>0.24696950199422801</v>
      </c>
      <c r="AG3360">
        <v>-1.1196622894529999</v>
      </c>
      <c r="AH3360">
        <v>18.310092544154202</v>
      </c>
      <c r="AI3360">
        <v>93.498962540652599</v>
      </c>
      <c r="AJ3360">
        <v>89.2272320815526</v>
      </c>
      <c r="AK3360">
        <v>18.345956681318899</v>
      </c>
      <c r="AL3360">
        <v>94.964723506309298</v>
      </c>
      <c r="AM3360">
        <v>89.351102267403704</v>
      </c>
      <c r="AN3360">
        <v>1.00000002087244</v>
      </c>
    </row>
    <row r="3361" spans="1:40" x14ac:dyDescent="0.25">
      <c r="A3361" t="str">
        <f>"20190303154834396"</f>
        <v>20190303154834396</v>
      </c>
      <c r="B3361" t="str">
        <f>"1551599314393927"</f>
        <v>1551599314393927</v>
      </c>
      <c r="C3361" t="s">
        <v>40</v>
      </c>
      <c r="D3361">
        <v>5.4481809999999999</v>
      </c>
      <c r="E3361">
        <v>0.50062470000000003</v>
      </c>
      <c r="F3361" t="s">
        <v>54</v>
      </c>
      <c r="G3361">
        <v>-421.49340000000001</v>
      </c>
      <c r="H3361" s="1">
        <v>3.6707319999999999E-6</v>
      </c>
      <c r="I3361">
        <v>214.9477</v>
      </c>
      <c r="J3361">
        <v>-439.38299999999998</v>
      </c>
      <c r="K3361">
        <v>1.119664</v>
      </c>
      <c r="L3361">
        <v>215.26769999999999</v>
      </c>
      <c r="M3361">
        <v>0.999969</v>
      </c>
      <c r="N3361">
        <v>-5.7700030000000001E-3</v>
      </c>
      <c r="O3361">
        <v>-5.3778619999999997E-3</v>
      </c>
      <c r="P3361">
        <v>0.99558270000000004</v>
      </c>
      <c r="Q3361">
        <v>-9.2439980000000005E-2</v>
      </c>
      <c r="R3361">
        <v>-1.6434770000000001E-2</v>
      </c>
      <c r="S3361">
        <v>2.9952999999999999</v>
      </c>
      <c r="T3361">
        <v>-0.18464659999999999</v>
      </c>
      <c r="U3361">
        <v>-5.3039549999999998E-2</v>
      </c>
      <c r="V3361">
        <v>1.105138E-2</v>
      </c>
      <c r="W3361">
        <v>-8.6697200000000002E-2</v>
      </c>
      <c r="X3361">
        <v>0.99617339999999999</v>
      </c>
      <c r="Y3361">
        <v>1.231028E-2</v>
      </c>
      <c r="Z3361">
        <v>-1.144287E-4</v>
      </c>
      <c r="AA3361">
        <v>0.99992420000000004</v>
      </c>
      <c r="AB3361">
        <v>27</v>
      </c>
      <c r="AC3361">
        <v>17.889600000000002</v>
      </c>
      <c r="AD3361">
        <v>-1.1196603292680001</v>
      </c>
      <c r="AE3361">
        <v>-0.31999999999999301</v>
      </c>
      <c r="AF3361">
        <v>0.222913074249323</v>
      </c>
      <c r="AG3361">
        <v>-1.1196603292680001</v>
      </c>
      <c r="AH3361">
        <v>17.821275776441301</v>
      </c>
      <c r="AI3361">
        <v>93.594726074660898</v>
      </c>
      <c r="AJ3361">
        <v>89.283367111910096</v>
      </c>
      <c r="AK3361">
        <v>17.857805010459199</v>
      </c>
      <c r="AL3361">
        <v>94.973627657954793</v>
      </c>
      <c r="AM3361">
        <v>89.364396341852199</v>
      </c>
      <c r="AN3361">
        <v>0.99999999017765195</v>
      </c>
    </row>
    <row r="3362" spans="1:40" x14ac:dyDescent="0.25">
      <c r="A3362" t="str">
        <f>"20190303154834420"</f>
        <v>20190303154834420</v>
      </c>
      <c r="B3362" t="str">
        <f>"1551599314414423"</f>
        <v>1551599314414423</v>
      </c>
      <c r="C3362" t="s">
        <v>40</v>
      </c>
      <c r="D3362">
        <v>5.4709409999999998</v>
      </c>
      <c r="E3362">
        <v>0.50065649999999995</v>
      </c>
      <c r="F3362" t="s">
        <v>54</v>
      </c>
      <c r="G3362">
        <v>-421.5052</v>
      </c>
      <c r="H3362" s="1">
        <v>3.66845E-6</v>
      </c>
      <c r="I3362">
        <v>214.94970000000001</v>
      </c>
      <c r="J3362">
        <v>-439.10219999999998</v>
      </c>
      <c r="K3362">
        <v>1.119664</v>
      </c>
      <c r="L3362">
        <v>215.26599999999999</v>
      </c>
      <c r="M3362">
        <v>0.99996779999999996</v>
      </c>
      <c r="N3362">
        <v>-5.8018439999999996E-3</v>
      </c>
      <c r="O3362">
        <v>-5.5491610000000004E-3</v>
      </c>
      <c r="P3362">
        <v>0.99558639999999998</v>
      </c>
      <c r="Q3362">
        <v>-9.2236219999999994E-2</v>
      </c>
      <c r="R3362">
        <v>-1.7337890000000002E-2</v>
      </c>
      <c r="S3362">
        <v>2.9950559999999999</v>
      </c>
      <c r="T3362">
        <v>-0.18757670000000001</v>
      </c>
      <c r="U3362">
        <v>-5.3268429999999999E-2</v>
      </c>
      <c r="V3362">
        <v>1.1783109999999999E-2</v>
      </c>
      <c r="W3362">
        <v>-8.6461979999999994E-2</v>
      </c>
      <c r="X3362">
        <v>0.99618549999999995</v>
      </c>
      <c r="Y3362">
        <v>1.221679E-2</v>
      </c>
      <c r="Z3362">
        <v>-1.026387E-4</v>
      </c>
      <c r="AA3362">
        <v>0.99992539999999996</v>
      </c>
      <c r="AB3362">
        <v>27</v>
      </c>
      <c r="AC3362">
        <v>17.596999999999898</v>
      </c>
      <c r="AD3362">
        <v>-1.11966033155</v>
      </c>
      <c r="AE3362">
        <v>-0.31629999999998398</v>
      </c>
      <c r="AF3362">
        <v>0.217763569477779</v>
      </c>
      <c r="AG3362">
        <v>-1.11966033155</v>
      </c>
      <c r="AH3362">
        <v>17.5275467386749</v>
      </c>
      <c r="AI3362">
        <v>93.654808881137797</v>
      </c>
      <c r="AJ3362">
        <v>89.288189514587501</v>
      </c>
      <c r="AK3362">
        <v>17.564622253458001</v>
      </c>
      <c r="AL3362">
        <v>94.960099533245995</v>
      </c>
      <c r="AM3362">
        <v>89.322324014558106</v>
      </c>
      <c r="AN3362">
        <v>1.0000000330385199</v>
      </c>
    </row>
    <row r="3363" spans="1:40" x14ac:dyDescent="0.25">
      <c r="A3363" t="str">
        <f>"20190303154834443"</f>
        <v>20190303154834443</v>
      </c>
      <c r="B3363" t="str">
        <f>"1551599314433943"</f>
        <v>1551599314433943</v>
      </c>
      <c r="C3363" t="s">
        <v>40</v>
      </c>
      <c r="D3363">
        <v>5.4835570000000002</v>
      </c>
      <c r="E3363">
        <v>0.50063440000000003</v>
      </c>
      <c r="F3363" t="s">
        <v>54</v>
      </c>
      <c r="G3363">
        <v>-421.32990000000001</v>
      </c>
      <c r="H3363" s="1">
        <v>3.7011320000000001E-6</v>
      </c>
      <c r="I3363">
        <v>214.93170000000001</v>
      </c>
      <c r="J3363">
        <v>-438.82760000000002</v>
      </c>
      <c r="K3363">
        <v>1.119669</v>
      </c>
      <c r="L3363">
        <v>215.26429999999999</v>
      </c>
      <c r="M3363">
        <v>0.99996669999999999</v>
      </c>
      <c r="N3363">
        <v>-5.8400689999999998E-3</v>
      </c>
      <c r="O3363">
        <v>-5.7214290000000001E-3</v>
      </c>
      <c r="P3363">
        <v>0.99557280000000004</v>
      </c>
      <c r="Q3363">
        <v>-9.225862E-2</v>
      </c>
      <c r="R3363">
        <v>-1.7981549999999999E-2</v>
      </c>
      <c r="S3363">
        <v>2.9948429999999999</v>
      </c>
      <c r="T3363">
        <v>-0.18867529999999999</v>
      </c>
      <c r="U3363">
        <v>-5.6335450000000002E-2</v>
      </c>
      <c r="V3363">
        <v>1.2255250000000001E-2</v>
      </c>
      <c r="W3363">
        <v>-8.6446590000000004E-2</v>
      </c>
      <c r="X3363">
        <v>0.99618110000000004</v>
      </c>
      <c r="Y3363">
        <v>1.30677E-2</v>
      </c>
      <c r="Z3363">
        <v>-1.2271839999999999E-4</v>
      </c>
      <c r="AA3363">
        <v>0.99991459999999999</v>
      </c>
      <c r="AB3363">
        <v>27</v>
      </c>
      <c r="AC3363">
        <v>17.497699999999998</v>
      </c>
      <c r="AD3363">
        <v>-1.119665298868</v>
      </c>
      <c r="AE3363">
        <v>-0.33259999999998502</v>
      </c>
      <c r="AF3363">
        <v>0.231533312142567</v>
      </c>
      <c r="AG3363">
        <v>-1.119665298868</v>
      </c>
      <c r="AH3363">
        <v>17.427981241721199</v>
      </c>
      <c r="AI3363">
        <v>93.675607304847603</v>
      </c>
      <c r="AJ3363">
        <v>89.238861859760206</v>
      </c>
      <c r="AK3363">
        <v>17.465445548794499</v>
      </c>
      <c r="AL3363">
        <v>94.959214631174305</v>
      </c>
      <c r="AM3363">
        <v>89.295169641737502</v>
      </c>
      <c r="AN3363">
        <v>0.99999999403619999</v>
      </c>
    </row>
    <row r="3364" spans="1:40" x14ac:dyDescent="0.25">
      <c r="A3364" t="str">
        <f>"20190303154834465"</f>
        <v>20190303154834465</v>
      </c>
      <c r="B3364" t="str">
        <f>"1551599314454439"</f>
        <v>1551599314454439</v>
      </c>
      <c r="C3364" t="s">
        <v>40</v>
      </c>
      <c r="D3364">
        <v>5.4984089999999997</v>
      </c>
      <c r="E3364">
        <v>0.50065000000000004</v>
      </c>
      <c r="F3364" t="s">
        <v>54</v>
      </c>
      <c r="G3364">
        <v>-421.17340000000002</v>
      </c>
      <c r="H3364" s="1">
        <v>3.7296959999999999E-6</v>
      </c>
      <c r="I3364">
        <v>214.92250000000001</v>
      </c>
      <c r="J3364">
        <v>-438.55579999999998</v>
      </c>
      <c r="K3364">
        <v>1.1196809999999999</v>
      </c>
      <c r="L3364">
        <v>215.26249999999999</v>
      </c>
      <c r="M3364">
        <v>0.9999654</v>
      </c>
      <c r="N3364">
        <v>-5.8888459999999997E-3</v>
      </c>
      <c r="O3364">
        <v>-5.8944419999999997E-3</v>
      </c>
      <c r="P3364">
        <v>0.99558230000000003</v>
      </c>
      <c r="Q3364">
        <v>-9.2014879999999993E-2</v>
      </c>
      <c r="R3364">
        <v>-1.8694769999999999E-2</v>
      </c>
      <c r="S3364">
        <v>2.9946899999999999</v>
      </c>
      <c r="T3364">
        <v>-0.1899296</v>
      </c>
      <c r="U3364">
        <v>-5.7983399999999997E-2</v>
      </c>
      <c r="V3364">
        <v>1.279595E-2</v>
      </c>
      <c r="W3364">
        <v>-8.6154389999999997E-2</v>
      </c>
      <c r="X3364">
        <v>0.99619959999999996</v>
      </c>
      <c r="Y3364">
        <v>1.3444899999999999E-2</v>
      </c>
      <c r="Z3364">
        <v>-1.267757E-4</v>
      </c>
      <c r="AA3364">
        <v>0.99990959999999995</v>
      </c>
      <c r="AB3364">
        <v>27</v>
      </c>
      <c r="AC3364">
        <v>17.382399999999901</v>
      </c>
      <c r="AD3364">
        <v>-1.1196772703040001</v>
      </c>
      <c r="AE3364">
        <v>-0.33999999999997499</v>
      </c>
      <c r="AF3364">
        <v>0.23655165046114099</v>
      </c>
      <c r="AG3364">
        <v>-1.1196772703040001</v>
      </c>
      <c r="AH3364">
        <v>17.312297139505599</v>
      </c>
      <c r="AI3364">
        <v>93.7001210448569</v>
      </c>
      <c r="AJ3364">
        <v>89.217171024562603</v>
      </c>
      <c r="AK3364">
        <v>17.350079715076401</v>
      </c>
      <c r="AL3364">
        <v>94.942410182914202</v>
      </c>
      <c r="AM3364">
        <v>89.264089632921596</v>
      </c>
      <c r="AN3364">
        <v>0.99999997914641703</v>
      </c>
    </row>
    <row r="3365" spans="1:40" x14ac:dyDescent="0.25">
      <c r="A3365" t="str">
        <f>"20190303154834489"</f>
        <v>20190303154834489</v>
      </c>
      <c r="B3365" t="str">
        <f>"1551599314483719"</f>
        <v>1551599314483719</v>
      </c>
      <c r="C3365" t="s">
        <v>40</v>
      </c>
      <c r="D3365">
        <v>5.4879220000000002</v>
      </c>
      <c r="E3365">
        <v>0.50073389999999995</v>
      </c>
      <c r="F3365" t="s">
        <v>54</v>
      </c>
      <c r="G3365">
        <v>-420.90350000000001</v>
      </c>
      <c r="H3365" s="1">
        <v>3.7789170000000002E-6</v>
      </c>
      <c r="I3365">
        <v>214.90700000000001</v>
      </c>
      <c r="J3365">
        <v>-438.25529999999998</v>
      </c>
      <c r="K3365">
        <v>1.119694</v>
      </c>
      <c r="L3365">
        <v>215.26060000000001</v>
      </c>
      <c r="M3365">
        <v>0.99996379999999996</v>
      </c>
      <c r="N3365">
        <v>-5.9540909999999999E-3</v>
      </c>
      <c r="O3365">
        <v>-6.0875340000000003E-3</v>
      </c>
      <c r="P3365">
        <v>0.99558899999999995</v>
      </c>
      <c r="Q3365">
        <v>-9.1846280000000002E-2</v>
      </c>
      <c r="R3365">
        <v>-1.9157090000000002E-2</v>
      </c>
      <c r="S3365">
        <v>2.9946290000000002</v>
      </c>
      <c r="T3365">
        <v>-0.18994810000000001</v>
      </c>
      <c r="U3365">
        <v>-6.0317990000000002E-2</v>
      </c>
      <c r="V3365">
        <v>1.3065729999999999E-2</v>
      </c>
      <c r="W3365">
        <v>-8.5920860000000002E-2</v>
      </c>
      <c r="X3365">
        <v>0.99621630000000005</v>
      </c>
      <c r="Y3365">
        <v>1.40304E-2</v>
      </c>
      <c r="Z3365">
        <v>-1.3681389999999999E-4</v>
      </c>
      <c r="AA3365">
        <v>0.9999015</v>
      </c>
      <c r="AB3365">
        <v>27</v>
      </c>
      <c r="AC3365">
        <v>17.351799999999901</v>
      </c>
      <c r="AD3365">
        <v>-1.119690221083</v>
      </c>
      <c r="AE3365">
        <v>-0.35360000000000003</v>
      </c>
      <c r="AF3365">
        <v>0.24693411150931899</v>
      </c>
      <c r="AG3365">
        <v>-1.119690221083</v>
      </c>
      <c r="AH3365">
        <v>17.281700598787001</v>
      </c>
      <c r="AI3365">
        <v>93.706664183719695</v>
      </c>
      <c r="AJ3365">
        <v>89.181369937210306</v>
      </c>
      <c r="AK3365">
        <v>17.3196956737909</v>
      </c>
      <c r="AL3365">
        <v>94.928979936950995</v>
      </c>
      <c r="AM3365">
        <v>89.2485886185693</v>
      </c>
      <c r="AN3365">
        <v>1.00000001193463</v>
      </c>
    </row>
    <row r="3366" spans="1:40" x14ac:dyDescent="0.25">
      <c r="A3366" t="str">
        <f>"20190303154834511"</f>
        <v>20190303154834511</v>
      </c>
      <c r="B3366" t="str">
        <f>"1551599314504215"</f>
        <v>1551599314504215</v>
      </c>
      <c r="C3366" t="s">
        <v>40</v>
      </c>
      <c r="D3366">
        <v>5.5371160000000001</v>
      </c>
      <c r="E3366">
        <v>0.50075729999999996</v>
      </c>
      <c r="F3366" t="s">
        <v>54</v>
      </c>
      <c r="G3366">
        <v>-420.7294</v>
      </c>
      <c r="H3366" s="1">
        <v>3.8106730000000001E-6</v>
      </c>
      <c r="I3366">
        <v>214.89709999999999</v>
      </c>
      <c r="J3366">
        <v>-437.99740000000003</v>
      </c>
      <c r="K3366">
        <v>1.1197079999999999</v>
      </c>
      <c r="L3366">
        <v>215.25890000000001</v>
      </c>
      <c r="M3366">
        <v>0.99996229999999997</v>
      </c>
      <c r="N3366">
        <v>-6.0222369999999997E-3</v>
      </c>
      <c r="O3366">
        <v>-6.2538139999999999E-3</v>
      </c>
      <c r="P3366">
        <v>0.99565110000000001</v>
      </c>
      <c r="Q3366">
        <v>-9.1203320000000004E-2</v>
      </c>
      <c r="R3366">
        <v>-1.9003019999999999E-2</v>
      </c>
      <c r="S3366">
        <v>2.9944760000000001</v>
      </c>
      <c r="T3366">
        <v>-0.1913096</v>
      </c>
      <c r="U3366">
        <v>-6.2103270000000002E-2</v>
      </c>
      <c r="V3366">
        <v>1.2745619999999999E-2</v>
      </c>
      <c r="W3366">
        <v>-8.5209560000000004E-2</v>
      </c>
      <c r="X3366">
        <v>0.99628150000000004</v>
      </c>
      <c r="Y3366">
        <v>1.446003E-2</v>
      </c>
      <c r="Z3366">
        <v>-1.435242E-4</v>
      </c>
      <c r="AA3366">
        <v>0.99989550000000005</v>
      </c>
      <c r="AB3366">
        <v>27</v>
      </c>
      <c r="AC3366">
        <v>17.268000000000001</v>
      </c>
      <c r="AD3366">
        <v>-1.1197041893270001</v>
      </c>
      <c r="AE3366">
        <v>-0.361800000000016</v>
      </c>
      <c r="AF3366">
        <v>0.25273791476562002</v>
      </c>
      <c r="AG3366">
        <v>-1.1197041893270001</v>
      </c>
      <c r="AH3366">
        <v>17.1976478363508</v>
      </c>
      <c r="AI3366">
        <v>93.724753885712602</v>
      </c>
      <c r="AJ3366">
        <v>89.158037563293902</v>
      </c>
      <c r="AK3366">
        <v>17.235913234531498</v>
      </c>
      <c r="AL3366">
        <v>94.8880756221577</v>
      </c>
      <c r="AM3366">
        <v>89.267044106395005</v>
      </c>
      <c r="AN3366">
        <v>0.99999997359341297</v>
      </c>
    </row>
    <row r="3367" spans="1:40" x14ac:dyDescent="0.25">
      <c r="A3367" t="str">
        <f>"20190303154834533"</f>
        <v>20190303154834533</v>
      </c>
      <c r="B3367" t="str">
        <f>"1551599314523735"</f>
        <v>1551599314523735</v>
      </c>
      <c r="C3367" t="s">
        <v>40</v>
      </c>
      <c r="D3367">
        <v>5.5148010000000003</v>
      </c>
      <c r="E3367">
        <v>0.50081489999999995</v>
      </c>
      <c r="F3367" t="s">
        <v>54</v>
      </c>
      <c r="G3367">
        <v>-420.42200000000003</v>
      </c>
      <c r="H3367" s="1">
        <v>3.8653129999999998E-6</v>
      </c>
      <c r="I3367">
        <v>214.89590000000001</v>
      </c>
      <c r="J3367">
        <v>-437.71949999999998</v>
      </c>
      <c r="K3367">
        <v>1.1197280000000001</v>
      </c>
      <c r="L3367">
        <v>215.2569</v>
      </c>
      <c r="M3367">
        <v>0.99996079999999998</v>
      </c>
      <c r="N3367">
        <v>-6.1162259999999998E-3</v>
      </c>
      <c r="O3367">
        <v>-6.4330569999999998E-3</v>
      </c>
      <c r="P3367">
        <v>0.99573929999999999</v>
      </c>
      <c r="Q3367">
        <v>-9.0394749999999996E-2</v>
      </c>
      <c r="R3367">
        <v>-1.822886E-2</v>
      </c>
      <c r="S3367">
        <v>2.9944459999999999</v>
      </c>
      <c r="T3367">
        <v>-0.1907711</v>
      </c>
      <c r="U3367">
        <v>-6.1843870000000002E-2</v>
      </c>
      <c r="V3367">
        <v>1.1792499999999999E-2</v>
      </c>
      <c r="W3367">
        <v>-8.4306519999999996E-2</v>
      </c>
      <c r="X3367">
        <v>0.99637010000000004</v>
      </c>
      <c r="Y3367">
        <v>1.4195350000000001E-2</v>
      </c>
      <c r="Z3367">
        <v>-1.250744E-4</v>
      </c>
      <c r="AA3367">
        <v>0.99989919999999999</v>
      </c>
      <c r="AB3367">
        <v>28</v>
      </c>
      <c r="AC3367">
        <v>17.297499999999999</v>
      </c>
      <c r="AD3367">
        <v>-1.1197241346869999</v>
      </c>
      <c r="AE3367">
        <v>-0.36099999999999</v>
      </c>
      <c r="AF3367">
        <v>0.24867308107373201</v>
      </c>
      <c r="AG3367">
        <v>-1.1197241346869999</v>
      </c>
      <c r="AH3367">
        <v>17.227306574919201</v>
      </c>
      <c r="AI3367">
        <v>93.7184394665979</v>
      </c>
      <c r="AJ3367">
        <v>89.173003133069301</v>
      </c>
      <c r="AK3367">
        <v>17.265448510400901</v>
      </c>
      <c r="AL3367">
        <v>94.836148184135595</v>
      </c>
      <c r="AM3367">
        <v>89.321909665759705</v>
      </c>
      <c r="AN3367">
        <v>1.0000000142723799</v>
      </c>
    </row>
    <row r="3368" spans="1:40" x14ac:dyDescent="0.25">
      <c r="A3368" t="str">
        <f>"20190303154834554"</f>
        <v>20190303154834554</v>
      </c>
      <c r="B3368" t="str">
        <f>"1551599314544232"</f>
        <v>1551599314544232</v>
      </c>
      <c r="C3368" t="s">
        <v>40</v>
      </c>
      <c r="D3368">
        <v>5.5065359999999997</v>
      </c>
      <c r="E3368">
        <v>0.50084879999999998</v>
      </c>
      <c r="F3368" t="s">
        <v>54</v>
      </c>
      <c r="G3368">
        <v>-420.0247</v>
      </c>
      <c r="H3368" s="1">
        <v>3.9351599999999998E-6</v>
      </c>
      <c r="I3368">
        <v>214.90289999999999</v>
      </c>
      <c r="J3368">
        <v>-437.45760000000001</v>
      </c>
      <c r="K3368">
        <v>1.1197440000000001</v>
      </c>
      <c r="L3368">
        <v>215.2551</v>
      </c>
      <c r="M3368">
        <v>0.99995889999999998</v>
      </c>
      <c r="N3368">
        <v>-6.2361079999999998E-3</v>
      </c>
      <c r="O3368">
        <v>-6.6014209999999997E-3</v>
      </c>
      <c r="P3368">
        <v>0.99577040000000006</v>
      </c>
      <c r="Q3368">
        <v>-9.0158009999999997E-2</v>
      </c>
      <c r="R3368">
        <v>-1.7699599999999999E-2</v>
      </c>
      <c r="S3368">
        <v>2.9945369999999998</v>
      </c>
      <c r="T3368">
        <v>-0.1894941</v>
      </c>
      <c r="U3368">
        <v>-5.9906010000000003E-2</v>
      </c>
      <c r="V3368">
        <v>1.1095280000000001E-2</v>
      </c>
      <c r="W3368">
        <v>-8.3949949999999995E-2</v>
      </c>
      <c r="X3368">
        <v>0.99640819999999997</v>
      </c>
      <c r="Y3368">
        <v>1.3381759999999999E-2</v>
      </c>
      <c r="Z3368" s="1">
        <v>-8.8566540000000003E-5</v>
      </c>
      <c r="AA3368">
        <v>0.99991050000000004</v>
      </c>
      <c r="AB3368">
        <v>28</v>
      </c>
      <c r="AC3368">
        <v>17.4329</v>
      </c>
      <c r="AD3368">
        <v>-1.11974006484</v>
      </c>
      <c r="AE3368">
        <v>-0.35220000000001001</v>
      </c>
      <c r="AF3368">
        <v>0.23613437445170499</v>
      </c>
      <c r="AG3368">
        <v>-1.11974006484</v>
      </c>
      <c r="AH3368">
        <v>17.363239315599401</v>
      </c>
      <c r="AI3368">
        <v>93.689504798836595</v>
      </c>
      <c r="AJ3368">
        <v>89.220844175337305</v>
      </c>
      <c r="AK3368">
        <v>17.4009096539917</v>
      </c>
      <c r="AL3368">
        <v>94.815645613054201</v>
      </c>
      <c r="AM3368">
        <v>89.3620220673223</v>
      </c>
      <c r="AN3368">
        <v>1.00000000018526</v>
      </c>
    </row>
    <row r="3369" spans="1:40" x14ac:dyDescent="0.25">
      <c r="A3369" t="str">
        <f>"20190303154834576"</f>
        <v>20190303154834576</v>
      </c>
      <c r="B3369" t="str">
        <f>"1551599314563751"</f>
        <v>1551599314563751</v>
      </c>
      <c r="C3369" t="s">
        <v>40</v>
      </c>
      <c r="D3369">
        <v>5.5282660000000003</v>
      </c>
      <c r="E3369">
        <v>0.50087590000000004</v>
      </c>
      <c r="F3369" t="s">
        <v>54</v>
      </c>
      <c r="G3369">
        <v>-419.81389999999999</v>
      </c>
      <c r="H3369" s="1">
        <v>3.9209169999999999E-6</v>
      </c>
      <c r="I3369">
        <v>214.90979999999999</v>
      </c>
      <c r="J3369">
        <v>-437.18099999999998</v>
      </c>
      <c r="K3369">
        <v>1.1197709999999901</v>
      </c>
      <c r="L3369">
        <v>215.25299999999999</v>
      </c>
      <c r="M3369">
        <v>0.99995650000000003</v>
      </c>
      <c r="N3369">
        <v>-6.4086109999999998E-3</v>
      </c>
      <c r="O3369">
        <v>-6.7790289999999998E-3</v>
      </c>
      <c r="P3369">
        <v>0.99572190000000005</v>
      </c>
      <c r="Q3369">
        <v>-9.0847590000000006E-2</v>
      </c>
      <c r="R3369">
        <v>-1.6876550000000001E-2</v>
      </c>
      <c r="S3369">
        <v>2.9945369999999998</v>
      </c>
      <c r="T3369">
        <v>-0.19004570000000001</v>
      </c>
      <c r="U3369">
        <v>-5.859375E-2</v>
      </c>
      <c r="V3369">
        <v>1.009522E-2</v>
      </c>
      <c r="W3369">
        <v>-8.4467630000000002E-2</v>
      </c>
      <c r="X3369">
        <v>0.99637509999999996</v>
      </c>
      <c r="Y3369">
        <v>1.2767560000000001E-2</v>
      </c>
      <c r="Z3369" s="1">
        <v>-5.9316050000000003E-5</v>
      </c>
      <c r="AA3369">
        <v>0.99991850000000004</v>
      </c>
      <c r="AB3369">
        <v>28</v>
      </c>
      <c r="AC3369">
        <v>17.367099999999901</v>
      </c>
      <c r="AD3369">
        <v>-1.1197670790830001</v>
      </c>
      <c r="AE3369">
        <v>-0.34319999999999501</v>
      </c>
      <c r="AF3369">
        <v>0.22452459403428801</v>
      </c>
      <c r="AG3369">
        <v>-1.1197670790830001</v>
      </c>
      <c r="AH3369">
        <v>17.2971479246985</v>
      </c>
      <c r="AI3369">
        <v>93.703682510965706</v>
      </c>
      <c r="AJ3369">
        <v>89.256317327363504</v>
      </c>
      <c r="AK3369">
        <v>17.3348093711361</v>
      </c>
      <c r="AL3369">
        <v>94.845412138197005</v>
      </c>
      <c r="AM3369">
        <v>89.419502045095498</v>
      </c>
      <c r="AN3369">
        <v>1.00000001694233</v>
      </c>
    </row>
    <row r="3370" spans="1:40" x14ac:dyDescent="0.25">
      <c r="A3370" t="str">
        <f>"20190303154834598"</f>
        <v>20190303154834598</v>
      </c>
      <c r="B3370" t="str">
        <f>"1551599314593918"</f>
        <v>1551599314593918</v>
      </c>
      <c r="C3370" t="s">
        <v>40</v>
      </c>
      <c r="D3370">
        <v>5.6186829999999999</v>
      </c>
      <c r="E3370">
        <v>0.50136829999999999</v>
      </c>
      <c r="F3370" t="s">
        <v>54</v>
      </c>
      <c r="G3370">
        <v>-419.8569</v>
      </c>
      <c r="H3370" s="1">
        <v>3.927121E-6</v>
      </c>
      <c r="I3370">
        <v>214.92609999999999</v>
      </c>
      <c r="J3370">
        <v>-436.90750000000003</v>
      </c>
      <c r="K3370">
        <v>1.1198090000000001</v>
      </c>
      <c r="L3370">
        <v>215.251</v>
      </c>
      <c r="M3370">
        <v>0.99995400000000001</v>
      </c>
      <c r="N3370">
        <v>-6.6354680000000003E-3</v>
      </c>
      <c r="O3370">
        <v>-6.9545739999999998E-3</v>
      </c>
      <c r="P3370">
        <v>0.99564620000000004</v>
      </c>
      <c r="Q3370">
        <v>-9.1677759999999997E-2</v>
      </c>
      <c r="R3370">
        <v>-1.6864879999999999E-2</v>
      </c>
      <c r="S3370">
        <v>2.994202</v>
      </c>
      <c r="T3370">
        <v>-0.19353490000000001</v>
      </c>
      <c r="U3370">
        <v>-5.6503299999999999E-2</v>
      </c>
      <c r="V3370">
        <v>9.9086199999999999E-3</v>
      </c>
      <c r="W3370">
        <v>-8.5072170000000003E-2</v>
      </c>
      <c r="X3370">
        <v>0.99632549999999998</v>
      </c>
      <c r="Y3370">
        <v>1.1897909999999999E-2</v>
      </c>
      <c r="Z3370" s="1">
        <v>-2.0708629999999999E-5</v>
      </c>
      <c r="AA3370">
        <v>0.99992919999999996</v>
      </c>
      <c r="AB3370">
        <v>28</v>
      </c>
      <c r="AC3370">
        <v>17.050599999999999</v>
      </c>
      <c r="AD3370">
        <v>-1.1198050728790001</v>
      </c>
      <c r="AE3370">
        <v>-0.32489999999998498</v>
      </c>
      <c r="AF3370">
        <v>0.20542417000857699</v>
      </c>
      <c r="AG3370">
        <v>-1.1198050728790001</v>
      </c>
      <c r="AH3370">
        <v>16.979237964251201</v>
      </c>
      <c r="AI3370">
        <v>93.772999025168204</v>
      </c>
      <c r="AJ3370">
        <v>89.306837930413806</v>
      </c>
      <c r="AK3370">
        <v>17.017364200649201</v>
      </c>
      <c r="AL3370">
        <v>94.880175043744899</v>
      </c>
      <c r="AM3370">
        <v>89.430202889701903</v>
      </c>
      <c r="AN3370">
        <v>0.99999997840453103</v>
      </c>
    </row>
    <row r="3371" spans="1:40" x14ac:dyDescent="0.25">
      <c r="A3371" t="str">
        <f>"20190303154834622"</f>
        <v>20190303154834622</v>
      </c>
      <c r="B3371" t="str">
        <f>"1551599314614415"</f>
        <v>1551599314614415</v>
      </c>
      <c r="C3371" t="s">
        <v>40</v>
      </c>
      <c r="D3371">
        <v>5.6147989999999997</v>
      </c>
      <c r="E3371">
        <v>0.50207869999999999</v>
      </c>
      <c r="F3371" t="s">
        <v>54</v>
      </c>
      <c r="G3371">
        <v>-419.803</v>
      </c>
      <c r="H3371" s="1">
        <v>3.9192679999999999E-6</v>
      </c>
      <c r="I3371">
        <v>214.90649999999999</v>
      </c>
      <c r="J3371">
        <v>-436.61700000000002</v>
      </c>
      <c r="K3371">
        <v>1.119861</v>
      </c>
      <c r="L3371">
        <v>215.24879999999999</v>
      </c>
      <c r="M3371">
        <v>0.99995040000000002</v>
      </c>
      <c r="N3371">
        <v>-6.9499590000000003E-3</v>
      </c>
      <c r="O3371">
        <v>-7.1401190000000003E-3</v>
      </c>
      <c r="P3371">
        <v>0.99549719999999997</v>
      </c>
      <c r="Q3371">
        <v>-9.3250009999999994E-2</v>
      </c>
      <c r="R3371">
        <v>-1.7026079999999999E-2</v>
      </c>
      <c r="S3371">
        <v>2.9940799999999999</v>
      </c>
      <c r="T3371">
        <v>-0.19601789999999999</v>
      </c>
      <c r="U3371">
        <v>-6.0302729999999999E-2</v>
      </c>
      <c r="V3371">
        <v>9.8852829999999999E-3</v>
      </c>
      <c r="W3371">
        <v>-8.6332099999999995E-2</v>
      </c>
      <c r="X3371">
        <v>0.99621740000000003</v>
      </c>
      <c r="Y3371">
        <v>1.2978699999999999E-2</v>
      </c>
      <c r="Z3371" s="1">
        <v>-5.2188380000000002E-5</v>
      </c>
      <c r="AA3371">
        <v>0.99991580000000002</v>
      </c>
      <c r="AB3371">
        <v>28</v>
      </c>
      <c r="AC3371">
        <v>16.813999999999901</v>
      </c>
      <c r="AD3371">
        <v>-1.1198570807320001</v>
      </c>
      <c r="AE3371">
        <v>-0.342299999999994</v>
      </c>
      <c r="AF3371">
        <v>0.22125336448058899</v>
      </c>
      <c r="AG3371">
        <v>-1.1198570807320001</v>
      </c>
      <c r="AH3371">
        <v>16.7417811612567</v>
      </c>
      <c r="AI3371">
        <v>93.826478684462202</v>
      </c>
      <c r="AJ3371">
        <v>89.242843642276696</v>
      </c>
      <c r="AK3371">
        <v>16.780651637644102</v>
      </c>
      <c r="AL3371">
        <v>94.952630046681307</v>
      </c>
      <c r="AM3371">
        <v>89.431483120952095</v>
      </c>
      <c r="AN3371">
        <v>1.00000002918657</v>
      </c>
    </row>
    <row r="3372" spans="1:40" x14ac:dyDescent="0.25">
      <c r="A3372" t="str">
        <f>"20190303154834644"</f>
        <v>20190303154834644</v>
      </c>
      <c r="B3372" t="str">
        <f>"1551599314633934"</f>
        <v>1551599314633934</v>
      </c>
      <c r="C3372" t="s">
        <v>40</v>
      </c>
      <c r="D3372">
        <v>5.605842</v>
      </c>
      <c r="E3372">
        <v>0.50276509999999996</v>
      </c>
      <c r="F3372" t="s">
        <v>54</v>
      </c>
      <c r="G3372">
        <v>-419.93400000000003</v>
      </c>
      <c r="H3372" s="1">
        <v>3.9449549999999997E-6</v>
      </c>
      <c r="I3372">
        <v>214.8785</v>
      </c>
      <c r="J3372">
        <v>-436.33199999999999</v>
      </c>
      <c r="K3372">
        <v>1.1199269999999999</v>
      </c>
      <c r="L3372">
        <v>215.2465</v>
      </c>
      <c r="M3372">
        <v>0.99994620000000001</v>
      </c>
      <c r="N3372">
        <v>-7.3500900000000001E-3</v>
      </c>
      <c r="O3372">
        <v>-7.3234240000000003E-3</v>
      </c>
      <c r="P3372">
        <v>0.99538970000000004</v>
      </c>
      <c r="Q3372">
        <v>-9.4325049999999994E-2</v>
      </c>
      <c r="R3372">
        <v>-1.739274E-2</v>
      </c>
      <c r="S3372">
        <v>2.9935909999999999</v>
      </c>
      <c r="T3372">
        <v>-0.20094680000000001</v>
      </c>
      <c r="U3372">
        <v>-6.6436770000000006E-2</v>
      </c>
      <c r="V3372">
        <v>1.0069710000000001E-2</v>
      </c>
      <c r="W3372">
        <v>-8.7009359999999994E-2</v>
      </c>
      <c r="X3372">
        <v>0.99615659999999895</v>
      </c>
      <c r="Y3372">
        <v>1.4841139999999999E-2</v>
      </c>
      <c r="Z3372">
        <v>-1.149128E-4</v>
      </c>
      <c r="AA3372">
        <v>0.9998899</v>
      </c>
      <c r="AB3372">
        <v>28</v>
      </c>
      <c r="AC3372">
        <v>16.3979999999999</v>
      </c>
      <c r="AD3372">
        <v>-1.1199230550449999</v>
      </c>
      <c r="AE3372">
        <v>-0.367999999999995</v>
      </c>
      <c r="AF3372">
        <v>0.246747039364281</v>
      </c>
      <c r="AG3372">
        <v>-1.1199230550449999</v>
      </c>
      <c r="AH3372">
        <v>16.324151493031799</v>
      </c>
      <c r="AI3372">
        <v>93.924196733147696</v>
      </c>
      <c r="AJ3372">
        <v>89.134013953904201</v>
      </c>
      <c r="AK3372">
        <v>16.3643830839451</v>
      </c>
      <c r="AL3372">
        <v>94.991580904264694</v>
      </c>
      <c r="AM3372">
        <v>89.420841829923802</v>
      </c>
      <c r="AN3372">
        <v>0.99999999975532605</v>
      </c>
    </row>
    <row r="3373" spans="1:40" x14ac:dyDescent="0.25">
      <c r="A3373" t="str">
        <f>"20190303154834668"</f>
        <v>20190303154834668</v>
      </c>
      <c r="B3373" t="str">
        <f>"1551599314664189"</f>
        <v>1551599314664189</v>
      </c>
      <c r="C3373" t="s">
        <v>40</v>
      </c>
      <c r="D3373">
        <v>5.5868799999999998</v>
      </c>
      <c r="E3373">
        <v>0.50374909999999995</v>
      </c>
      <c r="F3373" t="s">
        <v>54</v>
      </c>
      <c r="G3373">
        <v>-419.82100000000003</v>
      </c>
      <c r="H3373" s="1">
        <v>3.9280100000000002E-6</v>
      </c>
      <c r="I3373">
        <v>214.84309999999999</v>
      </c>
      <c r="J3373">
        <v>-436.04610000000002</v>
      </c>
      <c r="K3373">
        <v>1.120004</v>
      </c>
      <c r="L3373">
        <v>215.24420000000001</v>
      </c>
      <c r="M3373">
        <v>0.99994139999999998</v>
      </c>
      <c r="N3373">
        <v>-7.8129879999999999E-3</v>
      </c>
      <c r="O3373">
        <v>-7.5044689999999997E-3</v>
      </c>
      <c r="P3373">
        <v>0.9952955</v>
      </c>
      <c r="Q3373">
        <v>-9.5269019999999996E-2</v>
      </c>
      <c r="R3373">
        <v>-1.7636519999999999E-2</v>
      </c>
      <c r="S3373">
        <v>2.9934080000000001</v>
      </c>
      <c r="T3373">
        <v>-0.20304050000000001</v>
      </c>
      <c r="U3373">
        <v>-7.313538E-2</v>
      </c>
      <c r="V3373">
        <v>1.0132739999999999E-2</v>
      </c>
      <c r="W3373">
        <v>-8.7492970000000003E-2</v>
      </c>
      <c r="X3373">
        <v>0.99611360000000004</v>
      </c>
      <c r="Y3373">
        <v>1.6891929999999999E-2</v>
      </c>
      <c r="Z3373">
        <v>-1.8844350000000001E-4</v>
      </c>
      <c r="AA3373">
        <v>0.99985729999999995</v>
      </c>
      <c r="AB3373">
        <v>28</v>
      </c>
      <c r="AC3373">
        <v>16.225100000000001</v>
      </c>
      <c r="AD3373">
        <v>-1.1200000719900001</v>
      </c>
      <c r="AE3373">
        <v>-0.401100000000013</v>
      </c>
      <c r="AF3373">
        <v>0.278000380273765</v>
      </c>
      <c r="AG3373">
        <v>-1.1200000719900001</v>
      </c>
      <c r="AH3373">
        <v>16.150742218471301</v>
      </c>
      <c r="AI3373">
        <v>93.966334648461796</v>
      </c>
      <c r="AJ3373">
        <v>89.013873451110499</v>
      </c>
      <c r="AK3373">
        <v>16.191916457918101</v>
      </c>
      <c r="AL3373">
        <v>95.019395800883203</v>
      </c>
      <c r="AM3373">
        <v>89.417191760533996</v>
      </c>
      <c r="AN3373">
        <v>0.99999999816214402</v>
      </c>
    </row>
    <row r="3374" spans="1:40" x14ac:dyDescent="0.25">
      <c r="A3374" t="str">
        <f>"20190303154834690"</f>
        <v>20190303154834690</v>
      </c>
      <c r="B3374" t="str">
        <f>"1551599314683710"</f>
        <v>1551599314683710</v>
      </c>
      <c r="C3374" t="s">
        <v>40</v>
      </c>
      <c r="D3374">
        <v>5.6361400000000001</v>
      </c>
      <c r="E3374">
        <v>0.50444069999999996</v>
      </c>
      <c r="F3374" t="s">
        <v>54</v>
      </c>
      <c r="G3374">
        <v>-419.63830000000002</v>
      </c>
      <c r="H3374" s="1">
        <v>3.899671E-6</v>
      </c>
      <c r="I3374">
        <v>214.79650000000001</v>
      </c>
      <c r="J3374">
        <v>-435.75900000000001</v>
      </c>
      <c r="K3374">
        <v>1.12009</v>
      </c>
      <c r="L3374">
        <v>215.24189999999999</v>
      </c>
      <c r="M3374">
        <v>0.99993569999999998</v>
      </c>
      <c r="N3374">
        <v>-8.3511350000000008E-3</v>
      </c>
      <c r="O3374">
        <v>-7.67652E-3</v>
      </c>
      <c r="P3374">
        <v>0.99527080000000001</v>
      </c>
      <c r="Q3374">
        <v>-9.544176E-2</v>
      </c>
      <c r="R3374">
        <v>-1.8085449999999999E-2</v>
      </c>
      <c r="S3374">
        <v>2.993134</v>
      </c>
      <c r="T3374">
        <v>-0.20431270000000001</v>
      </c>
      <c r="U3374">
        <v>-8.1665039999999994E-2</v>
      </c>
      <c r="V3374">
        <v>1.041006E-2</v>
      </c>
      <c r="W3374">
        <v>-8.7129999999999999E-2</v>
      </c>
      <c r="X3374">
        <v>0.99614259999999999</v>
      </c>
      <c r="Y3374">
        <v>1.9561930000000002E-2</v>
      </c>
      <c r="Z3374">
        <v>-2.8931330000000002E-4</v>
      </c>
      <c r="AA3374">
        <v>0.99980860000000005</v>
      </c>
      <c r="AB3374">
        <v>28</v>
      </c>
      <c r="AC3374">
        <v>16.120699999999999</v>
      </c>
      <c r="AD3374">
        <v>-1.1200861003289999</v>
      </c>
      <c r="AE3374">
        <v>-0.44539999999997798</v>
      </c>
      <c r="AF3374">
        <v>0.32008759903955097</v>
      </c>
      <c r="AG3374">
        <v>-1.1200861003289999</v>
      </c>
      <c r="AH3374">
        <v>16.046237816658799</v>
      </c>
      <c r="AI3374">
        <v>93.992186457240393</v>
      </c>
      <c r="AJ3374">
        <v>88.857225180054797</v>
      </c>
      <c r="AK3374">
        <v>16.088467826737901</v>
      </c>
      <c r="AL3374">
        <v>94.998519201865193</v>
      </c>
      <c r="AM3374">
        <v>89.401259627898895</v>
      </c>
      <c r="AN3374">
        <v>1.00000004289198</v>
      </c>
    </row>
    <row r="3375" spans="1:40" x14ac:dyDescent="0.25">
      <c r="A3375" t="str">
        <f>"20190303154834712"</f>
        <v>20190303154834712</v>
      </c>
      <c r="B3375" t="str">
        <f>"1551599314704206"</f>
        <v>1551599314704206</v>
      </c>
      <c r="C3375" t="s">
        <v>40</v>
      </c>
      <c r="D3375">
        <v>5.6320990000000002</v>
      </c>
      <c r="E3375">
        <v>0.50516810000000001</v>
      </c>
      <c r="F3375" t="s">
        <v>54</v>
      </c>
      <c r="G3375">
        <v>-419.27089999999998</v>
      </c>
      <c r="H3375" s="1">
        <v>3.8382830000000003E-6</v>
      </c>
      <c r="I3375">
        <v>214.7533</v>
      </c>
      <c r="J3375">
        <v>-435.48599999999999</v>
      </c>
      <c r="K3375">
        <v>1.1201920000000001</v>
      </c>
      <c r="L3375">
        <v>215.23949999999999</v>
      </c>
      <c r="M3375">
        <v>0.99992939999999997</v>
      </c>
      <c r="N3375">
        <v>-8.9355200000000006E-3</v>
      </c>
      <c r="O3375">
        <v>-7.8458639999999993E-3</v>
      </c>
      <c r="P3375">
        <v>0.99515489999999995</v>
      </c>
      <c r="Q3375">
        <v>-9.6486199999999994E-2</v>
      </c>
      <c r="R3375">
        <v>-1.890118E-2</v>
      </c>
      <c r="S3375">
        <v>2.993134</v>
      </c>
      <c r="T3375">
        <v>-0.20333290000000001</v>
      </c>
      <c r="U3375">
        <v>-8.8699340000000002E-2</v>
      </c>
      <c r="V3375">
        <v>1.105863E-2</v>
      </c>
      <c r="W3375">
        <v>-8.759335E-2</v>
      </c>
      <c r="X3375">
        <v>0.99609490000000001</v>
      </c>
      <c r="Y3375">
        <v>2.17346E-2</v>
      </c>
      <c r="Z3375">
        <v>-3.7227430000000001E-4</v>
      </c>
      <c r="AA3375">
        <v>0.99976370000000003</v>
      </c>
      <c r="AB3375">
        <v>28</v>
      </c>
      <c r="AC3375">
        <v>16.2151</v>
      </c>
      <c r="AD3375">
        <v>-1.120188161717</v>
      </c>
      <c r="AE3375">
        <v>-0.48619999999999602</v>
      </c>
      <c r="AF3375">
        <v>0.35725504303704098</v>
      </c>
      <c r="AG3375">
        <v>-1.120188161717</v>
      </c>
      <c r="AH3375">
        <v>16.141450382299102</v>
      </c>
      <c r="AI3375">
        <v>93.968892141362304</v>
      </c>
      <c r="AJ3375">
        <v>88.732092573630993</v>
      </c>
      <c r="AK3375">
        <v>16.184216790677599</v>
      </c>
      <c r="AL3375">
        <v>95.025169464097601</v>
      </c>
      <c r="AM3375">
        <v>89.363929283908604</v>
      </c>
      <c r="AN3375">
        <v>0.99999996903385402</v>
      </c>
    </row>
    <row r="3376" spans="1:40" x14ac:dyDescent="0.25">
      <c r="A3376" t="str">
        <f>"20190303154834733"</f>
        <v>20190303154834733</v>
      </c>
      <c r="B3376" t="str">
        <f>"1551599314723726"</f>
        <v>1551599314723726</v>
      </c>
      <c r="C3376" t="s">
        <v>40</v>
      </c>
      <c r="D3376">
        <v>5.6464610000000004</v>
      </c>
      <c r="E3376">
        <v>0.50567280000000003</v>
      </c>
      <c r="F3376" t="s">
        <v>54</v>
      </c>
      <c r="G3376">
        <v>-419.06819999999999</v>
      </c>
      <c r="H3376" s="1">
        <v>3.8062909999999998E-6</v>
      </c>
      <c r="I3376">
        <v>214.708</v>
      </c>
      <c r="J3376">
        <v>-435.22699999999998</v>
      </c>
      <c r="K3376">
        <v>1.1202859999999999</v>
      </c>
      <c r="L3376">
        <v>215.2373</v>
      </c>
      <c r="M3376">
        <v>0.99992259999999999</v>
      </c>
      <c r="N3376">
        <v>-9.5274060000000004E-3</v>
      </c>
      <c r="O3376">
        <v>-8.0140660000000002E-3</v>
      </c>
      <c r="P3376">
        <v>0.99502080000000004</v>
      </c>
      <c r="Q3376">
        <v>-9.7608210000000001E-2</v>
      </c>
      <c r="R3376">
        <v>-2.0161060000000001E-2</v>
      </c>
      <c r="S3376">
        <v>2.9930110000000001</v>
      </c>
      <c r="T3376">
        <v>-0.20421429999999999</v>
      </c>
      <c r="U3376">
        <v>-9.6908569999999999E-2</v>
      </c>
      <c r="V3376">
        <v>1.215337E-2</v>
      </c>
      <c r="W3376">
        <v>-8.8127079999999997E-2</v>
      </c>
      <c r="X3376">
        <v>0.99603509999999995</v>
      </c>
      <c r="Y3376">
        <v>2.4299500000000002E-2</v>
      </c>
      <c r="Z3376">
        <v>-4.7400349999999998E-4</v>
      </c>
      <c r="AA3376">
        <v>0.99970460000000005</v>
      </c>
      <c r="AB3376">
        <v>28</v>
      </c>
      <c r="AC3376">
        <v>16.1587999999999</v>
      </c>
      <c r="AD3376">
        <v>-1.120282193709</v>
      </c>
      <c r="AE3376">
        <v>-0.52930000000000599</v>
      </c>
      <c r="AF3376">
        <v>0.39786910460859598</v>
      </c>
      <c r="AG3376">
        <v>-1.120282193709</v>
      </c>
      <c r="AH3376">
        <v>16.085290626447598</v>
      </c>
      <c r="AI3376">
        <v>93.982795793280403</v>
      </c>
      <c r="AJ3376">
        <v>88.583079803900105</v>
      </c>
      <c r="AK3376">
        <v>16.1291632317125</v>
      </c>
      <c r="AL3376">
        <v>95.055868486467901</v>
      </c>
      <c r="AM3376">
        <v>89.300925987997005</v>
      </c>
      <c r="AN3376">
        <v>1.0000000035318399</v>
      </c>
    </row>
    <row r="3377" spans="1:40" x14ac:dyDescent="0.25">
      <c r="A3377" t="str">
        <f>"20190303154834754"</f>
        <v>20190303154834754</v>
      </c>
      <c r="B3377" t="str">
        <f>"1551599314744225"</f>
        <v>1551599314744225</v>
      </c>
      <c r="C3377" t="s">
        <v>40</v>
      </c>
      <c r="D3377">
        <v>5.6586480000000003</v>
      </c>
      <c r="E3377">
        <v>0.50617829999999997</v>
      </c>
      <c r="F3377" t="s">
        <v>54</v>
      </c>
      <c r="G3377">
        <v>-419.03190000000001</v>
      </c>
      <c r="H3377" s="1">
        <v>3.8030880000000002E-6</v>
      </c>
      <c r="I3377">
        <v>214.67089999999999</v>
      </c>
      <c r="J3377">
        <v>-434.95699999999999</v>
      </c>
      <c r="K3377">
        <v>1.120374</v>
      </c>
      <c r="L3377">
        <v>215.23500000000001</v>
      </c>
      <c r="M3377">
        <v>0.99991509999999995</v>
      </c>
      <c r="N3377">
        <v>-1.014226E-2</v>
      </c>
      <c r="O3377">
        <v>-8.1927000000000007E-3</v>
      </c>
      <c r="P3377">
        <v>0.99489090000000002</v>
      </c>
      <c r="Q3377">
        <v>-9.8763089999999998E-2</v>
      </c>
      <c r="R3377">
        <v>-2.0936E-2</v>
      </c>
      <c r="S3377">
        <v>2.9925540000000002</v>
      </c>
      <c r="T3377">
        <v>-0.20700689999999999</v>
      </c>
      <c r="U3377">
        <v>-0.10466</v>
      </c>
      <c r="V3377">
        <v>1.2752400000000001E-2</v>
      </c>
      <c r="W3377">
        <v>-8.8670719999999995E-2</v>
      </c>
      <c r="X3377">
        <v>0.99597939999999996</v>
      </c>
      <c r="Y3377">
        <v>2.6703959999999999E-2</v>
      </c>
      <c r="Z3377">
        <v>-5.7501609999999995E-4</v>
      </c>
      <c r="AA3377">
        <v>0.99964319999999895</v>
      </c>
      <c r="AB3377">
        <v>28</v>
      </c>
      <c r="AC3377">
        <v>15.925099999999899</v>
      </c>
      <c r="AD3377">
        <v>-1.1203701969119999</v>
      </c>
      <c r="AE3377">
        <v>-0.56410000000002403</v>
      </c>
      <c r="AF3377">
        <v>0.43147191989068701</v>
      </c>
      <c r="AG3377">
        <v>-1.1203701969119999</v>
      </c>
      <c r="AH3377">
        <v>15.8508323098758</v>
      </c>
      <c r="AI3377">
        <v>94.041570168426105</v>
      </c>
      <c r="AJ3377">
        <v>88.440749593105906</v>
      </c>
      <c r="AK3377">
        <v>15.8962348470191</v>
      </c>
      <c r="AL3377">
        <v>95.0871389842128</v>
      </c>
      <c r="AM3377">
        <v>89.266431841168796</v>
      </c>
      <c r="AN3377">
        <v>1.00000004275771</v>
      </c>
    </row>
    <row r="3378" spans="1:40" x14ac:dyDescent="0.25">
      <c r="A3378" t="str">
        <f>"20190303154834777"</f>
        <v>20190303154834777</v>
      </c>
      <c r="B3378" t="str">
        <f>"1551599314774478"</f>
        <v>1551599314774478</v>
      </c>
      <c r="C3378" t="s">
        <v>40</v>
      </c>
      <c r="D3378">
        <v>5.6368010000000002</v>
      </c>
      <c r="E3378">
        <v>0.50694700000000004</v>
      </c>
      <c r="F3378" t="s">
        <v>54</v>
      </c>
      <c r="G3378">
        <v>-418.99540000000002</v>
      </c>
      <c r="H3378" s="1">
        <v>3.7991549999999998E-6</v>
      </c>
      <c r="I3378">
        <v>214.64179999999999</v>
      </c>
      <c r="J3378">
        <v>-434.68790000000001</v>
      </c>
      <c r="K3378">
        <v>1.120447</v>
      </c>
      <c r="L3378">
        <v>215.23259999999999</v>
      </c>
      <c r="M3378">
        <v>0.99990760000000001</v>
      </c>
      <c r="N3378">
        <v>-1.0722570000000001E-2</v>
      </c>
      <c r="O3378">
        <v>-8.3682700000000006E-3</v>
      </c>
      <c r="P3378">
        <v>0.99482630000000005</v>
      </c>
      <c r="Q3378">
        <v>-9.9330290000000002E-2</v>
      </c>
      <c r="R3378">
        <v>-2.1317320000000001E-2</v>
      </c>
      <c r="S3378">
        <v>2.9922179999999998</v>
      </c>
      <c r="T3378">
        <v>-0.21002889999999999</v>
      </c>
      <c r="U3378">
        <v>-0.11119080000000001</v>
      </c>
      <c r="V3378">
        <v>1.296011E-2</v>
      </c>
      <c r="W3378">
        <v>-8.8660489999999995E-2</v>
      </c>
      <c r="X3378">
        <v>0.99597760000000002</v>
      </c>
      <c r="Y3378">
        <v>2.87035E-2</v>
      </c>
      <c r="Z3378">
        <v>-6.6313339999999905E-4</v>
      </c>
      <c r="AA3378">
        <v>0.99958780000000003</v>
      </c>
      <c r="AB3378">
        <v>28</v>
      </c>
      <c r="AC3378">
        <v>15.6924999999999</v>
      </c>
      <c r="AD3378">
        <v>-1.120443200845</v>
      </c>
      <c r="AE3378">
        <v>-0.59080000000000099</v>
      </c>
      <c r="AF3378">
        <v>0.45712559394688601</v>
      </c>
      <c r="AG3378">
        <v>-1.120443200845</v>
      </c>
      <c r="AH3378">
        <v>15.6173907694051</v>
      </c>
      <c r="AI3378">
        <v>94.101806906713506</v>
      </c>
      <c r="AJ3378">
        <v>88.323414477377796</v>
      </c>
      <c r="AK3378">
        <v>15.6642028593626</v>
      </c>
      <c r="AL3378">
        <v>95.086550680890895</v>
      </c>
      <c r="AM3378">
        <v>89.254483536320294</v>
      </c>
      <c r="AN3378">
        <v>1.00000001332</v>
      </c>
    </row>
    <row r="3379" spans="1:40" x14ac:dyDescent="0.25">
      <c r="A3379" t="str">
        <f>"20190303154834800"</f>
        <v>20190303154834800</v>
      </c>
      <c r="B3379" t="str">
        <f>"1551599314794466"</f>
        <v>1551599314794466</v>
      </c>
      <c r="C3379" t="s">
        <v>40</v>
      </c>
      <c r="D3379">
        <v>5.6727439999999998</v>
      </c>
      <c r="E3379">
        <v>0.50737200000000005</v>
      </c>
      <c r="F3379" t="s">
        <v>54</v>
      </c>
      <c r="G3379">
        <v>-418.7799</v>
      </c>
      <c r="H3379" s="1">
        <v>3.7643539999999999E-6</v>
      </c>
      <c r="I3379">
        <v>214.6027</v>
      </c>
      <c r="J3379">
        <v>-434.40620000000001</v>
      </c>
      <c r="K3379">
        <v>1.120498</v>
      </c>
      <c r="L3379">
        <v>215.23</v>
      </c>
      <c r="M3379">
        <v>0.99989989999999995</v>
      </c>
      <c r="N3379">
        <v>-1.1281670000000001E-2</v>
      </c>
      <c r="O3379">
        <v>-8.5460699999999994E-3</v>
      </c>
      <c r="P3379">
        <v>0.99477090000000001</v>
      </c>
      <c r="Q3379">
        <v>-9.9878300000000003E-2</v>
      </c>
      <c r="R3379">
        <v>-2.1338289999999999E-2</v>
      </c>
      <c r="S3379">
        <v>2.992035</v>
      </c>
      <c r="T3379">
        <v>-0.2107377</v>
      </c>
      <c r="U3379">
        <v>-0.1184692</v>
      </c>
      <c r="V3379">
        <v>1.2804299999999999E-2</v>
      </c>
      <c r="W3379">
        <v>-8.8652149999999999E-2</v>
      </c>
      <c r="X3379">
        <v>0.99598030000000004</v>
      </c>
      <c r="Y3379">
        <v>3.094856E-2</v>
      </c>
      <c r="Z3379">
        <v>-7.5839509999999996E-4</v>
      </c>
      <c r="AA3379">
        <v>0.99952070000000004</v>
      </c>
      <c r="AB3379">
        <v>28</v>
      </c>
      <c r="AC3379">
        <v>15.626300000000001</v>
      </c>
      <c r="AD3379">
        <v>-1.1204942356459999</v>
      </c>
      <c r="AE3379">
        <v>-0.62729999999999098</v>
      </c>
      <c r="AF3379">
        <v>0.49120358526024499</v>
      </c>
      <c r="AG3379">
        <v>-1.1204942356459999</v>
      </c>
      <c r="AH3379">
        <v>15.5512592748183</v>
      </c>
      <c r="AI3379">
        <v>94.119087843193</v>
      </c>
      <c r="AJ3379">
        <v>88.190851437078805</v>
      </c>
      <c r="AK3379">
        <v>15.599309386216801</v>
      </c>
      <c r="AL3379">
        <v>95.086071237875501</v>
      </c>
      <c r="AM3379">
        <v>89.263447342967396</v>
      </c>
      <c r="AN3379">
        <v>0.99999995589309998</v>
      </c>
    </row>
    <row r="3380" spans="1:40" x14ac:dyDescent="0.25">
      <c r="A3380" t="str">
        <f>"20190303154834828"</f>
        <v>20190303154834828</v>
      </c>
      <c r="B3380" t="str">
        <f>"1551599314823745"</f>
        <v>1551599314823745</v>
      </c>
      <c r="C3380" t="s">
        <v>40</v>
      </c>
      <c r="D3380">
        <v>5.6529439999999997</v>
      </c>
      <c r="E3380">
        <v>0.50795069999999998</v>
      </c>
      <c r="F3380" t="s">
        <v>54</v>
      </c>
      <c r="G3380">
        <v>-418.5727</v>
      </c>
      <c r="H3380" s="1">
        <v>3.7291730000000001E-6</v>
      </c>
      <c r="I3380">
        <v>214.5847</v>
      </c>
      <c r="J3380">
        <v>-434.06740000000002</v>
      </c>
      <c r="K3380">
        <v>1.1205400000000001</v>
      </c>
      <c r="L3380">
        <v>215.2268</v>
      </c>
      <c r="M3380">
        <v>0.99989110000000003</v>
      </c>
      <c r="N3380">
        <v>-1.1874620000000001E-2</v>
      </c>
      <c r="O3380">
        <v>-8.7552380000000003E-3</v>
      </c>
      <c r="P3380">
        <v>0.99474439999999997</v>
      </c>
      <c r="Q3380">
        <v>-0.1001334</v>
      </c>
      <c r="R3380">
        <v>-2.1379760000000001E-2</v>
      </c>
      <c r="S3380">
        <v>2.9919129999999998</v>
      </c>
      <c r="T3380">
        <v>-0.21173059999999999</v>
      </c>
      <c r="U3380">
        <v>-0.121933</v>
      </c>
      <c r="V3380">
        <v>1.2637300000000001E-2</v>
      </c>
      <c r="W3380">
        <v>-8.8316889999999995E-2</v>
      </c>
      <c r="X3380">
        <v>0.99601229999999996</v>
      </c>
      <c r="Y3380">
        <v>3.1892339999999998E-2</v>
      </c>
      <c r="Z3380">
        <v>-8.0161229999999896E-4</v>
      </c>
      <c r="AA3380">
        <v>0.99949100000000002</v>
      </c>
      <c r="AB3380">
        <v>28</v>
      </c>
      <c r="AC3380">
        <v>15.4947</v>
      </c>
      <c r="AD3380">
        <v>-1.1205362708269999</v>
      </c>
      <c r="AE3380">
        <v>-0.642099999999999</v>
      </c>
      <c r="AF3380">
        <v>0.50377589285737701</v>
      </c>
      <c r="AG3380">
        <v>-1.1205362708269999</v>
      </c>
      <c r="AH3380">
        <v>15.4192268662977</v>
      </c>
      <c r="AI3380">
        <v>94.154247006677394</v>
      </c>
      <c r="AJ3380">
        <v>88.128701984774494</v>
      </c>
      <c r="AK3380">
        <v>15.468094544539699</v>
      </c>
      <c r="AL3380">
        <v>95.066786193426907</v>
      </c>
      <c r="AM3380">
        <v>89.273076141457807</v>
      </c>
      <c r="AN3380">
        <v>1.00000003808092</v>
      </c>
    </row>
    <row r="3381" spans="1:40" x14ac:dyDescent="0.25">
      <c r="A3381" t="str">
        <f>"20190303154834844"</f>
        <v>20190303154834844</v>
      </c>
      <c r="B3381" t="str">
        <f>"1551599314834481"</f>
        <v>1551599314834481</v>
      </c>
      <c r="C3381" t="s">
        <v>40</v>
      </c>
      <c r="D3381">
        <v>5.6512029999999998</v>
      </c>
      <c r="E3381">
        <v>0.50819269999999905</v>
      </c>
      <c r="F3381" t="s">
        <v>54</v>
      </c>
      <c r="G3381">
        <v>-418.22669999999999</v>
      </c>
      <c r="H3381" s="1">
        <v>3.6702189999999999E-6</v>
      </c>
      <c r="I3381">
        <v>214.55690000000001</v>
      </c>
      <c r="J3381">
        <v>-433.86509999999998</v>
      </c>
      <c r="K3381">
        <v>1.12056</v>
      </c>
      <c r="L3381">
        <v>215.22489999999999</v>
      </c>
      <c r="M3381">
        <v>0.99988630000000001</v>
      </c>
      <c r="N3381">
        <v>-1.219461E-2</v>
      </c>
      <c r="O3381">
        <v>-8.88118699999999E-3</v>
      </c>
      <c r="P3381">
        <v>0.99466940000000004</v>
      </c>
      <c r="Q3381">
        <v>-0.1009293</v>
      </c>
      <c r="R3381">
        <v>-2.1127799999999999E-2</v>
      </c>
      <c r="S3381">
        <v>2.9918819999999999</v>
      </c>
      <c r="T3381">
        <v>-0.2116392</v>
      </c>
      <c r="U3381">
        <v>-0.1265259</v>
      </c>
      <c r="V3381">
        <v>1.226038E-2</v>
      </c>
      <c r="W3381">
        <v>-8.8794860000000003E-2</v>
      </c>
      <c r="X3381">
        <v>0.99597449999999998</v>
      </c>
      <c r="Y3381">
        <v>3.329414E-2</v>
      </c>
      <c r="Z3381">
        <v>-8.5999959999999995E-4</v>
      </c>
      <c r="AA3381">
        <v>0.99944520000000003</v>
      </c>
      <c r="AB3381">
        <v>27</v>
      </c>
      <c r="AC3381">
        <v>15.638399999999899</v>
      </c>
      <c r="AD3381">
        <v>-1.1205563297809999</v>
      </c>
      <c r="AE3381">
        <v>-0.66799999999997794</v>
      </c>
      <c r="AF3381">
        <v>0.52637811165853299</v>
      </c>
      <c r="AG3381">
        <v>-1.1205563297809999</v>
      </c>
      <c r="AH3381">
        <v>15.563951491418701</v>
      </c>
      <c r="AI3381">
        <v>94.115668245285505</v>
      </c>
      <c r="AJ3381">
        <v>88.062975635758505</v>
      </c>
      <c r="AK3381">
        <v>15.6131132844119</v>
      </c>
      <c r="AL3381">
        <v>95.0942799433072</v>
      </c>
      <c r="AM3381">
        <v>89.294728379344605</v>
      </c>
      <c r="AN3381">
        <v>1.0000000243652001</v>
      </c>
    </row>
    <row r="3382" spans="1:40" x14ac:dyDescent="0.25">
      <c r="A3382" t="str">
        <f>"20190303154834866"</f>
        <v>20190303154834866</v>
      </c>
      <c r="B3382" t="str">
        <f>"1551599314863761"</f>
        <v>1551599314863761</v>
      </c>
      <c r="C3382" t="s">
        <v>40</v>
      </c>
      <c r="D3382">
        <v>4.8285839999999904</v>
      </c>
      <c r="E3382">
        <v>0.50862959999999902</v>
      </c>
      <c r="F3382" t="s">
        <v>54</v>
      </c>
      <c r="G3382">
        <v>-418.2278</v>
      </c>
      <c r="H3382" s="1">
        <v>3.670359E-6</v>
      </c>
      <c r="I3382">
        <v>214.55760000000001</v>
      </c>
      <c r="J3382">
        <v>-433.589</v>
      </c>
      <c r="K3382">
        <v>1.1205769999999999</v>
      </c>
      <c r="L3382">
        <v>215.22229999999999</v>
      </c>
      <c r="M3382">
        <v>0.99987990000000004</v>
      </c>
      <c r="N3382">
        <v>-1.258165E-2</v>
      </c>
      <c r="O3382">
        <v>-9.0552830000000008E-3</v>
      </c>
      <c r="P3382">
        <v>0.99461160000000004</v>
      </c>
      <c r="Q3382">
        <v>-0.10151930000000001</v>
      </c>
      <c r="R3382">
        <v>-2.1013649999999998E-2</v>
      </c>
      <c r="S3382">
        <v>2.9916079999999998</v>
      </c>
      <c r="T3382">
        <v>-0.21437590000000001</v>
      </c>
      <c r="U3382">
        <v>-0.12767029999999999</v>
      </c>
      <c r="V3382">
        <v>1.1973589999999999E-2</v>
      </c>
      <c r="W3382">
        <v>-8.899986E-2</v>
      </c>
      <c r="X3382">
        <v>0.99595959999999994</v>
      </c>
      <c r="Y3382">
        <v>3.3502709999999998E-2</v>
      </c>
      <c r="Z3382">
        <v>-8.7552630000000005E-4</v>
      </c>
      <c r="AA3382">
        <v>0.99943820000000005</v>
      </c>
      <c r="AB3382">
        <v>27</v>
      </c>
      <c r="AC3382">
        <v>15.361199999999901</v>
      </c>
      <c r="AD3382">
        <v>-1.1205733296410001</v>
      </c>
      <c r="AE3382">
        <v>-0.66469999999998197</v>
      </c>
      <c r="AF3382">
        <v>0.52278495001598502</v>
      </c>
      <c r="AG3382">
        <v>-1.1205733296410001</v>
      </c>
      <c r="AH3382">
        <v>15.285401081478399</v>
      </c>
      <c r="AI3382">
        <v>94.190413771323506</v>
      </c>
      <c r="AJ3382">
        <v>88.041157051985195</v>
      </c>
      <c r="AK3382">
        <v>15.3353341963169</v>
      </c>
      <c r="AL3382">
        <v>95.106072731884694</v>
      </c>
      <c r="AM3382">
        <v>89.311213904667397</v>
      </c>
      <c r="AN3382">
        <v>0.99999993338483095</v>
      </c>
    </row>
    <row r="3383" spans="1:40" x14ac:dyDescent="0.25">
      <c r="A3383" t="str">
        <f>"20190303154835022"</f>
        <v>20190303154835022</v>
      </c>
      <c r="B3383" t="str">
        <f>"1551599315014068"</f>
        <v>1551599315014068</v>
      </c>
      <c r="C3383" t="s">
        <v>40</v>
      </c>
      <c r="D3383">
        <v>5.6349689999999999</v>
      </c>
      <c r="E3383">
        <v>0.52923399999999998</v>
      </c>
      <c r="F3383" t="s">
        <v>54</v>
      </c>
      <c r="G3383">
        <v>-417.9803</v>
      </c>
      <c r="H3383" s="1">
        <v>3.6280950000000001E-6</v>
      </c>
      <c r="I3383">
        <v>214.53899999999999</v>
      </c>
      <c r="J3383">
        <v>-431.6857</v>
      </c>
      <c r="K3383">
        <v>1.120622</v>
      </c>
      <c r="L3383">
        <v>215.20259999999999</v>
      </c>
      <c r="M3383">
        <v>0.99984989999999996</v>
      </c>
      <c r="N3383">
        <v>-1.3945229999999999E-2</v>
      </c>
      <c r="O3383">
        <v>-1.0270670000000001E-2</v>
      </c>
      <c r="P3383">
        <v>0.99458849999999999</v>
      </c>
      <c r="Q3383">
        <v>-0.1014953</v>
      </c>
      <c r="R3383">
        <v>-2.2195449999999999E-2</v>
      </c>
      <c r="S3383">
        <v>2.9915769999999999</v>
      </c>
      <c r="T3383">
        <v>-0.2147704</v>
      </c>
      <c r="U3383">
        <v>-0.1309662</v>
      </c>
      <c r="V3383">
        <v>1.1947019999999999E-2</v>
      </c>
      <c r="W3383">
        <v>-8.7617459999999994E-2</v>
      </c>
      <c r="X3383">
        <v>0.99608249999999998</v>
      </c>
      <c r="Y3383">
        <v>3.338692E-2</v>
      </c>
      <c r="Z3383">
        <v>-8.3664299999999998E-4</v>
      </c>
      <c r="AA3383">
        <v>0.99944219999999895</v>
      </c>
      <c r="AB3383">
        <v>27</v>
      </c>
      <c r="AC3383">
        <v>13.7053999999999</v>
      </c>
      <c r="AD3383">
        <v>-1.120618371905</v>
      </c>
      <c r="AE3383">
        <v>-0.66359999999997399</v>
      </c>
      <c r="AF3383">
        <v>0.51932384219163896</v>
      </c>
      <c r="AG3383">
        <v>-1.120618371905</v>
      </c>
      <c r="AH3383">
        <v>13.6206457933477</v>
      </c>
      <c r="AI3383">
        <v>94.699932303513194</v>
      </c>
      <c r="AJ3383">
        <v>87.816501592513305</v>
      </c>
      <c r="AK3383">
        <v>13.676530064909</v>
      </c>
      <c r="AL3383">
        <v>95.026556299516102</v>
      </c>
      <c r="AM3383">
        <v>89.312826997020295</v>
      </c>
      <c r="AN3383">
        <v>0.99999994869498898</v>
      </c>
    </row>
    <row r="3384" spans="1:40" x14ac:dyDescent="0.25">
      <c r="A3384" t="str">
        <f>"20190303154835046"</f>
        <v>20190303154835046</v>
      </c>
      <c r="B3384" t="str">
        <f>"1551599315033585"</f>
        <v>1551599315033585</v>
      </c>
      <c r="C3384" t="s">
        <v>40</v>
      </c>
      <c r="D3384">
        <v>5.4827810000000001</v>
      </c>
      <c r="E3384">
        <v>0.52976969999999901</v>
      </c>
      <c r="F3384" t="s">
        <v>54</v>
      </c>
      <c r="G3384">
        <v>-414.19630000000001</v>
      </c>
      <c r="H3384" s="1">
        <v>3.0515919999999999E-6</v>
      </c>
      <c r="I3384">
        <v>213.4555</v>
      </c>
      <c r="J3384">
        <v>-431.4135</v>
      </c>
      <c r="K3384">
        <v>1.120598</v>
      </c>
      <c r="L3384">
        <v>215.1996</v>
      </c>
      <c r="M3384">
        <v>0.99984879999999998</v>
      </c>
      <c r="N3384">
        <v>-1.3914899999999999E-2</v>
      </c>
      <c r="O3384">
        <v>-1.0443330000000001E-2</v>
      </c>
      <c r="P3384">
        <v>0.99455789999999999</v>
      </c>
      <c r="Q3384">
        <v>-0.1016576</v>
      </c>
      <c r="R3384">
        <v>-2.2818250000000002E-2</v>
      </c>
      <c r="S3384">
        <v>2.9901119999999999</v>
      </c>
      <c r="T3384">
        <v>-0.1915895</v>
      </c>
      <c r="U3384">
        <v>-0.29870609999999997</v>
      </c>
      <c r="V3384">
        <v>1.2398050000000001E-2</v>
      </c>
      <c r="W3384">
        <v>-8.7810509999999994E-2</v>
      </c>
      <c r="X3384">
        <v>0.99605999999999995</v>
      </c>
      <c r="Y3384">
        <v>8.8798310000000005E-2</v>
      </c>
      <c r="Z3384">
        <v>-2.9331930000000002E-3</v>
      </c>
      <c r="AA3384">
        <v>0.99604530000000002</v>
      </c>
      <c r="AB3384">
        <v>27</v>
      </c>
      <c r="AC3384">
        <v>17.217199999999899</v>
      </c>
      <c r="AD3384">
        <v>-1.120594948408</v>
      </c>
      <c r="AE3384">
        <v>-1.7441</v>
      </c>
      <c r="AF3384">
        <v>1.5576511524411301</v>
      </c>
      <c r="AG3384">
        <v>-1.120594948408</v>
      </c>
      <c r="AH3384">
        <v>17.162512227655</v>
      </c>
      <c r="AI3384">
        <v>93.720472320872602</v>
      </c>
      <c r="AJ3384">
        <v>84.814104582309099</v>
      </c>
      <c r="AK3384">
        <v>17.269448054744199</v>
      </c>
      <c r="AL3384">
        <v>95.037659988113106</v>
      </c>
      <c r="AM3384">
        <v>89.286871014363896</v>
      </c>
      <c r="AN3384">
        <v>0.99999996045512995</v>
      </c>
    </row>
    <row r="3385" spans="1:40" x14ac:dyDescent="0.25">
      <c r="A3385" t="str">
        <f>"20190303154835067"</f>
        <v>20190303154835067</v>
      </c>
      <c r="B3385" t="str">
        <f>"1551599315063841"</f>
        <v>1551599315063841</v>
      </c>
      <c r="C3385" t="s">
        <v>40</v>
      </c>
      <c r="D3385">
        <v>5.5569259999999998</v>
      </c>
      <c r="E3385">
        <v>0.52667159999999902</v>
      </c>
      <c r="F3385" t="s">
        <v>54</v>
      </c>
      <c r="G3385">
        <v>-412.85239999999999</v>
      </c>
      <c r="H3385" s="1">
        <v>2.8260339999999998E-6</v>
      </c>
      <c r="I3385">
        <v>213.30879999999999</v>
      </c>
      <c r="J3385">
        <v>-431.14670000000001</v>
      </c>
      <c r="K3385">
        <v>1.120566</v>
      </c>
      <c r="L3385">
        <v>215.19659999999999</v>
      </c>
      <c r="M3385">
        <v>0.99984810000000002</v>
      </c>
      <c r="N3385">
        <v>-1.3828E-2</v>
      </c>
      <c r="O3385">
        <v>-1.0609789999999999E-2</v>
      </c>
      <c r="P3385">
        <v>0.99456679999999997</v>
      </c>
      <c r="Q3385">
        <v>-0.101365</v>
      </c>
      <c r="R3385">
        <v>-2.3702850000000001E-2</v>
      </c>
      <c r="S3385">
        <v>2.9909669999999999</v>
      </c>
      <c r="T3385">
        <v>-0.18057490000000001</v>
      </c>
      <c r="U3385">
        <v>-0.3046875</v>
      </c>
      <c r="V3385">
        <v>1.311638E-2</v>
      </c>
      <c r="W3385">
        <v>-8.7604600000000005E-2</v>
      </c>
      <c r="X3385">
        <v>0.99606899999999998</v>
      </c>
      <c r="Y3385">
        <v>9.0593240000000005E-2</v>
      </c>
      <c r="Z3385">
        <v>-2.8619309999999999E-3</v>
      </c>
      <c r="AA3385">
        <v>0.99588390000000004</v>
      </c>
      <c r="AB3385">
        <v>27</v>
      </c>
      <c r="AC3385">
        <v>18.2943</v>
      </c>
      <c r="AD3385">
        <v>-1.120563173966</v>
      </c>
      <c r="AE3385">
        <v>-1.8877999999999899</v>
      </c>
      <c r="AF3385">
        <v>1.68731270165615</v>
      </c>
      <c r="AG3385">
        <v>-1.120563173966</v>
      </c>
      <c r="AH3385">
        <v>18.245568468557099</v>
      </c>
      <c r="AI3385">
        <v>93.499547277021406</v>
      </c>
      <c r="AJ3385">
        <v>84.716431772245997</v>
      </c>
      <c r="AK3385">
        <v>18.357653845762101</v>
      </c>
      <c r="AL3385">
        <v>95.025816226597996</v>
      </c>
      <c r="AM3385">
        <v>89.245564530629196</v>
      </c>
      <c r="AN3385">
        <v>1.00000002906323</v>
      </c>
    </row>
    <row r="3386" spans="1:40" x14ac:dyDescent="0.25">
      <c r="A3386" t="str">
        <f>"20190303154835090"</f>
        <v>20190303154835090</v>
      </c>
      <c r="B3386" t="str">
        <f>"1551599315084337"</f>
        <v>1551599315084337</v>
      </c>
      <c r="C3386" t="s">
        <v>40</v>
      </c>
      <c r="D3386">
        <v>5.5670219999999997</v>
      </c>
      <c r="E3386">
        <v>0.52411140000000001</v>
      </c>
      <c r="F3386" t="s">
        <v>54</v>
      </c>
      <c r="G3386">
        <v>-411.89769999999999</v>
      </c>
      <c r="H3386" s="1">
        <v>2.6506460000000001E-6</v>
      </c>
      <c r="I3386">
        <v>213.37780000000001</v>
      </c>
      <c r="J3386">
        <v>-430.87400000000002</v>
      </c>
      <c r="K3386">
        <v>1.120528</v>
      </c>
      <c r="L3386">
        <v>215.1935</v>
      </c>
      <c r="M3386">
        <v>0.99984830000000002</v>
      </c>
      <c r="N3386">
        <v>-1.368304E-2</v>
      </c>
      <c r="O3386">
        <v>-1.0784E-2</v>
      </c>
      <c r="P3386">
        <v>0.99456869999999997</v>
      </c>
      <c r="Q3386">
        <v>-0.1012738</v>
      </c>
      <c r="R3386">
        <v>-2.4022769999999999E-2</v>
      </c>
      <c r="S3386">
        <v>2.9919129999999998</v>
      </c>
      <c r="T3386">
        <v>-0.17417179999999999</v>
      </c>
      <c r="U3386">
        <v>-0.282699599999999</v>
      </c>
      <c r="V3386">
        <v>1.3262690000000001E-2</v>
      </c>
      <c r="W3386">
        <v>-8.765771E-2</v>
      </c>
      <c r="X3386">
        <v>0.99606229999999996</v>
      </c>
      <c r="Y3386">
        <v>8.316424E-2</v>
      </c>
      <c r="Z3386">
        <v>-2.5055030000000001E-3</v>
      </c>
      <c r="AA3386">
        <v>0.99653270000000005</v>
      </c>
      <c r="AB3386">
        <v>27</v>
      </c>
      <c r="AC3386">
        <v>18.976299999999998</v>
      </c>
      <c r="AD3386">
        <v>-1.1205253493539999</v>
      </c>
      <c r="AE3386">
        <v>-1.8156999999999901</v>
      </c>
      <c r="AF3386">
        <v>1.6053880364853801</v>
      </c>
      <c r="AG3386">
        <v>-1.1205253493539999</v>
      </c>
      <c r="AH3386">
        <v>18.929375533880499</v>
      </c>
      <c r="AI3386">
        <v>93.375583682494593</v>
      </c>
      <c r="AJ3386">
        <v>85.152382335292003</v>
      </c>
      <c r="AK3386">
        <v>19.030346972898499</v>
      </c>
      <c r="AL3386">
        <v>95.0288714096327</v>
      </c>
      <c r="AM3386">
        <v>89.237144846444707</v>
      </c>
      <c r="AN3386">
        <v>0.99999993927488295</v>
      </c>
    </row>
    <row r="3387" spans="1:40" x14ac:dyDescent="0.25">
      <c r="A3387" t="str">
        <f>"20190303154835115"</f>
        <v>20190303154835115</v>
      </c>
      <c r="B3387" t="str">
        <f>"1551599315103858"</f>
        <v>1551599315103858</v>
      </c>
      <c r="C3387" t="s">
        <v>40</v>
      </c>
      <c r="D3387">
        <v>5.5843740000000004</v>
      </c>
      <c r="E3387">
        <v>0.52263930000000003</v>
      </c>
      <c r="F3387" t="s">
        <v>54</v>
      </c>
      <c r="G3387">
        <v>-412.3186</v>
      </c>
      <c r="H3387" s="1">
        <v>2.7094010000000001E-6</v>
      </c>
      <c r="I3387">
        <v>213.5598</v>
      </c>
      <c r="J3387">
        <v>-430.57920000000001</v>
      </c>
      <c r="K3387">
        <v>1.120495</v>
      </c>
      <c r="L3387">
        <v>215.1901</v>
      </c>
      <c r="M3387">
        <v>0.99984899999999999</v>
      </c>
      <c r="N3387">
        <v>-1.347428E-2</v>
      </c>
      <c r="O3387">
        <v>-1.097774E-2</v>
      </c>
      <c r="P3387">
        <v>0.99460409999999999</v>
      </c>
      <c r="Q3387">
        <v>-0.1008251</v>
      </c>
      <c r="R3387">
        <v>-2.4438049999999999E-2</v>
      </c>
      <c r="S3387">
        <v>2.9916689999999999</v>
      </c>
      <c r="T3387">
        <v>-0.18066189999999999</v>
      </c>
      <c r="U3387">
        <v>-0.2633972</v>
      </c>
      <c r="V3387">
        <v>1.3486E-2</v>
      </c>
      <c r="W3387">
        <v>-8.7416359999999999E-2</v>
      </c>
      <c r="X3387">
        <v>0.99608059999999998</v>
      </c>
      <c r="Y3387">
        <v>7.6604980000000003E-2</v>
      </c>
      <c r="Z3387">
        <v>-2.3107549999999998E-3</v>
      </c>
      <c r="AA3387">
        <v>0.99705889999999997</v>
      </c>
      <c r="AB3387">
        <v>27</v>
      </c>
      <c r="AC3387">
        <v>18.2606</v>
      </c>
      <c r="AD3387">
        <v>-1.120492290599</v>
      </c>
      <c r="AE3387">
        <v>-1.6303000000000001</v>
      </c>
      <c r="AF3387">
        <v>1.4244026896586599</v>
      </c>
      <c r="AG3387">
        <v>-1.120492290599</v>
      </c>
      <c r="AH3387">
        <v>18.209378386794501</v>
      </c>
      <c r="AI3387">
        <v>93.510490533199402</v>
      </c>
      <c r="AJ3387">
        <v>85.527227270350394</v>
      </c>
      <c r="AK3387">
        <v>18.299341169262298</v>
      </c>
      <c r="AL3387">
        <v>95.014989343711406</v>
      </c>
      <c r="AM3387">
        <v>89.224316109886402</v>
      </c>
      <c r="AN3387">
        <v>1.0000000269439999</v>
      </c>
    </row>
    <row r="3388" spans="1:40" x14ac:dyDescent="0.25">
      <c r="A3388" t="str">
        <f>"20190303154835135"</f>
        <v>20190303154835135</v>
      </c>
      <c r="B3388" t="str">
        <f>"1551599315124353"</f>
        <v>1551599315124353</v>
      </c>
      <c r="C3388" t="s">
        <v>40</v>
      </c>
      <c r="D3388">
        <v>5.6015379999999997</v>
      </c>
      <c r="E3388">
        <v>0.52168049999999999</v>
      </c>
      <c r="F3388" t="s">
        <v>54</v>
      </c>
      <c r="G3388">
        <v>-412.20060000000001</v>
      </c>
      <c r="H3388" s="1">
        <v>2.68182E-6</v>
      </c>
      <c r="I3388">
        <v>213.63579999999999</v>
      </c>
      <c r="J3388">
        <v>-430.33199999999999</v>
      </c>
      <c r="K3388">
        <v>1.120465</v>
      </c>
      <c r="L3388">
        <v>215.18719999999999</v>
      </c>
      <c r="M3388">
        <v>0.99985000000000002</v>
      </c>
      <c r="N3388">
        <v>-1.3272890000000001E-2</v>
      </c>
      <c r="O3388">
        <v>-1.114306E-2</v>
      </c>
      <c r="P3388">
        <v>0.99456549999999999</v>
      </c>
      <c r="Q3388">
        <v>-0.1010571</v>
      </c>
      <c r="R3388">
        <v>-2.5049060000000001E-2</v>
      </c>
      <c r="S3388">
        <v>2.9915470000000002</v>
      </c>
      <c r="T3388">
        <v>-0.1823862</v>
      </c>
      <c r="U3388">
        <v>-0.25299070000000001</v>
      </c>
      <c r="V3388">
        <v>1.3933829999999999E-2</v>
      </c>
      <c r="W3388">
        <v>-8.7849300000000005E-2</v>
      </c>
      <c r="X3388">
        <v>0.99603629999999999</v>
      </c>
      <c r="Y3388">
        <v>7.3006589999999996E-2</v>
      </c>
      <c r="Z3388">
        <v>-2.1755429999999998E-3</v>
      </c>
      <c r="AA3388">
        <v>0.99732909999999997</v>
      </c>
      <c r="AB3388">
        <v>27</v>
      </c>
      <c r="AC3388">
        <v>18.1313999999999</v>
      </c>
      <c r="AD3388">
        <v>-1.12046231818</v>
      </c>
      <c r="AE3388">
        <v>-1.5513999999999999</v>
      </c>
      <c r="AF3388">
        <v>1.3441508286869599</v>
      </c>
      <c r="AG3388">
        <v>-1.12046231818</v>
      </c>
      <c r="AH3388">
        <v>18.0790237962416</v>
      </c>
      <c r="AI3388">
        <v>93.536680400388207</v>
      </c>
      <c r="AJ3388">
        <v>85.747959905813104</v>
      </c>
      <c r="AK3388">
        <v>18.163515042022802</v>
      </c>
      <c r="AL3388">
        <v>95.039891009774095</v>
      </c>
      <c r="AM3388">
        <v>89.198525617414404</v>
      </c>
      <c r="AN3388">
        <v>0.99999998102332399</v>
      </c>
    </row>
    <row r="3389" spans="1:40" x14ac:dyDescent="0.25">
      <c r="A3389" t="str">
        <f>"20190303154835156"</f>
        <v>20190303154835156</v>
      </c>
      <c r="B3389" t="str">
        <f>"1551599315143873"</f>
        <v>1551599315143873</v>
      </c>
      <c r="C3389" t="s">
        <v>40</v>
      </c>
      <c r="D3389">
        <v>5.6015240000000004</v>
      </c>
      <c r="E3389">
        <v>0.52041110000000002</v>
      </c>
      <c r="F3389" t="s">
        <v>54</v>
      </c>
      <c r="G3389">
        <v>-412.15410000000003</v>
      </c>
      <c r="H3389" s="1">
        <v>2.669245E-6</v>
      </c>
      <c r="I3389">
        <v>213.68530000000001</v>
      </c>
      <c r="J3389">
        <v>-430.07600000000002</v>
      </c>
      <c r="K3389">
        <v>1.1204400000000001</v>
      </c>
      <c r="L3389">
        <v>215.1841</v>
      </c>
      <c r="M3389">
        <v>0.99985089999999999</v>
      </c>
      <c r="N3389">
        <v>-1.3056119999999999E-2</v>
      </c>
      <c r="O3389">
        <v>-1.1313220000000001E-2</v>
      </c>
      <c r="P3389">
        <v>0.99451800000000001</v>
      </c>
      <c r="Q3389">
        <v>-0.10146280000000001</v>
      </c>
      <c r="R3389">
        <v>-2.529619E-2</v>
      </c>
      <c r="S3389">
        <v>2.9913940000000001</v>
      </c>
      <c r="T3389">
        <v>-0.18438550000000001</v>
      </c>
      <c r="U3389">
        <v>-0.24714659999999999</v>
      </c>
      <c r="V3389">
        <v>1.401239E-2</v>
      </c>
      <c r="W3389">
        <v>-8.8471439999999998E-2</v>
      </c>
      <c r="X3389">
        <v>0.99598010000000003</v>
      </c>
      <c r="Y3389">
        <v>7.090871E-2</v>
      </c>
      <c r="Z3389">
        <v>-2.095792E-3</v>
      </c>
      <c r="AA3389">
        <v>0.99748060000000005</v>
      </c>
      <c r="AB3389">
        <v>27</v>
      </c>
      <c r="AC3389">
        <v>17.921899999999901</v>
      </c>
      <c r="AD3389">
        <v>-1.120437330755</v>
      </c>
      <c r="AE3389">
        <v>-1.4987999999999799</v>
      </c>
      <c r="AF3389">
        <v>1.2909219229447699</v>
      </c>
      <c r="AG3389">
        <v>-1.120437330755</v>
      </c>
      <c r="AH3389">
        <v>17.868357628776</v>
      </c>
      <c r="AI3389">
        <v>93.578737278745393</v>
      </c>
      <c r="AJ3389">
        <v>85.867773933426605</v>
      </c>
      <c r="AK3389">
        <v>17.9499321328279</v>
      </c>
      <c r="AL3389">
        <v>95.075676496744705</v>
      </c>
      <c r="AM3389">
        <v>89.193961964340104</v>
      </c>
      <c r="AN3389">
        <v>0.99999995118259599</v>
      </c>
    </row>
    <row r="3390" spans="1:40" x14ac:dyDescent="0.25">
      <c r="A3390" t="str">
        <f>"20190303154835179"</f>
        <v>20190303154835179</v>
      </c>
      <c r="B3390" t="str">
        <f>"1551599315174130"</f>
        <v>1551599315174130</v>
      </c>
      <c r="C3390" t="s">
        <v>40</v>
      </c>
      <c r="D3390">
        <v>5.596838</v>
      </c>
      <c r="E3390">
        <v>0.5191827</v>
      </c>
      <c r="F3390" t="s">
        <v>54</v>
      </c>
      <c r="G3390">
        <v>-412.29590000000002</v>
      </c>
      <c r="H3390" s="1">
        <v>2.6869130000000002E-6</v>
      </c>
      <c r="I3390">
        <v>213.77090000000001</v>
      </c>
      <c r="J3390">
        <v>-429.80099999999999</v>
      </c>
      <c r="K3390">
        <v>1.120414</v>
      </c>
      <c r="L3390">
        <v>215.1808</v>
      </c>
      <c r="M3390">
        <v>0.99985170000000001</v>
      </c>
      <c r="N3390">
        <v>-1.282641E-2</v>
      </c>
      <c r="O3390">
        <v>-1.1493140000000001E-2</v>
      </c>
      <c r="P3390">
        <v>0.99454480000000001</v>
      </c>
      <c r="Q3390">
        <v>-0.10121189999999999</v>
      </c>
      <c r="R3390">
        <v>-2.5237309999999999E-2</v>
      </c>
      <c r="S3390">
        <v>2.991241</v>
      </c>
      <c r="T3390">
        <v>-0.18849679999999999</v>
      </c>
      <c r="U3390">
        <v>-0.23776249999999999</v>
      </c>
      <c r="V3390">
        <v>1.3774410000000001E-2</v>
      </c>
      <c r="W3390">
        <v>-8.8448940000000004E-2</v>
      </c>
      <c r="X3390">
        <v>0.99598540000000002</v>
      </c>
      <c r="Y3390">
        <v>6.762688E-2</v>
      </c>
      <c r="Z3390">
        <v>-1.9850499999999999E-3</v>
      </c>
      <c r="AA3390">
        <v>0.9977087</v>
      </c>
      <c r="AB3390">
        <v>27</v>
      </c>
      <c r="AC3390">
        <v>17.505099999999899</v>
      </c>
      <c r="AD3390">
        <v>-1.1204113130869999</v>
      </c>
      <c r="AE3390">
        <v>-1.4098999999999899</v>
      </c>
      <c r="AF3390">
        <v>1.2037024194799399</v>
      </c>
      <c r="AG3390">
        <v>-1.1204113130869999</v>
      </c>
      <c r="AH3390">
        <v>17.449127399763601</v>
      </c>
      <c r="AI3390">
        <v>93.665240979993797</v>
      </c>
      <c r="AJ3390">
        <v>86.053786550285096</v>
      </c>
      <c r="AK3390">
        <v>17.526444820280499</v>
      </c>
      <c r="AL3390">
        <v>95.074382359457005</v>
      </c>
      <c r="AM3390">
        <v>89.207653799854995</v>
      </c>
      <c r="AN3390">
        <v>0.99999993318556302</v>
      </c>
    </row>
    <row r="3391" spans="1:40" x14ac:dyDescent="0.25">
      <c r="A3391" t="str">
        <f>"20190303154835202"</f>
        <v>20190303154835202</v>
      </c>
      <c r="B3391" t="str">
        <f>"1551599315193651"</f>
        <v>1551599315193651</v>
      </c>
      <c r="C3391" t="s">
        <v>40</v>
      </c>
      <c r="D3391">
        <v>5.6003850000000002</v>
      </c>
      <c r="E3391">
        <v>0.51846029999999999</v>
      </c>
      <c r="F3391" t="s">
        <v>54</v>
      </c>
      <c r="G3391">
        <v>-412.26459999999997</v>
      </c>
      <c r="H3391" s="1">
        <v>2.674886E-6</v>
      </c>
      <c r="I3391">
        <v>213.845</v>
      </c>
      <c r="J3391">
        <v>-429.52429999999998</v>
      </c>
      <c r="K3391">
        <v>1.1203970000000001</v>
      </c>
      <c r="L3391">
        <v>215.17750000000001</v>
      </c>
      <c r="M3391">
        <v>0.99985250000000003</v>
      </c>
      <c r="N3391">
        <v>-1.2604789999999999E-2</v>
      </c>
      <c r="O3391">
        <v>-1.1670420000000001E-2</v>
      </c>
      <c r="P3391">
        <v>0.99459929999999996</v>
      </c>
      <c r="Q3391">
        <v>-0.1008479</v>
      </c>
      <c r="R3391">
        <v>-2.4533630000000001E-2</v>
      </c>
      <c r="S3391">
        <v>2.9912109999999998</v>
      </c>
      <c r="T3391">
        <v>-0.19111040000000001</v>
      </c>
      <c r="U3391">
        <v>-0.22785949999999999</v>
      </c>
      <c r="V3391">
        <v>1.2893430000000001E-2</v>
      </c>
      <c r="W3391">
        <v>-8.8304789999999994E-2</v>
      </c>
      <c r="X3391">
        <v>0.99601010000000001</v>
      </c>
      <c r="Y3391">
        <v>6.4172809999999997E-2</v>
      </c>
      <c r="Z3391">
        <v>-1.853607E-3</v>
      </c>
      <c r="AA3391">
        <v>0.99793710000000002</v>
      </c>
      <c r="AB3391">
        <v>27</v>
      </c>
      <c r="AC3391">
        <v>17.259699999999999</v>
      </c>
      <c r="AD3391">
        <v>-1.1203943251139901</v>
      </c>
      <c r="AE3391">
        <v>-1.33250000000001</v>
      </c>
      <c r="AF3391">
        <v>1.1262476201026099</v>
      </c>
      <c r="AG3391">
        <v>-1.1203943251139901</v>
      </c>
      <c r="AH3391">
        <v>17.202019842935101</v>
      </c>
      <c r="AI3391">
        <v>93.718560836733701</v>
      </c>
      <c r="AJ3391">
        <v>86.254087048216206</v>
      </c>
      <c r="AK3391">
        <v>17.275219356704799</v>
      </c>
      <c r="AL3391">
        <v>95.066090145418599</v>
      </c>
      <c r="AM3391">
        <v>89.258343000900496</v>
      </c>
      <c r="AN3391">
        <v>1.00000004788805</v>
      </c>
    </row>
    <row r="3392" spans="1:40" x14ac:dyDescent="0.25">
      <c r="A3392" t="str">
        <f>"20190303154835235"</f>
        <v>20190303154835235</v>
      </c>
      <c r="B3392" t="str">
        <f>"1551599315223905"</f>
        <v>1551599315223905</v>
      </c>
      <c r="C3392" t="s">
        <v>40</v>
      </c>
      <c r="D3392">
        <v>5.6178049999999997</v>
      </c>
      <c r="E3392">
        <v>0.51782689999999998</v>
      </c>
      <c r="F3392" t="s">
        <v>54</v>
      </c>
      <c r="G3392">
        <v>-412.16399999999999</v>
      </c>
      <c r="H3392" s="1">
        <v>2.652125E-6</v>
      </c>
      <c r="I3392">
        <v>213.90119999999999</v>
      </c>
      <c r="J3392">
        <v>-429.12</v>
      </c>
      <c r="K3392">
        <v>1.120376</v>
      </c>
      <c r="L3392">
        <v>215.17240000000001</v>
      </c>
      <c r="M3392">
        <v>0.99985310000000005</v>
      </c>
      <c r="N3392">
        <v>-1.230817E-2</v>
      </c>
      <c r="O3392">
        <v>-1.1927750000000001E-2</v>
      </c>
      <c r="P3392">
        <v>0.99467399999999995</v>
      </c>
      <c r="Q3392">
        <v>-0.1003571</v>
      </c>
      <c r="R3392">
        <v>-2.3499829999999999E-2</v>
      </c>
      <c r="S3392">
        <v>2.9912719999999999</v>
      </c>
      <c r="T3392">
        <v>-0.1930499</v>
      </c>
      <c r="U3392">
        <v>-0.21990970000000001</v>
      </c>
      <c r="V3392">
        <v>1.16022E-2</v>
      </c>
      <c r="W3392">
        <v>-8.8108409999999998E-2</v>
      </c>
      <c r="X3392">
        <v>0.99604329999999996</v>
      </c>
      <c r="Y3392">
        <v>6.128252E-2</v>
      </c>
      <c r="Z3392">
        <v>-1.7295870000000001E-3</v>
      </c>
      <c r="AA3392">
        <v>0.99811890000000003</v>
      </c>
      <c r="AB3392">
        <v>27</v>
      </c>
      <c r="AC3392">
        <v>16.956</v>
      </c>
      <c r="AD3392">
        <v>-1.120373347875</v>
      </c>
      <c r="AE3392">
        <v>-1.2712000000000201</v>
      </c>
      <c r="AF3392">
        <v>1.0642269119831</v>
      </c>
      <c r="AG3392">
        <v>-1.120373347875</v>
      </c>
      <c r="AH3392">
        <v>16.896599910037899</v>
      </c>
      <c r="AI3392">
        <v>93.786113019628701</v>
      </c>
      <c r="AJ3392">
        <v>86.396004487638393</v>
      </c>
      <c r="AK3392">
        <v>16.9671124201707</v>
      </c>
      <c r="AL3392">
        <v>95.054794720138702</v>
      </c>
      <c r="AM3392">
        <v>89.332632396419399</v>
      </c>
      <c r="AN3392">
        <v>0.99999997921622796</v>
      </c>
    </row>
    <row r="3393" spans="1:40" x14ac:dyDescent="0.25">
      <c r="A3393" t="str">
        <f>"20190303154835257"</f>
        <v>20190303154835257</v>
      </c>
      <c r="B3393" t="str">
        <f>"1551599315254162"</f>
        <v>1551599315254162</v>
      </c>
      <c r="C3393" t="s">
        <v>40</v>
      </c>
      <c r="D3393">
        <v>5.6082780000000003</v>
      </c>
      <c r="E3393">
        <v>0.5175438</v>
      </c>
      <c r="F3393" t="s">
        <v>54</v>
      </c>
      <c r="G3393">
        <v>-411.97039999999998</v>
      </c>
      <c r="H3393" s="1">
        <v>2.6127119999999999E-6</v>
      </c>
      <c r="I3393">
        <v>213.95920000000001</v>
      </c>
      <c r="J3393">
        <v>-428.85719999999998</v>
      </c>
      <c r="K3393">
        <v>1.1203700000000001</v>
      </c>
      <c r="L3393">
        <v>215.16909999999999</v>
      </c>
      <c r="M3393">
        <v>0.99985329999999994</v>
      </c>
      <c r="N3393">
        <v>-1.2135979999999999E-2</v>
      </c>
      <c r="O3393">
        <v>-1.2095730000000001E-2</v>
      </c>
      <c r="P3393">
        <v>0.99472249999999995</v>
      </c>
      <c r="Q3393">
        <v>-9.992492E-2</v>
      </c>
      <c r="R3393">
        <v>-2.3288940000000001E-2</v>
      </c>
      <c r="S3393">
        <v>2.991333</v>
      </c>
      <c r="T3393">
        <v>-0.19542229999999999</v>
      </c>
      <c r="U3393">
        <v>-0.21162410000000001</v>
      </c>
      <c r="V3393">
        <v>1.1223469999999999E-2</v>
      </c>
      <c r="W3393">
        <v>-8.7847049999999996E-2</v>
      </c>
      <c r="X3393">
        <v>0.99607069999999998</v>
      </c>
      <c r="Y3393">
        <v>5.8367860000000001E-2</v>
      </c>
      <c r="Z3393">
        <v>-1.6154699999999999E-3</v>
      </c>
      <c r="AA3393">
        <v>0.99829380000000001</v>
      </c>
      <c r="AB3393">
        <v>27</v>
      </c>
      <c r="AC3393">
        <v>16.886799999999901</v>
      </c>
      <c r="AD3393">
        <v>-1.120367387288</v>
      </c>
      <c r="AE3393">
        <v>-1.20989999999997</v>
      </c>
      <c r="AF3393">
        <v>1.0011539489055401</v>
      </c>
      <c r="AG3393">
        <v>-1.120367387288</v>
      </c>
      <c r="AH3393">
        <v>16.826512175750999</v>
      </c>
      <c r="AI3393">
        <v>93.802623393797901</v>
      </c>
      <c r="AJ3393">
        <v>86.594995439811299</v>
      </c>
      <c r="AK3393">
        <v>16.8934615846665</v>
      </c>
      <c r="AL3393">
        <v>95.039761725746501</v>
      </c>
      <c r="AM3393">
        <v>89.354433124143995</v>
      </c>
      <c r="AN3393">
        <v>0.99999995493551497</v>
      </c>
    </row>
    <row r="3394" spans="1:40" x14ac:dyDescent="0.25">
      <c r="A3394" t="str">
        <f>"20190303154835279"</f>
        <v>20190303154835279</v>
      </c>
      <c r="B3394" t="str">
        <f>"1551599315273682"</f>
        <v>1551599315273682</v>
      </c>
      <c r="C3394" t="s">
        <v>40</v>
      </c>
      <c r="D3394">
        <v>5.6108760000000002</v>
      </c>
      <c r="E3394">
        <v>0.5174221</v>
      </c>
      <c r="F3394" t="s">
        <v>54</v>
      </c>
      <c r="G3394">
        <v>-411.71319999999997</v>
      </c>
      <c r="H3394" s="1">
        <v>2.565973E-6</v>
      </c>
      <c r="I3394">
        <v>213.97190000000001</v>
      </c>
      <c r="J3394">
        <v>-428.5795</v>
      </c>
      <c r="K3394">
        <v>1.1203700000000001</v>
      </c>
      <c r="L3394">
        <v>215.16560000000001</v>
      </c>
      <c r="M3394">
        <v>0.99985310000000005</v>
      </c>
      <c r="N3394">
        <v>-1.197295E-2</v>
      </c>
      <c r="O3394">
        <v>-1.2274739999999999E-2</v>
      </c>
      <c r="P3394">
        <v>0.99474870000000004</v>
      </c>
      <c r="Q3394">
        <v>-9.9630189999999993E-2</v>
      </c>
      <c r="R3394">
        <v>-2.3441799999999999E-2</v>
      </c>
      <c r="S3394">
        <v>2.9913940000000001</v>
      </c>
      <c r="T3394">
        <v>-0.1954881</v>
      </c>
      <c r="U3394">
        <v>-0.20889279999999999</v>
      </c>
      <c r="V3394">
        <v>1.1197779999999999E-2</v>
      </c>
      <c r="W3394">
        <v>-8.7714399999999901E-2</v>
      </c>
      <c r="X3394">
        <v>0.99608269999999999</v>
      </c>
      <c r="Y3394">
        <v>5.7283960000000002E-2</v>
      </c>
      <c r="Z3394">
        <v>-1.5577399999999999E-3</v>
      </c>
      <c r="AA3394">
        <v>0.99835669999999999</v>
      </c>
      <c r="AB3394">
        <v>27</v>
      </c>
      <c r="AC3394">
        <v>16.866299999999999</v>
      </c>
      <c r="AD3394">
        <v>-1.120367434027</v>
      </c>
      <c r="AE3394">
        <v>-1.1937</v>
      </c>
      <c r="AF3394">
        <v>0.98225323721745605</v>
      </c>
      <c r="AG3394">
        <v>-1.120367434027</v>
      </c>
      <c r="AH3394">
        <v>16.805896715152102</v>
      </c>
      <c r="AI3394">
        <v>93.807509065950597</v>
      </c>
      <c r="AJ3394">
        <v>86.655042389885296</v>
      </c>
      <c r="AK3394">
        <v>16.871817003796998</v>
      </c>
      <c r="AL3394">
        <v>95.032131883125302</v>
      </c>
      <c r="AM3394">
        <v>89.355918430834905</v>
      </c>
      <c r="AN3394">
        <v>0.99999997574178801</v>
      </c>
    </row>
    <row r="3395" spans="1:40" x14ac:dyDescent="0.25">
      <c r="A3395" t="str">
        <f>"20190303154835303"</f>
        <v>20190303154835303</v>
      </c>
      <c r="B3395" t="str">
        <f>"1551599315294177"</f>
        <v>1551599315294177</v>
      </c>
      <c r="C3395" t="s">
        <v>40</v>
      </c>
      <c r="D3395">
        <v>5.6720189999999997</v>
      </c>
      <c r="E3395">
        <v>0.51740399999999998</v>
      </c>
      <c r="F3395" t="s">
        <v>54</v>
      </c>
      <c r="G3395">
        <v>-411.49220000000003</v>
      </c>
      <c r="H3395" s="1">
        <v>2.5265310000000001E-6</v>
      </c>
      <c r="I3395">
        <v>213.97470000000001</v>
      </c>
      <c r="J3395">
        <v>-428.2876</v>
      </c>
      <c r="K3395">
        <v>1.1203669999999999</v>
      </c>
      <c r="L3395">
        <v>215.1618</v>
      </c>
      <c r="M3395">
        <v>0.99985250000000003</v>
      </c>
      <c r="N3395">
        <v>-1.1823480000000001E-2</v>
      </c>
      <c r="O3395">
        <v>-1.2463490000000001E-2</v>
      </c>
      <c r="P3395">
        <v>0.99480860000000004</v>
      </c>
      <c r="Q3395">
        <v>-9.8990679999999998E-2</v>
      </c>
      <c r="R3395">
        <v>-2.360218E-2</v>
      </c>
      <c r="S3395">
        <v>2.9912719999999999</v>
      </c>
      <c r="T3395">
        <v>-0.19612930000000001</v>
      </c>
      <c r="U3395">
        <v>-0.20848079999999999</v>
      </c>
      <c r="V3395">
        <v>1.1169689999999999E-2</v>
      </c>
      <c r="W3395">
        <v>-8.7223060000000005E-2</v>
      </c>
      <c r="X3395">
        <v>0.99612619999999996</v>
      </c>
      <c r="Y3395">
        <v>5.6962230000000003E-2</v>
      </c>
      <c r="Z3395">
        <v>-1.53261E-3</v>
      </c>
      <c r="AA3395">
        <v>0.99837520000000002</v>
      </c>
      <c r="AB3395">
        <v>27</v>
      </c>
      <c r="AC3395">
        <v>16.795399999999901</v>
      </c>
      <c r="AD3395">
        <v>-1.1203644734689999</v>
      </c>
      <c r="AE3395">
        <v>-1.1870999999999801</v>
      </c>
      <c r="AF3395">
        <v>0.97335418906969595</v>
      </c>
      <c r="AG3395">
        <v>-1.1203644734689999</v>
      </c>
      <c r="AH3395">
        <v>16.734795821734401</v>
      </c>
      <c r="AI3395">
        <v>93.823690806855595</v>
      </c>
      <c r="AJ3395">
        <v>86.671227653401303</v>
      </c>
      <c r="AK3395">
        <v>16.800476961263101</v>
      </c>
      <c r="AL3395">
        <v>95.003871662491704</v>
      </c>
      <c r="AM3395">
        <v>89.357562048671099</v>
      </c>
      <c r="AN3395">
        <v>1.0000000152484401</v>
      </c>
    </row>
    <row r="3396" spans="1:40" x14ac:dyDescent="0.25">
      <c r="A3396" t="str">
        <f>"20190303154835325"</f>
        <v>20190303154835325</v>
      </c>
      <c r="B3396" t="str">
        <f>"1551599315313698"</f>
        <v>1551599315313698</v>
      </c>
      <c r="C3396" t="s">
        <v>40</v>
      </c>
      <c r="D3396">
        <v>5.6063229999999997</v>
      </c>
      <c r="E3396">
        <v>0.5174048</v>
      </c>
      <c r="F3396" t="s">
        <v>54</v>
      </c>
      <c r="G3396">
        <v>-411.08120000000002</v>
      </c>
      <c r="H3396" s="1">
        <v>2.4548670000000001E-6</v>
      </c>
      <c r="I3396">
        <v>213.9605</v>
      </c>
      <c r="J3396">
        <v>-428.02589999999998</v>
      </c>
      <c r="K3396">
        <v>1.120363</v>
      </c>
      <c r="L3396">
        <v>215.1583</v>
      </c>
      <c r="M3396">
        <v>0.99985179999999996</v>
      </c>
      <c r="N3396">
        <v>-1.17021E-2</v>
      </c>
      <c r="O3396">
        <v>-1.263252E-2</v>
      </c>
      <c r="P3396">
        <v>0.99480570000000001</v>
      </c>
      <c r="Q3396">
        <v>-9.8993929999999994E-2</v>
      </c>
      <c r="R3396">
        <v>-2.3709669999999999E-2</v>
      </c>
      <c r="S3396">
        <v>2.991333</v>
      </c>
      <c r="T3396">
        <v>-0.194775</v>
      </c>
      <c r="U3396">
        <v>-0.208847</v>
      </c>
      <c r="V3396">
        <v>1.1108939999999999E-2</v>
      </c>
      <c r="W3396">
        <v>-8.7347209999999995E-2</v>
      </c>
      <c r="X3396">
        <v>0.996116</v>
      </c>
      <c r="Y3396">
        <v>5.6915880000000002E-2</v>
      </c>
      <c r="Z3396">
        <v>-1.509603E-3</v>
      </c>
      <c r="AA3396">
        <v>0.99837790000000004</v>
      </c>
      <c r="AB3396">
        <v>27</v>
      </c>
      <c r="AC3396">
        <v>16.944699999999902</v>
      </c>
      <c r="AD3396">
        <v>-1.1203605451330001</v>
      </c>
      <c r="AE3396">
        <v>-1.1978</v>
      </c>
      <c r="AF3396">
        <v>0.97937528383137296</v>
      </c>
      <c r="AG3396">
        <v>-1.1203605451330001</v>
      </c>
      <c r="AH3396">
        <v>16.885031158421299</v>
      </c>
      <c r="AI3396">
        <v>93.789790879334205</v>
      </c>
      <c r="AJ3396">
        <v>86.680416615541802</v>
      </c>
      <c r="AK3396">
        <v>16.950476716556601</v>
      </c>
      <c r="AL3396">
        <v>95.011012189667895</v>
      </c>
      <c r="AM3396">
        <v>89.3610493243132</v>
      </c>
      <c r="AN3396">
        <v>1.0000000145493499</v>
      </c>
    </row>
    <row r="3397" spans="1:40" x14ac:dyDescent="0.25">
      <c r="A3397" t="str">
        <f>"20190303154835347"</f>
        <v>20190303154835347</v>
      </c>
      <c r="B3397" t="str">
        <f>"1551599315343954"</f>
        <v>1551599315343954</v>
      </c>
      <c r="C3397" t="s">
        <v>40</v>
      </c>
      <c r="D3397">
        <v>5.6296889999999999</v>
      </c>
      <c r="E3397">
        <v>0.51732739999999999</v>
      </c>
      <c r="F3397" t="s">
        <v>54</v>
      </c>
      <c r="G3397">
        <v>-410.91539999999998</v>
      </c>
      <c r="H3397" s="1">
        <v>2.425249E-6</v>
      </c>
      <c r="I3397">
        <v>213.96299999999999</v>
      </c>
      <c r="J3397">
        <v>-427.75459999999998</v>
      </c>
      <c r="K3397">
        <v>1.1203590000000001</v>
      </c>
      <c r="L3397">
        <v>215.15469999999999</v>
      </c>
      <c r="M3397">
        <v>0.99985100000000005</v>
      </c>
      <c r="N3397">
        <v>-1.158783E-2</v>
      </c>
      <c r="O3397">
        <v>-1.2807789999999999E-2</v>
      </c>
      <c r="P3397">
        <v>0.99472570000000005</v>
      </c>
      <c r="Q3397">
        <v>-9.9594760000000004E-2</v>
      </c>
      <c r="R3397">
        <v>-2.4538109999999998E-2</v>
      </c>
      <c r="S3397">
        <v>2.9911189999999999</v>
      </c>
      <c r="T3397">
        <v>-0.1958529</v>
      </c>
      <c r="U3397">
        <v>-0.2089539</v>
      </c>
      <c r="V3397">
        <v>1.1763610000000001E-2</v>
      </c>
      <c r="W3397">
        <v>-8.8062870000000001E-2</v>
      </c>
      <c r="X3397">
        <v>0.99604550000000003</v>
      </c>
      <c r="Y3397">
        <v>5.678097E-2</v>
      </c>
      <c r="Z3397">
        <v>-1.4960450000000001E-3</v>
      </c>
      <c r="AA3397">
        <v>0.99838550000000004</v>
      </c>
      <c r="AB3397">
        <v>27</v>
      </c>
      <c r="AC3397">
        <v>16.839200000000002</v>
      </c>
      <c r="AD3397">
        <v>-1.120356574751</v>
      </c>
      <c r="AE3397">
        <v>-1.19169999999999</v>
      </c>
      <c r="AF3397">
        <v>0.97163525713464804</v>
      </c>
      <c r="AG3397">
        <v>-1.120356574751</v>
      </c>
      <c r="AH3397">
        <v>16.779178215176302</v>
      </c>
      <c r="AI3397">
        <v>93.8136362540899</v>
      </c>
      <c r="AJ3397">
        <v>86.685862803222903</v>
      </c>
      <c r="AK3397">
        <v>16.8445865340809</v>
      </c>
      <c r="AL3397">
        <v>95.052174955943102</v>
      </c>
      <c r="AM3397">
        <v>89.323350318913995</v>
      </c>
      <c r="AN3397">
        <v>1.00000004483155</v>
      </c>
    </row>
    <row r="3398" spans="1:40" x14ac:dyDescent="0.25">
      <c r="A3398" t="str">
        <f>"20190303154835369"</f>
        <v>20190303154835369</v>
      </c>
      <c r="B3398" t="str">
        <f>"1551599315364450"</f>
        <v>1551599315364450</v>
      </c>
      <c r="C3398" t="s">
        <v>40</v>
      </c>
      <c r="D3398">
        <v>5.6628449999999999</v>
      </c>
      <c r="E3398">
        <v>0.49949909999999997</v>
      </c>
      <c r="F3398" t="s">
        <v>54</v>
      </c>
      <c r="G3398">
        <v>-410.90089999999998</v>
      </c>
      <c r="H3398" s="1">
        <v>2.4223999999999999E-6</v>
      </c>
      <c r="I3398">
        <v>213.96610000000001</v>
      </c>
      <c r="J3398">
        <v>-427.49430000000001</v>
      </c>
      <c r="K3398">
        <v>1.1203590000000001</v>
      </c>
      <c r="L3398">
        <v>215.15119999999999</v>
      </c>
      <c r="M3398">
        <v>0.99984989999999996</v>
      </c>
      <c r="N3398">
        <v>-1.148952E-2</v>
      </c>
      <c r="O3398">
        <v>-1.297566E-2</v>
      </c>
      <c r="P3398">
        <v>0.9947262</v>
      </c>
      <c r="Q3398">
        <v>-9.9435670000000004E-2</v>
      </c>
      <c r="R3398">
        <v>-2.5149729999999999E-2</v>
      </c>
      <c r="S3398">
        <v>2.9907840000000001</v>
      </c>
      <c r="T3398">
        <v>-0.19881370000000001</v>
      </c>
      <c r="U3398">
        <v>-0.2109222</v>
      </c>
      <c r="V3398">
        <v>1.220796E-2</v>
      </c>
      <c r="W3398">
        <v>-8.8001770000000007E-2</v>
      </c>
      <c r="X3398">
        <v>0.99604550000000003</v>
      </c>
      <c r="Y3398">
        <v>5.7270929999999998E-2</v>
      </c>
      <c r="Z3398">
        <v>-1.5173160000000001E-3</v>
      </c>
      <c r="AA3398">
        <v>0.99835750000000001</v>
      </c>
      <c r="AB3398">
        <v>27</v>
      </c>
      <c r="AC3398">
        <v>16.593399999999999</v>
      </c>
      <c r="AD3398">
        <v>-1.1203565776</v>
      </c>
      <c r="AE3398">
        <v>-1.1850999999999701</v>
      </c>
      <c r="AF3398">
        <v>0.96529753100548299</v>
      </c>
      <c r="AG3398">
        <v>-1.1203565776</v>
      </c>
      <c r="AH3398">
        <v>16.532397435335</v>
      </c>
      <c r="AI3398">
        <v>93.870283483925803</v>
      </c>
      <c r="AJ3398">
        <v>86.658394415644494</v>
      </c>
      <c r="AK3398">
        <v>16.598408452144099</v>
      </c>
      <c r="AL3398">
        <v>95.048660807391997</v>
      </c>
      <c r="AM3398">
        <v>89.297793561548005</v>
      </c>
      <c r="AN3398">
        <v>0.99999999194037203</v>
      </c>
    </row>
    <row r="3399" spans="1:40" x14ac:dyDescent="0.25">
      <c r="A3399" t="str">
        <f>"20190303154835391"</f>
        <v>20190303154835391</v>
      </c>
      <c r="B3399" t="str">
        <f>"1551599315383970"</f>
        <v>1551599315383970</v>
      </c>
      <c r="C3399" t="s">
        <v>40</v>
      </c>
      <c r="D3399">
        <v>5.6513819999999999</v>
      </c>
      <c r="E3399">
        <v>0.49977359999999998</v>
      </c>
      <c r="F3399" t="s">
        <v>54</v>
      </c>
      <c r="G3399">
        <v>-412.76150000000001</v>
      </c>
      <c r="H3399" s="1">
        <v>2.679348E-6</v>
      </c>
      <c r="I3399">
        <v>214.8022</v>
      </c>
      <c r="J3399">
        <v>-427.21230000000003</v>
      </c>
      <c r="K3399">
        <v>1.120357</v>
      </c>
      <c r="L3399">
        <v>215.1473</v>
      </c>
      <c r="M3399">
        <v>0.99984859999999998</v>
      </c>
      <c r="N3399">
        <v>-1.139569E-2</v>
      </c>
      <c r="O3399">
        <v>-1.3157739999999999E-2</v>
      </c>
      <c r="P3399">
        <v>0.99471509999999996</v>
      </c>
      <c r="Q3399">
        <v>-9.9494200000000005E-2</v>
      </c>
      <c r="R3399">
        <v>-2.5361160000000001E-2</v>
      </c>
      <c r="S3399">
        <v>2.9913639999999999</v>
      </c>
      <c r="T3399">
        <v>-0.2274786</v>
      </c>
      <c r="U3399">
        <v>-7.0861820000000006E-2</v>
      </c>
      <c r="V3399">
        <v>1.223834E-2</v>
      </c>
      <c r="W3399">
        <v>-8.8153850000000006E-2</v>
      </c>
      <c r="X3399">
        <v>0.99603169999999996</v>
      </c>
      <c r="Y3399">
        <v>1.0517729999999999E-2</v>
      </c>
      <c r="Z3399">
        <v>3.8987169999999999E-4</v>
      </c>
      <c r="AA3399">
        <v>0.99994459999999996</v>
      </c>
      <c r="AB3399">
        <v>27</v>
      </c>
      <c r="AC3399">
        <v>14.450799999999999</v>
      </c>
      <c r="AD3399">
        <v>-1.1203543206519999</v>
      </c>
      <c r="AE3399">
        <v>-0.34510000000000202</v>
      </c>
      <c r="AF3399">
        <v>0.15399284424711299</v>
      </c>
      <c r="AG3399">
        <v>-1.1203543206519999</v>
      </c>
      <c r="AH3399">
        <v>14.367778338708</v>
      </c>
      <c r="AI3399">
        <v>94.458467937140497</v>
      </c>
      <c r="AJ3399">
        <v>89.385931351667907</v>
      </c>
      <c r="AK3399">
        <v>14.4122157210517</v>
      </c>
      <c r="AL3399">
        <v>95.057408240201198</v>
      </c>
      <c r="AM3399">
        <v>89.2960365159026</v>
      </c>
      <c r="AN3399">
        <v>1.0000000128203299</v>
      </c>
    </row>
    <row r="3400" spans="1:40" x14ac:dyDescent="0.25">
      <c r="A3400" t="str">
        <f>"20190303154835413"</f>
        <v>20190303154835413</v>
      </c>
      <c r="B3400" t="str">
        <f>"1551599315404467"</f>
        <v>1551599315404467</v>
      </c>
      <c r="C3400" t="s">
        <v>40</v>
      </c>
      <c r="D3400">
        <v>5.629848</v>
      </c>
      <c r="E3400">
        <v>0.49990109999999899</v>
      </c>
      <c r="F3400" t="s">
        <v>54</v>
      </c>
      <c r="G3400">
        <v>-411.74340000000001</v>
      </c>
      <c r="H3400" s="1">
        <v>2.5017800000000002E-6</v>
      </c>
      <c r="I3400">
        <v>214.76750000000001</v>
      </c>
      <c r="J3400">
        <v>-426.95150000000001</v>
      </c>
      <c r="K3400">
        <v>1.1203559999999999</v>
      </c>
      <c r="L3400">
        <v>215.1437</v>
      </c>
      <c r="M3400">
        <v>0.99984720000000005</v>
      </c>
      <c r="N3400">
        <v>-1.1319869999999999E-2</v>
      </c>
      <c r="O3400">
        <v>-1.3325740000000001E-2</v>
      </c>
      <c r="P3400">
        <v>0.99465820000000005</v>
      </c>
      <c r="Q3400">
        <v>-0.10005790000000001</v>
      </c>
      <c r="R3400">
        <v>-2.5368660000000001E-2</v>
      </c>
      <c r="S3400">
        <v>2.9923709999999999</v>
      </c>
      <c r="T3400">
        <v>-0.21672620000000001</v>
      </c>
      <c r="U3400">
        <v>-7.3471069999999999E-2</v>
      </c>
      <c r="V3400">
        <v>1.2079100000000001E-2</v>
      </c>
      <c r="W3400">
        <v>-8.8793629999999998E-2</v>
      </c>
      <c r="X3400">
        <v>0.9959768</v>
      </c>
      <c r="Y3400">
        <v>1.1211520000000001E-2</v>
      </c>
      <c r="Z3400">
        <v>3.4401860000000001E-4</v>
      </c>
      <c r="AA3400">
        <v>0.99993710000000002</v>
      </c>
      <c r="AB3400">
        <v>27</v>
      </c>
      <c r="AC3400">
        <v>15.2081</v>
      </c>
      <c r="AD3400">
        <v>-1.1203534982200001</v>
      </c>
      <c r="AE3400">
        <v>-0.37619999999998199</v>
      </c>
      <c r="AF3400">
        <v>0.172558530919146</v>
      </c>
      <c r="AG3400">
        <v>-1.1203534982200001</v>
      </c>
      <c r="AH3400">
        <v>15.1297041704658</v>
      </c>
      <c r="AI3400">
        <v>94.234744436780204</v>
      </c>
      <c r="AJ3400">
        <v>89.346553854170693</v>
      </c>
      <c r="AK3400">
        <v>15.1721098299932</v>
      </c>
      <c r="AL3400">
        <v>95.094209315689994</v>
      </c>
      <c r="AM3400">
        <v>89.305156986057199</v>
      </c>
      <c r="AN3400">
        <v>0.99999999976181297</v>
      </c>
    </row>
    <row r="3401" spans="1:40" x14ac:dyDescent="0.25">
      <c r="A3401" t="str">
        <f>"20190303154835436"</f>
        <v>20190303154835436</v>
      </c>
      <c r="B3401" t="str">
        <f>"1551599315423986"</f>
        <v>1551599315423986</v>
      </c>
      <c r="C3401" t="s">
        <v>40</v>
      </c>
      <c r="D3401">
        <v>5.5893620000000004</v>
      </c>
      <c r="E3401">
        <v>0.49976419999999999</v>
      </c>
      <c r="F3401" t="s">
        <v>54</v>
      </c>
      <c r="G3401">
        <v>-411.22699999999998</v>
      </c>
      <c r="H3401" s="1">
        <v>2.4114770000000001E-6</v>
      </c>
      <c r="I3401">
        <v>214.7527</v>
      </c>
      <c r="J3401">
        <v>-426.66820000000001</v>
      </c>
      <c r="K3401">
        <v>1.12036</v>
      </c>
      <c r="L3401">
        <v>215.1397</v>
      </c>
      <c r="M3401">
        <v>0.9998456</v>
      </c>
      <c r="N3401">
        <v>-1.1248090000000001E-2</v>
      </c>
      <c r="O3401">
        <v>-1.3508310000000001E-2</v>
      </c>
      <c r="P3401">
        <v>0.99464370000000002</v>
      </c>
      <c r="Q3401">
        <v>-0.1001744</v>
      </c>
      <c r="R3401">
        <v>-2.5480969999999999E-2</v>
      </c>
      <c r="S3401">
        <v>2.992737</v>
      </c>
      <c r="T3401">
        <v>-0.21322929999999901</v>
      </c>
      <c r="U3401">
        <v>-7.4432369999999998E-2</v>
      </c>
      <c r="V3401">
        <v>1.200997E-2</v>
      </c>
      <c r="W3401">
        <v>-8.8981710000000006E-2</v>
      </c>
      <c r="X3401">
        <v>0.99596079999999998</v>
      </c>
      <c r="Y3401">
        <v>1.1347019999999999E-2</v>
      </c>
      <c r="Z3401">
        <v>3.4167300000000002E-4</v>
      </c>
      <c r="AA3401">
        <v>0.99993560000000004</v>
      </c>
      <c r="AB3401">
        <v>27</v>
      </c>
      <c r="AC3401">
        <v>15.4412</v>
      </c>
      <c r="AD3401">
        <v>-1.1203575885229999</v>
      </c>
      <c r="AE3401">
        <v>-0.38700000000000001</v>
      </c>
      <c r="AF3401">
        <v>0.177433495651072</v>
      </c>
      <c r="AG3401">
        <v>-1.1203575885229999</v>
      </c>
      <c r="AH3401">
        <v>15.3641861086933</v>
      </c>
      <c r="AI3401">
        <v>94.170353614425494</v>
      </c>
      <c r="AJ3401">
        <v>89.338348386262496</v>
      </c>
      <c r="AK3401">
        <v>15.406002030186301</v>
      </c>
      <c r="AL3401">
        <v>95.105028587975596</v>
      </c>
      <c r="AM3401">
        <v>89.309122163851001</v>
      </c>
      <c r="AN3401">
        <v>0.99999994961528105</v>
      </c>
    </row>
    <row r="3402" spans="1:40" x14ac:dyDescent="0.25">
      <c r="A3402" t="str">
        <f>"20190303154835460"</f>
        <v>20190303154835460</v>
      </c>
      <c r="B3402" t="str">
        <f>"1551599315454242"</f>
        <v>1551599315454242</v>
      </c>
      <c r="C3402" t="s">
        <v>40</v>
      </c>
      <c r="D3402">
        <v>5.6161219999999998</v>
      </c>
      <c r="E3402">
        <v>0.49967200000000001</v>
      </c>
      <c r="F3402" t="s">
        <v>54</v>
      </c>
      <c r="G3402">
        <v>-410.71249999999998</v>
      </c>
      <c r="H3402" s="1">
        <v>2.3208829999999998E-6</v>
      </c>
      <c r="I3402">
        <v>214.74510000000001</v>
      </c>
      <c r="J3402">
        <v>-426.38229999999999</v>
      </c>
      <c r="K3402">
        <v>1.1203620000000001</v>
      </c>
      <c r="L3402">
        <v>215.13570000000001</v>
      </c>
      <c r="M3402">
        <v>0.99984379999999995</v>
      </c>
      <c r="N3402">
        <v>-1.118561E-2</v>
      </c>
      <c r="O3402">
        <v>-1.369249E-2</v>
      </c>
      <c r="P3402">
        <v>0.99469410000000003</v>
      </c>
      <c r="Q3402">
        <v>-9.9591689999999997E-2</v>
      </c>
      <c r="R3402">
        <v>-2.5792880000000001E-2</v>
      </c>
      <c r="S3402">
        <v>2.9931030000000001</v>
      </c>
      <c r="T3402">
        <v>-0.21016560000000001</v>
      </c>
      <c r="U3402">
        <v>-7.403564E-2</v>
      </c>
      <c r="V3402">
        <v>1.213787E-2</v>
      </c>
      <c r="W3402">
        <v>-8.846068E-2</v>
      </c>
      <c r="X3402">
        <v>0.99600569999999999</v>
      </c>
      <c r="Y3402">
        <v>1.1028710000000001E-2</v>
      </c>
      <c r="Z3402">
        <v>3.5861189999999998E-4</v>
      </c>
      <c r="AA3402">
        <v>0.99993909999999997</v>
      </c>
      <c r="AB3402">
        <v>27</v>
      </c>
      <c r="AC3402">
        <v>15.6698</v>
      </c>
      <c r="AD3402">
        <v>-1.1203596791169901</v>
      </c>
      <c r="AE3402">
        <v>-0.390600000000006</v>
      </c>
      <c r="AF3402">
        <v>0.17509686515901601</v>
      </c>
      <c r="AG3402">
        <v>-1.1203596791169901</v>
      </c>
      <c r="AH3402">
        <v>15.5940128707903</v>
      </c>
      <c r="AI3402">
        <v>94.109125021391606</v>
      </c>
      <c r="AJ3402">
        <v>89.356683242788506</v>
      </c>
      <c r="AK3402">
        <v>15.635187946972501</v>
      </c>
      <c r="AL3402">
        <v>95.075057384594601</v>
      </c>
      <c r="AM3402">
        <v>89.301796868360697</v>
      </c>
      <c r="AN3402">
        <v>0.99999998711334404</v>
      </c>
    </row>
    <row r="3403" spans="1:40" x14ac:dyDescent="0.25">
      <c r="A3403" t="str">
        <f>"20190303154835481"</f>
        <v>20190303154835481</v>
      </c>
      <c r="B3403" t="str">
        <f>"1551599315474738"</f>
        <v>1551599315474738</v>
      </c>
      <c r="C3403" t="s">
        <v>40</v>
      </c>
      <c r="D3403">
        <v>5.5590440000000001</v>
      </c>
      <c r="E3403">
        <v>0.49917719999999999</v>
      </c>
      <c r="F3403" t="s">
        <v>54</v>
      </c>
      <c r="G3403">
        <v>-410.3297</v>
      </c>
      <c r="H3403" s="1">
        <v>2.253643E-6</v>
      </c>
      <c r="I3403">
        <v>214.73740000000001</v>
      </c>
      <c r="J3403">
        <v>-426.12310000000002</v>
      </c>
      <c r="K3403">
        <v>1.120363</v>
      </c>
      <c r="L3403">
        <v>215.13200000000001</v>
      </c>
      <c r="M3403">
        <v>0.99984200000000001</v>
      </c>
      <c r="N3403">
        <v>-1.113714E-2</v>
      </c>
      <c r="O3403">
        <v>-1.386006E-2</v>
      </c>
      <c r="P3403">
        <v>0.99474620000000002</v>
      </c>
      <c r="Q3403">
        <v>-9.9116380000000004E-2</v>
      </c>
      <c r="R3403">
        <v>-2.5619179999999998E-2</v>
      </c>
      <c r="S3403">
        <v>2.993134</v>
      </c>
      <c r="T3403">
        <v>-0.2088991</v>
      </c>
      <c r="U3403">
        <v>-7.4264529999999995E-2</v>
      </c>
      <c r="V3403">
        <v>1.1796859999999999E-2</v>
      </c>
      <c r="W3403">
        <v>-8.8032990000000005E-2</v>
      </c>
      <c r="X3403">
        <v>0.99604769999999998</v>
      </c>
      <c r="Y3403">
        <v>1.093791E-2</v>
      </c>
      <c r="Z3403">
        <v>3.6957180000000002E-4</v>
      </c>
      <c r="AA3403">
        <v>0.9999401</v>
      </c>
      <c r="AB3403">
        <v>27</v>
      </c>
      <c r="AC3403">
        <v>15.7934</v>
      </c>
      <c r="AD3403">
        <v>-1.120360746357</v>
      </c>
      <c r="AE3403">
        <v>-0.39459999999999601</v>
      </c>
      <c r="AF3403">
        <v>0.174772108324767</v>
      </c>
      <c r="AG3403">
        <v>-1.120360746357</v>
      </c>
      <c r="AH3403">
        <v>15.7183027924131</v>
      </c>
      <c r="AI3403">
        <v>94.076751611164397</v>
      </c>
      <c r="AJ3403">
        <v>89.362953387965106</v>
      </c>
      <c r="AK3403">
        <v>15.7591496016062</v>
      </c>
      <c r="AL3403">
        <v>95.050456525642801</v>
      </c>
      <c r="AM3403">
        <v>89.321439436797903</v>
      </c>
      <c r="AN3403">
        <v>0.99999999695474395</v>
      </c>
    </row>
    <row r="3404" spans="1:40" x14ac:dyDescent="0.25">
      <c r="A3404" t="str">
        <f>"20190303154835504"</f>
        <v>20190303154835504</v>
      </c>
      <c r="B3404" t="str">
        <f>"1551599315494258"</f>
        <v>1551599315494258</v>
      </c>
      <c r="C3404" t="s">
        <v>40</v>
      </c>
      <c r="D3404">
        <v>5.6198399999999999</v>
      </c>
      <c r="E3404">
        <v>0.49906689999999998</v>
      </c>
      <c r="F3404" t="s">
        <v>54</v>
      </c>
      <c r="G3404">
        <v>-410.0532</v>
      </c>
      <c r="H3404" s="1">
        <v>2.2027309999999999E-6</v>
      </c>
      <c r="I3404">
        <v>214.75880000000001</v>
      </c>
      <c r="J3404">
        <v>-425.83909999999997</v>
      </c>
      <c r="K3404">
        <v>1.12036</v>
      </c>
      <c r="L3404">
        <v>215.12780000000001</v>
      </c>
      <c r="M3404">
        <v>0.9998399</v>
      </c>
      <c r="N3404">
        <v>-1.109193E-2</v>
      </c>
      <c r="O3404">
        <v>-1.404291E-2</v>
      </c>
      <c r="P3404">
        <v>0.99477729999999998</v>
      </c>
      <c r="Q3404">
        <v>-9.8888169999999997E-2</v>
      </c>
      <c r="R3404">
        <v>-2.5288209999999998E-2</v>
      </c>
      <c r="S3404">
        <v>2.9932560000000001</v>
      </c>
      <c r="T3404">
        <v>-0.20868400000000001</v>
      </c>
      <c r="U3404">
        <v>-6.9503780000000001E-2</v>
      </c>
      <c r="V3404">
        <v>1.128345E-2</v>
      </c>
      <c r="W3404">
        <v>-8.7849330000000003E-2</v>
      </c>
      <c r="X3404">
        <v>0.99606980000000001</v>
      </c>
      <c r="Y3404">
        <v>9.16989E-3</v>
      </c>
      <c r="Z3404">
        <v>4.5190509999999998E-4</v>
      </c>
      <c r="AA3404">
        <v>0.99995789999999996</v>
      </c>
      <c r="AB3404">
        <v>27</v>
      </c>
      <c r="AC3404">
        <v>15.7858999999999</v>
      </c>
      <c r="AD3404">
        <v>-1.120357797269</v>
      </c>
      <c r="AE3404">
        <v>-0.368999999999999</v>
      </c>
      <c r="AF3404">
        <v>0.146532320338673</v>
      </c>
      <c r="AG3404">
        <v>-1.120357797269</v>
      </c>
      <c r="AH3404">
        <v>15.7104346078284</v>
      </c>
      <c r="AI3404">
        <v>94.0788502227972</v>
      </c>
      <c r="AJ3404">
        <v>89.465613760455</v>
      </c>
      <c r="AK3404">
        <v>15.7510135826764</v>
      </c>
      <c r="AL3404">
        <v>95.039892974194402</v>
      </c>
      <c r="AM3404">
        <v>89.350982820543194</v>
      </c>
      <c r="AN3404">
        <v>0.999999933748693</v>
      </c>
    </row>
    <row r="3405" spans="1:40" x14ac:dyDescent="0.25">
      <c r="A3405" t="str">
        <f>"20190303154835529"</f>
        <v>20190303154835529</v>
      </c>
      <c r="B3405" t="str">
        <f>"1551599315524515"</f>
        <v>1551599315524515</v>
      </c>
      <c r="C3405" t="s">
        <v>40</v>
      </c>
      <c r="D3405">
        <v>5.600816</v>
      </c>
      <c r="E3405">
        <v>0.49902419999999997</v>
      </c>
      <c r="F3405" t="s">
        <v>54</v>
      </c>
      <c r="G3405">
        <v>-409.75369999999998</v>
      </c>
      <c r="H3405" s="1">
        <v>4.0464120000000002E-6</v>
      </c>
      <c r="I3405">
        <v>214.7638</v>
      </c>
      <c r="J3405">
        <v>-425.53339999999997</v>
      </c>
      <c r="K3405">
        <v>1.1203529999999999</v>
      </c>
      <c r="L3405">
        <v>215.1233</v>
      </c>
      <c r="M3405">
        <v>0.99983770000000005</v>
      </c>
      <c r="N3405">
        <v>-1.105108E-2</v>
      </c>
      <c r="O3405">
        <v>-1.42402E-2</v>
      </c>
      <c r="P3405">
        <v>0.99477819999999995</v>
      </c>
      <c r="Q3405">
        <v>-9.8917149999999995E-2</v>
      </c>
      <c r="R3405">
        <v>-2.514419E-2</v>
      </c>
      <c r="S3405">
        <v>2.9932859999999999</v>
      </c>
      <c r="T3405">
        <v>-0.20848420000000001</v>
      </c>
      <c r="U3405">
        <v>-6.7733760000000004E-2</v>
      </c>
      <c r="V3405">
        <v>1.0943140000000001E-2</v>
      </c>
      <c r="W3405">
        <v>-8.7918850000000007E-2</v>
      </c>
      <c r="X3405">
        <v>0.99606749999999999</v>
      </c>
      <c r="Y3405">
        <v>8.3839269999999994E-3</v>
      </c>
      <c r="Z3405">
        <v>4.9526240000000003E-4</v>
      </c>
      <c r="AA3405">
        <v>0.99996470000000004</v>
      </c>
      <c r="AB3405">
        <v>27</v>
      </c>
      <c r="AC3405">
        <v>15.779699999999901</v>
      </c>
      <c r="AD3405">
        <v>-1.120348953588</v>
      </c>
      <c r="AE3405">
        <v>-0.35949999999999699</v>
      </c>
      <c r="AF3405">
        <v>0.134068298769627</v>
      </c>
      <c r="AG3405">
        <v>-1.120348953588</v>
      </c>
      <c r="AH3405">
        <v>15.7040975468736</v>
      </c>
      <c r="AI3405">
        <v>94.080487188673004</v>
      </c>
      <c r="AJ3405">
        <v>89.510868991156201</v>
      </c>
      <c r="AK3405">
        <v>15.7445811582354</v>
      </c>
      <c r="AL3405">
        <v>95.043891463107002</v>
      </c>
      <c r="AM3405">
        <v>89.370554191988703</v>
      </c>
      <c r="AN3405">
        <v>0.99999997052731504</v>
      </c>
    </row>
    <row r="3406" spans="1:40" x14ac:dyDescent="0.25">
      <c r="A3406" t="str">
        <f>"20190303154835549"</f>
        <v>20190303154835549</v>
      </c>
      <c r="B3406" t="str">
        <f>"1551599315544034"</f>
        <v>1551599315544034</v>
      </c>
      <c r="C3406" t="s">
        <v>40</v>
      </c>
      <c r="D3406">
        <v>5.6002190000000001</v>
      </c>
      <c r="E3406">
        <v>0.49882490000000002</v>
      </c>
      <c r="F3406" t="s">
        <v>54</v>
      </c>
      <c r="G3406">
        <v>-409.48020000000002</v>
      </c>
      <c r="H3406" s="1">
        <v>4.1676289999999999E-6</v>
      </c>
      <c r="I3406">
        <v>214.76419999999999</v>
      </c>
      <c r="J3406">
        <v>-425.28140000000002</v>
      </c>
      <c r="K3406">
        <v>1.12035</v>
      </c>
      <c r="L3406">
        <v>215.11949999999999</v>
      </c>
      <c r="M3406">
        <v>0.99983549999999999</v>
      </c>
      <c r="N3406">
        <v>-1.102246E-2</v>
      </c>
      <c r="O3406">
        <v>-1.440252E-2</v>
      </c>
      <c r="P3406">
        <v>0.99474220000000002</v>
      </c>
      <c r="Q3406">
        <v>-9.9398819999999999E-2</v>
      </c>
      <c r="R3406">
        <v>-2.46549E-2</v>
      </c>
      <c r="S3406">
        <v>2.9932859999999999</v>
      </c>
      <c r="T3406">
        <v>-0.20889969999999999</v>
      </c>
      <c r="U3406">
        <v>-6.6955570000000006E-2</v>
      </c>
      <c r="V3406">
        <v>1.0292590000000001E-2</v>
      </c>
      <c r="W3406">
        <v>-8.8429220000000003E-2</v>
      </c>
      <c r="X3406">
        <v>0.99602930000000001</v>
      </c>
      <c r="Y3406">
        <v>7.9632709999999992E-3</v>
      </c>
      <c r="Z3406">
        <v>5.2368710000000004E-4</v>
      </c>
      <c r="AA3406">
        <v>0.99996819999999997</v>
      </c>
      <c r="AB3406">
        <v>27</v>
      </c>
      <c r="AC3406">
        <v>15.8011999999999</v>
      </c>
      <c r="AD3406">
        <v>-1.120345832371</v>
      </c>
      <c r="AE3406">
        <v>-0.35529999999999901</v>
      </c>
      <c r="AF3406">
        <v>0.12703391394375699</v>
      </c>
      <c r="AG3406">
        <v>-1.120345832371</v>
      </c>
      <c r="AH3406">
        <v>15.7256626813256</v>
      </c>
      <c r="AI3406">
        <v>94.074914513030393</v>
      </c>
      <c r="AJ3406">
        <v>89.537167434196803</v>
      </c>
      <c r="AK3406">
        <v>15.7660324484709</v>
      </c>
      <c r="AL3406">
        <v>95.073247623653401</v>
      </c>
      <c r="AM3406">
        <v>89.407948162069005</v>
      </c>
      <c r="AN3406">
        <v>1.0000000154086</v>
      </c>
    </row>
    <row r="3407" spans="1:40" x14ac:dyDescent="0.25">
      <c r="A3407" t="str">
        <f>"20190303154835569"</f>
        <v>20190303154835569</v>
      </c>
      <c r="B3407" t="str">
        <f>"1551599315564530"</f>
        <v>1551599315564530</v>
      </c>
      <c r="C3407" t="s">
        <v>40</v>
      </c>
      <c r="D3407">
        <v>5.5659369999999999</v>
      </c>
      <c r="E3407">
        <v>0.49873610000000002</v>
      </c>
      <c r="F3407" t="s">
        <v>54</v>
      </c>
      <c r="G3407">
        <v>-409.32429999999999</v>
      </c>
      <c r="H3407" s="1">
        <v>4.2335890000000003E-6</v>
      </c>
      <c r="I3407">
        <v>214.77959999999999</v>
      </c>
      <c r="J3407">
        <v>-425.0351</v>
      </c>
      <c r="K3407">
        <v>1.1203479999999999</v>
      </c>
      <c r="L3407">
        <v>215.11580000000001</v>
      </c>
      <c r="M3407">
        <v>0.99983359999999999</v>
      </c>
      <c r="N3407">
        <v>-1.099847E-2</v>
      </c>
      <c r="O3407">
        <v>-1.4560210000000001E-2</v>
      </c>
      <c r="P3407">
        <v>0.99473920000000005</v>
      </c>
      <c r="Q3407">
        <v>-9.9549490000000004E-2</v>
      </c>
      <c r="R3407">
        <v>-2.4174310000000001E-2</v>
      </c>
      <c r="S3407">
        <v>2.9932859999999999</v>
      </c>
      <c r="T3407">
        <v>-0.21015739999999999</v>
      </c>
      <c r="U3407">
        <v>-6.376648E-2</v>
      </c>
      <c r="V3407">
        <v>9.6550999999999998E-3</v>
      </c>
      <c r="W3407">
        <v>-8.8603619999999994E-2</v>
      </c>
      <c r="X3407">
        <v>0.99602020000000002</v>
      </c>
      <c r="Y3407">
        <v>6.744562E-3</v>
      </c>
      <c r="Z3407">
        <v>5.8726009999999996E-4</v>
      </c>
      <c r="AA3407">
        <v>0.99997709999999995</v>
      </c>
      <c r="AB3407">
        <v>27</v>
      </c>
      <c r="AC3407">
        <v>15.710800000000001</v>
      </c>
      <c r="AD3407">
        <v>-1.1203437664110001</v>
      </c>
      <c r="AE3407">
        <v>-0.33620000000001898</v>
      </c>
      <c r="AF3407">
        <v>0.10685486750213501</v>
      </c>
      <c r="AG3407">
        <v>-1.1203437664110001</v>
      </c>
      <c r="AH3407">
        <v>15.6345616962893</v>
      </c>
      <c r="AI3407">
        <v>94.098608278258496</v>
      </c>
      <c r="AJ3407">
        <v>89.608416422310398</v>
      </c>
      <c r="AK3407">
        <v>15.6750153924238</v>
      </c>
      <c r="AL3407">
        <v>95.083279307422501</v>
      </c>
      <c r="AM3407">
        <v>89.444610506620904</v>
      </c>
      <c r="AN3407">
        <v>1.0000000306205701</v>
      </c>
    </row>
    <row r="3408" spans="1:40" x14ac:dyDescent="0.25">
      <c r="A3408" t="str">
        <f>"20190303154835592"</f>
        <v>20190303154835592</v>
      </c>
      <c r="B3408" t="str">
        <f>"1551599315584049"</f>
        <v>1551599315584049</v>
      </c>
      <c r="C3408" t="s">
        <v>40</v>
      </c>
      <c r="D3408">
        <v>5.6236030000000001</v>
      </c>
      <c r="E3408">
        <v>0.49874790000000002</v>
      </c>
      <c r="F3408" t="s">
        <v>54</v>
      </c>
      <c r="G3408">
        <v>-409.13839999999999</v>
      </c>
      <c r="H3408" s="1">
        <v>4.3141940000000004E-6</v>
      </c>
      <c r="I3408">
        <v>214.7885</v>
      </c>
      <c r="J3408">
        <v>-424.75020000000001</v>
      </c>
      <c r="K3408">
        <v>1.1203430000000001</v>
      </c>
      <c r="L3408">
        <v>215.1114</v>
      </c>
      <c r="M3408">
        <v>0.99983120000000003</v>
      </c>
      <c r="N3408">
        <v>-1.097501E-2</v>
      </c>
      <c r="O3408">
        <v>-1.4738390000000001E-2</v>
      </c>
      <c r="P3408">
        <v>0.9947047</v>
      </c>
      <c r="Q3408">
        <v>-9.9965709999999999E-2</v>
      </c>
      <c r="R3408">
        <v>-2.3870929999999999E-2</v>
      </c>
      <c r="S3408">
        <v>2.9932859999999999</v>
      </c>
      <c r="T3408">
        <v>-0.210956</v>
      </c>
      <c r="U3408">
        <v>-6.1630249999999998E-2</v>
      </c>
      <c r="V3408">
        <v>9.1752520000000001E-3</v>
      </c>
      <c r="W3408">
        <v>-8.904339E-2</v>
      </c>
      <c r="X3408">
        <v>0.99598549999999997</v>
      </c>
      <c r="Y3408">
        <v>5.8559980000000003E-3</v>
      </c>
      <c r="Z3408">
        <v>6.3739890000000005E-4</v>
      </c>
      <c r="AA3408">
        <v>0.9999827</v>
      </c>
      <c r="AB3408">
        <v>27</v>
      </c>
      <c r="AC3408">
        <v>15.611800000000001</v>
      </c>
      <c r="AD3408">
        <v>-1.120338685806</v>
      </c>
      <c r="AE3408">
        <v>-0.32290000000000402</v>
      </c>
      <c r="AF3408">
        <v>9.2283239861707805E-2</v>
      </c>
      <c r="AG3408">
        <v>-1.120338685806</v>
      </c>
      <c r="AH3408">
        <v>15.5348955898707</v>
      </c>
      <c r="AI3408">
        <v>94.124817785041003</v>
      </c>
      <c r="AJ3408">
        <v>89.659645091277</v>
      </c>
      <c r="AK3408">
        <v>15.575514628912099</v>
      </c>
      <c r="AL3408">
        <v>95.108576349336602</v>
      </c>
      <c r="AM3408">
        <v>89.472192772874706</v>
      </c>
      <c r="AN3408">
        <v>1.0000000133811</v>
      </c>
    </row>
    <row r="3409" spans="1:40" x14ac:dyDescent="0.25">
      <c r="A3409" t="str">
        <f>"20190303154835615"</f>
        <v>20190303154835615</v>
      </c>
      <c r="B3409" t="str">
        <f>"1551599315604546"</f>
        <v>1551599315604546</v>
      </c>
      <c r="C3409" t="s">
        <v>40</v>
      </c>
      <c r="D3409">
        <v>5.5889499999999996</v>
      </c>
      <c r="E3409">
        <v>0.49868040000000002</v>
      </c>
      <c r="F3409" t="s">
        <v>54</v>
      </c>
      <c r="G3409">
        <v>-408.93439999999998</v>
      </c>
      <c r="H3409" s="1">
        <v>4.404504E-6</v>
      </c>
      <c r="I3409">
        <v>214.78909999999999</v>
      </c>
      <c r="J3409">
        <v>-424.4803</v>
      </c>
      <c r="K3409">
        <v>1.1203430000000001</v>
      </c>
      <c r="L3409">
        <v>215.10730000000001</v>
      </c>
      <c r="M3409">
        <v>0.99982899999999997</v>
      </c>
      <c r="N3409">
        <v>-1.095865E-2</v>
      </c>
      <c r="O3409">
        <v>-1.4898440000000001E-2</v>
      </c>
      <c r="P3409">
        <v>0.99474039999999997</v>
      </c>
      <c r="Q3409">
        <v>-9.9798349999999994E-2</v>
      </c>
      <c r="R3409">
        <v>-2.3059179999999999E-2</v>
      </c>
      <c r="S3409">
        <v>2.9932249999999998</v>
      </c>
      <c r="T3409">
        <v>-0.21202989999999999</v>
      </c>
      <c r="U3409">
        <v>-6.1004639999999999E-2</v>
      </c>
      <c r="V3409">
        <v>8.2051569999999994E-3</v>
      </c>
      <c r="W3409">
        <v>-8.8891650000000003E-2</v>
      </c>
      <c r="X3409">
        <v>0.99600750000000005</v>
      </c>
      <c r="Y3409">
        <v>5.4889479999999996E-3</v>
      </c>
      <c r="Z3409">
        <v>6.6649449999999996E-4</v>
      </c>
      <c r="AA3409">
        <v>0.99998469999999995</v>
      </c>
      <c r="AB3409">
        <v>27</v>
      </c>
      <c r="AC3409">
        <v>15.5459</v>
      </c>
      <c r="AD3409">
        <v>-1.1203385954959999</v>
      </c>
      <c r="AE3409">
        <v>-0.31820000000001802</v>
      </c>
      <c r="AF3409">
        <v>8.60941725892439E-2</v>
      </c>
      <c r="AG3409">
        <v>-1.1203385954959999</v>
      </c>
      <c r="AH3409">
        <v>15.468611520762201</v>
      </c>
      <c r="AI3409">
        <v>94.142440079774801</v>
      </c>
      <c r="AJ3409">
        <v>89.681110241282497</v>
      </c>
      <c r="AK3409">
        <v>15.509368560820599</v>
      </c>
      <c r="AL3409">
        <v>95.099847768284107</v>
      </c>
      <c r="AM3409">
        <v>89.528005329486803</v>
      </c>
      <c r="AN3409">
        <v>0.99999999504868298</v>
      </c>
    </row>
    <row r="3410" spans="1:40" x14ac:dyDescent="0.25">
      <c r="A3410" t="str">
        <f>"20190303154835638"</f>
        <v>20190303154835638</v>
      </c>
      <c r="B3410" t="str">
        <f>"1551599315633825"</f>
        <v>1551599315633825</v>
      </c>
      <c r="C3410" t="s">
        <v>40</v>
      </c>
      <c r="D3410">
        <v>5.5718040000000002</v>
      </c>
      <c r="E3410">
        <v>0.4985214</v>
      </c>
      <c r="F3410" t="s">
        <v>54</v>
      </c>
      <c r="G3410">
        <v>-408.57589999999999</v>
      </c>
      <c r="H3410" s="1">
        <v>4.5615390000000003E-6</v>
      </c>
      <c r="I3410">
        <v>214.79849999999999</v>
      </c>
      <c r="J3410">
        <v>-424.1918</v>
      </c>
      <c r="K3410">
        <v>1.120363</v>
      </c>
      <c r="L3410">
        <v>215.1028</v>
      </c>
      <c r="M3410">
        <v>0.99982680000000002</v>
      </c>
      <c r="N3410">
        <v>-1.095171E-2</v>
      </c>
      <c r="O3410">
        <v>-1.505107E-2</v>
      </c>
      <c r="P3410">
        <v>0.99478299999999997</v>
      </c>
      <c r="Q3410">
        <v>-9.9761749999999996E-2</v>
      </c>
      <c r="R3410">
        <v>-2.1319999999999999E-2</v>
      </c>
      <c r="S3410">
        <v>2.9933169999999998</v>
      </c>
      <c r="T3410">
        <v>-0.21085570000000001</v>
      </c>
      <c r="U3410">
        <v>-5.8105469999999999E-2</v>
      </c>
      <c r="V3410">
        <v>6.3160109999999998E-3</v>
      </c>
      <c r="W3410">
        <v>-8.8860910000000001E-2</v>
      </c>
      <c r="X3410">
        <v>0.99602400000000002</v>
      </c>
      <c r="Y3410">
        <v>4.3708189999999997E-3</v>
      </c>
      <c r="Z3410">
        <v>7.1637549999999995E-4</v>
      </c>
      <c r="AA3410">
        <v>0.99999020000000005</v>
      </c>
      <c r="AB3410">
        <v>28</v>
      </c>
      <c r="AC3410">
        <v>15.6159</v>
      </c>
      <c r="AD3410">
        <v>-1.1203584384609999</v>
      </c>
      <c r="AE3410">
        <v>-0.30430000000001101</v>
      </c>
      <c r="AF3410">
        <v>6.8861123881648806E-2</v>
      </c>
      <c r="AG3410">
        <v>-1.1203584384609999</v>
      </c>
      <c r="AH3410">
        <v>15.5387588530324</v>
      </c>
      <c r="AI3410">
        <v>94.123900418202794</v>
      </c>
      <c r="AJ3410">
        <v>89.746091307513595</v>
      </c>
      <c r="AK3410">
        <v>15.5792481069436</v>
      </c>
      <c r="AL3410">
        <v>95.098079570465401</v>
      </c>
      <c r="AM3410">
        <v>89.636679514517994</v>
      </c>
      <c r="AN3410">
        <v>0.99999998094848996</v>
      </c>
    </row>
    <row r="3411" spans="1:40" x14ac:dyDescent="0.25">
      <c r="A3411" t="str">
        <f>"20190303154835662"</f>
        <v>20190303154835662</v>
      </c>
      <c r="B3411" t="str">
        <f>"1551599315654322"</f>
        <v>1551599315654322</v>
      </c>
      <c r="C3411" t="s">
        <v>40</v>
      </c>
      <c r="D3411">
        <v>5.5624000000000002</v>
      </c>
      <c r="E3411">
        <v>0.49846649999999998</v>
      </c>
      <c r="F3411" t="s">
        <v>54</v>
      </c>
      <c r="G3411">
        <v>-408.14850000000001</v>
      </c>
      <c r="H3411" s="1">
        <v>4.7451389999999997E-6</v>
      </c>
      <c r="I3411">
        <v>214.8272</v>
      </c>
      <c r="J3411">
        <v>-423.90570000000002</v>
      </c>
      <c r="K3411">
        <v>1.1203860000000001</v>
      </c>
      <c r="L3411">
        <v>215.0984</v>
      </c>
      <c r="M3411">
        <v>0.99982490000000002</v>
      </c>
      <c r="N3411">
        <v>-1.0959129999999999E-2</v>
      </c>
      <c r="O3411">
        <v>-1.516907E-2</v>
      </c>
      <c r="P3411">
        <v>0.99490999999999996</v>
      </c>
      <c r="Q3411">
        <v>-9.9003729999999998E-2</v>
      </c>
      <c r="R3411">
        <v>-1.8774240000000001E-2</v>
      </c>
      <c r="S3411">
        <v>2.9936219999999998</v>
      </c>
      <c r="T3411">
        <v>-0.20905550000000001</v>
      </c>
      <c r="U3411">
        <v>-5.1422120000000002E-2</v>
      </c>
      <c r="V3411">
        <v>3.6561570000000002E-3</v>
      </c>
      <c r="W3411">
        <v>-8.8093560000000001E-2</v>
      </c>
      <c r="X3411">
        <v>0.99610549999999998</v>
      </c>
      <c r="Y3411">
        <v>2.0255120000000001E-3</v>
      </c>
      <c r="Z3411">
        <v>8.1005940000000005E-4</v>
      </c>
      <c r="AA3411">
        <v>0.99999760000000004</v>
      </c>
      <c r="AB3411">
        <v>28</v>
      </c>
      <c r="AC3411">
        <v>15.757199999999999</v>
      </c>
      <c r="AD3411">
        <v>-1.1203812548609999</v>
      </c>
      <c r="AE3411">
        <v>-0.271199999999993</v>
      </c>
      <c r="AF3411">
        <v>3.1970788204499501E-2</v>
      </c>
      <c r="AG3411">
        <v>-1.1203812548609999</v>
      </c>
      <c r="AH3411">
        <v>15.680251145097801</v>
      </c>
      <c r="AI3411">
        <v>94.086929132305102</v>
      </c>
      <c r="AJ3411">
        <v>89.883178612605903</v>
      </c>
      <c r="AK3411">
        <v>15.7202592936911</v>
      </c>
      <c r="AL3411">
        <v>95.053940425955105</v>
      </c>
      <c r="AM3411">
        <v>89.789699560323299</v>
      </c>
      <c r="AN3411">
        <v>1.00000000496386</v>
      </c>
    </row>
    <row r="3412" spans="1:40" x14ac:dyDescent="0.25">
      <c r="A3412" t="str">
        <f>"20190303154835683"</f>
        <v>20190303154835683</v>
      </c>
      <c r="B3412" t="str">
        <f>"1551599315673842"</f>
        <v>1551599315673842</v>
      </c>
      <c r="C3412" t="s">
        <v>40</v>
      </c>
      <c r="D3412">
        <v>5.5143760000000004</v>
      </c>
      <c r="E3412">
        <v>0.4984787</v>
      </c>
      <c r="F3412" t="s">
        <v>54</v>
      </c>
      <c r="G3412">
        <v>-407.56490000000002</v>
      </c>
      <c r="H3412" s="1">
        <v>4.9969899999999999E-6</v>
      </c>
      <c r="I3412">
        <v>214.86099999999999</v>
      </c>
      <c r="J3412">
        <v>-423.6395</v>
      </c>
      <c r="K3412">
        <v>1.12042</v>
      </c>
      <c r="L3412">
        <v>215.0942</v>
      </c>
      <c r="M3412">
        <v>0.99982360000000003</v>
      </c>
      <c r="N3412">
        <v>-1.0979910000000001E-2</v>
      </c>
      <c r="O3412">
        <v>-1.524093E-2</v>
      </c>
      <c r="P3412">
        <v>0.9950194</v>
      </c>
      <c r="Q3412">
        <v>-9.8321329999999998E-2</v>
      </c>
      <c r="R3412">
        <v>-1.6411419999999999E-2</v>
      </c>
      <c r="S3412">
        <v>2.9941710000000001</v>
      </c>
      <c r="T3412">
        <v>-0.2052908</v>
      </c>
      <c r="U3412">
        <v>-4.3502810000000003E-2</v>
      </c>
      <c r="V3412">
        <v>1.2261329999999999E-3</v>
      </c>
      <c r="W3412">
        <v>-8.7388980000000005E-2</v>
      </c>
      <c r="X3412">
        <v>0.99617350000000005</v>
      </c>
      <c r="Y3412">
        <v>-6.871984E-4</v>
      </c>
      <c r="Z3412">
        <v>9.0375480000000005E-4</v>
      </c>
      <c r="AA3412">
        <v>0.99999930000000004</v>
      </c>
      <c r="AB3412">
        <v>28</v>
      </c>
      <c r="AC3412">
        <v>16.074599999999901</v>
      </c>
      <c r="AD3412">
        <v>-1.12041500301</v>
      </c>
      <c r="AE3412">
        <v>-0.23320000000001001</v>
      </c>
      <c r="AF3412">
        <v>-1.1776501920534199E-2</v>
      </c>
      <c r="AG3412">
        <v>-1.12041500301</v>
      </c>
      <c r="AH3412">
        <v>15.9985787985642</v>
      </c>
      <c r="AI3412">
        <v>94.006005405349896</v>
      </c>
      <c r="AJ3412">
        <v>90.042175229693996</v>
      </c>
      <c r="AK3412">
        <v>16.037767676295701</v>
      </c>
      <c r="AL3412">
        <v>95.013414746083299</v>
      </c>
      <c r="AM3412">
        <v>89.929477936780103</v>
      </c>
      <c r="AN3412">
        <v>0.99999998966491199</v>
      </c>
    </row>
    <row r="3413" spans="1:40" x14ac:dyDescent="0.25">
      <c r="A3413" t="str">
        <f>"20190303154835704"</f>
        <v>20190303154835704</v>
      </c>
      <c r="B3413" t="str">
        <f>"1551599315694338"</f>
        <v>1551599315694338</v>
      </c>
      <c r="C3413" t="s">
        <v>40</v>
      </c>
      <c r="D3413">
        <v>5.5585120000000003</v>
      </c>
      <c r="E3413">
        <v>0.4985115</v>
      </c>
      <c r="F3413" t="s">
        <v>54</v>
      </c>
      <c r="G3413">
        <v>-407.02179999999998</v>
      </c>
      <c r="H3413" s="1">
        <v>5.2316029999999999E-6</v>
      </c>
      <c r="I3413">
        <v>214.89099999999999</v>
      </c>
      <c r="J3413">
        <v>-423.37830000000002</v>
      </c>
      <c r="K3413">
        <v>1.120458</v>
      </c>
      <c r="L3413">
        <v>215.09020000000001</v>
      </c>
      <c r="M3413">
        <v>0.99982260000000001</v>
      </c>
      <c r="N3413">
        <v>-1.10081E-2</v>
      </c>
      <c r="O3413">
        <v>-1.528377E-2</v>
      </c>
      <c r="P3413">
        <v>0.99510849999999995</v>
      </c>
      <c r="Q3413">
        <v>-9.7658830000000002E-2</v>
      </c>
      <c r="R3413">
        <v>-1.490415E-2</v>
      </c>
      <c r="S3413">
        <v>2.9944459999999999</v>
      </c>
      <c r="T3413">
        <v>-0.2018952</v>
      </c>
      <c r="U3413">
        <v>-3.6621090000000002E-2</v>
      </c>
      <c r="V3413">
        <v>-3.195289E-4</v>
      </c>
      <c r="W3413">
        <v>-8.6697380000000004E-2</v>
      </c>
      <c r="X3413">
        <v>0.99623470000000003</v>
      </c>
      <c r="Y3413">
        <v>-3.0239450000000001E-3</v>
      </c>
      <c r="Z3413">
        <v>9.7961649999999995E-4</v>
      </c>
      <c r="AA3413">
        <v>0.99999490000000002</v>
      </c>
      <c r="AB3413">
        <v>28</v>
      </c>
      <c r="AC3413">
        <v>16.3565</v>
      </c>
      <c r="AD3413">
        <v>-1.120452768397</v>
      </c>
      <c r="AE3413">
        <v>-0.199200000000018</v>
      </c>
      <c r="AF3413">
        <v>-5.05900419821744E-2</v>
      </c>
      <c r="AG3413">
        <v>-1.120452768397</v>
      </c>
      <c r="AH3413">
        <v>16.2812452038124</v>
      </c>
      <c r="AI3413">
        <v>93.936790244788099</v>
      </c>
      <c r="AJ3413">
        <v>90.178032240533994</v>
      </c>
      <c r="AK3413">
        <v>16.319832080791201</v>
      </c>
      <c r="AL3413">
        <v>94.9736376737917</v>
      </c>
      <c r="AM3413">
        <v>90.018376851132203</v>
      </c>
      <c r="AN3413">
        <v>1.0000000576408301</v>
      </c>
    </row>
    <row r="3414" spans="1:40" x14ac:dyDescent="0.25">
      <c r="A3414" t="str">
        <f>"20190303154835729"</f>
        <v>20190303154835729</v>
      </c>
      <c r="B3414" t="str">
        <f>"1551599315724594"</f>
        <v>1551599315724594</v>
      </c>
      <c r="C3414" t="s">
        <v>40</v>
      </c>
      <c r="D3414">
        <v>5.5249560000000004</v>
      </c>
      <c r="E3414">
        <v>0.4985733</v>
      </c>
      <c r="F3414" t="s">
        <v>54</v>
      </c>
      <c r="G3414">
        <v>-406.50319999999999</v>
      </c>
      <c r="H3414" s="1">
        <v>5.4579349999999998E-6</v>
      </c>
      <c r="I3414">
        <v>214.90880000000001</v>
      </c>
      <c r="J3414">
        <v>-423.07029999999997</v>
      </c>
      <c r="K3414">
        <v>1.120495</v>
      </c>
      <c r="L3414">
        <v>215.08539999999999</v>
      </c>
      <c r="M3414">
        <v>0.99982210000000005</v>
      </c>
      <c r="N3414">
        <v>-1.104659E-2</v>
      </c>
      <c r="O3414">
        <v>-1.5298630000000001E-2</v>
      </c>
      <c r="P3414">
        <v>0.99505980000000005</v>
      </c>
      <c r="Q3414">
        <v>-9.8059190000000004E-2</v>
      </c>
      <c r="R3414">
        <v>-1.552342E-2</v>
      </c>
      <c r="S3414">
        <v>2.9947810000000001</v>
      </c>
      <c r="T3414">
        <v>-0.19884399999999999</v>
      </c>
      <c r="U3414">
        <v>-3.2196040000000002E-2</v>
      </c>
      <c r="V3414">
        <v>2.9137480000000001E-4</v>
      </c>
      <c r="W3414">
        <v>-8.7059860000000003E-2</v>
      </c>
      <c r="X3414">
        <v>0.99620310000000001</v>
      </c>
      <c r="Y3414">
        <v>-4.5148460000000003E-3</v>
      </c>
      <c r="Z3414">
        <v>1.0204189999999901E-3</v>
      </c>
      <c r="AA3414">
        <v>0.99998929999999997</v>
      </c>
      <c r="AB3414">
        <v>28</v>
      </c>
      <c r="AC3414">
        <v>16.5670999999999</v>
      </c>
      <c r="AD3414">
        <v>-1.1204895420649901</v>
      </c>
      <c r="AE3414">
        <v>-0.176599999999979</v>
      </c>
      <c r="AF3414">
        <v>-7.6539954582985695E-2</v>
      </c>
      <c r="AG3414">
        <v>-1.1204895420649901</v>
      </c>
      <c r="AH3414">
        <v>16.4924304011986</v>
      </c>
      <c r="AI3414">
        <v>93.8866393705203</v>
      </c>
      <c r="AJ3414">
        <v>90.265902888232006</v>
      </c>
      <c r="AK3414">
        <v>16.530626597830601</v>
      </c>
      <c r="AL3414">
        <v>94.994485059625504</v>
      </c>
      <c r="AM3414">
        <v>89.983241825065093</v>
      </c>
      <c r="AN3414">
        <v>1.0000000602860499</v>
      </c>
    </row>
    <row r="3415" spans="1:40" x14ac:dyDescent="0.25">
      <c r="A3415" t="str">
        <f>"20190303154835749"</f>
        <v>20190303154835749</v>
      </c>
      <c r="B3415" t="str">
        <f>"1551599315744114"</f>
        <v>1551599315744114</v>
      </c>
      <c r="C3415" t="s">
        <v>40</v>
      </c>
      <c r="D3415">
        <v>5.5577170000000002</v>
      </c>
      <c r="E3415">
        <v>0.49861670000000002</v>
      </c>
      <c r="F3415" t="s">
        <v>54</v>
      </c>
      <c r="G3415">
        <v>-406.28190000000001</v>
      </c>
      <c r="H3415" s="1">
        <v>5.5595760000000003E-6</v>
      </c>
      <c r="I3415">
        <v>214.89169999999999</v>
      </c>
      <c r="J3415">
        <v>-422.8193</v>
      </c>
      <c r="K3415">
        <v>1.1205229999999999</v>
      </c>
      <c r="L3415">
        <v>215.08160000000001</v>
      </c>
      <c r="M3415">
        <v>0.99982210000000005</v>
      </c>
      <c r="N3415">
        <v>-1.108191E-2</v>
      </c>
      <c r="O3415">
        <v>-1.526953E-2</v>
      </c>
      <c r="P3415">
        <v>0.99501709999999999</v>
      </c>
      <c r="Q3415">
        <v>-9.8448110000000005E-2</v>
      </c>
      <c r="R3415">
        <v>-1.5793890000000001E-2</v>
      </c>
      <c r="S3415">
        <v>2.994659</v>
      </c>
      <c r="T3415">
        <v>-0.19986950000000001</v>
      </c>
      <c r="U3415">
        <v>-3.456116E-2</v>
      </c>
      <c r="V3415">
        <v>5.9670009999999996E-4</v>
      </c>
      <c r="W3415">
        <v>-8.7413989999999997E-2</v>
      </c>
      <c r="X3415">
        <v>0.9961719</v>
      </c>
      <c r="Y3415">
        <v>-3.6974170000000002E-3</v>
      </c>
      <c r="Z3415">
        <v>9.925934999999999E-4</v>
      </c>
      <c r="AA3415">
        <v>0.99999269999999996</v>
      </c>
      <c r="AB3415">
        <v>28</v>
      </c>
      <c r="AC3415">
        <v>16.537399999999899</v>
      </c>
      <c r="AD3415">
        <v>-1.1205174404239999</v>
      </c>
      <c r="AE3415">
        <v>-0.189900000000022</v>
      </c>
      <c r="AF3415">
        <v>-6.2369651524012103E-2</v>
      </c>
      <c r="AG3415">
        <v>-1.1205174404239999</v>
      </c>
      <c r="AH3415">
        <v>16.4628016226259</v>
      </c>
      <c r="AI3415">
        <v>93.893723410019106</v>
      </c>
      <c r="AJ3415">
        <v>90.217065162256603</v>
      </c>
      <c r="AK3415">
        <v>16.501008653220499</v>
      </c>
      <c r="AL3415">
        <v>95.0148531260309</v>
      </c>
      <c r="AM3415">
        <v>89.965680227201503</v>
      </c>
      <c r="AN3415">
        <v>1.00000000802416</v>
      </c>
    </row>
    <row r="3416" spans="1:40" x14ac:dyDescent="0.25">
      <c r="A3416" t="str">
        <f>"20190303154835771"</f>
        <v>20190303154835771</v>
      </c>
      <c r="B3416" t="str">
        <f>"1551599315764610"</f>
        <v>1551599315764610</v>
      </c>
      <c r="C3416" t="s">
        <v>40</v>
      </c>
      <c r="D3416">
        <v>5.5330899999999996</v>
      </c>
      <c r="E3416">
        <v>0.49871989999999999</v>
      </c>
      <c r="F3416" t="s">
        <v>54</v>
      </c>
      <c r="G3416">
        <v>-406.09640000000002</v>
      </c>
      <c r="H3416" s="1">
        <v>5.643934E-6</v>
      </c>
      <c r="I3416">
        <v>214.88159999999999</v>
      </c>
      <c r="J3416">
        <v>-422.5446</v>
      </c>
      <c r="K3416">
        <v>1.120557</v>
      </c>
      <c r="L3416">
        <v>215.07749999999999</v>
      </c>
      <c r="M3416">
        <v>0.99982309999999996</v>
      </c>
      <c r="N3416">
        <v>-1.112279E-2</v>
      </c>
      <c r="O3416">
        <v>-1.517902E-2</v>
      </c>
      <c r="P3416">
        <v>0.99496620000000002</v>
      </c>
      <c r="Q3416">
        <v>-9.8823090000000002E-2</v>
      </c>
      <c r="R3416">
        <v>-1.663152E-2</v>
      </c>
      <c r="S3416">
        <v>2.9945979999999999</v>
      </c>
      <c r="T3416">
        <v>-0.20065359999999999</v>
      </c>
      <c r="U3416">
        <v>-3.5827640000000001E-2</v>
      </c>
      <c r="V3416">
        <v>1.532924E-3</v>
      </c>
      <c r="W3416">
        <v>-8.7748530000000005E-2</v>
      </c>
      <c r="X3416">
        <v>0.99614150000000001</v>
      </c>
      <c r="Y3416">
        <v>-3.185018E-3</v>
      </c>
      <c r="Z3416">
        <v>9.714821E-4</v>
      </c>
      <c r="AA3416">
        <v>0.99999450000000001</v>
      </c>
      <c r="AB3416">
        <v>28</v>
      </c>
      <c r="AC3416">
        <v>16.4481999999999</v>
      </c>
      <c r="AD3416">
        <v>-1.1205513560660001</v>
      </c>
      <c r="AE3416">
        <v>-0.195899999999994</v>
      </c>
      <c r="AF3416">
        <v>-5.35569989834399E-2</v>
      </c>
      <c r="AG3416">
        <v>-1.1205513560660001</v>
      </c>
      <c r="AH3416">
        <v>16.373298196306699</v>
      </c>
      <c r="AI3416">
        <v>93.915067410831796</v>
      </c>
      <c r="AJ3416">
        <v>90.187413618464305</v>
      </c>
      <c r="AK3416">
        <v>16.411684786118101</v>
      </c>
      <c r="AL3416">
        <v>95.034094728005797</v>
      </c>
      <c r="AM3416">
        <v>89.911829789056597</v>
      </c>
      <c r="AN3416">
        <v>1.0000000211977</v>
      </c>
    </row>
    <row r="3417" spans="1:40" x14ac:dyDescent="0.25">
      <c r="A3417" t="str">
        <f>"20190303154835792"</f>
        <v>20190303154835792</v>
      </c>
      <c r="B3417" t="str">
        <f>"1551599315784130"</f>
        <v>1551599315784130</v>
      </c>
      <c r="C3417" t="s">
        <v>40</v>
      </c>
      <c r="D3417">
        <v>5.5245230000000003</v>
      </c>
      <c r="E3417">
        <v>0.49882520000000002</v>
      </c>
      <c r="F3417" t="s">
        <v>54</v>
      </c>
      <c r="G3417">
        <v>-405.91120000000001</v>
      </c>
      <c r="H3417" s="1">
        <v>5.7306010000000001E-6</v>
      </c>
      <c r="I3417">
        <v>214.8596</v>
      </c>
      <c r="J3417">
        <v>-422.2792</v>
      </c>
      <c r="K3417">
        <v>1.120611</v>
      </c>
      <c r="L3417">
        <v>215.0736</v>
      </c>
      <c r="M3417">
        <v>0.99982490000000002</v>
      </c>
      <c r="N3417">
        <v>-1.1161890000000001E-2</v>
      </c>
      <c r="O3417">
        <v>-1.5025409999999999E-2</v>
      </c>
      <c r="P3417">
        <v>0.99500440000000001</v>
      </c>
      <c r="Q3417">
        <v>-9.8344189999999998E-2</v>
      </c>
      <c r="R3417">
        <v>-1.718327E-2</v>
      </c>
      <c r="S3417">
        <v>2.994507</v>
      </c>
      <c r="T3417">
        <v>-0.20173240000000001</v>
      </c>
      <c r="U3417">
        <v>-3.9230349999999997E-2</v>
      </c>
      <c r="V3417">
        <v>2.2468760000000001E-3</v>
      </c>
      <c r="W3417">
        <v>-8.7229860000000006E-2</v>
      </c>
      <c r="X3417">
        <v>0.99618569999999995</v>
      </c>
      <c r="Y3417">
        <v>-1.8981759999999999E-3</v>
      </c>
      <c r="Z3417">
        <v>9.1789219999999997E-4</v>
      </c>
      <c r="AA3417">
        <v>0.99999780000000005</v>
      </c>
      <c r="AB3417">
        <v>28</v>
      </c>
      <c r="AC3417">
        <v>16.367999999999899</v>
      </c>
      <c r="AD3417">
        <v>-1.1206052693990001</v>
      </c>
      <c r="AE3417">
        <v>-0.213999999999998</v>
      </c>
      <c r="AF3417">
        <v>-3.1826220738625399E-2</v>
      </c>
      <c r="AG3417">
        <v>-1.1206052693990001</v>
      </c>
      <c r="AH3417">
        <v>16.293011999769</v>
      </c>
      <c r="AI3417">
        <v>93.934501236601506</v>
      </c>
      <c r="AJ3417">
        <v>90.111919503092594</v>
      </c>
      <c r="AK3417">
        <v>16.3315341931721</v>
      </c>
      <c r="AL3417">
        <v>95.004262726050399</v>
      </c>
      <c r="AM3417">
        <v>89.870770787426693</v>
      </c>
      <c r="AN3417">
        <v>1.00000002290593</v>
      </c>
    </row>
    <row r="3418" spans="1:40" x14ac:dyDescent="0.25">
      <c r="A3418" t="str">
        <f>"20190303154835817"</f>
        <v>20190303154835817</v>
      </c>
      <c r="B3418" t="str">
        <f>"1551599315814386"</f>
        <v>1551599315814386</v>
      </c>
      <c r="C3418" t="s">
        <v>40</v>
      </c>
      <c r="D3418">
        <v>5.5583519999999904</v>
      </c>
      <c r="E3418">
        <v>0.49886960000000002</v>
      </c>
      <c r="F3418" t="s">
        <v>54</v>
      </c>
      <c r="G3418">
        <v>-405.49849999999998</v>
      </c>
      <c r="H3418" s="1">
        <v>5.9177210000000001E-6</v>
      </c>
      <c r="I3418">
        <v>214.8398</v>
      </c>
      <c r="J3418">
        <v>-421.98160000000001</v>
      </c>
      <c r="K3418">
        <v>1.120681</v>
      </c>
      <c r="L3418">
        <v>215.0694</v>
      </c>
      <c r="M3418">
        <v>0.99982819999999994</v>
      </c>
      <c r="N3418">
        <v>-1.1205980000000001E-2</v>
      </c>
      <c r="O3418">
        <v>-1.477242E-2</v>
      </c>
      <c r="P3418">
        <v>0.99507710000000005</v>
      </c>
      <c r="Q3418">
        <v>-9.7492679999999998E-2</v>
      </c>
      <c r="R3418">
        <v>-1.779708E-2</v>
      </c>
      <c r="S3418">
        <v>2.9945680000000001</v>
      </c>
      <c r="T3418">
        <v>-0.19997480000000001</v>
      </c>
      <c r="U3418">
        <v>-4.1717530000000003E-2</v>
      </c>
      <c r="V3418">
        <v>3.1253710000000001E-3</v>
      </c>
      <c r="W3418">
        <v>-8.6332909999999999E-2</v>
      </c>
      <c r="X3418">
        <v>0.99626139999999996</v>
      </c>
      <c r="Y3418">
        <v>-8.1880759999999897E-4</v>
      </c>
      <c r="Z3418">
        <v>8.5180259999999904E-4</v>
      </c>
      <c r="AA3418">
        <v>0.99999930000000004</v>
      </c>
      <c r="AB3418">
        <v>28</v>
      </c>
      <c r="AC3418">
        <v>16.4831</v>
      </c>
      <c r="AD3418">
        <v>-1.1206750822789999</v>
      </c>
      <c r="AE3418">
        <v>-0.229600000000004</v>
      </c>
      <c r="AF3418">
        <v>-1.3871485594824999E-2</v>
      </c>
      <c r="AG3418">
        <v>-1.1206750822789999</v>
      </c>
      <c r="AH3418">
        <v>16.408857076715101</v>
      </c>
      <c r="AI3418">
        <v>93.907059006272306</v>
      </c>
      <c r="AJ3418">
        <v>90.0484358774725</v>
      </c>
      <c r="AK3418">
        <v>16.447087755047001</v>
      </c>
      <c r="AL3418">
        <v>94.952676982581494</v>
      </c>
      <c r="AM3418">
        <v>89.820258036413406</v>
      </c>
      <c r="AN3418">
        <v>0.99999995821145604</v>
      </c>
    </row>
    <row r="3419" spans="1:40" x14ac:dyDescent="0.25">
      <c r="A3419" t="str">
        <f>"20190303154835838"</f>
        <v>20190303154835838</v>
      </c>
      <c r="B3419" t="str">
        <f>"1551599315833907"</f>
        <v>1551599315833907</v>
      </c>
      <c r="C3419" t="s">
        <v>40</v>
      </c>
      <c r="D3419">
        <v>5.5382179999999996</v>
      </c>
      <c r="E3419">
        <v>0.49887140000000002</v>
      </c>
      <c r="F3419" t="s">
        <v>54</v>
      </c>
      <c r="G3419">
        <v>-404.93619999999999</v>
      </c>
      <c r="H3419" s="1">
        <v>6.1714309999999997E-6</v>
      </c>
      <c r="I3419">
        <v>214.81880000000001</v>
      </c>
      <c r="J3419">
        <v>-421.71820000000002</v>
      </c>
      <c r="K3419">
        <v>1.1207530000000001</v>
      </c>
      <c r="L3419">
        <v>215.0658</v>
      </c>
      <c r="M3419">
        <v>0.9998321</v>
      </c>
      <c r="N3419">
        <v>-1.1246330000000001E-2</v>
      </c>
      <c r="O3419">
        <v>-1.447093E-2</v>
      </c>
      <c r="P3419">
        <v>0.99510209999999999</v>
      </c>
      <c r="Q3419">
        <v>-9.7166169999999996E-2</v>
      </c>
      <c r="R3419">
        <v>-1.8188220000000001E-2</v>
      </c>
      <c r="S3419">
        <v>2.9947810000000001</v>
      </c>
      <c r="T3419">
        <v>-0.1968963</v>
      </c>
      <c r="U3419">
        <v>-4.4021610000000003E-2</v>
      </c>
      <c r="V3419">
        <v>3.829079E-3</v>
      </c>
      <c r="W3419">
        <v>-8.5965050000000001E-2</v>
      </c>
      <c r="X3419">
        <v>0.99629080000000003</v>
      </c>
      <c r="Y3419">
        <v>2.468603E-4</v>
      </c>
      <c r="Z3419">
        <v>7.7818519999999999E-4</v>
      </c>
      <c r="AA3419">
        <v>0.99999959999999999</v>
      </c>
      <c r="AB3419">
        <v>28</v>
      </c>
      <c r="AC3419">
        <v>16.782</v>
      </c>
      <c r="AD3419">
        <v>-1.1207468285690001</v>
      </c>
      <c r="AE3419">
        <v>-0.24699999999998501</v>
      </c>
      <c r="AF3419">
        <v>4.0894064789601097E-3</v>
      </c>
      <c r="AG3419">
        <v>-1.1207468285690001</v>
      </c>
      <c r="AH3419">
        <v>16.709310948412199</v>
      </c>
      <c r="AI3419">
        <v>93.837263240244795</v>
      </c>
      <c r="AJ3419">
        <v>89.985977535039893</v>
      </c>
      <c r="AK3419">
        <v>16.746855303241901</v>
      </c>
      <c r="AL3419">
        <v>94.931521274785894</v>
      </c>
      <c r="AM3419">
        <v>89.779794226834198</v>
      </c>
      <c r="AN3419">
        <v>1.00000000491606</v>
      </c>
    </row>
    <row r="3420" spans="1:40" x14ac:dyDescent="0.25">
      <c r="A3420" t="str">
        <f>"20190303154835862"</f>
        <v>20190303154835862</v>
      </c>
      <c r="B3420" t="str">
        <f>"1551599315854402"</f>
        <v>1551599315854402</v>
      </c>
      <c r="C3420" t="s">
        <v>40</v>
      </c>
      <c r="D3420">
        <v>5.5448000000000004</v>
      </c>
      <c r="E3420">
        <v>0.4988959</v>
      </c>
      <c r="F3420" t="s">
        <v>54</v>
      </c>
      <c r="G3420">
        <v>-404.49119999999999</v>
      </c>
      <c r="H3420" s="1">
        <v>6.3713500000000004E-6</v>
      </c>
      <c r="I3420">
        <v>214.80609999999999</v>
      </c>
      <c r="J3420">
        <v>-421.43860000000001</v>
      </c>
      <c r="K3420">
        <v>1.1208209999999901</v>
      </c>
      <c r="L3420">
        <v>215.06209999999999</v>
      </c>
      <c r="M3420">
        <v>0.99983719999999998</v>
      </c>
      <c r="N3420">
        <v>-1.129196E-2</v>
      </c>
      <c r="O3420">
        <v>-1.4069440000000001E-2</v>
      </c>
      <c r="P3420">
        <v>0.99510350000000003</v>
      </c>
      <c r="Q3420">
        <v>-9.7084240000000002E-2</v>
      </c>
      <c r="R3420">
        <v>-1.8530379999999999E-2</v>
      </c>
      <c r="S3420">
        <v>2.9948730000000001</v>
      </c>
      <c r="T3420">
        <v>-0.1948396</v>
      </c>
      <c r="U3420">
        <v>-4.5135500000000002E-2</v>
      </c>
      <c r="V3420">
        <v>4.584439E-3</v>
      </c>
      <c r="W3420">
        <v>-8.5836519999999999E-2</v>
      </c>
      <c r="X3420">
        <v>0.99629869999999998</v>
      </c>
      <c r="Y3420">
        <v>1.016763E-3</v>
      </c>
      <c r="Z3420">
        <v>7.1673789999999896E-4</v>
      </c>
      <c r="AA3420">
        <v>0.99999919999999998</v>
      </c>
      <c r="AB3420">
        <v>28</v>
      </c>
      <c r="AC3420">
        <v>16.947399999999998</v>
      </c>
      <c r="AD3420">
        <v>-1.12081462864999</v>
      </c>
      <c r="AE3420">
        <v>-0.25600000000000001</v>
      </c>
      <c r="AF3420">
        <v>1.7442739616258099E-2</v>
      </c>
      <c r="AG3420">
        <v>-1.12081462864999</v>
      </c>
      <c r="AH3420">
        <v>16.875530565182999</v>
      </c>
      <c r="AI3420">
        <v>93.799805723154705</v>
      </c>
      <c r="AJ3420">
        <v>89.940778454141295</v>
      </c>
      <c r="AK3420">
        <v>16.912718927995801</v>
      </c>
      <c r="AL3420">
        <v>94.924129689758402</v>
      </c>
      <c r="AM3420">
        <v>89.736357025978194</v>
      </c>
      <c r="AN3420">
        <v>1.0000000124341699</v>
      </c>
    </row>
    <row r="3421" spans="1:40" x14ac:dyDescent="0.25">
      <c r="A3421" t="str">
        <f>"20190303154835883"</f>
        <v>20190303154835883</v>
      </c>
      <c r="B3421" t="str">
        <f>"1551599315873922"</f>
        <v>1551599315873922</v>
      </c>
      <c r="C3421" t="s">
        <v>40</v>
      </c>
      <c r="D3421">
        <v>5.5312609999999998</v>
      </c>
      <c r="E3421">
        <v>0.4988283</v>
      </c>
      <c r="F3421" t="s">
        <v>54</v>
      </c>
      <c r="G3421">
        <v>-404.17149999999998</v>
      </c>
      <c r="H3421" s="1">
        <v>6.5156659999999996E-6</v>
      </c>
      <c r="I3421">
        <v>214.79390000000001</v>
      </c>
      <c r="J3421">
        <v>-421.16180000000003</v>
      </c>
      <c r="K3421">
        <v>1.1208849999999999</v>
      </c>
      <c r="L3421">
        <v>215.05879999999999</v>
      </c>
      <c r="M3421">
        <v>0.9998435</v>
      </c>
      <c r="N3421">
        <v>-1.1339299999999899E-2</v>
      </c>
      <c r="O3421">
        <v>-1.35859E-2</v>
      </c>
      <c r="P3421">
        <v>0.99511590000000005</v>
      </c>
      <c r="Q3421">
        <v>-9.6923179999999998E-2</v>
      </c>
      <c r="R3421">
        <v>-1.8721189999999999E-2</v>
      </c>
      <c r="S3421">
        <v>2.9949340000000002</v>
      </c>
      <c r="T3421">
        <v>-0.19440270000000001</v>
      </c>
      <c r="U3421">
        <v>-4.6524049999999997E-2</v>
      </c>
      <c r="V3421">
        <v>5.2684860000000002E-3</v>
      </c>
      <c r="W3421">
        <v>-8.5626960000000002E-2</v>
      </c>
      <c r="X3421">
        <v>0.99631329999999996</v>
      </c>
      <c r="Y3421">
        <v>1.9604219999999999E-3</v>
      </c>
      <c r="Z3421">
        <v>6.5223519999999999E-4</v>
      </c>
      <c r="AA3421">
        <v>0.9999979</v>
      </c>
      <c r="AB3421">
        <v>28</v>
      </c>
      <c r="AC3421">
        <v>16.990300000000001</v>
      </c>
      <c r="AD3421">
        <v>-1.1208784843340001</v>
      </c>
      <c r="AE3421">
        <v>-0.26489999999998298</v>
      </c>
      <c r="AF3421">
        <v>3.3884771754839303E-2</v>
      </c>
      <c r="AG3421">
        <v>-1.1208784843340001</v>
      </c>
      <c r="AH3421">
        <v>16.918714084802598</v>
      </c>
      <c r="AI3421">
        <v>93.790345103502403</v>
      </c>
      <c r="AJ3421">
        <v>89.885248263801998</v>
      </c>
      <c r="AK3421">
        <v>16.9558368427424</v>
      </c>
      <c r="AL3421">
        <v>94.9120786625694</v>
      </c>
      <c r="AM3421">
        <v>89.697023819072896</v>
      </c>
      <c r="AN3421">
        <v>0.99999996249023104</v>
      </c>
    </row>
    <row r="3422" spans="1:40" x14ac:dyDescent="0.25">
      <c r="A3422" t="str">
        <f>"20190303154835906"</f>
        <v>20190303154835906</v>
      </c>
      <c r="B3422" t="str">
        <f>"1551599315894418"</f>
        <v>1551599315894418</v>
      </c>
      <c r="C3422" t="s">
        <v>40</v>
      </c>
      <c r="D3422">
        <v>5.554691</v>
      </c>
      <c r="E3422">
        <v>0.49878879999999998</v>
      </c>
      <c r="F3422" t="s">
        <v>54</v>
      </c>
      <c r="G3422">
        <v>-403.86779999999999</v>
      </c>
      <c r="H3422" s="1">
        <v>6.6511120000000001E-6</v>
      </c>
      <c r="I3422">
        <v>214.7903</v>
      </c>
      <c r="J3422">
        <v>-420.88920000000002</v>
      </c>
      <c r="K3422">
        <v>1.120943</v>
      </c>
      <c r="L3422">
        <v>215.0556</v>
      </c>
      <c r="M3422">
        <v>0.99985000000000002</v>
      </c>
      <c r="N3422">
        <v>-1.138542E-2</v>
      </c>
      <c r="O3422">
        <v>-1.304803E-2</v>
      </c>
      <c r="P3422">
        <v>0.99515469999999895</v>
      </c>
      <c r="Q3422">
        <v>-9.6597920000000004E-2</v>
      </c>
      <c r="R3422">
        <v>-1.833943E-2</v>
      </c>
      <c r="S3422">
        <v>2.9949340000000002</v>
      </c>
      <c r="T3422">
        <v>-0.19411030000000001</v>
      </c>
      <c r="U3422">
        <v>-4.6493529999999998E-2</v>
      </c>
      <c r="V3422">
        <v>5.4310909999999999E-3</v>
      </c>
      <c r="W3422">
        <v>-8.5254629999999998E-2</v>
      </c>
      <c r="X3422">
        <v>0.99634440000000002</v>
      </c>
      <c r="Y3422">
        <v>2.4860279999999999E-3</v>
      </c>
      <c r="Z3422">
        <v>6.0162699999999998E-4</v>
      </c>
      <c r="AA3422">
        <v>0.99999669999999896</v>
      </c>
      <c r="AB3422">
        <v>28</v>
      </c>
      <c r="AC3422">
        <v>17.0214</v>
      </c>
      <c r="AD3422">
        <v>-1.120936348888</v>
      </c>
      <c r="AE3422">
        <v>-0.26529999999999598</v>
      </c>
      <c r="AF3422">
        <v>4.29809120293108E-2</v>
      </c>
      <c r="AG3422">
        <v>-1.120936348888</v>
      </c>
      <c r="AH3422">
        <v>16.949921762939798</v>
      </c>
      <c r="AI3422">
        <v>93.783576907527006</v>
      </c>
      <c r="AJ3422">
        <v>89.854712038493105</v>
      </c>
      <c r="AK3422">
        <v>16.987000718986199</v>
      </c>
      <c r="AL3422">
        <v>94.8906672149581</v>
      </c>
      <c r="AM3422">
        <v>89.687682782752304</v>
      </c>
      <c r="AN3422">
        <v>1.00000000604862</v>
      </c>
    </row>
    <row r="3423" spans="1:40" x14ac:dyDescent="0.25">
      <c r="A3423" t="str">
        <f>"20190303154835930"</f>
        <v>20190303154835930</v>
      </c>
      <c r="B3423" t="str">
        <f>"1551599315924674"</f>
        <v>1551599315924674</v>
      </c>
      <c r="C3423" t="s">
        <v>40</v>
      </c>
      <c r="D3423">
        <v>5.5051199999999998</v>
      </c>
      <c r="E3423">
        <v>0.49872689999999997</v>
      </c>
      <c r="F3423" t="s">
        <v>54</v>
      </c>
      <c r="G3423">
        <v>-403.53320000000002</v>
      </c>
      <c r="H3423" s="1">
        <v>6.79847499999999E-6</v>
      </c>
      <c r="I3423">
        <v>214.79519999999999</v>
      </c>
      <c r="J3423">
        <v>-420.5915</v>
      </c>
      <c r="K3423">
        <v>1.120986</v>
      </c>
      <c r="L3423">
        <v>215.05250000000001</v>
      </c>
      <c r="M3423">
        <v>0.99985769999999996</v>
      </c>
      <c r="N3423">
        <v>-1.143692E-2</v>
      </c>
      <c r="O3423">
        <v>-1.2395069999999999E-2</v>
      </c>
      <c r="P3423">
        <v>0.99520129999999996</v>
      </c>
      <c r="Q3423">
        <v>-9.6398780000000003E-2</v>
      </c>
      <c r="R3423">
        <v>-1.6783220000000001E-2</v>
      </c>
      <c r="S3423">
        <v>2.9949650000000001</v>
      </c>
      <c r="T3423">
        <v>-0.19343009999999999</v>
      </c>
      <c r="U3423">
        <v>-4.4952390000000002E-2</v>
      </c>
      <c r="V3423">
        <v>4.5335810000000001E-3</v>
      </c>
      <c r="W3423">
        <v>-8.5004289999999996E-2</v>
      </c>
      <c r="X3423">
        <v>0.99637030000000004</v>
      </c>
      <c r="Y3423">
        <v>2.6230390000000002E-3</v>
      </c>
      <c r="Z3423">
        <v>5.5835119999999997E-4</v>
      </c>
      <c r="AA3423">
        <v>0.99999640000000001</v>
      </c>
      <c r="AB3423">
        <v>28</v>
      </c>
      <c r="AC3423">
        <v>17.0582999999999</v>
      </c>
      <c r="AD3423">
        <v>-1.120979201525</v>
      </c>
      <c r="AE3423">
        <v>-0.25730000000001402</v>
      </c>
      <c r="AF3423">
        <v>4.5630557586605003E-2</v>
      </c>
      <c r="AG3423">
        <v>-1.120979201525</v>
      </c>
      <c r="AH3423">
        <v>16.986839431120401</v>
      </c>
      <c r="AI3423">
        <v>93.775520262484704</v>
      </c>
      <c r="AJ3423">
        <v>89.846090728724405</v>
      </c>
      <c r="AK3423">
        <v>17.0238476960029</v>
      </c>
      <c r="AL3423">
        <v>94.876271421060594</v>
      </c>
      <c r="AM3423">
        <v>89.739300474130303</v>
      </c>
      <c r="AN3423">
        <v>1.00000002869858</v>
      </c>
    </row>
    <row r="3424" spans="1:40" x14ac:dyDescent="0.25">
      <c r="A3424" t="str">
        <f>"20190303154835951"</f>
        <v>20190303154835951</v>
      </c>
      <c r="B3424" t="str">
        <f>"1551599315944194"</f>
        <v>1551599315944194</v>
      </c>
      <c r="C3424" t="s">
        <v>40</v>
      </c>
      <c r="D3424">
        <v>5.5753529999999998</v>
      </c>
      <c r="E3424">
        <v>0.49872889999999998</v>
      </c>
      <c r="F3424" t="s">
        <v>54</v>
      </c>
      <c r="G3424">
        <v>-403.23939999999999</v>
      </c>
      <c r="H3424" s="1">
        <v>6.9233159999999999E-6</v>
      </c>
      <c r="I3424">
        <v>214.82140000000001</v>
      </c>
      <c r="J3424">
        <v>-420.33409999999998</v>
      </c>
      <c r="K3424">
        <v>1.1210290000000001</v>
      </c>
      <c r="L3424">
        <v>215.05</v>
      </c>
      <c r="M3424">
        <v>0.9998648</v>
      </c>
      <c r="N3424">
        <v>-1.148134E-2</v>
      </c>
      <c r="O3424">
        <v>-1.177783E-2</v>
      </c>
      <c r="P3424">
        <v>0.99523930000000005</v>
      </c>
      <c r="Q3424">
        <v>-9.6296789999999993E-2</v>
      </c>
      <c r="R3424">
        <v>-1.502845E-2</v>
      </c>
      <c r="S3424">
        <v>2.9950559999999999</v>
      </c>
      <c r="T3424">
        <v>-0.19348689999999999</v>
      </c>
      <c r="U3424">
        <v>-3.988647E-2</v>
      </c>
      <c r="V3424">
        <v>3.400475E-3</v>
      </c>
      <c r="W3424">
        <v>-8.4858749999999997E-2</v>
      </c>
      <c r="X3424">
        <v>0.99638720000000003</v>
      </c>
      <c r="Y3424">
        <v>1.5505600000000001E-3</v>
      </c>
      <c r="Z3424">
        <v>5.6596239999999996E-4</v>
      </c>
      <c r="AA3424">
        <v>0.99999859999999896</v>
      </c>
      <c r="AB3424">
        <v>28</v>
      </c>
      <c r="AC3424">
        <v>17.0946999999999</v>
      </c>
      <c r="AD3424">
        <v>-1.121022076684</v>
      </c>
      <c r="AE3424">
        <v>-0.2286</v>
      </c>
      <c r="AF3424">
        <v>2.7115828485324001E-2</v>
      </c>
      <c r="AG3424">
        <v>-1.121022076684</v>
      </c>
      <c r="AH3424">
        <v>17.0230146315198</v>
      </c>
      <c r="AI3424">
        <v>93.767672599746007</v>
      </c>
      <c r="AJ3424">
        <v>89.908734072675301</v>
      </c>
      <c r="AK3424">
        <v>17.059907763804102</v>
      </c>
      <c r="AL3424">
        <v>94.867902438264395</v>
      </c>
      <c r="AM3424">
        <v>89.804461448899005</v>
      </c>
      <c r="AN3424">
        <v>1.00000001150281</v>
      </c>
    </row>
    <row r="3425" spans="1:40" x14ac:dyDescent="0.25">
      <c r="A3425" t="str">
        <f>"20190303154835973"</f>
        <v>20190303154835973</v>
      </c>
      <c r="B3425" t="str">
        <f>"1551599315964690"</f>
        <v>1551599315964690</v>
      </c>
      <c r="C3425" t="s">
        <v>40</v>
      </c>
      <c r="D3425">
        <v>5.5695329999999998</v>
      </c>
      <c r="E3425">
        <v>0.4986757</v>
      </c>
      <c r="F3425" t="s">
        <v>54</v>
      </c>
      <c r="G3425">
        <v>-403.00259999999997</v>
      </c>
      <c r="H3425" s="1">
        <v>7.02243999999999E-6</v>
      </c>
      <c r="I3425">
        <v>214.85</v>
      </c>
      <c r="J3425">
        <v>-420.05950000000001</v>
      </c>
      <c r="K3425">
        <v>1.1210739999999999</v>
      </c>
      <c r="L3425">
        <v>215.04750000000001</v>
      </c>
      <c r="M3425">
        <v>0.99987239999999999</v>
      </c>
      <c r="N3425">
        <v>-1.15268E-2</v>
      </c>
      <c r="O3425">
        <v>-1.106566E-2</v>
      </c>
      <c r="P3425">
        <v>0.99531190000000003</v>
      </c>
      <c r="Q3425">
        <v>-9.5890039999999996E-2</v>
      </c>
      <c r="R3425">
        <v>-1.2631740000000001E-2</v>
      </c>
      <c r="S3425">
        <v>2.9950559999999999</v>
      </c>
      <c r="T3425">
        <v>-0.19372339999999999</v>
      </c>
      <c r="U3425">
        <v>-3.456116E-2</v>
      </c>
      <c r="V3425">
        <v>1.71987299999999E-3</v>
      </c>
      <c r="W3425">
        <v>-8.4407949999999995E-2</v>
      </c>
      <c r="X3425">
        <v>0.99642980000000003</v>
      </c>
      <c r="Y3425">
        <v>4.8668570000000001E-4</v>
      </c>
      <c r="Z3425">
        <v>5.6896780000000003E-4</v>
      </c>
      <c r="AA3425">
        <v>0.99999970000000005</v>
      </c>
      <c r="AB3425">
        <v>28</v>
      </c>
      <c r="AC3425">
        <v>17.056899999999999</v>
      </c>
      <c r="AD3425">
        <v>-1.12106697756</v>
      </c>
      <c r="AE3425">
        <v>-0.19750000000001899</v>
      </c>
      <c r="AF3425">
        <v>8.6919798031449003E-3</v>
      </c>
      <c r="AG3425">
        <v>-1.12106697756</v>
      </c>
      <c r="AH3425">
        <v>16.984680678215</v>
      </c>
      <c r="AI3425">
        <v>93.776306651521097</v>
      </c>
      <c r="AJ3425">
        <v>89.9706786530584</v>
      </c>
      <c r="AK3425">
        <v>17.0216404749841</v>
      </c>
      <c r="AL3425">
        <v>94.841980537708096</v>
      </c>
      <c r="AM3425">
        <v>89.901105560732404</v>
      </c>
      <c r="AN3425">
        <v>1.0000000031571801</v>
      </c>
    </row>
    <row r="3426" spans="1:40" x14ac:dyDescent="0.25">
      <c r="A3426" t="str">
        <f>"20190303154835993"</f>
        <v>20190303154835993</v>
      </c>
      <c r="B3426" t="str">
        <f>"1551599315984209"</f>
        <v>1551599315984209</v>
      </c>
      <c r="C3426" t="s">
        <v>40</v>
      </c>
      <c r="D3426">
        <v>5.6171889999999998</v>
      </c>
      <c r="E3426">
        <v>0.49864419999999998</v>
      </c>
      <c r="F3426" t="s">
        <v>54</v>
      </c>
      <c r="G3426">
        <v>-402.68729999999999</v>
      </c>
      <c r="H3426" s="1">
        <v>7.1535890000000003E-6</v>
      </c>
      <c r="I3426">
        <v>214.89189999999999</v>
      </c>
      <c r="J3426">
        <v>-419.79950000000002</v>
      </c>
      <c r="K3426">
        <v>1.1211279999999999</v>
      </c>
      <c r="L3426">
        <v>215.0454</v>
      </c>
      <c r="M3426">
        <v>0.99987979999999999</v>
      </c>
      <c r="N3426">
        <v>-1.156661E-2</v>
      </c>
      <c r="O3426">
        <v>-1.034142E-2</v>
      </c>
      <c r="P3426">
        <v>0.99534699999999998</v>
      </c>
      <c r="Q3426">
        <v>-9.57789E-2</v>
      </c>
      <c r="R3426">
        <v>-1.0530970000000001E-2</v>
      </c>
      <c r="S3426">
        <v>2.9951479999999999</v>
      </c>
      <c r="T3426">
        <v>-0.19328390000000001</v>
      </c>
      <c r="U3426">
        <v>-2.682495E-2</v>
      </c>
      <c r="V3426">
        <v>3.4818760000000001E-4</v>
      </c>
      <c r="W3426">
        <v>-8.4258669999999994E-2</v>
      </c>
      <c r="X3426">
        <v>0.99644390000000005</v>
      </c>
      <c r="Y3426">
        <v>-1.3685500000000001E-3</v>
      </c>
      <c r="Z3426">
        <v>5.9915100000000002E-4</v>
      </c>
      <c r="AA3426">
        <v>0.99999890000000002</v>
      </c>
      <c r="AB3426">
        <v>28</v>
      </c>
      <c r="AC3426">
        <v>17.112200000000001</v>
      </c>
      <c r="AD3426">
        <v>-1.1211208464110001</v>
      </c>
      <c r="AE3426">
        <v>-0.15350000000000799</v>
      </c>
      <c r="AF3426">
        <v>-2.3384100751939502E-2</v>
      </c>
      <c r="AG3426">
        <v>-1.1211208464110001</v>
      </c>
      <c r="AH3426">
        <v>17.0397380317658</v>
      </c>
      <c r="AI3426">
        <v>93.7643174146463</v>
      </c>
      <c r="AJ3426">
        <v>90.078628523350403</v>
      </c>
      <c r="AK3426">
        <v>17.076596000363502</v>
      </c>
      <c r="AL3426">
        <v>94.833396641163304</v>
      </c>
      <c r="AM3426">
        <v>89.979979124618197</v>
      </c>
      <c r="AN3426">
        <v>1.0000000452759901</v>
      </c>
    </row>
    <row r="3427" spans="1:40" x14ac:dyDescent="0.25">
      <c r="A3427" t="str">
        <f>"20190303154836017"</f>
        <v>20190303154836017</v>
      </c>
      <c r="B3427" t="str">
        <f>"1551599316014466"</f>
        <v>1551599316014466</v>
      </c>
      <c r="C3427" t="s">
        <v>40</v>
      </c>
      <c r="D3427">
        <v>5.5936170000000001</v>
      </c>
      <c r="E3427">
        <v>0.49864750000000002</v>
      </c>
      <c r="F3427" t="s">
        <v>54</v>
      </c>
      <c r="G3427">
        <v>-402.45</v>
      </c>
      <c r="H3427" s="1">
        <v>7.2513299999999999E-6</v>
      </c>
      <c r="I3427">
        <v>214.9282</v>
      </c>
      <c r="J3427">
        <v>-419.51330000000002</v>
      </c>
      <c r="K3427">
        <v>1.121183</v>
      </c>
      <c r="L3427">
        <v>215.04339999999999</v>
      </c>
      <c r="M3427">
        <v>0.99988759999999999</v>
      </c>
      <c r="N3427">
        <v>-1.1606490000000001E-2</v>
      </c>
      <c r="O3427">
        <v>-9.4876490000000008E-3</v>
      </c>
      <c r="P3427">
        <v>0.99536559999999996</v>
      </c>
      <c r="Q3427">
        <v>-9.5793729999999994E-2</v>
      </c>
      <c r="R3427">
        <v>-8.4194619999999904E-3</v>
      </c>
      <c r="S3427">
        <v>2.9951780000000001</v>
      </c>
      <c r="T3427">
        <v>-0.1935472</v>
      </c>
      <c r="U3427">
        <v>-2.0233149999999998E-2</v>
      </c>
      <c r="V3427">
        <v>-9.0402169999999999E-4</v>
      </c>
      <c r="W3427">
        <v>-8.4235560000000001E-2</v>
      </c>
      <c r="X3427">
        <v>0.99644549999999998</v>
      </c>
      <c r="Y3427">
        <v>-2.713296E-3</v>
      </c>
      <c r="Z3427">
        <v>6.0574190000000001E-4</v>
      </c>
      <c r="AA3427">
        <v>0.99999610000000005</v>
      </c>
      <c r="AB3427">
        <v>28</v>
      </c>
      <c r="AC3427">
        <v>17.063300000000002</v>
      </c>
      <c r="AD3427">
        <v>-1.12117574867</v>
      </c>
      <c r="AE3427">
        <v>-0.11519999999998699</v>
      </c>
      <c r="AF3427">
        <v>-4.6505922064988901E-2</v>
      </c>
      <c r="AG3427">
        <v>-1.12117574867</v>
      </c>
      <c r="AH3427">
        <v>16.9902746413958</v>
      </c>
      <c r="AI3427">
        <v>93.775418522958901</v>
      </c>
      <c r="AJ3427">
        <v>90.156830095940506</v>
      </c>
      <c r="AK3427">
        <v>17.027290748978601</v>
      </c>
      <c r="AL3427">
        <v>94.832067834047905</v>
      </c>
      <c r="AM3427">
        <v>90.051981381607902</v>
      </c>
      <c r="AN3427">
        <v>1.00000004064699</v>
      </c>
    </row>
    <row r="3428" spans="1:40" x14ac:dyDescent="0.25">
      <c r="A3428" t="str">
        <f>"20190303154836040"</f>
        <v>20190303154836040</v>
      </c>
      <c r="B3428" t="str">
        <f>"1551599316033987"</f>
        <v>1551599316033987</v>
      </c>
      <c r="C3428" t="s">
        <v>40</v>
      </c>
      <c r="D3428">
        <v>5.5338349999999998</v>
      </c>
      <c r="E3428">
        <v>0.49865159999999997</v>
      </c>
      <c r="F3428" t="s">
        <v>54</v>
      </c>
      <c r="G3428">
        <v>-402.21289999999999</v>
      </c>
      <c r="H3428" s="1">
        <v>7.3491319999999997E-6</v>
      </c>
      <c r="I3428">
        <v>214.96379999999999</v>
      </c>
      <c r="J3428">
        <v>-419.22969999999998</v>
      </c>
      <c r="K3428">
        <v>1.121229</v>
      </c>
      <c r="L3428">
        <v>215.04169999999999</v>
      </c>
      <c r="M3428">
        <v>0.99989530000000004</v>
      </c>
      <c r="N3428">
        <v>-1.1648220000000001E-2</v>
      </c>
      <c r="O3428">
        <v>-8.5801309999999995E-3</v>
      </c>
      <c r="P3428">
        <v>0.99549290000000001</v>
      </c>
      <c r="Q3428">
        <v>-9.4598730000000006E-2</v>
      </c>
      <c r="R3428">
        <v>-6.7222339999999997E-3</v>
      </c>
      <c r="S3428">
        <v>2.9951479999999999</v>
      </c>
      <c r="T3428">
        <v>-0.1941041</v>
      </c>
      <c r="U3428">
        <v>-1.377869E-2</v>
      </c>
      <c r="V3428">
        <v>-1.691033E-3</v>
      </c>
      <c r="W3428">
        <v>-8.2999069999999994E-2</v>
      </c>
      <c r="X3428">
        <v>0.9965482</v>
      </c>
      <c r="Y3428">
        <v>-3.9585970000000003E-3</v>
      </c>
      <c r="Z3428">
        <v>6.0681099999999996E-4</v>
      </c>
      <c r="AA3428">
        <v>0.99999199999999999</v>
      </c>
      <c r="AB3428">
        <v>28</v>
      </c>
      <c r="AC3428">
        <v>17.0167999999999</v>
      </c>
      <c r="AD3428">
        <v>-1.121221650868</v>
      </c>
      <c r="AE3428">
        <v>-7.7899999999999595E-2</v>
      </c>
      <c r="AF3428">
        <v>-6.7824707545125304E-2</v>
      </c>
      <c r="AG3428">
        <v>-1.121221650868</v>
      </c>
      <c r="AH3428">
        <v>16.9432863692995</v>
      </c>
      <c r="AI3428">
        <v>93.785996805569098</v>
      </c>
      <c r="AJ3428">
        <v>90.229356256353697</v>
      </c>
      <c r="AK3428">
        <v>16.980479709755599</v>
      </c>
      <c r="AL3428">
        <v>94.760973342136893</v>
      </c>
      <c r="AM3428">
        <v>90.097224560660607</v>
      </c>
      <c r="AN3428">
        <v>1.0000000100683499</v>
      </c>
    </row>
    <row r="3429" spans="1:40" x14ac:dyDescent="0.25">
      <c r="A3429" t="str">
        <f>"20190303154836062"</f>
        <v>20190303154836062</v>
      </c>
      <c r="B3429" t="str">
        <f>"1551599316054483"</f>
        <v>1551599316054483</v>
      </c>
      <c r="C3429" t="s">
        <v>40</v>
      </c>
      <c r="D3429">
        <v>5.5487260000000003</v>
      </c>
      <c r="E3429">
        <v>0.49871680000000002</v>
      </c>
      <c r="F3429" t="s">
        <v>54</v>
      </c>
      <c r="G3429">
        <v>-401.61779999999999</v>
      </c>
      <c r="H3429" s="1">
        <v>7.6076919999999998E-6</v>
      </c>
      <c r="I3429">
        <v>214.9896</v>
      </c>
      <c r="J3429">
        <v>-418.96629999999999</v>
      </c>
      <c r="K3429">
        <v>1.121286</v>
      </c>
      <c r="L3429">
        <v>215.04050000000001</v>
      </c>
      <c r="M3429">
        <v>0.99990219999999996</v>
      </c>
      <c r="N3429">
        <v>-1.169561E-2</v>
      </c>
      <c r="O3429">
        <v>-7.683446E-3</v>
      </c>
      <c r="P3429">
        <v>0.99566319999999997</v>
      </c>
      <c r="Q3429">
        <v>-9.2856389999999997E-2</v>
      </c>
      <c r="R3429">
        <v>-5.7239209999999999E-3</v>
      </c>
      <c r="S3429">
        <v>2.9953919999999998</v>
      </c>
      <c r="T3429">
        <v>-0.190695</v>
      </c>
      <c r="U3429">
        <v>-8.8653559999999996E-3</v>
      </c>
      <c r="V3429">
        <v>-1.792989E-3</v>
      </c>
      <c r="W3429">
        <v>-8.1208050000000004E-2</v>
      </c>
      <c r="X3429">
        <v>0.99669560000000001</v>
      </c>
      <c r="Y3429">
        <v>-4.7027359999999999E-3</v>
      </c>
      <c r="Z3429">
        <v>5.7593439999999998E-4</v>
      </c>
      <c r="AA3429">
        <v>0.99998880000000001</v>
      </c>
      <c r="AB3429">
        <v>28</v>
      </c>
      <c r="AC3429">
        <v>17.348500000000001</v>
      </c>
      <c r="AD3429">
        <v>-1.1212783923080001</v>
      </c>
      <c r="AE3429">
        <v>-5.0900000000012803E-2</v>
      </c>
      <c r="AF3429">
        <v>-8.2064058615816698E-2</v>
      </c>
      <c r="AG3429">
        <v>-1.1212783923080001</v>
      </c>
      <c r="AH3429">
        <v>17.276210430433899</v>
      </c>
      <c r="AI3429">
        <v>93.713419527143998</v>
      </c>
      <c r="AJ3429">
        <v>90.272159734546506</v>
      </c>
      <c r="AK3429">
        <v>17.312753870468001</v>
      </c>
      <c r="AL3429">
        <v>94.658007667525197</v>
      </c>
      <c r="AM3429">
        <v>90.103071180002999</v>
      </c>
      <c r="AN3429">
        <v>1.0000000406268501</v>
      </c>
    </row>
    <row r="3430" spans="1:40" x14ac:dyDescent="0.25">
      <c r="A3430" t="str">
        <f>"20190303154836084"</f>
        <v>20190303154836084</v>
      </c>
      <c r="B3430" t="str">
        <f>"1551599316074978"</f>
        <v>1551599316074978</v>
      </c>
      <c r="C3430" t="s">
        <v>40</v>
      </c>
      <c r="D3430">
        <v>5.5831299999999997</v>
      </c>
      <c r="E3430">
        <v>0.51752569999999998</v>
      </c>
      <c r="F3430" t="s">
        <v>54</v>
      </c>
      <c r="G3430">
        <v>-400.92450000000002</v>
      </c>
      <c r="H3430" s="1">
        <v>7.9124530000000007E-6</v>
      </c>
      <c r="I3430">
        <v>215.0027</v>
      </c>
      <c r="J3430">
        <v>-418.68029999999999</v>
      </c>
      <c r="K3430">
        <v>1.121332</v>
      </c>
      <c r="L3430">
        <v>215.0394</v>
      </c>
      <c r="M3430">
        <v>0.99990869999999998</v>
      </c>
      <c r="N3430">
        <v>-1.176109E-2</v>
      </c>
      <c r="O3430">
        <v>-6.6679490000000003E-3</v>
      </c>
      <c r="P3430">
        <v>0.99575480000000005</v>
      </c>
      <c r="Q3430">
        <v>-9.1894210000000004E-2</v>
      </c>
      <c r="R3430">
        <v>-5.3047260000000001E-3</v>
      </c>
      <c r="S3430">
        <v>2.9957280000000002</v>
      </c>
      <c r="T3430">
        <v>-0.18618090000000001</v>
      </c>
      <c r="U3430">
        <v>-6.2713619999999999E-3</v>
      </c>
      <c r="V3430">
        <v>-1.1961599999999999E-3</v>
      </c>
      <c r="W3430">
        <v>-8.0178719999999995E-2</v>
      </c>
      <c r="X3430">
        <v>0.99677979999999999</v>
      </c>
      <c r="Y3430">
        <v>-4.5560970000000003E-3</v>
      </c>
      <c r="Z3430">
        <v>5.0390340000000002E-4</v>
      </c>
      <c r="AA3430">
        <v>0.99998949999999998</v>
      </c>
      <c r="AB3430">
        <v>28</v>
      </c>
      <c r="AC3430">
        <v>17.755799999999901</v>
      </c>
      <c r="AD3430">
        <v>-1.1213240875470001</v>
      </c>
      <c r="AE3430">
        <v>-3.6699999999996097E-2</v>
      </c>
      <c r="AF3430">
        <v>-8.1379203829735403E-2</v>
      </c>
      <c r="AG3430">
        <v>-1.1213240875470001</v>
      </c>
      <c r="AH3430">
        <v>17.6851176682977</v>
      </c>
      <c r="AI3430">
        <v>93.627941487480399</v>
      </c>
      <c r="AJ3430">
        <v>90.2636483453267</v>
      </c>
      <c r="AK3430">
        <v>17.720817622944601</v>
      </c>
      <c r="AL3430">
        <v>94.598838573617599</v>
      </c>
      <c r="AM3430">
        <v>90.068756295747804</v>
      </c>
      <c r="AN3430">
        <v>1.0000000138138101</v>
      </c>
    </row>
    <row r="3431" spans="1:40" x14ac:dyDescent="0.25">
      <c r="A3431" t="str">
        <f>"20190303154836105"</f>
        <v>20190303154836105</v>
      </c>
      <c r="B3431" t="str">
        <f>"1551599316094033"</f>
        <v>1551599316094033</v>
      </c>
      <c r="C3431" t="s">
        <v>40</v>
      </c>
      <c r="D3431">
        <v>5.5736530000000002</v>
      </c>
      <c r="E3431">
        <v>0.51874299999999995</v>
      </c>
      <c r="F3431" t="s">
        <v>52</v>
      </c>
      <c r="G3431">
        <v>-398.8673</v>
      </c>
      <c r="H3431" s="1">
        <v>3.1819610000000002E-6</v>
      </c>
      <c r="I3431">
        <v>214.0162</v>
      </c>
      <c r="J3431">
        <v>-418.41489999999999</v>
      </c>
      <c r="K3431">
        <v>1.1213660000000001</v>
      </c>
      <c r="L3431">
        <v>215.03880000000001</v>
      </c>
      <c r="M3431">
        <v>0.99991379999999996</v>
      </c>
      <c r="N3431">
        <v>-1.183099E-2</v>
      </c>
      <c r="O3431">
        <v>-5.7012709999999999E-3</v>
      </c>
      <c r="P3431">
        <v>0.99571019999999999</v>
      </c>
      <c r="Q3431">
        <v>-9.2371700000000001E-2</v>
      </c>
      <c r="R3431">
        <v>-5.3615420000000004E-3</v>
      </c>
      <c r="S3431">
        <v>2.9963380000000002</v>
      </c>
      <c r="T3431">
        <v>-0.16957990000000001</v>
      </c>
      <c r="U3431">
        <v>-0.1547394</v>
      </c>
      <c r="V3431">
        <v>-1.7140410000000001E-4</v>
      </c>
      <c r="W3431">
        <v>-8.0585299999999999E-2</v>
      </c>
      <c r="X3431">
        <v>0.99674770000000001</v>
      </c>
      <c r="Y3431">
        <v>4.5796459999999997E-2</v>
      </c>
      <c r="Z3431">
        <v>-1.310592E-3</v>
      </c>
      <c r="AA3431">
        <v>0.99894989999999995</v>
      </c>
      <c r="AB3431">
        <v>28</v>
      </c>
      <c r="AC3431">
        <v>19.5475999999999</v>
      </c>
      <c r="AD3431">
        <v>-1.1213628180390001</v>
      </c>
      <c r="AE3431">
        <v>-1.0226000000000099</v>
      </c>
      <c r="AF3431">
        <v>0.90814900982476598</v>
      </c>
      <c r="AG3431">
        <v>-1.1213628180390001</v>
      </c>
      <c r="AH3431">
        <v>19.489152345083699</v>
      </c>
      <c r="AI3431">
        <v>93.289480432026494</v>
      </c>
      <c r="AJ3431">
        <v>87.332080280565705</v>
      </c>
      <c r="AK3431">
        <v>19.542498517937901</v>
      </c>
      <c r="AL3431">
        <v>94.622209586794099</v>
      </c>
      <c r="AM3431">
        <v>90.009852775606504</v>
      </c>
      <c r="AN3431">
        <v>0.99999999870537204</v>
      </c>
    </row>
    <row r="3432" spans="1:40" x14ac:dyDescent="0.25">
      <c r="A3432" t="str">
        <f>"20190303154836130"</f>
        <v>20190303154836130</v>
      </c>
      <c r="B3432" t="str">
        <f>"1551599316124287"</f>
        <v>1551599316124287</v>
      </c>
      <c r="C3432" t="s">
        <v>40</v>
      </c>
      <c r="D3432">
        <v>5.5590760000000001</v>
      </c>
      <c r="E3432">
        <v>0.51937630000000001</v>
      </c>
      <c r="F3432" t="s">
        <v>52</v>
      </c>
      <c r="G3432">
        <v>-399.05459999999999</v>
      </c>
      <c r="H3432" s="1">
        <v>3.2815939999999999E-6</v>
      </c>
      <c r="I3432">
        <v>213.9735</v>
      </c>
      <c r="J3432">
        <v>-418.12189999999998</v>
      </c>
      <c r="K3432">
        <v>1.121383</v>
      </c>
      <c r="L3432">
        <v>215.03829999999999</v>
      </c>
      <c r="M3432">
        <v>0.99991839999999999</v>
      </c>
      <c r="N3432">
        <v>-1.192063E-2</v>
      </c>
      <c r="O3432">
        <v>-4.6158420000000002E-3</v>
      </c>
      <c r="P3432">
        <v>0.99562300000000004</v>
      </c>
      <c r="Q3432">
        <v>-9.3269089999999999E-2</v>
      </c>
      <c r="R3432">
        <v>-6.0068439999999999E-3</v>
      </c>
      <c r="S3432">
        <v>2.995911</v>
      </c>
      <c r="T3432">
        <v>-0.1735247</v>
      </c>
      <c r="U3432">
        <v>-0.16484070000000001</v>
      </c>
      <c r="V3432">
        <v>1.559228E-3</v>
      </c>
      <c r="W3432">
        <v>-8.1391089999999999E-2</v>
      </c>
      <c r="X3432">
        <v>0.99668100000000004</v>
      </c>
      <c r="Y3432">
        <v>5.0232609999999997E-2</v>
      </c>
      <c r="Z3432">
        <v>-1.5404079999999901E-3</v>
      </c>
      <c r="AA3432">
        <v>0.99873639999999997</v>
      </c>
      <c r="AB3432">
        <v>28</v>
      </c>
      <c r="AC3432">
        <v>19.0672999999999</v>
      </c>
      <c r="AD3432">
        <v>-1.1213797184059999</v>
      </c>
      <c r="AE3432">
        <v>-1.06479999999999</v>
      </c>
      <c r="AF3432">
        <v>0.97341437589138802</v>
      </c>
      <c r="AG3432">
        <v>-1.1213797184059999</v>
      </c>
      <c r="AH3432">
        <v>19.006476686053698</v>
      </c>
      <c r="AI3432">
        <v>93.372120126086401</v>
      </c>
      <c r="AJ3432">
        <v>87.068165243691595</v>
      </c>
      <c r="AK3432">
        <v>19.064395716558799</v>
      </c>
      <c r="AL3432">
        <v>94.668530210175902</v>
      </c>
      <c r="AM3432">
        <v>89.910365391918603</v>
      </c>
      <c r="AN3432">
        <v>0.99999997824217102</v>
      </c>
    </row>
    <row r="3433" spans="1:40" x14ac:dyDescent="0.25">
      <c r="A3433" t="str">
        <f>"20190303154836153"</f>
        <v>20190303154836153</v>
      </c>
      <c r="B3433" t="str">
        <f>"1551599316143805"</f>
        <v>1551599316143805</v>
      </c>
      <c r="C3433" t="s">
        <v>40</v>
      </c>
      <c r="D3433">
        <v>5.5710989999999896</v>
      </c>
      <c r="E3433">
        <v>0.5195611</v>
      </c>
      <c r="F3433" t="s">
        <v>52</v>
      </c>
      <c r="G3433">
        <v>-399.83969999999999</v>
      </c>
      <c r="H3433" s="1">
        <v>3.6993880000000002E-6</v>
      </c>
      <c r="I3433">
        <v>213.98990000000001</v>
      </c>
      <c r="J3433">
        <v>-417.83929999999998</v>
      </c>
      <c r="K3433">
        <v>1.1213949999999999</v>
      </c>
      <c r="L3433">
        <v>215.03829999999999</v>
      </c>
      <c r="M3433">
        <v>0.99992159999999997</v>
      </c>
      <c r="N3433">
        <v>-1.202174E-2</v>
      </c>
      <c r="O3433">
        <v>-3.5590869999999998E-3</v>
      </c>
      <c r="P3433">
        <v>0.99548939999999997</v>
      </c>
      <c r="Q3433">
        <v>-9.4702469999999997E-2</v>
      </c>
      <c r="R3433">
        <v>-5.7333039999999998E-3</v>
      </c>
      <c r="S3433">
        <v>2.994904</v>
      </c>
      <c r="T3433">
        <v>-0.18369820000000001</v>
      </c>
      <c r="U3433">
        <v>-0.17175289999999999</v>
      </c>
      <c r="V3433">
        <v>2.3412480000000002E-3</v>
      </c>
      <c r="W3433">
        <v>-8.2723809999999995E-2</v>
      </c>
      <c r="X3433">
        <v>0.99656979999999995</v>
      </c>
      <c r="Y3433">
        <v>5.3584649999999998E-2</v>
      </c>
      <c r="Z3433">
        <v>-1.7880070000000001E-3</v>
      </c>
      <c r="AA3433">
        <v>0.9985617</v>
      </c>
      <c r="AB3433">
        <v>28</v>
      </c>
      <c r="AC3433">
        <v>17.999599999999901</v>
      </c>
      <c r="AD3433">
        <v>-1.121391300612</v>
      </c>
      <c r="AE3433">
        <v>-1.04839999999998</v>
      </c>
      <c r="AF3433">
        <v>0.98053362201417704</v>
      </c>
      <c r="AG3433">
        <v>-1.121391300612</v>
      </c>
      <c r="AH3433">
        <v>17.9338444854552</v>
      </c>
      <c r="AI3433">
        <v>93.572686198333002</v>
      </c>
      <c r="AJ3433">
        <v>86.870467050587294</v>
      </c>
      <c r="AK3433">
        <v>17.995603425878301</v>
      </c>
      <c r="AL3433">
        <v>94.745147548839299</v>
      </c>
      <c r="AM3433">
        <v>89.865394895165494</v>
      </c>
      <c r="AN3433">
        <v>1.00000003822757</v>
      </c>
    </row>
    <row r="3434" spans="1:40" x14ac:dyDescent="0.25">
      <c r="A3434" t="str">
        <f>"20190303154836173"</f>
        <v>20190303154836173</v>
      </c>
      <c r="B3434" t="str">
        <f>"1551599316164302"</f>
        <v>1551599316164302</v>
      </c>
      <c r="C3434" t="s">
        <v>40</v>
      </c>
      <c r="D3434">
        <v>5.5953589999999904</v>
      </c>
      <c r="E3434">
        <v>0.51960660000000003</v>
      </c>
      <c r="F3434" t="s">
        <v>54</v>
      </c>
      <c r="G3434">
        <v>-400.48700000000002</v>
      </c>
      <c r="H3434" s="1">
        <v>8.3054869999999998E-6</v>
      </c>
      <c r="I3434">
        <v>214.0395</v>
      </c>
      <c r="J3434">
        <v>-417.59129999999999</v>
      </c>
      <c r="K3434">
        <v>1.1214010000000001</v>
      </c>
      <c r="L3434">
        <v>215.0384</v>
      </c>
      <c r="M3434">
        <v>0.99992309999999995</v>
      </c>
      <c r="N3434">
        <v>-1.2120229999999999E-2</v>
      </c>
      <c r="O3434">
        <v>-2.629344E-3</v>
      </c>
      <c r="P3434">
        <v>0.99538579999999999</v>
      </c>
      <c r="Q3434">
        <v>-9.5778970000000005E-2</v>
      </c>
      <c r="R3434">
        <v>-5.7830959999999997E-3</v>
      </c>
      <c r="S3434">
        <v>2.994202</v>
      </c>
      <c r="T3434">
        <v>-0.19349920000000001</v>
      </c>
      <c r="U3434">
        <v>-0.17233280000000001</v>
      </c>
      <c r="V3434">
        <v>3.3183549999999998E-3</v>
      </c>
      <c r="W3434">
        <v>-8.3701600000000001E-2</v>
      </c>
      <c r="X3434">
        <v>0.99648539999999997</v>
      </c>
      <c r="Y3434">
        <v>5.4703450000000001E-2</v>
      </c>
      <c r="Z3434">
        <v>-1.9587200000000002E-3</v>
      </c>
      <c r="AA3434">
        <v>0.99850070000000002</v>
      </c>
      <c r="AB3434">
        <v>28</v>
      </c>
      <c r="AC3434">
        <v>17.104299999999999</v>
      </c>
      <c r="AD3434">
        <v>-1.1213926945129999</v>
      </c>
      <c r="AE3434">
        <v>-0.99889999999999202</v>
      </c>
      <c r="AF3434">
        <v>0.94985121070023004</v>
      </c>
      <c r="AG3434">
        <v>-1.1213926945129999</v>
      </c>
      <c r="AH3434">
        <v>17.033898209528399</v>
      </c>
      <c r="AI3434">
        <v>93.760692737270901</v>
      </c>
      <c r="AJ3434">
        <v>86.808354613663994</v>
      </c>
      <c r="AK3434">
        <v>17.09717599811</v>
      </c>
      <c r="AL3434">
        <v>94.801365655796005</v>
      </c>
      <c r="AM3434">
        <v>89.8092023890798</v>
      </c>
      <c r="AN3434">
        <v>1.0000000608678099</v>
      </c>
    </row>
    <row r="3435" spans="1:40" x14ac:dyDescent="0.25">
      <c r="A3435" t="str">
        <f>"20190303154836195"</f>
        <v>20190303154836195</v>
      </c>
      <c r="B3435" t="str">
        <f>"1551599316184797"</f>
        <v>1551599316184797</v>
      </c>
      <c r="C3435" t="s">
        <v>40</v>
      </c>
      <c r="D3435">
        <v>5.5747260000000001</v>
      </c>
      <c r="E3435">
        <v>0.51947370000000004</v>
      </c>
      <c r="F3435" t="s">
        <v>54</v>
      </c>
      <c r="G3435">
        <v>-400.54860000000002</v>
      </c>
      <c r="H3435" s="1">
        <v>8.2749029999999992E-6</v>
      </c>
      <c r="I3435">
        <v>214.05529999999999</v>
      </c>
      <c r="J3435">
        <v>-417.31029999999998</v>
      </c>
      <c r="K3435">
        <v>1.121408</v>
      </c>
      <c r="L3435">
        <v>215.03880000000001</v>
      </c>
      <c r="M3435">
        <v>0.99992409999999998</v>
      </c>
      <c r="N3435">
        <v>-1.223658E-2</v>
      </c>
      <c r="O3435">
        <v>-1.576828E-3</v>
      </c>
      <c r="P3435">
        <v>0.99520609999999998</v>
      </c>
      <c r="Q3435">
        <v>-9.7654099999999994E-2</v>
      </c>
      <c r="R3435">
        <v>-5.3698790000000001E-3</v>
      </c>
      <c r="S3435">
        <v>2.9939580000000001</v>
      </c>
      <c r="T3435">
        <v>-0.19699910000000001</v>
      </c>
      <c r="U3435">
        <v>-0.17269899999999999</v>
      </c>
      <c r="V3435">
        <v>3.9554170000000001E-3</v>
      </c>
      <c r="W3435">
        <v>-8.5461750000000003E-2</v>
      </c>
      <c r="X3435">
        <v>0.99633360000000004</v>
      </c>
      <c r="Y3435">
        <v>5.587172E-2</v>
      </c>
      <c r="Z3435">
        <v>-2.0929239999999999E-3</v>
      </c>
      <c r="AA3435">
        <v>0.99843570000000004</v>
      </c>
      <c r="AB3435">
        <v>28</v>
      </c>
      <c r="AC3435">
        <v>16.761699999999902</v>
      </c>
      <c r="AD3435">
        <v>-1.121399725097</v>
      </c>
      <c r="AE3435">
        <v>-0.98350000000002002</v>
      </c>
      <c r="AF3435">
        <v>0.95281636438345196</v>
      </c>
      <c r="AG3435">
        <v>-1.121399725097</v>
      </c>
      <c r="AH3435">
        <v>16.6887882714373</v>
      </c>
      <c r="AI3435">
        <v>93.837968100134304</v>
      </c>
      <c r="AJ3435">
        <v>86.732347840006</v>
      </c>
      <c r="AK3435">
        <v>16.753538442267899</v>
      </c>
      <c r="AL3435">
        <v>94.902577819769107</v>
      </c>
      <c r="AM3435">
        <v>89.772538525531999</v>
      </c>
      <c r="AN3435">
        <v>0.99999999926283301</v>
      </c>
    </row>
    <row r="3436" spans="1:40" x14ac:dyDescent="0.25">
      <c r="A3436" t="str">
        <f>"20190303154836217"</f>
        <v>20190303154836217</v>
      </c>
      <c r="B3436" t="str">
        <f>"1551599316214077"</f>
        <v>1551599316214077</v>
      </c>
      <c r="C3436" t="s">
        <v>40</v>
      </c>
      <c r="D3436">
        <v>5.5635500000000002</v>
      </c>
      <c r="E3436">
        <v>0.5194474</v>
      </c>
      <c r="F3436" t="s">
        <v>54</v>
      </c>
      <c r="G3436">
        <v>-400.97559999999999</v>
      </c>
      <c r="H3436" s="1">
        <v>8.0748029999999992E-6</v>
      </c>
      <c r="I3436">
        <v>214.10720000000001</v>
      </c>
      <c r="J3436">
        <v>-417.04450000000003</v>
      </c>
      <c r="K3436">
        <v>1.1214200000000001</v>
      </c>
      <c r="L3436">
        <v>215.0395</v>
      </c>
      <c r="M3436">
        <v>0.99992369999999997</v>
      </c>
      <c r="N3436">
        <v>-1.2344529999999999E-2</v>
      </c>
      <c r="O3436">
        <v>-5.848184E-4</v>
      </c>
      <c r="P3436">
        <v>0.99499599999999999</v>
      </c>
      <c r="Q3436">
        <v>-9.9804509999999999E-2</v>
      </c>
      <c r="R3436">
        <v>-4.6887600000000001E-3</v>
      </c>
      <c r="S3436">
        <v>2.993347</v>
      </c>
      <c r="T3436">
        <v>-0.20549829999999999</v>
      </c>
      <c r="U3436">
        <v>-0.17073060000000001</v>
      </c>
      <c r="V3436">
        <v>4.2646639999999996E-3</v>
      </c>
      <c r="W3436">
        <v>-8.750658E-2</v>
      </c>
      <c r="X3436">
        <v>0.99615480000000001</v>
      </c>
      <c r="Y3436">
        <v>5.6205440000000002E-2</v>
      </c>
      <c r="Z3436">
        <v>-2.2403000000000002E-3</v>
      </c>
      <c r="AA3436">
        <v>0.99841670000000005</v>
      </c>
      <c r="AB3436">
        <v>28</v>
      </c>
      <c r="AC3436">
        <v>16.068899999999999</v>
      </c>
      <c r="AD3436">
        <v>-1.1214119251970001</v>
      </c>
      <c r="AE3436">
        <v>-0.93229999999999802</v>
      </c>
      <c r="AF3436">
        <v>0.91844362357888898</v>
      </c>
      <c r="AG3436">
        <v>-1.1214119251970001</v>
      </c>
      <c r="AH3436">
        <v>15.9918184457372</v>
      </c>
      <c r="AI3436">
        <v>94.004671157437699</v>
      </c>
      <c r="AJ3436">
        <v>86.712994222852998</v>
      </c>
      <c r="AK3436">
        <v>16.057377139404998</v>
      </c>
      <c r="AL3436">
        <v>95.020178653843303</v>
      </c>
      <c r="AM3436">
        <v>89.7547110595101</v>
      </c>
      <c r="AN3436">
        <v>0.99999998723268402</v>
      </c>
    </row>
    <row r="3437" spans="1:40" x14ac:dyDescent="0.25">
      <c r="A3437" t="str">
        <f>"20190303154836241"</f>
        <v>20190303154836241</v>
      </c>
      <c r="B3437" t="str">
        <f>"1551599316234573"</f>
        <v>1551599316234573</v>
      </c>
      <c r="C3437" t="s">
        <v>40</v>
      </c>
      <c r="D3437">
        <v>5.6057519999999998</v>
      </c>
      <c r="E3437">
        <v>0.51966970000000001</v>
      </c>
      <c r="F3437" t="s">
        <v>54</v>
      </c>
      <c r="G3437">
        <v>-401.14179999999999</v>
      </c>
      <c r="H3437" s="1">
        <v>7.9932830000000004E-6</v>
      </c>
      <c r="I3437">
        <v>214.14519999999999</v>
      </c>
      <c r="J3437">
        <v>-416.75799999999998</v>
      </c>
      <c r="K3437">
        <v>1.1214309999999901</v>
      </c>
      <c r="L3437">
        <v>215.04060000000001</v>
      </c>
      <c r="M3437">
        <v>0.99992250000000005</v>
      </c>
      <c r="N3437">
        <v>-1.2453489999999999E-2</v>
      </c>
      <c r="O3437">
        <v>4.722525E-4</v>
      </c>
      <c r="P3437">
        <v>0.99497429999999998</v>
      </c>
      <c r="Q3437">
        <v>-0.10007530000000001</v>
      </c>
      <c r="R3437">
        <v>-3.3723199999999998E-3</v>
      </c>
      <c r="S3437">
        <v>2.9931030000000001</v>
      </c>
      <c r="T3437">
        <v>-0.21106459999999999</v>
      </c>
      <c r="U3437">
        <v>-0.16833499999999901</v>
      </c>
      <c r="V3437">
        <v>3.9995480000000003E-3</v>
      </c>
      <c r="W3437">
        <v>-8.7669650000000002E-2</v>
      </c>
      <c r="X3437">
        <v>0.99614159999999996</v>
      </c>
      <c r="Y3437">
        <v>5.6458399999999999E-2</v>
      </c>
      <c r="Z3437">
        <v>-2.3663239999999999E-3</v>
      </c>
      <c r="AA3437">
        <v>0.99840209999999996</v>
      </c>
      <c r="AB3437">
        <v>28</v>
      </c>
      <c r="AC3437">
        <v>15.616199999999999</v>
      </c>
      <c r="AD3437">
        <v>-1.1214230067169999</v>
      </c>
      <c r="AE3437">
        <v>-0.89540000000002296</v>
      </c>
      <c r="AF3437">
        <v>0.89815872856943002</v>
      </c>
      <c r="AG3437">
        <v>-1.1214230067169999</v>
      </c>
      <c r="AH3437">
        <v>15.535920807637501</v>
      </c>
      <c r="AI3437">
        <v>94.121738957807096</v>
      </c>
      <c r="AJ3437">
        <v>86.691313686178404</v>
      </c>
      <c r="AK3437">
        <v>15.602215035144299</v>
      </c>
      <c r="AL3437">
        <v>95.029557729992504</v>
      </c>
      <c r="AM3437">
        <v>89.769956410823198</v>
      </c>
      <c r="AN3437">
        <v>1.00000002558294</v>
      </c>
    </row>
    <row r="3438" spans="1:40" x14ac:dyDescent="0.25">
      <c r="A3438" t="str">
        <f>"20190303154836272"</f>
        <v>20190303154836272</v>
      </c>
      <c r="B3438" t="str">
        <f>"1551599316264830"</f>
        <v>1551599316264830</v>
      </c>
      <c r="C3438" t="s">
        <v>40</v>
      </c>
      <c r="D3438">
        <v>5.6684970000000003</v>
      </c>
      <c r="E3438">
        <v>0.51984240000000004</v>
      </c>
      <c r="F3438" t="s">
        <v>42</v>
      </c>
      <c r="G3438">
        <v>-415.7783</v>
      </c>
      <c r="H3438">
        <v>1.0523469999999999</v>
      </c>
      <c r="I3438">
        <v>214.98599999999999</v>
      </c>
      <c r="J3438">
        <v>-416.36520000000002</v>
      </c>
      <c r="K3438">
        <v>1.1214329999999999</v>
      </c>
      <c r="L3438">
        <v>215.04249999999999</v>
      </c>
      <c r="M3438">
        <v>0.99991920000000001</v>
      </c>
      <c r="N3438">
        <v>-1.2569779999999999E-2</v>
      </c>
      <c r="O3438">
        <v>1.8834920000000001E-3</v>
      </c>
      <c r="P3438">
        <v>0.99536860000000005</v>
      </c>
      <c r="Q3438">
        <v>-9.6124260000000003E-2</v>
      </c>
      <c r="R3438">
        <v>-1.2784859999999999E-3</v>
      </c>
      <c r="S3438">
        <v>2.993347</v>
      </c>
      <c r="T3438">
        <v>-0.21118580000000001</v>
      </c>
      <c r="U3438">
        <v>-0.16600039999999999</v>
      </c>
      <c r="V3438">
        <v>3.3005030000000002E-3</v>
      </c>
      <c r="W3438">
        <v>-8.359946E-2</v>
      </c>
      <c r="X3438">
        <v>0.99649399999999999</v>
      </c>
      <c r="Y3438">
        <v>5.708208E-2</v>
      </c>
      <c r="Z3438">
        <v>-2.4781349999999998E-3</v>
      </c>
      <c r="AA3438">
        <v>0.99836639999999999</v>
      </c>
      <c r="AB3438">
        <v>28</v>
      </c>
      <c r="AC3438">
        <v>0.58690000000001397</v>
      </c>
      <c r="AD3438">
        <v>-6.9085999999999897E-2</v>
      </c>
      <c r="AE3438">
        <v>-5.6499999999999703E-2</v>
      </c>
      <c r="AF3438">
        <v>5.6825242918184402E-2</v>
      </c>
      <c r="AG3438">
        <v>-6.9085999999999897E-2</v>
      </c>
      <c r="AH3438">
        <v>0.578845442730755</v>
      </c>
      <c r="AI3438">
        <v>96.773876658502502</v>
      </c>
      <c r="AJ3438">
        <v>84.393240098630997</v>
      </c>
      <c r="AK3438">
        <v>0.58571668082689499</v>
      </c>
      <c r="AL3438">
        <v>94.795493042281393</v>
      </c>
      <c r="AM3438">
        <v>89.810230467343999</v>
      </c>
      <c r="AN3438">
        <v>1.0000000275341701</v>
      </c>
    </row>
    <row r="3439" spans="1:40" x14ac:dyDescent="0.25">
      <c r="A3439" t="str">
        <f>"20190303154836297"</f>
        <v>20190303154836297</v>
      </c>
      <c r="B3439" t="str">
        <f>"1551599316284350"</f>
        <v>1551599316284350</v>
      </c>
      <c r="C3439" t="s">
        <v>40</v>
      </c>
      <c r="D3439">
        <v>5.641648</v>
      </c>
      <c r="E3439">
        <v>0.51986750000000004</v>
      </c>
      <c r="F3439" t="s">
        <v>52</v>
      </c>
      <c r="G3439">
        <v>-399.28590000000003</v>
      </c>
      <c r="H3439" s="1">
        <v>3.4047159999999998E-6</v>
      </c>
      <c r="I3439">
        <v>214.1232</v>
      </c>
      <c r="J3439">
        <v>-416.0754</v>
      </c>
      <c r="K3439">
        <v>1.1214150000000001</v>
      </c>
      <c r="L3439">
        <v>215.04419999999999</v>
      </c>
      <c r="M3439">
        <v>0.99991609999999997</v>
      </c>
      <c r="N3439">
        <v>-1.263251E-2</v>
      </c>
      <c r="O3439">
        <v>2.8989279999999998E-3</v>
      </c>
      <c r="P3439">
        <v>0.99545159999999999</v>
      </c>
      <c r="Q3439">
        <v>-9.5267270000000001E-2</v>
      </c>
      <c r="R3439">
        <v>-6.4076789999999997E-4</v>
      </c>
      <c r="S3439">
        <v>2.99472</v>
      </c>
      <c r="T3439">
        <v>-0.1966339</v>
      </c>
      <c r="U3439">
        <v>-0.1611938</v>
      </c>
      <c r="V3439">
        <v>3.6691779999999999E-3</v>
      </c>
      <c r="W3439">
        <v>-8.2678500000000002E-2</v>
      </c>
      <c r="X3439">
        <v>0.9965695</v>
      </c>
      <c r="Y3439">
        <v>5.6494139999999998E-2</v>
      </c>
      <c r="Z3439">
        <v>-2.3623810000000002E-3</v>
      </c>
      <c r="AA3439">
        <v>0.99840019999999996</v>
      </c>
      <c r="AB3439">
        <v>28</v>
      </c>
      <c r="AC3439">
        <v>16.789499999999901</v>
      </c>
      <c r="AD3439">
        <v>-1.121411595284</v>
      </c>
      <c r="AE3439">
        <v>-0.92099999999999205</v>
      </c>
      <c r="AF3439">
        <v>0.96537770979368998</v>
      </c>
      <c r="AG3439">
        <v>-1.121411595284</v>
      </c>
      <c r="AH3439">
        <v>16.712425035885101</v>
      </c>
      <c r="AI3439">
        <v>93.832449878045395</v>
      </c>
      <c r="AJ3439">
        <v>86.694036236185795</v>
      </c>
      <c r="AK3439">
        <v>16.777802855817601</v>
      </c>
      <c r="AL3439">
        <v>94.742542817041993</v>
      </c>
      <c r="AM3439">
        <v>89.789048868384995</v>
      </c>
      <c r="AN3439">
        <v>0.99999998277984703</v>
      </c>
    </row>
    <row r="3440" spans="1:40" x14ac:dyDescent="0.25">
      <c r="A3440" t="str">
        <f>"20190303154836318"</f>
        <v>20190303154836318</v>
      </c>
      <c r="B3440" t="str">
        <f>"1551599316314606"</f>
        <v>1551599316314606</v>
      </c>
      <c r="C3440" t="s">
        <v>40</v>
      </c>
      <c r="D3440">
        <v>5.702356</v>
      </c>
      <c r="E3440">
        <v>0.52014919999999998</v>
      </c>
      <c r="F3440" t="s">
        <v>52</v>
      </c>
      <c r="G3440">
        <v>-398.73970000000003</v>
      </c>
      <c r="H3440" s="1">
        <v>3.1140530000000002E-6</v>
      </c>
      <c r="I3440">
        <v>214.12039999999999</v>
      </c>
      <c r="J3440">
        <v>-415.80709999999999</v>
      </c>
      <c r="K3440">
        <v>1.1213740000000001</v>
      </c>
      <c r="L3440">
        <v>215.0461</v>
      </c>
      <c r="M3440">
        <v>0.99991260000000004</v>
      </c>
      <c r="N3440">
        <v>-1.267134E-2</v>
      </c>
      <c r="O3440">
        <v>3.7963929999999999E-3</v>
      </c>
      <c r="P3440">
        <v>0.99532140000000002</v>
      </c>
      <c r="Q3440">
        <v>-9.6620869999999998E-2</v>
      </c>
      <c r="R3440">
        <v>-2.5107919999999999E-4</v>
      </c>
      <c r="S3440">
        <v>2.9950559999999999</v>
      </c>
      <c r="T3440">
        <v>-0.19374449999999999</v>
      </c>
      <c r="U3440">
        <v>-0.1596069</v>
      </c>
      <c r="V3440">
        <v>4.1693559999999999E-3</v>
      </c>
      <c r="W3440">
        <v>-8.3994340000000001E-2</v>
      </c>
      <c r="X3440">
        <v>0.9964575</v>
      </c>
      <c r="Y3440">
        <v>5.6858609999999997E-2</v>
      </c>
      <c r="Z3440">
        <v>-2.3939019999999998E-3</v>
      </c>
      <c r="AA3440">
        <v>0.99837929999999997</v>
      </c>
      <c r="AB3440">
        <v>27</v>
      </c>
      <c r="AC3440">
        <v>17.0673999999999</v>
      </c>
      <c r="AD3440">
        <v>-1.121370885947</v>
      </c>
      <c r="AE3440">
        <v>-0.92570000000000596</v>
      </c>
      <c r="AF3440">
        <v>0.98624811564541104</v>
      </c>
      <c r="AG3440">
        <v>-1.121370885947</v>
      </c>
      <c r="AH3440">
        <v>16.990632035693</v>
      </c>
      <c r="AI3440">
        <v>93.769681517368099</v>
      </c>
      <c r="AJ3440">
        <v>86.677903653254205</v>
      </c>
      <c r="AK3440">
        <v>17.056134819524001</v>
      </c>
      <c r="AL3440">
        <v>94.818198031822405</v>
      </c>
      <c r="AM3440">
        <v>89.7602656329924</v>
      </c>
      <c r="AN3440">
        <v>0.99999999099387005</v>
      </c>
    </row>
    <row r="3441" spans="1:40" x14ac:dyDescent="0.25">
      <c r="A3441" t="str">
        <f>"20190303154836343"</f>
        <v>20190303154836343</v>
      </c>
      <c r="B3441" t="str">
        <f>"1551599316334126"</f>
        <v>1551599316334126</v>
      </c>
      <c r="C3441" t="s">
        <v>40</v>
      </c>
      <c r="D3441">
        <v>5.7057039999999999</v>
      </c>
      <c r="E3441">
        <v>0.52024950000000003</v>
      </c>
      <c r="F3441" t="s">
        <v>52</v>
      </c>
      <c r="G3441">
        <v>-398.72109999999998</v>
      </c>
      <c r="H3441" s="1">
        <v>3.1041340000000002E-6</v>
      </c>
      <c r="I3441">
        <v>214.1292</v>
      </c>
      <c r="J3441">
        <v>-415.5093</v>
      </c>
      <c r="K3441">
        <v>1.1213059999999999</v>
      </c>
      <c r="L3441">
        <v>215.04830000000001</v>
      </c>
      <c r="M3441">
        <v>0.99990840000000003</v>
      </c>
      <c r="N3441">
        <v>-1.2695929999999999E-2</v>
      </c>
      <c r="O3441">
        <v>4.7099569999999999E-3</v>
      </c>
      <c r="P3441">
        <v>0.9950696</v>
      </c>
      <c r="Q3441">
        <v>-9.918109E-2</v>
      </c>
      <c r="R3441">
        <v>-3.3074269999999999E-4</v>
      </c>
      <c r="S3441">
        <v>2.9950260000000002</v>
      </c>
      <c r="T3441">
        <v>-0.19656570000000001</v>
      </c>
      <c r="U3441">
        <v>-0.1607208</v>
      </c>
      <c r="V3441">
        <v>5.1502989999999997E-3</v>
      </c>
      <c r="W3441">
        <v>-8.6532150000000002E-2</v>
      </c>
      <c r="X3441">
        <v>0.99623569999999995</v>
      </c>
      <c r="Y3441">
        <v>5.8132950000000003E-2</v>
      </c>
      <c r="Z3441">
        <v>-2.5228870000000001E-3</v>
      </c>
      <c r="AA3441">
        <v>0.99830569999999996</v>
      </c>
      <c r="AB3441">
        <v>27</v>
      </c>
      <c r="AC3441">
        <v>16.7882</v>
      </c>
      <c r="AD3441">
        <v>-1.1213028958659901</v>
      </c>
      <c r="AE3441">
        <v>-0.91910000000001402</v>
      </c>
      <c r="AF3441">
        <v>0.99374795297477903</v>
      </c>
      <c r="AG3441">
        <v>-1.1213028958659901</v>
      </c>
      <c r="AH3441">
        <v>16.709365828451801</v>
      </c>
      <c r="AI3441">
        <v>93.832397638071896</v>
      </c>
      <c r="AJ3441">
        <v>86.596485031836707</v>
      </c>
      <c r="AK3441">
        <v>16.7764049059193</v>
      </c>
      <c r="AL3441">
        <v>94.964135494904397</v>
      </c>
      <c r="AM3441">
        <v>89.703797236868795</v>
      </c>
      <c r="AN3441">
        <v>0.99999995425894905</v>
      </c>
    </row>
    <row r="3442" spans="1:40" x14ac:dyDescent="0.25">
      <c r="A3442" t="str">
        <f>"20190303154836364"</f>
        <v>20190303154836364</v>
      </c>
      <c r="B3442" t="str">
        <f>"1551599316354622"</f>
        <v>1551599316354622</v>
      </c>
      <c r="C3442" t="s">
        <v>40</v>
      </c>
      <c r="D3442">
        <v>5.6876709999999999</v>
      </c>
      <c r="E3442">
        <v>0.5204917</v>
      </c>
      <c r="F3442" t="s">
        <v>52</v>
      </c>
      <c r="G3442">
        <v>-398.90570000000002</v>
      </c>
      <c r="H3442" s="1">
        <v>3.202391E-6</v>
      </c>
      <c r="I3442">
        <v>214.15190000000001</v>
      </c>
      <c r="J3442">
        <v>-415.24250000000001</v>
      </c>
      <c r="K3442">
        <v>1.121221</v>
      </c>
      <c r="L3442">
        <v>215.0505</v>
      </c>
      <c r="M3442">
        <v>0.99990460000000003</v>
      </c>
      <c r="N3442">
        <v>-1.2703290000000001E-2</v>
      </c>
      <c r="O3442">
        <v>5.4276089999999999E-3</v>
      </c>
      <c r="P3442">
        <v>0.99489360000000004</v>
      </c>
      <c r="Q3442">
        <v>-0.1009245</v>
      </c>
      <c r="R3442">
        <v>-7.8366860000000005E-4</v>
      </c>
      <c r="S3442">
        <v>2.9946899999999999</v>
      </c>
      <c r="T3442">
        <v>-0.20224259999999999</v>
      </c>
      <c r="U3442">
        <v>-0.1616821</v>
      </c>
      <c r="V3442">
        <v>6.3037500000000003E-3</v>
      </c>
      <c r="W3442">
        <v>-8.8269730000000005E-2</v>
      </c>
      <c r="X3442">
        <v>0.99607659999999998</v>
      </c>
      <c r="Y3442">
        <v>5.9162550000000001E-2</v>
      </c>
      <c r="Z3442">
        <v>-2.6676310000000002E-3</v>
      </c>
      <c r="AA3442">
        <v>0.99824480000000004</v>
      </c>
      <c r="AB3442">
        <v>27</v>
      </c>
      <c r="AC3442">
        <v>16.336799999999901</v>
      </c>
      <c r="AD3442">
        <v>-1.1212177976090001</v>
      </c>
      <c r="AE3442">
        <v>-0.89859999999998696</v>
      </c>
      <c r="AF3442">
        <v>0.982649095090673</v>
      </c>
      <c r="AG3442">
        <v>-1.1212177976090001</v>
      </c>
      <c r="AH3442">
        <v>16.255345541984902</v>
      </c>
      <c r="AI3442">
        <v>93.938578581177396</v>
      </c>
      <c r="AJ3442">
        <v>86.540632455914206</v>
      </c>
      <c r="AK3442">
        <v>16.3235715235082</v>
      </c>
      <c r="AL3442">
        <v>95.064074039558193</v>
      </c>
      <c r="AM3442">
        <v>89.637403942246095</v>
      </c>
      <c r="AN3442">
        <v>0.99999993778294505</v>
      </c>
    </row>
    <row r="3443" spans="1:40" x14ac:dyDescent="0.25">
      <c r="A3443" t="str">
        <f>"20190303154836495"</f>
        <v>20190303154836495</v>
      </c>
      <c r="B3443" t="str">
        <f>"1551599316484430"</f>
        <v>1551599316484430</v>
      </c>
      <c r="C3443" t="s">
        <v>40</v>
      </c>
      <c r="D3443">
        <v>4.2625849999999996</v>
      </c>
      <c r="E3443">
        <v>0.53424050000000001</v>
      </c>
      <c r="F3443" t="s">
        <v>52</v>
      </c>
      <c r="G3443">
        <v>-399.0917</v>
      </c>
      <c r="H3443" s="1">
        <v>3.3013480000000001E-6</v>
      </c>
      <c r="I3443">
        <v>214.16059999999999</v>
      </c>
      <c r="J3443">
        <v>-413.6293</v>
      </c>
      <c r="K3443">
        <v>1.1206290000000001</v>
      </c>
      <c r="L3443">
        <v>215.06379999999999</v>
      </c>
      <c r="M3443">
        <v>0.9998937</v>
      </c>
      <c r="N3443">
        <v>-1.2597250000000001E-2</v>
      </c>
      <c r="O3443">
        <v>7.3391259999999996E-3</v>
      </c>
      <c r="P3443">
        <v>0.99464189999999997</v>
      </c>
      <c r="Q3443">
        <v>-0.1018105</v>
      </c>
      <c r="R3443">
        <v>1.7948120000000001E-2</v>
      </c>
      <c r="S3443">
        <v>2.994202</v>
      </c>
      <c r="T3443">
        <v>-0.2078623</v>
      </c>
      <c r="U3443">
        <v>-0.16496279999999999</v>
      </c>
      <c r="V3443">
        <v>-1.064763E-2</v>
      </c>
      <c r="W3443">
        <v>-8.9271299999999998E-2</v>
      </c>
      <c r="X3443">
        <v>0.99595049999999996</v>
      </c>
      <c r="Y3443">
        <v>6.2149629999999997E-2</v>
      </c>
      <c r="Z3443">
        <v>-2.9615959999999999E-3</v>
      </c>
      <c r="AA3443">
        <v>0.99806240000000002</v>
      </c>
      <c r="AB3443">
        <v>27</v>
      </c>
      <c r="AC3443">
        <v>14.5375999999999</v>
      </c>
      <c r="AD3443">
        <v>-1.120625698652</v>
      </c>
      <c r="AE3443">
        <v>-0.903199999999998</v>
      </c>
      <c r="AF3443">
        <v>1.0039349321222399</v>
      </c>
      <c r="AG3443">
        <v>-1.120625698652</v>
      </c>
      <c r="AH3443">
        <v>14.445075979098901</v>
      </c>
      <c r="AI3443">
        <v>94.425396636983606</v>
      </c>
      <c r="AJ3443">
        <v>86.024327756366304</v>
      </c>
      <c r="AK3443">
        <v>14.523219592995</v>
      </c>
      <c r="AL3443">
        <v>95.121686562978894</v>
      </c>
      <c r="AM3443">
        <v>90.612521425321702</v>
      </c>
      <c r="AN3443">
        <v>1.00000006773927</v>
      </c>
    </row>
    <row r="3444" spans="1:40" x14ac:dyDescent="0.25">
      <c r="A3444" t="str">
        <f>"20190303154836520"</f>
        <v>20190303154836520</v>
      </c>
      <c r="B3444" t="str">
        <f>"1551599316514438"</f>
        <v>1551599316514438</v>
      </c>
      <c r="C3444" t="s">
        <v>40</v>
      </c>
      <c r="D3444">
        <v>5.5402170000000002</v>
      </c>
      <c r="E3444">
        <v>0.56703709999999996</v>
      </c>
      <c r="F3444" t="s">
        <v>52</v>
      </c>
      <c r="G3444">
        <v>-395.37979999999999</v>
      </c>
      <c r="H3444" s="1">
        <v>1.326072E-6</v>
      </c>
      <c r="I3444">
        <v>213.7458</v>
      </c>
      <c r="J3444">
        <v>-413.33909999999997</v>
      </c>
      <c r="K3444">
        <v>1.12052</v>
      </c>
      <c r="L3444">
        <v>215.0658</v>
      </c>
      <c r="M3444">
        <v>0.99989530000000004</v>
      </c>
      <c r="N3444">
        <v>-1.256618E-2</v>
      </c>
      <c r="O3444">
        <v>7.1829729999999996E-3</v>
      </c>
      <c r="P3444">
        <v>0.99467439999999996</v>
      </c>
      <c r="Q3444">
        <v>-0.1013517</v>
      </c>
      <c r="R3444">
        <v>1.8737899999999998E-2</v>
      </c>
      <c r="S3444">
        <v>3.0012819999999998</v>
      </c>
      <c r="T3444">
        <v>-0.1842965</v>
      </c>
      <c r="U3444">
        <v>-0.2167511</v>
      </c>
      <c r="V3444">
        <v>-1.161498E-2</v>
      </c>
      <c r="W3444">
        <v>-8.8840089999999997E-2</v>
      </c>
      <c r="X3444">
        <v>0.99597820000000004</v>
      </c>
      <c r="Y3444">
        <v>7.9007859999999999E-2</v>
      </c>
      <c r="Z3444">
        <v>-3.268029E-3</v>
      </c>
      <c r="AA3444">
        <v>0.99686859999999999</v>
      </c>
      <c r="AB3444">
        <v>27</v>
      </c>
      <c r="AC3444">
        <v>17.959299999999899</v>
      </c>
      <c r="AD3444">
        <v>-1.120518673928</v>
      </c>
      <c r="AE3444">
        <v>-1.3199999999999901</v>
      </c>
      <c r="AF3444">
        <v>1.4433886895373</v>
      </c>
      <c r="AG3444">
        <v>-1.120518673928</v>
      </c>
      <c r="AH3444">
        <v>17.8801250145419</v>
      </c>
      <c r="AI3444">
        <v>93.574347641098896</v>
      </c>
      <c r="AJ3444">
        <v>85.384756189071794</v>
      </c>
      <c r="AK3444">
        <v>17.9732524475498</v>
      </c>
      <c r="AL3444">
        <v>95.096881725267195</v>
      </c>
      <c r="AM3444">
        <v>90.668146317715198</v>
      </c>
      <c r="AN3444">
        <v>1.00000002211342</v>
      </c>
    </row>
    <row r="3445" spans="1:40" x14ac:dyDescent="0.25">
      <c r="A3445" t="str">
        <f>"20190303154836566"</f>
        <v>20190303154836566</v>
      </c>
      <c r="B3445" t="str">
        <f>"1551599316554453"</f>
        <v>1551599316554453</v>
      </c>
      <c r="C3445" t="s">
        <v>40</v>
      </c>
      <c r="D3445">
        <v>5.6962010000000003</v>
      </c>
      <c r="E3445">
        <v>0.54959690000000005</v>
      </c>
      <c r="F3445" t="s">
        <v>42</v>
      </c>
      <c r="G3445">
        <v>-412.68310000000002</v>
      </c>
      <c r="H3445">
        <v>0.86045339999999904</v>
      </c>
      <c r="I3445">
        <v>214.9538</v>
      </c>
      <c r="J3445">
        <v>-412.77780000000001</v>
      </c>
      <c r="K3445">
        <v>1.1203430000000001</v>
      </c>
      <c r="L3445">
        <v>215.06909999999999</v>
      </c>
      <c r="M3445">
        <v>0.99990080000000003</v>
      </c>
      <c r="N3445">
        <v>-1.251006E-2</v>
      </c>
      <c r="O3445">
        <v>6.4863100000000003E-3</v>
      </c>
      <c r="P3445">
        <v>0.99488889999999996</v>
      </c>
      <c r="Q3445">
        <v>-9.9609110000000001E-2</v>
      </c>
      <c r="R3445">
        <v>1.656289E-2</v>
      </c>
      <c r="S3445">
        <v>2.9079280000000001</v>
      </c>
      <c r="T3445">
        <v>-1.152925</v>
      </c>
      <c r="U3445">
        <v>-0.49542239999999999</v>
      </c>
      <c r="V3445">
        <v>-1.016942E-2</v>
      </c>
      <c r="W3445">
        <v>-8.7147059999999998E-2</v>
      </c>
      <c r="X3445">
        <v>0.99614360000000002</v>
      </c>
      <c r="Y3445">
        <v>0.161574</v>
      </c>
      <c r="Z3445">
        <v>-3.4103080000000001E-2</v>
      </c>
      <c r="AA3445">
        <v>0.98627120000000001</v>
      </c>
      <c r="AB3445">
        <v>27</v>
      </c>
      <c r="AC3445">
        <v>9.4699999999988904E-2</v>
      </c>
      <c r="AD3445">
        <v>-0.2598896</v>
      </c>
      <c r="AE3445">
        <v>-0.11529999999998999</v>
      </c>
      <c r="AF3445">
        <v>2.8734004144510501E-2</v>
      </c>
      <c r="AG3445">
        <v>-0.2598896</v>
      </c>
      <c r="AH3445">
        <v>2.3289778559527401E-2</v>
      </c>
      <c r="AI3445">
        <v>171.90011146858899</v>
      </c>
      <c r="AJ3445">
        <v>39.025811547042601</v>
      </c>
      <c r="AK3445">
        <v>0.262508401708761</v>
      </c>
      <c r="AL3445">
        <v>94.999500367001801</v>
      </c>
      <c r="AM3445">
        <v>90.584900214894603</v>
      </c>
      <c r="AN3445">
        <v>1.00000004949536</v>
      </c>
    </row>
    <row r="3446" spans="1:40" x14ac:dyDescent="0.25">
      <c r="A3446" t="str">
        <f>"20190303154836585"</f>
        <v>20190303154836585</v>
      </c>
      <c r="B3446" t="str">
        <f>"1551599316573973"</f>
        <v>1551599316573973</v>
      </c>
      <c r="C3446" t="s">
        <v>40</v>
      </c>
      <c r="D3446">
        <v>5.6360250000000001</v>
      </c>
      <c r="E3446">
        <v>0.54372779999999998</v>
      </c>
      <c r="F3446" t="s">
        <v>42</v>
      </c>
      <c r="G3446">
        <v>-411.85919999999999</v>
      </c>
      <c r="H3446">
        <v>1.0463990000000001</v>
      </c>
      <c r="I3446">
        <v>214.9633</v>
      </c>
      <c r="J3446">
        <v>-412.52440000000001</v>
      </c>
      <c r="K3446">
        <v>1.1202840000000001</v>
      </c>
      <c r="L3446">
        <v>215.0703</v>
      </c>
      <c r="M3446">
        <v>0.99990369999999995</v>
      </c>
      <c r="N3446">
        <v>-1.248759E-2</v>
      </c>
      <c r="O3446">
        <v>6.0571849999999997E-3</v>
      </c>
      <c r="P3446">
        <v>0.99498220000000004</v>
      </c>
      <c r="Q3446">
        <v>-9.9100560000000004E-2</v>
      </c>
      <c r="R3446">
        <v>1.3766799999999999E-2</v>
      </c>
      <c r="S3446">
        <v>2.9969790000000001</v>
      </c>
      <c r="T3446">
        <v>-0.24130399999999999</v>
      </c>
      <c r="U3446">
        <v>-0.3447113</v>
      </c>
      <c r="V3446">
        <v>-7.8123079999999996E-3</v>
      </c>
      <c r="W3446">
        <v>-8.6660559999999998E-2</v>
      </c>
      <c r="X3446">
        <v>0.99620719999999996</v>
      </c>
      <c r="Y3446">
        <v>0.1198253</v>
      </c>
      <c r="Z3446">
        <v>-5.9624780000000002E-3</v>
      </c>
      <c r="AA3446">
        <v>0.99277709999999997</v>
      </c>
      <c r="AB3446">
        <v>27</v>
      </c>
      <c r="AC3446">
        <v>0.66520000000002699</v>
      </c>
      <c r="AD3446">
        <v>-7.3884999999999895E-2</v>
      </c>
      <c r="AE3446">
        <v>-0.106999999999999</v>
      </c>
      <c r="AF3446">
        <v>0.109708260505544</v>
      </c>
      <c r="AG3446">
        <v>-7.3884999999999895E-2</v>
      </c>
      <c r="AH3446">
        <v>0.656642967164624</v>
      </c>
      <c r="AI3446">
        <v>96.332827496518505</v>
      </c>
      <c r="AJ3446">
        <v>80.514946675508099</v>
      </c>
      <c r="AK3446">
        <v>0.66983198040621605</v>
      </c>
      <c r="AL3446">
        <v>94.9715206841678</v>
      </c>
      <c r="AM3446">
        <v>90.449307233752194</v>
      </c>
      <c r="AN3446">
        <v>0.99999993507381801</v>
      </c>
    </row>
    <row r="3447" spans="1:40" x14ac:dyDescent="0.25">
      <c r="A3447" t="str">
        <f>"20190303154836608"</f>
        <v>20190303154836608</v>
      </c>
      <c r="B3447" t="str">
        <f>"1551599316604230"</f>
        <v>1551599316604230</v>
      </c>
      <c r="C3447" t="s">
        <v>40</v>
      </c>
      <c r="D3447">
        <v>5.6022480000000003</v>
      </c>
      <c r="E3447">
        <v>0.54592929999999995</v>
      </c>
      <c r="F3447" t="s">
        <v>42</v>
      </c>
      <c r="G3447">
        <v>-411.61790000000002</v>
      </c>
      <c r="H3447">
        <v>1.0433969999999999</v>
      </c>
      <c r="I3447">
        <v>214.97710000000001</v>
      </c>
      <c r="J3447">
        <v>-412.25630000000001</v>
      </c>
      <c r="K3447">
        <v>1.1202350000000001</v>
      </c>
      <c r="L3447">
        <v>215.07140000000001</v>
      </c>
      <c r="M3447">
        <v>0.99990699999999999</v>
      </c>
      <c r="N3447">
        <v>-1.2465779999999999E-2</v>
      </c>
      <c r="O3447">
        <v>5.5497350000000001E-3</v>
      </c>
      <c r="P3447">
        <v>0.99510030000000005</v>
      </c>
      <c r="Q3447">
        <v>-9.8317089999999996E-2</v>
      </c>
      <c r="R3447">
        <v>1.045973E-2</v>
      </c>
      <c r="S3447">
        <v>2.9940799999999999</v>
      </c>
      <c r="T3447">
        <v>-0.25407790000000002</v>
      </c>
      <c r="U3447">
        <v>-0.30657960000000001</v>
      </c>
      <c r="V3447">
        <v>-5.0189700000000002E-3</v>
      </c>
      <c r="W3447">
        <v>-8.5899439999999994E-2</v>
      </c>
      <c r="X3447">
        <v>0.99629120000000004</v>
      </c>
      <c r="Y3447">
        <v>0.1069311</v>
      </c>
      <c r="Z3447">
        <v>-5.5868419999999998E-3</v>
      </c>
      <c r="AA3447">
        <v>0.99425070000000004</v>
      </c>
      <c r="AB3447">
        <v>27</v>
      </c>
      <c r="AC3447">
        <v>0.63839999999998998</v>
      </c>
      <c r="AD3447">
        <v>-7.6838000000000101E-2</v>
      </c>
      <c r="AE3447">
        <v>-9.4300000000004006E-2</v>
      </c>
      <c r="AF3447">
        <v>9.6474035817231601E-2</v>
      </c>
      <c r="AG3447">
        <v>-7.6838000000000101E-2</v>
      </c>
      <c r="AH3447">
        <v>0.62894999868527002</v>
      </c>
      <c r="AI3447">
        <v>96.885490829578899</v>
      </c>
      <c r="AJ3447">
        <v>81.279424683833895</v>
      </c>
      <c r="AK3447">
        <v>0.64092855972960505</v>
      </c>
      <c r="AL3447">
        <v>94.927748020262399</v>
      </c>
      <c r="AM3447">
        <v>90.288633851156405</v>
      </c>
      <c r="AN3447">
        <v>1.0000000295247999</v>
      </c>
    </row>
    <row r="3448" spans="1:40" x14ac:dyDescent="0.25">
      <c r="A3448" t="str">
        <f>"20190303154836632"</f>
        <v>20190303154836632</v>
      </c>
      <c r="B3448" t="str">
        <f>"1551599316624726"</f>
        <v>1551599316624726</v>
      </c>
      <c r="C3448" t="s">
        <v>40</v>
      </c>
      <c r="D3448">
        <v>5.7488659999999996</v>
      </c>
      <c r="E3448">
        <v>0.54399900000000001</v>
      </c>
      <c r="F3448" t="s">
        <v>42</v>
      </c>
      <c r="G3448">
        <v>-411.38099999999997</v>
      </c>
      <c r="H3448">
        <v>1.0279339999999999</v>
      </c>
      <c r="I3448">
        <v>214.9727</v>
      </c>
      <c r="J3448">
        <v>-411.959</v>
      </c>
      <c r="K3448">
        <v>1.12019</v>
      </c>
      <c r="L3448">
        <v>215.07230000000001</v>
      </c>
      <c r="M3448">
        <v>0.99991050000000004</v>
      </c>
      <c r="N3448">
        <v>-1.244405E-2</v>
      </c>
      <c r="O3448">
        <v>4.9372210000000003E-3</v>
      </c>
      <c r="P3448">
        <v>0.99519230000000003</v>
      </c>
      <c r="Q3448">
        <v>-9.7690509999999994E-2</v>
      </c>
      <c r="R3448">
        <v>7.0127770000000004E-3</v>
      </c>
      <c r="S3448">
        <v>2.9872130000000001</v>
      </c>
      <c r="T3448">
        <v>-0.31503059999999899</v>
      </c>
      <c r="U3448">
        <v>-0.33532709999999999</v>
      </c>
      <c r="V3448">
        <v>-2.189557E-3</v>
      </c>
      <c r="W3448">
        <v>-8.5296170000000004E-2</v>
      </c>
      <c r="X3448">
        <v>0.99635320000000005</v>
      </c>
      <c r="Y3448">
        <v>0.1157281</v>
      </c>
      <c r="Z3448">
        <v>-7.2476679999999996E-3</v>
      </c>
      <c r="AA3448">
        <v>0.99325450000000004</v>
      </c>
      <c r="AB3448">
        <v>27</v>
      </c>
      <c r="AC3448">
        <v>0.57800000000003104</v>
      </c>
      <c r="AD3448">
        <v>-9.2255999999999894E-2</v>
      </c>
      <c r="AE3448">
        <v>-9.9600000000009403E-2</v>
      </c>
      <c r="AF3448">
        <v>9.9979090316403896E-2</v>
      </c>
      <c r="AG3448">
        <v>-9.2255999999999894E-2</v>
      </c>
      <c r="AH3448">
        <v>0.56355791612693196</v>
      </c>
      <c r="AI3448">
        <v>99.156516463032901</v>
      </c>
      <c r="AJ3448">
        <v>79.939999333384804</v>
      </c>
      <c r="AK3448">
        <v>0.57974521374982102</v>
      </c>
      <c r="AL3448">
        <v>94.893056184428303</v>
      </c>
      <c r="AM3448">
        <v>90.125911346652998</v>
      </c>
      <c r="AN3448">
        <v>0.99999996496338195</v>
      </c>
    </row>
    <row r="3449" spans="1:40" x14ac:dyDescent="0.25">
      <c r="A3449" t="str">
        <f>"20190303154836654"</f>
        <v>20190303154836654</v>
      </c>
      <c r="B3449" t="str">
        <f>"1551599316644246"</f>
        <v>1551599316644246</v>
      </c>
      <c r="C3449" t="s">
        <v>40</v>
      </c>
      <c r="D3449">
        <v>5.718127</v>
      </c>
      <c r="E3449">
        <v>0.5416493</v>
      </c>
      <c r="F3449" t="s">
        <v>42</v>
      </c>
      <c r="G3449">
        <v>-411.13690000000003</v>
      </c>
      <c r="H3449">
        <v>1.0265200000000001</v>
      </c>
      <c r="I3449">
        <v>214.98079999999999</v>
      </c>
      <c r="J3449">
        <v>-411.6979</v>
      </c>
      <c r="K3449">
        <v>1.120166</v>
      </c>
      <c r="L3449">
        <v>215.07300000000001</v>
      </c>
      <c r="M3449">
        <v>0.9999133</v>
      </c>
      <c r="N3449">
        <v>-1.2427199999999999E-2</v>
      </c>
      <c r="O3449">
        <v>4.3641979999999997E-3</v>
      </c>
      <c r="P3449">
        <v>0.99521110000000002</v>
      </c>
      <c r="Q3449">
        <v>-9.76239E-2</v>
      </c>
      <c r="R3449">
        <v>4.9434570000000001E-3</v>
      </c>
      <c r="S3449">
        <v>2.9834900000000002</v>
      </c>
      <c r="T3449">
        <v>-0.34000609999999998</v>
      </c>
      <c r="U3449">
        <v>-0.33073429999999998</v>
      </c>
      <c r="V3449">
        <v>-6.9584899999999904E-4</v>
      </c>
      <c r="W3449">
        <v>-8.5247799999999999E-2</v>
      </c>
      <c r="X3449">
        <v>0.99635949999999995</v>
      </c>
      <c r="Y3449">
        <v>0.113686999999999</v>
      </c>
      <c r="Z3449">
        <v>-7.5890630000000001E-3</v>
      </c>
      <c r="AA3449">
        <v>0.99348769999999997</v>
      </c>
      <c r="AB3449">
        <v>27</v>
      </c>
      <c r="AC3449">
        <v>0.56099999999997796</v>
      </c>
      <c r="AD3449">
        <v>-9.3645999999999896E-2</v>
      </c>
      <c r="AE3449">
        <v>-9.2199999999991095E-2</v>
      </c>
      <c r="AF3449">
        <v>9.21475030960969E-2</v>
      </c>
      <c r="AG3449">
        <v>-9.3645999999999896E-2</v>
      </c>
      <c r="AH3449">
        <v>0.54578416838218102</v>
      </c>
      <c r="AI3449">
        <v>99.602723761763002</v>
      </c>
      <c r="AJ3449">
        <v>80.416838479219905</v>
      </c>
      <c r="AK3449">
        <v>0.56137429055797905</v>
      </c>
      <c r="AL3449">
        <v>94.890274668787796</v>
      </c>
      <c r="AM3449">
        <v>90.040014878561706</v>
      </c>
      <c r="AN3449">
        <v>0.99999996242545897</v>
      </c>
    </row>
    <row r="3450" spans="1:40" x14ac:dyDescent="0.25">
      <c r="A3450" t="str">
        <f>"20190303154836677"</f>
        <v>20190303154836677</v>
      </c>
      <c r="B3450" t="str">
        <f>"1551599316674502"</f>
        <v>1551599316674502</v>
      </c>
      <c r="C3450" t="s">
        <v>40</v>
      </c>
      <c r="D3450">
        <v>5.7440309999999997</v>
      </c>
      <c r="E3450">
        <v>0.53973499999999996</v>
      </c>
      <c r="F3450" t="s">
        <v>42</v>
      </c>
      <c r="G3450">
        <v>-410.89420000000001</v>
      </c>
      <c r="H3450">
        <v>1.0223990000000001</v>
      </c>
      <c r="I3450">
        <v>214.98699999999999</v>
      </c>
      <c r="J3450">
        <v>-411.41539999999998</v>
      </c>
      <c r="K3450">
        <v>1.120147</v>
      </c>
      <c r="L3450">
        <v>215.0735</v>
      </c>
      <c r="M3450">
        <v>0.99991609999999997</v>
      </c>
      <c r="N3450">
        <v>-1.241108E-2</v>
      </c>
      <c r="O3450">
        <v>3.7157980000000002E-3</v>
      </c>
      <c r="P3450">
        <v>0.99524500000000005</v>
      </c>
      <c r="Q3450">
        <v>-9.7322430000000001E-2</v>
      </c>
      <c r="R3450">
        <v>3.9692149999999999E-3</v>
      </c>
      <c r="S3450">
        <v>2.9804379999999999</v>
      </c>
      <c r="T3450">
        <v>-0.36260629999999999</v>
      </c>
      <c r="U3450">
        <v>-0.31842039999999999</v>
      </c>
      <c r="V3450">
        <v>-3.7041389999999997E-4</v>
      </c>
      <c r="W3450">
        <v>-8.4962410000000002E-2</v>
      </c>
      <c r="X3450">
        <v>0.99638409999999999</v>
      </c>
      <c r="Y3450">
        <v>0.10902729999999999</v>
      </c>
      <c r="Z3450">
        <v>-7.6739039999999996E-3</v>
      </c>
      <c r="AA3450">
        <v>0.99400909999999998</v>
      </c>
      <c r="AB3450">
        <v>27</v>
      </c>
      <c r="AC3450">
        <v>0.52119999999996403</v>
      </c>
      <c r="AD3450">
        <v>-9.7747999999999904E-2</v>
      </c>
      <c r="AE3450">
        <v>-8.6500000000000896E-2</v>
      </c>
      <c r="AF3450">
        <v>8.5509246206838405E-2</v>
      </c>
      <c r="AG3450">
        <v>-9.7747999999999904E-2</v>
      </c>
      <c r="AH3450">
        <v>0.50363552718396998</v>
      </c>
      <c r="AI3450">
        <v>100.832407128128</v>
      </c>
      <c r="AJ3450">
        <v>80.363984284503601</v>
      </c>
      <c r="AK3450">
        <v>0.52011080255339504</v>
      </c>
      <c r="AL3450">
        <v>94.873863245594706</v>
      </c>
      <c r="AM3450">
        <v>90.021300171455195</v>
      </c>
      <c r="AN3450">
        <v>1.0000000115261301</v>
      </c>
    </row>
    <row r="3451" spans="1:40" x14ac:dyDescent="0.25">
      <c r="A3451" t="str">
        <f>"20190303154836697"</f>
        <v>20190303154836697</v>
      </c>
      <c r="B3451" t="str">
        <f>"1551599316694021"</f>
        <v>1551599316694021</v>
      </c>
      <c r="C3451" t="s">
        <v>40</v>
      </c>
      <c r="D3451">
        <v>5.7130510000000001</v>
      </c>
      <c r="E3451">
        <v>0.53850220000000004</v>
      </c>
      <c r="F3451" t="s">
        <v>42</v>
      </c>
      <c r="G3451">
        <v>-410.64940000000001</v>
      </c>
      <c r="H3451">
        <v>1.0225770000000001</v>
      </c>
      <c r="I3451">
        <v>214.99420000000001</v>
      </c>
      <c r="J3451">
        <v>-411.15890000000002</v>
      </c>
      <c r="K3451">
        <v>1.120123</v>
      </c>
      <c r="L3451">
        <v>215.07380000000001</v>
      </c>
      <c r="M3451">
        <v>0.99991839999999999</v>
      </c>
      <c r="N3451">
        <v>-1.2398259999999999E-2</v>
      </c>
      <c r="O3451">
        <v>3.1071150000000001E-3</v>
      </c>
      <c r="P3451">
        <v>0.99522180000000005</v>
      </c>
      <c r="Q3451">
        <v>-9.7555320000000001E-2</v>
      </c>
      <c r="R3451">
        <v>4.1320749999999998E-3</v>
      </c>
      <c r="S3451">
        <v>2.9784549999999999</v>
      </c>
      <c r="T3451">
        <v>-0.37950689999999998</v>
      </c>
      <c r="U3451">
        <v>-0.30665589999999998</v>
      </c>
      <c r="V3451">
        <v>-1.142449E-3</v>
      </c>
      <c r="W3451">
        <v>-8.5207389999999994E-2</v>
      </c>
      <c r="X3451">
        <v>0.99636259999999999</v>
      </c>
      <c r="Y3451">
        <v>0.10456749999999999</v>
      </c>
      <c r="Z3451">
        <v>-7.6255669999999998E-3</v>
      </c>
      <c r="AA3451">
        <v>0.9944885</v>
      </c>
      <c r="AB3451">
        <v>27</v>
      </c>
      <c r="AC3451">
        <v>0.50950000000000195</v>
      </c>
      <c r="AD3451">
        <v>-9.7545999999999897E-2</v>
      </c>
      <c r="AE3451">
        <v>-7.9599999999999199E-2</v>
      </c>
      <c r="AF3451">
        <v>7.8378325288723197E-2</v>
      </c>
      <c r="AG3451">
        <v>-9.7545999999999897E-2</v>
      </c>
      <c r="AH3451">
        <v>0.49165797876860201</v>
      </c>
      <c r="AI3451">
        <v>101.085431192082</v>
      </c>
      <c r="AJ3451">
        <v>80.9423314608065</v>
      </c>
      <c r="AK3451">
        <v>0.50733219105226501</v>
      </c>
      <c r="AL3451">
        <v>94.887950620911198</v>
      </c>
      <c r="AM3451">
        <v>90.065696441558998</v>
      </c>
      <c r="AN3451">
        <v>1.00000001758954</v>
      </c>
    </row>
    <row r="3452" spans="1:40" x14ac:dyDescent="0.25">
      <c r="A3452" t="str">
        <f>"20190303154836720"</f>
        <v>20190303154836720</v>
      </c>
      <c r="B3452" t="str">
        <f>"1551599316714518"</f>
        <v>1551599316714518</v>
      </c>
      <c r="C3452" t="s">
        <v>40</v>
      </c>
      <c r="D3452">
        <v>5.7400019999999996</v>
      </c>
      <c r="E3452">
        <v>0.53748680000000004</v>
      </c>
      <c r="F3452" t="s">
        <v>42</v>
      </c>
      <c r="G3452">
        <v>-410.40530000000001</v>
      </c>
      <c r="H3452">
        <v>1.021442</v>
      </c>
      <c r="I3452">
        <v>214.99860000000001</v>
      </c>
      <c r="J3452">
        <v>-410.88310000000001</v>
      </c>
      <c r="K3452">
        <v>1.120107</v>
      </c>
      <c r="L3452">
        <v>215.07390000000001</v>
      </c>
      <c r="M3452">
        <v>0.99992040000000004</v>
      </c>
      <c r="N3452">
        <v>-1.2386039999999999E-2</v>
      </c>
      <c r="O3452">
        <v>2.437664E-3</v>
      </c>
      <c r="P3452">
        <v>0.99511019999999994</v>
      </c>
      <c r="Q3452">
        <v>-9.8651379999999997E-2</v>
      </c>
      <c r="R3452">
        <v>4.8832750000000003E-3</v>
      </c>
      <c r="S3452">
        <v>2.977417</v>
      </c>
      <c r="T3452">
        <v>-0.38986739999999998</v>
      </c>
      <c r="U3452">
        <v>-0.29646299999999998</v>
      </c>
      <c r="V3452">
        <v>-2.5641829999999998E-3</v>
      </c>
      <c r="W3452">
        <v>-8.6315119999999995E-2</v>
      </c>
      <c r="X3452">
        <v>0.99626459999999994</v>
      </c>
      <c r="Y3452">
        <v>0.10055749999999999</v>
      </c>
      <c r="Z3452">
        <v>-7.4538829999999997E-3</v>
      </c>
      <c r="AA3452">
        <v>0.99490330000000005</v>
      </c>
      <c r="AB3452">
        <v>27</v>
      </c>
      <c r="AC3452">
        <v>0.477800000000002</v>
      </c>
      <c r="AD3452">
        <v>-9.8665000000000003E-2</v>
      </c>
      <c r="AE3452">
        <v>-7.5299999999998493E-2</v>
      </c>
      <c r="AF3452">
        <v>7.3410116707296205E-2</v>
      </c>
      <c r="AG3452">
        <v>-9.8665000000000003E-2</v>
      </c>
      <c r="AH3452">
        <v>0.45853613534712701</v>
      </c>
      <c r="AI3452">
        <v>101.99515752432499</v>
      </c>
      <c r="AJ3452">
        <v>80.904321612246704</v>
      </c>
      <c r="AK3452">
        <v>0.47474120832202599</v>
      </c>
      <c r="AL3452">
        <v>94.951653594062293</v>
      </c>
      <c r="AM3452">
        <v>90.147467389072006</v>
      </c>
      <c r="AN3452">
        <v>1.0000000140941101</v>
      </c>
    </row>
    <row r="3453" spans="1:40" x14ac:dyDescent="0.25">
      <c r="A3453" t="str">
        <f>"20190303154836744"</f>
        <v>20190303154836744</v>
      </c>
      <c r="B3453" t="str">
        <f>"1551599316734038"</f>
        <v>1551599316734038</v>
      </c>
      <c r="C3453" t="s">
        <v>40</v>
      </c>
      <c r="D3453">
        <v>5.7407389999999996</v>
      </c>
      <c r="E3453">
        <v>0.53674679999999997</v>
      </c>
      <c r="F3453" t="s">
        <v>42</v>
      </c>
      <c r="G3453">
        <v>-410.16</v>
      </c>
      <c r="H3453">
        <v>1.02275</v>
      </c>
      <c r="I3453">
        <v>215.00399999999999</v>
      </c>
      <c r="J3453">
        <v>-410.59930000000003</v>
      </c>
      <c r="K3453">
        <v>1.120104</v>
      </c>
      <c r="L3453">
        <v>215.07380000000001</v>
      </c>
      <c r="M3453">
        <v>0.99992210000000004</v>
      </c>
      <c r="N3453">
        <v>-1.237506E-2</v>
      </c>
      <c r="O3453">
        <v>1.7353469999999999E-3</v>
      </c>
      <c r="P3453">
        <v>0.99503960000000002</v>
      </c>
      <c r="Q3453">
        <v>-9.9335389999999996E-2</v>
      </c>
      <c r="R3453">
        <v>5.386699E-3</v>
      </c>
      <c r="S3453">
        <v>2.97641</v>
      </c>
      <c r="T3453">
        <v>-0.40073059999999999</v>
      </c>
      <c r="U3453">
        <v>-0.28630070000000002</v>
      </c>
      <c r="V3453">
        <v>-3.7696449999999999E-3</v>
      </c>
      <c r="W3453">
        <v>-8.7009299999999998E-2</v>
      </c>
      <c r="X3453">
        <v>0.99620039999999999</v>
      </c>
      <c r="Y3453">
        <v>9.6518989999999999E-2</v>
      </c>
      <c r="Z3453">
        <v>-7.2658150000000001E-3</v>
      </c>
      <c r="AA3453">
        <v>0.99530459999999998</v>
      </c>
      <c r="AB3453">
        <v>27</v>
      </c>
      <c r="AC3453">
        <v>0.43930000000000202</v>
      </c>
      <c r="AD3453">
        <v>-9.7353999999999899E-2</v>
      </c>
      <c r="AE3453">
        <v>-6.9799999999986498E-2</v>
      </c>
      <c r="AF3453">
        <v>6.7336701887693501E-2</v>
      </c>
      <c r="AG3453">
        <v>-9.7353999999999899E-2</v>
      </c>
      <c r="AH3453">
        <v>0.41910220338597998</v>
      </c>
      <c r="AI3453">
        <v>102.917408315571</v>
      </c>
      <c r="AJ3453">
        <v>80.872356887052504</v>
      </c>
      <c r="AK3453">
        <v>0.43549820851536802</v>
      </c>
      <c r="AL3453">
        <v>94.991577288392193</v>
      </c>
      <c r="AM3453">
        <v>90.216807499664299</v>
      </c>
      <c r="AN3453">
        <v>1.00000003273503</v>
      </c>
    </row>
    <row r="3454" spans="1:40" x14ac:dyDescent="0.25">
      <c r="A3454" t="str">
        <f>"20190303154836766"</f>
        <v>20190303154836766</v>
      </c>
      <c r="B3454" t="str">
        <f>"1551599316754534"</f>
        <v>1551599316754534</v>
      </c>
      <c r="C3454" t="s">
        <v>40</v>
      </c>
      <c r="D3454">
        <v>5.7818239999999896</v>
      </c>
      <c r="E3454">
        <v>0.53676769999999996</v>
      </c>
      <c r="F3454" t="s">
        <v>42</v>
      </c>
      <c r="G3454">
        <v>-409.68439999999998</v>
      </c>
      <c r="H3454">
        <v>0.99454319999999896</v>
      </c>
      <c r="I3454">
        <v>214.98769999999999</v>
      </c>
      <c r="J3454">
        <v>-410.32100000000003</v>
      </c>
      <c r="K3454">
        <v>1.120101</v>
      </c>
      <c r="L3454">
        <v>215.07339999999999</v>
      </c>
      <c r="M3454">
        <v>0.99992309999999995</v>
      </c>
      <c r="N3454">
        <v>-1.236552E-2</v>
      </c>
      <c r="O3454">
        <v>1.0395669999999999E-3</v>
      </c>
      <c r="P3454">
        <v>0.99507069999999997</v>
      </c>
      <c r="Q3454">
        <v>-9.9029249999999999E-2</v>
      </c>
      <c r="R3454">
        <v>5.2815819999999999E-3</v>
      </c>
      <c r="S3454">
        <v>2.975708</v>
      </c>
      <c r="T3454">
        <v>-0.40841169999999999</v>
      </c>
      <c r="U3454">
        <v>-0.27894590000000002</v>
      </c>
      <c r="V3454">
        <v>-4.3573650000000002E-3</v>
      </c>
      <c r="W3454">
        <v>-8.6711579999999996E-2</v>
      </c>
      <c r="X3454">
        <v>0.99622390000000005</v>
      </c>
      <c r="Y3454">
        <v>9.3411270000000005E-2</v>
      </c>
      <c r="Z3454">
        <v>-7.0772910000000003E-3</v>
      </c>
      <c r="AA3454">
        <v>0.9956024</v>
      </c>
      <c r="AB3454">
        <v>27</v>
      </c>
      <c r="AC3454">
        <v>0.63659999999998695</v>
      </c>
      <c r="AD3454">
        <v>-0.1255578</v>
      </c>
      <c r="AE3454">
        <v>-8.5700000000002705E-2</v>
      </c>
      <c r="AF3454">
        <v>8.3183519562884806E-2</v>
      </c>
      <c r="AG3454">
        <v>-0.1255578</v>
      </c>
      <c r="AH3454">
        <v>0.61308579751312897</v>
      </c>
      <c r="AI3454">
        <v>101.471648112729</v>
      </c>
      <c r="AJ3454">
        <v>82.273288374270507</v>
      </c>
      <c r="AK3454">
        <v>0.63131486136477</v>
      </c>
      <c r="AL3454">
        <v>94.9744547772723</v>
      </c>
      <c r="AM3454">
        <v>90.250603335511997</v>
      </c>
      <c r="AN3454">
        <v>0.99999997183352396</v>
      </c>
    </row>
    <row r="3455" spans="1:40" x14ac:dyDescent="0.25">
      <c r="A3455" t="str">
        <f>"20190303154836787"</f>
        <v>20190303154836787</v>
      </c>
      <c r="B3455" t="str">
        <f>"1551599316783815"</f>
        <v>1551599316783815</v>
      </c>
      <c r="C3455" t="s">
        <v>40</v>
      </c>
      <c r="D3455">
        <v>5.7103999999999999</v>
      </c>
      <c r="E3455">
        <v>0.51359529999999998</v>
      </c>
      <c r="F3455" t="s">
        <v>42</v>
      </c>
      <c r="G3455">
        <v>-409.43799999999999</v>
      </c>
      <c r="H3455">
        <v>0.99853729999999996</v>
      </c>
      <c r="I3455">
        <v>214.99039999999999</v>
      </c>
      <c r="J3455">
        <v>-410.05810000000002</v>
      </c>
      <c r="K3455">
        <v>1.1201000000000001</v>
      </c>
      <c r="L3455">
        <v>215.07300000000001</v>
      </c>
      <c r="M3455">
        <v>0.99992369999999997</v>
      </c>
      <c r="N3455">
        <v>-1.235754E-2</v>
      </c>
      <c r="O3455">
        <v>3.778039E-4</v>
      </c>
      <c r="P3455">
        <v>0.99510430000000005</v>
      </c>
      <c r="Q3455">
        <v>-9.8719509999999996E-2</v>
      </c>
      <c r="R3455">
        <v>4.6994410000000004E-3</v>
      </c>
      <c r="S3455">
        <v>2.9755549999999999</v>
      </c>
      <c r="T3455">
        <v>-0.40964250000000002</v>
      </c>
      <c r="U3455">
        <v>-0.27952579999999999</v>
      </c>
      <c r="V3455">
        <v>-4.433963E-3</v>
      </c>
      <c r="W3455">
        <v>-8.6409319999999998E-2</v>
      </c>
      <c r="X3455">
        <v>0.99624990000000002</v>
      </c>
      <c r="Y3455">
        <v>9.2953759999999996E-2</v>
      </c>
      <c r="Z3455">
        <v>-6.9801669999999998E-3</v>
      </c>
      <c r="AA3455">
        <v>0.99564589999999997</v>
      </c>
      <c r="AB3455">
        <v>27</v>
      </c>
      <c r="AC3455">
        <v>0.620099999999979</v>
      </c>
      <c r="AD3455">
        <v>-0.1215627</v>
      </c>
      <c r="AE3455">
        <v>-8.2599999999985102E-2</v>
      </c>
      <c r="AF3455">
        <v>7.9820228210714897E-2</v>
      </c>
      <c r="AG3455">
        <v>-0.1215627</v>
      </c>
      <c r="AH3455">
        <v>0.59750653950724597</v>
      </c>
      <c r="AI3455">
        <v>101.401276255306</v>
      </c>
      <c r="AJ3455">
        <v>82.390971231405103</v>
      </c>
      <c r="AK3455">
        <v>0.61494944801733498</v>
      </c>
      <c r="AL3455">
        <v>94.957070934093295</v>
      </c>
      <c r="AM3455">
        <v>90.255001971915107</v>
      </c>
      <c r="AN3455">
        <v>1.00000004693037</v>
      </c>
    </row>
    <row r="3456" spans="1:40" x14ac:dyDescent="0.25">
      <c r="A3456" t="str">
        <f>"20190303154836809"</f>
        <v>20190303154836809</v>
      </c>
      <c r="B3456" t="str">
        <f>"1551599316804310"</f>
        <v>1551599316804310</v>
      </c>
      <c r="C3456" t="s">
        <v>40</v>
      </c>
      <c r="D3456">
        <v>5.7399690000000003</v>
      </c>
      <c r="E3456">
        <v>0.51266270000000003</v>
      </c>
      <c r="F3456" t="s">
        <v>52</v>
      </c>
      <c r="G3456">
        <v>-394.9862</v>
      </c>
      <c r="H3456" s="1">
        <v>1.116599E-6</v>
      </c>
      <c r="I3456">
        <v>214.6054</v>
      </c>
      <c r="J3456">
        <v>-409.7912</v>
      </c>
      <c r="K3456">
        <v>1.120096</v>
      </c>
      <c r="L3456">
        <v>215.07230000000001</v>
      </c>
      <c r="M3456">
        <v>0.99992380000000003</v>
      </c>
      <c r="N3456">
        <v>-1.235055E-2</v>
      </c>
      <c r="O3456">
        <v>-2.9680260000000002E-4</v>
      </c>
      <c r="P3456">
        <v>0.99507999999999996</v>
      </c>
      <c r="Q3456">
        <v>-9.9002290000000007E-2</v>
      </c>
      <c r="R3456">
        <v>3.8559969999999999E-3</v>
      </c>
      <c r="S3456">
        <v>2.9931030000000001</v>
      </c>
      <c r="T3456">
        <v>-0.22243789999999999</v>
      </c>
      <c r="U3456">
        <v>-9.2849730000000005E-2</v>
      </c>
      <c r="V3456">
        <v>-4.263312E-3</v>
      </c>
      <c r="W3456">
        <v>-8.6699579999999998E-2</v>
      </c>
      <c r="X3456">
        <v>0.99622540000000004</v>
      </c>
      <c r="Y3456">
        <v>3.061179E-2</v>
      </c>
      <c r="Z3456">
        <v>-1.3066779999999999E-3</v>
      </c>
      <c r="AA3456">
        <v>0.99953049999999999</v>
      </c>
      <c r="AB3456">
        <v>27</v>
      </c>
      <c r="AC3456">
        <v>14.805</v>
      </c>
      <c r="AD3456">
        <v>-1.1200948834010001</v>
      </c>
      <c r="AE3456">
        <v>-0.46690000000000897</v>
      </c>
      <c r="AF3456">
        <v>0.45987580985038401</v>
      </c>
      <c r="AG3456">
        <v>-1.1200948834010001</v>
      </c>
      <c r="AH3456">
        <v>14.7209602026502</v>
      </c>
      <c r="AI3456">
        <v>94.349048933897095</v>
      </c>
      <c r="AJ3456">
        <v>88.210688958025301</v>
      </c>
      <c r="AK3456">
        <v>14.7706725505753</v>
      </c>
      <c r="AL3456">
        <v>94.973764387100999</v>
      </c>
      <c r="AM3456">
        <v>90.245193801716596</v>
      </c>
      <c r="AN3456">
        <v>1.00000002030327</v>
      </c>
    </row>
    <row r="3457" spans="1:40" x14ac:dyDescent="0.25">
      <c r="A3457" t="str">
        <f>"20190303154836833"</f>
        <v>20190303154836833</v>
      </c>
      <c r="B3457" t="str">
        <f>"1551599316823830"</f>
        <v>1551599316823830</v>
      </c>
      <c r="C3457" t="s">
        <v>40</v>
      </c>
      <c r="D3457">
        <v>5.7394189999999998</v>
      </c>
      <c r="E3457">
        <v>0.51245220000000002</v>
      </c>
      <c r="F3457" t="s">
        <v>52</v>
      </c>
      <c r="G3457">
        <v>-391.90750000000003</v>
      </c>
      <c r="H3457" s="1">
        <v>-5.2169090000000004E-7</v>
      </c>
      <c r="I3457">
        <v>214.5504</v>
      </c>
      <c r="J3457">
        <v>-409.49919999999997</v>
      </c>
      <c r="K3457">
        <v>1.1200950000000001</v>
      </c>
      <c r="L3457">
        <v>215.07130000000001</v>
      </c>
      <c r="M3457">
        <v>0.99992329999999996</v>
      </c>
      <c r="N3457">
        <v>-1.234388E-2</v>
      </c>
      <c r="O3457">
        <v>-1.035698E-3</v>
      </c>
      <c r="P3457">
        <v>0.99498260000000005</v>
      </c>
      <c r="Q3457">
        <v>-0.10000439999999999</v>
      </c>
      <c r="R3457">
        <v>2.9849120000000002E-3</v>
      </c>
      <c r="S3457">
        <v>2.9964900000000001</v>
      </c>
      <c r="T3457">
        <v>-0.18767739999999999</v>
      </c>
      <c r="U3457">
        <v>-8.7448120000000004E-2</v>
      </c>
      <c r="V3457">
        <v>-4.1280350000000004E-3</v>
      </c>
      <c r="W3457">
        <v>-8.7709640000000005E-2</v>
      </c>
      <c r="X3457">
        <v>0.99613759999999996</v>
      </c>
      <c r="Y3457">
        <v>2.8071229999999999E-2</v>
      </c>
      <c r="Z3457">
        <v>-9.9951940000000006E-4</v>
      </c>
      <c r="AA3457">
        <v>0.99960539999999998</v>
      </c>
      <c r="AB3457">
        <v>27</v>
      </c>
      <c r="AC3457">
        <v>17.5916999999999</v>
      </c>
      <c r="AD3457">
        <v>-1.1200955216908901</v>
      </c>
      <c r="AE3457">
        <v>-0.52090000000001102</v>
      </c>
      <c r="AF3457">
        <v>0.50065073398367799</v>
      </c>
      <c r="AG3457">
        <v>-1.1200955216908901</v>
      </c>
      <c r="AH3457">
        <v>17.521259380834302</v>
      </c>
      <c r="AI3457">
        <v>93.656327252280903</v>
      </c>
      <c r="AJ3457">
        <v>88.363281404283001</v>
      </c>
      <c r="AK3457">
        <v>17.564162246620899</v>
      </c>
      <c r="AL3457">
        <v>95.031857625112707</v>
      </c>
      <c r="AM3457">
        <v>90.237434697050602</v>
      </c>
      <c r="AN3457">
        <v>1.00000006987782</v>
      </c>
    </row>
    <row r="3458" spans="1:40" x14ac:dyDescent="0.25">
      <c r="A3458" t="str">
        <f>"20190303154836854"</f>
        <v>20190303154836854</v>
      </c>
      <c r="B3458" t="str">
        <f>"1551599316844325"</f>
        <v>1551599316844325</v>
      </c>
      <c r="C3458" t="s">
        <v>40</v>
      </c>
      <c r="D3458">
        <v>5.7305769999999896</v>
      </c>
      <c r="E3458">
        <v>0.51202259999999999</v>
      </c>
      <c r="F3458" t="s">
        <v>52</v>
      </c>
      <c r="G3458">
        <v>-390.71429999999998</v>
      </c>
      <c r="H3458" s="1">
        <v>-1.156689E-6</v>
      </c>
      <c r="I3458">
        <v>214.52</v>
      </c>
      <c r="J3458">
        <v>-409.24239999999998</v>
      </c>
      <c r="K3458">
        <v>1.1200889999999999</v>
      </c>
      <c r="L3458">
        <v>215.0703</v>
      </c>
      <c r="M3458">
        <v>0.99992259999999999</v>
      </c>
      <c r="N3458">
        <v>-1.233866E-2</v>
      </c>
      <c r="O3458">
        <v>-1.6854319999999999E-3</v>
      </c>
      <c r="P3458">
        <v>0.99485279999999998</v>
      </c>
      <c r="Q3458">
        <v>-0.10130790000000001</v>
      </c>
      <c r="R3458">
        <v>2.2506549999999998E-3</v>
      </c>
      <c r="S3458">
        <v>2.9974669999999999</v>
      </c>
      <c r="T3458">
        <v>-0.17873069999999999</v>
      </c>
      <c r="U3458">
        <v>-8.7982179999999993E-2</v>
      </c>
      <c r="V3458">
        <v>-4.0415889999999999E-3</v>
      </c>
      <c r="W3458">
        <v>-8.901995E-2</v>
      </c>
      <c r="X3458">
        <v>0.99602159999999995</v>
      </c>
      <c r="Y3458">
        <v>2.7597409999999999E-2</v>
      </c>
      <c r="Z3458">
        <v>-9.1274680000000003E-4</v>
      </c>
      <c r="AA3458">
        <v>0.99961869999999997</v>
      </c>
      <c r="AB3458">
        <v>27</v>
      </c>
      <c r="AC3458">
        <v>18.528099999999899</v>
      </c>
      <c r="AD3458">
        <v>-1.12009015668899</v>
      </c>
      <c r="AE3458">
        <v>-0.55029999999999202</v>
      </c>
      <c r="AF3458">
        <v>0.517180551708043</v>
      </c>
      <c r="AG3458">
        <v>-1.12009015668899</v>
      </c>
      <c r="AH3458">
        <v>18.461590307233401</v>
      </c>
      <c r="AI3458">
        <v>93.470599834298994</v>
      </c>
      <c r="AJ3458">
        <v>88.395343280655794</v>
      </c>
      <c r="AK3458">
        <v>18.502767208023499</v>
      </c>
      <c r="AL3458">
        <v>95.107228271363695</v>
      </c>
      <c r="AM3458">
        <v>90.232489658169001</v>
      </c>
      <c r="AN3458">
        <v>0.99999995680310205</v>
      </c>
    </row>
    <row r="3459" spans="1:40" x14ac:dyDescent="0.25">
      <c r="A3459" t="str">
        <f>"20190303154836876"</f>
        <v>20190303154836876</v>
      </c>
      <c r="B3459" t="str">
        <f>"1551599316863846"</f>
        <v>1551599316863846</v>
      </c>
      <c r="C3459" t="s">
        <v>40</v>
      </c>
      <c r="D3459">
        <v>5.7111519999999896</v>
      </c>
      <c r="E3459">
        <v>0.51198049999999995</v>
      </c>
      <c r="F3459" t="s">
        <v>52</v>
      </c>
      <c r="G3459">
        <v>-389.92070000000001</v>
      </c>
      <c r="H3459" s="1">
        <v>3.7470260000000002E-6</v>
      </c>
      <c r="I3459">
        <v>214.5128</v>
      </c>
      <c r="J3459">
        <v>-408.9708</v>
      </c>
      <c r="K3459">
        <v>1.120085</v>
      </c>
      <c r="L3459">
        <v>215.06909999999999</v>
      </c>
      <c r="M3459">
        <v>0.99992119999999995</v>
      </c>
      <c r="N3459">
        <v>-1.2333739999999999E-2</v>
      </c>
      <c r="O3459">
        <v>-2.3714059999999999E-3</v>
      </c>
      <c r="P3459">
        <v>0.99473560000000005</v>
      </c>
      <c r="Q3459">
        <v>-0.1024601</v>
      </c>
      <c r="R3459">
        <v>1.7825740000000001E-3</v>
      </c>
      <c r="S3459">
        <v>2.9980159999999998</v>
      </c>
      <c r="T3459">
        <v>-0.17379610000000001</v>
      </c>
      <c r="U3459">
        <v>-8.6502079999999995E-2</v>
      </c>
      <c r="V3459">
        <v>-4.256765E-3</v>
      </c>
      <c r="W3459">
        <v>-9.0178300000000003E-2</v>
      </c>
      <c r="X3459">
        <v>0.99591649999999998</v>
      </c>
      <c r="Y3459">
        <v>2.6419120000000001E-2</v>
      </c>
      <c r="Z3459">
        <v>-8.1998879999999996E-4</v>
      </c>
      <c r="AA3459">
        <v>0.99965059999999994</v>
      </c>
      <c r="AB3459">
        <v>27</v>
      </c>
      <c r="AC3459">
        <v>19.050099999999901</v>
      </c>
      <c r="AD3459">
        <v>-1.1200812529740001</v>
      </c>
      <c r="AE3459">
        <v>-0.55629999999999302</v>
      </c>
      <c r="AF3459">
        <v>0.50936010259547904</v>
      </c>
      <c r="AG3459">
        <v>-1.1200812529740001</v>
      </c>
      <c r="AH3459">
        <v>18.9857870177336</v>
      </c>
      <c r="AI3459">
        <v>93.375083968671802</v>
      </c>
      <c r="AJ3459">
        <v>88.463209074390093</v>
      </c>
      <c r="AK3459">
        <v>19.0256179508084</v>
      </c>
      <c r="AL3459">
        <v>95.173864843975096</v>
      </c>
      <c r="AM3459">
        <v>90.244893205065296</v>
      </c>
      <c r="AN3459">
        <v>0.99999996040570105</v>
      </c>
    </row>
    <row r="3460" spans="1:40" x14ac:dyDescent="0.25">
      <c r="A3460" t="str">
        <f>"20190303154836899"</f>
        <v>20190303154836899</v>
      </c>
      <c r="B3460" t="str">
        <f>"1551599316894102"</f>
        <v>1551599316894102</v>
      </c>
      <c r="C3460" t="s">
        <v>40</v>
      </c>
      <c r="D3460">
        <v>5.6755879999999896</v>
      </c>
      <c r="E3460">
        <v>0.5124438</v>
      </c>
      <c r="F3460" t="s">
        <v>52</v>
      </c>
      <c r="G3460">
        <v>-389.34089999999998</v>
      </c>
      <c r="H3460" s="1">
        <v>3.4391729999999999E-6</v>
      </c>
      <c r="I3460">
        <v>214.49719999999999</v>
      </c>
      <c r="J3460">
        <v>-408.69040000000001</v>
      </c>
      <c r="K3460">
        <v>1.12008</v>
      </c>
      <c r="L3460">
        <v>215.0676</v>
      </c>
      <c r="M3460">
        <v>0.99991940000000001</v>
      </c>
      <c r="N3460">
        <v>-1.232922E-2</v>
      </c>
      <c r="O3460">
        <v>-3.077654E-3</v>
      </c>
      <c r="P3460">
        <v>0.99467819999999996</v>
      </c>
      <c r="Q3460">
        <v>-0.103017899999999</v>
      </c>
      <c r="R3460">
        <v>1.67173E-3</v>
      </c>
      <c r="S3460">
        <v>2.998383</v>
      </c>
      <c r="T3460">
        <v>-0.17108770000000001</v>
      </c>
      <c r="U3460">
        <v>-8.7356569999999995E-2</v>
      </c>
      <c r="V3460">
        <v>-4.848705E-3</v>
      </c>
      <c r="W3460">
        <v>-9.0740440000000006E-2</v>
      </c>
      <c r="X3460">
        <v>0.99586280000000005</v>
      </c>
      <c r="Y3460">
        <v>2.5997159999999998E-2</v>
      </c>
      <c r="Z3460">
        <v>-7.6388629999999996E-4</v>
      </c>
      <c r="AA3460">
        <v>0.99966169999999999</v>
      </c>
      <c r="AB3460">
        <v>27</v>
      </c>
      <c r="AC3460">
        <v>19.349499999999999</v>
      </c>
      <c r="AD3460">
        <v>-1.120076560827</v>
      </c>
      <c r="AE3460">
        <v>-0.57040000000000601</v>
      </c>
      <c r="AF3460">
        <v>0.50913714937417698</v>
      </c>
      <c r="AG3460">
        <v>-1.120076560827</v>
      </c>
      <c r="AH3460">
        <v>19.2865934647504</v>
      </c>
      <c r="AI3460">
        <v>93.322586816856997</v>
      </c>
      <c r="AJ3460">
        <v>88.487828532001402</v>
      </c>
      <c r="AK3460">
        <v>19.325798291753401</v>
      </c>
      <c r="AL3460">
        <v>95.206205340728204</v>
      </c>
      <c r="AM3460">
        <v>90.278962260069505</v>
      </c>
      <c r="AN3460">
        <v>1.0000000269077001</v>
      </c>
    </row>
    <row r="3461" spans="1:40" x14ac:dyDescent="0.25">
      <c r="A3461" t="str">
        <f>"20190303154836922"</f>
        <v>20190303154836922</v>
      </c>
      <c r="B3461" t="str">
        <f>"1551599316914598"</f>
        <v>1551599316914598</v>
      </c>
      <c r="C3461" t="s">
        <v>40</v>
      </c>
      <c r="D3461">
        <v>5.6043329999999996</v>
      </c>
      <c r="E3461">
        <v>0.51254460000000002</v>
      </c>
      <c r="F3461" t="s">
        <v>52</v>
      </c>
      <c r="G3461">
        <v>-388.47</v>
      </c>
      <c r="H3461" s="1">
        <v>2.9776960000000002E-6</v>
      </c>
      <c r="I3461">
        <v>214.45269999999999</v>
      </c>
      <c r="J3461">
        <v>-408.42230000000001</v>
      </c>
      <c r="K3461">
        <v>1.1200760000000001</v>
      </c>
      <c r="L3461">
        <v>215.066</v>
      </c>
      <c r="M3461">
        <v>0.99991699999999994</v>
      </c>
      <c r="N3461">
        <v>-1.23255E-2</v>
      </c>
      <c r="O3461">
        <v>-3.7514839999999998E-3</v>
      </c>
      <c r="P3461">
        <v>0.99456259999999996</v>
      </c>
      <c r="Q3461">
        <v>-0.1041231</v>
      </c>
      <c r="R3461">
        <v>1.875231E-3</v>
      </c>
      <c r="S3461">
        <v>2.998993</v>
      </c>
      <c r="T3461">
        <v>-0.1661251</v>
      </c>
      <c r="U3461">
        <v>-9.1201779999999996E-2</v>
      </c>
      <c r="V3461">
        <v>-5.7237679999999997E-3</v>
      </c>
      <c r="W3461">
        <v>-9.1849719999999996E-2</v>
      </c>
      <c r="X3461">
        <v>0.99575639999999999</v>
      </c>
      <c r="Y3461">
        <v>2.6600140000000001E-2</v>
      </c>
      <c r="Z3461">
        <v>-7.3873799999999996E-4</v>
      </c>
      <c r="AA3461">
        <v>0.99964589999999998</v>
      </c>
      <c r="AB3461">
        <v>27</v>
      </c>
      <c r="AC3461">
        <v>19.952299999999902</v>
      </c>
      <c r="AD3461">
        <v>-1.1200730223039901</v>
      </c>
      <c r="AE3461">
        <v>-0.61329999999998097</v>
      </c>
      <c r="AF3461">
        <v>0.53674933550106096</v>
      </c>
      <c r="AG3461">
        <v>-1.1200730223039901</v>
      </c>
      <c r="AH3461">
        <v>19.891832128216599</v>
      </c>
      <c r="AI3461">
        <v>93.221648132197203</v>
      </c>
      <c r="AJ3461">
        <v>88.454339915388701</v>
      </c>
      <c r="AK3461">
        <v>19.930570710383702</v>
      </c>
      <c r="AL3461">
        <v>95.270029238246593</v>
      </c>
      <c r="AM3461">
        <v>90.329341732011699</v>
      </c>
      <c r="AN3461">
        <v>0.99999997036257704</v>
      </c>
    </row>
    <row r="3462" spans="1:40" x14ac:dyDescent="0.25">
      <c r="A3462" t="str">
        <f>"20190303154836944"</f>
        <v>20190303154836944</v>
      </c>
      <c r="B3462" t="str">
        <f>"1551599316934118"</f>
        <v>1551599316934118</v>
      </c>
      <c r="C3462" t="s">
        <v>40</v>
      </c>
      <c r="D3462">
        <v>5.5903140000000002</v>
      </c>
      <c r="E3462">
        <v>0.51251069999999999</v>
      </c>
      <c r="F3462" t="s">
        <v>52</v>
      </c>
      <c r="G3462">
        <v>-388.14929999999998</v>
      </c>
      <c r="H3462" s="1">
        <v>2.80723E-6</v>
      </c>
      <c r="I3462">
        <v>214.4479</v>
      </c>
      <c r="J3462">
        <v>-408.14580000000001</v>
      </c>
      <c r="K3462">
        <v>1.120069</v>
      </c>
      <c r="L3462">
        <v>215.0642</v>
      </c>
      <c r="M3462">
        <v>0.99991430000000003</v>
      </c>
      <c r="N3462">
        <v>-1.2322049999999999E-2</v>
      </c>
      <c r="O3462">
        <v>-4.4465340000000003E-3</v>
      </c>
      <c r="P3462">
        <v>0.99438539999999997</v>
      </c>
      <c r="Q3462">
        <v>-0.1057964</v>
      </c>
      <c r="R3462">
        <v>2.240091E-3</v>
      </c>
      <c r="S3462">
        <v>2.9992679999999998</v>
      </c>
      <c r="T3462">
        <v>-0.1657082</v>
      </c>
      <c r="U3462">
        <v>-9.144592E-2</v>
      </c>
      <c r="V3462">
        <v>-6.7810600000000002E-3</v>
      </c>
      <c r="W3462">
        <v>-9.352721E-2</v>
      </c>
      <c r="X3462">
        <v>0.99559359999999997</v>
      </c>
      <c r="Y3462">
        <v>2.5985790000000002E-2</v>
      </c>
      <c r="Z3462">
        <v>-6.8675829999999998E-4</v>
      </c>
      <c r="AA3462">
        <v>0.9996621</v>
      </c>
      <c r="AB3462">
        <v>27</v>
      </c>
      <c r="AC3462">
        <v>19.996500000000001</v>
      </c>
      <c r="AD3462">
        <v>-1.12006619277</v>
      </c>
      <c r="AE3462">
        <v>-0.61629999999999496</v>
      </c>
      <c r="AF3462">
        <v>0.52572416999182603</v>
      </c>
      <c r="AG3462">
        <v>-1.12006619277</v>
      </c>
      <c r="AH3462">
        <v>19.936551945737399</v>
      </c>
      <c r="AI3462">
        <v>93.214469707042696</v>
      </c>
      <c r="AJ3462">
        <v>88.489468128783997</v>
      </c>
      <c r="AK3462">
        <v>19.974910204158199</v>
      </c>
      <c r="AL3462">
        <v>95.366557897456403</v>
      </c>
      <c r="AM3462">
        <v>90.390239662842205</v>
      </c>
      <c r="AN3462">
        <v>0.99999996907303301</v>
      </c>
    </row>
    <row r="3463" spans="1:40" x14ac:dyDescent="0.25">
      <c r="A3463" t="str">
        <f>"20190303154836969"</f>
        <v>20190303154836969</v>
      </c>
      <c r="B3463" t="str">
        <f>"1551599316964374"</f>
        <v>1551599316964374</v>
      </c>
      <c r="C3463" t="s">
        <v>40</v>
      </c>
      <c r="D3463">
        <v>5.563326</v>
      </c>
      <c r="E3463">
        <v>0.51269039999999999</v>
      </c>
      <c r="F3463" t="s">
        <v>52</v>
      </c>
      <c r="G3463">
        <v>-387.96199999999999</v>
      </c>
      <c r="H3463" s="1">
        <v>2.7069869999999999E-6</v>
      </c>
      <c r="I3463">
        <v>214.46080000000001</v>
      </c>
      <c r="J3463">
        <v>-407.84480000000002</v>
      </c>
      <c r="K3463">
        <v>1.12007099999999</v>
      </c>
      <c r="L3463">
        <v>215.06200000000001</v>
      </c>
      <c r="M3463">
        <v>0.99991070000000004</v>
      </c>
      <c r="N3463">
        <v>-1.231867E-2</v>
      </c>
      <c r="O3463">
        <v>-5.2030959999999999E-3</v>
      </c>
      <c r="P3463">
        <v>0.99426530000000002</v>
      </c>
      <c r="Q3463">
        <v>-0.1069244</v>
      </c>
      <c r="R3463">
        <v>1.9921790000000002E-3</v>
      </c>
      <c r="S3463">
        <v>2.9994200000000002</v>
      </c>
      <c r="T3463">
        <v>-0.1664474</v>
      </c>
      <c r="U3463">
        <v>-8.966064E-2</v>
      </c>
      <c r="V3463">
        <v>-7.2858699999999998E-3</v>
      </c>
      <c r="W3463">
        <v>-9.4659300000000002E-2</v>
      </c>
      <c r="X3463">
        <v>0.99548300000000001</v>
      </c>
      <c r="Y3463">
        <v>2.4636290000000002E-2</v>
      </c>
      <c r="Z3463">
        <v>-6.1042370000000004E-4</v>
      </c>
      <c r="AA3463">
        <v>0.99969629999999998</v>
      </c>
      <c r="AB3463">
        <v>27</v>
      </c>
      <c r="AC3463">
        <v>19.8828</v>
      </c>
      <c r="AD3463">
        <v>-1.1200682930129999</v>
      </c>
      <c r="AE3463">
        <v>-0.60120000000000495</v>
      </c>
      <c r="AF3463">
        <v>0.49615880018073</v>
      </c>
      <c r="AG3463">
        <v>-1.1200682930129999</v>
      </c>
      <c r="AH3463">
        <v>19.822809600357498</v>
      </c>
      <c r="AI3463">
        <v>93.232992259592805</v>
      </c>
      <c r="AJ3463">
        <v>88.566203707404199</v>
      </c>
      <c r="AK3463">
        <v>19.860627054250699</v>
      </c>
      <c r="AL3463">
        <v>95.431711125780893</v>
      </c>
      <c r="AM3463">
        <v>90.419336289536901</v>
      </c>
      <c r="AN3463">
        <v>0.99999993513357099</v>
      </c>
    </row>
    <row r="3464" spans="1:40" x14ac:dyDescent="0.25">
      <c r="A3464" t="str">
        <f>"20190303154836987"</f>
        <v>20190303154836987</v>
      </c>
      <c r="B3464" t="str">
        <f>"1551599316983893"</f>
        <v>1551599316983893</v>
      </c>
      <c r="C3464" t="s">
        <v>40</v>
      </c>
      <c r="D3464">
        <v>5.5227309999999896</v>
      </c>
      <c r="E3464">
        <v>0.51278199999999996</v>
      </c>
      <c r="F3464" t="s">
        <v>52</v>
      </c>
      <c r="G3464">
        <v>-387.40809999999999</v>
      </c>
      <c r="H3464" s="1">
        <v>2.413276E-6</v>
      </c>
      <c r="I3464">
        <v>214.4367</v>
      </c>
      <c r="J3464">
        <v>-407.61219999999997</v>
      </c>
      <c r="K3464">
        <v>1.1200669999999999</v>
      </c>
      <c r="L3464">
        <v>215.06010000000001</v>
      </c>
      <c r="M3464">
        <v>0.9999074</v>
      </c>
      <c r="N3464">
        <v>-1.231632E-2</v>
      </c>
      <c r="O3464">
        <v>-5.7872969999999899E-3</v>
      </c>
      <c r="P3464">
        <v>0.99416879999999996</v>
      </c>
      <c r="Q3464">
        <v>-0.107819899999999</v>
      </c>
      <c r="R3464">
        <v>1.8591980000000001E-3</v>
      </c>
      <c r="S3464">
        <v>2.9998170000000002</v>
      </c>
      <c r="T3464">
        <v>-0.16441040000000001</v>
      </c>
      <c r="U3464">
        <v>-9.1781619999999994E-2</v>
      </c>
      <c r="V3464">
        <v>-7.7342540000000003E-3</v>
      </c>
      <c r="W3464">
        <v>-9.5557799999999998E-2</v>
      </c>
      <c r="X3464">
        <v>0.9953938</v>
      </c>
      <c r="Y3464">
        <v>2.4755630000000001E-2</v>
      </c>
      <c r="Z3464">
        <v>-5.8471360000000004E-4</v>
      </c>
      <c r="AA3464">
        <v>0.99969330000000001</v>
      </c>
      <c r="AB3464">
        <v>27</v>
      </c>
      <c r="AC3464">
        <v>20.204099999999901</v>
      </c>
      <c r="AD3464">
        <v>-1.120064586724</v>
      </c>
      <c r="AE3464">
        <v>-0.62340000000000295</v>
      </c>
      <c r="AF3464">
        <v>0.50490331029762803</v>
      </c>
      <c r="AG3464">
        <v>-1.120064586724</v>
      </c>
      <c r="AH3464">
        <v>20.145515043446299</v>
      </c>
      <c r="AI3464">
        <v>93.181297949972901</v>
      </c>
      <c r="AJ3464">
        <v>88.564307053038206</v>
      </c>
      <c r="AK3464">
        <v>20.182944492737001</v>
      </c>
      <c r="AL3464">
        <v>95.483425655061197</v>
      </c>
      <c r="AM3464">
        <v>90.445181790582495</v>
      </c>
      <c r="AN3464">
        <v>0.99999996445210704</v>
      </c>
    </row>
    <row r="3465" spans="1:40" x14ac:dyDescent="0.25">
      <c r="A3465" t="str">
        <f>"20190303154837012"</f>
        <v>20190303154837012</v>
      </c>
      <c r="B3465" t="str">
        <f>"1551599317004390"</f>
        <v>1551599317004390</v>
      </c>
      <c r="C3465" t="s">
        <v>40</v>
      </c>
      <c r="D3465">
        <v>5.4797459999999996</v>
      </c>
      <c r="E3465">
        <v>0.51276049999999995</v>
      </c>
      <c r="F3465" t="s">
        <v>52</v>
      </c>
      <c r="G3465">
        <v>-387.10379999999998</v>
      </c>
      <c r="H3465" s="1">
        <v>2.2518140000000002E-6</v>
      </c>
      <c r="I3465">
        <v>214.42580000000001</v>
      </c>
      <c r="J3465">
        <v>-407.32010000000002</v>
      </c>
      <c r="K3465">
        <v>1.120063</v>
      </c>
      <c r="L3465">
        <v>215.05760000000001</v>
      </c>
      <c r="M3465">
        <v>0.99990299999999999</v>
      </c>
      <c r="N3465">
        <v>-1.2313650000000001E-2</v>
      </c>
      <c r="O3465">
        <v>-6.5213370000000003E-3</v>
      </c>
      <c r="P3465">
        <v>0.99416260000000001</v>
      </c>
      <c r="Q3465">
        <v>-0.1078793</v>
      </c>
      <c r="R3465">
        <v>1.747052E-3</v>
      </c>
      <c r="S3465">
        <v>3.0000309999999999</v>
      </c>
      <c r="T3465">
        <v>-0.16384609999999999</v>
      </c>
      <c r="U3465">
        <v>-9.2788700000000002E-2</v>
      </c>
      <c r="V3465">
        <v>-8.3521859999999993E-3</v>
      </c>
      <c r="W3465">
        <v>-9.5619280000000001E-2</v>
      </c>
      <c r="X3465">
        <v>0.99538300000000002</v>
      </c>
      <c r="Y3465">
        <v>2.435646E-2</v>
      </c>
      <c r="Z3465">
        <v>-5.3903580000000005E-4</v>
      </c>
      <c r="AA3465">
        <v>0.99970320000000001</v>
      </c>
      <c r="AB3465">
        <v>27</v>
      </c>
      <c r="AC3465">
        <v>20.2163</v>
      </c>
      <c r="AD3465">
        <v>-1.1200607481860001</v>
      </c>
      <c r="AE3465">
        <v>-0.63179999999999803</v>
      </c>
      <c r="AF3465">
        <v>0.49841085054225498</v>
      </c>
      <c r="AG3465">
        <v>-1.1200607481860001</v>
      </c>
      <c r="AH3465">
        <v>20.158173673013</v>
      </c>
      <c r="AI3465">
        <v>93.1793200971602</v>
      </c>
      <c r="AJ3465">
        <v>88.583650403035705</v>
      </c>
      <c r="AK3465">
        <v>20.1954181755893</v>
      </c>
      <c r="AL3465">
        <v>95.486963871383495</v>
      </c>
      <c r="AM3465">
        <v>90.480753415424502</v>
      </c>
      <c r="AN3465">
        <v>1.00000006120384</v>
      </c>
    </row>
    <row r="3466" spans="1:40" x14ac:dyDescent="0.25">
      <c r="A3466" t="str">
        <f>"20190303154837032"</f>
        <v>20190303154837032</v>
      </c>
      <c r="B3466" t="str">
        <f>"1551599317023910"</f>
        <v>1551599317023910</v>
      </c>
      <c r="C3466" t="s">
        <v>40</v>
      </c>
      <c r="D3466">
        <v>5.52935</v>
      </c>
      <c r="E3466">
        <v>0.51275769999999998</v>
      </c>
      <c r="F3466" t="s">
        <v>52</v>
      </c>
      <c r="G3466">
        <v>-386.49329999999998</v>
      </c>
      <c r="H3466" s="1">
        <v>1.9274439999999999E-6</v>
      </c>
      <c r="I3466">
        <v>214.4143</v>
      </c>
      <c r="J3466">
        <v>-407.06880000000001</v>
      </c>
      <c r="K3466">
        <v>1.1200600000000001</v>
      </c>
      <c r="L3466">
        <v>215.05520000000001</v>
      </c>
      <c r="M3466">
        <v>0.99989870000000003</v>
      </c>
      <c r="N3466">
        <v>-1.2311600000000001E-2</v>
      </c>
      <c r="O3466">
        <v>-7.1520239999999999E-3</v>
      </c>
      <c r="P3466">
        <v>0.9942377</v>
      </c>
      <c r="Q3466">
        <v>-0.1071868</v>
      </c>
      <c r="R3466">
        <v>1.6674210000000001E-3</v>
      </c>
      <c r="S3466">
        <v>3.0002439999999999</v>
      </c>
      <c r="T3466">
        <v>-0.16135260000000001</v>
      </c>
      <c r="U3466">
        <v>-9.266663E-2</v>
      </c>
      <c r="V3466">
        <v>-8.8990809999999997E-3</v>
      </c>
      <c r="W3466">
        <v>-9.4927310000000001E-2</v>
      </c>
      <c r="X3466">
        <v>0.99544440000000001</v>
      </c>
      <c r="Y3466">
        <v>2.3685790000000002E-2</v>
      </c>
      <c r="Z3466">
        <v>-4.8600910000000001E-4</v>
      </c>
      <c r="AA3466">
        <v>0.99971929999999998</v>
      </c>
      <c r="AB3466">
        <v>27</v>
      </c>
      <c r="AC3466">
        <v>20.575500000000002</v>
      </c>
      <c r="AD3466">
        <v>-1.1200580725560001</v>
      </c>
      <c r="AE3466">
        <v>-0.64090000000001601</v>
      </c>
      <c r="AF3466">
        <v>0.49225868031591202</v>
      </c>
      <c r="AG3466">
        <v>-1.1200580725560001</v>
      </c>
      <c r="AH3466">
        <v>20.518812646399201</v>
      </c>
      <c r="AI3466">
        <v>93.123600240227105</v>
      </c>
      <c r="AJ3466">
        <v>88.625703340136596</v>
      </c>
      <c r="AK3466">
        <v>20.5552553161539</v>
      </c>
      <c r="AL3466">
        <v>95.447136235115195</v>
      </c>
      <c r="AM3466">
        <v>90.512199576664401</v>
      </c>
      <c r="AN3466">
        <v>0.99999997065891899</v>
      </c>
    </row>
    <row r="3467" spans="1:40" x14ac:dyDescent="0.25">
      <c r="A3467" t="str">
        <f>"20190303154837055"</f>
        <v>20190303154837055</v>
      </c>
      <c r="B3467" t="str">
        <f>"1551599317044406"</f>
        <v>1551599317044406</v>
      </c>
      <c r="C3467" t="s">
        <v>40</v>
      </c>
      <c r="D3467">
        <v>5.4818989999999896</v>
      </c>
      <c r="E3467">
        <v>0.50700809999999996</v>
      </c>
      <c r="F3467" t="s">
        <v>52</v>
      </c>
      <c r="G3467">
        <v>-385.7946</v>
      </c>
      <c r="H3467" s="1">
        <v>1.5564170000000001E-6</v>
      </c>
      <c r="I3467">
        <v>214.39619999999999</v>
      </c>
      <c r="J3467">
        <v>-406.7921</v>
      </c>
      <c r="K3467">
        <v>1.120058</v>
      </c>
      <c r="L3467">
        <v>215.05240000000001</v>
      </c>
      <c r="M3467">
        <v>0.99989360000000005</v>
      </c>
      <c r="N3467">
        <v>-1.2309540000000001E-2</v>
      </c>
      <c r="O3467">
        <v>-7.8418009999999903E-3</v>
      </c>
      <c r="P3467">
        <v>0.99430169999999996</v>
      </c>
      <c r="Q3467">
        <v>-0.1065967</v>
      </c>
      <c r="R3467">
        <v>1.1928220000000001E-3</v>
      </c>
      <c r="S3467">
        <v>3.0005190000000002</v>
      </c>
      <c r="T3467">
        <v>-0.15797329999999901</v>
      </c>
      <c r="U3467">
        <v>-9.2941280000000001E-2</v>
      </c>
      <c r="V3467">
        <v>-9.1098700000000008E-3</v>
      </c>
      <c r="W3467">
        <v>-9.4338309999999995E-2</v>
      </c>
      <c r="X3467">
        <v>0.99549849999999995</v>
      </c>
      <c r="Y3467">
        <v>2.308758E-2</v>
      </c>
      <c r="Z3467">
        <v>-4.3346040000000001E-4</v>
      </c>
      <c r="AA3467">
        <v>0.99973330000000005</v>
      </c>
      <c r="AB3467">
        <v>27</v>
      </c>
      <c r="AC3467">
        <v>20.997499999999999</v>
      </c>
      <c r="AD3467">
        <v>-1.120056443583</v>
      </c>
      <c r="AE3467">
        <v>-0.656200000000012</v>
      </c>
      <c r="AF3467">
        <v>0.49011592724122699</v>
      </c>
      <c r="AG3467">
        <v>-1.120056443583</v>
      </c>
      <c r="AH3467">
        <v>20.942468724126101</v>
      </c>
      <c r="AI3467">
        <v>93.060570745351299</v>
      </c>
      <c r="AJ3467">
        <v>88.659353421615293</v>
      </c>
      <c r="AK3467">
        <v>20.978125186010999</v>
      </c>
      <c r="AL3467">
        <v>95.413236809758502</v>
      </c>
      <c r="AM3467">
        <v>90.524302682264803</v>
      </c>
      <c r="AN3467">
        <v>0.99999998498366105</v>
      </c>
    </row>
    <row r="3468" spans="1:40" x14ac:dyDescent="0.25">
      <c r="A3468" t="str">
        <f>"20190303154837077"</f>
        <v>20190303154837077</v>
      </c>
      <c r="B3468" t="str">
        <f>"1551599317074662"</f>
        <v>1551599317074662</v>
      </c>
      <c r="C3468" t="s">
        <v>40</v>
      </c>
      <c r="D3468">
        <v>5.5161989999999896</v>
      </c>
      <c r="E3468">
        <v>0.5062392</v>
      </c>
      <c r="F3468" t="s">
        <v>52</v>
      </c>
      <c r="G3468">
        <v>-390.42090000000002</v>
      </c>
      <c r="H3468" s="1">
        <v>-1.3128039999999899E-6</v>
      </c>
      <c r="I3468">
        <v>214.78049999999999</v>
      </c>
      <c r="J3468">
        <v>-406.52030000000002</v>
      </c>
      <c r="K3468">
        <v>1.1200680000000001</v>
      </c>
      <c r="L3468">
        <v>215.04949999999999</v>
      </c>
      <c r="M3468">
        <v>0.9998882</v>
      </c>
      <c r="N3468">
        <v>-1.230764E-2</v>
      </c>
      <c r="O3468">
        <v>-8.5050300000000002E-3</v>
      </c>
      <c r="P3468">
        <v>0.99433110000000002</v>
      </c>
      <c r="Q3468">
        <v>-0.10632800000000001</v>
      </c>
      <c r="R3468">
        <v>6.2689790000000005E-4</v>
      </c>
      <c r="S3468">
        <v>2.9952390000000002</v>
      </c>
      <c r="T3468">
        <v>-0.2049243</v>
      </c>
      <c r="U3468">
        <v>-4.974365E-2</v>
      </c>
      <c r="V3468">
        <v>-9.2012440000000008E-3</v>
      </c>
      <c r="W3468">
        <v>-9.4071199999999994E-2</v>
      </c>
      <c r="X3468">
        <v>0.99552300000000005</v>
      </c>
      <c r="Y3468">
        <v>8.0912280000000007E-3</v>
      </c>
      <c r="Z3468">
        <v>1.502636E-4</v>
      </c>
      <c r="AA3468">
        <v>0.9999673</v>
      </c>
      <c r="AB3468">
        <v>27</v>
      </c>
      <c r="AC3468">
        <v>16.099399999999999</v>
      </c>
      <c r="AD3468">
        <v>-1.120069312804</v>
      </c>
      <c r="AE3468">
        <v>-0.26900000000000501</v>
      </c>
      <c r="AF3468">
        <v>0.13141811010083901</v>
      </c>
      <c r="AG3468">
        <v>-1.120069312804</v>
      </c>
      <c r="AH3468">
        <v>16.023568748007101</v>
      </c>
      <c r="AI3468">
        <v>93.998414997603405</v>
      </c>
      <c r="AJ3468">
        <v>89.5300963002679</v>
      </c>
      <c r="AK3468">
        <v>16.063205825963198</v>
      </c>
      <c r="AL3468">
        <v>95.397863825162204</v>
      </c>
      <c r="AM3468">
        <v>90.5295482236412</v>
      </c>
      <c r="AN3468">
        <v>1.00000004854479</v>
      </c>
    </row>
    <row r="3469" spans="1:40" x14ac:dyDescent="0.25">
      <c r="A3469" t="str">
        <f>"20190303154837099"</f>
        <v>20190303154837099</v>
      </c>
      <c r="B3469" t="str">
        <f>"1551599317094182"</f>
        <v>1551599317094182</v>
      </c>
      <c r="C3469" t="s">
        <v>40</v>
      </c>
      <c r="D3469">
        <v>5.5089370000000004</v>
      </c>
      <c r="E3469">
        <v>0.50609740000000003</v>
      </c>
      <c r="F3469" t="s">
        <v>52</v>
      </c>
      <c r="G3469">
        <v>-390.3064</v>
      </c>
      <c r="H3469" s="1">
        <v>-1.3737540000000001E-6</v>
      </c>
      <c r="I3469">
        <v>214.80369999999999</v>
      </c>
      <c r="J3469">
        <v>-406.24860000000001</v>
      </c>
      <c r="K3469">
        <v>1.1200829999999999</v>
      </c>
      <c r="L3469">
        <v>215.04640000000001</v>
      </c>
      <c r="M3469">
        <v>0.99988259999999995</v>
      </c>
      <c r="N3469">
        <v>-1.230581E-2</v>
      </c>
      <c r="O3469">
        <v>-9.1439239999999995E-3</v>
      </c>
      <c r="P3469">
        <v>0.99435289999999998</v>
      </c>
      <c r="Q3469">
        <v>-0.1061236</v>
      </c>
      <c r="R3469">
        <v>5.3083239999999999E-4</v>
      </c>
      <c r="S3469">
        <v>2.9949650000000001</v>
      </c>
      <c r="T3469">
        <v>-0.20689389999999999</v>
      </c>
      <c r="U3469">
        <v>-4.5410159999999998E-2</v>
      </c>
      <c r="V3469">
        <v>-9.7364189999999996E-3</v>
      </c>
      <c r="W3469">
        <v>-9.3868229999999997E-2</v>
      </c>
      <c r="X3469">
        <v>0.99553700000000001</v>
      </c>
      <c r="Y3469">
        <v>6.0140530000000001E-3</v>
      </c>
      <c r="Z3469">
        <v>2.7392049999999999E-4</v>
      </c>
      <c r="AA3469">
        <v>0.99998189999999998</v>
      </c>
      <c r="AB3469">
        <v>27</v>
      </c>
      <c r="AC3469">
        <v>15.9422</v>
      </c>
      <c r="AD3469">
        <v>-1.1200843737539901</v>
      </c>
      <c r="AE3469">
        <v>-0.24270000000001299</v>
      </c>
      <c r="AF3469">
        <v>9.6428672556184897E-2</v>
      </c>
      <c r="AG3469">
        <v>-1.1200843737539901</v>
      </c>
      <c r="AH3469">
        <v>15.865453699117699</v>
      </c>
      <c r="AI3469">
        <v>94.038247148180204</v>
      </c>
      <c r="AJ3469">
        <v>89.651766155854403</v>
      </c>
      <c r="AK3469">
        <v>15.905235256734301</v>
      </c>
      <c r="AL3469">
        <v>95.386183181575703</v>
      </c>
      <c r="AM3469">
        <v>90.560338722763802</v>
      </c>
      <c r="AN3469">
        <v>0.99999998041363802</v>
      </c>
    </row>
    <row r="3470" spans="1:40" x14ac:dyDescent="0.25">
      <c r="A3470" t="str">
        <f>"20190303154837122"</f>
        <v>20190303154837122</v>
      </c>
      <c r="B3470" t="str">
        <f>"1551599317113702"</f>
        <v>1551599317113702</v>
      </c>
      <c r="C3470" t="s">
        <v>40</v>
      </c>
      <c r="D3470">
        <v>5.3974949999999904</v>
      </c>
      <c r="E3470">
        <v>0.50761659999999997</v>
      </c>
      <c r="F3470" t="s">
        <v>52</v>
      </c>
      <c r="G3470">
        <v>-390.33760000000001</v>
      </c>
      <c r="H3470" s="1">
        <v>-1.3571539999999999E-6</v>
      </c>
      <c r="I3470">
        <v>214.80889999999999</v>
      </c>
      <c r="J3470">
        <v>-405.97410000000002</v>
      </c>
      <c r="K3470">
        <v>1.120112</v>
      </c>
      <c r="L3470">
        <v>215.04320000000001</v>
      </c>
      <c r="M3470">
        <v>0.99987689999999996</v>
      </c>
      <c r="N3470">
        <v>-1.2303980000000001E-2</v>
      </c>
      <c r="O3470">
        <v>-9.7486580000000003E-3</v>
      </c>
      <c r="P3470">
        <v>0.99430030000000003</v>
      </c>
      <c r="Q3470">
        <v>-0.1066143</v>
      </c>
      <c r="R3470">
        <v>-3.2625440000000003E-4</v>
      </c>
      <c r="S3470">
        <v>2.9945680000000001</v>
      </c>
      <c r="T3470">
        <v>-0.21080779999999999</v>
      </c>
      <c r="U3470">
        <v>-4.4708249999999998E-2</v>
      </c>
      <c r="V3470">
        <v>-9.4744080000000001E-3</v>
      </c>
      <c r="W3470">
        <v>-9.4362280000000007E-2</v>
      </c>
      <c r="X3470">
        <v>0.99549279999999996</v>
      </c>
      <c r="Y3470">
        <v>5.1804620000000003E-3</v>
      </c>
      <c r="Z3470">
        <v>3.5151259999999999E-4</v>
      </c>
      <c r="AA3470">
        <v>0.9999865</v>
      </c>
      <c r="AB3470">
        <v>27</v>
      </c>
      <c r="AC3470">
        <v>15.6365</v>
      </c>
      <c r="AD3470">
        <v>-1.1201133571539901</v>
      </c>
      <c r="AE3470">
        <v>-0.23430000000001799</v>
      </c>
      <c r="AF3470">
        <v>8.1424714637857804E-2</v>
      </c>
      <c r="AG3470">
        <v>-1.1201133571539901</v>
      </c>
      <c r="AH3470">
        <v>15.558221945222501</v>
      </c>
      <c r="AI3470">
        <v>94.117845455436395</v>
      </c>
      <c r="AJ3470">
        <v>89.700142476450097</v>
      </c>
      <c r="AK3470">
        <v>15.5987036004224</v>
      </c>
      <c r="AL3470">
        <v>95.414616481631995</v>
      </c>
      <c r="AM3470">
        <v>90.545284910733699</v>
      </c>
      <c r="AN3470">
        <v>0.99999995957279297</v>
      </c>
    </row>
    <row r="3471" spans="1:40" x14ac:dyDescent="0.25">
      <c r="A3471" t="str">
        <f>"20190303154837144"</f>
        <v>20190303154837144</v>
      </c>
      <c r="B3471" t="str">
        <f>"1551599317134202"</f>
        <v>1551599317134202</v>
      </c>
      <c r="C3471" t="s">
        <v>40</v>
      </c>
      <c r="D3471">
        <v>5.4723040000000003</v>
      </c>
      <c r="E3471">
        <v>0.50728070000000003</v>
      </c>
      <c r="F3471" t="s">
        <v>52</v>
      </c>
      <c r="G3471">
        <v>-388.86649999999997</v>
      </c>
      <c r="H3471" s="1">
        <v>3.1776350000000002E-6</v>
      </c>
      <c r="I3471">
        <v>214.70580000000001</v>
      </c>
      <c r="J3471">
        <v>-405.7013</v>
      </c>
      <c r="K3471">
        <v>1.1201559999999999</v>
      </c>
      <c r="L3471">
        <v>215.03980000000001</v>
      </c>
      <c r="M3471">
        <v>0.99987150000000002</v>
      </c>
      <c r="N3471">
        <v>-1.2302209999999999E-2</v>
      </c>
      <c r="O3471">
        <v>-1.028255E-2</v>
      </c>
      <c r="P3471">
        <v>0.99429920000000005</v>
      </c>
      <c r="Q3471">
        <v>-0.1066184</v>
      </c>
      <c r="R3471">
        <v>-1.3402970000000001E-3</v>
      </c>
      <c r="S3471">
        <v>2.9961549999999999</v>
      </c>
      <c r="T3471">
        <v>-0.19617219999999999</v>
      </c>
      <c r="U3471">
        <v>-5.9082030000000001E-2</v>
      </c>
      <c r="V3471">
        <v>-8.9812009999999994E-3</v>
      </c>
      <c r="W3471">
        <v>-9.4369549999999996E-2</v>
      </c>
      <c r="X3471">
        <v>0.99549670000000001</v>
      </c>
      <c r="Y3471">
        <v>9.4236270000000004E-3</v>
      </c>
      <c r="Z3471">
        <v>1.79858E-4</v>
      </c>
      <c r="AA3471">
        <v>0.99995560000000006</v>
      </c>
      <c r="AB3471">
        <v>27</v>
      </c>
      <c r="AC3471">
        <v>16.834800000000001</v>
      </c>
      <c r="AD3471">
        <v>-1.1201528223649999</v>
      </c>
      <c r="AE3471">
        <v>-0.33400000000000302</v>
      </c>
      <c r="AF3471">
        <v>0.16015579607090899</v>
      </c>
      <c r="AG3471">
        <v>-1.1201528223649999</v>
      </c>
      <c r="AH3471">
        <v>16.763158219878498</v>
      </c>
      <c r="AI3471">
        <v>93.822778588420704</v>
      </c>
      <c r="AJ3471">
        <v>89.452610786529505</v>
      </c>
      <c r="AK3471">
        <v>16.8013054769308</v>
      </c>
      <c r="AL3471">
        <v>95.415034795376499</v>
      </c>
      <c r="AM3471">
        <v>90.5168987015917</v>
      </c>
      <c r="AN3471">
        <v>0.99999997682474695</v>
      </c>
    </row>
    <row r="3472" spans="1:40" x14ac:dyDescent="0.25">
      <c r="A3472" t="str">
        <f>"20190303154837168"</f>
        <v>20190303154837168</v>
      </c>
      <c r="B3472" t="str">
        <f>"1551599317164454"</f>
        <v>1551599317164454</v>
      </c>
      <c r="C3472" t="s">
        <v>40</v>
      </c>
      <c r="D3472">
        <v>5.4656089999999997</v>
      </c>
      <c r="E3472">
        <v>0.50761219999999996</v>
      </c>
      <c r="F3472" t="s">
        <v>52</v>
      </c>
      <c r="G3472">
        <v>-388.93900000000002</v>
      </c>
      <c r="H3472" s="1">
        <v>3.2161999999999998E-6</v>
      </c>
      <c r="I3472">
        <v>214.70609999999999</v>
      </c>
      <c r="J3472">
        <v>-405.416</v>
      </c>
      <c r="K3472">
        <v>1.120212</v>
      </c>
      <c r="L3472">
        <v>215.03630000000001</v>
      </c>
      <c r="M3472">
        <v>0.99986620000000004</v>
      </c>
      <c r="N3472">
        <v>-1.230056E-2</v>
      </c>
      <c r="O3472">
        <v>-1.0788849999999999E-2</v>
      </c>
      <c r="P3472">
        <v>0.99426760000000003</v>
      </c>
      <c r="Q3472">
        <v>-0.10688640000000001</v>
      </c>
      <c r="R3472">
        <v>-2.6643940000000001E-3</v>
      </c>
      <c r="S3472">
        <v>2.9956360000000002</v>
      </c>
      <c r="T3472">
        <v>-0.200186</v>
      </c>
      <c r="U3472">
        <v>-5.9646610000000003E-2</v>
      </c>
      <c r="V3472">
        <v>-8.1493309999999992E-3</v>
      </c>
      <c r="W3472">
        <v>-9.4641249999999996E-2</v>
      </c>
      <c r="X3472">
        <v>0.99547810000000003</v>
      </c>
      <c r="Y3472">
        <v>9.1104810000000001E-3</v>
      </c>
      <c r="Z3472">
        <v>2.2733249999999999E-4</v>
      </c>
      <c r="AA3472">
        <v>0.99995849999999997</v>
      </c>
      <c r="AB3472">
        <v>27</v>
      </c>
      <c r="AC3472">
        <v>16.476999999999901</v>
      </c>
      <c r="AD3472">
        <v>-1.1202087838000001</v>
      </c>
      <c r="AE3472">
        <v>-0.33020000000001898</v>
      </c>
      <c r="AF3472">
        <v>0.15169857007693199</v>
      </c>
      <c r="AG3472">
        <v>-1.1202087838000001</v>
      </c>
      <c r="AH3472">
        <v>16.403813583760201</v>
      </c>
      <c r="AI3472">
        <v>93.906470273593797</v>
      </c>
      <c r="AJ3472">
        <v>89.470157349835006</v>
      </c>
      <c r="AK3472">
        <v>16.442718153219701</v>
      </c>
      <c r="AL3472">
        <v>95.430671850611304</v>
      </c>
      <c r="AM3472">
        <v>90.469032761349197</v>
      </c>
      <c r="AN3472">
        <v>1.0000000126884601</v>
      </c>
    </row>
    <row r="3473" spans="1:40" x14ac:dyDescent="0.25">
      <c r="A3473" t="str">
        <f>"20190303154837190"</f>
        <v>20190303154837190</v>
      </c>
      <c r="B3473" t="str">
        <f>"1551599317183974"</f>
        <v>1551599317183974</v>
      </c>
      <c r="C3473" t="s">
        <v>40</v>
      </c>
      <c r="D3473">
        <v>5.3806459999999996</v>
      </c>
      <c r="E3473">
        <v>0.50830350000000002</v>
      </c>
      <c r="F3473" t="s">
        <v>52</v>
      </c>
      <c r="G3473">
        <v>-388.61399999999998</v>
      </c>
      <c r="H3473" s="1">
        <v>3.04506E-6</v>
      </c>
      <c r="I3473">
        <v>214.66419999999999</v>
      </c>
      <c r="J3473">
        <v>-405.13889999999998</v>
      </c>
      <c r="K3473">
        <v>1.120252</v>
      </c>
      <c r="L3473">
        <v>215.03270000000001</v>
      </c>
      <c r="M3473">
        <v>0.99986160000000002</v>
      </c>
      <c r="N3473">
        <v>-1.229893E-2</v>
      </c>
      <c r="O3473">
        <v>-1.1221780000000001E-2</v>
      </c>
      <c r="P3473">
        <v>0.99425379999999997</v>
      </c>
      <c r="Q3473">
        <v>-0.10696840000000001</v>
      </c>
      <c r="R3473">
        <v>-4.1965969999999998E-3</v>
      </c>
      <c r="S3473">
        <v>2.9956049999999999</v>
      </c>
      <c r="T3473">
        <v>-0.19972029999999999</v>
      </c>
      <c r="U3473">
        <v>-6.6329959999999993E-2</v>
      </c>
      <c r="V3473">
        <v>-7.0370900000000002E-3</v>
      </c>
      <c r="W3473">
        <v>-9.4726679999999994E-2</v>
      </c>
      <c r="X3473">
        <v>0.99547850000000004</v>
      </c>
      <c r="Y3473">
        <v>1.0903609999999999E-2</v>
      </c>
      <c r="Z3473">
        <v>1.791459E-4</v>
      </c>
      <c r="AA3473">
        <v>0.99994050000000001</v>
      </c>
      <c r="AB3473">
        <v>27</v>
      </c>
      <c r="AC3473">
        <v>16.524899999999899</v>
      </c>
      <c r="AD3473">
        <v>-1.1202489549400001</v>
      </c>
      <c r="AE3473">
        <v>-0.36850000000001099</v>
      </c>
      <c r="AF3473">
        <v>0.182187151764512</v>
      </c>
      <c r="AG3473">
        <v>-1.1202489549400001</v>
      </c>
      <c r="AH3473">
        <v>16.452422100302002</v>
      </c>
      <c r="AI3473">
        <v>93.895031439438597</v>
      </c>
      <c r="AJ3473">
        <v>89.365556744618004</v>
      </c>
      <c r="AK3473">
        <v>16.491523363407499</v>
      </c>
      <c r="AL3473">
        <v>95.435588492009401</v>
      </c>
      <c r="AM3473">
        <v>90.405020139720307</v>
      </c>
      <c r="AN3473">
        <v>1.00000005425086</v>
      </c>
    </row>
    <row r="3474" spans="1:40" x14ac:dyDescent="0.25">
      <c r="A3474" t="str">
        <f>"20190303154837212"</f>
        <v>20190303154837212</v>
      </c>
      <c r="B3474" t="str">
        <f>"1551599317204470"</f>
        <v>1551599317204470</v>
      </c>
      <c r="C3474" t="s">
        <v>40</v>
      </c>
      <c r="D3474">
        <v>5.3734310000000001</v>
      </c>
      <c r="E3474">
        <v>0.50894359999999905</v>
      </c>
      <c r="F3474" t="s">
        <v>52</v>
      </c>
      <c r="G3474">
        <v>-387.58890000000002</v>
      </c>
      <c r="H3474" s="1">
        <v>2.502883E-6</v>
      </c>
      <c r="I3474">
        <v>214.58770000000001</v>
      </c>
      <c r="J3474">
        <v>-404.88229999999999</v>
      </c>
      <c r="K3474">
        <v>1.1202859999999999</v>
      </c>
      <c r="L3474">
        <v>215.02940000000001</v>
      </c>
      <c r="M3474">
        <v>0.99985760000000001</v>
      </c>
      <c r="N3474">
        <v>-1.2297489999999999E-2</v>
      </c>
      <c r="O3474">
        <v>-1.156314E-2</v>
      </c>
      <c r="P3474">
        <v>0.9942474</v>
      </c>
      <c r="Q3474">
        <v>-0.1069867</v>
      </c>
      <c r="R3474">
        <v>-5.1290779999999996E-3</v>
      </c>
      <c r="S3474">
        <v>2.996429</v>
      </c>
      <c r="T3474">
        <v>-0.19126799999999999</v>
      </c>
      <c r="U3474">
        <v>-7.5988769999999997E-2</v>
      </c>
      <c r="V3474">
        <v>-6.4356559999999997E-3</v>
      </c>
      <c r="W3474">
        <v>-9.4747440000000002E-2</v>
      </c>
      <c r="X3474">
        <v>0.99548049999999999</v>
      </c>
      <c r="Y3474">
        <v>1.3771540000000001E-2</v>
      </c>
      <c r="Z3474" s="1">
        <v>7.1306599999999999E-5</v>
      </c>
      <c r="AA3474">
        <v>0.99990520000000005</v>
      </c>
      <c r="AB3474">
        <v>27</v>
      </c>
      <c r="AC3474">
        <v>17.293399999999899</v>
      </c>
      <c r="AD3474">
        <v>-1.1202834971169999</v>
      </c>
      <c r="AE3474">
        <v>-0.44169999999999698</v>
      </c>
      <c r="AF3474">
        <v>0.240679980395029</v>
      </c>
      <c r="AG3474">
        <v>-1.1202834971169999</v>
      </c>
      <c r="AH3474">
        <v>17.225112126893599</v>
      </c>
      <c r="AI3474">
        <v>93.720788792004697</v>
      </c>
      <c r="AJ3474">
        <v>89.199479825122694</v>
      </c>
      <c r="AK3474">
        <v>17.263181912698901</v>
      </c>
      <c r="AL3474">
        <v>95.436783837712895</v>
      </c>
      <c r="AM3474">
        <v>90.370404834921899</v>
      </c>
      <c r="AN3474">
        <v>0.99999996046747597</v>
      </c>
    </row>
    <row r="3475" spans="1:40" x14ac:dyDescent="0.25">
      <c r="A3475" t="str">
        <f>"20190303154837233"</f>
        <v>20190303154837233</v>
      </c>
      <c r="B3475" t="str">
        <f>"1551599317223990"</f>
        <v>1551599317223990</v>
      </c>
      <c r="C3475" t="s">
        <v>40</v>
      </c>
      <c r="D3475">
        <v>5.41059</v>
      </c>
      <c r="E3475">
        <v>0.50948369999999998</v>
      </c>
      <c r="F3475" t="s">
        <v>52</v>
      </c>
      <c r="G3475">
        <v>-386.72570000000002</v>
      </c>
      <c r="H3475" s="1">
        <v>2.046485E-6</v>
      </c>
      <c r="I3475">
        <v>214.52029999999999</v>
      </c>
      <c r="J3475">
        <v>-404.61709999999999</v>
      </c>
      <c r="K3475">
        <v>1.120325</v>
      </c>
      <c r="L3475">
        <v>215.02600000000001</v>
      </c>
      <c r="M3475">
        <v>0.99985420000000003</v>
      </c>
      <c r="N3475">
        <v>-1.2296049999999999E-2</v>
      </c>
      <c r="O3475">
        <v>-1.185862E-2</v>
      </c>
      <c r="P3475">
        <v>0.99421300000000001</v>
      </c>
      <c r="Q3475">
        <v>-0.1072999</v>
      </c>
      <c r="R3475">
        <v>-5.2525760000000001E-3</v>
      </c>
      <c r="S3475">
        <v>2.9970089999999998</v>
      </c>
      <c r="T3475">
        <v>-0.1849191</v>
      </c>
      <c r="U3475">
        <v>-8.4030149999999998E-2</v>
      </c>
      <c r="V3475">
        <v>-6.5963719999999997E-3</v>
      </c>
      <c r="W3475">
        <v>-9.5063040000000001E-2</v>
      </c>
      <c r="X3475">
        <v>0.99544940000000004</v>
      </c>
      <c r="Y3475">
        <v>1.6147789999999999E-2</v>
      </c>
      <c r="Z3475" s="1">
        <v>-1.189098E-5</v>
      </c>
      <c r="AA3475">
        <v>0.99986960000000003</v>
      </c>
      <c r="AB3475">
        <v>27</v>
      </c>
      <c r="AC3475">
        <v>17.891399999999901</v>
      </c>
      <c r="AD3475">
        <v>-1.1203229535150001</v>
      </c>
      <c r="AE3475">
        <v>-0.50569999999999005</v>
      </c>
      <c r="AF3475">
        <v>0.29233577055910198</v>
      </c>
      <c r="AG3475">
        <v>-1.1203229535150001</v>
      </c>
      <c r="AH3475">
        <v>17.826297842919899</v>
      </c>
      <c r="AI3475">
        <v>93.595635584900094</v>
      </c>
      <c r="AJ3475">
        <v>89.060483295806605</v>
      </c>
      <c r="AK3475">
        <v>17.863859563582899</v>
      </c>
      <c r="AL3475">
        <v>95.4549481547634</v>
      </c>
      <c r="AM3475">
        <v>90.379666454057599</v>
      </c>
      <c r="AN3475">
        <v>1.00000000082898</v>
      </c>
    </row>
    <row r="3476" spans="1:40" x14ac:dyDescent="0.25">
      <c r="A3476" t="str">
        <f>"20190303154837257"</f>
        <v>20190303154837257</v>
      </c>
      <c r="B3476" t="str">
        <f>"1551599317244486"</f>
        <v>1551599317244486</v>
      </c>
      <c r="C3476" t="s">
        <v>40</v>
      </c>
      <c r="D3476">
        <v>5.3931589999999998</v>
      </c>
      <c r="E3476">
        <v>0.50992979999999999</v>
      </c>
      <c r="F3476" t="s">
        <v>52</v>
      </c>
      <c r="G3476">
        <v>-386.05689999999998</v>
      </c>
      <c r="H3476" s="1">
        <v>1.6924559999999999E-6</v>
      </c>
      <c r="I3476">
        <v>214.47720000000001</v>
      </c>
      <c r="J3476">
        <v>-404.33640000000003</v>
      </c>
      <c r="K3476">
        <v>1.1203529999999999</v>
      </c>
      <c r="L3476">
        <v>215.0223</v>
      </c>
      <c r="M3476">
        <v>0.99985100000000005</v>
      </c>
      <c r="N3476">
        <v>-1.2294599999999999E-2</v>
      </c>
      <c r="O3476">
        <v>-1.2121730000000001E-2</v>
      </c>
      <c r="P3476">
        <v>0.99417469999999997</v>
      </c>
      <c r="Q3476">
        <v>-0.107666899999999</v>
      </c>
      <c r="R3476">
        <v>-4.9558839999999998E-3</v>
      </c>
      <c r="S3476">
        <v>2.9974669999999999</v>
      </c>
      <c r="T3476">
        <v>-0.1809317</v>
      </c>
      <c r="U3476">
        <v>-8.8623049999999995E-2</v>
      </c>
      <c r="V3476">
        <v>-7.146258E-3</v>
      </c>
      <c r="W3476">
        <v>-9.5432310000000006E-2</v>
      </c>
      <c r="X3476">
        <v>0.99541029999999997</v>
      </c>
      <c r="Y3476">
        <v>1.740939E-2</v>
      </c>
      <c r="Z3476" s="1">
        <v>-5.009305E-5</v>
      </c>
      <c r="AA3476">
        <v>0.99984839999999997</v>
      </c>
      <c r="AB3476">
        <v>27</v>
      </c>
      <c r="AC3476">
        <v>18.279499999999999</v>
      </c>
      <c r="AD3476">
        <v>-1.1203513075439999</v>
      </c>
      <c r="AE3476">
        <v>-0.54509999999999004</v>
      </c>
      <c r="AF3476">
        <v>0.32225458184986699</v>
      </c>
      <c r="AG3476">
        <v>-1.1203513075439999</v>
      </c>
      <c r="AH3476">
        <v>18.216396306480402</v>
      </c>
      <c r="AI3476">
        <v>93.518843352703698</v>
      </c>
      <c r="AJ3476">
        <v>88.986522831285598</v>
      </c>
      <c r="AK3476">
        <v>18.253660714020899</v>
      </c>
      <c r="AL3476">
        <v>95.476202236923697</v>
      </c>
      <c r="AM3476">
        <v>90.411331275585297</v>
      </c>
      <c r="AN3476">
        <v>1.0000000300707099</v>
      </c>
    </row>
    <row r="3477" spans="1:40" x14ac:dyDescent="0.25">
      <c r="A3477" t="str">
        <f>"20190303154837278"</f>
        <v>20190303154837278</v>
      </c>
      <c r="B3477" t="str">
        <f>"1551599317273767"</f>
        <v>1551599317273767</v>
      </c>
      <c r="C3477" t="s">
        <v>40</v>
      </c>
      <c r="D3477">
        <v>5.4262579999999998</v>
      </c>
      <c r="E3477">
        <v>0.51056679999999999</v>
      </c>
      <c r="F3477" t="s">
        <v>52</v>
      </c>
      <c r="G3477">
        <v>-385.44529999999997</v>
      </c>
      <c r="H3477" s="1">
        <v>1.3683319999999999E-6</v>
      </c>
      <c r="I3477">
        <v>214.44649999999999</v>
      </c>
      <c r="J3477">
        <v>-404.06990000000002</v>
      </c>
      <c r="K3477">
        <v>1.120377</v>
      </c>
      <c r="L3477">
        <v>215.0187</v>
      </c>
      <c r="M3477">
        <v>0.99984819999999996</v>
      </c>
      <c r="N3477">
        <v>-1.22933E-2</v>
      </c>
      <c r="O3477">
        <v>-1.23408999999999E-2</v>
      </c>
      <c r="P3477">
        <v>0.99416519999999997</v>
      </c>
      <c r="Q3477">
        <v>-0.1077721</v>
      </c>
      <c r="R3477">
        <v>-4.5568880000000003E-3</v>
      </c>
      <c r="S3477">
        <v>2.9978639999999999</v>
      </c>
      <c r="T3477">
        <v>-0.17779020000000001</v>
      </c>
      <c r="U3477">
        <v>-9.1369629999999993E-2</v>
      </c>
      <c r="V3477">
        <v>-7.7565749999999999E-3</v>
      </c>
      <c r="W3477">
        <v>-9.5539120000000005E-2</v>
      </c>
      <c r="X3477">
        <v>0.99539549999999999</v>
      </c>
      <c r="Y3477">
        <v>1.8100910000000001E-2</v>
      </c>
      <c r="Z3477" s="1">
        <v>-6.8116029999999998E-5</v>
      </c>
      <c r="AA3477">
        <v>0.99983610000000001</v>
      </c>
      <c r="AB3477">
        <v>27</v>
      </c>
      <c r="AC3477">
        <v>18.624600000000001</v>
      </c>
      <c r="AD3477">
        <v>-1.120375631668</v>
      </c>
      <c r="AE3477">
        <v>-0.57220000000000903</v>
      </c>
      <c r="AF3477">
        <v>0.34106166757185202</v>
      </c>
      <c r="AG3477">
        <v>-1.120375631668</v>
      </c>
      <c r="AH3477">
        <v>18.563132297637299</v>
      </c>
      <c r="AI3477">
        <v>93.453308744262003</v>
      </c>
      <c r="AJ3477">
        <v>88.947419251370704</v>
      </c>
      <c r="AK3477">
        <v>18.600038852559099</v>
      </c>
      <c r="AL3477">
        <v>95.482350009471801</v>
      </c>
      <c r="AM3477">
        <v>90.446465767540502</v>
      </c>
      <c r="AN3477">
        <v>1.0000000446631701</v>
      </c>
    </row>
    <row r="3478" spans="1:40" x14ac:dyDescent="0.25">
      <c r="A3478" t="str">
        <f>"20190303154837312"</f>
        <v>20190303154837312</v>
      </c>
      <c r="B3478" t="str">
        <f>"1551599317304022"</f>
        <v>1551599317304022</v>
      </c>
      <c r="C3478" t="s">
        <v>40</v>
      </c>
      <c r="D3478">
        <v>5.4148670000000001</v>
      </c>
      <c r="E3478">
        <v>0.51105619999999996</v>
      </c>
      <c r="F3478" t="s">
        <v>52</v>
      </c>
      <c r="G3478">
        <v>-384.69819999999999</v>
      </c>
      <c r="H3478" s="1">
        <v>9.7265390000000008E-7</v>
      </c>
      <c r="I3478">
        <v>214.40350000000001</v>
      </c>
      <c r="J3478">
        <v>-403.66149999999999</v>
      </c>
      <c r="K3478">
        <v>1.1203909999999999</v>
      </c>
      <c r="L3478">
        <v>215.01329999999999</v>
      </c>
      <c r="M3478">
        <v>0.99984439999999997</v>
      </c>
      <c r="N3478">
        <v>-1.2291420000000001E-2</v>
      </c>
      <c r="O3478">
        <v>-1.265642E-2</v>
      </c>
      <c r="P3478">
        <v>0.99407310000000004</v>
      </c>
      <c r="Q3478">
        <v>-0.10866389999999999</v>
      </c>
      <c r="R3478">
        <v>-3.2863649999999999E-3</v>
      </c>
      <c r="S3478">
        <v>2.9984130000000002</v>
      </c>
      <c r="T3478">
        <v>-0.173415299999999</v>
      </c>
      <c r="U3478">
        <v>-9.5230099999999998E-2</v>
      </c>
      <c r="V3478">
        <v>-9.3363109999999999E-3</v>
      </c>
      <c r="W3478">
        <v>-9.6433660000000004E-2</v>
      </c>
      <c r="X3478">
        <v>0.99529559999999995</v>
      </c>
      <c r="Y3478">
        <v>1.906511E-2</v>
      </c>
      <c r="Z3478" s="1">
        <v>-9.2338629999999999E-5</v>
      </c>
      <c r="AA3478">
        <v>0.99981830000000005</v>
      </c>
      <c r="AB3478">
        <v>27</v>
      </c>
      <c r="AC3478">
        <v>18.9633</v>
      </c>
      <c r="AD3478">
        <v>-1.1203900273460901</v>
      </c>
      <c r="AE3478">
        <v>-0.60979999999997803</v>
      </c>
      <c r="AF3478">
        <v>0.36844075735508602</v>
      </c>
      <c r="AG3478">
        <v>-1.1203900273460901</v>
      </c>
      <c r="AH3478">
        <v>18.903581079737201</v>
      </c>
      <c r="AI3478">
        <v>93.391233914959898</v>
      </c>
      <c r="AJ3478">
        <v>88.883416437818795</v>
      </c>
      <c r="AK3478">
        <v>18.9403379073145</v>
      </c>
      <c r="AL3478">
        <v>95.533841518100502</v>
      </c>
      <c r="AM3478">
        <v>90.537443878323998</v>
      </c>
      <c r="AN3478">
        <v>0.99999997443172095</v>
      </c>
    </row>
    <row r="3479" spans="1:40" x14ac:dyDescent="0.25">
      <c r="A3479" t="str">
        <f>"20190303154837334"</f>
        <v>20190303154837334</v>
      </c>
      <c r="B3479" t="str">
        <f>"1551599317324518"</f>
        <v>1551599317324518</v>
      </c>
      <c r="C3479" t="s">
        <v>40</v>
      </c>
      <c r="D3479">
        <v>5.4498110000000004</v>
      </c>
      <c r="E3479">
        <v>0.51125739999999997</v>
      </c>
      <c r="F3479" t="s">
        <v>52</v>
      </c>
      <c r="G3479">
        <v>-384.19470000000001</v>
      </c>
      <c r="H3479" s="1">
        <v>7.0510849999999995E-7</v>
      </c>
      <c r="I3479">
        <v>214.39510000000001</v>
      </c>
      <c r="J3479">
        <v>-403.39690000000002</v>
      </c>
      <c r="K3479">
        <v>1.120387</v>
      </c>
      <c r="L3479">
        <v>215.00970000000001</v>
      </c>
      <c r="M3479">
        <v>0.9998418</v>
      </c>
      <c r="N3479">
        <v>-1.2290300000000001E-2</v>
      </c>
      <c r="O3479">
        <v>-1.286146E-2</v>
      </c>
      <c r="P3479">
        <v>0.99404899999999996</v>
      </c>
      <c r="Q3479">
        <v>-0.1088943</v>
      </c>
      <c r="R3479">
        <v>-3.0192970000000002E-3</v>
      </c>
      <c r="S3479">
        <v>2.998688</v>
      </c>
      <c r="T3479">
        <v>-0.1725864</v>
      </c>
      <c r="U3479">
        <v>-9.5230099999999998E-2</v>
      </c>
      <c r="V3479">
        <v>-9.8078339999999996E-3</v>
      </c>
      <c r="W3479">
        <v>-9.6665280000000006E-2</v>
      </c>
      <c r="X3479">
        <v>0.99526859999999995</v>
      </c>
      <c r="Y3479">
        <v>1.885798E-2</v>
      </c>
      <c r="Z3479" s="1">
        <v>-7.6694730000000005E-5</v>
      </c>
      <c r="AA3479">
        <v>0.99982210000000005</v>
      </c>
      <c r="AB3479">
        <v>27</v>
      </c>
      <c r="AC3479">
        <v>19.202200000000001</v>
      </c>
      <c r="AD3479">
        <v>-1.1203862948915</v>
      </c>
      <c r="AE3479">
        <v>-0.61459999999999504</v>
      </c>
      <c r="AF3479">
        <v>0.36631639605251298</v>
      </c>
      <c r="AG3479">
        <v>-1.1203862948915</v>
      </c>
      <c r="AH3479">
        <v>19.143412666567102</v>
      </c>
      <c r="AI3479">
        <v>93.348857104107907</v>
      </c>
      <c r="AJ3479">
        <v>88.903757513457904</v>
      </c>
      <c r="AK3479">
        <v>19.179668966754299</v>
      </c>
      <c r="AL3479">
        <v>95.547174636690201</v>
      </c>
      <c r="AM3479">
        <v>90.564600656661995</v>
      </c>
      <c r="AN3479">
        <v>0.99999997805560403</v>
      </c>
    </row>
    <row r="3480" spans="1:40" x14ac:dyDescent="0.25">
      <c r="A3480" t="str">
        <f>"20190303154837357"</f>
        <v>20190303154837357</v>
      </c>
      <c r="B3480" t="str">
        <f>"1551599317353798"</f>
        <v>1551599317353798</v>
      </c>
      <c r="C3480" t="s">
        <v>40</v>
      </c>
      <c r="D3480">
        <v>5.4595580000000004</v>
      </c>
      <c r="E3480">
        <v>0.51159370000000004</v>
      </c>
      <c r="F3480" t="s">
        <v>52</v>
      </c>
      <c r="G3480">
        <v>-383.8596</v>
      </c>
      <c r="H3480" s="1">
        <v>5.2739230000000004E-7</v>
      </c>
      <c r="I3480">
        <v>214.38149999999999</v>
      </c>
      <c r="J3480">
        <v>-403.113</v>
      </c>
      <c r="K3480">
        <v>1.1203920000000001</v>
      </c>
      <c r="L3480">
        <v>215.00569999999999</v>
      </c>
      <c r="M3480">
        <v>0.99983889999999997</v>
      </c>
      <c r="N3480">
        <v>-1.228917E-2</v>
      </c>
      <c r="O3480">
        <v>-1.3083940000000001E-2</v>
      </c>
      <c r="P3480">
        <v>0.99410359999999998</v>
      </c>
      <c r="Q3480">
        <v>-0.10838780000000001</v>
      </c>
      <c r="R3480">
        <v>-3.2239830000000001E-3</v>
      </c>
      <c r="S3480">
        <v>2.9988709999999998</v>
      </c>
      <c r="T3480">
        <v>-0.17197370000000001</v>
      </c>
      <c r="U3480">
        <v>-9.6420290000000006E-2</v>
      </c>
      <c r="V3480">
        <v>-9.8254069999999995E-3</v>
      </c>
      <c r="W3480">
        <v>-9.6159289999999994E-2</v>
      </c>
      <c r="X3480">
        <v>0.99531749999999997</v>
      </c>
      <c r="Y3480">
        <v>1.902999E-2</v>
      </c>
      <c r="Z3480" s="1">
        <v>-7.3357189999999996E-5</v>
      </c>
      <c r="AA3480">
        <v>0.99981889999999995</v>
      </c>
      <c r="AB3480">
        <v>27</v>
      </c>
      <c r="AC3480">
        <v>19.253399999999999</v>
      </c>
      <c r="AD3480">
        <v>-1.1203914726077</v>
      </c>
      <c r="AE3480">
        <v>-0.62420000000000098</v>
      </c>
      <c r="AF3480">
        <v>0.370962342796617</v>
      </c>
      <c r="AG3480">
        <v>-1.1203914726077</v>
      </c>
      <c r="AH3480">
        <v>19.194987669859799</v>
      </c>
      <c r="AI3480">
        <v>93.339882646850398</v>
      </c>
      <c r="AJ3480">
        <v>88.892839557675401</v>
      </c>
      <c r="AK3480">
        <v>19.231236095418701</v>
      </c>
      <c r="AL3480">
        <v>95.518047531868604</v>
      </c>
      <c r="AM3480">
        <v>90.565584416734296</v>
      </c>
      <c r="AN3480">
        <v>1.0000000367411299</v>
      </c>
    </row>
    <row r="3481" spans="1:40" x14ac:dyDescent="0.25">
      <c r="A3481" t="str">
        <f>"20190303154837381"</f>
        <v>20190303154837381</v>
      </c>
      <c r="B3481" t="str">
        <f>"1551599317374294"</f>
        <v>1551599317374294</v>
      </c>
      <c r="C3481" t="s">
        <v>40</v>
      </c>
      <c r="D3481">
        <v>5.4869089999999998</v>
      </c>
      <c r="E3481">
        <v>0.51187190000000005</v>
      </c>
      <c r="F3481" t="s">
        <v>52</v>
      </c>
      <c r="G3481">
        <v>-383.2704</v>
      </c>
      <c r="H3481" s="1">
        <v>2.1542540000000001E-7</v>
      </c>
      <c r="I3481">
        <v>214.34469999999999</v>
      </c>
      <c r="J3481">
        <v>-402.81990000000002</v>
      </c>
      <c r="K3481">
        <v>1.12039</v>
      </c>
      <c r="L3481">
        <v>215.0016</v>
      </c>
      <c r="M3481">
        <v>0.99983580000000005</v>
      </c>
      <c r="N3481">
        <v>-1.228802E-2</v>
      </c>
      <c r="O3481">
        <v>-1.3320240000000001E-2</v>
      </c>
      <c r="P3481">
        <v>0.99414840000000004</v>
      </c>
      <c r="Q3481">
        <v>-0.10794570000000001</v>
      </c>
      <c r="R3481">
        <v>-4.0889280000000004E-3</v>
      </c>
      <c r="S3481">
        <v>2.9990230000000002</v>
      </c>
      <c r="T3481">
        <v>-0.16933670000000001</v>
      </c>
      <c r="U3481">
        <v>-9.9914550000000005E-2</v>
      </c>
      <c r="V3481">
        <v>-9.1959959999999997E-3</v>
      </c>
      <c r="W3481">
        <v>-9.5717880000000005E-2</v>
      </c>
      <c r="X3481">
        <v>0.99536599999999997</v>
      </c>
      <c r="Y3481">
        <v>1.9954710000000001E-2</v>
      </c>
      <c r="Z3481" s="1">
        <v>-9.7818699999999999E-5</v>
      </c>
      <c r="AA3481">
        <v>0.99980089999999999</v>
      </c>
      <c r="AB3481">
        <v>27</v>
      </c>
      <c r="AC3481">
        <v>19.549499999999998</v>
      </c>
      <c r="AD3481">
        <v>-1.1203897845746</v>
      </c>
      <c r="AE3481">
        <v>-0.65690000000000703</v>
      </c>
      <c r="AF3481">
        <v>0.39512171799370799</v>
      </c>
      <c r="AG3481">
        <v>-1.1203897845746</v>
      </c>
      <c r="AH3481">
        <v>19.492565278730499</v>
      </c>
      <c r="AI3481">
        <v>93.288941815721699</v>
      </c>
      <c r="AJ3481">
        <v>88.838751770141002</v>
      </c>
      <c r="AK3481">
        <v>19.528735125116999</v>
      </c>
      <c r="AL3481">
        <v>95.492639733650805</v>
      </c>
      <c r="AM3481">
        <v>90.529329682685002</v>
      </c>
      <c r="AN3481">
        <v>0.999999976425062</v>
      </c>
    </row>
    <row r="3482" spans="1:40" x14ac:dyDescent="0.25">
      <c r="A3482" t="str">
        <f>"20190303154837401"</f>
        <v>20190303154837401</v>
      </c>
      <c r="B3482" t="str">
        <f>"1551599317393814"</f>
        <v>1551599317393814</v>
      </c>
      <c r="C3482" t="s">
        <v>40</v>
      </c>
      <c r="D3482">
        <v>5.5251210000000004</v>
      </c>
      <c r="E3482">
        <v>0.5118644</v>
      </c>
      <c r="F3482" t="s">
        <v>52</v>
      </c>
      <c r="G3482">
        <v>-382.6454</v>
      </c>
      <c r="H3482" s="1">
        <v>-1.1501339999999999E-7</v>
      </c>
      <c r="I3482">
        <v>214.2961</v>
      </c>
      <c r="J3482">
        <v>-402.56790000000001</v>
      </c>
      <c r="K3482">
        <v>1.120382</v>
      </c>
      <c r="L3482">
        <v>214.99799999999999</v>
      </c>
      <c r="M3482">
        <v>0.99983299999999997</v>
      </c>
      <c r="N3482">
        <v>-1.2287060000000001E-2</v>
      </c>
      <c r="O3482">
        <v>-1.3532570000000001E-2</v>
      </c>
      <c r="P3482">
        <v>0.99417909999999998</v>
      </c>
      <c r="Q3482">
        <v>-0.10762239999999999</v>
      </c>
      <c r="R3482">
        <v>-5.028785E-3</v>
      </c>
      <c r="S3482">
        <v>2.9991460000000001</v>
      </c>
      <c r="T3482">
        <v>-0.16655799999999901</v>
      </c>
      <c r="U3482">
        <v>-0.1048737</v>
      </c>
      <c r="V3482">
        <v>-8.4681779999999998E-3</v>
      </c>
      <c r="W3482">
        <v>-9.5395350000000004E-2</v>
      </c>
      <c r="X3482">
        <v>0.9954035</v>
      </c>
      <c r="Y3482">
        <v>2.1390369999999999E-2</v>
      </c>
      <c r="Z3482">
        <v>-1.403826E-4</v>
      </c>
      <c r="AA3482">
        <v>0.99977119999999997</v>
      </c>
      <c r="AB3482">
        <v>27</v>
      </c>
      <c r="AC3482">
        <v>19.922499999999999</v>
      </c>
      <c r="AD3482">
        <v>-1.1203821150133999</v>
      </c>
      <c r="AE3482">
        <v>-0.70189999999999397</v>
      </c>
      <c r="AF3482">
        <v>0.43085183195967802</v>
      </c>
      <c r="AG3482">
        <v>-1.1203821150133999</v>
      </c>
      <c r="AH3482">
        <v>19.8674197961757</v>
      </c>
      <c r="AI3482">
        <v>93.226901469087906</v>
      </c>
      <c r="AJ3482">
        <v>88.757658367866</v>
      </c>
      <c r="AK3482">
        <v>19.903649382518299</v>
      </c>
      <c r="AL3482">
        <v>95.474074740646103</v>
      </c>
      <c r="AM3482">
        <v>90.487419579127007</v>
      </c>
      <c r="AN3482">
        <v>1.00000005532625</v>
      </c>
    </row>
    <row r="3483" spans="1:40" x14ac:dyDescent="0.25">
      <c r="A3483" t="str">
        <f>"20190303154837423"</f>
        <v>20190303154837423</v>
      </c>
      <c r="B3483" t="str">
        <f>"1551599317414310"</f>
        <v>1551599317414310</v>
      </c>
      <c r="C3483" t="s">
        <v>40</v>
      </c>
      <c r="D3483">
        <v>5.4906550000000003</v>
      </c>
      <c r="E3483">
        <v>0.51158059999999905</v>
      </c>
      <c r="F3483" t="s">
        <v>52</v>
      </c>
      <c r="G3483">
        <v>-382.22239999999999</v>
      </c>
      <c r="H3483" s="1">
        <v>-3.3889030000000002E-7</v>
      </c>
      <c r="I3483">
        <v>214.26750000000001</v>
      </c>
      <c r="J3483">
        <v>-402.31540000000001</v>
      </c>
      <c r="K3483">
        <v>1.1203780000000001</v>
      </c>
      <c r="L3483">
        <v>214.99430000000001</v>
      </c>
      <c r="M3483">
        <v>0.99983010000000005</v>
      </c>
      <c r="N3483">
        <v>-1.2286119999999999E-2</v>
      </c>
      <c r="O3483">
        <v>-1.3752179999999999E-2</v>
      </c>
      <c r="P3483">
        <v>0.99423830000000002</v>
      </c>
      <c r="Q3483">
        <v>-0.107001</v>
      </c>
      <c r="R3483">
        <v>-6.428408E-3</v>
      </c>
      <c r="S3483">
        <v>2.9991150000000002</v>
      </c>
      <c r="T3483">
        <v>-0.16515469999999999</v>
      </c>
      <c r="U3483">
        <v>-0.10768129999999999</v>
      </c>
      <c r="V3483">
        <v>-7.2886390000000004E-3</v>
      </c>
      <c r="W3483">
        <v>-9.4774449999999996E-2</v>
      </c>
      <c r="X3483">
        <v>0.99547209999999997</v>
      </c>
      <c r="Y3483">
        <v>2.2105110000000001E-2</v>
      </c>
      <c r="Z3483">
        <v>-1.5635789999999999E-4</v>
      </c>
      <c r="AA3483">
        <v>0.99975559999999997</v>
      </c>
      <c r="AB3483">
        <v>27</v>
      </c>
      <c r="AC3483">
        <v>20.093</v>
      </c>
      <c r="AD3483">
        <v>-1.1203783388902999</v>
      </c>
      <c r="AE3483">
        <v>-0.726799999999997</v>
      </c>
      <c r="AF3483">
        <v>0.44899373154584499</v>
      </c>
      <c r="AG3483">
        <v>-1.1203783388902999</v>
      </c>
      <c r="AH3483">
        <v>20.0388732545733</v>
      </c>
      <c r="AI3483">
        <v>93.199288164804102</v>
      </c>
      <c r="AJ3483">
        <v>88.716437706323404</v>
      </c>
      <c r="AK3483">
        <v>20.075190766368198</v>
      </c>
      <c r="AL3483">
        <v>95.438338115154707</v>
      </c>
      <c r="AM3483">
        <v>90.419500246029898</v>
      </c>
      <c r="AN3483">
        <v>1.0000000112548399</v>
      </c>
    </row>
    <row r="3484" spans="1:40" x14ac:dyDescent="0.25">
      <c r="A3484" t="str">
        <f>"20190303154837446"</f>
        <v>20190303154837446</v>
      </c>
      <c r="B3484" t="str">
        <f>"1551599317433830"</f>
        <v>1551599317433830</v>
      </c>
      <c r="C3484" t="s">
        <v>40</v>
      </c>
      <c r="D3484">
        <v>5.5444110000000002</v>
      </c>
      <c r="E3484">
        <v>0.51133519999999999</v>
      </c>
      <c r="F3484" t="s">
        <v>52</v>
      </c>
      <c r="G3484">
        <v>-381.79469999999998</v>
      </c>
      <c r="H3484" s="1">
        <v>-5.654666E-7</v>
      </c>
      <c r="I3484">
        <v>214.24440000000001</v>
      </c>
      <c r="J3484">
        <v>-402.03149999999999</v>
      </c>
      <c r="K3484">
        <v>1.1203669999999999</v>
      </c>
      <c r="L3484">
        <v>214.99010000000001</v>
      </c>
      <c r="M3484">
        <v>0.99982649999999995</v>
      </c>
      <c r="N3484">
        <v>-1.2284949999999999E-2</v>
      </c>
      <c r="O3484">
        <v>-1.4005689999999999E-2</v>
      </c>
      <c r="P3484">
        <v>0.99425629999999998</v>
      </c>
      <c r="Q3484">
        <v>-0.1067091</v>
      </c>
      <c r="R3484">
        <v>-8.22465E-3</v>
      </c>
      <c r="S3484">
        <v>2.9990230000000002</v>
      </c>
      <c r="T3484">
        <v>-0.16373960000000001</v>
      </c>
      <c r="U3484">
        <v>-0.10958859999999999</v>
      </c>
      <c r="V3484">
        <v>-5.7456109999999899E-3</v>
      </c>
      <c r="W3484">
        <v>-9.4483860000000003E-2</v>
      </c>
      <c r="X3484">
        <v>0.9955098</v>
      </c>
      <c r="Y3484">
        <v>2.24876E-2</v>
      </c>
      <c r="Z3484">
        <v>-1.596686E-4</v>
      </c>
      <c r="AA3484">
        <v>0.9997471</v>
      </c>
      <c r="AB3484">
        <v>27</v>
      </c>
      <c r="AC3484">
        <v>20.236799999999999</v>
      </c>
      <c r="AD3484">
        <v>-1.1203675654666001</v>
      </c>
      <c r="AE3484">
        <v>-0.74569999999999903</v>
      </c>
      <c r="AF3484">
        <v>0.46076477396700899</v>
      </c>
      <c r="AG3484">
        <v>-1.1203675654666001</v>
      </c>
      <c r="AH3484">
        <v>20.183480151854202</v>
      </c>
      <c r="AI3484">
        <v>93.176352828590396</v>
      </c>
      <c r="AJ3484">
        <v>88.692232856081901</v>
      </c>
      <c r="AK3484">
        <v>20.219802142923498</v>
      </c>
      <c r="AL3484">
        <v>95.421613617086294</v>
      </c>
      <c r="AM3484">
        <v>90.3306804270849</v>
      </c>
      <c r="AN3484">
        <v>0.99999998687115099</v>
      </c>
    </row>
    <row r="3485" spans="1:40" x14ac:dyDescent="0.25">
      <c r="A3485" t="str">
        <f>"20190303154837467"</f>
        <v>20190303154837467</v>
      </c>
      <c r="B3485" t="str">
        <f>"1551599317464086"</f>
        <v>1551599317464086</v>
      </c>
      <c r="C3485" t="s">
        <v>40</v>
      </c>
      <c r="D3485">
        <v>5.5322899999999997</v>
      </c>
      <c r="E3485">
        <v>0.51115679999999997</v>
      </c>
      <c r="F3485" t="s">
        <v>52</v>
      </c>
      <c r="G3485">
        <v>-381.48230000000001</v>
      </c>
      <c r="H3485" s="1">
        <v>-7.3038389999999997E-7</v>
      </c>
      <c r="I3485">
        <v>214.21420000000001</v>
      </c>
      <c r="J3485">
        <v>-401.76260000000002</v>
      </c>
      <c r="K3485">
        <v>1.1203559999999999</v>
      </c>
      <c r="L3485">
        <v>214.98599999999999</v>
      </c>
      <c r="M3485">
        <v>0.99982300000000002</v>
      </c>
      <c r="N3485">
        <v>-1.228401E-2</v>
      </c>
      <c r="O3485">
        <v>-1.425326E-2</v>
      </c>
      <c r="P3485">
        <v>0.99418620000000002</v>
      </c>
      <c r="Q3485">
        <v>-0.107234</v>
      </c>
      <c r="R3485">
        <v>-9.7634460000000003E-3</v>
      </c>
      <c r="S3485">
        <v>2.998901</v>
      </c>
      <c r="T3485">
        <v>-0.16350410000000001</v>
      </c>
      <c r="U3485">
        <v>-0.1132355</v>
      </c>
      <c r="V3485">
        <v>-4.4542100000000001E-3</v>
      </c>
      <c r="W3485">
        <v>-9.5010730000000002E-2</v>
      </c>
      <c r="X3485">
        <v>0.99546630000000003</v>
      </c>
      <c r="Y3485">
        <v>2.345413E-2</v>
      </c>
      <c r="Z3485">
        <v>-1.8168160000000001E-4</v>
      </c>
      <c r="AA3485">
        <v>0.99972490000000003</v>
      </c>
      <c r="AB3485">
        <v>27</v>
      </c>
      <c r="AC3485">
        <v>20.2803</v>
      </c>
      <c r="AD3485">
        <v>-1.1203567303838999</v>
      </c>
      <c r="AE3485">
        <v>-0.77179999999998405</v>
      </c>
      <c r="AF3485">
        <v>0.48117305150919698</v>
      </c>
      <c r="AG3485">
        <v>-1.1203567303838999</v>
      </c>
      <c r="AH3485">
        <v>20.2275986317056</v>
      </c>
      <c r="AI3485">
        <v>93.169337754177604</v>
      </c>
      <c r="AJ3485">
        <v>88.637308007996495</v>
      </c>
      <c r="AK3485">
        <v>20.264315263886701</v>
      </c>
      <c r="AL3485">
        <v>95.451937298702404</v>
      </c>
      <c r="AM3485">
        <v>90.256368026628607</v>
      </c>
      <c r="AN3485">
        <v>1.0000000166187699</v>
      </c>
    </row>
    <row r="3486" spans="1:40" x14ac:dyDescent="0.25">
      <c r="A3486" t="str">
        <f>"20190303154837490"</f>
        <v>20190303154837490</v>
      </c>
      <c r="B3486" t="str">
        <f>"1551599317484582"</f>
        <v>1551599317484582</v>
      </c>
      <c r="C3486" t="s">
        <v>40</v>
      </c>
      <c r="D3486">
        <v>5.5291769999999998</v>
      </c>
      <c r="E3486">
        <v>0.51095069999999998</v>
      </c>
      <c r="F3486" t="s">
        <v>52</v>
      </c>
      <c r="G3486">
        <v>-381.49149999999997</v>
      </c>
      <c r="H3486" s="1">
        <v>-7.2490139999999898E-7</v>
      </c>
      <c r="I3486">
        <v>214.19980000000001</v>
      </c>
      <c r="J3486">
        <v>-401.48430000000002</v>
      </c>
      <c r="K3486">
        <v>1.1203430000000001</v>
      </c>
      <c r="L3486">
        <v>214.98169999999999</v>
      </c>
      <c r="M3486">
        <v>0.99981929999999997</v>
      </c>
      <c r="N3486">
        <v>-1.228483E-2</v>
      </c>
      <c r="O3486">
        <v>-1.451827E-2</v>
      </c>
      <c r="P3486">
        <v>0.99416070000000001</v>
      </c>
      <c r="Q3486">
        <v>-0.1073872</v>
      </c>
      <c r="R3486">
        <v>-1.063153E-2</v>
      </c>
      <c r="S3486">
        <v>2.998535</v>
      </c>
      <c r="T3486">
        <v>-0.16572439999999999</v>
      </c>
      <c r="U3486">
        <v>-0.1163025</v>
      </c>
      <c r="V3486">
        <v>-3.8513140000000002E-3</v>
      </c>
      <c r="W3486">
        <v>-9.5163429999999993E-2</v>
      </c>
      <c r="X3486">
        <v>0.99545419999999996</v>
      </c>
      <c r="Y3486">
        <v>2.421301E-2</v>
      </c>
      <c r="Z3486">
        <v>-1.9406689999999999E-4</v>
      </c>
      <c r="AA3486">
        <v>0.99970680000000001</v>
      </c>
      <c r="AB3486">
        <v>27</v>
      </c>
      <c r="AC3486">
        <v>19.992799999999999</v>
      </c>
      <c r="AD3486">
        <v>-1.1203437249013899</v>
      </c>
      <c r="AE3486">
        <v>-0.78189999999997895</v>
      </c>
      <c r="AF3486">
        <v>0.48999851656376903</v>
      </c>
      <c r="AG3486">
        <v>-1.1203437249013899</v>
      </c>
      <c r="AH3486">
        <v>19.9395270244583</v>
      </c>
      <c r="AI3486">
        <v>93.214932435176394</v>
      </c>
      <c r="AJ3486">
        <v>88.592283679538099</v>
      </c>
      <c r="AK3486">
        <v>19.9769869241401</v>
      </c>
      <c r="AL3486">
        <v>95.460726345512498</v>
      </c>
      <c r="AM3486">
        <v>90.2216706070393</v>
      </c>
      <c r="AN3486">
        <v>0.99999998766326503</v>
      </c>
    </row>
    <row r="3487" spans="1:40" x14ac:dyDescent="0.25">
      <c r="A3487" t="str">
        <f>"20190303154837512"</f>
        <v>20190303154837512</v>
      </c>
      <c r="B3487" t="str">
        <f>"1551599317504102"</f>
        <v>1551599317504102</v>
      </c>
      <c r="C3487" t="s">
        <v>40</v>
      </c>
      <c r="D3487">
        <v>5.5856659999999998</v>
      </c>
      <c r="E3487">
        <v>0.51079640000000004</v>
      </c>
      <c r="F3487" t="s">
        <v>52</v>
      </c>
      <c r="G3487">
        <v>-381.3922</v>
      </c>
      <c r="H3487" s="1">
        <v>-7.7750259999999998E-7</v>
      </c>
      <c r="I3487">
        <v>214.1952</v>
      </c>
      <c r="J3487">
        <v>-401.22359999999998</v>
      </c>
      <c r="K3487">
        <v>1.1203379999999901</v>
      </c>
      <c r="L3487">
        <v>214.9776</v>
      </c>
      <c r="M3487">
        <v>0.99981529999999996</v>
      </c>
      <c r="N3487">
        <v>-1.2289639999999999E-2</v>
      </c>
      <c r="O3487">
        <v>-1.477388E-2</v>
      </c>
      <c r="P3487">
        <v>0.99420520000000001</v>
      </c>
      <c r="Q3487">
        <v>-0.10693279999999999</v>
      </c>
      <c r="R3487">
        <v>-1.102154E-2</v>
      </c>
      <c r="S3487">
        <v>2.998291</v>
      </c>
      <c r="T3487">
        <v>-0.1671861</v>
      </c>
      <c r="U3487">
        <v>-0.11737060000000001</v>
      </c>
      <c r="V3487">
        <v>-3.7180949999999998E-3</v>
      </c>
      <c r="W3487">
        <v>-9.470373E-2</v>
      </c>
      <c r="X3487">
        <v>0.99549849999999995</v>
      </c>
      <c r="Y3487">
        <v>2.431579E-2</v>
      </c>
      <c r="Z3487">
        <v>-1.8541409999999999E-4</v>
      </c>
      <c r="AA3487">
        <v>0.99970429999999999</v>
      </c>
      <c r="AB3487">
        <v>27</v>
      </c>
      <c r="AC3487">
        <v>19.831399999999899</v>
      </c>
      <c r="AD3487">
        <v>-1.1203387775025999</v>
      </c>
      <c r="AE3487">
        <v>-0.78239999999999499</v>
      </c>
      <c r="AF3487">
        <v>0.48775150542453699</v>
      </c>
      <c r="AG3487">
        <v>-1.1203387775025999</v>
      </c>
      <c r="AH3487">
        <v>19.777772984431799</v>
      </c>
      <c r="AI3487">
        <v>93.241148941696693</v>
      </c>
      <c r="AJ3487">
        <v>88.587280820466702</v>
      </c>
      <c r="AK3487">
        <v>19.8154829547791</v>
      </c>
      <c r="AL3487">
        <v>95.434268227092005</v>
      </c>
      <c r="AM3487">
        <v>90.213993452300599</v>
      </c>
      <c r="AN3487">
        <v>0.99999994210429399</v>
      </c>
    </row>
    <row r="3488" spans="1:40" x14ac:dyDescent="0.25">
      <c r="A3488" t="str">
        <f>"20190303154837534"</f>
        <v>20190303154837534</v>
      </c>
      <c r="B3488" t="str">
        <f>"1551599317524598"</f>
        <v>1551599317524598</v>
      </c>
      <c r="C3488" t="s">
        <v>40</v>
      </c>
      <c r="D3488">
        <v>5.5790449999999998</v>
      </c>
      <c r="E3488">
        <v>0.51065369999999999</v>
      </c>
      <c r="F3488" t="s">
        <v>52</v>
      </c>
      <c r="G3488">
        <v>-381.0564</v>
      </c>
      <c r="H3488" s="1">
        <v>-9.5587919999999996E-7</v>
      </c>
      <c r="I3488">
        <v>214.18719999999999</v>
      </c>
      <c r="J3488">
        <v>-400.95549999999997</v>
      </c>
      <c r="K3488">
        <v>1.12035</v>
      </c>
      <c r="L3488">
        <v>214.97329999999999</v>
      </c>
      <c r="M3488">
        <v>0.99981129999999996</v>
      </c>
      <c r="N3488">
        <v>-1.229769E-2</v>
      </c>
      <c r="O3488">
        <v>-1.5042730000000001E-2</v>
      </c>
      <c r="P3488">
        <v>0.99437240000000005</v>
      </c>
      <c r="Q3488">
        <v>-0.1053765</v>
      </c>
      <c r="R3488">
        <v>-1.0931969999999999E-2</v>
      </c>
      <c r="S3488">
        <v>2.9982600000000001</v>
      </c>
      <c r="T3488">
        <v>-0.1665605</v>
      </c>
      <c r="U3488">
        <v>-0.1175079</v>
      </c>
      <c r="V3488">
        <v>-4.0780410000000001E-3</v>
      </c>
      <c r="W3488">
        <v>-9.3137239999999996E-2</v>
      </c>
      <c r="X3488">
        <v>0.99564490000000005</v>
      </c>
      <c r="Y3488">
        <v>2.409393E-2</v>
      </c>
      <c r="Z3488">
        <v>-1.6704169999999901E-4</v>
      </c>
      <c r="AA3488">
        <v>0.99970970000000003</v>
      </c>
      <c r="AB3488">
        <v>27</v>
      </c>
      <c r="AC3488">
        <v>19.899099999999901</v>
      </c>
      <c r="AD3488">
        <v>-1.1203509558792</v>
      </c>
      <c r="AE3488">
        <v>-0.78610000000000402</v>
      </c>
      <c r="AF3488">
        <v>0.48511627863462198</v>
      </c>
      <c r="AG3488">
        <v>-1.1203509558792</v>
      </c>
      <c r="AH3488">
        <v>19.845863330257899</v>
      </c>
      <c r="AI3488">
        <v>93.230104510490804</v>
      </c>
      <c r="AJ3488">
        <v>88.599729282420896</v>
      </c>
      <c r="AK3488">
        <v>19.883380381399199</v>
      </c>
      <c r="AL3488">
        <v>95.344116291958898</v>
      </c>
      <c r="AM3488">
        <v>90.234675265630102</v>
      </c>
      <c r="AN3488">
        <v>0.99999997139461205</v>
      </c>
    </row>
    <row r="3489" spans="1:40" x14ac:dyDescent="0.25">
      <c r="A3489" t="str">
        <f>"20190303154837557"</f>
        <v>20190303154837557</v>
      </c>
      <c r="B3489" t="str">
        <f>"1551599317553878"</f>
        <v>1551599317553878</v>
      </c>
      <c r="C3489" t="s">
        <v>40</v>
      </c>
      <c r="D3489">
        <v>5.522532</v>
      </c>
      <c r="E3489">
        <v>0.51034799999999902</v>
      </c>
      <c r="F3489" t="s">
        <v>52</v>
      </c>
      <c r="G3489">
        <v>-380.27300000000002</v>
      </c>
      <c r="H3489" s="1">
        <v>-1.3721E-6</v>
      </c>
      <c r="I3489">
        <v>214.1721</v>
      </c>
      <c r="J3489">
        <v>-400.68020000000001</v>
      </c>
      <c r="K3489">
        <v>1.120357</v>
      </c>
      <c r="L3489">
        <v>214.96879999999999</v>
      </c>
      <c r="M3489">
        <v>0.99980690000000005</v>
      </c>
      <c r="N3489">
        <v>-1.23074E-2</v>
      </c>
      <c r="O3489">
        <v>-1.5322399999999899E-2</v>
      </c>
      <c r="P3489">
        <v>0.99457340000000005</v>
      </c>
      <c r="Q3489">
        <v>-0.10352699999999999</v>
      </c>
      <c r="R3489">
        <v>-1.0304209999999999E-2</v>
      </c>
      <c r="S3489">
        <v>2.9985050000000002</v>
      </c>
      <c r="T3489">
        <v>-0.16242590000000001</v>
      </c>
      <c r="U3489">
        <v>-0.1161499</v>
      </c>
      <c r="V3489">
        <v>-4.9875960000000004E-3</v>
      </c>
      <c r="W3489">
        <v>-9.1275309999999998E-2</v>
      </c>
      <c r="X3489">
        <v>0.99581319999999995</v>
      </c>
      <c r="Y3489">
        <v>2.3361699999999999E-2</v>
      </c>
      <c r="Z3489">
        <v>-1.3542219999999999E-4</v>
      </c>
      <c r="AA3489">
        <v>0.99972709999999998</v>
      </c>
      <c r="AB3489">
        <v>27</v>
      </c>
      <c r="AC3489">
        <v>20.4071999999999</v>
      </c>
      <c r="AD3489">
        <v>-1.1203583720999899</v>
      </c>
      <c r="AE3489">
        <v>-0.79669999999998697</v>
      </c>
      <c r="AF3489">
        <v>0.482443619969392</v>
      </c>
      <c r="AG3489">
        <v>-1.1203583720999899</v>
      </c>
      <c r="AH3489">
        <v>20.355752803340799</v>
      </c>
      <c r="AI3489">
        <v>93.149435898234699</v>
      </c>
      <c r="AJ3489">
        <v>88.642309640132197</v>
      </c>
      <c r="AK3489">
        <v>20.3922688026394</v>
      </c>
      <c r="AL3489">
        <v>95.236979012367101</v>
      </c>
      <c r="AM3489">
        <v>90.286967285816303</v>
      </c>
      <c r="AN3489">
        <v>0.99999999381184701</v>
      </c>
    </row>
    <row r="3490" spans="1:40" x14ac:dyDescent="0.25">
      <c r="A3490" t="str">
        <f>"20190303154837582"</f>
        <v>20190303154837582</v>
      </c>
      <c r="B3490" t="str">
        <f>"1551599317574375"</f>
        <v>1551599317574375</v>
      </c>
      <c r="C3490" t="s">
        <v>40</v>
      </c>
      <c r="D3490">
        <v>5.5789939999999998</v>
      </c>
      <c r="E3490">
        <v>0.51021589999999994</v>
      </c>
      <c r="F3490" t="s">
        <v>52</v>
      </c>
      <c r="G3490">
        <v>-379.41379999999998</v>
      </c>
      <c r="H3490" s="1">
        <v>3.472777E-6</v>
      </c>
      <c r="I3490">
        <v>214.17590000000001</v>
      </c>
      <c r="J3490">
        <v>-400.38749999999999</v>
      </c>
      <c r="K3490">
        <v>1.120357</v>
      </c>
      <c r="L3490">
        <v>214.964</v>
      </c>
      <c r="M3490">
        <v>0.99980219999999997</v>
      </c>
      <c r="N3490">
        <v>-1.231792E-2</v>
      </c>
      <c r="O3490">
        <v>-1.562386E-2</v>
      </c>
      <c r="P3490">
        <v>0.99457689999999999</v>
      </c>
      <c r="Q3490">
        <v>-0.1035017</v>
      </c>
      <c r="R3490">
        <v>-1.0225929999999999E-2</v>
      </c>
      <c r="S3490">
        <v>2.9988100000000002</v>
      </c>
      <c r="T3490">
        <v>-0.15798319999999999</v>
      </c>
      <c r="U3490">
        <v>-0.1118164</v>
      </c>
      <c r="V3490">
        <v>-5.3660599999999998E-3</v>
      </c>
      <c r="W3490">
        <v>-9.1239299999999995E-2</v>
      </c>
      <c r="X3490">
        <v>0.99581459999999999</v>
      </c>
      <c r="Y3490">
        <v>2.1618040000000002E-2</v>
      </c>
      <c r="Z3490" s="1">
        <v>-7.2314899999999994E-5</v>
      </c>
      <c r="AA3490">
        <v>0.9997663</v>
      </c>
      <c r="AB3490">
        <v>27</v>
      </c>
      <c r="AC3490">
        <v>20.973700000000001</v>
      </c>
      <c r="AD3490">
        <v>-1.1203535272229901</v>
      </c>
      <c r="AE3490">
        <v>-0.78810000000001401</v>
      </c>
      <c r="AF3490">
        <v>0.45898101727501001</v>
      </c>
      <c r="AG3490">
        <v>-1.1203535272229901</v>
      </c>
      <c r="AH3490">
        <v>20.9238341261145</v>
      </c>
      <c r="AI3490">
        <v>93.064203901648895</v>
      </c>
      <c r="AJ3490">
        <v>88.743372832152204</v>
      </c>
      <c r="AK3490">
        <v>20.958833224617599</v>
      </c>
      <c r="AL3490">
        <v>95.234906793349893</v>
      </c>
      <c r="AM3490">
        <v>90.308741822841498</v>
      </c>
      <c r="AN3490">
        <v>1.00000006101878</v>
      </c>
    </row>
    <row r="3491" spans="1:40" x14ac:dyDescent="0.25">
      <c r="A3491" t="str">
        <f>"20190303154837603"</f>
        <v>20190303154837603</v>
      </c>
      <c r="B3491" t="str">
        <f>"1551599317593896"</f>
        <v>1551599317593896</v>
      </c>
      <c r="C3491" t="s">
        <v>40</v>
      </c>
      <c r="D3491">
        <v>5.5635789999999998</v>
      </c>
      <c r="E3491">
        <v>0.51008679999999995</v>
      </c>
      <c r="F3491" t="s">
        <v>52</v>
      </c>
      <c r="G3491">
        <v>-379.2518</v>
      </c>
      <c r="H3491" s="1">
        <v>3.3865800000000002E-6</v>
      </c>
      <c r="I3491">
        <v>214.1857</v>
      </c>
      <c r="J3491">
        <v>-400.12450000000001</v>
      </c>
      <c r="K3491">
        <v>1.120349</v>
      </c>
      <c r="L3491">
        <v>214.95949999999999</v>
      </c>
      <c r="M3491">
        <v>0.99979770000000001</v>
      </c>
      <c r="N3491">
        <v>-1.232697E-2</v>
      </c>
      <c r="O3491">
        <v>-1.5898200000000001E-2</v>
      </c>
      <c r="P3491">
        <v>0.99440620000000002</v>
      </c>
      <c r="Q3491">
        <v>-0.10499799999999999</v>
      </c>
      <c r="R3491">
        <v>-1.148689E-2</v>
      </c>
      <c r="S3491">
        <v>2.998688</v>
      </c>
      <c r="T3491">
        <v>-0.15895329999999999</v>
      </c>
      <c r="U3491">
        <v>-0.1104126</v>
      </c>
      <c r="V3491">
        <v>-4.3763589999999998E-3</v>
      </c>
      <c r="W3491">
        <v>-9.2728930000000001E-2</v>
      </c>
      <c r="X3491">
        <v>0.99568179999999995</v>
      </c>
      <c r="Y3491">
        <v>2.0879109999999999E-2</v>
      </c>
      <c r="Z3491" s="1">
        <v>-3.5719739999999999E-5</v>
      </c>
      <c r="AA3491">
        <v>0.99978199999999995</v>
      </c>
      <c r="AB3491">
        <v>27</v>
      </c>
      <c r="AC3491">
        <v>20.872699999999998</v>
      </c>
      <c r="AD3491">
        <v>-1.1203456134200001</v>
      </c>
      <c r="AE3491">
        <v>-0.77379999999999405</v>
      </c>
      <c r="AF3491">
        <v>0.440571085840187</v>
      </c>
      <c r="AG3491">
        <v>-1.1203456134200001</v>
      </c>
      <c r="AH3491">
        <v>20.822456928066298</v>
      </c>
      <c r="AI3491">
        <v>93.079123534405795</v>
      </c>
      <c r="AJ3491">
        <v>88.787890498157196</v>
      </c>
      <c r="AK3491">
        <v>20.8572287156363</v>
      </c>
      <c r="AL3491">
        <v>95.3206198722891</v>
      </c>
      <c r="AM3491">
        <v>90.251832749806198</v>
      </c>
      <c r="AN3491">
        <v>1.00000002691414</v>
      </c>
    </row>
    <row r="3492" spans="1:40" x14ac:dyDescent="0.25">
      <c r="A3492" t="str">
        <f>"20190303154837626"</f>
        <v>20190303154837626</v>
      </c>
      <c r="B3492" t="str">
        <f>"1551599317614391"</f>
        <v>1551599317614391</v>
      </c>
      <c r="C3492" t="s">
        <v>40</v>
      </c>
      <c r="D3492">
        <v>5.6277660000000003</v>
      </c>
      <c r="E3492">
        <v>0.50994189999999995</v>
      </c>
      <c r="F3492" t="s">
        <v>52</v>
      </c>
      <c r="G3492">
        <v>-379.7337</v>
      </c>
      <c r="H3492" s="1">
        <v>3.6430239999999999E-6</v>
      </c>
      <c r="I3492">
        <v>214.1865</v>
      </c>
      <c r="J3492">
        <v>-399.84890000000001</v>
      </c>
      <c r="K3492">
        <v>1.1203510000000001</v>
      </c>
      <c r="L3492">
        <v>214.9547</v>
      </c>
      <c r="M3492">
        <v>0.99979289999999998</v>
      </c>
      <c r="N3492">
        <v>-1.233569E-2</v>
      </c>
      <c r="O3492">
        <v>-1.6185979999999999E-2</v>
      </c>
      <c r="P3492">
        <v>0.99421749999999998</v>
      </c>
      <c r="Q3492">
        <v>-0.10651720000000001</v>
      </c>
      <c r="R3492">
        <v>-1.3633549999999999E-2</v>
      </c>
      <c r="S3492">
        <v>2.9981689999999999</v>
      </c>
      <c r="T3492">
        <v>-0.16473070000000001</v>
      </c>
      <c r="U3492">
        <v>-0.11366270000000001</v>
      </c>
      <c r="V3492">
        <v>-2.5134379999999998E-3</v>
      </c>
      <c r="W3492">
        <v>-9.4242270000000003E-2</v>
      </c>
      <c r="X3492">
        <v>0.99554609999999999</v>
      </c>
      <c r="Y3492">
        <v>2.1677600000000002E-2</v>
      </c>
      <c r="Z3492" s="1">
        <v>-4.0016599999999999E-5</v>
      </c>
      <c r="AA3492">
        <v>0.99976500000000001</v>
      </c>
      <c r="AB3492">
        <v>27</v>
      </c>
      <c r="AC3492">
        <v>20.115200000000002</v>
      </c>
      <c r="AD3492">
        <v>-1.1203473569760001</v>
      </c>
      <c r="AE3492">
        <v>-0.76820000000000699</v>
      </c>
      <c r="AF3492">
        <v>0.44112392886852703</v>
      </c>
      <c r="AG3492">
        <v>-1.1203473569760001</v>
      </c>
      <c r="AH3492">
        <v>20.0628530286074</v>
      </c>
      <c r="AI3492">
        <v>93.195413664167106</v>
      </c>
      <c r="AJ3492">
        <v>88.740434988649099</v>
      </c>
      <c r="AK3492">
        <v>20.098951220608601</v>
      </c>
      <c r="AL3492">
        <v>95.407709524321305</v>
      </c>
      <c r="AM3492">
        <v>90.144653355074098</v>
      </c>
      <c r="AN3492">
        <v>0.99999998002527102</v>
      </c>
    </row>
    <row r="3493" spans="1:40" x14ac:dyDescent="0.25">
      <c r="A3493" t="str">
        <f>"20190303154837648"</f>
        <v>20190303154837648</v>
      </c>
      <c r="B3493" t="str">
        <f>"1551599317644647"</f>
        <v>1551599317644647</v>
      </c>
      <c r="C3493" t="s">
        <v>40</v>
      </c>
      <c r="D3493">
        <v>5.676056</v>
      </c>
      <c r="E3493">
        <v>0.50974030000000004</v>
      </c>
      <c r="F3493" t="s">
        <v>52</v>
      </c>
      <c r="G3493">
        <v>-380.20519999999999</v>
      </c>
      <c r="H3493" s="1">
        <v>-1.4081089999999999E-6</v>
      </c>
      <c r="I3493">
        <v>214.17099999999999</v>
      </c>
      <c r="J3493">
        <v>-399.57929999999999</v>
      </c>
      <c r="K3493">
        <v>1.1203639999999999</v>
      </c>
      <c r="L3493">
        <v>214.95</v>
      </c>
      <c r="M3493">
        <v>0.99978840000000002</v>
      </c>
      <c r="N3493">
        <v>-1.234326E-2</v>
      </c>
      <c r="O3493">
        <v>-1.6455810000000001E-2</v>
      </c>
      <c r="P3493">
        <v>0.99421749999999998</v>
      </c>
      <c r="Q3493">
        <v>-0.1062404</v>
      </c>
      <c r="R3493">
        <v>-1.5640500000000002E-2</v>
      </c>
      <c r="S3493">
        <v>2.9974980000000002</v>
      </c>
      <c r="T3493">
        <v>-0.17095879999999999</v>
      </c>
      <c r="U3493">
        <v>-0.11959839999999999</v>
      </c>
      <c r="V3493">
        <v>-7.7363200000000001E-4</v>
      </c>
      <c r="W3493">
        <v>-9.3958559999999997E-2</v>
      </c>
      <c r="X3493">
        <v>0.99557580000000001</v>
      </c>
      <c r="Y3493">
        <v>2.3388510000000001E-2</v>
      </c>
      <c r="Z3493" s="1">
        <v>-7.6357479999999994E-5</v>
      </c>
      <c r="AA3493">
        <v>0.99972649999999996</v>
      </c>
      <c r="AB3493">
        <v>27</v>
      </c>
      <c r="AC3493">
        <v>19.374099999999999</v>
      </c>
      <c r="AD3493">
        <v>-1.120365408109</v>
      </c>
      <c r="AE3493">
        <v>-0.77899999999999603</v>
      </c>
      <c r="AF3493">
        <v>0.45852284278403399</v>
      </c>
      <c r="AG3493">
        <v>-1.120365408109</v>
      </c>
      <c r="AH3493">
        <v>19.3197936816652</v>
      </c>
      <c r="AI3493">
        <v>93.317964326654604</v>
      </c>
      <c r="AJ3493">
        <v>88.640436168109602</v>
      </c>
      <c r="AK3493">
        <v>19.357682964320698</v>
      </c>
      <c r="AL3493">
        <v>95.391381624820198</v>
      </c>
      <c r="AM3493">
        <v>90.0445228174232</v>
      </c>
      <c r="AN3493">
        <v>0.99999999152469199</v>
      </c>
    </row>
    <row r="3494" spans="1:40" x14ac:dyDescent="0.25">
      <c r="A3494" t="str">
        <f>"20190303154837670"</f>
        <v>20190303154837670</v>
      </c>
      <c r="B3494" t="str">
        <f>"1551599317664167"</f>
        <v>1551599317664167</v>
      </c>
      <c r="C3494" t="s">
        <v>40</v>
      </c>
      <c r="D3494">
        <v>5.6657299999999999</v>
      </c>
      <c r="E3494">
        <v>0.50976339999999998</v>
      </c>
      <c r="F3494" t="s">
        <v>52</v>
      </c>
      <c r="G3494">
        <v>-380.06760000000003</v>
      </c>
      <c r="H3494" s="1">
        <v>-1.480106E-6</v>
      </c>
      <c r="I3494">
        <v>214.14240000000001</v>
      </c>
      <c r="J3494">
        <v>-399.30160000000001</v>
      </c>
      <c r="K3494">
        <v>1.120393</v>
      </c>
      <c r="L3494">
        <v>214.9451</v>
      </c>
      <c r="M3494">
        <v>0.99978429999999996</v>
      </c>
      <c r="N3494">
        <v>-1.2350180000000001E-2</v>
      </c>
      <c r="O3494">
        <v>-1.6701009999999999E-2</v>
      </c>
      <c r="P3494">
        <v>0.99441060000000003</v>
      </c>
      <c r="Q3494">
        <v>-0.104224499999999</v>
      </c>
      <c r="R3494">
        <v>-1.6884779999999999E-2</v>
      </c>
      <c r="S3494">
        <v>2.9970699999999999</v>
      </c>
      <c r="T3494">
        <v>-0.17209240000000001</v>
      </c>
      <c r="U3494">
        <v>-0.124054</v>
      </c>
      <c r="V3494">
        <v>2.2863979999999999E-4</v>
      </c>
      <c r="W3494">
        <v>-9.1933730000000005E-2</v>
      </c>
      <c r="X3494">
        <v>0.99576509999999996</v>
      </c>
      <c r="Y3494">
        <v>2.4630240000000001E-2</v>
      </c>
      <c r="Z3494">
        <v>-1.069806E-4</v>
      </c>
      <c r="AA3494">
        <v>0.99969660000000005</v>
      </c>
      <c r="AB3494">
        <v>27</v>
      </c>
      <c r="AC3494">
        <v>19.233999999999899</v>
      </c>
      <c r="AD3494">
        <v>-1.120394480106</v>
      </c>
      <c r="AE3494">
        <v>-0.80269999999998698</v>
      </c>
      <c r="AF3494">
        <v>0.47971141626565</v>
      </c>
      <c r="AG3494">
        <v>-1.120394480106</v>
      </c>
      <c r="AH3494">
        <v>19.179757328224301</v>
      </c>
      <c r="AI3494">
        <v>93.342117645846997</v>
      </c>
      <c r="AJ3494">
        <v>88.567254533649901</v>
      </c>
      <c r="AK3494">
        <v>19.2184416122515</v>
      </c>
      <c r="AL3494">
        <v>95.274862959102904</v>
      </c>
      <c r="AM3494">
        <v>89.986844191126494</v>
      </c>
      <c r="AN3494">
        <v>0.99999999868293998</v>
      </c>
    </row>
    <row r="3495" spans="1:40" x14ac:dyDescent="0.25">
      <c r="A3495" t="str">
        <f>"20190303154837692"</f>
        <v>20190303154837692</v>
      </c>
      <c r="B3495" t="str">
        <f>"1551599317683687"</f>
        <v>1551599317683687</v>
      </c>
      <c r="C3495" t="s">
        <v>40</v>
      </c>
      <c r="D3495">
        <v>5.0976689999999998</v>
      </c>
      <c r="E3495">
        <v>0.51005829999999996</v>
      </c>
      <c r="F3495" t="s">
        <v>52</v>
      </c>
      <c r="G3495">
        <v>-379.17809999999997</v>
      </c>
      <c r="H3495" s="1">
        <v>3.347317E-6</v>
      </c>
      <c r="I3495">
        <v>214.08330000000001</v>
      </c>
      <c r="J3495">
        <v>-399.03949999999998</v>
      </c>
      <c r="K3495">
        <v>1.1204259999999999</v>
      </c>
      <c r="L3495">
        <v>214.94049999999999</v>
      </c>
      <c r="M3495">
        <v>0.99978109999999998</v>
      </c>
      <c r="N3495">
        <v>-1.235585E-2</v>
      </c>
      <c r="O3495">
        <v>-1.6882930000000001E-2</v>
      </c>
      <c r="P3495">
        <v>0.99449580000000004</v>
      </c>
      <c r="Q3495">
        <v>-0.1032642</v>
      </c>
      <c r="R3495">
        <v>-1.7742609999999999E-2</v>
      </c>
      <c r="S3495">
        <v>2.9971619999999999</v>
      </c>
      <c r="T3495">
        <v>-0.1668684</v>
      </c>
      <c r="U3495">
        <v>-0.1283569</v>
      </c>
      <c r="V3495">
        <v>9.1158850000000002E-4</v>
      </c>
      <c r="W3495">
        <v>-9.0966939999999996E-2</v>
      </c>
      <c r="X3495">
        <v>0.99585349999999995</v>
      </c>
      <c r="Y3495">
        <v>2.5878970000000001E-2</v>
      </c>
      <c r="Z3495">
        <v>-1.4936020000000001E-4</v>
      </c>
      <c r="AA3495">
        <v>0.99966509999999997</v>
      </c>
      <c r="AB3495">
        <v>27</v>
      </c>
      <c r="AC3495">
        <v>19.8614</v>
      </c>
      <c r="AD3495">
        <v>-1.1204226526829999</v>
      </c>
      <c r="AE3495">
        <v>-0.85719999999997698</v>
      </c>
      <c r="AF3495">
        <v>0.52008158418461103</v>
      </c>
      <c r="AG3495">
        <v>-1.1204226526829999</v>
      </c>
      <c r="AH3495">
        <v>19.810116988828501</v>
      </c>
      <c r="AI3495">
        <v>93.235979343539995</v>
      </c>
      <c r="AJ3495">
        <v>88.4961403031255</v>
      </c>
      <c r="AK3495">
        <v>19.848591055435801</v>
      </c>
      <c r="AL3495">
        <v>95.219236847258699</v>
      </c>
      <c r="AM3495">
        <v>89.947552366774502</v>
      </c>
      <c r="AN3495">
        <v>1.0000000043143999</v>
      </c>
    </row>
    <row r="3496" spans="1:40" x14ac:dyDescent="0.25">
      <c r="A3496" t="str">
        <f>"20190303154837714"</f>
        <v>20190303154837714</v>
      </c>
      <c r="B3496" t="str">
        <f>"1551599317704182"</f>
        <v>1551599317704182</v>
      </c>
      <c r="C3496" t="s">
        <v>40</v>
      </c>
      <c r="D3496">
        <v>5.8102710000000002</v>
      </c>
      <c r="E3496">
        <v>0.51020010000000005</v>
      </c>
      <c r="F3496" t="s">
        <v>52</v>
      </c>
      <c r="G3496">
        <v>-378.68239999999997</v>
      </c>
      <c r="H3496" s="1">
        <v>3.083577E-6</v>
      </c>
      <c r="I3496">
        <v>214.035</v>
      </c>
      <c r="J3496">
        <v>-398.77629999999999</v>
      </c>
      <c r="K3496">
        <v>1.120463</v>
      </c>
      <c r="L3496">
        <v>214.9358</v>
      </c>
      <c r="M3496">
        <v>0.99977899999999997</v>
      </c>
      <c r="N3496">
        <v>-1.236074E-2</v>
      </c>
      <c r="O3496">
        <v>-1.7011120000000001E-2</v>
      </c>
      <c r="P3496">
        <v>0.99440200000000001</v>
      </c>
      <c r="Q3496">
        <v>-0.10405</v>
      </c>
      <c r="R3496">
        <v>-1.8400909999999999E-2</v>
      </c>
      <c r="S3496">
        <v>2.9970699999999999</v>
      </c>
      <c r="T3496">
        <v>-0.1649545</v>
      </c>
      <c r="U3496">
        <v>-0.133300799999999</v>
      </c>
      <c r="V3496">
        <v>1.4536919999999999E-3</v>
      </c>
      <c r="W3496">
        <v>-9.1748869999999996E-2</v>
      </c>
      <c r="X3496">
        <v>0.99578109999999997</v>
      </c>
      <c r="Y3496">
        <v>2.7395800000000001E-2</v>
      </c>
      <c r="Z3496">
        <v>-1.9763650000000001E-4</v>
      </c>
      <c r="AA3496">
        <v>0.99962470000000003</v>
      </c>
      <c r="AB3496">
        <v>27</v>
      </c>
      <c r="AC3496">
        <v>20.093900000000001</v>
      </c>
      <c r="AD3496">
        <v>-1.120459916423</v>
      </c>
      <c r="AE3496">
        <v>-0.90080000000000304</v>
      </c>
      <c r="AF3496">
        <v>0.557095103534749</v>
      </c>
      <c r="AG3496">
        <v>-1.120459916423</v>
      </c>
      <c r="AH3496">
        <v>20.04411836333</v>
      </c>
      <c r="AI3496">
        <v>93.198253797742893</v>
      </c>
      <c r="AJ3496">
        <v>88.407962749225106</v>
      </c>
      <c r="AK3496">
        <v>20.0831388568092</v>
      </c>
      <c r="AL3496">
        <v>95.264226386005802</v>
      </c>
      <c r="AM3496">
        <v>89.916356760392901</v>
      </c>
      <c r="AN3496">
        <v>0.99999998374195798</v>
      </c>
    </row>
    <row r="3497" spans="1:40" x14ac:dyDescent="0.25">
      <c r="A3497" t="str">
        <f>"20190303154837737"</f>
        <v>20190303154837737</v>
      </c>
      <c r="B3497" t="str">
        <f>"1551599317734439"</f>
        <v>1551599317734439</v>
      </c>
      <c r="C3497" t="s">
        <v>40</v>
      </c>
      <c r="D3497">
        <v>5.6967379999999999</v>
      </c>
      <c r="E3497">
        <v>0.5106773</v>
      </c>
      <c r="F3497" t="s">
        <v>52</v>
      </c>
      <c r="G3497">
        <v>-378.9597</v>
      </c>
      <c r="H3497" s="1">
        <v>3.2311479999999999E-6</v>
      </c>
      <c r="I3497">
        <v>214.0335</v>
      </c>
      <c r="J3497">
        <v>-398.4984</v>
      </c>
      <c r="K3497">
        <v>1.120512</v>
      </c>
      <c r="L3497">
        <v>214.93090000000001</v>
      </c>
      <c r="M3497">
        <v>0.99977749999999999</v>
      </c>
      <c r="N3497">
        <v>-1.236493E-2</v>
      </c>
      <c r="O3497">
        <v>-1.709391E-2</v>
      </c>
      <c r="P3497">
        <v>0.99418269999999997</v>
      </c>
      <c r="Q3497">
        <v>-0.1061507</v>
      </c>
      <c r="R3497">
        <v>-1.8243519999999999E-2</v>
      </c>
      <c r="S3497">
        <v>2.9966430000000002</v>
      </c>
      <c r="T3497">
        <v>-0.169435</v>
      </c>
      <c r="U3497">
        <v>-0.13644410000000001</v>
      </c>
      <c r="V3497">
        <v>1.228926E-3</v>
      </c>
      <c r="W3497">
        <v>-9.3847799999999995E-2</v>
      </c>
      <c r="X3497">
        <v>0.99558579999999997</v>
      </c>
      <c r="Y3497">
        <v>2.8362519999999999E-2</v>
      </c>
      <c r="Z3497">
        <v>-2.2243790000000001E-4</v>
      </c>
      <c r="AA3497">
        <v>0.99959770000000003</v>
      </c>
      <c r="AB3497">
        <v>27</v>
      </c>
      <c r="AC3497">
        <v>19.538699999999999</v>
      </c>
      <c r="AD3497">
        <v>-1.1205087688519999</v>
      </c>
      <c r="AE3497">
        <v>-0.89740000000000397</v>
      </c>
      <c r="AF3497">
        <v>0.56140808919229801</v>
      </c>
      <c r="AG3497">
        <v>-1.1205087688519999</v>
      </c>
      <c r="AH3497">
        <v>19.487231033801699</v>
      </c>
      <c r="AI3497">
        <v>93.289501332155496</v>
      </c>
      <c r="AJ3497">
        <v>88.349820990357301</v>
      </c>
      <c r="AK3497">
        <v>19.527490681304901</v>
      </c>
      <c r="AL3497">
        <v>95.385007319321204</v>
      </c>
      <c r="AM3497">
        <v>89.929275570852894</v>
      </c>
      <c r="AN3497">
        <v>1.00000000249279</v>
      </c>
    </row>
    <row r="3498" spans="1:40" x14ac:dyDescent="0.25">
      <c r="A3498" t="str">
        <f>"20190303154837760"</f>
        <v>20190303154837760</v>
      </c>
      <c r="B3498" t="str">
        <f>"1551599317753959"</f>
        <v>1551599317753959</v>
      </c>
      <c r="C3498" t="s">
        <v>40</v>
      </c>
      <c r="D3498">
        <v>5.7587099999999998</v>
      </c>
      <c r="E3498">
        <v>0.51088859999999903</v>
      </c>
      <c r="F3498" t="s">
        <v>52</v>
      </c>
      <c r="G3498">
        <v>-379.48090000000002</v>
      </c>
      <c r="H3498" s="1">
        <v>3.5084869999999998E-6</v>
      </c>
      <c r="I3498">
        <v>214.04310000000001</v>
      </c>
      <c r="J3498">
        <v>-398.22669999999999</v>
      </c>
      <c r="K3498">
        <v>1.1205430000000001</v>
      </c>
      <c r="L3498">
        <v>214.92619999999999</v>
      </c>
      <c r="M3498">
        <v>0.99977680000000002</v>
      </c>
      <c r="N3498">
        <v>-1.2368260000000001E-2</v>
      </c>
      <c r="O3498">
        <v>-1.712607E-2</v>
      </c>
      <c r="P3498">
        <v>0.99403189999999997</v>
      </c>
      <c r="Q3498">
        <v>-0.10769629999999999</v>
      </c>
      <c r="R3498">
        <v>-1.7390599999999999E-2</v>
      </c>
      <c r="S3498">
        <v>2.996124</v>
      </c>
      <c r="T3498">
        <v>-0.17653160000000001</v>
      </c>
      <c r="U3498">
        <v>-0.13987729999999901</v>
      </c>
      <c r="V3498">
        <v>3.5618910000000001E-4</v>
      </c>
      <c r="W3498">
        <v>-9.5391729999999994E-2</v>
      </c>
      <c r="X3498">
        <v>0.99543979999999999</v>
      </c>
      <c r="Y3498">
        <v>2.9476450000000001E-2</v>
      </c>
      <c r="Z3498">
        <v>-2.5382369999999999E-4</v>
      </c>
      <c r="AA3498">
        <v>0.99956540000000005</v>
      </c>
      <c r="AB3498">
        <v>27</v>
      </c>
      <c r="AC3498">
        <v>18.7457999999999</v>
      </c>
      <c r="AD3498">
        <v>-1.120539491513</v>
      </c>
      <c r="AE3498">
        <v>-0.88309999999998401</v>
      </c>
      <c r="AF3498">
        <v>0.55990782771049197</v>
      </c>
      <c r="AG3498">
        <v>-1.120539491513</v>
      </c>
      <c r="AH3498">
        <v>18.691536450912999</v>
      </c>
      <c r="AI3498">
        <v>93.429185994805493</v>
      </c>
      <c r="AJ3498">
        <v>88.284209254958199</v>
      </c>
      <c r="AK3498">
        <v>18.733463118798401</v>
      </c>
      <c r="AL3498">
        <v>95.473866396770205</v>
      </c>
      <c r="AM3498">
        <v>89.979498377232204</v>
      </c>
      <c r="AN3498">
        <v>1.0000000522235499</v>
      </c>
    </row>
    <row r="3499" spans="1:40" x14ac:dyDescent="0.25">
      <c r="A3499" t="str">
        <f>"20190303154837783"</f>
        <v>20190303154837783</v>
      </c>
      <c r="B3499" t="str">
        <f>"1551599317774454"</f>
        <v>1551599317774454</v>
      </c>
      <c r="C3499" t="s">
        <v>40</v>
      </c>
      <c r="D3499">
        <v>5.6902819999999998</v>
      </c>
      <c r="E3499">
        <v>0.51107349999999996</v>
      </c>
      <c r="F3499" t="s">
        <v>52</v>
      </c>
      <c r="G3499">
        <v>-379.86880000000002</v>
      </c>
      <c r="H3499" s="1">
        <v>3.7149179999999999E-6</v>
      </c>
      <c r="I3499">
        <v>214.0752</v>
      </c>
      <c r="J3499">
        <v>-397.9479</v>
      </c>
      <c r="K3499">
        <v>1.120571</v>
      </c>
      <c r="L3499">
        <v>214.92150000000001</v>
      </c>
      <c r="M3499">
        <v>0.99977729999999998</v>
      </c>
      <c r="N3499">
        <v>-1.237104E-2</v>
      </c>
      <c r="O3499">
        <v>-1.7100219999999999E-2</v>
      </c>
      <c r="P3499">
        <v>0.99402389999999996</v>
      </c>
      <c r="Q3499">
        <v>-0.1078781</v>
      </c>
      <c r="R3499">
        <v>-1.670464E-2</v>
      </c>
      <c r="S3499">
        <v>2.9957280000000002</v>
      </c>
      <c r="T3499">
        <v>-0.1828554</v>
      </c>
      <c r="U3499">
        <v>-0.1388702</v>
      </c>
      <c r="V3499">
        <v>-2.9648499999999998E-4</v>
      </c>
      <c r="W3499">
        <v>-9.557098E-2</v>
      </c>
      <c r="X3499">
        <v>0.99542260000000005</v>
      </c>
      <c r="Y3499">
        <v>2.9171409999999998E-2</v>
      </c>
      <c r="Z3499">
        <v>-2.3894310000000001E-4</v>
      </c>
      <c r="AA3499">
        <v>0.99957439999999997</v>
      </c>
      <c r="AB3499">
        <v>27</v>
      </c>
      <c r="AC3499">
        <v>18.079099999999901</v>
      </c>
      <c r="AD3499">
        <v>-1.1205672850820001</v>
      </c>
      <c r="AE3499">
        <v>-0.84630000000001304</v>
      </c>
      <c r="AF3499">
        <v>0.53494540458114903</v>
      </c>
      <c r="AG3499">
        <v>-1.1205672850820001</v>
      </c>
      <c r="AH3499">
        <v>18.0218461438985</v>
      </c>
      <c r="AI3499">
        <v>93.556409793019398</v>
      </c>
      <c r="AJ3499">
        <v>88.299779244292495</v>
      </c>
      <c r="AK3499">
        <v>18.0645724018209</v>
      </c>
      <c r="AL3499">
        <v>95.484183944990306</v>
      </c>
      <c r="AM3499">
        <v>90.017065454096198</v>
      </c>
      <c r="AN3499">
        <v>1.0000000263561299</v>
      </c>
    </row>
    <row r="3500" spans="1:40" x14ac:dyDescent="0.25">
      <c r="A3500" t="str">
        <f>"20190303154837804"</f>
        <v>20190303154837804</v>
      </c>
      <c r="B3500" t="str">
        <f>"1551599317794951"</f>
        <v>1551599317794951</v>
      </c>
      <c r="C3500" t="s">
        <v>40</v>
      </c>
      <c r="D3500">
        <v>5.6841179999999998</v>
      </c>
      <c r="E3500">
        <v>0.51134099999999905</v>
      </c>
      <c r="F3500" t="s">
        <v>52</v>
      </c>
      <c r="G3500">
        <v>-379.77440000000001</v>
      </c>
      <c r="H3500" s="1">
        <v>3.6646489999999999E-6</v>
      </c>
      <c r="I3500">
        <v>214.08199999999999</v>
      </c>
      <c r="J3500">
        <v>-397.68810000000002</v>
      </c>
      <c r="K3500">
        <v>1.1205959999999999</v>
      </c>
      <c r="L3500">
        <v>214.9171</v>
      </c>
      <c r="M3500">
        <v>0.99977859999999996</v>
      </c>
      <c r="N3500">
        <v>-1.237309E-2</v>
      </c>
      <c r="O3500">
        <v>-1.7025599999999998E-2</v>
      </c>
      <c r="P3500">
        <v>0.99408079999999999</v>
      </c>
      <c r="Q3500">
        <v>-0.1075576</v>
      </c>
      <c r="R3500">
        <v>-1.532592E-2</v>
      </c>
      <c r="S3500">
        <v>2.9956670000000001</v>
      </c>
      <c r="T3500">
        <v>-0.18471109999999999</v>
      </c>
      <c r="U3500">
        <v>-0.13836670000000001</v>
      </c>
      <c r="V3500">
        <v>-1.596138E-3</v>
      </c>
      <c r="W3500">
        <v>-9.524813E-2</v>
      </c>
      <c r="X3500">
        <v>0.99545229999999996</v>
      </c>
      <c r="Y3500">
        <v>2.9078710000000001E-2</v>
      </c>
      <c r="Z3500">
        <v>-2.3769540000000001E-4</v>
      </c>
      <c r="AA3500">
        <v>0.9995771</v>
      </c>
      <c r="AB3500">
        <v>27</v>
      </c>
      <c r="AC3500">
        <v>17.913699999999999</v>
      </c>
      <c r="AD3500">
        <v>-1.1205923353509999</v>
      </c>
      <c r="AE3500">
        <v>-0.83510000000001094</v>
      </c>
      <c r="AF3500">
        <v>0.52790285523434399</v>
      </c>
      <c r="AG3500">
        <v>-1.1205923353509999</v>
      </c>
      <c r="AH3500">
        <v>17.855602404317398</v>
      </c>
      <c r="AI3500">
        <v>93.589527948930794</v>
      </c>
      <c r="AJ3500">
        <v>88.306537258032293</v>
      </c>
      <c r="AK3500">
        <v>17.8985179785277</v>
      </c>
      <c r="AL3500">
        <v>95.465601277733199</v>
      </c>
      <c r="AM3500">
        <v>90.091869688328202</v>
      </c>
      <c r="AN3500">
        <v>1.00000001775015</v>
      </c>
    </row>
    <row r="3501" spans="1:40" x14ac:dyDescent="0.25">
      <c r="A3501" t="str">
        <f>"20190303154837826"</f>
        <v>20190303154837826</v>
      </c>
      <c r="B3501" t="str">
        <f>"1551599317814470"</f>
        <v>1551599317814470</v>
      </c>
      <c r="C3501" t="s">
        <v>40</v>
      </c>
      <c r="D3501">
        <v>5.7146019999999904</v>
      </c>
      <c r="E3501">
        <v>0.51158800000000004</v>
      </c>
      <c r="F3501" t="s">
        <v>52</v>
      </c>
      <c r="G3501">
        <v>-379.4092</v>
      </c>
      <c r="H3501" s="1">
        <v>3.4703360000000002E-6</v>
      </c>
      <c r="I3501">
        <v>214.0864</v>
      </c>
      <c r="J3501">
        <v>-397.42450000000002</v>
      </c>
      <c r="K3501">
        <v>1.120614</v>
      </c>
      <c r="L3501">
        <v>214.9126</v>
      </c>
      <c r="M3501">
        <v>0.99978029999999996</v>
      </c>
      <c r="N3501">
        <v>-1.2374710000000001E-2</v>
      </c>
      <c r="O3501">
        <v>-1.6920370000000001E-2</v>
      </c>
      <c r="P3501">
        <v>0.99406159999999999</v>
      </c>
      <c r="Q3501">
        <v>-0.10788010000000001</v>
      </c>
      <c r="R3501">
        <v>-1.426296E-2</v>
      </c>
      <c r="S3501">
        <v>2.9958499999999999</v>
      </c>
      <c r="T3501">
        <v>-0.1836612</v>
      </c>
      <c r="U3501">
        <v>-0.13613889999999901</v>
      </c>
      <c r="V3501">
        <v>-2.5487180000000002E-3</v>
      </c>
      <c r="W3501">
        <v>-9.5569680000000004E-2</v>
      </c>
      <c r="X3501">
        <v>0.99541950000000001</v>
      </c>
      <c r="Y3501">
        <v>2.8441060000000001E-2</v>
      </c>
      <c r="Z3501">
        <v>-2.202889E-4</v>
      </c>
      <c r="AA3501">
        <v>0.99959549999999997</v>
      </c>
      <c r="AB3501">
        <v>27</v>
      </c>
      <c r="AC3501">
        <v>18.0153</v>
      </c>
      <c r="AD3501">
        <v>-1.1206105296639901</v>
      </c>
      <c r="AE3501">
        <v>-0.82620000000000005</v>
      </c>
      <c r="AF3501">
        <v>0.51922802713465799</v>
      </c>
      <c r="AG3501">
        <v>-1.1206105296639901</v>
      </c>
      <c r="AH3501">
        <v>17.957365574479802</v>
      </c>
      <c r="AI3501">
        <v>93.569364543734295</v>
      </c>
      <c r="AJ3501">
        <v>88.343783340273404</v>
      </c>
      <c r="AK3501">
        <v>17.999787334267801</v>
      </c>
      <c r="AL3501">
        <v>95.484109151068694</v>
      </c>
      <c r="AM3501">
        <v>90.146702435957806</v>
      </c>
      <c r="AN3501">
        <v>1.0000000203394901</v>
      </c>
    </row>
    <row r="3502" spans="1:40" x14ac:dyDescent="0.25">
      <c r="A3502" t="str">
        <f>"20190303154837848"</f>
        <v>20190303154837848</v>
      </c>
      <c r="B3502" t="str">
        <f>"1551599317844727"</f>
        <v>1551599317844727</v>
      </c>
      <c r="C3502" t="s">
        <v>40</v>
      </c>
      <c r="D3502">
        <v>5.7333040000000004</v>
      </c>
      <c r="E3502">
        <v>0.51202700000000001</v>
      </c>
      <c r="F3502" t="s">
        <v>52</v>
      </c>
      <c r="G3502">
        <v>-379.23919999999998</v>
      </c>
      <c r="H3502" s="1">
        <v>3.3798409999999999E-6</v>
      </c>
      <c r="I3502">
        <v>214.09450000000001</v>
      </c>
      <c r="J3502">
        <v>-397.15170000000001</v>
      </c>
      <c r="K3502">
        <v>1.120641</v>
      </c>
      <c r="L3502">
        <v>214.90819999999999</v>
      </c>
      <c r="M3502">
        <v>0.99978230000000001</v>
      </c>
      <c r="N3502">
        <v>-1.237594E-2</v>
      </c>
      <c r="O3502">
        <v>-1.6804960000000001E-2</v>
      </c>
      <c r="P3502">
        <v>0.99406369999999999</v>
      </c>
      <c r="Q3502">
        <v>-0.1079917</v>
      </c>
      <c r="R3502">
        <v>-1.323649E-2</v>
      </c>
      <c r="S3502">
        <v>2.9959410000000002</v>
      </c>
      <c r="T3502">
        <v>-0.184615</v>
      </c>
      <c r="U3502">
        <v>-0.13478090000000001</v>
      </c>
      <c r="V3502">
        <v>-3.4538440000000002E-3</v>
      </c>
      <c r="W3502">
        <v>-9.5680600000000005E-2</v>
      </c>
      <c r="X3502">
        <v>0.99540609999999996</v>
      </c>
      <c r="Y3502">
        <v>2.8103159999999999E-2</v>
      </c>
      <c r="Z3502">
        <v>-2.1265610000000001E-4</v>
      </c>
      <c r="AA3502">
        <v>0.99960499999999997</v>
      </c>
      <c r="AB3502">
        <v>27</v>
      </c>
      <c r="AC3502">
        <v>17.912500000000001</v>
      </c>
      <c r="AD3502">
        <v>-1.120637620159</v>
      </c>
      <c r="AE3502">
        <v>-0.81369999999998199</v>
      </c>
      <c r="AF3502">
        <v>0.51054904782906896</v>
      </c>
      <c r="AG3502">
        <v>-1.120637620159</v>
      </c>
      <c r="AH3502">
        <v>17.853909529068002</v>
      </c>
      <c r="AI3502">
        <v>93.590112937886701</v>
      </c>
      <c r="AJ3502">
        <v>88.362020594340393</v>
      </c>
      <c r="AK3502">
        <v>17.8963285195065</v>
      </c>
      <c r="AL3502">
        <v>95.490493740341904</v>
      </c>
      <c r="AM3502">
        <v>90.198803172032598</v>
      </c>
      <c r="AN3502">
        <v>1.0000000050859701</v>
      </c>
    </row>
    <row r="3503" spans="1:40" x14ac:dyDescent="0.25">
      <c r="A3503" t="str">
        <f>"20190303154837870"</f>
        <v>20190303154837870</v>
      </c>
      <c r="B3503" t="str">
        <f>"1551599317864247"</f>
        <v>1551599317864247</v>
      </c>
      <c r="C3503" t="s">
        <v>40</v>
      </c>
      <c r="D3503">
        <v>5.7505059999999997</v>
      </c>
      <c r="E3503">
        <v>0.51225770000000004</v>
      </c>
      <c r="F3503" t="s">
        <v>52</v>
      </c>
      <c r="G3503">
        <v>-379.01209999999998</v>
      </c>
      <c r="H3503" s="1">
        <v>3.2590059999999998E-6</v>
      </c>
      <c r="I3503">
        <v>214.089</v>
      </c>
      <c r="J3503">
        <v>-396.88459999999998</v>
      </c>
      <c r="K3503">
        <v>1.1206700000000001</v>
      </c>
      <c r="L3503">
        <v>214.90379999999999</v>
      </c>
      <c r="M3503">
        <v>0.99978429999999996</v>
      </c>
      <c r="N3503">
        <v>-1.237679E-2</v>
      </c>
      <c r="O3503">
        <v>-1.6680259999999999E-2</v>
      </c>
      <c r="P3503">
        <v>0.99410229999999999</v>
      </c>
      <c r="Q3503">
        <v>-0.1076908</v>
      </c>
      <c r="R3503">
        <v>-1.279746E-2</v>
      </c>
      <c r="S3503">
        <v>2.9960019999999998</v>
      </c>
      <c r="T3503">
        <v>-0.18508859999999999</v>
      </c>
      <c r="U3503">
        <v>-0.13529969999999999</v>
      </c>
      <c r="V3503">
        <v>-3.7662699999999999E-3</v>
      </c>
      <c r="W3503">
        <v>-9.5378690000000002E-2</v>
      </c>
      <c r="X3503">
        <v>0.99543389999999998</v>
      </c>
      <c r="Y3503">
        <v>2.8398659999999999E-2</v>
      </c>
      <c r="Z3503">
        <v>-2.2934790000000001E-4</v>
      </c>
      <c r="AA3503">
        <v>0.9995967</v>
      </c>
      <c r="AB3503">
        <v>27</v>
      </c>
      <c r="AC3503">
        <v>17.872499999999999</v>
      </c>
      <c r="AD3503">
        <v>-1.1206667409939901</v>
      </c>
      <c r="AE3503">
        <v>-0.814799999999962</v>
      </c>
      <c r="AF3503">
        <v>0.51452707021139998</v>
      </c>
      <c r="AG3503">
        <v>-1.1206667409939901</v>
      </c>
      <c r="AH3503">
        <v>17.813711995981802</v>
      </c>
      <c r="AI3503">
        <v>93.598256540710807</v>
      </c>
      <c r="AJ3503">
        <v>88.345542158716796</v>
      </c>
      <c r="AK3503">
        <v>17.856342490166799</v>
      </c>
      <c r="AL3503">
        <v>95.473116320403093</v>
      </c>
      <c r="AM3503">
        <v>90.216780185821605</v>
      </c>
      <c r="AN3503">
        <v>0.99999996428251803</v>
      </c>
    </row>
    <row r="3504" spans="1:40" x14ac:dyDescent="0.25">
      <c r="A3504" t="str">
        <f>"20190303154837893"</f>
        <v>20190303154837893</v>
      </c>
      <c r="B3504" t="str">
        <f>"1551599317884742"</f>
        <v>1551599317884742</v>
      </c>
      <c r="C3504" t="s">
        <v>40</v>
      </c>
      <c r="D3504">
        <v>5.7282010000000003</v>
      </c>
      <c r="E3504">
        <v>0.51249809999999996</v>
      </c>
      <c r="F3504" t="s">
        <v>52</v>
      </c>
      <c r="G3504">
        <v>-378.65960000000001</v>
      </c>
      <c r="H3504" s="1">
        <v>3.071427E-6</v>
      </c>
      <c r="I3504">
        <v>214.0763</v>
      </c>
      <c r="J3504">
        <v>-396.61250000000001</v>
      </c>
      <c r="K3504">
        <v>1.1206830000000001</v>
      </c>
      <c r="L3504">
        <v>214.89949999999999</v>
      </c>
      <c r="M3504">
        <v>0.99978670000000003</v>
      </c>
      <c r="N3504">
        <v>-1.2377340000000001E-2</v>
      </c>
      <c r="O3504">
        <v>-1.6537710000000001E-2</v>
      </c>
      <c r="P3504">
        <v>0.99416400000000005</v>
      </c>
      <c r="Q3504">
        <v>-0.10716150000000001</v>
      </c>
      <c r="R3504">
        <v>-1.24361E-2</v>
      </c>
      <c r="S3504">
        <v>2.9960939999999998</v>
      </c>
      <c r="T3504">
        <v>-0.18423139999999999</v>
      </c>
      <c r="U3504">
        <v>-0.13603209999999999</v>
      </c>
      <c r="V3504">
        <v>-3.9848169999999999E-3</v>
      </c>
      <c r="W3504">
        <v>-9.4848329999999995E-2</v>
      </c>
      <c r="X3504">
        <v>0.99548380000000003</v>
      </c>
      <c r="Y3504">
        <v>2.878294E-2</v>
      </c>
      <c r="Z3504">
        <v>-2.5124460000000001E-4</v>
      </c>
      <c r="AA3504">
        <v>0.99958559999999996</v>
      </c>
      <c r="AB3504">
        <v>27</v>
      </c>
      <c r="AC3504">
        <v>17.9529</v>
      </c>
      <c r="AD3504">
        <v>-1.120679928573</v>
      </c>
      <c r="AE3504">
        <v>-0.82319999999998505</v>
      </c>
      <c r="AF3504">
        <v>0.524126760643843</v>
      </c>
      <c r="AG3504">
        <v>-1.120679928573</v>
      </c>
      <c r="AH3504">
        <v>17.894476694135399</v>
      </c>
      <c r="AI3504">
        <v>93.582058473290104</v>
      </c>
      <c r="AJ3504">
        <v>88.322294156217794</v>
      </c>
      <c r="AK3504">
        <v>17.9371939979609</v>
      </c>
      <c r="AL3504">
        <v>95.442590123857002</v>
      </c>
      <c r="AM3504">
        <v>90.229347757151004</v>
      </c>
      <c r="AN3504">
        <v>1.00000004026637</v>
      </c>
    </row>
    <row r="3505" spans="1:40" x14ac:dyDescent="0.25">
      <c r="A3505" t="str">
        <f>"20190303154837915"</f>
        <v>20190303154837915</v>
      </c>
      <c r="B3505" t="str">
        <f>"1551599317904793"</f>
        <v>1551599317904793</v>
      </c>
      <c r="C3505" t="s">
        <v>40</v>
      </c>
      <c r="D3505">
        <v>5.7556520000000004</v>
      </c>
      <c r="E3505">
        <v>0.51273950000000001</v>
      </c>
      <c r="F3505" t="s">
        <v>52</v>
      </c>
      <c r="G3505">
        <v>-378.23840000000001</v>
      </c>
      <c r="H3505" s="1">
        <v>2.8472940000000001E-6</v>
      </c>
      <c r="I3505">
        <v>214.06100000000001</v>
      </c>
      <c r="J3505">
        <v>-396.34059999999999</v>
      </c>
      <c r="K3505">
        <v>1.1206879999999999</v>
      </c>
      <c r="L3505">
        <v>214.89510000000001</v>
      </c>
      <c r="M3505">
        <v>0.99978920000000004</v>
      </c>
      <c r="N3505">
        <v>-1.237765E-2</v>
      </c>
      <c r="O3505">
        <v>-1.6384900000000001E-2</v>
      </c>
      <c r="P3505">
        <v>0.99431429999999998</v>
      </c>
      <c r="Q3505">
        <v>-0.1056993</v>
      </c>
      <c r="R3505">
        <v>-1.2916550000000001E-2</v>
      </c>
      <c r="S3505">
        <v>2.9962460000000002</v>
      </c>
      <c r="T3505">
        <v>-0.18274799999999999</v>
      </c>
      <c r="U3505">
        <v>-0.13673399999999999</v>
      </c>
      <c r="V3505">
        <v>-3.3553770000000001E-3</v>
      </c>
      <c r="W3505">
        <v>-9.3383839999999996E-2</v>
      </c>
      <c r="X3505">
        <v>0.99562450000000002</v>
      </c>
      <c r="Y3505">
        <v>2.9166620000000001E-2</v>
      </c>
      <c r="Z3505">
        <v>-2.7379649999999999E-4</v>
      </c>
      <c r="AA3505">
        <v>0.99957450000000003</v>
      </c>
      <c r="AB3505">
        <v>27</v>
      </c>
      <c r="AC3505">
        <v>18.1021999999999</v>
      </c>
      <c r="AD3505">
        <v>-1.120685152706</v>
      </c>
      <c r="AE3505">
        <v>-0.83410000000003404</v>
      </c>
      <c r="AF3505">
        <v>0.53531521469748899</v>
      </c>
      <c r="AG3505">
        <v>-1.120685152706</v>
      </c>
      <c r="AH3505">
        <v>18.044424955569301</v>
      </c>
      <c r="AI3505">
        <v>93.552345501198005</v>
      </c>
      <c r="AJ3505">
        <v>88.300732255222997</v>
      </c>
      <c r="AK3505">
        <v>18.0871161208124</v>
      </c>
      <c r="AL3505">
        <v>95.358307273380504</v>
      </c>
      <c r="AM3505">
        <v>90.193093091766102</v>
      </c>
      <c r="AN3505">
        <v>0.999999972564103</v>
      </c>
    </row>
    <row r="3506" spans="1:40" x14ac:dyDescent="0.25">
      <c r="A3506" t="str">
        <f>"20190303154837937"</f>
        <v>20190303154837937</v>
      </c>
      <c r="B3506" t="str">
        <f>"1551599317934072"</f>
        <v>1551599317934072</v>
      </c>
      <c r="C3506" t="s">
        <v>40</v>
      </c>
      <c r="D3506">
        <v>5.7366510000000002</v>
      </c>
      <c r="E3506">
        <v>0.51307499999999995</v>
      </c>
      <c r="F3506" t="s">
        <v>52</v>
      </c>
      <c r="G3506">
        <v>-377.53050000000002</v>
      </c>
      <c r="H3506" s="1">
        <v>2.470582E-6</v>
      </c>
      <c r="I3506">
        <v>214.0153</v>
      </c>
      <c r="J3506">
        <v>-396.08</v>
      </c>
      <c r="K3506">
        <v>1.1206879999999999</v>
      </c>
      <c r="L3506">
        <v>214.89099999999999</v>
      </c>
      <c r="M3506">
        <v>0.9997916</v>
      </c>
      <c r="N3506">
        <v>-1.237773E-2</v>
      </c>
      <c r="O3506">
        <v>-1.623867E-2</v>
      </c>
      <c r="P3506">
        <v>0.99438720000000003</v>
      </c>
      <c r="Q3506">
        <v>-0.10491350000000001</v>
      </c>
      <c r="R3506">
        <v>-1.3692019999999999E-2</v>
      </c>
      <c r="S3506">
        <v>2.9963679999999999</v>
      </c>
      <c r="T3506">
        <v>-0.17852029999999999</v>
      </c>
      <c r="U3506">
        <v>-0.140152</v>
      </c>
      <c r="V3506">
        <v>-2.436438E-3</v>
      </c>
      <c r="W3506">
        <v>-9.2596709999999999E-2</v>
      </c>
      <c r="X3506">
        <v>0.99570069999999999</v>
      </c>
      <c r="Y3506">
        <v>3.0447459999999999E-2</v>
      </c>
      <c r="Z3506">
        <v>-3.2926819999999998E-4</v>
      </c>
      <c r="AA3506">
        <v>0.99953630000000004</v>
      </c>
      <c r="AB3506">
        <v>27</v>
      </c>
      <c r="AC3506">
        <v>18.549499999999899</v>
      </c>
      <c r="AD3506">
        <v>-1.12068552941799</v>
      </c>
      <c r="AE3506">
        <v>-0.87569999999999404</v>
      </c>
      <c r="AF3506">
        <v>0.57225810517698195</v>
      </c>
      <c r="AG3506">
        <v>-1.12068552941799</v>
      </c>
      <c r="AH3506">
        <v>18.493920763286301</v>
      </c>
      <c r="AI3506">
        <v>93.466086184068303</v>
      </c>
      <c r="AJ3506">
        <v>88.227659990144204</v>
      </c>
      <c r="AK3506">
        <v>18.536680409218299</v>
      </c>
      <c r="AL3506">
        <v>95.313011710698305</v>
      </c>
      <c r="AM3506">
        <v>90.140200098109602</v>
      </c>
      <c r="AN3506">
        <v>0.99999998545671998</v>
      </c>
    </row>
    <row r="3507" spans="1:40" x14ac:dyDescent="0.25">
      <c r="A3507" t="str">
        <f>"20190303154837960"</f>
        <v>20190303154837960</v>
      </c>
      <c r="B3507" t="str">
        <f>"1551599317954568"</f>
        <v>1551599317954568</v>
      </c>
      <c r="C3507" t="s">
        <v>40</v>
      </c>
      <c r="D3507">
        <v>5.7166949999999996</v>
      </c>
      <c r="E3507">
        <v>0.51328560000000001</v>
      </c>
      <c r="F3507" t="s">
        <v>52</v>
      </c>
      <c r="G3507">
        <v>-377.08429999999998</v>
      </c>
      <c r="H3507" s="1">
        <v>2.2331170000000001E-6</v>
      </c>
      <c r="I3507">
        <v>213.97040000000001</v>
      </c>
      <c r="J3507">
        <v>-395.803</v>
      </c>
      <c r="K3507">
        <v>1.120687</v>
      </c>
      <c r="L3507">
        <v>214.88669999999999</v>
      </c>
      <c r="M3507">
        <v>0.99979390000000001</v>
      </c>
      <c r="N3507">
        <v>-1.2377620000000001E-2</v>
      </c>
      <c r="O3507">
        <v>-1.608946E-2</v>
      </c>
      <c r="P3507">
        <v>0.99430779999999996</v>
      </c>
      <c r="Q3507">
        <v>-0.1054677</v>
      </c>
      <c r="R3507">
        <v>-1.512755E-2</v>
      </c>
      <c r="S3507">
        <v>2.9962770000000001</v>
      </c>
      <c r="T3507">
        <v>-0.17677100000000001</v>
      </c>
      <c r="U3507">
        <v>-0.14521789999999901</v>
      </c>
      <c r="V3507">
        <v>-8.5155229999999999E-4</v>
      </c>
      <c r="W3507">
        <v>-9.3151200000000003E-2</v>
      </c>
      <c r="X3507">
        <v>0.99565159999999997</v>
      </c>
      <c r="Y3507">
        <v>3.2280830000000003E-2</v>
      </c>
      <c r="Z3507">
        <v>-4.0216889999999998E-4</v>
      </c>
      <c r="AA3507">
        <v>0.9994788</v>
      </c>
      <c r="AB3507">
        <v>27</v>
      </c>
      <c r="AC3507">
        <v>18.718699999999998</v>
      </c>
      <c r="AD3507">
        <v>-1.120684766883</v>
      </c>
      <c r="AE3507">
        <v>-0.91629999999997802</v>
      </c>
      <c r="AF3507">
        <v>0.61279327098852598</v>
      </c>
      <c r="AG3507">
        <v>-1.120684766883</v>
      </c>
      <c r="AH3507">
        <v>18.664280327528001</v>
      </c>
      <c r="AI3507">
        <v>93.434316769955004</v>
      </c>
      <c r="AJ3507">
        <v>88.119517082708398</v>
      </c>
      <c r="AK3507">
        <v>18.7079344152218</v>
      </c>
      <c r="AL3507">
        <v>95.3449195343307</v>
      </c>
      <c r="AM3507">
        <v>90.049003427431899</v>
      </c>
      <c r="AN3507">
        <v>0.99999998989265904</v>
      </c>
    </row>
    <row r="3508" spans="1:40" x14ac:dyDescent="0.25">
      <c r="A3508" t="str">
        <f>"20190303154837984"</f>
        <v>20190303154837984</v>
      </c>
      <c r="B3508" t="str">
        <f>"1551599317974088"</f>
        <v>1551599317974088</v>
      </c>
      <c r="C3508" t="s">
        <v>40</v>
      </c>
      <c r="D3508">
        <v>5.7162829999999998</v>
      </c>
      <c r="E3508">
        <v>0.51346879999999995</v>
      </c>
      <c r="F3508" t="s">
        <v>52</v>
      </c>
      <c r="G3508">
        <v>-377.02050000000003</v>
      </c>
      <c r="H3508" s="1">
        <v>2.1991630000000001E-6</v>
      </c>
      <c r="I3508">
        <v>213.93709999999999</v>
      </c>
      <c r="J3508">
        <v>-395.5154</v>
      </c>
      <c r="K3508">
        <v>1.1206780000000001</v>
      </c>
      <c r="L3508">
        <v>214.88220000000001</v>
      </c>
      <c r="M3508">
        <v>0.99979629999999997</v>
      </c>
      <c r="N3508">
        <v>-1.237737E-2</v>
      </c>
      <c r="O3508">
        <v>-1.5942979999999999E-2</v>
      </c>
      <c r="P3508">
        <v>0.99421749999999998</v>
      </c>
      <c r="Q3508">
        <v>-0.1061518</v>
      </c>
      <c r="R3508">
        <v>-1.623583E-2</v>
      </c>
      <c r="S3508">
        <v>2.995911</v>
      </c>
      <c r="T3508">
        <v>-0.17875539999999901</v>
      </c>
      <c r="U3508">
        <v>-0.1514587</v>
      </c>
      <c r="V3508">
        <v>4.0302380000000002E-4</v>
      </c>
      <c r="W3508">
        <v>-9.3836139999999998E-2</v>
      </c>
      <c r="X3508">
        <v>0.99558760000000002</v>
      </c>
      <c r="Y3508">
        <v>3.450421E-2</v>
      </c>
      <c r="Z3508">
        <v>-4.891276E-4</v>
      </c>
      <c r="AA3508">
        <v>0.99940439999999997</v>
      </c>
      <c r="AB3508">
        <v>27</v>
      </c>
      <c r="AC3508">
        <v>18.494899999999902</v>
      </c>
      <c r="AD3508">
        <v>-1.1206758008369999</v>
      </c>
      <c r="AE3508">
        <v>-0.94510000000002403</v>
      </c>
      <c r="AF3508">
        <v>0.64772147102116795</v>
      </c>
      <c r="AG3508">
        <v>-1.1206758008369999</v>
      </c>
      <c r="AH3508">
        <v>18.440089451722699</v>
      </c>
      <c r="AI3508">
        <v>93.4756711199894</v>
      </c>
      <c r="AJ3508">
        <v>87.988271425420706</v>
      </c>
      <c r="AK3508">
        <v>18.485463379156599</v>
      </c>
      <c r="AL3508">
        <v>95.384336160050097</v>
      </c>
      <c r="AM3508">
        <v>89.976806097703502</v>
      </c>
      <c r="AN3508">
        <v>1.00000002643602</v>
      </c>
    </row>
    <row r="3509" spans="1:40" x14ac:dyDescent="0.25">
      <c r="A3509" t="str">
        <f>"20190303154838005"</f>
        <v>20190303154838005</v>
      </c>
      <c r="B3509" t="str">
        <f>"1551599317994584"</f>
        <v>1551599317994584</v>
      </c>
      <c r="C3509" t="s">
        <v>40</v>
      </c>
      <c r="D3509">
        <v>5.7000489999999999</v>
      </c>
      <c r="E3509">
        <v>0.51358609999999905</v>
      </c>
      <c r="F3509" t="s">
        <v>52</v>
      </c>
      <c r="G3509">
        <v>-376.98880000000003</v>
      </c>
      <c r="H3509" s="1">
        <v>2.182283E-6</v>
      </c>
      <c r="I3509">
        <v>213.91679999999999</v>
      </c>
      <c r="J3509">
        <v>-395.25650000000002</v>
      </c>
      <c r="K3509">
        <v>1.1206700000000001</v>
      </c>
      <c r="L3509">
        <v>214.8783</v>
      </c>
      <c r="M3509">
        <v>0.99979839999999998</v>
      </c>
      <c r="N3509">
        <v>-1.2376989999999999E-2</v>
      </c>
      <c r="O3509">
        <v>-1.5813199999999999E-2</v>
      </c>
      <c r="P3509">
        <v>0.99411159999999998</v>
      </c>
      <c r="Q3509">
        <v>-0.1070392</v>
      </c>
      <c r="R3509">
        <v>-1.688332E-2</v>
      </c>
      <c r="S3509">
        <v>2.9955440000000002</v>
      </c>
      <c r="T3509">
        <v>-0.1812009</v>
      </c>
      <c r="U3509">
        <v>-0.1560974</v>
      </c>
      <c r="V3509">
        <v>1.1809430000000001E-3</v>
      </c>
      <c r="W3509">
        <v>-9.4724840000000005E-2</v>
      </c>
      <c r="X3509">
        <v>0.99550280000000002</v>
      </c>
      <c r="Y3509">
        <v>3.6178519999999999E-2</v>
      </c>
      <c r="Z3509">
        <v>-5.5736449999999895E-4</v>
      </c>
      <c r="AA3509">
        <v>0.99934520000000004</v>
      </c>
      <c r="AB3509">
        <v>27</v>
      </c>
      <c r="AC3509">
        <v>18.267699999999898</v>
      </c>
      <c r="AD3509">
        <v>-1.120667817717</v>
      </c>
      <c r="AE3509">
        <v>-0.96150000000000002</v>
      </c>
      <c r="AF3509">
        <v>0.66997240818427894</v>
      </c>
      <c r="AG3509">
        <v>-1.120667817717</v>
      </c>
      <c r="AH3509">
        <v>18.212269482448601</v>
      </c>
      <c r="AI3509">
        <v>93.518805832391095</v>
      </c>
      <c r="AJ3509">
        <v>87.893217558344205</v>
      </c>
      <c r="AK3509">
        <v>18.259011996456</v>
      </c>
      <c r="AL3509">
        <v>95.435482847157203</v>
      </c>
      <c r="AM3509">
        <v>89.932031313215901</v>
      </c>
      <c r="AN3509">
        <v>1.0000000073736099</v>
      </c>
    </row>
    <row r="3510" spans="1:40" x14ac:dyDescent="0.25">
      <c r="A3510" t="str">
        <f>"20190303154838025"</f>
        <v>20190303154838025</v>
      </c>
      <c r="B3510" t="str">
        <f>"1551599318014084"</f>
        <v>1551599318014084</v>
      </c>
      <c r="C3510" t="s">
        <v>40</v>
      </c>
      <c r="D3510">
        <v>5.7171909999999997</v>
      </c>
      <c r="E3510">
        <v>0.51346829999999999</v>
      </c>
      <c r="F3510" t="s">
        <v>52</v>
      </c>
      <c r="G3510">
        <v>-377.04910000000001</v>
      </c>
      <c r="H3510" s="1">
        <v>2.214388E-6</v>
      </c>
      <c r="I3510">
        <v>213.91159999999999</v>
      </c>
      <c r="J3510">
        <v>-395.00540000000001</v>
      </c>
      <c r="K3510">
        <v>1.120662</v>
      </c>
      <c r="L3510">
        <v>214.87440000000001</v>
      </c>
      <c r="M3510">
        <v>0.99980040000000003</v>
      </c>
      <c r="N3510">
        <v>-1.2376460000000001E-2</v>
      </c>
      <c r="O3510">
        <v>-1.568758E-2</v>
      </c>
      <c r="P3510">
        <v>0.99400200000000005</v>
      </c>
      <c r="Q3510">
        <v>-0.10797909999999999</v>
      </c>
      <c r="R3510">
        <v>-1.7345329999999999E-2</v>
      </c>
      <c r="S3510">
        <v>2.995209</v>
      </c>
      <c r="T3510">
        <v>-0.18435570000000001</v>
      </c>
      <c r="U3510">
        <v>-0.15901179999999901</v>
      </c>
      <c r="V3510">
        <v>1.7693559999999999E-3</v>
      </c>
      <c r="W3510">
        <v>-9.5666310000000004E-2</v>
      </c>
      <c r="X3510">
        <v>0.99541190000000002</v>
      </c>
      <c r="Y3510">
        <v>3.7275200000000001E-2</v>
      </c>
      <c r="Z3510">
        <v>-6.0641289999999995E-4</v>
      </c>
      <c r="AA3510">
        <v>0.99930479999999999</v>
      </c>
      <c r="AB3510">
        <v>27</v>
      </c>
      <c r="AC3510">
        <v>17.956299999999999</v>
      </c>
      <c r="AD3510">
        <v>-1.120659785612</v>
      </c>
      <c r="AE3510">
        <v>-0.96280000000001498</v>
      </c>
      <c r="AF3510">
        <v>0.67833447158737004</v>
      </c>
      <c r="AG3510">
        <v>-1.120659785612</v>
      </c>
      <c r="AH3510">
        <v>17.8996747690524</v>
      </c>
      <c r="AI3510">
        <v>93.579925438896097</v>
      </c>
      <c r="AJ3510">
        <v>87.829730803686701</v>
      </c>
      <c r="AK3510">
        <v>17.947545036808901</v>
      </c>
      <c r="AL3510">
        <v>95.489671172037703</v>
      </c>
      <c r="AM3510">
        <v>89.898156206000394</v>
      </c>
      <c r="AN3510">
        <v>1.00000001207564</v>
      </c>
    </row>
    <row r="3511" spans="1:40" x14ac:dyDescent="0.25">
      <c r="A3511" t="str">
        <f>"20190303154838049"</f>
        <v>20190303154838049</v>
      </c>
      <c r="B3511" t="str">
        <f>"1551599318044341"</f>
        <v>1551599318044341</v>
      </c>
      <c r="C3511" t="s">
        <v>40</v>
      </c>
      <c r="D3511">
        <v>5.6954609999999999</v>
      </c>
      <c r="E3511">
        <v>0.51324079999999905</v>
      </c>
      <c r="F3511" t="s">
        <v>52</v>
      </c>
      <c r="G3511">
        <v>-377.09739999999999</v>
      </c>
      <c r="H3511" s="1">
        <v>2.2400850000000002E-6</v>
      </c>
      <c r="I3511">
        <v>213.92099999999999</v>
      </c>
      <c r="J3511">
        <v>-394.72449999999998</v>
      </c>
      <c r="K3511">
        <v>1.1206560000000001</v>
      </c>
      <c r="L3511">
        <v>214.87020000000001</v>
      </c>
      <c r="M3511">
        <v>0.99980259999999999</v>
      </c>
      <c r="N3511">
        <v>-1.237592E-2</v>
      </c>
      <c r="O3511">
        <v>-1.5546590000000001E-2</v>
      </c>
      <c r="P3511">
        <v>0.99394320000000003</v>
      </c>
      <c r="Q3511">
        <v>-0.1084755</v>
      </c>
      <c r="R3511">
        <v>-1.7606699999999999E-2</v>
      </c>
      <c r="S3511">
        <v>2.9949340000000002</v>
      </c>
      <c r="T3511">
        <v>-0.18741859999999999</v>
      </c>
      <c r="U3511">
        <v>-0.15945429999999999</v>
      </c>
      <c r="V3511">
        <v>2.1716370000000001E-3</v>
      </c>
      <c r="W3511">
        <v>-9.6163830000000006E-2</v>
      </c>
      <c r="X3511">
        <v>0.9953632</v>
      </c>
      <c r="Y3511">
        <v>3.7565540000000001E-2</v>
      </c>
      <c r="Z3511">
        <v>-6.2735349999999896E-4</v>
      </c>
      <c r="AA3511">
        <v>0.99929400000000002</v>
      </c>
      <c r="AB3511">
        <v>27</v>
      </c>
      <c r="AC3511">
        <v>17.627099999999899</v>
      </c>
      <c r="AD3511">
        <v>-1.1206537599149999</v>
      </c>
      <c r="AE3511">
        <v>-0.94920000000001803</v>
      </c>
      <c r="AF3511">
        <v>0.67231345497650397</v>
      </c>
      <c r="AG3511">
        <v>-1.1206537599149999</v>
      </c>
      <c r="AH3511">
        <v>17.568921504821699</v>
      </c>
      <c r="AI3511">
        <v>93.647070199652006</v>
      </c>
      <c r="AJ3511">
        <v>87.808520175957099</v>
      </c>
      <c r="AK3511">
        <v>17.617459325167701</v>
      </c>
      <c r="AL3511">
        <v>95.518308797592297</v>
      </c>
      <c r="AM3511">
        <v>89.8749949392231</v>
      </c>
      <c r="AN3511">
        <v>1.00000004906088</v>
      </c>
    </row>
    <row r="3512" spans="1:40" x14ac:dyDescent="0.25">
      <c r="A3512" t="str">
        <f>"20190303154838072"</f>
        <v>20190303154838072</v>
      </c>
      <c r="B3512" t="str">
        <f>"1551599318064836"</f>
        <v>1551599318064836</v>
      </c>
      <c r="C3512" t="s">
        <v>40</v>
      </c>
      <c r="D3512">
        <v>5.7116579999999999</v>
      </c>
      <c r="E3512">
        <v>0.51309079999999996</v>
      </c>
      <c r="F3512" t="s">
        <v>52</v>
      </c>
      <c r="G3512">
        <v>-376.95460000000003</v>
      </c>
      <c r="H3512" s="1">
        <v>2.1641050000000001E-6</v>
      </c>
      <c r="I3512">
        <v>213.9306</v>
      </c>
      <c r="J3512">
        <v>-394.44670000000002</v>
      </c>
      <c r="K3512">
        <v>1.1206499999999999</v>
      </c>
      <c r="L3512">
        <v>214.86609999999999</v>
      </c>
      <c r="M3512">
        <v>0.9998049</v>
      </c>
      <c r="N3512">
        <v>-1.2375280000000001E-2</v>
      </c>
      <c r="O3512">
        <v>-1.5406889999999999E-2</v>
      </c>
      <c r="P3512">
        <v>0.99392780000000003</v>
      </c>
      <c r="Q3512">
        <v>-0.1086299</v>
      </c>
      <c r="R3512">
        <v>-1.7538310000000001E-2</v>
      </c>
      <c r="S3512">
        <v>2.9948429999999999</v>
      </c>
      <c r="T3512">
        <v>-0.18886849999999999</v>
      </c>
      <c r="U3512">
        <v>-0.15835569999999999</v>
      </c>
      <c r="V3512">
        <v>2.2419499999999999E-3</v>
      </c>
      <c r="W3512">
        <v>-9.6319109999999999E-2</v>
      </c>
      <c r="X3512">
        <v>0.99534800000000001</v>
      </c>
      <c r="Y3512">
        <v>3.7340720000000001E-2</v>
      </c>
      <c r="Z3512">
        <v>-6.2749650000000002E-4</v>
      </c>
      <c r="AA3512">
        <v>0.99930240000000004</v>
      </c>
      <c r="AB3512">
        <v>27</v>
      </c>
      <c r="AC3512">
        <v>17.492099999999901</v>
      </c>
      <c r="AD3512">
        <v>-1.1206478358949901</v>
      </c>
      <c r="AE3512">
        <v>-0.93549999999999001</v>
      </c>
      <c r="AF3512">
        <v>0.66315537280978298</v>
      </c>
      <c r="AG3512">
        <v>-1.1206478358949901</v>
      </c>
      <c r="AH3512">
        <v>17.4330886640094</v>
      </c>
      <c r="AI3512">
        <v>93.675421713841402</v>
      </c>
      <c r="AJ3512">
        <v>87.8215166946338</v>
      </c>
      <c r="AK3512">
        <v>17.4816534397578</v>
      </c>
      <c r="AL3512">
        <v>95.527247343199704</v>
      </c>
      <c r="AM3512">
        <v>89.8709455832077</v>
      </c>
      <c r="AN3512">
        <v>1.00000001919749</v>
      </c>
    </row>
    <row r="3513" spans="1:40" x14ac:dyDescent="0.25">
      <c r="A3513" t="str">
        <f>"20190303154838094"</f>
        <v>20190303154838094</v>
      </c>
      <c r="B3513" t="str">
        <f>"1551599318084356"</f>
        <v>1551599318084356</v>
      </c>
      <c r="C3513" t="s">
        <v>40</v>
      </c>
      <c r="D3513">
        <v>5.6830230000000004</v>
      </c>
      <c r="E3513">
        <v>0.51292929999999903</v>
      </c>
      <c r="F3513" t="s">
        <v>52</v>
      </c>
      <c r="G3513">
        <v>-376.74119999999999</v>
      </c>
      <c r="H3513" s="1">
        <v>2.0505300000000001E-6</v>
      </c>
      <c r="I3513">
        <v>213.9385</v>
      </c>
      <c r="J3513">
        <v>-394.18959999999998</v>
      </c>
      <c r="K3513">
        <v>1.1206400000000001</v>
      </c>
      <c r="L3513">
        <v>214.8623</v>
      </c>
      <c r="M3513">
        <v>0.99980670000000005</v>
      </c>
      <c r="N3513">
        <v>-1.2374619999999999E-2</v>
      </c>
      <c r="O3513">
        <v>-1.5281629999999999E-2</v>
      </c>
      <c r="P3513">
        <v>0.99397550000000001</v>
      </c>
      <c r="Q3513">
        <v>-0.108249499999999</v>
      </c>
      <c r="R3513">
        <v>-1.717159E-2</v>
      </c>
      <c r="S3513">
        <v>2.9948429999999999</v>
      </c>
      <c r="T3513">
        <v>-0.189555</v>
      </c>
      <c r="U3513">
        <v>-0.1568909</v>
      </c>
      <c r="V3513">
        <v>1.9986560000000001E-3</v>
      </c>
      <c r="W3513">
        <v>-9.593894E-2</v>
      </c>
      <c r="X3513">
        <v>0.99538519999999997</v>
      </c>
      <c r="Y3513">
        <v>3.6978759999999999E-2</v>
      </c>
      <c r="Z3513">
        <v>-6.2090589999999905E-4</v>
      </c>
      <c r="AA3513">
        <v>0.99931590000000003</v>
      </c>
      <c r="AB3513">
        <v>27</v>
      </c>
      <c r="AC3513">
        <v>17.4483999999999</v>
      </c>
      <c r="AD3513">
        <v>-1.1206379494699901</v>
      </c>
      <c r="AE3513">
        <v>-0.92379999999999995</v>
      </c>
      <c r="AF3513">
        <v>0.654340132641545</v>
      </c>
      <c r="AG3513">
        <v>-1.1206379494699901</v>
      </c>
      <c r="AH3513">
        <v>17.388952294154802</v>
      </c>
      <c r="AI3513">
        <v>93.6847495007394</v>
      </c>
      <c r="AJ3513">
        <v>87.844996825893304</v>
      </c>
      <c r="AK3513">
        <v>17.4373063376018</v>
      </c>
      <c r="AL3513">
        <v>95.505364047498205</v>
      </c>
      <c r="AM3513">
        <v>89.884954689299306</v>
      </c>
      <c r="AN3513">
        <v>0.99999998560658498</v>
      </c>
    </row>
    <row r="3514" spans="1:40" x14ac:dyDescent="0.25">
      <c r="A3514" t="str">
        <f>"20190303154838116"</f>
        <v>20190303154838116</v>
      </c>
      <c r="B3514" t="str">
        <f>"1551599318114469"</f>
        <v>1551599318114469</v>
      </c>
      <c r="C3514" t="s">
        <v>40</v>
      </c>
      <c r="D3514">
        <v>5.6924590000000004</v>
      </c>
      <c r="E3514">
        <v>0.51265369999999999</v>
      </c>
      <c r="F3514" t="s">
        <v>52</v>
      </c>
      <c r="G3514">
        <v>-376.36869999999999</v>
      </c>
      <c r="H3514" s="1">
        <v>1.8523170000000001E-6</v>
      </c>
      <c r="I3514">
        <v>213.9443</v>
      </c>
      <c r="J3514">
        <v>-393.91890000000001</v>
      </c>
      <c r="K3514">
        <v>1.12063</v>
      </c>
      <c r="L3514">
        <v>214.85830000000001</v>
      </c>
      <c r="M3514">
        <v>0.99980840000000004</v>
      </c>
      <c r="N3514">
        <v>-1.237388E-2</v>
      </c>
      <c r="O3514">
        <v>-1.5164810000000001E-2</v>
      </c>
      <c r="P3514">
        <v>0.99402769999999996</v>
      </c>
      <c r="Q3514">
        <v>-0.1079141</v>
      </c>
      <c r="R3514">
        <v>-1.6223669999999999E-2</v>
      </c>
      <c r="S3514">
        <v>2.9949949999999999</v>
      </c>
      <c r="T3514">
        <v>-0.1883349</v>
      </c>
      <c r="U3514">
        <v>-0.1542664</v>
      </c>
      <c r="V3514">
        <v>1.164268E-3</v>
      </c>
      <c r="W3514">
        <v>-9.5604019999999998E-2</v>
      </c>
      <c r="X3514">
        <v>0.99541880000000005</v>
      </c>
      <c r="Y3514">
        <v>3.6221870000000003E-2</v>
      </c>
      <c r="Z3514">
        <v>-5.9700620000000004E-4</v>
      </c>
      <c r="AA3514">
        <v>0.9993436</v>
      </c>
      <c r="AB3514">
        <v>27</v>
      </c>
      <c r="AC3514">
        <v>17.5502</v>
      </c>
      <c r="AD3514">
        <v>-1.120628147683</v>
      </c>
      <c r="AE3514">
        <v>-0.91400000000001502</v>
      </c>
      <c r="AF3514">
        <v>0.64510595169566698</v>
      </c>
      <c r="AG3514">
        <v>-1.120628147683</v>
      </c>
      <c r="AH3514">
        <v>17.490922665911899</v>
      </c>
      <c r="AI3514">
        <v>93.663396059954806</v>
      </c>
      <c r="AJ3514">
        <v>87.887755670031794</v>
      </c>
      <c r="AK3514">
        <v>17.538652879831002</v>
      </c>
      <c r="AL3514">
        <v>95.486085653756106</v>
      </c>
      <c r="AM3514">
        <v>89.932985380421798</v>
      </c>
      <c r="AN3514">
        <v>1.00000003577678</v>
      </c>
    </row>
    <row r="3515" spans="1:40" x14ac:dyDescent="0.25">
      <c r="A3515" t="str">
        <f>"20190303154838137"</f>
        <v>20190303154838137</v>
      </c>
      <c r="B3515" t="str">
        <f>"1551599318133988"</f>
        <v>1551599318133988</v>
      </c>
      <c r="C3515" t="s">
        <v>40</v>
      </c>
      <c r="D3515">
        <v>5.7011320000000003</v>
      </c>
      <c r="E3515">
        <v>0.51254460000000002</v>
      </c>
      <c r="F3515" t="s">
        <v>52</v>
      </c>
      <c r="G3515">
        <v>-376.09699999999998</v>
      </c>
      <c r="H3515" s="1">
        <v>1.707718E-6</v>
      </c>
      <c r="I3515">
        <v>213.97020000000001</v>
      </c>
      <c r="J3515">
        <v>-393.66050000000001</v>
      </c>
      <c r="K3515">
        <v>1.1206210000000001</v>
      </c>
      <c r="L3515">
        <v>214.8545</v>
      </c>
      <c r="M3515">
        <v>0.99980979999999997</v>
      </c>
      <c r="N3515">
        <v>-1.237311E-2</v>
      </c>
      <c r="O3515">
        <v>-1.507551E-2</v>
      </c>
      <c r="P3515">
        <v>0.99399009999999999</v>
      </c>
      <c r="Q3515">
        <v>-0.1083945</v>
      </c>
      <c r="R3515">
        <v>-1.530488E-2</v>
      </c>
      <c r="S3515">
        <v>2.9951479999999999</v>
      </c>
      <c r="T3515">
        <v>-0.188332</v>
      </c>
      <c r="U3515">
        <v>-0.1492462</v>
      </c>
      <c r="V3515">
        <v>3.313158E-4</v>
      </c>
      <c r="W3515">
        <v>-9.608593E-2</v>
      </c>
      <c r="X3515">
        <v>0.99537299999999995</v>
      </c>
      <c r="Y3515">
        <v>3.4641390000000001E-2</v>
      </c>
      <c r="Z3515">
        <v>-5.4206640000000004E-4</v>
      </c>
      <c r="AA3515">
        <v>0.9993997</v>
      </c>
      <c r="AB3515">
        <v>27</v>
      </c>
      <c r="AC3515">
        <v>17.563500000000001</v>
      </c>
      <c r="AD3515">
        <v>-1.120619292282</v>
      </c>
      <c r="AE3515">
        <v>-0.88429999999999598</v>
      </c>
      <c r="AF3515">
        <v>0.61689551019768796</v>
      </c>
      <c r="AG3515">
        <v>-1.120619292282</v>
      </c>
      <c r="AH3515">
        <v>17.503759566755701</v>
      </c>
      <c r="AI3515">
        <v>93.660903333891596</v>
      </c>
      <c r="AJ3515">
        <v>87.981525880543103</v>
      </c>
      <c r="AK3515">
        <v>17.5504400696828</v>
      </c>
      <c r="AL3515">
        <v>95.513824894608007</v>
      </c>
      <c r="AM3515">
        <v>89.980928761052397</v>
      </c>
      <c r="AN3515">
        <v>1.00000001242156</v>
      </c>
    </row>
    <row r="3516" spans="1:40" x14ac:dyDescent="0.25">
      <c r="A3516" t="str">
        <f>"20190303154838162"</f>
        <v>20190303154838162</v>
      </c>
      <c r="B3516" t="str">
        <f>"1551599318154485"</f>
        <v>1551599318154485</v>
      </c>
      <c r="C3516" t="s">
        <v>40</v>
      </c>
      <c r="D3516">
        <v>5.743233</v>
      </c>
      <c r="E3516">
        <v>0.51239979999999996</v>
      </c>
      <c r="F3516" t="s">
        <v>52</v>
      </c>
      <c r="G3516">
        <v>-375.96190000000001</v>
      </c>
      <c r="H3516" s="1">
        <v>1.635868E-6</v>
      </c>
      <c r="I3516">
        <v>213.994</v>
      </c>
      <c r="J3516">
        <v>-393.375</v>
      </c>
      <c r="K3516">
        <v>1.120593</v>
      </c>
      <c r="L3516">
        <v>214.8503</v>
      </c>
      <c r="M3516">
        <v>0.99981089999999995</v>
      </c>
      <c r="N3516">
        <v>-1.237224E-2</v>
      </c>
      <c r="O3516">
        <v>-1.5006230000000001E-2</v>
      </c>
      <c r="P3516">
        <v>0.99396499999999999</v>
      </c>
      <c r="Q3516">
        <v>-0.1087978</v>
      </c>
      <c r="R3516">
        <v>-1.4028560000000001E-2</v>
      </c>
      <c r="S3516">
        <v>2.995209</v>
      </c>
      <c r="T3516">
        <v>-0.18964819999999999</v>
      </c>
      <c r="U3516">
        <v>-0.14562990000000001</v>
      </c>
      <c r="V3516">
        <v>-8.8118089999999897E-4</v>
      </c>
      <c r="W3516">
        <v>-9.6490740000000005E-2</v>
      </c>
      <c r="X3516">
        <v>0.99533349999999998</v>
      </c>
      <c r="Y3516">
        <v>3.3507790000000003E-2</v>
      </c>
      <c r="Z3516">
        <v>-5.0368699999999995E-4</v>
      </c>
      <c r="AA3516">
        <v>0.9994383</v>
      </c>
      <c r="AB3516">
        <v>27</v>
      </c>
      <c r="AC3516">
        <v>17.413099999999901</v>
      </c>
      <c r="AD3516">
        <v>-1.120591364132</v>
      </c>
      <c r="AE3516">
        <v>-0.85629999999997597</v>
      </c>
      <c r="AF3516">
        <v>0.59243104534700297</v>
      </c>
      <c r="AG3516">
        <v>-1.120591364132</v>
      </c>
      <c r="AH3516">
        <v>17.3523011449047</v>
      </c>
      <c r="AI3516">
        <v>93.692818125763395</v>
      </c>
      <c r="AJ3516">
        <v>88.044604065802105</v>
      </c>
      <c r="AK3516">
        <v>17.3985359893389</v>
      </c>
      <c r="AL3516">
        <v>95.537127098597594</v>
      </c>
      <c r="AM3516">
        <v>90.050724639899101</v>
      </c>
      <c r="AN3516">
        <v>1.00000000780388</v>
      </c>
    </row>
    <row r="3517" spans="1:40" x14ac:dyDescent="0.25">
      <c r="A3517" t="str">
        <f>"20190303154838184"</f>
        <v>20190303154838184</v>
      </c>
      <c r="B3517" t="str">
        <f>"1551599318174981"</f>
        <v>1551599318174981</v>
      </c>
      <c r="C3517" t="s">
        <v>40</v>
      </c>
      <c r="D3517">
        <v>5.716291</v>
      </c>
      <c r="E3517">
        <v>0.51229389999999997</v>
      </c>
      <c r="F3517" t="s">
        <v>52</v>
      </c>
      <c r="G3517">
        <v>-375.79570000000001</v>
      </c>
      <c r="H3517" s="1">
        <v>1.5474119999999999E-6</v>
      </c>
      <c r="I3517">
        <v>214.02610000000001</v>
      </c>
      <c r="J3517">
        <v>-393.09440000000001</v>
      </c>
      <c r="K3517">
        <v>1.1205689999999999</v>
      </c>
      <c r="L3517">
        <v>214.84610000000001</v>
      </c>
      <c r="M3517">
        <v>0.99981140000000002</v>
      </c>
      <c r="N3517">
        <v>-1.237134E-2</v>
      </c>
      <c r="O3517">
        <v>-1.4970209999999999E-2</v>
      </c>
      <c r="P3517">
        <v>0.99395909999999998</v>
      </c>
      <c r="Q3517">
        <v>-0.10892640000000001</v>
      </c>
      <c r="R3517">
        <v>-1.343359E-2</v>
      </c>
      <c r="S3517">
        <v>2.9953310000000002</v>
      </c>
      <c r="T3517">
        <v>-0.19093789999999999</v>
      </c>
      <c r="U3517">
        <v>-0.14042660000000001</v>
      </c>
      <c r="V3517">
        <v>-1.445001E-3</v>
      </c>
      <c r="W3517">
        <v>-9.6620399999999995E-2</v>
      </c>
      <c r="X3517">
        <v>0.99532030000000005</v>
      </c>
      <c r="Y3517">
        <v>3.181295E-2</v>
      </c>
      <c r="Z3517">
        <v>-4.418146E-4</v>
      </c>
      <c r="AA3517">
        <v>0.99949370000000004</v>
      </c>
      <c r="AB3517">
        <v>27</v>
      </c>
      <c r="AC3517">
        <v>17.298699999999901</v>
      </c>
      <c r="AD3517">
        <v>-1.1205674525880001</v>
      </c>
      <c r="AE3517">
        <v>-0.81999999999999296</v>
      </c>
      <c r="AF3517">
        <v>0.55858446569509101</v>
      </c>
      <c r="AG3517">
        <v>-1.1205674525880001</v>
      </c>
      <c r="AH3517">
        <v>17.236871703383802</v>
      </c>
      <c r="AI3517">
        <v>93.717613221556803</v>
      </c>
      <c r="AJ3517">
        <v>88.143901250786101</v>
      </c>
      <c r="AK3517">
        <v>17.282286716173498</v>
      </c>
      <c r="AL3517">
        <v>95.544590738438401</v>
      </c>
      <c r="AM3517">
        <v>90.083181665766006</v>
      </c>
      <c r="AN3517">
        <v>1.0000000446580599</v>
      </c>
    </row>
    <row r="3518" spans="1:40" x14ac:dyDescent="0.25">
      <c r="A3518" t="str">
        <f>"20190303154838205"</f>
        <v>20190303154838205</v>
      </c>
      <c r="B3518" t="str">
        <f>"1551599318194501"</f>
        <v>1551599318194501</v>
      </c>
      <c r="C3518" t="s">
        <v>40</v>
      </c>
      <c r="D3518">
        <v>5.7354719999999997</v>
      </c>
      <c r="E3518">
        <v>0.51218090000000005</v>
      </c>
      <c r="F3518" t="s">
        <v>52</v>
      </c>
      <c r="G3518">
        <v>-375.5598</v>
      </c>
      <c r="H3518" s="1">
        <v>1.4218699999999999E-6</v>
      </c>
      <c r="I3518">
        <v>214.0395</v>
      </c>
      <c r="J3518">
        <v>-392.83390000000003</v>
      </c>
      <c r="K3518">
        <v>1.1205529999999999</v>
      </c>
      <c r="L3518">
        <v>214.84229999999999</v>
      </c>
      <c r="M3518">
        <v>0.99981180000000003</v>
      </c>
      <c r="N3518">
        <v>-1.237049E-2</v>
      </c>
      <c r="O3518">
        <v>-1.495605E-2</v>
      </c>
      <c r="P3518">
        <v>0.99402769999999996</v>
      </c>
      <c r="Q3518">
        <v>-0.1082639</v>
      </c>
      <c r="R3518">
        <v>-1.37202E-2</v>
      </c>
      <c r="S3518">
        <v>2.995422</v>
      </c>
      <c r="T3518">
        <v>-0.19142629999999999</v>
      </c>
      <c r="U3518">
        <v>-0.13780209999999901</v>
      </c>
      <c r="V3518">
        <v>-1.149871E-3</v>
      </c>
      <c r="W3518">
        <v>-9.5957849999999997E-2</v>
      </c>
      <c r="X3518">
        <v>0.99538479999999996</v>
      </c>
      <c r="Y3518">
        <v>3.0953660000000001E-2</v>
      </c>
      <c r="Z3518">
        <v>-4.0992729999999997E-4</v>
      </c>
      <c r="AA3518">
        <v>0.99952070000000004</v>
      </c>
      <c r="AB3518">
        <v>27</v>
      </c>
      <c r="AC3518">
        <v>17.274100000000001</v>
      </c>
      <c r="AD3518">
        <v>-1.1205515781299999</v>
      </c>
      <c r="AE3518">
        <v>-0.80279999999998997</v>
      </c>
      <c r="AF3518">
        <v>0.54206210021868795</v>
      </c>
      <c r="AG3518">
        <v>-1.1205515781299999</v>
      </c>
      <c r="AH3518">
        <v>17.211904149205001</v>
      </c>
      <c r="AI3518">
        <v>93.723046411389802</v>
      </c>
      <c r="AJ3518">
        <v>88.196154922784302</v>
      </c>
      <c r="AK3518">
        <v>17.2568569444486</v>
      </c>
      <c r="AL3518">
        <v>95.506452090656097</v>
      </c>
      <c r="AM3518">
        <v>90.066188197748005</v>
      </c>
      <c r="AN3518">
        <v>1.0000000656254799</v>
      </c>
    </row>
    <row r="3519" spans="1:40" x14ac:dyDescent="0.25">
      <c r="A3519" t="str">
        <f>"20190303154838228"</f>
        <v>20190303154838228</v>
      </c>
      <c r="B3519" t="str">
        <f>"1551599318224288"</f>
        <v>1551599318224288</v>
      </c>
      <c r="C3519" t="s">
        <v>40</v>
      </c>
      <c r="D3519">
        <v>5.7392820000000002</v>
      </c>
      <c r="E3519">
        <v>0.5119899</v>
      </c>
      <c r="F3519" t="s">
        <v>52</v>
      </c>
      <c r="G3519">
        <v>-375.15269999999998</v>
      </c>
      <c r="H3519" s="1">
        <v>1.2052309999999999E-6</v>
      </c>
      <c r="I3519">
        <v>214.0292</v>
      </c>
      <c r="J3519">
        <v>-392.57130000000001</v>
      </c>
      <c r="K3519">
        <v>1.1205480000000001</v>
      </c>
      <c r="L3519">
        <v>214.83840000000001</v>
      </c>
      <c r="M3519">
        <v>0.99981160000000002</v>
      </c>
      <c r="N3519">
        <v>-1.236956E-2</v>
      </c>
      <c r="O3519">
        <v>-1.495338E-2</v>
      </c>
      <c r="P3519">
        <v>0.9940966</v>
      </c>
      <c r="Q3519">
        <v>-0.10754039999999999</v>
      </c>
      <c r="R3519">
        <v>-1.4388720000000001E-2</v>
      </c>
      <c r="S3519">
        <v>2.9953919999999998</v>
      </c>
      <c r="T3519">
        <v>-0.18983410000000001</v>
      </c>
      <c r="U3519">
        <v>-0.1377563</v>
      </c>
      <c r="V3519">
        <v>-4.8256530000000001E-4</v>
      </c>
      <c r="W3519">
        <v>-9.5234299999999994E-2</v>
      </c>
      <c r="X3519">
        <v>0.99545479999999997</v>
      </c>
      <c r="Y3519">
        <v>3.0942310000000001E-2</v>
      </c>
      <c r="Z3519">
        <v>-4.0932890000000002E-4</v>
      </c>
      <c r="AA3519">
        <v>0.99952110000000005</v>
      </c>
      <c r="AB3519">
        <v>27</v>
      </c>
      <c r="AC3519">
        <v>17.418600000000001</v>
      </c>
      <c r="AD3519">
        <v>-1.120546794769</v>
      </c>
      <c r="AE3519">
        <v>-0.80920000000000403</v>
      </c>
      <c r="AF3519">
        <v>0.546366398430288</v>
      </c>
      <c r="AG3519">
        <v>-1.120546794769</v>
      </c>
      <c r="AH3519">
        <v>17.357077352361699</v>
      </c>
      <c r="AI3519">
        <v>93.691979706620103</v>
      </c>
      <c r="AJ3519">
        <v>88.197037744823803</v>
      </c>
      <c r="AK3519">
        <v>17.4017894360456</v>
      </c>
      <c r="AL3519">
        <v>95.464805181554098</v>
      </c>
      <c r="AM3519">
        <v>90.0277751966876</v>
      </c>
      <c r="AN3519">
        <v>1.00000003180439</v>
      </c>
    </row>
    <row r="3520" spans="1:40" x14ac:dyDescent="0.25">
      <c r="A3520" t="str">
        <f>"20190303154838250"</f>
        <v>20190303154838250</v>
      </c>
      <c r="B3520" t="str">
        <f>"1551599318244785"</f>
        <v>1551599318244785</v>
      </c>
      <c r="C3520" t="s">
        <v>40</v>
      </c>
      <c r="D3520">
        <v>5.7212699999999996</v>
      </c>
      <c r="E3520">
        <v>0.51187260000000001</v>
      </c>
      <c r="F3520" t="s">
        <v>52</v>
      </c>
      <c r="G3520">
        <v>-374.71230000000003</v>
      </c>
      <c r="H3520" s="1">
        <v>9.7085079999999993E-7</v>
      </c>
      <c r="I3520">
        <v>214.01249999999999</v>
      </c>
      <c r="J3520">
        <v>-392.29829999999998</v>
      </c>
      <c r="K3520">
        <v>1.1205419999999999</v>
      </c>
      <c r="L3520">
        <v>214.83430000000001</v>
      </c>
      <c r="M3520">
        <v>0.99981160000000002</v>
      </c>
      <c r="N3520">
        <v>-1.2368560000000001E-2</v>
      </c>
      <c r="O3520">
        <v>-1.4955970000000001E-2</v>
      </c>
      <c r="P3520">
        <v>0.99409219999999998</v>
      </c>
      <c r="Q3520">
        <v>-0.1074803</v>
      </c>
      <c r="R3520">
        <v>-1.51264E-2</v>
      </c>
      <c r="S3520">
        <v>2.9954830000000001</v>
      </c>
      <c r="T3520">
        <v>-0.1879488</v>
      </c>
      <c r="U3520">
        <v>-0.13851930000000001</v>
      </c>
      <c r="V3520">
        <v>2.5075020000000001E-4</v>
      </c>
      <c r="W3520">
        <v>-9.5175220000000005E-2</v>
      </c>
      <c r="X3520">
        <v>0.99546049999999997</v>
      </c>
      <c r="Y3520">
        <v>3.1192629999999999E-2</v>
      </c>
      <c r="Z3520">
        <v>-4.1823270000000001E-4</v>
      </c>
      <c r="AA3520">
        <v>0.99951330000000005</v>
      </c>
      <c r="AB3520">
        <v>27</v>
      </c>
      <c r="AC3520">
        <v>17.585999999999899</v>
      </c>
      <c r="AD3520">
        <v>-1.1205410291492</v>
      </c>
      <c r="AE3520">
        <v>-0.82180000000002396</v>
      </c>
      <c r="AF3520">
        <v>0.55641813672689</v>
      </c>
      <c r="AG3520">
        <v>-1.1205410291492</v>
      </c>
      <c r="AH3520">
        <v>17.525327487959402</v>
      </c>
      <c r="AI3520">
        <v>93.656581843020803</v>
      </c>
      <c r="AJ3520">
        <v>88.181505862486404</v>
      </c>
      <c r="AK3520">
        <v>17.569926491055998</v>
      </c>
      <c r="AL3520">
        <v>95.4614048959793</v>
      </c>
      <c r="AM3520">
        <v>89.985567556052501</v>
      </c>
      <c r="AN3520">
        <v>0.99999999621897995</v>
      </c>
    </row>
    <row r="3521" spans="1:40" x14ac:dyDescent="0.25">
      <c r="A3521" t="str">
        <f>"20190303154838272"</f>
        <v>20190303154838272</v>
      </c>
      <c r="B3521" t="str">
        <f>"1551599318264304"</f>
        <v>1551599318264304</v>
      </c>
      <c r="C3521" t="s">
        <v>40</v>
      </c>
      <c r="D3521">
        <v>5.7891050000000002</v>
      </c>
      <c r="E3521">
        <v>0.51176290000000002</v>
      </c>
      <c r="F3521" t="s">
        <v>52</v>
      </c>
      <c r="G3521">
        <v>-374.45460000000003</v>
      </c>
      <c r="H3521" s="1">
        <v>8.337184E-7</v>
      </c>
      <c r="I3521">
        <v>214.001</v>
      </c>
      <c r="J3521">
        <v>-392.03530000000001</v>
      </c>
      <c r="K3521">
        <v>1.1205350000000001</v>
      </c>
      <c r="L3521">
        <v>214.8304</v>
      </c>
      <c r="M3521">
        <v>0.99981169999999997</v>
      </c>
      <c r="N3521">
        <v>-1.2367589999999999E-2</v>
      </c>
      <c r="O3521">
        <v>-1.4958600000000001E-2</v>
      </c>
      <c r="P3521">
        <v>0.99406649999999996</v>
      </c>
      <c r="Q3521">
        <v>-0.107624499999999</v>
      </c>
      <c r="R3521">
        <v>-1.578353E-2</v>
      </c>
      <c r="S3521">
        <v>2.9953310000000002</v>
      </c>
      <c r="T3521">
        <v>-0.1880995</v>
      </c>
      <c r="U3521">
        <v>-0.13987729999999901</v>
      </c>
      <c r="V3521">
        <v>9.0556960000000004E-4</v>
      </c>
      <c r="W3521">
        <v>-9.5320550000000004E-2</v>
      </c>
      <c r="X3521">
        <v>0.99544619999999995</v>
      </c>
      <c r="Y3521">
        <v>3.1643419999999998E-2</v>
      </c>
      <c r="Z3521">
        <v>-4.3503079999999999E-4</v>
      </c>
      <c r="AA3521">
        <v>0.99949909999999997</v>
      </c>
      <c r="AB3521">
        <v>27</v>
      </c>
      <c r="AC3521">
        <v>17.580699999999901</v>
      </c>
      <c r="AD3521">
        <v>-1.1205341662816</v>
      </c>
      <c r="AE3521">
        <v>-0.82940000000002101</v>
      </c>
      <c r="AF3521">
        <v>0.56401827928941195</v>
      </c>
      <c r="AG3521">
        <v>-1.1205341662816</v>
      </c>
      <c r="AH3521">
        <v>17.520125357847999</v>
      </c>
      <c r="AI3521">
        <v>93.657590642951305</v>
      </c>
      <c r="AJ3521">
        <v>88.156137037207401</v>
      </c>
      <c r="AK3521">
        <v>17.5649795329197</v>
      </c>
      <c r="AL3521">
        <v>95.469769798527906</v>
      </c>
      <c r="AM3521">
        <v>89.947877342017705</v>
      </c>
      <c r="AN3521">
        <v>0.99999998220152098</v>
      </c>
    </row>
    <row r="3522" spans="1:40" x14ac:dyDescent="0.25">
      <c r="A3522" t="str">
        <f>"20190303154838294"</f>
        <v>20190303154838294</v>
      </c>
      <c r="B3522" t="str">
        <f>"1551599318284804"</f>
        <v>1551599318284804</v>
      </c>
      <c r="C3522" t="s">
        <v>40</v>
      </c>
      <c r="D3522">
        <v>5.7461440000000001</v>
      </c>
      <c r="E3522">
        <v>0.51169929999999997</v>
      </c>
      <c r="F3522" t="s">
        <v>52</v>
      </c>
      <c r="G3522">
        <v>-374.24630000000002</v>
      </c>
      <c r="H3522" s="1">
        <v>7.2287839999999999E-7</v>
      </c>
      <c r="I3522">
        <v>213.99430000000001</v>
      </c>
      <c r="J3522">
        <v>-391.77440000000001</v>
      </c>
      <c r="K3522">
        <v>1.120536</v>
      </c>
      <c r="L3522">
        <v>214.82640000000001</v>
      </c>
      <c r="M3522">
        <v>0.99981169999999997</v>
      </c>
      <c r="N3522">
        <v>-1.236663E-2</v>
      </c>
      <c r="O3522">
        <v>-1.495927E-2</v>
      </c>
      <c r="P3522">
        <v>0.99395199999999995</v>
      </c>
      <c r="Q3522">
        <v>-0.1086139</v>
      </c>
      <c r="R3522">
        <v>-1.6212790000000001E-2</v>
      </c>
      <c r="S3522">
        <v>2.9952390000000002</v>
      </c>
      <c r="T3522">
        <v>-0.18867110000000001</v>
      </c>
      <c r="U3522">
        <v>-0.1407776</v>
      </c>
      <c r="V3522">
        <v>1.336449E-3</v>
      </c>
      <c r="W3522">
        <v>-9.6312220000000004E-2</v>
      </c>
      <c r="X3522">
        <v>0.99535030000000002</v>
      </c>
      <c r="Y3522">
        <v>3.1942940000000003E-2</v>
      </c>
      <c r="Z3522">
        <v>-4.4640869999999999E-4</v>
      </c>
      <c r="AA3522">
        <v>0.99948959999999998</v>
      </c>
      <c r="AB3522">
        <v>27</v>
      </c>
      <c r="AC3522">
        <v>17.528099999999899</v>
      </c>
      <c r="AD3522">
        <v>-1.1205352771215999</v>
      </c>
      <c r="AE3522">
        <v>-0.83209999999999695</v>
      </c>
      <c r="AF3522">
        <v>0.56746537139802999</v>
      </c>
      <c r="AG3522">
        <v>-1.1205352771215999</v>
      </c>
      <c r="AH3522">
        <v>17.467362160310401</v>
      </c>
      <c r="AI3522">
        <v>93.668577711172702</v>
      </c>
      <c r="AJ3522">
        <v>88.139276019320903</v>
      </c>
      <c r="AK3522">
        <v>17.5124629077253</v>
      </c>
      <c r="AL3522">
        <v>95.526850700515098</v>
      </c>
      <c r="AM3522">
        <v>89.923069454825296</v>
      </c>
      <c r="AN3522">
        <v>1.00000002476367</v>
      </c>
    </row>
    <row r="3523" spans="1:40" x14ac:dyDescent="0.25">
      <c r="A3523" t="str">
        <f>"20190303154838317"</f>
        <v>20190303154838317</v>
      </c>
      <c r="B3523" t="str">
        <f>"1551599318314589"</f>
        <v>1551599318314589</v>
      </c>
      <c r="C3523" t="s">
        <v>40</v>
      </c>
      <c r="D3523">
        <v>5.749765</v>
      </c>
      <c r="E3523">
        <v>0.51157169999999996</v>
      </c>
      <c r="F3523" t="s">
        <v>52</v>
      </c>
      <c r="G3523">
        <v>-374.29360000000003</v>
      </c>
      <c r="H3523" s="1">
        <v>7.4807120000000001E-7</v>
      </c>
      <c r="I3523">
        <v>213.99879999999999</v>
      </c>
      <c r="J3523">
        <v>-391.49270000000001</v>
      </c>
      <c r="K3523">
        <v>1.12053799999999</v>
      </c>
      <c r="L3523">
        <v>214.82220000000001</v>
      </c>
      <c r="M3523">
        <v>0.99981180000000003</v>
      </c>
      <c r="N3523">
        <v>-1.2365610000000001E-2</v>
      </c>
      <c r="O3523">
        <v>-1.4956229999999999E-2</v>
      </c>
      <c r="P3523">
        <v>0.99396010000000001</v>
      </c>
      <c r="Q3523">
        <v>-0.1084176</v>
      </c>
      <c r="R3523">
        <v>-1.6999449999999999E-2</v>
      </c>
      <c r="S3523">
        <v>2.9949949999999999</v>
      </c>
      <c r="T3523">
        <v>-0.19198180000000001</v>
      </c>
      <c r="U3523">
        <v>-0.14179990000000001</v>
      </c>
      <c r="V3523">
        <v>2.1265949999999998E-3</v>
      </c>
      <c r="W3523">
        <v>-9.6116720000000003E-2</v>
      </c>
      <c r="X3523">
        <v>0.99536780000000002</v>
      </c>
      <c r="Y3523">
        <v>3.2287759999999999E-2</v>
      </c>
      <c r="Z3523">
        <v>-4.6082760000000001E-4</v>
      </c>
      <c r="AA3523">
        <v>0.99947850000000005</v>
      </c>
      <c r="AB3523">
        <v>27</v>
      </c>
      <c r="AC3523">
        <v>17.199099999999898</v>
      </c>
      <c r="AD3523">
        <v>-1.1205372519287899</v>
      </c>
      <c r="AE3523">
        <v>-0.82340000000002</v>
      </c>
      <c r="AF3523">
        <v>0.56366745790115402</v>
      </c>
      <c r="AG3523">
        <v>-1.1205372519287899</v>
      </c>
      <c r="AH3523">
        <v>17.136918115756</v>
      </c>
      <c r="AI3523">
        <v>93.739075862710607</v>
      </c>
      <c r="AJ3523">
        <v>88.116106585145005</v>
      </c>
      <c r="AK3523">
        <v>17.1827613392663</v>
      </c>
      <c r="AL3523">
        <v>95.515597293727097</v>
      </c>
      <c r="AM3523">
        <v>89.877588231362097</v>
      </c>
      <c r="AN3523">
        <v>1.0000000017733399</v>
      </c>
    </row>
    <row r="3524" spans="1:40" x14ac:dyDescent="0.25">
      <c r="A3524" t="str">
        <f>"20190303154838338"</f>
        <v>20190303154838338</v>
      </c>
      <c r="B3524" t="str">
        <f>"1551599318334110"</f>
        <v>1551599318334110</v>
      </c>
      <c r="C3524" t="s">
        <v>40</v>
      </c>
      <c r="D3524">
        <v>5.7173850000000002</v>
      </c>
      <c r="E3524">
        <v>0.51149029999999995</v>
      </c>
      <c r="F3524" t="s">
        <v>52</v>
      </c>
      <c r="G3524">
        <v>-373.99770000000001</v>
      </c>
      <c r="H3524" s="1">
        <v>5.9056300000000005E-7</v>
      </c>
      <c r="I3524">
        <v>213.98570000000001</v>
      </c>
      <c r="J3524">
        <v>-391.23599999999999</v>
      </c>
      <c r="K3524">
        <v>1.1205480000000001</v>
      </c>
      <c r="L3524">
        <v>214.8184</v>
      </c>
      <c r="M3524">
        <v>0.99981180000000003</v>
      </c>
      <c r="N3524">
        <v>-1.2364679999999999E-2</v>
      </c>
      <c r="O3524">
        <v>-1.494999E-2</v>
      </c>
      <c r="P3524">
        <v>0.9939694</v>
      </c>
      <c r="Q3524">
        <v>-0.10815619999999999</v>
      </c>
      <c r="R3524">
        <v>-1.809475E-2</v>
      </c>
      <c r="S3524">
        <v>2.9948730000000001</v>
      </c>
      <c r="T3524">
        <v>-0.19181809999999999</v>
      </c>
      <c r="U3524">
        <v>-0.14320369999999999</v>
      </c>
      <c r="V3524">
        <v>3.2283759999999998E-3</v>
      </c>
      <c r="W3524">
        <v>-9.5855969999999999E-2</v>
      </c>
      <c r="X3524">
        <v>0.99539</v>
      </c>
      <c r="Y3524">
        <v>3.2762260000000001E-2</v>
      </c>
      <c r="Z3524">
        <v>-4.7916929999999999E-4</v>
      </c>
      <c r="AA3524">
        <v>0.99946310000000005</v>
      </c>
      <c r="AB3524">
        <v>27</v>
      </c>
      <c r="AC3524">
        <v>17.238299999999899</v>
      </c>
      <c r="AD3524">
        <v>-1.12054740943699</v>
      </c>
      <c r="AE3524">
        <v>-0.83269999999998801</v>
      </c>
      <c r="AF3524">
        <v>0.572461544363839</v>
      </c>
      <c r="AG3524">
        <v>-1.12054740943699</v>
      </c>
      <c r="AH3524">
        <v>17.1764141145831</v>
      </c>
      <c r="AI3524">
        <v>93.730482452046004</v>
      </c>
      <c r="AJ3524">
        <v>88.0911327640991</v>
      </c>
      <c r="AK3524">
        <v>17.222442932180702</v>
      </c>
      <c r="AL3524">
        <v>95.500588011896099</v>
      </c>
      <c r="AM3524">
        <v>89.814171660454605</v>
      </c>
      <c r="AN3524">
        <v>1.0000000207481099</v>
      </c>
    </row>
    <row r="3525" spans="1:40" x14ac:dyDescent="0.25">
      <c r="A3525" t="str">
        <f>"20190303154838374"</f>
        <v>20190303154838374</v>
      </c>
      <c r="B3525" t="str">
        <f>"1551599318364366"</f>
        <v>1551599318364366</v>
      </c>
      <c r="C3525" t="s">
        <v>40</v>
      </c>
      <c r="D3525">
        <v>5.7357259999999997</v>
      </c>
      <c r="E3525">
        <v>0.51136870000000001</v>
      </c>
      <c r="F3525" t="s">
        <v>52</v>
      </c>
      <c r="G3525">
        <v>-373.71210000000002</v>
      </c>
      <c r="H3525" s="1">
        <v>4.3859590000000003E-7</v>
      </c>
      <c r="I3525">
        <v>213.96350000000001</v>
      </c>
      <c r="J3525">
        <v>-390.81849999999997</v>
      </c>
      <c r="K3525">
        <v>1.120555</v>
      </c>
      <c r="L3525">
        <v>214.81209999999999</v>
      </c>
      <c r="M3525">
        <v>0.99981200000000003</v>
      </c>
      <c r="N3525">
        <v>-1.236347E-2</v>
      </c>
      <c r="O3525">
        <v>-1.4934940000000001E-2</v>
      </c>
      <c r="P3525">
        <v>0.99401589999999995</v>
      </c>
      <c r="Q3525">
        <v>-0.107681</v>
      </c>
      <c r="R3525">
        <v>-1.836378E-2</v>
      </c>
      <c r="S3525">
        <v>2.99472</v>
      </c>
      <c r="T3525">
        <v>-0.1914942</v>
      </c>
      <c r="U3525">
        <v>-0.14610290000000001</v>
      </c>
      <c r="V3525">
        <v>3.5120419999999999E-3</v>
      </c>
      <c r="W3525">
        <v>-9.5381430000000003E-2</v>
      </c>
      <c r="X3525">
        <v>0.99543459999999995</v>
      </c>
      <c r="Y3525">
        <v>3.3742809999999998E-2</v>
      </c>
      <c r="Z3525">
        <v>-5.1712899999999996E-4</v>
      </c>
      <c r="AA3525">
        <v>0.99943040000000005</v>
      </c>
      <c r="AB3525">
        <v>27</v>
      </c>
      <c r="AC3525">
        <v>17.106399999999901</v>
      </c>
      <c r="AD3525">
        <v>-1.1205545614040999</v>
      </c>
      <c r="AE3525">
        <v>-0.84859999999997604</v>
      </c>
      <c r="AF3525">
        <v>0.59047529310555602</v>
      </c>
      <c r="AG3525">
        <v>-1.1205545614040999</v>
      </c>
      <c r="AH3525">
        <v>17.044211014634101</v>
      </c>
      <c r="AI3525">
        <v>93.759191754608807</v>
      </c>
      <c r="AJ3525">
        <v>88.015853178407298</v>
      </c>
      <c r="AK3525">
        <v>17.091209223113101</v>
      </c>
      <c r="AL3525">
        <v>95.473273848848393</v>
      </c>
      <c r="AM3525">
        <v>89.797852767887093</v>
      </c>
      <c r="AN3525">
        <v>0.99999999725250699</v>
      </c>
    </row>
    <row r="3526" spans="1:40" x14ac:dyDescent="0.25">
      <c r="A3526" t="str">
        <f>"20190303154838397"</f>
        <v>20190303154838397</v>
      </c>
      <c r="B3526" t="str">
        <f>"1551599318384862"</f>
        <v>1551599318384862</v>
      </c>
      <c r="C3526" t="s">
        <v>40</v>
      </c>
      <c r="D3526">
        <v>5.7733049999999997</v>
      </c>
      <c r="E3526">
        <v>0.51127520000000004</v>
      </c>
      <c r="F3526" t="s">
        <v>52</v>
      </c>
      <c r="G3526">
        <v>-373.16879999999998</v>
      </c>
      <c r="H3526" s="1">
        <v>1.4950170000000001E-7</v>
      </c>
      <c r="I3526">
        <v>213.95169999999999</v>
      </c>
      <c r="J3526">
        <v>-390.53859999999997</v>
      </c>
      <c r="K3526">
        <v>1.1205510000000001</v>
      </c>
      <c r="L3526">
        <v>214.80799999999999</v>
      </c>
      <c r="M3526">
        <v>0.99981229999999999</v>
      </c>
      <c r="N3526">
        <v>-1.2362410000000001E-2</v>
      </c>
      <c r="O3526">
        <v>-1.492478E-2</v>
      </c>
      <c r="P3526">
        <v>0.99399579999999998</v>
      </c>
      <c r="Q3526">
        <v>-0.1078766</v>
      </c>
      <c r="R3526">
        <v>-1.830625E-2</v>
      </c>
      <c r="S3526">
        <v>2.9947810000000001</v>
      </c>
      <c r="T3526">
        <v>-0.19013540000000001</v>
      </c>
      <c r="U3526">
        <v>-0.14599609999999999</v>
      </c>
      <c r="V3526">
        <v>3.4652609999999999E-3</v>
      </c>
      <c r="W3526">
        <v>-9.5578220000000005E-2</v>
      </c>
      <c r="X3526">
        <v>0.99541590000000002</v>
      </c>
      <c r="Y3526">
        <v>3.3717179999999999E-2</v>
      </c>
      <c r="Z3526">
        <v>-5.1576249999999997E-4</v>
      </c>
      <c r="AA3526">
        <v>0.99943130000000002</v>
      </c>
      <c r="AB3526">
        <v>27</v>
      </c>
      <c r="AC3526">
        <v>17.369799999999898</v>
      </c>
      <c r="AD3526">
        <v>-1.1205508504982999</v>
      </c>
      <c r="AE3526">
        <v>-0.85630000000000395</v>
      </c>
      <c r="AF3526">
        <v>0.59447633254201804</v>
      </c>
      <c r="AG3526">
        <v>-1.1205508504982999</v>
      </c>
      <c r="AH3526">
        <v>17.308786320571201</v>
      </c>
      <c r="AI3526">
        <v>93.701916969358606</v>
      </c>
      <c r="AJ3526">
        <v>88.0329295826416</v>
      </c>
      <c r="AK3526">
        <v>17.355204412789199</v>
      </c>
      <c r="AL3526">
        <v>95.484600769180702</v>
      </c>
      <c r="AM3526">
        <v>89.800541634738195</v>
      </c>
      <c r="AN3526">
        <v>1.0000000090724801</v>
      </c>
    </row>
    <row r="3527" spans="1:40" x14ac:dyDescent="0.25">
      <c r="A3527" t="str">
        <f>"20190303154838417"</f>
        <v>20190303154838417</v>
      </c>
      <c r="B3527" t="str">
        <f>"1551599318414142"</f>
        <v>1551599318414142</v>
      </c>
      <c r="C3527" t="s">
        <v>40</v>
      </c>
      <c r="D3527">
        <v>5.773663</v>
      </c>
      <c r="E3527">
        <v>0.51112679999999999</v>
      </c>
      <c r="F3527" t="s">
        <v>52</v>
      </c>
      <c r="G3527">
        <v>-372.95920000000001</v>
      </c>
      <c r="H3527" s="1">
        <v>3.7929739999999999E-8</v>
      </c>
      <c r="I3527">
        <v>213.95609999999999</v>
      </c>
      <c r="J3527">
        <v>-390.298</v>
      </c>
      <c r="K3527">
        <v>1.120547</v>
      </c>
      <c r="L3527">
        <v>214.80439999999999</v>
      </c>
      <c r="M3527">
        <v>0.99981249999999999</v>
      </c>
      <c r="N3527">
        <v>-1.235868E-2</v>
      </c>
      <c r="O3527">
        <v>-1.491604E-2</v>
      </c>
      <c r="P3527">
        <v>0.99398169999999997</v>
      </c>
      <c r="Q3527">
        <v>-0.10803210000000001</v>
      </c>
      <c r="R3527">
        <v>-1.8161710000000001E-2</v>
      </c>
      <c r="S3527">
        <v>2.9946899999999999</v>
      </c>
      <c r="T3527">
        <v>-0.1908878</v>
      </c>
      <c r="U3527">
        <v>-0.14512630000000001</v>
      </c>
      <c r="V3527">
        <v>3.3299390000000001E-3</v>
      </c>
      <c r="W3527">
        <v>-9.5737669999999997E-2</v>
      </c>
      <c r="X3527">
        <v>0.99540099999999998</v>
      </c>
      <c r="Y3527">
        <v>3.3438089999999997E-2</v>
      </c>
      <c r="Z3527">
        <v>-5.0597269999999995E-4</v>
      </c>
      <c r="AA3527">
        <v>0.99944069999999996</v>
      </c>
      <c r="AB3527">
        <v>27</v>
      </c>
      <c r="AC3527">
        <v>17.3387999999999</v>
      </c>
      <c r="AD3527">
        <v>-1.1205469620702599</v>
      </c>
      <c r="AE3527">
        <v>-0.84829999999999395</v>
      </c>
      <c r="AF3527">
        <v>0.58711338063071195</v>
      </c>
      <c r="AG3527">
        <v>-1.1205469620702599</v>
      </c>
      <c r="AH3527">
        <v>17.277536097921701</v>
      </c>
      <c r="AI3527">
        <v>93.708627138053103</v>
      </c>
      <c r="AJ3527">
        <v>88.053763016394001</v>
      </c>
      <c r="AK3527">
        <v>17.323786573117001</v>
      </c>
      <c r="AL3527">
        <v>95.493778881815899</v>
      </c>
      <c r="AM3527">
        <v>89.808327760357102</v>
      </c>
      <c r="AN3527">
        <v>0.99999997037588495</v>
      </c>
    </row>
    <row r="3528" spans="1:40" x14ac:dyDescent="0.25">
      <c r="A3528" t="str">
        <f>"20190303154838439"</f>
        <v>20190303154838439</v>
      </c>
      <c r="B3528" t="str">
        <f>"1551599318434637"</f>
        <v>1551599318434637</v>
      </c>
      <c r="C3528" t="s">
        <v>40</v>
      </c>
      <c r="D3528">
        <v>5.7315699999999996</v>
      </c>
      <c r="E3528">
        <v>0.51101419999999997</v>
      </c>
      <c r="F3528" t="s">
        <v>52</v>
      </c>
      <c r="G3528">
        <v>-372.80399999999997</v>
      </c>
      <c r="H3528" s="1">
        <v>-4.4609579999999999E-8</v>
      </c>
      <c r="I3528">
        <v>213.96619999999999</v>
      </c>
      <c r="J3528">
        <v>-390.02780000000001</v>
      </c>
      <c r="K3528">
        <v>1.1205459999999901</v>
      </c>
      <c r="L3528">
        <v>214.8004</v>
      </c>
      <c r="M3528">
        <v>0.99981260000000005</v>
      </c>
      <c r="N3528">
        <v>-1.235033E-2</v>
      </c>
      <c r="O3528">
        <v>-1.490584E-2</v>
      </c>
      <c r="P3528">
        <v>0.99398770000000003</v>
      </c>
      <c r="Q3528">
        <v>-0.10804469999999999</v>
      </c>
      <c r="R3528">
        <v>-1.7739120000000001E-2</v>
      </c>
      <c r="S3528">
        <v>2.99472</v>
      </c>
      <c r="T3528">
        <v>-0.19182170000000001</v>
      </c>
      <c r="U3528">
        <v>-0.14347839999999901</v>
      </c>
      <c r="V3528">
        <v>2.9178730000000001E-3</v>
      </c>
      <c r="W3528">
        <v>-9.5758579999999996E-2</v>
      </c>
      <c r="X3528">
        <v>0.99540030000000002</v>
      </c>
      <c r="Y3528">
        <v>3.2899909999999997E-2</v>
      </c>
      <c r="Z3528">
        <v>-4.862569E-4</v>
      </c>
      <c r="AA3528">
        <v>0.99945859999999997</v>
      </c>
      <c r="AB3528">
        <v>27</v>
      </c>
      <c r="AC3528">
        <v>17.223799999999901</v>
      </c>
      <c r="AD3528">
        <v>-1.1205460446095701</v>
      </c>
      <c r="AE3528">
        <v>-0.83420000000000905</v>
      </c>
      <c r="AF3528">
        <v>0.57492481237417403</v>
      </c>
      <c r="AG3528">
        <v>-1.1205460446095701</v>
      </c>
      <c r="AH3528">
        <v>17.161853271476701</v>
      </c>
      <c r="AI3528">
        <v>93.733612718109896</v>
      </c>
      <c r="AJ3528">
        <v>88.081299825361199</v>
      </c>
      <c r="AK3528">
        <v>17.208003070945399</v>
      </c>
      <c r="AL3528">
        <v>95.494982366827003</v>
      </c>
      <c r="AM3528">
        <v>89.832046133398194</v>
      </c>
      <c r="AN3528">
        <v>0.99999998843327498</v>
      </c>
    </row>
    <row r="3529" spans="1:40" x14ac:dyDescent="0.25">
      <c r="A3529" t="str">
        <f>"20190303154838462"</f>
        <v>20190303154838462</v>
      </c>
      <c r="B3529" t="str">
        <f>"1551599318454158"</f>
        <v>1551599318454158</v>
      </c>
      <c r="C3529" t="s">
        <v>40</v>
      </c>
      <c r="D3529">
        <v>5.8012699999999997</v>
      </c>
      <c r="E3529">
        <v>0.5109726</v>
      </c>
      <c r="F3529" t="s">
        <v>52</v>
      </c>
      <c r="G3529">
        <v>-372.5324</v>
      </c>
      <c r="H3529" s="1">
        <v>-1.8915619999999999E-7</v>
      </c>
      <c r="I3529">
        <v>213.97540000000001</v>
      </c>
      <c r="J3529">
        <v>-389.75209999999998</v>
      </c>
      <c r="K3529">
        <v>1.1205499999999999</v>
      </c>
      <c r="L3529">
        <v>214.7963</v>
      </c>
      <c r="M3529">
        <v>0.99981279999999995</v>
      </c>
      <c r="N3529">
        <v>-1.233861E-2</v>
      </c>
      <c r="O3529">
        <v>-1.4896589999999999E-2</v>
      </c>
      <c r="P3529">
        <v>0.99409210000000003</v>
      </c>
      <c r="Q3529">
        <v>-0.10720730000000001</v>
      </c>
      <c r="R3529">
        <v>-1.695735E-2</v>
      </c>
      <c r="S3529">
        <v>2.9947509999999999</v>
      </c>
      <c r="T3529">
        <v>-0.1918086</v>
      </c>
      <c r="U3529">
        <v>-0.14122009999999999</v>
      </c>
      <c r="V3529">
        <v>2.1437190000000001E-3</v>
      </c>
      <c r="W3529">
        <v>-9.4931689999999999E-2</v>
      </c>
      <c r="X3529">
        <v>0.99548150000000002</v>
      </c>
      <c r="Y3529">
        <v>3.2158510000000001E-2</v>
      </c>
      <c r="Z3529">
        <v>-4.5807129999999999E-4</v>
      </c>
      <c r="AA3529">
        <v>0.99948269999999995</v>
      </c>
      <c r="AB3529">
        <v>27</v>
      </c>
      <c r="AC3529">
        <v>17.2196999999999</v>
      </c>
      <c r="AD3529">
        <v>-1.1205501891562</v>
      </c>
      <c r="AE3529">
        <v>-0.82089999999999397</v>
      </c>
      <c r="AF3529">
        <v>0.56190050849325002</v>
      </c>
      <c r="AG3529">
        <v>-1.1205501891562</v>
      </c>
      <c r="AH3529">
        <v>17.157528178199001</v>
      </c>
      <c r="AI3529">
        <v>93.734657501275507</v>
      </c>
      <c r="AJ3529">
        <v>88.124262140485101</v>
      </c>
      <c r="AK3529">
        <v>17.203259519450299</v>
      </c>
      <c r="AL3529">
        <v>95.447388064583293</v>
      </c>
      <c r="AM3529">
        <v>89.8766166309466</v>
      </c>
      <c r="AN3529">
        <v>1.0000000190698199</v>
      </c>
    </row>
    <row r="3530" spans="1:40" x14ac:dyDescent="0.25">
      <c r="A3530" t="str">
        <f>"20190303154838485"</f>
        <v>20190303154838485</v>
      </c>
      <c r="B3530" t="str">
        <f>"1551599318474653"</f>
        <v>1551599318474653</v>
      </c>
      <c r="C3530" t="s">
        <v>40</v>
      </c>
      <c r="D3530">
        <v>5.857685</v>
      </c>
      <c r="E3530">
        <v>0.51106770000000001</v>
      </c>
      <c r="F3530" t="s">
        <v>52</v>
      </c>
      <c r="G3530">
        <v>-372.06240000000003</v>
      </c>
      <c r="H3530" s="1">
        <v>-4.3926100000000001E-7</v>
      </c>
      <c r="I3530">
        <v>213.97790000000001</v>
      </c>
      <c r="J3530">
        <v>-389.47680000000003</v>
      </c>
      <c r="K3530">
        <v>1.1205499999999999</v>
      </c>
      <c r="L3530">
        <v>214.79220000000001</v>
      </c>
      <c r="M3530">
        <v>0.99981339999999996</v>
      </c>
      <c r="N3530">
        <v>-1.2322049999999999E-2</v>
      </c>
      <c r="O3530">
        <v>-1.4888149999999999E-2</v>
      </c>
      <c r="P3530">
        <v>0.99409990000000004</v>
      </c>
      <c r="Q3530">
        <v>-0.10719960000000001</v>
      </c>
      <c r="R3530">
        <v>-1.6559150000000002E-2</v>
      </c>
      <c r="S3530">
        <v>2.9949650000000001</v>
      </c>
      <c r="T3530">
        <v>-0.1897161</v>
      </c>
      <c r="U3530">
        <v>-0.138549799999999</v>
      </c>
      <c r="V3530">
        <v>1.753664E-3</v>
      </c>
      <c r="W3530">
        <v>-9.4940510000000006E-2</v>
      </c>
      <c r="X3530">
        <v>0.99548139999999996</v>
      </c>
      <c r="Y3530">
        <v>3.1277550000000001E-2</v>
      </c>
      <c r="Z3530">
        <v>-4.2385939999999998E-4</v>
      </c>
      <c r="AA3530">
        <v>0.99951060000000003</v>
      </c>
      <c r="AB3530">
        <v>27</v>
      </c>
      <c r="AC3530">
        <v>17.414400000000001</v>
      </c>
      <c r="AD3530">
        <v>-1.120550439261</v>
      </c>
      <c r="AE3530">
        <v>-0.81430000000000202</v>
      </c>
      <c r="AF3530">
        <v>0.55263871989639901</v>
      </c>
      <c r="AG3530">
        <v>-1.120550439261</v>
      </c>
      <c r="AH3530">
        <v>17.352902149345201</v>
      </c>
      <c r="AI3530">
        <v>93.692834550394394</v>
      </c>
      <c r="AJ3530">
        <v>88.175915035950794</v>
      </c>
      <c r="AK3530">
        <v>17.3978233077131</v>
      </c>
      <c r="AL3530">
        <v>95.447895828081499</v>
      </c>
      <c r="AM3530">
        <v>89.899066479849594</v>
      </c>
      <c r="AN3530">
        <v>0.99999999676122198</v>
      </c>
    </row>
    <row r="3531" spans="1:40" x14ac:dyDescent="0.25">
      <c r="A3531" t="str">
        <f>"20190303154838507"</f>
        <v>20190303154838507</v>
      </c>
      <c r="B3531" t="str">
        <f>"1551599318504441"</f>
        <v>1551599318504441</v>
      </c>
      <c r="C3531" t="s">
        <v>40</v>
      </c>
      <c r="D3531">
        <v>5.8331900000000001</v>
      </c>
      <c r="E3531">
        <v>0.51119519999999996</v>
      </c>
      <c r="F3531" t="s">
        <v>52</v>
      </c>
      <c r="G3531">
        <v>-371.82330000000002</v>
      </c>
      <c r="H3531" s="1">
        <v>-5.664979E-7</v>
      </c>
      <c r="I3531">
        <v>213.9787</v>
      </c>
      <c r="J3531">
        <v>-389.21620000000001</v>
      </c>
      <c r="K3531">
        <v>1.1205419999999999</v>
      </c>
      <c r="L3531">
        <v>214.78829999999999</v>
      </c>
      <c r="M3531">
        <v>0.99981370000000003</v>
      </c>
      <c r="N3531">
        <v>-1.2301899999999999E-2</v>
      </c>
      <c r="O3531">
        <v>-1.487981E-2</v>
      </c>
      <c r="P3531">
        <v>0.99415189999999998</v>
      </c>
      <c r="Q3531">
        <v>-0.10670689999999999</v>
      </c>
      <c r="R3531">
        <v>-1.661294E-2</v>
      </c>
      <c r="S3531">
        <v>2.9949949999999999</v>
      </c>
      <c r="T3531">
        <v>-0.19010669999999999</v>
      </c>
      <c r="U3531">
        <v>-0.13801569999999999</v>
      </c>
      <c r="V3531">
        <v>1.8148120000000001E-3</v>
      </c>
      <c r="W3531">
        <v>-9.4467190000000006E-2</v>
      </c>
      <c r="X3531">
        <v>0.99552629999999998</v>
      </c>
      <c r="Y3531">
        <v>3.1107820000000001E-2</v>
      </c>
      <c r="Z3531">
        <v>-4.1734280000000002E-4</v>
      </c>
      <c r="AA3531">
        <v>0.99951599999999996</v>
      </c>
      <c r="AB3531">
        <v>27</v>
      </c>
      <c r="AC3531">
        <v>17.392899999999901</v>
      </c>
      <c r="AD3531">
        <v>-1.1205425664979001</v>
      </c>
      <c r="AE3531">
        <v>-0.809599999999989</v>
      </c>
      <c r="AF3531">
        <v>0.54841640034218697</v>
      </c>
      <c r="AG3531">
        <v>-1.1205425664979001</v>
      </c>
      <c r="AH3531">
        <v>17.331241904899599</v>
      </c>
      <c r="AI3531">
        <v>93.697434915589895</v>
      </c>
      <c r="AJ3531">
        <v>88.187581473295893</v>
      </c>
      <c r="AK3531">
        <v>17.3760847764289</v>
      </c>
      <c r="AL3531">
        <v>95.4206542492539</v>
      </c>
      <c r="AM3531">
        <v>89.8955517769582</v>
      </c>
      <c r="AN3531">
        <v>0.99999997876039004</v>
      </c>
    </row>
    <row r="3532" spans="1:40" x14ac:dyDescent="0.25">
      <c r="A3532" t="str">
        <f>"20190303154838528"</f>
        <v>20190303154838528</v>
      </c>
      <c r="B3532" t="str">
        <f>"1551599318523961"</f>
        <v>1551599318523961</v>
      </c>
      <c r="C3532" t="s">
        <v>40</v>
      </c>
      <c r="D3532">
        <v>5.8401500000000004</v>
      </c>
      <c r="E3532">
        <v>0.51128819999999997</v>
      </c>
      <c r="F3532" t="s">
        <v>52</v>
      </c>
      <c r="G3532">
        <v>-371.5016</v>
      </c>
      <c r="H3532" s="1">
        <v>-7.3772230000000005E-7</v>
      </c>
      <c r="I3532">
        <v>213.9639</v>
      </c>
      <c r="J3532">
        <v>-388.95319999999998</v>
      </c>
      <c r="K3532">
        <v>1.12053799999999</v>
      </c>
      <c r="L3532">
        <v>214.78440000000001</v>
      </c>
      <c r="M3532">
        <v>0.99981410000000004</v>
      </c>
      <c r="N3532">
        <v>-1.2272440000000001E-2</v>
      </c>
      <c r="O3532">
        <v>-1.487141E-2</v>
      </c>
      <c r="P3532">
        <v>0.99417319999999998</v>
      </c>
      <c r="Q3532">
        <v>-0.10650469999999999</v>
      </c>
      <c r="R3532">
        <v>-1.6633439999999999E-2</v>
      </c>
      <c r="S3532">
        <v>2.9949650000000001</v>
      </c>
      <c r="T3532">
        <v>-0.18944739999999999</v>
      </c>
      <c r="U3532">
        <v>-0.13937379999999999</v>
      </c>
      <c r="V3532">
        <v>1.843405E-3</v>
      </c>
      <c r="W3532">
        <v>-9.429411E-2</v>
      </c>
      <c r="X3532">
        <v>0.9955427</v>
      </c>
      <c r="Y3532">
        <v>3.1568190000000003E-2</v>
      </c>
      <c r="Z3532">
        <v>-4.3409340000000001E-4</v>
      </c>
      <c r="AA3532">
        <v>0.99950150000000004</v>
      </c>
      <c r="AB3532">
        <v>27</v>
      </c>
      <c r="AC3532">
        <v>17.4515999999999</v>
      </c>
      <c r="AD3532">
        <v>-1.12053873772229</v>
      </c>
      <c r="AE3532">
        <v>-0.820500000000009</v>
      </c>
      <c r="AF3532">
        <v>0.55856209354655095</v>
      </c>
      <c r="AG3532">
        <v>-1.12053873772229</v>
      </c>
      <c r="AH3532">
        <v>17.390335471003599</v>
      </c>
      <c r="AI3532">
        <v>93.684837199667399</v>
      </c>
      <c r="AJ3532">
        <v>88.160343015317807</v>
      </c>
      <c r="AK3532">
        <v>17.4353481889273</v>
      </c>
      <c r="AL3532">
        <v>95.410692793509099</v>
      </c>
      <c r="AM3532">
        <v>89.893907910003804</v>
      </c>
      <c r="AN3532">
        <v>1.0000000224229799</v>
      </c>
    </row>
    <row r="3533" spans="1:40" x14ac:dyDescent="0.25">
      <c r="A3533" t="str">
        <f>"20190303154838552"</f>
        <v>20190303154838552</v>
      </c>
      <c r="B3533" t="str">
        <f>"1551599318544458"</f>
        <v>1551599318544458</v>
      </c>
      <c r="C3533" t="s">
        <v>40</v>
      </c>
      <c r="D3533">
        <v>5.8272719999999998</v>
      </c>
      <c r="E3533">
        <v>0.51138249999999996</v>
      </c>
      <c r="F3533" t="s">
        <v>52</v>
      </c>
      <c r="G3533">
        <v>-371.22230000000002</v>
      </c>
      <c r="H3533" s="1">
        <v>-8.8636659999999996E-7</v>
      </c>
      <c r="I3533">
        <v>213.95410000000001</v>
      </c>
      <c r="J3533">
        <v>-388.67380000000003</v>
      </c>
      <c r="K3533">
        <v>1.1205309999999999</v>
      </c>
      <c r="L3533">
        <v>214.78020000000001</v>
      </c>
      <c r="M3533">
        <v>0.99981500000000001</v>
      </c>
      <c r="N3533">
        <v>-1.221505E-2</v>
      </c>
      <c r="O3533">
        <v>-1.4862240000000001E-2</v>
      </c>
      <c r="P3533">
        <v>0.99422029999999995</v>
      </c>
      <c r="Q3533">
        <v>-0.1060131</v>
      </c>
      <c r="R3533">
        <v>-1.6964320000000001E-2</v>
      </c>
      <c r="S3533">
        <v>2.9949650000000001</v>
      </c>
      <c r="T3533">
        <v>-0.18927169999999999</v>
      </c>
      <c r="U3533">
        <v>-0.14024349999999999</v>
      </c>
      <c r="V3533">
        <v>2.182659E-3</v>
      </c>
      <c r="W3533">
        <v>-9.3859020000000001E-2</v>
      </c>
      <c r="X3533">
        <v>0.99558310000000005</v>
      </c>
      <c r="Y3533">
        <v>3.1866459999999999E-2</v>
      </c>
      <c r="Z3533">
        <v>-4.439817E-4</v>
      </c>
      <c r="AA3533">
        <v>0.99949200000000005</v>
      </c>
      <c r="AB3533">
        <v>27</v>
      </c>
      <c r="AC3533">
        <v>17.451499999999999</v>
      </c>
      <c r="AD3533">
        <v>-1.1205318863665901</v>
      </c>
      <c r="AE3533">
        <v>-0.82609999999999595</v>
      </c>
      <c r="AF3533">
        <v>0.56429978387992197</v>
      </c>
      <c r="AG3533">
        <v>-1.1205318863665901</v>
      </c>
      <c r="AH3533">
        <v>17.390315864165199</v>
      </c>
      <c r="AI3533">
        <v>93.684779769695496</v>
      </c>
      <c r="AJ3533">
        <v>88.141456687884897</v>
      </c>
      <c r="AK3533">
        <v>17.435512949434202</v>
      </c>
      <c r="AL3533">
        <v>95.385653072249298</v>
      </c>
      <c r="AM3533">
        <v>89.874388236943702</v>
      </c>
      <c r="AN3533">
        <v>0.99999999432064002</v>
      </c>
    </row>
    <row r="3534" spans="1:40" x14ac:dyDescent="0.25">
      <c r="A3534" t="str">
        <f>"20190303154838574"</f>
        <v>20190303154838574</v>
      </c>
      <c r="B3534" t="str">
        <f>"1551599318563977"</f>
        <v>1551599318563977</v>
      </c>
      <c r="C3534" t="s">
        <v>40</v>
      </c>
      <c r="D3534">
        <v>5.8397579999999998</v>
      </c>
      <c r="E3534">
        <v>0.51147749999999903</v>
      </c>
      <c r="F3534" t="s">
        <v>52</v>
      </c>
      <c r="G3534">
        <v>-370.85050000000001</v>
      </c>
      <c r="H3534" s="1">
        <v>-1.0842200000000001E-6</v>
      </c>
      <c r="I3534">
        <v>213.93600000000001</v>
      </c>
      <c r="J3534">
        <v>-388.39850000000001</v>
      </c>
      <c r="K3534">
        <v>1.120517</v>
      </c>
      <c r="L3534">
        <v>214.77610000000001</v>
      </c>
      <c r="M3534">
        <v>0.9998165</v>
      </c>
      <c r="N3534">
        <v>-1.211125E-2</v>
      </c>
      <c r="O3534">
        <v>-1.484894E-2</v>
      </c>
      <c r="P3534">
        <v>0.99426270000000005</v>
      </c>
      <c r="Q3534">
        <v>-0.1055381</v>
      </c>
      <c r="R3534">
        <v>-1.7422110000000001E-2</v>
      </c>
      <c r="S3534">
        <v>2.9949340000000002</v>
      </c>
      <c r="T3534">
        <v>-0.1882876</v>
      </c>
      <c r="U3534">
        <v>-0.14186099999999999</v>
      </c>
      <c r="V3534">
        <v>2.6537039999999998E-3</v>
      </c>
      <c r="W3534">
        <v>-9.3486860000000005E-2</v>
      </c>
      <c r="X3534">
        <v>0.99561699999999997</v>
      </c>
      <c r="Y3534">
        <v>3.2418179999999998E-2</v>
      </c>
      <c r="Z3534">
        <v>-4.61769E-4</v>
      </c>
      <c r="AA3534">
        <v>0.99947430000000004</v>
      </c>
      <c r="AB3534">
        <v>27</v>
      </c>
      <c r="AC3534">
        <v>17.547999999999998</v>
      </c>
      <c r="AD3534">
        <v>-1.12051808422</v>
      </c>
      <c r="AE3534">
        <v>-0.84010000000003504</v>
      </c>
      <c r="AF3534">
        <v>0.57707151301173198</v>
      </c>
      <c r="AG3534">
        <v>-1.12051808422</v>
      </c>
      <c r="AH3534">
        <v>17.487400588782702</v>
      </c>
      <c r="AI3534">
        <v>93.664268149345205</v>
      </c>
      <c r="AJ3534">
        <v>88.109966760166799</v>
      </c>
      <c r="AK3534">
        <v>17.532762237044999</v>
      </c>
      <c r="AL3534">
        <v>95.364235549198497</v>
      </c>
      <c r="AM3534">
        <v>89.847284970807905</v>
      </c>
      <c r="AN3534">
        <v>1.0000000229132799</v>
      </c>
    </row>
    <row r="3535" spans="1:40" x14ac:dyDescent="0.25">
      <c r="A3535" t="str">
        <f>"20190303154838597"</f>
        <v>20190303154838597</v>
      </c>
      <c r="B3535" t="str">
        <f>"1551599318584475"</f>
        <v>1551599318584475</v>
      </c>
      <c r="C3535" t="s">
        <v>40</v>
      </c>
      <c r="D3535">
        <v>5.8370430000000004</v>
      </c>
      <c r="E3535">
        <v>0.5115672</v>
      </c>
      <c r="F3535" t="s">
        <v>52</v>
      </c>
      <c r="G3535">
        <v>-370.49520000000001</v>
      </c>
      <c r="H3535" s="1">
        <v>-1.2732679999999999E-6</v>
      </c>
      <c r="I3535">
        <v>213.91300000000001</v>
      </c>
      <c r="J3535">
        <v>-388.13380000000001</v>
      </c>
      <c r="K3535">
        <v>1.1204889999999901</v>
      </c>
      <c r="L3535">
        <v>214.7722</v>
      </c>
      <c r="M3535">
        <v>0.9998186</v>
      </c>
      <c r="N3535">
        <v>-1.1952279999999999E-2</v>
      </c>
      <c r="O3535">
        <v>-1.482586E-2</v>
      </c>
      <c r="P3535">
        <v>0.99431159999999996</v>
      </c>
      <c r="Q3535">
        <v>-0.10480539999999899</v>
      </c>
      <c r="R3535">
        <v>-1.8974479999999998E-2</v>
      </c>
      <c r="S3535">
        <v>2.9948730000000001</v>
      </c>
      <c r="T3535">
        <v>-0.18744060000000001</v>
      </c>
      <c r="U3535">
        <v>-0.1443787</v>
      </c>
      <c r="V3535">
        <v>4.2297489999999997E-3</v>
      </c>
      <c r="W3535">
        <v>-9.2911599999999997E-2</v>
      </c>
      <c r="X3535">
        <v>0.99566540000000003</v>
      </c>
      <c r="Y3535">
        <v>3.3279199999999898E-2</v>
      </c>
      <c r="Z3535">
        <v>-4.8967049999999995E-4</v>
      </c>
      <c r="AA3535">
        <v>0.99944599999999995</v>
      </c>
      <c r="AB3535">
        <v>27</v>
      </c>
      <c r="AC3535">
        <v>17.638599999999901</v>
      </c>
      <c r="AD3535">
        <v>-1.12049027326799</v>
      </c>
      <c r="AE3535">
        <v>-0.85920000000001495</v>
      </c>
      <c r="AF3535">
        <v>0.59518331889790499</v>
      </c>
      <c r="AG3535">
        <v>-1.12049027326799</v>
      </c>
      <c r="AH3535">
        <v>17.578631258121501</v>
      </c>
      <c r="AI3535">
        <v>93.6451080005085</v>
      </c>
      <c r="AJ3535">
        <v>88.060800668061106</v>
      </c>
      <c r="AK3535">
        <v>17.624358670447801</v>
      </c>
      <c r="AL3535">
        <v>95.331131495634494</v>
      </c>
      <c r="AM3535">
        <v>89.756599648589699</v>
      </c>
      <c r="AN3535">
        <v>1.0000000224741601</v>
      </c>
    </row>
    <row r="3536" spans="1:40" x14ac:dyDescent="0.25">
      <c r="A3536" t="str">
        <f>"20190303154838619"</f>
        <v>20190303154838619</v>
      </c>
      <c r="B3536" t="str">
        <f>"1551599318614730"</f>
        <v>1551599318614730</v>
      </c>
      <c r="C3536" t="s">
        <v>40</v>
      </c>
      <c r="D3536">
        <v>5.8141829999999999</v>
      </c>
      <c r="E3536">
        <v>0.51169399999999998</v>
      </c>
      <c r="F3536" t="s">
        <v>52</v>
      </c>
      <c r="G3536">
        <v>-370.05689999999998</v>
      </c>
      <c r="H3536" s="1">
        <v>-1.5065009999999999E-6</v>
      </c>
      <c r="I3536">
        <v>213.86920000000001</v>
      </c>
      <c r="J3536">
        <v>-387.86489999999998</v>
      </c>
      <c r="K3536">
        <v>1.120452</v>
      </c>
      <c r="L3536">
        <v>214.76820000000001</v>
      </c>
      <c r="M3536">
        <v>0.99982190000000004</v>
      </c>
      <c r="N3536">
        <v>-1.173076E-2</v>
      </c>
      <c r="O3536">
        <v>-1.4784459999999999E-2</v>
      </c>
      <c r="P3536">
        <v>0.99432489999999996</v>
      </c>
      <c r="Q3536">
        <v>-0.1044175</v>
      </c>
      <c r="R3536">
        <v>-2.0372500000000002E-2</v>
      </c>
      <c r="S3536">
        <v>2.9947509999999999</v>
      </c>
      <c r="T3536">
        <v>-0.18562919999999999</v>
      </c>
      <c r="U3536">
        <v>-0.14959720000000001</v>
      </c>
      <c r="V3536">
        <v>5.6710989999999998E-3</v>
      </c>
      <c r="W3536">
        <v>-9.274375E-2</v>
      </c>
      <c r="X3536">
        <v>0.99567380000000005</v>
      </c>
      <c r="Y3536">
        <v>3.5057129999999999E-2</v>
      </c>
      <c r="Z3536">
        <v>-5.4914359999999997E-4</v>
      </c>
      <c r="AA3536">
        <v>0.99938519999999997</v>
      </c>
      <c r="AB3536">
        <v>27</v>
      </c>
      <c r="AC3536">
        <v>17.8079999999999</v>
      </c>
      <c r="AD3536">
        <v>-1.120453506501</v>
      </c>
      <c r="AE3536">
        <v>-0.89900000000000002</v>
      </c>
      <c r="AF3536">
        <v>0.63310203394350795</v>
      </c>
      <c r="AG3536">
        <v>-1.120453506501</v>
      </c>
      <c r="AH3536">
        <v>17.7492593786606</v>
      </c>
      <c r="AI3536">
        <v>93.609815249077201</v>
      </c>
      <c r="AJ3536">
        <v>87.957170957845804</v>
      </c>
      <c r="AK3536">
        <v>17.7958546503557</v>
      </c>
      <c r="AL3536">
        <v>95.321473133101904</v>
      </c>
      <c r="AM3536">
        <v>89.673661670885494</v>
      </c>
      <c r="AN3536">
        <v>0.99999994026718297</v>
      </c>
    </row>
    <row r="3537" spans="1:40" x14ac:dyDescent="0.25">
      <c r="A3537" t="str">
        <f>"20190303154838643"</f>
        <v>20190303154838643</v>
      </c>
      <c r="B3537" t="str">
        <f>"1551599318634249"</f>
        <v>1551599318634249</v>
      </c>
      <c r="C3537" t="s">
        <v>40</v>
      </c>
      <c r="D3537">
        <v>5.8099369999999997</v>
      </c>
      <c r="E3537">
        <v>0.51177450000000002</v>
      </c>
      <c r="F3537" t="s">
        <v>52</v>
      </c>
      <c r="G3537">
        <v>-369.75990000000002</v>
      </c>
      <c r="H3537" s="1">
        <v>3.656974E-6</v>
      </c>
      <c r="I3537">
        <v>213.83080000000001</v>
      </c>
      <c r="J3537">
        <v>-387.5795</v>
      </c>
      <c r="K3537">
        <v>1.120422</v>
      </c>
      <c r="L3537">
        <v>214.76410000000001</v>
      </c>
      <c r="M3537">
        <v>0.9998264</v>
      </c>
      <c r="N3537">
        <v>-1.1443210000000001E-2</v>
      </c>
      <c r="O3537">
        <v>-1.471163E-2</v>
      </c>
      <c r="P3537">
        <v>0.9943864</v>
      </c>
      <c r="Q3537">
        <v>-0.1036909</v>
      </c>
      <c r="R3537">
        <v>-2.1077120000000001E-2</v>
      </c>
      <c r="S3537">
        <v>2.9944760000000001</v>
      </c>
      <c r="T3537">
        <v>-0.18531719999999999</v>
      </c>
      <c r="U3537">
        <v>-0.1550446</v>
      </c>
      <c r="V3537">
        <v>6.4513649999999997E-3</v>
      </c>
      <c r="W3537">
        <v>-9.2302400000000007E-2</v>
      </c>
      <c r="X3537">
        <v>0.99571010000000004</v>
      </c>
      <c r="Y3537">
        <v>3.6944150000000002E-2</v>
      </c>
      <c r="Z3537">
        <v>-6.1235179999999997E-4</v>
      </c>
      <c r="AA3537">
        <v>0.99931720000000002</v>
      </c>
      <c r="AB3537">
        <v>27</v>
      </c>
      <c r="AC3537">
        <v>17.819599999999902</v>
      </c>
      <c r="AD3537">
        <v>-1.120418343026</v>
      </c>
      <c r="AE3537">
        <v>-0.93330000000000202</v>
      </c>
      <c r="AF3537">
        <v>0.66839133111388904</v>
      </c>
      <c r="AG3537">
        <v>-1.120418343026</v>
      </c>
      <c r="AH3537">
        <v>17.761377803909699</v>
      </c>
      <c r="AI3537">
        <v>93.606987481707506</v>
      </c>
      <c r="AJ3537">
        <v>87.844877772729902</v>
      </c>
      <c r="AK3537">
        <v>17.809228667410501</v>
      </c>
      <c r="AL3537">
        <v>95.296076500653101</v>
      </c>
      <c r="AM3537">
        <v>89.628776674707794</v>
      </c>
      <c r="AN3537">
        <v>0.99999997819906605</v>
      </c>
    </row>
    <row r="3538" spans="1:40" x14ac:dyDescent="0.25">
      <c r="A3538" t="str">
        <f>"20190303154838664"</f>
        <v>20190303154838664</v>
      </c>
      <c r="B3538" t="str">
        <f>"1551599318654746"</f>
        <v>1551599318654746</v>
      </c>
      <c r="C3538" t="s">
        <v>40</v>
      </c>
      <c r="D3538">
        <v>5.8198559999999997</v>
      </c>
      <c r="E3538">
        <v>0.51185239999999999</v>
      </c>
      <c r="F3538" t="s">
        <v>52</v>
      </c>
      <c r="G3538">
        <v>-369.31049999999999</v>
      </c>
      <c r="H3538" s="1">
        <v>3.4177910000000001E-6</v>
      </c>
      <c r="I3538">
        <v>213.80099999999999</v>
      </c>
      <c r="J3538">
        <v>-387.32209999999998</v>
      </c>
      <c r="K3538">
        <v>1.120398</v>
      </c>
      <c r="L3538">
        <v>214.7603</v>
      </c>
      <c r="M3538">
        <v>0.99983089999999997</v>
      </c>
      <c r="N3538">
        <v>-1.115936E-2</v>
      </c>
      <c r="O3538">
        <v>-1.4616789999999999E-2</v>
      </c>
      <c r="P3538">
        <v>0.99445689999999998</v>
      </c>
      <c r="Q3538">
        <v>-0.1030185</v>
      </c>
      <c r="R3538">
        <v>-2.1039479999999999E-2</v>
      </c>
      <c r="S3538">
        <v>2.994415</v>
      </c>
      <c r="T3538">
        <v>-0.18364449999999999</v>
      </c>
      <c r="U3538">
        <v>-0.1578522</v>
      </c>
      <c r="V3538">
        <v>6.512093E-3</v>
      </c>
      <c r="W3538">
        <v>-9.1911489999999998E-2</v>
      </c>
      <c r="X3538">
        <v>0.99574589999999996</v>
      </c>
      <c r="Y3538">
        <v>3.7973560000000003E-2</v>
      </c>
      <c r="Z3538">
        <v>-6.4285009999999997E-4</v>
      </c>
      <c r="AA3538">
        <v>0.99927849999999996</v>
      </c>
      <c r="AB3538">
        <v>27</v>
      </c>
      <c r="AC3538">
        <v>18.011599999999898</v>
      </c>
      <c r="AD3538">
        <v>-1.120394582209</v>
      </c>
      <c r="AE3538">
        <v>-0.95930000000001303</v>
      </c>
      <c r="AF3538">
        <v>0.69323456052022303</v>
      </c>
      <c r="AG3538">
        <v>-1.120394582209</v>
      </c>
      <c r="AH3538">
        <v>17.954422982234099</v>
      </c>
      <c r="AI3538">
        <v>93.568097937532499</v>
      </c>
      <c r="AJ3538">
        <v>87.788862700284398</v>
      </c>
      <c r="AK3538">
        <v>18.002698764371999</v>
      </c>
      <c r="AL3538">
        <v>95.273583205403995</v>
      </c>
      <c r="AM3538">
        <v>89.625295845666201</v>
      </c>
      <c r="AN3538">
        <v>1.00000001335803</v>
      </c>
    </row>
    <row r="3539" spans="1:40" x14ac:dyDescent="0.25">
      <c r="A3539" t="str">
        <f>"20190303154838686"</f>
        <v>20190303154838686</v>
      </c>
      <c r="B3539" t="str">
        <f>"1551599318684027"</f>
        <v>1551599318684027</v>
      </c>
      <c r="C3539" t="s">
        <v>40</v>
      </c>
      <c r="D3539">
        <v>5.8267069999999999</v>
      </c>
      <c r="E3539">
        <v>0.51197530000000002</v>
      </c>
      <c r="F3539" t="s">
        <v>52</v>
      </c>
      <c r="G3539">
        <v>-368.88589999999999</v>
      </c>
      <c r="H3539" s="1">
        <v>3.1918530000000001E-6</v>
      </c>
      <c r="I3539">
        <v>213.7851</v>
      </c>
      <c r="J3539">
        <v>-387.04140000000001</v>
      </c>
      <c r="K3539">
        <v>1.1203669999999999</v>
      </c>
      <c r="L3539">
        <v>214.75640000000001</v>
      </c>
      <c r="M3539">
        <v>0.99983630000000001</v>
      </c>
      <c r="N3539">
        <v>-1.08457E-2</v>
      </c>
      <c r="O3539">
        <v>-1.4485939999999999E-2</v>
      </c>
      <c r="P3539">
        <v>0.99450050000000001</v>
      </c>
      <c r="Q3539">
        <v>-0.10273400000000001</v>
      </c>
      <c r="R3539">
        <v>-2.036495E-2</v>
      </c>
      <c r="S3539">
        <v>2.9944459999999999</v>
      </c>
      <c r="T3539">
        <v>-0.18197679999999999</v>
      </c>
      <c r="U3539">
        <v>-0.1584015</v>
      </c>
      <c r="V3539">
        <v>5.9722799999999999E-3</v>
      </c>
      <c r="W3539">
        <v>-9.1938790000000006E-2</v>
      </c>
      <c r="X3539">
        <v>0.99574669999999998</v>
      </c>
      <c r="Y3539">
        <v>3.8287399999999999E-2</v>
      </c>
      <c r="Z3539">
        <v>-6.4761620000000002E-4</v>
      </c>
      <c r="AA3539">
        <v>0.9992666</v>
      </c>
      <c r="AB3539">
        <v>27</v>
      </c>
      <c r="AC3539">
        <v>18.1555</v>
      </c>
      <c r="AD3539">
        <v>-1.120363808147</v>
      </c>
      <c r="AE3539">
        <v>-0.97130000000001304</v>
      </c>
      <c r="AF3539">
        <v>0.70550421025943</v>
      </c>
      <c r="AG3539">
        <v>-1.120363808147</v>
      </c>
      <c r="AH3539">
        <v>18.0989409740491</v>
      </c>
      <c r="AI3539">
        <v>93.539532279839804</v>
      </c>
      <c r="AJ3539">
        <v>87.7677169733049</v>
      </c>
      <c r="AK3539">
        <v>18.147303260689</v>
      </c>
      <c r="AL3539">
        <v>95.275154366875299</v>
      </c>
      <c r="AM3539">
        <v>89.656356044217304</v>
      </c>
      <c r="AN3539">
        <v>0.99999994989797403</v>
      </c>
    </row>
    <row r="3540" spans="1:40" x14ac:dyDescent="0.25">
      <c r="A3540" t="str">
        <f>"20190303154838707"</f>
        <v>20190303154838707</v>
      </c>
      <c r="B3540" t="str">
        <f>"1551599318704522"</f>
        <v>1551599318704522</v>
      </c>
      <c r="C3540" t="s">
        <v>40</v>
      </c>
      <c r="D3540">
        <v>5.7970610000000002</v>
      </c>
      <c r="E3540">
        <v>0.51204620000000001</v>
      </c>
      <c r="F3540" t="s">
        <v>52</v>
      </c>
      <c r="G3540">
        <v>-368.61669999999998</v>
      </c>
      <c r="H3540" s="1">
        <v>3.0485760000000001E-6</v>
      </c>
      <c r="I3540">
        <v>213.7878</v>
      </c>
      <c r="J3540">
        <v>-386.78739999999999</v>
      </c>
      <c r="K3540">
        <v>1.120344</v>
      </c>
      <c r="L3540">
        <v>214.75290000000001</v>
      </c>
      <c r="M3540">
        <v>0.99984150000000005</v>
      </c>
      <c r="N3540">
        <v>-1.0565049999999999E-2</v>
      </c>
      <c r="O3540">
        <v>-1.434263E-2</v>
      </c>
      <c r="P3540">
        <v>0.99448170000000002</v>
      </c>
      <c r="Q3540">
        <v>-0.1030795</v>
      </c>
      <c r="R3540">
        <v>-1.9522479999999998E-2</v>
      </c>
      <c r="S3540">
        <v>2.9945369999999998</v>
      </c>
      <c r="T3540">
        <v>-0.1820909</v>
      </c>
      <c r="U3540">
        <v>-0.15742490000000001</v>
      </c>
      <c r="V3540">
        <v>5.2771869999999896E-3</v>
      </c>
      <c r="W3540">
        <v>-9.2563930000000003E-2</v>
      </c>
      <c r="X3540">
        <v>0.99569269999999999</v>
      </c>
      <c r="Y3540">
        <v>3.8104770000000003E-2</v>
      </c>
      <c r="Z3540">
        <v>-6.3901699999999997E-4</v>
      </c>
      <c r="AA3540">
        <v>0.99927350000000004</v>
      </c>
      <c r="AB3540">
        <v>27</v>
      </c>
      <c r="AC3540">
        <v>18.1707</v>
      </c>
      <c r="AD3540">
        <v>-1.1203409514239999</v>
      </c>
      <c r="AE3540">
        <v>-0.96510000000000595</v>
      </c>
      <c r="AF3540">
        <v>0.70171052974898895</v>
      </c>
      <c r="AG3540">
        <v>-1.1203409514239999</v>
      </c>
      <c r="AH3540">
        <v>18.114006559767098</v>
      </c>
      <c r="AI3540">
        <v>93.536557028779796</v>
      </c>
      <c r="AJ3540">
        <v>87.781553287767906</v>
      </c>
      <c r="AK3540">
        <v>18.162180352652701</v>
      </c>
      <c r="AL3540">
        <v>95.311125688961397</v>
      </c>
      <c r="AM3540">
        <v>89.696334309039599</v>
      </c>
      <c r="AN3540">
        <v>0.99999994133648196</v>
      </c>
    </row>
    <row r="3541" spans="1:40" x14ac:dyDescent="0.25">
      <c r="A3541" t="str">
        <f>"20190303154838730"</f>
        <v>20190303154838730</v>
      </c>
      <c r="B3541" t="str">
        <f>"1551599318725017"</f>
        <v>1551599318725017</v>
      </c>
      <c r="C3541" t="s">
        <v>40</v>
      </c>
      <c r="D3541">
        <v>5.7905369999999996</v>
      </c>
      <c r="E3541">
        <v>0.51211079999999998</v>
      </c>
      <c r="F3541" t="s">
        <v>52</v>
      </c>
      <c r="G3541">
        <v>-368.52800000000002</v>
      </c>
      <c r="H3541" s="1">
        <v>3.0013840000000002E-6</v>
      </c>
      <c r="I3541">
        <v>213.80459999999999</v>
      </c>
      <c r="J3541">
        <v>-386.5027</v>
      </c>
      <c r="K3541">
        <v>1.1203289999999999</v>
      </c>
      <c r="L3541">
        <v>214.749</v>
      </c>
      <c r="M3541">
        <v>0.99984729999999999</v>
      </c>
      <c r="N3541">
        <v>-1.025511E-2</v>
      </c>
      <c r="O3541">
        <v>-1.4152609999999999E-2</v>
      </c>
      <c r="P3541">
        <v>0.99453159999999896</v>
      </c>
      <c r="Q3541">
        <v>-0.1026445</v>
      </c>
      <c r="R3541">
        <v>-1.9255789999999998E-2</v>
      </c>
      <c r="S3541">
        <v>2.9945680000000001</v>
      </c>
      <c r="T3541">
        <v>-0.1837376</v>
      </c>
      <c r="U3541">
        <v>-0.15551760000000001</v>
      </c>
      <c r="V3541">
        <v>5.2035650000000003E-3</v>
      </c>
      <c r="W3541">
        <v>-9.2436920000000006E-2</v>
      </c>
      <c r="X3541">
        <v>0.9957049</v>
      </c>
      <c r="Y3541">
        <v>3.765976E-2</v>
      </c>
      <c r="Z3541">
        <v>-6.2501790000000005E-4</v>
      </c>
      <c r="AA3541">
        <v>0.99929040000000002</v>
      </c>
      <c r="AB3541">
        <v>27</v>
      </c>
      <c r="AC3541">
        <v>17.974699999999899</v>
      </c>
      <c r="AD3541">
        <v>-1.1203259986159999</v>
      </c>
      <c r="AE3541">
        <v>-0.94440000000002999</v>
      </c>
      <c r="AF3541">
        <v>0.68724069599097903</v>
      </c>
      <c r="AG3541">
        <v>-1.1203259986159999</v>
      </c>
      <c r="AH3541">
        <v>17.916854730085699</v>
      </c>
      <c r="AI3541">
        <v>93.575376617402299</v>
      </c>
      <c r="AJ3541">
        <v>87.803370177053395</v>
      </c>
      <c r="AK3541">
        <v>17.964996897756301</v>
      </c>
      <c r="AL3541">
        <v>95.303817147137593</v>
      </c>
      <c r="AM3541">
        <v>89.700574338080401</v>
      </c>
      <c r="AN3541">
        <v>0.99999995457590096</v>
      </c>
    </row>
    <row r="3542" spans="1:40" x14ac:dyDescent="0.25">
      <c r="A3542" t="str">
        <f>"20190303154838752"</f>
        <v>20190303154838752</v>
      </c>
      <c r="B3542" t="str">
        <f>"1551599318744538"</f>
        <v>1551599318744538</v>
      </c>
      <c r="C3542" t="s">
        <v>40</v>
      </c>
      <c r="D3542">
        <v>5.812684</v>
      </c>
      <c r="E3542">
        <v>0.51218509999999995</v>
      </c>
      <c r="F3542" t="s">
        <v>52</v>
      </c>
      <c r="G3542">
        <v>-368.15940000000001</v>
      </c>
      <c r="H3542" s="1">
        <v>2.805243E-6</v>
      </c>
      <c r="I3542">
        <v>213.79730000000001</v>
      </c>
      <c r="J3542">
        <v>-386.24079999999998</v>
      </c>
      <c r="K3542">
        <v>1.1203160000000001</v>
      </c>
      <c r="L3542">
        <v>214.74539999999999</v>
      </c>
      <c r="M3542">
        <v>0.99985310000000005</v>
      </c>
      <c r="N3542">
        <v>-9.9729950000000001E-3</v>
      </c>
      <c r="O3542">
        <v>-1.395365E-2</v>
      </c>
      <c r="P3542">
        <v>0.9946197</v>
      </c>
      <c r="Q3542">
        <v>-0.101826</v>
      </c>
      <c r="R3542">
        <v>-1.9056159999999999E-2</v>
      </c>
      <c r="S3542">
        <v>2.9945979999999999</v>
      </c>
      <c r="T3542">
        <v>-0.18289659999999999</v>
      </c>
      <c r="U3542">
        <v>-0.155365</v>
      </c>
      <c r="V3542">
        <v>5.204167E-3</v>
      </c>
      <c r="W3542">
        <v>-9.1898320000000006E-2</v>
      </c>
      <c r="X3542">
        <v>0.99575480000000005</v>
      </c>
      <c r="Y3542">
        <v>3.7807809999999997E-2</v>
      </c>
      <c r="Z3542">
        <v>-6.2979439999999995E-4</v>
      </c>
      <c r="AA3542">
        <v>0.99928479999999997</v>
      </c>
      <c r="AB3542">
        <v>27</v>
      </c>
      <c r="AC3542">
        <v>18.081399999999899</v>
      </c>
      <c r="AD3542">
        <v>-1.120313194757</v>
      </c>
      <c r="AE3542">
        <v>-0.94809999999998196</v>
      </c>
      <c r="AF3542">
        <v>0.69304039370609105</v>
      </c>
      <c r="AG3542">
        <v>-1.120313194757</v>
      </c>
      <c r="AH3542">
        <v>18.0238662140485</v>
      </c>
      <c r="AI3542">
        <v>93.554150130809603</v>
      </c>
      <c r="AJ3542">
        <v>87.797989793107405</v>
      </c>
      <c r="AK3542">
        <v>18.071944000122802</v>
      </c>
      <c r="AL3542">
        <v>95.272825466847706</v>
      </c>
      <c r="AM3542">
        <v>89.700554704683995</v>
      </c>
      <c r="AN3542">
        <v>1.0000000031480101</v>
      </c>
    </row>
    <row r="3543" spans="1:40" x14ac:dyDescent="0.25">
      <c r="A3543" t="str">
        <f>"20190303154838774"</f>
        <v>20190303154838774</v>
      </c>
      <c r="B3543" t="str">
        <f>"1551599318764057"</f>
        <v>1551599318764057</v>
      </c>
      <c r="C3543" t="s">
        <v>40</v>
      </c>
      <c r="D3543">
        <v>5.7374530000000004</v>
      </c>
      <c r="E3543">
        <v>0.51223490000000005</v>
      </c>
      <c r="F3543" t="s">
        <v>52</v>
      </c>
      <c r="G3543">
        <v>-367.6841</v>
      </c>
      <c r="H3543" s="1">
        <v>2.5523180000000002E-6</v>
      </c>
      <c r="I3543">
        <v>213.78319999999999</v>
      </c>
      <c r="J3543">
        <v>-385.9726</v>
      </c>
      <c r="K3543">
        <v>1.1202970000000001</v>
      </c>
      <c r="L3543">
        <v>214.74189999999999</v>
      </c>
      <c r="M3543">
        <v>0.99985900000000005</v>
      </c>
      <c r="N3543">
        <v>-9.6839349999999994E-3</v>
      </c>
      <c r="O3543">
        <v>-1.3729679999999999E-2</v>
      </c>
      <c r="P3543">
        <v>0.9946332</v>
      </c>
      <c r="Q3543">
        <v>-0.101716</v>
      </c>
      <c r="R3543">
        <v>-1.894991E-2</v>
      </c>
      <c r="S3543">
        <v>2.9947810000000001</v>
      </c>
      <c r="T3543">
        <v>-0.18080260000000001</v>
      </c>
      <c r="U3543">
        <v>-0.1552887</v>
      </c>
      <c r="V3543">
        <v>5.3238579999999999E-3</v>
      </c>
      <c r="W3543">
        <v>-9.2075790000000005E-2</v>
      </c>
      <c r="X3543">
        <v>0.99573780000000001</v>
      </c>
      <c r="Y3543">
        <v>3.8004209999999997E-2</v>
      </c>
      <c r="Z3543">
        <v>-6.3502190000000003E-4</v>
      </c>
      <c r="AA3543">
        <v>0.99927739999999998</v>
      </c>
      <c r="AB3543">
        <v>27</v>
      </c>
      <c r="AC3543">
        <v>18.288499999999999</v>
      </c>
      <c r="AD3543">
        <v>-1.12029444768199</v>
      </c>
      <c r="AE3543">
        <v>-0.958699999999993</v>
      </c>
      <c r="AF3543">
        <v>0.70486495729651399</v>
      </c>
      <c r="AG3543">
        <v>-1.12029444768199</v>
      </c>
      <c r="AH3543">
        <v>18.2317142301346</v>
      </c>
      <c r="AI3543">
        <v>93.513646639227602</v>
      </c>
      <c r="AJ3543">
        <v>87.785963348166703</v>
      </c>
      <c r="AK3543">
        <v>18.2796963330035</v>
      </c>
      <c r="AL3543">
        <v>95.283036899141194</v>
      </c>
      <c r="AM3543">
        <v>89.693662641370096</v>
      </c>
      <c r="AN3543">
        <v>1.00000003045848</v>
      </c>
    </row>
    <row r="3544" spans="1:40" x14ac:dyDescent="0.25">
      <c r="A3544" t="str">
        <f>"20190303154838798"</f>
        <v>20190303154838798</v>
      </c>
      <c r="B3544" t="str">
        <f>"1551599318794314"</f>
        <v>1551599318794314</v>
      </c>
      <c r="C3544" t="s">
        <v>40</v>
      </c>
      <c r="D3544">
        <v>5.7467509999999997</v>
      </c>
      <c r="E3544">
        <v>0.51231800000000005</v>
      </c>
      <c r="F3544" t="s">
        <v>52</v>
      </c>
      <c r="G3544">
        <v>-367.42290000000003</v>
      </c>
      <c r="H3544" s="1">
        <v>2.4133240000000001E-6</v>
      </c>
      <c r="I3544">
        <v>213.77950000000001</v>
      </c>
      <c r="J3544">
        <v>-385.678</v>
      </c>
      <c r="K3544">
        <v>1.1202749999999999</v>
      </c>
      <c r="L3544">
        <v>214.73820000000001</v>
      </c>
      <c r="M3544">
        <v>0.99986549999999996</v>
      </c>
      <c r="N3544">
        <v>-9.3608000000000007E-3</v>
      </c>
      <c r="O3544">
        <v>-1.3466769999999999E-2</v>
      </c>
      <c r="P3544">
        <v>0.99466569999999999</v>
      </c>
      <c r="Q3544">
        <v>-0.101422</v>
      </c>
      <c r="R3544">
        <v>-1.8803710000000001E-2</v>
      </c>
      <c r="S3544">
        <v>2.99472</v>
      </c>
      <c r="T3544">
        <v>-0.18086450000000001</v>
      </c>
      <c r="U3544">
        <v>-0.1553802</v>
      </c>
      <c r="V3544">
        <v>5.4421590000000002E-3</v>
      </c>
      <c r="W3544">
        <v>-9.210306E-2</v>
      </c>
      <c r="X3544">
        <v>0.99573460000000003</v>
      </c>
      <c r="Y3544">
        <v>3.8298119999999998E-2</v>
      </c>
      <c r="Z3544">
        <v>-6.4818389999999997E-4</v>
      </c>
      <c r="AA3544">
        <v>0.99926610000000005</v>
      </c>
      <c r="AB3544">
        <v>27</v>
      </c>
      <c r="AC3544">
        <v>18.255099999999999</v>
      </c>
      <c r="AD3544">
        <v>-1.1202725866759999</v>
      </c>
      <c r="AE3544">
        <v>-0.958699999999993</v>
      </c>
      <c r="AF3544">
        <v>0.71009818529277802</v>
      </c>
      <c r="AG3544">
        <v>-1.1202725866759999</v>
      </c>
      <c r="AH3544">
        <v>18.1980106199352</v>
      </c>
      <c r="AI3544">
        <v>93.520020309678301</v>
      </c>
      <c r="AJ3544">
        <v>87.765415171590107</v>
      </c>
      <c r="AK3544">
        <v>18.2462829262425</v>
      </c>
      <c r="AL3544">
        <v>95.284606225387506</v>
      </c>
      <c r="AM3544">
        <v>89.686854672483904</v>
      </c>
      <c r="AN3544">
        <v>0.999999992196552</v>
      </c>
    </row>
    <row r="3545" spans="1:40" x14ac:dyDescent="0.25">
      <c r="A3545" t="str">
        <f>"20190303154838824"</f>
        <v>20190303154838824</v>
      </c>
      <c r="B3545" t="str">
        <f>"1551599318814810"</f>
        <v>1551599318814810</v>
      </c>
      <c r="C3545" t="s">
        <v>40</v>
      </c>
      <c r="D3545">
        <v>5.7875969999999999</v>
      </c>
      <c r="E3545">
        <v>0.51238620000000001</v>
      </c>
      <c r="F3545" t="s">
        <v>52</v>
      </c>
      <c r="G3545">
        <v>-367.11219999999997</v>
      </c>
      <c r="H3545" s="1">
        <v>2.2479839999999999E-6</v>
      </c>
      <c r="I3545">
        <v>213.77440000000001</v>
      </c>
      <c r="J3545">
        <v>-385.35789999999997</v>
      </c>
      <c r="K3545">
        <v>1.1202399999999999</v>
      </c>
      <c r="L3545">
        <v>214.73419999999999</v>
      </c>
      <c r="M3545">
        <v>0.99987289999999995</v>
      </c>
      <c r="N3545">
        <v>-8.9906810000000004E-3</v>
      </c>
      <c r="O3545">
        <v>-1.3165710000000001E-2</v>
      </c>
      <c r="P3545">
        <v>0.99470559999999997</v>
      </c>
      <c r="Q3545">
        <v>-0.10112119999999999</v>
      </c>
      <c r="R3545">
        <v>-1.8311850000000001E-2</v>
      </c>
      <c r="S3545">
        <v>2.99472</v>
      </c>
      <c r="T3545">
        <v>-0.1807039</v>
      </c>
      <c r="U3545">
        <v>-0.1554565</v>
      </c>
      <c r="V3545">
        <v>5.2520939999999997E-3</v>
      </c>
      <c r="W3545">
        <v>-9.2170500000000002E-2</v>
      </c>
      <c r="X3545">
        <v>0.99572939999999999</v>
      </c>
      <c r="Y3545">
        <v>3.862413E-2</v>
      </c>
      <c r="Z3545">
        <v>-6.625181E-4</v>
      </c>
      <c r="AA3545">
        <v>0.99925359999999996</v>
      </c>
      <c r="AB3545">
        <v>28</v>
      </c>
      <c r="AC3545">
        <v>18.245699999999999</v>
      </c>
      <c r="AD3545">
        <v>-1.1202377520159901</v>
      </c>
      <c r="AE3545">
        <v>-0.95979999999997201</v>
      </c>
      <c r="AF3545">
        <v>0.71679490072636798</v>
      </c>
      <c r="AG3545">
        <v>-1.1202377520159901</v>
      </c>
      <c r="AH3545">
        <v>18.1883810852956</v>
      </c>
      <c r="AI3545">
        <v>93.521716515398893</v>
      </c>
      <c r="AJ3545">
        <v>87.743170187298105</v>
      </c>
      <c r="AK3545">
        <v>18.236938724870601</v>
      </c>
      <c r="AL3545">
        <v>95.288486655251305</v>
      </c>
      <c r="AM3545">
        <v>89.697789350065307</v>
      </c>
      <c r="AN3545">
        <v>1.0000000117929899</v>
      </c>
    </row>
    <row r="3546" spans="1:40" x14ac:dyDescent="0.25">
      <c r="A3546" t="str">
        <f>"20190303154838843"</f>
        <v>20190303154838843</v>
      </c>
      <c r="B3546" t="str">
        <f>"1551599318834330"</f>
        <v>1551599318834330</v>
      </c>
      <c r="C3546" t="s">
        <v>40</v>
      </c>
      <c r="D3546">
        <v>5.7192669999999897</v>
      </c>
      <c r="E3546">
        <v>0.51239590000000002</v>
      </c>
      <c r="F3546" t="s">
        <v>52</v>
      </c>
      <c r="G3546">
        <v>-366.74560000000002</v>
      </c>
      <c r="H3546" s="1">
        <v>2.052881E-6</v>
      </c>
      <c r="I3546">
        <v>213.7731</v>
      </c>
      <c r="J3546">
        <v>-385.12079999999997</v>
      </c>
      <c r="K3546">
        <v>1.120212</v>
      </c>
      <c r="L3546">
        <v>214.7313</v>
      </c>
      <c r="M3546">
        <v>0.9998785</v>
      </c>
      <c r="N3546">
        <v>-8.6988659999999995E-3</v>
      </c>
      <c r="O3546">
        <v>-1.2935800000000001E-2</v>
      </c>
      <c r="P3546">
        <v>0.9947783</v>
      </c>
      <c r="Q3546">
        <v>-0.1005075</v>
      </c>
      <c r="R3546">
        <v>-1.7736660000000001E-2</v>
      </c>
      <c r="S3546">
        <v>2.9947810000000001</v>
      </c>
      <c r="T3546">
        <v>-0.18024989999999999</v>
      </c>
      <c r="U3546">
        <v>-0.15463260000000001</v>
      </c>
      <c r="V3546">
        <v>4.9058019999999999E-3</v>
      </c>
      <c r="W3546">
        <v>-9.1846860000000002E-2</v>
      </c>
      <c r="X3546">
        <v>0.99576100000000001</v>
      </c>
      <c r="Y3546">
        <v>3.8579280000000001E-2</v>
      </c>
      <c r="Z3546">
        <v>-6.6237169999999897E-4</v>
      </c>
      <c r="AA3546">
        <v>0.99925529999999996</v>
      </c>
      <c r="AB3546">
        <v>28</v>
      </c>
      <c r="AC3546">
        <v>18.3751999999999</v>
      </c>
      <c r="AD3546">
        <v>-1.1202099471189999</v>
      </c>
      <c r="AE3546">
        <v>-0.95820000000000505</v>
      </c>
      <c r="AF3546">
        <v>0.717752619716299</v>
      </c>
      <c r="AG3546">
        <v>-1.1202099471189999</v>
      </c>
      <c r="AH3546">
        <v>18.318163047113298</v>
      </c>
      <c r="AI3546">
        <v>93.496772192306395</v>
      </c>
      <c r="AJ3546">
        <v>87.756152214858105</v>
      </c>
      <c r="AK3546">
        <v>18.36641327449</v>
      </c>
      <c r="AL3546">
        <v>95.269864832663799</v>
      </c>
      <c r="AM3546">
        <v>89.717723956251504</v>
      </c>
      <c r="AN3546">
        <v>0.99999994085305899</v>
      </c>
    </row>
    <row r="3547" spans="1:40" x14ac:dyDescent="0.25">
      <c r="A3547" t="str">
        <f>"20190303154838864"</f>
        <v>20190303154838864</v>
      </c>
      <c r="B3547" t="str">
        <f>"1551599318854826"</f>
        <v>1551599318854826</v>
      </c>
      <c r="C3547" t="s">
        <v>40</v>
      </c>
      <c r="D3547">
        <v>5.7585470000000001</v>
      </c>
      <c r="E3547">
        <v>0.50144230000000001</v>
      </c>
      <c r="F3547" t="s">
        <v>52</v>
      </c>
      <c r="G3547">
        <v>-366.3689</v>
      </c>
      <c r="H3547" s="1">
        <v>1.8524259999999999E-6</v>
      </c>
      <c r="I3547">
        <v>213.7747</v>
      </c>
      <c r="J3547">
        <v>-384.85390000000001</v>
      </c>
      <c r="K3547">
        <v>1.1201719999999999</v>
      </c>
      <c r="L3547">
        <v>214.72810000000001</v>
      </c>
      <c r="M3547">
        <v>0.99988480000000002</v>
      </c>
      <c r="N3547">
        <v>-8.3614459999999998E-3</v>
      </c>
      <c r="O3547">
        <v>-1.267334E-2</v>
      </c>
      <c r="P3547">
        <v>0.99484709999999998</v>
      </c>
      <c r="Q3547">
        <v>-9.9946480000000004E-2</v>
      </c>
      <c r="R3547">
        <v>-1.7043599999999999E-2</v>
      </c>
      <c r="S3547">
        <v>2.9949650000000001</v>
      </c>
      <c r="T3547">
        <v>-0.1789142</v>
      </c>
      <c r="U3547">
        <v>-0.15277099999999999</v>
      </c>
      <c r="V3547">
        <v>4.4740439999999999E-3</v>
      </c>
      <c r="W3547">
        <v>-9.1621499999999995E-2</v>
      </c>
      <c r="X3547">
        <v>0.99578390000000006</v>
      </c>
      <c r="Y3547">
        <v>3.8220799999999999E-2</v>
      </c>
      <c r="Z3547">
        <v>-6.4991300000000001E-4</v>
      </c>
      <c r="AA3547">
        <v>0.99926910000000002</v>
      </c>
      <c r="AB3547">
        <v>28</v>
      </c>
      <c r="AC3547">
        <v>18.484999999999999</v>
      </c>
      <c r="AD3547">
        <v>-1.120170147574</v>
      </c>
      <c r="AE3547">
        <v>-0.95340000000001601</v>
      </c>
      <c r="AF3547">
        <v>0.71642467267932997</v>
      </c>
      <c r="AG3547">
        <v>-1.120170147574</v>
      </c>
      <c r="AH3547">
        <v>18.4281059728104</v>
      </c>
      <c r="AI3547">
        <v>93.475879722829504</v>
      </c>
      <c r="AJ3547">
        <v>87.773648098848497</v>
      </c>
      <c r="AK3547">
        <v>18.4760151335798</v>
      </c>
      <c r="AL3547">
        <v>95.256897426804301</v>
      </c>
      <c r="AM3547">
        <v>89.742572546468196</v>
      </c>
      <c r="AN3547">
        <v>1.00000004591558</v>
      </c>
    </row>
    <row r="3548" spans="1:40" x14ac:dyDescent="0.25">
      <c r="A3548" t="str">
        <f>"20190303154838887"</f>
        <v>20190303154838887</v>
      </c>
      <c r="B3548" t="str">
        <f>"1551599318884106"</f>
        <v>1551599318884106</v>
      </c>
      <c r="C3548" t="s">
        <v>40</v>
      </c>
      <c r="D3548">
        <v>5.7501220000000002</v>
      </c>
      <c r="E3548">
        <v>0.50148179999999998</v>
      </c>
      <c r="F3548" t="s">
        <v>42</v>
      </c>
      <c r="G3548">
        <v>-383.92059999999998</v>
      </c>
      <c r="H3548">
        <v>1.0405949999999999</v>
      </c>
      <c r="I3548">
        <v>214.7079</v>
      </c>
      <c r="J3548">
        <v>-384.56639999999999</v>
      </c>
      <c r="K3548">
        <v>1.120128</v>
      </c>
      <c r="L3548">
        <v>214.72470000000001</v>
      </c>
      <c r="M3548">
        <v>0.99989139999999999</v>
      </c>
      <c r="N3548">
        <v>-7.9918630000000001E-3</v>
      </c>
      <c r="O3548">
        <v>-1.238879E-2</v>
      </c>
      <c r="P3548">
        <v>0.99487809999999999</v>
      </c>
      <c r="Q3548">
        <v>-9.9746210000000002E-2</v>
      </c>
      <c r="R3548">
        <v>-1.6396979999999999E-2</v>
      </c>
      <c r="S3548">
        <v>2.9888309999999998</v>
      </c>
      <c r="T3548">
        <v>-0.25497360000000002</v>
      </c>
      <c r="U3548">
        <v>-6.3003539999999997E-2</v>
      </c>
      <c r="V3548">
        <v>4.1111150000000003E-3</v>
      </c>
      <c r="W3548">
        <v>-9.1789250000000003E-2</v>
      </c>
      <c r="X3548">
        <v>0.99577000000000004</v>
      </c>
      <c r="Y3548">
        <v>8.6893639999999998E-3</v>
      </c>
      <c r="Z3548">
        <v>5.5122099999999996E-4</v>
      </c>
      <c r="AA3548">
        <v>0.99996209999999996</v>
      </c>
      <c r="AB3548">
        <v>28</v>
      </c>
      <c r="AC3548">
        <v>0.64580000000000803</v>
      </c>
      <c r="AD3548">
        <v>-7.9532999999999798E-2</v>
      </c>
      <c r="AE3548">
        <v>-1.6800000000017599E-2</v>
      </c>
      <c r="AF3548">
        <v>8.6664207818514093E-3</v>
      </c>
      <c r="AG3548">
        <v>-7.9532999999999798E-2</v>
      </c>
      <c r="AH3548">
        <v>0.63631414707168799</v>
      </c>
      <c r="AI3548">
        <v>97.123806704149303</v>
      </c>
      <c r="AJ3548">
        <v>89.219695747426002</v>
      </c>
      <c r="AK3548">
        <v>0.64132386412930098</v>
      </c>
      <c r="AL3548">
        <v>95.266549547818599</v>
      </c>
      <c r="AM3548">
        <v>89.763451198288905</v>
      </c>
      <c r="AN3548">
        <v>1.0000000302910499</v>
      </c>
    </row>
    <row r="3549" spans="1:40" x14ac:dyDescent="0.25">
      <c r="A3549" t="str">
        <f>"20190303154838909"</f>
        <v>20190303154838909</v>
      </c>
      <c r="B3549" t="str">
        <f>"1551599318904601"</f>
        <v>1551599318904601</v>
      </c>
      <c r="C3549" t="s">
        <v>40</v>
      </c>
      <c r="D3549">
        <v>5.7324539999999997</v>
      </c>
      <c r="E3549">
        <v>0.5010462</v>
      </c>
      <c r="F3549" t="s">
        <v>42</v>
      </c>
      <c r="G3549">
        <v>-383.66590000000002</v>
      </c>
      <c r="H3549">
        <v>1.043536</v>
      </c>
      <c r="I3549">
        <v>214.7063</v>
      </c>
      <c r="J3549">
        <v>-384.29050000000001</v>
      </c>
      <c r="K3549">
        <v>1.1200760000000001</v>
      </c>
      <c r="L3549">
        <v>214.7216</v>
      </c>
      <c r="M3549">
        <v>0.99989760000000005</v>
      </c>
      <c r="N3549">
        <v>-7.6335730000000003E-3</v>
      </c>
      <c r="O3549">
        <v>-1.2115549999999999E-2</v>
      </c>
      <c r="P3549">
        <v>0.994865</v>
      </c>
      <c r="Q3549">
        <v>-9.9867650000000002E-2</v>
      </c>
      <c r="R3549">
        <v>-1.6446579999999999E-2</v>
      </c>
      <c r="S3549">
        <v>2.988953</v>
      </c>
      <c r="T3549">
        <v>-0.25421630000000001</v>
      </c>
      <c r="U3549">
        <v>-6.1126710000000001E-2</v>
      </c>
      <c r="V3549">
        <v>4.4334760000000004E-3</v>
      </c>
      <c r="W3549">
        <v>-9.2267390000000005E-2</v>
      </c>
      <c r="X3549">
        <v>0.99572439999999995</v>
      </c>
      <c r="Y3549">
        <v>8.3351659999999998E-3</v>
      </c>
      <c r="Z3549">
        <v>5.5044209999999998E-4</v>
      </c>
      <c r="AA3549">
        <v>0.99996510000000005</v>
      </c>
      <c r="AB3549">
        <v>28</v>
      </c>
      <c r="AC3549">
        <v>0.62459999999998606</v>
      </c>
      <c r="AD3549">
        <v>-7.6539999999999997E-2</v>
      </c>
      <c r="AE3549">
        <v>-1.5299999999996299E-2</v>
      </c>
      <c r="AF3549">
        <v>7.6169721856511798E-3</v>
      </c>
      <c r="AG3549">
        <v>-7.6539999999999997E-2</v>
      </c>
      <c r="AH3549">
        <v>0.61550228992622502</v>
      </c>
      <c r="AI3549">
        <v>97.088016860328807</v>
      </c>
      <c r="AJ3549">
        <v>89.290988694222804</v>
      </c>
      <c r="AK3549">
        <v>0.62028981836694996</v>
      </c>
      <c r="AL3549">
        <v>95.294061842441195</v>
      </c>
      <c r="AM3549">
        <v>89.744891473224996</v>
      </c>
      <c r="AN3549">
        <v>1.0000000038611001</v>
      </c>
    </row>
    <row r="3550" spans="1:40" x14ac:dyDescent="0.25">
      <c r="A3550" t="str">
        <f>"20190303154838932"</f>
        <v>20190303154838932</v>
      </c>
      <c r="B3550" t="str">
        <f>"1551599318924121"</f>
        <v>1551599318924121</v>
      </c>
      <c r="C3550" t="s">
        <v>40</v>
      </c>
      <c r="D3550">
        <v>5.6858380000000004</v>
      </c>
      <c r="E3550">
        <v>0.50057609999999997</v>
      </c>
      <c r="F3550" t="s">
        <v>42</v>
      </c>
      <c r="G3550">
        <v>-383.41140000000001</v>
      </c>
      <c r="H3550">
        <v>1.044862</v>
      </c>
      <c r="I3550">
        <v>214.70419999999999</v>
      </c>
      <c r="J3550">
        <v>-383.99149999999997</v>
      </c>
      <c r="K3550">
        <v>1.120026</v>
      </c>
      <c r="L3550">
        <v>214.7182</v>
      </c>
      <c r="M3550">
        <v>0.99990389999999996</v>
      </c>
      <c r="N3550">
        <v>-7.2465189999999999E-3</v>
      </c>
      <c r="O3550">
        <v>-1.182048E-2</v>
      </c>
      <c r="P3550">
        <v>0.99488310000000002</v>
      </c>
      <c r="Q3550">
        <v>-9.9668099999999996E-2</v>
      </c>
      <c r="R3550">
        <v>-1.6552629999999999E-2</v>
      </c>
      <c r="S3550">
        <v>2.9887999999999999</v>
      </c>
      <c r="T3550">
        <v>-0.2559245</v>
      </c>
      <c r="U3550">
        <v>-5.7983399999999997E-2</v>
      </c>
      <c r="V3550">
        <v>4.8336129999999996E-3</v>
      </c>
      <c r="W3550">
        <v>-9.2452930000000003E-2</v>
      </c>
      <c r="X3550">
        <v>0.99570530000000002</v>
      </c>
      <c r="Y3550">
        <v>7.582793E-3</v>
      </c>
      <c r="Z3550">
        <v>5.7310320000000001E-4</v>
      </c>
      <c r="AA3550">
        <v>0.9999711</v>
      </c>
      <c r="AB3550">
        <v>28</v>
      </c>
      <c r="AC3550">
        <v>0.58009999999995898</v>
      </c>
      <c r="AD3550">
        <v>-7.5163999999999703E-2</v>
      </c>
      <c r="AE3550">
        <v>-1.4000000000009999E-2</v>
      </c>
      <c r="AF3550">
        <v>7.02392834809138E-3</v>
      </c>
      <c r="AG3550">
        <v>-7.5163999999999703E-2</v>
      </c>
      <c r="AH3550">
        <v>0.57065013043703405</v>
      </c>
      <c r="AI3550">
        <v>97.503038953409998</v>
      </c>
      <c r="AJ3550">
        <v>89.294802354930098</v>
      </c>
      <c r="AK3550">
        <v>0.57562186705618101</v>
      </c>
      <c r="AL3550">
        <v>95.304738282208504</v>
      </c>
      <c r="AM3550">
        <v>89.721862031618201</v>
      </c>
      <c r="AN3550">
        <v>0.99999997626415404</v>
      </c>
    </row>
    <row r="3551" spans="1:40" x14ac:dyDescent="0.25">
      <c r="A3551" t="str">
        <f>"20190303154838952"</f>
        <v>20190303154838952</v>
      </c>
      <c r="B3551" t="str">
        <f>"1551599318944617"</f>
        <v>1551599318944617</v>
      </c>
      <c r="C3551" t="s">
        <v>40</v>
      </c>
      <c r="D3551">
        <v>5.7403079999999997</v>
      </c>
      <c r="E3551">
        <v>0.50023790000000001</v>
      </c>
      <c r="F3551" t="s">
        <v>42</v>
      </c>
      <c r="G3551">
        <v>-383.1465</v>
      </c>
      <c r="H3551">
        <v>1.0470200000000001</v>
      </c>
      <c r="I3551">
        <v>214.70259999999999</v>
      </c>
      <c r="J3551">
        <v>-383.73329999999999</v>
      </c>
      <c r="K3551">
        <v>1.1199870000000001</v>
      </c>
      <c r="L3551">
        <v>214.71539999999999</v>
      </c>
      <c r="M3551">
        <v>0.99990939999999995</v>
      </c>
      <c r="N3551">
        <v>-6.9175599999999997E-3</v>
      </c>
      <c r="O3551">
        <v>-1.1567259999999999E-2</v>
      </c>
      <c r="P3551">
        <v>0.99487000000000003</v>
      </c>
      <c r="Q3551">
        <v>-9.9725750000000002E-2</v>
      </c>
      <c r="R3551">
        <v>-1.6994410000000001E-2</v>
      </c>
      <c r="S3551">
        <v>2.9886780000000002</v>
      </c>
      <c r="T3551">
        <v>-0.258274</v>
      </c>
      <c r="U3551">
        <v>-5.461121E-2</v>
      </c>
      <c r="V3551">
        <v>5.5279860000000004E-3</v>
      </c>
      <c r="W3551">
        <v>-9.2837859999999994E-2</v>
      </c>
      <c r="X3551">
        <v>0.99566589999999999</v>
      </c>
      <c r="Y3551">
        <v>6.7122709999999997E-3</v>
      </c>
      <c r="Z3551">
        <v>6.0501960000000003E-4</v>
      </c>
      <c r="AA3551">
        <v>0.99997729999999996</v>
      </c>
      <c r="AB3551">
        <v>28</v>
      </c>
      <c r="AC3551">
        <v>0.586799999999982</v>
      </c>
      <c r="AD3551">
        <v>-7.2966999999999907E-2</v>
      </c>
      <c r="AE3551">
        <v>-1.27999999999985E-2</v>
      </c>
      <c r="AF3551">
        <v>5.9198243049419803E-3</v>
      </c>
      <c r="AG3551">
        <v>-7.2966999999999907E-2</v>
      </c>
      <c r="AH3551">
        <v>0.57797623940147003</v>
      </c>
      <c r="AI3551">
        <v>97.194905958334999</v>
      </c>
      <c r="AJ3551">
        <v>89.413178146220901</v>
      </c>
      <c r="AK3551">
        <v>0.58259399303585901</v>
      </c>
      <c r="AL3551">
        <v>95.326888254304293</v>
      </c>
      <c r="AM3551">
        <v>89.681894285384502</v>
      </c>
      <c r="AN3551">
        <v>1.0000000056506999</v>
      </c>
    </row>
    <row r="3552" spans="1:40" x14ac:dyDescent="0.25">
      <c r="A3552" t="str">
        <f>"20190303154838975"</f>
        <v>20190303154838975</v>
      </c>
      <c r="B3552" t="str">
        <f>"1551599318964137"</f>
        <v>1551599318964137</v>
      </c>
      <c r="C3552" t="s">
        <v>40</v>
      </c>
      <c r="D3552">
        <v>5.6896610000000001</v>
      </c>
      <c r="E3552">
        <v>0.50012699999999999</v>
      </c>
      <c r="F3552" t="s">
        <v>42</v>
      </c>
      <c r="G3552">
        <v>-382.89299999999997</v>
      </c>
      <c r="H3552">
        <v>1.047037</v>
      </c>
      <c r="I3552">
        <v>214.7002</v>
      </c>
      <c r="J3552">
        <v>-383.44310000000002</v>
      </c>
      <c r="K3552">
        <v>1.1199410000000001</v>
      </c>
      <c r="L3552">
        <v>214.7124</v>
      </c>
      <c r="M3552">
        <v>0.999915</v>
      </c>
      <c r="N3552">
        <v>-6.5565729999999996E-3</v>
      </c>
      <c r="O3552">
        <v>-1.128325E-2</v>
      </c>
      <c r="P3552">
        <v>0.99486980000000003</v>
      </c>
      <c r="Q3552">
        <v>-9.964336E-2</v>
      </c>
      <c r="R3552">
        <v>-1.7481099999999999E-2</v>
      </c>
      <c r="S3552">
        <v>2.9885250000000001</v>
      </c>
      <c r="T3552">
        <v>-0.25958379999999998</v>
      </c>
      <c r="U3552">
        <v>-5.3207400000000002E-2</v>
      </c>
      <c r="V3552">
        <v>6.2976489999999998E-3</v>
      </c>
      <c r="W3552">
        <v>-9.3114459999999996E-2</v>
      </c>
      <c r="X3552">
        <v>0.99563550000000001</v>
      </c>
      <c r="Y3552">
        <v>6.5281050000000002E-3</v>
      </c>
      <c r="Z3552">
        <v>5.9984989999999896E-4</v>
      </c>
      <c r="AA3552">
        <v>0.99997849999999999</v>
      </c>
      <c r="AB3552">
        <v>28</v>
      </c>
      <c r="AC3552">
        <v>0.55009999999998604</v>
      </c>
      <c r="AD3552">
        <v>-7.2903999999999997E-2</v>
      </c>
      <c r="AE3552">
        <v>-1.2200000000007E-2</v>
      </c>
      <c r="AF3552">
        <v>5.8887960398073501E-3</v>
      </c>
      <c r="AG3552">
        <v>-7.2903999999999997E-2</v>
      </c>
      <c r="AH3552">
        <v>0.54071035852132998</v>
      </c>
      <c r="AI3552">
        <v>97.678434012809205</v>
      </c>
      <c r="AJ3552">
        <v>89.376024862001699</v>
      </c>
      <c r="AK3552">
        <v>0.54563482563621601</v>
      </c>
      <c r="AL3552">
        <v>95.342805212198101</v>
      </c>
      <c r="AM3552">
        <v>89.637594384134104</v>
      </c>
      <c r="AN3552">
        <v>1.0000000059521299</v>
      </c>
    </row>
    <row r="3553" spans="1:40" x14ac:dyDescent="0.25">
      <c r="A3553" t="str">
        <f>"20190303154838999"</f>
        <v>20190303154838999</v>
      </c>
      <c r="B3553" t="str">
        <f>"1551599318994394"</f>
        <v>1551599318994394</v>
      </c>
      <c r="C3553" t="s">
        <v>40</v>
      </c>
      <c r="D3553">
        <v>5.7350789999999998</v>
      </c>
      <c r="E3553">
        <v>0.49979410000000002</v>
      </c>
      <c r="F3553" t="s">
        <v>52</v>
      </c>
      <c r="G3553">
        <v>-370.58659999999998</v>
      </c>
      <c r="H3553" s="1">
        <v>-1.224634E-6</v>
      </c>
      <c r="I3553">
        <v>214.48140000000001</v>
      </c>
      <c r="J3553">
        <v>-383.1388</v>
      </c>
      <c r="K3553">
        <v>1.1198980000000001</v>
      </c>
      <c r="L3553">
        <v>214.70920000000001</v>
      </c>
      <c r="M3553">
        <v>0.99992049999999999</v>
      </c>
      <c r="N3553">
        <v>-6.1934039999999996E-3</v>
      </c>
      <c r="O3553">
        <v>-1.0986299999999999E-2</v>
      </c>
      <c r="P3553">
        <v>0.99489419999999995</v>
      </c>
      <c r="Q3553">
        <v>-9.9419709999999994E-2</v>
      </c>
      <c r="R3553">
        <v>-1.7363679999999999E-2</v>
      </c>
      <c r="S3553">
        <v>2.9884949999999999</v>
      </c>
      <c r="T3553">
        <v>-0.26033089999999998</v>
      </c>
      <c r="U3553">
        <v>-5.3695680000000003E-2</v>
      </c>
      <c r="V3553">
        <v>6.4760919999999897E-3</v>
      </c>
      <c r="W3553">
        <v>-9.3252189999999999E-2</v>
      </c>
      <c r="X3553">
        <v>0.99562139999999999</v>
      </c>
      <c r="Y3553">
        <v>6.9862889999999997E-3</v>
      </c>
      <c r="Z3553">
        <v>5.6181180000000001E-4</v>
      </c>
      <c r="AA3553">
        <v>0.99997539999999996</v>
      </c>
      <c r="AB3553">
        <v>29</v>
      </c>
      <c r="AC3553">
        <v>12.552199999999999</v>
      </c>
      <c r="AD3553">
        <v>-1.119899224634</v>
      </c>
      <c r="AE3553">
        <v>-0.227800000000001</v>
      </c>
      <c r="AF3553">
        <v>8.91717939150376E-2</v>
      </c>
      <c r="AG3553">
        <v>-1.119899224634</v>
      </c>
      <c r="AH3553">
        <v>12.454836135568099</v>
      </c>
      <c r="AI3553">
        <v>95.137905818527102</v>
      </c>
      <c r="AJ3553">
        <v>89.589791460015903</v>
      </c>
      <c r="AK3553">
        <v>12.505401594751699</v>
      </c>
      <c r="AL3553">
        <v>95.350731391708706</v>
      </c>
      <c r="AM3553">
        <v>89.627320679872398</v>
      </c>
      <c r="AN3553">
        <v>0.99999994142267201</v>
      </c>
    </row>
    <row r="3554" spans="1:40" x14ac:dyDescent="0.25">
      <c r="A3554" t="str">
        <f>"20190303154839022"</f>
        <v>20190303154839022</v>
      </c>
      <c r="B3554" t="str">
        <f>"1551599319013913"</f>
        <v>1551599319013913</v>
      </c>
      <c r="C3554" t="s">
        <v>40</v>
      </c>
      <c r="D3554">
        <v>5.7087580000000004</v>
      </c>
      <c r="E3554">
        <v>0.4996179</v>
      </c>
      <c r="F3554" t="s">
        <v>52</v>
      </c>
      <c r="G3554">
        <v>-370.30889999999999</v>
      </c>
      <c r="H3554" s="1">
        <v>-1.3724209999999999E-6</v>
      </c>
      <c r="I3554">
        <v>214.49100000000001</v>
      </c>
      <c r="J3554">
        <v>-382.83890000000002</v>
      </c>
      <c r="K3554">
        <v>1.1198589999999999</v>
      </c>
      <c r="L3554">
        <v>214.7062</v>
      </c>
      <c r="M3554">
        <v>0.99992570000000003</v>
      </c>
      <c r="N3554">
        <v>-5.8606480000000004E-3</v>
      </c>
      <c r="O3554">
        <v>-1.0695339999999999E-2</v>
      </c>
      <c r="P3554">
        <v>0.99491810000000003</v>
      </c>
      <c r="Q3554">
        <v>-9.9189979999999997E-2</v>
      </c>
      <c r="R3554">
        <v>-1.730601E-2</v>
      </c>
      <c r="S3554">
        <v>2.988464</v>
      </c>
      <c r="T3554">
        <v>-0.26085730000000001</v>
      </c>
      <c r="U3554">
        <v>-5.0842289999999998E-2</v>
      </c>
      <c r="V3554">
        <v>6.7083330000000004E-3</v>
      </c>
      <c r="W3554">
        <v>-9.3353489999999997E-2</v>
      </c>
      <c r="X3554">
        <v>0.99561040000000001</v>
      </c>
      <c r="Y3554">
        <v>6.3251459999999898E-3</v>
      </c>
      <c r="Z3554">
        <v>5.7504870000000001E-4</v>
      </c>
      <c r="AA3554">
        <v>0.99997990000000003</v>
      </c>
      <c r="AB3554">
        <v>29</v>
      </c>
      <c r="AC3554">
        <v>12.53</v>
      </c>
      <c r="AD3554">
        <v>-1.1198603724209999</v>
      </c>
      <c r="AE3554">
        <v>-0.21520000000000999</v>
      </c>
      <c r="AF3554">
        <v>8.0529725348794601E-2</v>
      </c>
      <c r="AG3554">
        <v>-1.1198603724209999</v>
      </c>
      <c r="AH3554">
        <v>12.432307831032499</v>
      </c>
      <c r="AI3554">
        <v>95.1470123371694</v>
      </c>
      <c r="AJ3554">
        <v>89.628874307051802</v>
      </c>
      <c r="AK3554">
        <v>12.482902318609099</v>
      </c>
      <c r="AL3554">
        <v>95.356560718690304</v>
      </c>
      <c r="AM3554">
        <v>89.6139520518621</v>
      </c>
      <c r="AN3554">
        <v>0.99999997220748904</v>
      </c>
    </row>
    <row r="3555" spans="1:40" x14ac:dyDescent="0.25">
      <c r="A3555" t="str">
        <f>"20190303154839042"</f>
        <v>20190303154839042</v>
      </c>
      <c r="B3555" t="str">
        <f>"1551599319034411"</f>
        <v>1551599319034411</v>
      </c>
      <c r="C3555" t="s">
        <v>40</v>
      </c>
      <c r="D3555">
        <v>5.7144019999999998</v>
      </c>
      <c r="E3555">
        <v>0.49958180000000002</v>
      </c>
      <c r="F3555" t="s">
        <v>42</v>
      </c>
      <c r="G3555">
        <v>-381.87299999999999</v>
      </c>
      <c r="H3555">
        <v>1.0358959999999999</v>
      </c>
      <c r="I3555">
        <v>214.6901</v>
      </c>
      <c r="J3555">
        <v>-382.57549999999998</v>
      </c>
      <c r="K3555">
        <v>1.1198250000000001</v>
      </c>
      <c r="L3555">
        <v>214.70359999999999</v>
      </c>
      <c r="M3555">
        <v>0.99992999999999999</v>
      </c>
      <c r="N3555">
        <v>-5.5949809999999997E-3</v>
      </c>
      <c r="O3555">
        <v>-1.0440369999999999E-2</v>
      </c>
      <c r="P3555">
        <v>0.99492139999999996</v>
      </c>
      <c r="Q3555">
        <v>-9.9250119999999997E-2</v>
      </c>
      <c r="R3555">
        <v>-1.6772780000000001E-2</v>
      </c>
      <c r="S3555">
        <v>2.988556</v>
      </c>
      <c r="T3555">
        <v>-0.25988749999999999</v>
      </c>
      <c r="U3555">
        <v>-4.8980709999999997E-2</v>
      </c>
      <c r="V3555">
        <v>6.4294360000000002E-3</v>
      </c>
      <c r="W3555">
        <v>-9.3678239999999996E-2</v>
      </c>
      <c r="X3555">
        <v>0.99558170000000001</v>
      </c>
      <c r="Y3555">
        <v>5.957754E-3</v>
      </c>
      <c r="Z3555">
        <v>5.7255000000000001E-4</v>
      </c>
      <c r="AA3555">
        <v>0.99998209999999998</v>
      </c>
      <c r="AB3555">
        <v>29</v>
      </c>
      <c r="AC3555">
        <v>0.70249999999992896</v>
      </c>
      <c r="AD3555">
        <v>-8.3929000000000101E-2</v>
      </c>
      <c r="AE3555">
        <v>-1.3499999999993399E-2</v>
      </c>
      <c r="AF3555">
        <v>6.0780671540171796E-3</v>
      </c>
      <c r="AG3555">
        <v>-8.3929000000000101E-2</v>
      </c>
      <c r="AH3555">
        <v>0.69271876515206698</v>
      </c>
      <c r="AI3555">
        <v>96.907955012395007</v>
      </c>
      <c r="AJ3555">
        <v>89.497287100315205</v>
      </c>
      <c r="AK3555">
        <v>0.69781108298387895</v>
      </c>
      <c r="AL3555">
        <v>95.3752496176036</v>
      </c>
      <c r="AM3555">
        <v>89.629990761739705</v>
      </c>
      <c r="AN3555">
        <v>0.99999993583583002</v>
      </c>
    </row>
    <row r="3556" spans="1:40" x14ac:dyDescent="0.25">
      <c r="A3556" t="str">
        <f>"20190303154839065"</f>
        <v>20190303154839065</v>
      </c>
      <c r="B3556" t="str">
        <f>"1551599319053930"</f>
        <v>1551599319053930</v>
      </c>
      <c r="C3556" t="s">
        <v>40</v>
      </c>
      <c r="D3556">
        <v>5.7074210000000001</v>
      </c>
      <c r="E3556">
        <v>0.49946990000000002</v>
      </c>
      <c r="F3556" t="s">
        <v>42</v>
      </c>
      <c r="G3556">
        <v>-381.61090000000002</v>
      </c>
      <c r="H3556">
        <v>1.0357459999999901</v>
      </c>
      <c r="I3556">
        <v>214.6883</v>
      </c>
      <c r="J3556">
        <v>-382.27170000000001</v>
      </c>
      <c r="K3556">
        <v>1.119799</v>
      </c>
      <c r="L3556">
        <v>214.70079999999999</v>
      </c>
      <c r="M3556">
        <v>0.99993430000000005</v>
      </c>
      <c r="N3556">
        <v>-5.322678E-3</v>
      </c>
      <c r="O3556">
        <v>-1.0146789999999999E-2</v>
      </c>
      <c r="P3556">
        <v>0.99496589999999996</v>
      </c>
      <c r="Q3556">
        <v>-9.8941589999999996E-2</v>
      </c>
      <c r="R3556">
        <v>-1.5920299999999998E-2</v>
      </c>
      <c r="S3556">
        <v>2.9885250000000001</v>
      </c>
      <c r="T3556">
        <v>-0.26052219999999998</v>
      </c>
      <c r="U3556">
        <v>-4.71344E-2</v>
      </c>
      <c r="V3556">
        <v>5.8692469999999898E-3</v>
      </c>
      <c r="W3556">
        <v>-9.3640870000000001E-2</v>
      </c>
      <c r="X3556">
        <v>0.99558869999999999</v>
      </c>
      <c r="Y3556">
        <v>5.6345869999999999E-3</v>
      </c>
      <c r="Z3556">
        <v>5.6872750000000005E-4</v>
      </c>
      <c r="AA3556">
        <v>0.99998399999999998</v>
      </c>
      <c r="AB3556">
        <v>29</v>
      </c>
      <c r="AC3556">
        <v>0.66079999999999395</v>
      </c>
      <c r="AD3556">
        <v>-8.40530000000001E-2</v>
      </c>
      <c r="AE3556">
        <v>-1.24999999999886E-2</v>
      </c>
      <c r="AF3556">
        <v>5.7020388999911601E-3</v>
      </c>
      <c r="AG3556">
        <v>-8.40530000000001E-2</v>
      </c>
      <c r="AH3556">
        <v>0.65037382758791096</v>
      </c>
      <c r="AI3556">
        <v>97.363693150927702</v>
      </c>
      <c r="AJ3556">
        <v>89.497682133967103</v>
      </c>
      <c r="AK3556">
        <v>0.65580754468667601</v>
      </c>
      <c r="AL3556">
        <v>95.3730988901128</v>
      </c>
      <c r="AM3556">
        <v>89.662230812409604</v>
      </c>
      <c r="AN3556">
        <v>0.99999996008119596</v>
      </c>
    </row>
    <row r="3557" spans="1:40" x14ac:dyDescent="0.25">
      <c r="A3557" t="str">
        <f>"20190303154839086"</f>
        <v>20190303154839086</v>
      </c>
      <c r="B3557" t="str">
        <f>"1551599319074426"</f>
        <v>1551599319074426</v>
      </c>
      <c r="C3557" t="s">
        <v>40</v>
      </c>
      <c r="D3557">
        <v>5.6931609999999999</v>
      </c>
      <c r="E3557">
        <v>0.49931629999999999</v>
      </c>
      <c r="F3557" t="s">
        <v>42</v>
      </c>
      <c r="G3557">
        <v>-381.34519999999998</v>
      </c>
      <c r="H3557">
        <v>1.0392920000000001</v>
      </c>
      <c r="I3557">
        <v>214.68690000000001</v>
      </c>
      <c r="J3557">
        <v>-381.99360000000001</v>
      </c>
      <c r="K3557">
        <v>1.1197779999999999</v>
      </c>
      <c r="L3557">
        <v>214.69820000000001</v>
      </c>
      <c r="M3557">
        <v>0.99993840000000001</v>
      </c>
      <c r="N3557">
        <v>-5.1035330000000004E-3</v>
      </c>
      <c r="O3557">
        <v>-9.878642E-3</v>
      </c>
      <c r="P3557">
        <v>0.99497930000000001</v>
      </c>
      <c r="Q3557">
        <v>-9.8934590000000003E-2</v>
      </c>
      <c r="R3557">
        <v>-1.5117159999999999E-2</v>
      </c>
      <c r="S3557">
        <v>2.9886170000000001</v>
      </c>
      <c r="T3557">
        <v>-0.25983040000000002</v>
      </c>
      <c r="U3557">
        <v>-4.374695E-2</v>
      </c>
      <c r="V3557">
        <v>5.333478E-3</v>
      </c>
      <c r="W3557">
        <v>-9.3852249999999998E-2</v>
      </c>
      <c r="X3557">
        <v>0.99557189999999995</v>
      </c>
      <c r="Y3557">
        <v>4.7718159999999999E-3</v>
      </c>
      <c r="Z3557">
        <v>5.8760400000000003E-4</v>
      </c>
      <c r="AA3557">
        <v>0.9999884</v>
      </c>
      <c r="AB3557">
        <v>29</v>
      </c>
      <c r="AC3557">
        <v>0.64840000000003695</v>
      </c>
      <c r="AD3557">
        <v>-8.0486000000000002E-2</v>
      </c>
      <c r="AE3557">
        <v>-1.1300000000005601E-2</v>
      </c>
      <c r="AF3557">
        <v>4.8198125521500997E-3</v>
      </c>
      <c r="AG3557">
        <v>-8.0486000000000002E-2</v>
      </c>
      <c r="AH3557">
        <v>0.63864258301745003</v>
      </c>
      <c r="AI3557">
        <v>97.182725645861396</v>
      </c>
      <c r="AJ3557">
        <v>89.567599026669299</v>
      </c>
      <c r="AK3557">
        <v>0.64371233919526405</v>
      </c>
      <c r="AL3557">
        <v>95.385263162271102</v>
      </c>
      <c r="AM3557">
        <v>89.693057973833604</v>
      </c>
      <c r="AN3557">
        <v>1.0000000494436201</v>
      </c>
    </row>
    <row r="3558" spans="1:40" x14ac:dyDescent="0.25">
      <c r="A3558" t="str">
        <f>"20190303154839109"</f>
        <v>20190303154839109</v>
      </c>
      <c r="B3558" t="str">
        <f>"1551599319104682"</f>
        <v>1551599319104682</v>
      </c>
      <c r="C3558" t="s">
        <v>40</v>
      </c>
      <c r="D3558">
        <v>5.6633490000000002</v>
      </c>
      <c r="E3558">
        <v>0.49915369999999998</v>
      </c>
      <c r="F3558" t="s">
        <v>42</v>
      </c>
      <c r="G3558">
        <v>-381.0797</v>
      </c>
      <c r="H3558">
        <v>1.040068</v>
      </c>
      <c r="I3558">
        <v>214.6859</v>
      </c>
      <c r="J3558">
        <v>-381.68360000000001</v>
      </c>
      <c r="K3558">
        <v>1.119761</v>
      </c>
      <c r="L3558">
        <v>214.69540000000001</v>
      </c>
      <c r="M3558">
        <v>0.9999422</v>
      </c>
      <c r="N3558">
        <v>-4.8938419999999998E-3</v>
      </c>
      <c r="O3558">
        <v>-9.5802590000000007E-3</v>
      </c>
      <c r="P3558">
        <v>0.99500299999999997</v>
      </c>
      <c r="Q3558">
        <v>-9.8820699999999997E-2</v>
      </c>
      <c r="R3558">
        <v>-1.426931E-2</v>
      </c>
      <c r="S3558">
        <v>2.9885860000000002</v>
      </c>
      <c r="T3558">
        <v>-0.26074249999999999</v>
      </c>
      <c r="U3558">
        <v>-4.0267940000000002E-2</v>
      </c>
      <c r="V3558">
        <v>4.7829370000000001E-3</v>
      </c>
      <c r="W3558">
        <v>-9.3947320000000001E-2</v>
      </c>
      <c r="X3558">
        <v>0.9955657</v>
      </c>
      <c r="Y3558">
        <v>3.9092980000000003E-3</v>
      </c>
      <c r="Z3558">
        <v>6.0760529999999999E-4</v>
      </c>
      <c r="AA3558">
        <v>0.9999922</v>
      </c>
      <c r="AB3558">
        <v>29</v>
      </c>
      <c r="AC3558">
        <v>0.60390000000000998</v>
      </c>
      <c r="AD3558">
        <v>-7.9693E-2</v>
      </c>
      <c r="AE3558">
        <v>-9.5000000000027198E-3</v>
      </c>
      <c r="AF3558">
        <v>3.6504222688714602E-3</v>
      </c>
      <c r="AG3558">
        <v>-7.9693E-2</v>
      </c>
      <c r="AH3558">
        <v>0.59362813636372702</v>
      </c>
      <c r="AI3558">
        <v>97.645948494781805</v>
      </c>
      <c r="AJ3558">
        <v>89.647673113262499</v>
      </c>
      <c r="AK3558">
        <v>0.59896466015484795</v>
      </c>
      <c r="AL3558">
        <v>95.390734609197196</v>
      </c>
      <c r="AM3558">
        <v>89.724739416552197</v>
      </c>
      <c r="AN3558">
        <v>1.0000000192189999</v>
      </c>
    </row>
    <row r="3559" spans="1:40" x14ac:dyDescent="0.25">
      <c r="A3559" t="str">
        <f>"20190303154839132"</f>
        <v>20190303154839132</v>
      </c>
      <c r="B3559" t="str">
        <f>"1551599319124202"</f>
        <v>1551599319124202</v>
      </c>
      <c r="C3559" t="s">
        <v>40</v>
      </c>
      <c r="D3559">
        <v>5.7112910000000001</v>
      </c>
      <c r="E3559">
        <v>0.49914940000000002</v>
      </c>
      <c r="F3559" t="s">
        <v>42</v>
      </c>
      <c r="G3559">
        <v>-380.81060000000002</v>
      </c>
      <c r="H3559">
        <v>1.043526</v>
      </c>
      <c r="I3559">
        <v>214.68450000000001</v>
      </c>
      <c r="J3559">
        <v>-381.37529999999998</v>
      </c>
      <c r="K3559">
        <v>1.1197410000000001</v>
      </c>
      <c r="L3559">
        <v>214.69280000000001</v>
      </c>
      <c r="M3559">
        <v>0.9999458</v>
      </c>
      <c r="N3559">
        <v>-4.7180770000000002E-3</v>
      </c>
      <c r="O3559">
        <v>-9.2837579999999996E-3</v>
      </c>
      <c r="P3559">
        <v>0.99500730000000004</v>
      </c>
      <c r="Q3559">
        <v>-9.886412E-2</v>
      </c>
      <c r="R3559">
        <v>-1.365545E-2</v>
      </c>
      <c r="S3559">
        <v>2.9886170000000001</v>
      </c>
      <c r="T3559">
        <v>-0.26109090000000001</v>
      </c>
      <c r="U3559">
        <v>-3.6346440000000001E-2</v>
      </c>
      <c r="V3559">
        <v>4.4648930000000002E-3</v>
      </c>
      <c r="W3559">
        <v>-9.4165860000000004E-2</v>
      </c>
      <c r="X3559">
        <v>0.9955465</v>
      </c>
      <c r="Y3559">
        <v>2.8970329999999998E-3</v>
      </c>
      <c r="Z3559">
        <v>6.3258369999999995E-4</v>
      </c>
      <c r="AA3559">
        <v>0.99999559999999998</v>
      </c>
      <c r="AB3559">
        <v>30</v>
      </c>
      <c r="AC3559">
        <v>0.56469999999995901</v>
      </c>
      <c r="AD3559">
        <v>-7.6214999999999894E-2</v>
      </c>
      <c r="AE3559">
        <v>-8.2999999999913109E-3</v>
      </c>
      <c r="AF3559">
        <v>3.0023675963890399E-3</v>
      </c>
      <c r="AG3559">
        <v>-7.6214999999999894E-2</v>
      </c>
      <c r="AH3559">
        <v>0.55465154813028505</v>
      </c>
      <c r="AI3559">
        <v>97.823935842079706</v>
      </c>
      <c r="AJ3559">
        <v>89.689856970088499</v>
      </c>
      <c r="AK3559">
        <v>0.55987148550315202</v>
      </c>
      <c r="AL3559">
        <v>95.403311948550297</v>
      </c>
      <c r="AM3559">
        <v>89.743037809171796</v>
      </c>
      <c r="AN3559">
        <v>0.99999998906064502</v>
      </c>
    </row>
    <row r="3560" spans="1:40" x14ac:dyDescent="0.25">
      <c r="A3560" t="str">
        <f>"20190303154839154"</f>
        <v>20190303154839154</v>
      </c>
      <c r="B3560" t="str">
        <f>"1551599319144701"</f>
        <v>1551599319144701</v>
      </c>
      <c r="C3560" t="s">
        <v>40</v>
      </c>
      <c r="D3560">
        <v>5.7052189999999996</v>
      </c>
      <c r="E3560">
        <v>0.49909310000000001</v>
      </c>
      <c r="F3560" t="s">
        <v>42</v>
      </c>
      <c r="G3560">
        <v>-380.54070000000002</v>
      </c>
      <c r="H3560">
        <v>1.0466009999999999</v>
      </c>
      <c r="I3560">
        <v>214.68299999999999</v>
      </c>
      <c r="J3560">
        <v>-381.09059999999999</v>
      </c>
      <c r="K3560">
        <v>1.119737</v>
      </c>
      <c r="L3560">
        <v>214.69040000000001</v>
      </c>
      <c r="M3560">
        <v>0.99994899999999998</v>
      </c>
      <c r="N3560">
        <v>-4.5858870000000003E-3</v>
      </c>
      <c r="O3560">
        <v>-9.0102489999999997E-3</v>
      </c>
      <c r="P3560">
        <v>0.99501879999999998</v>
      </c>
      <c r="Q3560">
        <v>-9.8826159999999996E-2</v>
      </c>
      <c r="R3560">
        <v>-1.3089709999999999E-2</v>
      </c>
      <c r="S3560">
        <v>2.9885860000000002</v>
      </c>
      <c r="T3560">
        <v>-0.26204100000000002</v>
      </c>
      <c r="U3560">
        <v>-3.4225459999999999E-2</v>
      </c>
      <c r="V3560">
        <v>4.1715779999999996E-3</v>
      </c>
      <c r="W3560">
        <v>-9.4259609999999994E-2</v>
      </c>
      <c r="X3560">
        <v>0.9955389</v>
      </c>
      <c r="Y3560">
        <v>2.46219E-3</v>
      </c>
      <c r="Z3560">
        <v>6.3383229999999997E-4</v>
      </c>
      <c r="AA3560">
        <v>0.99999680000000002</v>
      </c>
      <c r="AB3560">
        <v>30</v>
      </c>
      <c r="AC3560">
        <v>0.54989999999997896</v>
      </c>
      <c r="AD3560">
        <v>-7.3135999999999798E-2</v>
      </c>
      <c r="AE3560">
        <v>-7.40000000001828E-3</v>
      </c>
      <c r="AF3560">
        <v>2.4024241447503899E-3</v>
      </c>
      <c r="AG3560">
        <v>-7.3135999999999798E-2</v>
      </c>
      <c r="AH3560">
        <v>0.54038735564358598</v>
      </c>
      <c r="AI3560">
        <v>97.707500968046503</v>
      </c>
      <c r="AJ3560">
        <v>89.745279278265599</v>
      </c>
      <c r="AK3560">
        <v>0.545319301214654</v>
      </c>
      <c r="AL3560">
        <v>95.408707428090395</v>
      </c>
      <c r="AM3560">
        <v>89.759916549291503</v>
      </c>
      <c r="AN3560">
        <v>0.99999998877678498</v>
      </c>
    </row>
    <row r="3561" spans="1:40" x14ac:dyDescent="0.25">
      <c r="A3561" t="str">
        <f>"20190303154839175"</f>
        <v>20190303154839175</v>
      </c>
      <c r="B3561" t="str">
        <f>"1551599319164217"</f>
        <v>1551599319164217</v>
      </c>
      <c r="C3561" t="s">
        <v>40</v>
      </c>
      <c r="D3561">
        <v>5.6960069999999998</v>
      </c>
      <c r="E3561">
        <v>0.49910179999999998</v>
      </c>
      <c r="F3561" t="s">
        <v>42</v>
      </c>
      <c r="G3561">
        <v>-380.26549999999997</v>
      </c>
      <c r="H3561">
        <v>1.0472030000000001</v>
      </c>
      <c r="I3561">
        <v>214.68129999999999</v>
      </c>
      <c r="J3561">
        <v>-380.79399999999998</v>
      </c>
      <c r="K3561">
        <v>1.1197299999999999</v>
      </c>
      <c r="L3561">
        <v>214.68799999999999</v>
      </c>
      <c r="M3561">
        <v>0.99995199999999995</v>
      </c>
      <c r="N3561">
        <v>-4.4784689999999997E-3</v>
      </c>
      <c r="O3561">
        <v>-8.7252340000000001E-3</v>
      </c>
      <c r="P3561">
        <v>0.99496669999999998</v>
      </c>
      <c r="Q3561">
        <v>-9.9417839999999993E-2</v>
      </c>
      <c r="R3561">
        <v>-1.2547229999999999E-2</v>
      </c>
      <c r="S3561">
        <v>2.9884339999999998</v>
      </c>
      <c r="T3561">
        <v>-0.26288260000000002</v>
      </c>
      <c r="U3561">
        <v>-3.233337E-2</v>
      </c>
      <c r="V3561">
        <v>3.9144619999999996E-3</v>
      </c>
      <c r="W3561">
        <v>-9.4958580000000001E-2</v>
      </c>
      <c r="X3561">
        <v>0.99547350000000001</v>
      </c>
      <c r="Y3561">
        <v>2.115408E-3</v>
      </c>
      <c r="Z3561">
        <v>6.2940070000000003E-4</v>
      </c>
      <c r="AA3561">
        <v>0.99999760000000004</v>
      </c>
      <c r="AB3561">
        <v>30</v>
      </c>
      <c r="AC3561">
        <v>0.52850000000006403</v>
      </c>
      <c r="AD3561">
        <v>-7.2526999999999703E-2</v>
      </c>
      <c r="AE3561">
        <v>-6.6999999999950398E-3</v>
      </c>
      <c r="AF3561">
        <v>2.0498158922740402E-3</v>
      </c>
      <c r="AG3561">
        <v>-7.2526999999999703E-2</v>
      </c>
      <c r="AH3561">
        <v>0.51877013981598996</v>
      </c>
      <c r="AI3561">
        <v>97.958627764029004</v>
      </c>
      <c r="AJ3561">
        <v>89.773608426584204</v>
      </c>
      <c r="AK3561">
        <v>0.52381945882039804</v>
      </c>
      <c r="AL3561">
        <v>95.448935996576097</v>
      </c>
      <c r="AM3561">
        <v>89.774699180164902</v>
      </c>
      <c r="AN3561">
        <v>0.999999972065307</v>
      </c>
    </row>
    <row r="3562" spans="1:40" x14ac:dyDescent="0.25">
      <c r="A3562" t="str">
        <f>"20190303154839200"</f>
        <v>20190303154839200</v>
      </c>
      <c r="B3562" t="str">
        <f>"1551599319194475"</f>
        <v>1551599319194475</v>
      </c>
      <c r="C3562" t="s">
        <v>40</v>
      </c>
      <c r="D3562">
        <v>5.6987730000000001</v>
      </c>
      <c r="E3562">
        <v>0.49910270000000001</v>
      </c>
      <c r="F3562" t="s">
        <v>52</v>
      </c>
      <c r="G3562">
        <v>-368.15089999999998</v>
      </c>
      <c r="H3562" s="1">
        <v>2.8007199999999998E-6</v>
      </c>
      <c r="I3562">
        <v>214.55850000000001</v>
      </c>
      <c r="J3562">
        <v>-380.47489999999999</v>
      </c>
      <c r="K3562">
        <v>1.1197269999999999</v>
      </c>
      <c r="L3562">
        <v>214.68549999999999</v>
      </c>
      <c r="M3562">
        <v>0.99995489999999998</v>
      </c>
      <c r="N3562">
        <v>-4.3925370000000002E-3</v>
      </c>
      <c r="O3562">
        <v>-8.4192850000000003E-3</v>
      </c>
      <c r="P3562">
        <v>0.99496209999999996</v>
      </c>
      <c r="Q3562">
        <v>-9.9546449999999995E-2</v>
      </c>
      <c r="R3562">
        <v>-1.1864049999999999E-2</v>
      </c>
      <c r="S3562">
        <v>2.9883730000000002</v>
      </c>
      <c r="T3562">
        <v>-0.26466260000000003</v>
      </c>
      <c r="U3562">
        <v>-3.0609129999999998E-2</v>
      </c>
      <c r="V3562">
        <v>3.536417E-3</v>
      </c>
      <c r="W3562">
        <v>-9.5172960000000001E-2</v>
      </c>
      <c r="X3562">
        <v>0.99545450000000002</v>
      </c>
      <c r="Y3562">
        <v>1.8450980000000001E-3</v>
      </c>
      <c r="Z3562">
        <v>6.2163910000000004E-4</v>
      </c>
      <c r="AA3562">
        <v>0.9999981</v>
      </c>
      <c r="AB3562">
        <v>30</v>
      </c>
      <c r="AC3562">
        <v>12.324</v>
      </c>
      <c r="AD3562">
        <v>-1.11972419928</v>
      </c>
      <c r="AE3562">
        <v>-0.12699999999998099</v>
      </c>
      <c r="AF3562">
        <v>2.3045011239225099E-2</v>
      </c>
      <c r="AG3562">
        <v>-1.11972419928</v>
      </c>
      <c r="AH3562">
        <v>12.223735840893401</v>
      </c>
      <c r="AI3562">
        <v>95.233818334776501</v>
      </c>
      <c r="AJ3562">
        <v>89.891982260111504</v>
      </c>
      <c r="AK3562">
        <v>12.2749350818218</v>
      </c>
      <c r="AL3562">
        <v>95.461274631636499</v>
      </c>
      <c r="AM3562">
        <v>89.796453864748202</v>
      </c>
      <c r="AN3562">
        <v>1.0000000300653</v>
      </c>
    </row>
    <row r="3563" spans="1:40" x14ac:dyDescent="0.25">
      <c r="A3563" t="str">
        <f>"20190303154839223"</f>
        <v>20190303154839223</v>
      </c>
      <c r="B3563" t="str">
        <f>"1551599319213994"</f>
        <v>1551599319213994</v>
      </c>
      <c r="C3563" t="s">
        <v>40</v>
      </c>
      <c r="D3563">
        <v>5.7113699999999996</v>
      </c>
      <c r="E3563">
        <v>0.4991139</v>
      </c>
      <c r="F3563" t="s">
        <v>52</v>
      </c>
      <c r="G3563">
        <v>-367.86959999999999</v>
      </c>
      <c r="H3563" s="1">
        <v>2.6510110000000002E-6</v>
      </c>
      <c r="I3563">
        <v>214.56489999999999</v>
      </c>
      <c r="J3563">
        <v>-380.16180000000003</v>
      </c>
      <c r="K3563">
        <v>1.119729</v>
      </c>
      <c r="L3563">
        <v>214.6832</v>
      </c>
      <c r="M3563">
        <v>0.99995769999999995</v>
      </c>
      <c r="N3563">
        <v>-4.3373270000000002E-3</v>
      </c>
      <c r="O3563">
        <v>-8.1188819999999991E-3</v>
      </c>
      <c r="P3563">
        <v>0.99496790000000002</v>
      </c>
      <c r="Q3563">
        <v>-9.9599289999999993E-2</v>
      </c>
      <c r="R3563">
        <v>-1.09043E-2</v>
      </c>
      <c r="S3563">
        <v>2.9882810000000002</v>
      </c>
      <c r="T3563">
        <v>-0.26544669999999998</v>
      </c>
      <c r="U3563">
        <v>-2.861023E-2</v>
      </c>
      <c r="V3563">
        <v>2.8760639999999998E-3</v>
      </c>
      <c r="W3563">
        <v>-9.5281110000000002E-2</v>
      </c>
      <c r="X3563">
        <v>0.99544630000000001</v>
      </c>
      <c r="Y3563">
        <v>1.4776189999999999E-3</v>
      </c>
      <c r="Z3563">
        <v>6.1589049999999997E-4</v>
      </c>
      <c r="AA3563">
        <v>0.99999870000000002</v>
      </c>
      <c r="AB3563">
        <v>30</v>
      </c>
      <c r="AC3563">
        <v>12.292199999999999</v>
      </c>
      <c r="AD3563">
        <v>-1.1197263489889999</v>
      </c>
      <c r="AE3563">
        <v>-0.118300000000004</v>
      </c>
      <c r="AF3563">
        <v>1.8344045678532199E-2</v>
      </c>
      <c r="AG3563">
        <v>-1.1197263489889999</v>
      </c>
      <c r="AH3563">
        <v>12.1916008619488</v>
      </c>
      <c r="AI3563">
        <v>95.247550255504194</v>
      </c>
      <c r="AJ3563">
        <v>89.913790189220407</v>
      </c>
      <c r="AK3563">
        <v>12.242926740681799</v>
      </c>
      <c r="AL3563">
        <v>95.467499354801006</v>
      </c>
      <c r="AM3563">
        <v>89.834460311632498</v>
      </c>
      <c r="AN3563">
        <v>1.00000004892532</v>
      </c>
    </row>
    <row r="3564" spans="1:40" x14ac:dyDescent="0.25">
      <c r="A3564" t="str">
        <f>"20190303154839245"</f>
        <v>20190303154839245</v>
      </c>
      <c r="B3564" t="str">
        <f>"1551599319234490"</f>
        <v>1551599319234490</v>
      </c>
      <c r="C3564" t="s">
        <v>40</v>
      </c>
      <c r="D3564">
        <v>5.7107409999999996</v>
      </c>
      <c r="E3564">
        <v>0.49914140000000001</v>
      </c>
      <c r="F3564" t="s">
        <v>42</v>
      </c>
      <c r="G3564">
        <v>-379.19600000000003</v>
      </c>
      <c r="H3564">
        <v>1.033812</v>
      </c>
      <c r="I3564">
        <v>214.67449999999999</v>
      </c>
      <c r="J3564">
        <v>-379.87099999999998</v>
      </c>
      <c r="K3564">
        <v>1.119731</v>
      </c>
      <c r="L3564">
        <v>214.68109999999999</v>
      </c>
      <c r="M3564">
        <v>0.99996010000000002</v>
      </c>
      <c r="N3564">
        <v>-4.3067619999999996E-3</v>
      </c>
      <c r="O3564">
        <v>-7.8403420000000001E-3</v>
      </c>
      <c r="P3564">
        <v>0.99503520000000001</v>
      </c>
      <c r="Q3564">
        <v>-9.9013169999999998E-2</v>
      </c>
      <c r="R3564">
        <v>-1.006952E-2</v>
      </c>
      <c r="S3564">
        <v>2.988251</v>
      </c>
      <c r="T3564">
        <v>-0.26603470000000001</v>
      </c>
      <c r="U3564">
        <v>-2.5833129999999999E-2</v>
      </c>
      <c r="V3564">
        <v>2.318241E-3</v>
      </c>
      <c r="W3564">
        <v>-9.4725470000000006E-2</v>
      </c>
      <c r="X3564">
        <v>0.99550070000000002</v>
      </c>
      <c r="Y3564">
        <v>8.2883169999999995E-4</v>
      </c>
      <c r="Z3564">
        <v>6.2428729999999995E-4</v>
      </c>
      <c r="AA3564">
        <v>0.99999950000000004</v>
      </c>
      <c r="AB3564">
        <v>30</v>
      </c>
      <c r="AC3564">
        <v>0.67500000000001104</v>
      </c>
      <c r="AD3564">
        <v>-8.5918999999999801E-2</v>
      </c>
      <c r="AE3564">
        <v>-6.5999999999917201E-3</v>
      </c>
      <c r="AF3564">
        <v>1.28667300049859E-3</v>
      </c>
      <c r="AG3564">
        <v>-8.5918999999999801E-2</v>
      </c>
      <c r="AH3564">
        <v>0.66426947849168905</v>
      </c>
      <c r="AI3564">
        <v>97.369910949939197</v>
      </c>
      <c r="AJ3564">
        <v>89.889019678410406</v>
      </c>
      <c r="AK3564">
        <v>0.66980420284142095</v>
      </c>
      <c r="AL3564">
        <v>95.435519330445004</v>
      </c>
      <c r="AM3564">
        <v>89.866574493524695</v>
      </c>
      <c r="AN3564">
        <v>0.99999996630427102</v>
      </c>
    </row>
    <row r="3565" spans="1:40" x14ac:dyDescent="0.25">
      <c r="A3565" t="str">
        <f>"20190303154839265"</f>
        <v>20190303154839265</v>
      </c>
      <c r="B3565" t="str">
        <f>"1551599319254010"</f>
        <v>1551599319254010</v>
      </c>
      <c r="C3565" t="s">
        <v>40</v>
      </c>
      <c r="D3565">
        <v>5.7361430000000002</v>
      </c>
      <c r="E3565">
        <v>0.49909920000000002</v>
      </c>
      <c r="F3565" t="s">
        <v>42</v>
      </c>
      <c r="G3565">
        <v>-378.92079999999999</v>
      </c>
      <c r="H3565">
        <v>1.0356639999999999</v>
      </c>
      <c r="I3565">
        <v>214.67349999999999</v>
      </c>
      <c r="J3565">
        <v>-379.57979999999998</v>
      </c>
      <c r="K3565">
        <v>1.1197360000000001</v>
      </c>
      <c r="L3565">
        <v>214.67910000000001</v>
      </c>
      <c r="M3565">
        <v>0.99996229999999997</v>
      </c>
      <c r="N3565">
        <v>-4.2918590000000003E-3</v>
      </c>
      <c r="O3565">
        <v>-7.5614760000000001E-3</v>
      </c>
      <c r="P3565">
        <v>0.99509000000000003</v>
      </c>
      <c r="Q3565">
        <v>-9.8492460000000004E-2</v>
      </c>
      <c r="R3565">
        <v>-9.7616330000000005E-3</v>
      </c>
      <c r="S3565">
        <v>2.988464</v>
      </c>
      <c r="T3565">
        <v>-0.26445770000000002</v>
      </c>
      <c r="U3565">
        <v>-2.3544309999999999E-2</v>
      </c>
      <c r="V3565">
        <v>2.2876810000000002E-3</v>
      </c>
      <c r="W3565">
        <v>-9.4219360000000002E-2</v>
      </c>
      <c r="X3565">
        <v>0.99554880000000001</v>
      </c>
      <c r="Y3565">
        <v>3.419664E-4</v>
      </c>
      <c r="Z3565">
        <v>6.1958249999999999E-4</v>
      </c>
      <c r="AA3565">
        <v>0.99999979999999999</v>
      </c>
      <c r="AB3565">
        <v>31</v>
      </c>
      <c r="AC3565">
        <v>0.65899999999999104</v>
      </c>
      <c r="AD3565">
        <v>-8.4072000000000105E-2</v>
      </c>
      <c r="AE3565">
        <v>-5.6000000000153696E-3</v>
      </c>
      <c r="AF3565">
        <v>6.0690490304458596E-4</v>
      </c>
      <c r="AG3565">
        <v>-8.4072000000000105E-2</v>
      </c>
      <c r="AH3565">
        <v>0.64847014931052205</v>
      </c>
      <c r="AI3565">
        <v>97.387000551031306</v>
      </c>
      <c r="AJ3565">
        <v>89.9463767462627</v>
      </c>
      <c r="AK3565">
        <v>0.65389754859945204</v>
      </c>
      <c r="AL3565">
        <v>95.406391080469504</v>
      </c>
      <c r="AM3565">
        <v>89.868339718288993</v>
      </c>
      <c r="AN3565">
        <v>0.999999967232303</v>
      </c>
    </row>
    <row r="3566" spans="1:40" x14ac:dyDescent="0.25">
      <c r="A3566" t="str">
        <f>"20190303154839288"</f>
        <v>20190303154839288</v>
      </c>
      <c r="B3566" t="str">
        <f>"1551599319284266"</f>
        <v>1551599319284266</v>
      </c>
      <c r="C3566" t="s">
        <v>40</v>
      </c>
      <c r="D3566">
        <v>5.728726</v>
      </c>
      <c r="E3566">
        <v>0.49903199999999998</v>
      </c>
      <c r="F3566" t="s">
        <v>42</v>
      </c>
      <c r="G3566">
        <v>-378.64429999999999</v>
      </c>
      <c r="H3566">
        <v>1.037196</v>
      </c>
      <c r="I3566">
        <v>214.67189999999999</v>
      </c>
      <c r="J3566">
        <v>-379.26519999999999</v>
      </c>
      <c r="K3566">
        <v>1.1197349999999999</v>
      </c>
      <c r="L3566">
        <v>214.67699999999999</v>
      </c>
      <c r="M3566">
        <v>0.99996470000000004</v>
      </c>
      <c r="N3566">
        <v>-4.2898600000000004E-3</v>
      </c>
      <c r="O3566">
        <v>-7.2602209999999999E-3</v>
      </c>
      <c r="P3566">
        <v>0.99508450000000004</v>
      </c>
      <c r="Q3566">
        <v>-9.8543619999999998E-2</v>
      </c>
      <c r="R3566">
        <v>-9.8331949999999994E-3</v>
      </c>
      <c r="S3566">
        <v>2.9885250000000001</v>
      </c>
      <c r="T3566">
        <v>-0.26377009999999901</v>
      </c>
      <c r="U3566">
        <v>-2.233887E-2</v>
      </c>
      <c r="V3566">
        <v>2.6595149999999999E-3</v>
      </c>
      <c r="W3566">
        <v>-9.4272300000000003E-2</v>
      </c>
      <c r="X3566">
        <v>0.99554290000000001</v>
      </c>
      <c r="Y3566">
        <v>2.389607E-4</v>
      </c>
      <c r="Z3566">
        <v>5.9740689999999996E-4</v>
      </c>
      <c r="AA3566">
        <v>0.99999979999999999</v>
      </c>
      <c r="AB3566">
        <v>31</v>
      </c>
      <c r="AC3566">
        <v>0.620900000000006</v>
      </c>
      <c r="AD3566">
        <v>-8.2539000000000098E-2</v>
      </c>
      <c r="AE3566">
        <v>-5.1000000000271904E-3</v>
      </c>
      <c r="AF3566">
        <v>5.8167561878690098E-4</v>
      </c>
      <c r="AG3566">
        <v>-8.2539000000000098E-2</v>
      </c>
      <c r="AH3566">
        <v>0.610139272634179</v>
      </c>
      <c r="AI3566">
        <v>97.704140303037093</v>
      </c>
      <c r="AJ3566">
        <v>89.945377146825095</v>
      </c>
      <c r="AK3566">
        <v>0.61569713080222399</v>
      </c>
      <c r="AL3566">
        <v>95.409437688397205</v>
      </c>
      <c r="AM3566">
        <v>89.8469391700052</v>
      </c>
      <c r="AN3566">
        <v>1.00000000265386</v>
      </c>
    </row>
    <row r="3567" spans="1:40" x14ac:dyDescent="0.25">
      <c r="A3567" t="str">
        <f>"20190303154839312"</f>
        <v>20190303154839312</v>
      </c>
      <c r="B3567" t="str">
        <f>"1551599319303786"</f>
        <v>1551599319303786</v>
      </c>
      <c r="C3567" t="s">
        <v>40</v>
      </c>
      <c r="D3567">
        <v>5.7536639999999997</v>
      </c>
      <c r="E3567">
        <v>0.49901849999999998</v>
      </c>
      <c r="F3567" t="s">
        <v>42</v>
      </c>
      <c r="G3567">
        <v>-378.36540000000002</v>
      </c>
      <c r="H3567">
        <v>1.0398459999999901</v>
      </c>
      <c r="I3567">
        <v>214.6703</v>
      </c>
      <c r="J3567">
        <v>-378.93579999999997</v>
      </c>
      <c r="K3567">
        <v>1.1197349999999999</v>
      </c>
      <c r="L3567">
        <v>214.67490000000001</v>
      </c>
      <c r="M3567">
        <v>0.99996669999999999</v>
      </c>
      <c r="N3567">
        <v>-4.3007690000000003E-3</v>
      </c>
      <c r="O3567">
        <v>-6.9444469999999899E-3</v>
      </c>
      <c r="P3567">
        <v>0.99511349999999998</v>
      </c>
      <c r="Q3567">
        <v>-9.8220020000000005E-2</v>
      </c>
      <c r="R3567">
        <v>-1.0110279999999999E-2</v>
      </c>
      <c r="S3567">
        <v>2.9883419999999998</v>
      </c>
      <c r="T3567">
        <v>-0.26535059999999999</v>
      </c>
      <c r="U3567">
        <v>-2.191162E-2</v>
      </c>
      <c r="V3567">
        <v>3.2510019999999998E-3</v>
      </c>
      <c r="W3567">
        <v>-9.3937370000000006E-2</v>
      </c>
      <c r="X3567">
        <v>0.99557280000000004</v>
      </c>
      <c r="Y3567">
        <v>4.1071180000000002E-4</v>
      </c>
      <c r="Z3567">
        <v>5.6651300000000004E-4</v>
      </c>
      <c r="AA3567">
        <v>0.99999979999999999</v>
      </c>
      <c r="AB3567">
        <v>31</v>
      </c>
      <c r="AC3567">
        <v>0.57039999999994895</v>
      </c>
      <c r="AD3567">
        <v>-7.9889000000000293E-2</v>
      </c>
      <c r="AE3567">
        <v>-4.6000000000105904E-3</v>
      </c>
      <c r="AF3567">
        <v>6.2645230311624402E-4</v>
      </c>
      <c r="AG3567">
        <v>-7.9889000000000293E-2</v>
      </c>
      <c r="AH3567">
        <v>0.55944472315781402</v>
      </c>
      <c r="AI3567">
        <v>98.126918199289705</v>
      </c>
      <c r="AJ3567">
        <v>89.935841636274304</v>
      </c>
      <c r="AK3567">
        <v>0.56512037924022096</v>
      </c>
      <c r="AL3567">
        <v>95.390162091540603</v>
      </c>
      <c r="AM3567">
        <v>89.812903655344897</v>
      </c>
      <c r="AN3567">
        <v>0.99999999929817995</v>
      </c>
    </row>
    <row r="3568" spans="1:40" x14ac:dyDescent="0.25">
      <c r="A3568" t="str">
        <f>"20190303154839334"</f>
        <v>20190303154839334</v>
      </c>
      <c r="B3568" t="str">
        <f>"1551599319324282"</f>
        <v>1551599319324282</v>
      </c>
      <c r="C3568" t="s">
        <v>40</v>
      </c>
      <c r="D3568">
        <v>5.7683540000000004</v>
      </c>
      <c r="E3568">
        <v>0.498998</v>
      </c>
      <c r="F3568" t="s">
        <v>42</v>
      </c>
      <c r="G3568">
        <v>-378.0838</v>
      </c>
      <c r="H3568">
        <v>1.044319</v>
      </c>
      <c r="I3568">
        <v>214.66810000000001</v>
      </c>
      <c r="J3568">
        <v>-378.63619999999997</v>
      </c>
      <c r="K3568">
        <v>1.11974</v>
      </c>
      <c r="L3568">
        <v>214.67310000000001</v>
      </c>
      <c r="M3568">
        <v>0.99996859999999999</v>
      </c>
      <c r="N3568">
        <v>-4.3220610000000003E-3</v>
      </c>
      <c r="O3568">
        <v>-6.6576609999999996E-3</v>
      </c>
      <c r="P3568">
        <v>0.99513750000000001</v>
      </c>
      <c r="Q3568">
        <v>-9.7968570000000005E-2</v>
      </c>
      <c r="R3568">
        <v>-1.018617E-2</v>
      </c>
      <c r="S3568">
        <v>2.9884029999999999</v>
      </c>
      <c r="T3568">
        <v>-0.26471670000000003</v>
      </c>
      <c r="U3568">
        <v>-2.2735600000000002E-2</v>
      </c>
      <c r="V3568">
        <v>3.6124059999999999E-3</v>
      </c>
      <c r="W3568">
        <v>-9.3664410000000003E-2</v>
      </c>
      <c r="X3568">
        <v>0.99559719999999996</v>
      </c>
      <c r="Y3568">
        <v>9.6962480000000004E-4</v>
      </c>
      <c r="Z3568">
        <v>5.1489479999999995E-4</v>
      </c>
      <c r="AA3568">
        <v>0.99999939999999998</v>
      </c>
      <c r="AB3568">
        <v>31</v>
      </c>
      <c r="AC3568">
        <v>0.55239999999997702</v>
      </c>
      <c r="AD3568">
        <v>-7.5420999999999905E-2</v>
      </c>
      <c r="AE3568">
        <v>-4.9999999999954499E-3</v>
      </c>
      <c r="AF3568">
        <v>1.2979693648997399E-3</v>
      </c>
      <c r="AG3568">
        <v>-7.5420999999999905E-2</v>
      </c>
      <c r="AH3568">
        <v>0.54231244096634701</v>
      </c>
      <c r="AI3568">
        <v>97.917487330689795</v>
      </c>
      <c r="AJ3568">
        <v>89.862868673247405</v>
      </c>
      <c r="AK3568">
        <v>0.54753337395299495</v>
      </c>
      <c r="AL3568">
        <v>95.374453760195706</v>
      </c>
      <c r="AM3568">
        <v>89.792109992468198</v>
      </c>
      <c r="AN3568">
        <v>0.99999992791279502</v>
      </c>
    </row>
    <row r="3569" spans="1:40" x14ac:dyDescent="0.25">
      <c r="A3569" t="str">
        <f>"20190303154839355"</f>
        <v>20190303154839355</v>
      </c>
      <c r="B3569" t="str">
        <f>"1551599319343802"</f>
        <v>1551599319343802</v>
      </c>
      <c r="C3569" t="s">
        <v>40</v>
      </c>
      <c r="D3569">
        <v>5.7409970000000001</v>
      </c>
      <c r="E3569">
        <v>0.49892890000000001</v>
      </c>
      <c r="F3569" t="s">
        <v>42</v>
      </c>
      <c r="G3569">
        <v>-377.80340000000001</v>
      </c>
      <c r="H3569">
        <v>1.0459799999999999</v>
      </c>
      <c r="I3569">
        <v>214.66679999999999</v>
      </c>
      <c r="J3569">
        <v>-378.33499999999998</v>
      </c>
      <c r="K3569">
        <v>1.1197360000000001</v>
      </c>
      <c r="L3569">
        <v>214.67140000000001</v>
      </c>
      <c r="M3569">
        <v>0.99997029999999998</v>
      </c>
      <c r="N3569">
        <v>-4.3523520000000003E-3</v>
      </c>
      <c r="O3569">
        <v>-6.369581E-3</v>
      </c>
      <c r="P3569">
        <v>0.99512639999999997</v>
      </c>
      <c r="Q3569">
        <v>-9.8065689999999997E-2</v>
      </c>
      <c r="R3569">
        <v>-1.035208E-2</v>
      </c>
      <c r="S3569">
        <v>2.9884029999999999</v>
      </c>
      <c r="T3569">
        <v>-0.26466009999999901</v>
      </c>
      <c r="U3569">
        <v>-2.2735600000000002E-2</v>
      </c>
      <c r="V3569">
        <v>4.0654460000000003E-3</v>
      </c>
      <c r="W3569">
        <v>-9.3731159999999994E-2</v>
      </c>
      <c r="X3569">
        <v>0.99558930000000001</v>
      </c>
      <c r="Y3569">
        <v>1.2554930000000001E-3</v>
      </c>
      <c r="Z3569">
        <v>4.7709480000000001E-4</v>
      </c>
      <c r="AA3569">
        <v>0.99999910000000003</v>
      </c>
      <c r="AB3569">
        <v>31</v>
      </c>
      <c r="AC3569">
        <v>0.53159999999996899</v>
      </c>
      <c r="AD3569">
        <v>-7.3756000000000099E-2</v>
      </c>
      <c r="AE3569">
        <v>-4.6000000000105904E-3</v>
      </c>
      <c r="AF3569">
        <v>1.19088307901877E-3</v>
      </c>
      <c r="AG3569">
        <v>-7.3756000000000099E-2</v>
      </c>
      <c r="AH3569">
        <v>0.52157900985007599</v>
      </c>
      <c r="AI3569">
        <v>98.048755830771995</v>
      </c>
      <c r="AJ3569">
        <v>89.869180978404302</v>
      </c>
      <c r="AK3569">
        <v>0.52676942703111895</v>
      </c>
      <c r="AL3569">
        <v>95.378294461035594</v>
      </c>
      <c r="AM3569">
        <v>89.766036454025596</v>
      </c>
      <c r="AN3569">
        <v>1.0000000562403</v>
      </c>
    </row>
    <row r="3570" spans="1:40" x14ac:dyDescent="0.25">
      <c r="A3570" t="str">
        <f>"20190303154839377"</f>
        <v>20190303154839377</v>
      </c>
      <c r="B3570" t="str">
        <f>"1551599319374058"</f>
        <v>1551599319374058</v>
      </c>
      <c r="C3570" t="s">
        <v>40</v>
      </c>
      <c r="D3570">
        <v>5.7964209999999996</v>
      </c>
      <c r="E3570">
        <v>0.49888850000000001</v>
      </c>
      <c r="F3570" t="s">
        <v>42</v>
      </c>
      <c r="G3570">
        <v>-377.5179</v>
      </c>
      <c r="H3570">
        <v>1.0470870000000001</v>
      </c>
      <c r="I3570">
        <v>214.66489999999999</v>
      </c>
      <c r="J3570">
        <v>-378.01799999999997</v>
      </c>
      <c r="K3570">
        <v>1.1197330000000001</v>
      </c>
      <c r="L3570">
        <v>214.6696</v>
      </c>
      <c r="M3570">
        <v>0.99997199999999997</v>
      </c>
      <c r="N3570">
        <v>-4.3910329999999999E-3</v>
      </c>
      <c r="O3570">
        <v>-6.0667339999999998E-3</v>
      </c>
      <c r="P3570">
        <v>0.9951004</v>
      </c>
      <c r="Q3570">
        <v>-9.8295069999999998E-2</v>
      </c>
      <c r="R3570">
        <v>-1.063512E-2</v>
      </c>
      <c r="S3570">
        <v>2.9882810000000002</v>
      </c>
      <c r="T3570">
        <v>-0.265816</v>
      </c>
      <c r="U3570">
        <v>-2.2567750000000001E-2</v>
      </c>
      <c r="V3570">
        <v>4.6509680000000001E-3</v>
      </c>
      <c r="W3570">
        <v>-9.3921809999999994E-2</v>
      </c>
      <c r="X3570">
        <v>0.99556869999999997</v>
      </c>
      <c r="Y3570">
        <v>1.5005379999999901E-3</v>
      </c>
      <c r="Z3570">
        <v>4.4207980000000001E-4</v>
      </c>
      <c r="AA3570">
        <v>0.99999870000000002</v>
      </c>
      <c r="AB3570">
        <v>31</v>
      </c>
      <c r="AC3570">
        <v>0.50010000000003096</v>
      </c>
      <c r="AD3570">
        <v>-7.2645999999999905E-2</v>
      </c>
      <c r="AE3570">
        <v>-4.7000000000139101E-3</v>
      </c>
      <c r="AF3570">
        <v>1.6314872147014099E-3</v>
      </c>
      <c r="AG3570">
        <v>-7.2645999999999905E-2</v>
      </c>
      <c r="AH3570">
        <v>0.48978510904869899</v>
      </c>
      <c r="AI3570">
        <v>98.4366803457104</v>
      </c>
      <c r="AJ3570">
        <v>89.809146941640407</v>
      </c>
      <c r="AK3570">
        <v>0.49514599474536503</v>
      </c>
      <c r="AL3570">
        <v>95.3892666757651</v>
      </c>
      <c r="AM3570">
        <v>89.732334997602393</v>
      </c>
      <c r="AN3570">
        <v>0.99999998715835103</v>
      </c>
    </row>
    <row r="3571" spans="1:40" x14ac:dyDescent="0.25">
      <c r="A3571" t="str">
        <f>"20190303154839414"</f>
        <v>20190303154839414</v>
      </c>
      <c r="B3571" t="str">
        <f>"1551599319404314"</f>
        <v>1551599319404314</v>
      </c>
      <c r="C3571" t="s">
        <v>40</v>
      </c>
      <c r="D3571">
        <v>5.7694070000000002</v>
      </c>
      <c r="E3571">
        <v>0.4987915</v>
      </c>
      <c r="F3571" t="s">
        <v>52</v>
      </c>
      <c r="G3571">
        <v>-365.53199999999998</v>
      </c>
      <c r="H3571" s="1">
        <v>1.407059E-6</v>
      </c>
      <c r="I3571">
        <v>214.57249999999999</v>
      </c>
      <c r="J3571">
        <v>-377.50940000000003</v>
      </c>
      <c r="K3571">
        <v>1.1197299999999999</v>
      </c>
      <c r="L3571">
        <v>214.6671</v>
      </c>
      <c r="M3571">
        <v>0.99997449999999999</v>
      </c>
      <c r="N3571">
        <v>-4.4647300000000001E-3</v>
      </c>
      <c r="O3571">
        <v>-5.5813219999999997E-3</v>
      </c>
      <c r="P3571">
        <v>0.9950251</v>
      </c>
      <c r="Q3571">
        <v>-9.9160609999999996E-2</v>
      </c>
      <c r="R3571">
        <v>-9.6162339999999995E-3</v>
      </c>
      <c r="S3571">
        <v>2.9880680000000002</v>
      </c>
      <c r="T3571">
        <v>-0.26796579999999998</v>
      </c>
      <c r="U3571">
        <v>-2.325439E-2</v>
      </c>
      <c r="V3571">
        <v>4.1167840000000001E-3</v>
      </c>
      <c r="W3571">
        <v>-9.4714580000000007E-2</v>
      </c>
      <c r="X3571">
        <v>0.99549600000000005</v>
      </c>
      <c r="Y3571">
        <v>2.2117560000000001E-3</v>
      </c>
      <c r="Z3571">
        <v>3.707176E-4</v>
      </c>
      <c r="AA3571">
        <v>0.99999749999999998</v>
      </c>
      <c r="AB3571">
        <v>31</v>
      </c>
      <c r="AC3571">
        <v>11.977399999999999</v>
      </c>
      <c r="AD3571">
        <v>-1.1197285929409999</v>
      </c>
      <c r="AE3571">
        <v>-9.4600000000014006E-2</v>
      </c>
      <c r="AF3571">
        <v>2.7507740390213399E-2</v>
      </c>
      <c r="AG3571">
        <v>-1.1197285929409999</v>
      </c>
      <c r="AH3571">
        <v>11.8739720253078</v>
      </c>
      <c r="AI3571">
        <v>95.387109521646806</v>
      </c>
      <c r="AJ3571">
        <v>89.867266437428199</v>
      </c>
      <c r="AK3571">
        <v>11.926682709597999</v>
      </c>
      <c r="AL3571">
        <v>95.434892144427494</v>
      </c>
      <c r="AM3571">
        <v>89.763059817648596</v>
      </c>
      <c r="AN3571">
        <v>1.00000004279553</v>
      </c>
    </row>
    <row r="3572" spans="1:40" x14ac:dyDescent="0.25">
      <c r="A3572" t="str">
        <f>"20190303154839433"</f>
        <v>20190303154839433</v>
      </c>
      <c r="B3572" t="str">
        <f>"1551599319423834"</f>
        <v>1551599319423834</v>
      </c>
      <c r="C3572" t="s">
        <v>40</v>
      </c>
      <c r="D3572">
        <v>5.8331999999999997</v>
      </c>
      <c r="E3572">
        <v>0.49875750000000002</v>
      </c>
      <c r="F3572" t="s">
        <v>42</v>
      </c>
      <c r="G3572">
        <v>-376.67860000000002</v>
      </c>
      <c r="H3572">
        <v>1.04409</v>
      </c>
      <c r="I3572">
        <v>214.66159999999999</v>
      </c>
      <c r="J3572">
        <v>-377.23180000000002</v>
      </c>
      <c r="K3572">
        <v>1.119723</v>
      </c>
      <c r="L3572">
        <v>214.66579999999999</v>
      </c>
      <c r="M3572">
        <v>0.99997570000000002</v>
      </c>
      <c r="N3572">
        <v>-4.5111680000000003E-3</v>
      </c>
      <c r="O3572">
        <v>-5.3161650000000003E-3</v>
      </c>
      <c r="P3572">
        <v>0.99498350000000002</v>
      </c>
      <c r="Q3572">
        <v>-9.9593020000000004E-2</v>
      </c>
      <c r="R3572">
        <v>-9.4378940000000005E-3</v>
      </c>
      <c r="S3572">
        <v>2.9877319999999998</v>
      </c>
      <c r="T3572">
        <v>-0.272065</v>
      </c>
      <c r="U3572">
        <v>-1.9378659999999999E-2</v>
      </c>
      <c r="V3572">
        <v>4.2030490000000004E-3</v>
      </c>
      <c r="W3572">
        <v>-9.5100889999999993E-2</v>
      </c>
      <c r="X3572">
        <v>0.99545879999999998</v>
      </c>
      <c r="Y3572">
        <v>1.184467E-3</v>
      </c>
      <c r="Z3572">
        <v>4.0265569999999999E-4</v>
      </c>
      <c r="AA3572">
        <v>0.99999919999999998</v>
      </c>
      <c r="AB3572">
        <v>32</v>
      </c>
      <c r="AC3572">
        <v>0.55320000000000302</v>
      </c>
      <c r="AD3572">
        <v>-7.5633000000000006E-2</v>
      </c>
      <c r="AE3572">
        <v>-4.1999999999973101E-3</v>
      </c>
      <c r="AF3572">
        <v>1.23590787133837E-3</v>
      </c>
      <c r="AG3572">
        <v>-7.5633000000000006E-2</v>
      </c>
      <c r="AH3572">
        <v>0.54306408265010597</v>
      </c>
      <c r="AI3572">
        <v>97.928612275788197</v>
      </c>
      <c r="AJ3572">
        <v>89.869606212406694</v>
      </c>
      <c r="AK3572">
        <v>0.54830691772206097</v>
      </c>
      <c r="AL3572">
        <v>95.457126489976602</v>
      </c>
      <c r="AM3572">
        <v>89.758085881832599</v>
      </c>
      <c r="AN3572">
        <v>1.0000000336985599</v>
      </c>
    </row>
    <row r="3573" spans="1:40" x14ac:dyDescent="0.25">
      <c r="A3573" t="str">
        <f>"20190303154839455"</f>
        <v>20190303154839455</v>
      </c>
      <c r="B3573" t="str">
        <f>"1551599319444329"</f>
        <v>1551599319444329</v>
      </c>
      <c r="C3573" t="s">
        <v>40</v>
      </c>
      <c r="D3573">
        <v>5.8679709999999998</v>
      </c>
      <c r="E3573">
        <v>0.52254460000000003</v>
      </c>
      <c r="F3573" t="s">
        <v>42</v>
      </c>
      <c r="G3573">
        <v>-376.3954</v>
      </c>
      <c r="H3573">
        <v>1.0428770000000001</v>
      </c>
      <c r="I3573">
        <v>214.66030000000001</v>
      </c>
      <c r="J3573">
        <v>-376.91550000000001</v>
      </c>
      <c r="K3573">
        <v>1.1197269999999999</v>
      </c>
      <c r="L3573">
        <v>214.6644</v>
      </c>
      <c r="M3573">
        <v>0.999977</v>
      </c>
      <c r="N3573">
        <v>-4.5715809999999999E-3</v>
      </c>
      <c r="O3573">
        <v>-5.0143189999999997E-3</v>
      </c>
      <c r="P3573">
        <v>0.99487029999999999</v>
      </c>
      <c r="Q3573">
        <v>-0.10075580000000001</v>
      </c>
      <c r="R3573">
        <v>-9.0146310000000004E-3</v>
      </c>
      <c r="S3573">
        <v>2.987457</v>
      </c>
      <c r="T3573">
        <v>-0.27456459999999999</v>
      </c>
      <c r="U3573">
        <v>-1.844788E-2</v>
      </c>
      <c r="V3573">
        <v>4.0819339999999997E-3</v>
      </c>
      <c r="W3573">
        <v>-9.6204100000000001E-2</v>
      </c>
      <c r="X3573">
        <v>0.9953533</v>
      </c>
      <c r="Y3573">
        <v>1.174523E-3</v>
      </c>
      <c r="Z3573">
        <v>3.8044130000000002E-4</v>
      </c>
      <c r="AA3573">
        <v>0.99999919999999998</v>
      </c>
      <c r="AB3573">
        <v>32</v>
      </c>
      <c r="AC3573">
        <v>0.520100000000013</v>
      </c>
      <c r="AD3573">
        <v>-7.6850000000000002E-2</v>
      </c>
      <c r="AE3573">
        <v>-4.0999999999939904E-3</v>
      </c>
      <c r="AF3573">
        <v>1.4600975715494101E-3</v>
      </c>
      <c r="AG3573">
        <v>-7.6850000000000002E-2</v>
      </c>
      <c r="AH3573">
        <v>0.50900166158612603</v>
      </c>
      <c r="AI3573">
        <v>98.5857394510776</v>
      </c>
      <c r="AJ3573">
        <v>89.835644546214894</v>
      </c>
      <c r="AK3573">
        <v>0.51477251857724005</v>
      </c>
      <c r="AL3573">
        <v>95.520626888228705</v>
      </c>
      <c r="AM3573">
        <v>89.765031894366402</v>
      </c>
      <c r="AN3573">
        <v>1.0000000414314301</v>
      </c>
    </row>
    <row r="3574" spans="1:40" x14ac:dyDescent="0.25">
      <c r="A3574" t="str">
        <f>"20190303154839478"</f>
        <v>20190303154839478</v>
      </c>
      <c r="B3574" t="str">
        <f>"1551599319474587"</f>
        <v>1551599319474587</v>
      </c>
      <c r="C3574" t="s">
        <v>40</v>
      </c>
      <c r="D3574">
        <v>6.1202350000000001</v>
      </c>
      <c r="E3574">
        <v>0.51893319999999998</v>
      </c>
      <c r="F3574" t="s">
        <v>42</v>
      </c>
      <c r="G3574">
        <v>-376.14609999999999</v>
      </c>
      <c r="H3574">
        <v>0.97493410000000003</v>
      </c>
      <c r="I3574">
        <v>214.61089999999999</v>
      </c>
      <c r="J3574">
        <v>-376.58370000000002</v>
      </c>
      <c r="K3574">
        <v>1.119731</v>
      </c>
      <c r="L3574">
        <v>214.66300000000001</v>
      </c>
      <c r="M3574">
        <v>0.99997820000000004</v>
      </c>
      <c r="N3574">
        <v>-4.6463370000000004E-3</v>
      </c>
      <c r="O3574">
        <v>-4.69784E-3</v>
      </c>
      <c r="P3574">
        <v>0.99480970000000002</v>
      </c>
      <c r="Q3574">
        <v>-0.10140589999999999</v>
      </c>
      <c r="R3574">
        <v>-8.3979799999999993E-3</v>
      </c>
      <c r="S3574">
        <v>2.9572449999999999</v>
      </c>
      <c r="T3574">
        <v>-0.55647930000000001</v>
      </c>
      <c r="U3574">
        <v>-0.2052612</v>
      </c>
      <c r="V3574">
        <v>3.781221E-3</v>
      </c>
      <c r="W3574">
        <v>-9.678022E-2</v>
      </c>
      <c r="X3574">
        <v>0.99529860000000003</v>
      </c>
      <c r="Y3574">
        <v>6.3496700000000003E-2</v>
      </c>
      <c r="Z3574">
        <v>-5.2106979999999997E-3</v>
      </c>
      <c r="AA3574">
        <v>0.99796839999999998</v>
      </c>
      <c r="AB3574">
        <v>32</v>
      </c>
      <c r="AC3574">
        <v>0.43760000000003102</v>
      </c>
      <c r="AD3574">
        <v>-0.14479690000000001</v>
      </c>
      <c r="AE3574">
        <v>-5.2099999999995802E-2</v>
      </c>
      <c r="AF3574">
        <v>4.5167479995028403E-2</v>
      </c>
      <c r="AG3574">
        <v>-0.14479690000000001</v>
      </c>
      <c r="AH3574">
        <v>0.39517770911550598</v>
      </c>
      <c r="AI3574">
        <v>110.003501531879</v>
      </c>
      <c r="AJ3574">
        <v>83.479580946624395</v>
      </c>
      <c r="AK3574">
        <v>0.42328674120564003</v>
      </c>
      <c r="AL3574">
        <v>95.553791081505693</v>
      </c>
      <c r="AM3574">
        <v>89.782329682348603</v>
      </c>
      <c r="AN3574">
        <v>1.00000000588872</v>
      </c>
    </row>
    <row r="3575" spans="1:40" x14ac:dyDescent="0.25">
      <c r="A3575" t="str">
        <f>"20190303154839501"</f>
        <v>20190303154839501</v>
      </c>
      <c r="B3575" t="str">
        <f>"1551599319494106"</f>
        <v>1551599319494106</v>
      </c>
      <c r="C3575" t="s">
        <v>40</v>
      </c>
      <c r="D3575">
        <v>6.0539670000000001</v>
      </c>
      <c r="E3575">
        <v>0.52015480000000003</v>
      </c>
      <c r="F3575" t="s">
        <v>42</v>
      </c>
      <c r="G3575">
        <v>-375.89490000000001</v>
      </c>
      <c r="H3575">
        <v>0.89709030000000001</v>
      </c>
      <c r="I3575">
        <v>214.62200000000001</v>
      </c>
      <c r="J3575">
        <v>-376.25920000000002</v>
      </c>
      <c r="K3575">
        <v>1.1197379999999999</v>
      </c>
      <c r="L3575">
        <v>214.6618</v>
      </c>
      <c r="M3575">
        <v>0.99997930000000002</v>
      </c>
      <c r="N3575">
        <v>-4.733447E-3</v>
      </c>
      <c r="O3575">
        <v>-4.3888989999999999E-3</v>
      </c>
      <c r="P3575">
        <v>0.99484530000000004</v>
      </c>
      <c r="Q3575">
        <v>-0.1011121</v>
      </c>
      <c r="R3575">
        <v>-7.7097469999999899E-3</v>
      </c>
      <c r="S3575">
        <v>2.9180600000000001</v>
      </c>
      <c r="T3575">
        <v>-0.94328330000000005</v>
      </c>
      <c r="U3575">
        <v>-0.17231749999999901</v>
      </c>
      <c r="V3575">
        <v>3.4003610000000002E-3</v>
      </c>
      <c r="W3575">
        <v>-9.6399849999999995E-2</v>
      </c>
      <c r="X3575">
        <v>0.99533689999999997</v>
      </c>
      <c r="Y3575">
        <v>5.2097850000000001E-2</v>
      </c>
      <c r="Z3575">
        <v>-6.9691099999999997E-3</v>
      </c>
      <c r="AA3575">
        <v>0.99861759999999999</v>
      </c>
      <c r="AB3575">
        <v>32</v>
      </c>
      <c r="AC3575">
        <v>0.364300000000014</v>
      </c>
      <c r="AD3575">
        <v>-0.222647699999999</v>
      </c>
      <c r="AE3575">
        <v>-3.9799999999985403E-2</v>
      </c>
      <c r="AF3575">
        <v>2.7901703440086498E-2</v>
      </c>
      <c r="AG3575">
        <v>-0.222647699999999</v>
      </c>
      <c r="AH3575">
        <v>0.26620874476409401</v>
      </c>
      <c r="AI3575">
        <v>129.75397797926701</v>
      </c>
      <c r="AJ3575">
        <v>84.016597065915505</v>
      </c>
      <c r="AK3575">
        <v>0.34816317892480098</v>
      </c>
      <c r="AL3575">
        <v>95.531895032906604</v>
      </c>
      <c r="AM3575">
        <v>89.804261676439694</v>
      </c>
      <c r="AN3575">
        <v>1.0000000190182801</v>
      </c>
    </row>
    <row r="3576" spans="1:40" x14ac:dyDescent="0.25">
      <c r="A3576" t="str">
        <f>"20190303154839523"</f>
        <v>20190303154839523</v>
      </c>
      <c r="B3576" t="str">
        <f>"1551599319514602"</f>
        <v>1551599319514602</v>
      </c>
      <c r="C3576" t="s">
        <v>40</v>
      </c>
      <c r="D3576">
        <v>6.0692130000000004</v>
      </c>
      <c r="E3576">
        <v>0.52042529999999998</v>
      </c>
      <c r="F3576" t="s">
        <v>42</v>
      </c>
      <c r="G3576">
        <v>-375.34899999999999</v>
      </c>
      <c r="H3576">
        <v>0.82404109999999997</v>
      </c>
      <c r="I3576">
        <v>214.6052</v>
      </c>
      <c r="J3576">
        <v>-375.9477</v>
      </c>
      <c r="K3576">
        <v>1.1197569999999999</v>
      </c>
      <c r="L3576">
        <v>214.66069999999999</v>
      </c>
      <c r="M3576">
        <v>0.99997999999999998</v>
      </c>
      <c r="N3576">
        <v>-4.8440159999999996E-3</v>
      </c>
      <c r="O3576">
        <v>-4.0927659999999899E-3</v>
      </c>
      <c r="P3576">
        <v>0.99489019999999995</v>
      </c>
      <c r="Q3576">
        <v>-0.10071479999999999</v>
      </c>
      <c r="R3576">
        <v>-7.0918680000000003E-3</v>
      </c>
      <c r="S3576">
        <v>2.9178160000000002</v>
      </c>
      <c r="T3576">
        <v>-0.94790410000000003</v>
      </c>
      <c r="U3576">
        <v>-0.18026729999999999</v>
      </c>
      <c r="V3576">
        <v>3.0772289999999999E-3</v>
      </c>
      <c r="W3576">
        <v>-9.5892409999999997E-2</v>
      </c>
      <c r="X3576">
        <v>0.99538700000000002</v>
      </c>
      <c r="Y3576">
        <v>5.4922859999999997E-2</v>
      </c>
      <c r="Z3576">
        <v>-7.5506890000000002E-3</v>
      </c>
      <c r="AA3576">
        <v>0.99846199999999996</v>
      </c>
      <c r="AB3576">
        <v>32</v>
      </c>
      <c r="AC3576">
        <v>0.598700000000007</v>
      </c>
      <c r="AD3576">
        <v>-0.29571589999999898</v>
      </c>
      <c r="AE3576">
        <v>-5.5499999999994998E-2</v>
      </c>
      <c r="AF3576">
        <v>4.2716540351724001E-2</v>
      </c>
      <c r="AG3576">
        <v>-0.29571589999999898</v>
      </c>
      <c r="AH3576">
        <v>0.48226735205967602</v>
      </c>
      <c r="AI3576">
        <v>121.416046679117</v>
      </c>
      <c r="AJ3576">
        <v>84.938270383419706</v>
      </c>
      <c r="AK3576">
        <v>0.56732212648114</v>
      </c>
      <c r="AL3576">
        <v>95.502685361518303</v>
      </c>
      <c r="AM3576">
        <v>89.822871232386703</v>
      </c>
      <c r="AN3576">
        <v>1.00000005170146</v>
      </c>
    </row>
    <row r="3577" spans="1:40" x14ac:dyDescent="0.25">
      <c r="A3577" t="str">
        <f>"20190303154839544"</f>
        <v>20190303154839544</v>
      </c>
      <c r="B3577" t="str">
        <f>"1551599319534122"</f>
        <v>1551599319534122</v>
      </c>
      <c r="C3577" t="s">
        <v>40</v>
      </c>
      <c r="D3577">
        <v>5.8819949999999999</v>
      </c>
      <c r="E3577">
        <v>0.52125259999999995</v>
      </c>
      <c r="F3577" t="s">
        <v>42</v>
      </c>
      <c r="G3577">
        <v>-375.05810000000002</v>
      </c>
      <c r="H3577">
        <v>0.8289455</v>
      </c>
      <c r="I3577">
        <v>214.6054</v>
      </c>
      <c r="J3577">
        <v>-375.62670000000003</v>
      </c>
      <c r="K3577">
        <v>1.1197820000000001</v>
      </c>
      <c r="L3577">
        <v>214.65969999999999</v>
      </c>
      <c r="M3577">
        <v>0.99998030000000004</v>
      </c>
      <c r="N3577">
        <v>-4.9925940000000004E-3</v>
      </c>
      <c r="O3577">
        <v>-3.7877800000000001E-3</v>
      </c>
      <c r="P3577">
        <v>0.9949112</v>
      </c>
      <c r="Q3577">
        <v>-0.1005398</v>
      </c>
      <c r="R3577">
        <v>-6.5890089999999998E-3</v>
      </c>
      <c r="S3577">
        <v>2.9175420000000001</v>
      </c>
      <c r="T3577">
        <v>-0.95376609999999995</v>
      </c>
      <c r="U3577">
        <v>-0.1806335</v>
      </c>
      <c r="V3577">
        <v>2.8781660000000001E-3</v>
      </c>
      <c r="W3577">
        <v>-9.5569559999999998E-2</v>
      </c>
      <c r="X3577">
        <v>0.99541860000000004</v>
      </c>
      <c r="Y3577">
        <v>5.5289430000000001E-2</v>
      </c>
      <c r="Z3577">
        <v>-7.7545069999999999E-3</v>
      </c>
      <c r="AA3577">
        <v>0.99844029999999995</v>
      </c>
      <c r="AB3577">
        <v>32</v>
      </c>
      <c r="AC3577">
        <v>0.56860000000000299</v>
      </c>
      <c r="AD3577">
        <v>-0.2908365</v>
      </c>
      <c r="AE3577">
        <v>-5.42999999999835E-2</v>
      </c>
      <c r="AF3577">
        <v>4.1409801748060401E-2</v>
      </c>
      <c r="AG3577">
        <v>-0.2908365</v>
      </c>
      <c r="AH3577">
        <v>0.45169386802734501</v>
      </c>
      <c r="AI3577">
        <v>122.667620341421</v>
      </c>
      <c r="AJ3577">
        <v>84.761954042822495</v>
      </c>
      <c r="AK3577">
        <v>0.53882092742076104</v>
      </c>
      <c r="AL3577">
        <v>95.484102317712996</v>
      </c>
      <c r="AM3577">
        <v>89.834334716082793</v>
      </c>
      <c r="AN3577">
        <v>1.0000000069320301</v>
      </c>
    </row>
    <row r="3578" spans="1:40" x14ac:dyDescent="0.25">
      <c r="A3578" t="str">
        <f>"20190303154839567"</f>
        <v>20190303154839567</v>
      </c>
      <c r="B3578" t="str">
        <f>"1551599319564379"</f>
        <v>1551599319564379</v>
      </c>
      <c r="C3578" t="s">
        <v>40</v>
      </c>
      <c r="D3578">
        <v>5.9949899999999996</v>
      </c>
      <c r="E3578">
        <v>0.52165399999999995</v>
      </c>
      <c r="F3578" t="s">
        <v>42</v>
      </c>
      <c r="G3578">
        <v>-374.7645</v>
      </c>
      <c r="H3578">
        <v>0.83952649999999995</v>
      </c>
      <c r="I3578">
        <v>214.6044</v>
      </c>
      <c r="J3578">
        <v>-375.29790000000003</v>
      </c>
      <c r="K3578">
        <v>1.119829</v>
      </c>
      <c r="L3578">
        <v>214.65870000000001</v>
      </c>
      <c r="M3578">
        <v>0.99998019999999999</v>
      </c>
      <c r="N3578">
        <v>-5.2577409999999998E-3</v>
      </c>
      <c r="O3578">
        <v>-3.4769900000000001E-3</v>
      </c>
      <c r="P3578">
        <v>0.99491850000000004</v>
      </c>
      <c r="Q3578">
        <v>-0.1005128</v>
      </c>
      <c r="R3578">
        <v>-5.8763060000000004E-3</v>
      </c>
      <c r="S3578">
        <v>2.918304</v>
      </c>
      <c r="T3578">
        <v>-0.94848600000000005</v>
      </c>
      <c r="U3578">
        <v>-0.1857605</v>
      </c>
      <c r="V3578">
        <v>2.4750269999999999E-3</v>
      </c>
      <c r="W3578">
        <v>-9.5278860000000007E-2</v>
      </c>
      <c r="X3578">
        <v>0.99544750000000004</v>
      </c>
      <c r="Y3578">
        <v>5.7241460000000001E-2</v>
      </c>
      <c r="Z3578">
        <v>-8.1317590000000006E-3</v>
      </c>
      <c r="AA3578">
        <v>0.99832730000000003</v>
      </c>
      <c r="AB3578">
        <v>32</v>
      </c>
      <c r="AC3578">
        <v>0.53340000000002796</v>
      </c>
      <c r="AD3578">
        <v>-0.28030250000000001</v>
      </c>
      <c r="AE3578">
        <v>-5.4300000000011998E-2</v>
      </c>
      <c r="AF3578">
        <v>4.1187640147493397E-2</v>
      </c>
      <c r="AG3578">
        <v>-0.28030250000000001</v>
      </c>
      <c r="AH3578">
        <v>0.41905086312942602</v>
      </c>
      <c r="AI3578">
        <v>123.651340463967</v>
      </c>
      <c r="AJ3578">
        <v>84.386546626995496</v>
      </c>
      <c r="AK3578">
        <v>0.50583548619752505</v>
      </c>
      <c r="AL3578">
        <v>95.467370359240903</v>
      </c>
      <c r="AM3578">
        <v>89.857543156152701</v>
      </c>
      <c r="AN3578">
        <v>0.99999995608889902</v>
      </c>
    </row>
    <row r="3579" spans="1:40" x14ac:dyDescent="0.25">
      <c r="A3579" t="str">
        <f>"20190303154839589"</f>
        <v>20190303154839589</v>
      </c>
      <c r="B3579" t="str">
        <f>"1551599319583898"</f>
        <v>1551599319583898</v>
      </c>
      <c r="C3579" t="s">
        <v>40</v>
      </c>
      <c r="D3579">
        <v>5.8580649999999999</v>
      </c>
      <c r="E3579">
        <v>0.52223169999999997</v>
      </c>
      <c r="F3579" t="s">
        <v>42</v>
      </c>
      <c r="G3579">
        <v>-374.4701</v>
      </c>
      <c r="H3579">
        <v>0.85115859999999999</v>
      </c>
      <c r="I3579">
        <v>214.60560000000001</v>
      </c>
      <c r="J3579">
        <v>-374.97519999999997</v>
      </c>
      <c r="K3579">
        <v>1.1199190000000001</v>
      </c>
      <c r="L3579">
        <v>214.65790000000001</v>
      </c>
      <c r="M3579">
        <v>0.99997879999999995</v>
      </c>
      <c r="N3579">
        <v>-5.6988219999999897E-3</v>
      </c>
      <c r="O3579">
        <v>-3.1723879999999999E-3</v>
      </c>
      <c r="P3579">
        <v>0.99485009999999996</v>
      </c>
      <c r="Q3579">
        <v>-0.10122</v>
      </c>
      <c r="R3579">
        <v>-5.3211650000000001E-3</v>
      </c>
      <c r="S3579">
        <v>2.9185180000000002</v>
      </c>
      <c r="T3579">
        <v>-0.94722530000000005</v>
      </c>
      <c r="U3579">
        <v>-0.1870117</v>
      </c>
      <c r="V3579">
        <v>2.2239310000000002E-3</v>
      </c>
      <c r="W3579">
        <v>-9.5547460000000001E-2</v>
      </c>
      <c r="X3579">
        <v>0.99542240000000004</v>
      </c>
      <c r="Y3579">
        <v>5.7919779999999997E-2</v>
      </c>
      <c r="Z3579">
        <v>-8.339295E-3</v>
      </c>
      <c r="AA3579">
        <v>0.99828640000000002</v>
      </c>
      <c r="AB3579">
        <v>32</v>
      </c>
      <c r="AC3579">
        <v>0.50509999999997002</v>
      </c>
      <c r="AD3579">
        <v>-0.26876040000000001</v>
      </c>
      <c r="AE3579">
        <v>-5.23000000000024E-2</v>
      </c>
      <c r="AF3579">
        <v>3.9603576836382999E-2</v>
      </c>
      <c r="AG3579">
        <v>-0.26876040000000001</v>
      </c>
      <c r="AH3579">
        <v>0.39469995589912199</v>
      </c>
      <c r="AI3579">
        <v>124.11847550999801</v>
      </c>
      <c r="AJ3579">
        <v>84.2702084595049</v>
      </c>
      <c r="AK3579">
        <v>0.47915409952661803</v>
      </c>
      <c r="AL3579">
        <v>95.482830250089904</v>
      </c>
      <c r="AM3579">
        <v>89.8719923841157</v>
      </c>
      <c r="AN3579">
        <v>1.0000000087016501</v>
      </c>
    </row>
    <row r="3580" spans="1:40" x14ac:dyDescent="0.25">
      <c r="A3580" t="str">
        <f>"20190303154839614"</f>
        <v>20190303154839614</v>
      </c>
      <c r="B3580" t="str">
        <f>"1551599319604395"</f>
        <v>1551599319604395</v>
      </c>
      <c r="C3580" t="s">
        <v>40</v>
      </c>
      <c r="D3580">
        <v>5.845942</v>
      </c>
      <c r="E3580">
        <v>0.52226600000000001</v>
      </c>
      <c r="F3580" t="s">
        <v>42</v>
      </c>
      <c r="G3580">
        <v>-374.17660000000001</v>
      </c>
      <c r="H3580">
        <v>0.86104499999999995</v>
      </c>
      <c r="I3580">
        <v>214.60579999999999</v>
      </c>
      <c r="J3580">
        <v>-374.6318</v>
      </c>
      <c r="K3580">
        <v>1.120036</v>
      </c>
      <c r="L3580">
        <v>214.65719999999999</v>
      </c>
      <c r="M3580">
        <v>0.99997619999999998</v>
      </c>
      <c r="N3580">
        <v>-6.282373E-3</v>
      </c>
      <c r="O3580">
        <v>-2.8488210000000001E-3</v>
      </c>
      <c r="P3580">
        <v>0.99483580000000005</v>
      </c>
      <c r="Q3580">
        <v>-0.1013676</v>
      </c>
      <c r="R3580">
        <v>-5.1274670000000001E-3</v>
      </c>
      <c r="S3580">
        <v>2.9182739999999998</v>
      </c>
      <c r="T3580">
        <v>-0.94600470000000003</v>
      </c>
      <c r="U3580">
        <v>-0.1898041</v>
      </c>
      <c r="V3580">
        <v>2.3537670000000001E-3</v>
      </c>
      <c r="W3580">
        <v>-9.5114089999999998E-2</v>
      </c>
      <c r="X3580">
        <v>0.9954636</v>
      </c>
      <c r="Y3580">
        <v>5.9121489999999999E-2</v>
      </c>
      <c r="Z3580">
        <v>-8.6426539999999996E-3</v>
      </c>
      <c r="AA3580">
        <v>0.99821340000000003</v>
      </c>
      <c r="AB3580">
        <v>32</v>
      </c>
      <c r="AC3580">
        <v>0.45519999999999</v>
      </c>
      <c r="AD3580">
        <v>-0.25899100000000003</v>
      </c>
      <c r="AE3580">
        <v>-5.1400000000000903E-2</v>
      </c>
      <c r="AF3580">
        <v>3.7967131669637999E-2</v>
      </c>
      <c r="AG3580">
        <v>-0.25899100000000003</v>
      </c>
      <c r="AH3580">
        <v>0.34505187027228101</v>
      </c>
      <c r="AI3580">
        <v>126.725985312112</v>
      </c>
      <c r="AJ3580">
        <v>83.720826925193705</v>
      </c>
      <c r="AK3580">
        <v>0.43310349149668398</v>
      </c>
      <c r="AL3580">
        <v>95.457886397305401</v>
      </c>
      <c r="AM3580">
        <v>89.864524766420402</v>
      </c>
      <c r="AN3580">
        <v>1.0000000046302799</v>
      </c>
    </row>
    <row r="3581" spans="1:40" x14ac:dyDescent="0.25">
      <c r="A3581" t="str">
        <f>"20190303154839637"</f>
        <v>20190303154839637</v>
      </c>
      <c r="B3581" t="str">
        <f>"1551599319623914"</f>
        <v>1551599319623914</v>
      </c>
      <c r="C3581" t="s">
        <v>40</v>
      </c>
      <c r="D3581">
        <v>5.7244339999999996</v>
      </c>
      <c r="E3581">
        <v>0.55624499999999999</v>
      </c>
      <c r="F3581" t="s">
        <v>42</v>
      </c>
      <c r="G3581">
        <v>-373.88080000000002</v>
      </c>
      <c r="H3581">
        <v>0.87625560000000002</v>
      </c>
      <c r="I3581">
        <v>214.60830000000001</v>
      </c>
      <c r="J3581">
        <v>-374.29770000000002</v>
      </c>
      <c r="K3581">
        <v>1.1201410000000001</v>
      </c>
      <c r="L3581">
        <v>214.6566</v>
      </c>
      <c r="M3581">
        <v>0.99997340000000001</v>
      </c>
      <c r="N3581">
        <v>-6.8479269999999898E-3</v>
      </c>
      <c r="O3581">
        <v>-2.5321390000000001E-3</v>
      </c>
      <c r="P3581">
        <v>0.99480429999999997</v>
      </c>
      <c r="Q3581">
        <v>-0.10169069999999999</v>
      </c>
      <c r="R3581">
        <v>-4.8529799999999998E-3</v>
      </c>
      <c r="S3581">
        <v>2.918091</v>
      </c>
      <c r="T3581">
        <v>-0.94723840000000004</v>
      </c>
      <c r="U3581">
        <v>-0.1896515</v>
      </c>
      <c r="V3581">
        <v>2.3961999999999998E-3</v>
      </c>
      <c r="W3581">
        <v>-9.4874299999999995E-2</v>
      </c>
      <c r="X3581">
        <v>0.99548639999999999</v>
      </c>
      <c r="Y3581">
        <v>5.9348419999999999E-2</v>
      </c>
      <c r="Z3581">
        <v>-8.8070700000000002E-3</v>
      </c>
      <c r="AA3581">
        <v>0.99819840000000004</v>
      </c>
      <c r="AB3581">
        <v>32</v>
      </c>
      <c r="AC3581">
        <v>0.41689999999999799</v>
      </c>
      <c r="AD3581">
        <v>-0.2438854</v>
      </c>
      <c r="AE3581">
        <v>-4.8299999999983301E-2</v>
      </c>
      <c r="AF3581">
        <v>3.5317746348015898E-2</v>
      </c>
      <c r="AG3581">
        <v>-0.2438854</v>
      </c>
      <c r="AH3581">
        <v>0.31174725387686197</v>
      </c>
      <c r="AI3581">
        <v>127.859536920916</v>
      </c>
      <c r="AJ3581">
        <v>83.536537398023199</v>
      </c>
      <c r="AK3581">
        <v>0.39738367082710802</v>
      </c>
      <c r="AL3581">
        <v>95.444084926713401</v>
      </c>
      <c r="AM3581">
        <v>89.862085627975304</v>
      </c>
      <c r="AN3581">
        <v>1.00000002357994</v>
      </c>
    </row>
    <row r="3582" spans="1:40" x14ac:dyDescent="0.25">
      <c r="A3582" t="str">
        <f>"20190303154839659"</f>
        <v>20190303154839659</v>
      </c>
      <c r="B3582" t="str">
        <f>"1551599319644410"</f>
        <v>1551599319644410</v>
      </c>
      <c r="C3582" t="s">
        <v>40</v>
      </c>
      <c r="D3582">
        <v>5.7259330000000004</v>
      </c>
      <c r="E3582">
        <v>0.56190450000000003</v>
      </c>
      <c r="F3582" t="s">
        <v>42</v>
      </c>
      <c r="G3582">
        <v>-373.57510000000002</v>
      </c>
      <c r="H3582">
        <v>0.91259999999999997</v>
      </c>
      <c r="I3582">
        <v>214.5427</v>
      </c>
      <c r="J3582">
        <v>-373.98660000000001</v>
      </c>
      <c r="K3582">
        <v>1.1202219999999901</v>
      </c>
      <c r="L3582">
        <v>214.65610000000001</v>
      </c>
      <c r="M3582">
        <v>0.99997029999999998</v>
      </c>
      <c r="N3582">
        <v>-7.3731569999999896E-3</v>
      </c>
      <c r="O3582">
        <v>-2.240644E-3</v>
      </c>
      <c r="P3582">
        <v>0.99477740000000003</v>
      </c>
      <c r="Q3582">
        <v>-0.1019607</v>
      </c>
      <c r="R3582">
        <v>-4.6970559999999998E-3</v>
      </c>
      <c r="S3582">
        <v>2.92746</v>
      </c>
      <c r="T3582">
        <v>-0.84084530000000002</v>
      </c>
      <c r="U3582">
        <v>-0.46043400000000001</v>
      </c>
      <c r="V3582">
        <v>2.5318889999999998E-3</v>
      </c>
      <c r="W3582">
        <v>-9.4621549999999999E-2</v>
      </c>
      <c r="X3582">
        <v>0.99551009999999995</v>
      </c>
      <c r="Y3582">
        <v>0.14727009999999999</v>
      </c>
      <c r="Z3582">
        <v>-2.055746E-2</v>
      </c>
      <c r="AA3582">
        <v>0.9888827</v>
      </c>
      <c r="AB3582">
        <v>32</v>
      </c>
      <c r="AC3582">
        <v>0.41149999999998899</v>
      </c>
      <c r="AD3582">
        <v>-0.207621999999999</v>
      </c>
      <c r="AE3582">
        <v>-0.11340000000001201</v>
      </c>
      <c r="AF3582">
        <v>9.0957067091732402E-2</v>
      </c>
      <c r="AG3582">
        <v>-0.207621999999999</v>
      </c>
      <c r="AH3582">
        <v>0.332971447147624</v>
      </c>
      <c r="AI3582">
        <v>121.027092622852</v>
      </c>
      <c r="AJ3582">
        <v>74.721392676162907</v>
      </c>
      <c r="AK3582">
        <v>0.40280276507679602</v>
      </c>
      <c r="AL3582">
        <v>95.429538084619793</v>
      </c>
      <c r="AM3582">
        <v>89.854279488361598</v>
      </c>
      <c r="AN3582">
        <v>1.0000000036941601</v>
      </c>
    </row>
    <row r="3583" spans="1:40" x14ac:dyDescent="0.25">
      <c r="A3583" t="str">
        <f>"20190303154839680"</f>
        <v>20190303154839680</v>
      </c>
      <c r="B3583" t="str">
        <f>"1551599319674667"</f>
        <v>1551599319674667</v>
      </c>
      <c r="C3583" t="s">
        <v>40</v>
      </c>
      <c r="D3583">
        <v>5.6680250000000001</v>
      </c>
      <c r="E3583">
        <v>0.56505719999999904</v>
      </c>
      <c r="F3583" t="s">
        <v>42</v>
      </c>
      <c r="G3583">
        <v>-373.2817</v>
      </c>
      <c r="H3583">
        <v>0.92018460000000002</v>
      </c>
      <c r="I3583">
        <v>214.53440000000001</v>
      </c>
      <c r="J3583">
        <v>-373.66770000000002</v>
      </c>
      <c r="K3583">
        <v>1.1202909999999999</v>
      </c>
      <c r="L3583">
        <v>214.6557</v>
      </c>
      <c r="M3583">
        <v>0.99996700000000005</v>
      </c>
      <c r="N3583">
        <v>-7.89564699999999E-3</v>
      </c>
      <c r="O3583">
        <v>-1.943705E-3</v>
      </c>
      <c r="P3583">
        <v>0.99469079999999999</v>
      </c>
      <c r="Q3583">
        <v>-0.1027906</v>
      </c>
      <c r="R3583">
        <v>-4.9495320000000004E-3</v>
      </c>
      <c r="S3583">
        <v>2.9281920000000001</v>
      </c>
      <c r="T3583">
        <v>-0.83099679999999998</v>
      </c>
      <c r="U3583">
        <v>-0.50527949999999999</v>
      </c>
      <c r="V3583">
        <v>3.0804550000000002E-3</v>
      </c>
      <c r="W3583">
        <v>-9.4931570000000007E-2</v>
      </c>
      <c r="X3583">
        <v>0.995479</v>
      </c>
      <c r="Y3583">
        <v>0.16180729999999999</v>
      </c>
      <c r="Z3583">
        <v>-2.2492930000000001E-2</v>
      </c>
      <c r="AA3583">
        <v>0.98656600000000005</v>
      </c>
      <c r="AB3583">
        <v>32</v>
      </c>
      <c r="AC3583">
        <v>0.38600000000002399</v>
      </c>
      <c r="AD3583">
        <v>-0.20010639999999999</v>
      </c>
      <c r="AE3583">
        <v>-0.12129999999999</v>
      </c>
      <c r="AF3583">
        <v>9.6858397758587497E-2</v>
      </c>
      <c r="AG3583">
        <v>-0.20010639999999999</v>
      </c>
      <c r="AH3583">
        <v>0.310329906621233</v>
      </c>
      <c r="AI3583">
        <v>121.613697586909</v>
      </c>
      <c r="AJ3583">
        <v>72.666111096371793</v>
      </c>
      <c r="AK3583">
        <v>0.381744379763296</v>
      </c>
      <c r="AL3583">
        <v>95.447381448883604</v>
      </c>
      <c r="AM3583">
        <v>89.822701928289106</v>
      </c>
      <c r="AN3583">
        <v>0.99999996581333495</v>
      </c>
    </row>
    <row r="3584" spans="1:40" x14ac:dyDescent="0.25">
      <c r="A3584" t="str">
        <f>"20190303154839704"</f>
        <v>20190303154839704</v>
      </c>
      <c r="B3584" t="str">
        <f>"1551599319694187"</f>
        <v>1551599319694187</v>
      </c>
      <c r="C3584" t="s">
        <v>40</v>
      </c>
      <c r="D3584">
        <v>5.688205</v>
      </c>
      <c r="E3584">
        <v>0.56602940000000002</v>
      </c>
      <c r="F3584" t="s">
        <v>42</v>
      </c>
      <c r="G3584">
        <v>-372.98829999999998</v>
      </c>
      <c r="H3584">
        <v>0.92825789999999997</v>
      </c>
      <c r="I3584">
        <v>214.53219999999999</v>
      </c>
      <c r="J3584">
        <v>-373.32150000000001</v>
      </c>
      <c r="K3584">
        <v>1.1203430000000001</v>
      </c>
      <c r="L3584">
        <v>214.65549999999999</v>
      </c>
      <c r="M3584">
        <v>0.9999633</v>
      </c>
      <c r="N3584">
        <v>-8.4181829999999992E-3</v>
      </c>
      <c r="O3584">
        <v>-1.6171410000000001E-3</v>
      </c>
      <c r="P3584">
        <v>0.99462589999999995</v>
      </c>
      <c r="Q3584">
        <v>-0.10339660000000001</v>
      </c>
      <c r="R3584">
        <v>-5.3161939999999998E-3</v>
      </c>
      <c r="S3584">
        <v>2.927826</v>
      </c>
      <c r="T3584">
        <v>-0.82762099999999905</v>
      </c>
      <c r="U3584">
        <v>-0.53102109999999902</v>
      </c>
      <c r="V3584">
        <v>3.7717559999999998E-3</v>
      </c>
      <c r="W3584">
        <v>-9.501743E-2</v>
      </c>
      <c r="X3584">
        <v>0.99546840000000003</v>
      </c>
      <c r="Y3584">
        <v>0.1702581</v>
      </c>
      <c r="Z3584">
        <v>-2.3725530000000002E-2</v>
      </c>
      <c r="AA3584">
        <v>0.98511389999999999</v>
      </c>
      <c r="AB3584">
        <v>32</v>
      </c>
      <c r="AC3584">
        <v>0.33320000000003303</v>
      </c>
      <c r="AD3584">
        <v>-0.19208510000000001</v>
      </c>
      <c r="AE3584">
        <v>-0.12330000000000001</v>
      </c>
      <c r="AF3584">
        <v>9.4993558327400598E-2</v>
      </c>
      <c r="AG3584">
        <v>-0.19208510000000001</v>
      </c>
      <c r="AH3584">
        <v>0.25798712153668601</v>
      </c>
      <c r="AI3584">
        <v>124.941767257273</v>
      </c>
      <c r="AJ3584">
        <v>69.785765001893694</v>
      </c>
      <c r="AK3584">
        <v>0.33537712600071001</v>
      </c>
      <c r="AL3584">
        <v>95.452323361684407</v>
      </c>
      <c r="AM3584">
        <v>89.782911576070902</v>
      </c>
      <c r="AN3584">
        <v>0.99999993677284205</v>
      </c>
    </row>
    <row r="3585" spans="1:40" x14ac:dyDescent="0.25">
      <c r="A3585" t="str">
        <f>"20190303154839723"</f>
        <v>20190303154839723</v>
      </c>
      <c r="B3585" t="str">
        <f>"1551599319714685"</f>
        <v>1551599319714685</v>
      </c>
      <c r="C3585" t="s">
        <v>40</v>
      </c>
      <c r="D3585">
        <v>5.6670959999999999</v>
      </c>
      <c r="E3585">
        <v>0.56614790000000004</v>
      </c>
      <c r="F3585" t="s">
        <v>42</v>
      </c>
      <c r="G3585">
        <v>-372.43290000000002</v>
      </c>
      <c r="H3585">
        <v>0.86833439999999995</v>
      </c>
      <c r="I3585">
        <v>214.49119999999999</v>
      </c>
      <c r="J3585">
        <v>-373.03590000000003</v>
      </c>
      <c r="K3585">
        <v>1.1203780000000001</v>
      </c>
      <c r="L3585">
        <v>214.65530000000001</v>
      </c>
      <c r="M3585">
        <v>0.99996030000000002</v>
      </c>
      <c r="N3585">
        <v>-8.8124750000000002E-3</v>
      </c>
      <c r="O3585">
        <v>-1.34598799999999E-3</v>
      </c>
      <c r="P3585">
        <v>0.99465170000000003</v>
      </c>
      <c r="Q3585">
        <v>-0.1031489</v>
      </c>
      <c r="R3585">
        <v>-5.329594E-3</v>
      </c>
      <c r="S3585">
        <v>2.9270320000000001</v>
      </c>
      <c r="T3585">
        <v>-0.83006689999999905</v>
      </c>
      <c r="U3585">
        <v>-0.539688099999999</v>
      </c>
      <c r="V3585">
        <v>4.0536130000000002E-3</v>
      </c>
      <c r="W3585">
        <v>-9.437682E-2</v>
      </c>
      <c r="X3585">
        <v>0.99552830000000003</v>
      </c>
      <c r="Y3585">
        <v>0.17322000000000001</v>
      </c>
      <c r="Z3585">
        <v>-2.4320999999999999E-2</v>
      </c>
      <c r="AA3585">
        <v>0.98458279999999998</v>
      </c>
      <c r="AB3585">
        <v>32</v>
      </c>
      <c r="AC3585">
        <v>0.60300000000000797</v>
      </c>
      <c r="AD3585">
        <v>-0.25204359999999998</v>
      </c>
      <c r="AE3585">
        <v>-0.16410000000001901</v>
      </c>
      <c r="AF3585">
        <v>0.14044328944357501</v>
      </c>
      <c r="AG3585">
        <v>-0.25204359999999998</v>
      </c>
      <c r="AH3585">
        <v>0.51882655526029597</v>
      </c>
      <c r="AI3585">
        <v>115.12277710168399</v>
      </c>
      <c r="AJ3585">
        <v>74.853364320589293</v>
      </c>
      <c r="AK3585">
        <v>0.59365923583648295</v>
      </c>
      <c r="AL3585">
        <v>95.415453044544606</v>
      </c>
      <c r="AM3585">
        <v>89.766703133283201</v>
      </c>
      <c r="AN3585">
        <v>1.0000000060162699</v>
      </c>
    </row>
    <row r="3586" spans="1:40" x14ac:dyDescent="0.25">
      <c r="A3586" t="str">
        <f>"20190303154839744"</f>
        <v>20190303154839744</v>
      </c>
      <c r="B3586" t="str">
        <f>"1551599319734203"</f>
        <v>1551599319734203</v>
      </c>
      <c r="C3586" t="s">
        <v>40</v>
      </c>
      <c r="D3586">
        <v>5.6037359999999996</v>
      </c>
      <c r="E3586">
        <v>0.56647990000000004</v>
      </c>
      <c r="F3586" t="s">
        <v>42</v>
      </c>
      <c r="G3586">
        <v>-372.14449999999999</v>
      </c>
      <c r="H3586">
        <v>0.8657745</v>
      </c>
      <c r="I3586">
        <v>214.49039999999999</v>
      </c>
      <c r="J3586">
        <v>-372.72919999999999</v>
      </c>
      <c r="K3586">
        <v>1.120406</v>
      </c>
      <c r="L3586">
        <v>214.65520000000001</v>
      </c>
      <c r="M3586">
        <v>0.99995730000000005</v>
      </c>
      <c r="N3586">
        <v>-9.1962699999999994E-3</v>
      </c>
      <c r="O3586">
        <v>-1.053544E-3</v>
      </c>
      <c r="P3586">
        <v>0.99467280000000002</v>
      </c>
      <c r="Q3586">
        <v>-0.1029727</v>
      </c>
      <c r="R3586">
        <v>-4.8016059999999999E-3</v>
      </c>
      <c r="S3586">
        <v>2.9265439999999998</v>
      </c>
      <c r="T3586">
        <v>-0.83580019999999999</v>
      </c>
      <c r="U3586">
        <v>-0.54092410000000002</v>
      </c>
      <c r="V3586">
        <v>3.815031E-3</v>
      </c>
      <c r="W3586">
        <v>-9.3818589999999993E-2</v>
      </c>
      <c r="X3586">
        <v>0.99558199999999997</v>
      </c>
      <c r="Y3586">
        <v>0.17380290000000001</v>
      </c>
      <c r="Z3586">
        <v>-2.467753E-2</v>
      </c>
      <c r="AA3586">
        <v>0.98447119999999999</v>
      </c>
      <c r="AB3586">
        <v>32</v>
      </c>
      <c r="AC3586">
        <v>0.584699999999997</v>
      </c>
      <c r="AD3586">
        <v>-0.25463149999999901</v>
      </c>
      <c r="AE3586">
        <v>-0.16480000000001299</v>
      </c>
      <c r="AF3586">
        <v>0.13964838139768199</v>
      </c>
      <c r="AG3586">
        <v>-0.25463149999999901</v>
      </c>
      <c r="AH3586">
        <v>0.49747035406811901</v>
      </c>
      <c r="AI3586">
        <v>116.234253042345</v>
      </c>
      <c r="AJ3586">
        <v>74.319666596749897</v>
      </c>
      <c r="AK3586">
        <v>0.57603439515006605</v>
      </c>
      <c r="AL3586">
        <v>95.383326303522196</v>
      </c>
      <c r="AM3586">
        <v>89.780445904882598</v>
      </c>
      <c r="AN3586">
        <v>1.00000000050755</v>
      </c>
    </row>
    <row r="3587" spans="1:40" x14ac:dyDescent="0.25">
      <c r="A3587" t="str">
        <f>"20190303154839768"</f>
        <v>20190303154839768</v>
      </c>
      <c r="B3587" t="str">
        <f>"1551599319764458"</f>
        <v>1551599319764458</v>
      </c>
      <c r="C3587" t="s">
        <v>40</v>
      </c>
      <c r="D3587">
        <v>5.5402149999999999</v>
      </c>
      <c r="E3587">
        <v>0.56731009999999904</v>
      </c>
      <c r="F3587" t="s">
        <v>42</v>
      </c>
      <c r="G3587">
        <v>-371.85419999999999</v>
      </c>
      <c r="H3587">
        <v>0.86833039999999995</v>
      </c>
      <c r="I3587">
        <v>214.49270000000001</v>
      </c>
      <c r="J3587">
        <v>-372.39249999999998</v>
      </c>
      <c r="K3587">
        <v>1.1204259999999999</v>
      </c>
      <c r="L3587">
        <v>214.65530000000001</v>
      </c>
      <c r="M3587">
        <v>0.99995389999999995</v>
      </c>
      <c r="N3587">
        <v>-9.5722810000000002E-3</v>
      </c>
      <c r="O3587">
        <v>-7.3004310000000002E-4</v>
      </c>
      <c r="P3587">
        <v>0.99467839999999996</v>
      </c>
      <c r="Q3587">
        <v>-0.1029481</v>
      </c>
      <c r="R3587">
        <v>-4.0862069999999997E-3</v>
      </c>
      <c r="S3587">
        <v>2.9262079999999999</v>
      </c>
      <c r="T3587">
        <v>-0.84297610000000001</v>
      </c>
      <c r="U3587">
        <v>-0.54219059999999997</v>
      </c>
      <c r="V3587">
        <v>3.4200110000000001E-3</v>
      </c>
      <c r="W3587">
        <v>-9.3419870000000002E-2</v>
      </c>
      <c r="X3587">
        <v>0.99562090000000003</v>
      </c>
      <c r="Y3587">
        <v>0.17439160000000001</v>
      </c>
      <c r="Z3587">
        <v>-2.508345E-2</v>
      </c>
      <c r="AA3587">
        <v>0.98435680000000003</v>
      </c>
      <c r="AB3587">
        <v>32</v>
      </c>
      <c r="AC3587">
        <v>0.53829999999999201</v>
      </c>
      <c r="AD3587">
        <v>-0.25209559999999898</v>
      </c>
      <c r="AE3587">
        <v>-0.162599999999997</v>
      </c>
      <c r="AF3587">
        <v>0.13506174327244599</v>
      </c>
      <c r="AG3587">
        <v>-0.25209559999999898</v>
      </c>
      <c r="AH3587">
        <v>0.44831462138254202</v>
      </c>
      <c r="AI3587">
        <v>118.298712113592</v>
      </c>
      <c r="AJ3587">
        <v>73.234256308673494</v>
      </c>
      <c r="AK3587">
        <v>0.53177050104394097</v>
      </c>
      <c r="AL3587">
        <v>95.3603807044626</v>
      </c>
      <c r="AM3587">
        <v>89.803186709444205</v>
      </c>
      <c r="AN3587">
        <v>0.99999997255143303</v>
      </c>
    </row>
    <row r="3588" spans="1:40" x14ac:dyDescent="0.25">
      <c r="A3588" t="str">
        <f>"20190303154839790"</f>
        <v>20190303154839790</v>
      </c>
      <c r="B3588" t="str">
        <f>"1551599319783978"</f>
        <v>1551599319783978</v>
      </c>
      <c r="C3588" t="s">
        <v>40</v>
      </c>
      <c r="D3588">
        <v>5.5373060000000001</v>
      </c>
      <c r="E3588">
        <v>0.56711140000000004</v>
      </c>
      <c r="F3588" t="s">
        <v>42</v>
      </c>
      <c r="G3588">
        <v>-371.56049999999999</v>
      </c>
      <c r="H3588">
        <v>0.87928220000000001</v>
      </c>
      <c r="I3588">
        <v>214.5</v>
      </c>
      <c r="J3588">
        <v>-372.06119999999999</v>
      </c>
      <c r="K3588">
        <v>1.1204400000000001</v>
      </c>
      <c r="L3588">
        <v>214.65539999999999</v>
      </c>
      <c r="M3588">
        <v>0.99995100000000003</v>
      </c>
      <c r="N3588">
        <v>-9.8997200000000007E-3</v>
      </c>
      <c r="O3588">
        <v>-4.1055710000000001E-4</v>
      </c>
      <c r="P3588">
        <v>0.99459489999999995</v>
      </c>
      <c r="Q3588">
        <v>-0.1037729</v>
      </c>
      <c r="R3588">
        <v>-3.5498610000000001E-3</v>
      </c>
      <c r="S3588">
        <v>2.926056</v>
      </c>
      <c r="T3588">
        <v>-0.8481708</v>
      </c>
      <c r="U3588">
        <v>-0.54634090000000002</v>
      </c>
      <c r="V3588">
        <v>3.2008639999999999E-3</v>
      </c>
      <c r="W3588">
        <v>-9.3919550000000004E-2</v>
      </c>
      <c r="X3588">
        <v>0.99557470000000003</v>
      </c>
      <c r="Y3588">
        <v>0.17589879999999999</v>
      </c>
      <c r="Z3588">
        <v>-2.5562020000000001E-2</v>
      </c>
      <c r="AA3588">
        <v>0.98407630000000001</v>
      </c>
      <c r="AB3588">
        <v>32</v>
      </c>
      <c r="AC3588">
        <v>0.50069999999999404</v>
      </c>
      <c r="AD3588">
        <v>-0.24115779999999901</v>
      </c>
      <c r="AE3588">
        <v>-0.15539999999998599</v>
      </c>
      <c r="AF3588">
        <v>0.128090891565281</v>
      </c>
      <c r="AG3588">
        <v>-0.24115779999999901</v>
      </c>
      <c r="AH3588">
        <v>0.413309192635539</v>
      </c>
      <c r="AI3588">
        <v>119.13218639804801</v>
      </c>
      <c r="AJ3588">
        <v>72.780985172566702</v>
      </c>
      <c r="AK3588">
        <v>0.49536738863178098</v>
      </c>
      <c r="AL3588">
        <v>95.389136243845599</v>
      </c>
      <c r="AM3588">
        <v>89.815789446950404</v>
      </c>
      <c r="AN3588">
        <v>1.00000005534131</v>
      </c>
    </row>
    <row r="3589" spans="1:40" x14ac:dyDescent="0.25">
      <c r="A3589" t="str">
        <f>"20190303154839816"</f>
        <v>20190303154839816</v>
      </c>
      <c r="B3589" t="str">
        <f>"1551599319804474"</f>
        <v>1551599319804474</v>
      </c>
      <c r="C3589" t="s">
        <v>40</v>
      </c>
      <c r="D3589">
        <v>5.5850229999999996</v>
      </c>
      <c r="E3589">
        <v>0.56635760000000002</v>
      </c>
      <c r="F3589" t="s">
        <v>42</v>
      </c>
      <c r="G3589">
        <v>-371.26710000000003</v>
      </c>
      <c r="H3589">
        <v>0.89023330000000001</v>
      </c>
      <c r="I3589">
        <v>214.50800000000001</v>
      </c>
      <c r="J3589">
        <v>-371.70420000000001</v>
      </c>
      <c r="K3589">
        <v>1.1204480000000001</v>
      </c>
      <c r="L3589">
        <v>214.6557</v>
      </c>
      <c r="M3589">
        <v>0.9999479</v>
      </c>
      <c r="N3589">
        <v>-1.0209289999999999E-2</v>
      </c>
      <c r="O3589" s="1">
        <v>-6.6234049999999898E-5</v>
      </c>
      <c r="P3589">
        <v>0.99454500000000001</v>
      </c>
      <c r="Q3589">
        <v>-0.10425329999999999</v>
      </c>
      <c r="R3589">
        <v>-3.3985899999999999E-3</v>
      </c>
      <c r="S3589">
        <v>2.9258730000000002</v>
      </c>
      <c r="T3589">
        <v>-0.84821930000000001</v>
      </c>
      <c r="U3589">
        <v>-0.54237369999999996</v>
      </c>
      <c r="V3589">
        <v>3.3916440000000001E-3</v>
      </c>
      <c r="W3589">
        <v>-9.4092170000000003E-2</v>
      </c>
      <c r="X3589">
        <v>0.99555769999999999</v>
      </c>
      <c r="Y3589">
        <v>0.17497219999999999</v>
      </c>
      <c r="Z3589">
        <v>-2.5553949999999999E-2</v>
      </c>
      <c r="AA3589">
        <v>0.9842417</v>
      </c>
      <c r="AB3589">
        <v>32</v>
      </c>
      <c r="AC3589">
        <v>0.437099999999986</v>
      </c>
      <c r="AD3589">
        <v>-0.230214699999999</v>
      </c>
      <c r="AE3589">
        <v>-0.14770000000001399</v>
      </c>
      <c r="AF3589">
        <v>0.11823420016405201</v>
      </c>
      <c r="AG3589">
        <v>-0.230214699999999</v>
      </c>
      <c r="AH3589">
        <v>0.34997602071553002</v>
      </c>
      <c r="AI3589">
        <v>121.931094225926</v>
      </c>
      <c r="AJ3589">
        <v>71.333224141044298</v>
      </c>
      <c r="AK3589">
        <v>0.43527158103924102</v>
      </c>
      <c r="AL3589">
        <v>95.399071004578005</v>
      </c>
      <c r="AM3589">
        <v>89.804806758039803</v>
      </c>
      <c r="AN3589">
        <v>0.99999998686681002</v>
      </c>
    </row>
    <row r="3590" spans="1:40" x14ac:dyDescent="0.25">
      <c r="A3590" t="str">
        <f>"20190303154839836"</f>
        <v>20190303154839836</v>
      </c>
      <c r="B3590" t="str">
        <f>"1551599319823994"</f>
        <v>1551599319823994</v>
      </c>
      <c r="C3590" t="s">
        <v>40</v>
      </c>
      <c r="D3590">
        <v>5.5044050000000002</v>
      </c>
      <c r="E3590">
        <v>0.56591959999999997</v>
      </c>
      <c r="F3590" t="s">
        <v>42</v>
      </c>
      <c r="G3590">
        <v>-370.97129999999999</v>
      </c>
      <c r="H3590">
        <v>0.90734239999999999</v>
      </c>
      <c r="I3590">
        <v>214.52109999999999</v>
      </c>
      <c r="J3590">
        <v>-371.41559999999998</v>
      </c>
      <c r="K3590">
        <v>1.1204419999999999</v>
      </c>
      <c r="L3590">
        <v>214.65600000000001</v>
      </c>
      <c r="M3590">
        <v>0.99994559999999999</v>
      </c>
      <c r="N3590">
        <v>-1.042799E-2</v>
      </c>
      <c r="O3590">
        <v>2.1151429999999999E-4</v>
      </c>
      <c r="P3590">
        <v>0.9945022</v>
      </c>
      <c r="Q3590">
        <v>-0.1046663</v>
      </c>
      <c r="R3590">
        <v>-3.2159549999999999E-3</v>
      </c>
      <c r="S3590">
        <v>2.9254760000000002</v>
      </c>
      <c r="T3590">
        <v>-0.85066849999999905</v>
      </c>
      <c r="U3590">
        <v>-0.53637699999999999</v>
      </c>
      <c r="V3590">
        <v>3.4849780000000001E-3</v>
      </c>
      <c r="W3590">
        <v>-9.428781E-2</v>
      </c>
      <c r="X3590">
        <v>0.9955389</v>
      </c>
      <c r="Y3590">
        <v>0.17332500000000001</v>
      </c>
      <c r="Z3590">
        <v>-2.5483510000000001E-2</v>
      </c>
      <c r="AA3590">
        <v>0.98453489999999999</v>
      </c>
      <c r="AB3590">
        <v>32</v>
      </c>
      <c r="AC3590">
        <v>0.44429999999999797</v>
      </c>
      <c r="AD3590">
        <v>-0.213099599999999</v>
      </c>
      <c r="AE3590">
        <v>-0.134899999999987</v>
      </c>
      <c r="AF3590">
        <v>0.111507424468299</v>
      </c>
      <c r="AG3590">
        <v>-0.213099599999999</v>
      </c>
      <c r="AH3590">
        <v>0.366976116339022</v>
      </c>
      <c r="AI3590">
        <v>119.05689305835099</v>
      </c>
      <c r="AJ3590">
        <v>73.098348329006996</v>
      </c>
      <c r="AK3590">
        <v>0.43876738164428902</v>
      </c>
      <c r="AL3590">
        <v>95.410330234364196</v>
      </c>
      <c r="AM3590">
        <v>89.799431528504499</v>
      </c>
      <c r="AN3590">
        <v>1.00000001879973</v>
      </c>
    </row>
    <row r="3591" spans="1:40" x14ac:dyDescent="0.25">
      <c r="A3591" t="str">
        <f>"20190303154839858"</f>
        <v>20190303154839858</v>
      </c>
      <c r="B3591" t="str">
        <f>"1551599319854251"</f>
        <v>1551599319854251</v>
      </c>
      <c r="C3591" t="s">
        <v>40</v>
      </c>
      <c r="D3591">
        <v>5.5542350000000003</v>
      </c>
      <c r="E3591">
        <v>0.56563289999999999</v>
      </c>
      <c r="F3591" t="s">
        <v>42</v>
      </c>
      <c r="G3591">
        <v>-370.68220000000002</v>
      </c>
      <c r="H3591">
        <v>0.90744689999999995</v>
      </c>
      <c r="I3591">
        <v>214.52199999999999</v>
      </c>
      <c r="J3591">
        <v>-371.09249999999997</v>
      </c>
      <c r="K3591">
        <v>1.1204529999999999</v>
      </c>
      <c r="L3591">
        <v>214.65639999999999</v>
      </c>
      <c r="M3591">
        <v>0.99994329999999998</v>
      </c>
      <c r="N3591">
        <v>-1.0644799999999999E-2</v>
      </c>
      <c r="O3591">
        <v>5.21559E-4</v>
      </c>
      <c r="P3591">
        <v>0.9944402</v>
      </c>
      <c r="Q3591">
        <v>-0.1052573</v>
      </c>
      <c r="R3591">
        <v>-3.1336939999999998E-3</v>
      </c>
      <c r="S3591">
        <v>2.9254760000000002</v>
      </c>
      <c r="T3591">
        <v>-0.84966679999999895</v>
      </c>
      <c r="U3591">
        <v>-0.53294370000000002</v>
      </c>
      <c r="V3591">
        <v>3.711144E-3</v>
      </c>
      <c r="W3591">
        <v>-9.4663430000000007E-2</v>
      </c>
      <c r="X3591">
        <v>0.99550240000000001</v>
      </c>
      <c r="Y3591">
        <v>0.1725419</v>
      </c>
      <c r="Z3591">
        <v>-2.5446779999999999E-2</v>
      </c>
      <c r="AA3591">
        <v>0.98467340000000003</v>
      </c>
      <c r="AB3591">
        <v>32</v>
      </c>
      <c r="AC3591">
        <v>0.41029999999994898</v>
      </c>
      <c r="AD3591">
        <v>-0.2130061</v>
      </c>
      <c r="AE3591">
        <v>-0.13439999999997099</v>
      </c>
      <c r="AF3591">
        <v>0.10826303482941201</v>
      </c>
      <c r="AG3591">
        <v>-0.2130061</v>
      </c>
      <c r="AH3591">
        <v>0.32992653972199099</v>
      </c>
      <c r="AI3591">
        <v>121.526381927202</v>
      </c>
      <c r="AJ3591">
        <v>71.833120188361306</v>
      </c>
      <c r="AK3591">
        <v>0.40736225274393201</v>
      </c>
      <c r="AL3591">
        <v>95.431948564024196</v>
      </c>
      <c r="AM3591">
        <v>89.786407442749905</v>
      </c>
      <c r="AN3591">
        <v>0.99999998298745596</v>
      </c>
    </row>
    <row r="3592" spans="1:40" x14ac:dyDescent="0.25">
      <c r="A3592" t="str">
        <f>"20190303154839881"</f>
        <v>20190303154839881</v>
      </c>
      <c r="B3592" t="str">
        <f>"1551599319874746"</f>
        <v>1551599319874746</v>
      </c>
      <c r="C3592" t="s">
        <v>40</v>
      </c>
      <c r="D3592">
        <v>5.5022960000000003</v>
      </c>
      <c r="E3592">
        <v>0.56537930000000003</v>
      </c>
      <c r="F3592" t="s">
        <v>42</v>
      </c>
      <c r="G3592">
        <v>-370.38940000000002</v>
      </c>
      <c r="H3592">
        <v>0.91704490000000005</v>
      </c>
      <c r="I3592">
        <v>214.52889999999999</v>
      </c>
      <c r="J3592">
        <v>-370.76260000000002</v>
      </c>
      <c r="K3592">
        <v>1.1204609999999999</v>
      </c>
      <c r="L3592">
        <v>214.65700000000001</v>
      </c>
      <c r="M3592">
        <v>0.99994090000000002</v>
      </c>
      <c r="N3592">
        <v>-1.0837640000000001E-2</v>
      </c>
      <c r="O3592">
        <v>8.3808519999999998E-4</v>
      </c>
      <c r="P3592">
        <v>0.99445309999999998</v>
      </c>
      <c r="Q3592">
        <v>-0.10514560000000001</v>
      </c>
      <c r="R3592">
        <v>-2.7398610000000001E-3</v>
      </c>
      <c r="S3592">
        <v>2.9255369999999998</v>
      </c>
      <c r="T3592">
        <v>-0.84645179999999998</v>
      </c>
      <c r="U3592">
        <v>-0.53016660000000004</v>
      </c>
      <c r="V3592">
        <v>3.6318460000000002E-3</v>
      </c>
      <c r="W3592">
        <v>-9.4359739999999998E-2</v>
      </c>
      <c r="X3592">
        <v>0.99553159999999896</v>
      </c>
      <c r="Y3592">
        <v>0.17200179999999901</v>
      </c>
      <c r="Z3592">
        <v>-2.538263E-2</v>
      </c>
      <c r="AA3592">
        <v>0.98476960000000002</v>
      </c>
      <c r="AB3592">
        <v>32</v>
      </c>
      <c r="AC3592">
        <v>0.37319999999999698</v>
      </c>
      <c r="AD3592">
        <v>-0.20341609999999999</v>
      </c>
      <c r="AE3592">
        <v>-0.12810000000001701</v>
      </c>
      <c r="AF3592">
        <v>0.101449811449788</v>
      </c>
      <c r="AG3592">
        <v>-0.20341609999999999</v>
      </c>
      <c r="AH3592">
        <v>0.29475394867682397</v>
      </c>
      <c r="AI3592">
        <v>123.12652141892301</v>
      </c>
      <c r="AJ3592">
        <v>71.0073186372191</v>
      </c>
      <c r="AK3592">
        <v>0.37222313770504301</v>
      </c>
      <c r="AL3592">
        <v>95.414469759657095</v>
      </c>
      <c r="AM3592">
        <v>89.7909774792722</v>
      </c>
      <c r="AN3592">
        <v>1.0000000587183899</v>
      </c>
    </row>
    <row r="3593" spans="1:40" x14ac:dyDescent="0.25">
      <c r="A3593" t="str">
        <f>"20190303154839902"</f>
        <v>20190303154839902</v>
      </c>
      <c r="B3593" t="str">
        <f>"1551599319894266"</f>
        <v>1551599319894266</v>
      </c>
      <c r="C3593" t="s">
        <v>40</v>
      </c>
      <c r="D3593">
        <v>5.4041759999999996</v>
      </c>
      <c r="E3593">
        <v>0.565195</v>
      </c>
      <c r="F3593" t="s">
        <v>42</v>
      </c>
      <c r="G3593">
        <v>-369.83690000000001</v>
      </c>
      <c r="H3593">
        <v>0.85324040000000001</v>
      </c>
      <c r="I3593">
        <v>214.49010000000001</v>
      </c>
      <c r="J3593">
        <v>-370.45780000000002</v>
      </c>
      <c r="K3593">
        <v>1.120463</v>
      </c>
      <c r="L3593">
        <v>214.6576</v>
      </c>
      <c r="M3593">
        <v>0.99993900000000002</v>
      </c>
      <c r="N3593">
        <v>-1.0992999999999999E-2</v>
      </c>
      <c r="O3593">
        <v>1.131125E-3</v>
      </c>
      <c r="P3593">
        <v>0.99446820000000002</v>
      </c>
      <c r="Q3593">
        <v>-0.10501000000000001</v>
      </c>
      <c r="R3593">
        <v>-2.5012760000000002E-3</v>
      </c>
      <c r="S3593">
        <v>2.9259029999999999</v>
      </c>
      <c r="T3593">
        <v>-0.84472760000000002</v>
      </c>
      <c r="U3593">
        <v>-0.52731319999999904</v>
      </c>
      <c r="V3593">
        <v>3.6846169999999998E-3</v>
      </c>
      <c r="W3593">
        <v>-9.4069239999999998E-2</v>
      </c>
      <c r="X3593">
        <v>0.99555890000000002</v>
      </c>
      <c r="Y3593">
        <v>0.17137769999999999</v>
      </c>
      <c r="Z3593">
        <v>-2.533535E-2</v>
      </c>
      <c r="AA3593">
        <v>0.98487959999999997</v>
      </c>
      <c r="AB3593">
        <v>32</v>
      </c>
      <c r="AC3593">
        <v>0.620900000000006</v>
      </c>
      <c r="AD3593">
        <v>-0.26722259999999998</v>
      </c>
      <c r="AE3593">
        <v>-0.16749999999998899</v>
      </c>
      <c r="AF3593">
        <v>0.143436387611758</v>
      </c>
      <c r="AG3593">
        <v>-0.26722259999999998</v>
      </c>
      <c r="AH3593">
        <v>0.52931764054476704</v>
      </c>
      <c r="AI3593">
        <v>115.97857749548599</v>
      </c>
      <c r="AJ3593">
        <v>74.8379122013489</v>
      </c>
      <c r="AK3593">
        <v>0.61004842417118799</v>
      </c>
      <c r="AL3593">
        <v>95.397750958656601</v>
      </c>
      <c r="AM3593">
        <v>89.787946208604694</v>
      </c>
      <c r="AN3593">
        <v>1.00000006084291</v>
      </c>
    </row>
    <row r="3594" spans="1:40" x14ac:dyDescent="0.25">
      <c r="A3594" t="str">
        <f>"20190303154839924"</f>
        <v>20190303154839924</v>
      </c>
      <c r="B3594" t="str">
        <f>"1551599319914596"</f>
        <v>1551599319914596</v>
      </c>
      <c r="C3594" t="s">
        <v>40</v>
      </c>
      <c r="D3594">
        <v>5.4606669999999999</v>
      </c>
      <c r="E3594">
        <v>0.56483190000000005</v>
      </c>
      <c r="F3594" t="s">
        <v>42</v>
      </c>
      <c r="G3594">
        <v>-369.5462</v>
      </c>
      <c r="H3594">
        <v>0.85805730000000002</v>
      </c>
      <c r="I3594">
        <v>214.49359999999999</v>
      </c>
      <c r="J3594">
        <v>-370.13580000000002</v>
      </c>
      <c r="K3594">
        <v>1.1204240000000001</v>
      </c>
      <c r="L3594">
        <v>214.6583</v>
      </c>
      <c r="M3594">
        <v>0.99993880000000002</v>
      </c>
      <c r="N3594">
        <v>-1.0977880000000001E-2</v>
      </c>
      <c r="O3594">
        <v>1.4393240000000001E-3</v>
      </c>
      <c r="P3594">
        <v>0.99448060000000005</v>
      </c>
      <c r="Q3594">
        <v>-0.1049031</v>
      </c>
      <c r="R3594">
        <v>-1.9827489999999998E-3</v>
      </c>
      <c r="S3594">
        <v>2.9263919999999999</v>
      </c>
      <c r="T3594">
        <v>-0.84240759999999903</v>
      </c>
      <c r="U3594">
        <v>-0.5253601</v>
      </c>
      <c r="V3594">
        <v>3.4719659999999999E-3</v>
      </c>
      <c r="W3594">
        <v>-9.3977379999999999E-2</v>
      </c>
      <c r="X3594">
        <v>0.99556829999999996</v>
      </c>
      <c r="Y3594">
        <v>0.1710566</v>
      </c>
      <c r="Z3594">
        <v>-2.530321E-2</v>
      </c>
      <c r="AA3594">
        <v>0.98493620000000004</v>
      </c>
      <c r="AB3594">
        <v>32</v>
      </c>
      <c r="AC3594">
        <v>0.589600000000018</v>
      </c>
      <c r="AD3594">
        <v>-0.26236670000000001</v>
      </c>
      <c r="AE3594">
        <v>-0.16470000000001001</v>
      </c>
      <c r="AF3594">
        <v>0.13985872380695899</v>
      </c>
      <c r="AG3594">
        <v>-0.26236670000000001</v>
      </c>
      <c r="AH3594">
        <v>0.497905198608878</v>
      </c>
      <c r="AI3594">
        <v>116.899014378117</v>
      </c>
      <c r="AJ3594">
        <v>74.310251001940898</v>
      </c>
      <c r="AK3594">
        <v>0.57991924842649201</v>
      </c>
      <c r="AL3594">
        <v>95.392464563202395</v>
      </c>
      <c r="AM3594">
        <v>89.800186293643904</v>
      </c>
      <c r="AN3594">
        <v>1.00000002123222</v>
      </c>
    </row>
    <row r="3595" spans="1:40" x14ac:dyDescent="0.25">
      <c r="A3595" t="str">
        <f>"20190303154839946"</f>
        <v>20190303154839946</v>
      </c>
      <c r="B3595" t="str">
        <f>"1551599319943876"</f>
        <v>1551599319943876</v>
      </c>
      <c r="C3595" t="s">
        <v>40</v>
      </c>
      <c r="D3595">
        <v>5.3477399999999999</v>
      </c>
      <c r="E3595">
        <v>0.56438459999999901</v>
      </c>
      <c r="F3595" t="s">
        <v>42</v>
      </c>
      <c r="G3595">
        <v>-369.25110000000001</v>
      </c>
      <c r="H3595">
        <v>0.86545099999999997</v>
      </c>
      <c r="I3595">
        <v>214.5008</v>
      </c>
      <c r="J3595">
        <v>-369.8082</v>
      </c>
      <c r="K3595">
        <v>1.120126</v>
      </c>
      <c r="L3595">
        <v>214.6591</v>
      </c>
      <c r="M3595">
        <v>0.99994859999999997</v>
      </c>
      <c r="N3595">
        <v>-9.9881259999999999E-3</v>
      </c>
      <c r="O3595">
        <v>1.7432000000000001E-3</v>
      </c>
      <c r="P3595">
        <v>0.99462249999999996</v>
      </c>
      <c r="Q3595">
        <v>-0.103556</v>
      </c>
      <c r="R3595">
        <v>-1.6032100000000001E-3</v>
      </c>
      <c r="S3595">
        <v>2.9266359999999998</v>
      </c>
      <c r="T3595">
        <v>-0.84340879999999996</v>
      </c>
      <c r="U3595">
        <v>-0.52102660000000001</v>
      </c>
      <c r="V3595">
        <v>3.3914150000000001E-3</v>
      </c>
      <c r="W3595">
        <v>-9.3614559999999999E-2</v>
      </c>
      <c r="X3595">
        <v>0.99560269999999995</v>
      </c>
      <c r="Y3595">
        <v>0.16996839999999999</v>
      </c>
      <c r="Z3595">
        <v>-2.5170430000000001E-2</v>
      </c>
      <c r="AA3595">
        <v>0.985128</v>
      </c>
      <c r="AB3595">
        <v>32</v>
      </c>
      <c r="AC3595">
        <v>0.55709999999999105</v>
      </c>
      <c r="AD3595">
        <v>-0.25467499999999998</v>
      </c>
      <c r="AE3595">
        <v>-0.158299999999996</v>
      </c>
      <c r="AF3595">
        <v>0.13346339607375901</v>
      </c>
      <c r="AG3595">
        <v>-0.25467499999999998</v>
      </c>
      <c r="AH3595">
        <v>0.46659806205919702</v>
      </c>
      <c r="AI3595">
        <v>117.68901500701</v>
      </c>
      <c r="AJ3595">
        <v>74.037614598315002</v>
      </c>
      <c r="AK3595">
        <v>0.54807443402693001</v>
      </c>
      <c r="AL3595">
        <v>95.371584777294899</v>
      </c>
      <c r="AM3595">
        <v>89.804828758993807</v>
      </c>
      <c r="AN3595">
        <v>0.99999996189349205</v>
      </c>
    </row>
    <row r="3596" spans="1:40" x14ac:dyDescent="0.25">
      <c r="A3596" t="str">
        <f>"20190303154839969"</f>
        <v>20190303154839969</v>
      </c>
      <c r="B3596" t="str">
        <f>"1551599319964373"</f>
        <v>1551599319964373</v>
      </c>
      <c r="C3596" t="s">
        <v>40</v>
      </c>
      <c r="D3596">
        <v>5.3641629999999996</v>
      </c>
      <c r="E3596">
        <v>0.56413219999999997</v>
      </c>
      <c r="F3596" t="s">
        <v>42</v>
      </c>
      <c r="G3596">
        <v>-368.9529</v>
      </c>
      <c r="H3596">
        <v>0.87444580000000005</v>
      </c>
      <c r="I3596">
        <v>214.5078</v>
      </c>
      <c r="J3596">
        <v>-369.47930000000002</v>
      </c>
      <c r="K3596">
        <v>1.11982</v>
      </c>
      <c r="L3596">
        <v>214.66</v>
      </c>
      <c r="M3596">
        <v>0.99995959999999995</v>
      </c>
      <c r="N3596">
        <v>-8.7637859999999904E-3</v>
      </c>
      <c r="O3596">
        <v>2.0446829999999998E-3</v>
      </c>
      <c r="P3596">
        <v>0.9948401</v>
      </c>
      <c r="Q3596">
        <v>-0.1014414</v>
      </c>
      <c r="R3596">
        <v>-1.6980179999999999E-3</v>
      </c>
      <c r="S3596">
        <v>2.927826</v>
      </c>
      <c r="T3596">
        <v>-0.84095689999999901</v>
      </c>
      <c r="U3596">
        <v>-0.51632690000000003</v>
      </c>
      <c r="V3596">
        <v>3.7815309999999999E-3</v>
      </c>
      <c r="W3596">
        <v>-9.2717040000000001E-2</v>
      </c>
      <c r="X3596">
        <v>0.9956853</v>
      </c>
      <c r="Y3596">
        <v>0.16877200000000001</v>
      </c>
      <c r="Z3596">
        <v>-2.4900269999999999E-2</v>
      </c>
      <c r="AA3596">
        <v>0.98534049999999995</v>
      </c>
      <c r="AB3596">
        <v>33</v>
      </c>
      <c r="AC3596">
        <v>0.52640000000002296</v>
      </c>
      <c r="AD3596">
        <v>-0.24537419999999999</v>
      </c>
      <c r="AE3596">
        <v>-0.15219999999999301</v>
      </c>
      <c r="AF3596">
        <v>0.12767471044589501</v>
      </c>
      <c r="AG3596">
        <v>-0.24537419999999999</v>
      </c>
      <c r="AH3596">
        <v>0.438216509607467</v>
      </c>
      <c r="AI3596">
        <v>118.261869300391</v>
      </c>
      <c r="AJ3596">
        <v>73.756478099351796</v>
      </c>
      <c r="AK3596">
        <v>0.51821138448092197</v>
      </c>
      <c r="AL3596">
        <v>95.319935911918094</v>
      </c>
      <c r="AM3596">
        <v>89.782396381000197</v>
      </c>
      <c r="AN3596">
        <v>0.99999998305957705</v>
      </c>
    </row>
    <row r="3597" spans="1:40" x14ac:dyDescent="0.25">
      <c r="A3597" t="str">
        <f>"20190303154839991"</f>
        <v>20190303154839991</v>
      </c>
      <c r="B3597" t="str">
        <f>"1551599319983894"</f>
        <v>1551599319983894</v>
      </c>
      <c r="C3597" t="s">
        <v>40</v>
      </c>
      <c r="D3597">
        <v>5.3077670000000001</v>
      </c>
      <c r="E3597">
        <v>0.56390600000000002</v>
      </c>
      <c r="F3597" t="s">
        <v>42</v>
      </c>
      <c r="G3597">
        <v>-368.65210000000002</v>
      </c>
      <c r="H3597">
        <v>0.88394839999999997</v>
      </c>
      <c r="I3597">
        <v>214.51439999999999</v>
      </c>
      <c r="J3597">
        <v>-369.14</v>
      </c>
      <c r="K3597">
        <v>1.119559</v>
      </c>
      <c r="L3597">
        <v>214.6609</v>
      </c>
      <c r="M3597">
        <v>0.99996910000000006</v>
      </c>
      <c r="N3597">
        <v>-7.4985900000000003E-3</v>
      </c>
      <c r="O3597">
        <v>2.3514209999999998E-3</v>
      </c>
      <c r="P3597">
        <v>0.99502780000000002</v>
      </c>
      <c r="Q3597">
        <v>-9.9581939999999994E-2</v>
      </c>
      <c r="R3597">
        <v>-1.8153679999999999E-3</v>
      </c>
      <c r="S3597">
        <v>2.929535</v>
      </c>
      <c r="T3597">
        <v>-0.83538650000000003</v>
      </c>
      <c r="U3597">
        <v>-0.5145111</v>
      </c>
      <c r="V3597">
        <v>4.200039E-3</v>
      </c>
      <c r="W3597">
        <v>-9.2115859999999994E-2</v>
      </c>
      <c r="X3597">
        <v>0.9957395</v>
      </c>
      <c r="Y3597">
        <v>0.16850760000000001</v>
      </c>
      <c r="Z3597">
        <v>-2.4671950000000002E-2</v>
      </c>
      <c r="AA3597">
        <v>0.98539160000000003</v>
      </c>
      <c r="AB3597">
        <v>33</v>
      </c>
      <c r="AC3597">
        <v>0.48789999999996703</v>
      </c>
      <c r="AD3597">
        <v>-0.235610599999999</v>
      </c>
      <c r="AE3597">
        <v>-0.14650000000000299</v>
      </c>
      <c r="AF3597">
        <v>0.12162885527653799</v>
      </c>
      <c r="AG3597">
        <v>-0.235610599999999</v>
      </c>
      <c r="AH3597">
        <v>0.40163836797281699</v>
      </c>
      <c r="AI3597">
        <v>119.311778016006</v>
      </c>
      <c r="AJ3597">
        <v>73.152020555180997</v>
      </c>
      <c r="AK3597">
        <v>0.481268440577719</v>
      </c>
      <c r="AL3597">
        <v>95.285342372796194</v>
      </c>
      <c r="AM3597">
        <v>89.758327271987497</v>
      </c>
      <c r="AN3597">
        <v>1.0000000619256899</v>
      </c>
    </row>
    <row r="3598" spans="1:40" x14ac:dyDescent="0.25">
      <c r="A3598" t="str">
        <f>"20190303154840015"</f>
        <v>20190303154840015</v>
      </c>
      <c r="B3598" t="str">
        <f>"1551599320004388"</f>
        <v>1551599320004388</v>
      </c>
      <c r="C3598" t="s">
        <v>40</v>
      </c>
      <c r="D3598">
        <v>5.3431600000000001</v>
      </c>
      <c r="E3598">
        <v>0.56367800000000001</v>
      </c>
      <c r="F3598" t="s">
        <v>42</v>
      </c>
      <c r="G3598">
        <v>-368.34809999999999</v>
      </c>
      <c r="H3598">
        <v>0.89558059999999995</v>
      </c>
      <c r="I3598">
        <v>214.52180000000001</v>
      </c>
      <c r="J3598">
        <v>-368.7953</v>
      </c>
      <c r="K3598">
        <v>1.1193489999999999</v>
      </c>
      <c r="L3598">
        <v>214.6619</v>
      </c>
      <c r="M3598">
        <v>0.99997689999999995</v>
      </c>
      <c r="N3598">
        <v>-6.2507700000000001E-3</v>
      </c>
      <c r="O3598">
        <v>2.6527230000000001E-3</v>
      </c>
      <c r="P3598">
        <v>0.99519820000000003</v>
      </c>
      <c r="Q3598">
        <v>-9.7858180000000003E-2</v>
      </c>
      <c r="R3598">
        <v>-2.084219E-3</v>
      </c>
      <c r="S3598">
        <v>2.9310909999999999</v>
      </c>
      <c r="T3598">
        <v>-0.82916829999999997</v>
      </c>
      <c r="U3598">
        <v>-0.51359560000000004</v>
      </c>
      <c r="V3598">
        <v>4.7670890000000004E-3</v>
      </c>
      <c r="W3598">
        <v>-9.1633339999999994E-2</v>
      </c>
      <c r="X3598">
        <v>0.99578140000000004</v>
      </c>
      <c r="Y3598">
        <v>0.16853760000000001</v>
      </c>
      <c r="Z3598">
        <v>-2.446827E-2</v>
      </c>
      <c r="AA3598">
        <v>0.98539149999999998</v>
      </c>
      <c r="AB3598">
        <v>33</v>
      </c>
      <c r="AC3598">
        <v>0.44720000000000898</v>
      </c>
      <c r="AD3598">
        <v>-0.22376839999999901</v>
      </c>
      <c r="AE3598">
        <v>-0.14009999999998901</v>
      </c>
      <c r="AF3598">
        <v>0.11505365575909</v>
      </c>
      <c r="AG3598">
        <v>-0.22376839999999901</v>
      </c>
      <c r="AH3598">
        <v>0.36386560789178501</v>
      </c>
      <c r="AI3598">
        <v>120.385697918952</v>
      </c>
      <c r="AJ3598">
        <v>72.453138618961106</v>
      </c>
      <c r="AK3598">
        <v>0.44238876697826501</v>
      </c>
      <c r="AL3598">
        <v>95.2575789411069</v>
      </c>
      <c r="AM3598">
        <v>89.725710890240407</v>
      </c>
      <c r="AN3598">
        <v>0.99999999536152395</v>
      </c>
    </row>
    <row r="3599" spans="1:40" x14ac:dyDescent="0.25">
      <c r="A3599" t="str">
        <f>"20190303154840037"</f>
        <v>20190303154840037</v>
      </c>
      <c r="B3599" t="str">
        <f>"1551599320034645"</f>
        <v>1551599320034645</v>
      </c>
      <c r="C3599" t="s">
        <v>40</v>
      </c>
      <c r="D3599">
        <v>5.3204719999999996</v>
      </c>
      <c r="E3599">
        <v>0.56335749999999996</v>
      </c>
      <c r="F3599" t="s">
        <v>42</v>
      </c>
      <c r="G3599">
        <v>-368.0419</v>
      </c>
      <c r="H3599">
        <v>0.90737069999999997</v>
      </c>
      <c r="I3599">
        <v>214.53039999999999</v>
      </c>
      <c r="J3599">
        <v>-368.45949999999999</v>
      </c>
      <c r="K3599">
        <v>1.1191979999999999</v>
      </c>
      <c r="L3599">
        <v>214.66300000000001</v>
      </c>
      <c r="M3599">
        <v>0.9999825</v>
      </c>
      <c r="N3599">
        <v>-5.1357540000000002E-3</v>
      </c>
      <c r="O3599">
        <v>2.9309119999999999E-3</v>
      </c>
      <c r="P3599">
        <v>0.9953111</v>
      </c>
      <c r="Q3599">
        <v>-9.6696000000000004E-2</v>
      </c>
      <c r="R3599">
        <v>-2.3768970000000002E-3</v>
      </c>
      <c r="S3599">
        <v>2.9322509999999999</v>
      </c>
      <c r="T3599">
        <v>-0.82492430000000005</v>
      </c>
      <c r="U3599">
        <v>-0.51182559999999999</v>
      </c>
      <c r="V3599">
        <v>5.3374919999999897E-3</v>
      </c>
      <c r="W3599">
        <v>-9.1580599999999998E-2</v>
      </c>
      <c r="X3599">
        <v>0.99578339999999999</v>
      </c>
      <c r="Y3599">
        <v>0.16826459999999999</v>
      </c>
      <c r="Z3599">
        <v>-2.428543E-2</v>
      </c>
      <c r="AA3599">
        <v>0.98544259999999995</v>
      </c>
      <c r="AB3599">
        <v>34</v>
      </c>
      <c r="AC3599">
        <v>0.41759999999999298</v>
      </c>
      <c r="AD3599">
        <v>-0.211827299999999</v>
      </c>
      <c r="AE3599">
        <v>-0.132599999999996</v>
      </c>
      <c r="AF3599">
        <v>0.108470080207745</v>
      </c>
      <c r="AG3599">
        <v>-0.211827299999999</v>
      </c>
      <c r="AH3599">
        <v>0.33816773608975298</v>
      </c>
      <c r="AI3599">
        <v>120.814569288982</v>
      </c>
      <c r="AJ3599">
        <v>72.215929708030203</v>
      </c>
      <c r="AK3599">
        <v>0.41351418483243502</v>
      </c>
      <c r="AL3599">
        <v>95.254544180576801</v>
      </c>
      <c r="AM3599">
        <v>89.692892213227793</v>
      </c>
      <c r="AN3599">
        <v>1.00000003741638</v>
      </c>
    </row>
    <row r="3600" spans="1:40" x14ac:dyDescent="0.25">
      <c r="A3600" t="str">
        <f>"20190303154840060"</f>
        <v>20190303154840060</v>
      </c>
      <c r="B3600" t="str">
        <f>"1551599320054165"</f>
        <v>1551599320054165</v>
      </c>
      <c r="C3600" t="s">
        <v>40</v>
      </c>
      <c r="D3600">
        <v>5.3306120000000004</v>
      </c>
      <c r="E3600">
        <v>0.56305479999999997</v>
      </c>
      <c r="F3600" t="s">
        <v>42</v>
      </c>
      <c r="G3600">
        <v>-367.73450000000003</v>
      </c>
      <c r="H3600">
        <v>0.91594430000000004</v>
      </c>
      <c r="I3600">
        <v>214.5367</v>
      </c>
      <c r="J3600">
        <v>-368.11840000000001</v>
      </c>
      <c r="K3600">
        <v>1.1191500000000001</v>
      </c>
      <c r="L3600">
        <v>214.66419999999999</v>
      </c>
      <c r="M3600">
        <v>0.99998580000000004</v>
      </c>
      <c r="N3600">
        <v>-4.2754200000000003E-3</v>
      </c>
      <c r="O3600">
        <v>3.1911719999999999E-3</v>
      </c>
      <c r="P3600">
        <v>0.99532790000000004</v>
      </c>
      <c r="Q3600">
        <v>-9.6522330000000003E-2</v>
      </c>
      <c r="R3600">
        <v>-2.377503E-3</v>
      </c>
      <c r="S3600">
        <v>2.9330440000000002</v>
      </c>
      <c r="T3600">
        <v>-0.82225280000000001</v>
      </c>
      <c r="U3600">
        <v>-0.51007079999999905</v>
      </c>
      <c r="V3600">
        <v>5.5998569999999998E-3</v>
      </c>
      <c r="W3600">
        <v>-9.2263289999999998E-2</v>
      </c>
      <c r="X3600">
        <v>0.99571889999999996</v>
      </c>
      <c r="Y3600">
        <v>0.16796910000000001</v>
      </c>
      <c r="Z3600">
        <v>-2.4163090000000002E-2</v>
      </c>
      <c r="AA3600">
        <v>0.98549609999999999</v>
      </c>
      <c r="AB3600">
        <v>34</v>
      </c>
      <c r="AC3600">
        <v>0.38389999999998198</v>
      </c>
      <c r="AD3600">
        <v>-0.20320569999999999</v>
      </c>
      <c r="AE3600">
        <v>-0.127499999999997</v>
      </c>
      <c r="AF3600">
        <v>0.10278675125794801</v>
      </c>
      <c r="AG3600">
        <v>-0.20320569999999999</v>
      </c>
      <c r="AH3600">
        <v>0.30621851809196299</v>
      </c>
      <c r="AI3600">
        <v>122.174081530848</v>
      </c>
      <c r="AJ3600">
        <v>71.4449149394203</v>
      </c>
      <c r="AK3600">
        <v>0.38161165282141402</v>
      </c>
      <c r="AL3600">
        <v>95.293825941539794</v>
      </c>
      <c r="AM3600">
        <v>89.677775736326396</v>
      </c>
      <c r="AN3600">
        <v>1.00000000044862</v>
      </c>
    </row>
    <row r="3601" spans="1:40" x14ac:dyDescent="0.25">
      <c r="A3601" t="str">
        <f>"20190303154840082"</f>
        <v>20190303154840082</v>
      </c>
      <c r="B3601" t="str">
        <f>"1551599320074661"</f>
        <v>1551599320074661</v>
      </c>
      <c r="C3601" t="s">
        <v>40</v>
      </c>
      <c r="D3601">
        <v>5.2705219999999997</v>
      </c>
      <c r="E3601">
        <v>0.5629845</v>
      </c>
      <c r="F3601" t="s">
        <v>42</v>
      </c>
      <c r="G3601">
        <v>-367.42520000000002</v>
      </c>
      <c r="H3601">
        <v>0.92504249999999999</v>
      </c>
      <c r="I3601">
        <v>214.54400000000001</v>
      </c>
      <c r="J3601">
        <v>-367.77359999999999</v>
      </c>
      <c r="K3601">
        <v>1.1192390000000001</v>
      </c>
      <c r="L3601">
        <v>214.66550000000001</v>
      </c>
      <c r="M3601">
        <v>0.99998640000000005</v>
      </c>
      <c r="N3601">
        <v>-3.954071E-3</v>
      </c>
      <c r="O3601">
        <v>3.4173440000000001E-3</v>
      </c>
      <c r="P3601">
        <v>0.99530879999999999</v>
      </c>
      <c r="Q3601">
        <v>-9.6740339999999994E-2</v>
      </c>
      <c r="R3601">
        <v>-1.3797169999999999E-3</v>
      </c>
      <c r="S3601">
        <v>2.9332579999999999</v>
      </c>
      <c r="T3601">
        <v>-0.82135609999999903</v>
      </c>
      <c r="U3601">
        <v>-0.50825500000000001</v>
      </c>
      <c r="V3601">
        <v>4.8300000000000001E-3</v>
      </c>
      <c r="W3601">
        <v>-9.2801590000000003E-2</v>
      </c>
      <c r="X3601">
        <v>0.99567289999999997</v>
      </c>
      <c r="Y3601">
        <v>0.16761389999999901</v>
      </c>
      <c r="Z3601">
        <v>-2.412255E-2</v>
      </c>
      <c r="AA3601">
        <v>0.98555760000000003</v>
      </c>
      <c r="AB3601">
        <v>34</v>
      </c>
      <c r="AC3601">
        <v>0.34839999999996901</v>
      </c>
      <c r="AD3601">
        <v>-0.19419649999999999</v>
      </c>
      <c r="AE3601">
        <v>-0.121499999999997</v>
      </c>
      <c r="AF3601">
        <v>9.6076572980428696E-2</v>
      </c>
      <c r="AG3601">
        <v>-0.19419649999999999</v>
      </c>
      <c r="AH3601">
        <v>0.27249993606128198</v>
      </c>
      <c r="AI3601">
        <v>123.904942352825</v>
      </c>
      <c r="AJ3601">
        <v>70.578640903471495</v>
      </c>
      <c r="AK3601">
        <v>0.34813675996843002</v>
      </c>
      <c r="AL3601">
        <v>95.324801188864697</v>
      </c>
      <c r="AM3601">
        <v>89.722060885325902</v>
      </c>
      <c r="AN3601">
        <v>0.99999999390046901</v>
      </c>
    </row>
    <row r="3602" spans="1:40" x14ac:dyDescent="0.25">
      <c r="A3602" t="str">
        <f>"20190303154840102"</f>
        <v>20190303154840102</v>
      </c>
      <c r="B3602" t="str">
        <f>"1551599320094181"</f>
        <v>1551599320094181</v>
      </c>
      <c r="C3602" t="s">
        <v>40</v>
      </c>
      <c r="D3602">
        <v>5.2641589999999896</v>
      </c>
      <c r="E3602">
        <v>0.53591109999999997</v>
      </c>
      <c r="F3602" t="s">
        <v>42</v>
      </c>
      <c r="G3602">
        <v>-366.83819999999997</v>
      </c>
      <c r="H3602">
        <v>0.85777959999999998</v>
      </c>
      <c r="I3602">
        <v>214.5044</v>
      </c>
      <c r="J3602">
        <v>-367.44889999999998</v>
      </c>
      <c r="K3602">
        <v>1.11941</v>
      </c>
      <c r="L3602">
        <v>214.6669</v>
      </c>
      <c r="M3602">
        <v>0.99998500000000001</v>
      </c>
      <c r="N3602">
        <v>-4.1275219999999998E-3</v>
      </c>
      <c r="O3602">
        <v>3.6016339999999998E-3</v>
      </c>
      <c r="P3602">
        <v>0.99531270000000005</v>
      </c>
      <c r="Q3602">
        <v>-9.6709100000000006E-2</v>
      </c>
      <c r="R3602">
        <v>-3.7545640000000001E-4</v>
      </c>
      <c r="S3602">
        <v>2.9337770000000001</v>
      </c>
      <c r="T3602">
        <v>-0.82006139999999905</v>
      </c>
      <c r="U3602">
        <v>-0.50514219999999999</v>
      </c>
      <c r="V3602">
        <v>4.0090200000000003E-3</v>
      </c>
      <c r="W3602">
        <v>-9.2598040000000006E-2</v>
      </c>
      <c r="X3602">
        <v>0.99569549999999996</v>
      </c>
      <c r="Y3602">
        <v>0.16679179999999999</v>
      </c>
      <c r="Z3602">
        <v>-2.4034460000000001E-2</v>
      </c>
      <c r="AA3602">
        <v>0.9856992</v>
      </c>
      <c r="AB3602">
        <v>34</v>
      </c>
      <c r="AC3602">
        <v>0.61070000000000801</v>
      </c>
      <c r="AD3602">
        <v>-0.26163039999999999</v>
      </c>
      <c r="AE3602">
        <v>-0.16249999999999401</v>
      </c>
      <c r="AF3602">
        <v>0.14059968429356701</v>
      </c>
      <c r="AG3602">
        <v>-0.26163039999999999</v>
      </c>
      <c r="AH3602">
        <v>0.52083892978999402</v>
      </c>
      <c r="AI3602">
        <v>115.871781254769</v>
      </c>
      <c r="AJ3602">
        <v>74.893175516910404</v>
      </c>
      <c r="AK3602">
        <v>0.59957645735335297</v>
      </c>
      <c r="AL3602">
        <v>95.313088170803695</v>
      </c>
      <c r="AM3602">
        <v>89.769308302854597</v>
      </c>
      <c r="AN3602">
        <v>0.99999999898672498</v>
      </c>
    </row>
    <row r="3603" spans="1:40" x14ac:dyDescent="0.25">
      <c r="A3603" t="str">
        <f>"20190303154840349"</f>
        <v>20190303154840349</v>
      </c>
      <c r="B3603" t="str">
        <f>"1551599320344037"</f>
        <v>1551599320344037</v>
      </c>
      <c r="C3603" t="s">
        <v>40</v>
      </c>
      <c r="D3603">
        <v>5.1189939999999998</v>
      </c>
      <c r="E3603">
        <v>0.53297499999999998</v>
      </c>
      <c r="F3603" t="s">
        <v>42</v>
      </c>
      <c r="G3603">
        <v>-363.44479999999999</v>
      </c>
      <c r="H3603">
        <v>0.86087760000000002</v>
      </c>
      <c r="I3603">
        <v>214.5977</v>
      </c>
      <c r="J3603">
        <v>-363.62900000000002</v>
      </c>
      <c r="K3603">
        <v>1.1199669999999999</v>
      </c>
      <c r="L3603">
        <v>214.68379999999999</v>
      </c>
      <c r="M3603">
        <v>0.99995639999999997</v>
      </c>
      <c r="N3603">
        <v>-8.221608E-3</v>
      </c>
      <c r="O3603">
        <v>4.4227229999999999E-3</v>
      </c>
      <c r="P3603">
        <v>0.99514720000000001</v>
      </c>
      <c r="Q3603">
        <v>-9.8394620000000002E-2</v>
      </c>
      <c r="R3603">
        <v>6.7153779999999999E-4</v>
      </c>
      <c r="S3603">
        <v>2.93045</v>
      </c>
      <c r="T3603">
        <v>-0.84617659999999995</v>
      </c>
      <c r="U3603">
        <v>-0.26936339999999998</v>
      </c>
      <c r="V3603">
        <v>3.7321429999999998E-3</v>
      </c>
      <c r="W3603">
        <v>-9.0209570000000003E-2</v>
      </c>
      <c r="X3603">
        <v>0.99591580000000002</v>
      </c>
      <c r="Y3603">
        <v>9.1930719999999994E-2</v>
      </c>
      <c r="Z3603">
        <v>-1.4581119999999999E-2</v>
      </c>
      <c r="AA3603">
        <v>0.99565859999999995</v>
      </c>
      <c r="AB3603">
        <v>35</v>
      </c>
      <c r="AC3603">
        <v>0.184200000000032</v>
      </c>
      <c r="AD3603">
        <v>-0.25908939999999903</v>
      </c>
      <c r="AE3603">
        <v>-8.6099999999987603E-2</v>
      </c>
      <c r="AF3603">
        <v>3.3126770220626503E-2</v>
      </c>
      <c r="AG3603">
        <v>-0.25908939999999903</v>
      </c>
      <c r="AH3603">
        <v>7.0061058615125099E-2</v>
      </c>
      <c r="AI3603">
        <v>163.347197583286</v>
      </c>
      <c r="AJ3603">
        <v>64.693944552045494</v>
      </c>
      <c r="AK3603">
        <v>0.27043160324171001</v>
      </c>
      <c r="AL3603">
        <v>95.175663671811904</v>
      </c>
      <c r="AM3603">
        <v>89.785288031925006</v>
      </c>
      <c r="AN3603">
        <v>0.99999998805029799</v>
      </c>
    </row>
    <row r="3604" spans="1:40" x14ac:dyDescent="0.25">
      <c r="A3604" t="str">
        <f>"20190303154840370"</f>
        <v>20190303154840370</v>
      </c>
      <c r="B3604" t="str">
        <f>"1551599320364533"</f>
        <v>1551599320364533</v>
      </c>
      <c r="C3604" t="s">
        <v>40</v>
      </c>
      <c r="D3604">
        <v>4.3736750000000004</v>
      </c>
      <c r="E3604">
        <v>0.53228409999999904</v>
      </c>
      <c r="F3604" t="s">
        <v>42</v>
      </c>
      <c r="G3604">
        <v>-362.81209999999999</v>
      </c>
      <c r="H3604">
        <v>0.88755249999999997</v>
      </c>
      <c r="I3604">
        <v>214.6113</v>
      </c>
      <c r="J3604">
        <v>-363.30970000000002</v>
      </c>
      <c r="K3604">
        <v>1.1199539999999999</v>
      </c>
      <c r="L3604">
        <v>214.68520000000001</v>
      </c>
      <c r="M3604">
        <v>0.99995520000000004</v>
      </c>
      <c r="N3604">
        <v>-8.3538680000000004E-3</v>
      </c>
      <c r="O3604">
        <v>4.4318580000000003E-3</v>
      </c>
      <c r="P3604">
        <v>0.99516709999999997</v>
      </c>
      <c r="Q3604">
        <v>-9.8175189999999996E-2</v>
      </c>
      <c r="R3604">
        <v>2.0008259999999998E-3</v>
      </c>
      <c r="S3604">
        <v>2.932312</v>
      </c>
      <c r="T3604">
        <v>-0.83431299999999997</v>
      </c>
      <c r="U3604">
        <v>-0.25991819999999999</v>
      </c>
      <c r="V3604">
        <v>2.4113709999999998E-3</v>
      </c>
      <c r="W3604">
        <v>-8.9858229999999997E-2</v>
      </c>
      <c r="X3604">
        <v>0.9959517</v>
      </c>
      <c r="Y3604">
        <v>8.8931960000000004E-2</v>
      </c>
      <c r="Z3604">
        <v>-1.39601E-2</v>
      </c>
      <c r="AA3604">
        <v>0.99593989999999999</v>
      </c>
      <c r="AB3604">
        <v>35</v>
      </c>
      <c r="AC3604">
        <v>0.49760000000003302</v>
      </c>
      <c r="AD3604">
        <v>-0.23240150000000001</v>
      </c>
      <c r="AE3604">
        <v>-7.3900000000008903E-2</v>
      </c>
      <c r="AF3604">
        <v>6.2718942922579096E-2</v>
      </c>
      <c r="AG3604">
        <v>-0.23240150000000001</v>
      </c>
      <c r="AH3604">
        <v>0.409805444487021</v>
      </c>
      <c r="AI3604">
        <v>119.273894359758</v>
      </c>
      <c r="AJ3604">
        <v>81.298647823509697</v>
      </c>
      <c r="AK3604">
        <v>0.475273211253044</v>
      </c>
      <c r="AL3604">
        <v>95.155450950727698</v>
      </c>
      <c r="AM3604">
        <v>89.861277297713997</v>
      </c>
      <c r="AN3604">
        <v>1.0000000524708501</v>
      </c>
    </row>
    <row r="3605" spans="1:40" x14ac:dyDescent="0.25">
      <c r="A3605" t="str">
        <f>"20190303154840538"</f>
        <v>20190303154840538</v>
      </c>
      <c r="B3605" t="str">
        <f>"1551599320534358"</f>
        <v>1551599320534358</v>
      </c>
      <c r="C3605" t="s">
        <v>40</v>
      </c>
      <c r="D3605">
        <v>5.0505680000000002</v>
      </c>
      <c r="E3605">
        <v>0.54026010000000002</v>
      </c>
      <c r="F3605" t="s">
        <v>42</v>
      </c>
      <c r="G3605">
        <v>-360.32600000000002</v>
      </c>
      <c r="H3605">
        <v>0.81815719999999903</v>
      </c>
      <c r="I3605">
        <v>214.5926</v>
      </c>
      <c r="J3605">
        <v>-360.67110000000002</v>
      </c>
      <c r="K3605">
        <v>1.11975</v>
      </c>
      <c r="L3605">
        <v>214.69739999999999</v>
      </c>
      <c r="M3605">
        <v>0.99995710000000004</v>
      </c>
      <c r="N3605">
        <v>-7.9703069999999994E-3</v>
      </c>
      <c r="O3605">
        <v>4.7500110000000002E-3</v>
      </c>
      <c r="P3605">
        <v>0.99494110000000002</v>
      </c>
      <c r="Q3605">
        <v>-0.1004406</v>
      </c>
      <c r="R3605">
        <v>-2.090232E-3</v>
      </c>
      <c r="S3605">
        <v>2.890625</v>
      </c>
      <c r="T3605">
        <v>-1.2334540000000001</v>
      </c>
      <c r="U3605">
        <v>-0.42019649999999997</v>
      </c>
      <c r="V3605">
        <v>6.8269469999999999E-3</v>
      </c>
      <c r="W3605">
        <v>-9.2506820000000003E-2</v>
      </c>
      <c r="X3605">
        <v>0.99568869999999998</v>
      </c>
      <c r="Y3605">
        <v>0.1362681</v>
      </c>
      <c r="Z3605">
        <v>-3.019556E-2</v>
      </c>
      <c r="AA3605">
        <v>0.99021170000000003</v>
      </c>
      <c r="AB3605">
        <v>35</v>
      </c>
      <c r="AC3605">
        <v>0.34510000000005803</v>
      </c>
      <c r="AD3605">
        <v>-0.30159279999999999</v>
      </c>
      <c r="AE3605">
        <v>-0.104799999999983</v>
      </c>
      <c r="AF3605">
        <v>6.2637759200813006E-2</v>
      </c>
      <c r="AG3605">
        <v>-0.30159279999999999</v>
      </c>
      <c r="AH3605">
        <v>0.20279265639463401</v>
      </c>
      <c r="AI3605">
        <v>144.864028638024</v>
      </c>
      <c r="AJ3605">
        <v>72.835343185879395</v>
      </c>
      <c r="AK3605">
        <v>0.36879068233502199</v>
      </c>
      <c r="AL3605">
        <v>95.307838831670594</v>
      </c>
      <c r="AM3605">
        <v>89.607157216297907</v>
      </c>
      <c r="AN3605">
        <v>1.0000000531297699</v>
      </c>
    </row>
    <row r="3606" spans="1:40" x14ac:dyDescent="0.25">
      <c r="A3606" t="str">
        <f>"20190303154840561"</f>
        <v>20190303154840561</v>
      </c>
      <c r="B3606" t="str">
        <f>"1551599320554853"</f>
        <v>1551599320554853</v>
      </c>
      <c r="C3606" t="s">
        <v>40</v>
      </c>
      <c r="D3606">
        <v>5.1013979999999997</v>
      </c>
      <c r="E3606">
        <v>0.53557559999999904</v>
      </c>
      <c r="F3606" t="s">
        <v>57</v>
      </c>
      <c r="G3606">
        <v>-169.71559999999999</v>
      </c>
      <c r="H3606">
        <v>7.2600610000000003</v>
      </c>
      <c r="I3606">
        <v>193.84800000000001</v>
      </c>
      <c r="J3606">
        <v>-360.31470000000002</v>
      </c>
      <c r="K3606">
        <v>1.119734</v>
      </c>
      <c r="L3606">
        <v>214.69919999999999</v>
      </c>
      <c r="M3606">
        <v>0.99995769999999995</v>
      </c>
      <c r="N3606">
        <v>-7.8086739999999998E-3</v>
      </c>
      <c r="O3606">
        <v>4.8452790000000001E-3</v>
      </c>
      <c r="P3606">
        <v>0.99502299999999999</v>
      </c>
      <c r="Q3606">
        <v>-9.961921E-2</v>
      </c>
      <c r="R3606">
        <v>-2.2931610000000002E-3</v>
      </c>
      <c r="S3606">
        <v>3.024384</v>
      </c>
      <c r="T3606">
        <v>9.7251770000000001E-2</v>
      </c>
      <c r="U3606">
        <v>-0.3302155</v>
      </c>
      <c r="V3606">
        <v>7.1276229999999996E-3</v>
      </c>
      <c r="W3606">
        <v>-9.1845529999999995E-2</v>
      </c>
      <c r="X3606">
        <v>0.99574770000000001</v>
      </c>
      <c r="Y3606">
        <v>0.1133073</v>
      </c>
      <c r="Z3606">
        <v>1.565117E-3</v>
      </c>
      <c r="AA3606">
        <v>0.99355879999999996</v>
      </c>
      <c r="AB3606">
        <v>35</v>
      </c>
      <c r="AC3606">
        <v>190.59909999999999</v>
      </c>
      <c r="AD3606">
        <v>6.1403270000000001</v>
      </c>
      <c r="AE3606">
        <v>-20.851199999999999</v>
      </c>
      <c r="AF3606">
        <v>21.7521804075799</v>
      </c>
      <c r="AG3606">
        <v>6.1403270000000001</v>
      </c>
      <c r="AH3606">
        <v>190.30065876281299</v>
      </c>
      <c r="AI3606">
        <v>88.163857528656393</v>
      </c>
      <c r="AJ3606">
        <v>83.479148042547706</v>
      </c>
      <c r="AK3606">
        <v>191.63820520374199</v>
      </c>
      <c r="AL3606">
        <v>95.269788293285103</v>
      </c>
      <c r="AM3606">
        <v>89.589880306836704</v>
      </c>
      <c r="AN3606">
        <v>0.99999994322294805</v>
      </c>
    </row>
    <row r="3607" spans="1:40" x14ac:dyDescent="0.25">
      <c r="A3607" t="str">
        <f>"20190303154840583"</f>
        <v>20190303154840583</v>
      </c>
      <c r="B3607" t="str">
        <f>"1551599320574378"</f>
        <v>1551599320574378</v>
      </c>
      <c r="C3607" t="s">
        <v>40</v>
      </c>
      <c r="D3607">
        <v>5.0114190000000001</v>
      </c>
      <c r="E3607">
        <v>0.53344789999999997</v>
      </c>
      <c r="F3607" t="s">
        <v>57</v>
      </c>
      <c r="G3607">
        <v>-168.4153</v>
      </c>
      <c r="H3607">
        <v>3.9915880000000001</v>
      </c>
      <c r="I3607">
        <v>196.07490000000001</v>
      </c>
      <c r="J3607">
        <v>-359.96269999999998</v>
      </c>
      <c r="K3607">
        <v>1.1197189999999999</v>
      </c>
      <c r="L3607">
        <v>214.70099999999999</v>
      </c>
      <c r="M3607">
        <v>0.99995860000000003</v>
      </c>
      <c r="N3607">
        <v>-7.6478519999999897E-3</v>
      </c>
      <c r="O3607">
        <v>4.9536370000000003E-3</v>
      </c>
      <c r="P3607">
        <v>0.99506589999999995</v>
      </c>
      <c r="Q3607">
        <v>-9.9184159999999993E-2</v>
      </c>
      <c r="R3607">
        <v>-2.5760869999999999E-3</v>
      </c>
      <c r="S3607">
        <v>3.0188290000000002</v>
      </c>
      <c r="T3607">
        <v>4.5178530000000001E-2</v>
      </c>
      <c r="U3607">
        <v>-0.29298400000000002</v>
      </c>
      <c r="V3607">
        <v>7.5209989999999996E-3</v>
      </c>
      <c r="W3607">
        <v>-9.1570040000000005E-2</v>
      </c>
      <c r="X3607">
        <v>0.99577020000000005</v>
      </c>
      <c r="Y3607">
        <v>0.101521</v>
      </c>
      <c r="Z3607">
        <v>4.8045459999999999E-4</v>
      </c>
      <c r="AA3607">
        <v>0.99483330000000003</v>
      </c>
      <c r="AB3607">
        <v>36</v>
      </c>
      <c r="AC3607">
        <v>191.54740000000001</v>
      </c>
      <c r="AD3607">
        <v>2.8718689999999998</v>
      </c>
      <c r="AE3607">
        <v>-18.626099999999902</v>
      </c>
      <c r="AF3607">
        <v>19.570397366892699</v>
      </c>
      <c r="AG3607">
        <v>2.8718689999999998</v>
      </c>
      <c r="AH3607">
        <v>191.41015605234401</v>
      </c>
      <c r="AI3607">
        <v>89.144870621629394</v>
      </c>
      <c r="AJ3607">
        <v>84.162178858769906</v>
      </c>
      <c r="AK3607">
        <v>192.42945700862401</v>
      </c>
      <c r="AL3607">
        <v>95.253936968685906</v>
      </c>
      <c r="AM3607">
        <v>89.567256274145393</v>
      </c>
      <c r="AN3607">
        <v>0.99999996442979899</v>
      </c>
    </row>
    <row r="3608" spans="1:40" x14ac:dyDescent="0.25">
      <c r="A3608" t="str">
        <f>"20190303154840604"</f>
        <v>20190303154840604</v>
      </c>
      <c r="B3608" t="str">
        <f>"1551599320594873"</f>
        <v>1551599320594873</v>
      </c>
      <c r="C3608" t="s">
        <v>40</v>
      </c>
      <c r="D3608">
        <v>5.060638</v>
      </c>
      <c r="E3608">
        <v>0.53055299999999905</v>
      </c>
      <c r="F3608" t="s">
        <v>57</v>
      </c>
      <c r="G3608">
        <v>-168.4145</v>
      </c>
      <c r="H3608">
        <v>2.7313700000000001</v>
      </c>
      <c r="I3608">
        <v>197.13120000000001</v>
      </c>
      <c r="J3608">
        <v>-359.61</v>
      </c>
      <c r="K3608">
        <v>1.1197060000000001</v>
      </c>
      <c r="L3608">
        <v>214.7028</v>
      </c>
      <c r="M3608">
        <v>0.99995909999999999</v>
      </c>
      <c r="N3608">
        <v>-7.4934090000000004E-3</v>
      </c>
      <c r="O3608">
        <v>5.0718389999999999E-3</v>
      </c>
      <c r="P3608">
        <v>0.99503940000000002</v>
      </c>
      <c r="Q3608">
        <v>-9.9464629999999998E-2</v>
      </c>
      <c r="R3608">
        <v>-1.9324640000000001E-3</v>
      </c>
      <c r="S3608">
        <v>3.0166629999999999</v>
      </c>
      <c r="T3608">
        <v>2.5382160000000001E-2</v>
      </c>
      <c r="U3608">
        <v>-0.27670289999999997</v>
      </c>
      <c r="V3608">
        <v>6.9969790000000004E-3</v>
      </c>
      <c r="W3608">
        <v>-9.2004420000000003E-2</v>
      </c>
      <c r="X3608">
        <v>0.99573400000000001</v>
      </c>
      <c r="Y3608">
        <v>9.6390020000000007E-2</v>
      </c>
      <c r="Z3608">
        <v>1.2325819999999999E-4</v>
      </c>
      <c r="AA3608">
        <v>0.9953436</v>
      </c>
      <c r="AB3608">
        <v>36</v>
      </c>
      <c r="AC3608">
        <v>191.19550000000001</v>
      </c>
      <c r="AD3608">
        <v>1.611664</v>
      </c>
      <c r="AE3608">
        <v>-17.571599999999901</v>
      </c>
      <c r="AF3608">
        <v>18.539807657182799</v>
      </c>
      <c r="AG3608">
        <v>1.611664</v>
      </c>
      <c r="AH3608">
        <v>191.09045372844801</v>
      </c>
      <c r="AI3608">
        <v>89.519034996038997</v>
      </c>
      <c r="AJ3608">
        <v>84.458444254563403</v>
      </c>
      <c r="AK3608">
        <v>191.994488032752</v>
      </c>
      <c r="AL3608">
        <v>95.278930509329001</v>
      </c>
      <c r="AM3608">
        <v>89.597391705295706</v>
      </c>
      <c r="AN3608">
        <v>0.99999998488533104</v>
      </c>
    </row>
    <row r="3609" spans="1:40" x14ac:dyDescent="0.25">
      <c r="A3609" t="str">
        <f>"20190303154840629"</f>
        <v>20190303154840629</v>
      </c>
      <c r="B3609" t="str">
        <f>"1551599320624149"</f>
        <v>1551599320624149</v>
      </c>
      <c r="C3609" t="s">
        <v>40</v>
      </c>
      <c r="D3609">
        <v>5.0530780000000002</v>
      </c>
      <c r="E3609">
        <v>0.5269471</v>
      </c>
      <c r="F3609" t="s">
        <v>57</v>
      </c>
      <c r="G3609">
        <v>-168.4135</v>
      </c>
      <c r="H3609">
        <v>1.2929389999999901</v>
      </c>
      <c r="I3609">
        <v>198.76249999999999</v>
      </c>
      <c r="J3609">
        <v>-359.22980000000001</v>
      </c>
      <c r="K3609">
        <v>1.119694</v>
      </c>
      <c r="L3609">
        <v>214.70480000000001</v>
      </c>
      <c r="M3609">
        <v>0.9999595</v>
      </c>
      <c r="N3609">
        <v>-7.3359749999999998E-3</v>
      </c>
      <c r="O3609">
        <v>5.20785E-3</v>
      </c>
      <c r="P3609">
        <v>0.99505259999999995</v>
      </c>
      <c r="Q3609">
        <v>-9.9345000000000003E-2</v>
      </c>
      <c r="R3609">
        <v>-8.989798E-4</v>
      </c>
      <c r="S3609">
        <v>3.0147400000000002</v>
      </c>
      <c r="T3609">
        <v>2.732038E-3</v>
      </c>
      <c r="U3609">
        <v>-0.25134279999999998</v>
      </c>
      <c r="V3609">
        <v>6.1010659999999996E-3</v>
      </c>
      <c r="W3609">
        <v>-9.2041479999999995E-2</v>
      </c>
      <c r="X3609">
        <v>0.99573650000000002</v>
      </c>
      <c r="Y3609">
        <v>8.8272000000000003E-2</v>
      </c>
      <c r="Z3609">
        <v>-2.4156859999999999E-4</v>
      </c>
      <c r="AA3609">
        <v>0.99609639999999999</v>
      </c>
      <c r="AB3609">
        <v>36</v>
      </c>
      <c r="AC3609">
        <v>190.81630000000001</v>
      </c>
      <c r="AD3609">
        <v>0.17324499999999901</v>
      </c>
      <c r="AE3609">
        <v>-15.942299999999999</v>
      </c>
      <c r="AF3609">
        <v>16.935839370930101</v>
      </c>
      <c r="AG3609">
        <v>0.17324499999999901</v>
      </c>
      <c r="AH3609">
        <v>190.73052873673799</v>
      </c>
      <c r="AI3609">
        <v>89.948160878654093</v>
      </c>
      <c r="AJ3609">
        <v>84.925752676898696</v>
      </c>
      <c r="AK3609">
        <v>191.48103629661</v>
      </c>
      <c r="AL3609">
        <v>95.281062767741801</v>
      </c>
      <c r="AM3609">
        <v>89.648942307612003</v>
      </c>
      <c r="AN3609">
        <v>1.00000001723958</v>
      </c>
    </row>
    <row r="3610" spans="1:40" x14ac:dyDescent="0.25">
      <c r="A3610" t="str">
        <f>"20190303154840652"</f>
        <v>20190303154840652</v>
      </c>
      <c r="B3610" t="str">
        <f>"1551599320644645"</f>
        <v>1551599320644645</v>
      </c>
      <c r="C3610" t="s">
        <v>40</v>
      </c>
      <c r="D3610">
        <v>5.0661050000000003</v>
      </c>
      <c r="E3610">
        <v>0.52519659999999901</v>
      </c>
      <c r="F3610" t="s">
        <v>52</v>
      </c>
      <c r="G3610">
        <v>-263.27969999999999</v>
      </c>
      <c r="H3610">
        <v>8.0000799999999997E-2</v>
      </c>
      <c r="I3610">
        <v>207.72149999999999</v>
      </c>
      <c r="J3610">
        <v>-358.8485</v>
      </c>
      <c r="K3610">
        <v>1.1196889999999999</v>
      </c>
      <c r="L3610">
        <v>214.70699999999999</v>
      </c>
      <c r="M3610">
        <v>0.99995999999999996</v>
      </c>
      <c r="N3610">
        <v>-7.1908650000000003E-3</v>
      </c>
      <c r="O3610">
        <v>5.3496869999999997E-3</v>
      </c>
      <c r="P3610">
        <v>0.99499760000000004</v>
      </c>
      <c r="Q3610">
        <v>-9.9900619999999996E-2</v>
      </c>
      <c r="R3610">
        <v>3.159228E-4</v>
      </c>
      <c r="S3610">
        <v>3.0114749999999999</v>
      </c>
      <c r="T3610">
        <v>-3.2631640000000003E-2</v>
      </c>
      <c r="U3610">
        <v>-0.21917719999999999</v>
      </c>
      <c r="V3610">
        <v>5.0288049999999999E-3</v>
      </c>
      <c r="W3610">
        <v>-9.2742050000000006E-2</v>
      </c>
      <c r="X3610">
        <v>0.99567749999999999</v>
      </c>
      <c r="Y3610">
        <v>7.7915760000000001E-2</v>
      </c>
      <c r="Z3610">
        <v>-7.2157259999999996E-4</v>
      </c>
      <c r="AA3610">
        <v>0.9969597</v>
      </c>
      <c r="AB3610">
        <v>36</v>
      </c>
      <c r="AC3610">
        <v>95.568799999999996</v>
      </c>
      <c r="AD3610">
        <v>-1.0396881999999901</v>
      </c>
      <c r="AE3610">
        <v>-6.9855</v>
      </c>
      <c r="AF3610">
        <v>7.4957939119321404</v>
      </c>
      <c r="AG3610">
        <v>-1.0396881999999901</v>
      </c>
      <c r="AH3610">
        <v>95.518816449486707</v>
      </c>
      <c r="AI3610">
        <v>90.621708239314799</v>
      </c>
      <c r="AJ3610">
        <v>85.512936564791303</v>
      </c>
      <c r="AK3610">
        <v>95.8181202791733</v>
      </c>
      <c r="AL3610">
        <v>95.321374827844195</v>
      </c>
      <c r="AM3610">
        <v>89.710622312369907</v>
      </c>
      <c r="AN3610">
        <v>1.00000003036208</v>
      </c>
    </row>
    <row r="3611" spans="1:40" x14ac:dyDescent="0.25">
      <c r="A3611" t="str">
        <f>"20190303154840673"</f>
        <v>20190303154840673</v>
      </c>
      <c r="B3611" t="str">
        <f>"1551599320664165"</f>
        <v>1551599320664165</v>
      </c>
      <c r="C3611" t="s">
        <v>40</v>
      </c>
      <c r="D3611">
        <v>5.2262469999999999</v>
      </c>
      <c r="E3611">
        <v>0.52363389999999999</v>
      </c>
      <c r="F3611" t="s">
        <v>54</v>
      </c>
      <c r="G3611">
        <v>-288.01249999999999</v>
      </c>
      <c r="H3611" s="1">
        <v>4.091611E-6</v>
      </c>
      <c r="I3611">
        <v>209.96960000000001</v>
      </c>
      <c r="J3611">
        <v>-358.49529999999999</v>
      </c>
      <c r="K3611">
        <v>1.1196839999999999</v>
      </c>
      <c r="L3611">
        <v>214.709</v>
      </c>
      <c r="M3611">
        <v>0.99996010000000002</v>
      </c>
      <c r="N3611">
        <v>-7.0705439999999998E-3</v>
      </c>
      <c r="O3611">
        <v>5.4844359999999997E-3</v>
      </c>
      <c r="P3611">
        <v>0.99498399999999998</v>
      </c>
      <c r="Q3611">
        <v>-0.1000245</v>
      </c>
      <c r="R3611">
        <v>1.4697670000000001E-3</v>
      </c>
      <c r="S3611">
        <v>3.010345</v>
      </c>
      <c r="T3611">
        <v>-4.75837E-2</v>
      </c>
      <c r="U3611">
        <v>-0.20132449999999999</v>
      </c>
      <c r="V3611">
        <v>4.0103040000000001E-3</v>
      </c>
      <c r="W3611">
        <v>-9.2985970000000001E-2</v>
      </c>
      <c r="X3611">
        <v>0.99565939999999997</v>
      </c>
      <c r="Y3611">
        <v>7.2186589999999995E-2</v>
      </c>
      <c r="Z3611">
        <v>-8.7321519999999995E-4</v>
      </c>
      <c r="AA3611">
        <v>0.99739069999999996</v>
      </c>
      <c r="AB3611">
        <v>36</v>
      </c>
      <c r="AC3611">
        <v>70.482799999999997</v>
      </c>
      <c r="AD3611">
        <v>-1.1196799083889999</v>
      </c>
      <c r="AE3611">
        <v>-4.7393999999999803</v>
      </c>
      <c r="AF3611">
        <v>5.1246093052331902</v>
      </c>
      <c r="AG3611">
        <v>-1.1196799083889999</v>
      </c>
      <c r="AH3611">
        <v>70.438050555265207</v>
      </c>
      <c r="AI3611">
        <v>90.908294040300504</v>
      </c>
      <c r="AJ3611">
        <v>85.838867277568596</v>
      </c>
      <c r="AK3611">
        <v>70.633096135272396</v>
      </c>
      <c r="AL3611">
        <v>95.3354109249304</v>
      </c>
      <c r="AM3611">
        <v>89.769226051365706</v>
      </c>
      <c r="AN3611">
        <v>1.00000005698168</v>
      </c>
    </row>
    <row r="3612" spans="1:40" x14ac:dyDescent="0.25">
      <c r="A3612" t="str">
        <f>"20190303154840694"</f>
        <v>20190303154840694</v>
      </c>
      <c r="B3612" t="str">
        <f>"1551599320684661"</f>
        <v>1551599320684661</v>
      </c>
      <c r="C3612" t="s">
        <v>40</v>
      </c>
      <c r="D3612">
        <v>5.2246889999999997</v>
      </c>
      <c r="E3612">
        <v>0.52238059999999997</v>
      </c>
      <c r="F3612" t="s">
        <v>54</v>
      </c>
      <c r="G3612">
        <v>-306.39049999999997</v>
      </c>
      <c r="H3612" s="1">
        <v>1.5196860000000001E-6</v>
      </c>
      <c r="I3612">
        <v>211.49770000000001</v>
      </c>
      <c r="J3612">
        <v>-358.15879999999999</v>
      </c>
      <c r="K3612">
        <v>1.119685</v>
      </c>
      <c r="L3612">
        <v>214.71090000000001</v>
      </c>
      <c r="M3612">
        <v>0.99995990000000001</v>
      </c>
      <c r="N3612">
        <v>-6.9689749999999996E-3</v>
      </c>
      <c r="O3612">
        <v>5.6142759999999996E-3</v>
      </c>
      <c r="P3612">
        <v>0.99506340000000004</v>
      </c>
      <c r="Q3612">
        <v>-9.9214549999999999E-2</v>
      </c>
      <c r="R3612">
        <v>2.358635E-3</v>
      </c>
      <c r="S3612">
        <v>3.0088810000000001</v>
      </c>
      <c r="T3612">
        <v>-6.4658049999999995E-2</v>
      </c>
      <c r="U3612">
        <v>-0.1854401</v>
      </c>
      <c r="V3612">
        <v>3.2517980000000002E-3</v>
      </c>
      <c r="W3612">
        <v>-9.2276759999999999E-2</v>
      </c>
      <c r="X3612">
        <v>0.9957281</v>
      </c>
      <c r="Y3612">
        <v>6.7095970000000005E-2</v>
      </c>
      <c r="Z3612">
        <v>-1.035642E-3</v>
      </c>
      <c r="AA3612">
        <v>0.99774600000000002</v>
      </c>
      <c r="AB3612">
        <v>36</v>
      </c>
      <c r="AC3612">
        <v>51.768300000000004</v>
      </c>
      <c r="AD3612">
        <v>-1.1196834803139999</v>
      </c>
      <c r="AE3612">
        <v>-3.2132000000000001</v>
      </c>
      <c r="AF3612">
        <v>3.5021659202045399</v>
      </c>
      <c r="AG3612">
        <v>-1.1196834803139999</v>
      </c>
      <c r="AH3612">
        <v>51.725339461474398</v>
      </c>
      <c r="AI3612">
        <v>91.237239748312902</v>
      </c>
      <c r="AJ3612">
        <v>86.126588128316996</v>
      </c>
      <c r="AK3612">
        <v>51.855854053650397</v>
      </c>
      <c r="AL3612">
        <v>95.294600961479802</v>
      </c>
      <c r="AM3612">
        <v>89.812887033238496</v>
      </c>
      <c r="AN3612">
        <v>1.0000000118779699</v>
      </c>
    </row>
    <row r="3613" spans="1:40" x14ac:dyDescent="0.25">
      <c r="A3613" t="str">
        <f>"20190303154840716"</f>
        <v>20190303154840716</v>
      </c>
      <c r="B3613" t="str">
        <f>"1551599320704181"</f>
        <v>1551599320704181</v>
      </c>
      <c r="C3613" t="s">
        <v>40</v>
      </c>
      <c r="D3613">
        <v>5.1951989999999997</v>
      </c>
      <c r="E3613">
        <v>0.5213025</v>
      </c>
      <c r="F3613" t="s">
        <v>54</v>
      </c>
      <c r="G3613">
        <v>-313.63760000000002</v>
      </c>
      <c r="H3613" s="1">
        <v>2.5187530000000001E-6</v>
      </c>
      <c r="I3613">
        <v>212.15549999999999</v>
      </c>
      <c r="J3613">
        <v>-357.80279999999999</v>
      </c>
      <c r="K3613">
        <v>1.1196839999999999</v>
      </c>
      <c r="L3613">
        <v>214.71299999999999</v>
      </c>
      <c r="M3613">
        <v>0.99995979999999995</v>
      </c>
      <c r="N3613">
        <v>-6.8746609999999998E-3</v>
      </c>
      <c r="O3613">
        <v>5.7523069999999999E-3</v>
      </c>
      <c r="P3613">
        <v>0.99511269999999996</v>
      </c>
      <c r="Q3613">
        <v>-9.8709409999999997E-2</v>
      </c>
      <c r="R3613">
        <v>2.6726390000000001E-3</v>
      </c>
      <c r="S3613">
        <v>3.0077509999999998</v>
      </c>
      <c r="T3613">
        <v>-7.5643180000000004E-2</v>
      </c>
      <c r="U3613">
        <v>-0.17263789999999901</v>
      </c>
      <c r="V3613">
        <v>3.0761690000000001E-3</v>
      </c>
      <c r="W3613">
        <v>-9.1865219999999997E-2</v>
      </c>
      <c r="X3613">
        <v>0.9957667</v>
      </c>
      <c r="Y3613">
        <v>6.3019140000000001E-2</v>
      </c>
      <c r="Z3613">
        <v>-1.113536E-3</v>
      </c>
      <c r="AA3613">
        <v>0.99801169999999995</v>
      </c>
      <c r="AB3613">
        <v>36</v>
      </c>
      <c r="AC3613">
        <v>44.165199999999899</v>
      </c>
      <c r="AD3613">
        <v>-1.119681481247</v>
      </c>
      <c r="AE3613">
        <v>-2.5575000000000001</v>
      </c>
      <c r="AF3613">
        <v>2.8097156307167501</v>
      </c>
      <c r="AG3613">
        <v>-1.119681481247</v>
      </c>
      <c r="AH3613">
        <v>44.121493960841804</v>
      </c>
      <c r="AI3613">
        <v>91.450758996826806</v>
      </c>
      <c r="AJ3613">
        <v>86.356248481370301</v>
      </c>
      <c r="AK3613">
        <v>44.225042881624702</v>
      </c>
      <c r="AL3613">
        <v>95.270920930760397</v>
      </c>
      <c r="AM3613">
        <v>89.822999764814298</v>
      </c>
      <c r="AN3613">
        <v>1.00000000114512</v>
      </c>
    </row>
    <row r="3614" spans="1:40" x14ac:dyDescent="0.25">
      <c r="A3614" t="str">
        <f>"20190303154840740"</f>
        <v>20190303154840740</v>
      </c>
      <c r="B3614" t="str">
        <f>"1551599320734437"</f>
        <v>1551599320734437</v>
      </c>
      <c r="C3614" t="s">
        <v>40</v>
      </c>
      <c r="D3614">
        <v>5.2171890000000003</v>
      </c>
      <c r="E3614">
        <v>0.52030909999999997</v>
      </c>
      <c r="F3614" t="s">
        <v>54</v>
      </c>
      <c r="G3614">
        <v>-317.8415</v>
      </c>
      <c r="H3614" s="1">
        <v>4.383024E-6</v>
      </c>
      <c r="I3614">
        <v>212.54759999999999</v>
      </c>
      <c r="J3614">
        <v>-357.41980000000001</v>
      </c>
      <c r="K3614">
        <v>1.119686</v>
      </c>
      <c r="L3614">
        <v>214.71530000000001</v>
      </c>
      <c r="M3614">
        <v>0.99995970000000001</v>
      </c>
      <c r="N3614">
        <v>-6.786935E-3</v>
      </c>
      <c r="O3614">
        <v>5.9007410000000001E-3</v>
      </c>
      <c r="P3614">
        <v>0.99509570000000003</v>
      </c>
      <c r="Q3614">
        <v>-9.8875909999999997E-2</v>
      </c>
      <c r="R3614">
        <v>2.8733090000000001E-3</v>
      </c>
      <c r="S3614">
        <v>3.0068359999999998</v>
      </c>
      <c r="T3614">
        <v>-8.4248779999999995E-2</v>
      </c>
      <c r="U3614">
        <v>-0.162933299999999</v>
      </c>
      <c r="V3614">
        <v>3.0240200000000001E-3</v>
      </c>
      <c r="W3614">
        <v>-9.2119190000000004E-2</v>
      </c>
      <c r="X3614">
        <v>0.99574339999999995</v>
      </c>
      <c r="Y3614">
        <v>5.9969059999999998E-2</v>
      </c>
      <c r="Z3614">
        <v>-1.1682369999999999E-3</v>
      </c>
      <c r="AA3614">
        <v>0.99819959999999996</v>
      </c>
      <c r="AB3614">
        <v>36</v>
      </c>
      <c r="AC3614">
        <v>39.578299999999999</v>
      </c>
      <c r="AD3614">
        <v>-1.119681616976</v>
      </c>
      <c r="AE3614">
        <v>-2.1677000000000199</v>
      </c>
      <c r="AF3614">
        <v>2.3992943935008602</v>
      </c>
      <c r="AG3614">
        <v>-1.119681616976</v>
      </c>
      <c r="AH3614">
        <v>39.533274145756899</v>
      </c>
      <c r="AI3614">
        <v>91.619348711727696</v>
      </c>
      <c r="AJ3614">
        <v>86.526950134076898</v>
      </c>
      <c r="AK3614">
        <v>39.621838235923001</v>
      </c>
      <c r="AL3614">
        <v>95.285534288123699</v>
      </c>
      <c r="AM3614">
        <v>89.825996285294593</v>
      </c>
      <c r="AN3614">
        <v>1.0000000042533801</v>
      </c>
    </row>
    <row r="3615" spans="1:40" x14ac:dyDescent="0.25">
      <c r="A3615" t="str">
        <f>"20190303154840761"</f>
        <v>20190303154840761</v>
      </c>
      <c r="B3615" t="str">
        <f>"1551599320754933"</f>
        <v>1551599320754933</v>
      </c>
      <c r="C3615" t="s">
        <v>40</v>
      </c>
      <c r="D3615">
        <v>5.2532240000000003</v>
      </c>
      <c r="E3615">
        <v>0.51967169999999996</v>
      </c>
      <c r="F3615" t="s">
        <v>52</v>
      </c>
      <c r="G3615">
        <v>-321.11840000000001</v>
      </c>
      <c r="H3615" s="1">
        <v>-9.4165199999999997E-7</v>
      </c>
      <c r="I3615">
        <v>212.84889999999999</v>
      </c>
      <c r="J3615">
        <v>-357.0711</v>
      </c>
      <c r="K3615">
        <v>1.1196919999999999</v>
      </c>
      <c r="L3615">
        <v>214.7175</v>
      </c>
      <c r="M3615">
        <v>0.9999593</v>
      </c>
      <c r="N3615">
        <v>-6.7193579999999999E-3</v>
      </c>
      <c r="O3615">
        <v>6.0357469999999898E-3</v>
      </c>
      <c r="P3615">
        <v>0.99508359999999996</v>
      </c>
      <c r="Q3615">
        <v>-9.9024280000000006E-2</v>
      </c>
      <c r="R3615">
        <v>1.841082E-3</v>
      </c>
      <c r="S3615">
        <v>3.0059809999999998</v>
      </c>
      <c r="T3615">
        <v>-9.2716930000000003E-2</v>
      </c>
      <c r="U3615">
        <v>-0.15455629999999901</v>
      </c>
      <c r="V3615">
        <v>4.1910389999999997E-3</v>
      </c>
      <c r="W3615">
        <v>-9.2334589999999994E-2</v>
      </c>
      <c r="X3615">
        <v>0.99571920000000003</v>
      </c>
      <c r="Y3615">
        <v>5.7340509999999997E-2</v>
      </c>
      <c r="Z3615">
        <v>-1.2218330000000001E-3</v>
      </c>
      <c r="AA3615">
        <v>0.99835399999999996</v>
      </c>
      <c r="AB3615">
        <v>36</v>
      </c>
      <c r="AC3615">
        <v>35.952699999999901</v>
      </c>
      <c r="AD3615">
        <v>-1.1196929416519901</v>
      </c>
      <c r="AE3615">
        <v>-1.86860000000001</v>
      </c>
      <c r="AF3615">
        <v>2.0835568075319402</v>
      </c>
      <c r="AG3615">
        <v>-1.1196929416519901</v>
      </c>
      <c r="AH3615">
        <v>35.9060343562371</v>
      </c>
      <c r="AI3615">
        <v>91.783133771902499</v>
      </c>
      <c r="AJ3615">
        <v>86.678962449641304</v>
      </c>
      <c r="AK3615">
        <v>35.983860610627602</v>
      </c>
      <c r="AL3615">
        <v>95.297928734849506</v>
      </c>
      <c r="AM3615">
        <v>89.758840214755296</v>
      </c>
      <c r="AN3615">
        <v>0.99999998328350304</v>
      </c>
    </row>
    <row r="3616" spans="1:40" x14ac:dyDescent="0.25">
      <c r="A3616" t="str">
        <f>"20190303154840784"</f>
        <v>20190303154840784</v>
      </c>
      <c r="B3616" t="str">
        <f>"1551599320774453"</f>
        <v>1551599320774453</v>
      </c>
      <c r="C3616" t="s">
        <v>40</v>
      </c>
      <c r="D3616">
        <v>5.2582589999999998</v>
      </c>
      <c r="E3616">
        <v>0.51928660000000004</v>
      </c>
      <c r="F3616" t="s">
        <v>52</v>
      </c>
      <c r="G3616">
        <v>-323.64190000000002</v>
      </c>
      <c r="H3616" s="1">
        <v>4.0125280000000002E-7</v>
      </c>
      <c r="I3616">
        <v>213.02090000000001</v>
      </c>
      <c r="J3616">
        <v>-356.69409999999999</v>
      </c>
      <c r="K3616">
        <v>1.1196889999999999</v>
      </c>
      <c r="L3616">
        <v>214.7199</v>
      </c>
      <c r="M3616">
        <v>0.99995869999999998</v>
      </c>
      <c r="N3616">
        <v>-6.6584809999999999E-3</v>
      </c>
      <c r="O3616">
        <v>6.1813369999999899E-3</v>
      </c>
      <c r="P3616">
        <v>0.99513569999999996</v>
      </c>
      <c r="Q3616">
        <v>-9.8508540000000006E-2</v>
      </c>
      <c r="R3616">
        <v>1.051284E-3</v>
      </c>
      <c r="S3616">
        <v>3.0050659999999998</v>
      </c>
      <c r="T3616">
        <v>-0.1006529</v>
      </c>
      <c r="U3616">
        <v>-0.1525116</v>
      </c>
      <c r="V3616">
        <v>5.1264800000000001E-3</v>
      </c>
      <c r="W3616">
        <v>-9.1878849999999998E-2</v>
      </c>
      <c r="X3616">
        <v>0.995757</v>
      </c>
      <c r="Y3616">
        <v>5.6818489999999999E-2</v>
      </c>
      <c r="Z3616">
        <v>-1.305758E-3</v>
      </c>
      <c r="AA3616">
        <v>0.99838360000000004</v>
      </c>
      <c r="AB3616">
        <v>37</v>
      </c>
      <c r="AC3616">
        <v>33.0521999999999</v>
      </c>
      <c r="AD3616">
        <v>-1.1196885987471901</v>
      </c>
      <c r="AE3616">
        <v>-1.6989999999999801</v>
      </c>
      <c r="AF3616">
        <v>1.9011028889617301</v>
      </c>
      <c r="AG3616">
        <v>-1.1196885987471901</v>
      </c>
      <c r="AH3616">
        <v>33.003291152143703</v>
      </c>
      <c r="AI3616">
        <v>91.939890917097998</v>
      </c>
      <c r="AJ3616">
        <v>86.703209572116904</v>
      </c>
      <c r="AK3616">
        <v>33.076957563018901</v>
      </c>
      <c r="AL3616">
        <v>95.271705176755106</v>
      </c>
      <c r="AM3616">
        <v>89.705025349850004</v>
      </c>
      <c r="AN3616">
        <v>1.00000000346175</v>
      </c>
    </row>
    <row r="3617" spans="1:40" x14ac:dyDescent="0.25">
      <c r="A3617" t="str">
        <f>"20190303154840806"</f>
        <v>20190303154840806</v>
      </c>
      <c r="B3617" t="str">
        <f>"1551599320794953"</f>
        <v>1551599320794953</v>
      </c>
      <c r="C3617" t="s">
        <v>40</v>
      </c>
      <c r="D3617">
        <v>5.2607949999999999</v>
      </c>
      <c r="E3617">
        <v>0.51885579999999998</v>
      </c>
      <c r="F3617" t="s">
        <v>52</v>
      </c>
      <c r="G3617">
        <v>-324.89769999999999</v>
      </c>
      <c r="H3617" s="1">
        <v>1.069527E-6</v>
      </c>
      <c r="I3617">
        <v>213.11369999999999</v>
      </c>
      <c r="J3617">
        <v>-356.33780000000002</v>
      </c>
      <c r="K3617">
        <v>1.119691</v>
      </c>
      <c r="L3617">
        <v>214.72219999999999</v>
      </c>
      <c r="M3617">
        <v>0.99995829999999997</v>
      </c>
      <c r="N3617">
        <v>-6.6110140000000001E-3</v>
      </c>
      <c r="O3617">
        <v>6.3186519999999897E-3</v>
      </c>
      <c r="P3617">
        <v>0.99520209999999998</v>
      </c>
      <c r="Q3617">
        <v>-9.7841609999999996E-2</v>
      </c>
      <c r="R3617">
        <v>5.3765810000000003E-4</v>
      </c>
      <c r="S3617">
        <v>3.0043639999999998</v>
      </c>
      <c r="T3617">
        <v>-0.1057966</v>
      </c>
      <c r="U3617">
        <v>-0.15176389999999901</v>
      </c>
      <c r="V3617">
        <v>5.7773869999999897E-3</v>
      </c>
      <c r="W3617">
        <v>-9.1258569999999997E-2</v>
      </c>
      <c r="X3617">
        <v>0.99581039999999998</v>
      </c>
      <c r="Y3617">
        <v>5.6715660000000001E-2</v>
      </c>
      <c r="Z3617">
        <v>-1.36589E-3</v>
      </c>
      <c r="AA3617">
        <v>0.99838939999999998</v>
      </c>
      <c r="AB3617">
        <v>37</v>
      </c>
      <c r="AC3617">
        <v>31.440100000000001</v>
      </c>
      <c r="AD3617">
        <v>-1.1196899304729999</v>
      </c>
      <c r="AE3617">
        <v>-1.60849999999999</v>
      </c>
      <c r="AF3617">
        <v>1.8048481143072399</v>
      </c>
      <c r="AG3617">
        <v>-1.1196899304729999</v>
      </c>
      <c r="AH3617">
        <v>31.389600543570801</v>
      </c>
      <c r="AI3617">
        <v>92.039550244960793</v>
      </c>
      <c r="AJ3617">
        <v>86.709214404821495</v>
      </c>
      <c r="AK3617">
        <v>31.4613763929848</v>
      </c>
      <c r="AL3617">
        <v>95.236016202758506</v>
      </c>
      <c r="AM3617">
        <v>89.667591162148796</v>
      </c>
      <c r="AN3617">
        <v>0.99999992877357302</v>
      </c>
    </row>
    <row r="3618" spans="1:40" x14ac:dyDescent="0.25">
      <c r="A3618" t="str">
        <f>"20190303154840830"</f>
        <v>20190303154840830</v>
      </c>
      <c r="B3618" t="str">
        <f>"1551599320824230"</f>
        <v>1551599320824230</v>
      </c>
      <c r="C3618" t="s">
        <v>40</v>
      </c>
      <c r="D3618">
        <v>5.276122</v>
      </c>
      <c r="E3618">
        <v>0.51838960000000001</v>
      </c>
      <c r="F3618" t="s">
        <v>52</v>
      </c>
      <c r="G3618">
        <v>-325.52530000000002</v>
      </c>
      <c r="H3618" s="1">
        <v>1.403508E-6</v>
      </c>
      <c r="I3618">
        <v>213.18690000000001</v>
      </c>
      <c r="J3618">
        <v>-355.94720000000001</v>
      </c>
      <c r="K3618">
        <v>1.11969599999999</v>
      </c>
      <c r="L3618">
        <v>214.72479999999999</v>
      </c>
      <c r="M3618">
        <v>0.9999576</v>
      </c>
      <c r="N3618">
        <v>-6.5742319999999898E-3</v>
      </c>
      <c r="O3618">
        <v>6.4691619999999997E-3</v>
      </c>
      <c r="P3618">
        <v>0.99525059999999999</v>
      </c>
      <c r="Q3618">
        <v>-9.7348669999999998E-2</v>
      </c>
      <c r="R3618">
        <v>2.7942240000000001E-4</v>
      </c>
      <c r="S3618">
        <v>3.0038149999999999</v>
      </c>
      <c r="T3618">
        <v>-0.1091549</v>
      </c>
      <c r="U3618">
        <v>-0.14967349999999999</v>
      </c>
      <c r="V3618">
        <v>6.1859219999999999E-3</v>
      </c>
      <c r="W3618">
        <v>-9.0801839999999995E-2</v>
      </c>
      <c r="X3618">
        <v>0.99584980000000001</v>
      </c>
      <c r="Y3618">
        <v>5.6179750000000001E-2</v>
      </c>
      <c r="Z3618">
        <v>-1.3970160000000001E-3</v>
      </c>
      <c r="AA3618">
        <v>0.99841970000000002</v>
      </c>
      <c r="AB3618">
        <v>37</v>
      </c>
      <c r="AC3618">
        <v>30.421899999999901</v>
      </c>
      <c r="AD3618">
        <v>-1.11969459649199</v>
      </c>
      <c r="AE3618">
        <v>-1.5378999999999701</v>
      </c>
      <c r="AF3618">
        <v>1.7323355202339501</v>
      </c>
      <c r="AG3618">
        <v>-1.11969459649199</v>
      </c>
      <c r="AH3618">
        <v>30.370278078917298</v>
      </c>
      <c r="AI3618">
        <v>92.108007053511301</v>
      </c>
      <c r="AJ3618">
        <v>86.735358269689698</v>
      </c>
      <c r="AK3618">
        <v>30.440244626724699</v>
      </c>
      <c r="AL3618">
        <v>95.209737858175401</v>
      </c>
      <c r="AM3618">
        <v>89.644100280434202</v>
      </c>
      <c r="AN3618">
        <v>1.0000000319692</v>
      </c>
    </row>
    <row r="3619" spans="1:40" x14ac:dyDescent="0.25">
      <c r="A3619" t="str">
        <f>"20190303154840854"</f>
        <v>20190303154840854</v>
      </c>
      <c r="B3619" t="str">
        <f>"1551599320844726"</f>
        <v>1551599320844726</v>
      </c>
      <c r="C3619" t="s">
        <v>40</v>
      </c>
      <c r="D3619">
        <v>5.2855660000000002</v>
      </c>
      <c r="E3619">
        <v>0.51751610000000003</v>
      </c>
      <c r="F3619" t="s">
        <v>52</v>
      </c>
      <c r="G3619">
        <v>-326.10059999999999</v>
      </c>
      <c r="H3619" s="1">
        <v>1.7096610000000001E-6</v>
      </c>
      <c r="I3619">
        <v>213.2662</v>
      </c>
      <c r="J3619">
        <v>-355.5462</v>
      </c>
      <c r="K3619">
        <v>1.1196999999999999</v>
      </c>
      <c r="L3619">
        <v>214.72749999999999</v>
      </c>
      <c r="M3619">
        <v>0.99995659999999997</v>
      </c>
      <c r="N3619">
        <v>-6.5571700000000002E-3</v>
      </c>
      <c r="O3619">
        <v>6.6238390000000003E-3</v>
      </c>
      <c r="P3619">
        <v>0.99527299999999996</v>
      </c>
      <c r="Q3619">
        <v>-9.7117220000000004E-2</v>
      </c>
      <c r="R3619">
        <v>-3.0788570000000001E-4</v>
      </c>
      <c r="S3619">
        <v>3.0033259999999999</v>
      </c>
      <c r="T3619">
        <v>-0.112669699999999</v>
      </c>
      <c r="U3619">
        <v>-0.1467743</v>
      </c>
      <c r="V3619">
        <v>6.9276859999999997E-3</v>
      </c>
      <c r="W3619">
        <v>-9.0587050000000002E-2</v>
      </c>
      <c r="X3619">
        <v>0.99586450000000004</v>
      </c>
      <c r="Y3619">
        <v>5.5378499999999997E-2</v>
      </c>
      <c r="Z3619">
        <v>-1.4243979999999999E-3</v>
      </c>
      <c r="AA3619">
        <v>0.99846440000000003</v>
      </c>
      <c r="AB3619">
        <v>37</v>
      </c>
      <c r="AC3619">
        <v>29.445599999999999</v>
      </c>
      <c r="AD3619">
        <v>-1.11969829033899</v>
      </c>
      <c r="AE3619">
        <v>-1.4612999999999901</v>
      </c>
      <c r="AF3619">
        <v>1.6539293731704701</v>
      </c>
      <c r="AG3619">
        <v>-1.11969829033899</v>
      </c>
      <c r="AH3619">
        <v>29.392877384603999</v>
      </c>
      <c r="AI3619">
        <v>92.178140033185699</v>
      </c>
      <c r="AJ3619">
        <v>86.779378032169305</v>
      </c>
      <c r="AK3619">
        <v>29.460659320171199</v>
      </c>
      <c r="AL3619">
        <v>95.1973802530146</v>
      </c>
      <c r="AM3619">
        <v>89.601430950652599</v>
      </c>
      <c r="AN3619">
        <v>1.00000005441063</v>
      </c>
    </row>
    <row r="3620" spans="1:40" x14ac:dyDescent="0.25">
      <c r="A3620" t="str">
        <f>"20190303154840874"</f>
        <v>20190303154840874</v>
      </c>
      <c r="B3620" t="str">
        <f>"1551599320864245"</f>
        <v>1551599320864245</v>
      </c>
      <c r="C3620" t="s">
        <v>40</v>
      </c>
      <c r="D3620">
        <v>5.2871129999999997</v>
      </c>
      <c r="E3620">
        <v>0.51665430000000001</v>
      </c>
      <c r="F3620" t="s">
        <v>52</v>
      </c>
      <c r="G3620">
        <v>-325.43020000000001</v>
      </c>
      <c r="H3620" s="1">
        <v>1.3529169999999901E-6</v>
      </c>
      <c r="I3620">
        <v>213.30840000000001</v>
      </c>
      <c r="J3620">
        <v>-355.1979</v>
      </c>
      <c r="K3620">
        <v>1.1196950000000001</v>
      </c>
      <c r="L3620">
        <v>214.73</v>
      </c>
      <c r="M3620">
        <v>0.9999557</v>
      </c>
      <c r="N3620">
        <v>-6.5616850000000003E-3</v>
      </c>
      <c r="O3620">
        <v>6.7582390000000001E-3</v>
      </c>
      <c r="P3620">
        <v>0.99522889999999997</v>
      </c>
      <c r="Q3620">
        <v>-9.7565170000000007E-2</v>
      </c>
      <c r="R3620">
        <v>-6.2875799999999999E-4</v>
      </c>
      <c r="S3620">
        <v>3.0032960000000002</v>
      </c>
      <c r="T3620">
        <v>-0.1116613</v>
      </c>
      <c r="U3620">
        <v>-0.14152529999999999</v>
      </c>
      <c r="V3620">
        <v>7.3824190000000003E-3</v>
      </c>
      <c r="W3620">
        <v>-9.1030639999999996E-2</v>
      </c>
      <c r="X3620">
        <v>0.9958207</v>
      </c>
      <c r="Y3620">
        <v>5.377411E-2</v>
      </c>
      <c r="Z3620">
        <v>-1.382091E-3</v>
      </c>
      <c r="AA3620">
        <v>0.99855210000000005</v>
      </c>
      <c r="AB3620">
        <v>37</v>
      </c>
      <c r="AC3620">
        <v>29.767699999999898</v>
      </c>
      <c r="AD3620">
        <v>-1.1196936470829999</v>
      </c>
      <c r="AE3620">
        <v>-1.42159999999998</v>
      </c>
      <c r="AF3620">
        <v>1.6204616024851799</v>
      </c>
      <c r="AG3620">
        <v>-1.1196936470829999</v>
      </c>
      <c r="AH3620">
        <v>29.7154654288667</v>
      </c>
      <c r="AI3620">
        <v>92.154714376912906</v>
      </c>
      <c r="AJ3620">
        <v>86.878603840913797</v>
      </c>
      <c r="AK3620">
        <v>29.780673184510398</v>
      </c>
      <c r="AL3620">
        <v>95.222901963293296</v>
      </c>
      <c r="AM3620">
        <v>89.5752511443674</v>
      </c>
      <c r="AN3620">
        <v>0.99999997203879498</v>
      </c>
    </row>
    <row r="3621" spans="1:40" x14ac:dyDescent="0.25">
      <c r="A3621" t="str">
        <f>"20190303154840896"</f>
        <v>20190303154840896</v>
      </c>
      <c r="B3621" t="str">
        <f>"1551599320884741"</f>
        <v>1551599320884741</v>
      </c>
      <c r="C3621" t="s">
        <v>40</v>
      </c>
      <c r="D3621">
        <v>5.2532709999999998</v>
      </c>
      <c r="E3621">
        <v>0.5158684</v>
      </c>
      <c r="F3621" t="s">
        <v>52</v>
      </c>
      <c r="G3621">
        <v>-325.47739999999999</v>
      </c>
      <c r="H3621" s="1">
        <v>1.378008E-6</v>
      </c>
      <c r="I3621">
        <v>213.38669999999999</v>
      </c>
      <c r="J3621">
        <v>-354.8492</v>
      </c>
      <c r="K3621">
        <v>1.119699</v>
      </c>
      <c r="L3621">
        <v>214.73249999999999</v>
      </c>
      <c r="M3621">
        <v>0.99995460000000003</v>
      </c>
      <c r="N3621">
        <v>-6.5842219999999998E-3</v>
      </c>
      <c r="O3621">
        <v>6.8927609999999999E-3</v>
      </c>
      <c r="P3621">
        <v>0.9951875</v>
      </c>
      <c r="Q3621">
        <v>-9.7988619999999998E-2</v>
      </c>
      <c r="R3621">
        <v>-3.0909919999999998E-4</v>
      </c>
      <c r="S3621">
        <v>3.0032649999999999</v>
      </c>
      <c r="T3621">
        <v>-0.11314539999999999</v>
      </c>
      <c r="U3621">
        <v>-0.13574220000000001</v>
      </c>
      <c r="V3621">
        <v>7.1967709999999898E-3</v>
      </c>
      <c r="W3621">
        <v>-9.1431949999999998E-2</v>
      </c>
      <c r="X3621">
        <v>0.99578529999999998</v>
      </c>
      <c r="Y3621">
        <v>5.1990340000000003E-2</v>
      </c>
      <c r="Z3621">
        <v>-1.363934E-3</v>
      </c>
      <c r="AA3621">
        <v>0.9986467</v>
      </c>
      <c r="AB3621">
        <v>37</v>
      </c>
      <c r="AC3621">
        <v>29.3718</v>
      </c>
      <c r="AD3621">
        <v>-1.1196976219920001</v>
      </c>
      <c r="AE3621">
        <v>-1.3457999999999899</v>
      </c>
      <c r="AF3621">
        <v>1.54598321470101</v>
      </c>
      <c r="AG3621">
        <v>-1.1196976219920001</v>
      </c>
      <c r="AH3621">
        <v>29.319306731061101</v>
      </c>
      <c r="AI3621">
        <v>92.184018759763404</v>
      </c>
      <c r="AJ3621">
        <v>86.981635429560399</v>
      </c>
      <c r="AK3621">
        <v>29.3813807377202</v>
      </c>
      <c r="AL3621">
        <v>95.245991585063706</v>
      </c>
      <c r="AM3621">
        <v>89.585917340482695</v>
      </c>
      <c r="AN3621">
        <v>0.99999997934485896</v>
      </c>
    </row>
    <row r="3622" spans="1:40" x14ac:dyDescent="0.25">
      <c r="A3622" t="str">
        <f>"20190303154840918"</f>
        <v>20190303154840918</v>
      </c>
      <c r="B3622" t="str">
        <f>"1551599320914998"</f>
        <v>1551599320914998</v>
      </c>
      <c r="C3622" t="s">
        <v>40</v>
      </c>
      <c r="D3622">
        <v>5.2775449999999999</v>
      </c>
      <c r="E3622">
        <v>0.51492890000000002</v>
      </c>
      <c r="F3622" t="s">
        <v>52</v>
      </c>
      <c r="G3622">
        <v>-325.62029999999999</v>
      </c>
      <c r="H3622" s="1">
        <v>1.454032E-6</v>
      </c>
      <c r="I3622">
        <v>213.4802</v>
      </c>
      <c r="J3622">
        <v>-354.46690000000001</v>
      </c>
      <c r="K3622">
        <v>1.119705</v>
      </c>
      <c r="L3622">
        <v>214.73519999999999</v>
      </c>
      <c r="M3622">
        <v>0.99995330000000004</v>
      </c>
      <c r="N3622">
        <v>-6.6300899999999999E-3</v>
      </c>
      <c r="O3622">
        <v>7.0402619999999898E-3</v>
      </c>
      <c r="P3622">
        <v>0.99516439999999995</v>
      </c>
      <c r="Q3622">
        <v>-9.8224329999999999E-2</v>
      </c>
      <c r="R3622">
        <v>3.1266870000000002E-4</v>
      </c>
      <c r="S3622">
        <v>3.0031430000000001</v>
      </c>
      <c r="T3622">
        <v>-0.11504399999999999</v>
      </c>
      <c r="U3622">
        <v>-0.1286621</v>
      </c>
      <c r="V3622">
        <v>6.721744E-3</v>
      </c>
      <c r="W3622">
        <v>-9.1622229999999999E-2</v>
      </c>
      <c r="X3622">
        <v>0.99577119999999997</v>
      </c>
      <c r="Y3622">
        <v>4.9789819999999999E-2</v>
      </c>
      <c r="Z3622">
        <v>-1.3409310000000001E-3</v>
      </c>
      <c r="AA3622">
        <v>0.99875879999999995</v>
      </c>
      <c r="AB3622">
        <v>37</v>
      </c>
      <c r="AC3622">
        <v>28.846599999999999</v>
      </c>
      <c r="AD3622">
        <v>-1.119703545968</v>
      </c>
      <c r="AE3622">
        <v>-1.2549999999999899</v>
      </c>
      <c r="AF3622">
        <v>1.4558716013762001</v>
      </c>
      <c r="AG3622">
        <v>-1.119703545968</v>
      </c>
      <c r="AH3622">
        <v>28.793748752729702</v>
      </c>
      <c r="AI3622">
        <v>92.2241026567539</v>
      </c>
      <c r="AJ3622">
        <v>87.105471626980403</v>
      </c>
      <c r="AK3622">
        <v>28.852266208841701</v>
      </c>
      <c r="AL3622">
        <v>95.256939414125796</v>
      </c>
      <c r="AM3622">
        <v>89.613242768318102</v>
      </c>
      <c r="AN3622">
        <v>1.0000000488109999</v>
      </c>
    </row>
    <row r="3623" spans="1:40" x14ac:dyDescent="0.25">
      <c r="A3623" t="str">
        <f>"20190303154840941"</f>
        <v>20190303154840941</v>
      </c>
      <c r="B3623" t="str">
        <f>"1551599320934517"</f>
        <v>1551599320934517</v>
      </c>
      <c r="C3623" t="s">
        <v>40</v>
      </c>
      <c r="D3623">
        <v>5.2393980000000004</v>
      </c>
      <c r="E3623">
        <v>0.514316</v>
      </c>
      <c r="F3623" t="s">
        <v>52</v>
      </c>
      <c r="G3623">
        <v>-325.64319999999998</v>
      </c>
      <c r="H3623" s="1">
        <v>1.4662569999999999E-6</v>
      </c>
      <c r="I3623">
        <v>213.59460000000001</v>
      </c>
      <c r="J3623">
        <v>-354.09230000000002</v>
      </c>
      <c r="K3623">
        <v>1.119718</v>
      </c>
      <c r="L3623">
        <v>214.738</v>
      </c>
      <c r="M3623">
        <v>0.99995179999999995</v>
      </c>
      <c r="N3623">
        <v>-6.7009629999999999E-3</v>
      </c>
      <c r="O3623">
        <v>7.1840469999999998E-3</v>
      </c>
      <c r="P3623">
        <v>0.99510189999999998</v>
      </c>
      <c r="Q3623">
        <v>-9.8847840000000006E-2</v>
      </c>
      <c r="R3623">
        <v>1.2345780000000001E-3</v>
      </c>
      <c r="S3623">
        <v>3.0031129999999999</v>
      </c>
      <c r="T3623">
        <v>-0.11666070000000001</v>
      </c>
      <c r="U3623">
        <v>-0.11883539999999999</v>
      </c>
      <c r="V3623">
        <v>5.9429419999999997E-3</v>
      </c>
      <c r="W3623">
        <v>-9.2175750000000001E-2</v>
      </c>
      <c r="X3623">
        <v>0.99572499999999997</v>
      </c>
      <c r="Y3623">
        <v>4.6672459999999999E-2</v>
      </c>
      <c r="Z3623">
        <v>-1.293109E-3</v>
      </c>
      <c r="AA3623">
        <v>0.99890939999999995</v>
      </c>
      <c r="AB3623">
        <v>37</v>
      </c>
      <c r="AC3623">
        <v>28.449100000000001</v>
      </c>
      <c r="AD3623">
        <v>-1.119716533743</v>
      </c>
      <c r="AE3623">
        <v>-1.14339999999998</v>
      </c>
      <c r="AF3623">
        <v>1.3456735216087199</v>
      </c>
      <c r="AG3623">
        <v>-1.119716533743</v>
      </c>
      <c r="AH3623">
        <v>28.396233767175101</v>
      </c>
      <c r="AI3623">
        <v>92.255581050361997</v>
      </c>
      <c r="AJ3623">
        <v>87.286831229219601</v>
      </c>
      <c r="AK3623">
        <v>28.450144015501099</v>
      </c>
      <c r="AL3623">
        <v>95.288788904560604</v>
      </c>
      <c r="AM3623">
        <v>89.658036655340894</v>
      </c>
      <c r="AN3623">
        <v>0.99999998153633796</v>
      </c>
    </row>
    <row r="3624" spans="1:40" x14ac:dyDescent="0.25">
      <c r="A3624" t="str">
        <f>"20190303154840963"</f>
        <v>20190303154840963</v>
      </c>
      <c r="B3624" t="str">
        <f>"1551599320955017"</f>
        <v>1551599320955017</v>
      </c>
      <c r="C3624" t="s">
        <v>40</v>
      </c>
      <c r="D3624">
        <v>5.2647830000000004</v>
      </c>
      <c r="E3624">
        <v>0.51380720000000002</v>
      </c>
      <c r="F3624" t="s">
        <v>52</v>
      </c>
      <c r="G3624">
        <v>-326.0258</v>
      </c>
      <c r="H3624" s="1">
        <v>1.6698509999999901E-6</v>
      </c>
      <c r="I3624">
        <v>213.6986</v>
      </c>
      <c r="J3624">
        <v>-353.7149</v>
      </c>
      <c r="K3624">
        <v>1.11974</v>
      </c>
      <c r="L3624">
        <v>214.74080000000001</v>
      </c>
      <c r="M3624">
        <v>0.99994989999999995</v>
      </c>
      <c r="N3624">
        <v>-6.8148419999999998E-3</v>
      </c>
      <c r="O3624">
        <v>7.3291190000000003E-3</v>
      </c>
      <c r="P3624">
        <v>0.99503039999999998</v>
      </c>
      <c r="Q3624">
        <v>-9.954143E-2</v>
      </c>
      <c r="R3624">
        <v>2.4202759999999999E-3</v>
      </c>
      <c r="S3624">
        <v>3.0030209999999999</v>
      </c>
      <c r="T3624">
        <v>-0.11980590000000001</v>
      </c>
      <c r="U3624">
        <v>-0.1112061</v>
      </c>
      <c r="V3624">
        <v>4.9016290000000002E-3</v>
      </c>
      <c r="W3624">
        <v>-9.2756679999999994E-2</v>
      </c>
      <c r="X3624">
        <v>0.99567680000000003</v>
      </c>
      <c r="Y3624">
        <v>4.42841E-2</v>
      </c>
      <c r="Z3624">
        <v>-1.2760009999999999E-3</v>
      </c>
      <c r="AA3624">
        <v>0.99901819999999997</v>
      </c>
      <c r="AB3624">
        <v>37</v>
      </c>
      <c r="AC3624">
        <v>27.6891</v>
      </c>
      <c r="AD3624">
        <v>-1.119738330149</v>
      </c>
      <c r="AE3624">
        <v>-1.0422</v>
      </c>
      <c r="AF3624">
        <v>1.24308340993679</v>
      </c>
      <c r="AG3624">
        <v>-1.119738330149</v>
      </c>
      <c r="AH3624">
        <v>27.635587287410399</v>
      </c>
      <c r="AI3624">
        <v>92.317899238082305</v>
      </c>
      <c r="AJ3624">
        <v>87.424499986606605</v>
      </c>
      <c r="AK3624">
        <v>27.6861834677903</v>
      </c>
      <c r="AL3624">
        <v>95.322216541864904</v>
      </c>
      <c r="AM3624">
        <v>89.717940213404802</v>
      </c>
      <c r="AN3624">
        <v>1.0000000588548501</v>
      </c>
    </row>
    <row r="3625" spans="1:40" x14ac:dyDescent="0.25">
      <c r="A3625" t="str">
        <f>"20190303154840985"</f>
        <v>20190303154840985</v>
      </c>
      <c r="B3625" t="str">
        <f>"1551599320974533"</f>
        <v>1551599320974533</v>
      </c>
      <c r="C3625" t="s">
        <v>40</v>
      </c>
      <c r="D3625">
        <v>5.252262</v>
      </c>
      <c r="E3625">
        <v>0.51332259999999996</v>
      </c>
      <c r="F3625" t="s">
        <v>52</v>
      </c>
      <c r="G3625">
        <v>-326.25779999999997</v>
      </c>
      <c r="H3625" s="1">
        <v>1.7932700000000001E-6</v>
      </c>
      <c r="I3625">
        <v>213.7971</v>
      </c>
      <c r="J3625">
        <v>-353.35930000000002</v>
      </c>
      <c r="K3625">
        <v>1.1197619999999999</v>
      </c>
      <c r="L3625">
        <v>214.74350000000001</v>
      </c>
      <c r="M3625">
        <v>0.99994810000000001</v>
      </c>
      <c r="N3625">
        <v>-6.9500789999999996E-3</v>
      </c>
      <c r="O3625">
        <v>7.4654099999999996E-3</v>
      </c>
      <c r="P3625">
        <v>0.99503090000000005</v>
      </c>
      <c r="Q3625">
        <v>-9.9522929999999996E-2</v>
      </c>
      <c r="R3625">
        <v>2.9942089999999998E-3</v>
      </c>
      <c r="S3625">
        <v>3.0029910000000002</v>
      </c>
      <c r="T3625">
        <v>-0.12246600000000001</v>
      </c>
      <c r="U3625">
        <v>-0.10321039999999999</v>
      </c>
      <c r="V3625">
        <v>4.4633609999999999E-3</v>
      </c>
      <c r="W3625">
        <v>-9.2603619999999998E-2</v>
      </c>
      <c r="X3625">
        <v>0.99569300000000005</v>
      </c>
      <c r="Y3625">
        <v>4.1764320000000001E-2</v>
      </c>
      <c r="Z3625">
        <v>-1.2486349999999999E-3</v>
      </c>
      <c r="AA3625">
        <v>0.99912670000000003</v>
      </c>
      <c r="AB3625">
        <v>38</v>
      </c>
      <c r="AC3625">
        <v>27.101500000000001</v>
      </c>
      <c r="AD3625">
        <v>-1.1197602067299901</v>
      </c>
      <c r="AE3625">
        <v>-0.94640000000001101</v>
      </c>
      <c r="AF3625">
        <v>1.1467470498696799</v>
      </c>
      <c r="AG3625">
        <v>-1.1197602067299901</v>
      </c>
      <c r="AH3625">
        <v>27.047562176201598</v>
      </c>
      <c r="AI3625">
        <v>92.368547315925099</v>
      </c>
      <c r="AJ3625">
        <v>87.572260313835699</v>
      </c>
      <c r="AK3625">
        <v>27.095008975685101</v>
      </c>
      <c r="AL3625">
        <v>95.313409515844597</v>
      </c>
      <c r="AM3625">
        <v>89.7431637715177</v>
      </c>
      <c r="AN3625">
        <v>0.99999995113875895</v>
      </c>
    </row>
    <row r="3626" spans="1:40" x14ac:dyDescent="0.25">
      <c r="A3626" t="str">
        <f>"20190303154840998"</f>
        <v>20190303154840998</v>
      </c>
      <c r="B3626" t="str">
        <f>"1551599320995030"</f>
        <v>1551599320995030</v>
      </c>
      <c r="C3626" t="s">
        <v>40</v>
      </c>
      <c r="D3626">
        <v>5.2379730000000002</v>
      </c>
      <c r="E3626">
        <v>0.51284370000000001</v>
      </c>
      <c r="F3626" t="s">
        <v>52</v>
      </c>
      <c r="G3626">
        <v>-326.02</v>
      </c>
      <c r="H3626" s="1">
        <v>1.6667409999999999E-6</v>
      </c>
      <c r="I3626">
        <v>213.8553</v>
      </c>
      <c r="J3626">
        <v>-353.10899999999998</v>
      </c>
      <c r="K3626">
        <v>1.11978</v>
      </c>
      <c r="L3626">
        <v>214.74549999999999</v>
      </c>
      <c r="M3626">
        <v>0.99994660000000002</v>
      </c>
      <c r="N3626">
        <v>-7.067991E-3</v>
      </c>
      <c r="O3626">
        <v>7.5613959999999997E-3</v>
      </c>
      <c r="P3626">
        <v>0.9950251</v>
      </c>
      <c r="Q3626">
        <v>-9.9576460000000006E-2</v>
      </c>
      <c r="R3626">
        <v>3.1447879999999999E-3</v>
      </c>
      <c r="S3626">
        <v>3.0029599999999999</v>
      </c>
      <c r="T3626">
        <v>-0.1229948</v>
      </c>
      <c r="U3626">
        <v>-9.7564700000000004E-2</v>
      </c>
      <c r="V3626">
        <v>4.408431E-3</v>
      </c>
      <c r="W3626">
        <v>-9.2539800000000005E-2</v>
      </c>
      <c r="X3626">
        <v>0.99569920000000001</v>
      </c>
      <c r="Y3626">
        <v>3.9985420000000001E-2</v>
      </c>
      <c r="Z3626">
        <v>-1.2158E-3</v>
      </c>
      <c r="AA3626">
        <v>0.99919950000000002</v>
      </c>
      <c r="AB3626">
        <v>38</v>
      </c>
      <c r="AC3626">
        <v>27.088999999999999</v>
      </c>
      <c r="AD3626">
        <v>-1.1197783332589999</v>
      </c>
      <c r="AE3626">
        <v>-0.890199999999992</v>
      </c>
      <c r="AF3626">
        <v>1.09314439448512</v>
      </c>
      <c r="AG3626">
        <v>-1.1197783332589999</v>
      </c>
      <c r="AH3626">
        <v>27.035347448168402</v>
      </c>
      <c r="AI3626">
        <v>92.369846696173198</v>
      </c>
      <c r="AJ3626">
        <v>87.684569761456302</v>
      </c>
      <c r="AK3626">
        <v>27.080599694726398</v>
      </c>
      <c r="AL3626">
        <v>95.309737014175596</v>
      </c>
      <c r="AM3626">
        <v>89.746326159382505</v>
      </c>
      <c r="AN3626">
        <v>0.99999997286428</v>
      </c>
    </row>
    <row r="3627" spans="1:40" x14ac:dyDescent="0.25">
      <c r="A3627" t="str">
        <f>"20190303154841018"</f>
        <v>20190303154841018</v>
      </c>
      <c r="B3627" t="str">
        <f>"1551599321014549"</f>
        <v>1551599321014549</v>
      </c>
      <c r="C3627" t="s">
        <v>40</v>
      </c>
      <c r="D3627">
        <v>5.2401229999999996</v>
      </c>
      <c r="E3627">
        <v>0.51251270000000004</v>
      </c>
      <c r="F3627" t="s">
        <v>52</v>
      </c>
      <c r="G3627">
        <v>-325.91489999999999</v>
      </c>
      <c r="H3627" s="1">
        <v>1.6108300000000001E-6</v>
      </c>
      <c r="I3627">
        <v>213.89879999999999</v>
      </c>
      <c r="J3627">
        <v>-352.79169999999999</v>
      </c>
      <c r="K3627">
        <v>1.1198159999999999</v>
      </c>
      <c r="L3627">
        <v>214.74799999999999</v>
      </c>
      <c r="M3627">
        <v>0.99994419999999995</v>
      </c>
      <c r="N3627">
        <v>-7.2675209999999999E-3</v>
      </c>
      <c r="O3627">
        <v>7.6833179999999997E-3</v>
      </c>
      <c r="P3627">
        <v>0.99497959999999996</v>
      </c>
      <c r="Q3627">
        <v>-0.1000187</v>
      </c>
      <c r="R3627">
        <v>3.4438170000000001E-3</v>
      </c>
      <c r="S3627">
        <v>3.0029599999999999</v>
      </c>
      <c r="T3627">
        <v>-0.12365370000000001</v>
      </c>
      <c r="U3627">
        <v>-9.3490599999999993E-2</v>
      </c>
      <c r="V3627">
        <v>4.230747E-3</v>
      </c>
      <c r="W3627">
        <v>-9.2783749999999998E-2</v>
      </c>
      <c r="X3627">
        <v>0.99567729999999999</v>
      </c>
      <c r="Y3627">
        <v>3.8753599999999999E-2</v>
      </c>
      <c r="Z3627">
        <v>-1.198649E-3</v>
      </c>
      <c r="AA3627">
        <v>0.99924809999999997</v>
      </c>
      <c r="AB3627">
        <v>38</v>
      </c>
      <c r="AC3627">
        <v>26.876799999999999</v>
      </c>
      <c r="AD3627">
        <v>-1.1198143891700001</v>
      </c>
      <c r="AE3627">
        <v>-0.84919999999999596</v>
      </c>
      <c r="AF3627">
        <v>1.05385574610826</v>
      </c>
      <c r="AG3627">
        <v>-1.1198143891700001</v>
      </c>
      <c r="AH3627">
        <v>26.822964925720601</v>
      </c>
      <c r="AI3627">
        <v>92.388774850653306</v>
      </c>
      <c r="AJ3627">
        <v>87.750045675789494</v>
      </c>
      <c r="AK3627">
        <v>26.867006599288899</v>
      </c>
      <c r="AL3627">
        <v>95.323774545719502</v>
      </c>
      <c r="AM3627">
        <v>89.756545129192205</v>
      </c>
      <c r="AN3627">
        <v>1.0000000046097599</v>
      </c>
    </row>
    <row r="3628" spans="1:40" x14ac:dyDescent="0.25">
      <c r="A3628" t="str">
        <f>"20190303154841041"</f>
        <v>20190303154841041</v>
      </c>
      <c r="B3628" t="str">
        <f>"1551599321034069"</f>
        <v>1551599321034069</v>
      </c>
      <c r="C3628" t="s">
        <v>40</v>
      </c>
      <c r="D3628">
        <v>5.2380760000000004</v>
      </c>
      <c r="E3628">
        <v>0.51216899999999999</v>
      </c>
      <c r="F3628" t="s">
        <v>52</v>
      </c>
      <c r="G3628">
        <v>-325.87430000000001</v>
      </c>
      <c r="H3628" s="1">
        <v>1.5891989999999999E-6</v>
      </c>
      <c r="I3628">
        <v>213.9442</v>
      </c>
      <c r="J3628">
        <v>-352.4033</v>
      </c>
      <c r="K3628">
        <v>1.1198779999999999</v>
      </c>
      <c r="L3628">
        <v>214.75110000000001</v>
      </c>
      <c r="M3628">
        <v>0.99994059999999996</v>
      </c>
      <c r="N3628">
        <v>-7.5943059999999899E-3</v>
      </c>
      <c r="O3628">
        <v>7.8318209999999992E-3</v>
      </c>
      <c r="P3628">
        <v>0.99491030000000003</v>
      </c>
      <c r="Q3628">
        <v>-0.1006917</v>
      </c>
      <c r="R3628">
        <v>3.8696960000000002E-3</v>
      </c>
      <c r="S3628">
        <v>3.0028990000000002</v>
      </c>
      <c r="T3628">
        <v>-0.12492590000000001</v>
      </c>
      <c r="U3628">
        <v>-8.9675899999999906E-2</v>
      </c>
      <c r="V3628">
        <v>3.952367E-3</v>
      </c>
      <c r="W3628">
        <v>-9.3131909999999998E-2</v>
      </c>
      <c r="X3628">
        <v>0.99564589999999997</v>
      </c>
      <c r="Y3628">
        <v>3.763445E-2</v>
      </c>
      <c r="Z3628">
        <v>-1.191496E-3</v>
      </c>
      <c r="AA3628">
        <v>0.99929089999999998</v>
      </c>
      <c r="AB3628">
        <v>38</v>
      </c>
      <c r="AC3628">
        <v>26.529</v>
      </c>
      <c r="AD3628">
        <v>-1.119876410801</v>
      </c>
      <c r="AE3628">
        <v>-0.80690000000001205</v>
      </c>
      <c r="AF3628">
        <v>1.01284841113056</v>
      </c>
      <c r="AG3628">
        <v>-1.119876410801</v>
      </c>
      <c r="AH3628">
        <v>26.474733288427601</v>
      </c>
      <c r="AI3628">
        <v>92.420388625223495</v>
      </c>
      <c r="AJ3628">
        <v>87.809093999764599</v>
      </c>
      <c r="AK3628">
        <v>26.5177579703258</v>
      </c>
      <c r="AL3628">
        <v>95.343809601069793</v>
      </c>
      <c r="AM3628">
        <v>89.772556931434096</v>
      </c>
      <c r="AN3628">
        <v>0.99999996602597896</v>
      </c>
    </row>
    <row r="3629" spans="1:40" x14ac:dyDescent="0.25">
      <c r="A3629" t="str">
        <f>"20190303154841066"</f>
        <v>20190303154841066</v>
      </c>
      <c r="B3629" t="str">
        <f>"1551599321054565"</f>
        <v>1551599321054565</v>
      </c>
      <c r="C3629" t="s">
        <v>40</v>
      </c>
      <c r="D3629">
        <v>5.1995659999999999</v>
      </c>
      <c r="E3629">
        <v>0.51185599999999998</v>
      </c>
      <c r="F3629" t="s">
        <v>52</v>
      </c>
      <c r="G3629">
        <v>-325.9058</v>
      </c>
      <c r="H3629" s="1">
        <v>1.6059580000000001E-6</v>
      </c>
      <c r="I3629">
        <v>213.9949</v>
      </c>
      <c r="J3629">
        <v>-352.00150000000002</v>
      </c>
      <c r="K3629">
        <v>1.119955</v>
      </c>
      <c r="L3629">
        <v>214.7544</v>
      </c>
      <c r="M3629">
        <v>0.99993600000000005</v>
      </c>
      <c r="N3629">
        <v>-8.0080350000000002E-3</v>
      </c>
      <c r="O3629">
        <v>7.9850730000000005E-3</v>
      </c>
      <c r="P3629">
        <v>0.99486520000000001</v>
      </c>
      <c r="Q3629">
        <v>-0.1011325</v>
      </c>
      <c r="R3629">
        <v>3.952812E-3</v>
      </c>
      <c r="S3629">
        <v>3.0028380000000001</v>
      </c>
      <c r="T3629">
        <v>-0.126910199999999</v>
      </c>
      <c r="U3629">
        <v>-8.5693359999999996E-2</v>
      </c>
      <c r="V3629">
        <v>4.0219990000000001E-3</v>
      </c>
      <c r="W3629">
        <v>-9.3161040000000001E-2</v>
      </c>
      <c r="X3629">
        <v>0.99564299999999994</v>
      </c>
      <c r="Y3629">
        <v>3.6463629999999997E-2</v>
      </c>
      <c r="Z3629">
        <v>-1.189505E-3</v>
      </c>
      <c r="AA3629">
        <v>0.99933430000000001</v>
      </c>
      <c r="AB3629">
        <v>38</v>
      </c>
      <c r="AC3629">
        <v>26.095700000000001</v>
      </c>
      <c r="AD3629">
        <v>-1.1199533940419999</v>
      </c>
      <c r="AE3629">
        <v>-0.75950000000000195</v>
      </c>
      <c r="AF3629">
        <v>0.966080645598281</v>
      </c>
      <c r="AG3629">
        <v>-1.1199533940419999</v>
      </c>
      <c r="AH3629">
        <v>26.040879472362601</v>
      </c>
      <c r="AI3629">
        <v>92.460940408411005</v>
      </c>
      <c r="AJ3629">
        <v>87.875380102963803</v>
      </c>
      <c r="AK3629">
        <v>26.082848983819598</v>
      </c>
      <c r="AL3629">
        <v>95.345485359569395</v>
      </c>
      <c r="AM3629">
        <v>89.768549254671797</v>
      </c>
      <c r="AN3629">
        <v>1.00000006964941</v>
      </c>
    </row>
    <row r="3630" spans="1:40" x14ac:dyDescent="0.25">
      <c r="A3630" t="str">
        <f>"20190303154841086"</f>
        <v>20190303154841086</v>
      </c>
      <c r="B3630" t="str">
        <f>"1551599321074085"</f>
        <v>1551599321074085</v>
      </c>
      <c r="C3630" t="s">
        <v>40</v>
      </c>
      <c r="D3630">
        <v>5.188879</v>
      </c>
      <c r="E3630">
        <v>0.51159849999999996</v>
      </c>
      <c r="F3630" t="s">
        <v>52</v>
      </c>
      <c r="G3630">
        <v>-325.79790000000003</v>
      </c>
      <c r="H3630" s="1">
        <v>1.5485380000000001E-6</v>
      </c>
      <c r="I3630">
        <v>214.02979999999999</v>
      </c>
      <c r="J3630">
        <v>-351.6465</v>
      </c>
      <c r="K3630">
        <v>1.12002</v>
      </c>
      <c r="L3630">
        <v>214.75739999999999</v>
      </c>
      <c r="M3630">
        <v>0.99993189999999998</v>
      </c>
      <c r="N3630">
        <v>-8.3888460000000001E-3</v>
      </c>
      <c r="O3630">
        <v>8.1184180000000005E-3</v>
      </c>
      <c r="P3630">
        <v>0.99489649999999996</v>
      </c>
      <c r="Q3630">
        <v>-0.1008365</v>
      </c>
      <c r="R3630">
        <v>3.629948E-3</v>
      </c>
      <c r="S3630">
        <v>3.002777</v>
      </c>
      <c r="T3630">
        <v>-0.1283396</v>
      </c>
      <c r="U3630">
        <v>-8.3038329999999994E-2</v>
      </c>
      <c r="V3630">
        <v>4.4782520000000003E-3</v>
      </c>
      <c r="W3630">
        <v>-9.2485440000000002E-2</v>
      </c>
      <c r="X3630">
        <v>0.99570400000000003</v>
      </c>
      <c r="Y3630">
        <v>3.5714200000000002E-2</v>
      </c>
      <c r="Z3630">
        <v>-1.1913379999999999E-3</v>
      </c>
      <c r="AA3630">
        <v>0.99936130000000001</v>
      </c>
      <c r="AB3630">
        <v>38</v>
      </c>
      <c r="AC3630">
        <v>25.848599999999902</v>
      </c>
      <c r="AD3630">
        <v>-1.120018451462</v>
      </c>
      <c r="AE3630">
        <v>-0.72759999999999503</v>
      </c>
      <c r="AF3630">
        <v>0.93567780552441304</v>
      </c>
      <c r="AG3630">
        <v>-1.120018451462</v>
      </c>
      <c r="AH3630">
        <v>25.7934524728776</v>
      </c>
      <c r="AI3630">
        <v>92.484736808386103</v>
      </c>
      <c r="AJ3630">
        <v>87.922461448022503</v>
      </c>
      <c r="AK3630">
        <v>25.834707754452399</v>
      </c>
      <c r="AL3630">
        <v>95.306608678458304</v>
      </c>
      <c r="AM3630">
        <v>89.742309753565394</v>
      </c>
      <c r="AN3630">
        <v>1.0000000334844801</v>
      </c>
    </row>
    <row r="3631" spans="1:40" x14ac:dyDescent="0.25">
      <c r="A3631" t="str">
        <f>"20190303154841108"</f>
        <v>20190303154841108</v>
      </c>
      <c r="B3631" t="str">
        <f>"1551599321104342"</f>
        <v>1551599321104342</v>
      </c>
      <c r="C3631" t="s">
        <v>40</v>
      </c>
      <c r="D3631">
        <v>5.1422270000000001</v>
      </c>
      <c r="E3631">
        <v>0.5112565</v>
      </c>
      <c r="F3631" t="s">
        <v>52</v>
      </c>
      <c r="G3631">
        <v>-325.22190000000001</v>
      </c>
      <c r="H3631" s="1">
        <v>1.242035E-6</v>
      </c>
      <c r="I3631">
        <v>214.03710000000001</v>
      </c>
      <c r="J3631">
        <v>-351.27730000000003</v>
      </c>
      <c r="K3631">
        <v>1.1200829999999999</v>
      </c>
      <c r="L3631">
        <v>214.76050000000001</v>
      </c>
      <c r="M3631">
        <v>0.99992729999999996</v>
      </c>
      <c r="N3631">
        <v>-8.7929759999999992E-3</v>
      </c>
      <c r="O3631">
        <v>8.2567990000000004E-3</v>
      </c>
      <c r="P3631">
        <v>0.99485500000000004</v>
      </c>
      <c r="Q3631">
        <v>-0.101253</v>
      </c>
      <c r="R3631">
        <v>3.3900570000000001E-3</v>
      </c>
      <c r="S3631">
        <v>3.002777</v>
      </c>
      <c r="T3631">
        <v>-0.127274</v>
      </c>
      <c r="U3631">
        <v>-8.184814E-2</v>
      </c>
      <c r="V3631">
        <v>4.8566740000000001E-3</v>
      </c>
      <c r="W3631">
        <v>-9.2499700000000004E-2</v>
      </c>
      <c r="X3631">
        <v>0.9957009</v>
      </c>
      <c r="Y3631">
        <v>3.5457410000000002E-2</v>
      </c>
      <c r="Z3631">
        <v>-1.184158E-3</v>
      </c>
      <c r="AA3631">
        <v>0.99937050000000005</v>
      </c>
      <c r="AB3631">
        <v>38</v>
      </c>
      <c r="AC3631">
        <v>26.055399999999999</v>
      </c>
      <c r="AD3631">
        <v>-1.120081757965</v>
      </c>
      <c r="AE3631">
        <v>-0.72339999999999705</v>
      </c>
      <c r="AF3631">
        <v>0.93678798764556703</v>
      </c>
      <c r="AG3631">
        <v>-1.120081757965</v>
      </c>
      <c r="AH3631">
        <v>26.000526373674699</v>
      </c>
      <c r="AI3631">
        <v>92.465133367542506</v>
      </c>
      <c r="AJ3631">
        <v>87.936549821787693</v>
      </c>
      <c r="AK3631">
        <v>26.041496243236001</v>
      </c>
      <c r="AL3631">
        <v>95.307429241445504</v>
      </c>
      <c r="AM3631">
        <v>89.720533831077802</v>
      </c>
      <c r="AN3631">
        <v>1.00000003202162</v>
      </c>
    </row>
    <row r="3632" spans="1:40" x14ac:dyDescent="0.25">
      <c r="A3632" t="str">
        <f>"20190303154841130"</f>
        <v>20190303154841130</v>
      </c>
      <c r="B3632" t="str">
        <f>"1551599321124838"</f>
        <v>1551599321124838</v>
      </c>
      <c r="C3632" t="s">
        <v>40</v>
      </c>
      <c r="D3632">
        <v>5.146496</v>
      </c>
      <c r="E3632">
        <v>0.51103100000000001</v>
      </c>
      <c r="F3632" t="s">
        <v>52</v>
      </c>
      <c r="G3632">
        <v>-325.11180000000002</v>
      </c>
      <c r="H3632" s="1">
        <v>1.183462E-6</v>
      </c>
      <c r="I3632">
        <v>214.06489999999999</v>
      </c>
      <c r="J3632">
        <v>-350.89319999999998</v>
      </c>
      <c r="K3632">
        <v>1.1201449999999999</v>
      </c>
      <c r="L3632">
        <v>214.76390000000001</v>
      </c>
      <c r="M3632">
        <v>0.99992230000000004</v>
      </c>
      <c r="N3632">
        <v>-9.2236469999999997E-3</v>
      </c>
      <c r="O3632">
        <v>8.3967139999999996E-3</v>
      </c>
      <c r="P3632">
        <v>0.99483390000000005</v>
      </c>
      <c r="Q3632">
        <v>-0.1014563</v>
      </c>
      <c r="R3632">
        <v>3.5200180000000002E-3</v>
      </c>
      <c r="S3632">
        <v>3.0027159999999999</v>
      </c>
      <c r="T3632">
        <v>-0.12853919999999999</v>
      </c>
      <c r="U3632">
        <v>-7.9833979999999999E-2</v>
      </c>
      <c r="V3632">
        <v>4.8669759999999899E-3</v>
      </c>
      <c r="W3632">
        <v>-9.2274320000000007E-2</v>
      </c>
      <c r="X3632">
        <v>0.99572179999999999</v>
      </c>
      <c r="Y3632">
        <v>3.4927439999999997E-2</v>
      </c>
      <c r="Z3632">
        <v>-1.190123E-3</v>
      </c>
      <c r="AA3632">
        <v>0.99938919999999998</v>
      </c>
      <c r="AB3632">
        <v>38</v>
      </c>
      <c r="AC3632">
        <v>25.781399999999898</v>
      </c>
      <c r="AD3632">
        <v>-1.120143816538</v>
      </c>
      <c r="AE3632">
        <v>-0.69900000000001195</v>
      </c>
      <c r="AF3632">
        <v>0.91373998099473197</v>
      </c>
      <c r="AG3632">
        <v>-1.120143816538</v>
      </c>
      <c r="AH3632">
        <v>25.726093844097601</v>
      </c>
      <c r="AI3632">
        <v>92.4915805054152</v>
      </c>
      <c r="AJ3632">
        <v>87.965822316301796</v>
      </c>
      <c r="AK3632">
        <v>25.766675132774001</v>
      </c>
      <c r="AL3632">
        <v>95.294460250612403</v>
      </c>
      <c r="AM3632">
        <v>89.719946913830199</v>
      </c>
      <c r="AN3632">
        <v>1.0000000702910401</v>
      </c>
    </row>
    <row r="3633" spans="1:40" x14ac:dyDescent="0.25">
      <c r="A3633" t="str">
        <f>"20190303154841153"</f>
        <v>20190303154841153</v>
      </c>
      <c r="B3633" t="str">
        <f>"1551599321144358"</f>
        <v>1551599321144358</v>
      </c>
      <c r="C3633" t="s">
        <v>40</v>
      </c>
      <c r="D3633">
        <v>5.1740139999999997</v>
      </c>
      <c r="E3633">
        <v>0.51085700000000001</v>
      </c>
      <c r="F3633" t="s">
        <v>52</v>
      </c>
      <c r="G3633">
        <v>-324.8843</v>
      </c>
      <c r="H3633" s="1">
        <v>1.0623810000000001E-6</v>
      </c>
      <c r="I3633">
        <v>214.09139999999999</v>
      </c>
      <c r="J3633">
        <v>-350.53</v>
      </c>
      <c r="K3633">
        <v>1.120198</v>
      </c>
      <c r="L3633">
        <v>214.7671</v>
      </c>
      <c r="M3633">
        <v>0.9999171</v>
      </c>
      <c r="N3633">
        <v>-9.6459279999999998E-3</v>
      </c>
      <c r="O3633">
        <v>8.524528E-3</v>
      </c>
      <c r="P3633">
        <v>0.99479649999999997</v>
      </c>
      <c r="Q3633">
        <v>-0.10182339999999999</v>
      </c>
      <c r="R3633">
        <v>3.4894349999999999E-3</v>
      </c>
      <c r="S3633">
        <v>3.0026549999999999</v>
      </c>
      <c r="T3633">
        <v>-0.1293173</v>
      </c>
      <c r="U3633">
        <v>-7.7636720000000006E-2</v>
      </c>
      <c r="V3633">
        <v>5.0242430000000003E-3</v>
      </c>
      <c r="W3633">
        <v>-9.2221189999999995E-2</v>
      </c>
      <c r="X3633">
        <v>0.99572590000000005</v>
      </c>
      <c r="Y3633">
        <v>3.4324840000000002E-2</v>
      </c>
      <c r="Z3633">
        <v>-1.1890749999999999E-3</v>
      </c>
      <c r="AA3633">
        <v>0.99941000000000002</v>
      </c>
      <c r="AB3633">
        <v>38</v>
      </c>
      <c r="AC3633">
        <v>25.645699999999898</v>
      </c>
      <c r="AD3633">
        <v>-1.120196937619</v>
      </c>
      <c r="AE3633">
        <v>-0.67570000000000596</v>
      </c>
      <c r="AF3633">
        <v>0.89260128596606003</v>
      </c>
      <c r="AG3633">
        <v>-1.120196937619</v>
      </c>
      <c r="AH3633">
        <v>25.590217638434101</v>
      </c>
      <c r="AI3633">
        <v>92.504967927971705</v>
      </c>
      <c r="AJ3633">
        <v>88.002300664159804</v>
      </c>
      <c r="AK3633">
        <v>25.6302714971415</v>
      </c>
      <c r="AL3633">
        <v>95.291403307492104</v>
      </c>
      <c r="AM3633">
        <v>89.710898876761107</v>
      </c>
      <c r="AN3633">
        <v>1.0000000294167699</v>
      </c>
    </row>
    <row r="3634" spans="1:40" x14ac:dyDescent="0.25">
      <c r="A3634" t="str">
        <f>"20190303154841175"</f>
        <v>20190303154841175</v>
      </c>
      <c r="B3634" t="str">
        <f>"1551599321164854"</f>
        <v>1551599321164854</v>
      </c>
      <c r="C3634" t="s">
        <v>40</v>
      </c>
      <c r="D3634">
        <v>5.1267680000000002</v>
      </c>
      <c r="E3634">
        <v>0.51065930000000004</v>
      </c>
      <c r="F3634" t="s">
        <v>52</v>
      </c>
      <c r="G3634">
        <v>-324.70049999999998</v>
      </c>
      <c r="H3634" s="1">
        <v>9.6456419999999999E-7</v>
      </c>
      <c r="I3634">
        <v>214.10980000000001</v>
      </c>
      <c r="J3634">
        <v>-350.14409999999998</v>
      </c>
      <c r="K3634">
        <v>1.120247</v>
      </c>
      <c r="L3634">
        <v>214.7706</v>
      </c>
      <c r="M3634">
        <v>0.9999112</v>
      </c>
      <c r="N3634">
        <v>-1.011836E-2</v>
      </c>
      <c r="O3634">
        <v>8.6688379999999999E-3</v>
      </c>
      <c r="P3634">
        <v>0.99477629999999995</v>
      </c>
      <c r="Q3634">
        <v>-0.10200579999999999</v>
      </c>
      <c r="R3634">
        <v>3.8590859999999999E-3</v>
      </c>
      <c r="S3634">
        <v>3.0026250000000001</v>
      </c>
      <c r="T3634">
        <v>-0.13022020000000001</v>
      </c>
      <c r="U3634">
        <v>-7.6400759999999998E-2</v>
      </c>
      <c r="V3634">
        <v>4.796018E-3</v>
      </c>
      <c r="W3634">
        <v>-9.1933539999999994E-2</v>
      </c>
      <c r="X3634">
        <v>0.99575360000000002</v>
      </c>
      <c r="Y3634">
        <v>3.4057690000000002E-2</v>
      </c>
      <c r="Z3634">
        <v>-1.1985469999999999E-3</v>
      </c>
      <c r="AA3634">
        <v>0.99941919999999995</v>
      </c>
      <c r="AB3634">
        <v>38</v>
      </c>
      <c r="AC3634">
        <v>25.4436</v>
      </c>
      <c r="AD3634">
        <v>-1.1202460354357999</v>
      </c>
      <c r="AE3634">
        <v>-0.66079999999999395</v>
      </c>
      <c r="AF3634">
        <v>0.87964884779335695</v>
      </c>
      <c r="AG3634">
        <v>-1.1202460354357999</v>
      </c>
      <c r="AH3634">
        <v>25.387733803293798</v>
      </c>
      <c r="AI3634">
        <v>92.525051773756203</v>
      </c>
      <c r="AJ3634">
        <v>88.015576637517498</v>
      </c>
      <c r="AK3634">
        <v>25.427657401778902</v>
      </c>
      <c r="AL3634">
        <v>95.274851994570398</v>
      </c>
      <c r="AM3634">
        <v>89.724038692914704</v>
      </c>
      <c r="AN3634">
        <v>1.0000000047392701</v>
      </c>
    </row>
    <row r="3635" spans="1:40" x14ac:dyDescent="0.25">
      <c r="A3635" t="str">
        <f>"20190303154841197"</f>
        <v>20190303154841197</v>
      </c>
      <c r="B3635" t="str">
        <f>"1551599321194134"</f>
        <v>1551599321194134</v>
      </c>
      <c r="C3635" t="s">
        <v>40</v>
      </c>
      <c r="D3635">
        <v>5.147208</v>
      </c>
      <c r="E3635">
        <v>0.51043890000000003</v>
      </c>
      <c r="F3635" t="s">
        <v>52</v>
      </c>
      <c r="G3635">
        <v>-324.45209999999997</v>
      </c>
      <c r="H3635" s="1">
        <v>8.3237709999999895E-7</v>
      </c>
      <c r="I3635">
        <v>214.1395</v>
      </c>
      <c r="J3635">
        <v>-349.78530000000001</v>
      </c>
      <c r="K3635">
        <v>1.120285</v>
      </c>
      <c r="L3635">
        <v>214.77379999999999</v>
      </c>
      <c r="M3635">
        <v>0.9999053</v>
      </c>
      <c r="N3635">
        <v>-1.058048E-2</v>
      </c>
      <c r="O3635">
        <v>8.8105639999999999E-3</v>
      </c>
      <c r="P3635">
        <v>0.99468559999999995</v>
      </c>
      <c r="Q3635">
        <v>-0.1028688</v>
      </c>
      <c r="R3635">
        <v>4.3198289999999999E-3</v>
      </c>
      <c r="S3635">
        <v>3.0025629999999999</v>
      </c>
      <c r="T3635">
        <v>-0.13092029999999999</v>
      </c>
      <c r="U3635">
        <v>-7.3745729999999995E-2</v>
      </c>
      <c r="V3635">
        <v>4.4735169999999998E-3</v>
      </c>
      <c r="W3635">
        <v>-9.2337390000000005E-2</v>
      </c>
      <c r="X3635">
        <v>0.99571770000000004</v>
      </c>
      <c r="Y3635">
        <v>3.331684E-2</v>
      </c>
      <c r="Z3635">
        <v>-1.1930479999999999E-3</v>
      </c>
      <c r="AA3635">
        <v>0.99944409999999895</v>
      </c>
      <c r="AB3635">
        <v>38</v>
      </c>
      <c r="AC3635">
        <v>25.333200000000001</v>
      </c>
      <c r="AD3635">
        <v>-1.1202841676228901</v>
      </c>
      <c r="AE3635">
        <v>-0.63429999999999598</v>
      </c>
      <c r="AF3635">
        <v>0.85581506262262397</v>
      </c>
      <c r="AG3635">
        <v>-1.1202841676228901</v>
      </c>
      <c r="AH3635">
        <v>25.277227010112298</v>
      </c>
      <c r="AI3635">
        <v>92.536231189875593</v>
      </c>
      <c r="AJ3635">
        <v>88.060868474437498</v>
      </c>
      <c r="AK3635">
        <v>25.316509659871901</v>
      </c>
      <c r="AL3635">
        <v>95.298089911186096</v>
      </c>
      <c r="AM3635">
        <v>89.742585755832906</v>
      </c>
      <c r="AN3635">
        <v>0.99999997201982505</v>
      </c>
    </row>
    <row r="3636" spans="1:40" x14ac:dyDescent="0.25">
      <c r="A3636" t="str">
        <f>"20190303154841219"</f>
        <v>20190303154841219</v>
      </c>
      <c r="B3636" t="str">
        <f>"1551599321214630"</f>
        <v>1551599321214630</v>
      </c>
      <c r="C3636" t="s">
        <v>40</v>
      </c>
      <c r="D3636">
        <v>5.1369160000000003</v>
      </c>
      <c r="E3636">
        <v>0.51032670000000002</v>
      </c>
      <c r="F3636" t="s">
        <v>52</v>
      </c>
      <c r="G3636">
        <v>-324.56740000000002</v>
      </c>
      <c r="H3636" s="1">
        <v>8.9373800000000001E-7</v>
      </c>
      <c r="I3636">
        <v>214.1808</v>
      </c>
      <c r="J3636">
        <v>-349.4076</v>
      </c>
      <c r="K3636">
        <v>1.120333</v>
      </c>
      <c r="L3636">
        <v>214.7773</v>
      </c>
      <c r="M3636">
        <v>0.99989870000000003</v>
      </c>
      <c r="N3636">
        <v>-1.1066299999999999E-2</v>
      </c>
      <c r="O3636">
        <v>8.9619699999999997E-3</v>
      </c>
      <c r="P3636">
        <v>0.9946005</v>
      </c>
      <c r="Q3636">
        <v>-0.1036764</v>
      </c>
      <c r="R3636">
        <v>4.6109330000000002E-3</v>
      </c>
      <c r="S3636">
        <v>3.0025330000000001</v>
      </c>
      <c r="T3636">
        <v>-0.1333848</v>
      </c>
      <c r="U3636">
        <v>-7.0602419999999999E-2</v>
      </c>
      <c r="V3636">
        <v>4.3309910000000002E-3</v>
      </c>
      <c r="W3636">
        <v>-9.26622E-2</v>
      </c>
      <c r="X3636">
        <v>0.99568820000000002</v>
      </c>
      <c r="Y3636">
        <v>3.2421970000000001E-2</v>
      </c>
      <c r="Z3636">
        <v>-1.197996E-3</v>
      </c>
      <c r="AA3636">
        <v>0.99947359999999996</v>
      </c>
      <c r="AB3636">
        <v>38</v>
      </c>
      <c r="AC3636">
        <v>24.8401999999999</v>
      </c>
      <c r="AD3636">
        <v>-1.120332106262</v>
      </c>
      <c r="AE3636">
        <v>-0.59649999999999104</v>
      </c>
      <c r="AF3636">
        <v>0.81744493164167098</v>
      </c>
      <c r="AG3636">
        <v>-1.120332106262</v>
      </c>
      <c r="AH3636">
        <v>24.7834718787805</v>
      </c>
      <c r="AI3636">
        <v>92.586877834990403</v>
      </c>
      <c r="AJ3636">
        <v>88.110871173304602</v>
      </c>
      <c r="AK3636">
        <v>24.822244834238798</v>
      </c>
      <c r="AL3636">
        <v>95.316780049511706</v>
      </c>
      <c r="AM3636">
        <v>89.750779470501797</v>
      </c>
      <c r="AN3636">
        <v>1.00000001620556</v>
      </c>
    </row>
    <row r="3637" spans="1:40" x14ac:dyDescent="0.25">
      <c r="A3637" t="str">
        <f>"20190303154841243"</f>
        <v>20190303154841243</v>
      </c>
      <c r="B3637" t="str">
        <f>"1551599321234150"</f>
        <v>1551599321234150</v>
      </c>
      <c r="C3637" t="s">
        <v>40</v>
      </c>
      <c r="D3637">
        <v>5.1713509999999996</v>
      </c>
      <c r="E3637">
        <v>0.51022009999999995</v>
      </c>
      <c r="F3637" t="s">
        <v>52</v>
      </c>
      <c r="G3637">
        <v>-324.6671</v>
      </c>
      <c r="H3637" s="1">
        <v>9.4679649999999999E-7</v>
      </c>
      <c r="I3637">
        <v>214.2107</v>
      </c>
      <c r="J3637">
        <v>-349.01569999999998</v>
      </c>
      <c r="K3637">
        <v>1.1203809999999901</v>
      </c>
      <c r="L3637">
        <v>214.7809</v>
      </c>
      <c r="M3637">
        <v>0.999892</v>
      </c>
      <c r="N3637">
        <v>-1.1537209999999999E-2</v>
      </c>
      <c r="O3637">
        <v>9.1143560000000005E-3</v>
      </c>
      <c r="P3637">
        <v>0.99452039999999997</v>
      </c>
      <c r="Q3637">
        <v>-0.1044278</v>
      </c>
      <c r="R3637">
        <v>4.9292629999999997E-3</v>
      </c>
      <c r="S3637">
        <v>3.0024410000000001</v>
      </c>
      <c r="T3637">
        <v>-0.13596059999999999</v>
      </c>
      <c r="U3637">
        <v>-6.8756100000000001E-2</v>
      </c>
      <c r="V3637">
        <v>4.1631259999999996E-3</v>
      </c>
      <c r="W3637">
        <v>-9.2945550000000002E-2</v>
      </c>
      <c r="X3637">
        <v>0.99566250000000001</v>
      </c>
      <c r="Y3637">
        <v>3.1959420000000002E-2</v>
      </c>
      <c r="Z3637">
        <v>-1.215027E-3</v>
      </c>
      <c r="AA3637">
        <v>0.99948840000000005</v>
      </c>
      <c r="AB3637">
        <v>38</v>
      </c>
      <c r="AC3637">
        <v>24.348599999999902</v>
      </c>
      <c r="AD3637">
        <v>-1.12038005320349</v>
      </c>
      <c r="AE3637">
        <v>-0.57019999999999904</v>
      </c>
      <c r="AF3637">
        <v>0.79044018818943496</v>
      </c>
      <c r="AG3637">
        <v>-1.12038005320349</v>
      </c>
      <c r="AH3637">
        <v>24.2909879960574</v>
      </c>
      <c r="AI3637">
        <v>92.639402670395896</v>
      </c>
      <c r="AJ3637">
        <v>88.1362260070715</v>
      </c>
      <c r="AK3637">
        <v>24.329655669148401</v>
      </c>
      <c r="AL3637">
        <v>95.333085205771994</v>
      </c>
      <c r="AM3637">
        <v>89.760432717583697</v>
      </c>
      <c r="AN3637">
        <v>1.0000000103945701</v>
      </c>
    </row>
    <row r="3638" spans="1:40" x14ac:dyDescent="0.25">
      <c r="A3638" t="str">
        <f>"20190303154841267"</f>
        <v>20190303154841267</v>
      </c>
      <c r="B3638" t="str">
        <f>"1551599321264405"</f>
        <v>1551599321264405</v>
      </c>
      <c r="C3638" t="s">
        <v>40</v>
      </c>
      <c r="D3638">
        <v>5.0935300000000003</v>
      </c>
      <c r="E3638">
        <v>0.5099977</v>
      </c>
      <c r="F3638" t="s">
        <v>52</v>
      </c>
      <c r="G3638">
        <v>-324.71910000000003</v>
      </c>
      <c r="H3638" s="1">
        <v>9.7450349999999994E-7</v>
      </c>
      <c r="I3638">
        <v>214.23480000000001</v>
      </c>
      <c r="J3638">
        <v>-348.61239999999998</v>
      </c>
      <c r="K3638">
        <v>1.12042</v>
      </c>
      <c r="L3638">
        <v>214.78469999999999</v>
      </c>
      <c r="M3638">
        <v>0.99988560000000004</v>
      </c>
      <c r="N3638">
        <v>-1.197323E-2</v>
      </c>
      <c r="O3638">
        <v>9.2637239999999992E-3</v>
      </c>
      <c r="P3638">
        <v>0.99444759999999999</v>
      </c>
      <c r="Q3638">
        <v>-0.10511429999999999</v>
      </c>
      <c r="R3638">
        <v>4.9836539999999997E-3</v>
      </c>
      <c r="S3638">
        <v>3.002319</v>
      </c>
      <c r="T3638">
        <v>-0.1384454</v>
      </c>
      <c r="U3638">
        <v>-6.748962E-2</v>
      </c>
      <c r="V3638">
        <v>4.2573350000000001E-3</v>
      </c>
      <c r="W3638">
        <v>-9.3198690000000001E-2</v>
      </c>
      <c r="X3638">
        <v>0.99563840000000003</v>
      </c>
      <c r="Y3638">
        <v>3.1686770000000003E-2</v>
      </c>
      <c r="Z3638">
        <v>-1.2359980000000001E-3</v>
      </c>
      <c r="AA3638">
        <v>0.99949710000000003</v>
      </c>
      <c r="AB3638">
        <v>37</v>
      </c>
      <c r="AC3638">
        <v>23.893299999999901</v>
      </c>
      <c r="AD3638">
        <v>-1.1204190254965001</v>
      </c>
      <c r="AE3638">
        <v>-0.54989999999997896</v>
      </c>
      <c r="AF3638">
        <v>0.76954189947658302</v>
      </c>
      <c r="AG3638">
        <v>-1.1204190254965001</v>
      </c>
      <c r="AH3638">
        <v>23.834797149601101</v>
      </c>
      <c r="AI3638">
        <v>92.689962062422495</v>
      </c>
      <c r="AJ3638">
        <v>88.150762865119404</v>
      </c>
      <c r="AK3638">
        <v>23.8735227540968</v>
      </c>
      <c r="AL3638">
        <v>95.347652494796904</v>
      </c>
      <c r="AM3638">
        <v>89.755005591558202</v>
      </c>
      <c r="AN3638">
        <v>0.99999997213678804</v>
      </c>
    </row>
    <row r="3639" spans="1:40" x14ac:dyDescent="0.25">
      <c r="A3639" t="str">
        <f>"20190303154841289"</f>
        <v>20190303154841289</v>
      </c>
      <c r="B3639" t="str">
        <f>"1551599321283926"</f>
        <v>1551599321283926</v>
      </c>
      <c r="C3639" t="s">
        <v>40</v>
      </c>
      <c r="D3639">
        <v>5.1423540000000001</v>
      </c>
      <c r="E3639">
        <v>0.50989659999999903</v>
      </c>
      <c r="F3639" t="s">
        <v>52</v>
      </c>
      <c r="G3639">
        <v>-324.75110000000001</v>
      </c>
      <c r="H3639" s="1">
        <v>9.9153309999999995E-7</v>
      </c>
      <c r="I3639">
        <v>214.2663</v>
      </c>
      <c r="J3639">
        <v>-348.24849999999998</v>
      </c>
      <c r="K3639">
        <v>1.1204480000000001</v>
      </c>
      <c r="L3639">
        <v>214.78819999999999</v>
      </c>
      <c r="M3639">
        <v>0.99987999999999999</v>
      </c>
      <c r="N3639">
        <v>-1.2326899999999899E-2</v>
      </c>
      <c r="O3639">
        <v>9.3952099999999993E-3</v>
      </c>
      <c r="P3639">
        <v>0.99437799999999998</v>
      </c>
      <c r="Q3639">
        <v>-0.10579230000000001</v>
      </c>
      <c r="R3639">
        <v>4.5551139999999999E-3</v>
      </c>
      <c r="S3639">
        <v>3.0021360000000001</v>
      </c>
      <c r="T3639">
        <v>-0.14096719999999999</v>
      </c>
      <c r="U3639">
        <v>-6.5231319999999995E-2</v>
      </c>
      <c r="V3639">
        <v>4.8164180000000003E-3</v>
      </c>
      <c r="W3639">
        <v>-9.3525250000000004E-2</v>
      </c>
      <c r="X3639">
        <v>0.99560519999999997</v>
      </c>
      <c r="Y3639">
        <v>3.106708E-2</v>
      </c>
      <c r="Z3639">
        <v>-1.2456570000000001E-3</v>
      </c>
      <c r="AA3639">
        <v>0.99951650000000003</v>
      </c>
      <c r="AB3639">
        <v>37</v>
      </c>
      <c r="AC3639">
        <v>23.497399999999899</v>
      </c>
      <c r="AD3639">
        <v>-1.12044700846689</v>
      </c>
      <c r="AE3639">
        <v>-0.52189999999998804</v>
      </c>
      <c r="AF3639">
        <v>0.74097276062841</v>
      </c>
      <c r="AG3639">
        <v>-1.12044700846689</v>
      </c>
      <c r="AH3639">
        <v>23.438192679240402</v>
      </c>
      <c r="AI3639">
        <v>92.735537981455806</v>
      </c>
      <c r="AJ3639">
        <v>88.189259838522503</v>
      </c>
      <c r="AK3639">
        <v>23.4766547489197</v>
      </c>
      <c r="AL3639">
        <v>95.366445247594896</v>
      </c>
      <c r="AM3639">
        <v>89.722823594109897</v>
      </c>
      <c r="AN3639">
        <v>0.999999942268474</v>
      </c>
    </row>
    <row r="3640" spans="1:40" x14ac:dyDescent="0.25">
      <c r="A3640" t="str">
        <f>"20190303154841310"</f>
        <v>20190303154841310</v>
      </c>
      <c r="B3640" t="str">
        <f>"1551599321304421"</f>
        <v>1551599321304421</v>
      </c>
      <c r="C3640" t="s">
        <v>40</v>
      </c>
      <c r="D3640">
        <v>5.1027189999999996</v>
      </c>
      <c r="E3640">
        <v>0.5097855</v>
      </c>
      <c r="F3640" t="s">
        <v>52</v>
      </c>
      <c r="G3640">
        <v>-324.70870000000002</v>
      </c>
      <c r="H3640" s="1">
        <v>9.689588E-7</v>
      </c>
      <c r="I3640">
        <v>214.273</v>
      </c>
      <c r="J3640">
        <v>-347.90289999999999</v>
      </c>
      <c r="K3640">
        <v>1.1204700000000001</v>
      </c>
      <c r="L3640">
        <v>214.79159999999999</v>
      </c>
      <c r="M3640">
        <v>0.99987490000000001</v>
      </c>
      <c r="N3640">
        <v>-1.2628489999999999E-2</v>
      </c>
      <c r="O3640">
        <v>9.5205689999999996E-3</v>
      </c>
      <c r="P3640">
        <v>0.99435709999999999</v>
      </c>
      <c r="Q3640">
        <v>-0.1060049</v>
      </c>
      <c r="R3640">
        <v>4.1076719999999997E-3</v>
      </c>
      <c r="S3640">
        <v>3.0020449999999999</v>
      </c>
      <c r="T3640">
        <v>-0.1428915</v>
      </c>
      <c r="U3640">
        <v>-6.5704349999999995E-2</v>
      </c>
      <c r="V3640">
        <v>5.3887179999999998E-3</v>
      </c>
      <c r="W3640">
        <v>-9.3437649999999997E-2</v>
      </c>
      <c r="X3640">
        <v>0.99561049999999995</v>
      </c>
      <c r="Y3640">
        <v>3.1348630000000002E-2</v>
      </c>
      <c r="Z3640">
        <v>-1.27636E-3</v>
      </c>
      <c r="AA3640">
        <v>0.9995077</v>
      </c>
      <c r="AB3640">
        <v>37</v>
      </c>
      <c r="AC3640">
        <v>23.194199999999899</v>
      </c>
      <c r="AD3640">
        <v>-1.1204690310412</v>
      </c>
      <c r="AE3640">
        <v>-0.51859999999999196</v>
      </c>
      <c r="AF3640">
        <v>0.73769540808670597</v>
      </c>
      <c r="AG3640">
        <v>-1.1204690310412</v>
      </c>
      <c r="AH3640">
        <v>23.1342499598655</v>
      </c>
      <c r="AI3640">
        <v>92.771452759832997</v>
      </c>
      <c r="AJ3640">
        <v>88.173594719457995</v>
      </c>
      <c r="AK3640">
        <v>23.173113009912399</v>
      </c>
      <c r="AL3640">
        <v>95.361404019043505</v>
      </c>
      <c r="AM3640">
        <v>89.689890993015595</v>
      </c>
      <c r="AN3640">
        <v>0.99999995021472599</v>
      </c>
    </row>
    <row r="3641" spans="1:40" x14ac:dyDescent="0.25">
      <c r="A3641" t="str">
        <f>"20190303154841331"</f>
        <v>20190303154841331</v>
      </c>
      <c r="B3641" t="str">
        <f>"1551599321323942"</f>
        <v>1551599321323942</v>
      </c>
      <c r="C3641" t="s">
        <v>40</v>
      </c>
      <c r="D3641">
        <v>5.1849489999999996</v>
      </c>
      <c r="E3641">
        <v>0.50958210000000004</v>
      </c>
      <c r="F3641" t="s">
        <v>52</v>
      </c>
      <c r="G3641">
        <v>-324.51549999999997</v>
      </c>
      <c r="H3641" s="1">
        <v>8.6615490000000005E-7</v>
      </c>
      <c r="I3641">
        <v>214.27539999999999</v>
      </c>
      <c r="J3641">
        <v>-347.52620000000002</v>
      </c>
      <c r="K3641">
        <v>1.120485</v>
      </c>
      <c r="L3641">
        <v>214.7953</v>
      </c>
      <c r="M3641">
        <v>0.99986989999999998</v>
      </c>
      <c r="N3641">
        <v>-1.292079E-2</v>
      </c>
      <c r="O3641">
        <v>9.6589829999999995E-3</v>
      </c>
      <c r="P3641">
        <v>0.99435759999999995</v>
      </c>
      <c r="Q3641">
        <v>-0.1059934</v>
      </c>
      <c r="R3641">
        <v>4.2755650000000003E-3</v>
      </c>
      <c r="S3641">
        <v>3.0019230000000001</v>
      </c>
      <c r="T3641">
        <v>-0.14381969999999999</v>
      </c>
      <c r="U3641">
        <v>-6.6253660000000006E-2</v>
      </c>
      <c r="V3641">
        <v>5.3586160000000001E-3</v>
      </c>
      <c r="W3641">
        <v>-9.313515E-2</v>
      </c>
      <c r="X3641">
        <v>0.99563900000000005</v>
      </c>
      <c r="Y3641">
        <v>3.1669429999999998E-2</v>
      </c>
      <c r="Z3641">
        <v>-1.3005829999999999E-3</v>
      </c>
      <c r="AA3641">
        <v>0.99949750000000004</v>
      </c>
      <c r="AB3641">
        <v>37</v>
      </c>
      <c r="AC3641">
        <v>23.0107</v>
      </c>
      <c r="AD3641">
        <v>-1.1204841338450999</v>
      </c>
      <c r="AE3641">
        <v>-0.51990000000000602</v>
      </c>
      <c r="AF3641">
        <v>0.74039957834836401</v>
      </c>
      <c r="AG3641">
        <v>-1.1204841338450999</v>
      </c>
      <c r="AH3641">
        <v>22.950214543125501</v>
      </c>
      <c r="AI3641">
        <v>92.793645901660298</v>
      </c>
      <c r="AJ3641">
        <v>88.152214967021294</v>
      </c>
      <c r="AK3641">
        <v>22.9894763708377</v>
      </c>
      <c r="AL3641">
        <v>95.343996164471704</v>
      </c>
      <c r="AM3641">
        <v>89.691632091194407</v>
      </c>
      <c r="AN3641">
        <v>0.99999994462597697</v>
      </c>
    </row>
    <row r="3642" spans="1:40" x14ac:dyDescent="0.25">
      <c r="A3642" t="str">
        <f>"20190303154841353"</f>
        <v>20190303154841353</v>
      </c>
      <c r="B3642" t="str">
        <f>"1551599321344438"</f>
        <v>1551599321344438</v>
      </c>
      <c r="C3642" t="s">
        <v>40</v>
      </c>
      <c r="D3642">
        <v>5.2003750000000002</v>
      </c>
      <c r="E3642">
        <v>0.50927630000000002</v>
      </c>
      <c r="F3642" t="s">
        <v>52</v>
      </c>
      <c r="G3642">
        <v>-324.35509999999999</v>
      </c>
      <c r="H3642" s="1">
        <v>7.8080380000000002E-7</v>
      </c>
      <c r="I3642">
        <v>214.30090000000001</v>
      </c>
      <c r="J3642">
        <v>-347.16770000000002</v>
      </c>
      <c r="K3642">
        <v>1.1204940000000001</v>
      </c>
      <c r="L3642">
        <v>214.7989</v>
      </c>
      <c r="M3642">
        <v>0.99986540000000002</v>
      </c>
      <c r="N3642">
        <v>-1.3166290000000001E-2</v>
      </c>
      <c r="O3642">
        <v>9.7927599999999993E-3</v>
      </c>
      <c r="P3642">
        <v>0.99436829999999998</v>
      </c>
      <c r="Q3642">
        <v>-0.1058799</v>
      </c>
      <c r="R3642">
        <v>4.6097719999999998E-3</v>
      </c>
      <c r="S3642">
        <v>3.0018310000000001</v>
      </c>
      <c r="T3642">
        <v>-0.14515980000000001</v>
      </c>
      <c r="U3642">
        <v>-6.4056399999999999E-2</v>
      </c>
      <c r="V3642">
        <v>5.157399E-3</v>
      </c>
      <c r="W3642">
        <v>-9.2777009999999993E-2</v>
      </c>
      <c r="X3642">
        <v>0.99567349999999999</v>
      </c>
      <c r="Y3642">
        <v>3.107236E-2</v>
      </c>
      <c r="Z3642">
        <v>-1.2998560000000001E-3</v>
      </c>
      <c r="AA3642">
        <v>0.99951630000000002</v>
      </c>
      <c r="AB3642">
        <v>37</v>
      </c>
      <c r="AC3642">
        <v>22.8126</v>
      </c>
      <c r="AD3642">
        <v>-1.12049321919619</v>
      </c>
      <c r="AE3642">
        <v>-0.49799999999999001</v>
      </c>
      <c r="AF3642">
        <v>0.71965843631075199</v>
      </c>
      <c r="AG3642">
        <v>-1.12049321919619</v>
      </c>
      <c r="AH3642">
        <v>22.7517660346501</v>
      </c>
      <c r="AI3642">
        <v>92.818053308016303</v>
      </c>
      <c r="AJ3642">
        <v>88.188287987523196</v>
      </c>
      <c r="AK3642">
        <v>22.7907058033461</v>
      </c>
      <c r="AL3642">
        <v>95.323387014932393</v>
      </c>
      <c r="AM3642">
        <v>89.703221434299806</v>
      </c>
      <c r="AN3642">
        <v>0.99999994547561599</v>
      </c>
    </row>
    <row r="3643" spans="1:40" x14ac:dyDescent="0.25">
      <c r="A3643" t="str">
        <f>"20190303154841375"</f>
        <v>20190303154841375</v>
      </c>
      <c r="B3643" t="str">
        <f>"1551599321364934"</f>
        <v>1551599321364934</v>
      </c>
      <c r="C3643" t="s">
        <v>40</v>
      </c>
      <c r="D3643">
        <v>5.2058780000000002</v>
      </c>
      <c r="E3643">
        <v>0.50900349999999905</v>
      </c>
      <c r="F3643" t="s">
        <v>52</v>
      </c>
      <c r="G3643">
        <v>-324.33100000000002</v>
      </c>
      <c r="H3643" s="1">
        <v>7.6794469999999898E-7</v>
      </c>
      <c r="I3643">
        <v>214.33920000000001</v>
      </c>
      <c r="J3643">
        <v>-346.80500000000001</v>
      </c>
      <c r="K3643">
        <v>1.120506</v>
      </c>
      <c r="L3643">
        <v>214.80260000000001</v>
      </c>
      <c r="M3643">
        <v>0.99986120000000001</v>
      </c>
      <c r="N3643">
        <v>-1.338491E-2</v>
      </c>
      <c r="O3643">
        <v>9.9292430000000008E-3</v>
      </c>
      <c r="P3643">
        <v>0.99436899999999995</v>
      </c>
      <c r="Q3643">
        <v>-0.10585849999999999</v>
      </c>
      <c r="R3643">
        <v>4.9658209999999996E-3</v>
      </c>
      <c r="S3643">
        <v>3.0015559999999999</v>
      </c>
      <c r="T3643">
        <v>-0.1472725</v>
      </c>
      <c r="U3643">
        <v>-6.0424800000000001E-2</v>
      </c>
      <c r="V3643">
        <v>4.9368779999999996E-3</v>
      </c>
      <c r="W3643">
        <v>-9.2538010000000004E-2</v>
      </c>
      <c r="X3643">
        <v>0.9956969</v>
      </c>
      <c r="Y3643">
        <v>3.0001960000000001E-2</v>
      </c>
      <c r="Z3643">
        <v>-1.290493E-3</v>
      </c>
      <c r="AA3643">
        <v>0.99954900000000002</v>
      </c>
      <c r="AB3643">
        <v>37</v>
      </c>
      <c r="AC3643">
        <v>22.474</v>
      </c>
      <c r="AD3643">
        <v>-1.1205052320552999</v>
      </c>
      <c r="AE3643">
        <v>-0.46340000000000697</v>
      </c>
      <c r="AF3643">
        <v>0.68484526465217899</v>
      </c>
      <c r="AG3643">
        <v>-1.1205052320552999</v>
      </c>
      <c r="AH3643">
        <v>22.412600623445801</v>
      </c>
      <c r="AI3643">
        <v>92.860753993502897</v>
      </c>
      <c r="AJ3643">
        <v>88.249799808128799</v>
      </c>
      <c r="AK3643">
        <v>22.451040325955098</v>
      </c>
      <c r="AL3643">
        <v>95.309633940869006</v>
      </c>
      <c r="AM3643">
        <v>89.715917609611694</v>
      </c>
      <c r="AN3643">
        <v>0.99999998636437804</v>
      </c>
    </row>
    <row r="3644" spans="1:40" x14ac:dyDescent="0.25">
      <c r="A3644" t="str">
        <f>"20190303154841399"</f>
        <v>20190303154841399</v>
      </c>
      <c r="B3644" t="str">
        <f>"1551599321394214"</f>
        <v>1551599321394214</v>
      </c>
      <c r="C3644" t="s">
        <v>40</v>
      </c>
      <c r="D3644">
        <v>5.1700589999999904</v>
      </c>
      <c r="E3644">
        <v>0.50887660000000001</v>
      </c>
      <c r="F3644" t="s">
        <v>52</v>
      </c>
      <c r="G3644">
        <v>-324.30369999999999</v>
      </c>
      <c r="H3644" s="1">
        <v>7.5343090000000003E-7</v>
      </c>
      <c r="I3644">
        <v>214.3715</v>
      </c>
      <c r="J3644">
        <v>-346.41930000000002</v>
      </c>
      <c r="K3644">
        <v>1.1205270000000001</v>
      </c>
      <c r="L3644">
        <v>214.8066</v>
      </c>
      <c r="M3644">
        <v>0.99985710000000005</v>
      </c>
      <c r="N3644">
        <v>-1.358824E-2</v>
      </c>
      <c r="O3644">
        <v>1.0074799999999899E-2</v>
      </c>
      <c r="P3644">
        <v>0.99432779999999998</v>
      </c>
      <c r="Q3644">
        <v>-0.1062563</v>
      </c>
      <c r="R3644">
        <v>4.6991840000000003E-3</v>
      </c>
      <c r="S3644">
        <v>3.001404</v>
      </c>
      <c r="T3644">
        <v>-0.14946189999999901</v>
      </c>
      <c r="U3644">
        <v>-5.751038E-2</v>
      </c>
      <c r="V3644">
        <v>5.3478319999999899E-3</v>
      </c>
      <c r="W3644">
        <v>-9.2733759999999998E-2</v>
      </c>
      <c r="X3644">
        <v>0.99567660000000002</v>
      </c>
      <c r="Y3644">
        <v>2.9177939999999999E-2</v>
      </c>
      <c r="Z3644">
        <v>-1.2889150000000001E-3</v>
      </c>
      <c r="AA3644">
        <v>0.99957339999999995</v>
      </c>
      <c r="AB3644">
        <v>37</v>
      </c>
      <c r="AC3644">
        <v>22.115600000000001</v>
      </c>
      <c r="AD3644">
        <v>-1.1205262465690999</v>
      </c>
      <c r="AE3644">
        <v>-0.43510000000000498</v>
      </c>
      <c r="AF3644">
        <v>0.65622473535682302</v>
      </c>
      <c r="AG3644">
        <v>-1.1205262465690999</v>
      </c>
      <c r="AH3644">
        <v>22.053501293375302</v>
      </c>
      <c r="AI3644">
        <v>92.907381062240901</v>
      </c>
      <c r="AJ3644">
        <v>88.295607750516993</v>
      </c>
      <c r="AK3644">
        <v>22.091698197953299</v>
      </c>
      <c r="AL3644">
        <v>95.320897841802093</v>
      </c>
      <c r="AM3644">
        <v>89.692264278629196</v>
      </c>
      <c r="AN3644">
        <v>1.0000000206691899</v>
      </c>
    </row>
    <row r="3645" spans="1:40" x14ac:dyDescent="0.25">
      <c r="A3645" t="str">
        <f>"20190303154841420"</f>
        <v>20190303154841420</v>
      </c>
      <c r="B3645" t="str">
        <f>"1551599321414709"</f>
        <v>1551599321414709</v>
      </c>
      <c r="C3645" t="s">
        <v>40</v>
      </c>
      <c r="D3645">
        <v>5.1360749999999999</v>
      </c>
      <c r="E3645">
        <v>0.50901030000000003</v>
      </c>
      <c r="F3645" t="s">
        <v>52</v>
      </c>
      <c r="G3645">
        <v>-324.39429999999999</v>
      </c>
      <c r="H3645" s="1">
        <v>8.0160839999999996E-7</v>
      </c>
      <c r="I3645">
        <v>214.3853</v>
      </c>
      <c r="J3645">
        <v>-346.05309999999997</v>
      </c>
      <c r="K3645">
        <v>1.120536</v>
      </c>
      <c r="L3645">
        <v>214.81039999999999</v>
      </c>
      <c r="M3645">
        <v>0.99985329999999994</v>
      </c>
      <c r="N3645">
        <v>-1.3755470000000001E-2</v>
      </c>
      <c r="O3645">
        <v>1.0212540000000001E-2</v>
      </c>
      <c r="P3645">
        <v>0.99434820000000002</v>
      </c>
      <c r="Q3645">
        <v>-0.106071</v>
      </c>
      <c r="R3645">
        <v>4.5533129999999998E-3</v>
      </c>
      <c r="S3645">
        <v>3.0010680000000001</v>
      </c>
      <c r="T3645">
        <v>-0.15267990000000001</v>
      </c>
      <c r="U3645">
        <v>-5.7403559999999999E-2</v>
      </c>
      <c r="V3645">
        <v>5.630889E-3</v>
      </c>
      <c r="W3645">
        <v>-9.2381610000000003E-2</v>
      </c>
      <c r="X3645">
        <v>0.99570780000000003</v>
      </c>
      <c r="Y3645">
        <v>2.9279719999999999E-2</v>
      </c>
      <c r="Z3645">
        <v>-1.3246110000000001E-3</v>
      </c>
      <c r="AA3645">
        <v>0.99957039999999997</v>
      </c>
      <c r="AB3645">
        <v>37</v>
      </c>
      <c r="AC3645">
        <v>21.6587999999999</v>
      </c>
      <c r="AD3645">
        <v>-1.1205351983916001</v>
      </c>
      <c r="AE3645">
        <v>-0.42509999999998599</v>
      </c>
      <c r="AF3645">
        <v>0.644565528363648</v>
      </c>
      <c r="AG3645">
        <v>-1.1205351983916001</v>
      </c>
      <c r="AH3645">
        <v>21.595548312855001</v>
      </c>
      <c r="AI3645">
        <v>92.968941161586201</v>
      </c>
      <c r="AJ3645">
        <v>88.290391933361903</v>
      </c>
      <c r="AK3645">
        <v>21.634203724289002</v>
      </c>
      <c r="AL3645">
        <v>95.300634013875197</v>
      </c>
      <c r="AM3645">
        <v>89.675986534015905</v>
      </c>
      <c r="AN3645">
        <v>1.0000000458789799</v>
      </c>
    </row>
    <row r="3646" spans="1:40" x14ac:dyDescent="0.25">
      <c r="A3646" t="str">
        <f>"20190303154841443"</f>
        <v>20190303154841443</v>
      </c>
      <c r="B3646" t="str">
        <f>"1551599321434230"</f>
        <v>1551599321434230</v>
      </c>
      <c r="C3646" t="s">
        <v>40</v>
      </c>
      <c r="D3646">
        <v>5.1655119999999997</v>
      </c>
      <c r="E3646">
        <v>0.50914440000000005</v>
      </c>
      <c r="F3646" t="s">
        <v>52</v>
      </c>
      <c r="G3646">
        <v>-324.24770000000001</v>
      </c>
      <c r="H3646" s="1">
        <v>7.2364369999999996E-7</v>
      </c>
      <c r="I3646">
        <v>214.3837</v>
      </c>
      <c r="J3646">
        <v>-345.68950000000001</v>
      </c>
      <c r="K3646">
        <v>1.1205480000000001</v>
      </c>
      <c r="L3646">
        <v>214.8142</v>
      </c>
      <c r="M3646">
        <v>0.99985000000000002</v>
      </c>
      <c r="N3646">
        <v>-1.389848E-2</v>
      </c>
      <c r="O3646">
        <v>1.0348950000000001E-2</v>
      </c>
      <c r="P3646">
        <v>0.9944035</v>
      </c>
      <c r="Q3646">
        <v>-0.10555680000000001</v>
      </c>
      <c r="R3646">
        <v>4.4355719999999996E-3</v>
      </c>
      <c r="S3646">
        <v>3.0009459999999999</v>
      </c>
      <c r="T3646">
        <v>-0.15421260000000001</v>
      </c>
      <c r="U3646">
        <v>-5.8731079999999998E-2</v>
      </c>
      <c r="V3646">
        <v>5.8846150000000002E-3</v>
      </c>
      <c r="W3646">
        <v>-9.1724189999999997E-2</v>
      </c>
      <c r="X3646">
        <v>0.99576710000000002</v>
      </c>
      <c r="Y3646">
        <v>2.9856710000000002E-2</v>
      </c>
      <c r="Z3646">
        <v>-1.3619039999999999E-3</v>
      </c>
      <c r="AA3646">
        <v>0.99955329999999998</v>
      </c>
      <c r="AB3646">
        <v>37</v>
      </c>
      <c r="AC3646">
        <v>21.441800000000001</v>
      </c>
      <c r="AD3646">
        <v>-1.12054727635629</v>
      </c>
      <c r="AE3646">
        <v>-0.430499999999995</v>
      </c>
      <c r="AF3646">
        <v>0.65062226076863205</v>
      </c>
      <c r="AG3646">
        <v>-1.12054727635629</v>
      </c>
      <c r="AH3646">
        <v>21.3778343628444</v>
      </c>
      <c r="AI3646">
        <v>92.999101550055698</v>
      </c>
      <c r="AJ3646">
        <v>88.256773546554996</v>
      </c>
      <c r="AK3646">
        <v>21.4170665024408</v>
      </c>
      <c r="AL3646">
        <v>95.262806059368899</v>
      </c>
      <c r="AM3646">
        <v>89.661407091438704</v>
      </c>
      <c r="AN3646">
        <v>1.0000000365836299</v>
      </c>
    </row>
    <row r="3647" spans="1:40" x14ac:dyDescent="0.25">
      <c r="A3647" t="str">
        <f>"20190303154841477"</f>
        <v>20190303154841477</v>
      </c>
      <c r="B3647" t="str">
        <f>"1551599321474246"</f>
        <v>1551599321474246</v>
      </c>
      <c r="C3647" t="s">
        <v>40</v>
      </c>
      <c r="D3647">
        <v>5.1458629999999896</v>
      </c>
      <c r="E3647">
        <v>0.50938879999999997</v>
      </c>
      <c r="F3647" t="s">
        <v>52</v>
      </c>
      <c r="G3647">
        <v>-323.93340000000001</v>
      </c>
      <c r="H3647" s="1">
        <v>5.5638980000000004E-7</v>
      </c>
      <c r="I3647">
        <v>214.37729999999999</v>
      </c>
      <c r="J3647">
        <v>-345.12090000000001</v>
      </c>
      <c r="K3647">
        <v>1.1205700000000001</v>
      </c>
      <c r="L3647">
        <v>214.82040000000001</v>
      </c>
      <c r="M3647">
        <v>0.99984499999999998</v>
      </c>
      <c r="N3647">
        <v>-1.408497E-2</v>
      </c>
      <c r="O3647">
        <v>1.0561920000000001E-2</v>
      </c>
      <c r="P3647">
        <v>0.99444710000000003</v>
      </c>
      <c r="Q3647">
        <v>-0.1051266</v>
      </c>
      <c r="R3647">
        <v>4.8458939999999999E-3</v>
      </c>
      <c r="S3647">
        <v>3.000702</v>
      </c>
      <c r="T3647">
        <v>-0.15455139999999901</v>
      </c>
      <c r="U3647">
        <v>-6.0256959999999998E-2</v>
      </c>
      <c r="V3647">
        <v>5.6862630000000004E-3</v>
      </c>
      <c r="W3647">
        <v>-9.1107770000000005E-2</v>
      </c>
      <c r="X3647">
        <v>0.99582479999999995</v>
      </c>
      <c r="Y3647">
        <v>3.0577630000000001E-2</v>
      </c>
      <c r="Z3647">
        <v>-1.397309E-3</v>
      </c>
      <c r="AA3647">
        <v>0.99953139999999996</v>
      </c>
      <c r="AB3647">
        <v>37</v>
      </c>
      <c r="AC3647">
        <v>21.1875</v>
      </c>
      <c r="AD3647">
        <v>-1.1205694436102001</v>
      </c>
      <c r="AE3647">
        <v>-0.44310000000001498</v>
      </c>
      <c r="AF3647">
        <v>0.66501881009953201</v>
      </c>
      <c r="AG3647">
        <v>-1.1205694436102001</v>
      </c>
      <c r="AH3647">
        <v>21.122579988044102</v>
      </c>
      <c r="AI3647">
        <v>93.035238226027701</v>
      </c>
      <c r="AJ3647">
        <v>88.196707547217997</v>
      </c>
      <c r="AK3647">
        <v>21.162734021081899</v>
      </c>
      <c r="AL3647">
        <v>95.227339502663298</v>
      </c>
      <c r="AM3647">
        <v>89.672838705916007</v>
      </c>
      <c r="AN3647">
        <v>0.99999999581815802</v>
      </c>
    </row>
    <row r="3648" spans="1:40" x14ac:dyDescent="0.25">
      <c r="A3648" t="str">
        <f>"20190303154841498"</f>
        <v>20190303154841498</v>
      </c>
      <c r="B3648" t="str">
        <f>"1551599321494742"</f>
        <v>1551599321494742</v>
      </c>
      <c r="C3648" t="s">
        <v>40</v>
      </c>
      <c r="D3648">
        <v>5.1629360000000002</v>
      </c>
      <c r="E3648">
        <v>0.50951420000000003</v>
      </c>
      <c r="F3648" t="s">
        <v>52</v>
      </c>
      <c r="G3648">
        <v>-323.70119999999997</v>
      </c>
      <c r="H3648" s="1">
        <v>4.327927E-7</v>
      </c>
      <c r="I3648">
        <v>214.38300000000001</v>
      </c>
      <c r="J3648">
        <v>-344.76979999999998</v>
      </c>
      <c r="K3648">
        <v>1.1205780000000001</v>
      </c>
      <c r="L3648">
        <v>214.82419999999999</v>
      </c>
      <c r="M3648">
        <v>0.99984240000000002</v>
      </c>
      <c r="N3648">
        <v>-1.4180969999999999E-2</v>
      </c>
      <c r="O3648">
        <v>1.069356E-2</v>
      </c>
      <c r="P3648">
        <v>0.9944288</v>
      </c>
      <c r="Q3648">
        <v>-0.1053133</v>
      </c>
      <c r="R3648">
        <v>4.5653809999999899E-3</v>
      </c>
      <c r="S3648">
        <v>3.0004270000000002</v>
      </c>
      <c r="T3648">
        <v>-0.15696679999999999</v>
      </c>
      <c r="U3648">
        <v>-6.1264039999999999E-2</v>
      </c>
      <c r="V3648">
        <v>6.0975810000000004E-3</v>
      </c>
      <c r="W3648">
        <v>-9.1199020000000006E-2</v>
      </c>
      <c r="X3648">
        <v>0.99581399999999998</v>
      </c>
      <c r="Y3648">
        <v>3.10437E-2</v>
      </c>
      <c r="Z3648">
        <v>-1.4391629999999901E-3</v>
      </c>
      <c r="AA3648">
        <v>0.99951699999999999</v>
      </c>
      <c r="AB3648">
        <v>37</v>
      </c>
      <c r="AC3648">
        <v>21.0686</v>
      </c>
      <c r="AD3648">
        <v>-1.1205775672073</v>
      </c>
      <c r="AE3648">
        <v>-0.44120000000000897</v>
      </c>
      <c r="AF3648">
        <v>0.66461644502716399</v>
      </c>
      <c r="AG3648">
        <v>-1.1205775672073</v>
      </c>
      <c r="AH3648">
        <v>21.0032871736143</v>
      </c>
      <c r="AI3648">
        <v>93.052451771863801</v>
      </c>
      <c r="AJ3648">
        <v>88.187568699569596</v>
      </c>
      <c r="AK3648">
        <v>21.0436565548966</v>
      </c>
      <c r="AL3648">
        <v>95.232589671054697</v>
      </c>
      <c r="AM3648">
        <v>89.649170135892504</v>
      </c>
      <c r="AN3648">
        <v>0.99999998216950503</v>
      </c>
    </row>
    <row r="3649" spans="1:40" x14ac:dyDescent="0.25">
      <c r="A3649" t="str">
        <f>"20190303154841522"</f>
        <v>20190303154841522</v>
      </c>
      <c r="B3649" t="str">
        <f>"1551599321514261"</f>
        <v>1551599321514261</v>
      </c>
      <c r="C3649" t="s">
        <v>40</v>
      </c>
      <c r="D3649">
        <v>5.1678930000000003</v>
      </c>
      <c r="E3649">
        <v>0.50963879999999995</v>
      </c>
      <c r="F3649" t="s">
        <v>52</v>
      </c>
      <c r="G3649">
        <v>-323.6388</v>
      </c>
      <c r="H3649" s="1">
        <v>3.9961960000000001E-7</v>
      </c>
      <c r="I3649">
        <v>214.38079999999999</v>
      </c>
      <c r="J3649">
        <v>-344.3888</v>
      </c>
      <c r="K3649">
        <v>1.1205860000000001</v>
      </c>
      <c r="L3649">
        <v>214.82839999999999</v>
      </c>
      <c r="M3649">
        <v>0.99983949999999999</v>
      </c>
      <c r="N3649">
        <v>-1.427078E-2</v>
      </c>
      <c r="O3649">
        <v>1.0836800000000001E-2</v>
      </c>
      <c r="P3649">
        <v>0.99445629999999996</v>
      </c>
      <c r="Q3649">
        <v>-0.1050397</v>
      </c>
      <c r="R3649">
        <v>4.8824960000000001E-3</v>
      </c>
      <c r="S3649">
        <v>3.0002439999999999</v>
      </c>
      <c r="T3649">
        <v>-0.15910350000000001</v>
      </c>
      <c r="U3649">
        <v>-6.2957760000000001E-2</v>
      </c>
      <c r="V3649">
        <v>5.9229399999999998E-3</v>
      </c>
      <c r="W3649">
        <v>-9.0835620000000006E-2</v>
      </c>
      <c r="X3649">
        <v>0.99584830000000002</v>
      </c>
      <c r="Y3649">
        <v>3.174913E-2</v>
      </c>
      <c r="Z3649">
        <v>-1.4875890000000001E-3</v>
      </c>
      <c r="AA3649">
        <v>0.99949480000000002</v>
      </c>
      <c r="AB3649">
        <v>37</v>
      </c>
      <c r="AC3649">
        <v>20.75</v>
      </c>
      <c r="AD3649">
        <v>-1.1205856003804</v>
      </c>
      <c r="AE3649">
        <v>-0.447599999999994</v>
      </c>
      <c r="AF3649">
        <v>0.67050561565706701</v>
      </c>
      <c r="AG3649">
        <v>-1.1205856003804</v>
      </c>
      <c r="AH3649">
        <v>20.683635628531899</v>
      </c>
      <c r="AI3649">
        <v>93.099479645406305</v>
      </c>
      <c r="AJ3649">
        <v>88.143281293478495</v>
      </c>
      <c r="AK3649">
        <v>20.724817796117801</v>
      </c>
      <c r="AL3649">
        <v>95.211681435818605</v>
      </c>
      <c r="AM3649">
        <v>89.659229761344506</v>
      </c>
      <c r="AN3649">
        <v>1.0000000138459499</v>
      </c>
    </row>
    <row r="3650" spans="1:40" x14ac:dyDescent="0.25">
      <c r="A3650" t="str">
        <f>"20190303154841543"</f>
        <v>20190303154841543</v>
      </c>
      <c r="B3650" t="str">
        <f>"1551599321534290"</f>
        <v>1551599321534290</v>
      </c>
      <c r="C3650" t="s">
        <v>40</v>
      </c>
      <c r="D3650">
        <v>5.1809500000000002</v>
      </c>
      <c r="E3650">
        <v>0.50977119999999998</v>
      </c>
      <c r="F3650" t="s">
        <v>52</v>
      </c>
      <c r="G3650">
        <v>-323.35640000000001</v>
      </c>
      <c r="H3650" s="1">
        <v>2.4931110000000002E-7</v>
      </c>
      <c r="I3650">
        <v>214.3879</v>
      </c>
      <c r="J3650">
        <v>-344.03649999999999</v>
      </c>
      <c r="K3650">
        <v>1.1205959999999999</v>
      </c>
      <c r="L3650">
        <v>214.83240000000001</v>
      </c>
      <c r="M3650">
        <v>0.99983699999999998</v>
      </c>
      <c r="N3650">
        <v>-1.434146E-2</v>
      </c>
      <c r="O3650">
        <v>1.0969029999999999E-2</v>
      </c>
      <c r="P3650">
        <v>0.99442399999999997</v>
      </c>
      <c r="Q3650">
        <v>-0.1053142</v>
      </c>
      <c r="R3650">
        <v>5.477595E-3</v>
      </c>
      <c r="S3650">
        <v>3.0001530000000001</v>
      </c>
      <c r="T3650">
        <v>-0.15984509999999999</v>
      </c>
      <c r="U3650">
        <v>-6.283569E-2</v>
      </c>
      <c r="V3650">
        <v>5.4591500000000003E-3</v>
      </c>
      <c r="W3650">
        <v>-9.1040250000000003E-2</v>
      </c>
      <c r="X3650">
        <v>0.9958323</v>
      </c>
      <c r="Y3650">
        <v>3.1840449999999999E-2</v>
      </c>
      <c r="Z3650">
        <v>-1.5028109999999999E-3</v>
      </c>
      <c r="AA3650">
        <v>0.99949180000000004</v>
      </c>
      <c r="AB3650">
        <v>37</v>
      </c>
      <c r="AC3650">
        <v>20.6800999999999</v>
      </c>
      <c r="AD3650">
        <v>-1.1205957506888999</v>
      </c>
      <c r="AE3650">
        <v>-0.444500000000005</v>
      </c>
      <c r="AF3650">
        <v>0.66937268256238502</v>
      </c>
      <c r="AG3650">
        <v>-1.1205957506888999</v>
      </c>
      <c r="AH3650">
        <v>20.613481026472201</v>
      </c>
      <c r="AI3650">
        <v>93.1100300891719</v>
      </c>
      <c r="AJ3650">
        <v>88.140112399786503</v>
      </c>
      <c r="AK3650">
        <v>20.654766874824599</v>
      </c>
      <c r="AL3650">
        <v>95.223454465452903</v>
      </c>
      <c r="AM3650">
        <v>89.685907836620203</v>
      </c>
      <c r="AN3650">
        <v>1.0000000495810299</v>
      </c>
    </row>
    <row r="3651" spans="1:40" x14ac:dyDescent="0.25">
      <c r="A3651" t="str">
        <f>"20190303154841566"</f>
        <v>20190303154841566</v>
      </c>
      <c r="B3651" t="str">
        <f>"1551599321554786"</f>
        <v>1551599321554786</v>
      </c>
      <c r="C3651" t="s">
        <v>40</v>
      </c>
      <c r="D3651">
        <v>5.1637969999999997</v>
      </c>
      <c r="E3651">
        <v>0.50988729999999904</v>
      </c>
      <c r="F3651" t="s">
        <v>52</v>
      </c>
      <c r="G3651">
        <v>-323.32760000000002</v>
      </c>
      <c r="H3651" s="1">
        <v>2.340065E-7</v>
      </c>
      <c r="I3651">
        <v>214.4049</v>
      </c>
      <c r="J3651">
        <v>-343.66030000000001</v>
      </c>
      <c r="K3651">
        <v>1.120601</v>
      </c>
      <c r="L3651">
        <v>214.8366</v>
      </c>
      <c r="M3651">
        <v>0.99983460000000002</v>
      </c>
      <c r="N3651">
        <v>-1.440644E-2</v>
      </c>
      <c r="O3651">
        <v>1.111024E-2</v>
      </c>
      <c r="P3651">
        <v>0.99444200000000005</v>
      </c>
      <c r="Q3651">
        <v>-0.105126</v>
      </c>
      <c r="R3651">
        <v>5.8281890000000001E-3</v>
      </c>
      <c r="S3651">
        <v>2.9999690000000001</v>
      </c>
      <c r="T3651">
        <v>-0.16233399999999901</v>
      </c>
      <c r="U3651">
        <v>-6.1920169999999997E-2</v>
      </c>
      <c r="V3651">
        <v>5.2491789999999997E-3</v>
      </c>
      <c r="W3651">
        <v>-9.0787069999999997E-2</v>
      </c>
      <c r="X3651">
        <v>0.99585650000000003</v>
      </c>
      <c r="Y3651">
        <v>3.167619E-2</v>
      </c>
      <c r="Z3651">
        <v>-1.5254680000000001E-3</v>
      </c>
      <c r="AA3651">
        <v>0.99949699999999997</v>
      </c>
      <c r="AB3651">
        <v>37</v>
      </c>
      <c r="AC3651">
        <v>20.3326999999999</v>
      </c>
      <c r="AD3651">
        <v>-1.1206007659935</v>
      </c>
      <c r="AE3651">
        <v>-0.43170000000000602</v>
      </c>
      <c r="AF3651">
        <v>0.655607459360802</v>
      </c>
      <c r="AG3651">
        <v>-1.1206007659935</v>
      </c>
      <c r="AH3651">
        <v>20.265121082030699</v>
      </c>
      <c r="AI3651">
        <v>93.163410730002198</v>
      </c>
      <c r="AJ3651">
        <v>88.147040741463101</v>
      </c>
      <c r="AK3651">
        <v>20.306666385374001</v>
      </c>
      <c r="AL3651">
        <v>95.208888218681807</v>
      </c>
      <c r="AM3651">
        <v>89.697995627591993</v>
      </c>
      <c r="AN3651">
        <v>1.0000000072758</v>
      </c>
    </row>
    <row r="3652" spans="1:40" x14ac:dyDescent="0.25">
      <c r="A3652" t="str">
        <f>"20190303154841586"</f>
        <v>20190303154841586</v>
      </c>
      <c r="B3652" t="str">
        <f>"1551599321584066"</f>
        <v>1551599321584066</v>
      </c>
      <c r="C3652" t="s">
        <v>40</v>
      </c>
      <c r="D3652">
        <v>5.1777730000000002</v>
      </c>
      <c r="E3652">
        <v>0.51008120000000001</v>
      </c>
      <c r="F3652" t="s">
        <v>52</v>
      </c>
      <c r="G3652">
        <v>-323.0754</v>
      </c>
      <c r="H3652" s="1">
        <v>9.9805479999999994E-8</v>
      </c>
      <c r="I3652">
        <v>214.41059999999999</v>
      </c>
      <c r="J3652">
        <v>-343.30759999999998</v>
      </c>
      <c r="K3652">
        <v>1.120603</v>
      </c>
      <c r="L3652">
        <v>214.8407</v>
      </c>
      <c r="M3652">
        <v>0.99983219999999995</v>
      </c>
      <c r="N3652">
        <v>-1.445872E-2</v>
      </c>
      <c r="O3652">
        <v>1.124295E-2</v>
      </c>
      <c r="P3652">
        <v>0.99444440000000001</v>
      </c>
      <c r="Q3652">
        <v>-0.10511239999999999</v>
      </c>
      <c r="R3652">
        <v>5.6265769999999998E-3</v>
      </c>
      <c r="S3652">
        <v>2.9998469999999999</v>
      </c>
      <c r="T3652">
        <v>-0.1633056</v>
      </c>
      <c r="U3652">
        <v>-6.2088009999999999E-2</v>
      </c>
      <c r="V3652">
        <v>5.5827630000000001E-3</v>
      </c>
      <c r="W3652">
        <v>-9.0721330000000003E-2</v>
      </c>
      <c r="X3652">
        <v>0.99586070000000004</v>
      </c>
      <c r="Y3652">
        <v>3.186435E-2</v>
      </c>
      <c r="Z3652">
        <v>-1.546267E-3</v>
      </c>
      <c r="AA3652">
        <v>0.99949100000000002</v>
      </c>
      <c r="AB3652">
        <v>37</v>
      </c>
      <c r="AC3652">
        <v>20.232199999999899</v>
      </c>
      <c r="AD3652">
        <v>-1.1206029001945199</v>
      </c>
      <c r="AE3652">
        <v>-0.43010000000000997</v>
      </c>
      <c r="AF3652">
        <v>0.65555605550943996</v>
      </c>
      <c r="AG3652">
        <v>-1.1206029001945199</v>
      </c>
      <c r="AH3652">
        <v>20.164254313930599</v>
      </c>
      <c r="AI3652">
        <v>93.179192211956007</v>
      </c>
      <c r="AJ3652">
        <v>88.137924181805801</v>
      </c>
      <c r="AK3652">
        <v>20.206005459731799</v>
      </c>
      <c r="AL3652">
        <v>95.205105865508301</v>
      </c>
      <c r="AM3652">
        <v>89.6788050706691</v>
      </c>
      <c r="AN3652">
        <v>1.00000003038208</v>
      </c>
    </row>
    <row r="3653" spans="1:40" x14ac:dyDescent="0.25">
      <c r="A3653" t="str">
        <f>"20190303154841610"</f>
        <v>20190303154841610</v>
      </c>
      <c r="B3653" t="str">
        <f>"1551599321604562"</f>
        <v>1551599321604562</v>
      </c>
      <c r="C3653" t="s">
        <v>40</v>
      </c>
      <c r="D3653">
        <v>5.2058559999999998</v>
      </c>
      <c r="E3653">
        <v>0.51018850000000004</v>
      </c>
      <c r="F3653" t="s">
        <v>52</v>
      </c>
      <c r="G3653">
        <v>-323.01260000000002</v>
      </c>
      <c r="H3653" s="1">
        <v>6.6359289999999906E-8</v>
      </c>
      <c r="I3653">
        <v>214.40700000000001</v>
      </c>
      <c r="J3653">
        <v>-342.92360000000002</v>
      </c>
      <c r="K3653">
        <v>1.120611</v>
      </c>
      <c r="L3653">
        <v>214.8451</v>
      </c>
      <c r="M3653">
        <v>0.99983010000000005</v>
      </c>
      <c r="N3653">
        <v>-1.4507330000000001E-2</v>
      </c>
      <c r="O3653">
        <v>1.138725E-2</v>
      </c>
      <c r="P3653">
        <v>0.99444500000000002</v>
      </c>
      <c r="Q3653">
        <v>-0.10512630000000001</v>
      </c>
      <c r="R3653">
        <v>5.2868169999999897E-3</v>
      </c>
      <c r="S3653">
        <v>2.999603</v>
      </c>
      <c r="T3653">
        <v>-0.1656252</v>
      </c>
      <c r="U3653">
        <v>-6.410217E-2</v>
      </c>
      <c r="V3653">
        <v>6.0659579999999998E-3</v>
      </c>
      <c r="W3653">
        <v>-9.0686749999999997E-2</v>
      </c>
      <c r="X3653">
        <v>0.995861</v>
      </c>
      <c r="Y3653">
        <v>3.2677520000000002E-2</v>
      </c>
      <c r="Z3653">
        <v>-1.601786E-3</v>
      </c>
      <c r="AA3653">
        <v>0.99946469999999998</v>
      </c>
      <c r="AB3653">
        <v>37</v>
      </c>
      <c r="AC3653">
        <v>19.910999999999898</v>
      </c>
      <c r="AD3653">
        <v>-1.12061093364071</v>
      </c>
      <c r="AE3653">
        <v>-0.438099999999991</v>
      </c>
      <c r="AF3653">
        <v>0.66272873483213401</v>
      </c>
      <c r="AG3653">
        <v>-1.12061093364071</v>
      </c>
      <c r="AH3653">
        <v>19.841899675024099</v>
      </c>
      <c r="AI3653">
        <v>93.230662024758402</v>
      </c>
      <c r="AJ3653">
        <v>88.087005312651996</v>
      </c>
      <c r="AK3653">
        <v>19.88456589806</v>
      </c>
      <c r="AL3653">
        <v>95.203116499161794</v>
      </c>
      <c r="AM3653">
        <v>89.651006020071193</v>
      </c>
      <c r="AN3653">
        <v>1.00000000689651</v>
      </c>
    </row>
    <row r="3654" spans="1:40" x14ac:dyDescent="0.25">
      <c r="A3654" t="str">
        <f>"20190303154841633"</f>
        <v>20190303154841633</v>
      </c>
      <c r="B3654" t="str">
        <f>"1551599321624082"</f>
        <v>1551599321624082</v>
      </c>
      <c r="C3654" t="s">
        <v>40</v>
      </c>
      <c r="D3654">
        <v>5.1940059999999999</v>
      </c>
      <c r="E3654">
        <v>0.51031110000000002</v>
      </c>
      <c r="F3654" t="s">
        <v>52</v>
      </c>
      <c r="G3654">
        <v>-322.82240000000002</v>
      </c>
      <c r="H3654" s="1">
        <v>-3.4845579999999998E-8</v>
      </c>
      <c r="I3654">
        <v>214.40119999999999</v>
      </c>
      <c r="J3654">
        <v>-342.55239999999998</v>
      </c>
      <c r="K3654">
        <v>1.1206149999999999</v>
      </c>
      <c r="L3654">
        <v>214.84950000000001</v>
      </c>
      <c r="M3654">
        <v>0.99982789999999999</v>
      </c>
      <c r="N3654">
        <v>-1.4547239999999999E-2</v>
      </c>
      <c r="O3654">
        <v>1.1527259999999999E-2</v>
      </c>
      <c r="P3654">
        <v>0.99443970000000004</v>
      </c>
      <c r="Q3654">
        <v>-0.1051903</v>
      </c>
      <c r="R3654">
        <v>5.0053349999999996E-3</v>
      </c>
      <c r="S3654">
        <v>2.9994200000000002</v>
      </c>
      <c r="T3654">
        <v>-0.16721359999999999</v>
      </c>
      <c r="U3654">
        <v>-6.6238399999999906E-2</v>
      </c>
      <c r="V3654">
        <v>6.486538E-3</v>
      </c>
      <c r="W3654">
        <v>-9.0710970000000002E-2</v>
      </c>
      <c r="X3654">
        <v>0.99585619999999997</v>
      </c>
      <c r="Y3654">
        <v>3.3527139999999997E-2</v>
      </c>
      <c r="Z3654">
        <v>-1.652335E-3</v>
      </c>
      <c r="AA3654">
        <v>0.9994364</v>
      </c>
      <c r="AB3654">
        <v>37</v>
      </c>
      <c r="AC3654">
        <v>19.729999999999901</v>
      </c>
      <c r="AD3654">
        <v>-1.1206150348455799</v>
      </c>
      <c r="AE3654">
        <v>-0.44830000000001702</v>
      </c>
      <c r="AF3654">
        <v>0.67355533916028298</v>
      </c>
      <c r="AG3654">
        <v>-1.1206150348455799</v>
      </c>
      <c r="AH3654">
        <v>19.660130593725899</v>
      </c>
      <c r="AI3654">
        <v>93.260384600173495</v>
      </c>
      <c r="AJ3654">
        <v>88.037816196871901</v>
      </c>
      <c r="AK3654">
        <v>19.703557795829401</v>
      </c>
      <c r="AL3654">
        <v>95.204509652549703</v>
      </c>
      <c r="AM3654">
        <v>89.626807569922207</v>
      </c>
      <c r="AN3654">
        <v>1.000000063166</v>
      </c>
    </row>
    <row r="3655" spans="1:40" x14ac:dyDescent="0.25">
      <c r="A3655" t="str">
        <f>"20190303154841655"</f>
        <v>20190303154841655</v>
      </c>
      <c r="B3655" t="str">
        <f>"1551599321644579"</f>
        <v>1551599321644579</v>
      </c>
      <c r="C3655" t="s">
        <v>40</v>
      </c>
      <c r="D3655">
        <v>5.2057859999999998</v>
      </c>
      <c r="E3655">
        <v>0.5104225</v>
      </c>
      <c r="F3655" t="s">
        <v>52</v>
      </c>
      <c r="G3655">
        <v>-322.62709999999998</v>
      </c>
      <c r="H3655" s="1">
        <v>-1.3876859999999999E-7</v>
      </c>
      <c r="I3655">
        <v>214.39779999999999</v>
      </c>
      <c r="J3655">
        <v>-342.2004</v>
      </c>
      <c r="K3655">
        <v>1.120627</v>
      </c>
      <c r="L3655">
        <v>214.8537</v>
      </c>
      <c r="M3655">
        <v>0.99982570000000004</v>
      </c>
      <c r="N3655">
        <v>-1.4579430000000001E-2</v>
      </c>
      <c r="O3655">
        <v>1.166011E-2</v>
      </c>
      <c r="P3655">
        <v>0.99446679999999998</v>
      </c>
      <c r="Q3655">
        <v>-0.1049462</v>
      </c>
      <c r="R3655">
        <v>4.7064969999999996E-3</v>
      </c>
      <c r="S3655">
        <v>2.9992679999999998</v>
      </c>
      <c r="T3655">
        <v>-0.1686811</v>
      </c>
      <c r="U3655">
        <v>-6.7993159999999997E-2</v>
      </c>
      <c r="V3655">
        <v>6.9175759999999999E-3</v>
      </c>
      <c r="W3655">
        <v>-9.043445E-2</v>
      </c>
      <c r="X3655">
        <v>0.99587840000000005</v>
      </c>
      <c r="Y3655">
        <v>3.4242670000000003E-2</v>
      </c>
      <c r="Z3655">
        <v>-1.6972459999999999E-3</v>
      </c>
      <c r="AA3655">
        <v>0.99941210000000003</v>
      </c>
      <c r="AB3655">
        <v>37</v>
      </c>
      <c r="AC3655">
        <v>19.5733</v>
      </c>
      <c r="AD3655">
        <v>-1.1206271387686</v>
      </c>
      <c r="AE3655">
        <v>-0.45590000000001402</v>
      </c>
      <c r="AF3655">
        <v>0.68188616262655</v>
      </c>
      <c r="AG3655">
        <v>-1.1206271387686</v>
      </c>
      <c r="AH3655">
        <v>19.502759480928798</v>
      </c>
      <c r="AI3655">
        <v>93.286591411793694</v>
      </c>
      <c r="AJ3655">
        <v>87.997550507395005</v>
      </c>
      <c r="AK3655">
        <v>19.546825862371801</v>
      </c>
      <c r="AL3655">
        <v>95.188601086966401</v>
      </c>
      <c r="AM3655">
        <v>89.602018143098206</v>
      </c>
      <c r="AN3655">
        <v>1.0000000150955299</v>
      </c>
    </row>
    <row r="3656" spans="1:40" x14ac:dyDescent="0.25">
      <c r="A3656" t="str">
        <f>"20190303154841678"</f>
        <v>20190303154841678</v>
      </c>
      <c r="B3656" t="str">
        <f>"1551599321674834"</f>
        <v>1551599321674834</v>
      </c>
      <c r="C3656" t="s">
        <v>40</v>
      </c>
      <c r="D3656">
        <v>5.2370239999999999</v>
      </c>
      <c r="E3656">
        <v>0.5106039</v>
      </c>
      <c r="F3656" t="s">
        <v>52</v>
      </c>
      <c r="G3656">
        <v>-322.34449999999998</v>
      </c>
      <c r="H3656" s="1">
        <v>-2.8913520000000001E-7</v>
      </c>
      <c r="I3656">
        <v>214.3922</v>
      </c>
      <c r="J3656">
        <v>-341.81849999999997</v>
      </c>
      <c r="K3656">
        <v>1.1206370000000001</v>
      </c>
      <c r="L3656">
        <v>214.85830000000001</v>
      </c>
      <c r="M3656">
        <v>0.99982369999999998</v>
      </c>
      <c r="N3656">
        <v>-1.460908E-2</v>
      </c>
      <c r="O3656">
        <v>1.1804E-2</v>
      </c>
      <c r="P3656">
        <v>0.99442430000000004</v>
      </c>
      <c r="Q3656">
        <v>-0.1053548</v>
      </c>
      <c r="R3656">
        <v>4.5805809999999898E-3</v>
      </c>
      <c r="S3656">
        <v>2.9991759999999998</v>
      </c>
      <c r="T3656">
        <v>-0.16926769999999999</v>
      </c>
      <c r="U3656">
        <v>-6.9702150000000004E-2</v>
      </c>
      <c r="V3656">
        <v>7.186039E-3</v>
      </c>
      <c r="W3656">
        <v>-9.0813969999999994E-2</v>
      </c>
      <c r="X3656">
        <v>0.99584189999999995</v>
      </c>
      <c r="Y3656">
        <v>3.4954279999999997E-2</v>
      </c>
      <c r="Z3656">
        <v>-1.734347E-3</v>
      </c>
      <c r="AA3656">
        <v>0.99938740000000004</v>
      </c>
      <c r="AB3656">
        <v>37</v>
      </c>
      <c r="AC3656">
        <v>19.473999999999901</v>
      </c>
      <c r="AD3656">
        <v>-1.1206372891351899</v>
      </c>
      <c r="AE3656">
        <v>-0.46610000000001101</v>
      </c>
      <c r="AF3656">
        <v>0.69366738996518196</v>
      </c>
      <c r="AG3656">
        <v>-1.1206372891351899</v>
      </c>
      <c r="AH3656">
        <v>19.402925264950699</v>
      </c>
      <c r="AI3656">
        <v>93.303402854507794</v>
      </c>
      <c r="AJ3656">
        <v>87.952510058513397</v>
      </c>
      <c r="AK3656">
        <v>19.447635106073001</v>
      </c>
      <c r="AL3656">
        <v>95.210436151647798</v>
      </c>
      <c r="AM3656">
        <v>89.5865583081941</v>
      </c>
      <c r="AN3656">
        <v>0.99999995304963896</v>
      </c>
    </row>
    <row r="3657" spans="1:40" x14ac:dyDescent="0.25">
      <c r="A3657" t="str">
        <f>"20190303154841700"</f>
        <v>20190303154841700</v>
      </c>
      <c r="B3657" t="str">
        <f>"1551599321694354"</f>
        <v>1551599321694354</v>
      </c>
      <c r="C3657" t="s">
        <v>40</v>
      </c>
      <c r="D3657">
        <v>5.1374760000000004</v>
      </c>
      <c r="E3657">
        <v>0.51063899999999995</v>
      </c>
      <c r="F3657" t="s">
        <v>52</v>
      </c>
      <c r="G3657">
        <v>-322.33089999999999</v>
      </c>
      <c r="H3657" s="1">
        <v>-2.9641250000000001E-7</v>
      </c>
      <c r="I3657">
        <v>214.3948</v>
      </c>
      <c r="J3657">
        <v>-341.45510000000002</v>
      </c>
      <c r="K3657">
        <v>1.1206480000000001</v>
      </c>
      <c r="L3657">
        <v>214.86269999999999</v>
      </c>
      <c r="M3657">
        <v>0.99982170000000004</v>
      </c>
      <c r="N3657">
        <v>-1.463273E-2</v>
      </c>
      <c r="O3657">
        <v>1.194103E-2</v>
      </c>
      <c r="P3657">
        <v>0.99446939999999995</v>
      </c>
      <c r="Q3657">
        <v>-0.1049249</v>
      </c>
      <c r="R3657">
        <v>4.6296729999999999E-3</v>
      </c>
      <c r="S3657">
        <v>2.998901</v>
      </c>
      <c r="T3657">
        <v>-0.17245170000000001</v>
      </c>
      <c r="U3657">
        <v>-7.1319579999999994E-2</v>
      </c>
      <c r="V3657">
        <v>7.2738109999999998E-3</v>
      </c>
      <c r="W3657">
        <v>-9.0359990000000001E-2</v>
      </c>
      <c r="X3657">
        <v>0.99588259999999995</v>
      </c>
      <c r="Y3657">
        <v>3.562763E-2</v>
      </c>
      <c r="Z3657">
        <v>-1.795792E-3</v>
      </c>
      <c r="AA3657">
        <v>0.99936349999999996</v>
      </c>
      <c r="AB3657">
        <v>37</v>
      </c>
      <c r="AC3657">
        <v>19.124199999999998</v>
      </c>
      <c r="AD3657">
        <v>-1.1206482964125</v>
      </c>
      <c r="AE3657">
        <v>-0.46789999999998599</v>
      </c>
      <c r="AF3657">
        <v>0.69387253719245101</v>
      </c>
      <c r="AG3657">
        <v>-1.1206482964125</v>
      </c>
      <c r="AH3657">
        <v>19.051867678834199</v>
      </c>
      <c r="AI3657">
        <v>93.364086161142794</v>
      </c>
      <c r="AJ3657">
        <v>87.914199032180505</v>
      </c>
      <c r="AK3657">
        <v>19.097407513951499</v>
      </c>
      <c r="AL3657">
        <v>95.1843174113842</v>
      </c>
      <c r="AM3657">
        <v>89.581525713362097</v>
      </c>
      <c r="AN3657">
        <v>0.99999999455101096</v>
      </c>
    </row>
    <row r="3658" spans="1:40" x14ac:dyDescent="0.25">
      <c r="A3658" t="str">
        <f>"20190303154841723"</f>
        <v>20190303154841723</v>
      </c>
      <c r="B3658" t="str">
        <f>"1551599321714850"</f>
        <v>1551599321714850</v>
      </c>
      <c r="C3658" t="s">
        <v>40</v>
      </c>
      <c r="D3658">
        <v>5.1226659999999997</v>
      </c>
      <c r="E3658">
        <v>0.51066789999999995</v>
      </c>
      <c r="F3658" t="s">
        <v>52</v>
      </c>
      <c r="G3658">
        <v>-321.87029999999999</v>
      </c>
      <c r="H3658" s="1">
        <v>-5.4148819999999904E-7</v>
      </c>
      <c r="I3658">
        <v>214.39439999999999</v>
      </c>
      <c r="J3658">
        <v>-341.09370000000001</v>
      </c>
      <c r="K3658">
        <v>1.120657</v>
      </c>
      <c r="L3658">
        <v>214.8672</v>
      </c>
      <c r="M3658">
        <v>0.99981969999999998</v>
      </c>
      <c r="N3658">
        <v>-1.465229E-2</v>
      </c>
      <c r="O3658">
        <v>1.2077310000000001E-2</v>
      </c>
      <c r="P3658">
        <v>0.99451610000000001</v>
      </c>
      <c r="Q3658">
        <v>-0.104476</v>
      </c>
      <c r="R3658">
        <v>4.7591559999999996E-3</v>
      </c>
      <c r="S3658">
        <v>2.998901</v>
      </c>
      <c r="T3658">
        <v>-0.17159869999999999</v>
      </c>
      <c r="U3658">
        <v>-7.1716310000000005E-2</v>
      </c>
      <c r="V3658">
        <v>7.2801089999999999E-3</v>
      </c>
      <c r="W3658">
        <v>-8.9890919999999999E-2</v>
      </c>
      <c r="X3658">
        <v>0.99592499999999995</v>
      </c>
      <c r="Y3658">
        <v>3.5896089999999999E-2</v>
      </c>
      <c r="Z3658">
        <v>-1.802898E-3</v>
      </c>
      <c r="AA3658">
        <v>0.99935390000000002</v>
      </c>
      <c r="AB3658">
        <v>37</v>
      </c>
      <c r="AC3658">
        <v>19.223400000000002</v>
      </c>
      <c r="AD3658">
        <v>-1.1206575414882001</v>
      </c>
      <c r="AE3658">
        <v>-0.47280000000000599</v>
      </c>
      <c r="AF3658">
        <v>0.70257116409991904</v>
      </c>
      <c r="AG3658">
        <v>-1.1206575414882001</v>
      </c>
      <c r="AH3658">
        <v>19.1512410372132</v>
      </c>
      <c r="AI3658">
        <v>93.346665342717003</v>
      </c>
      <c r="AJ3658">
        <v>87.8990229075782</v>
      </c>
      <c r="AK3658">
        <v>19.1968620568924</v>
      </c>
      <c r="AL3658">
        <v>95.157331875328893</v>
      </c>
      <c r="AM3658">
        <v>89.581181222686098</v>
      </c>
      <c r="AN3658">
        <v>0.99999999155524899</v>
      </c>
    </row>
    <row r="3659" spans="1:40" x14ac:dyDescent="0.25">
      <c r="A3659" t="str">
        <f>"20190303154841743"</f>
        <v>20190303154841743</v>
      </c>
      <c r="B3659" t="str">
        <f>"1551599321734370"</f>
        <v>1551599321734370</v>
      </c>
      <c r="C3659" t="s">
        <v>40</v>
      </c>
      <c r="D3659">
        <v>5.1706669999999999</v>
      </c>
      <c r="E3659">
        <v>0.51071259999999996</v>
      </c>
      <c r="F3659" t="s">
        <v>52</v>
      </c>
      <c r="G3659">
        <v>-321.2595</v>
      </c>
      <c r="H3659" s="1">
        <v>-8.6653899999999905E-7</v>
      </c>
      <c r="I3659">
        <v>214.39410000000001</v>
      </c>
      <c r="J3659">
        <v>-340.75709999999998</v>
      </c>
      <c r="K3659">
        <v>1.120668</v>
      </c>
      <c r="L3659">
        <v>214.87139999999999</v>
      </c>
      <c r="M3659">
        <v>0.99981799999999998</v>
      </c>
      <c r="N3659">
        <v>-1.4667919999999999E-2</v>
      </c>
      <c r="O3659">
        <v>1.220385E-2</v>
      </c>
      <c r="P3659">
        <v>0.99458480000000005</v>
      </c>
      <c r="Q3659">
        <v>-0.103795</v>
      </c>
      <c r="R3659">
        <v>5.2623540000000003E-3</v>
      </c>
      <c r="S3659">
        <v>2.9991150000000002</v>
      </c>
      <c r="T3659">
        <v>-0.1694541</v>
      </c>
      <c r="U3659">
        <v>-7.1533200000000005E-2</v>
      </c>
      <c r="V3659">
        <v>6.9034939999999996E-3</v>
      </c>
      <c r="W3659">
        <v>-8.9193419999999995E-2</v>
      </c>
      <c r="X3659">
        <v>0.99599040000000005</v>
      </c>
      <c r="Y3659">
        <v>3.5961670000000001E-2</v>
      </c>
      <c r="Z3659">
        <v>-1.7890639999999999E-3</v>
      </c>
      <c r="AA3659">
        <v>0.99935160000000001</v>
      </c>
      <c r="AB3659">
        <v>36</v>
      </c>
      <c r="AC3659">
        <v>19.497599999999899</v>
      </c>
      <c r="AD3659">
        <v>-1.1206688665389899</v>
      </c>
      <c r="AE3659">
        <v>-0.47729999999998501</v>
      </c>
      <c r="AF3659">
        <v>0.71288212774721404</v>
      </c>
      <c r="AG3659">
        <v>-1.1206688665389899</v>
      </c>
      <c r="AH3659">
        <v>19.426183562741102</v>
      </c>
      <c r="AI3659">
        <v>93.299436608984294</v>
      </c>
      <c r="AJ3659">
        <v>87.898361408198497</v>
      </c>
      <c r="AK3659">
        <v>19.471535826683098</v>
      </c>
      <c r="AL3659">
        <v>95.1172068404979</v>
      </c>
      <c r="AM3659">
        <v>89.602872943367004</v>
      </c>
      <c r="AN3659">
        <v>1.00000000064643</v>
      </c>
    </row>
    <row r="3660" spans="1:40" x14ac:dyDescent="0.25">
      <c r="A3660" t="str">
        <f>"20190303154841766"</f>
        <v>20190303154841766</v>
      </c>
      <c r="B3660" t="str">
        <f>"1551599321754866"</f>
        <v>1551599321754866</v>
      </c>
      <c r="C3660" t="s">
        <v>40</v>
      </c>
      <c r="D3660">
        <v>5.1203539999999998</v>
      </c>
      <c r="E3660">
        <v>0.51074779999999997</v>
      </c>
      <c r="F3660" t="s">
        <v>52</v>
      </c>
      <c r="G3660">
        <v>-320.5736</v>
      </c>
      <c r="H3660" s="1">
        <v>-1.231548E-6</v>
      </c>
      <c r="I3660">
        <v>214.3982</v>
      </c>
      <c r="J3660">
        <v>-340.38630000000001</v>
      </c>
      <c r="K3660">
        <v>1.120682</v>
      </c>
      <c r="L3660">
        <v>214.876</v>
      </c>
      <c r="M3660">
        <v>0.99981609999999999</v>
      </c>
      <c r="N3660">
        <v>-1.468208E-2</v>
      </c>
      <c r="O3660">
        <v>1.234362E-2</v>
      </c>
      <c r="P3660">
        <v>0.9946024</v>
      </c>
      <c r="Q3660">
        <v>-0.1036035</v>
      </c>
      <c r="R3660">
        <v>5.6919800000000001E-3</v>
      </c>
      <c r="S3660">
        <v>2.9993590000000001</v>
      </c>
      <c r="T3660">
        <v>-0.1665362</v>
      </c>
      <c r="U3660">
        <v>-7.03125E-2</v>
      </c>
      <c r="V3660">
        <v>6.6131030000000004E-3</v>
      </c>
      <c r="W3660">
        <v>-8.8987620000000003E-2</v>
      </c>
      <c r="X3660">
        <v>0.99601079999999997</v>
      </c>
      <c r="Y3660">
        <v>3.5696060000000002E-2</v>
      </c>
      <c r="Z3660">
        <v>-1.75609299999999E-3</v>
      </c>
      <c r="AA3660">
        <v>0.99936119999999995</v>
      </c>
      <c r="AB3660">
        <v>36</v>
      </c>
      <c r="AC3660">
        <v>19.8127</v>
      </c>
      <c r="AD3660">
        <v>-1.120683231548</v>
      </c>
      <c r="AE3660">
        <v>-0.47779999999997302</v>
      </c>
      <c r="AF3660">
        <v>0.72004793957166802</v>
      </c>
      <c r="AG3660">
        <v>-1.120683231548</v>
      </c>
      <c r="AH3660">
        <v>19.7421640167831</v>
      </c>
      <c r="AI3660">
        <v>93.246809916029306</v>
      </c>
      <c r="AJ3660">
        <v>87.9112001568746</v>
      </c>
      <c r="AK3660">
        <v>19.787052332429901</v>
      </c>
      <c r="AL3660">
        <v>95.105368185802106</v>
      </c>
      <c r="AM3660">
        <v>89.61958512532</v>
      </c>
      <c r="AN3660">
        <v>1.00000002168059</v>
      </c>
    </row>
    <row r="3661" spans="1:40" x14ac:dyDescent="0.25">
      <c r="A3661" t="str">
        <f>"20190303154841789"</f>
        <v>20190303154841789</v>
      </c>
      <c r="B3661" t="str">
        <f>"1551599321784146"</f>
        <v>1551599321784146</v>
      </c>
      <c r="C3661" t="s">
        <v>40</v>
      </c>
      <c r="D3661">
        <v>5.2009930000000004</v>
      </c>
      <c r="E3661">
        <v>0.51080820000000005</v>
      </c>
      <c r="F3661" t="s">
        <v>52</v>
      </c>
      <c r="G3661">
        <v>-320.05340000000001</v>
      </c>
      <c r="H3661" s="1">
        <v>-1.508383E-6</v>
      </c>
      <c r="I3661">
        <v>214.40639999999999</v>
      </c>
      <c r="J3661">
        <v>-340.02019999999999</v>
      </c>
      <c r="K3661">
        <v>1.12069</v>
      </c>
      <c r="L3661">
        <v>214.88069999999999</v>
      </c>
      <c r="M3661">
        <v>0.99981419999999999</v>
      </c>
      <c r="N3661">
        <v>-1.4693380000000001E-2</v>
      </c>
      <c r="O3661">
        <v>1.248193E-2</v>
      </c>
      <c r="P3661">
        <v>0.99462620000000002</v>
      </c>
      <c r="Q3661">
        <v>-0.1033558</v>
      </c>
      <c r="R3661">
        <v>6.044191E-3</v>
      </c>
      <c r="S3661">
        <v>2.9994510000000001</v>
      </c>
      <c r="T3661">
        <v>-0.16531960000000001</v>
      </c>
      <c r="U3661">
        <v>-6.9274899999999903E-2</v>
      </c>
      <c r="V3661">
        <v>6.3985780000000003E-3</v>
      </c>
      <c r="W3661">
        <v>-8.8728370000000001E-2</v>
      </c>
      <c r="X3661">
        <v>0.99603529999999996</v>
      </c>
      <c r="Y3661">
        <v>3.548946E-2</v>
      </c>
      <c r="Z3661">
        <v>-1.742265E-3</v>
      </c>
      <c r="AA3661">
        <v>0.99936849999999999</v>
      </c>
      <c r="AB3661">
        <v>36</v>
      </c>
      <c r="AC3661">
        <v>19.9667999999999</v>
      </c>
      <c r="AD3661">
        <v>-1.120691508383</v>
      </c>
      <c r="AE3661">
        <v>-0.474299999999999</v>
      </c>
      <c r="AF3661">
        <v>0.72124326578959397</v>
      </c>
      <c r="AG3661">
        <v>-1.120691508383</v>
      </c>
      <c r="AH3661">
        <v>19.896677753067401</v>
      </c>
      <c r="AI3661">
        <v>93.221698935304005</v>
      </c>
      <c r="AJ3661">
        <v>87.923969538499804</v>
      </c>
      <c r="AK3661">
        <v>19.941261918815801</v>
      </c>
      <c r="AL3661">
        <v>95.090455415017999</v>
      </c>
      <c r="AM3661">
        <v>89.631934258499598</v>
      </c>
      <c r="AN3661">
        <v>0.99999999214468405</v>
      </c>
    </row>
    <row r="3662" spans="1:40" x14ac:dyDescent="0.25">
      <c r="A3662" t="str">
        <f>"20190303154841811"</f>
        <v>20190303154841811</v>
      </c>
      <c r="B3662" t="str">
        <f>"1551599321804642"</f>
        <v>1551599321804642</v>
      </c>
      <c r="C3662" t="s">
        <v>40</v>
      </c>
      <c r="D3662">
        <v>5.2150089999999896</v>
      </c>
      <c r="E3662">
        <v>0.51085009999999997</v>
      </c>
      <c r="F3662" t="s">
        <v>54</v>
      </c>
      <c r="G3662">
        <v>-319.47160000000002</v>
      </c>
      <c r="H3662" s="1">
        <v>5.1059090000000001E-6</v>
      </c>
      <c r="I3662">
        <v>214.41030000000001</v>
      </c>
      <c r="J3662">
        <v>-339.6671</v>
      </c>
      <c r="K3662">
        <v>1.120695</v>
      </c>
      <c r="L3662">
        <v>214.8852</v>
      </c>
      <c r="M3662">
        <v>0.99981229999999999</v>
      </c>
      <c r="N3662">
        <v>-1.470222E-2</v>
      </c>
      <c r="O3662">
        <v>1.261555E-2</v>
      </c>
      <c r="P3662">
        <v>0.99460660000000001</v>
      </c>
      <c r="Q3662">
        <v>-0.10353900000000001</v>
      </c>
      <c r="R3662">
        <v>6.1214590000000001E-3</v>
      </c>
      <c r="S3662">
        <v>2.999603</v>
      </c>
      <c r="T3662">
        <v>-0.16359319999999999</v>
      </c>
      <c r="U3662">
        <v>-6.8664550000000005E-2</v>
      </c>
      <c r="V3662">
        <v>6.4538669999999899E-3</v>
      </c>
      <c r="W3662">
        <v>-8.8902999999999996E-2</v>
      </c>
      <c r="X3662">
        <v>0.9960194</v>
      </c>
      <c r="Y3662">
        <v>3.5420170000000001E-2</v>
      </c>
      <c r="Z3662">
        <v>-1.7277869999999999E-3</v>
      </c>
      <c r="AA3662">
        <v>0.99937100000000001</v>
      </c>
      <c r="AB3662">
        <v>36</v>
      </c>
      <c r="AC3662">
        <v>20.1954999999999</v>
      </c>
      <c r="AD3662">
        <v>-1.1206898940909999</v>
      </c>
      <c r="AE3662">
        <v>-0.474899999999991</v>
      </c>
      <c r="AF3662">
        <v>0.72742830519684998</v>
      </c>
      <c r="AG3662">
        <v>-1.1206898940909999</v>
      </c>
      <c r="AH3662">
        <v>20.125959738333101</v>
      </c>
      <c r="AI3662">
        <v>93.1850797738757</v>
      </c>
      <c r="AJ3662">
        <v>87.930014901806402</v>
      </c>
      <c r="AK3662">
        <v>20.170259124932599</v>
      </c>
      <c r="AL3662">
        <v>95.100500530199099</v>
      </c>
      <c r="AM3662">
        <v>89.628748028818606</v>
      </c>
      <c r="AN3662">
        <v>1.0000000204923001</v>
      </c>
    </row>
    <row r="3663" spans="1:40" x14ac:dyDescent="0.25">
      <c r="A3663" t="str">
        <f>"20190303154841833"</f>
        <v>20190303154841833</v>
      </c>
      <c r="B3663" t="str">
        <f>"1551599321824162"</f>
        <v>1551599321824162</v>
      </c>
      <c r="C3663" t="s">
        <v>40</v>
      </c>
      <c r="D3663">
        <v>5.2079820000000003</v>
      </c>
      <c r="E3663">
        <v>0.51090440000000004</v>
      </c>
      <c r="F3663" t="s">
        <v>54</v>
      </c>
      <c r="G3663">
        <v>-319.10989999999998</v>
      </c>
      <c r="H3663" s="1">
        <v>4.9455060000000001E-6</v>
      </c>
      <c r="I3663">
        <v>214.4151</v>
      </c>
      <c r="J3663">
        <v>-339.29489999999998</v>
      </c>
      <c r="K3663">
        <v>1.1206959999999999</v>
      </c>
      <c r="L3663">
        <v>214.89009999999999</v>
      </c>
      <c r="M3663">
        <v>0.99981039999999999</v>
      </c>
      <c r="N3663">
        <v>-1.4709740000000001E-2</v>
      </c>
      <c r="O3663">
        <v>1.275632E-2</v>
      </c>
      <c r="P3663">
        <v>0.99447490000000005</v>
      </c>
      <c r="Q3663">
        <v>-0.1047749</v>
      </c>
      <c r="R3663">
        <v>6.4540930000000002E-3</v>
      </c>
      <c r="S3663">
        <v>2.999695</v>
      </c>
      <c r="T3663">
        <v>-0.16353029999999999</v>
      </c>
      <c r="U3663">
        <v>-6.8603520000000001E-2</v>
      </c>
      <c r="V3663">
        <v>6.2600879999999996E-3</v>
      </c>
      <c r="W3663">
        <v>-9.0133249999999998E-2</v>
      </c>
      <c r="X3663">
        <v>0.99590999999999996</v>
      </c>
      <c r="Y3663">
        <v>3.5539599999999998E-2</v>
      </c>
      <c r="Z3663">
        <v>-1.736872E-3</v>
      </c>
      <c r="AA3663">
        <v>0.9993668</v>
      </c>
      <c r="AB3663">
        <v>36</v>
      </c>
      <c r="AC3663">
        <v>20.184999999999999</v>
      </c>
      <c r="AD3663">
        <v>-1.1206910544940001</v>
      </c>
      <c r="AE3663">
        <v>-0.47499999999999398</v>
      </c>
      <c r="AF3663">
        <v>0.73022579878890503</v>
      </c>
      <c r="AG3663">
        <v>-1.1206910544940001</v>
      </c>
      <c r="AH3663">
        <v>20.115324609775499</v>
      </c>
      <c r="AI3663">
        <v>93.186745375318793</v>
      </c>
      <c r="AJ3663">
        <v>87.920963602525504</v>
      </c>
      <c r="AK3663">
        <v>20.1597485677148</v>
      </c>
      <c r="AL3663">
        <v>95.171273117895197</v>
      </c>
      <c r="AM3663">
        <v>89.639855109424701</v>
      </c>
      <c r="AN3663">
        <v>0.99999995977866396</v>
      </c>
    </row>
    <row r="3664" spans="1:40" x14ac:dyDescent="0.25">
      <c r="A3664" t="str">
        <f>"20190303154841856"</f>
        <v>20190303154841856</v>
      </c>
      <c r="B3664" t="str">
        <f>"1551599321844658"</f>
        <v>1551599321844658</v>
      </c>
      <c r="C3664" t="s">
        <v>40</v>
      </c>
      <c r="D3664">
        <v>5.2351519999999896</v>
      </c>
      <c r="E3664">
        <v>0.51095930000000001</v>
      </c>
      <c r="F3664" t="s">
        <v>54</v>
      </c>
      <c r="G3664">
        <v>-319.13260000000002</v>
      </c>
      <c r="H3664" s="1">
        <v>4.9555689999999998E-6</v>
      </c>
      <c r="I3664">
        <v>214.43219999999999</v>
      </c>
      <c r="J3664">
        <v>-338.93459999999999</v>
      </c>
      <c r="K3664">
        <v>1.120692</v>
      </c>
      <c r="L3664">
        <v>214.8948</v>
      </c>
      <c r="M3664">
        <v>0.99980869999999999</v>
      </c>
      <c r="N3664">
        <v>-1.471548E-2</v>
      </c>
      <c r="O3664">
        <v>1.2892290000000001E-2</v>
      </c>
      <c r="P3664">
        <v>0.99441029999999997</v>
      </c>
      <c r="Q3664">
        <v>-0.10539900000000001</v>
      </c>
      <c r="R3664">
        <v>6.2863700000000003E-3</v>
      </c>
      <c r="S3664">
        <v>2.9995419999999999</v>
      </c>
      <c r="T3664">
        <v>-0.16672490000000001</v>
      </c>
      <c r="U3664">
        <v>-6.8115229999999999E-2</v>
      </c>
      <c r="V3664">
        <v>6.5622340000000001E-3</v>
      </c>
      <c r="W3664">
        <v>-9.07525E-2</v>
      </c>
      <c r="X3664">
        <v>0.99585190000000001</v>
      </c>
      <c r="Y3664">
        <v>3.551108E-2</v>
      </c>
      <c r="Z3664">
        <v>-1.7739829999999901E-3</v>
      </c>
      <c r="AA3664">
        <v>0.99936769999999997</v>
      </c>
      <c r="AB3664">
        <v>36</v>
      </c>
      <c r="AC3664">
        <v>19.8019999999999</v>
      </c>
      <c r="AD3664">
        <v>-1.120687044431</v>
      </c>
      <c r="AE3664">
        <v>-0.462600000000008</v>
      </c>
      <c r="AF3664">
        <v>0.71559153711878398</v>
      </c>
      <c r="AG3664">
        <v>-1.120687044431</v>
      </c>
      <c r="AH3664">
        <v>19.731225580161901</v>
      </c>
      <c r="AI3664">
        <v>93.248641243328606</v>
      </c>
      <c r="AJ3664">
        <v>87.922966664537199</v>
      </c>
      <c r="AK3664">
        <v>19.775977184321</v>
      </c>
      <c r="AL3664">
        <v>95.206899106841902</v>
      </c>
      <c r="AM3664">
        <v>89.6224510186575</v>
      </c>
      <c r="AN3664">
        <v>1.00000004295246</v>
      </c>
    </row>
    <row r="3665" spans="1:40" x14ac:dyDescent="0.25">
      <c r="A3665" t="str">
        <f>"20190303154841880"</f>
        <v>20190303154841880</v>
      </c>
      <c r="B3665" t="str">
        <f>"1551599321873938"</f>
        <v>1551599321873938</v>
      </c>
      <c r="C3665" t="s">
        <v>40</v>
      </c>
      <c r="D3665">
        <v>5.2098019999999998</v>
      </c>
      <c r="E3665">
        <v>0.51099729999999999</v>
      </c>
      <c r="F3665" t="s">
        <v>54</v>
      </c>
      <c r="G3665">
        <v>-318.94310000000002</v>
      </c>
      <c r="H3665" s="1">
        <v>4.871522E-6</v>
      </c>
      <c r="I3665">
        <v>214.4349</v>
      </c>
      <c r="J3665">
        <v>-338.54739999999998</v>
      </c>
      <c r="K3665">
        <v>1.1206940000000001</v>
      </c>
      <c r="L3665">
        <v>214.9</v>
      </c>
      <c r="M3665">
        <v>0.99980659999999999</v>
      </c>
      <c r="N3665">
        <v>-1.4720240000000001E-2</v>
      </c>
      <c r="O3665">
        <v>1.3038630000000001E-2</v>
      </c>
      <c r="P3665">
        <v>0.99434710000000004</v>
      </c>
      <c r="Q3665">
        <v>-0.1060089</v>
      </c>
      <c r="R3665">
        <v>6.007503E-3</v>
      </c>
      <c r="S3665">
        <v>2.9994809999999998</v>
      </c>
      <c r="T3665">
        <v>-0.16814479999999901</v>
      </c>
      <c r="U3665">
        <v>-6.9000240000000004E-2</v>
      </c>
      <c r="V3665">
        <v>6.9858480000000002E-3</v>
      </c>
      <c r="W3665">
        <v>-9.1358410000000001E-2</v>
      </c>
      <c r="X3665">
        <v>0.99579359999999995</v>
      </c>
      <c r="Y3665">
        <v>3.5950240000000001E-2</v>
      </c>
      <c r="Z3665">
        <v>-1.8100939999999999E-3</v>
      </c>
      <c r="AA3665">
        <v>0.99935189999999996</v>
      </c>
      <c r="AB3665">
        <v>36</v>
      </c>
      <c r="AC3665">
        <v>19.604299999999899</v>
      </c>
      <c r="AD3665">
        <v>-1.1206891284780001</v>
      </c>
      <c r="AE3665">
        <v>-0.46510000000000601</v>
      </c>
      <c r="AF3665">
        <v>0.71835519010791804</v>
      </c>
      <c r="AG3665">
        <v>-1.1206891284780001</v>
      </c>
      <c r="AH3665">
        <v>19.532773142734499</v>
      </c>
      <c r="AI3665">
        <v>93.281520762848899</v>
      </c>
      <c r="AJ3665">
        <v>87.893787070925299</v>
      </c>
      <c r="AK3665">
        <v>19.578079705307498</v>
      </c>
      <c r="AL3665">
        <v>95.241760091351594</v>
      </c>
      <c r="AM3665">
        <v>89.598056223073698</v>
      </c>
      <c r="AN3665">
        <v>1.0000000274754799</v>
      </c>
    </row>
    <row r="3666" spans="1:40" x14ac:dyDescent="0.25">
      <c r="A3666" t="str">
        <f>"20190303154841902"</f>
        <v>20190303154841902</v>
      </c>
      <c r="B3666" t="str">
        <f>"1551599321894434"</f>
        <v>1551599321894434</v>
      </c>
      <c r="C3666" t="s">
        <v>40</v>
      </c>
      <c r="D3666">
        <v>5.212364</v>
      </c>
      <c r="E3666">
        <v>0.51102159999999996</v>
      </c>
      <c r="F3666" t="s">
        <v>54</v>
      </c>
      <c r="G3666">
        <v>-318.68439999999998</v>
      </c>
      <c r="H3666" s="1">
        <v>4.7567929999999999E-6</v>
      </c>
      <c r="I3666">
        <v>214.43430000000001</v>
      </c>
      <c r="J3666">
        <v>-338.19479999999999</v>
      </c>
      <c r="K3666">
        <v>1.120692</v>
      </c>
      <c r="L3666">
        <v>214.90469999999999</v>
      </c>
      <c r="M3666">
        <v>0.9998049</v>
      </c>
      <c r="N3666">
        <v>-1.472357E-2</v>
      </c>
      <c r="O3666">
        <v>1.317187E-2</v>
      </c>
      <c r="P3666">
        <v>0.99429480000000003</v>
      </c>
      <c r="Q3666">
        <v>-0.1065453</v>
      </c>
      <c r="R3666">
        <v>5.1317139999999999E-3</v>
      </c>
      <c r="S3666">
        <v>2.9994510000000001</v>
      </c>
      <c r="T3666">
        <v>-0.169231399999999</v>
      </c>
      <c r="U3666">
        <v>-7.03125E-2</v>
      </c>
      <c r="V3666">
        <v>7.9934819999999997E-3</v>
      </c>
      <c r="W3666">
        <v>-9.1892109999999999E-2</v>
      </c>
      <c r="X3666">
        <v>0.99573690000000004</v>
      </c>
      <c r="Y3666">
        <v>3.6518340000000003E-2</v>
      </c>
      <c r="Z3666">
        <v>-1.8470820000000001E-3</v>
      </c>
      <c r="AA3666">
        <v>0.99933130000000003</v>
      </c>
      <c r="AB3666">
        <v>36</v>
      </c>
      <c r="AC3666">
        <v>19.510400000000001</v>
      </c>
      <c r="AD3666">
        <v>-1.1206872432070001</v>
      </c>
      <c r="AE3666">
        <v>-0.470399999999983</v>
      </c>
      <c r="AF3666">
        <v>0.72498484583504297</v>
      </c>
      <c r="AG3666">
        <v>-1.1206872432070001</v>
      </c>
      <c r="AH3666">
        <v>19.438412267048701</v>
      </c>
      <c r="AI3666">
        <v>93.297346588459504</v>
      </c>
      <c r="AJ3666">
        <v>87.864057675641902</v>
      </c>
      <c r="AK3666">
        <v>19.484183698259699</v>
      </c>
      <c r="AL3666">
        <v>95.272468086371504</v>
      </c>
      <c r="AM3666">
        <v>89.540056269591304</v>
      </c>
      <c r="AN3666">
        <v>1.00000001482817</v>
      </c>
    </row>
    <row r="3667" spans="1:40" x14ac:dyDescent="0.25">
      <c r="A3667" t="str">
        <f>"20190303154841922"</f>
        <v>20190303154841922</v>
      </c>
      <c r="B3667" t="str">
        <f>"1551599321913954"</f>
        <v>1551599321913954</v>
      </c>
      <c r="C3667" t="s">
        <v>40</v>
      </c>
      <c r="D3667">
        <v>5.2249049999999997</v>
      </c>
      <c r="E3667">
        <v>0.51105259999999997</v>
      </c>
      <c r="F3667" t="s">
        <v>54</v>
      </c>
      <c r="G3667">
        <v>-318.44990000000001</v>
      </c>
      <c r="H3667" s="1">
        <v>4.6528249999999998E-6</v>
      </c>
      <c r="I3667">
        <v>214.423</v>
      </c>
      <c r="J3667">
        <v>-337.85610000000003</v>
      </c>
      <c r="K3667">
        <v>1.1206929999999999</v>
      </c>
      <c r="L3667">
        <v>214.9093</v>
      </c>
      <c r="M3667">
        <v>0.9998032</v>
      </c>
      <c r="N3667">
        <v>-1.472585E-2</v>
      </c>
      <c r="O3667">
        <v>1.329747E-2</v>
      </c>
      <c r="P3667">
        <v>0.99443459999999995</v>
      </c>
      <c r="Q3667">
        <v>-0.1052638</v>
      </c>
      <c r="R3667">
        <v>4.4554909999999998E-3</v>
      </c>
      <c r="S3667">
        <v>2.9993289999999999</v>
      </c>
      <c r="T3667">
        <v>-0.17023669999999999</v>
      </c>
      <c r="U3667">
        <v>-7.3165889999999997E-2</v>
      </c>
      <c r="V3667">
        <v>8.7958169999999992E-3</v>
      </c>
      <c r="W3667">
        <v>-9.0606350000000002E-2</v>
      </c>
      <c r="X3667">
        <v>0.99584790000000001</v>
      </c>
      <c r="Y3667">
        <v>3.759171E-2</v>
      </c>
      <c r="Z3667">
        <v>-1.901284E-3</v>
      </c>
      <c r="AA3667">
        <v>0.99929140000000005</v>
      </c>
      <c r="AB3667">
        <v>36</v>
      </c>
      <c r="AC3667">
        <v>19.406199999999998</v>
      </c>
      <c r="AD3667">
        <v>-1.120688347175</v>
      </c>
      <c r="AE3667">
        <v>-0.48630000000000001</v>
      </c>
      <c r="AF3667">
        <v>0.74186579708226996</v>
      </c>
      <c r="AG3667">
        <v>-1.120688347175</v>
      </c>
      <c r="AH3667">
        <v>19.333580593506699</v>
      </c>
      <c r="AI3667">
        <v>93.315054756581205</v>
      </c>
      <c r="AJ3667">
        <v>87.802531430101595</v>
      </c>
      <c r="AK3667">
        <v>19.380238538211898</v>
      </c>
      <c r="AL3667">
        <v>95.198491127718796</v>
      </c>
      <c r="AM3667">
        <v>89.493948737678593</v>
      </c>
      <c r="AN3667">
        <v>0.99999995849571399</v>
      </c>
    </row>
    <row r="3668" spans="1:40" x14ac:dyDescent="0.25">
      <c r="A3668" t="str">
        <f>"20190303154841945"</f>
        <v>20190303154841945</v>
      </c>
      <c r="B3668" t="str">
        <f>"1551599321934450"</f>
        <v>1551599321934450</v>
      </c>
      <c r="C3668" t="s">
        <v>40</v>
      </c>
      <c r="D3668">
        <v>5.2211639999999999</v>
      </c>
      <c r="E3668">
        <v>0.51108160000000002</v>
      </c>
      <c r="F3668" t="s">
        <v>54</v>
      </c>
      <c r="G3668">
        <v>-317.55840000000001</v>
      </c>
      <c r="H3668" s="1">
        <v>4.2574759999999997E-6</v>
      </c>
      <c r="I3668">
        <v>214.4</v>
      </c>
      <c r="J3668">
        <v>-337.51029999999997</v>
      </c>
      <c r="K3668">
        <v>1.1206959999999999</v>
      </c>
      <c r="L3668">
        <v>214.91399999999999</v>
      </c>
      <c r="M3668">
        <v>0.99980150000000001</v>
      </c>
      <c r="N3668">
        <v>-1.4727290000000001E-2</v>
      </c>
      <c r="O3668">
        <v>1.342348E-2</v>
      </c>
      <c r="P3668">
        <v>0.99438079999999995</v>
      </c>
      <c r="Q3668">
        <v>-0.1057828</v>
      </c>
      <c r="R3668">
        <v>4.1185229999999998E-3</v>
      </c>
      <c r="S3668">
        <v>2.9996640000000001</v>
      </c>
      <c r="T3668">
        <v>-0.1656194</v>
      </c>
      <c r="U3668">
        <v>-7.525635E-2</v>
      </c>
      <c r="V3668">
        <v>9.2570729999999993E-3</v>
      </c>
      <c r="W3668">
        <v>-9.1124659999999996E-2</v>
      </c>
      <c r="X3668">
        <v>0.99579640000000003</v>
      </c>
      <c r="Y3668">
        <v>3.841373E-2</v>
      </c>
      <c r="Z3668">
        <v>-1.8856089999999999E-3</v>
      </c>
      <c r="AA3668">
        <v>0.99926009999999998</v>
      </c>
      <c r="AB3668">
        <v>36</v>
      </c>
      <c r="AC3668">
        <v>19.951899999999899</v>
      </c>
      <c r="AD3668">
        <v>-1.1206917425239999</v>
      </c>
      <c r="AE3668">
        <v>-0.51400000000001</v>
      </c>
      <c r="AF3668">
        <v>0.77934940082237103</v>
      </c>
      <c r="AG3668">
        <v>-1.1206917425239999</v>
      </c>
      <c r="AH3668">
        <v>19.880519465461202</v>
      </c>
      <c r="AI3668">
        <v>93.223954766216806</v>
      </c>
      <c r="AJ3668">
        <v>87.755059742950394</v>
      </c>
      <c r="AK3668">
        <v>19.927327710631602</v>
      </c>
      <c r="AL3668">
        <v>95.228311596583893</v>
      </c>
      <c r="AM3668">
        <v>89.467385164462499</v>
      </c>
      <c r="AN3668">
        <v>0.99999993365679896</v>
      </c>
    </row>
    <row r="3669" spans="1:40" x14ac:dyDescent="0.25">
      <c r="A3669" t="str">
        <f>"20190303154841967"</f>
        <v>20190303154841967</v>
      </c>
      <c r="B3669" t="str">
        <f>"1551599321964706"</f>
        <v>1551599321964706</v>
      </c>
      <c r="C3669" t="s">
        <v>40</v>
      </c>
      <c r="D3669">
        <v>5.243671</v>
      </c>
      <c r="E3669">
        <v>0.51111220000000002</v>
      </c>
      <c r="F3669" t="s">
        <v>54</v>
      </c>
      <c r="G3669">
        <v>-317.32339999999999</v>
      </c>
      <c r="H3669" s="1">
        <v>4.1532479999999999E-6</v>
      </c>
      <c r="I3669">
        <v>214.40029999999999</v>
      </c>
      <c r="J3669">
        <v>-337.13499999999999</v>
      </c>
      <c r="K3669">
        <v>1.1206989999999999</v>
      </c>
      <c r="L3669">
        <v>214.91919999999999</v>
      </c>
      <c r="M3669">
        <v>0.99979980000000002</v>
      </c>
      <c r="N3669">
        <v>-1.4728079999999999E-2</v>
      </c>
      <c r="O3669">
        <v>1.3553870000000001E-2</v>
      </c>
      <c r="P3669">
        <v>0.99437220000000004</v>
      </c>
      <c r="Q3669">
        <v>-0.1058571</v>
      </c>
      <c r="R3669">
        <v>4.2986049999999996E-3</v>
      </c>
      <c r="S3669">
        <v>2.9995419999999999</v>
      </c>
      <c r="T3669">
        <v>-0.166522</v>
      </c>
      <c r="U3669">
        <v>-7.6324459999999997E-2</v>
      </c>
      <c r="V3669">
        <v>9.2057570000000002E-3</v>
      </c>
      <c r="W3669">
        <v>-9.1198399999999999E-2</v>
      </c>
      <c r="X3669">
        <v>0.99579019999999996</v>
      </c>
      <c r="Y3669">
        <v>3.8898719999999998E-2</v>
      </c>
      <c r="Z3669">
        <v>-1.9178190000000001E-3</v>
      </c>
      <c r="AA3669">
        <v>0.9992413</v>
      </c>
      <c r="AB3669">
        <v>36</v>
      </c>
      <c r="AC3669">
        <v>19.811599999999999</v>
      </c>
      <c r="AD3669">
        <v>-1.1206948467519999</v>
      </c>
      <c r="AE3669">
        <v>-0.51890000000000203</v>
      </c>
      <c r="AF3669">
        <v>0.78489540775452404</v>
      </c>
      <c r="AG3669">
        <v>-1.1206948467519999</v>
      </c>
      <c r="AH3669">
        <v>19.739624475852501</v>
      </c>
      <c r="AI3669">
        <v>93.246854594002201</v>
      </c>
      <c r="AJ3669">
        <v>87.722980183512405</v>
      </c>
      <c r="AK3669">
        <v>19.7869854244735</v>
      </c>
      <c r="AL3669">
        <v>95.232553862060499</v>
      </c>
      <c r="AM3669">
        <v>89.470334214912697</v>
      </c>
      <c r="AN3669">
        <v>1.00000000827027</v>
      </c>
    </row>
    <row r="3670" spans="1:40" x14ac:dyDescent="0.25">
      <c r="A3670" t="str">
        <f>"20190303154841991"</f>
        <v>20190303154841991</v>
      </c>
      <c r="B3670" t="str">
        <f>"1551599321984226"</f>
        <v>1551599321984226</v>
      </c>
      <c r="C3670" t="s">
        <v>40</v>
      </c>
      <c r="D3670">
        <v>5.240526</v>
      </c>
      <c r="E3670">
        <v>0.51114519999999997</v>
      </c>
      <c r="F3670" t="s">
        <v>54</v>
      </c>
      <c r="G3670">
        <v>-316.89729999999997</v>
      </c>
      <c r="H3670" s="1">
        <v>3.9643079999999997E-6</v>
      </c>
      <c r="I3670">
        <v>214.40600000000001</v>
      </c>
      <c r="J3670">
        <v>-336.76499999999999</v>
      </c>
      <c r="K3670">
        <v>1.1206989999999999</v>
      </c>
      <c r="L3670">
        <v>214.92439999999999</v>
      </c>
      <c r="M3670">
        <v>0.99979799999999996</v>
      </c>
      <c r="N3670">
        <v>-1.472824E-2</v>
      </c>
      <c r="O3670">
        <v>1.3671579999999999E-2</v>
      </c>
      <c r="P3670">
        <v>0.99434180000000005</v>
      </c>
      <c r="Q3670">
        <v>-0.1061291</v>
      </c>
      <c r="R3670">
        <v>4.5802890000000004E-3</v>
      </c>
      <c r="S3670">
        <v>2.9996339999999999</v>
      </c>
      <c r="T3670">
        <v>-0.1661096</v>
      </c>
      <c r="U3670">
        <v>-7.6065060000000004E-2</v>
      </c>
      <c r="V3670">
        <v>9.0392019999999997E-3</v>
      </c>
      <c r="W3670">
        <v>-9.1470789999999996E-2</v>
      </c>
      <c r="X3670">
        <v>0.99576679999999995</v>
      </c>
      <c r="Y3670">
        <v>3.8929489999999997E-2</v>
      </c>
      <c r="Z3670">
        <v>-1.919095E-3</v>
      </c>
      <c r="AA3670">
        <v>0.99924009999999996</v>
      </c>
      <c r="AB3670">
        <v>36</v>
      </c>
      <c r="AC3670">
        <v>19.867699999999999</v>
      </c>
      <c r="AD3670">
        <v>-1.12069503569199</v>
      </c>
      <c r="AE3670">
        <v>-0.51840000000001396</v>
      </c>
      <c r="AF3670">
        <v>0.78749987012364697</v>
      </c>
      <c r="AG3670">
        <v>-1.12069503569199</v>
      </c>
      <c r="AH3670">
        <v>19.795810191401401</v>
      </c>
      <c r="AI3670">
        <v>93.237656943770105</v>
      </c>
      <c r="AJ3670">
        <v>87.7219098659575</v>
      </c>
      <c r="AK3670">
        <v>19.843140238945601</v>
      </c>
      <c r="AL3670">
        <v>95.2482258601529</v>
      </c>
      <c r="AM3670">
        <v>89.479904431760104</v>
      </c>
      <c r="AN3670">
        <v>1.00000006628912</v>
      </c>
    </row>
    <row r="3671" spans="1:40" x14ac:dyDescent="0.25">
      <c r="A3671" t="str">
        <f>"20190303154842011"</f>
        <v>20190303154842011</v>
      </c>
      <c r="B3671" t="str">
        <f>"1551599322004722"</f>
        <v>1551599322004722</v>
      </c>
      <c r="C3671" t="s">
        <v>40</v>
      </c>
      <c r="D3671">
        <v>5.2109370000000004</v>
      </c>
      <c r="E3671">
        <v>0.51116030000000001</v>
      </c>
      <c r="F3671" t="s">
        <v>54</v>
      </c>
      <c r="G3671">
        <v>-316.54660000000001</v>
      </c>
      <c r="H3671" s="1">
        <v>3.8087909999999998E-6</v>
      </c>
      <c r="I3671">
        <v>214.4143</v>
      </c>
      <c r="J3671">
        <v>-336.42720000000003</v>
      </c>
      <c r="K3671">
        <v>1.120692</v>
      </c>
      <c r="L3671">
        <v>214.92910000000001</v>
      </c>
      <c r="M3671">
        <v>0.99979700000000005</v>
      </c>
      <c r="N3671">
        <v>-1.472792E-2</v>
      </c>
      <c r="O3671">
        <v>1.376227E-2</v>
      </c>
      <c r="P3671">
        <v>0.99431650000000005</v>
      </c>
      <c r="Q3671">
        <v>-0.1063424</v>
      </c>
      <c r="R3671">
        <v>5.1539680000000001E-3</v>
      </c>
      <c r="S3671">
        <v>2.9996339999999999</v>
      </c>
      <c r="T3671">
        <v>-0.16626850000000001</v>
      </c>
      <c r="U3671">
        <v>-7.5668330000000006E-2</v>
      </c>
      <c r="V3671">
        <v>8.5528059999999996E-3</v>
      </c>
      <c r="W3671">
        <v>-9.1685059999999999E-2</v>
      </c>
      <c r="X3671">
        <v>0.99575130000000001</v>
      </c>
      <c r="Y3671">
        <v>3.8887900000000003E-2</v>
      </c>
      <c r="Z3671">
        <v>-1.9230759999999999E-3</v>
      </c>
      <c r="AA3671">
        <v>0.99924170000000001</v>
      </c>
      <c r="AB3671">
        <v>36</v>
      </c>
      <c r="AC3671">
        <v>19.880600000000001</v>
      </c>
      <c r="AD3671">
        <v>-1.1206881912090001</v>
      </c>
      <c r="AE3671">
        <v>-0.51480000000000803</v>
      </c>
      <c r="AF3671">
        <v>0.78588742281824098</v>
      </c>
      <c r="AG3671">
        <v>-1.1206881912090001</v>
      </c>
      <c r="AH3671">
        <v>19.8087275409104</v>
      </c>
      <c r="AI3671">
        <v>93.235544170106806</v>
      </c>
      <c r="AJ3671">
        <v>87.728050434649603</v>
      </c>
      <c r="AK3671">
        <v>19.855962526487598</v>
      </c>
      <c r="AL3671">
        <v>95.260554907625803</v>
      </c>
      <c r="AM3671">
        <v>89.507881499867196</v>
      </c>
      <c r="AN3671">
        <v>0.99999997608468305</v>
      </c>
    </row>
    <row r="3672" spans="1:40" x14ac:dyDescent="0.25">
      <c r="A3672" t="str">
        <f>"20190303154842034"</f>
        <v>20190303154842034</v>
      </c>
      <c r="B3672" t="str">
        <f>"1551599322024242"</f>
        <v>1551599322024242</v>
      </c>
      <c r="C3672" t="s">
        <v>40</v>
      </c>
      <c r="D3672">
        <v>5.2263109999999999</v>
      </c>
      <c r="E3672">
        <v>0.51117309999999905</v>
      </c>
      <c r="F3672" t="s">
        <v>54</v>
      </c>
      <c r="G3672">
        <v>-316.19240000000002</v>
      </c>
      <c r="H3672" s="1">
        <v>3.6517129999999998E-6</v>
      </c>
      <c r="I3672">
        <v>214.43109999999999</v>
      </c>
      <c r="J3672">
        <v>-336.07420000000002</v>
      </c>
      <c r="K3672">
        <v>1.1206739999999999</v>
      </c>
      <c r="L3672">
        <v>214.934</v>
      </c>
      <c r="M3672">
        <v>0.99979580000000001</v>
      </c>
      <c r="N3672">
        <v>-1.472714E-2</v>
      </c>
      <c r="O3672">
        <v>1.383498E-2</v>
      </c>
      <c r="P3672">
        <v>0.99430079999999998</v>
      </c>
      <c r="Q3672">
        <v>-0.1064432</v>
      </c>
      <c r="R3672">
        <v>5.9456489999999999E-3</v>
      </c>
      <c r="S3672">
        <v>2.9997560000000001</v>
      </c>
      <c r="T3672">
        <v>-0.16613910000000001</v>
      </c>
      <c r="U3672">
        <v>-7.3822020000000002E-2</v>
      </c>
      <c r="V3672">
        <v>7.8297319999999903E-3</v>
      </c>
      <c r="W3672">
        <v>-9.1787149999999998E-2</v>
      </c>
      <c r="X3672">
        <v>0.99574790000000002</v>
      </c>
      <c r="Y3672">
        <v>3.8346030000000003E-2</v>
      </c>
      <c r="Z3672">
        <v>-1.9055439999999999E-3</v>
      </c>
      <c r="AA3672">
        <v>0.99926269999999995</v>
      </c>
      <c r="AB3672">
        <v>36</v>
      </c>
      <c r="AC3672">
        <v>19.881799999999998</v>
      </c>
      <c r="AD3672">
        <v>-1.120670348287</v>
      </c>
      <c r="AE3672">
        <v>-0.50290000000003898</v>
      </c>
      <c r="AF3672">
        <v>0.77548371572366204</v>
      </c>
      <c r="AG3672">
        <v>-1.120670348287</v>
      </c>
      <c r="AH3672">
        <v>19.810038194000001</v>
      </c>
      <c r="AI3672">
        <v>93.235346205242294</v>
      </c>
      <c r="AJ3672">
        <v>87.758244157359798</v>
      </c>
      <c r="AK3672">
        <v>19.856860030493699</v>
      </c>
      <c r="AL3672">
        <v>95.266428702394293</v>
      </c>
      <c r="AM3672">
        <v>89.549483003792801</v>
      </c>
      <c r="AN3672">
        <v>1.0000000329813601</v>
      </c>
    </row>
    <row r="3673" spans="1:40" x14ac:dyDescent="0.25">
      <c r="A3673" t="str">
        <f>"20190303154842048"</f>
        <v>20190303154842048</v>
      </c>
      <c r="B3673" t="str">
        <f>"1551599322044738"</f>
        <v>1551599322044738</v>
      </c>
      <c r="C3673" t="s">
        <v>40</v>
      </c>
      <c r="D3673">
        <v>5.2636529999999997</v>
      </c>
      <c r="E3673">
        <v>0.51119329999999996</v>
      </c>
      <c r="F3673" t="s">
        <v>54</v>
      </c>
      <c r="G3673">
        <v>-315.7912</v>
      </c>
      <c r="H3673" s="1">
        <v>3.4738009999999999E-6</v>
      </c>
      <c r="I3673">
        <v>214.44929999999999</v>
      </c>
      <c r="J3673">
        <v>-335.84320000000002</v>
      </c>
      <c r="K3673">
        <v>1.120662</v>
      </c>
      <c r="L3673">
        <v>214.93729999999999</v>
      </c>
      <c r="M3673">
        <v>0.99979549999999995</v>
      </c>
      <c r="N3673">
        <v>-1.4726410000000001E-2</v>
      </c>
      <c r="O3673">
        <v>1.3869920000000001E-2</v>
      </c>
      <c r="P3673">
        <v>0.99431709999999995</v>
      </c>
      <c r="Q3673">
        <v>-0.1062633</v>
      </c>
      <c r="R3673">
        <v>6.4633329999999999E-3</v>
      </c>
      <c r="S3673">
        <v>2.9998779999999998</v>
      </c>
      <c r="T3673">
        <v>-0.16574849999999999</v>
      </c>
      <c r="U3673">
        <v>-7.1685789999999999E-2</v>
      </c>
      <c r="V3673">
        <v>7.3439009999999999E-3</v>
      </c>
      <c r="W3673">
        <v>-9.1608029999999993E-2</v>
      </c>
      <c r="X3673">
        <v>0.99576810000000004</v>
      </c>
      <c r="Y3673">
        <v>3.7670439999999999E-2</v>
      </c>
      <c r="Z3673">
        <v>-1.8789740000000001E-3</v>
      </c>
      <c r="AA3673">
        <v>0.99928839999999997</v>
      </c>
      <c r="AB3673">
        <v>36</v>
      </c>
      <c r="AC3673">
        <v>20.052</v>
      </c>
      <c r="AD3673">
        <v>-1.1206585261990001</v>
      </c>
      <c r="AE3673">
        <v>-0.48799999999999899</v>
      </c>
      <c r="AF3673">
        <v>0.76371879985520896</v>
      </c>
      <c r="AG3673">
        <v>-1.1206585261990001</v>
      </c>
      <c r="AH3673">
        <v>19.980929475549999</v>
      </c>
      <c r="AI3673">
        <v>93.207813662476696</v>
      </c>
      <c r="AJ3673">
        <v>87.811084148129197</v>
      </c>
      <c r="AK3673">
        <v>20.026899027170899</v>
      </c>
      <c r="AL3673">
        <v>95.256122442881605</v>
      </c>
      <c r="AM3673">
        <v>89.577444885260107</v>
      </c>
      <c r="AN3673">
        <v>1.0000000365099899</v>
      </c>
    </row>
    <row r="3674" spans="1:40" x14ac:dyDescent="0.25">
      <c r="A3674" t="str">
        <f>"20190303154842068"</f>
        <v>20190303154842068</v>
      </c>
      <c r="B3674" t="str">
        <f>"1551599322064259"</f>
        <v>1551599322064259</v>
      </c>
      <c r="C3674" t="s">
        <v>40</v>
      </c>
      <c r="D3674">
        <v>5.2545590000000004</v>
      </c>
      <c r="E3674">
        <v>0.51120200000000005</v>
      </c>
      <c r="F3674" t="s">
        <v>54</v>
      </c>
      <c r="G3674">
        <v>-315.42970000000003</v>
      </c>
      <c r="H3674" s="1">
        <v>3.3135129999999998E-6</v>
      </c>
      <c r="I3674">
        <v>214.46</v>
      </c>
      <c r="J3674">
        <v>-335.52460000000002</v>
      </c>
      <c r="K3674">
        <v>1.120649</v>
      </c>
      <c r="L3674">
        <v>214.9417</v>
      </c>
      <c r="M3674">
        <v>0.99979490000000004</v>
      </c>
      <c r="N3674">
        <v>-1.4725139999999999E-2</v>
      </c>
      <c r="O3674">
        <v>1.39049E-2</v>
      </c>
      <c r="P3674">
        <v>0.99427690000000002</v>
      </c>
      <c r="Q3674">
        <v>-0.10660799999999999</v>
      </c>
      <c r="R3674">
        <v>6.9469939999999997E-3</v>
      </c>
      <c r="S3674">
        <v>3</v>
      </c>
      <c r="T3674">
        <v>-0.16469420000000001</v>
      </c>
      <c r="U3674">
        <v>-7.0144650000000003E-2</v>
      </c>
      <c r="V3674">
        <v>6.8907380000000004E-3</v>
      </c>
      <c r="W3674">
        <v>-9.1954839999999996E-2</v>
      </c>
      <c r="X3674">
        <v>0.99573929999999999</v>
      </c>
      <c r="Y3674">
        <v>3.7193280000000002E-2</v>
      </c>
      <c r="Z3674">
        <v>-1.8522320000000001E-3</v>
      </c>
      <c r="AA3674">
        <v>0.99930640000000004</v>
      </c>
      <c r="AB3674">
        <v>36</v>
      </c>
      <c r="AC3674">
        <v>20.094899999999999</v>
      </c>
      <c r="AD3674">
        <v>-1.120645686487</v>
      </c>
      <c r="AE3674">
        <v>-0.48169999999998903</v>
      </c>
      <c r="AF3674">
        <v>0.75874293051465702</v>
      </c>
      <c r="AG3674">
        <v>-1.120645686487</v>
      </c>
      <c r="AH3674">
        <v>20.0240185441438</v>
      </c>
      <c r="AI3674">
        <v>93.200928787082105</v>
      </c>
      <c r="AJ3674">
        <v>87.830007011967396</v>
      </c>
      <c r="AK3674">
        <v>20.069699954046801</v>
      </c>
      <c r="AL3674">
        <v>95.276077800480294</v>
      </c>
      <c r="AM3674">
        <v>89.603506758353106</v>
      </c>
      <c r="AN3674">
        <v>0.99999996421704895</v>
      </c>
    </row>
    <row r="3675" spans="1:40" x14ac:dyDescent="0.25">
      <c r="A3675" t="str">
        <f>"20190303154842092"</f>
        <v>20190303154842092</v>
      </c>
      <c r="B3675" t="str">
        <f>"1551599322084754"</f>
        <v>1551599322084754</v>
      </c>
      <c r="C3675" t="s">
        <v>40</v>
      </c>
      <c r="D3675">
        <v>5.2516350000000003</v>
      </c>
      <c r="E3675">
        <v>0.51121119999999998</v>
      </c>
      <c r="F3675" t="s">
        <v>54</v>
      </c>
      <c r="G3675">
        <v>-315.17919999999998</v>
      </c>
      <c r="H3675" s="1">
        <v>3.2023880000000001E-6</v>
      </c>
      <c r="I3675">
        <v>214.4752</v>
      </c>
      <c r="J3675">
        <v>-335.1438</v>
      </c>
      <c r="K3675">
        <v>1.120622</v>
      </c>
      <c r="L3675">
        <v>214.947</v>
      </c>
      <c r="M3675">
        <v>0.99979459999999998</v>
      </c>
      <c r="N3675">
        <v>-1.472329E-2</v>
      </c>
      <c r="O3675">
        <v>1.3927230000000001E-2</v>
      </c>
      <c r="P3675">
        <v>0.9942626</v>
      </c>
      <c r="Q3675">
        <v>-0.1066908</v>
      </c>
      <c r="R3675">
        <v>7.6830079999999999E-3</v>
      </c>
      <c r="S3675">
        <v>3.0000309999999999</v>
      </c>
      <c r="T3675">
        <v>-0.1652448</v>
      </c>
      <c r="U3675">
        <v>-6.8786620000000007E-2</v>
      </c>
      <c r="V3675">
        <v>6.1725010000000004E-3</v>
      </c>
      <c r="W3675">
        <v>-9.2039839999999998E-2</v>
      </c>
      <c r="X3675">
        <v>0.99573619999999996</v>
      </c>
      <c r="Y3675">
        <v>3.6763539999999997E-2</v>
      </c>
      <c r="Z3675">
        <v>-1.8440729999999999E-3</v>
      </c>
      <c r="AA3675">
        <v>0.9993223</v>
      </c>
      <c r="AB3675">
        <v>36</v>
      </c>
      <c r="AC3675">
        <v>19.964600000000001</v>
      </c>
      <c r="AD3675">
        <v>-1.1206187976119999</v>
      </c>
      <c r="AE3675">
        <v>-0.471800000000001</v>
      </c>
      <c r="AF3675">
        <v>0.74748224104259897</v>
      </c>
      <c r="AG3675">
        <v>-1.1206187976119999</v>
      </c>
      <c r="AH3675">
        <v>19.8934501523315</v>
      </c>
      <c r="AI3675">
        <v>93.221854902450701</v>
      </c>
      <c r="AJ3675">
        <v>87.848164126637002</v>
      </c>
      <c r="AK3675">
        <v>19.939003865628099</v>
      </c>
      <c r="AL3675">
        <v>95.280968461879198</v>
      </c>
      <c r="AM3675">
        <v>89.6448319078239</v>
      </c>
      <c r="AN3675">
        <v>1.00000000595313</v>
      </c>
    </row>
    <row r="3676" spans="1:40" x14ac:dyDescent="0.25">
      <c r="A3676" t="str">
        <f>"20190303154842114"</f>
        <v>20190303154842114</v>
      </c>
      <c r="B3676" t="str">
        <f>"1551599322104274"</f>
        <v>1551599322104274</v>
      </c>
      <c r="C3676" t="s">
        <v>40</v>
      </c>
      <c r="D3676">
        <v>5.2317640000000001</v>
      </c>
      <c r="E3676">
        <v>0.51121779999999895</v>
      </c>
      <c r="F3676" t="s">
        <v>54</v>
      </c>
      <c r="G3676">
        <v>-314.76479999999998</v>
      </c>
      <c r="H3676" s="1">
        <v>3.0186510000000001E-6</v>
      </c>
      <c r="I3676">
        <v>214.495</v>
      </c>
      <c r="J3676">
        <v>-334.79349999999999</v>
      </c>
      <c r="K3676">
        <v>1.120606</v>
      </c>
      <c r="L3676">
        <v>214.95189999999999</v>
      </c>
      <c r="M3676">
        <v>0.99979479999999998</v>
      </c>
      <c r="N3676">
        <v>-1.472129E-2</v>
      </c>
      <c r="O3676">
        <v>1.3924570000000001E-2</v>
      </c>
      <c r="P3676">
        <v>0.99427279999999996</v>
      </c>
      <c r="Q3676">
        <v>-0.10657170000000001</v>
      </c>
      <c r="R3676">
        <v>8.0295230000000002E-3</v>
      </c>
      <c r="S3676">
        <v>3.0001530000000001</v>
      </c>
      <c r="T3676">
        <v>-0.16497539999999999</v>
      </c>
      <c r="U3676">
        <v>-6.6543580000000005E-2</v>
      </c>
      <c r="V3676">
        <v>5.8200159999999999E-3</v>
      </c>
      <c r="W3676">
        <v>-9.1922799999999999E-2</v>
      </c>
      <c r="X3676">
        <v>0.99574910000000005</v>
      </c>
      <c r="Y3676">
        <v>3.6014869999999997E-2</v>
      </c>
      <c r="Z3676">
        <v>-1.8149150000000001E-3</v>
      </c>
      <c r="AA3676">
        <v>0.99934959999999995</v>
      </c>
      <c r="AB3676">
        <v>36</v>
      </c>
      <c r="AC3676">
        <v>20.028700000000001</v>
      </c>
      <c r="AD3676">
        <v>-1.1206029813489999</v>
      </c>
      <c r="AE3676">
        <v>-0.45689999999998998</v>
      </c>
      <c r="AF3676">
        <v>0.73348202997133405</v>
      </c>
      <c r="AG3676">
        <v>-1.1206029813489999</v>
      </c>
      <c r="AH3676">
        <v>19.9579513271023</v>
      </c>
      <c r="AI3676">
        <v>93.211516810669593</v>
      </c>
      <c r="AJ3676">
        <v>87.895248937836101</v>
      </c>
      <c r="AK3676">
        <v>20.002839001128901</v>
      </c>
      <c r="AL3676">
        <v>95.274234194616795</v>
      </c>
      <c r="AM3676">
        <v>89.6651178933691</v>
      </c>
      <c r="AN3676">
        <v>0.99999997194844403</v>
      </c>
    </row>
    <row r="3677" spans="1:40" x14ac:dyDescent="0.25">
      <c r="A3677" t="str">
        <f>"20190303154842135"</f>
        <v>20190303154842135</v>
      </c>
      <c r="B3677" t="str">
        <f>"1551599322124774"</f>
        <v>1551599322124774</v>
      </c>
      <c r="C3677" t="s">
        <v>40</v>
      </c>
      <c r="D3677">
        <v>5.233778</v>
      </c>
      <c r="E3677">
        <v>0.51124550000000002</v>
      </c>
      <c r="F3677" t="s">
        <v>54</v>
      </c>
      <c r="G3677">
        <v>-314.33330000000001</v>
      </c>
      <c r="H3677" s="1">
        <v>2.8273029999999999E-6</v>
      </c>
      <c r="I3677">
        <v>214.50579999999999</v>
      </c>
      <c r="J3677">
        <v>-334.45859999999999</v>
      </c>
      <c r="K3677">
        <v>1.1205879999999999</v>
      </c>
      <c r="L3677">
        <v>214.95660000000001</v>
      </c>
      <c r="M3677">
        <v>0.99979510000000005</v>
      </c>
      <c r="N3677">
        <v>-1.471914E-2</v>
      </c>
      <c r="O3677">
        <v>1.389665E-2</v>
      </c>
      <c r="P3677">
        <v>0.99423810000000001</v>
      </c>
      <c r="Q3677">
        <v>-0.1068943</v>
      </c>
      <c r="R3677">
        <v>8.0370990000000007E-3</v>
      </c>
      <c r="S3677">
        <v>3.0002140000000002</v>
      </c>
      <c r="T3677">
        <v>-0.16432189999999999</v>
      </c>
      <c r="U3677">
        <v>-6.5414429999999996E-2</v>
      </c>
      <c r="V3677">
        <v>5.7797509999999996E-3</v>
      </c>
      <c r="W3677">
        <v>-9.2248239999999995E-2</v>
      </c>
      <c r="X3677">
        <v>0.99571929999999997</v>
      </c>
      <c r="Y3677">
        <v>3.5611980000000001E-2</v>
      </c>
      <c r="Z3677">
        <v>-1.7928250000000001E-3</v>
      </c>
      <c r="AA3677">
        <v>0.99936409999999998</v>
      </c>
      <c r="AB3677">
        <v>36</v>
      </c>
      <c r="AC3677">
        <v>20.1252999999999</v>
      </c>
      <c r="AD3677">
        <v>-1.120585172697</v>
      </c>
      <c r="AE3677">
        <v>-0.45080000000001502</v>
      </c>
      <c r="AF3677">
        <v>0.72820448266205196</v>
      </c>
      <c r="AG3677">
        <v>-1.120585172697</v>
      </c>
      <c r="AH3677">
        <v>20.054945576582998</v>
      </c>
      <c r="AI3677">
        <v>93.196017441315405</v>
      </c>
      <c r="AJ3677">
        <v>87.920476960304995</v>
      </c>
      <c r="AK3677">
        <v>20.099423747399999</v>
      </c>
      <c r="AL3677">
        <v>95.292959769599193</v>
      </c>
      <c r="AM3677">
        <v>89.6674247252557</v>
      </c>
      <c r="AN3677">
        <v>1.0000000338485999</v>
      </c>
    </row>
    <row r="3678" spans="1:40" x14ac:dyDescent="0.25">
      <c r="A3678" t="str">
        <f>"20190303154842156"</f>
        <v>20190303154842156</v>
      </c>
      <c r="B3678" t="str">
        <f>"1551599322154051"</f>
        <v>1551599322154051</v>
      </c>
      <c r="C3678" t="s">
        <v>40</v>
      </c>
      <c r="D3678">
        <v>5.2533859999999999</v>
      </c>
      <c r="E3678">
        <v>0.51128300000000004</v>
      </c>
      <c r="F3678" t="s">
        <v>54</v>
      </c>
      <c r="G3678">
        <v>-314.0675</v>
      </c>
      <c r="H3678" s="1">
        <v>2.7094339999999999E-6</v>
      </c>
      <c r="I3678">
        <v>214.51009999999999</v>
      </c>
      <c r="J3678">
        <v>-334.10820000000001</v>
      </c>
      <c r="K3678">
        <v>1.1205670000000001</v>
      </c>
      <c r="L3678">
        <v>214.9614</v>
      </c>
      <c r="M3678">
        <v>0.99979609999999997</v>
      </c>
      <c r="N3678">
        <v>-1.4716709999999999E-2</v>
      </c>
      <c r="O3678">
        <v>1.384118E-2</v>
      </c>
      <c r="P3678">
        <v>0.99423030000000001</v>
      </c>
      <c r="Q3678">
        <v>-0.1069951</v>
      </c>
      <c r="R3678">
        <v>7.6328780000000001E-3</v>
      </c>
      <c r="S3678">
        <v>3.0001829999999998</v>
      </c>
      <c r="T3678">
        <v>-0.16487399999999999</v>
      </c>
      <c r="U3678">
        <v>-6.5689090000000006E-2</v>
      </c>
      <c r="V3678">
        <v>6.123753E-3</v>
      </c>
      <c r="W3678">
        <v>-9.2352030000000002E-2</v>
      </c>
      <c r="X3678">
        <v>0.99570760000000003</v>
      </c>
      <c r="Y3678">
        <v>3.5647669999999999E-2</v>
      </c>
      <c r="Z3678">
        <v>-1.797667E-3</v>
      </c>
      <c r="AA3678">
        <v>0.9993628</v>
      </c>
      <c r="AB3678">
        <v>36</v>
      </c>
      <c r="AC3678">
        <v>20.040700000000001</v>
      </c>
      <c r="AD3678">
        <v>-1.120564290566</v>
      </c>
      <c r="AE3678">
        <v>-0.45130000000000298</v>
      </c>
      <c r="AF3678">
        <v>0.72640378795181404</v>
      </c>
      <c r="AG3678">
        <v>-1.120564290566</v>
      </c>
      <c r="AH3678">
        <v>19.9701291796076</v>
      </c>
      <c r="AI3678">
        <v>93.209495999748796</v>
      </c>
      <c r="AJ3678">
        <v>87.916812173313801</v>
      </c>
      <c r="AK3678">
        <v>20.0147292323093</v>
      </c>
      <c r="AL3678">
        <v>95.298932112499898</v>
      </c>
      <c r="AM3678">
        <v>89.647626694795306</v>
      </c>
      <c r="AN3678">
        <v>1.0000000112468399</v>
      </c>
    </row>
    <row r="3679" spans="1:40" x14ac:dyDescent="0.25">
      <c r="A3679" t="str">
        <f>"20190303154842180"</f>
        <v>20190303154842180</v>
      </c>
      <c r="B3679" t="str">
        <f>"1551599322174547"</f>
        <v>1551599322174547</v>
      </c>
      <c r="C3679" t="s">
        <v>40</v>
      </c>
      <c r="D3679">
        <v>5.2259900000000004</v>
      </c>
      <c r="E3679">
        <v>0.51129629999999904</v>
      </c>
      <c r="F3679" t="s">
        <v>54</v>
      </c>
      <c r="G3679">
        <v>-313.69819999999999</v>
      </c>
      <c r="H3679" s="1">
        <v>2.5456429999999999E-6</v>
      </c>
      <c r="I3679">
        <v>214.50309999999999</v>
      </c>
      <c r="J3679">
        <v>-333.7423</v>
      </c>
      <c r="K3679">
        <v>1.120549</v>
      </c>
      <c r="L3679">
        <v>214.96639999999999</v>
      </c>
      <c r="M3679">
        <v>0.99979709999999999</v>
      </c>
      <c r="N3679">
        <v>-1.4713999999999901E-2</v>
      </c>
      <c r="O3679">
        <v>1.375884E-2</v>
      </c>
      <c r="P3679">
        <v>0.99422370000000004</v>
      </c>
      <c r="Q3679">
        <v>-0.10711030000000001</v>
      </c>
      <c r="R3679">
        <v>6.8371450000000002E-3</v>
      </c>
      <c r="S3679">
        <v>3.0002439999999999</v>
      </c>
      <c r="T3679">
        <v>-0.164721799999999</v>
      </c>
      <c r="U3679">
        <v>-6.7367549999999998E-2</v>
      </c>
      <c r="V3679">
        <v>6.8314550000000002E-3</v>
      </c>
      <c r="W3679">
        <v>-9.2470620000000003E-2</v>
      </c>
      <c r="X3679">
        <v>0.99569200000000002</v>
      </c>
      <c r="Y3679">
        <v>3.612303E-2</v>
      </c>
      <c r="Z3679">
        <v>-1.8092449999999999E-3</v>
      </c>
      <c r="AA3679">
        <v>0.9993457</v>
      </c>
      <c r="AB3679">
        <v>36</v>
      </c>
      <c r="AC3679">
        <v>20.0441</v>
      </c>
      <c r="AD3679">
        <v>-1.1205464543570001</v>
      </c>
      <c r="AE3679">
        <v>-0.46330000000000299</v>
      </c>
      <c r="AF3679">
        <v>0.73676818752856299</v>
      </c>
      <c r="AG3679">
        <v>-1.1205464543570001</v>
      </c>
      <c r="AH3679">
        <v>19.973438186649801</v>
      </c>
      <c r="AI3679">
        <v>93.208854341790499</v>
      </c>
      <c r="AJ3679">
        <v>87.887465523240394</v>
      </c>
      <c r="AK3679">
        <v>20.018408645905101</v>
      </c>
      <c r="AL3679">
        <v>95.305755963872102</v>
      </c>
      <c r="AM3679">
        <v>89.606899123550903</v>
      </c>
      <c r="AN3679">
        <v>1.0000000216022999</v>
      </c>
    </row>
    <row r="3680" spans="1:40" x14ac:dyDescent="0.25">
      <c r="A3680" t="str">
        <f>"20190303154842202"</f>
        <v>20190303154842202</v>
      </c>
      <c r="B3680" t="str">
        <f>"1551599322194066"</f>
        <v>1551599322194066</v>
      </c>
      <c r="C3680" t="s">
        <v>40</v>
      </c>
      <c r="D3680">
        <v>5.2575539999999998</v>
      </c>
      <c r="E3680">
        <v>0.51133459999999997</v>
      </c>
      <c r="F3680" t="s">
        <v>54</v>
      </c>
      <c r="G3680">
        <v>-313.3329</v>
      </c>
      <c r="H3680" s="1">
        <v>2.3836389999999999E-6</v>
      </c>
      <c r="I3680">
        <v>214.49090000000001</v>
      </c>
      <c r="J3680">
        <v>-333.39749999999998</v>
      </c>
      <c r="K3680">
        <v>1.1205400000000001</v>
      </c>
      <c r="L3680">
        <v>214.971</v>
      </c>
      <c r="M3680">
        <v>0.99979859999999998</v>
      </c>
      <c r="N3680">
        <v>-1.471132E-2</v>
      </c>
      <c r="O3680">
        <v>1.3661370000000001E-2</v>
      </c>
      <c r="P3680">
        <v>0.99437070000000005</v>
      </c>
      <c r="Q3680">
        <v>-0.1057685</v>
      </c>
      <c r="R3680">
        <v>6.3338140000000001E-3</v>
      </c>
      <c r="S3680">
        <v>3.0001530000000001</v>
      </c>
      <c r="T3680">
        <v>-0.16471849999999999</v>
      </c>
      <c r="U3680">
        <v>-6.9900509999999999E-2</v>
      </c>
      <c r="V3680">
        <v>7.2352219999999899E-3</v>
      </c>
      <c r="W3680">
        <v>-9.1130030000000001E-2</v>
      </c>
      <c r="X3680">
        <v>0.9958127</v>
      </c>
      <c r="Y3680">
        <v>3.6868209999999998E-2</v>
      </c>
      <c r="Z3680">
        <v>-1.831252E-3</v>
      </c>
      <c r="AA3680">
        <v>0.9993185</v>
      </c>
      <c r="AB3680">
        <v>36</v>
      </c>
      <c r="AC3680">
        <v>20.064599999999899</v>
      </c>
      <c r="AD3680">
        <v>-1.1205376163609999</v>
      </c>
      <c r="AE3680">
        <v>-0.480099999999964</v>
      </c>
      <c r="AF3680">
        <v>0.75185118231932702</v>
      </c>
      <c r="AG3680">
        <v>-1.1205376163609999</v>
      </c>
      <c r="AH3680">
        <v>19.9938458680551</v>
      </c>
      <c r="AI3680">
        <v>93.205475398515503</v>
      </c>
      <c r="AJ3680">
        <v>87.846456754771907</v>
      </c>
      <c r="AK3680">
        <v>20.039330261901998</v>
      </c>
      <c r="AL3680">
        <v>95.228620306239407</v>
      </c>
      <c r="AM3680">
        <v>89.5837165060572</v>
      </c>
      <c r="AN3680">
        <v>0.99999998214323904</v>
      </c>
    </row>
    <row r="3681" spans="1:40" x14ac:dyDescent="0.25">
      <c r="A3681" t="str">
        <f>"20190303154842223"</f>
        <v>20190303154842223</v>
      </c>
      <c r="B3681" t="str">
        <f>"1551599322214562"</f>
        <v>1551599322214562</v>
      </c>
      <c r="C3681" t="s">
        <v>40</v>
      </c>
      <c r="D3681">
        <v>5.3130480000000002</v>
      </c>
      <c r="E3681">
        <v>0.51134040000000003</v>
      </c>
      <c r="F3681" t="s">
        <v>54</v>
      </c>
      <c r="G3681">
        <v>-312.39589999999998</v>
      </c>
      <c r="H3681" s="1">
        <v>1.9681170000000001E-6</v>
      </c>
      <c r="I3681">
        <v>214.46770000000001</v>
      </c>
      <c r="J3681">
        <v>-333.0598</v>
      </c>
      <c r="K3681">
        <v>1.120533</v>
      </c>
      <c r="L3681">
        <v>214.97550000000001</v>
      </c>
      <c r="M3681">
        <v>0.99980000000000002</v>
      </c>
      <c r="N3681">
        <v>-1.4708529999999999E-2</v>
      </c>
      <c r="O3681">
        <v>1.3551779999999999E-2</v>
      </c>
      <c r="P3681">
        <v>0.99443729999999997</v>
      </c>
      <c r="Q3681">
        <v>-0.10518859999999999</v>
      </c>
      <c r="R3681">
        <v>5.4744009999999899E-3</v>
      </c>
      <c r="S3681">
        <v>3.0004580000000001</v>
      </c>
      <c r="T3681">
        <v>-0.1600887</v>
      </c>
      <c r="U3681">
        <v>-7.191467E-2</v>
      </c>
      <c r="V3681">
        <v>7.9826710000000002E-3</v>
      </c>
      <c r="W3681">
        <v>-9.0552629999999995E-2</v>
      </c>
      <c r="X3681">
        <v>0.99585970000000001</v>
      </c>
      <c r="Y3681">
        <v>3.7430159999999997E-2</v>
      </c>
      <c r="Z3681">
        <v>-1.7965050000000001E-3</v>
      </c>
      <c r="AA3681">
        <v>0.99929760000000001</v>
      </c>
      <c r="AB3681">
        <v>35</v>
      </c>
      <c r="AC3681">
        <v>20.663900000000002</v>
      </c>
      <c r="AD3681">
        <v>-1.120531031883</v>
      </c>
      <c r="AE3681">
        <v>-0.50780000000000303</v>
      </c>
      <c r="AF3681">
        <v>0.78550787476242501</v>
      </c>
      <c r="AG3681">
        <v>-1.120531031883</v>
      </c>
      <c r="AH3681">
        <v>20.594597548347199</v>
      </c>
      <c r="AI3681">
        <v>93.112075742344601</v>
      </c>
      <c r="AJ3681">
        <v>87.815714518437403</v>
      </c>
      <c r="AK3681">
        <v>20.640011157776001</v>
      </c>
      <c r="AL3681">
        <v>95.195400162793803</v>
      </c>
      <c r="AM3681">
        <v>89.540734942987299</v>
      </c>
      <c r="AN3681">
        <v>1.0000000219601499</v>
      </c>
    </row>
    <row r="3682" spans="1:40" x14ac:dyDescent="0.25">
      <c r="A3682" t="str">
        <f>"20190303154842237"</f>
        <v>20190303154842237</v>
      </c>
      <c r="B3682" t="str">
        <f>"1551599322234083"</f>
        <v>1551599322234083</v>
      </c>
      <c r="C3682" t="s">
        <v>40</v>
      </c>
      <c r="D3682">
        <v>5.2444169999999897</v>
      </c>
      <c r="E3682">
        <v>0.51135489999999995</v>
      </c>
      <c r="F3682" t="s">
        <v>54</v>
      </c>
      <c r="G3682">
        <v>-311.77</v>
      </c>
      <c r="H3682" s="1">
        <v>1.6905740000000001E-6</v>
      </c>
      <c r="I3682">
        <v>214.44749999999999</v>
      </c>
      <c r="J3682">
        <v>-332.83409999999998</v>
      </c>
      <c r="K3682">
        <v>1.12053</v>
      </c>
      <c r="L3682">
        <v>214.9785</v>
      </c>
      <c r="M3682">
        <v>0.99980119999999895</v>
      </c>
      <c r="N3682">
        <v>-1.47066E-2</v>
      </c>
      <c r="O3682">
        <v>1.3472609999999999E-2</v>
      </c>
      <c r="P3682">
        <v>0.99442850000000005</v>
      </c>
      <c r="Q3682">
        <v>-0.1052935</v>
      </c>
      <c r="R3682">
        <v>5.0412749999999996E-3</v>
      </c>
      <c r="S3682">
        <v>3.0004879999999998</v>
      </c>
      <c r="T3682">
        <v>-0.1579229</v>
      </c>
      <c r="U3682">
        <v>-7.4417109999999995E-2</v>
      </c>
      <c r="V3682">
        <v>8.3350919999999901E-3</v>
      </c>
      <c r="W3682">
        <v>-9.0659950000000003E-2</v>
      </c>
      <c r="X3682">
        <v>0.99584700000000004</v>
      </c>
      <c r="Y3682">
        <v>3.8184429999999998E-2</v>
      </c>
      <c r="Z3682">
        <v>-1.7956039999999999E-3</v>
      </c>
      <c r="AA3682">
        <v>0.99926910000000002</v>
      </c>
      <c r="AB3682">
        <v>35</v>
      </c>
      <c r="AC3682">
        <v>21.0641</v>
      </c>
      <c r="AD3682">
        <v>-1.1205283094259999</v>
      </c>
      <c r="AE3682">
        <v>-0.53100000000000502</v>
      </c>
      <c r="AF3682">
        <v>0.81247316341396802</v>
      </c>
      <c r="AG3682">
        <v>-1.1205283094259999</v>
      </c>
      <c r="AH3682">
        <v>20.995656747098401</v>
      </c>
      <c r="AI3682">
        <v>93.052670016643404</v>
      </c>
      <c r="AJ3682">
        <v>87.783919397683903</v>
      </c>
      <c r="AK3682">
        <v>21.0412285424466</v>
      </c>
      <c r="AL3682">
        <v>95.201574793166003</v>
      </c>
      <c r="AM3682">
        <v>89.520454003414798</v>
      </c>
      <c r="AN3682">
        <v>0.99999997385082495</v>
      </c>
    </row>
    <row r="3683" spans="1:40" x14ac:dyDescent="0.25">
      <c r="A3683" t="str">
        <f>"20190303154842257"</f>
        <v>20190303154842257</v>
      </c>
      <c r="B3683" t="str">
        <f>"1551599322254578"</f>
        <v>1551599322254578</v>
      </c>
      <c r="C3683" t="s">
        <v>40</v>
      </c>
      <c r="D3683">
        <v>5.221686</v>
      </c>
      <c r="E3683">
        <v>0.51135900000000001</v>
      </c>
      <c r="F3683" t="s">
        <v>54</v>
      </c>
      <c r="G3683">
        <v>-311.53660000000002</v>
      </c>
      <c r="H3683" s="1">
        <v>1.5870570000000001E-6</v>
      </c>
      <c r="I3683">
        <v>214.43979999999999</v>
      </c>
      <c r="J3683">
        <v>-332.51479999999998</v>
      </c>
      <c r="K3683">
        <v>1.120517</v>
      </c>
      <c r="L3683">
        <v>214.98269999999999</v>
      </c>
      <c r="M3683">
        <v>0.99980270000000004</v>
      </c>
      <c r="N3683">
        <v>-1.470377E-2</v>
      </c>
      <c r="O3683">
        <v>1.3354929999999999E-2</v>
      </c>
      <c r="P3683">
        <v>0.99437489999999995</v>
      </c>
      <c r="Q3683">
        <v>-0.1058167</v>
      </c>
      <c r="R3683">
        <v>4.6440450000000003E-3</v>
      </c>
      <c r="S3683">
        <v>3.0004580000000001</v>
      </c>
      <c r="T3683">
        <v>-0.157863</v>
      </c>
      <c r="U3683">
        <v>-7.5897220000000001E-2</v>
      </c>
      <c r="V3683">
        <v>8.6123229999999999E-3</v>
      </c>
      <c r="W3683">
        <v>-9.1186989999999996E-2</v>
      </c>
      <c r="X3683">
        <v>0.99579660000000003</v>
      </c>
      <c r="Y3683">
        <v>3.8559160000000002E-2</v>
      </c>
      <c r="Z3683">
        <v>-1.8031010000000001E-3</v>
      </c>
      <c r="AA3683">
        <v>0.99925469999999905</v>
      </c>
      <c r="AB3683">
        <v>35</v>
      </c>
      <c r="AC3683">
        <v>20.978199999999902</v>
      </c>
      <c r="AD3683">
        <v>-1.1205154129429999</v>
      </c>
      <c r="AE3683">
        <v>-0.54290000000000205</v>
      </c>
      <c r="AF3683">
        <v>0.82070436836244598</v>
      </c>
      <c r="AG3683">
        <v>-1.1205154129429999</v>
      </c>
      <c r="AH3683">
        <v>20.909463139160099</v>
      </c>
      <c r="AI3683">
        <v>93.065128807201901</v>
      </c>
      <c r="AJ3683">
        <v>87.752272699944896</v>
      </c>
      <c r="AK3683">
        <v>20.955542446302498</v>
      </c>
      <c r="AL3683">
        <v>95.231897142383403</v>
      </c>
      <c r="AM3683">
        <v>89.504479672884798</v>
      </c>
      <c r="AN3683">
        <v>1.0000000539121301</v>
      </c>
    </row>
    <row r="3684" spans="1:40" x14ac:dyDescent="0.25">
      <c r="A3684" t="str">
        <f>"20190303154842281"</f>
        <v>20190303154842281</v>
      </c>
      <c r="B3684" t="str">
        <f>"1551599322274099"</f>
        <v>1551599322274099</v>
      </c>
      <c r="C3684" t="s">
        <v>40</v>
      </c>
      <c r="D3684">
        <v>5.2522949999999904</v>
      </c>
      <c r="E3684">
        <v>0.51136789999999999</v>
      </c>
      <c r="F3684" t="s">
        <v>54</v>
      </c>
      <c r="G3684">
        <v>-311.3732</v>
      </c>
      <c r="H3684" s="1">
        <v>1.514619E-6</v>
      </c>
      <c r="I3684">
        <v>214.43969999999999</v>
      </c>
      <c r="J3684">
        <v>-332.14400000000001</v>
      </c>
      <c r="K3684">
        <v>1.1205160000000001</v>
      </c>
      <c r="L3684">
        <v>214.98750000000001</v>
      </c>
      <c r="M3684">
        <v>0.99980469999999999</v>
      </c>
      <c r="N3684">
        <v>-1.4700390000000001E-2</v>
      </c>
      <c r="O3684">
        <v>1.3213330000000001E-2</v>
      </c>
      <c r="P3684">
        <v>0.99438879999999996</v>
      </c>
      <c r="Q3684">
        <v>-0.1056945</v>
      </c>
      <c r="R3684">
        <v>4.4679869999999997E-3</v>
      </c>
      <c r="S3684">
        <v>3.0004270000000002</v>
      </c>
      <c r="T3684">
        <v>-0.15902450000000001</v>
      </c>
      <c r="U3684">
        <v>-7.7056879999999994E-2</v>
      </c>
      <c r="V3684">
        <v>8.6460930000000005E-3</v>
      </c>
      <c r="W3684">
        <v>-9.1068159999999995E-2</v>
      </c>
      <c r="X3684">
        <v>0.99580709999999995</v>
      </c>
      <c r="Y3684">
        <v>3.8802440000000001E-2</v>
      </c>
      <c r="Z3684">
        <v>-1.8185149999999999E-3</v>
      </c>
      <c r="AA3684">
        <v>0.99924519999999994</v>
      </c>
      <c r="AB3684">
        <v>35</v>
      </c>
      <c r="AC3684">
        <v>20.770800000000001</v>
      </c>
      <c r="AD3684">
        <v>-1.1205144853810001</v>
      </c>
      <c r="AE3684">
        <v>-0.54780000000002305</v>
      </c>
      <c r="AF3684">
        <v>0.819848945882098</v>
      </c>
      <c r="AG3684">
        <v>-1.1205144853810001</v>
      </c>
      <c r="AH3684">
        <v>20.7015427369946</v>
      </c>
      <c r="AI3684">
        <v>93.0958090192226</v>
      </c>
      <c r="AJ3684">
        <v>87.732084518301704</v>
      </c>
      <c r="AK3684">
        <v>20.748049949275401</v>
      </c>
      <c r="AL3684">
        <v>95.225060664764897</v>
      </c>
      <c r="AM3684">
        <v>89.502542018003894</v>
      </c>
      <c r="AN3684">
        <v>0.99999997255017903</v>
      </c>
    </row>
    <row r="3685" spans="1:40" x14ac:dyDescent="0.25">
      <c r="A3685" t="str">
        <f>"20190303154842303"</f>
        <v>20190303154842303</v>
      </c>
      <c r="B3685" t="str">
        <f>"1551599322294594"</f>
        <v>1551599322294594</v>
      </c>
      <c r="C3685" t="s">
        <v>40</v>
      </c>
      <c r="D3685">
        <v>5.2792640000000004</v>
      </c>
      <c r="E3685">
        <v>0.51137520000000003</v>
      </c>
      <c r="F3685" t="s">
        <v>54</v>
      </c>
      <c r="G3685">
        <v>-310.91079999999999</v>
      </c>
      <c r="H3685" s="1">
        <v>1.3095389999999999E-6</v>
      </c>
      <c r="I3685">
        <v>214.43809999999999</v>
      </c>
      <c r="J3685">
        <v>-331.79259999999999</v>
      </c>
      <c r="K3685">
        <v>1.1205160000000001</v>
      </c>
      <c r="L3685">
        <v>214.99199999999999</v>
      </c>
      <c r="M3685">
        <v>0.99980650000000004</v>
      </c>
      <c r="N3685">
        <v>-1.469721E-2</v>
      </c>
      <c r="O3685">
        <v>1.307791E-2</v>
      </c>
      <c r="P3685">
        <v>0.99445099999999997</v>
      </c>
      <c r="Q3685">
        <v>-0.1050724</v>
      </c>
      <c r="R3685">
        <v>5.2178009999999898E-3</v>
      </c>
      <c r="S3685">
        <v>3.0004580000000001</v>
      </c>
      <c r="T3685">
        <v>-0.15833989999999901</v>
      </c>
      <c r="U3685">
        <v>-7.7636720000000006E-2</v>
      </c>
      <c r="V3685">
        <v>7.7614809999999998E-3</v>
      </c>
      <c r="W3685">
        <v>-9.0447990000000006E-2</v>
      </c>
      <c r="X3685">
        <v>0.9958709</v>
      </c>
      <c r="Y3685">
        <v>3.8860449999999998E-2</v>
      </c>
      <c r="Z3685">
        <v>-1.807852E-3</v>
      </c>
      <c r="AA3685">
        <v>0.99924299999999999</v>
      </c>
      <c r="AB3685">
        <v>35</v>
      </c>
      <c r="AC3685">
        <v>20.881799999999998</v>
      </c>
      <c r="AD3685">
        <v>-1.1205146904609999</v>
      </c>
      <c r="AE3685">
        <v>-0.55390000000002704</v>
      </c>
      <c r="AF3685">
        <v>0.82459974260157198</v>
      </c>
      <c r="AG3685">
        <v>-1.1205146904609999</v>
      </c>
      <c r="AH3685">
        <v>20.812883076729001</v>
      </c>
      <c r="AI3685">
        <v>93.079278244004598</v>
      </c>
      <c r="AJ3685">
        <v>87.731146276249305</v>
      </c>
      <c r="AK3685">
        <v>20.8593293246123</v>
      </c>
      <c r="AL3685">
        <v>95.189380327629493</v>
      </c>
      <c r="AM3685">
        <v>89.553465112263297</v>
      </c>
      <c r="AN3685">
        <v>0.99999996447458095</v>
      </c>
    </row>
    <row r="3686" spans="1:40" x14ac:dyDescent="0.25">
      <c r="A3686" t="str">
        <f>"20190303154842323"</f>
        <v>20190303154842323</v>
      </c>
      <c r="B3686" t="str">
        <f>"1551599322314114"</f>
        <v>1551599322314114</v>
      </c>
      <c r="C3686" t="s">
        <v>40</v>
      </c>
      <c r="D3686">
        <v>5.245393</v>
      </c>
      <c r="E3686">
        <v>0.51137849999999996</v>
      </c>
      <c r="F3686" t="s">
        <v>54</v>
      </c>
      <c r="G3686">
        <v>-310.26260000000002</v>
      </c>
      <c r="H3686" s="1">
        <v>1.0221009999999999E-6</v>
      </c>
      <c r="I3686">
        <v>214.45060000000001</v>
      </c>
      <c r="J3686">
        <v>-331.46890000000002</v>
      </c>
      <c r="K3686">
        <v>1.1205149999999999</v>
      </c>
      <c r="L3686">
        <v>214.99610000000001</v>
      </c>
      <c r="M3686">
        <v>0.99980829999999998</v>
      </c>
      <c r="N3686">
        <v>-1.469411E-2</v>
      </c>
      <c r="O3686">
        <v>1.2953950000000001E-2</v>
      </c>
      <c r="P3686">
        <v>0.99451869999999998</v>
      </c>
      <c r="Q3686">
        <v>-0.1043978</v>
      </c>
      <c r="R3686">
        <v>5.8411610000000001E-3</v>
      </c>
      <c r="S3686">
        <v>3.00061</v>
      </c>
      <c r="T3686">
        <v>-0.1561651</v>
      </c>
      <c r="U3686">
        <v>-7.5454709999999994E-2</v>
      </c>
      <c r="V3686">
        <v>7.0152950000000004E-3</v>
      </c>
      <c r="W3686">
        <v>-8.9775259999999996E-2</v>
      </c>
      <c r="X3686">
        <v>0.99593730000000003</v>
      </c>
      <c r="Y3686">
        <v>3.8012669999999998E-2</v>
      </c>
      <c r="Z3686">
        <v>-1.7513330000000001E-3</v>
      </c>
      <c r="AA3686">
        <v>0.99927569999999999</v>
      </c>
      <c r="AB3686">
        <v>35</v>
      </c>
      <c r="AC3686">
        <v>21.206299999999999</v>
      </c>
      <c r="AD3686">
        <v>-1.1205139778990001</v>
      </c>
      <c r="AE3686">
        <v>-0.54550000000000398</v>
      </c>
      <c r="AF3686">
        <v>0.81790715094028899</v>
      </c>
      <c r="AG3686">
        <v>-1.1205139778990001</v>
      </c>
      <c r="AH3686">
        <v>21.138474992561999</v>
      </c>
      <c r="AI3686">
        <v>93.032045629580495</v>
      </c>
      <c r="AJ3686">
        <v>87.784170228080399</v>
      </c>
      <c r="AK3686">
        <v>21.1839479014983</v>
      </c>
      <c r="AL3686">
        <v>95.150678313461498</v>
      </c>
      <c r="AM3686">
        <v>89.596420228482998</v>
      </c>
      <c r="AN3686">
        <v>0.99999995860164603</v>
      </c>
    </row>
    <row r="3687" spans="1:40" x14ac:dyDescent="0.25">
      <c r="A3687" t="str">
        <f>"20190303154842347"</f>
        <v>20190303154842347</v>
      </c>
      <c r="B3687" t="str">
        <f>"1551599322344371"</f>
        <v>1551599322344371</v>
      </c>
      <c r="C3687" t="s">
        <v>40</v>
      </c>
      <c r="D3687">
        <v>5.2392089999999998</v>
      </c>
      <c r="E3687">
        <v>0.51138640000000002</v>
      </c>
      <c r="F3687" t="s">
        <v>54</v>
      </c>
      <c r="G3687">
        <v>-309.61689999999999</v>
      </c>
      <c r="H3687" s="1">
        <v>9.4737070000000004E-7</v>
      </c>
      <c r="I3687">
        <v>214.4581</v>
      </c>
      <c r="J3687">
        <v>-331.101</v>
      </c>
      <c r="K3687">
        <v>1.1205130000000001</v>
      </c>
      <c r="L3687">
        <v>215.00069999999999</v>
      </c>
      <c r="M3687">
        <v>0.99980999999999998</v>
      </c>
      <c r="N3687">
        <v>-1.469062E-2</v>
      </c>
      <c r="O3687">
        <v>1.2815099999999999E-2</v>
      </c>
      <c r="P3687">
        <v>0.99452649999999998</v>
      </c>
      <c r="Q3687">
        <v>-0.1042812</v>
      </c>
      <c r="R3687">
        <v>6.526881E-3</v>
      </c>
      <c r="S3687">
        <v>3.0008240000000002</v>
      </c>
      <c r="T3687">
        <v>-0.15387509999999999</v>
      </c>
      <c r="U3687">
        <v>-7.388306E-2</v>
      </c>
      <c r="V3687">
        <v>6.1906770000000003E-3</v>
      </c>
      <c r="W3687">
        <v>-8.9661790000000005E-2</v>
      </c>
      <c r="X3687">
        <v>0.99595299999999998</v>
      </c>
      <c r="Y3687">
        <v>3.7352349999999999E-2</v>
      </c>
      <c r="Z3687">
        <v>-1.7000069999999999E-3</v>
      </c>
      <c r="AA3687">
        <v>0.99930070000000004</v>
      </c>
      <c r="AB3687">
        <v>35</v>
      </c>
      <c r="AC3687">
        <v>21.484100000000002</v>
      </c>
      <c r="AD3687">
        <v>-1.12051205262929</v>
      </c>
      <c r="AE3687">
        <v>-0.54259999999999298</v>
      </c>
      <c r="AF3687">
        <v>0.81568861597438902</v>
      </c>
      <c r="AG3687">
        <v>-1.12051205262929</v>
      </c>
      <c r="AH3687">
        <v>21.417159652517999</v>
      </c>
      <c r="AI3687">
        <v>92.992728575555603</v>
      </c>
      <c r="AJ3687">
        <v>87.818901362562798</v>
      </c>
      <c r="AK3687">
        <v>21.461957570542399</v>
      </c>
      <c r="AL3687">
        <v>95.144150579087096</v>
      </c>
      <c r="AM3687">
        <v>89.643863619660706</v>
      </c>
      <c r="AN3687">
        <v>0.99999996963836002</v>
      </c>
    </row>
    <row r="3688" spans="1:40" x14ac:dyDescent="0.25">
      <c r="A3688" t="str">
        <f>"20190303154842369"</f>
        <v>20190303154842369</v>
      </c>
      <c r="B3688" t="str">
        <f>"1551599322364866"</f>
        <v>1551599322364866</v>
      </c>
      <c r="C3688" t="s">
        <v>40</v>
      </c>
      <c r="D3688">
        <v>5.233079</v>
      </c>
      <c r="E3688">
        <v>0.51140019999999997</v>
      </c>
      <c r="F3688" t="s">
        <v>54</v>
      </c>
      <c r="G3688">
        <v>-309.17250000000001</v>
      </c>
      <c r="H3688" s="1">
        <v>1.026213E-6</v>
      </c>
      <c r="I3688">
        <v>214.47460000000001</v>
      </c>
      <c r="J3688">
        <v>-330.74740000000003</v>
      </c>
      <c r="K3688">
        <v>1.1204989999999999</v>
      </c>
      <c r="L3688">
        <v>215.0052</v>
      </c>
      <c r="M3688">
        <v>0.99981180000000003</v>
      </c>
      <c r="N3688">
        <v>-1.46873E-2</v>
      </c>
      <c r="O3688">
        <v>1.2682880000000001E-2</v>
      </c>
      <c r="P3688">
        <v>0.99447110000000005</v>
      </c>
      <c r="Q3688">
        <v>-0.1048307</v>
      </c>
      <c r="R3688">
        <v>6.1421000000000002E-3</v>
      </c>
      <c r="S3688">
        <v>3.0009160000000001</v>
      </c>
      <c r="T3688">
        <v>-0.15334210000000001</v>
      </c>
      <c r="U3688">
        <v>-7.2006230000000004E-2</v>
      </c>
      <c r="V3688">
        <v>6.4427360000000001E-3</v>
      </c>
      <c r="W3688">
        <v>-9.0215470000000006E-2</v>
      </c>
      <c r="X3688">
        <v>0.99590140000000005</v>
      </c>
      <c r="Y3688">
        <v>3.6596660000000003E-2</v>
      </c>
      <c r="Z3688">
        <v>-1.664705E-3</v>
      </c>
      <c r="AA3688">
        <v>0.99932869999999996</v>
      </c>
      <c r="AB3688">
        <v>35</v>
      </c>
      <c r="AC3688">
        <v>21.5749</v>
      </c>
      <c r="AD3688">
        <v>-1.120497973787</v>
      </c>
      <c r="AE3688">
        <v>-0.53059999999999197</v>
      </c>
      <c r="AF3688">
        <v>0.802056615408961</v>
      </c>
      <c r="AG3688">
        <v>-1.120497973787</v>
      </c>
      <c r="AH3688">
        <v>21.508455012481999</v>
      </c>
      <c r="AI3688">
        <v>92.980100182503094</v>
      </c>
      <c r="AJ3688">
        <v>87.864413049752201</v>
      </c>
      <c r="AK3688">
        <v>21.552550836212902</v>
      </c>
      <c r="AL3688">
        <v>95.176003198769195</v>
      </c>
      <c r="AM3688">
        <v>89.629344399181704</v>
      </c>
      <c r="AN3688">
        <v>0.99999996919822298</v>
      </c>
    </row>
    <row r="3689" spans="1:40" x14ac:dyDescent="0.25">
      <c r="A3689" t="str">
        <f>"20190303154842383"</f>
        <v>20190303154842383</v>
      </c>
      <c r="B3689" t="str">
        <f>"1551599322374627"</f>
        <v>1551599322374627</v>
      </c>
      <c r="C3689" t="s">
        <v>40</v>
      </c>
      <c r="D3689">
        <v>5.2389979999999996</v>
      </c>
      <c r="E3689">
        <v>0.51140609999999997</v>
      </c>
      <c r="F3689" t="s">
        <v>54</v>
      </c>
      <c r="G3689">
        <v>-309.00450000000001</v>
      </c>
      <c r="H3689" s="1">
        <v>1.056009E-6</v>
      </c>
      <c r="I3689">
        <v>214.4734</v>
      </c>
      <c r="J3689">
        <v>-330.53640000000001</v>
      </c>
      <c r="K3689">
        <v>1.1204959999999999</v>
      </c>
      <c r="L3689">
        <v>215.0078</v>
      </c>
      <c r="M3689">
        <v>0.99981279999999995</v>
      </c>
      <c r="N3689">
        <v>-1.4685180000000001E-2</v>
      </c>
      <c r="O3689">
        <v>1.2604020000000001E-2</v>
      </c>
      <c r="P3689">
        <v>0.99444410000000005</v>
      </c>
      <c r="Q3689">
        <v>-0.10511860000000001</v>
      </c>
      <c r="R3689">
        <v>5.5922489999999997E-3</v>
      </c>
      <c r="S3689">
        <v>3.0008240000000002</v>
      </c>
      <c r="T3689">
        <v>-0.15464410000000001</v>
      </c>
      <c r="U3689">
        <v>-7.3394780000000007E-2</v>
      </c>
      <c r="V3689">
        <v>6.9133129999999999E-3</v>
      </c>
      <c r="W3689">
        <v>-9.0506130000000004E-2</v>
      </c>
      <c r="X3689">
        <v>0.99587190000000003</v>
      </c>
      <c r="Y3689">
        <v>3.697897E-2</v>
      </c>
      <c r="Z3689">
        <v>-1.687905E-3</v>
      </c>
      <c r="AA3689">
        <v>0.99931460000000005</v>
      </c>
      <c r="AB3689">
        <v>35</v>
      </c>
      <c r="AC3689">
        <v>21.5319</v>
      </c>
      <c r="AD3689">
        <v>-1.1204949439909999</v>
      </c>
      <c r="AE3689">
        <v>-0.53440000000000498</v>
      </c>
      <c r="AF3689">
        <v>0.80360044440933998</v>
      </c>
      <c r="AG3689">
        <v>-1.1204949439909999</v>
      </c>
      <c r="AH3689">
        <v>21.465359685399299</v>
      </c>
      <c r="AI3689">
        <v>92.986048034182701</v>
      </c>
      <c r="AJ3689">
        <v>87.856014417174407</v>
      </c>
      <c r="AK3689">
        <v>21.509601321673301</v>
      </c>
      <c r="AL3689">
        <v>95.192725052212893</v>
      </c>
      <c r="AM3689">
        <v>89.602260798134296</v>
      </c>
      <c r="AN3689">
        <v>0.99999999733691103</v>
      </c>
    </row>
    <row r="3690" spans="1:40" x14ac:dyDescent="0.25">
      <c r="A3690" t="str">
        <f>"20190303154842402"</f>
        <v>20190303154842402</v>
      </c>
      <c r="B3690" t="str">
        <f>"1551599322394147"</f>
        <v>1551599322394147</v>
      </c>
      <c r="C3690" t="s">
        <v>40</v>
      </c>
      <c r="D3690">
        <v>5.2426139999999997</v>
      </c>
      <c r="E3690">
        <v>0.51142529999999997</v>
      </c>
      <c r="F3690" t="s">
        <v>54</v>
      </c>
      <c r="G3690">
        <v>-308.90429999999998</v>
      </c>
      <c r="H3690" s="1">
        <v>1.0737829999999999E-6</v>
      </c>
      <c r="I3690">
        <v>214.4666</v>
      </c>
      <c r="J3690">
        <v>-330.23430000000002</v>
      </c>
      <c r="K3690">
        <v>1.120492</v>
      </c>
      <c r="L3690">
        <v>215.01140000000001</v>
      </c>
      <c r="M3690">
        <v>0.99981419999999999</v>
      </c>
      <c r="N3690">
        <v>-1.4681939999999999E-2</v>
      </c>
      <c r="O3690">
        <v>1.249108E-2</v>
      </c>
      <c r="P3690">
        <v>0.99439080000000002</v>
      </c>
      <c r="Q3690">
        <v>-0.10566349999999999</v>
      </c>
      <c r="R3690">
        <v>4.7203519999999997E-3</v>
      </c>
      <c r="S3690">
        <v>3.0007929999999998</v>
      </c>
      <c r="T3690">
        <v>-0.15543470000000001</v>
      </c>
      <c r="U3690">
        <v>-7.5073239999999999E-2</v>
      </c>
      <c r="V3690">
        <v>7.6716049999999997E-3</v>
      </c>
      <c r="W3690">
        <v>-9.1055440000000001E-2</v>
      </c>
      <c r="X3690">
        <v>0.99581629999999999</v>
      </c>
      <c r="Y3690">
        <v>3.7423570000000003E-2</v>
      </c>
      <c r="Z3690">
        <v>-1.706656E-3</v>
      </c>
      <c r="AA3690">
        <v>0.99929800000000002</v>
      </c>
      <c r="AB3690">
        <v>35</v>
      </c>
      <c r="AC3690">
        <v>21.33</v>
      </c>
      <c r="AD3690">
        <v>-1.120490926217</v>
      </c>
      <c r="AE3690">
        <v>-0.54480000000000905</v>
      </c>
      <c r="AF3690">
        <v>0.80898996597291395</v>
      </c>
      <c r="AG3690">
        <v>-1.120490926217</v>
      </c>
      <c r="AH3690">
        <v>21.2628923566742</v>
      </c>
      <c r="AI3690">
        <v>93.014349324635702</v>
      </c>
      <c r="AJ3690">
        <v>87.821116550771094</v>
      </c>
      <c r="AK3690">
        <v>21.307758118870598</v>
      </c>
      <c r="AL3690">
        <v>95.224328546963704</v>
      </c>
      <c r="AM3690">
        <v>89.558611469545298</v>
      </c>
      <c r="AN3690">
        <v>1.0000000250112699</v>
      </c>
    </row>
    <row r="3691" spans="1:40" x14ac:dyDescent="0.25">
      <c r="A3691" t="str">
        <f>"20190303154842425"</f>
        <v>20190303154842425</v>
      </c>
      <c r="B3691" t="str">
        <f>"1551599322414642"</f>
        <v>1551599322414642</v>
      </c>
      <c r="C3691" t="s">
        <v>40</v>
      </c>
      <c r="D3691">
        <v>5.2900900000000002</v>
      </c>
      <c r="E3691">
        <v>0.51144129999999999</v>
      </c>
      <c r="F3691" t="s">
        <v>54</v>
      </c>
      <c r="G3691">
        <v>-308.81279999999998</v>
      </c>
      <c r="H3691" s="1">
        <v>1.090016E-6</v>
      </c>
      <c r="I3691">
        <v>214.45509999999999</v>
      </c>
      <c r="J3691">
        <v>-329.88369999999998</v>
      </c>
      <c r="K3691">
        <v>1.1205000000000001</v>
      </c>
      <c r="L3691">
        <v>215.01570000000001</v>
      </c>
      <c r="M3691">
        <v>0.99981589999999998</v>
      </c>
      <c r="N3691">
        <v>-1.467807E-2</v>
      </c>
      <c r="O3691">
        <v>1.235997E-2</v>
      </c>
      <c r="P3691">
        <v>0.99443349999999997</v>
      </c>
      <c r="Q3691">
        <v>-0.1053142</v>
      </c>
      <c r="R3691">
        <v>3.2997259999999998E-3</v>
      </c>
      <c r="S3691">
        <v>3.00061</v>
      </c>
      <c r="T3691">
        <v>-0.15695249999999999</v>
      </c>
      <c r="U3691">
        <v>-7.7926640000000005E-2</v>
      </c>
      <c r="V3691">
        <v>8.9622739999999992E-3</v>
      </c>
      <c r="W3691">
        <v>-9.0710029999999997E-2</v>
      </c>
      <c r="X3691">
        <v>0.99583699999999997</v>
      </c>
      <c r="Y3691">
        <v>3.8240990000000002E-2</v>
      </c>
      <c r="Z3691">
        <v>-1.744909E-3</v>
      </c>
      <c r="AA3691">
        <v>0.99926700000000002</v>
      </c>
      <c r="AB3691">
        <v>35</v>
      </c>
      <c r="AC3691">
        <v>21.070899999999899</v>
      </c>
      <c r="AD3691">
        <v>-1.1204989099839999</v>
      </c>
      <c r="AE3691">
        <v>-0.56060000000002197</v>
      </c>
      <c r="AF3691">
        <v>0.81870736721878301</v>
      </c>
      <c r="AG3691">
        <v>-1.1204989099839999</v>
      </c>
      <c r="AH3691">
        <v>21.003008964484899</v>
      </c>
      <c r="AI3691">
        <v>93.051490059657198</v>
      </c>
      <c r="AJ3691">
        <v>87.767713201580307</v>
      </c>
      <c r="AK3691">
        <v>21.0488048383429</v>
      </c>
      <c r="AL3691">
        <v>95.204455999152003</v>
      </c>
      <c r="AM3691">
        <v>89.484366807015604</v>
      </c>
      <c r="AN3691">
        <v>0.99999998123342504</v>
      </c>
    </row>
    <row r="3692" spans="1:40" x14ac:dyDescent="0.25">
      <c r="A3692" t="str">
        <f>"20190303154842447"</f>
        <v>20190303154842447</v>
      </c>
      <c r="B3692" t="str">
        <f>"1551599322444898"</f>
        <v>1551599322444898</v>
      </c>
      <c r="C3692" t="s">
        <v>40</v>
      </c>
      <c r="D3692">
        <v>5.2123609999999996</v>
      </c>
      <c r="E3692">
        <v>0.51144420000000002</v>
      </c>
      <c r="F3692" t="s">
        <v>54</v>
      </c>
      <c r="G3692">
        <v>-308.29570000000001</v>
      </c>
      <c r="H3692" s="1">
        <v>1.1817409999999999E-6</v>
      </c>
      <c r="I3692">
        <v>214.42310000000001</v>
      </c>
      <c r="J3692">
        <v>-329.53519999999997</v>
      </c>
      <c r="K3692">
        <v>1.1204989999999999</v>
      </c>
      <c r="L3692">
        <v>215.01990000000001</v>
      </c>
      <c r="M3692">
        <v>0.99981770000000003</v>
      </c>
      <c r="N3692">
        <v>-1.46742E-2</v>
      </c>
      <c r="O3692">
        <v>1.2229459999999999E-2</v>
      </c>
      <c r="P3692">
        <v>0.99447140000000001</v>
      </c>
      <c r="Q3692">
        <v>-0.1049904</v>
      </c>
      <c r="R3692">
        <v>1.988657E-3</v>
      </c>
      <c r="S3692">
        <v>3.0005799999999998</v>
      </c>
      <c r="T3692">
        <v>-0.15574160000000001</v>
      </c>
      <c r="U3692">
        <v>-8.236694E-2</v>
      </c>
      <c r="V3692">
        <v>1.0143940000000001E-2</v>
      </c>
      <c r="W3692">
        <v>-9.0390189999999995E-2</v>
      </c>
      <c r="X3692">
        <v>0.99585480000000004</v>
      </c>
      <c r="Y3692">
        <v>3.9587329999999997E-2</v>
      </c>
      <c r="Z3692">
        <v>-1.772142E-3</v>
      </c>
      <c r="AA3692">
        <v>0.99921450000000001</v>
      </c>
      <c r="AB3692">
        <v>35</v>
      </c>
      <c r="AC3692">
        <v>21.2394999999999</v>
      </c>
      <c r="AD3692">
        <v>-1.120497818259</v>
      </c>
      <c r="AE3692">
        <v>-0.596800000000001</v>
      </c>
      <c r="AF3692">
        <v>0.85415555376556995</v>
      </c>
      <c r="AG3692">
        <v>-1.120497818259</v>
      </c>
      <c r="AH3692">
        <v>21.171734786525601</v>
      </c>
      <c r="AI3692">
        <v>93.027050848189404</v>
      </c>
      <c r="AJ3692">
        <v>87.689703628905093</v>
      </c>
      <c r="AK3692">
        <v>21.2185638284435</v>
      </c>
      <c r="AL3692">
        <v>95.186054647064694</v>
      </c>
      <c r="AM3692">
        <v>89.416395995335506</v>
      </c>
      <c r="AN3692">
        <v>1.00000003432499</v>
      </c>
    </row>
    <row r="3693" spans="1:40" x14ac:dyDescent="0.25">
      <c r="A3693" t="str">
        <f>"20190303154842482"</f>
        <v>20190303154842482</v>
      </c>
      <c r="B3693" t="str">
        <f>"1551599322474180"</f>
        <v>1551599322474180</v>
      </c>
      <c r="C3693" t="s">
        <v>40</v>
      </c>
      <c r="D3693">
        <v>5.2465719999999996</v>
      </c>
      <c r="E3693">
        <v>0.51145569999999996</v>
      </c>
      <c r="F3693" t="s">
        <v>54</v>
      </c>
      <c r="G3693">
        <v>-307.81</v>
      </c>
      <c r="H3693" s="1">
        <v>1.2678899999999999E-6</v>
      </c>
      <c r="I3693">
        <v>214.39519999999999</v>
      </c>
      <c r="J3693">
        <v>-328.99810000000002</v>
      </c>
      <c r="K3693">
        <v>1.120501</v>
      </c>
      <c r="L3693">
        <v>215.02619999999999</v>
      </c>
      <c r="M3693">
        <v>0.99982009999999999</v>
      </c>
      <c r="N3693">
        <v>-1.4668230000000001E-2</v>
      </c>
      <c r="O3693">
        <v>1.202841E-2</v>
      </c>
      <c r="P3693">
        <v>0.99446029999999996</v>
      </c>
      <c r="Q3693">
        <v>-0.105102399999999</v>
      </c>
      <c r="R3693">
        <v>1.5234039999999999E-3</v>
      </c>
      <c r="S3693">
        <v>3.0005190000000002</v>
      </c>
      <c r="T3693">
        <v>-0.15475510000000001</v>
      </c>
      <c r="U3693">
        <v>-8.627319E-2</v>
      </c>
      <c r="V3693">
        <v>1.0408789999999999E-2</v>
      </c>
      <c r="W3693">
        <v>-9.0508430000000001E-2</v>
      </c>
      <c r="X3693">
        <v>0.99584130000000004</v>
      </c>
      <c r="Y3693">
        <v>4.0685909999999999E-2</v>
      </c>
      <c r="Z3693">
        <v>-1.7905589999999999E-3</v>
      </c>
      <c r="AA3693">
        <v>0.99917040000000001</v>
      </c>
      <c r="AB3693">
        <v>35</v>
      </c>
      <c r="AC3693">
        <v>21.188099999999999</v>
      </c>
      <c r="AD3693">
        <v>-1.1204997321100001</v>
      </c>
      <c r="AE3693">
        <v>-0.63100000000000001</v>
      </c>
      <c r="AF3693">
        <v>0.88337260504391701</v>
      </c>
      <c r="AG3693">
        <v>-1.1204997321100001</v>
      </c>
      <c r="AH3693">
        <v>21.119963104237701</v>
      </c>
      <c r="AI3693">
        <v>93.034278289126703</v>
      </c>
      <c r="AJ3693">
        <v>87.604918274547998</v>
      </c>
      <c r="AK3693">
        <v>21.168105922197299</v>
      </c>
      <c r="AL3693">
        <v>95.192857326323505</v>
      </c>
      <c r="AM3693">
        <v>89.401151548785506</v>
      </c>
      <c r="AN3693">
        <v>1.0000000067979999</v>
      </c>
    </row>
    <row r="3694" spans="1:40" x14ac:dyDescent="0.25">
      <c r="A3694" t="str">
        <f>"20190303154842504"</f>
        <v>20190303154842504</v>
      </c>
      <c r="B3694" t="str">
        <f>"1551599322494675"</f>
        <v>1551599322494675</v>
      </c>
      <c r="C3694" t="s">
        <v>40</v>
      </c>
      <c r="D3694">
        <v>5.2238910000000001</v>
      </c>
      <c r="E3694">
        <v>0.51147259999999894</v>
      </c>
      <c r="F3694" t="s">
        <v>54</v>
      </c>
      <c r="G3694">
        <v>-307.29719999999998</v>
      </c>
      <c r="H3694" s="1">
        <v>1.358859E-6</v>
      </c>
      <c r="I3694">
        <v>214.39150000000001</v>
      </c>
      <c r="J3694">
        <v>-328.65089999999998</v>
      </c>
      <c r="K3694">
        <v>1.120503</v>
      </c>
      <c r="L3694">
        <v>215.03020000000001</v>
      </c>
      <c r="M3694">
        <v>0.99982170000000004</v>
      </c>
      <c r="N3694">
        <v>-1.466435E-2</v>
      </c>
      <c r="O3694">
        <v>1.189862E-2</v>
      </c>
      <c r="P3694">
        <v>0.9944904</v>
      </c>
      <c r="Q3694">
        <v>-0.10479570000000001</v>
      </c>
      <c r="R3694">
        <v>2.6349390000000002E-3</v>
      </c>
      <c r="S3694">
        <v>3.0004580000000001</v>
      </c>
      <c r="T3694">
        <v>-0.15492510000000001</v>
      </c>
      <c r="U3694">
        <v>-8.7753300000000006E-2</v>
      </c>
      <c r="V3694">
        <v>9.168552E-3</v>
      </c>
      <c r="W3694">
        <v>-9.020454E-2</v>
      </c>
      <c r="X3694">
        <v>0.99588109999999996</v>
      </c>
      <c r="Y3694">
        <v>4.104857E-2</v>
      </c>
      <c r="Z3694">
        <v>-1.799606E-3</v>
      </c>
      <c r="AA3694">
        <v>0.99915549999999997</v>
      </c>
      <c r="AB3694">
        <v>35</v>
      </c>
      <c r="AC3694">
        <v>21.3537</v>
      </c>
      <c r="AD3694">
        <v>-1.120501641141</v>
      </c>
      <c r="AE3694">
        <v>-0.63870000000000005</v>
      </c>
      <c r="AF3694">
        <v>0.89031240661101496</v>
      </c>
      <c r="AG3694">
        <v>-1.120501641141</v>
      </c>
      <c r="AH3694">
        <v>21.286029721381301</v>
      </c>
      <c r="AI3694">
        <v>93.010654722751298</v>
      </c>
      <c r="AJ3694">
        <v>87.604934858088001</v>
      </c>
      <c r="AK3694">
        <v>21.334086373892202</v>
      </c>
      <c r="AL3694">
        <v>95.175374007226296</v>
      </c>
      <c r="AM3694">
        <v>89.472522881767702</v>
      </c>
      <c r="AN3694">
        <v>1.00000004335979</v>
      </c>
    </row>
    <row r="3695" spans="1:40" x14ac:dyDescent="0.25">
      <c r="A3695" t="str">
        <f>"20190303154842525"</f>
        <v>20190303154842525</v>
      </c>
      <c r="B3695" t="str">
        <f>"1551599322514195"</f>
        <v>1551599322514195</v>
      </c>
      <c r="C3695" t="s">
        <v>40</v>
      </c>
      <c r="D3695">
        <v>5.2330569999999996</v>
      </c>
      <c r="E3695">
        <v>0.51148890000000002</v>
      </c>
      <c r="F3695" t="s">
        <v>54</v>
      </c>
      <c r="G3695">
        <v>-306.80549999999999</v>
      </c>
      <c r="H3695" s="1">
        <v>1.446078E-6</v>
      </c>
      <c r="I3695">
        <v>214.41370000000001</v>
      </c>
      <c r="J3695">
        <v>-328.31819999999999</v>
      </c>
      <c r="K3695">
        <v>1.1205020000000001</v>
      </c>
      <c r="L3695">
        <v>215.0341</v>
      </c>
      <c r="M3695">
        <v>0.99982329999999997</v>
      </c>
      <c r="N3695">
        <v>-1.466081E-2</v>
      </c>
      <c r="O3695">
        <v>1.17736E-2</v>
      </c>
      <c r="P3695">
        <v>0.99455309999999997</v>
      </c>
      <c r="Q3695">
        <v>-0.1041731</v>
      </c>
      <c r="R3695">
        <v>3.490557E-3</v>
      </c>
      <c r="S3695">
        <v>3.0006409999999999</v>
      </c>
      <c r="T3695">
        <v>-0.15390960000000001</v>
      </c>
      <c r="U3695">
        <v>-8.4686280000000003E-2</v>
      </c>
      <c r="V3695">
        <v>8.1898869999999999E-3</v>
      </c>
      <c r="W3695">
        <v>-8.9584159999999996E-2</v>
      </c>
      <c r="X3695">
        <v>0.99594559999999999</v>
      </c>
      <c r="Y3695">
        <v>3.99044E-2</v>
      </c>
      <c r="Z3695">
        <v>-1.7462459999999999E-3</v>
      </c>
      <c r="AA3695">
        <v>0.99920200000000003</v>
      </c>
      <c r="AB3695">
        <v>35</v>
      </c>
      <c r="AC3695">
        <v>21.512699999999899</v>
      </c>
      <c r="AD3695">
        <v>-1.1205005539219901</v>
      </c>
      <c r="AE3695">
        <v>-0.62039999999998896</v>
      </c>
      <c r="AF3695">
        <v>0.87130431538817299</v>
      </c>
      <c r="AG3695">
        <v>-1.1205005539219901</v>
      </c>
      <c r="AH3695">
        <v>21.445771525300302</v>
      </c>
      <c r="AI3695">
        <v>92.988414408523994</v>
      </c>
      <c r="AJ3695">
        <v>87.673451896119104</v>
      </c>
      <c r="AK3695">
        <v>21.4926919909242</v>
      </c>
      <c r="AL3695">
        <v>95.139684491561894</v>
      </c>
      <c r="AM3695">
        <v>89.528854404111101</v>
      </c>
      <c r="AN3695">
        <v>1.00000001706566</v>
      </c>
    </row>
    <row r="3696" spans="1:40" x14ac:dyDescent="0.25">
      <c r="A3696" t="str">
        <f>"20190303154842548"</f>
        <v>20190303154842548</v>
      </c>
      <c r="B3696" t="str">
        <f>"1551599322544547"</f>
        <v>1551599322544547</v>
      </c>
      <c r="C3696" t="s">
        <v>40</v>
      </c>
      <c r="D3696">
        <v>5.2331469999999998</v>
      </c>
      <c r="E3696">
        <v>0.51149239999999996</v>
      </c>
      <c r="F3696" t="s">
        <v>54</v>
      </c>
      <c r="G3696">
        <v>-306.19510000000002</v>
      </c>
      <c r="H3696" s="1">
        <v>1.5543559999999999E-6</v>
      </c>
      <c r="I3696">
        <v>214.42910000000001</v>
      </c>
      <c r="J3696">
        <v>-327.96289999999999</v>
      </c>
      <c r="K3696">
        <v>1.120503</v>
      </c>
      <c r="L3696">
        <v>215.03809999999999</v>
      </c>
      <c r="M3696">
        <v>0.99982479999999996</v>
      </c>
      <c r="N3696">
        <v>-1.4657E-2</v>
      </c>
      <c r="O3696">
        <v>1.1640599999999999E-2</v>
      </c>
      <c r="P3696">
        <v>0.99449430000000005</v>
      </c>
      <c r="Q3696">
        <v>-0.1047088</v>
      </c>
      <c r="R3696">
        <v>4.1360579999999997E-3</v>
      </c>
      <c r="S3696">
        <v>3.0007929999999998</v>
      </c>
      <c r="T3696">
        <v>-0.15198499999999901</v>
      </c>
      <c r="U3696">
        <v>-8.2061770000000006E-2</v>
      </c>
      <c r="V3696">
        <v>7.4111810000000002E-3</v>
      </c>
      <c r="W3696">
        <v>-9.0124090000000004E-2</v>
      </c>
      <c r="X3696">
        <v>0.99590299999999998</v>
      </c>
      <c r="Y3696">
        <v>3.890031E-2</v>
      </c>
      <c r="Z3696">
        <v>-1.6882780000000001E-3</v>
      </c>
      <c r="AA3696">
        <v>0.99924170000000001</v>
      </c>
      <c r="AB3696">
        <v>35</v>
      </c>
      <c r="AC3696">
        <v>21.767799999999902</v>
      </c>
      <c r="AD3696">
        <v>-1.1205014456439999</v>
      </c>
      <c r="AE3696">
        <v>-0.60899999999998</v>
      </c>
      <c r="AF3696">
        <v>0.86009899146371904</v>
      </c>
      <c r="AG3696">
        <v>-1.1205014456439999</v>
      </c>
      <c r="AH3696">
        <v>21.701776838586099</v>
      </c>
      <c r="AI3696">
        <v>92.953344256230395</v>
      </c>
      <c r="AJ3696">
        <v>87.730404073910194</v>
      </c>
      <c r="AK3696">
        <v>21.747698998206602</v>
      </c>
      <c r="AL3696">
        <v>95.170745772962505</v>
      </c>
      <c r="AM3696">
        <v>89.573631614394699</v>
      </c>
      <c r="AN3696">
        <v>1.0000000313055699</v>
      </c>
    </row>
    <row r="3697" spans="1:40" x14ac:dyDescent="0.25">
      <c r="A3697" t="str">
        <f>"20190303154842569"</f>
        <v>20190303154842569</v>
      </c>
      <c r="B3697" t="str">
        <f>"1551599322565044"</f>
        <v>1551599322565044</v>
      </c>
      <c r="C3697" t="s">
        <v>40</v>
      </c>
      <c r="D3697">
        <v>5.2516809999999996</v>
      </c>
      <c r="E3697">
        <v>0.51151440000000004</v>
      </c>
      <c r="F3697" t="s">
        <v>54</v>
      </c>
      <c r="G3697">
        <v>-306.08879999999999</v>
      </c>
      <c r="H3697" s="1">
        <v>1.57319799999999E-6</v>
      </c>
      <c r="I3697">
        <v>214.45240000000001</v>
      </c>
      <c r="J3697">
        <v>-327.62439999999998</v>
      </c>
      <c r="K3697">
        <v>1.1205050000000001</v>
      </c>
      <c r="L3697">
        <v>215.0419</v>
      </c>
      <c r="M3697">
        <v>0.9998264</v>
      </c>
      <c r="N3697">
        <v>-1.4653309999999999E-2</v>
      </c>
      <c r="O3697">
        <v>1.151392E-2</v>
      </c>
      <c r="P3697">
        <v>0.99443419999999905</v>
      </c>
      <c r="Q3697">
        <v>-0.10525320000000001</v>
      </c>
      <c r="R3697">
        <v>4.7778250000000003E-3</v>
      </c>
      <c r="S3697">
        <v>3.0007929999999998</v>
      </c>
      <c r="T3697">
        <v>-0.153716299999999</v>
      </c>
      <c r="U3697">
        <v>-8.0352779999999999E-2</v>
      </c>
      <c r="V3697">
        <v>6.6424409999999998E-3</v>
      </c>
      <c r="W3697">
        <v>-9.0672600000000006E-2</v>
      </c>
      <c r="X3697">
        <v>0.99585860000000004</v>
      </c>
      <c r="Y3697">
        <v>3.8204750000000003E-2</v>
      </c>
      <c r="Z3697">
        <v>-1.6786329999999999E-3</v>
      </c>
      <c r="AA3697">
        <v>0.9992685</v>
      </c>
      <c r="AB3697">
        <v>35</v>
      </c>
      <c r="AC3697">
        <v>21.535599999999899</v>
      </c>
      <c r="AD3697">
        <v>-1.12050342680199</v>
      </c>
      <c r="AE3697">
        <v>-0.58949999999998604</v>
      </c>
      <c r="AF3697">
        <v>0.83518741571014898</v>
      </c>
      <c r="AG3697">
        <v>-1.12050342680199</v>
      </c>
      <c r="AH3697">
        <v>21.4693068397753</v>
      </c>
      <c r="AI3697">
        <v>92.985356275817907</v>
      </c>
      <c r="AJ3697">
        <v>87.7722337571699</v>
      </c>
      <c r="AK3697">
        <v>21.514743831364999</v>
      </c>
      <c r="AL3697">
        <v>95.202302462581699</v>
      </c>
      <c r="AM3697">
        <v>89.617839127876593</v>
      </c>
      <c r="AN3697">
        <v>0.99999999680357898</v>
      </c>
    </row>
    <row r="3698" spans="1:40" x14ac:dyDescent="0.25">
      <c r="A3698" t="str">
        <f>"20190303154842592"</f>
        <v>20190303154842592</v>
      </c>
      <c r="B3698" t="str">
        <f>"1551599322584564"</f>
        <v>1551599322584564</v>
      </c>
      <c r="C3698" t="s">
        <v>40</v>
      </c>
      <c r="D3698">
        <v>5.2698780000000003</v>
      </c>
      <c r="E3698">
        <v>0.51152129999999996</v>
      </c>
      <c r="F3698" t="s">
        <v>54</v>
      </c>
      <c r="G3698">
        <v>-305.96949999999998</v>
      </c>
      <c r="H3698" s="1">
        <v>1.5943769999999999E-6</v>
      </c>
      <c r="I3698">
        <v>214.47499999999999</v>
      </c>
      <c r="J3698">
        <v>-327.27870000000001</v>
      </c>
      <c r="K3698">
        <v>1.1205099999999999</v>
      </c>
      <c r="L3698">
        <v>215.04580000000001</v>
      </c>
      <c r="M3698">
        <v>0.99982800000000005</v>
      </c>
      <c r="N3698">
        <v>-1.4649529999999999E-2</v>
      </c>
      <c r="O3698">
        <v>1.1384200000000001E-2</v>
      </c>
      <c r="P3698">
        <v>0.99449940000000003</v>
      </c>
      <c r="Q3698">
        <v>-0.1046378</v>
      </c>
      <c r="R3698">
        <v>4.7163810000000004E-3</v>
      </c>
      <c r="S3698">
        <v>3.0007929999999998</v>
      </c>
      <c r="T3698">
        <v>-0.15527149999999901</v>
      </c>
      <c r="U3698">
        <v>-7.8567499999999998E-2</v>
      </c>
      <c r="V3698">
        <v>6.5758819999999999E-3</v>
      </c>
      <c r="W3698">
        <v>-9.0060020000000005E-2</v>
      </c>
      <c r="X3698">
        <v>0.99591459999999998</v>
      </c>
      <c r="Y3698">
        <v>3.7480949999999999E-2</v>
      </c>
      <c r="Z3698">
        <v>-1.6656259999999999E-3</v>
      </c>
      <c r="AA3698">
        <v>0.99929590000000001</v>
      </c>
      <c r="AB3698">
        <v>35</v>
      </c>
      <c r="AC3698">
        <v>21.309200000000001</v>
      </c>
      <c r="AD3698">
        <v>-1.1205084056229999</v>
      </c>
      <c r="AE3698">
        <v>-0.57080000000001896</v>
      </c>
      <c r="AF3698">
        <v>0.81113601653562595</v>
      </c>
      <c r="AG3698">
        <v>-1.1205084056229999</v>
      </c>
      <c r="AH3698">
        <v>21.242626167888702</v>
      </c>
      <c r="AI3698">
        <v>93.017251045519998</v>
      </c>
      <c r="AJ3698">
        <v>87.813259888753194</v>
      </c>
      <c r="AK3698">
        <v>21.287617227699801</v>
      </c>
      <c r="AL3698">
        <v>95.167060161278798</v>
      </c>
      <c r="AM3698">
        <v>89.621689640982297</v>
      </c>
      <c r="AN3698">
        <v>0.99999996995981799</v>
      </c>
    </row>
    <row r="3699" spans="1:40" x14ac:dyDescent="0.25">
      <c r="A3699" t="str">
        <f>"20190303154842614"</f>
        <v>20190303154842614</v>
      </c>
      <c r="B3699" t="str">
        <f>"1551599322605064"</f>
        <v>1551599322605064</v>
      </c>
      <c r="C3699" t="s">
        <v>40</v>
      </c>
      <c r="D3699">
        <v>5.2520020000000001</v>
      </c>
      <c r="E3699">
        <v>0.51150989999999996</v>
      </c>
      <c r="F3699" t="s">
        <v>54</v>
      </c>
      <c r="G3699">
        <v>-305.36900000000003</v>
      </c>
      <c r="H3699" s="1">
        <v>1.7008859999999999E-6</v>
      </c>
      <c r="I3699">
        <v>214.46960000000001</v>
      </c>
      <c r="J3699">
        <v>-326.93770000000001</v>
      </c>
      <c r="K3699">
        <v>1.1205160000000001</v>
      </c>
      <c r="L3699">
        <v>215.04949999999999</v>
      </c>
      <c r="M3699">
        <v>0.99982939999999998</v>
      </c>
      <c r="N3699">
        <v>-1.464582E-2</v>
      </c>
      <c r="O3699">
        <v>1.125638E-2</v>
      </c>
      <c r="P3699">
        <v>0.99452229999999997</v>
      </c>
      <c r="Q3699">
        <v>-0.10444440000000001</v>
      </c>
      <c r="R3699">
        <v>4.0963639999999999E-3</v>
      </c>
      <c r="S3699">
        <v>3.0008240000000002</v>
      </c>
      <c r="T3699">
        <v>-0.15346879999999999</v>
      </c>
      <c r="U3699">
        <v>-7.8918459999999996E-2</v>
      </c>
      <c r="V3699">
        <v>7.0693259999999999E-3</v>
      </c>
      <c r="W3699">
        <v>-8.9870240000000004E-2</v>
      </c>
      <c r="X3699">
        <v>0.99592840000000005</v>
      </c>
      <c r="Y3699">
        <v>3.7471400000000002E-2</v>
      </c>
      <c r="Z3699">
        <v>-1.642541E-3</v>
      </c>
      <c r="AA3699">
        <v>0.99929639999999997</v>
      </c>
      <c r="AB3699">
        <v>35</v>
      </c>
      <c r="AC3699">
        <v>21.5686999999999</v>
      </c>
      <c r="AD3699">
        <v>-1.120514299114</v>
      </c>
      <c r="AE3699">
        <v>-0.57989999999997999</v>
      </c>
      <c r="AF3699">
        <v>0.82046202866797102</v>
      </c>
      <c r="AG3699">
        <v>-1.120514299114</v>
      </c>
      <c r="AH3699">
        <v>21.502812914888601</v>
      </c>
      <c r="AI3699">
        <v>92.980827032717499</v>
      </c>
      <c r="AJ3699">
        <v>87.814880388780693</v>
      </c>
      <c r="AK3699">
        <v>21.547614101976698</v>
      </c>
      <c r="AL3699">
        <v>95.156142105249302</v>
      </c>
      <c r="AM3699">
        <v>89.593308373030197</v>
      </c>
      <c r="AN3699">
        <v>1.0000000066671499</v>
      </c>
    </row>
    <row r="3700" spans="1:40" x14ac:dyDescent="0.25">
      <c r="A3700" t="str">
        <f>"20190303154842638"</f>
        <v>20190303154842638</v>
      </c>
      <c r="B3700" t="str">
        <f>"1551599322634339"</f>
        <v>1551599322634339</v>
      </c>
      <c r="C3700" t="s">
        <v>40</v>
      </c>
      <c r="D3700">
        <v>5.2511669999999997</v>
      </c>
      <c r="E3700">
        <v>0.51150779999999996</v>
      </c>
      <c r="F3700" t="s">
        <v>54</v>
      </c>
      <c r="G3700">
        <v>-304.95870000000002</v>
      </c>
      <c r="H3700" s="1">
        <v>1.7736689999999901E-6</v>
      </c>
      <c r="I3700">
        <v>214.45930000000001</v>
      </c>
      <c r="J3700">
        <v>-326.57229999999998</v>
      </c>
      <c r="K3700">
        <v>1.1205160000000001</v>
      </c>
      <c r="L3700">
        <v>215.05350000000001</v>
      </c>
      <c r="M3700">
        <v>0.99983109999999997</v>
      </c>
      <c r="N3700">
        <v>-1.464185E-2</v>
      </c>
      <c r="O3700">
        <v>1.1118919999999999E-2</v>
      </c>
      <c r="P3700">
        <v>0.99448599999999998</v>
      </c>
      <c r="Q3700">
        <v>-0.1048198</v>
      </c>
      <c r="R3700">
        <v>3.2546010000000002E-3</v>
      </c>
      <c r="S3700">
        <v>3.0007630000000001</v>
      </c>
      <c r="T3700">
        <v>-0.1529819</v>
      </c>
      <c r="U3700">
        <v>-8.0581669999999994E-2</v>
      </c>
      <c r="V3700">
        <v>7.773711E-3</v>
      </c>
      <c r="W3700">
        <v>-9.0250419999999998E-2</v>
      </c>
      <c r="X3700">
        <v>0.99588880000000002</v>
      </c>
      <c r="Y3700">
        <v>3.7887829999999997E-2</v>
      </c>
      <c r="Z3700">
        <v>-1.6463440000000001E-3</v>
      </c>
      <c r="AA3700">
        <v>0.99928059999999996</v>
      </c>
      <c r="AB3700">
        <v>35</v>
      </c>
      <c r="AC3700">
        <v>21.613599999999899</v>
      </c>
      <c r="AD3700">
        <v>-1.120514226331</v>
      </c>
      <c r="AE3700">
        <v>-0.59419999999999995</v>
      </c>
      <c r="AF3700">
        <v>0.83227367381872697</v>
      </c>
      <c r="AG3700">
        <v>-1.120514226331</v>
      </c>
      <c r="AH3700">
        <v>21.547785843481901</v>
      </c>
      <c r="AI3700">
        <v>92.974563336614906</v>
      </c>
      <c r="AJ3700">
        <v>87.7880754421777</v>
      </c>
      <c r="AK3700">
        <v>21.592945754484301</v>
      </c>
      <c r="AL3700">
        <v>95.178013544676205</v>
      </c>
      <c r="AM3700">
        <v>89.552769560604702</v>
      </c>
      <c r="AN3700">
        <v>1.0000000354291601</v>
      </c>
    </row>
    <row r="3701" spans="1:40" x14ac:dyDescent="0.25">
      <c r="A3701" t="str">
        <f>"20190303154842661"</f>
        <v>20190303154842661</v>
      </c>
      <c r="B3701" t="str">
        <f>"1551599322654836"</f>
        <v>1551599322654836</v>
      </c>
      <c r="C3701" t="s">
        <v>40</v>
      </c>
      <c r="D3701">
        <v>5.3271600000000001</v>
      </c>
      <c r="E3701">
        <v>0.51148559999999998</v>
      </c>
      <c r="F3701" t="s">
        <v>54</v>
      </c>
      <c r="G3701">
        <v>-304.77179999999998</v>
      </c>
      <c r="H3701" s="1">
        <v>1.806824E-6</v>
      </c>
      <c r="I3701">
        <v>214.44829999999999</v>
      </c>
      <c r="J3701">
        <v>-326.21699999999998</v>
      </c>
      <c r="K3701">
        <v>1.120512</v>
      </c>
      <c r="L3701">
        <v>215.0573</v>
      </c>
      <c r="M3701">
        <v>0.99983259999999996</v>
      </c>
      <c r="N3701">
        <v>-1.463805E-2</v>
      </c>
      <c r="O3701">
        <v>1.0985389999999999E-2</v>
      </c>
      <c r="P3701">
        <v>0.9944577</v>
      </c>
      <c r="Q3701">
        <v>-0.1051021</v>
      </c>
      <c r="R3701">
        <v>2.8374619999999998E-3</v>
      </c>
      <c r="S3701">
        <v>3.0006409999999999</v>
      </c>
      <c r="T3701">
        <v>-0.15422829999999901</v>
      </c>
      <c r="U3701">
        <v>-8.329773E-2</v>
      </c>
      <c r="V3701">
        <v>8.0574559999999993E-3</v>
      </c>
      <c r="W3701">
        <v>-9.0537090000000001E-2</v>
      </c>
      <c r="X3701">
        <v>0.99586050000000004</v>
      </c>
      <c r="Y3701">
        <v>3.8656990000000002E-2</v>
      </c>
      <c r="Z3701">
        <v>-1.679311E-3</v>
      </c>
      <c r="AA3701">
        <v>0.99925109999999995</v>
      </c>
      <c r="AB3701">
        <v>35</v>
      </c>
      <c r="AC3701">
        <v>21.4452</v>
      </c>
      <c r="AD3701">
        <v>-1.120510193176</v>
      </c>
      <c r="AE3701">
        <v>-0.60900000000000798</v>
      </c>
      <c r="AF3701">
        <v>0.84227474882680997</v>
      </c>
      <c r="AG3701">
        <v>-1.120510193176</v>
      </c>
      <c r="AH3701">
        <v>21.3788963390802</v>
      </c>
      <c r="AI3701">
        <v>92.997918294770002</v>
      </c>
      <c r="AJ3701">
        <v>87.743857200226302</v>
      </c>
      <c r="AK3701">
        <v>21.424802881769001</v>
      </c>
      <c r="AL3701">
        <v>95.194506169191001</v>
      </c>
      <c r="AM3701">
        <v>89.536432915157107</v>
      </c>
      <c r="AN3701">
        <v>1.0000000113615499</v>
      </c>
    </row>
    <row r="3702" spans="1:40" x14ac:dyDescent="0.25">
      <c r="A3702" t="str">
        <f>"20190303154842685"</f>
        <v>20190303154842685</v>
      </c>
      <c r="B3702" t="str">
        <f>"1551599322674356"</f>
        <v>1551599322674356</v>
      </c>
      <c r="C3702" t="s">
        <v>40</v>
      </c>
      <c r="D3702">
        <v>5.3812829999999998</v>
      </c>
      <c r="E3702">
        <v>0.5114592</v>
      </c>
      <c r="F3702" t="s">
        <v>54</v>
      </c>
      <c r="G3702">
        <v>-304.59050000000002</v>
      </c>
      <c r="H3702" s="1">
        <v>1.83898E-6</v>
      </c>
      <c r="I3702">
        <v>214.4504</v>
      </c>
      <c r="J3702">
        <v>-325.8553</v>
      </c>
      <c r="K3702">
        <v>1.1205080000000001</v>
      </c>
      <c r="L3702">
        <v>215.06110000000001</v>
      </c>
      <c r="M3702">
        <v>0.999834</v>
      </c>
      <c r="N3702">
        <v>-1.463415E-2</v>
      </c>
      <c r="O3702">
        <v>1.0849589999999999E-2</v>
      </c>
      <c r="P3702">
        <v>0.994278</v>
      </c>
      <c r="Q3702">
        <v>-0.10679039999999999</v>
      </c>
      <c r="R3702">
        <v>2.6128240000000001E-3</v>
      </c>
      <c r="S3702">
        <v>3.0005190000000002</v>
      </c>
      <c r="T3702">
        <v>-0.1554625</v>
      </c>
      <c r="U3702">
        <v>-8.4197999999999995E-2</v>
      </c>
      <c r="V3702">
        <v>8.1447800000000008E-3</v>
      </c>
      <c r="W3702">
        <v>-9.2231740000000006E-2</v>
      </c>
      <c r="X3702">
        <v>0.99570420000000004</v>
      </c>
      <c r="Y3702">
        <v>3.8820689999999998E-2</v>
      </c>
      <c r="Z3702">
        <v>-1.6921760000000001E-3</v>
      </c>
      <c r="AA3702">
        <v>0.99924469999999999</v>
      </c>
      <c r="AB3702">
        <v>35</v>
      </c>
      <c r="AC3702">
        <v>21.264799999999902</v>
      </c>
      <c r="AD3702">
        <v>-1.12050616102</v>
      </c>
      <c r="AE3702">
        <v>-0.61070000000000801</v>
      </c>
      <c r="AF3702">
        <v>0.83907531233278898</v>
      </c>
      <c r="AG3702">
        <v>-1.12050616102</v>
      </c>
      <c r="AH3702">
        <v>21.1981123939666</v>
      </c>
      <c r="AI3702">
        <v>93.023405337364395</v>
      </c>
      <c r="AJ3702">
        <v>87.733270354144693</v>
      </c>
      <c r="AK3702">
        <v>21.244282772169299</v>
      </c>
      <c r="AL3702">
        <v>95.292010825933204</v>
      </c>
      <c r="AM3702">
        <v>89.531335600266502</v>
      </c>
      <c r="AN3702">
        <v>0.99999994260115599</v>
      </c>
    </row>
    <row r="3703" spans="1:40" x14ac:dyDescent="0.25">
      <c r="A3703" t="str">
        <f>"20190303154842706"</f>
        <v>20190303154842706</v>
      </c>
      <c r="B3703" t="str">
        <f>"1551599322694852"</f>
        <v>1551599322694852</v>
      </c>
      <c r="C3703" t="s">
        <v>40</v>
      </c>
      <c r="D3703">
        <v>5.2941649999999996</v>
      </c>
      <c r="E3703">
        <v>0.51145859999999999</v>
      </c>
      <c r="F3703" t="s">
        <v>54</v>
      </c>
      <c r="G3703">
        <v>-304.98309999999998</v>
      </c>
      <c r="H3703" s="1">
        <v>1.769348E-6</v>
      </c>
      <c r="I3703">
        <v>214.47130000000001</v>
      </c>
      <c r="J3703">
        <v>-325.52769999999998</v>
      </c>
      <c r="K3703">
        <v>1.1204989999999999</v>
      </c>
      <c r="L3703">
        <v>215.06450000000001</v>
      </c>
      <c r="M3703">
        <v>0.99983560000000005</v>
      </c>
      <c r="N3703">
        <v>-1.463066E-2</v>
      </c>
      <c r="O3703">
        <v>1.0726070000000001E-2</v>
      </c>
      <c r="P3703">
        <v>0.99422869999999997</v>
      </c>
      <c r="Q3703">
        <v>-0.1072563</v>
      </c>
      <c r="R3703">
        <v>2.381565E-3</v>
      </c>
      <c r="S3703">
        <v>3.0001530000000001</v>
      </c>
      <c r="T3703">
        <v>-0.16105999999999901</v>
      </c>
      <c r="U3703">
        <v>-8.4777829999999998E-2</v>
      </c>
      <c r="V3703">
        <v>8.2525500000000009E-3</v>
      </c>
      <c r="W3703">
        <v>-9.2701900000000004E-2</v>
      </c>
      <c r="X3703">
        <v>0.99565970000000004</v>
      </c>
      <c r="Y3703">
        <v>3.888846E-2</v>
      </c>
      <c r="Z3703">
        <v>-1.74618E-3</v>
      </c>
      <c r="AA3703">
        <v>0.99924199999999996</v>
      </c>
      <c r="AB3703">
        <v>34</v>
      </c>
      <c r="AC3703">
        <v>20.544599999999999</v>
      </c>
      <c r="AD3703">
        <v>-1.120497230652</v>
      </c>
      <c r="AE3703">
        <v>-0.59319999999999595</v>
      </c>
      <c r="AF3703">
        <v>0.81114144002450494</v>
      </c>
      <c r="AG3703">
        <v>-1.120497230652</v>
      </c>
      <c r="AH3703">
        <v>20.476197089323399</v>
      </c>
      <c r="AI3703">
        <v>93.129762392055397</v>
      </c>
      <c r="AJ3703">
        <v>87.731478489958704</v>
      </c>
      <c r="AK3703">
        <v>20.522868018881798</v>
      </c>
      <c r="AL3703">
        <v>95.3190646511854</v>
      </c>
      <c r="AM3703">
        <v>89.525113391882201</v>
      </c>
      <c r="AN3703">
        <v>0.99999999252460103</v>
      </c>
    </row>
    <row r="3704" spans="1:40" x14ac:dyDescent="0.25">
      <c r="A3704" t="str">
        <f>"20190303154842727"</f>
        <v>20190303154842727</v>
      </c>
      <c r="B3704" t="str">
        <f>"1551599322714371"</f>
        <v>1551599322714371</v>
      </c>
      <c r="C3704" t="s">
        <v>40</v>
      </c>
      <c r="D3704">
        <v>5.2831599999999996</v>
      </c>
      <c r="E3704">
        <v>0.51142319999999997</v>
      </c>
      <c r="F3704" t="s">
        <v>54</v>
      </c>
      <c r="G3704">
        <v>-304.87810000000002</v>
      </c>
      <c r="H3704" s="1">
        <v>1.7879620000000001E-6</v>
      </c>
      <c r="I3704">
        <v>214.47479999999999</v>
      </c>
      <c r="J3704">
        <v>-325.20979999999997</v>
      </c>
      <c r="K3704">
        <v>1.1204970000000001</v>
      </c>
      <c r="L3704">
        <v>215.06780000000001</v>
      </c>
      <c r="M3704">
        <v>0.99983690000000003</v>
      </c>
      <c r="N3704">
        <v>-1.462725E-2</v>
      </c>
      <c r="O3704">
        <v>1.060671E-2</v>
      </c>
      <c r="P3704">
        <v>0.99415260000000005</v>
      </c>
      <c r="Q3704">
        <v>-0.1079746</v>
      </c>
      <c r="R3704">
        <v>1.5234129999999999E-3</v>
      </c>
      <c r="S3704">
        <v>3.0000309999999999</v>
      </c>
      <c r="T3704">
        <v>-0.1627892</v>
      </c>
      <c r="U3704">
        <v>-8.5678099999999993E-2</v>
      </c>
      <c r="V3704">
        <v>8.9910249999999997E-3</v>
      </c>
      <c r="W3704">
        <v>-9.3425019999999998E-2</v>
      </c>
      <c r="X3704">
        <v>0.99558570000000002</v>
      </c>
      <c r="Y3704">
        <v>3.9068100000000001E-2</v>
      </c>
      <c r="Z3704">
        <v>-1.7650249999999999E-3</v>
      </c>
      <c r="AA3704">
        <v>0.99923499999999998</v>
      </c>
      <c r="AB3704">
        <v>34</v>
      </c>
      <c r="AC3704">
        <v>20.331699999999898</v>
      </c>
      <c r="AD3704">
        <v>-1.1204952120379901</v>
      </c>
      <c r="AE3704">
        <v>-0.59300000000001696</v>
      </c>
      <c r="AF3704">
        <v>0.80619563186108401</v>
      </c>
      <c r="AG3704">
        <v>-1.1204952120379901</v>
      </c>
      <c r="AH3704">
        <v>20.262775904042002</v>
      </c>
      <c r="AI3704">
        <v>93.162633233644698</v>
      </c>
      <c r="AJ3704">
        <v>87.721572966008694</v>
      </c>
      <c r="AK3704">
        <v>20.309740231092501</v>
      </c>
      <c r="AL3704">
        <v>95.360677036700395</v>
      </c>
      <c r="AM3704">
        <v>89.482582180469095</v>
      </c>
      <c r="AN3704">
        <v>0.99999997946852004</v>
      </c>
    </row>
    <row r="3705" spans="1:40" x14ac:dyDescent="0.25">
      <c r="A3705" t="str">
        <f>"20190303154842749"</f>
        <v>20190303154842749</v>
      </c>
      <c r="B3705" t="str">
        <f>"1551599322744628"</f>
        <v>1551599322744628</v>
      </c>
      <c r="C3705" t="s">
        <v>40</v>
      </c>
      <c r="D3705">
        <v>5.2765769999999996</v>
      </c>
      <c r="E3705">
        <v>0.511405</v>
      </c>
      <c r="F3705" t="s">
        <v>54</v>
      </c>
      <c r="G3705">
        <v>-304.92320000000001</v>
      </c>
      <c r="H3705" s="1">
        <v>1.7799549999999999E-6</v>
      </c>
      <c r="I3705">
        <v>214.471</v>
      </c>
      <c r="J3705">
        <v>-324.85860000000002</v>
      </c>
      <c r="K3705">
        <v>1.1205000000000001</v>
      </c>
      <c r="L3705">
        <v>215.07140000000001</v>
      </c>
      <c r="M3705">
        <v>0.99983820000000001</v>
      </c>
      <c r="N3705">
        <v>-1.462346E-2</v>
      </c>
      <c r="O3705">
        <v>1.0474610000000001E-2</v>
      </c>
      <c r="P3705">
        <v>0.9941451</v>
      </c>
      <c r="Q3705">
        <v>-0.1080484</v>
      </c>
      <c r="R3705">
        <v>9.8907179999999898E-4</v>
      </c>
      <c r="S3705">
        <v>2.9997859999999998</v>
      </c>
      <c r="T3705">
        <v>-0.1656888</v>
      </c>
      <c r="U3705">
        <v>-8.8256840000000003E-2</v>
      </c>
      <c r="V3705">
        <v>9.3939409999999994E-3</v>
      </c>
      <c r="W3705">
        <v>-9.3502799999999997E-2</v>
      </c>
      <c r="X3705">
        <v>0.99557470000000003</v>
      </c>
      <c r="Y3705">
        <v>3.9792590000000003E-2</v>
      </c>
      <c r="Z3705">
        <v>-1.814118E-3</v>
      </c>
      <c r="AA3705">
        <v>0.99920629999999999</v>
      </c>
      <c r="AB3705">
        <v>34</v>
      </c>
      <c r="AC3705">
        <v>19.935400000000001</v>
      </c>
      <c r="AD3705">
        <v>-1.120498220045</v>
      </c>
      <c r="AE3705">
        <v>-0.60040000000003602</v>
      </c>
      <c r="AF3705">
        <v>0.80665886712768498</v>
      </c>
      <c r="AG3705">
        <v>-1.120498220045</v>
      </c>
      <c r="AH3705">
        <v>19.865315522401499</v>
      </c>
      <c r="AI3705">
        <v>93.225680897563194</v>
      </c>
      <c r="AJ3705">
        <v>87.674702376328398</v>
      </c>
      <c r="AK3705">
        <v>19.9132361908758</v>
      </c>
      <c r="AL3705">
        <v>95.3651529771291</v>
      </c>
      <c r="AM3705">
        <v>89.459390440761695</v>
      </c>
      <c r="AN3705">
        <v>1.0000000015077199</v>
      </c>
    </row>
    <row r="3706" spans="1:40" x14ac:dyDescent="0.25">
      <c r="A3706" t="str">
        <f>"20190303154842771"</f>
        <v>20190303154842771</v>
      </c>
      <c r="B3706" t="str">
        <f>"1551599322765124"</f>
        <v>1551599322765124</v>
      </c>
      <c r="C3706" t="s">
        <v>40</v>
      </c>
      <c r="D3706">
        <v>5.2970660000000001</v>
      </c>
      <c r="E3706">
        <v>0.51140829999999904</v>
      </c>
      <c r="F3706" t="s">
        <v>54</v>
      </c>
      <c r="G3706">
        <v>-304.61189999999999</v>
      </c>
      <c r="H3706" s="1">
        <v>1.835183E-6</v>
      </c>
      <c r="I3706">
        <v>214.4666</v>
      </c>
      <c r="J3706">
        <v>-324.52010000000001</v>
      </c>
      <c r="K3706">
        <v>1.120493</v>
      </c>
      <c r="L3706">
        <v>215.07480000000001</v>
      </c>
      <c r="M3706">
        <v>0.9998397</v>
      </c>
      <c r="N3706">
        <v>-1.461441E-2</v>
      </c>
      <c r="O3706">
        <v>1.034737E-2</v>
      </c>
      <c r="P3706">
        <v>0.99413169999999995</v>
      </c>
      <c r="Q3706">
        <v>-0.108172699999999</v>
      </c>
      <c r="R3706">
        <v>9.5191850000000001E-4</v>
      </c>
      <c r="S3706">
        <v>2.999695</v>
      </c>
      <c r="T3706">
        <v>-0.16601009999999999</v>
      </c>
      <c r="U3706">
        <v>-8.9614869999999999E-2</v>
      </c>
      <c r="V3706">
        <v>9.3043250000000004E-3</v>
      </c>
      <c r="W3706">
        <v>-9.3636300000000006E-2</v>
      </c>
      <c r="X3706">
        <v>0.99556299999999998</v>
      </c>
      <c r="Y3706">
        <v>4.0117460000000001E-2</v>
      </c>
      <c r="Z3706">
        <v>-1.8235040000000001E-3</v>
      </c>
      <c r="AA3706">
        <v>0.99919329999999995</v>
      </c>
      <c r="AB3706">
        <v>34</v>
      </c>
      <c r="AC3706">
        <v>19.908200000000001</v>
      </c>
      <c r="AD3706">
        <v>-1.120491164817</v>
      </c>
      <c r="AE3706">
        <v>-0.60820000000000995</v>
      </c>
      <c r="AF3706">
        <v>0.81161832026812997</v>
      </c>
      <c r="AG3706">
        <v>-1.120491164817</v>
      </c>
      <c r="AH3706">
        <v>19.838056342364599</v>
      </c>
      <c r="AI3706">
        <v>93.230043476250799</v>
      </c>
      <c r="AJ3706">
        <v>87.6572107543154</v>
      </c>
      <c r="AK3706">
        <v>19.886244094626299</v>
      </c>
      <c r="AL3706">
        <v>95.372835639721004</v>
      </c>
      <c r="AM3706">
        <v>89.464541135443596</v>
      </c>
      <c r="AN3706">
        <v>1.00000000705519</v>
      </c>
    </row>
    <row r="3707" spans="1:40" x14ac:dyDescent="0.25">
      <c r="A3707" t="str">
        <f>"20190303154842793"</f>
        <v>20190303154842793</v>
      </c>
      <c r="B3707" t="str">
        <f>"1551599322784643"</f>
        <v>1551599322784643</v>
      </c>
      <c r="C3707" t="s">
        <v>40</v>
      </c>
      <c r="D3707">
        <v>5.2919239999999999</v>
      </c>
      <c r="E3707">
        <v>0.51141130000000001</v>
      </c>
      <c r="F3707" t="s">
        <v>54</v>
      </c>
      <c r="G3707">
        <v>-304.33010000000002</v>
      </c>
      <c r="H3707" s="1">
        <v>1.8851650000000001E-6</v>
      </c>
      <c r="I3707">
        <v>214.4716</v>
      </c>
      <c r="J3707">
        <v>-324.18970000000002</v>
      </c>
      <c r="K3707">
        <v>1.1204940000000001</v>
      </c>
      <c r="L3707">
        <v>215.07810000000001</v>
      </c>
      <c r="M3707">
        <v>0.9998416</v>
      </c>
      <c r="N3707">
        <v>-1.457921E-2</v>
      </c>
      <c r="O3707">
        <v>1.0222419999999999E-2</v>
      </c>
      <c r="P3707">
        <v>0.99429109999999998</v>
      </c>
      <c r="Q3707">
        <v>-0.1067028</v>
      </c>
      <c r="R3707">
        <v>3.3850900000000002E-4</v>
      </c>
      <c r="S3707">
        <v>2.999695</v>
      </c>
      <c r="T3707">
        <v>-0.16647509999999999</v>
      </c>
      <c r="U3707">
        <v>-8.9630130000000002E-2</v>
      </c>
      <c r="V3707">
        <v>9.7954470000000005E-3</v>
      </c>
      <c r="W3707">
        <v>-9.2199530000000002E-2</v>
      </c>
      <c r="X3707">
        <v>0.99569240000000003</v>
      </c>
      <c r="Y3707">
        <v>3.9997570000000003E-2</v>
      </c>
      <c r="Z3707">
        <v>-1.818556E-3</v>
      </c>
      <c r="AA3707">
        <v>0.99919809999999998</v>
      </c>
      <c r="AB3707">
        <v>34</v>
      </c>
      <c r="AC3707">
        <v>19.8596</v>
      </c>
      <c r="AD3707">
        <v>-1.120492114835</v>
      </c>
      <c r="AE3707">
        <v>-0.60650000000001103</v>
      </c>
      <c r="AF3707">
        <v>0.80693670416751795</v>
      </c>
      <c r="AG3707">
        <v>-1.120492114835</v>
      </c>
      <c r="AH3707">
        <v>19.789424714693901</v>
      </c>
      <c r="AI3707">
        <v>93.237984956567004</v>
      </c>
      <c r="AJ3707">
        <v>87.664991817737601</v>
      </c>
      <c r="AK3707">
        <v>19.8375396650511</v>
      </c>
      <c r="AL3707">
        <v>95.290156969136603</v>
      </c>
      <c r="AM3707">
        <v>89.436352364903897</v>
      </c>
      <c r="AN3707">
        <v>1.0000000297659499</v>
      </c>
    </row>
    <row r="3708" spans="1:40" x14ac:dyDescent="0.25">
      <c r="A3708" t="str">
        <f>"20190303154842817"</f>
        <v>20190303154842817</v>
      </c>
      <c r="B3708" t="str">
        <f>"1551599322804164"</f>
        <v>1551599322804164</v>
      </c>
      <c r="C3708" t="s">
        <v>40</v>
      </c>
      <c r="D3708">
        <v>5.2873049999999999</v>
      </c>
      <c r="E3708">
        <v>0.51140779999999997</v>
      </c>
      <c r="F3708" t="s">
        <v>54</v>
      </c>
      <c r="G3708">
        <v>-303.47980000000001</v>
      </c>
      <c r="H3708" s="1">
        <v>2.0359939999999999E-6</v>
      </c>
      <c r="I3708">
        <v>214.4453</v>
      </c>
      <c r="J3708">
        <v>-323.82170000000002</v>
      </c>
      <c r="K3708">
        <v>1.120479</v>
      </c>
      <c r="L3708">
        <v>215.08170000000001</v>
      </c>
      <c r="M3708">
        <v>0.99984410000000001</v>
      </c>
      <c r="N3708">
        <v>-1.4497080000000001E-2</v>
      </c>
      <c r="O3708">
        <v>1.0083440000000001E-2</v>
      </c>
      <c r="P3708">
        <v>0.99436460000000004</v>
      </c>
      <c r="Q3708">
        <v>-0.1060156</v>
      </c>
      <c r="R3708">
        <v>1.6022009999999999E-4</v>
      </c>
      <c r="S3708">
        <v>2.9998779999999998</v>
      </c>
      <c r="T3708">
        <v>-0.16230639999999999</v>
      </c>
      <c r="U3708">
        <v>-9.1659550000000006E-2</v>
      </c>
      <c r="V3708">
        <v>9.8364300000000002E-3</v>
      </c>
      <c r="W3708">
        <v>-9.1593090000000002E-2</v>
      </c>
      <c r="X3708">
        <v>0.99574790000000002</v>
      </c>
      <c r="Y3708">
        <v>4.0535380000000003E-2</v>
      </c>
      <c r="Z3708">
        <v>-1.788666E-3</v>
      </c>
      <c r="AA3708">
        <v>0.99917650000000002</v>
      </c>
      <c r="AB3708">
        <v>34</v>
      </c>
      <c r="AC3708">
        <v>20.341899999999999</v>
      </c>
      <c r="AD3708">
        <v>-1.1204769640059999</v>
      </c>
      <c r="AE3708">
        <v>-0.63640000000000896</v>
      </c>
      <c r="AF3708">
        <v>0.83896255218249205</v>
      </c>
      <c r="AG3708">
        <v>-1.1204769640059999</v>
      </c>
      <c r="AH3708">
        <v>20.272998680035801</v>
      </c>
      <c r="AI3708">
        <v>93.160786297354306</v>
      </c>
      <c r="AJ3708">
        <v>87.630266653682398</v>
      </c>
      <c r="AK3708">
        <v>20.321264780312401</v>
      </c>
      <c r="AL3708">
        <v>95.255263207278503</v>
      </c>
      <c r="AM3708">
        <v>89.434025827895098</v>
      </c>
      <c r="AN3708">
        <v>0.99999996492264998</v>
      </c>
    </row>
    <row r="3709" spans="1:40" x14ac:dyDescent="0.25">
      <c r="A3709" t="str">
        <f>"20190303154842839"</f>
        <v>20190303154842839</v>
      </c>
      <c r="B3709" t="str">
        <f>"1551599322834420"</f>
        <v>1551599322834420</v>
      </c>
      <c r="C3709" t="s">
        <v>40</v>
      </c>
      <c r="D3709">
        <v>5.2861900000000004</v>
      </c>
      <c r="E3709">
        <v>0.51139820000000002</v>
      </c>
      <c r="F3709" t="s">
        <v>54</v>
      </c>
      <c r="G3709">
        <v>-302.86970000000002</v>
      </c>
      <c r="H3709" s="1">
        <v>2.144224E-6</v>
      </c>
      <c r="I3709">
        <v>214.4384</v>
      </c>
      <c r="J3709">
        <v>-323.4932</v>
      </c>
      <c r="K3709">
        <v>1.120455</v>
      </c>
      <c r="L3709">
        <v>215.0849</v>
      </c>
      <c r="M3709">
        <v>0.99984669999999998</v>
      </c>
      <c r="N3709">
        <v>-1.440259E-2</v>
      </c>
      <c r="O3709">
        <v>9.9608630000000004E-3</v>
      </c>
      <c r="P3709">
        <v>0.99438910000000003</v>
      </c>
      <c r="Q3709">
        <v>-0.1057843</v>
      </c>
      <c r="R3709">
        <v>6.4218769999999895E-4</v>
      </c>
      <c r="S3709">
        <v>2.9999389999999999</v>
      </c>
      <c r="T3709">
        <v>-0.16043109999999999</v>
      </c>
      <c r="U3709">
        <v>-9.2117309999999994E-2</v>
      </c>
      <c r="V3709">
        <v>9.2324120000000006E-3</v>
      </c>
      <c r="W3709">
        <v>-9.1455300000000003E-2</v>
      </c>
      <c r="X3709">
        <v>0.99576640000000005</v>
      </c>
      <c r="Y3709">
        <v>4.056647E-2</v>
      </c>
      <c r="Z3709">
        <v>-1.764999E-3</v>
      </c>
      <c r="AA3709">
        <v>0.99917529999999999</v>
      </c>
      <c r="AB3709">
        <v>34</v>
      </c>
      <c r="AC3709">
        <v>20.6234999999999</v>
      </c>
      <c r="AD3709">
        <v>-1.1204528557760001</v>
      </c>
      <c r="AE3709">
        <v>-0.64650000000000296</v>
      </c>
      <c r="AF3709">
        <v>0.84941238723447499</v>
      </c>
      <c r="AG3709">
        <v>-1.1204528557760001</v>
      </c>
      <c r="AH3709">
        <v>20.555423762291099</v>
      </c>
      <c r="AI3709">
        <v>93.117385130000002</v>
      </c>
      <c r="AJ3709">
        <v>87.633711072997798</v>
      </c>
      <c r="AK3709">
        <v>20.603455099884702</v>
      </c>
      <c r="AL3709">
        <v>95.247334875685695</v>
      </c>
      <c r="AM3709">
        <v>89.468787975317994</v>
      </c>
      <c r="AN3709">
        <v>1.00000001634919</v>
      </c>
    </row>
    <row r="3710" spans="1:40" x14ac:dyDescent="0.25">
      <c r="A3710" t="str">
        <f>"20190303154842860"</f>
        <v>20190303154842860</v>
      </c>
      <c r="B3710" t="str">
        <f>"1551599322854916"</f>
        <v>1551599322854916</v>
      </c>
      <c r="C3710" t="s">
        <v>40</v>
      </c>
      <c r="D3710">
        <v>5.3337750000000002</v>
      </c>
      <c r="E3710">
        <v>0.51140099999999999</v>
      </c>
      <c r="F3710" t="s">
        <v>54</v>
      </c>
      <c r="G3710">
        <v>-302.49349999999998</v>
      </c>
      <c r="H3710" s="1">
        <v>2.2109610000000001E-6</v>
      </c>
      <c r="I3710">
        <v>214.45240000000001</v>
      </c>
      <c r="J3710">
        <v>-323.15260000000001</v>
      </c>
      <c r="K3710">
        <v>1.1204430000000001</v>
      </c>
      <c r="L3710">
        <v>215.0882</v>
      </c>
      <c r="M3710">
        <v>0.9998494</v>
      </c>
      <c r="N3710">
        <v>-1.4303659999999999E-2</v>
      </c>
      <c r="O3710">
        <v>9.8347199999999999E-3</v>
      </c>
      <c r="P3710">
        <v>0.99437569999999997</v>
      </c>
      <c r="Q3710">
        <v>-0.1059052</v>
      </c>
      <c r="R3710">
        <v>1.2053400000000001E-3</v>
      </c>
      <c r="S3710">
        <v>2.9999690000000001</v>
      </c>
      <c r="T3710">
        <v>-0.16006529999999899</v>
      </c>
      <c r="U3710">
        <v>-9.036255E-2</v>
      </c>
      <c r="V3710">
        <v>8.5431129999999997E-3</v>
      </c>
      <c r="W3710">
        <v>-9.1674629999999993E-2</v>
      </c>
      <c r="X3710">
        <v>0.99575239999999998</v>
      </c>
      <c r="Y3710">
        <v>3.9857950000000003E-2</v>
      </c>
      <c r="Z3710">
        <v>-1.7314089999999999E-3</v>
      </c>
      <c r="AA3710">
        <v>0.99920390000000003</v>
      </c>
      <c r="AB3710">
        <v>34</v>
      </c>
      <c r="AC3710">
        <v>20.659099999999999</v>
      </c>
      <c r="AD3710">
        <v>-1.120440789039</v>
      </c>
      <c r="AE3710">
        <v>-0.63579999999998904</v>
      </c>
      <c r="AF3710">
        <v>0.83650829999412402</v>
      </c>
      <c r="AG3710">
        <v>-1.120440789039</v>
      </c>
      <c r="AH3710">
        <v>20.591336948291801</v>
      </c>
      <c r="AI3710">
        <v>93.112014143077602</v>
      </c>
      <c r="AJ3710">
        <v>87.673679208538601</v>
      </c>
      <c r="AK3710">
        <v>20.638757012373301</v>
      </c>
      <c r="AL3710">
        <v>95.259954488525395</v>
      </c>
      <c r="AM3710">
        <v>89.508439739416701</v>
      </c>
      <c r="AN3710">
        <v>1.00000003233556</v>
      </c>
    </row>
    <row r="3711" spans="1:40" x14ac:dyDescent="0.25">
      <c r="A3711" t="str">
        <f>"20190303154842883"</f>
        <v>20190303154842883</v>
      </c>
      <c r="B3711" t="str">
        <f>"1551599322874436"</f>
        <v>1551599322874436</v>
      </c>
      <c r="C3711" t="s">
        <v>40</v>
      </c>
      <c r="D3711">
        <v>5.3503800000000004</v>
      </c>
      <c r="E3711">
        <v>0.51139679999999998</v>
      </c>
      <c r="F3711" t="s">
        <v>54</v>
      </c>
      <c r="G3711">
        <v>-302.22430000000003</v>
      </c>
      <c r="H3711" s="1">
        <v>2.2587090000000001E-6</v>
      </c>
      <c r="I3711">
        <v>214.4693</v>
      </c>
      <c r="J3711">
        <v>-322.8064</v>
      </c>
      <c r="K3711">
        <v>1.1204259999999999</v>
      </c>
      <c r="L3711">
        <v>215.09139999999999</v>
      </c>
      <c r="M3711">
        <v>0.99985210000000002</v>
      </c>
      <c r="N3711">
        <v>-1.4208470000000001E-2</v>
      </c>
      <c r="O3711">
        <v>9.7000149999999993E-3</v>
      </c>
      <c r="P3711">
        <v>0.99437410000000004</v>
      </c>
      <c r="Q3711">
        <v>-0.1059146</v>
      </c>
      <c r="R3711">
        <v>1.5018469999999999E-3</v>
      </c>
      <c r="S3711">
        <v>2.9999690000000001</v>
      </c>
      <c r="T3711">
        <v>-0.16060940000000001</v>
      </c>
      <c r="U3711">
        <v>-8.8714600000000005E-2</v>
      </c>
      <c r="V3711">
        <v>8.1122809999999903E-3</v>
      </c>
      <c r="W3711">
        <v>-9.1778730000000003E-2</v>
      </c>
      <c r="X3711">
        <v>0.99574640000000003</v>
      </c>
      <c r="Y3711">
        <v>3.917582E-2</v>
      </c>
      <c r="Z3711">
        <v>-1.707454E-3</v>
      </c>
      <c r="AA3711">
        <v>0.99923090000000003</v>
      </c>
      <c r="AB3711">
        <v>34</v>
      </c>
      <c r="AC3711">
        <v>20.582099999999901</v>
      </c>
      <c r="AD3711">
        <v>-1.1204237412910001</v>
      </c>
      <c r="AE3711">
        <v>-0.622099999999989</v>
      </c>
      <c r="AF3711">
        <v>0.81931183707173405</v>
      </c>
      <c r="AG3711">
        <v>-1.1204237412910001</v>
      </c>
      <c r="AH3711">
        <v>20.514360442184</v>
      </c>
      <c r="AI3711">
        <v>93.123706894790303</v>
      </c>
      <c r="AJ3711">
        <v>87.712910669510194</v>
      </c>
      <c r="AK3711">
        <v>20.561264688687199</v>
      </c>
      <c r="AL3711">
        <v>95.265944302157294</v>
      </c>
      <c r="AM3711">
        <v>89.533225346709102</v>
      </c>
      <c r="AN3711">
        <v>1.0000000187481899</v>
      </c>
    </row>
    <row r="3712" spans="1:40" x14ac:dyDescent="0.25">
      <c r="A3712" t="str">
        <f>"20190303154842906"</f>
        <v>20190303154842906</v>
      </c>
      <c r="B3712" t="str">
        <f>"1551599322894932"</f>
        <v>1551599322894932</v>
      </c>
      <c r="C3712" t="s">
        <v>40</v>
      </c>
      <c r="D3712">
        <v>5.3298100000000002</v>
      </c>
      <c r="E3712">
        <v>0.51133770000000001</v>
      </c>
      <c r="F3712" t="s">
        <v>54</v>
      </c>
      <c r="G3712">
        <v>-301.91070000000002</v>
      </c>
      <c r="H3712" s="1">
        <v>2.3143329999999999E-6</v>
      </c>
      <c r="I3712">
        <v>214.47980000000001</v>
      </c>
      <c r="J3712">
        <v>-322.45310000000001</v>
      </c>
      <c r="K3712">
        <v>1.120411</v>
      </c>
      <c r="L3712">
        <v>215.09469999999999</v>
      </c>
      <c r="M3712">
        <v>0.99985469999999999</v>
      </c>
      <c r="N3712">
        <v>-1.4117599999999999E-2</v>
      </c>
      <c r="O3712">
        <v>9.5533579999999996E-3</v>
      </c>
      <c r="P3712">
        <v>0.99444929999999998</v>
      </c>
      <c r="Q3712">
        <v>-0.1051911</v>
      </c>
      <c r="R3712">
        <v>2.4019390000000001E-3</v>
      </c>
      <c r="S3712">
        <v>2.9999690000000001</v>
      </c>
      <c r="T3712">
        <v>-0.1608578</v>
      </c>
      <c r="U3712">
        <v>-8.7814329999999996E-2</v>
      </c>
      <c r="V3712">
        <v>7.0663360000000003E-3</v>
      </c>
      <c r="W3712">
        <v>-9.1144260000000005E-2</v>
      </c>
      <c r="X3712">
        <v>0.9958127</v>
      </c>
      <c r="Y3712">
        <v>3.8730399999999998E-2</v>
      </c>
      <c r="Z3712">
        <v>-1.6881120000000001E-3</v>
      </c>
      <c r="AA3712">
        <v>0.99924829999999998</v>
      </c>
      <c r="AB3712">
        <v>34</v>
      </c>
      <c r="AC3712">
        <v>20.542399999999901</v>
      </c>
      <c r="AD3712">
        <v>-1.1204086856669999</v>
      </c>
      <c r="AE3712">
        <v>-0.61489999999997702</v>
      </c>
      <c r="AF3712">
        <v>0.808736758978569</v>
      </c>
      <c r="AG3712">
        <v>-1.1204086856669999</v>
      </c>
      <c r="AH3712">
        <v>20.474734721431801</v>
      </c>
      <c r="AI3712">
        <v>93.129752775314998</v>
      </c>
      <c r="AJ3712">
        <v>87.738035296041602</v>
      </c>
      <c r="AK3712">
        <v>20.521309234092399</v>
      </c>
      <c r="AL3712">
        <v>95.2294385646031</v>
      </c>
      <c r="AM3712">
        <v>89.593433148613698</v>
      </c>
      <c r="AN3712">
        <v>1.0000000713583399</v>
      </c>
    </row>
    <row r="3713" spans="1:40" x14ac:dyDescent="0.25">
      <c r="A3713" t="str">
        <f>"20190303154842928"</f>
        <v>20190303154842928</v>
      </c>
      <c r="B3713" t="str">
        <f>"1551599322924213"</f>
        <v>1551599322924213</v>
      </c>
      <c r="C3713" t="s">
        <v>40</v>
      </c>
      <c r="D3713">
        <v>5.3505089999999997</v>
      </c>
      <c r="E3713">
        <v>0.50368869999999999</v>
      </c>
      <c r="F3713" t="s">
        <v>54</v>
      </c>
      <c r="G3713">
        <v>-301.29419999999999</v>
      </c>
      <c r="H3713" s="1">
        <v>2.4236899999999999E-6</v>
      </c>
      <c r="I3713">
        <v>214.49799999999999</v>
      </c>
      <c r="J3713">
        <v>-322.12970000000001</v>
      </c>
      <c r="K3713">
        <v>1.120406</v>
      </c>
      <c r="L3713">
        <v>215.0976</v>
      </c>
      <c r="M3713">
        <v>0.9998572</v>
      </c>
      <c r="N3713">
        <v>-1.4043409999999999E-2</v>
      </c>
      <c r="O3713">
        <v>9.4088780000000007E-3</v>
      </c>
      <c r="P3713">
        <v>0.99459699999999995</v>
      </c>
      <c r="Q3713">
        <v>-0.10376539999999999</v>
      </c>
      <c r="R3713">
        <v>3.1515470000000002E-3</v>
      </c>
      <c r="S3713">
        <v>3.0001829999999998</v>
      </c>
      <c r="T3713">
        <v>-0.1588658</v>
      </c>
      <c r="U3713">
        <v>-8.4609989999999996E-2</v>
      </c>
      <c r="V3713">
        <v>6.1743090000000002E-3</v>
      </c>
      <c r="W3713">
        <v>-8.9790079999999994E-2</v>
      </c>
      <c r="X3713">
        <v>0.99594159999999998</v>
      </c>
      <c r="Y3713">
        <v>3.7521619999999999E-2</v>
      </c>
      <c r="Z3713">
        <v>-1.6220360000000001E-3</v>
      </c>
      <c r="AA3713">
        <v>0.99929449999999997</v>
      </c>
      <c r="AB3713">
        <v>34</v>
      </c>
      <c r="AC3713">
        <v>20.8355</v>
      </c>
      <c r="AD3713">
        <v>-1.12040357631</v>
      </c>
      <c r="AE3713">
        <v>-0.59960000000000901</v>
      </c>
      <c r="AF3713">
        <v>0.79333931215536502</v>
      </c>
      <c r="AG3713">
        <v>-1.12040357631</v>
      </c>
      <c r="AH3713">
        <v>20.768929284108999</v>
      </c>
      <c r="AI3713">
        <v>93.085647058421003</v>
      </c>
      <c r="AJ3713">
        <v>87.812457975595393</v>
      </c>
      <c r="AK3713">
        <v>20.814252690076099</v>
      </c>
      <c r="AL3713">
        <v>95.151530534145394</v>
      </c>
      <c r="AM3713">
        <v>89.644801145848106</v>
      </c>
      <c r="AN3713">
        <v>1.00000002558429</v>
      </c>
    </row>
    <row r="3714" spans="1:40" x14ac:dyDescent="0.25">
      <c r="A3714" t="str">
        <f>"20190303154842950"</f>
        <v>20190303154842950</v>
      </c>
      <c r="B3714" t="str">
        <f>"1551599322944421"</f>
        <v>1551599322944421</v>
      </c>
      <c r="C3714" t="s">
        <v>40</v>
      </c>
      <c r="D3714">
        <v>5.3398969999999997</v>
      </c>
      <c r="E3714">
        <v>0.50336769999999997</v>
      </c>
      <c r="F3714" t="s">
        <v>54</v>
      </c>
      <c r="G3714">
        <v>-296.98719999999997</v>
      </c>
      <c r="H3714" s="1">
        <v>2.1338190000000001E-6</v>
      </c>
      <c r="I3714">
        <v>214.9204</v>
      </c>
      <c r="J3714">
        <v>-321.79079999999999</v>
      </c>
      <c r="K3714">
        <v>1.1204000000000001</v>
      </c>
      <c r="L3714">
        <v>215.10059999999999</v>
      </c>
      <c r="M3714">
        <v>0.99985959999999996</v>
      </c>
      <c r="N3714">
        <v>-1.398402E-2</v>
      </c>
      <c r="O3714">
        <v>9.2449209999999997E-3</v>
      </c>
      <c r="P3714">
        <v>0.99464129999999995</v>
      </c>
      <c r="Q3714">
        <v>-0.1033207</v>
      </c>
      <c r="R3714">
        <v>3.7260980000000002E-3</v>
      </c>
      <c r="S3714">
        <v>3.0024109999999999</v>
      </c>
      <c r="T3714">
        <v>-0.13379360000000001</v>
      </c>
      <c r="U3714">
        <v>-2.1163939999999999E-2</v>
      </c>
      <c r="V3714">
        <v>5.435413E-3</v>
      </c>
      <c r="W3714">
        <v>-8.9403720000000006E-2</v>
      </c>
      <c r="X3714">
        <v>0.99598059999999999</v>
      </c>
      <c r="Y3714">
        <v>1.6268560000000001E-2</v>
      </c>
      <c r="Z3714">
        <v>-7.5864710000000002E-4</v>
      </c>
      <c r="AA3714">
        <v>0.99986739999999996</v>
      </c>
      <c r="AB3714">
        <v>34</v>
      </c>
      <c r="AC3714">
        <v>24.803599999999999</v>
      </c>
      <c r="AD3714">
        <v>-1.1203978661809999</v>
      </c>
      <c r="AE3714">
        <v>-0.18019999999998501</v>
      </c>
      <c r="AF3714">
        <v>0.40868817367278498</v>
      </c>
      <c r="AG3714">
        <v>-1.1203978661809999</v>
      </c>
      <c r="AH3714">
        <v>24.750375731514101</v>
      </c>
      <c r="AI3714">
        <v>92.591538135461207</v>
      </c>
      <c r="AJ3714">
        <v>89.053994982427199</v>
      </c>
      <c r="AK3714">
        <v>24.779092321006502</v>
      </c>
      <c r="AL3714">
        <v>95.129304671800497</v>
      </c>
      <c r="AM3714">
        <v>89.687320081167897</v>
      </c>
      <c r="AN3714">
        <v>0.99999996222033805</v>
      </c>
    </row>
    <row r="3715" spans="1:40" x14ac:dyDescent="0.25">
      <c r="A3715" t="str">
        <f>"20190303154842972"</f>
        <v>20190303154842972</v>
      </c>
      <c r="B3715" t="str">
        <f>"1551599322964921"</f>
        <v>1551599322964921</v>
      </c>
      <c r="C3715" t="s">
        <v>40</v>
      </c>
      <c r="D3715">
        <v>5.348249</v>
      </c>
      <c r="E3715">
        <v>0.50340359999999995</v>
      </c>
      <c r="F3715" t="s">
        <v>54</v>
      </c>
      <c r="G3715">
        <v>-297.85829999999999</v>
      </c>
      <c r="H3715" s="1">
        <v>2.2883510000000001E-6</v>
      </c>
      <c r="I3715">
        <v>214.96469999999999</v>
      </c>
      <c r="J3715">
        <v>-321.44900000000001</v>
      </c>
      <c r="K3715">
        <v>1.120393</v>
      </c>
      <c r="L3715">
        <v>215.1036</v>
      </c>
      <c r="M3715">
        <v>0.99986169999999996</v>
      </c>
      <c r="N3715">
        <v>-1.394682E-2</v>
      </c>
      <c r="O3715">
        <v>9.0622500000000009E-3</v>
      </c>
      <c r="P3715">
        <v>0.99464699999999995</v>
      </c>
      <c r="Q3715">
        <v>-0.1032821</v>
      </c>
      <c r="R3715">
        <v>3.232038E-3</v>
      </c>
      <c r="S3715">
        <v>3.001617</v>
      </c>
      <c r="T3715">
        <v>-0.1405206</v>
      </c>
      <c r="U3715">
        <v>-1.7044070000000001E-2</v>
      </c>
      <c r="V3715">
        <v>5.7454330000000003E-3</v>
      </c>
      <c r="W3715">
        <v>-8.9402430000000005E-2</v>
      </c>
      <c r="X3715">
        <v>0.99597899999999995</v>
      </c>
      <c r="Y3715">
        <v>1.471514E-2</v>
      </c>
      <c r="Z3715">
        <v>-7.4461149999999904E-4</v>
      </c>
      <c r="AA3715">
        <v>0.99989150000000004</v>
      </c>
      <c r="AB3715">
        <v>34</v>
      </c>
      <c r="AC3715">
        <v>23.590699999999998</v>
      </c>
      <c r="AD3715">
        <v>-1.1203907116489999</v>
      </c>
      <c r="AE3715">
        <v>-0.13890000000000599</v>
      </c>
      <c r="AF3715">
        <v>0.35190618186593797</v>
      </c>
      <c r="AG3715">
        <v>-1.1203907116489999</v>
      </c>
      <c r="AH3715">
        <v>23.535388235247201</v>
      </c>
      <c r="AI3715">
        <v>92.725175989287195</v>
      </c>
      <c r="AJ3715">
        <v>89.143365028887203</v>
      </c>
      <c r="AK3715">
        <v>23.5646687371454</v>
      </c>
      <c r="AL3715">
        <v>95.1292303383823</v>
      </c>
      <c r="AM3715">
        <v>89.669485590594903</v>
      </c>
      <c r="AN3715">
        <v>0.99999998646563104</v>
      </c>
    </row>
    <row r="3716" spans="1:40" x14ac:dyDescent="0.25">
      <c r="A3716" t="str">
        <f>"20190303154842994"</f>
        <v>20190303154842994</v>
      </c>
      <c r="B3716" t="str">
        <f>"1551599322984437"</f>
        <v>1551599322984437</v>
      </c>
      <c r="C3716" t="s">
        <v>40</v>
      </c>
      <c r="D3716">
        <v>5.3378610000000002</v>
      </c>
      <c r="E3716">
        <v>0.50345359999999995</v>
      </c>
      <c r="F3716" t="s">
        <v>54</v>
      </c>
      <c r="G3716">
        <v>-297.88600000000002</v>
      </c>
      <c r="H3716" s="1">
        <v>2.2932590000000001E-6</v>
      </c>
      <c r="I3716">
        <v>214.95570000000001</v>
      </c>
      <c r="J3716">
        <v>-321.11930000000001</v>
      </c>
      <c r="K3716">
        <v>1.120385</v>
      </c>
      <c r="L3716">
        <v>215.10640000000001</v>
      </c>
      <c r="M3716">
        <v>0.99986350000000002</v>
      </c>
      <c r="N3716">
        <v>-1.3941220000000001E-2</v>
      </c>
      <c r="O3716">
        <v>8.8663570000000001E-3</v>
      </c>
      <c r="P3716">
        <v>0.99469379999999996</v>
      </c>
      <c r="Q3716">
        <v>-0.1028326</v>
      </c>
      <c r="R3716">
        <v>3.1601390000000002E-3</v>
      </c>
      <c r="S3716">
        <v>3.0013429999999999</v>
      </c>
      <c r="T3716">
        <v>-0.14271</v>
      </c>
      <c r="U3716">
        <v>-1.88446E-2</v>
      </c>
      <c r="V3716">
        <v>5.6197449999999998E-3</v>
      </c>
      <c r="W3716">
        <v>-8.8958040000000002E-2</v>
      </c>
      <c r="X3716">
        <v>0.99601949999999995</v>
      </c>
      <c r="Y3716">
        <v>1.5118299999999999E-2</v>
      </c>
      <c r="Z3716">
        <v>-7.6246509999999997E-4</v>
      </c>
      <c r="AA3716">
        <v>0.99988540000000004</v>
      </c>
      <c r="AB3716">
        <v>34</v>
      </c>
      <c r="AC3716">
        <v>23.2333</v>
      </c>
      <c r="AD3716">
        <v>-1.1203827067409999</v>
      </c>
      <c r="AE3716">
        <v>-0.1507</v>
      </c>
      <c r="AF3716">
        <v>0.35588127292083899</v>
      </c>
      <c r="AG3716">
        <v>-1.1203827067409999</v>
      </c>
      <c r="AH3716">
        <v>23.1771547614375</v>
      </c>
      <c r="AI3716">
        <v>92.7671956082702</v>
      </c>
      <c r="AJ3716">
        <v>89.120302173060296</v>
      </c>
      <c r="AK3716">
        <v>23.206947488319202</v>
      </c>
      <c r="AL3716">
        <v>95.103666844767304</v>
      </c>
      <c r="AM3716">
        <v>89.676728965912005</v>
      </c>
      <c r="AN3716">
        <v>0.99999997939737795</v>
      </c>
    </row>
    <row r="3717" spans="1:40" x14ac:dyDescent="0.25">
      <c r="A3717" t="str">
        <f>"20190303154843017"</f>
        <v>20190303154843017</v>
      </c>
      <c r="B3717" t="str">
        <f>"1551599323014694"</f>
        <v>1551599323014694</v>
      </c>
      <c r="C3717" t="s">
        <v>40</v>
      </c>
      <c r="D3717">
        <v>5.3491330000000001</v>
      </c>
      <c r="E3717">
        <v>0.5031833</v>
      </c>
      <c r="F3717" t="s">
        <v>54</v>
      </c>
      <c r="G3717">
        <v>-297.55250000000001</v>
      </c>
      <c r="H3717" s="1">
        <v>2.234088E-6</v>
      </c>
      <c r="I3717">
        <v>214.95439999999999</v>
      </c>
      <c r="J3717">
        <v>-320.75839999999999</v>
      </c>
      <c r="K3717">
        <v>1.1203829999999999</v>
      </c>
      <c r="L3717">
        <v>215.10939999999999</v>
      </c>
      <c r="M3717">
        <v>0.99986529999999996</v>
      </c>
      <c r="N3717">
        <v>-1.3970440000000001E-2</v>
      </c>
      <c r="O3717">
        <v>8.6270959999999904E-3</v>
      </c>
      <c r="P3717">
        <v>0.99471790000000004</v>
      </c>
      <c r="Q3717">
        <v>-0.1026048</v>
      </c>
      <c r="R3717">
        <v>2.9383790000000001E-3</v>
      </c>
      <c r="S3717">
        <v>3.0013429999999999</v>
      </c>
      <c r="T3717">
        <v>-0.14268549999999999</v>
      </c>
      <c r="U3717">
        <v>-1.9363399999999999E-2</v>
      </c>
      <c r="V3717">
        <v>5.5998979999999999E-3</v>
      </c>
      <c r="W3717">
        <v>-8.8701139999999998E-2</v>
      </c>
      <c r="X3717">
        <v>0.99604250000000005</v>
      </c>
      <c r="Y3717">
        <v>1.505211E-2</v>
      </c>
      <c r="Z3717">
        <v>-7.522316E-4</v>
      </c>
      <c r="AA3717">
        <v>0.99988650000000001</v>
      </c>
      <c r="AB3717">
        <v>34</v>
      </c>
      <c r="AC3717">
        <v>23.2058999999999</v>
      </c>
      <c r="AD3717">
        <v>-1.120380765912</v>
      </c>
      <c r="AE3717">
        <v>-0.155000000000001</v>
      </c>
      <c r="AF3717">
        <v>0.35438725060892701</v>
      </c>
      <c r="AG3717">
        <v>-1.120380765912</v>
      </c>
      <c r="AH3717">
        <v>23.1497402491066</v>
      </c>
      <c r="AI3717">
        <v>92.770464662912403</v>
      </c>
      <c r="AJ3717">
        <v>89.122957422814594</v>
      </c>
      <c r="AK3717">
        <v>23.1795452281774</v>
      </c>
      <c r="AL3717">
        <v>95.088889257087203</v>
      </c>
      <c r="AM3717">
        <v>89.677878061800996</v>
      </c>
      <c r="AN3717">
        <v>0.99999995645057904</v>
      </c>
    </row>
    <row r="3718" spans="1:40" x14ac:dyDescent="0.25">
      <c r="A3718" t="str">
        <f>"20190303154843039"</f>
        <v>20190303154843039</v>
      </c>
      <c r="B3718" t="str">
        <f>"1551599323034790"</f>
        <v>1551599323034790</v>
      </c>
      <c r="C3718" t="s">
        <v>40</v>
      </c>
      <c r="D3718">
        <v>5.3231699999999904</v>
      </c>
      <c r="E3718">
        <v>0.50300769999999995</v>
      </c>
      <c r="F3718" t="s">
        <v>54</v>
      </c>
      <c r="G3718">
        <v>-297.9076</v>
      </c>
      <c r="H3718" s="1">
        <v>2.2970790000000001E-6</v>
      </c>
      <c r="I3718">
        <v>214.97229999999999</v>
      </c>
      <c r="J3718">
        <v>-320.42070000000001</v>
      </c>
      <c r="K3718">
        <v>1.1203780000000001</v>
      </c>
      <c r="L3718">
        <v>215.11199999999999</v>
      </c>
      <c r="M3718">
        <v>0.9998667</v>
      </c>
      <c r="N3718">
        <v>-1.401678E-2</v>
      </c>
      <c r="O3718">
        <v>8.3785330000000005E-3</v>
      </c>
      <c r="P3718">
        <v>0.99470219999999998</v>
      </c>
      <c r="Q3718">
        <v>-0.1027623</v>
      </c>
      <c r="R3718">
        <v>2.7221530000000002E-3</v>
      </c>
      <c r="S3718">
        <v>3.0007929999999998</v>
      </c>
      <c r="T3718">
        <v>-0.14712939999999999</v>
      </c>
      <c r="U3718">
        <v>-1.800537E-2</v>
      </c>
      <c r="V3718">
        <v>5.5643940000000003E-3</v>
      </c>
      <c r="W3718">
        <v>-8.8812950000000002E-2</v>
      </c>
      <c r="X3718">
        <v>0.99603280000000005</v>
      </c>
      <c r="Y3718">
        <v>1.435178E-2</v>
      </c>
      <c r="Z3718">
        <v>-7.4544209999999995E-4</v>
      </c>
      <c r="AA3718">
        <v>0.99989669999999997</v>
      </c>
      <c r="AB3718">
        <v>34</v>
      </c>
      <c r="AC3718">
        <v>22.513100000000001</v>
      </c>
      <c r="AD3718">
        <v>-1.120375702921</v>
      </c>
      <c r="AE3718">
        <v>-0.13970000000000399</v>
      </c>
      <c r="AF3718">
        <v>0.32752924163555203</v>
      </c>
      <c r="AG3718">
        <v>-1.120375702921</v>
      </c>
      <c r="AH3718">
        <v>22.455527694098802</v>
      </c>
      <c r="AI3718">
        <v>92.855991799961203</v>
      </c>
      <c r="AJ3718">
        <v>89.164361093539398</v>
      </c>
      <c r="AK3718">
        <v>22.4858453508037</v>
      </c>
      <c r="AL3718">
        <v>95.095320554300798</v>
      </c>
      <c r="AM3718">
        <v>89.679917192387194</v>
      </c>
      <c r="AN3718">
        <v>1.0000000206220601</v>
      </c>
    </row>
    <row r="3719" spans="1:40" x14ac:dyDescent="0.25">
      <c r="A3719" t="str">
        <f>"20190303154843054"</f>
        <v>20190303154843054</v>
      </c>
      <c r="B3719" t="str">
        <f>"1551599323044552"</f>
        <v>1551599323044552</v>
      </c>
      <c r="C3719" t="s">
        <v>40</v>
      </c>
      <c r="D3719">
        <v>5.35527</v>
      </c>
      <c r="E3719">
        <v>0.50298319999999996</v>
      </c>
      <c r="F3719" t="s">
        <v>54</v>
      </c>
      <c r="G3719">
        <v>-298.22019999999998</v>
      </c>
      <c r="H3719" s="1">
        <v>2.3525419999999998E-6</v>
      </c>
      <c r="I3719">
        <v>214.98400000000001</v>
      </c>
      <c r="J3719">
        <v>-320.2131</v>
      </c>
      <c r="K3719">
        <v>1.1203749999999999</v>
      </c>
      <c r="L3719">
        <v>215.11359999999999</v>
      </c>
      <c r="M3719">
        <v>0.99986750000000002</v>
      </c>
      <c r="N3719">
        <v>-1.404769E-2</v>
      </c>
      <c r="O3719">
        <v>8.2130710000000006E-3</v>
      </c>
      <c r="P3719">
        <v>0.99472159999999998</v>
      </c>
      <c r="Q3719">
        <v>-0.10257520000000001</v>
      </c>
      <c r="R3719">
        <v>2.67227E-3</v>
      </c>
      <c r="S3719">
        <v>3.0003660000000001</v>
      </c>
      <c r="T3719">
        <v>-0.1514171</v>
      </c>
      <c r="U3719">
        <v>-1.7303470000000001E-2</v>
      </c>
      <c r="V3719">
        <v>5.447538E-3</v>
      </c>
      <c r="W3719">
        <v>-8.8594800000000001E-2</v>
      </c>
      <c r="X3719">
        <v>0.99605290000000002</v>
      </c>
      <c r="Y3719">
        <v>1.395242E-2</v>
      </c>
      <c r="Z3719">
        <v>-7.4880910000000005E-4</v>
      </c>
      <c r="AA3719">
        <v>0.99990239999999997</v>
      </c>
      <c r="AB3719">
        <v>34</v>
      </c>
      <c r="AC3719">
        <v>21.992899999999999</v>
      </c>
      <c r="AD3719">
        <v>-1.12037264745799</v>
      </c>
      <c r="AE3719">
        <v>-0.12959999999998201</v>
      </c>
      <c r="AF3719">
        <v>0.30943970949526201</v>
      </c>
      <c r="AG3719">
        <v>-1.12037264745799</v>
      </c>
      <c r="AH3719">
        <v>21.934173391497598</v>
      </c>
      <c r="AI3719">
        <v>92.923771622571493</v>
      </c>
      <c r="AJ3719">
        <v>89.191744636273498</v>
      </c>
      <c r="AK3719">
        <v>21.9649482169038</v>
      </c>
      <c r="AL3719">
        <v>95.082771880355907</v>
      </c>
      <c r="AM3719">
        <v>89.686645333587293</v>
      </c>
      <c r="AN3719">
        <v>1.0000000469278501</v>
      </c>
    </row>
    <row r="3720" spans="1:40" x14ac:dyDescent="0.25">
      <c r="A3720" t="str">
        <f>"20190303154843072"</f>
        <v>20190303154843072</v>
      </c>
      <c r="B3720" t="str">
        <f>"1551599323065050"</f>
        <v>1551599323065050</v>
      </c>
      <c r="C3720" t="s">
        <v>40</v>
      </c>
      <c r="D3720">
        <v>5.3510299999999997</v>
      </c>
      <c r="E3720">
        <v>0.50308050000000004</v>
      </c>
      <c r="F3720" t="s">
        <v>54</v>
      </c>
      <c r="G3720">
        <v>-298.00420000000003</v>
      </c>
      <c r="H3720" s="1">
        <v>2.3142210000000002E-6</v>
      </c>
      <c r="I3720">
        <v>214.9854</v>
      </c>
      <c r="J3720">
        <v>-319.91770000000002</v>
      </c>
      <c r="K3720">
        <v>1.120371</v>
      </c>
      <c r="L3720">
        <v>215.11580000000001</v>
      </c>
      <c r="M3720">
        <v>0.99986889999999995</v>
      </c>
      <c r="N3720">
        <v>-1.4091329999999999E-2</v>
      </c>
      <c r="O3720">
        <v>7.9692019999999999E-3</v>
      </c>
      <c r="P3720">
        <v>0.99471279999999995</v>
      </c>
      <c r="Q3720">
        <v>-0.10267859999999999</v>
      </c>
      <c r="R3720">
        <v>1.921309E-3</v>
      </c>
      <c r="S3720">
        <v>3.0004270000000002</v>
      </c>
      <c r="T3720">
        <v>-0.15136269999999999</v>
      </c>
      <c r="U3720">
        <v>-1.7318730000000001E-2</v>
      </c>
      <c r="V3720">
        <v>5.9526969999999998E-3</v>
      </c>
      <c r="W3720">
        <v>-8.8655399999999995E-2</v>
      </c>
      <c r="X3720">
        <v>0.99604459999999995</v>
      </c>
      <c r="Y3720">
        <v>1.371409E-2</v>
      </c>
      <c r="Z3720">
        <v>-7.3191670000000001E-4</v>
      </c>
      <c r="AA3720">
        <v>0.99990570000000001</v>
      </c>
      <c r="AB3720">
        <v>34</v>
      </c>
      <c r="AC3720">
        <v>21.913499999999999</v>
      </c>
      <c r="AD3720">
        <v>-1.1203686857790001</v>
      </c>
      <c r="AE3720">
        <v>-0.13040000000000801</v>
      </c>
      <c r="AF3720">
        <v>0.30425104560658101</v>
      </c>
      <c r="AG3720">
        <v>-1.1203686857790001</v>
      </c>
      <c r="AH3720">
        <v>21.854639656285102</v>
      </c>
      <c r="AI3720">
        <v>92.934390573331996</v>
      </c>
      <c r="AJ3720">
        <v>89.202403926841598</v>
      </c>
      <c r="AK3720">
        <v>21.885453369690499</v>
      </c>
      <c r="AL3720">
        <v>95.086257808015304</v>
      </c>
      <c r="AM3720">
        <v>89.657585258376301</v>
      </c>
      <c r="AN3720">
        <v>1.0000000298699401</v>
      </c>
    </row>
    <row r="3721" spans="1:40" x14ac:dyDescent="0.25">
      <c r="A3721" t="str">
        <f>"20190303154843096"</f>
        <v>20190303154843096</v>
      </c>
      <c r="B3721" t="str">
        <f>"1551599323084567"</f>
        <v>1551599323084567</v>
      </c>
      <c r="C3721" t="s">
        <v>40</v>
      </c>
      <c r="D3721">
        <v>5.4247550000000002</v>
      </c>
      <c r="E3721">
        <v>0.50315600000000005</v>
      </c>
      <c r="F3721" t="s">
        <v>54</v>
      </c>
      <c r="G3721">
        <v>-298.00869999999998</v>
      </c>
      <c r="H3721" s="1">
        <v>2.3150209999999998E-6</v>
      </c>
      <c r="I3721">
        <v>214.9666</v>
      </c>
      <c r="J3721">
        <v>-319.57780000000002</v>
      </c>
      <c r="K3721">
        <v>1.120371</v>
      </c>
      <c r="L3721">
        <v>215.1182</v>
      </c>
      <c r="M3721">
        <v>0.9998707</v>
      </c>
      <c r="N3721">
        <v>-1.414022E-2</v>
      </c>
      <c r="O3721">
        <v>7.6772790000000004E-3</v>
      </c>
      <c r="P3721">
        <v>0.99475499999999994</v>
      </c>
      <c r="Q3721">
        <v>-0.1022865</v>
      </c>
      <c r="R3721">
        <v>3.8708349999999999E-4</v>
      </c>
      <c r="S3721">
        <v>3.0001530000000001</v>
      </c>
      <c r="T3721">
        <v>-0.15342020000000001</v>
      </c>
      <c r="U3721">
        <v>-2.0431520000000002E-2</v>
      </c>
      <c r="V3721">
        <v>7.1942960000000002E-3</v>
      </c>
      <c r="W3721">
        <v>-8.8215189999999999E-2</v>
      </c>
      <c r="X3721">
        <v>0.9960755</v>
      </c>
      <c r="Y3721">
        <v>1.44583E-2</v>
      </c>
      <c r="Z3721">
        <v>-7.555719E-4</v>
      </c>
      <c r="AA3721">
        <v>0.99989519999999998</v>
      </c>
      <c r="AB3721">
        <v>34</v>
      </c>
      <c r="AC3721">
        <v>21.569099999999999</v>
      </c>
      <c r="AD3721">
        <v>-1.120368684979</v>
      </c>
      <c r="AE3721">
        <v>-0.15160000000000101</v>
      </c>
      <c r="AF3721">
        <v>0.31635055896063402</v>
      </c>
      <c r="AG3721">
        <v>-1.120368684979</v>
      </c>
      <c r="AH3721">
        <v>21.509268954541898</v>
      </c>
      <c r="AI3721">
        <v>92.981389768587604</v>
      </c>
      <c r="AJ3721">
        <v>89.157375123152093</v>
      </c>
      <c r="AK3721">
        <v>21.5407510227767</v>
      </c>
      <c r="AL3721">
        <v>95.060936372610698</v>
      </c>
      <c r="AM3721">
        <v>89.586180334864096</v>
      </c>
      <c r="AN3721">
        <v>1.0000000396709601</v>
      </c>
    </row>
    <row r="3722" spans="1:40" x14ac:dyDescent="0.25">
      <c r="A3722" t="str">
        <f>"20190303154843119"</f>
        <v>20190303154843119</v>
      </c>
      <c r="B3722" t="str">
        <f>"1551599323114823"</f>
        <v>1551599323114823</v>
      </c>
      <c r="C3722" t="s">
        <v>40</v>
      </c>
      <c r="D3722">
        <v>5.3875149999999996</v>
      </c>
      <c r="E3722">
        <v>0.50306919999999999</v>
      </c>
      <c r="F3722" t="s">
        <v>54</v>
      </c>
      <c r="G3722">
        <v>-297.71589999999998</v>
      </c>
      <c r="H3722" s="1">
        <v>2.263079E-6</v>
      </c>
      <c r="I3722">
        <v>214.9307</v>
      </c>
      <c r="J3722">
        <v>-319.22910000000002</v>
      </c>
      <c r="K3722">
        <v>1.1203730000000001</v>
      </c>
      <c r="L3722">
        <v>215.1206</v>
      </c>
      <c r="M3722">
        <v>0.99987230000000005</v>
      </c>
      <c r="N3722">
        <v>-1.4188070000000001E-2</v>
      </c>
      <c r="O3722">
        <v>7.3690989999999996E-3</v>
      </c>
      <c r="P3722">
        <v>0.99476810000000004</v>
      </c>
      <c r="Q3722">
        <v>-0.1021531</v>
      </c>
      <c r="R3722">
        <v>-1.224667E-3</v>
      </c>
      <c r="S3722">
        <v>3.0000309999999999</v>
      </c>
      <c r="T3722">
        <v>-0.1537443</v>
      </c>
      <c r="U3722">
        <v>-2.572632E-2</v>
      </c>
      <c r="V3722">
        <v>8.4977379999999995E-3</v>
      </c>
      <c r="W3722">
        <v>-8.803511E-2</v>
      </c>
      <c r="X3722">
        <v>0.99608110000000005</v>
      </c>
      <c r="Y3722">
        <v>1.591265E-2</v>
      </c>
      <c r="Z3722">
        <v>-7.9334220000000001E-4</v>
      </c>
      <c r="AA3722">
        <v>0.99987300000000001</v>
      </c>
      <c r="AB3722">
        <v>34</v>
      </c>
      <c r="AC3722">
        <v>21.513200000000001</v>
      </c>
      <c r="AD3722">
        <v>-1.1203707369210001</v>
      </c>
      <c r="AE3722">
        <v>-0.18989999999999399</v>
      </c>
      <c r="AF3722">
        <v>0.34750128298376398</v>
      </c>
      <c r="AG3722">
        <v>-1.1203707369210001</v>
      </c>
      <c r="AH3722">
        <v>21.453036928367599</v>
      </c>
      <c r="AI3722">
        <v>92.989127093229996</v>
      </c>
      <c r="AJ3722">
        <v>89.071990793055605</v>
      </c>
      <c r="AK3722">
        <v>21.485082759434</v>
      </c>
      <c r="AL3722">
        <v>95.050578577506002</v>
      </c>
      <c r="AM3722">
        <v>89.511211776467604</v>
      </c>
      <c r="AN3722">
        <v>0.99999997496051896</v>
      </c>
    </row>
    <row r="3723" spans="1:40" x14ac:dyDescent="0.25">
      <c r="A3723" t="str">
        <f>"20190303154843141"</f>
        <v>20190303154843141</v>
      </c>
      <c r="B3723" t="str">
        <f>"1551599323134343"</f>
        <v>1551599323134343</v>
      </c>
      <c r="C3723" t="s">
        <v>40</v>
      </c>
      <c r="D3723">
        <v>5.366746</v>
      </c>
      <c r="E3723">
        <v>0.50123379999999995</v>
      </c>
      <c r="F3723" t="s">
        <v>54</v>
      </c>
      <c r="G3723">
        <v>-297.91550000000001</v>
      </c>
      <c r="H3723" s="1">
        <v>2.2984880000000002E-6</v>
      </c>
      <c r="I3723">
        <v>214.90729999999999</v>
      </c>
      <c r="J3723">
        <v>-318.89409999999998</v>
      </c>
      <c r="K3723">
        <v>1.1203719999999999</v>
      </c>
      <c r="L3723">
        <v>215.12270000000001</v>
      </c>
      <c r="M3723">
        <v>0.99987380000000003</v>
      </c>
      <c r="N3723">
        <v>-1.4230400000000001E-2</v>
      </c>
      <c r="O3723">
        <v>7.0692410000000004E-3</v>
      </c>
      <c r="P3723">
        <v>0.9948401</v>
      </c>
      <c r="Q3723">
        <v>-0.101425</v>
      </c>
      <c r="R3723">
        <v>-2.4980760000000001E-3</v>
      </c>
      <c r="S3723">
        <v>2.9995419999999999</v>
      </c>
      <c r="T3723">
        <v>-0.15767400000000001</v>
      </c>
      <c r="U3723">
        <v>-3.0014039999999999E-2</v>
      </c>
      <c r="V3723">
        <v>9.472645E-3</v>
      </c>
      <c r="W3723">
        <v>-8.7264729999999999E-2</v>
      </c>
      <c r="X3723">
        <v>0.99614009999999997</v>
      </c>
      <c r="Y3723">
        <v>1.7039970000000002E-2</v>
      </c>
      <c r="Z3723">
        <v>-8.3968679999999905E-4</v>
      </c>
      <c r="AA3723">
        <v>0.99985440000000003</v>
      </c>
      <c r="AB3723">
        <v>34</v>
      </c>
      <c r="AC3723">
        <v>20.978599999999901</v>
      </c>
      <c r="AD3723">
        <v>-1.120369701512</v>
      </c>
      <c r="AE3723">
        <v>-0.215400000000016</v>
      </c>
      <c r="AF3723">
        <v>0.36267811011543699</v>
      </c>
      <c r="AG3723">
        <v>-1.120369701512</v>
      </c>
      <c r="AH3723">
        <v>20.9169013379767</v>
      </c>
      <c r="AI3723">
        <v>93.065537821257294</v>
      </c>
      <c r="AJ3723">
        <v>89.006648133976697</v>
      </c>
      <c r="AK3723">
        <v>20.950024469252401</v>
      </c>
      <c r="AL3723">
        <v>95.006268485623707</v>
      </c>
      <c r="AM3723">
        <v>89.455170793193005</v>
      </c>
      <c r="AN3723">
        <v>0.99999998146663904</v>
      </c>
    </row>
    <row r="3724" spans="1:40" x14ac:dyDescent="0.25">
      <c r="A3724" t="str">
        <f>"20190303154843162"</f>
        <v>20190303154843162</v>
      </c>
      <c r="B3724" t="str">
        <f>"1551599323154842"</f>
        <v>1551599323154842</v>
      </c>
      <c r="C3724" t="s">
        <v>40</v>
      </c>
      <c r="D3724">
        <v>5.3661659999999998</v>
      </c>
      <c r="E3724">
        <v>0.50202860000000005</v>
      </c>
      <c r="F3724" t="s">
        <v>54</v>
      </c>
      <c r="G3724">
        <v>-301.79390000000001</v>
      </c>
      <c r="H3724" s="1">
        <v>2.3350600000000001E-6</v>
      </c>
      <c r="I3724">
        <v>215.01689999999999</v>
      </c>
      <c r="J3724">
        <v>-318.56290000000001</v>
      </c>
      <c r="K3724">
        <v>1.120382</v>
      </c>
      <c r="L3724">
        <v>215.12479999999999</v>
      </c>
      <c r="M3724">
        <v>0.99987550000000003</v>
      </c>
      <c r="N3724">
        <v>-1.426819E-2</v>
      </c>
      <c r="O3724">
        <v>6.7703499999999996E-3</v>
      </c>
      <c r="P3724">
        <v>0.99498540000000002</v>
      </c>
      <c r="Q3724">
        <v>-9.9977720000000006E-2</v>
      </c>
      <c r="R3724">
        <v>-2.998602E-3</v>
      </c>
      <c r="S3724">
        <v>2.9955440000000002</v>
      </c>
      <c r="T3724">
        <v>-0.19626160000000001</v>
      </c>
      <c r="U3724">
        <v>-1.8539429999999999E-2</v>
      </c>
      <c r="V3724">
        <v>9.6769769999999998E-3</v>
      </c>
      <c r="W3724">
        <v>-8.5778119999999999E-2</v>
      </c>
      <c r="X3724">
        <v>0.99626729999999997</v>
      </c>
      <c r="Y3724">
        <v>1.2917029999999999E-2</v>
      </c>
      <c r="Z3724">
        <v>-8.6154359999999998E-4</v>
      </c>
      <c r="AA3724">
        <v>0.99991620000000003</v>
      </c>
      <c r="AB3724">
        <v>34</v>
      </c>
      <c r="AC3724">
        <v>16.768999999999998</v>
      </c>
      <c r="AD3724">
        <v>-1.12037966494</v>
      </c>
      <c r="AE3724">
        <v>-0.1079</v>
      </c>
      <c r="AF3724">
        <v>0.220456998282059</v>
      </c>
      <c r="AG3724">
        <v>-1.12037966494</v>
      </c>
      <c r="AH3724">
        <v>16.693370263496</v>
      </c>
      <c r="AI3724">
        <v>93.839328310250096</v>
      </c>
      <c r="AJ3724">
        <v>89.243380987555895</v>
      </c>
      <c r="AK3724">
        <v>16.732377674313799</v>
      </c>
      <c r="AL3724">
        <v>94.920771135869799</v>
      </c>
      <c r="AM3724">
        <v>89.443490211258293</v>
      </c>
      <c r="AN3724">
        <v>1.0000000314019399</v>
      </c>
    </row>
    <row r="3725" spans="1:40" x14ac:dyDescent="0.25">
      <c r="A3725" t="str">
        <f>"20190303154843184"</f>
        <v>20190303154843184</v>
      </c>
      <c r="B3725" t="str">
        <f>"1551599323174359"</f>
        <v>1551599323174359</v>
      </c>
      <c r="C3725" t="s">
        <v>40</v>
      </c>
      <c r="D3725">
        <v>5.3990530000000003</v>
      </c>
      <c r="E3725">
        <v>0.51062609999999997</v>
      </c>
      <c r="F3725" t="s">
        <v>54</v>
      </c>
      <c r="G3725">
        <v>-299.56979999999999</v>
      </c>
      <c r="H3725" s="1">
        <v>2.591926E-6</v>
      </c>
      <c r="I3725">
        <v>214.95650000000001</v>
      </c>
      <c r="J3725">
        <v>-318.238</v>
      </c>
      <c r="K3725">
        <v>1.120387</v>
      </c>
      <c r="L3725">
        <v>215.1267</v>
      </c>
      <c r="M3725">
        <v>0.99987680000000001</v>
      </c>
      <c r="N3725">
        <v>-1.4301499999999899E-2</v>
      </c>
      <c r="O3725">
        <v>6.478068E-3</v>
      </c>
      <c r="P3725">
        <v>0.99513169999999995</v>
      </c>
      <c r="Q3725">
        <v>-9.8512219999999998E-2</v>
      </c>
      <c r="R3725">
        <v>-2.8605990000000001E-3</v>
      </c>
      <c r="S3725">
        <v>2.9972840000000001</v>
      </c>
      <c r="T3725">
        <v>-0.17680599999999999</v>
      </c>
      <c r="U3725">
        <v>-2.6550290000000001E-2</v>
      </c>
      <c r="V3725">
        <v>9.2497589999999998E-3</v>
      </c>
      <c r="W3725">
        <v>-8.4277240000000003E-2</v>
      </c>
      <c r="X3725">
        <v>0.99639940000000005</v>
      </c>
      <c r="Y3725">
        <v>1.5296550000000001E-2</v>
      </c>
      <c r="Z3725">
        <v>-8.4947579999999998E-4</v>
      </c>
      <c r="AA3725">
        <v>0.99988259999999995</v>
      </c>
      <c r="AB3725">
        <v>34</v>
      </c>
      <c r="AC3725">
        <v>18.668199999999999</v>
      </c>
      <c r="AD3725">
        <v>-1.120384408074</v>
      </c>
      <c r="AE3725">
        <v>-0.17019999999999399</v>
      </c>
      <c r="AF3725">
        <v>0.29009784877894801</v>
      </c>
      <c r="AG3725">
        <v>-1.120384408074</v>
      </c>
      <c r="AH3725">
        <v>18.599717148641101</v>
      </c>
      <c r="AI3725">
        <v>93.4467216372785</v>
      </c>
      <c r="AJ3725">
        <v>89.106436154122903</v>
      </c>
      <c r="AK3725">
        <v>18.635688771633198</v>
      </c>
      <c r="AL3725">
        <v>94.834464700359405</v>
      </c>
      <c r="AM3725">
        <v>89.468128012614699</v>
      </c>
      <c r="AN3725">
        <v>0.99999998777196697</v>
      </c>
    </row>
    <row r="3726" spans="1:40" x14ac:dyDescent="0.25">
      <c r="A3726" t="str">
        <f>"20190303154843206"</f>
        <v>20190303154843206</v>
      </c>
      <c r="B3726" t="str">
        <f>"1551599323194855"</f>
        <v>1551599323194855</v>
      </c>
      <c r="C3726" t="s">
        <v>40</v>
      </c>
      <c r="D3726">
        <v>5.4069370000000001</v>
      </c>
      <c r="E3726">
        <v>0.51115469999999996</v>
      </c>
      <c r="F3726" t="s">
        <v>54</v>
      </c>
      <c r="G3726">
        <v>-289.51900000000001</v>
      </c>
      <c r="H3726" s="1">
        <v>2.9174229999999998E-6</v>
      </c>
      <c r="I3726">
        <v>214.21559999999999</v>
      </c>
      <c r="J3726">
        <v>-317.90870000000001</v>
      </c>
      <c r="K3726">
        <v>1.1203939999999999</v>
      </c>
      <c r="L3726">
        <v>215.1285</v>
      </c>
      <c r="M3726">
        <v>0.99987820000000005</v>
      </c>
      <c r="N3726">
        <v>-1.4331299999999899E-2</v>
      </c>
      <c r="O3726">
        <v>6.1825489999999999E-3</v>
      </c>
      <c r="P3726">
        <v>0.99518150000000005</v>
      </c>
      <c r="Q3726">
        <v>-9.8028749999999998E-2</v>
      </c>
      <c r="R3726">
        <v>-2.017053E-3</v>
      </c>
      <c r="S3726">
        <v>3.0028079999999999</v>
      </c>
      <c r="T3726">
        <v>-0.1171451</v>
      </c>
      <c r="U3726">
        <v>-9.5260620000000004E-2</v>
      </c>
      <c r="V3726">
        <v>8.1125529999999998E-3</v>
      </c>
      <c r="W3726">
        <v>-8.3762539999999996E-2</v>
      </c>
      <c r="X3726">
        <v>0.99645269999999997</v>
      </c>
      <c r="Y3726">
        <v>3.7846150000000002E-2</v>
      </c>
      <c r="Z3726">
        <v>-1.1616549999999999E-3</v>
      </c>
      <c r="AA3726">
        <v>0.99928289999999997</v>
      </c>
      <c r="AB3726">
        <v>34</v>
      </c>
      <c r="AC3726">
        <v>28.389700000000001</v>
      </c>
      <c r="AD3726">
        <v>-1.120391082577</v>
      </c>
      <c r="AE3726">
        <v>-0.91290000000000704</v>
      </c>
      <c r="AF3726">
        <v>1.08673049163389</v>
      </c>
      <c r="AG3726">
        <v>-1.120391082577</v>
      </c>
      <c r="AH3726">
        <v>28.339420670354102</v>
      </c>
      <c r="AI3726">
        <v>92.262332571611907</v>
      </c>
      <c r="AJ3726">
        <v>87.803957313418394</v>
      </c>
      <c r="AK3726">
        <v>28.382371699184301</v>
      </c>
      <c r="AL3726">
        <v>94.804869954616706</v>
      </c>
      <c r="AM3726">
        <v>89.533540549775793</v>
      </c>
      <c r="AN3726">
        <v>0.99999997998035905</v>
      </c>
    </row>
    <row r="3727" spans="1:40" x14ac:dyDescent="0.25">
      <c r="A3727" t="str">
        <f>"20190303154843229"</f>
        <v>20190303154843229</v>
      </c>
      <c r="B3727" t="str">
        <f>"1551599323225111"</f>
        <v>1551599323225111</v>
      </c>
      <c r="C3727" t="s">
        <v>40</v>
      </c>
      <c r="D3727">
        <v>5.3890589999999996</v>
      </c>
      <c r="E3727">
        <v>0.51158309999999996</v>
      </c>
      <c r="F3727" t="s">
        <v>54</v>
      </c>
      <c r="G3727">
        <v>-287.14359999999999</v>
      </c>
      <c r="H3727" s="1">
        <v>3.9806529999999996E-6</v>
      </c>
      <c r="I3727">
        <v>214.13290000000001</v>
      </c>
      <c r="J3727">
        <v>-317.56060000000002</v>
      </c>
      <c r="K3727">
        <v>1.1204000000000001</v>
      </c>
      <c r="L3727">
        <v>215.13030000000001</v>
      </c>
      <c r="M3727">
        <v>0.99987979999999999</v>
      </c>
      <c r="N3727">
        <v>-1.4358599999999999E-2</v>
      </c>
      <c r="O3727">
        <v>5.8715579999999998E-3</v>
      </c>
      <c r="P3727">
        <v>0.99513819999999997</v>
      </c>
      <c r="Q3727">
        <v>-9.8485240000000002E-2</v>
      </c>
      <c r="R3727">
        <v>-1.0056329999999999E-3</v>
      </c>
      <c r="S3727">
        <v>3.0035400000000001</v>
      </c>
      <c r="T3727">
        <v>-0.1093817</v>
      </c>
      <c r="U3727">
        <v>-9.7198489999999999E-2</v>
      </c>
      <c r="V3727">
        <v>6.7905619999999896E-3</v>
      </c>
      <c r="W3727">
        <v>-8.4191360000000007E-2</v>
      </c>
      <c r="X3727">
        <v>0.99642649999999999</v>
      </c>
      <c r="Y3727">
        <v>3.8176210000000002E-2</v>
      </c>
      <c r="Z3727">
        <v>-1.098456E-3</v>
      </c>
      <c r="AA3727">
        <v>0.9992704</v>
      </c>
      <c r="AB3727">
        <v>34</v>
      </c>
      <c r="AC3727">
        <v>30.417000000000002</v>
      </c>
      <c r="AD3727">
        <v>-1.1203960193469999</v>
      </c>
      <c r="AE3727">
        <v>-0.99739999999999895</v>
      </c>
      <c r="AF3727">
        <v>1.1744046726513599</v>
      </c>
      <c r="AG3727">
        <v>-1.1203960193469999</v>
      </c>
      <c r="AH3727">
        <v>30.369458172734799</v>
      </c>
      <c r="AI3727">
        <v>92.111232406592094</v>
      </c>
      <c r="AJ3727">
        <v>87.785442219326001</v>
      </c>
      <c r="AK3727">
        <v>30.4128016348511</v>
      </c>
      <c r="AL3727">
        <v>94.829526367860595</v>
      </c>
      <c r="AM3727">
        <v>89.609540171723694</v>
      </c>
      <c r="AN3727">
        <v>1.0000000333665799</v>
      </c>
    </row>
    <row r="3728" spans="1:40" x14ac:dyDescent="0.25">
      <c r="A3728" t="str">
        <f>"20190303154843251"</f>
        <v>20190303154843251</v>
      </c>
      <c r="B3728" t="str">
        <f>"1551599323244253"</f>
        <v>1551599323244253</v>
      </c>
      <c r="C3728" t="s">
        <v>40</v>
      </c>
      <c r="D3728">
        <v>5.3925049999999999</v>
      </c>
      <c r="E3728">
        <v>0.51170969999999905</v>
      </c>
      <c r="F3728" t="s">
        <v>54</v>
      </c>
      <c r="G3728">
        <v>-286.45460000000003</v>
      </c>
      <c r="H3728" s="1">
        <v>4.2877170000000003E-6</v>
      </c>
      <c r="I3728">
        <v>214.12020000000001</v>
      </c>
      <c r="J3728">
        <v>-317.23410000000001</v>
      </c>
      <c r="K3728">
        <v>1.1203989999999999</v>
      </c>
      <c r="L3728">
        <v>215.1319</v>
      </c>
      <c r="M3728">
        <v>0.99988109999999997</v>
      </c>
      <c r="N3728">
        <v>-1.4380759999999999E-2</v>
      </c>
      <c r="O3728">
        <v>5.5804060000000004E-3</v>
      </c>
      <c r="P3728">
        <v>0.99507979999999996</v>
      </c>
      <c r="Q3728">
        <v>-9.9077109999999996E-2</v>
      </c>
      <c r="R3728">
        <v>1.790293E-4</v>
      </c>
      <c r="S3728">
        <v>3.0038450000000001</v>
      </c>
      <c r="T3728">
        <v>-0.1081944</v>
      </c>
      <c r="U3728">
        <v>-9.7549440000000001E-2</v>
      </c>
      <c r="V3728">
        <v>5.3156269999999999E-3</v>
      </c>
      <c r="W3728">
        <v>-8.4760790000000003E-2</v>
      </c>
      <c r="X3728">
        <v>0.99638709999999997</v>
      </c>
      <c r="Y3728">
        <v>3.7999520000000002E-2</v>
      </c>
      <c r="Z3728">
        <v>-1.0780519999999999E-3</v>
      </c>
      <c r="AA3728">
        <v>0.99927719999999998</v>
      </c>
      <c r="AB3728">
        <v>34</v>
      </c>
      <c r="AC3728">
        <v>30.779499999999899</v>
      </c>
      <c r="AD3728">
        <v>-1.120394712283</v>
      </c>
      <c r="AE3728">
        <v>-1.0116999999999901</v>
      </c>
      <c r="AF3728">
        <v>1.1818997618204401</v>
      </c>
      <c r="AG3728">
        <v>-1.120394712283</v>
      </c>
      <c r="AH3728">
        <v>30.732697198492701</v>
      </c>
      <c r="AI3728">
        <v>92.086315975503396</v>
      </c>
      <c r="AJ3728">
        <v>87.797638357600107</v>
      </c>
      <c r="AK3728">
        <v>30.775815967290701</v>
      </c>
      <c r="AL3728">
        <v>94.862269747660505</v>
      </c>
      <c r="AM3728">
        <v>89.694335561742605</v>
      </c>
      <c r="AN3728">
        <v>0.99999995022911703</v>
      </c>
    </row>
    <row r="3729" spans="1:40" x14ac:dyDescent="0.25">
      <c r="A3729" t="str">
        <f>"20190303154843265"</f>
        <v>20190303154843265</v>
      </c>
      <c r="B3729" t="str">
        <f>"1551599323254989"</f>
        <v>1551599323254989</v>
      </c>
      <c r="C3729" t="s">
        <v>40</v>
      </c>
      <c r="D3729">
        <v>5.3861280000000002</v>
      </c>
      <c r="E3729">
        <v>0.5117969</v>
      </c>
      <c r="F3729" t="s">
        <v>54</v>
      </c>
      <c r="G3729">
        <v>-286.57769999999999</v>
      </c>
      <c r="H3729" s="1">
        <v>4.2278100000000003E-6</v>
      </c>
      <c r="I3729">
        <v>214.16460000000001</v>
      </c>
      <c r="J3729">
        <v>-317.0181</v>
      </c>
      <c r="K3729">
        <v>1.120398</v>
      </c>
      <c r="L3729">
        <v>215.13300000000001</v>
      </c>
      <c r="M3729">
        <v>0.99988200000000005</v>
      </c>
      <c r="N3729">
        <v>-1.4393889999999999E-2</v>
      </c>
      <c r="O3729">
        <v>5.3883289999999999E-3</v>
      </c>
      <c r="P3729">
        <v>0.99506870000000003</v>
      </c>
      <c r="Q3729">
        <v>-9.9191260000000003E-2</v>
      </c>
      <c r="R3729">
        <v>4.8352200000000001E-4</v>
      </c>
      <c r="S3729">
        <v>3.0039370000000001</v>
      </c>
      <c r="T3729">
        <v>-0.10978449999999999</v>
      </c>
      <c r="U3729">
        <v>-9.47876E-2</v>
      </c>
      <c r="V3729">
        <v>4.819355E-3</v>
      </c>
      <c r="W3729">
        <v>-8.4861599999999995E-2</v>
      </c>
      <c r="X3729">
        <v>0.99638110000000002</v>
      </c>
      <c r="Y3729">
        <v>3.6888879999999999E-2</v>
      </c>
      <c r="Z3729">
        <v>-1.058673E-3</v>
      </c>
      <c r="AA3729">
        <v>0.99931879999999995</v>
      </c>
      <c r="AB3729">
        <v>34</v>
      </c>
      <c r="AC3729">
        <v>30.4404</v>
      </c>
      <c r="AD3729">
        <v>-1.1203937721899999</v>
      </c>
      <c r="AE3729">
        <v>-0.96839999999997395</v>
      </c>
      <c r="AF3729">
        <v>1.1308953375668001</v>
      </c>
      <c r="AG3729">
        <v>-1.1203937721899999</v>
      </c>
      <c r="AH3729">
        <v>30.393607046069398</v>
      </c>
      <c r="AI3729">
        <v>92.109669002576595</v>
      </c>
      <c r="AJ3729">
        <v>87.869102789874105</v>
      </c>
      <c r="AK3729">
        <v>30.435268287632599</v>
      </c>
      <c r="AL3729">
        <v>94.868066344908897</v>
      </c>
      <c r="AM3729">
        <v>89.722870548083506</v>
      </c>
      <c r="AN3729">
        <v>1.0000000068871899</v>
      </c>
    </row>
    <row r="3730" spans="1:40" x14ac:dyDescent="0.25">
      <c r="A3730" t="str">
        <f>"20190303154843285"</f>
        <v>20190303154843285</v>
      </c>
      <c r="B3730" t="str">
        <f>"1551599323274510"</f>
        <v>1551599323274510</v>
      </c>
      <c r="C3730" t="s">
        <v>40</v>
      </c>
      <c r="D3730">
        <v>5.4089140000000002</v>
      </c>
      <c r="E3730">
        <v>0.51195619999999997</v>
      </c>
      <c r="F3730" t="s">
        <v>54</v>
      </c>
      <c r="G3730">
        <v>-286.44830000000002</v>
      </c>
      <c r="H3730" s="1">
        <v>4.2845659999999999E-6</v>
      </c>
      <c r="I3730">
        <v>214.16990000000001</v>
      </c>
      <c r="J3730">
        <v>-316.72669999999999</v>
      </c>
      <c r="K3730">
        <v>1.1203909999999999</v>
      </c>
      <c r="L3730">
        <v>215.1343</v>
      </c>
      <c r="M3730">
        <v>0.99988310000000002</v>
      </c>
      <c r="N3730">
        <v>-1.44095E-2</v>
      </c>
      <c r="O3730">
        <v>5.1294870000000003E-3</v>
      </c>
      <c r="P3730">
        <v>0.99506039999999996</v>
      </c>
      <c r="Q3730">
        <v>-9.9270339999999999E-2</v>
      </c>
      <c r="R3730">
        <v>4.4759010000000002E-4</v>
      </c>
      <c r="S3730">
        <v>3.0039370000000001</v>
      </c>
      <c r="T3730">
        <v>-0.1100955</v>
      </c>
      <c r="U3730">
        <v>-9.4635010000000006E-2</v>
      </c>
      <c r="V3730">
        <v>4.5980409999999998E-3</v>
      </c>
      <c r="W3730">
        <v>-8.4925089999999995E-2</v>
      </c>
      <c r="X3730">
        <v>0.99637679999999995</v>
      </c>
      <c r="Y3730">
        <v>3.6579639999999997E-2</v>
      </c>
      <c r="Z3730">
        <v>-1.0476960000000001E-3</v>
      </c>
      <c r="AA3730">
        <v>0.99933019999999995</v>
      </c>
      <c r="AB3730">
        <v>34</v>
      </c>
      <c r="AC3730">
        <v>30.278399999999898</v>
      </c>
      <c r="AD3730">
        <v>-1.1203867154339999</v>
      </c>
      <c r="AE3730">
        <v>-0.96439999999998305</v>
      </c>
      <c r="AF3730">
        <v>1.11818660260922</v>
      </c>
      <c r="AG3730">
        <v>-1.1203867154339999</v>
      </c>
      <c r="AH3730">
        <v>30.231702588899498</v>
      </c>
      <c r="AI3730">
        <v>92.120960955492293</v>
      </c>
      <c r="AJ3730">
        <v>87.881754065153999</v>
      </c>
      <c r="AK3730">
        <v>30.273114294602198</v>
      </c>
      <c r="AL3730">
        <v>94.871716924111894</v>
      </c>
      <c r="AM3730">
        <v>89.735595536529701</v>
      </c>
      <c r="AN3730">
        <v>1.0000000702353899</v>
      </c>
    </row>
    <row r="3731" spans="1:40" x14ac:dyDescent="0.25">
      <c r="A3731" t="str">
        <f>"20190303154843308"</f>
        <v>20190303154843308</v>
      </c>
      <c r="B3731" t="str">
        <f>"1551599323304765"</f>
        <v>1551599323304765</v>
      </c>
      <c r="C3731" t="s">
        <v>40</v>
      </c>
      <c r="D3731">
        <v>5.5275840000000001</v>
      </c>
      <c r="E3731">
        <v>0.51114820000000005</v>
      </c>
      <c r="F3731" t="s">
        <v>54</v>
      </c>
      <c r="G3731">
        <v>-287.25839999999999</v>
      </c>
      <c r="H3731" s="1">
        <v>3.9226310000000002E-6</v>
      </c>
      <c r="I3731">
        <v>214.1925</v>
      </c>
      <c r="J3731">
        <v>-316.38069999999999</v>
      </c>
      <c r="K3731">
        <v>1.1203920000000001</v>
      </c>
      <c r="L3731">
        <v>215.13570000000001</v>
      </c>
      <c r="M3731">
        <v>0.99988440000000001</v>
      </c>
      <c r="N3731">
        <v>-1.44253E-2</v>
      </c>
      <c r="O3731">
        <v>4.8223140000000003E-3</v>
      </c>
      <c r="P3731">
        <v>0.99508300000000005</v>
      </c>
      <c r="Q3731">
        <v>-9.9043270000000003E-2</v>
      </c>
      <c r="R3731">
        <v>-3.6128100000000003E-4</v>
      </c>
      <c r="S3731">
        <v>3.0035400000000001</v>
      </c>
      <c r="T3731">
        <v>-0.114195</v>
      </c>
      <c r="U3731">
        <v>-9.5993040000000002E-2</v>
      </c>
      <c r="V3731">
        <v>5.1015909999999999E-3</v>
      </c>
      <c r="W3731">
        <v>-8.4682350000000003E-2</v>
      </c>
      <c r="X3731">
        <v>0.99639489999999997</v>
      </c>
      <c r="Y3731">
        <v>3.6725720000000003E-2</v>
      </c>
      <c r="Z3731">
        <v>-1.0765340000000001E-3</v>
      </c>
      <c r="AA3731">
        <v>0.99932480000000001</v>
      </c>
      <c r="AB3731">
        <v>33</v>
      </c>
      <c r="AC3731">
        <v>29.122299999999999</v>
      </c>
      <c r="AD3731">
        <v>-1.120388077369</v>
      </c>
      <c r="AE3731">
        <v>-0.94320000000001802</v>
      </c>
      <c r="AF3731">
        <v>1.0820406784827801</v>
      </c>
      <c r="AG3731">
        <v>-1.120388077369</v>
      </c>
      <c r="AH3731">
        <v>29.074425007535499</v>
      </c>
      <c r="AI3731">
        <v>92.205285847075402</v>
      </c>
      <c r="AJ3731">
        <v>87.868650360821405</v>
      </c>
      <c r="AK3731">
        <v>29.116117031510399</v>
      </c>
      <c r="AL3731">
        <v>94.857759193932196</v>
      </c>
      <c r="AM3731">
        <v>89.706645348205001</v>
      </c>
      <c r="AN3731">
        <v>0.99999996168913097</v>
      </c>
    </row>
    <row r="3732" spans="1:40" x14ac:dyDescent="0.25">
      <c r="A3732" t="str">
        <f>"20190303154843331"</f>
        <v>20190303154843331</v>
      </c>
      <c r="B3732" t="str">
        <f>"1551599323324286"</f>
        <v>1551599323324286</v>
      </c>
      <c r="C3732" t="s">
        <v>40</v>
      </c>
      <c r="D3732">
        <v>5.4243579999999998</v>
      </c>
      <c r="E3732">
        <v>0.51111010000000001</v>
      </c>
      <c r="F3732" t="s">
        <v>54</v>
      </c>
      <c r="G3732">
        <v>-289.92059999999998</v>
      </c>
      <c r="H3732" s="1">
        <v>2.726137E-6</v>
      </c>
      <c r="I3732">
        <v>214.32599999999999</v>
      </c>
      <c r="J3732">
        <v>-316.03609999999998</v>
      </c>
      <c r="K3732">
        <v>1.12039</v>
      </c>
      <c r="L3732">
        <v>215.137</v>
      </c>
      <c r="M3732">
        <v>0.99988560000000004</v>
      </c>
      <c r="N3732">
        <v>-1.443853E-2</v>
      </c>
      <c r="O3732">
        <v>4.5168270000000002E-3</v>
      </c>
      <c r="P3732">
        <v>0.99505379999999999</v>
      </c>
      <c r="Q3732">
        <v>-9.9327250000000006E-2</v>
      </c>
      <c r="R3732">
        <v>-1.4184390000000001E-3</v>
      </c>
      <c r="S3732">
        <v>3.0021360000000001</v>
      </c>
      <c r="T3732">
        <v>-0.1271185</v>
      </c>
      <c r="U3732">
        <v>-9.1873170000000004E-2</v>
      </c>
      <c r="V3732">
        <v>5.8545929999999999E-3</v>
      </c>
      <c r="W3732">
        <v>-8.4954119999999994E-2</v>
      </c>
      <c r="X3732">
        <v>0.99636769999999997</v>
      </c>
      <c r="Y3732">
        <v>3.505929E-2</v>
      </c>
      <c r="Z3732">
        <v>-1.1210160000000001E-3</v>
      </c>
      <c r="AA3732">
        <v>0.99938459999999996</v>
      </c>
      <c r="AB3732">
        <v>33</v>
      </c>
      <c r="AC3732">
        <v>26.115500000000001</v>
      </c>
      <c r="AD3732">
        <v>-1.1203872738630001</v>
      </c>
      <c r="AE3732">
        <v>-0.81100000000000705</v>
      </c>
      <c r="AF3732">
        <v>0.92725822371253397</v>
      </c>
      <c r="AG3732">
        <v>-1.1203872738630001</v>
      </c>
      <c r="AH3732">
        <v>26.0636456689417</v>
      </c>
      <c r="AI3732">
        <v>92.459880531869402</v>
      </c>
      <c r="AJ3732">
        <v>87.962465201206598</v>
      </c>
      <c r="AK3732">
        <v>26.104189338361401</v>
      </c>
      <c r="AL3732">
        <v>94.873386419607698</v>
      </c>
      <c r="AM3732">
        <v>89.663337531746805</v>
      </c>
      <c r="AN3732">
        <v>1.00000003618372</v>
      </c>
    </row>
    <row r="3733" spans="1:40" x14ac:dyDescent="0.25">
      <c r="A3733" t="str">
        <f>"20190303154843352"</f>
        <v>20190303154843352</v>
      </c>
      <c r="B3733" t="str">
        <f>"1551599323344785"</f>
        <v>1551599323344785</v>
      </c>
      <c r="C3733" t="s">
        <v>40</v>
      </c>
      <c r="D3733">
        <v>5.4272359999999997</v>
      </c>
      <c r="E3733">
        <v>0.51108640000000005</v>
      </c>
      <c r="F3733" t="s">
        <v>54</v>
      </c>
      <c r="G3733">
        <v>-291.07819999999998</v>
      </c>
      <c r="H3733" s="1">
        <v>1.0856620000000001E-6</v>
      </c>
      <c r="I3733">
        <v>214.34989999999999</v>
      </c>
      <c r="J3733">
        <v>-315.71510000000001</v>
      </c>
      <c r="K3733">
        <v>1.1203959999999999</v>
      </c>
      <c r="L3733">
        <v>215.13820000000001</v>
      </c>
      <c r="M3733">
        <v>0.99988670000000002</v>
      </c>
      <c r="N3733">
        <v>-1.4448829999999999E-2</v>
      </c>
      <c r="O3733">
        <v>4.2321629999999997E-3</v>
      </c>
      <c r="P3733">
        <v>0.99498580000000003</v>
      </c>
      <c r="Q3733">
        <v>-9.9993509999999994E-2</v>
      </c>
      <c r="R3733">
        <v>-2.1886340000000001E-3</v>
      </c>
      <c r="S3733">
        <v>3.001404</v>
      </c>
      <c r="T3733">
        <v>-0.13473640000000001</v>
      </c>
      <c r="U3733">
        <v>-9.4665529999999998E-2</v>
      </c>
      <c r="V3733">
        <v>6.3408869999999999E-3</v>
      </c>
      <c r="W3733">
        <v>-8.5611359999999997E-2</v>
      </c>
      <c r="X3733">
        <v>0.99630839999999998</v>
      </c>
      <c r="Y3733">
        <v>3.5705500000000001E-2</v>
      </c>
      <c r="Z3733">
        <v>-1.187759E-3</v>
      </c>
      <c r="AA3733">
        <v>0.99936159999999996</v>
      </c>
      <c r="AB3733">
        <v>33</v>
      </c>
      <c r="AC3733">
        <v>24.636900000000001</v>
      </c>
      <c r="AD3733">
        <v>-1.1203949143380001</v>
      </c>
      <c r="AE3733">
        <v>-0.78830000000001998</v>
      </c>
      <c r="AF3733">
        <v>0.89073096539125995</v>
      </c>
      <c r="AG3733">
        <v>-1.1203949143380001</v>
      </c>
      <c r="AH3733">
        <v>24.5825557279083</v>
      </c>
      <c r="AI3733">
        <v>92.607844969359206</v>
      </c>
      <c r="AJ3733">
        <v>87.924837104433294</v>
      </c>
      <c r="AK3733">
        <v>24.624189987337601</v>
      </c>
      <c r="AL3733">
        <v>94.911181517855098</v>
      </c>
      <c r="AM3733">
        <v>89.635352709755097</v>
      </c>
      <c r="AN3733">
        <v>0.99999996985977702</v>
      </c>
    </row>
    <row r="3734" spans="1:40" x14ac:dyDescent="0.25">
      <c r="A3734" t="str">
        <f>"20190303154843374"</f>
        <v>20190303154843374</v>
      </c>
      <c r="B3734" t="str">
        <f>"1551599323364302"</f>
        <v>1551599323364302</v>
      </c>
      <c r="C3734" t="s">
        <v>40</v>
      </c>
      <c r="D3734">
        <v>5.5600680000000002</v>
      </c>
      <c r="E3734">
        <v>0.51114890000000002</v>
      </c>
      <c r="F3734" t="s">
        <v>54</v>
      </c>
      <c r="G3734">
        <v>-291.84050000000002</v>
      </c>
      <c r="H3734" s="1">
        <v>1.2208809999999999E-6</v>
      </c>
      <c r="I3734">
        <v>214.36869999999999</v>
      </c>
      <c r="J3734">
        <v>-315.39370000000002</v>
      </c>
      <c r="K3734">
        <v>1.1203939999999999</v>
      </c>
      <c r="L3734">
        <v>215.13929999999999</v>
      </c>
      <c r="M3734">
        <v>0.99988779999999999</v>
      </c>
      <c r="N3734">
        <v>-1.445743E-2</v>
      </c>
      <c r="O3734">
        <v>3.9474530000000001E-3</v>
      </c>
      <c r="P3734">
        <v>0.99494890000000002</v>
      </c>
      <c r="Q3734">
        <v>-0.10033069999999999</v>
      </c>
      <c r="R3734">
        <v>-3.2563359999999999E-3</v>
      </c>
      <c r="S3734">
        <v>3.0007320000000002</v>
      </c>
      <c r="T3734">
        <v>-0.14081920000000001</v>
      </c>
      <c r="U3734">
        <v>-9.6710210000000005E-2</v>
      </c>
      <c r="V3734">
        <v>7.1250749999999998E-3</v>
      </c>
      <c r="W3734">
        <v>-8.5941000000000004E-2</v>
      </c>
      <c r="X3734">
        <v>0.99627480000000002</v>
      </c>
      <c r="Y3734">
        <v>3.6103679999999999E-2</v>
      </c>
      <c r="Z3734">
        <v>-1.2357729999999999E-3</v>
      </c>
      <c r="AA3734">
        <v>0.99934730000000005</v>
      </c>
      <c r="AB3734">
        <v>33</v>
      </c>
      <c r="AC3734">
        <v>23.5532</v>
      </c>
      <c r="AD3734">
        <v>-1.120392779119</v>
      </c>
      <c r="AE3734">
        <v>-0.77060000000000095</v>
      </c>
      <c r="AF3734">
        <v>0.86163126300154902</v>
      </c>
      <c r="AG3734">
        <v>-1.120392779119</v>
      </c>
      <c r="AH3734">
        <v>23.496863040646801</v>
      </c>
      <c r="AI3734">
        <v>92.728116237135396</v>
      </c>
      <c r="AJ3734">
        <v>87.899901598594397</v>
      </c>
      <c r="AK3734">
        <v>23.539334339861799</v>
      </c>
      <c r="AL3734">
        <v>94.930137971707495</v>
      </c>
      <c r="AM3734">
        <v>89.590243809847394</v>
      </c>
      <c r="AN3734">
        <v>1.00000004964489</v>
      </c>
    </row>
    <row r="3735" spans="1:40" x14ac:dyDescent="0.25">
      <c r="A3735" t="str">
        <f>"20190303154843396"</f>
        <v>20190303154843396</v>
      </c>
      <c r="B3735" t="str">
        <f>"1551599323384798"</f>
        <v>1551599323384798</v>
      </c>
      <c r="C3735" t="s">
        <v>40</v>
      </c>
      <c r="D3735">
        <v>5.4851720000000004</v>
      </c>
      <c r="E3735">
        <v>0.51153320000000002</v>
      </c>
      <c r="F3735" t="s">
        <v>54</v>
      </c>
      <c r="G3735">
        <v>-292.45530000000002</v>
      </c>
      <c r="H3735" s="1">
        <v>1.3299449999999999E-6</v>
      </c>
      <c r="I3735">
        <v>214.37110000000001</v>
      </c>
      <c r="J3735">
        <v>-315.06529999999998</v>
      </c>
      <c r="K3735">
        <v>1.1203920000000001</v>
      </c>
      <c r="L3735">
        <v>215.14019999999999</v>
      </c>
      <c r="M3735">
        <v>0.99988880000000002</v>
      </c>
      <c r="N3735">
        <v>-1.4464629999999999E-2</v>
      </c>
      <c r="O3735">
        <v>3.6566739999999999E-3</v>
      </c>
      <c r="P3735">
        <v>0.99494369999999999</v>
      </c>
      <c r="Q3735">
        <v>-0.1003656</v>
      </c>
      <c r="R3735">
        <v>-3.7897349999999998E-3</v>
      </c>
      <c r="S3735">
        <v>3.0001530000000001</v>
      </c>
      <c r="T3735">
        <v>-0.1465381</v>
      </c>
      <c r="U3735">
        <v>-0.10046389999999999</v>
      </c>
      <c r="V3735">
        <v>7.3689699999999999E-3</v>
      </c>
      <c r="W3735">
        <v>-8.5968989999999995E-2</v>
      </c>
      <c r="X3735">
        <v>0.99627049999999995</v>
      </c>
      <c r="Y3735">
        <v>3.7062879999999999E-2</v>
      </c>
      <c r="Z3735">
        <v>-1.298289E-3</v>
      </c>
      <c r="AA3735">
        <v>0.99931210000000004</v>
      </c>
      <c r="AB3735">
        <v>33</v>
      </c>
      <c r="AC3735">
        <v>22.6099999999999</v>
      </c>
      <c r="AD3735">
        <v>-1.1203906700549999</v>
      </c>
      <c r="AE3735">
        <v>-0.76909999999998002</v>
      </c>
      <c r="AF3735">
        <v>0.84969688867821602</v>
      </c>
      <c r="AG3735">
        <v>-1.1203906700549999</v>
      </c>
      <c r="AH3735">
        <v>22.5517246711116</v>
      </c>
      <c r="AI3735">
        <v>92.842155851849697</v>
      </c>
      <c r="AJ3735">
        <v>87.842248055366099</v>
      </c>
      <c r="AK3735">
        <v>22.5955204785771</v>
      </c>
      <c r="AL3735">
        <v>94.931748184537994</v>
      </c>
      <c r="AM3735">
        <v>89.576216317728594</v>
      </c>
      <c r="AN3735">
        <v>0.999999939065363</v>
      </c>
    </row>
    <row r="3736" spans="1:40" x14ac:dyDescent="0.25">
      <c r="A3736" t="str">
        <f>"20190303154843418"</f>
        <v>20190303154843418</v>
      </c>
      <c r="B3736" t="str">
        <f>"1551599323414078"</f>
        <v>1551599323414078</v>
      </c>
      <c r="C3736" t="s">
        <v>40</v>
      </c>
      <c r="D3736">
        <v>5.5387529999999998</v>
      </c>
      <c r="E3736">
        <v>0.51098670000000002</v>
      </c>
      <c r="F3736" t="s">
        <v>54</v>
      </c>
      <c r="G3736">
        <v>-292.11649999999997</v>
      </c>
      <c r="H3736" s="1">
        <v>1.2698399999999999E-6</v>
      </c>
      <c r="I3736">
        <v>214.33580000000001</v>
      </c>
      <c r="J3736">
        <v>-314.73739999999998</v>
      </c>
      <c r="K3736">
        <v>1.120398</v>
      </c>
      <c r="L3736">
        <v>215.14109999999999</v>
      </c>
      <c r="M3736">
        <v>0.99988980000000005</v>
      </c>
      <c r="N3736">
        <v>-1.447039E-2</v>
      </c>
      <c r="O3736">
        <v>3.3680649999999999E-3</v>
      </c>
      <c r="P3736">
        <v>0.99499420000000005</v>
      </c>
      <c r="Q3736">
        <v>-9.9835489999999999E-2</v>
      </c>
      <c r="R3736">
        <v>-4.4409310000000004E-3</v>
      </c>
      <c r="S3736">
        <v>3.0000610000000001</v>
      </c>
      <c r="T3736">
        <v>-0.14646689999999901</v>
      </c>
      <c r="U3736">
        <v>-0.1051636</v>
      </c>
      <c r="V3736">
        <v>7.733958E-3</v>
      </c>
      <c r="W3736">
        <v>-8.5432720000000004E-2</v>
      </c>
      <c r="X3736">
        <v>0.99631389999999997</v>
      </c>
      <c r="Y3736">
        <v>3.8337309999999999E-2</v>
      </c>
      <c r="Z3736">
        <v>-1.3282700000000001E-3</v>
      </c>
      <c r="AA3736">
        <v>0.99926400000000004</v>
      </c>
      <c r="AB3736">
        <v>33</v>
      </c>
      <c r="AC3736">
        <v>22.620899999999999</v>
      </c>
      <c r="AD3736">
        <v>-1.12039673016</v>
      </c>
      <c r="AE3736">
        <v>-0.80529999999998803</v>
      </c>
      <c r="AF3736">
        <v>0.87933764186812502</v>
      </c>
      <c r="AG3736">
        <v>-1.12039673016</v>
      </c>
      <c r="AH3736">
        <v>22.562779284367998</v>
      </c>
      <c r="AI3736">
        <v>92.840640385165102</v>
      </c>
      <c r="AJ3736">
        <v>87.768145057173896</v>
      </c>
      <c r="AK3736">
        <v>22.607687465914498</v>
      </c>
      <c r="AL3736">
        <v>94.900908534312507</v>
      </c>
      <c r="AM3736">
        <v>89.555246341386194</v>
      </c>
      <c r="AN3736">
        <v>0.99999997554307596</v>
      </c>
    </row>
    <row r="3737" spans="1:40" x14ac:dyDescent="0.25">
      <c r="A3737" t="str">
        <f>"20190303154843441"</f>
        <v>20190303154843441</v>
      </c>
      <c r="B3737" t="str">
        <f>"1551599323434573"</f>
        <v>1551599323434573</v>
      </c>
      <c r="C3737" t="s">
        <v>40</v>
      </c>
      <c r="D3737">
        <v>5.4430259999999997</v>
      </c>
      <c r="E3737">
        <v>0.51101419999999997</v>
      </c>
      <c r="F3737" t="s">
        <v>54</v>
      </c>
      <c r="G3737">
        <v>-293.28680000000003</v>
      </c>
      <c r="H3737" s="1">
        <v>1.477429E-6</v>
      </c>
      <c r="I3737">
        <v>214.40620000000001</v>
      </c>
      <c r="J3737">
        <v>-314.39260000000002</v>
      </c>
      <c r="K3737">
        <v>1.1203989999999999</v>
      </c>
      <c r="L3737">
        <v>215.142</v>
      </c>
      <c r="M3737">
        <v>0.99989059999999996</v>
      </c>
      <c r="N3737">
        <v>-1.4475129999999999E-2</v>
      </c>
      <c r="O3737">
        <v>3.0693729999999998E-3</v>
      </c>
      <c r="P3737">
        <v>0.99497349999999996</v>
      </c>
      <c r="Q3737">
        <v>-0.1000185</v>
      </c>
      <c r="R3737">
        <v>-4.912296E-3</v>
      </c>
      <c r="S3737">
        <v>2.998901</v>
      </c>
      <c r="T3737">
        <v>-0.156637</v>
      </c>
      <c r="U3737">
        <v>-0.1027527</v>
      </c>
      <c r="V3737">
        <v>7.908666E-3</v>
      </c>
      <c r="W3737">
        <v>-8.5611309999999996E-2</v>
      </c>
      <c r="X3737">
        <v>0.99629719999999999</v>
      </c>
      <c r="Y3737">
        <v>3.7244100000000002E-2</v>
      </c>
      <c r="Z3737">
        <v>-1.3573610000000001E-3</v>
      </c>
      <c r="AA3737">
        <v>0.9993052</v>
      </c>
      <c r="AB3737">
        <v>33</v>
      </c>
      <c r="AC3737">
        <v>21.105799999999899</v>
      </c>
      <c r="AD3737">
        <v>-1.1203975225709999</v>
      </c>
      <c r="AE3737">
        <v>-0.73579999999998302</v>
      </c>
      <c r="AF3737">
        <v>0.798337905089477</v>
      </c>
      <c r="AG3737">
        <v>-1.1203975225709999</v>
      </c>
      <c r="AH3737">
        <v>21.044211326413599</v>
      </c>
      <c r="AI3737">
        <v>93.045373657006806</v>
      </c>
      <c r="AJ3737">
        <v>87.827456311380004</v>
      </c>
      <c r="AK3737">
        <v>21.089131427587098</v>
      </c>
      <c r="AL3737">
        <v>94.911178607047205</v>
      </c>
      <c r="AM3737">
        <v>89.545192271933502</v>
      </c>
      <c r="AN3737">
        <v>0.99999997706282695</v>
      </c>
    </row>
    <row r="3738" spans="1:40" x14ac:dyDescent="0.25">
      <c r="A3738" t="str">
        <f>"20190303154843463"</f>
        <v>20190303154843463</v>
      </c>
      <c r="B3738" t="str">
        <f>"1551599323455069"</f>
        <v>1551599323455069</v>
      </c>
      <c r="C3738" t="s">
        <v>40</v>
      </c>
      <c r="D3738">
        <v>5.4751029999999998</v>
      </c>
      <c r="E3738">
        <v>0.51128269999999998</v>
      </c>
      <c r="F3738" t="s">
        <v>54</v>
      </c>
      <c r="G3738">
        <v>-293.36509999999998</v>
      </c>
      <c r="H3738" s="1">
        <v>1.4913180000000001E-6</v>
      </c>
      <c r="I3738">
        <v>214.40700000000001</v>
      </c>
      <c r="J3738">
        <v>-314.06880000000001</v>
      </c>
      <c r="K3738">
        <v>1.1203989999999999</v>
      </c>
      <c r="L3738">
        <v>215.14269999999999</v>
      </c>
      <c r="M3738">
        <v>0.99989130000000004</v>
      </c>
      <c r="N3738">
        <v>-1.447857E-2</v>
      </c>
      <c r="O3738">
        <v>2.7965939999999999E-3</v>
      </c>
      <c r="P3738">
        <v>0.99485279999999998</v>
      </c>
      <c r="Q3738">
        <v>-0.10117379999999999</v>
      </c>
      <c r="R3738">
        <v>-5.6572489999999996E-3</v>
      </c>
      <c r="S3738">
        <v>2.998535</v>
      </c>
      <c r="T3738">
        <v>-0.1597692</v>
      </c>
      <c r="U3738">
        <v>-0.1047974</v>
      </c>
      <c r="V3738">
        <v>8.3821729999999997E-3</v>
      </c>
      <c r="W3738">
        <v>-8.6764980000000005E-2</v>
      </c>
      <c r="X3738">
        <v>0.99619349999999995</v>
      </c>
      <c r="Y3738">
        <v>3.7653249999999999E-2</v>
      </c>
      <c r="Z3738">
        <v>-1.3834380000000001E-3</v>
      </c>
      <c r="AA3738">
        <v>0.99928989999999995</v>
      </c>
      <c r="AB3738">
        <v>33</v>
      </c>
      <c r="AC3738">
        <v>20.703700000000001</v>
      </c>
      <c r="AD3738">
        <v>-1.1203975086819999</v>
      </c>
      <c r="AE3738">
        <v>-0.73569999999998004</v>
      </c>
      <c r="AF3738">
        <v>0.79128865057458597</v>
      </c>
      <c r="AG3738">
        <v>-1.1203975086819999</v>
      </c>
      <c r="AH3738">
        <v>20.641189428543299</v>
      </c>
      <c r="AI3738">
        <v>93.104672611519106</v>
      </c>
      <c r="AJ3738">
        <v>87.804617297940695</v>
      </c>
      <c r="AK3738">
        <v>20.686713835962401</v>
      </c>
      <c r="AL3738">
        <v>94.977526025773102</v>
      </c>
      <c r="AM3738">
        <v>89.517913133830206</v>
      </c>
      <c r="AN3738">
        <v>0.99999995601042502</v>
      </c>
    </row>
    <row r="3739" spans="1:40" x14ac:dyDescent="0.25">
      <c r="A3739" t="str">
        <f>"20190303154843498"</f>
        <v>20190303154843498</v>
      </c>
      <c r="B3739" t="str">
        <f>"1551599323494109"</f>
        <v>1551599323494109</v>
      </c>
      <c r="C3739" t="s">
        <v>40</v>
      </c>
      <c r="D3739">
        <v>5.4765620000000004</v>
      </c>
      <c r="E3739">
        <v>0.51158630000000005</v>
      </c>
      <c r="F3739" t="s">
        <v>54</v>
      </c>
      <c r="G3739">
        <v>-293.35489999999999</v>
      </c>
      <c r="H3739" s="1">
        <v>1.489513E-6</v>
      </c>
      <c r="I3739">
        <v>214.3903</v>
      </c>
      <c r="J3739">
        <v>-313.55549999999999</v>
      </c>
      <c r="K3739">
        <v>1.1204130000000001</v>
      </c>
      <c r="L3739">
        <v>215.14359999999999</v>
      </c>
      <c r="M3739">
        <v>0.99989240000000001</v>
      </c>
      <c r="N3739">
        <v>-1.448201E-2</v>
      </c>
      <c r="O3739">
        <v>2.378912E-3</v>
      </c>
      <c r="P3739">
        <v>0.99476730000000002</v>
      </c>
      <c r="Q3739">
        <v>-0.1019924</v>
      </c>
      <c r="R3739">
        <v>-5.9810660000000002E-3</v>
      </c>
      <c r="S3739">
        <v>2.9984130000000002</v>
      </c>
      <c r="T3739">
        <v>-0.16218160000000001</v>
      </c>
      <c r="U3739">
        <v>-0.108902</v>
      </c>
      <c r="V3739">
        <v>8.2923040000000003E-3</v>
      </c>
      <c r="W3739">
        <v>-8.7581039999999999E-2</v>
      </c>
      <c r="X3739">
        <v>0.99612290000000003</v>
      </c>
      <c r="Y3739">
        <v>3.8600089999999997E-2</v>
      </c>
      <c r="Z3739">
        <v>-1.416802E-3</v>
      </c>
      <c r="AA3739">
        <v>0.99925370000000002</v>
      </c>
      <c r="AB3739">
        <v>33</v>
      </c>
      <c r="AC3739">
        <v>20.200600000000001</v>
      </c>
      <c r="AD3739">
        <v>-1.1204115104869901</v>
      </c>
      <c r="AE3739">
        <v>-0.75329999999999497</v>
      </c>
      <c r="AF3739">
        <v>0.79890410913730803</v>
      </c>
      <c r="AG3739">
        <v>-1.1204115104869901</v>
      </c>
      <c r="AH3739">
        <v>20.136889815942101</v>
      </c>
      <c r="AI3739">
        <v>93.182141019144396</v>
      </c>
      <c r="AJ3739">
        <v>87.728058266730997</v>
      </c>
      <c r="AK3739">
        <v>20.183852486277701</v>
      </c>
      <c r="AL3739">
        <v>95.024461193416101</v>
      </c>
      <c r="AM3739">
        <v>89.523047761294805</v>
      </c>
      <c r="AN3739">
        <v>1.0000000163887599</v>
      </c>
    </row>
    <row r="3740" spans="1:40" x14ac:dyDescent="0.25">
      <c r="A3740" t="str">
        <f>"20190303154843522"</f>
        <v>20190303154843522</v>
      </c>
      <c r="B3740" t="str">
        <f>"1551599323514606"</f>
        <v>1551599323514606</v>
      </c>
      <c r="C3740" t="s">
        <v>40</v>
      </c>
      <c r="D3740">
        <v>5.463857</v>
      </c>
      <c r="E3740">
        <v>0.51159220000000005</v>
      </c>
      <c r="F3740" t="s">
        <v>54</v>
      </c>
      <c r="G3740">
        <v>-292.97340000000003</v>
      </c>
      <c r="H3740" s="1">
        <v>1.421844E-6</v>
      </c>
      <c r="I3740">
        <v>214.3724</v>
      </c>
      <c r="J3740">
        <v>-313.21420000000001</v>
      </c>
      <c r="K3740">
        <v>1.1204270000000001</v>
      </c>
      <c r="L3740">
        <v>215.14410000000001</v>
      </c>
      <c r="M3740">
        <v>0.99989289999999997</v>
      </c>
      <c r="N3740">
        <v>-1.4483289999999999E-2</v>
      </c>
      <c r="O3740">
        <v>2.1179150000000002E-3</v>
      </c>
      <c r="P3740">
        <v>0.99481280000000005</v>
      </c>
      <c r="Q3740">
        <v>-0.1015356</v>
      </c>
      <c r="R3740">
        <v>-6.1948519999999998E-3</v>
      </c>
      <c r="S3740">
        <v>2.9984130000000002</v>
      </c>
      <c r="T3740">
        <v>-0.16322229999999999</v>
      </c>
      <c r="U3740">
        <v>-0.11235050000000001</v>
      </c>
      <c r="V3740">
        <v>8.2488279999999997E-3</v>
      </c>
      <c r="W3740">
        <v>-8.7122089999999999E-2</v>
      </c>
      <c r="X3740">
        <v>0.99616349999999998</v>
      </c>
      <c r="Y3740">
        <v>3.9484619999999998E-2</v>
      </c>
      <c r="Z3740">
        <v>-1.4443609999999999E-3</v>
      </c>
      <c r="AA3740">
        <v>0.99921910000000003</v>
      </c>
      <c r="AB3740">
        <v>33</v>
      </c>
      <c r="AC3740">
        <v>20.240799999999901</v>
      </c>
      <c r="AD3740">
        <v>-1.120425578156</v>
      </c>
      <c r="AE3740">
        <v>-0.77170000000000905</v>
      </c>
      <c r="AF3740">
        <v>0.81208631206486004</v>
      </c>
      <c r="AG3740">
        <v>-1.120425578156</v>
      </c>
      <c r="AH3740">
        <v>20.1773831457614</v>
      </c>
      <c r="AI3740">
        <v>93.175735221715598</v>
      </c>
      <c r="AJ3740">
        <v>87.695240312204902</v>
      </c>
      <c r="AK3740">
        <v>20.224777582591301</v>
      </c>
      <c r="AL3740">
        <v>94.998064425926202</v>
      </c>
      <c r="AM3740">
        <v>89.525567611684295</v>
      </c>
      <c r="AN3740">
        <v>1.00000001023079</v>
      </c>
    </row>
    <row r="3741" spans="1:40" x14ac:dyDescent="0.25">
      <c r="A3741" t="str">
        <f>"20190303154843541"</f>
        <v>20190303154843541</v>
      </c>
      <c r="B3741" t="str">
        <f>"1551599323534126"</f>
        <v>1551599323534126</v>
      </c>
      <c r="C3741" t="s">
        <v>40</v>
      </c>
      <c r="D3741">
        <v>5.4562650000000001</v>
      </c>
      <c r="E3741">
        <v>0.51159750000000004</v>
      </c>
      <c r="F3741" t="s">
        <v>54</v>
      </c>
      <c r="G3741">
        <v>-292.4194</v>
      </c>
      <c r="H3741" s="1">
        <v>1.3235750000000001E-6</v>
      </c>
      <c r="I3741">
        <v>214.35830000000001</v>
      </c>
      <c r="J3741">
        <v>-312.91660000000002</v>
      </c>
      <c r="K3741">
        <v>1.120441</v>
      </c>
      <c r="L3741">
        <v>215.14449999999999</v>
      </c>
      <c r="M3741">
        <v>0.99989340000000004</v>
      </c>
      <c r="N3741">
        <v>-1.44838E-2</v>
      </c>
      <c r="O3741">
        <v>1.910019E-3</v>
      </c>
      <c r="P3741">
        <v>0.99481149999999996</v>
      </c>
      <c r="Q3741">
        <v>-0.10156469999999999</v>
      </c>
      <c r="R3741">
        <v>-5.9192009999999998E-3</v>
      </c>
      <c r="S3741">
        <v>2.9984739999999999</v>
      </c>
      <c r="T3741">
        <v>-0.16155849999999999</v>
      </c>
      <c r="U3741">
        <v>-0.1133118</v>
      </c>
      <c r="V3741">
        <v>7.7690440000000001E-3</v>
      </c>
      <c r="W3741">
        <v>-8.7150130000000006E-2</v>
      </c>
      <c r="X3741">
        <v>0.99616490000000002</v>
      </c>
      <c r="Y3741">
        <v>3.9597350000000003E-2</v>
      </c>
      <c r="Z3741">
        <v>-1.427907E-3</v>
      </c>
      <c r="AA3741">
        <v>0.99921470000000001</v>
      </c>
      <c r="AB3741">
        <v>33</v>
      </c>
      <c r="AC3741">
        <v>20.497199999999999</v>
      </c>
      <c r="AD3741">
        <v>-1.120439676425</v>
      </c>
      <c r="AE3741">
        <v>-0.78619999999997903</v>
      </c>
      <c r="AF3741">
        <v>0.82289746277221998</v>
      </c>
      <c r="AG3741">
        <v>-1.120439676425</v>
      </c>
      <c r="AH3741">
        <v>20.4346906093683</v>
      </c>
      <c r="AI3741">
        <v>93.135864211689906</v>
      </c>
      <c r="AJ3741">
        <v>87.693966049430202</v>
      </c>
      <c r="AK3741">
        <v>20.481921921620199</v>
      </c>
      <c r="AL3741">
        <v>94.999677156859406</v>
      </c>
      <c r="AM3741">
        <v>89.553161923797603</v>
      </c>
      <c r="AN3741">
        <v>1.00000000559785</v>
      </c>
    </row>
    <row r="3742" spans="1:40" x14ac:dyDescent="0.25">
      <c r="A3742" t="str">
        <f>"20190303154843563"</f>
        <v>20190303154843563</v>
      </c>
      <c r="B3742" t="str">
        <f>"1551599323554621"</f>
        <v>1551599323554621</v>
      </c>
      <c r="C3742" t="s">
        <v>40</v>
      </c>
      <c r="D3742">
        <v>5.4698359999999999</v>
      </c>
      <c r="E3742">
        <v>0.5117159</v>
      </c>
      <c r="F3742" t="s">
        <v>54</v>
      </c>
      <c r="G3742">
        <v>-292.07499999999999</v>
      </c>
      <c r="H3742" s="1">
        <v>1.2624730000000001E-6</v>
      </c>
      <c r="I3742">
        <v>214.3638</v>
      </c>
      <c r="J3742">
        <v>-312.59249999999997</v>
      </c>
      <c r="K3742">
        <v>1.1204559999999999</v>
      </c>
      <c r="L3742">
        <v>215.14490000000001</v>
      </c>
      <c r="M3742">
        <v>0.9998937</v>
      </c>
      <c r="N3742">
        <v>-1.44838E-2</v>
      </c>
      <c r="O3742">
        <v>1.7029689999999999E-3</v>
      </c>
      <c r="P3742">
        <v>0.99473959999999995</v>
      </c>
      <c r="Q3742">
        <v>-0.10230640000000001</v>
      </c>
      <c r="R3742">
        <v>-5.1848939999999998E-3</v>
      </c>
      <c r="S3742">
        <v>2.9985050000000002</v>
      </c>
      <c r="T3742">
        <v>-0.16119900000000001</v>
      </c>
      <c r="U3742">
        <v>-0.1123199</v>
      </c>
      <c r="V3742">
        <v>6.8319030000000003E-3</v>
      </c>
      <c r="W3742">
        <v>-8.789189E-2</v>
      </c>
      <c r="X3742">
        <v>0.99610659999999895</v>
      </c>
      <c r="Y3742">
        <v>3.9061449999999998E-2</v>
      </c>
      <c r="Z3742">
        <v>-1.3989040000000001E-3</v>
      </c>
      <c r="AA3742">
        <v>0.99923580000000001</v>
      </c>
      <c r="AB3742">
        <v>33</v>
      </c>
      <c r="AC3742">
        <v>20.517499999999899</v>
      </c>
      <c r="AD3742">
        <v>-1.120454737527</v>
      </c>
      <c r="AE3742">
        <v>-0.78110000000000901</v>
      </c>
      <c r="AF3742">
        <v>0.813620313850419</v>
      </c>
      <c r="AG3742">
        <v>-1.120454737527</v>
      </c>
      <c r="AH3742">
        <v>20.4552262024363</v>
      </c>
      <c r="AI3742">
        <v>93.132826039385606</v>
      </c>
      <c r="AJ3742">
        <v>87.722222739467099</v>
      </c>
      <c r="AK3742">
        <v>20.5020407722449</v>
      </c>
      <c r="AL3742">
        <v>95.042340571868806</v>
      </c>
      <c r="AM3742">
        <v>89.607036967442497</v>
      </c>
      <c r="AN3742">
        <v>1.0000000088949601</v>
      </c>
    </row>
    <row r="3743" spans="1:40" x14ac:dyDescent="0.25">
      <c r="A3743" t="str">
        <f>"20190303154843585"</f>
        <v>20190303154843585</v>
      </c>
      <c r="B3743" t="str">
        <f>"1551599323574142"</f>
        <v>1551599323574142</v>
      </c>
      <c r="C3743" t="s">
        <v>40</v>
      </c>
      <c r="D3743">
        <v>5.4725339999999996</v>
      </c>
      <c r="E3743">
        <v>0.51180219999999998</v>
      </c>
      <c r="F3743" t="s">
        <v>54</v>
      </c>
      <c r="G3743">
        <v>-291.90839999999997</v>
      </c>
      <c r="H3743" s="1">
        <v>1.232936E-6</v>
      </c>
      <c r="I3743">
        <v>214.3783</v>
      </c>
      <c r="J3743">
        <v>-312.26150000000001</v>
      </c>
      <c r="K3743">
        <v>1.120474</v>
      </c>
      <c r="L3743">
        <v>215.14529999999999</v>
      </c>
      <c r="M3743">
        <v>0.99989399999999995</v>
      </c>
      <c r="N3743">
        <v>-1.4483299999999999E-2</v>
      </c>
      <c r="O3743">
        <v>1.51811E-3</v>
      </c>
      <c r="P3743">
        <v>0.99471620000000005</v>
      </c>
      <c r="Q3743">
        <v>-0.1025693</v>
      </c>
      <c r="R3743">
        <v>-4.402403E-3</v>
      </c>
      <c r="S3743">
        <v>2.9985659999999998</v>
      </c>
      <c r="T3743">
        <v>-0.16243239999999901</v>
      </c>
      <c r="U3743">
        <v>-0.11114499999999999</v>
      </c>
      <c r="V3743">
        <v>5.869595E-3</v>
      </c>
      <c r="W3743">
        <v>-8.8154800000000005E-2</v>
      </c>
      <c r="X3743">
        <v>0.99608949999999996</v>
      </c>
      <c r="Y3743">
        <v>3.8485169999999999E-2</v>
      </c>
      <c r="Z3743">
        <v>-1.3804959999999999E-3</v>
      </c>
      <c r="AA3743">
        <v>0.99925819999999999</v>
      </c>
      <c r="AB3743">
        <v>33</v>
      </c>
      <c r="AC3743">
        <v>20.353100000000001</v>
      </c>
      <c r="AD3743">
        <v>-1.120472767064</v>
      </c>
      <c r="AE3743">
        <v>-0.76699999999999502</v>
      </c>
      <c r="AF3743">
        <v>0.79549312664687499</v>
      </c>
      <c r="AG3743">
        <v>-1.120472767064</v>
      </c>
      <c r="AH3743">
        <v>20.290505010097601</v>
      </c>
      <c r="AI3743">
        <v>93.158329100634404</v>
      </c>
      <c r="AJ3743">
        <v>87.754857839616605</v>
      </c>
      <c r="AK3743">
        <v>20.336982620366101</v>
      </c>
      <c r="AL3743">
        <v>95.057462916182601</v>
      </c>
      <c r="AM3743">
        <v>89.662380610850406</v>
      </c>
      <c r="AN3743">
        <v>1.0000000064593699</v>
      </c>
    </row>
    <row r="3744" spans="1:40" x14ac:dyDescent="0.25">
      <c r="A3744" t="str">
        <f>"20190303154843609"</f>
        <v>20190303154843609</v>
      </c>
      <c r="B3744" t="str">
        <f>"1551599323604399"</f>
        <v>1551599323604399</v>
      </c>
      <c r="C3744" t="s">
        <v>40</v>
      </c>
      <c r="D3744">
        <v>5.5111879999999998</v>
      </c>
      <c r="E3744">
        <v>0.51133359999999894</v>
      </c>
      <c r="F3744" t="s">
        <v>54</v>
      </c>
      <c r="G3744">
        <v>-291.60070000000002</v>
      </c>
      <c r="H3744" s="1">
        <v>1.1783480000000001E-6</v>
      </c>
      <c r="I3744">
        <v>214.39160000000001</v>
      </c>
      <c r="J3744">
        <v>-311.92320000000001</v>
      </c>
      <c r="K3744">
        <v>1.120501</v>
      </c>
      <c r="L3744">
        <v>215.1456</v>
      </c>
      <c r="M3744">
        <v>0.99989430000000001</v>
      </c>
      <c r="N3744">
        <v>-1.448235E-2</v>
      </c>
      <c r="O3744">
        <v>1.365432E-3</v>
      </c>
      <c r="P3744">
        <v>0.99476929999999997</v>
      </c>
      <c r="Q3744">
        <v>-0.1020706</v>
      </c>
      <c r="R3744">
        <v>-3.9458480000000001E-3</v>
      </c>
      <c r="S3744">
        <v>2.998688</v>
      </c>
      <c r="T3744">
        <v>-0.16262399999999999</v>
      </c>
      <c r="U3744">
        <v>-0.1093903</v>
      </c>
      <c r="V3744">
        <v>5.2675530000000003E-3</v>
      </c>
      <c r="W3744">
        <v>-8.7655659999999996E-2</v>
      </c>
      <c r="X3744">
        <v>0.99613689999999999</v>
      </c>
      <c r="Y3744">
        <v>3.7748459999999998E-2</v>
      </c>
      <c r="Z3744">
        <v>-1.3504070000000001E-3</v>
      </c>
      <c r="AA3744">
        <v>0.99928640000000002</v>
      </c>
      <c r="AB3744">
        <v>33</v>
      </c>
      <c r="AC3744">
        <v>20.322499999999899</v>
      </c>
      <c r="AD3744">
        <v>-1.1204998216519999</v>
      </c>
      <c r="AE3744">
        <v>-0.75399999999999001</v>
      </c>
      <c r="AF3744">
        <v>0.77938514567749795</v>
      </c>
      <c r="AG3744">
        <v>-1.1204998216519999</v>
      </c>
      <c r="AH3744">
        <v>20.259946439317201</v>
      </c>
      <c r="AI3744">
        <v>93.163249528826896</v>
      </c>
      <c r="AJ3744">
        <v>87.796960084475103</v>
      </c>
      <c r="AK3744">
        <v>20.305870845143001</v>
      </c>
      <c r="AL3744">
        <v>95.028753230091795</v>
      </c>
      <c r="AM3744">
        <v>89.697023830582907</v>
      </c>
      <c r="AN3744">
        <v>0.99999999269312601</v>
      </c>
    </row>
    <row r="3745" spans="1:40" x14ac:dyDescent="0.25">
      <c r="A3745" t="str">
        <f>"20190303154843631"</f>
        <v>20190303154843631</v>
      </c>
      <c r="B3745" t="str">
        <f>"1551599323624894"</f>
        <v>1551599323624894</v>
      </c>
      <c r="C3745" t="s">
        <v>40</v>
      </c>
      <c r="D3745">
        <v>5.5003880000000001</v>
      </c>
      <c r="E3745">
        <v>0.51099129999999904</v>
      </c>
      <c r="F3745" t="s">
        <v>54</v>
      </c>
      <c r="G3745">
        <v>-291.01819999999998</v>
      </c>
      <c r="H3745" s="1">
        <v>1.075027E-6</v>
      </c>
      <c r="I3745">
        <v>214.417</v>
      </c>
      <c r="J3745">
        <v>-311.59089999999998</v>
      </c>
      <c r="K3745">
        <v>1.1205400000000001</v>
      </c>
      <c r="L3745">
        <v>215.14590000000001</v>
      </c>
      <c r="M3745">
        <v>0.99989439999999996</v>
      </c>
      <c r="N3745">
        <v>-1.4480979999999999E-2</v>
      </c>
      <c r="O3745">
        <v>1.2579119999999999E-3</v>
      </c>
      <c r="P3745">
        <v>0.99490690000000004</v>
      </c>
      <c r="Q3745">
        <v>-0.1007179</v>
      </c>
      <c r="R3745">
        <v>-4.0629339999999998E-3</v>
      </c>
      <c r="S3745">
        <v>2.9989319999999999</v>
      </c>
      <c r="T3745">
        <v>-0.16074189999999999</v>
      </c>
      <c r="U3745">
        <v>-0.104522699999999</v>
      </c>
      <c r="V3745">
        <v>5.2850149999999997E-3</v>
      </c>
      <c r="W3745">
        <v>-8.6302050000000005E-2</v>
      </c>
      <c r="X3745">
        <v>0.996255</v>
      </c>
      <c r="Y3745">
        <v>3.6022819999999997E-2</v>
      </c>
      <c r="Z3745">
        <v>-1.2747289999999901E-3</v>
      </c>
      <c r="AA3745">
        <v>0.99935010000000002</v>
      </c>
      <c r="AB3745">
        <v>33</v>
      </c>
      <c r="AC3745">
        <v>20.572700000000001</v>
      </c>
      <c r="AD3745">
        <v>-1.12053892497299</v>
      </c>
      <c r="AE3745">
        <v>-0.72890000000000998</v>
      </c>
      <c r="AF3745">
        <v>0.75255099996053398</v>
      </c>
      <c r="AG3745">
        <v>-1.12053892497299</v>
      </c>
      <c r="AH3745">
        <v>20.510993383050899</v>
      </c>
      <c r="AI3745">
        <v>93.124926762752594</v>
      </c>
      <c r="AJ3745">
        <v>87.898752976710497</v>
      </c>
      <c r="AK3745">
        <v>20.5553591564214</v>
      </c>
      <c r="AL3745">
        <v>94.950902002727005</v>
      </c>
      <c r="AM3745">
        <v>89.696055514217093</v>
      </c>
      <c r="AN3745">
        <v>1.00000000012137</v>
      </c>
    </row>
    <row r="3746" spans="1:40" x14ac:dyDescent="0.25">
      <c r="A3746" t="str">
        <f>"20190303154843654"</f>
        <v>20190303154843654</v>
      </c>
      <c r="B3746" t="str">
        <f>"1551599323644414"</f>
        <v>1551599323644414</v>
      </c>
      <c r="C3746" t="s">
        <v>40</v>
      </c>
      <c r="D3746">
        <v>5.5102010000000003</v>
      </c>
      <c r="E3746">
        <v>0.51065050000000001</v>
      </c>
      <c r="F3746" t="s">
        <v>54</v>
      </c>
      <c r="G3746">
        <v>-290.0711</v>
      </c>
      <c r="H3746" s="1">
        <v>9.0702159999999996E-7</v>
      </c>
      <c r="I3746">
        <v>214.41309999999999</v>
      </c>
      <c r="J3746">
        <v>-311.2647</v>
      </c>
      <c r="K3746">
        <v>1.1205909999999999</v>
      </c>
      <c r="L3746">
        <v>215.14619999999999</v>
      </c>
      <c r="M3746">
        <v>0.99989459999999997</v>
      </c>
      <c r="N3746">
        <v>-1.447933E-2</v>
      </c>
      <c r="O3746">
        <v>1.1899230000000001E-3</v>
      </c>
      <c r="P3746">
        <v>0.99506039999999996</v>
      </c>
      <c r="Q3746">
        <v>-9.9143389999999998E-2</v>
      </c>
      <c r="R3746">
        <v>-5.0350780000000001E-3</v>
      </c>
      <c r="S3746">
        <v>2.9991460000000001</v>
      </c>
      <c r="T3746">
        <v>-0.156166</v>
      </c>
      <c r="U3746">
        <v>-0.1021271</v>
      </c>
      <c r="V3746">
        <v>6.1972240000000003E-3</v>
      </c>
      <c r="W3746">
        <v>-8.4726930000000006E-2</v>
      </c>
      <c r="X3746">
        <v>0.99638490000000002</v>
      </c>
      <c r="Y3746">
        <v>3.5159990000000002E-2</v>
      </c>
      <c r="Z3746">
        <v>-1.2140460000000001E-3</v>
      </c>
      <c r="AA3746">
        <v>0.99938090000000002</v>
      </c>
      <c r="AB3746">
        <v>33</v>
      </c>
      <c r="AC3746">
        <v>21.1936</v>
      </c>
      <c r="AD3746">
        <v>-1.1205900929783901</v>
      </c>
      <c r="AE3746">
        <v>-0.73310000000000697</v>
      </c>
      <c r="AF3746">
        <v>0.75620929717534402</v>
      </c>
      <c r="AG3746">
        <v>-1.1205900929783901</v>
      </c>
      <c r="AH3746">
        <v>21.133700571658</v>
      </c>
      <c r="AI3746">
        <v>93.033262636614097</v>
      </c>
      <c r="AJ3746">
        <v>87.9507079924404</v>
      </c>
      <c r="AK3746">
        <v>21.176894826912498</v>
      </c>
      <c r="AL3746">
        <v>94.8603226433749</v>
      </c>
      <c r="AM3746">
        <v>89.643641527144396</v>
      </c>
      <c r="AN3746">
        <v>0.99999996360026999</v>
      </c>
    </row>
    <row r="3747" spans="1:40" x14ac:dyDescent="0.25">
      <c r="A3747" t="str">
        <f>"20190303154843675"</f>
        <v>20190303154843675</v>
      </c>
      <c r="B3747" t="str">
        <f>"1551599323664910"</f>
        <v>1551599323664910</v>
      </c>
      <c r="C3747" t="s">
        <v>40</v>
      </c>
      <c r="D3747">
        <v>5.5078300000000002</v>
      </c>
      <c r="E3747">
        <v>0.51034099999999905</v>
      </c>
      <c r="F3747" t="s">
        <v>54</v>
      </c>
      <c r="G3747">
        <v>-288.98050000000001</v>
      </c>
      <c r="H3747" s="1">
        <v>3.135681E-6</v>
      </c>
      <c r="I3747">
        <v>214.38759999999999</v>
      </c>
      <c r="J3747">
        <v>-310.94639999999998</v>
      </c>
      <c r="K3747">
        <v>1.1206309999999999</v>
      </c>
      <c r="L3747">
        <v>215.14660000000001</v>
      </c>
      <c r="M3747">
        <v>0.99989459999999997</v>
      </c>
      <c r="N3747">
        <v>-1.4477510000000001E-2</v>
      </c>
      <c r="O3747">
        <v>1.158311E-3</v>
      </c>
      <c r="P3747">
        <v>0.99512639999999997</v>
      </c>
      <c r="Q3747">
        <v>-9.8392049999999995E-2</v>
      </c>
      <c r="R3747">
        <v>-6.5101780000000001E-3</v>
      </c>
      <c r="S3747">
        <v>2.9993590000000001</v>
      </c>
      <c r="T3747">
        <v>-0.15082679999999901</v>
      </c>
      <c r="U3747">
        <v>-0.1021118</v>
      </c>
      <c r="V3747">
        <v>7.6474849999999999E-3</v>
      </c>
      <c r="W3747">
        <v>-8.3976339999999997E-2</v>
      </c>
      <c r="X3747">
        <v>0.99643839999999995</v>
      </c>
      <c r="Y3747">
        <v>3.5124710000000003E-2</v>
      </c>
      <c r="Z3747">
        <v>-1.178323E-3</v>
      </c>
      <c r="AA3747">
        <v>0.99938229999999995</v>
      </c>
      <c r="AB3747">
        <v>33</v>
      </c>
      <c r="AC3747">
        <v>21.965899999999898</v>
      </c>
      <c r="AD3747">
        <v>-1.120627864319</v>
      </c>
      <c r="AE3747">
        <v>-0.759000000000014</v>
      </c>
      <c r="AF3747">
        <v>0.78241154181176797</v>
      </c>
      <c r="AG3747">
        <v>-1.120627864319</v>
      </c>
      <c r="AH3747">
        <v>21.908053823197601</v>
      </c>
      <c r="AI3747">
        <v>92.926345529420999</v>
      </c>
      <c r="AJ3747">
        <v>87.954641012504496</v>
      </c>
      <c r="AK3747">
        <v>21.950644568011501</v>
      </c>
      <c r="AL3747">
        <v>94.817163020491293</v>
      </c>
      <c r="AM3747">
        <v>89.560273859813094</v>
      </c>
      <c r="AN3747">
        <v>0.99999999735058998</v>
      </c>
    </row>
    <row r="3748" spans="1:40" x14ac:dyDescent="0.25">
      <c r="A3748" t="str">
        <f>"20190303154843699"</f>
        <v>20190303154843699</v>
      </c>
      <c r="B3748" t="str">
        <f>"1551599323694190"</f>
        <v>1551599323694190</v>
      </c>
      <c r="C3748" t="s">
        <v>40</v>
      </c>
      <c r="D3748">
        <v>5.4901819999999999</v>
      </c>
      <c r="E3748">
        <v>0.50990369999999996</v>
      </c>
      <c r="F3748" t="s">
        <v>54</v>
      </c>
      <c r="G3748">
        <v>-288.36689999999999</v>
      </c>
      <c r="H3748" s="1">
        <v>3.410862E-6</v>
      </c>
      <c r="I3748">
        <v>214.3621</v>
      </c>
      <c r="J3748">
        <v>-310.61410000000001</v>
      </c>
      <c r="K3748">
        <v>1.120657</v>
      </c>
      <c r="L3748">
        <v>215.14689999999999</v>
      </c>
      <c r="M3748">
        <v>0.99989459999999997</v>
      </c>
      <c r="N3748">
        <v>-1.447536E-2</v>
      </c>
      <c r="O3748">
        <v>1.167852E-3</v>
      </c>
      <c r="P3748">
        <v>0.99509320000000001</v>
      </c>
      <c r="Q3748">
        <v>-9.8651900000000001E-2</v>
      </c>
      <c r="R3748">
        <v>-7.5987110000000002E-3</v>
      </c>
      <c r="S3748">
        <v>2.999298</v>
      </c>
      <c r="T3748">
        <v>-0.14885590000000001</v>
      </c>
      <c r="U3748">
        <v>-0.1042023</v>
      </c>
      <c r="V3748">
        <v>8.7520730000000008E-3</v>
      </c>
      <c r="W3748">
        <v>-8.4238289999999993E-2</v>
      </c>
      <c r="X3748">
        <v>0.99640720000000005</v>
      </c>
      <c r="Y3748">
        <v>3.5830870000000001E-2</v>
      </c>
      <c r="Z3748">
        <v>-1.188978E-3</v>
      </c>
      <c r="AA3748">
        <v>0.99935719999999995</v>
      </c>
      <c r="AB3748">
        <v>33</v>
      </c>
      <c r="AC3748">
        <v>22.247199999999999</v>
      </c>
      <c r="AD3748">
        <v>-1.1206535891380001</v>
      </c>
      <c r="AE3748">
        <v>-0.78479999999998995</v>
      </c>
      <c r="AF3748">
        <v>0.80873407663885399</v>
      </c>
      <c r="AG3748">
        <v>-1.1206535891380001</v>
      </c>
      <c r="AH3748">
        <v>22.190032786290899</v>
      </c>
      <c r="AI3748">
        <v>92.889212612920105</v>
      </c>
      <c r="AJ3748">
        <v>87.9127318265881</v>
      </c>
      <c r="AK3748">
        <v>22.233026567029299</v>
      </c>
      <c r="AL3748">
        <v>94.832225014817993</v>
      </c>
      <c r="AM3748">
        <v>89.496747966768993</v>
      </c>
      <c r="AN3748">
        <v>0.99999999824788</v>
      </c>
    </row>
    <row r="3749" spans="1:40" x14ac:dyDescent="0.25">
      <c r="A3749" t="str">
        <f>"20190303154843722"</f>
        <v>20190303154843722</v>
      </c>
      <c r="B3749" t="str">
        <f>"1551599323714686"</f>
        <v>1551599323714686</v>
      </c>
      <c r="C3749" t="s">
        <v>40</v>
      </c>
      <c r="D3749">
        <v>5.5033599999999998</v>
      </c>
      <c r="E3749">
        <v>0.50966899999999904</v>
      </c>
      <c r="F3749" t="s">
        <v>54</v>
      </c>
      <c r="G3749">
        <v>-288.14789999999999</v>
      </c>
      <c r="H3749" s="1">
        <v>3.5071369999999998E-6</v>
      </c>
      <c r="I3749">
        <v>214.369</v>
      </c>
      <c r="J3749">
        <v>-310.27850000000001</v>
      </c>
      <c r="K3749">
        <v>1.1206910000000001</v>
      </c>
      <c r="L3749">
        <v>215.1474</v>
      </c>
      <c r="M3749">
        <v>0.99989459999999997</v>
      </c>
      <c r="N3749">
        <v>-1.447298E-2</v>
      </c>
      <c r="O3749">
        <v>1.228177E-3</v>
      </c>
      <c r="P3749">
        <v>0.99503169999999996</v>
      </c>
      <c r="Q3749">
        <v>-9.9219769999999999E-2</v>
      </c>
      <c r="R3749">
        <v>-8.217294E-3</v>
      </c>
      <c r="S3749">
        <v>2.9992369999999999</v>
      </c>
      <c r="T3749">
        <v>-0.149607399999999</v>
      </c>
      <c r="U3749">
        <v>-0.10385129999999999</v>
      </c>
      <c r="V3749">
        <v>9.4380450000000008E-3</v>
      </c>
      <c r="W3749">
        <v>-8.4808599999999998E-2</v>
      </c>
      <c r="X3749">
        <v>0.99635260000000003</v>
      </c>
      <c r="Y3749">
        <v>3.5774599999999997E-2</v>
      </c>
      <c r="Z3749">
        <v>-1.194056E-3</v>
      </c>
      <c r="AA3749">
        <v>0.9993592</v>
      </c>
      <c r="AB3749">
        <v>33</v>
      </c>
      <c r="AC3749">
        <v>22.130600000000001</v>
      </c>
      <c r="AD3749">
        <v>-1.120687492863</v>
      </c>
      <c r="AE3749">
        <v>-0.778399999999976</v>
      </c>
      <c r="AF3749">
        <v>0.803524553668722</v>
      </c>
      <c r="AG3749">
        <v>-1.120687492863</v>
      </c>
      <c r="AH3749">
        <v>22.0730932957342</v>
      </c>
      <c r="AI3749">
        <v>92.9045852775226</v>
      </c>
      <c r="AJ3749">
        <v>87.915188194299702</v>
      </c>
      <c r="AK3749">
        <v>22.116126238724402</v>
      </c>
      <c r="AL3749">
        <v>94.865018523116206</v>
      </c>
      <c r="AM3749">
        <v>89.457276498221503</v>
      </c>
      <c r="AN3749">
        <v>1.0000000394270701</v>
      </c>
    </row>
    <row r="3750" spans="1:40" x14ac:dyDescent="0.25">
      <c r="A3750" t="str">
        <f>"20190303154843742"</f>
        <v>20190303154843742</v>
      </c>
      <c r="B3750" t="str">
        <f>"1551599323734206"</f>
        <v>1551599323734206</v>
      </c>
      <c r="C3750" t="s">
        <v>40</v>
      </c>
      <c r="D3750">
        <v>5.5148229999999998</v>
      </c>
      <c r="E3750">
        <v>0.5094379</v>
      </c>
      <c r="F3750" t="s">
        <v>54</v>
      </c>
      <c r="G3750">
        <v>-288.08960000000002</v>
      </c>
      <c r="H3750" s="1">
        <v>3.5316779999999998E-6</v>
      </c>
      <c r="I3750">
        <v>214.3801</v>
      </c>
      <c r="J3750">
        <v>-309.96949999999998</v>
      </c>
      <c r="K3750">
        <v>1.120725</v>
      </c>
      <c r="L3750">
        <v>215.14779999999999</v>
      </c>
      <c r="M3750">
        <v>0.99989450000000002</v>
      </c>
      <c r="N3750">
        <v>-1.447062E-2</v>
      </c>
      <c r="O3750">
        <v>1.3268729999999999E-3</v>
      </c>
      <c r="P3750">
        <v>0.9950116</v>
      </c>
      <c r="Q3750">
        <v>-9.9424999999999999E-2</v>
      </c>
      <c r="R3750">
        <v>-8.1730989999999996E-3</v>
      </c>
      <c r="S3750">
        <v>2.9990839999999999</v>
      </c>
      <c r="T3750">
        <v>-0.15147349999999901</v>
      </c>
      <c r="U3750">
        <v>-0.1036987</v>
      </c>
      <c r="V3750">
        <v>9.4995410000000002E-3</v>
      </c>
      <c r="W3750">
        <v>-8.501562E-2</v>
      </c>
      <c r="X3750">
        <v>0.99633430000000001</v>
      </c>
      <c r="Y3750">
        <v>3.5822779999999999E-2</v>
      </c>
      <c r="Z3750">
        <v>-1.2110560000000001E-3</v>
      </c>
      <c r="AA3750">
        <v>0.99935739999999995</v>
      </c>
      <c r="AB3750">
        <v>33</v>
      </c>
      <c r="AC3750">
        <v>21.8798999999999</v>
      </c>
      <c r="AD3750">
        <v>-1.1207214683219999</v>
      </c>
      <c r="AE3750">
        <v>-0.76769999999998995</v>
      </c>
      <c r="AF3750">
        <v>0.79465189100370204</v>
      </c>
      <c r="AG3750">
        <v>-1.1207214683219999</v>
      </c>
      <c r="AH3750">
        <v>21.821680089507701</v>
      </c>
      <c r="AI3750">
        <v>92.938079004756005</v>
      </c>
      <c r="AJ3750">
        <v>87.914455283606799</v>
      </c>
      <c r="AK3750">
        <v>21.864885322504001</v>
      </c>
      <c r="AL3750">
        <v>94.876923241602697</v>
      </c>
      <c r="AM3750">
        <v>89.453730425086107</v>
      </c>
      <c r="AN3750">
        <v>0.99999996713984196</v>
      </c>
    </row>
    <row r="3751" spans="1:40" x14ac:dyDescent="0.25">
      <c r="A3751" t="str">
        <f>"20190303154843765"</f>
        <v>20190303154843765</v>
      </c>
      <c r="B3751" t="str">
        <f>"1551599323754702"</f>
        <v>1551599323754702</v>
      </c>
      <c r="C3751" t="s">
        <v>40</v>
      </c>
      <c r="D3751">
        <v>5.5531040000000003</v>
      </c>
      <c r="E3751">
        <v>0.5092624</v>
      </c>
      <c r="F3751" t="s">
        <v>54</v>
      </c>
      <c r="G3751">
        <v>-287.94349999999997</v>
      </c>
      <c r="H3751" s="1">
        <v>3.5940689999999998E-6</v>
      </c>
      <c r="I3751">
        <v>214.40010000000001</v>
      </c>
      <c r="J3751">
        <v>-309.6463</v>
      </c>
      <c r="K3751">
        <v>1.12077</v>
      </c>
      <c r="L3751">
        <v>215.14840000000001</v>
      </c>
      <c r="M3751">
        <v>0.99989430000000001</v>
      </c>
      <c r="N3751">
        <v>-1.446801E-2</v>
      </c>
      <c r="O3751">
        <v>1.4622529999999999E-3</v>
      </c>
      <c r="P3751">
        <v>0.99513419999999997</v>
      </c>
      <c r="Q3751">
        <v>-9.8288689999999998E-2</v>
      </c>
      <c r="R3751">
        <v>-6.8852569999999997E-3</v>
      </c>
      <c r="S3751">
        <v>2.9989620000000001</v>
      </c>
      <c r="T3751">
        <v>-0.15259220000000001</v>
      </c>
      <c r="U3751">
        <v>-0.1018066</v>
      </c>
      <c r="V3751">
        <v>8.3536510000000001E-3</v>
      </c>
      <c r="W3751">
        <v>-8.3879640000000005E-2</v>
      </c>
      <c r="X3751">
        <v>0.99644089999999996</v>
      </c>
      <c r="Y3751">
        <v>3.5329640000000002E-2</v>
      </c>
      <c r="Z3751">
        <v>-1.207042E-3</v>
      </c>
      <c r="AA3751">
        <v>0.99937500000000001</v>
      </c>
      <c r="AB3751">
        <v>33</v>
      </c>
      <c r="AC3751">
        <v>21.7028</v>
      </c>
      <c r="AD3751">
        <v>-1.1207664059309901</v>
      </c>
      <c r="AE3751">
        <v>-0.74829999999999997</v>
      </c>
      <c r="AF3751">
        <v>0.77796525156783602</v>
      </c>
      <c r="AG3751">
        <v>-1.1207664059309901</v>
      </c>
      <c r="AH3751">
        <v>21.6440296223013</v>
      </c>
      <c r="AI3751">
        <v>92.962320477280002</v>
      </c>
      <c r="AJ3751">
        <v>87.9414672134711</v>
      </c>
      <c r="AK3751">
        <v>21.686986087521898</v>
      </c>
      <c r="AL3751">
        <v>94.811602780974098</v>
      </c>
      <c r="AM3751">
        <v>89.519672734070298</v>
      </c>
      <c r="AN3751">
        <v>1.0000000223421801</v>
      </c>
    </row>
    <row r="3752" spans="1:40" x14ac:dyDescent="0.25">
      <c r="A3752" t="str">
        <f>"20190303154843787"</f>
        <v>20190303154843787</v>
      </c>
      <c r="B3752" t="str">
        <f>"1551599323784959"</f>
        <v>1551599323784959</v>
      </c>
      <c r="C3752" t="s">
        <v>40</v>
      </c>
      <c r="D3752">
        <v>5.7334889999999996</v>
      </c>
      <c r="E3752">
        <v>0.50919250000000005</v>
      </c>
      <c r="F3752" t="s">
        <v>54</v>
      </c>
      <c r="G3752">
        <v>-287.19290000000001</v>
      </c>
      <c r="H3752" s="1">
        <v>3.9236349999999999E-6</v>
      </c>
      <c r="I3752">
        <v>214.42779999999999</v>
      </c>
      <c r="J3752">
        <v>-309.31270000000001</v>
      </c>
      <c r="K3752">
        <v>1.1207990000000001</v>
      </c>
      <c r="L3752">
        <v>215.149</v>
      </c>
      <c r="M3752">
        <v>0.99989410000000001</v>
      </c>
      <c r="N3752">
        <v>-1.446515E-2</v>
      </c>
      <c r="O3752">
        <v>1.628041E-3</v>
      </c>
      <c r="P3752">
        <v>0.99523260000000002</v>
      </c>
      <c r="Q3752">
        <v>-9.7393930000000004E-2</v>
      </c>
      <c r="R3752">
        <v>-5.1817360000000002E-3</v>
      </c>
      <c r="S3752">
        <v>2.9991759999999998</v>
      </c>
      <c r="T3752">
        <v>-0.1497047</v>
      </c>
      <c r="U3752">
        <v>-9.6252439999999995E-2</v>
      </c>
      <c r="V3752">
        <v>6.8206179999999996E-3</v>
      </c>
      <c r="W3752">
        <v>-8.2986169999999998E-2</v>
      </c>
      <c r="X3752">
        <v>0.99652739999999995</v>
      </c>
      <c r="Y3752">
        <v>3.364876E-2</v>
      </c>
      <c r="Z3752">
        <v>-1.1403520000000001E-3</v>
      </c>
      <c r="AA3752">
        <v>0.99943300000000002</v>
      </c>
      <c r="AB3752">
        <v>33</v>
      </c>
      <c r="AC3752">
        <v>22.119800000000001</v>
      </c>
      <c r="AD3752">
        <v>-1.1207950763650001</v>
      </c>
      <c r="AE3752">
        <v>-0.72120000000001006</v>
      </c>
      <c r="AF3752">
        <v>0.755277726387241</v>
      </c>
      <c r="AG3752">
        <v>-1.1207950763650001</v>
      </c>
      <c r="AH3752">
        <v>22.062015000789799</v>
      </c>
      <c r="AI3752">
        <v>92.906541741221304</v>
      </c>
      <c r="AJ3752">
        <v>88.039284610205996</v>
      </c>
      <c r="AK3752">
        <v>22.103373768324499</v>
      </c>
      <c r="AL3752">
        <v>94.760231515122101</v>
      </c>
      <c r="AM3752">
        <v>89.607851702888198</v>
      </c>
      <c r="AN3752">
        <v>1.0000000420959601</v>
      </c>
    </row>
    <row r="3753" spans="1:40" x14ac:dyDescent="0.25">
      <c r="A3753" t="str">
        <f>"20190303154843811"</f>
        <v>20190303154843811</v>
      </c>
      <c r="B3753" t="str">
        <f>"1551599323804478"</f>
        <v>1551599323804478</v>
      </c>
      <c r="C3753" t="s">
        <v>40</v>
      </c>
      <c r="D3753">
        <v>5.8145639999999998</v>
      </c>
      <c r="E3753">
        <v>0.55326209999999998</v>
      </c>
      <c r="F3753" t="s">
        <v>54</v>
      </c>
      <c r="G3753">
        <v>-286.31990000000002</v>
      </c>
      <c r="H3753" s="1">
        <v>4.3075130000000004E-6</v>
      </c>
      <c r="I3753">
        <v>214.45500000000001</v>
      </c>
      <c r="J3753">
        <v>-308.98399999999998</v>
      </c>
      <c r="K3753">
        <v>1.1208180000000001</v>
      </c>
      <c r="L3753">
        <v>215.1497</v>
      </c>
      <c r="M3753">
        <v>0.99989399999999995</v>
      </c>
      <c r="N3753">
        <v>-1.446221E-2</v>
      </c>
      <c r="O3753">
        <v>1.810126E-3</v>
      </c>
      <c r="P3753">
        <v>0.9952666</v>
      </c>
      <c r="Q3753">
        <v>-9.7141710000000006E-2</v>
      </c>
      <c r="R3753">
        <v>-2.8662660000000001E-3</v>
      </c>
      <c r="S3753">
        <v>2.9995729999999998</v>
      </c>
      <c r="T3753">
        <v>-0.14621579999999901</v>
      </c>
      <c r="U3753">
        <v>-9.0545650000000005E-2</v>
      </c>
      <c r="V3753">
        <v>4.6905940000000002E-3</v>
      </c>
      <c r="W3753">
        <v>-8.2736619999999997E-2</v>
      </c>
      <c r="X3753">
        <v>0.99656040000000001</v>
      </c>
      <c r="Y3753">
        <v>3.1931679999999997E-2</v>
      </c>
      <c r="Z3753">
        <v>-1.0707689999999901E-3</v>
      </c>
      <c r="AA3753">
        <v>0.99948950000000003</v>
      </c>
      <c r="AB3753">
        <v>33</v>
      </c>
      <c r="AC3753">
        <v>22.664100000000001</v>
      </c>
      <c r="AD3753">
        <v>-1.120813692487</v>
      </c>
      <c r="AE3753">
        <v>-0.694699999999983</v>
      </c>
      <c r="AF3753">
        <v>0.73393477564639997</v>
      </c>
      <c r="AG3753">
        <v>-1.120813692487</v>
      </c>
      <c r="AH3753">
        <v>22.6075674979616</v>
      </c>
      <c r="AI3753">
        <v>92.836732784428406</v>
      </c>
      <c r="AJ3753">
        <v>88.140595996933499</v>
      </c>
      <c r="AK3753">
        <v>22.647229229269101</v>
      </c>
      <c r="AL3753">
        <v>94.745884259909701</v>
      </c>
      <c r="AM3753">
        <v>89.730323164542298</v>
      </c>
      <c r="AN3753">
        <v>0.99999999040462795</v>
      </c>
    </row>
    <row r="3754" spans="1:40" x14ac:dyDescent="0.25">
      <c r="A3754" t="str">
        <f>"20190303154843832"</f>
        <v>20190303154843832</v>
      </c>
      <c r="B3754" t="str">
        <f>"1551599323824974"</f>
        <v>1551599323824974</v>
      </c>
      <c r="C3754" t="s">
        <v>40</v>
      </c>
      <c r="D3754">
        <v>5.7939660000000002</v>
      </c>
      <c r="E3754">
        <v>0.56732109999999902</v>
      </c>
      <c r="F3754" t="s">
        <v>52</v>
      </c>
      <c r="G3754">
        <v>-270.69319999999999</v>
      </c>
      <c r="H3754">
        <v>6.7678600000000005E-2</v>
      </c>
      <c r="I3754">
        <v>209.5986</v>
      </c>
      <c r="J3754">
        <v>-308.66539999999998</v>
      </c>
      <c r="K3754">
        <v>1.120833</v>
      </c>
      <c r="L3754">
        <v>215.15049999999999</v>
      </c>
      <c r="M3754">
        <v>0.99989349999999999</v>
      </c>
      <c r="N3754">
        <v>-1.445924E-2</v>
      </c>
      <c r="O3754">
        <v>1.9981059999999999E-3</v>
      </c>
      <c r="P3754">
        <v>0.99523050000000002</v>
      </c>
      <c r="Q3754">
        <v>-9.7531820000000005E-2</v>
      </c>
      <c r="R3754">
        <v>-1.9930479999999999E-3</v>
      </c>
      <c r="S3754">
        <v>3.0049739999999998</v>
      </c>
      <c r="T3754">
        <v>-8.264792E-2</v>
      </c>
      <c r="U3754">
        <v>-0.43563839999999998</v>
      </c>
      <c r="V3754">
        <v>4.0071029999999997E-3</v>
      </c>
      <c r="W3754">
        <v>-8.3130229999999999E-2</v>
      </c>
      <c r="X3754">
        <v>0.99653069999999999</v>
      </c>
      <c r="Y3754">
        <v>0.1453671</v>
      </c>
      <c r="Z3754">
        <v>-3.0709919999999998E-3</v>
      </c>
      <c r="AA3754">
        <v>0.98937299999999995</v>
      </c>
      <c r="AB3754">
        <v>32</v>
      </c>
      <c r="AC3754">
        <v>37.972200000000001</v>
      </c>
      <c r="AD3754">
        <v>-1.0531543999999999</v>
      </c>
      <c r="AE3754">
        <v>-5.5518999999999803</v>
      </c>
      <c r="AF3754">
        <v>5.6235341077182603</v>
      </c>
      <c r="AG3754">
        <v>-1.0531543999999999</v>
      </c>
      <c r="AH3754">
        <v>37.932461897971102</v>
      </c>
      <c r="AI3754">
        <v>91.573162661662494</v>
      </c>
      <c r="AJ3754">
        <v>81.567251791256098</v>
      </c>
      <c r="AK3754">
        <v>38.361503303337102</v>
      </c>
      <c r="AL3754">
        <v>94.768514059000296</v>
      </c>
      <c r="AM3754">
        <v>89.769611861850095</v>
      </c>
      <c r="AN3754">
        <v>1.0000000640283899</v>
      </c>
    </row>
    <row r="3755" spans="1:40" x14ac:dyDescent="0.25">
      <c r="A3755" t="str">
        <f>"20190303154843854"</f>
        <v>20190303154843854</v>
      </c>
      <c r="B3755" t="str">
        <f>"1551599323844494"</f>
        <v>1551599323844494</v>
      </c>
      <c r="C3755" t="s">
        <v>40</v>
      </c>
      <c r="D3755">
        <v>5.7020019999999896</v>
      </c>
      <c r="E3755">
        <v>0.57296250000000004</v>
      </c>
      <c r="F3755" t="s">
        <v>54</v>
      </c>
      <c r="G3755">
        <v>-282.48349999999999</v>
      </c>
      <c r="H3755" s="1">
        <v>6.4926969999999998E-6</v>
      </c>
      <c r="I3755">
        <v>210.39580000000001</v>
      </c>
      <c r="J3755">
        <v>-308.35430000000002</v>
      </c>
      <c r="K3755">
        <v>1.120854</v>
      </c>
      <c r="L3755">
        <v>215.15129999999999</v>
      </c>
      <c r="M3755">
        <v>0.99989329999999998</v>
      </c>
      <c r="N3755">
        <v>-1.445629E-2</v>
      </c>
      <c r="O3755">
        <v>2.1850419999999999E-3</v>
      </c>
      <c r="P3755">
        <v>0.99519259999999998</v>
      </c>
      <c r="Q3755">
        <v>-9.7920300000000002E-2</v>
      </c>
      <c r="R3755">
        <v>-1.907948E-3</v>
      </c>
      <c r="S3755">
        <v>3.000702</v>
      </c>
      <c r="T3755">
        <v>-0.12845780000000001</v>
      </c>
      <c r="U3755">
        <v>-0.54493709999999995</v>
      </c>
      <c r="V3755">
        <v>4.1094690000000001E-3</v>
      </c>
      <c r="W3755">
        <v>-8.3522059999999995E-2</v>
      </c>
      <c r="X3755">
        <v>0.99649750000000004</v>
      </c>
      <c r="Y3755">
        <v>0.18061379999999999</v>
      </c>
      <c r="Z3755">
        <v>-5.211261E-3</v>
      </c>
      <c r="AA3755">
        <v>0.98354030000000003</v>
      </c>
      <c r="AB3755">
        <v>32</v>
      </c>
      <c r="AC3755">
        <v>25.870799999999999</v>
      </c>
      <c r="AD3755">
        <v>-1.120847507303</v>
      </c>
      <c r="AE3755">
        <v>-4.7554999999999801</v>
      </c>
      <c r="AF3755">
        <v>4.8033020232263999</v>
      </c>
      <c r="AG3755">
        <v>-1.120847507303</v>
      </c>
      <c r="AH3755">
        <v>25.8134769241139</v>
      </c>
      <c r="AI3755">
        <v>92.4443738457759</v>
      </c>
      <c r="AJ3755">
        <v>79.459111396160395</v>
      </c>
      <c r="AK3755">
        <v>26.2804794547725</v>
      </c>
      <c r="AL3755">
        <v>94.791042701842898</v>
      </c>
      <c r="AM3755">
        <v>89.763718529163796</v>
      </c>
      <c r="AN3755">
        <v>1.0000000448741699</v>
      </c>
    </row>
    <row r="3756" spans="1:40" x14ac:dyDescent="0.25">
      <c r="A3756" t="str">
        <f>"20190303154843876"</f>
        <v>20190303154843876</v>
      </c>
      <c r="B3756" t="str">
        <f>"1551599323864990"</f>
        <v>1551599323864990</v>
      </c>
      <c r="C3756" t="s">
        <v>40</v>
      </c>
      <c r="D3756">
        <v>5.6786589999999997</v>
      </c>
      <c r="E3756">
        <v>0.57451269999999999</v>
      </c>
      <c r="F3756" t="s">
        <v>52</v>
      </c>
      <c r="G3756">
        <v>-272.64870000000002</v>
      </c>
      <c r="H3756">
        <v>8.0000970000000005E-2</v>
      </c>
      <c r="I3756">
        <v>208.13669999999999</v>
      </c>
      <c r="J3756">
        <v>-308.02710000000002</v>
      </c>
      <c r="K3756">
        <v>1.1208640000000001</v>
      </c>
      <c r="L3756">
        <v>215.15219999999999</v>
      </c>
      <c r="M3756">
        <v>0.99989269999999997</v>
      </c>
      <c r="N3756">
        <v>-1.445312E-2</v>
      </c>
      <c r="O3756">
        <v>2.3773879999999998E-3</v>
      </c>
      <c r="P3756">
        <v>0.99527279999999996</v>
      </c>
      <c r="Q3756">
        <v>-9.7094769999999997E-2</v>
      </c>
      <c r="R3756">
        <v>-2.183941E-3</v>
      </c>
      <c r="S3756">
        <v>3.0047299999999999</v>
      </c>
      <c r="T3756">
        <v>-8.7590689999999999E-2</v>
      </c>
      <c r="U3756">
        <v>-0.59030150000000003</v>
      </c>
      <c r="V3756">
        <v>4.5774120000000003E-3</v>
      </c>
      <c r="W3756">
        <v>-8.2698460000000001E-2</v>
      </c>
      <c r="X3756">
        <v>0.99656409999999995</v>
      </c>
      <c r="Y3756">
        <v>0.1949842</v>
      </c>
      <c r="Z3756">
        <v>-4.2720190000000002E-3</v>
      </c>
      <c r="AA3756">
        <v>0.98079709999999998</v>
      </c>
      <c r="AB3756">
        <v>32</v>
      </c>
      <c r="AC3756">
        <v>35.378399999999999</v>
      </c>
      <c r="AD3756">
        <v>-1.0408630299999999</v>
      </c>
      <c r="AE3756">
        <v>-7.0155000000000003</v>
      </c>
      <c r="AF3756">
        <v>7.0936892486277197</v>
      </c>
      <c r="AG3756">
        <v>-1.0408630299999999</v>
      </c>
      <c r="AH3756">
        <v>35.332193702571502</v>
      </c>
      <c r="AI3756">
        <v>91.654412074664293</v>
      </c>
      <c r="AJ3756">
        <v>78.647583192865198</v>
      </c>
      <c r="AK3756">
        <v>36.052291672504701</v>
      </c>
      <c r="AL3756">
        <v>94.743690304508604</v>
      </c>
      <c r="AM3756">
        <v>89.736831234103505</v>
      </c>
      <c r="AN3756">
        <v>0.99999999669789896</v>
      </c>
    </row>
    <row r="3757" spans="1:40" x14ac:dyDescent="0.25">
      <c r="A3757" t="str">
        <f>"20190303154843901"</f>
        <v>20190303154843901</v>
      </c>
      <c r="B3757" t="str">
        <f>"1551599323894270"</f>
        <v>1551599323894270</v>
      </c>
      <c r="C3757" t="s">
        <v>40</v>
      </c>
      <c r="D3757">
        <v>5.6738749999999998</v>
      </c>
      <c r="E3757">
        <v>0.57612259999999904</v>
      </c>
      <c r="F3757" t="s">
        <v>54</v>
      </c>
      <c r="G3757">
        <v>-280.39249999999998</v>
      </c>
      <c r="H3757">
        <v>6.6243750000000004E-2</v>
      </c>
      <c r="I3757">
        <v>209.6001</v>
      </c>
      <c r="J3757">
        <v>-307.68450000000001</v>
      </c>
      <c r="K3757">
        <v>1.120868</v>
      </c>
      <c r="L3757">
        <v>215.1532</v>
      </c>
      <c r="M3757">
        <v>0.99989240000000001</v>
      </c>
      <c r="N3757">
        <v>-1.4449740000000001E-2</v>
      </c>
      <c r="O3757">
        <v>2.5681649999999999E-3</v>
      </c>
      <c r="P3757">
        <v>0.99536409999999997</v>
      </c>
      <c r="Q3757">
        <v>-9.6105250000000003E-2</v>
      </c>
      <c r="R3757">
        <v>-3.7831900000000001E-3</v>
      </c>
      <c r="S3757">
        <v>3.0017399999999999</v>
      </c>
      <c r="T3757">
        <v>-0.1145554</v>
      </c>
      <c r="U3757">
        <v>-0.60308839999999997</v>
      </c>
      <c r="V3757">
        <v>6.3658869999999998E-3</v>
      </c>
      <c r="W3757">
        <v>-8.1710610000000003E-2</v>
      </c>
      <c r="X3757">
        <v>0.99663579999999996</v>
      </c>
      <c r="Y3757">
        <v>0.19929939999999999</v>
      </c>
      <c r="Z3757">
        <v>-5.2791919999999899E-3</v>
      </c>
      <c r="AA3757">
        <v>0.97992440000000003</v>
      </c>
      <c r="AB3757">
        <v>32</v>
      </c>
      <c r="AC3757">
        <v>27.292000000000002</v>
      </c>
      <c r="AD3757">
        <v>-1.05462425</v>
      </c>
      <c r="AE3757">
        <v>-5.5530999999999997</v>
      </c>
      <c r="AF3757">
        <v>5.6151280379490798</v>
      </c>
      <c r="AG3757">
        <v>-1.05462425</v>
      </c>
      <c r="AH3757">
        <v>27.238590847196001</v>
      </c>
      <c r="AI3757">
        <v>92.171653195191695</v>
      </c>
      <c r="AJ3757">
        <v>78.351872150806201</v>
      </c>
      <c r="AK3757">
        <v>27.831326352371399</v>
      </c>
      <c r="AL3757">
        <v>94.686898282124602</v>
      </c>
      <c r="AM3757">
        <v>89.634035323826296</v>
      </c>
      <c r="AN3757">
        <v>1.0000000330727501</v>
      </c>
    </row>
    <row r="3758" spans="1:40" x14ac:dyDescent="0.25">
      <c r="A3758" t="str">
        <f>"20190303154843922"</f>
        <v>20190303154843922</v>
      </c>
      <c r="B3758" t="str">
        <f>"1551599323914766"</f>
        <v>1551599323914766</v>
      </c>
      <c r="C3758" t="s">
        <v>40</v>
      </c>
      <c r="D3758">
        <v>5.6568779999999999</v>
      </c>
      <c r="E3758">
        <v>0.57713999999999999</v>
      </c>
      <c r="F3758" t="s">
        <v>54</v>
      </c>
      <c r="G3758">
        <v>-282.57839999999999</v>
      </c>
      <c r="H3758" s="1">
        <v>6.5027350000000003E-6</v>
      </c>
      <c r="I3758">
        <v>209.95859999999999</v>
      </c>
      <c r="J3758">
        <v>-307.3698</v>
      </c>
      <c r="K3758">
        <v>1.120868</v>
      </c>
      <c r="L3758">
        <v>215.1542</v>
      </c>
      <c r="M3758">
        <v>0.99989209999999995</v>
      </c>
      <c r="N3758">
        <v>-1.44466E-2</v>
      </c>
      <c r="O3758">
        <v>2.7274589999999998E-3</v>
      </c>
      <c r="P3758">
        <v>0.99543669999999995</v>
      </c>
      <c r="Q3758">
        <v>-9.5261949999999998E-2</v>
      </c>
      <c r="R3758">
        <v>-5.6193220000000004E-3</v>
      </c>
      <c r="S3758">
        <v>2.998688</v>
      </c>
      <c r="T3758">
        <v>-0.1338763</v>
      </c>
      <c r="U3758">
        <v>-0.62045289999999997</v>
      </c>
      <c r="V3758">
        <v>8.3595230000000006E-3</v>
      </c>
      <c r="W3758">
        <v>-8.0869040000000003E-2</v>
      </c>
      <c r="X3758">
        <v>0.99668970000000001</v>
      </c>
      <c r="Y3758">
        <v>0.20502419999999999</v>
      </c>
      <c r="Z3758">
        <v>-6.1054630000000002E-3</v>
      </c>
      <c r="AA3758">
        <v>0.97873790000000005</v>
      </c>
      <c r="AB3758">
        <v>32</v>
      </c>
      <c r="AC3758">
        <v>24.791399999999999</v>
      </c>
      <c r="AD3758">
        <v>-1.120861497265</v>
      </c>
      <c r="AE3758">
        <v>-5.1956000000000104</v>
      </c>
      <c r="AF3758">
        <v>5.2529195150963801</v>
      </c>
      <c r="AG3758">
        <v>-1.120861497265</v>
      </c>
      <c r="AH3758">
        <v>24.728714275663101</v>
      </c>
      <c r="AI3758">
        <v>92.538662697236006</v>
      </c>
      <c r="AJ3758">
        <v>78.007384344676495</v>
      </c>
      <c r="AK3758">
        <v>25.305311767601602</v>
      </c>
      <c r="AL3758">
        <v>94.638519822334402</v>
      </c>
      <c r="AM3758">
        <v>89.519455096282599</v>
      </c>
      <c r="AN3758">
        <v>1.00000002067069</v>
      </c>
    </row>
    <row r="3759" spans="1:40" x14ac:dyDescent="0.25">
      <c r="A3759" t="str">
        <f>"20190303154843943"</f>
        <v>20190303154843943</v>
      </c>
      <c r="B3759" t="str">
        <f>"1551599323934287"</f>
        <v>1551599323934287</v>
      </c>
      <c r="C3759" t="s">
        <v>40</v>
      </c>
      <c r="D3759">
        <v>5.6693290000000003</v>
      </c>
      <c r="E3759">
        <v>0.57786159999999998</v>
      </c>
      <c r="F3759" t="s">
        <v>54</v>
      </c>
      <c r="G3759">
        <v>-282.06709999999998</v>
      </c>
      <c r="H3759" s="1">
        <v>6.748076E-6</v>
      </c>
      <c r="I3759">
        <v>209.80250000000001</v>
      </c>
      <c r="J3759">
        <v>-307.06369999999998</v>
      </c>
      <c r="K3759">
        <v>1.120859</v>
      </c>
      <c r="L3759">
        <v>215.15520000000001</v>
      </c>
      <c r="M3759">
        <v>0.99989159999999999</v>
      </c>
      <c r="N3759">
        <v>-1.444349E-2</v>
      </c>
      <c r="O3759">
        <v>2.8675599999999999E-3</v>
      </c>
      <c r="P3759">
        <v>0.99541329999999995</v>
      </c>
      <c r="Q3759">
        <v>-9.5401029999999998E-2</v>
      </c>
      <c r="R3759">
        <v>-7.1539630000000002E-3</v>
      </c>
      <c r="S3759">
        <v>2.9974669999999999</v>
      </c>
      <c r="T3759">
        <v>-0.13278229999999999</v>
      </c>
      <c r="U3759">
        <v>-0.63398739999999998</v>
      </c>
      <c r="V3759">
        <v>1.0031760000000001E-2</v>
      </c>
      <c r="W3759">
        <v>-8.1011340000000001E-2</v>
      </c>
      <c r="X3759">
        <v>0.99666270000000001</v>
      </c>
      <c r="Y3759">
        <v>0.2094703</v>
      </c>
      <c r="Z3759">
        <v>-6.2016019999999996E-3</v>
      </c>
      <c r="AA3759">
        <v>0.97779539999999998</v>
      </c>
      <c r="AB3759">
        <v>32</v>
      </c>
      <c r="AC3759">
        <v>24.996600000000001</v>
      </c>
      <c r="AD3759">
        <v>-1.1208522519239901</v>
      </c>
      <c r="AE3759">
        <v>-5.3526999999999898</v>
      </c>
      <c r="AF3759">
        <v>5.4139564513451601</v>
      </c>
      <c r="AG3759">
        <v>-1.1208522519239901</v>
      </c>
      <c r="AH3759">
        <v>24.933212629787601</v>
      </c>
      <c r="AI3759">
        <v>92.515413344686294</v>
      </c>
      <c r="AJ3759">
        <v>77.749066626409103</v>
      </c>
      <c r="AK3759">
        <v>25.538839563885901</v>
      </c>
      <c r="AL3759">
        <v>94.646699921269999</v>
      </c>
      <c r="AM3759">
        <v>89.4233173371655</v>
      </c>
      <c r="AN3759">
        <v>1.0000000054942899</v>
      </c>
    </row>
    <row r="3760" spans="1:40" x14ac:dyDescent="0.25">
      <c r="A3760" t="str">
        <f>"20190303154843966"</f>
        <v>20190303154843966</v>
      </c>
      <c r="B3760" t="str">
        <f>"1551599323954782"</f>
        <v>1551599323954782</v>
      </c>
      <c r="C3760" t="s">
        <v>40</v>
      </c>
      <c r="D3760">
        <v>5.6837589999999896</v>
      </c>
      <c r="E3760">
        <v>0.57835499999999995</v>
      </c>
      <c r="F3760" t="s">
        <v>54</v>
      </c>
      <c r="G3760">
        <v>-282.1044</v>
      </c>
      <c r="H3760" s="1">
        <v>6.7332329999999996E-6</v>
      </c>
      <c r="I3760">
        <v>209.7884</v>
      </c>
      <c r="J3760">
        <v>-306.73320000000001</v>
      </c>
      <c r="K3760">
        <v>1.120838</v>
      </c>
      <c r="L3760">
        <v>215.15629999999999</v>
      </c>
      <c r="M3760">
        <v>0.99989139999999999</v>
      </c>
      <c r="N3760">
        <v>-1.4440079999999999E-2</v>
      </c>
      <c r="O3760">
        <v>3.00322E-3</v>
      </c>
      <c r="P3760">
        <v>0.99535830000000003</v>
      </c>
      <c r="Q3760">
        <v>-9.5907519999999996E-2</v>
      </c>
      <c r="R3760">
        <v>-8.0001389999999999E-3</v>
      </c>
      <c r="S3760">
        <v>2.9963380000000002</v>
      </c>
      <c r="T3760">
        <v>-0.13455739999999999</v>
      </c>
      <c r="U3760">
        <v>-0.6442871</v>
      </c>
      <c r="V3760">
        <v>1.101074E-2</v>
      </c>
      <c r="W3760">
        <v>-8.1522040000000004E-2</v>
      </c>
      <c r="X3760">
        <v>0.99661069999999996</v>
      </c>
      <c r="Y3760">
        <v>0.2128805</v>
      </c>
      <c r="Z3760">
        <v>-6.3695000000000002E-3</v>
      </c>
      <c r="AA3760">
        <v>0.97705750000000002</v>
      </c>
      <c r="AB3760">
        <v>32</v>
      </c>
      <c r="AC3760">
        <v>24.628799999999998</v>
      </c>
      <c r="AD3760">
        <v>-1.120831266767</v>
      </c>
      <c r="AE3760">
        <v>-5.3678999999999899</v>
      </c>
      <c r="AF3760">
        <v>5.4311110950703796</v>
      </c>
      <c r="AG3760">
        <v>-1.120831266767</v>
      </c>
      <c r="AH3760">
        <v>24.563999644063902</v>
      </c>
      <c r="AI3760">
        <v>92.551012927253396</v>
      </c>
      <c r="AJ3760">
        <v>77.532455654215298</v>
      </c>
      <c r="AK3760">
        <v>25.1822022263568</v>
      </c>
      <c r="AL3760">
        <v>94.676058084621104</v>
      </c>
      <c r="AM3760">
        <v>89.367011346821897</v>
      </c>
      <c r="AN3760">
        <v>0.99999998337779905</v>
      </c>
    </row>
    <row r="3761" spans="1:40" x14ac:dyDescent="0.25">
      <c r="A3761" t="str">
        <f>"20190303154843988"</f>
        <v>20190303154843988</v>
      </c>
      <c r="B3761" t="str">
        <f>"1551599323985038"</f>
        <v>1551599323985038</v>
      </c>
      <c r="C3761" t="s">
        <v>40</v>
      </c>
      <c r="D3761">
        <v>5.6734489999999997</v>
      </c>
      <c r="E3761">
        <v>0.57882730000000004</v>
      </c>
      <c r="F3761" t="s">
        <v>54</v>
      </c>
      <c r="G3761">
        <v>-282.26609999999999</v>
      </c>
      <c r="H3761" s="1">
        <v>6.6551059999999998E-6</v>
      </c>
      <c r="I3761">
        <v>209.84200000000001</v>
      </c>
      <c r="J3761">
        <v>-306.41090000000003</v>
      </c>
      <c r="K3761">
        <v>1.1208279999999999</v>
      </c>
      <c r="L3761">
        <v>215.1574</v>
      </c>
      <c r="M3761">
        <v>0.99989090000000003</v>
      </c>
      <c r="N3761">
        <v>-1.443675E-2</v>
      </c>
      <c r="O3761">
        <v>3.1178199999999999E-3</v>
      </c>
      <c r="P3761">
        <v>0.9953379</v>
      </c>
      <c r="Q3761">
        <v>-9.6178169999999993E-2</v>
      </c>
      <c r="R3761">
        <v>-7.2281350000000001E-3</v>
      </c>
      <c r="S3761">
        <v>2.9955440000000002</v>
      </c>
      <c r="T3761">
        <v>-0.13722519999999999</v>
      </c>
      <c r="U3761">
        <v>-0.65063479999999996</v>
      </c>
      <c r="V3761">
        <v>1.0350389999999999E-2</v>
      </c>
      <c r="W3761">
        <v>-8.1796750000000001E-2</v>
      </c>
      <c r="X3761">
        <v>0.99659529999999996</v>
      </c>
      <c r="Y3761">
        <v>0.2150106</v>
      </c>
      <c r="Z3761">
        <v>-6.5332469999999998E-3</v>
      </c>
      <c r="AA3761">
        <v>0.97658990000000001</v>
      </c>
      <c r="AB3761">
        <v>32</v>
      </c>
      <c r="AC3761">
        <v>24.1448</v>
      </c>
      <c r="AD3761">
        <v>-1.1208213448940001</v>
      </c>
      <c r="AE3761">
        <v>-5.3153999999999799</v>
      </c>
      <c r="AF3761">
        <v>5.3796045340021399</v>
      </c>
      <c r="AG3761">
        <v>-1.1208213448940001</v>
      </c>
      <c r="AH3761">
        <v>24.078620037356</v>
      </c>
      <c r="AI3761">
        <v>92.601068072945907</v>
      </c>
      <c r="AJ3761">
        <v>77.405903192771603</v>
      </c>
      <c r="AK3761">
        <v>24.697698846912601</v>
      </c>
      <c r="AL3761">
        <v>94.691850399971898</v>
      </c>
      <c r="AM3761">
        <v>89.404961730800807</v>
      </c>
      <c r="AN3761">
        <v>1.0000000154329001</v>
      </c>
    </row>
    <row r="3762" spans="1:40" x14ac:dyDescent="0.25">
      <c r="A3762" t="str">
        <f>"20190303154844010"</f>
        <v>20190303154844010</v>
      </c>
      <c r="B3762" t="str">
        <f>"1551599324004558"</f>
        <v>1551599324004558</v>
      </c>
      <c r="C3762" t="s">
        <v>40</v>
      </c>
      <c r="D3762">
        <v>5.6815189999999998</v>
      </c>
      <c r="E3762">
        <v>0.57923630000000004</v>
      </c>
      <c r="F3762" t="s">
        <v>54</v>
      </c>
      <c r="G3762">
        <v>-282.9914</v>
      </c>
      <c r="H3762" s="1">
        <v>6.3074440000000003E-6</v>
      </c>
      <c r="I3762">
        <v>210.06059999999999</v>
      </c>
      <c r="J3762">
        <v>-306.09930000000003</v>
      </c>
      <c r="K3762">
        <v>1.120817</v>
      </c>
      <c r="L3762">
        <v>215.1585</v>
      </c>
      <c r="M3762">
        <v>0.99989070000000002</v>
      </c>
      <c r="N3762">
        <v>-1.443353E-2</v>
      </c>
      <c r="O3762">
        <v>3.2078290000000001E-3</v>
      </c>
      <c r="P3762">
        <v>0.99543349999999997</v>
      </c>
      <c r="Q3762">
        <v>-9.5283580000000007E-2</v>
      </c>
      <c r="R3762">
        <v>-5.7851019999999899E-3</v>
      </c>
      <c r="S3762">
        <v>2.995422</v>
      </c>
      <c r="T3762">
        <v>-0.14335629999999999</v>
      </c>
      <c r="U3762">
        <v>-0.65190119999999996</v>
      </c>
      <c r="V3762">
        <v>8.9939570000000003E-3</v>
      </c>
      <c r="W3762">
        <v>-8.090464E-2</v>
      </c>
      <c r="X3762">
        <v>0.99668129999999999</v>
      </c>
      <c r="Y3762">
        <v>0.21547729999999901</v>
      </c>
      <c r="Z3762">
        <v>-6.7739100000000002E-3</v>
      </c>
      <c r="AA3762">
        <v>0.97648539999999995</v>
      </c>
      <c r="AB3762">
        <v>32</v>
      </c>
      <c r="AC3762">
        <v>23.107900000000001</v>
      </c>
      <c r="AD3762">
        <v>-1.120810692556</v>
      </c>
      <c r="AE3762">
        <v>-5.0979000000000099</v>
      </c>
      <c r="AF3762">
        <v>5.1604308213380996</v>
      </c>
      <c r="AG3762">
        <v>-1.120810692556</v>
      </c>
      <c r="AH3762">
        <v>23.039739075621501</v>
      </c>
      <c r="AI3762">
        <v>92.717829979893594</v>
      </c>
      <c r="AJ3762">
        <v>77.375277821690105</v>
      </c>
      <c r="AK3762">
        <v>23.637170717814001</v>
      </c>
      <c r="AL3762">
        <v>94.640566200726695</v>
      </c>
      <c r="AM3762">
        <v>89.482982383264499</v>
      </c>
      <c r="AN3762">
        <v>1.00000003290286</v>
      </c>
    </row>
    <row r="3763" spans="1:40" x14ac:dyDescent="0.25">
      <c r="A3763" t="str">
        <f>"20190303154844025"</f>
        <v>20190303154844025</v>
      </c>
      <c r="B3763" t="str">
        <f>"1551599324014318"</f>
        <v>1551599324014318</v>
      </c>
      <c r="C3763" t="s">
        <v>40</v>
      </c>
      <c r="D3763">
        <v>5.6932340000000003</v>
      </c>
      <c r="E3763">
        <v>0.57922209999999996</v>
      </c>
      <c r="F3763" t="s">
        <v>54</v>
      </c>
      <c r="G3763">
        <v>-282.77069999999998</v>
      </c>
      <c r="H3763" s="1">
        <v>6.4015560000000003E-6</v>
      </c>
      <c r="I3763">
        <v>210.09219999999999</v>
      </c>
      <c r="J3763">
        <v>-305.88909999999998</v>
      </c>
      <c r="K3763">
        <v>1.120811</v>
      </c>
      <c r="L3763">
        <v>215.1592</v>
      </c>
      <c r="M3763">
        <v>0.99989059999999996</v>
      </c>
      <c r="N3763">
        <v>-1.4431350000000001E-2</v>
      </c>
      <c r="O3763">
        <v>3.2567619999999999E-3</v>
      </c>
      <c r="P3763">
        <v>0.99551400000000001</v>
      </c>
      <c r="Q3763">
        <v>-9.4476190000000002E-2</v>
      </c>
      <c r="R3763">
        <v>-5.1416079999999998E-3</v>
      </c>
      <c r="S3763">
        <v>2.996216</v>
      </c>
      <c r="T3763">
        <v>-0.14395139999999901</v>
      </c>
      <c r="U3763">
        <v>-0.65069580000000005</v>
      </c>
      <c r="V3763">
        <v>8.397224E-3</v>
      </c>
      <c r="W3763">
        <v>-8.0098710000000004E-2</v>
      </c>
      <c r="X3763">
        <v>0.99675150000000001</v>
      </c>
      <c r="Y3763">
        <v>0.2150946</v>
      </c>
      <c r="Z3763">
        <v>-6.7839669999999897E-3</v>
      </c>
      <c r="AA3763">
        <v>0.97656969999999998</v>
      </c>
      <c r="AB3763">
        <v>32</v>
      </c>
      <c r="AC3763">
        <v>23.118400000000001</v>
      </c>
      <c r="AD3763">
        <v>-1.120804598444</v>
      </c>
      <c r="AE3763">
        <v>-5.0670000000000002</v>
      </c>
      <c r="AF3763">
        <v>5.1307654264423901</v>
      </c>
      <c r="AG3763">
        <v>-1.120804598444</v>
      </c>
      <c r="AH3763">
        <v>23.050079704456401</v>
      </c>
      <c r="AI3763">
        <v>92.717398359262404</v>
      </c>
      <c r="AJ3763">
        <v>77.450999250243001</v>
      </c>
      <c r="AK3763">
        <v>23.640793793586202</v>
      </c>
      <c r="AL3763">
        <v>94.594239910702001</v>
      </c>
      <c r="AM3763">
        <v>89.517317894293896</v>
      </c>
      <c r="AN3763">
        <v>0.99999993473340798</v>
      </c>
    </row>
    <row r="3764" spans="1:40" x14ac:dyDescent="0.25">
      <c r="A3764" t="str">
        <f>"20190303154844039"</f>
        <v>20190303154844039</v>
      </c>
      <c r="B3764" t="str">
        <f>"1551599324034814"</f>
        <v>1551599324034814</v>
      </c>
      <c r="C3764" t="s">
        <v>40</v>
      </c>
      <c r="D3764">
        <v>5.6916880000000001</v>
      </c>
      <c r="E3764">
        <v>0.57919160000000003</v>
      </c>
      <c r="F3764" t="s">
        <v>54</v>
      </c>
      <c r="G3764">
        <v>-282.72469999999998</v>
      </c>
      <c r="H3764" s="1">
        <v>6.4156890000000002E-6</v>
      </c>
      <c r="I3764">
        <v>210.14439999999999</v>
      </c>
      <c r="J3764">
        <v>-305.67700000000002</v>
      </c>
      <c r="K3764">
        <v>1.1208020000000001</v>
      </c>
      <c r="L3764">
        <v>215.16</v>
      </c>
      <c r="M3764">
        <v>0.99989050000000002</v>
      </c>
      <c r="N3764">
        <v>-1.442914E-2</v>
      </c>
      <c r="O3764">
        <v>3.295779E-3</v>
      </c>
      <c r="P3764">
        <v>0.99552739999999995</v>
      </c>
      <c r="Q3764">
        <v>-9.4382439999999998E-2</v>
      </c>
      <c r="R3764">
        <v>-4.1553780000000004E-3</v>
      </c>
      <c r="S3764">
        <v>2.9963989999999998</v>
      </c>
      <c r="T3764">
        <v>-0.1449802</v>
      </c>
      <c r="U3764">
        <v>-0.64868159999999997</v>
      </c>
      <c r="V3764">
        <v>7.447515E-3</v>
      </c>
      <c r="W3764">
        <v>-8.0007289999999995E-2</v>
      </c>
      <c r="X3764">
        <v>0.99676640000000005</v>
      </c>
      <c r="Y3764">
        <v>0.21449019999999999</v>
      </c>
      <c r="Z3764">
        <v>-6.8036850000000003E-3</v>
      </c>
      <c r="AA3764">
        <v>0.97670250000000003</v>
      </c>
      <c r="AB3764">
        <v>32</v>
      </c>
      <c r="AC3764">
        <v>22.952300000000001</v>
      </c>
      <c r="AD3764">
        <v>-1.120795584311</v>
      </c>
      <c r="AE3764">
        <v>-5.0156000000000001</v>
      </c>
      <c r="AF3764">
        <v>5.0796658264865497</v>
      </c>
      <c r="AG3764">
        <v>-1.120795584311</v>
      </c>
      <c r="AH3764">
        <v>22.8835639470933</v>
      </c>
      <c r="AI3764">
        <v>92.737475040536907</v>
      </c>
      <c r="AJ3764">
        <v>77.484484277642494</v>
      </c>
      <c r="AK3764">
        <v>23.4673536337461</v>
      </c>
      <c r="AL3764">
        <v>94.588985022487506</v>
      </c>
      <c r="AM3764">
        <v>89.571912499147501</v>
      </c>
      <c r="AN3764">
        <v>0.99999994405088799</v>
      </c>
    </row>
    <row r="3765" spans="1:40" x14ac:dyDescent="0.25">
      <c r="A3765" t="str">
        <f>"20190303154844054"</f>
        <v>20190303154844054</v>
      </c>
      <c r="B3765" t="str">
        <f>"1551599324044575"</f>
        <v>1551599324044575</v>
      </c>
      <c r="C3765" t="s">
        <v>40</v>
      </c>
      <c r="D3765">
        <v>5.8383409999999998</v>
      </c>
      <c r="E3765">
        <v>0.57919160000000003</v>
      </c>
      <c r="F3765" t="s">
        <v>54</v>
      </c>
      <c r="G3765">
        <v>-283.1456</v>
      </c>
      <c r="H3765" s="1">
        <v>6.2096230000000002E-6</v>
      </c>
      <c r="I3765">
        <v>210.3073</v>
      </c>
      <c r="J3765">
        <v>-305.46640000000002</v>
      </c>
      <c r="K3765">
        <v>1.12079</v>
      </c>
      <c r="L3765">
        <v>215.16069999999999</v>
      </c>
      <c r="M3765">
        <v>0.99989039999999996</v>
      </c>
      <c r="N3765">
        <v>-1.4426929999999999E-2</v>
      </c>
      <c r="O3765">
        <v>3.3223329999999998E-3</v>
      </c>
      <c r="P3765">
        <v>0.99563579999999996</v>
      </c>
      <c r="Q3765">
        <v>-9.3292860000000005E-2</v>
      </c>
      <c r="R3765">
        <v>-2.3848860000000001E-3</v>
      </c>
      <c r="S3765">
        <v>2.9966430000000002</v>
      </c>
      <c r="T3765">
        <v>-0.14906469999999999</v>
      </c>
      <c r="U3765">
        <v>-0.645401</v>
      </c>
      <c r="V3765">
        <v>5.7011960000000004E-3</v>
      </c>
      <c r="W3765">
        <v>-7.8918799999999997E-2</v>
      </c>
      <c r="X3765">
        <v>0.99686470000000005</v>
      </c>
      <c r="Y3765">
        <v>0.2134635</v>
      </c>
      <c r="Z3765">
        <v>-6.9204130000000003E-3</v>
      </c>
      <c r="AA3765">
        <v>0.97692650000000003</v>
      </c>
      <c r="AB3765">
        <v>32</v>
      </c>
      <c r="AC3765">
        <v>22.320799999999998</v>
      </c>
      <c r="AD3765">
        <v>-1.1207837903769999</v>
      </c>
      <c r="AE3765">
        <v>-4.8533999999999899</v>
      </c>
      <c r="AF3765">
        <v>4.9157036303076298</v>
      </c>
      <c r="AG3765">
        <v>-1.1207837903769999</v>
      </c>
      <c r="AH3765">
        <v>22.250981840466899</v>
      </c>
      <c r="AI3765">
        <v>92.815774594169497</v>
      </c>
      <c r="AJ3765">
        <v>77.542271503502803</v>
      </c>
      <c r="AK3765">
        <v>22.815049667940201</v>
      </c>
      <c r="AL3765">
        <v>94.526421243208006</v>
      </c>
      <c r="AM3765">
        <v>89.672321722700403</v>
      </c>
      <c r="AN3765">
        <v>0.99999995536767905</v>
      </c>
    </row>
    <row r="3766" spans="1:40" x14ac:dyDescent="0.25">
      <c r="A3766" t="str">
        <f>"20190303154844078"</f>
        <v>20190303154844078</v>
      </c>
      <c r="B3766" t="str">
        <f>"1551599324074830"</f>
        <v>1551599324074830</v>
      </c>
      <c r="C3766" t="s">
        <v>40</v>
      </c>
      <c r="D3766">
        <v>5.4834239999999896</v>
      </c>
      <c r="E3766">
        <v>0.52746119999999996</v>
      </c>
      <c r="F3766" t="s">
        <v>54</v>
      </c>
      <c r="G3766">
        <v>-282.41989999999998</v>
      </c>
      <c r="H3766" s="1">
        <v>6.5394870000000001E-6</v>
      </c>
      <c r="I3766">
        <v>210.24010000000001</v>
      </c>
      <c r="J3766">
        <v>-305.12549999999999</v>
      </c>
      <c r="K3766">
        <v>1.120771</v>
      </c>
      <c r="L3766">
        <v>215.1619</v>
      </c>
      <c r="M3766">
        <v>0.99989039999999996</v>
      </c>
      <c r="N3766">
        <v>-1.442334E-2</v>
      </c>
      <c r="O3766">
        <v>3.350993E-3</v>
      </c>
      <c r="P3766">
        <v>0.9956602</v>
      </c>
      <c r="Q3766">
        <v>-9.3059639999999999E-2</v>
      </c>
      <c r="R3766">
        <v>-1.0240270000000001E-3</v>
      </c>
      <c r="S3766">
        <v>2.9978940000000001</v>
      </c>
      <c r="T3766">
        <v>-0.14579159999999999</v>
      </c>
      <c r="U3766">
        <v>-0.64007569999999903</v>
      </c>
      <c r="V3766">
        <v>4.3651849999999997E-3</v>
      </c>
      <c r="W3766">
        <v>-7.8689099999999998E-2</v>
      </c>
      <c r="X3766">
        <v>0.99688969999999999</v>
      </c>
      <c r="Y3766">
        <v>0.21176349999999999</v>
      </c>
      <c r="Z3766">
        <v>-6.7475790000000001E-3</v>
      </c>
      <c r="AA3766">
        <v>0.97729770000000005</v>
      </c>
      <c r="AB3766">
        <v>32</v>
      </c>
      <c r="AC3766">
        <v>22.7056</v>
      </c>
      <c r="AD3766">
        <v>-1.120764460513</v>
      </c>
      <c r="AE3766">
        <v>-4.9217999999999904</v>
      </c>
      <c r="AF3766">
        <v>4.9862628813598997</v>
      </c>
      <c r="AG3766">
        <v>-1.120764460513</v>
      </c>
      <c r="AH3766">
        <v>22.636300170782501</v>
      </c>
      <c r="AI3766">
        <v>92.768245696721706</v>
      </c>
      <c r="AJ3766">
        <v>77.577428207666998</v>
      </c>
      <c r="AK3766">
        <v>23.206055587276001</v>
      </c>
      <c r="AL3766">
        <v>94.5132189105246</v>
      </c>
      <c r="AM3766">
        <v>89.749114592313404</v>
      </c>
      <c r="AN3766">
        <v>1.0000000516324901</v>
      </c>
    </row>
    <row r="3767" spans="1:40" x14ac:dyDescent="0.25">
      <c r="A3767" t="str">
        <f>"20190303154844100"</f>
        <v>20190303154844100</v>
      </c>
      <c r="B3767" t="str">
        <f>"1551599324094350"</f>
        <v>1551599324094350</v>
      </c>
      <c r="C3767" t="s">
        <v>40</v>
      </c>
      <c r="D3767">
        <v>5.4981879999999999</v>
      </c>
      <c r="E3767">
        <v>0.52202740000000003</v>
      </c>
      <c r="F3767" t="s">
        <v>54</v>
      </c>
      <c r="G3767">
        <v>-285.03840000000002</v>
      </c>
      <c r="H3767" s="1">
        <v>4.9697729999999997E-6</v>
      </c>
      <c r="I3767">
        <v>213.66679999999999</v>
      </c>
      <c r="J3767">
        <v>-304.8116</v>
      </c>
      <c r="K3767">
        <v>1.1207560000000001</v>
      </c>
      <c r="L3767">
        <v>215.16290000000001</v>
      </c>
      <c r="M3767">
        <v>0.99989059999999996</v>
      </c>
      <c r="N3767">
        <v>-1.442005E-2</v>
      </c>
      <c r="O3767">
        <v>3.3630510000000001E-3</v>
      </c>
      <c r="P3767">
        <v>0.99563840000000003</v>
      </c>
      <c r="Q3767">
        <v>-9.3297439999999995E-2</v>
      </c>
      <c r="R3767">
        <v>-1.991525E-4</v>
      </c>
      <c r="S3767">
        <v>2.9972530000000002</v>
      </c>
      <c r="T3767">
        <v>-0.16723289999999999</v>
      </c>
      <c r="U3767">
        <v>-0.22308349999999999</v>
      </c>
      <c r="V3767">
        <v>3.5496830000000001E-3</v>
      </c>
      <c r="W3767">
        <v>-7.8930570000000005E-2</v>
      </c>
      <c r="X3767">
        <v>0.99687380000000003</v>
      </c>
      <c r="Y3767">
        <v>7.7423939999999997E-2</v>
      </c>
      <c r="Z3767">
        <v>-2.8537110000000001E-3</v>
      </c>
      <c r="AA3767">
        <v>0.99699420000000005</v>
      </c>
      <c r="AB3767">
        <v>32</v>
      </c>
      <c r="AC3767">
        <v>19.7731999999999</v>
      </c>
      <c r="AD3767">
        <v>-1.1207510302269901</v>
      </c>
      <c r="AE3767">
        <v>-1.49610000000001</v>
      </c>
      <c r="AF3767">
        <v>1.5576210996367801</v>
      </c>
      <c r="AG3767">
        <v>-1.1207510302269901</v>
      </c>
      <c r="AH3767">
        <v>19.705110766785001</v>
      </c>
      <c r="AI3767">
        <v>93.245155873889502</v>
      </c>
      <c r="AJ3767">
        <v>85.480363879045299</v>
      </c>
      <c r="AK3767">
        <v>19.798324593082398</v>
      </c>
      <c r="AL3767">
        <v>94.527097503588195</v>
      </c>
      <c r="AM3767">
        <v>89.795981201502997</v>
      </c>
      <c r="AN3767">
        <v>1.00000000412818</v>
      </c>
    </row>
    <row r="3768" spans="1:40" x14ac:dyDescent="0.25">
      <c r="A3768" t="str">
        <f>"20190303154844115"</f>
        <v>20190303154844115</v>
      </c>
      <c r="B3768" t="str">
        <f>"1551599324104111"</f>
        <v>1551599324104111</v>
      </c>
      <c r="C3768" t="s">
        <v>40</v>
      </c>
      <c r="D3768">
        <v>5.5059849999999999</v>
      </c>
      <c r="E3768">
        <v>0.520538099999999</v>
      </c>
      <c r="F3768" t="s">
        <v>54</v>
      </c>
      <c r="G3768">
        <v>-283.91559999999998</v>
      </c>
      <c r="H3768" s="1">
        <v>5.4367260000000003E-6</v>
      </c>
      <c r="I3768">
        <v>213.9265</v>
      </c>
      <c r="J3768">
        <v>-304.59280000000001</v>
      </c>
      <c r="K3768">
        <v>1.1207530000000001</v>
      </c>
      <c r="L3768">
        <v>215.16370000000001</v>
      </c>
      <c r="M3768">
        <v>0.99989039999999996</v>
      </c>
      <c r="N3768">
        <v>-1.441776E-2</v>
      </c>
      <c r="O3768">
        <v>3.3649769999999999E-3</v>
      </c>
      <c r="P3768">
        <v>0.99565150000000002</v>
      </c>
      <c r="Q3768">
        <v>-9.3156870000000003E-2</v>
      </c>
      <c r="R3768">
        <v>-1.1342599999999999E-4</v>
      </c>
      <c r="S3768">
        <v>2.9980159999999998</v>
      </c>
      <c r="T3768">
        <v>-0.16079760000000001</v>
      </c>
      <c r="U3768">
        <v>-0.17739869999999999</v>
      </c>
      <c r="V3768">
        <v>3.4645159999999999E-3</v>
      </c>
      <c r="W3768">
        <v>-7.8792189999999998E-2</v>
      </c>
      <c r="X3768">
        <v>0.99688509999999997</v>
      </c>
      <c r="Y3768">
        <v>6.231188E-2</v>
      </c>
      <c r="Z3768">
        <v>-2.250153E-3</v>
      </c>
      <c r="AA3768">
        <v>0.9980542</v>
      </c>
      <c r="AB3768">
        <v>32</v>
      </c>
      <c r="AC3768">
        <v>20.677199999999999</v>
      </c>
      <c r="AD3768">
        <v>-1.120747563274</v>
      </c>
      <c r="AE3768">
        <v>-1.2372000000000001</v>
      </c>
      <c r="AF3768">
        <v>1.3029642487784301</v>
      </c>
      <c r="AG3768">
        <v>-1.120747563274</v>
      </c>
      <c r="AH3768">
        <v>20.612578339423798</v>
      </c>
      <c r="AI3768">
        <v>93.106035754418102</v>
      </c>
      <c r="AJ3768">
        <v>86.383026181962506</v>
      </c>
      <c r="AK3768">
        <v>20.6841044460006</v>
      </c>
      <c r="AL3768">
        <v>94.519143902667096</v>
      </c>
      <c r="AM3768">
        <v>89.800878410468897</v>
      </c>
      <c r="AN3768">
        <v>1.00000005733905</v>
      </c>
    </row>
    <row r="3769" spans="1:40" x14ac:dyDescent="0.25">
      <c r="A3769" t="str">
        <f>"20190303154844135"</f>
        <v>20190303154844135</v>
      </c>
      <c r="B3769" t="str">
        <f>"1551599324124606"</f>
        <v>1551599324124606</v>
      </c>
      <c r="C3769" t="s">
        <v>40</v>
      </c>
      <c r="D3769">
        <v>5.4912710000000002</v>
      </c>
      <c r="E3769">
        <v>0.51861159999999995</v>
      </c>
      <c r="F3769" t="s">
        <v>54</v>
      </c>
      <c r="G3769">
        <v>-283.57339999999999</v>
      </c>
      <c r="H3769" s="1">
        <v>5.5790859999999997E-6</v>
      </c>
      <c r="I3769">
        <v>214.0052</v>
      </c>
      <c r="J3769">
        <v>-304.32350000000002</v>
      </c>
      <c r="K3769">
        <v>1.1207400000000001</v>
      </c>
      <c r="L3769">
        <v>215.16460000000001</v>
      </c>
      <c r="M3769">
        <v>0.99989039999999996</v>
      </c>
      <c r="N3769">
        <v>-1.4414929999999999E-2</v>
      </c>
      <c r="O3769">
        <v>3.3635240000000001E-3</v>
      </c>
      <c r="P3769">
        <v>0.99567779999999995</v>
      </c>
      <c r="Q3769">
        <v>-9.2874659999999998E-2</v>
      </c>
      <c r="R3769">
        <v>-5.5807049999999998E-4</v>
      </c>
      <c r="S3769">
        <v>2.998138</v>
      </c>
      <c r="T3769">
        <v>-0.1598598</v>
      </c>
      <c r="U3769">
        <v>-0.16523740000000001</v>
      </c>
      <c r="V3769">
        <v>3.9066259999999998E-3</v>
      </c>
      <c r="W3769">
        <v>-7.8512529999999997E-2</v>
      </c>
      <c r="X3769">
        <v>0.99690540000000005</v>
      </c>
      <c r="Y3769">
        <v>5.8280810000000002E-2</v>
      </c>
      <c r="Z3769">
        <v>-2.1029130000000001E-3</v>
      </c>
      <c r="AA3769">
        <v>0.99829800000000002</v>
      </c>
      <c r="AB3769">
        <v>32</v>
      </c>
      <c r="AC3769">
        <v>20.7501</v>
      </c>
      <c r="AD3769">
        <v>-1.120734420914</v>
      </c>
      <c r="AE3769">
        <v>-1.1594</v>
      </c>
      <c r="AF3769">
        <v>1.22562988456088</v>
      </c>
      <c r="AG3769">
        <v>-1.120734420914</v>
      </c>
      <c r="AH3769">
        <v>20.685925512384699</v>
      </c>
      <c r="AI3769">
        <v>93.095754532427804</v>
      </c>
      <c r="AJ3769">
        <v>86.609220159333802</v>
      </c>
      <c r="AK3769">
        <v>20.752487286108099</v>
      </c>
      <c r="AL3769">
        <v>94.503071357396607</v>
      </c>
      <c r="AM3769">
        <v>89.775473143015802</v>
      </c>
      <c r="AN3769">
        <v>0.99999992782142899</v>
      </c>
    </row>
    <row r="3770" spans="1:40" x14ac:dyDescent="0.25">
      <c r="A3770" t="str">
        <f>"20190303154844155"</f>
        <v>20190303154844155</v>
      </c>
      <c r="B3770" t="str">
        <f>"1551599324144126"</f>
        <v>1551599324144126</v>
      </c>
      <c r="C3770" t="s">
        <v>40</v>
      </c>
      <c r="D3770">
        <v>5.4365019999999999</v>
      </c>
      <c r="E3770">
        <v>0.51724269999999894</v>
      </c>
      <c r="F3770" t="s">
        <v>54</v>
      </c>
      <c r="G3770">
        <v>-283.18259999999998</v>
      </c>
      <c r="H3770" s="1">
        <v>5.7412729999999999E-6</v>
      </c>
      <c r="I3770">
        <v>214.0984</v>
      </c>
      <c r="J3770">
        <v>-304.0274</v>
      </c>
      <c r="K3770">
        <v>1.1207450000000001</v>
      </c>
      <c r="L3770">
        <v>215.16560000000001</v>
      </c>
      <c r="M3770">
        <v>0.99989050000000002</v>
      </c>
      <c r="N3770">
        <v>-1.4411800000000001E-2</v>
      </c>
      <c r="O3770">
        <v>3.3591229999999999E-3</v>
      </c>
      <c r="P3770">
        <v>0.99562169999999905</v>
      </c>
      <c r="Q3770">
        <v>-9.3449859999999996E-2</v>
      </c>
      <c r="R3770">
        <v>-2.1649289999999999E-3</v>
      </c>
      <c r="S3770">
        <v>2.9981080000000002</v>
      </c>
      <c r="T3770">
        <v>-0.15893779999999999</v>
      </c>
      <c r="U3770">
        <v>-0.15119929999999901</v>
      </c>
      <c r="V3770">
        <v>5.5082419999999896E-3</v>
      </c>
      <c r="W3770">
        <v>-7.9091729999999999E-2</v>
      </c>
      <c r="X3770">
        <v>0.99685210000000002</v>
      </c>
      <c r="Y3770">
        <v>5.3624409999999997E-2</v>
      </c>
      <c r="Z3770">
        <v>-1.9359970000000001E-3</v>
      </c>
      <c r="AA3770">
        <v>0.99855930000000004</v>
      </c>
      <c r="AB3770">
        <v>32</v>
      </c>
      <c r="AC3770">
        <v>20.844799999999999</v>
      </c>
      <c r="AD3770">
        <v>-1.120739258727</v>
      </c>
      <c r="AE3770">
        <v>-1.0672000000000099</v>
      </c>
      <c r="AF3770">
        <v>1.13395207159803</v>
      </c>
      <c r="AG3770">
        <v>-1.120739258727</v>
      </c>
      <c r="AH3770">
        <v>20.7811805590784</v>
      </c>
      <c r="AI3770">
        <v>93.082422308310299</v>
      </c>
      <c r="AJ3770">
        <v>86.8766788936599</v>
      </c>
      <c r="AK3770">
        <v>20.8422496198408</v>
      </c>
      <c r="AL3770">
        <v>94.536360377623893</v>
      </c>
      <c r="AM3770">
        <v>89.683407591587297</v>
      </c>
      <c r="AN3770">
        <v>0.99999997587936595</v>
      </c>
    </row>
    <row r="3771" spans="1:40" x14ac:dyDescent="0.25">
      <c r="A3771" t="str">
        <f>"20190303154844170"</f>
        <v>20190303154844170</v>
      </c>
      <c r="B3771" t="str">
        <f>"1551599324164623"</f>
        <v>1551599324164623</v>
      </c>
      <c r="C3771" t="s">
        <v>40</v>
      </c>
      <c r="D3771">
        <v>5.4614849999999997</v>
      </c>
      <c r="E3771">
        <v>0.51648139999999998</v>
      </c>
      <c r="F3771" t="s">
        <v>54</v>
      </c>
      <c r="G3771">
        <v>-283.31729999999999</v>
      </c>
      <c r="H3771" s="1">
        <v>5.67391499999999E-6</v>
      </c>
      <c r="I3771">
        <v>214.1626</v>
      </c>
      <c r="J3771">
        <v>-303.81610000000001</v>
      </c>
      <c r="K3771">
        <v>1.1207419999999999</v>
      </c>
      <c r="L3771">
        <v>215.16630000000001</v>
      </c>
      <c r="M3771">
        <v>0.99989059999999996</v>
      </c>
      <c r="N3771">
        <v>-1.440957E-2</v>
      </c>
      <c r="O3771">
        <v>3.3555870000000002E-3</v>
      </c>
      <c r="P3771">
        <v>0.9955965</v>
      </c>
      <c r="Q3771">
        <v>-9.3694150000000004E-2</v>
      </c>
      <c r="R3771">
        <v>-3.0151610000000001E-3</v>
      </c>
      <c r="S3771">
        <v>2.99762</v>
      </c>
      <c r="T3771">
        <v>-0.1622181</v>
      </c>
      <c r="U3771">
        <v>-0.1451721</v>
      </c>
      <c r="V3771">
        <v>6.3545609999999999E-3</v>
      </c>
      <c r="W3771">
        <v>-7.9338679999999995E-2</v>
      </c>
      <c r="X3771">
        <v>0.99682749999999998</v>
      </c>
      <c r="Y3771">
        <v>5.1626030000000003E-2</v>
      </c>
      <c r="Z3771">
        <v>-1.900641E-3</v>
      </c>
      <c r="AA3771">
        <v>0.99866469999999896</v>
      </c>
      <c r="AB3771">
        <v>32</v>
      </c>
      <c r="AC3771">
        <v>20.498799999999999</v>
      </c>
      <c r="AD3771">
        <v>-1.1207363260849901</v>
      </c>
      <c r="AE3771">
        <v>-1.0037</v>
      </c>
      <c r="AF3771">
        <v>1.06929832794376</v>
      </c>
      <c r="AG3771">
        <v>-1.1207363260849901</v>
      </c>
      <c r="AH3771">
        <v>20.4343805525039</v>
      </c>
      <c r="AI3771">
        <v>93.134996821799206</v>
      </c>
      <c r="AJ3771">
        <v>87.004535970616899</v>
      </c>
      <c r="AK3771">
        <v>20.493007524306901</v>
      </c>
      <c r="AL3771">
        <v>94.550553901552405</v>
      </c>
      <c r="AM3771">
        <v>89.634756671403906</v>
      </c>
      <c r="AN3771">
        <v>1.0000000356729399</v>
      </c>
    </row>
    <row r="3772" spans="1:40" x14ac:dyDescent="0.25">
      <c r="A3772" t="str">
        <f>"20190303154844189"</f>
        <v>20190303154844189</v>
      </c>
      <c r="B3772" t="str">
        <f>"1551599324184143"</f>
        <v>1551599324184143</v>
      </c>
      <c r="C3772" t="s">
        <v>40</v>
      </c>
      <c r="D3772">
        <v>5.6843050000000002</v>
      </c>
      <c r="E3772">
        <v>0.51593710000000004</v>
      </c>
      <c r="F3772" t="s">
        <v>54</v>
      </c>
      <c r="G3772">
        <v>-283.42599999999999</v>
      </c>
      <c r="H3772" s="1">
        <v>5.62106E-6</v>
      </c>
      <c r="I3772">
        <v>214.20179999999999</v>
      </c>
      <c r="J3772">
        <v>-303.5455</v>
      </c>
      <c r="K3772">
        <v>1.1207400000000001</v>
      </c>
      <c r="L3772">
        <v>215.16720000000001</v>
      </c>
      <c r="M3772">
        <v>0.99989070000000002</v>
      </c>
      <c r="N3772">
        <v>-1.440672E-2</v>
      </c>
      <c r="O3772">
        <v>3.3513430000000001E-3</v>
      </c>
      <c r="P3772">
        <v>0.99555870000000002</v>
      </c>
      <c r="Q3772">
        <v>-9.4024259999999998E-2</v>
      </c>
      <c r="R3772">
        <v>-4.7513470000000004E-3</v>
      </c>
      <c r="S3772">
        <v>2.9974059999999998</v>
      </c>
      <c r="T3772">
        <v>-0.16475139999999999</v>
      </c>
      <c r="U3772">
        <v>-0.14178470000000001</v>
      </c>
      <c r="V3772">
        <v>8.0861179999999998E-3</v>
      </c>
      <c r="W3772">
        <v>-7.9672300000000001E-2</v>
      </c>
      <c r="X3772">
        <v>0.99678829999999996</v>
      </c>
      <c r="Y3772">
        <v>5.0498500000000002E-2</v>
      </c>
      <c r="Z3772">
        <v>-1.8860610000000001E-3</v>
      </c>
      <c r="AA3772">
        <v>0.99872240000000001</v>
      </c>
      <c r="AB3772">
        <v>32</v>
      </c>
      <c r="AC3772">
        <v>20.119499999999999</v>
      </c>
      <c r="AD3772">
        <v>-1.1207343789399999</v>
      </c>
      <c r="AE3772">
        <v>-0.96540000000001602</v>
      </c>
      <c r="AF3772">
        <v>1.0296413557570701</v>
      </c>
      <c r="AG3772">
        <v>-1.1207343789399999</v>
      </c>
      <c r="AH3772">
        <v>20.054067976510701</v>
      </c>
      <c r="AI3772">
        <v>93.194484863782407</v>
      </c>
      <c r="AJ3772">
        <v>87.0608283927683</v>
      </c>
      <c r="AK3772">
        <v>20.111734119069201</v>
      </c>
      <c r="AL3772">
        <v>94.569729840019903</v>
      </c>
      <c r="AM3772">
        <v>89.535216984799206</v>
      </c>
      <c r="AN3772">
        <v>0.99999998785424404</v>
      </c>
    </row>
    <row r="3773" spans="1:40" x14ac:dyDescent="0.25">
      <c r="A3773" t="str">
        <f>"20190303154844211"</f>
        <v>20190303154844211</v>
      </c>
      <c r="B3773" t="str">
        <f>"1551599324204638"</f>
        <v>1551599324204638</v>
      </c>
      <c r="C3773" t="s">
        <v>40</v>
      </c>
      <c r="D3773">
        <v>5.4187570000000003</v>
      </c>
      <c r="E3773">
        <v>0.51562920000000001</v>
      </c>
      <c r="F3773" t="s">
        <v>54</v>
      </c>
      <c r="G3773">
        <v>-283.28129999999999</v>
      </c>
      <c r="H3773" s="1">
        <v>5.6851960000000001E-6</v>
      </c>
      <c r="I3773">
        <v>214.202</v>
      </c>
      <c r="J3773">
        <v>-303.22660000000002</v>
      </c>
      <c r="K3773">
        <v>1.1207389999999999</v>
      </c>
      <c r="L3773">
        <v>215.16829999999999</v>
      </c>
      <c r="M3773">
        <v>0.99989070000000002</v>
      </c>
      <c r="N3773">
        <v>-1.4403340000000001E-2</v>
      </c>
      <c r="O3773">
        <v>3.34812E-3</v>
      </c>
      <c r="P3773">
        <v>0.99557589999999996</v>
      </c>
      <c r="Q3773">
        <v>-9.3772430000000004E-2</v>
      </c>
      <c r="R3773">
        <v>-5.9475359999999998E-3</v>
      </c>
      <c r="S3773">
        <v>2.9970400000000001</v>
      </c>
      <c r="T3773">
        <v>-0.16575409999999999</v>
      </c>
      <c r="U3773">
        <v>-0.14274600000000001</v>
      </c>
      <c r="V3773">
        <v>9.2787900000000003E-3</v>
      </c>
      <c r="W3773">
        <v>-7.9423729999999998E-2</v>
      </c>
      <c r="X3773">
        <v>0.99679770000000001</v>
      </c>
      <c r="Y3773">
        <v>5.0818929999999998E-2</v>
      </c>
      <c r="Z3773">
        <v>-1.9067439999999999E-3</v>
      </c>
      <c r="AA3773">
        <v>0.99870599999999998</v>
      </c>
      <c r="AB3773">
        <v>32</v>
      </c>
      <c r="AC3773">
        <v>19.9453</v>
      </c>
      <c r="AD3773">
        <v>-1.120733314804</v>
      </c>
      <c r="AE3773">
        <v>-0.96629999999998895</v>
      </c>
      <c r="AF3773">
        <v>1.0298368195966301</v>
      </c>
      <c r="AG3773">
        <v>-1.120733314804</v>
      </c>
      <c r="AH3773">
        <v>19.879333424102001</v>
      </c>
      <c r="AI3773">
        <v>93.222425370219796</v>
      </c>
      <c r="AJ3773">
        <v>87.034477824788098</v>
      </c>
      <c r="AK3773">
        <v>19.937515001236399</v>
      </c>
      <c r="AL3773">
        <v>94.555442771456498</v>
      </c>
      <c r="AM3773">
        <v>89.466671972278306</v>
      </c>
      <c r="AN3773">
        <v>0.99999993977813095</v>
      </c>
    </row>
    <row r="3774" spans="1:40" x14ac:dyDescent="0.25">
      <c r="A3774" t="str">
        <f>"20190303154844233"</f>
        <v>20190303154844233</v>
      </c>
      <c r="B3774" t="str">
        <f>"1551599324224159"</f>
        <v>1551599324224159</v>
      </c>
      <c r="C3774" t="s">
        <v>40</v>
      </c>
      <c r="D3774">
        <v>5.4339259999999996</v>
      </c>
      <c r="E3774">
        <v>0.51528279999999904</v>
      </c>
      <c r="F3774" t="s">
        <v>54</v>
      </c>
      <c r="G3774">
        <v>-282.4769</v>
      </c>
      <c r="H3774" s="1">
        <v>6.0454989999999997E-6</v>
      </c>
      <c r="I3774">
        <v>214.17169999999999</v>
      </c>
      <c r="J3774">
        <v>-302.91730000000001</v>
      </c>
      <c r="K3774">
        <v>1.1207389999999999</v>
      </c>
      <c r="L3774">
        <v>215.16929999999999</v>
      </c>
      <c r="M3774">
        <v>0.99989090000000003</v>
      </c>
      <c r="N3774">
        <v>-1.4400039999999999E-2</v>
      </c>
      <c r="O3774">
        <v>3.3466339999999998E-3</v>
      </c>
      <c r="P3774">
        <v>0.99555979999999999</v>
      </c>
      <c r="Q3774">
        <v>-9.3879439999999995E-2</v>
      </c>
      <c r="R3774">
        <v>-6.8971859999999996E-3</v>
      </c>
      <c r="S3774">
        <v>2.997223</v>
      </c>
      <c r="T3774">
        <v>-0.16188629999999901</v>
      </c>
      <c r="U3774">
        <v>-0.14395139999999901</v>
      </c>
      <c r="V3774">
        <v>1.022668E-2</v>
      </c>
      <c r="W3774">
        <v>-7.9534369999999993E-2</v>
      </c>
      <c r="X3774">
        <v>0.99677969999999905</v>
      </c>
      <c r="Y3774">
        <v>5.1218800000000002E-2</v>
      </c>
      <c r="Z3774">
        <v>-1.8831500000000001E-3</v>
      </c>
      <c r="AA3774">
        <v>0.99868570000000001</v>
      </c>
      <c r="AB3774">
        <v>32</v>
      </c>
      <c r="AC3774">
        <v>20.4404</v>
      </c>
      <c r="AD3774">
        <v>-1.1207329545010001</v>
      </c>
      <c r="AE3774">
        <v>-0.99760000000000504</v>
      </c>
      <c r="AF3774">
        <v>1.06282051600325</v>
      </c>
      <c r="AG3774">
        <v>-1.1207329545010001</v>
      </c>
      <c r="AH3774">
        <v>20.3758372039633</v>
      </c>
      <c r="AI3774">
        <v>93.144004127122699</v>
      </c>
      <c r="AJ3774">
        <v>87.014110759119305</v>
      </c>
      <c r="AK3774">
        <v>20.434294007059702</v>
      </c>
      <c r="AL3774">
        <v>94.561801656037801</v>
      </c>
      <c r="AM3774">
        <v>89.412182005219904</v>
      </c>
      <c r="AN3774">
        <v>1.0000000356636001</v>
      </c>
    </row>
    <row r="3775" spans="1:40" x14ac:dyDescent="0.25">
      <c r="A3775" t="str">
        <f>"20190303154844249"</f>
        <v>20190303154844249</v>
      </c>
      <c r="B3775" t="str">
        <f>"1551599324244655"</f>
        <v>1551599324244655</v>
      </c>
      <c r="C3775" t="s">
        <v>40</v>
      </c>
      <c r="D3775">
        <v>5.4717719999999996</v>
      </c>
      <c r="E3775">
        <v>0.5149513</v>
      </c>
      <c r="F3775" t="s">
        <v>54</v>
      </c>
      <c r="G3775">
        <v>-282.05419999999998</v>
      </c>
      <c r="H3775" s="1">
        <v>6.23354799999999E-6</v>
      </c>
      <c r="I3775">
        <v>214.16679999999999</v>
      </c>
      <c r="J3775">
        <v>-302.70060000000001</v>
      </c>
      <c r="K3775">
        <v>1.1207389999999999</v>
      </c>
      <c r="L3775">
        <v>215.17</v>
      </c>
      <c r="M3775">
        <v>0.99989079999999997</v>
      </c>
      <c r="N3775">
        <v>-1.4397719999999999E-2</v>
      </c>
      <c r="O3775">
        <v>3.3462829999999998E-3</v>
      </c>
      <c r="P3775">
        <v>0.99557050000000002</v>
      </c>
      <c r="Q3775">
        <v>-9.3760159999999995E-2</v>
      </c>
      <c r="R3775">
        <v>-6.9704249999999997E-3</v>
      </c>
      <c r="S3775">
        <v>2.9971920000000001</v>
      </c>
      <c r="T3775">
        <v>-0.16100410000000001</v>
      </c>
      <c r="U3775">
        <v>-0.14401249999999999</v>
      </c>
      <c r="V3775">
        <v>1.0299289999999999E-2</v>
      </c>
      <c r="W3775">
        <v>-7.9417299999999996E-2</v>
      </c>
      <c r="X3775">
        <v>0.99678829999999996</v>
      </c>
      <c r="Y3775">
        <v>5.1240140000000003E-2</v>
      </c>
      <c r="Z3775">
        <v>-1.8753229999999999E-3</v>
      </c>
      <c r="AA3775">
        <v>0.99868460000000003</v>
      </c>
      <c r="AB3775">
        <v>32</v>
      </c>
      <c r="AC3775">
        <v>20.6464</v>
      </c>
      <c r="AD3775">
        <v>-1.1207327664519999</v>
      </c>
      <c r="AE3775">
        <v>-1.0031999999999901</v>
      </c>
      <c r="AF3775">
        <v>1.0691473499056201</v>
      </c>
      <c r="AG3775">
        <v>-1.1207327664519999</v>
      </c>
      <c r="AH3775">
        <v>20.582422522172401</v>
      </c>
      <c r="AI3775">
        <v>93.112544521780904</v>
      </c>
      <c r="AJ3775">
        <v>87.026461600518402</v>
      </c>
      <c r="AK3775">
        <v>20.6406209904363</v>
      </c>
      <c r="AL3775">
        <v>94.555072693739305</v>
      </c>
      <c r="AM3775">
        <v>89.408013867719703</v>
      </c>
      <c r="AN3775">
        <v>1.00000004896534</v>
      </c>
    </row>
    <row r="3776" spans="1:40" x14ac:dyDescent="0.25">
      <c r="A3776" t="str">
        <f>"20190303154844268"</f>
        <v>20190303154844268</v>
      </c>
      <c r="B3776" t="str">
        <f>"1551599324264175"</f>
        <v>1551599324264175</v>
      </c>
      <c r="C3776" t="s">
        <v>40</v>
      </c>
      <c r="D3776">
        <v>5.4291099999999997</v>
      </c>
      <c r="E3776">
        <v>0.51459120000000003</v>
      </c>
      <c r="F3776" t="s">
        <v>54</v>
      </c>
      <c r="G3776">
        <v>-281.67700000000002</v>
      </c>
      <c r="H3776" s="1">
        <v>6.3996550000000001E-6</v>
      </c>
      <c r="I3776">
        <v>214.17660000000001</v>
      </c>
      <c r="J3776">
        <v>-302.43709999999999</v>
      </c>
      <c r="K3776">
        <v>1.1207290000000001</v>
      </c>
      <c r="L3776">
        <v>215.17089999999999</v>
      </c>
      <c r="M3776">
        <v>0.99989070000000002</v>
      </c>
      <c r="N3776">
        <v>-1.439489E-2</v>
      </c>
      <c r="O3776">
        <v>3.3464749999999998E-3</v>
      </c>
      <c r="P3776">
        <v>0.99556659999999997</v>
      </c>
      <c r="Q3776">
        <v>-9.3840049999999994E-2</v>
      </c>
      <c r="R3776">
        <v>-6.4144669999999897E-3</v>
      </c>
      <c r="S3776">
        <v>2.9973139999999998</v>
      </c>
      <c r="T3776">
        <v>-0.15978149999999999</v>
      </c>
      <c r="U3776">
        <v>-0.14163210000000001</v>
      </c>
      <c r="V3776">
        <v>9.7434089999999998E-3</v>
      </c>
      <c r="W3776">
        <v>-7.9500020000000005E-2</v>
      </c>
      <c r="X3776">
        <v>0.99678730000000004</v>
      </c>
      <c r="Y3776">
        <v>5.044978E-2</v>
      </c>
      <c r="Z3776">
        <v>-1.8366999999999999E-3</v>
      </c>
      <c r="AA3776">
        <v>0.99872490000000003</v>
      </c>
      <c r="AB3776">
        <v>32</v>
      </c>
      <c r="AC3776">
        <v>20.760099999999898</v>
      </c>
      <c r="AD3776">
        <v>-1.1207226003449999</v>
      </c>
      <c r="AE3776">
        <v>-0.99429999999998098</v>
      </c>
      <c r="AF3776">
        <v>1.0606906736937101</v>
      </c>
      <c r="AG3776">
        <v>-1.1207226003449999</v>
      </c>
      <c r="AH3776">
        <v>20.696477849509101</v>
      </c>
      <c r="AI3776">
        <v>93.095507631131596</v>
      </c>
      <c r="AJ3776">
        <v>87.066168679708895</v>
      </c>
      <c r="AK3776">
        <v>20.753922020365302</v>
      </c>
      <c r="AL3776">
        <v>94.559827209003998</v>
      </c>
      <c r="AM3776">
        <v>89.439962332090005</v>
      </c>
      <c r="AN3776">
        <v>1.00000005432011</v>
      </c>
    </row>
    <row r="3777" spans="1:40" x14ac:dyDescent="0.25">
      <c r="A3777" t="str">
        <f>"20190303154844289"</f>
        <v>20190303154844289</v>
      </c>
      <c r="B3777" t="str">
        <f>"1551599324284670"</f>
        <v>1551599324284670</v>
      </c>
      <c r="C3777" t="s">
        <v>40</v>
      </c>
      <c r="D3777">
        <v>5.4637159999999998</v>
      </c>
      <c r="E3777">
        <v>0.5144611</v>
      </c>
      <c r="F3777" t="s">
        <v>54</v>
      </c>
      <c r="G3777">
        <v>-281.47019999999998</v>
      </c>
      <c r="H3777" s="1">
        <v>6.4871909999999999E-6</v>
      </c>
      <c r="I3777">
        <v>214.21180000000001</v>
      </c>
      <c r="J3777">
        <v>-302.12490000000003</v>
      </c>
      <c r="K3777">
        <v>1.1207260000000001</v>
      </c>
      <c r="L3777">
        <v>215.172</v>
      </c>
      <c r="M3777">
        <v>0.99989090000000003</v>
      </c>
      <c r="N3777">
        <v>-1.439153E-2</v>
      </c>
      <c r="O3777">
        <v>3.3461979999999999E-3</v>
      </c>
      <c r="P3777">
        <v>0.99556509999999998</v>
      </c>
      <c r="Q3777">
        <v>-9.3939739999999994E-2</v>
      </c>
      <c r="R3777">
        <v>-5.0803089999999999E-3</v>
      </c>
      <c r="S3777">
        <v>2.9973450000000001</v>
      </c>
      <c r="T3777">
        <v>-0.16021359999999901</v>
      </c>
      <c r="U3777">
        <v>-0.1371155</v>
      </c>
      <c r="V3777">
        <v>8.4089000000000004E-3</v>
      </c>
      <c r="W3777">
        <v>-7.9602950000000006E-2</v>
      </c>
      <c r="X3777">
        <v>0.99679119999999999</v>
      </c>
      <c r="Y3777">
        <v>4.894954E-2</v>
      </c>
      <c r="Z3777">
        <v>-1.7898910000000001E-3</v>
      </c>
      <c r="AA3777">
        <v>0.99879960000000001</v>
      </c>
      <c r="AB3777">
        <v>32</v>
      </c>
      <c r="AC3777">
        <v>20.654699999999998</v>
      </c>
      <c r="AD3777">
        <v>-1.120719512809</v>
      </c>
      <c r="AE3777">
        <v>-0.96019999999998595</v>
      </c>
      <c r="AF3777">
        <v>1.0263014505099399</v>
      </c>
      <c r="AG3777">
        <v>-1.120719512809</v>
      </c>
      <c r="AH3777">
        <v>20.590879618221301</v>
      </c>
      <c r="AI3777">
        <v>93.111563290780893</v>
      </c>
      <c r="AJ3777">
        <v>87.146594946020201</v>
      </c>
      <c r="AK3777">
        <v>20.646879433604301</v>
      </c>
      <c r="AL3777">
        <v>94.565743580140406</v>
      </c>
      <c r="AM3777">
        <v>89.516666026170199</v>
      </c>
      <c r="AN3777">
        <v>1.00000001782267</v>
      </c>
    </row>
    <row r="3778" spans="1:40" x14ac:dyDescent="0.25">
      <c r="A3778" t="str">
        <f>"20190303154844312"</f>
        <v>20190303154844312</v>
      </c>
      <c r="B3778" t="str">
        <f>"1551599324304190"</f>
        <v>1551599324304190</v>
      </c>
      <c r="C3778" t="s">
        <v>40</v>
      </c>
      <c r="D3778">
        <v>5.4441040000000003</v>
      </c>
      <c r="E3778">
        <v>0.51417120000000005</v>
      </c>
      <c r="F3778" t="s">
        <v>54</v>
      </c>
      <c r="G3778">
        <v>-281.04599999999999</v>
      </c>
      <c r="H3778" s="1">
        <v>6.6715079999999998E-6</v>
      </c>
      <c r="I3778">
        <v>214.24340000000001</v>
      </c>
      <c r="J3778">
        <v>-301.80770000000001</v>
      </c>
      <c r="K3778">
        <v>1.1207210000000001</v>
      </c>
      <c r="L3778">
        <v>215.173</v>
      </c>
      <c r="M3778">
        <v>0.99989099999999997</v>
      </c>
      <c r="N3778">
        <v>-1.4388099999999999E-2</v>
      </c>
      <c r="O3778">
        <v>3.3463410000000001E-3</v>
      </c>
      <c r="P3778">
        <v>0.99557759999999995</v>
      </c>
      <c r="Q3778">
        <v>-9.3855519999999998E-2</v>
      </c>
      <c r="R3778">
        <v>-4.0959519999999999E-3</v>
      </c>
      <c r="S3778">
        <v>2.9976500000000001</v>
      </c>
      <c r="T3778">
        <v>-0.15937860000000001</v>
      </c>
      <c r="U3778">
        <v>-0.13204959999999999</v>
      </c>
      <c r="V3778">
        <v>7.4246219999999996E-3</v>
      </c>
      <c r="W3778">
        <v>-7.9521899999999895E-2</v>
      </c>
      <c r="X3778">
        <v>0.99680550000000001</v>
      </c>
      <c r="Y3778">
        <v>4.7264319999999999E-2</v>
      </c>
      <c r="Z3778">
        <v>-1.7250950000000001E-3</v>
      </c>
      <c r="AA3778">
        <v>0.99888089999999996</v>
      </c>
      <c r="AB3778">
        <v>32</v>
      </c>
      <c r="AC3778">
        <v>20.761700000000001</v>
      </c>
      <c r="AD3778">
        <v>-1.12071432849199</v>
      </c>
      <c r="AE3778">
        <v>-0.92959999999999299</v>
      </c>
      <c r="AF3778">
        <v>0.99618081389803603</v>
      </c>
      <c r="AG3778">
        <v>-1.12071432849199</v>
      </c>
      <c r="AH3778">
        <v>20.698282069715699</v>
      </c>
      <c r="AI3778">
        <v>93.095693477632295</v>
      </c>
      <c r="AJ3778">
        <v>87.244556490517496</v>
      </c>
      <c r="AK3778">
        <v>20.7525241225635</v>
      </c>
      <c r="AL3778">
        <v>94.561084927831502</v>
      </c>
      <c r="AM3778">
        <v>89.573245093006605</v>
      </c>
      <c r="AN3778">
        <v>1.0000000312108499</v>
      </c>
    </row>
    <row r="3779" spans="1:40" x14ac:dyDescent="0.25">
      <c r="A3779" t="str">
        <f>"20190303154844335"</f>
        <v>20190303154844335</v>
      </c>
      <c r="B3779" t="str">
        <f>"1551599324324686"</f>
        <v>1551599324324686</v>
      </c>
      <c r="C3779" t="s">
        <v>40</v>
      </c>
      <c r="D3779">
        <v>5.4440419999999996</v>
      </c>
      <c r="E3779">
        <v>0.51394519999999999</v>
      </c>
      <c r="F3779" t="s">
        <v>54</v>
      </c>
      <c r="G3779">
        <v>-280.79559999999998</v>
      </c>
      <c r="H3779" s="1">
        <v>6.7777250000000004E-6</v>
      </c>
      <c r="I3779">
        <v>214.28380000000001</v>
      </c>
      <c r="J3779">
        <v>-301.4898</v>
      </c>
      <c r="K3779">
        <v>1.1207180000000001</v>
      </c>
      <c r="L3779">
        <v>215.17410000000001</v>
      </c>
      <c r="M3779">
        <v>0.99989099999999997</v>
      </c>
      <c r="N3779">
        <v>-1.4384650000000001E-2</v>
      </c>
      <c r="O3779">
        <v>3.3463680000000002E-3</v>
      </c>
      <c r="P3779">
        <v>0.99556169999999999</v>
      </c>
      <c r="Q3779">
        <v>-9.4052629999999998E-2</v>
      </c>
      <c r="R3779">
        <v>-3.3302200000000001E-3</v>
      </c>
      <c r="S3779">
        <v>2.9977420000000001</v>
      </c>
      <c r="T3779">
        <v>-0.15988920000000001</v>
      </c>
      <c r="U3779">
        <v>-0.12686159999999999</v>
      </c>
      <c r="V3779">
        <v>6.6592619999999896E-3</v>
      </c>
      <c r="W3779">
        <v>-7.9722589999999996E-2</v>
      </c>
      <c r="X3779">
        <v>0.99679479999999998</v>
      </c>
      <c r="Y3779">
        <v>4.554006E-2</v>
      </c>
      <c r="Z3779">
        <v>-1.671257E-3</v>
      </c>
      <c r="AA3779">
        <v>0.99896110000000005</v>
      </c>
      <c r="AB3779">
        <v>32</v>
      </c>
      <c r="AC3779">
        <v>20.694199999999999</v>
      </c>
      <c r="AD3779">
        <v>-1.120711222275</v>
      </c>
      <c r="AE3779">
        <v>-0.89029999999999598</v>
      </c>
      <c r="AF3779">
        <v>0.95675175660248302</v>
      </c>
      <c r="AG3779">
        <v>-1.120711222275</v>
      </c>
      <c r="AH3779">
        <v>20.630709491813299</v>
      </c>
      <c r="AI3779">
        <v>93.106060791305197</v>
      </c>
      <c r="AJ3779">
        <v>87.344803371301794</v>
      </c>
      <c r="AK3779">
        <v>20.6832671912126</v>
      </c>
      <c r="AL3779">
        <v>94.572620589072301</v>
      </c>
      <c r="AM3779">
        <v>89.617231218414204</v>
      </c>
      <c r="AN3779">
        <v>0.99999995521686502</v>
      </c>
    </row>
    <row r="3780" spans="1:40" x14ac:dyDescent="0.25">
      <c r="A3780" t="str">
        <f>"20190303154844356"</f>
        <v>20190303154844356</v>
      </c>
      <c r="B3780" t="str">
        <f>"1551599324344207"</f>
        <v>1551599324344207</v>
      </c>
      <c r="C3780" t="s">
        <v>40</v>
      </c>
      <c r="D3780">
        <v>5.4560890000000004</v>
      </c>
      <c r="E3780">
        <v>0.5136927</v>
      </c>
      <c r="F3780" t="s">
        <v>54</v>
      </c>
      <c r="G3780">
        <v>-280.80189999999999</v>
      </c>
      <c r="H3780" s="1">
        <v>6.7696899999999897E-6</v>
      </c>
      <c r="I3780">
        <v>214.3279</v>
      </c>
      <c r="J3780">
        <v>-301.18549999999999</v>
      </c>
      <c r="K3780">
        <v>1.1207229999999999</v>
      </c>
      <c r="L3780">
        <v>215.17509999999999</v>
      </c>
      <c r="M3780">
        <v>0.99989119999999998</v>
      </c>
      <c r="N3780">
        <v>-1.4381359999999999E-2</v>
      </c>
      <c r="O3780">
        <v>3.3462729999999999E-3</v>
      </c>
      <c r="P3780">
        <v>0.99552779999999996</v>
      </c>
      <c r="Q3780">
        <v>-9.4437640000000003E-2</v>
      </c>
      <c r="R3780">
        <v>-2.5627010000000001E-3</v>
      </c>
      <c r="S3780">
        <v>2.99762</v>
      </c>
      <c r="T3780">
        <v>-0.162388</v>
      </c>
      <c r="U3780">
        <v>-0.1226044</v>
      </c>
      <c r="V3780">
        <v>5.8912560000000001E-3</v>
      </c>
      <c r="W3780">
        <v>-8.011124E-2</v>
      </c>
      <c r="X3780">
        <v>0.99676849999999995</v>
      </c>
      <c r="Y3780">
        <v>4.4125570000000003E-2</v>
      </c>
      <c r="Z3780">
        <v>-1.644544E-3</v>
      </c>
      <c r="AA3780">
        <v>0.99902460000000004</v>
      </c>
      <c r="AB3780">
        <v>32</v>
      </c>
      <c r="AC3780">
        <v>20.383600000000001</v>
      </c>
      <c r="AD3780">
        <v>-1.12071623031</v>
      </c>
      <c r="AE3780">
        <v>-0.84719999999998596</v>
      </c>
      <c r="AF3780">
        <v>0.91265723552260503</v>
      </c>
      <c r="AG3780">
        <v>-1.12071623031</v>
      </c>
      <c r="AH3780">
        <v>20.319332397801201</v>
      </c>
      <c r="AI3780">
        <v>93.1537865642171</v>
      </c>
      <c r="AJ3780">
        <v>87.428247905788396</v>
      </c>
      <c r="AK3780">
        <v>20.370670514019999</v>
      </c>
      <c r="AL3780">
        <v>94.594959932323306</v>
      </c>
      <c r="AM3780">
        <v>89.661365528188099</v>
      </c>
      <c r="AN3780">
        <v>0.99999998013192204</v>
      </c>
    </row>
    <row r="3781" spans="1:40" x14ac:dyDescent="0.25">
      <c r="A3781" t="str">
        <f>"20190303154844371"</f>
        <v>20190303154844371</v>
      </c>
      <c r="B3781" t="str">
        <f>"1551599324364702"</f>
        <v>1551599324364702</v>
      </c>
      <c r="C3781" t="s">
        <v>40</v>
      </c>
      <c r="D3781">
        <v>5.4645659999999996</v>
      </c>
      <c r="E3781">
        <v>0.51352889999999995</v>
      </c>
      <c r="F3781" t="s">
        <v>54</v>
      </c>
      <c r="G3781">
        <v>-280.92039999999997</v>
      </c>
      <c r="H3781" s="1">
        <v>6.7114239999999996E-6</v>
      </c>
      <c r="I3781">
        <v>214.37569999999999</v>
      </c>
      <c r="J3781">
        <v>-300.97120000000001</v>
      </c>
      <c r="K3781">
        <v>1.120722</v>
      </c>
      <c r="L3781">
        <v>215.17580000000001</v>
      </c>
      <c r="M3781">
        <v>0.99989110000000003</v>
      </c>
      <c r="N3781">
        <v>-1.4379050000000001E-2</v>
      </c>
      <c r="O3781">
        <v>3.3464079999999999E-3</v>
      </c>
      <c r="P3781">
        <v>0.99550499999999997</v>
      </c>
      <c r="Q3781">
        <v>-9.4676159999999995E-2</v>
      </c>
      <c r="R3781">
        <v>-2.4812089999999998E-3</v>
      </c>
      <c r="S3781">
        <v>2.9974370000000001</v>
      </c>
      <c r="T3781">
        <v>-0.16576640000000001</v>
      </c>
      <c r="U3781">
        <v>-0.1182404</v>
      </c>
      <c r="V3781">
        <v>5.8100360000000002E-3</v>
      </c>
      <c r="W3781">
        <v>-8.0352389999999996E-2</v>
      </c>
      <c r="X3781">
        <v>0.99674960000000001</v>
      </c>
      <c r="Y3781">
        <v>4.2675560000000001E-2</v>
      </c>
      <c r="Z3781">
        <v>-1.6227069999999999E-3</v>
      </c>
      <c r="AA3781">
        <v>0.99908770000000002</v>
      </c>
      <c r="AB3781">
        <v>31</v>
      </c>
      <c r="AC3781">
        <v>20.050799999999999</v>
      </c>
      <c r="AD3781">
        <v>-1.1207152885759999</v>
      </c>
      <c r="AE3781">
        <v>-0.80010000000001402</v>
      </c>
      <c r="AF3781">
        <v>0.86450409102402004</v>
      </c>
      <c r="AG3781">
        <v>-1.1207152885759999</v>
      </c>
      <c r="AH3781">
        <v>19.985671670044301</v>
      </c>
      <c r="AI3781">
        <v>93.206561018943503</v>
      </c>
      <c r="AJ3781">
        <v>87.523146687853099</v>
      </c>
      <c r="AK3781">
        <v>20.035729140319798</v>
      </c>
      <c r="AL3781">
        <v>94.608821339450799</v>
      </c>
      <c r="AM3781">
        <v>89.666027684902502</v>
      </c>
      <c r="AN3781">
        <v>1.0000000140985901</v>
      </c>
    </row>
    <row r="3782" spans="1:40" x14ac:dyDescent="0.25">
      <c r="A3782" t="str">
        <f>"20190303154844389"</f>
        <v>20190303154844389</v>
      </c>
      <c r="B3782" t="str">
        <f>"1551599324384222"</f>
        <v>1551599324384222</v>
      </c>
      <c r="C3782" t="s">
        <v>40</v>
      </c>
      <c r="D3782">
        <v>5.3497760000000003</v>
      </c>
      <c r="E3782">
        <v>0.51342790000000005</v>
      </c>
      <c r="F3782" t="s">
        <v>54</v>
      </c>
      <c r="G3782">
        <v>-280.97199999999998</v>
      </c>
      <c r="H3782" s="1">
        <v>6.6859429999999999E-6</v>
      </c>
      <c r="I3782">
        <v>214.39760000000001</v>
      </c>
      <c r="J3782">
        <v>-300.72190000000001</v>
      </c>
      <c r="K3782">
        <v>1.1207199999999999</v>
      </c>
      <c r="L3782">
        <v>215.17670000000001</v>
      </c>
      <c r="M3782">
        <v>0.99989099999999997</v>
      </c>
      <c r="N3782">
        <v>-1.4376389999999999E-2</v>
      </c>
      <c r="O3782">
        <v>3.3467839999999998E-3</v>
      </c>
      <c r="P3782">
        <v>0.99548999999999999</v>
      </c>
      <c r="Q3782">
        <v>-9.4842549999999998E-2</v>
      </c>
      <c r="R3782">
        <v>-2.1158959999999999E-3</v>
      </c>
      <c r="S3782">
        <v>2.9972530000000002</v>
      </c>
      <c r="T3782">
        <v>-0.16796050000000001</v>
      </c>
      <c r="U3782">
        <v>-0.1166382</v>
      </c>
      <c r="V3782">
        <v>5.4450770000000004E-3</v>
      </c>
      <c r="W3782">
        <v>-8.0521579999999995E-2</v>
      </c>
      <c r="X3782">
        <v>0.99673800000000001</v>
      </c>
      <c r="Y3782">
        <v>4.2144059999999997E-2</v>
      </c>
      <c r="Z3782">
        <v>-1.6220970000000001E-3</v>
      </c>
      <c r="AA3782">
        <v>0.99911019999999995</v>
      </c>
      <c r="AB3782">
        <v>31</v>
      </c>
      <c r="AC3782">
        <v>19.7499</v>
      </c>
      <c r="AD3782">
        <v>-1.120713314057</v>
      </c>
      <c r="AE3782">
        <v>-0.77909999999999902</v>
      </c>
      <c r="AF3782">
        <v>0.84249248841258295</v>
      </c>
      <c r="AG3782">
        <v>-1.120713314057</v>
      </c>
      <c r="AH3782">
        <v>19.683897455211198</v>
      </c>
      <c r="AI3782">
        <v>93.255673692766194</v>
      </c>
      <c r="AJ3782">
        <v>87.549173392602498</v>
      </c>
      <c r="AK3782">
        <v>19.7337682907398</v>
      </c>
      <c r="AL3782">
        <v>94.618546757507701</v>
      </c>
      <c r="AM3782">
        <v>89.687002173307604</v>
      </c>
      <c r="AN3782">
        <v>1.00000000717661</v>
      </c>
    </row>
    <row r="3783" spans="1:40" x14ac:dyDescent="0.25">
      <c r="A3783" t="str">
        <f>"20190303154844412"</f>
        <v>20190303154844412</v>
      </c>
      <c r="B3783" t="str">
        <f>"1551599324404719"</f>
        <v>1551599324404719</v>
      </c>
      <c r="C3783" t="s">
        <v>40</v>
      </c>
      <c r="D3783">
        <v>5.4240959999999996</v>
      </c>
      <c r="E3783">
        <v>0.51321070000000002</v>
      </c>
      <c r="F3783" t="s">
        <v>54</v>
      </c>
      <c r="G3783">
        <v>-280.81169999999997</v>
      </c>
      <c r="H3783" s="1">
        <v>6.7550199999999901E-6</v>
      </c>
      <c r="I3783">
        <v>214.4144</v>
      </c>
      <c r="J3783">
        <v>-300.39550000000003</v>
      </c>
      <c r="K3783">
        <v>1.120719</v>
      </c>
      <c r="L3783">
        <v>215.17769999999999</v>
      </c>
      <c r="M3783">
        <v>0.99989119999999998</v>
      </c>
      <c r="N3783">
        <v>-1.4372899999999999E-2</v>
      </c>
      <c r="O3783">
        <v>3.3469870000000001E-3</v>
      </c>
      <c r="P3783">
        <v>0.99546610000000002</v>
      </c>
      <c r="Q3783">
        <v>-9.5089179999999995E-2</v>
      </c>
      <c r="R3783">
        <v>-2.4044930000000002E-3</v>
      </c>
      <c r="S3783">
        <v>2.9972840000000001</v>
      </c>
      <c r="T3783">
        <v>-0.16871240000000001</v>
      </c>
      <c r="U3783">
        <v>-0.1147614</v>
      </c>
      <c r="V3783">
        <v>5.7335110000000002E-3</v>
      </c>
      <c r="W3783">
        <v>-8.0772060000000007E-2</v>
      </c>
      <c r="X3783">
        <v>0.99671609999999999</v>
      </c>
      <c r="Y3783">
        <v>4.1519720000000003E-2</v>
      </c>
      <c r="Z3783">
        <v>-1.6061090000000001E-3</v>
      </c>
      <c r="AA3783">
        <v>0.99913640000000004</v>
      </c>
      <c r="AB3783">
        <v>31</v>
      </c>
      <c r="AC3783">
        <v>19.5838</v>
      </c>
      <c r="AD3783">
        <v>-1.12071224498</v>
      </c>
      <c r="AE3783">
        <v>-0.76329999999998599</v>
      </c>
      <c r="AF3783">
        <v>0.82614778848896497</v>
      </c>
      <c r="AG3783">
        <v>-1.12071224498</v>
      </c>
      <c r="AH3783">
        <v>19.5173155108529</v>
      </c>
      <c r="AI3783">
        <v>93.283463201018293</v>
      </c>
      <c r="AJ3783">
        <v>87.576175816842806</v>
      </c>
      <c r="AK3783">
        <v>19.5669139328269</v>
      </c>
      <c r="AL3783">
        <v>94.632945176641996</v>
      </c>
      <c r="AM3783">
        <v>89.670415318133607</v>
      </c>
      <c r="AN3783">
        <v>0.99999999141212004</v>
      </c>
    </row>
    <row r="3784" spans="1:40" x14ac:dyDescent="0.25">
      <c r="A3784" t="str">
        <f>"20190303154844428"</f>
        <v>20190303154844428</v>
      </c>
      <c r="B3784" t="str">
        <f>"1551599324424239"</f>
        <v>1551599324424239</v>
      </c>
      <c r="C3784" t="s">
        <v>40</v>
      </c>
      <c r="D3784">
        <v>5.473725</v>
      </c>
      <c r="E3784">
        <v>0.49837769999999998</v>
      </c>
      <c r="F3784" t="s">
        <v>54</v>
      </c>
      <c r="G3784">
        <v>-280.84390000000002</v>
      </c>
      <c r="H3784" s="1">
        <v>6.7383280000000003E-6</v>
      </c>
      <c r="I3784">
        <v>214.43450000000001</v>
      </c>
      <c r="J3784">
        <v>-300.1825</v>
      </c>
      <c r="K3784">
        <v>1.1207149999999999</v>
      </c>
      <c r="L3784">
        <v>215.17850000000001</v>
      </c>
      <c r="M3784">
        <v>0.99989119999999998</v>
      </c>
      <c r="N3784">
        <v>-1.4370600000000001E-2</v>
      </c>
      <c r="O3784">
        <v>3.3468249999999999E-3</v>
      </c>
      <c r="P3784">
        <v>0.99546120000000005</v>
      </c>
      <c r="Q3784">
        <v>-9.512611E-2</v>
      </c>
      <c r="R3784">
        <v>-2.8542770000000001E-3</v>
      </c>
      <c r="S3784">
        <v>2.9969480000000002</v>
      </c>
      <c r="T3784">
        <v>-0.17178759999999901</v>
      </c>
      <c r="U3784">
        <v>-0.1139221</v>
      </c>
      <c r="V3784">
        <v>6.1832519999999898E-3</v>
      </c>
      <c r="W3784">
        <v>-8.0811359999999999E-2</v>
      </c>
      <c r="X3784">
        <v>0.99671019999999999</v>
      </c>
      <c r="Y3784">
        <v>4.1242139999999997E-2</v>
      </c>
      <c r="Z3784">
        <v>-1.620954E-3</v>
      </c>
      <c r="AA3784">
        <v>0.99914789999999998</v>
      </c>
      <c r="AB3784">
        <v>31</v>
      </c>
      <c r="AC3784">
        <v>19.3385999999999</v>
      </c>
      <c r="AD3784">
        <v>-1.1207082616720001</v>
      </c>
      <c r="AE3784">
        <v>-0.743999999999999</v>
      </c>
      <c r="AF3784">
        <v>0.80602246048529302</v>
      </c>
      <c r="AG3784">
        <v>-1.1207082616720001</v>
      </c>
      <c r="AH3784">
        <v>19.271375642944399</v>
      </c>
      <c r="AI3784">
        <v>93.325331533325596</v>
      </c>
      <c r="AJ3784">
        <v>87.605008306649395</v>
      </c>
      <c r="AK3784">
        <v>19.3207551194579</v>
      </c>
      <c r="AL3784">
        <v>94.635204405496296</v>
      </c>
      <c r="AM3784">
        <v>89.644560978131295</v>
      </c>
      <c r="AN3784">
        <v>0.99999996564719196</v>
      </c>
    </row>
    <row r="3785" spans="1:40" x14ac:dyDescent="0.25">
      <c r="A3785" t="str">
        <f>"20190303154844446"</f>
        <v>20190303154844446</v>
      </c>
      <c r="B3785" t="str">
        <f>"1551599324434975"</f>
        <v>1551599324434975</v>
      </c>
      <c r="C3785" t="s">
        <v>40</v>
      </c>
      <c r="D3785">
        <v>5.4379839999999904</v>
      </c>
      <c r="E3785">
        <v>0.49827870000000002</v>
      </c>
      <c r="F3785" t="s">
        <v>54</v>
      </c>
      <c r="G3785">
        <v>-283.05590000000001</v>
      </c>
      <c r="H3785" s="1">
        <v>5.6665209999999998E-6</v>
      </c>
      <c r="I3785">
        <v>215.19710000000001</v>
      </c>
      <c r="J3785">
        <v>-299.9289</v>
      </c>
      <c r="K3785">
        <v>1.1207180000000001</v>
      </c>
      <c r="L3785">
        <v>215.17930000000001</v>
      </c>
      <c r="M3785">
        <v>0.99989119999999998</v>
      </c>
      <c r="N3785">
        <v>-1.436786E-2</v>
      </c>
      <c r="O3785">
        <v>3.3470230000000002E-3</v>
      </c>
      <c r="P3785">
        <v>0.9954558</v>
      </c>
      <c r="Q3785">
        <v>-9.5149139999999993E-2</v>
      </c>
      <c r="R3785">
        <v>-3.7796309999999999E-3</v>
      </c>
      <c r="S3785">
        <v>2.9949650000000001</v>
      </c>
      <c r="T3785">
        <v>-0.19598090000000001</v>
      </c>
      <c r="U3785">
        <v>3.2653809999999999E-3</v>
      </c>
      <c r="V3785">
        <v>7.1088150000000001E-3</v>
      </c>
      <c r="W3785">
        <v>-8.0837290000000006E-2</v>
      </c>
      <c r="X3785">
        <v>0.99670199999999998</v>
      </c>
      <c r="Y3785">
        <v>2.2468599999999998E-3</v>
      </c>
      <c r="Z3785">
        <v>-2.6033030000000002E-4</v>
      </c>
      <c r="AA3785">
        <v>0.99999740000000004</v>
      </c>
      <c r="AB3785">
        <v>31</v>
      </c>
      <c r="AC3785">
        <v>16.872999999999902</v>
      </c>
      <c r="AD3785">
        <v>-1.1207123334789999</v>
      </c>
      <c r="AE3785">
        <v>1.7799999999994001E-2</v>
      </c>
      <c r="AF3785">
        <v>3.8510352408302397E-2</v>
      </c>
      <c r="AG3785">
        <v>-1.1207123334789999</v>
      </c>
      <c r="AH3785">
        <v>16.798854020671499</v>
      </c>
      <c r="AI3785">
        <v>93.816743048568298</v>
      </c>
      <c r="AJ3785">
        <v>89.8686531359442</v>
      </c>
      <c r="AK3785">
        <v>16.836239948084799</v>
      </c>
      <c r="AL3785">
        <v>94.6366946173044</v>
      </c>
      <c r="AM3785">
        <v>89.5913540953253</v>
      </c>
      <c r="AN3785">
        <v>1.00000003975462</v>
      </c>
    </row>
    <row r="3786" spans="1:40" x14ac:dyDescent="0.25">
      <c r="A3786" t="str">
        <f>"20190303154844469"</f>
        <v>20190303154844469</v>
      </c>
      <c r="B3786" t="str">
        <f>"1551599324464255"</f>
        <v>1551599324464255</v>
      </c>
      <c r="C3786" t="s">
        <v>40</v>
      </c>
      <c r="D3786">
        <v>5.4462950000000001</v>
      </c>
      <c r="E3786">
        <v>0.49787710000000002</v>
      </c>
      <c r="F3786" t="s">
        <v>54</v>
      </c>
      <c r="G3786">
        <v>-281.94420000000002</v>
      </c>
      <c r="H3786" s="1">
        <v>6.1608149999999997E-6</v>
      </c>
      <c r="I3786">
        <v>215.18610000000001</v>
      </c>
      <c r="J3786">
        <v>-299.61200000000002</v>
      </c>
      <c r="K3786">
        <v>1.120722</v>
      </c>
      <c r="L3786">
        <v>215.18039999999999</v>
      </c>
      <c r="M3786">
        <v>0.99989130000000004</v>
      </c>
      <c r="N3786">
        <v>-1.4364409999999999E-2</v>
      </c>
      <c r="O3786">
        <v>3.3470470000000001E-3</v>
      </c>
      <c r="P3786">
        <v>0.99551590000000001</v>
      </c>
      <c r="Q3786">
        <v>-9.4489719999999999E-2</v>
      </c>
      <c r="R3786">
        <v>-4.4590599999999999E-3</v>
      </c>
      <c r="S3786">
        <v>2.995819</v>
      </c>
      <c r="T3786">
        <v>-0.18668409999999999</v>
      </c>
      <c r="U3786">
        <v>1.12915E-3</v>
      </c>
      <c r="V3786">
        <v>7.7885480000000002E-3</v>
      </c>
      <c r="W3786">
        <v>-8.0180580000000001E-2</v>
      </c>
      <c r="X3786">
        <v>0.99674989999999997</v>
      </c>
      <c r="Y3786">
        <v>2.9595749999999999E-3</v>
      </c>
      <c r="Z3786">
        <v>-2.737296E-4</v>
      </c>
      <c r="AA3786">
        <v>0.99999559999999998</v>
      </c>
      <c r="AB3786">
        <v>31</v>
      </c>
      <c r="AC3786">
        <v>17.6678</v>
      </c>
      <c r="AD3786">
        <v>-1.1207158391850001</v>
      </c>
      <c r="AE3786">
        <v>5.7000000000186901E-3</v>
      </c>
      <c r="AF3786">
        <v>5.3226916889172103E-2</v>
      </c>
      <c r="AG3786">
        <v>-1.1207158391850001</v>
      </c>
      <c r="AH3786">
        <v>17.596915316985701</v>
      </c>
      <c r="AI3786">
        <v>93.644126574269194</v>
      </c>
      <c r="AJ3786">
        <v>89.826693011899096</v>
      </c>
      <c r="AK3786">
        <v>17.6326477243223</v>
      </c>
      <c r="AL3786">
        <v>94.598945666781205</v>
      </c>
      <c r="AM3786">
        <v>89.552303093371094</v>
      </c>
      <c r="AN3786">
        <v>0.99999997501954696</v>
      </c>
    </row>
    <row r="3787" spans="1:40" x14ac:dyDescent="0.25">
      <c r="A3787" t="str">
        <f>"20190303154844483"</f>
        <v>20190303154844483</v>
      </c>
      <c r="B3787" t="str">
        <f>"1551599324474991"</f>
        <v>1551599324474991</v>
      </c>
      <c r="C3787" t="s">
        <v>40</v>
      </c>
      <c r="D3787">
        <v>5.4721849999999996</v>
      </c>
      <c r="E3787">
        <v>0.49805270000000001</v>
      </c>
      <c r="F3787" t="s">
        <v>54</v>
      </c>
      <c r="G3787">
        <v>-281.54559999999998</v>
      </c>
      <c r="H3787" s="1">
        <v>6.33665899999999E-6</v>
      </c>
      <c r="I3787">
        <v>215.19370000000001</v>
      </c>
      <c r="J3787">
        <v>-299.41120000000001</v>
      </c>
      <c r="K3787">
        <v>1.1207229999999999</v>
      </c>
      <c r="L3787">
        <v>215.18100000000001</v>
      </c>
      <c r="M3787">
        <v>0.99989130000000004</v>
      </c>
      <c r="N3787">
        <v>-1.436224E-2</v>
      </c>
      <c r="O3787">
        <v>3.3468840000000001E-3</v>
      </c>
      <c r="P3787">
        <v>0.99553820000000004</v>
      </c>
      <c r="Q3787">
        <v>-9.4242889999999996E-2</v>
      </c>
      <c r="R3787">
        <v>-4.6949089999999997E-3</v>
      </c>
      <c r="S3787">
        <v>2.9958800000000001</v>
      </c>
      <c r="T3787">
        <v>-0.18584439999999999</v>
      </c>
      <c r="U3787">
        <v>2.212524E-3</v>
      </c>
      <c r="V3787">
        <v>8.0242590000000006E-3</v>
      </c>
      <c r="W3787">
        <v>-7.9935649999999997E-2</v>
      </c>
      <c r="X3787">
        <v>0.99676770000000003</v>
      </c>
      <c r="Y3787">
        <v>2.5987570000000002E-3</v>
      </c>
      <c r="Z3787">
        <v>-2.5859530000000002E-4</v>
      </c>
      <c r="AA3787">
        <v>0.99999660000000001</v>
      </c>
      <c r="AB3787">
        <v>31</v>
      </c>
      <c r="AC3787">
        <v>17.865600000000001</v>
      </c>
      <c r="AD3787">
        <v>-1.120716663341</v>
      </c>
      <c r="AE3787">
        <v>1.27000000000236E-2</v>
      </c>
      <c r="AF3787">
        <v>4.6915709058239802E-2</v>
      </c>
      <c r="AG3787">
        <v>-1.120716663341</v>
      </c>
      <c r="AH3787">
        <v>17.795515221879199</v>
      </c>
      <c r="AI3787">
        <v>93.603572081340602</v>
      </c>
      <c r="AJ3787">
        <v>89.848947003747497</v>
      </c>
      <c r="AK3787">
        <v>17.830831975412199</v>
      </c>
      <c r="AL3787">
        <v>94.584867033859197</v>
      </c>
      <c r="AM3787">
        <v>89.538762900323803</v>
      </c>
      <c r="AN3787">
        <v>0.99999997231835502</v>
      </c>
    </row>
    <row r="3788" spans="1:40" x14ac:dyDescent="0.25">
      <c r="A3788" t="str">
        <f>"20190303154844502"</f>
        <v>20190303154844502</v>
      </c>
      <c r="B3788" t="str">
        <f>"1551599324494511"</f>
        <v>1551599324494511</v>
      </c>
      <c r="C3788" t="s">
        <v>40</v>
      </c>
      <c r="D3788">
        <v>5.4409999999999998</v>
      </c>
      <c r="E3788">
        <v>0.4981199</v>
      </c>
      <c r="F3788" t="s">
        <v>54</v>
      </c>
      <c r="G3788">
        <v>-280.98410000000001</v>
      </c>
      <c r="H3788" s="1">
        <v>6.5871339999999997E-6</v>
      </c>
      <c r="I3788">
        <v>215.1814</v>
      </c>
      <c r="J3788">
        <v>-299.14330000000001</v>
      </c>
      <c r="K3788">
        <v>1.12073</v>
      </c>
      <c r="L3788">
        <v>215.18190000000001</v>
      </c>
      <c r="M3788">
        <v>0.99989139999999999</v>
      </c>
      <c r="N3788">
        <v>-1.435934E-2</v>
      </c>
      <c r="O3788">
        <v>3.3469039999999999E-3</v>
      </c>
      <c r="P3788">
        <v>0.99558100000000005</v>
      </c>
      <c r="Q3788">
        <v>-9.3762520000000002E-2</v>
      </c>
      <c r="R3788">
        <v>-5.2225930000000002E-3</v>
      </c>
      <c r="S3788">
        <v>2.9961850000000001</v>
      </c>
      <c r="T3788">
        <v>-0.18222479999999999</v>
      </c>
      <c r="U3788" s="1">
        <v>6.1035159999999999E-5</v>
      </c>
      <c r="V3788">
        <v>8.5521109999999994E-3</v>
      </c>
      <c r="W3788">
        <v>-7.9457630000000001E-2</v>
      </c>
      <c r="X3788">
        <v>0.99680159999999995</v>
      </c>
      <c r="Y3788">
        <v>3.3156940000000001E-3</v>
      </c>
      <c r="Z3788">
        <v>-2.7990840000000002E-4</v>
      </c>
      <c r="AA3788">
        <v>0.99999450000000001</v>
      </c>
      <c r="AB3788">
        <v>31</v>
      </c>
      <c r="AC3788">
        <v>18.159199999999998</v>
      </c>
      <c r="AD3788">
        <v>-1.120723412866</v>
      </c>
      <c r="AE3788">
        <v>-5.0000000001659795E-4</v>
      </c>
      <c r="AF3788">
        <v>6.1050818364601397E-2</v>
      </c>
      <c r="AG3788">
        <v>-1.120723412866</v>
      </c>
      <c r="AH3788">
        <v>18.090192246378901</v>
      </c>
      <c r="AI3788">
        <v>93.545036700194999</v>
      </c>
      <c r="AJ3788">
        <v>89.806638818381501</v>
      </c>
      <c r="AK3788">
        <v>18.1249773429242</v>
      </c>
      <c r="AL3788">
        <v>94.557390791180694</v>
      </c>
      <c r="AM3788">
        <v>89.508439950331393</v>
      </c>
      <c r="AN3788">
        <v>1.00000004166516</v>
      </c>
    </row>
    <row r="3789" spans="1:40" x14ac:dyDescent="0.25">
      <c r="A3789" t="str">
        <f>"20190303154844523"</f>
        <v>20190303154844523</v>
      </c>
      <c r="B3789" t="str">
        <f>"1551599324515006"</f>
        <v>1551599324515006</v>
      </c>
      <c r="C3789" t="s">
        <v>40</v>
      </c>
      <c r="D3789">
        <v>5.432652</v>
      </c>
      <c r="E3789">
        <v>0.49792019999999998</v>
      </c>
      <c r="F3789" t="s">
        <v>54</v>
      </c>
      <c r="G3789">
        <v>-280.47669999999999</v>
      </c>
      <c r="H3789" s="1">
        <v>6.8136810000000002E-6</v>
      </c>
      <c r="I3789">
        <v>215.1688</v>
      </c>
      <c r="J3789">
        <v>-298.84350000000001</v>
      </c>
      <c r="K3789">
        <v>1.120722</v>
      </c>
      <c r="L3789">
        <v>215.18289999999999</v>
      </c>
      <c r="M3789">
        <v>0.99989139999999999</v>
      </c>
      <c r="N3789">
        <v>-1.435612E-2</v>
      </c>
      <c r="O3789">
        <v>3.3471059999999999E-3</v>
      </c>
      <c r="P3789">
        <v>0.99557320000000005</v>
      </c>
      <c r="Q3789">
        <v>-9.3816910000000003E-2</v>
      </c>
      <c r="R3789">
        <v>-5.7073860000000001E-3</v>
      </c>
      <c r="S3789">
        <v>2.9963380000000002</v>
      </c>
      <c r="T3789">
        <v>-0.17989639999999901</v>
      </c>
      <c r="U3789">
        <v>-2.1057129999999999E-3</v>
      </c>
      <c r="V3789">
        <v>9.0369030000000006E-3</v>
      </c>
      <c r="W3789">
        <v>-7.9515359999999993E-2</v>
      </c>
      <c r="X3789">
        <v>0.99679269999999998</v>
      </c>
      <c r="Y3789">
        <v>4.0377069999999998E-3</v>
      </c>
      <c r="Z3789">
        <v>-3.0287100000000002E-4</v>
      </c>
      <c r="AA3789">
        <v>0.99999179999999999</v>
      </c>
      <c r="AB3789">
        <v>31</v>
      </c>
      <c r="AC3789">
        <v>18.366800000000001</v>
      </c>
      <c r="AD3789">
        <v>-1.1207151863189999</v>
      </c>
      <c r="AE3789">
        <v>-1.4099999999984901E-2</v>
      </c>
      <c r="AF3789">
        <v>7.5301512945587706E-2</v>
      </c>
      <c r="AG3789">
        <v>-1.1207151863189999</v>
      </c>
      <c r="AH3789">
        <v>18.298519765808699</v>
      </c>
      <c r="AI3789">
        <v>93.504742500395693</v>
      </c>
      <c r="AJ3789">
        <v>89.764219478754498</v>
      </c>
      <c r="AK3789">
        <v>18.3329620756274</v>
      </c>
      <c r="AL3789">
        <v>94.560709063217899</v>
      </c>
      <c r="AM3789">
        <v>89.480571821225993</v>
      </c>
      <c r="AN3789">
        <v>1.0000000224325201</v>
      </c>
    </row>
    <row r="3790" spans="1:40" x14ac:dyDescent="0.25">
      <c r="A3790" t="str">
        <f>"20190303154844549"</f>
        <v>20190303154844549</v>
      </c>
      <c r="B3790" t="str">
        <f>"1551599324544287"</f>
        <v>1551599324544287</v>
      </c>
      <c r="C3790" t="s">
        <v>40</v>
      </c>
      <c r="D3790">
        <v>5.4300290000000002</v>
      </c>
      <c r="E3790">
        <v>0.497697</v>
      </c>
      <c r="F3790" t="s">
        <v>54</v>
      </c>
      <c r="G3790">
        <v>-279.98110000000003</v>
      </c>
      <c r="H3790" s="1">
        <v>7.0333759999999996E-6</v>
      </c>
      <c r="I3790">
        <v>215.16919999999999</v>
      </c>
      <c r="J3790">
        <v>-298.50709999999998</v>
      </c>
      <c r="K3790">
        <v>1.120722</v>
      </c>
      <c r="L3790">
        <v>215.184</v>
      </c>
      <c r="M3790">
        <v>0.99989139999999999</v>
      </c>
      <c r="N3790">
        <v>-1.4352510000000001E-2</v>
      </c>
      <c r="O3790">
        <v>3.3469530000000002E-3</v>
      </c>
      <c r="P3790">
        <v>0.99555519999999997</v>
      </c>
      <c r="Q3790">
        <v>-9.4004630000000006E-2</v>
      </c>
      <c r="R3790">
        <v>-5.7482139999999998E-3</v>
      </c>
      <c r="S3790">
        <v>2.9964900000000001</v>
      </c>
      <c r="T3790">
        <v>-0.17803749999999999</v>
      </c>
      <c r="U3790">
        <v>-2.1820070000000001E-3</v>
      </c>
      <c r="V3790">
        <v>9.0775990000000004E-3</v>
      </c>
      <c r="W3790">
        <v>-7.9706940000000004E-2</v>
      </c>
      <c r="X3790">
        <v>0.99677700000000002</v>
      </c>
      <c r="Y3790">
        <v>4.0631850000000004E-3</v>
      </c>
      <c r="Z3790">
        <v>-3.0047059999999999E-4</v>
      </c>
      <c r="AA3790">
        <v>0.99999170000000004</v>
      </c>
      <c r="AB3790">
        <v>31</v>
      </c>
      <c r="AC3790">
        <v>18.5259999999999</v>
      </c>
      <c r="AD3790">
        <v>-1.1207149666239999</v>
      </c>
      <c r="AE3790">
        <v>-1.4800000000036499E-2</v>
      </c>
      <c r="AF3790">
        <v>7.6531883853042298E-2</v>
      </c>
      <c r="AG3790">
        <v>-1.1207149666239999</v>
      </c>
      <c r="AH3790">
        <v>18.458297755712898</v>
      </c>
      <c r="AI3790">
        <v>93.474478405739006</v>
      </c>
      <c r="AJ3790">
        <v>89.762441321838693</v>
      </c>
      <c r="AK3790">
        <v>18.492447517952201</v>
      </c>
      <c r="AL3790">
        <v>94.571720872512103</v>
      </c>
      <c r="AM3790">
        <v>89.478224584967293</v>
      </c>
      <c r="AN3790">
        <v>0.99999999340838397</v>
      </c>
    </row>
    <row r="3791" spans="1:40" x14ac:dyDescent="0.25">
      <c r="A3791" t="str">
        <f>"20190303154844569"</f>
        <v>20190303154844569</v>
      </c>
      <c r="B3791" t="str">
        <f>"1551599324564782"</f>
        <v>1551599324564782</v>
      </c>
      <c r="C3791" t="s">
        <v>40</v>
      </c>
      <c r="D3791">
        <v>5.4709669999999999</v>
      </c>
      <c r="E3791">
        <v>0.49757940000000001</v>
      </c>
      <c r="F3791" t="s">
        <v>52</v>
      </c>
      <c r="G3791">
        <v>-279.69619999999998</v>
      </c>
      <c r="H3791" s="1">
        <v>3.5983599999999999E-6</v>
      </c>
      <c r="I3791">
        <v>215.18119999999999</v>
      </c>
      <c r="J3791">
        <v>-298.21050000000002</v>
      </c>
      <c r="K3791">
        <v>1.120725</v>
      </c>
      <c r="L3791">
        <v>215.185</v>
      </c>
      <c r="M3791">
        <v>0.99989150000000004</v>
      </c>
      <c r="N3791">
        <v>-1.434932E-2</v>
      </c>
      <c r="O3791">
        <v>3.3469760000000002E-3</v>
      </c>
      <c r="P3791">
        <v>0.9955389</v>
      </c>
      <c r="Q3791">
        <v>-9.4173510000000002E-2</v>
      </c>
      <c r="R3791">
        <v>-5.8227729999999998E-3</v>
      </c>
      <c r="S3791">
        <v>2.996521</v>
      </c>
      <c r="T3791">
        <v>-0.178527399999999</v>
      </c>
      <c r="U3791">
        <v>-4.577637E-4</v>
      </c>
      <c r="V3791">
        <v>9.1520239999999999E-3</v>
      </c>
      <c r="W3791">
        <v>-7.9879210000000006E-2</v>
      </c>
      <c r="X3791">
        <v>0.9967625</v>
      </c>
      <c r="Y3791">
        <v>3.488985E-3</v>
      </c>
      <c r="Z3791">
        <v>-2.8013570000000001E-4</v>
      </c>
      <c r="AA3791">
        <v>0.99999389999999999</v>
      </c>
      <c r="AB3791">
        <v>31</v>
      </c>
      <c r="AC3791">
        <v>18.514299999999999</v>
      </c>
      <c r="AD3791">
        <v>-1.12072140164</v>
      </c>
      <c r="AE3791">
        <v>-3.8000000000124601E-3</v>
      </c>
      <c r="AF3791">
        <v>6.5533146003744103E-2</v>
      </c>
      <c r="AG3791">
        <v>-1.12072140164</v>
      </c>
      <c r="AH3791">
        <v>18.446591316678902</v>
      </c>
      <c r="AI3791">
        <v>93.476705785353403</v>
      </c>
      <c r="AJ3791">
        <v>89.796452535663306</v>
      </c>
      <c r="AK3791">
        <v>18.480720826252799</v>
      </c>
      <c r="AL3791">
        <v>94.581622921701296</v>
      </c>
      <c r="AM3791">
        <v>89.473939264074701</v>
      </c>
      <c r="AN3791">
        <v>0.99999996456988405</v>
      </c>
    </row>
    <row r="3792" spans="1:40" x14ac:dyDescent="0.25">
      <c r="A3792" t="str">
        <f>"20190303154844592"</f>
        <v>20190303154844592</v>
      </c>
      <c r="B3792" t="str">
        <f>"1551599324584303"</f>
        <v>1551599324584303</v>
      </c>
      <c r="C3792" t="s">
        <v>40</v>
      </c>
      <c r="D3792">
        <v>5.4500349999999997</v>
      </c>
      <c r="E3792">
        <v>0.4975154</v>
      </c>
      <c r="F3792" t="s">
        <v>52</v>
      </c>
      <c r="G3792">
        <v>-279.56119999999999</v>
      </c>
      <c r="H3792" s="1">
        <v>3.5262560000000001E-6</v>
      </c>
      <c r="I3792">
        <v>215.1875</v>
      </c>
      <c r="J3792">
        <v>-297.90260000000001</v>
      </c>
      <c r="K3792">
        <v>1.120725</v>
      </c>
      <c r="L3792">
        <v>215.18610000000001</v>
      </c>
      <c r="M3792">
        <v>0.99989159999999999</v>
      </c>
      <c r="N3792">
        <v>-1.4345989999999999E-2</v>
      </c>
      <c r="O3792">
        <v>3.3469989999999998E-3</v>
      </c>
      <c r="P3792">
        <v>0.99553879999999995</v>
      </c>
      <c r="Q3792">
        <v>-9.4144770000000003E-2</v>
      </c>
      <c r="R3792">
        <v>-6.3000640000000002E-3</v>
      </c>
      <c r="S3792">
        <v>2.9963679999999999</v>
      </c>
      <c r="T3792">
        <v>-0.18006559999999999</v>
      </c>
      <c r="U3792">
        <v>3.9672850000000001E-4</v>
      </c>
      <c r="V3792">
        <v>9.6294399999999995E-3</v>
      </c>
      <c r="W3792">
        <v>-7.9853830000000001E-2</v>
      </c>
      <c r="X3792">
        <v>0.99676010000000004</v>
      </c>
      <c r="Y3792">
        <v>3.204279E-3</v>
      </c>
      <c r="Z3792">
        <v>-2.7217380000000001E-4</v>
      </c>
      <c r="AA3792">
        <v>0.99999479999999996</v>
      </c>
      <c r="AB3792">
        <v>31</v>
      </c>
      <c r="AC3792">
        <v>18.3414</v>
      </c>
      <c r="AD3792">
        <v>-1.1207214737440001</v>
      </c>
      <c r="AE3792">
        <v>1.39999999998963E-3</v>
      </c>
      <c r="AF3792">
        <v>5.9771801244182299E-2</v>
      </c>
      <c r="AG3792">
        <v>-1.1207214737440001</v>
      </c>
      <c r="AH3792">
        <v>18.273077156702499</v>
      </c>
      <c r="AI3792">
        <v>93.509640711227107</v>
      </c>
      <c r="AJ3792">
        <v>89.812584399352104</v>
      </c>
      <c r="AK3792">
        <v>18.307510427819999</v>
      </c>
      <c r="AL3792">
        <v>94.5801638006714</v>
      </c>
      <c r="AM3792">
        <v>89.446497599722605</v>
      </c>
      <c r="AN3792">
        <v>1.0000000286161901</v>
      </c>
    </row>
    <row r="3793" spans="1:40" x14ac:dyDescent="0.25">
      <c r="A3793" t="str">
        <f>"20190303154844608"</f>
        <v>20190303154844608</v>
      </c>
      <c r="B3793" t="str">
        <f>"1551599324604799"</f>
        <v>1551599324604799</v>
      </c>
      <c r="C3793" t="s">
        <v>40</v>
      </c>
      <c r="D3793">
        <v>5.4694070000000004</v>
      </c>
      <c r="E3793">
        <v>0.49738769999999999</v>
      </c>
      <c r="F3793" t="s">
        <v>52</v>
      </c>
      <c r="G3793">
        <v>-279.22280000000001</v>
      </c>
      <c r="H3793" s="1">
        <v>3.3464100000000001E-6</v>
      </c>
      <c r="I3793">
        <v>215.18170000000001</v>
      </c>
      <c r="J3793">
        <v>-297.67430000000002</v>
      </c>
      <c r="K3793">
        <v>1.120725</v>
      </c>
      <c r="L3793">
        <v>215.18680000000001</v>
      </c>
      <c r="M3793">
        <v>0.99989159999999999</v>
      </c>
      <c r="N3793">
        <v>-1.434353E-2</v>
      </c>
      <c r="O3793">
        <v>3.346838E-3</v>
      </c>
      <c r="P3793">
        <v>0.99552209999999997</v>
      </c>
      <c r="Q3793">
        <v>-9.4314200000000001E-2</v>
      </c>
      <c r="R3793">
        <v>-6.4100569999999898E-3</v>
      </c>
      <c r="S3793">
        <v>2.9963679999999999</v>
      </c>
      <c r="T3793">
        <v>-0.1797715</v>
      </c>
      <c r="U3793">
        <v>-7.0190429999999896E-4</v>
      </c>
      <c r="V3793">
        <v>9.7391189999999992E-3</v>
      </c>
      <c r="W3793">
        <v>-8.0025949999999998E-2</v>
      </c>
      <c r="X3793">
        <v>0.9967452</v>
      </c>
      <c r="Y3793">
        <v>3.5699909999999998E-3</v>
      </c>
      <c r="Z3793">
        <v>-2.8527290000000002E-4</v>
      </c>
      <c r="AA3793">
        <v>0.99999360000000004</v>
      </c>
      <c r="AB3793">
        <v>31</v>
      </c>
      <c r="AC3793">
        <v>18.451499999999999</v>
      </c>
      <c r="AD3793">
        <v>-1.12072165359</v>
      </c>
      <c r="AE3793">
        <v>-5.0999999999987696E-3</v>
      </c>
      <c r="AF3793">
        <v>6.6614746604720707E-2</v>
      </c>
      <c r="AG3793">
        <v>-1.12072165359</v>
      </c>
      <c r="AH3793">
        <v>18.383558951229201</v>
      </c>
      <c r="AI3793">
        <v>93.488596995923302</v>
      </c>
      <c r="AJ3793">
        <v>89.792383665275196</v>
      </c>
      <c r="AK3793">
        <v>18.417809160228899</v>
      </c>
      <c r="AL3793">
        <v>94.590057350902796</v>
      </c>
      <c r="AM3793">
        <v>89.440185257001403</v>
      </c>
      <c r="AN3793">
        <v>0.99999999841766896</v>
      </c>
    </row>
    <row r="3794" spans="1:40" x14ac:dyDescent="0.25">
      <c r="A3794" t="str">
        <f>"20190303154844625"</f>
        <v>20190303154844625</v>
      </c>
      <c r="B3794" t="str">
        <f>"1551599324614559"</f>
        <v>1551599324614559</v>
      </c>
      <c r="C3794" t="s">
        <v>40</v>
      </c>
      <c r="D3794">
        <v>5.4524239999999997</v>
      </c>
      <c r="E3794">
        <v>0.49736130000000001</v>
      </c>
      <c r="F3794" t="s">
        <v>52</v>
      </c>
      <c r="G3794">
        <v>-279.08150000000001</v>
      </c>
      <c r="H3794" s="1">
        <v>3.2710269999999998E-6</v>
      </c>
      <c r="I3794">
        <v>215.18610000000001</v>
      </c>
      <c r="J3794">
        <v>-297.44130000000001</v>
      </c>
      <c r="K3794">
        <v>1.1207279999999999</v>
      </c>
      <c r="L3794">
        <v>215.1876</v>
      </c>
      <c r="M3794">
        <v>0.99989150000000004</v>
      </c>
      <c r="N3794">
        <v>-1.4341E-2</v>
      </c>
      <c r="O3794">
        <v>3.3470349999999999E-3</v>
      </c>
      <c r="P3794">
        <v>0.99550930000000004</v>
      </c>
      <c r="Q3794">
        <v>-9.4454499999999997E-2</v>
      </c>
      <c r="R3794">
        <v>-6.306585E-3</v>
      </c>
      <c r="S3794">
        <v>2.9963989999999998</v>
      </c>
      <c r="T3794">
        <v>-0.1806142</v>
      </c>
      <c r="U3794">
        <v>-1.220703E-4</v>
      </c>
      <c r="V3794">
        <v>9.6357990000000004E-3</v>
      </c>
      <c r="W3794">
        <v>-8.0168929999999999E-2</v>
      </c>
      <c r="X3794">
        <v>0.99673469999999997</v>
      </c>
      <c r="Y3794">
        <v>3.3769999999999998E-3</v>
      </c>
      <c r="Z3794">
        <v>-2.7952599999999999E-4</v>
      </c>
      <c r="AA3794">
        <v>0.9999943</v>
      </c>
      <c r="AB3794">
        <v>31</v>
      </c>
      <c r="AC3794">
        <v>18.3598</v>
      </c>
      <c r="AD3794">
        <v>-1.120724728973</v>
      </c>
      <c r="AE3794">
        <v>-1.4999999999929499E-3</v>
      </c>
      <c r="AF3794">
        <v>6.2723490580250202E-2</v>
      </c>
      <c r="AG3794">
        <v>-1.120724728973</v>
      </c>
      <c r="AH3794">
        <v>18.291534851941002</v>
      </c>
      <c r="AI3794">
        <v>93.506116334206993</v>
      </c>
      <c r="AJ3794">
        <v>89.803527848830896</v>
      </c>
      <c r="AK3794">
        <v>18.325943506247501</v>
      </c>
      <c r="AL3794">
        <v>94.598275973491198</v>
      </c>
      <c r="AM3794">
        <v>89.446117992267403</v>
      </c>
      <c r="AN3794">
        <v>0.99999998407190105</v>
      </c>
    </row>
    <row r="3795" spans="1:40" x14ac:dyDescent="0.25">
      <c r="A3795" t="str">
        <f>"20190303154844648"</f>
        <v>20190303154844648</v>
      </c>
      <c r="B3795" t="str">
        <f>"1551599324644885"</f>
        <v>1551599324644885</v>
      </c>
      <c r="C3795" t="s">
        <v>40</v>
      </c>
      <c r="D3795">
        <v>5.4604929999999996</v>
      </c>
      <c r="E3795">
        <v>0.49723030000000001</v>
      </c>
      <c r="F3795" t="s">
        <v>52</v>
      </c>
      <c r="G3795">
        <v>-278.8646</v>
      </c>
      <c r="H3795" s="1">
        <v>3.1553600000000001E-6</v>
      </c>
      <c r="I3795">
        <v>215.19120000000001</v>
      </c>
      <c r="J3795">
        <v>-297.12049999999999</v>
      </c>
      <c r="K3795">
        <v>1.12073</v>
      </c>
      <c r="L3795">
        <v>215.18870000000001</v>
      </c>
      <c r="M3795">
        <v>0.99989170000000005</v>
      </c>
      <c r="N3795">
        <v>-1.4337549999999999E-2</v>
      </c>
      <c r="O3795">
        <v>3.3470599999999998E-3</v>
      </c>
      <c r="P3795">
        <v>0.99552890000000005</v>
      </c>
      <c r="Q3795">
        <v>-9.4263200000000005E-2</v>
      </c>
      <c r="R3795">
        <v>-6.0663999999999996E-3</v>
      </c>
      <c r="S3795">
        <v>2.9963989999999998</v>
      </c>
      <c r="T3795">
        <v>-0.1807716</v>
      </c>
      <c r="U3795">
        <v>5.7983399999999999E-4</v>
      </c>
      <c r="V3795">
        <v>9.3956109999999999E-3</v>
      </c>
      <c r="W3795">
        <v>-7.9980800000000005E-2</v>
      </c>
      <c r="X3795">
        <v>0.99675210000000003</v>
      </c>
      <c r="Y3795">
        <v>3.1432819999999998E-3</v>
      </c>
      <c r="Z3795">
        <v>-2.710756E-4</v>
      </c>
      <c r="AA3795">
        <v>0.99999510000000003</v>
      </c>
      <c r="AB3795">
        <v>31</v>
      </c>
      <c r="AC3795">
        <v>18.2559</v>
      </c>
      <c r="AD3795">
        <v>-1.1207268446400001</v>
      </c>
      <c r="AE3795">
        <v>2.4999999999977202E-3</v>
      </c>
      <c r="AF3795">
        <v>5.8389828028547697E-2</v>
      </c>
      <c r="AG3795">
        <v>-1.1207268446400001</v>
      </c>
      <c r="AH3795">
        <v>18.187263515369398</v>
      </c>
      <c r="AI3795">
        <v>93.526176241250795</v>
      </c>
      <c r="AJ3795">
        <v>89.816053733669804</v>
      </c>
      <c r="AK3795">
        <v>18.221854796090401</v>
      </c>
      <c r="AL3795">
        <v>94.587462224493294</v>
      </c>
      <c r="AM3795">
        <v>89.459933003483599</v>
      </c>
      <c r="AN3795">
        <v>0.99999997736455604</v>
      </c>
    </row>
    <row r="3796" spans="1:40" x14ac:dyDescent="0.25">
      <c r="A3796" t="str">
        <f>"20190303154844670"</f>
        <v>20190303154844670</v>
      </c>
      <c r="B3796" t="str">
        <f>"1551599324664405"</f>
        <v>1551599324664405</v>
      </c>
      <c r="C3796" t="s">
        <v>40</v>
      </c>
      <c r="D3796">
        <v>5.4604679999999997</v>
      </c>
      <c r="E3796">
        <v>0.49724469999999998</v>
      </c>
      <c r="F3796" t="s">
        <v>52</v>
      </c>
      <c r="G3796">
        <v>-278.4384</v>
      </c>
      <c r="H3796" s="1">
        <v>2.9280519999999999E-6</v>
      </c>
      <c r="I3796">
        <v>215.20320000000001</v>
      </c>
      <c r="J3796">
        <v>-296.82119999999998</v>
      </c>
      <c r="K3796">
        <v>1.1207370000000001</v>
      </c>
      <c r="L3796">
        <v>215.18969999999999</v>
      </c>
      <c r="M3796">
        <v>0.9998918</v>
      </c>
      <c r="N3796">
        <v>-1.4334329999999999E-2</v>
      </c>
      <c r="O3796">
        <v>3.3470829999999998E-3</v>
      </c>
      <c r="P3796">
        <v>0.99559589999999998</v>
      </c>
      <c r="Q3796">
        <v>-9.3568239999999997E-2</v>
      </c>
      <c r="R3796">
        <v>-5.8116349999999999E-3</v>
      </c>
      <c r="S3796">
        <v>2.9964599999999999</v>
      </c>
      <c r="T3796">
        <v>-0.1797552</v>
      </c>
      <c r="U3796">
        <v>2.3345950000000001E-3</v>
      </c>
      <c r="V3796">
        <v>9.1413940000000006E-3</v>
      </c>
      <c r="W3796">
        <v>-7.9288139999999993E-2</v>
      </c>
      <c r="X3796">
        <v>0.99680979999999997</v>
      </c>
      <c r="Y3796">
        <v>2.5591260000000001E-3</v>
      </c>
      <c r="Z3796">
        <v>-2.4771420000000002E-4</v>
      </c>
      <c r="AA3796">
        <v>0.99999669999999896</v>
      </c>
      <c r="AB3796">
        <v>31</v>
      </c>
      <c r="AC3796">
        <v>18.3827999999999</v>
      </c>
      <c r="AD3796">
        <v>-1.1207340719479999</v>
      </c>
      <c r="AE3796">
        <v>1.35000000000218E-2</v>
      </c>
      <c r="AF3796">
        <v>4.7857265416131001E-2</v>
      </c>
      <c r="AG3796">
        <v>-1.1207340719479999</v>
      </c>
      <c r="AH3796">
        <v>18.314668295238999</v>
      </c>
      <c r="AI3796">
        <v>93.501736480397994</v>
      </c>
      <c r="AJ3796">
        <v>89.850283224227098</v>
      </c>
      <c r="AK3796">
        <v>18.348989343898701</v>
      </c>
      <c r="AL3796">
        <v>94.547649294645197</v>
      </c>
      <c r="AM3796">
        <v>89.474575176897304</v>
      </c>
      <c r="AN3796">
        <v>0.99999997580248101</v>
      </c>
    </row>
    <row r="3797" spans="1:40" x14ac:dyDescent="0.25">
      <c r="A3797" t="str">
        <f>"20190303154844692"</f>
        <v>20190303154844692</v>
      </c>
      <c r="B3797" t="str">
        <f>"1551599324684900"</f>
        <v>1551599324684900</v>
      </c>
      <c r="C3797" t="s">
        <v>40</v>
      </c>
      <c r="D3797">
        <v>5.3592370000000003</v>
      </c>
      <c r="E3797">
        <v>0.51899910000000005</v>
      </c>
      <c r="F3797" t="s">
        <v>52</v>
      </c>
      <c r="G3797">
        <v>-277.9794</v>
      </c>
      <c r="H3797" s="1">
        <v>2.6835720000000001E-6</v>
      </c>
      <c r="I3797">
        <v>215.20840000000001</v>
      </c>
      <c r="J3797">
        <v>-296.51170000000002</v>
      </c>
      <c r="K3797">
        <v>1.1207370000000001</v>
      </c>
      <c r="L3797">
        <v>215.19069999999999</v>
      </c>
      <c r="M3797">
        <v>0.9998918</v>
      </c>
      <c r="N3797">
        <v>-1.433097E-2</v>
      </c>
      <c r="O3797">
        <v>3.3471070000000002E-3</v>
      </c>
      <c r="P3797">
        <v>0.99562200000000001</v>
      </c>
      <c r="Q3797">
        <v>-9.3318250000000005E-2</v>
      </c>
      <c r="R3797">
        <v>-5.3587699999999997E-3</v>
      </c>
      <c r="S3797">
        <v>2.9965519999999999</v>
      </c>
      <c r="T3797">
        <v>-0.17823910000000001</v>
      </c>
      <c r="U3797">
        <v>2.9754640000000001E-3</v>
      </c>
      <c r="V3797">
        <v>8.6885230000000001E-3</v>
      </c>
      <c r="W3797">
        <v>-7.9041100000000003E-2</v>
      </c>
      <c r="X3797">
        <v>0.99683350000000004</v>
      </c>
      <c r="Y3797">
        <v>2.3459370000000002E-3</v>
      </c>
      <c r="Z3797">
        <v>-2.3751410000000001E-4</v>
      </c>
      <c r="AA3797">
        <v>0.99999720000000003</v>
      </c>
      <c r="AB3797">
        <v>31</v>
      </c>
      <c r="AC3797">
        <v>18.532299999999999</v>
      </c>
      <c r="AD3797">
        <v>-1.1207343164279999</v>
      </c>
      <c r="AE3797">
        <v>1.77000000000191E-2</v>
      </c>
      <c r="AF3797">
        <v>4.41745008920734E-2</v>
      </c>
      <c r="AG3797">
        <v>-1.1207343164279999</v>
      </c>
      <c r="AH3797">
        <v>18.464726595222899</v>
      </c>
      <c r="AI3797">
        <v>93.473351350795397</v>
      </c>
      <c r="AJ3797">
        <v>89.862927424271703</v>
      </c>
      <c r="AK3797">
        <v>18.4987600944193</v>
      </c>
      <c r="AL3797">
        <v>94.5334502437629</v>
      </c>
      <c r="AM3797">
        <v>89.5006156071275</v>
      </c>
      <c r="AN3797">
        <v>1.0000000063216901</v>
      </c>
    </row>
    <row r="3798" spans="1:40" x14ac:dyDescent="0.25">
      <c r="A3798" t="str">
        <f>"20190303154844714"</f>
        <v>20190303154844714</v>
      </c>
      <c r="B3798" t="str">
        <f>"1551599324704420"</f>
        <v>1551599324704420</v>
      </c>
      <c r="C3798" t="s">
        <v>40</v>
      </c>
      <c r="D3798">
        <v>5.4119070000000002</v>
      </c>
      <c r="E3798">
        <v>0.52572839999999998</v>
      </c>
      <c r="F3798" t="s">
        <v>42</v>
      </c>
      <c r="G3798">
        <v>-295.68560000000002</v>
      </c>
      <c r="H3798">
        <v>1.0053209999999999</v>
      </c>
      <c r="I3798">
        <v>215.14449999999999</v>
      </c>
      <c r="J3798">
        <v>-296.2183</v>
      </c>
      <c r="K3798">
        <v>1.1207400000000001</v>
      </c>
      <c r="L3798">
        <v>215.1917</v>
      </c>
      <c r="M3798">
        <v>0.9998918</v>
      </c>
      <c r="N3798">
        <v>-1.432777E-2</v>
      </c>
      <c r="O3798">
        <v>3.3471299999999998E-3</v>
      </c>
      <c r="P3798">
        <v>0.99566169999999998</v>
      </c>
      <c r="Q3798">
        <v>-9.2915200000000003E-2</v>
      </c>
      <c r="R3798">
        <v>-4.9904379999999998E-3</v>
      </c>
      <c r="S3798">
        <v>2.9733890000000001</v>
      </c>
      <c r="T3798">
        <v>-0.41547800000000001</v>
      </c>
      <c r="U3798">
        <v>-0.1656494</v>
      </c>
      <c r="V3798">
        <v>8.3202869999999905E-3</v>
      </c>
      <c r="W3798">
        <v>-7.8640680000000004E-2</v>
      </c>
      <c r="X3798">
        <v>0.99686830000000004</v>
      </c>
      <c r="Y3798">
        <v>5.8316760000000002E-2</v>
      </c>
      <c r="Z3798">
        <v>-4.8892950000000001E-3</v>
      </c>
      <c r="AA3798">
        <v>0.99828609999999895</v>
      </c>
      <c r="AB3798">
        <v>31</v>
      </c>
      <c r="AC3798">
        <v>0.53269999999997697</v>
      </c>
      <c r="AD3798">
        <v>-0.11541899999999999</v>
      </c>
      <c r="AE3798">
        <v>-4.72000000000036E-2</v>
      </c>
      <c r="AF3798">
        <v>4.6802888937243103E-2</v>
      </c>
      <c r="AG3798">
        <v>-0.11541899999999999</v>
      </c>
      <c r="AH3798">
        <v>0.50883771122667398</v>
      </c>
      <c r="AI3798">
        <v>102.728105210275</v>
      </c>
      <c r="AJ3798">
        <v>84.744721776342701</v>
      </c>
      <c r="AK3798">
        <v>0.52385863774521402</v>
      </c>
      <c r="AL3798">
        <v>94.510436278278306</v>
      </c>
      <c r="AM3798">
        <v>89.521796148923599</v>
      </c>
      <c r="AN3798">
        <v>0.99999999563575703</v>
      </c>
    </row>
    <row r="3799" spans="1:40" x14ac:dyDescent="0.25">
      <c r="A3799" t="str">
        <f>"20190303154844738"</f>
        <v>20190303154844738</v>
      </c>
      <c r="B3799" t="str">
        <f>"1551599324734676"</f>
        <v>1551599324734676</v>
      </c>
      <c r="C3799" t="s">
        <v>40</v>
      </c>
      <c r="D3799">
        <v>5.427797</v>
      </c>
      <c r="E3799">
        <v>0.525348699999999</v>
      </c>
      <c r="F3799" t="s">
        <v>42</v>
      </c>
      <c r="G3799">
        <v>-295.41820000000001</v>
      </c>
      <c r="H3799">
        <v>0.98930700000000005</v>
      </c>
      <c r="I3799">
        <v>215.1328</v>
      </c>
      <c r="J3799">
        <v>-295.89389999999997</v>
      </c>
      <c r="K3799">
        <v>1.120749</v>
      </c>
      <c r="L3799">
        <v>215.19280000000001</v>
      </c>
      <c r="M3799">
        <v>0.9998918</v>
      </c>
      <c r="N3799">
        <v>-1.432422E-2</v>
      </c>
      <c r="O3799">
        <v>3.347156E-3</v>
      </c>
      <c r="P3799">
        <v>0.99562539999999999</v>
      </c>
      <c r="Q3799">
        <v>-9.3333310000000003E-2</v>
      </c>
      <c r="R3799">
        <v>-4.3568000000000001E-3</v>
      </c>
      <c r="S3799">
        <v>2.9664920000000001</v>
      </c>
      <c r="T3799">
        <v>-0.48740509999999898</v>
      </c>
      <c r="U3799">
        <v>-0.21719359999999999</v>
      </c>
      <c r="V3799">
        <v>7.6866740000000001E-3</v>
      </c>
      <c r="W3799">
        <v>-7.9062750000000001E-2</v>
      </c>
      <c r="X3799">
        <v>0.99683999999999995</v>
      </c>
      <c r="Y3799">
        <v>7.5228719999999999E-2</v>
      </c>
      <c r="Z3799">
        <v>-7.1723990000000003E-3</v>
      </c>
      <c r="AA3799">
        <v>0.99714049999999999</v>
      </c>
      <c r="AB3799">
        <v>31</v>
      </c>
      <c r="AC3799">
        <v>0.47569999999995999</v>
      </c>
      <c r="AD3799">
        <v>-0.131442</v>
      </c>
      <c r="AE3799">
        <v>-6.0000000000002197E-2</v>
      </c>
      <c r="AF3799">
        <v>5.7286785696885799E-2</v>
      </c>
      <c r="AG3799">
        <v>-0.131442</v>
      </c>
      <c r="AH3799">
        <v>0.44225929611883702</v>
      </c>
      <c r="AI3799">
        <v>106.42252987492</v>
      </c>
      <c r="AJ3799">
        <v>82.619451288850996</v>
      </c>
      <c r="AK3799">
        <v>0.46492156347389402</v>
      </c>
      <c r="AL3799">
        <v>94.534694645300306</v>
      </c>
      <c r="AM3799">
        <v>89.558198657781503</v>
      </c>
      <c r="AN3799">
        <v>0.99999999449737198</v>
      </c>
    </row>
    <row r="3800" spans="1:40" x14ac:dyDescent="0.25">
      <c r="A3800" t="str">
        <f>"20190303154844761"</f>
        <v>20190303154844761</v>
      </c>
      <c r="B3800" t="str">
        <f>"1551599324754197"</f>
        <v>1551599324754197</v>
      </c>
      <c r="C3800" t="s">
        <v>40</v>
      </c>
      <c r="D3800">
        <v>5.3818149999999996</v>
      </c>
      <c r="E3800">
        <v>0.52516079999999998</v>
      </c>
      <c r="F3800" t="s">
        <v>42</v>
      </c>
      <c r="G3800">
        <v>-295.14760000000001</v>
      </c>
      <c r="H3800">
        <v>0.98049260000000005</v>
      </c>
      <c r="I3800">
        <v>215.13929999999999</v>
      </c>
      <c r="J3800">
        <v>-295.57100000000003</v>
      </c>
      <c r="K3800">
        <v>1.120749</v>
      </c>
      <c r="L3800">
        <v>215.19380000000001</v>
      </c>
      <c r="M3800">
        <v>0.99989189999999994</v>
      </c>
      <c r="N3800">
        <v>-1.432074E-2</v>
      </c>
      <c r="O3800">
        <v>3.3471809999999999E-3</v>
      </c>
      <c r="P3800">
        <v>0.9955773</v>
      </c>
      <c r="Q3800">
        <v>-9.3850879999999998E-2</v>
      </c>
      <c r="R3800">
        <v>-4.2576879999999999E-3</v>
      </c>
      <c r="S3800">
        <v>2.960083</v>
      </c>
      <c r="T3800">
        <v>-0.55642009999999997</v>
      </c>
      <c r="U3800">
        <v>-0.21138000000000001</v>
      </c>
      <c r="V3800">
        <v>7.5872919999999998E-3</v>
      </c>
      <c r="W3800">
        <v>-7.9584409999999994E-2</v>
      </c>
      <c r="X3800">
        <v>0.9967992</v>
      </c>
      <c r="Y3800">
        <v>7.3143710000000001E-2</v>
      </c>
      <c r="Z3800">
        <v>-7.9112360000000003E-3</v>
      </c>
      <c r="AA3800">
        <v>0.99729000000000001</v>
      </c>
      <c r="AB3800">
        <v>31</v>
      </c>
      <c r="AC3800">
        <v>0.42339999999995798</v>
      </c>
      <c r="AD3800">
        <v>-0.1402564</v>
      </c>
      <c r="AE3800">
        <v>-5.4500000000018603E-2</v>
      </c>
      <c r="AF3800">
        <v>5.0469095213009997E-2</v>
      </c>
      <c r="AG3800">
        <v>-0.1402564</v>
      </c>
      <c r="AH3800">
        <v>0.38198175360546899</v>
      </c>
      <c r="AI3800">
        <v>110.002383131825</v>
      </c>
      <c r="AJ3800">
        <v>82.473426438134894</v>
      </c>
      <c r="AK3800">
        <v>0.41003542212848998</v>
      </c>
      <c r="AL3800">
        <v>94.564678267653804</v>
      </c>
      <c r="AM3800">
        <v>89.563892693404796</v>
      </c>
      <c r="AN3800">
        <v>0.99999994521778901</v>
      </c>
    </row>
    <row r="3801" spans="1:40" x14ac:dyDescent="0.25">
      <c r="A3801" t="str">
        <f>"20190303154844781"</f>
        <v>20190303154844781</v>
      </c>
      <c r="B3801" t="str">
        <f>"1551599324774692"</f>
        <v>1551599324774692</v>
      </c>
      <c r="C3801" t="s">
        <v>40</v>
      </c>
      <c r="D3801">
        <v>5.3688320000000003</v>
      </c>
      <c r="E3801">
        <v>0.52500649999999904</v>
      </c>
      <c r="F3801" t="s">
        <v>42</v>
      </c>
      <c r="G3801">
        <v>-294.87189999999998</v>
      </c>
      <c r="H3801">
        <v>0.98246880000000003</v>
      </c>
      <c r="I3801">
        <v>215.14410000000001</v>
      </c>
      <c r="J3801">
        <v>-295.28550000000001</v>
      </c>
      <c r="K3801">
        <v>1.1207510000000001</v>
      </c>
      <c r="L3801">
        <v>215.19479999999999</v>
      </c>
      <c r="M3801">
        <v>0.99989189999999994</v>
      </c>
      <c r="N3801">
        <v>-1.4317399999999999E-2</v>
      </c>
      <c r="O3801">
        <v>3.3472060000000001E-3</v>
      </c>
      <c r="P3801">
        <v>0.9955505</v>
      </c>
      <c r="Q3801">
        <v>-9.4097330000000007E-2</v>
      </c>
      <c r="R3801">
        <v>-4.9704830000000004E-3</v>
      </c>
      <c r="S3801">
        <v>2.9572750000000001</v>
      </c>
      <c r="T3801">
        <v>-0.58504990000000001</v>
      </c>
      <c r="U3801">
        <v>-0.2093353</v>
      </c>
      <c r="V3801">
        <v>8.300165E-3</v>
      </c>
      <c r="W3801">
        <v>-7.9834649999999993E-2</v>
      </c>
      <c r="X3801">
        <v>0.99677349999999998</v>
      </c>
      <c r="Y3801">
        <v>7.239342E-2</v>
      </c>
      <c r="Z3801">
        <v>-8.215455E-3</v>
      </c>
      <c r="AA3801">
        <v>0.99734230000000001</v>
      </c>
      <c r="AB3801">
        <v>31</v>
      </c>
      <c r="AC3801">
        <v>0.41360000000003</v>
      </c>
      <c r="AD3801">
        <v>-0.13828219999999999</v>
      </c>
      <c r="AE3801">
        <v>-5.06999999999777E-2</v>
      </c>
      <c r="AF3801">
        <v>4.6917386942658602E-2</v>
      </c>
      <c r="AG3801">
        <v>-0.13828219999999999</v>
      </c>
      <c r="AH3801">
        <v>0.37241498342222201</v>
      </c>
      <c r="AI3801">
        <v>110.22380424848301</v>
      </c>
      <c r="AJ3801">
        <v>82.8196214249989</v>
      </c>
      <c r="AK3801">
        <v>0.40002015938167601</v>
      </c>
      <c r="AL3801">
        <v>94.579061767444003</v>
      </c>
      <c r="AM3801">
        <v>89.522907227744994</v>
      </c>
      <c r="AN3801">
        <v>0.99999993719094704</v>
      </c>
    </row>
    <row r="3802" spans="1:40" x14ac:dyDescent="0.25">
      <c r="A3802" t="str">
        <f>"20190303154844802"</f>
        <v>20190303154844802</v>
      </c>
      <c r="B3802" t="str">
        <f>"1551599324794212"</f>
        <v>1551599324794212</v>
      </c>
      <c r="C3802" t="s">
        <v>40</v>
      </c>
      <c r="D3802">
        <v>5.3796599999999897</v>
      </c>
      <c r="E3802">
        <v>0.52540589999999998</v>
      </c>
      <c r="F3802" t="s">
        <v>42</v>
      </c>
      <c r="G3802">
        <v>-294.34980000000002</v>
      </c>
      <c r="H3802">
        <v>0.92951419999999996</v>
      </c>
      <c r="I3802">
        <v>215.12819999999999</v>
      </c>
      <c r="J3802">
        <v>-294.99099999999999</v>
      </c>
      <c r="K3802">
        <v>1.1207510000000001</v>
      </c>
      <c r="L3802">
        <v>215.19579999999999</v>
      </c>
      <c r="M3802">
        <v>0.999892</v>
      </c>
      <c r="N3802">
        <v>-1.4306630000000001E-2</v>
      </c>
      <c r="O3802">
        <v>3.3472829999999999E-3</v>
      </c>
      <c r="P3802">
        <v>0.99561440000000001</v>
      </c>
      <c r="Q3802">
        <v>-9.3374310000000002E-2</v>
      </c>
      <c r="R3802">
        <v>-5.757435E-3</v>
      </c>
      <c r="S3802">
        <v>2.9552610000000001</v>
      </c>
      <c r="T3802">
        <v>-0.60404930000000001</v>
      </c>
      <c r="U3802">
        <v>-0.2098999</v>
      </c>
      <c r="V3802">
        <v>9.0874939999999998E-3</v>
      </c>
      <c r="W3802">
        <v>-7.9121570000000002E-2</v>
      </c>
      <c r="X3802">
        <v>0.99682349999999997</v>
      </c>
      <c r="Y3802">
        <v>7.2527359999999999E-2</v>
      </c>
      <c r="Z3802">
        <v>-8.4815749999999999E-3</v>
      </c>
      <c r="AA3802">
        <v>0.99733039999999995</v>
      </c>
      <c r="AB3802">
        <v>31</v>
      </c>
      <c r="AC3802">
        <v>0.64119999999996902</v>
      </c>
      <c r="AD3802">
        <v>-0.19123680000000001</v>
      </c>
      <c r="AE3802">
        <v>-6.7599999999998703E-2</v>
      </c>
      <c r="AF3802">
        <v>6.4106408084480995E-2</v>
      </c>
      <c r="AG3802">
        <v>-0.19123680000000001</v>
      </c>
      <c r="AH3802">
        <v>0.58914090068651004</v>
      </c>
      <c r="AI3802">
        <v>107.884787465789</v>
      </c>
      <c r="AJ3802">
        <v>83.789886082215602</v>
      </c>
      <c r="AK3802">
        <v>0.62271032277732996</v>
      </c>
      <c r="AL3802">
        <v>94.538075586350701</v>
      </c>
      <c r="AM3802">
        <v>89.477680222339799</v>
      </c>
      <c r="AN3802">
        <v>0.99999994776935597</v>
      </c>
    </row>
    <row r="3803" spans="1:40" x14ac:dyDescent="0.25">
      <c r="A3803" t="str">
        <f>"20190303154844825"</f>
        <v>20190303154844825</v>
      </c>
      <c r="B3803" t="str">
        <f>"1551599324814709"</f>
        <v>1551599324814709</v>
      </c>
      <c r="C3803" t="s">
        <v>40</v>
      </c>
      <c r="D3803">
        <v>5.7738329999999998</v>
      </c>
      <c r="E3803">
        <v>0.52703800000000001</v>
      </c>
      <c r="F3803" t="s">
        <v>42</v>
      </c>
      <c r="G3803">
        <v>-294.0763</v>
      </c>
      <c r="H3803">
        <v>0.92887149999999996</v>
      </c>
      <c r="I3803">
        <v>215.12909999999999</v>
      </c>
      <c r="J3803">
        <v>-294.68299999999999</v>
      </c>
      <c r="K3803">
        <v>1.1207469999999999</v>
      </c>
      <c r="L3803">
        <v>215.1968</v>
      </c>
      <c r="M3803">
        <v>0.99989249999999996</v>
      </c>
      <c r="N3803">
        <v>-1.4285849999999999E-2</v>
      </c>
      <c r="O3803">
        <v>3.3470750000000001E-3</v>
      </c>
      <c r="P3803">
        <v>0.99563349999999995</v>
      </c>
      <c r="Q3803">
        <v>-9.3130829999999998E-2</v>
      </c>
      <c r="R3803">
        <v>-6.3762920000000004E-3</v>
      </c>
      <c r="S3803">
        <v>2.9538570000000002</v>
      </c>
      <c r="T3803">
        <v>-0.6196834</v>
      </c>
      <c r="U3803">
        <v>-0.2150879</v>
      </c>
      <c r="V3803">
        <v>9.7060540000000004E-3</v>
      </c>
      <c r="W3803">
        <v>-7.8898599999999999E-2</v>
      </c>
      <c r="X3803">
        <v>0.99683540000000004</v>
      </c>
      <c r="Y3803">
        <v>7.4180120000000002E-2</v>
      </c>
      <c r="Z3803">
        <v>-8.870546E-3</v>
      </c>
      <c r="AA3803">
        <v>0.99720540000000002</v>
      </c>
      <c r="AB3803">
        <v>31</v>
      </c>
      <c r="AC3803">
        <v>0.60669999999998903</v>
      </c>
      <c r="AD3803">
        <v>-0.1918755</v>
      </c>
      <c r="AE3803">
        <v>-6.7700000000001995E-2</v>
      </c>
      <c r="AF3803">
        <v>6.3461119864975102E-2</v>
      </c>
      <c r="AG3803">
        <v>-0.1918755</v>
      </c>
      <c r="AH3803">
        <v>0.55194305540790001</v>
      </c>
      <c r="AI3803">
        <v>109.05292055244</v>
      </c>
      <c r="AJ3803">
        <v>83.441066996060599</v>
      </c>
      <c r="AK3803">
        <v>0.58777942941870198</v>
      </c>
      <c r="AL3803">
        <v>94.525260020327295</v>
      </c>
      <c r="AM3803">
        <v>89.442136227864907</v>
      </c>
      <c r="AN3803">
        <v>1.0000000056296801</v>
      </c>
    </row>
    <row r="3804" spans="1:40" x14ac:dyDescent="0.25">
      <c r="A3804" t="str">
        <f>"20190303154844849"</f>
        <v>20190303154844849</v>
      </c>
      <c r="B3804" t="str">
        <f>"1551599324844965"</f>
        <v>1551599324844965</v>
      </c>
      <c r="C3804" t="s">
        <v>40</v>
      </c>
      <c r="D3804">
        <v>5.427867</v>
      </c>
      <c r="E3804">
        <v>0.52666789999999997</v>
      </c>
      <c r="F3804" t="s">
        <v>42</v>
      </c>
      <c r="G3804">
        <v>-293.80220000000003</v>
      </c>
      <c r="H3804">
        <v>0.9301488</v>
      </c>
      <c r="I3804">
        <v>215.12799999999999</v>
      </c>
      <c r="J3804">
        <v>-294.35789999999997</v>
      </c>
      <c r="K3804">
        <v>1.120735</v>
      </c>
      <c r="L3804">
        <v>215.1979</v>
      </c>
      <c r="M3804">
        <v>0.99989320000000004</v>
      </c>
      <c r="N3804">
        <v>-1.422732E-2</v>
      </c>
      <c r="O3804">
        <v>3.3474949999999998E-3</v>
      </c>
      <c r="P3804">
        <v>0.99565490000000001</v>
      </c>
      <c r="Q3804">
        <v>-9.2873830000000004E-2</v>
      </c>
      <c r="R3804">
        <v>-6.7681640000000001E-3</v>
      </c>
      <c r="S3804">
        <v>2.9519350000000002</v>
      </c>
      <c r="T3804">
        <v>-0.63882039999999995</v>
      </c>
      <c r="U3804">
        <v>-0.22962949999999999</v>
      </c>
      <c r="V3804">
        <v>1.009852E-2</v>
      </c>
      <c r="W3804">
        <v>-7.8699720000000001E-2</v>
      </c>
      <c r="X3804">
        <v>0.99684720000000004</v>
      </c>
      <c r="Y3804">
        <v>7.8887180000000001E-2</v>
      </c>
      <c r="Z3804">
        <v>-9.6628519999999996E-3</v>
      </c>
      <c r="AA3804">
        <v>0.99683670000000002</v>
      </c>
      <c r="AB3804">
        <v>31</v>
      </c>
      <c r="AC3804">
        <v>0.55569999999994402</v>
      </c>
      <c r="AD3804">
        <v>-0.19058620000000001</v>
      </c>
      <c r="AE3804">
        <v>-6.9900000000018198E-2</v>
      </c>
      <c r="AF3804">
        <v>6.4312973147294394E-2</v>
      </c>
      <c r="AG3804">
        <v>-0.19058620000000001</v>
      </c>
      <c r="AH3804">
        <v>0.49781868769987497</v>
      </c>
      <c r="AI3804">
        <v>110.79113023439901</v>
      </c>
      <c r="AJ3804">
        <v>82.638756140179893</v>
      </c>
      <c r="AK3804">
        <v>0.53691964386555102</v>
      </c>
      <c r="AL3804">
        <v>94.513829594597894</v>
      </c>
      <c r="AM3804">
        <v>89.419587291527904</v>
      </c>
      <c r="AN3804">
        <v>0.99999998309105398</v>
      </c>
    </row>
    <row r="3805" spans="1:40" x14ac:dyDescent="0.25">
      <c r="A3805" t="str">
        <f>"20190303154844870"</f>
        <v>20190303154844870</v>
      </c>
      <c r="B3805" t="str">
        <f>"1551599324864484"</f>
        <v>1551599324864484</v>
      </c>
      <c r="C3805" t="s">
        <v>40</v>
      </c>
      <c r="D3805">
        <v>5.4485190000000001</v>
      </c>
      <c r="E3805">
        <v>0.52646499999999996</v>
      </c>
      <c r="F3805" t="s">
        <v>42</v>
      </c>
      <c r="G3805">
        <v>-293.5247</v>
      </c>
      <c r="H3805">
        <v>0.93846879999999999</v>
      </c>
      <c r="I3805">
        <v>215.13339999999999</v>
      </c>
      <c r="J3805">
        <v>-294.0736</v>
      </c>
      <c r="K3805">
        <v>1.1207119999999999</v>
      </c>
      <c r="L3805">
        <v>215.19890000000001</v>
      </c>
      <c r="M3805">
        <v>0.99989470000000003</v>
      </c>
      <c r="N3805">
        <v>-1.4122340000000001E-2</v>
      </c>
      <c r="O3805">
        <v>3.3475879999999999E-3</v>
      </c>
      <c r="P3805">
        <v>0.99568880000000004</v>
      </c>
      <c r="Q3805">
        <v>-9.2525319999999994E-2</v>
      </c>
      <c r="R3805">
        <v>-6.5624860000000002E-3</v>
      </c>
      <c r="S3805">
        <v>2.9513240000000001</v>
      </c>
      <c r="T3805">
        <v>-0.64563789999999999</v>
      </c>
      <c r="U3805">
        <v>-0.22787479999999999</v>
      </c>
      <c r="V3805">
        <v>9.8930049999999999E-3</v>
      </c>
      <c r="W3805">
        <v>-7.8455399999999995E-2</v>
      </c>
      <c r="X3805">
        <v>0.99686859999999999</v>
      </c>
      <c r="Y3805">
        <v>7.8287629999999997E-2</v>
      </c>
      <c r="Z3805">
        <v>-9.6875280000000008E-3</v>
      </c>
      <c r="AA3805">
        <v>0.99688370000000004</v>
      </c>
      <c r="AB3805">
        <v>31</v>
      </c>
      <c r="AC3805">
        <v>0.54890000000000305</v>
      </c>
      <c r="AD3805">
        <v>-0.18224319999999999</v>
      </c>
      <c r="AE3805">
        <v>-6.5500000000014297E-2</v>
      </c>
      <c r="AF3805">
        <v>6.0736110945111402E-2</v>
      </c>
      <c r="AG3805">
        <v>-0.18224319999999999</v>
      </c>
      <c r="AH3805">
        <v>0.49488978848425902</v>
      </c>
      <c r="AI3805">
        <v>110.07775005547801</v>
      </c>
      <c r="AJ3805">
        <v>83.003275056490594</v>
      </c>
      <c r="AK3805">
        <v>0.53086473028915004</v>
      </c>
      <c r="AL3805">
        <v>94.499787309319103</v>
      </c>
      <c r="AM3805">
        <v>89.431410693595794</v>
      </c>
      <c r="AN3805">
        <v>1.00000006350152</v>
      </c>
    </row>
    <row r="3806" spans="1:40" x14ac:dyDescent="0.25">
      <c r="A3806" t="str">
        <f>"20190303154844892"</f>
        <v>20190303154844892</v>
      </c>
      <c r="B3806" t="str">
        <f>"1551599324884980"</f>
        <v>1551599324884980</v>
      </c>
      <c r="C3806" t="s">
        <v>40</v>
      </c>
      <c r="D3806">
        <v>5.5471120000000003</v>
      </c>
      <c r="E3806">
        <v>0.52652710000000003</v>
      </c>
      <c r="F3806" t="s">
        <v>42</v>
      </c>
      <c r="G3806">
        <v>-293.25060000000002</v>
      </c>
      <c r="H3806">
        <v>0.93977460000000002</v>
      </c>
      <c r="I3806">
        <v>215.13550000000001</v>
      </c>
      <c r="J3806">
        <v>-293.76580000000001</v>
      </c>
      <c r="K3806">
        <v>1.1206689999999999</v>
      </c>
      <c r="L3806">
        <v>215.19990000000001</v>
      </c>
      <c r="M3806">
        <v>0.99989729999999999</v>
      </c>
      <c r="N3806">
        <v>-1.394567E-2</v>
      </c>
      <c r="O3806">
        <v>3.3476420000000001E-3</v>
      </c>
      <c r="P3806">
        <v>0.99567539999999999</v>
      </c>
      <c r="Q3806">
        <v>-9.2707810000000002E-2</v>
      </c>
      <c r="R3806">
        <v>-6.0189170000000004E-3</v>
      </c>
      <c r="S3806">
        <v>2.9512019999999999</v>
      </c>
      <c r="T3806">
        <v>-0.64888509999999999</v>
      </c>
      <c r="U3806">
        <v>-0.22595209999999999</v>
      </c>
      <c r="V3806">
        <v>9.349497E-3</v>
      </c>
      <c r="W3806">
        <v>-7.8814149999999999E-2</v>
      </c>
      <c r="X3806">
        <v>0.99684550000000005</v>
      </c>
      <c r="Y3806">
        <v>7.7642939999999994E-2</v>
      </c>
      <c r="Z3806">
        <v>-9.6523279999999999E-3</v>
      </c>
      <c r="AA3806">
        <v>0.99693449999999995</v>
      </c>
      <c r="AB3806">
        <v>31</v>
      </c>
      <c r="AC3806">
        <v>0.515199999999993</v>
      </c>
      <c r="AD3806">
        <v>-0.18089440000000001</v>
      </c>
      <c r="AE3806">
        <v>-6.4400000000006202E-2</v>
      </c>
      <c r="AF3806">
        <v>5.8966821877739897E-2</v>
      </c>
      <c r="AG3806">
        <v>-0.18089440000000001</v>
      </c>
      <c r="AH3806">
        <v>0.459237003076092</v>
      </c>
      <c r="AI3806">
        <v>111.340315705153</v>
      </c>
      <c r="AJ3806">
        <v>82.683158909421707</v>
      </c>
      <c r="AK3806">
        <v>0.49709002708566902</v>
      </c>
      <c r="AL3806">
        <v>94.520406225187799</v>
      </c>
      <c r="AM3806">
        <v>89.462633866654002</v>
      </c>
      <c r="AN3806">
        <v>1.00000001710231</v>
      </c>
    </row>
    <row r="3807" spans="1:40" x14ac:dyDescent="0.25">
      <c r="A3807" t="str">
        <f>"20190303154844909"</f>
        <v>20190303154844909</v>
      </c>
      <c r="B3807" t="str">
        <f>"1551599324904500"</f>
        <v>1551599324904500</v>
      </c>
      <c r="C3807" t="s">
        <v>40</v>
      </c>
      <c r="D3807">
        <v>5.4340729999999997</v>
      </c>
      <c r="E3807">
        <v>0.56427499999999997</v>
      </c>
      <c r="F3807" t="s">
        <v>42</v>
      </c>
      <c r="G3807">
        <v>-292.97410000000002</v>
      </c>
      <c r="H3807">
        <v>0.94598260000000001</v>
      </c>
      <c r="I3807">
        <v>215.1396</v>
      </c>
      <c r="J3807">
        <v>-293.54050000000001</v>
      </c>
      <c r="K3807">
        <v>1.120638</v>
      </c>
      <c r="L3807">
        <v>215.20070000000001</v>
      </c>
      <c r="M3807">
        <v>0.99989939999999999</v>
      </c>
      <c r="N3807">
        <v>-1.378534E-2</v>
      </c>
      <c r="O3807">
        <v>3.3472670000000001E-3</v>
      </c>
      <c r="P3807">
        <v>0.99565130000000002</v>
      </c>
      <c r="Q3807">
        <v>-9.2958319999999997E-2</v>
      </c>
      <c r="R3807">
        <v>-6.1362369999999897E-3</v>
      </c>
      <c r="S3807">
        <v>2.9510190000000001</v>
      </c>
      <c r="T3807">
        <v>-0.65110539999999995</v>
      </c>
      <c r="U3807">
        <v>-0.22492980000000001</v>
      </c>
      <c r="V3807">
        <v>9.4660549999999993E-3</v>
      </c>
      <c r="W3807">
        <v>-7.9224820000000001E-2</v>
      </c>
      <c r="X3807">
        <v>0.99681180000000003</v>
      </c>
      <c r="Y3807">
        <v>7.7300179999999996E-2</v>
      </c>
      <c r="Z3807">
        <v>-9.6380449999999996E-3</v>
      </c>
      <c r="AA3807">
        <v>0.99696130000000005</v>
      </c>
      <c r="AB3807">
        <v>31</v>
      </c>
      <c r="AC3807">
        <v>0.56639999999998702</v>
      </c>
      <c r="AD3807">
        <v>-0.17465539999999999</v>
      </c>
      <c r="AE3807">
        <v>-6.1100000000010299E-2</v>
      </c>
      <c r="AF3807">
        <v>5.7583332199867401E-2</v>
      </c>
      <c r="AG3807">
        <v>-0.17465539999999999</v>
      </c>
      <c r="AH3807">
        <v>0.51754680463222003</v>
      </c>
      <c r="AI3807">
        <v>108.541361748654</v>
      </c>
      <c r="AJ3807">
        <v>83.651264196644703</v>
      </c>
      <c r="AK3807">
        <v>0.54924952788456904</v>
      </c>
      <c r="AL3807">
        <v>94.544009896898999</v>
      </c>
      <c r="AM3807">
        <v>89.455916656009094</v>
      </c>
      <c r="AN3807">
        <v>0.99999997146026698</v>
      </c>
    </row>
    <row r="3808" spans="1:40" x14ac:dyDescent="0.25">
      <c r="A3808" t="str">
        <f>"20190303154844925"</f>
        <v>20190303154844925</v>
      </c>
      <c r="B3808" t="str">
        <f>"1551599324915237"</f>
        <v>1551599324915237</v>
      </c>
      <c r="C3808" t="s">
        <v>40</v>
      </c>
      <c r="D3808">
        <v>5.4422350000000002</v>
      </c>
      <c r="E3808">
        <v>0.56525049999999999</v>
      </c>
      <c r="F3808" t="s">
        <v>42</v>
      </c>
      <c r="G3808">
        <v>-292.71530000000001</v>
      </c>
      <c r="H3808">
        <v>0.9069625</v>
      </c>
      <c r="I3808">
        <v>215.053</v>
      </c>
      <c r="J3808">
        <v>-293.30689999999998</v>
      </c>
      <c r="K3808">
        <v>1.120606</v>
      </c>
      <c r="L3808">
        <v>215.20140000000001</v>
      </c>
      <c r="M3808">
        <v>0.99990179999999995</v>
      </c>
      <c r="N3808">
        <v>-1.360018E-2</v>
      </c>
      <c r="O3808">
        <v>3.3453060000000001E-3</v>
      </c>
      <c r="P3808">
        <v>0.99570789999999998</v>
      </c>
      <c r="Q3808">
        <v>-9.2385729999999999E-2</v>
      </c>
      <c r="R3808">
        <v>-5.5391279999999999E-3</v>
      </c>
      <c r="S3808">
        <v>2.938812</v>
      </c>
      <c r="T3808">
        <v>-0.7610285</v>
      </c>
      <c r="U3808">
        <v>-0.5250397</v>
      </c>
      <c r="V3808">
        <v>8.8671930000000006E-3</v>
      </c>
      <c r="W3808">
        <v>-7.8836059999999999E-2</v>
      </c>
      <c r="X3808">
        <v>0.99684819999999996</v>
      </c>
      <c r="Y3808">
        <v>0.1732205</v>
      </c>
      <c r="Z3808">
        <v>-2.390755E-2</v>
      </c>
      <c r="AA3808">
        <v>0.98459289999999999</v>
      </c>
      <c r="AB3808">
        <v>31</v>
      </c>
      <c r="AC3808">
        <v>0.59159999999997104</v>
      </c>
      <c r="AD3808">
        <v>-0.21364349999999999</v>
      </c>
      <c r="AE3808">
        <v>-0.148400000000009</v>
      </c>
      <c r="AF3808">
        <v>0.13394435131132401</v>
      </c>
      <c r="AG3808">
        <v>-0.21364349999999999</v>
      </c>
      <c r="AH3808">
        <v>0.52650190429426702</v>
      </c>
      <c r="AI3808">
        <v>111.467367367769</v>
      </c>
      <c r="AJ3808">
        <v>75.726499650125703</v>
      </c>
      <c r="AK3808">
        <v>0.58377126476553398</v>
      </c>
      <c r="AL3808">
        <v>94.521665378175697</v>
      </c>
      <c r="AM3808">
        <v>89.490354363125206</v>
      </c>
      <c r="AN3808">
        <v>1.0000000426556299</v>
      </c>
    </row>
    <row r="3809" spans="1:40" x14ac:dyDescent="0.25">
      <c r="A3809" t="str">
        <f>"20190303154844961"</f>
        <v>20190303154844961</v>
      </c>
      <c r="B3809" t="str">
        <f>"1551599324955253"</f>
        <v>1551599324955253</v>
      </c>
      <c r="C3809" t="s">
        <v>40</v>
      </c>
      <c r="D3809">
        <v>5.3665180000000001</v>
      </c>
      <c r="E3809">
        <v>0.56450279999999997</v>
      </c>
      <c r="F3809" t="s">
        <v>42</v>
      </c>
      <c r="G3809">
        <v>-292.44569999999999</v>
      </c>
      <c r="H3809">
        <v>0.89620109999999997</v>
      </c>
      <c r="I3809">
        <v>215.04580000000001</v>
      </c>
      <c r="J3809">
        <v>-292.83670000000001</v>
      </c>
      <c r="K3809">
        <v>1.1205350000000001</v>
      </c>
      <c r="L3809">
        <v>215.203</v>
      </c>
      <c r="M3809">
        <v>0.99990760000000001</v>
      </c>
      <c r="N3809">
        <v>-1.3185499999999999E-2</v>
      </c>
      <c r="O3809">
        <v>3.3252569999999999E-3</v>
      </c>
      <c r="P3809">
        <v>0.99582340000000003</v>
      </c>
      <c r="Q3809">
        <v>-9.1165099999999999E-2</v>
      </c>
      <c r="R3809">
        <v>-4.9511059999999898E-3</v>
      </c>
      <c r="S3809">
        <v>2.9389340000000002</v>
      </c>
      <c r="T3809">
        <v>-0.765764</v>
      </c>
      <c r="U3809">
        <v>-0.53033450000000004</v>
      </c>
      <c r="V3809">
        <v>8.2580669999999991E-3</v>
      </c>
      <c r="W3809">
        <v>-7.8027529999999998E-2</v>
      </c>
      <c r="X3809">
        <v>0.99691700000000005</v>
      </c>
      <c r="Y3809">
        <v>0.17479910000000001</v>
      </c>
      <c r="Z3809">
        <v>-2.4211770000000001E-2</v>
      </c>
      <c r="AA3809">
        <v>0.98430640000000003</v>
      </c>
      <c r="AB3809">
        <v>31</v>
      </c>
      <c r="AC3809">
        <v>0.391000000000019</v>
      </c>
      <c r="AD3809">
        <v>-0.2243339</v>
      </c>
      <c r="AE3809">
        <v>-0.15719999999998799</v>
      </c>
      <c r="AF3809">
        <v>0.123501853570871</v>
      </c>
      <c r="AG3809">
        <v>-0.2243339</v>
      </c>
      <c r="AH3809">
        <v>0.304255966300431</v>
      </c>
      <c r="AI3809">
        <v>124.34018403072299</v>
      </c>
      <c r="AJ3809">
        <v>67.907062103792001</v>
      </c>
      <c r="AK3809">
        <v>0.39768090167125197</v>
      </c>
      <c r="AL3809">
        <v>94.475197075455696</v>
      </c>
      <c r="AM3809">
        <v>89.525395229285394</v>
      </c>
      <c r="AN3809">
        <v>0.99999999799873796</v>
      </c>
    </row>
    <row r="3810" spans="1:40" x14ac:dyDescent="0.25">
      <c r="A3810" t="str">
        <f>"20190303154844982"</f>
        <v>20190303154844982</v>
      </c>
      <c r="B3810" t="str">
        <f>"1551599324974772"</f>
        <v>1551599324974772</v>
      </c>
      <c r="C3810" t="s">
        <v>40</v>
      </c>
      <c r="D3810">
        <v>5.3577949999999896</v>
      </c>
      <c r="E3810">
        <v>0.56594239999999996</v>
      </c>
      <c r="F3810" t="s">
        <v>42</v>
      </c>
      <c r="G3810">
        <v>-292.15260000000001</v>
      </c>
      <c r="H3810">
        <v>0.94293309999999997</v>
      </c>
      <c r="I3810">
        <v>215.08109999999999</v>
      </c>
      <c r="J3810">
        <v>-292.53410000000002</v>
      </c>
      <c r="K3810">
        <v>1.1204809999999901</v>
      </c>
      <c r="L3810">
        <v>215.20400000000001</v>
      </c>
      <c r="M3810">
        <v>0.99991149999999995</v>
      </c>
      <c r="N3810">
        <v>-1.2898919999999999E-2</v>
      </c>
      <c r="O3810">
        <v>3.293832E-3</v>
      </c>
      <c r="P3810">
        <v>0.99581609999999998</v>
      </c>
      <c r="Q3810">
        <v>-9.1251470000000001E-2</v>
      </c>
      <c r="R3810">
        <v>-4.8655319999999997E-3</v>
      </c>
      <c r="S3810">
        <v>2.9400330000000001</v>
      </c>
      <c r="T3810">
        <v>-0.76333890000000004</v>
      </c>
      <c r="U3810">
        <v>-0.52290340000000002</v>
      </c>
      <c r="V3810">
        <v>8.1388850000000002E-3</v>
      </c>
      <c r="W3810">
        <v>-7.8399930000000007E-2</v>
      </c>
      <c r="X3810">
        <v>0.99688880000000002</v>
      </c>
      <c r="Y3810">
        <v>0.17241860000000001</v>
      </c>
      <c r="Z3810">
        <v>-2.3787470000000002E-2</v>
      </c>
      <c r="AA3810">
        <v>0.98473650000000001</v>
      </c>
      <c r="AB3810">
        <v>31</v>
      </c>
      <c r="AC3810">
        <v>0.38150000000001599</v>
      </c>
      <c r="AD3810">
        <v>-0.17754789999999901</v>
      </c>
      <c r="AE3810">
        <v>-0.122900000000015</v>
      </c>
      <c r="AF3810">
        <v>0.103789670072663</v>
      </c>
      <c r="AG3810">
        <v>-0.17754789999999901</v>
      </c>
      <c r="AH3810">
        <v>0.31857916267124398</v>
      </c>
      <c r="AI3810">
        <v>117.919087603378</v>
      </c>
      <c r="AJ3810">
        <v>71.954946731267398</v>
      </c>
      <c r="AK3810">
        <v>0.37919419206590299</v>
      </c>
      <c r="AL3810">
        <v>94.496599421262999</v>
      </c>
      <c r="AM3810">
        <v>89.532231278119795</v>
      </c>
      <c r="AN3810">
        <v>1.00000003501924</v>
      </c>
    </row>
    <row r="3811" spans="1:40" x14ac:dyDescent="0.25">
      <c r="A3811" t="str">
        <f>"20190303154845004"</f>
        <v>20190303154845004</v>
      </c>
      <c r="B3811" t="str">
        <f>"1551599324995268"</f>
        <v>1551599324995268</v>
      </c>
      <c r="C3811" t="s">
        <v>40</v>
      </c>
      <c r="D3811">
        <v>5.3562560000000001</v>
      </c>
      <c r="E3811">
        <v>0.56714279999999995</v>
      </c>
      <c r="F3811" t="s">
        <v>42</v>
      </c>
      <c r="G3811">
        <v>-291.62729999999999</v>
      </c>
      <c r="H3811">
        <v>0.88442520000000002</v>
      </c>
      <c r="I3811">
        <v>215.03909999999999</v>
      </c>
      <c r="J3811">
        <v>-292.24250000000001</v>
      </c>
      <c r="K3811">
        <v>1.120425</v>
      </c>
      <c r="L3811">
        <v>215.20490000000001</v>
      </c>
      <c r="M3811">
        <v>0.9999152</v>
      </c>
      <c r="N3811">
        <v>-1.261351E-2</v>
      </c>
      <c r="O3811">
        <v>3.2437719999999998E-3</v>
      </c>
      <c r="P3811">
        <v>0.99575650000000004</v>
      </c>
      <c r="Q3811">
        <v>-9.1913480000000006E-2</v>
      </c>
      <c r="R3811">
        <v>-4.6061069999999999E-3</v>
      </c>
      <c r="S3811">
        <v>2.9399109999999999</v>
      </c>
      <c r="T3811">
        <v>-0.76529369999999997</v>
      </c>
      <c r="U3811">
        <v>-0.53445430000000005</v>
      </c>
      <c r="V3811">
        <v>7.8265499999999998E-3</v>
      </c>
      <c r="W3811">
        <v>-7.9347390000000004E-2</v>
      </c>
      <c r="X3811">
        <v>0.99681629999999999</v>
      </c>
      <c r="Y3811">
        <v>0.17598469999999999</v>
      </c>
      <c r="Z3811">
        <v>-2.4277279999999998E-2</v>
      </c>
      <c r="AA3811">
        <v>0.98409349999999995</v>
      </c>
      <c r="AB3811">
        <v>31</v>
      </c>
      <c r="AC3811">
        <v>0.61520000000001496</v>
      </c>
      <c r="AD3811">
        <v>-0.23599980000000001</v>
      </c>
      <c r="AE3811">
        <v>-0.16580000000001799</v>
      </c>
      <c r="AF3811">
        <v>0.147551481991125</v>
      </c>
      <c r="AG3811">
        <v>-0.23599980000000001</v>
      </c>
      <c r="AH3811">
        <v>0.54050424903910099</v>
      </c>
      <c r="AI3811">
        <v>112.84159756958501</v>
      </c>
      <c r="AJ3811">
        <v>74.730947463600202</v>
      </c>
      <c r="AK3811">
        <v>0.60795739050293696</v>
      </c>
      <c r="AL3811">
        <v>94.551054690731704</v>
      </c>
      <c r="AM3811">
        <v>89.550148739775196</v>
      </c>
      <c r="AN3811">
        <v>0.99999999956520202</v>
      </c>
    </row>
    <row r="3812" spans="1:40" x14ac:dyDescent="0.25">
      <c r="A3812" t="str">
        <f>"20190303154845026"</f>
        <v>20190303154845026</v>
      </c>
      <c r="B3812" t="str">
        <f>"1551599325014788"</f>
        <v>1551599325014788</v>
      </c>
      <c r="C3812" t="s">
        <v>40</v>
      </c>
      <c r="D3812">
        <v>5.3245959999999997</v>
      </c>
      <c r="E3812">
        <v>0.56758249999999999</v>
      </c>
      <c r="F3812" t="s">
        <v>42</v>
      </c>
      <c r="G3812">
        <v>-291.351</v>
      </c>
      <c r="H3812">
        <v>0.88760699999999904</v>
      </c>
      <c r="I3812">
        <v>215.0402</v>
      </c>
      <c r="J3812">
        <v>-291.9314</v>
      </c>
      <c r="K3812">
        <v>1.1203620000000001</v>
      </c>
      <c r="L3812">
        <v>215.20580000000001</v>
      </c>
      <c r="M3812">
        <v>0.99991920000000001</v>
      </c>
      <c r="N3812">
        <v>-1.231758E-2</v>
      </c>
      <c r="O3812">
        <v>3.1706490000000002E-3</v>
      </c>
      <c r="P3812">
        <v>0.99571779999999999</v>
      </c>
      <c r="Q3812">
        <v>-9.2325019999999994E-2</v>
      </c>
      <c r="R3812">
        <v>-4.7237870000000001E-3</v>
      </c>
      <c r="S3812">
        <v>2.9394529999999999</v>
      </c>
      <c r="T3812">
        <v>-0.76766590000000001</v>
      </c>
      <c r="U3812">
        <v>-0.54267880000000002</v>
      </c>
      <c r="V3812">
        <v>7.8681180000000003E-3</v>
      </c>
      <c r="W3812">
        <v>-8.0054730000000004E-2</v>
      </c>
      <c r="X3812">
        <v>0.99675939999999996</v>
      </c>
      <c r="Y3812">
        <v>0.17849209999999999</v>
      </c>
      <c r="Z3812">
        <v>-2.463688E-2</v>
      </c>
      <c r="AA3812">
        <v>0.98363290000000003</v>
      </c>
      <c r="AB3812">
        <v>31</v>
      </c>
      <c r="AC3812">
        <v>0.58039999999999703</v>
      </c>
      <c r="AD3812">
        <v>-0.23275499999999999</v>
      </c>
      <c r="AE3812">
        <v>-0.16560000000001099</v>
      </c>
      <c r="AF3812">
        <v>0.145762528594824</v>
      </c>
      <c r="AG3812">
        <v>-0.23275499999999999</v>
      </c>
      <c r="AH3812">
        <v>0.50480072166217704</v>
      </c>
      <c r="AI3812">
        <v>113.892624670808</v>
      </c>
      <c r="AJ3812">
        <v>73.893788500177195</v>
      </c>
      <c r="AK3812">
        <v>0.57466979506322702</v>
      </c>
      <c r="AL3812">
        <v>94.591711696035404</v>
      </c>
      <c r="AM3812">
        <v>89.547733795069107</v>
      </c>
      <c r="AN3812">
        <v>0.99999998428229697</v>
      </c>
    </row>
    <row r="3813" spans="1:40" x14ac:dyDescent="0.25">
      <c r="A3813" t="str">
        <f>"20190303154845049"</f>
        <v>20190303154845049</v>
      </c>
      <c r="B3813" t="str">
        <f>"1551599325045044"</f>
        <v>1551599325045044</v>
      </c>
      <c r="C3813" t="s">
        <v>40</v>
      </c>
      <c r="D3813">
        <v>5.2929950000000003</v>
      </c>
      <c r="E3813">
        <v>0.56793039999999995</v>
      </c>
      <c r="F3813" t="s">
        <v>42</v>
      </c>
      <c r="G3813">
        <v>-291.0727</v>
      </c>
      <c r="H3813">
        <v>0.89510820000000002</v>
      </c>
      <c r="I3813">
        <v>215.04599999999999</v>
      </c>
      <c r="J3813">
        <v>-291.60629999999998</v>
      </c>
      <c r="K3813">
        <v>1.1203129999999999</v>
      </c>
      <c r="L3813">
        <v>215.20679999999999</v>
      </c>
      <c r="M3813">
        <v>0.99992309999999995</v>
      </c>
      <c r="N3813">
        <v>-1.202452E-2</v>
      </c>
      <c r="O3813">
        <v>3.0745989999999999E-3</v>
      </c>
      <c r="P3813">
        <v>0.99573639999999997</v>
      </c>
      <c r="Q3813">
        <v>-9.2116829999999997E-2</v>
      </c>
      <c r="R3813">
        <v>-4.8855239999999996E-3</v>
      </c>
      <c r="S3813">
        <v>2.938812</v>
      </c>
      <c r="T3813">
        <v>-0.77096690000000001</v>
      </c>
      <c r="U3813">
        <v>-0.54667659999999996</v>
      </c>
      <c r="V3813">
        <v>7.9310270000000002E-3</v>
      </c>
      <c r="W3813">
        <v>-8.013874E-2</v>
      </c>
      <c r="X3813">
        <v>0.99675210000000003</v>
      </c>
      <c r="Y3813">
        <v>0.17964729999999901</v>
      </c>
      <c r="Z3813">
        <v>-2.4842880000000001E-2</v>
      </c>
      <c r="AA3813">
        <v>0.98341730000000005</v>
      </c>
      <c r="AB3813">
        <v>31</v>
      </c>
      <c r="AC3813">
        <v>0.53359999999997798</v>
      </c>
      <c r="AD3813">
        <v>-0.22520479999999901</v>
      </c>
      <c r="AE3813">
        <v>-0.160799999999994</v>
      </c>
      <c r="AF3813">
        <v>0.13963775952979901</v>
      </c>
      <c r="AG3813">
        <v>-0.22520479999999901</v>
      </c>
      <c r="AH3813">
        <v>0.45826970788409399</v>
      </c>
      <c r="AI3813">
        <v>115.177544080266</v>
      </c>
      <c r="AJ3813">
        <v>73.053680394790703</v>
      </c>
      <c r="AK3813">
        <v>0.52936474286989998</v>
      </c>
      <c r="AL3813">
        <v>94.596540861783595</v>
      </c>
      <c r="AM3813">
        <v>89.544114544889695</v>
      </c>
      <c r="AN3813">
        <v>0.99999993384623398</v>
      </c>
    </row>
    <row r="3814" spans="1:40" x14ac:dyDescent="0.25">
      <c r="A3814" t="str">
        <f>"20190303154845071"</f>
        <v>20190303154845071</v>
      </c>
      <c r="B3814" t="str">
        <f>"1551599325064564"</f>
        <v>1551599325064564</v>
      </c>
      <c r="C3814" t="s">
        <v>40</v>
      </c>
      <c r="D3814">
        <v>5.2546030000000004</v>
      </c>
      <c r="E3814">
        <v>0.56809690000000002</v>
      </c>
      <c r="F3814" t="s">
        <v>42</v>
      </c>
      <c r="G3814">
        <v>-290.79270000000002</v>
      </c>
      <c r="H3814">
        <v>0.90634619999999999</v>
      </c>
      <c r="I3814">
        <v>215.05439999999999</v>
      </c>
      <c r="J3814">
        <v>-291.3109</v>
      </c>
      <c r="K3814">
        <v>1.1202810000000001</v>
      </c>
      <c r="L3814">
        <v>215.20760000000001</v>
      </c>
      <c r="M3814">
        <v>0.99992630000000005</v>
      </c>
      <c r="N3814">
        <v>-1.177217E-2</v>
      </c>
      <c r="O3814">
        <v>2.9734520000000001E-3</v>
      </c>
      <c r="P3814">
        <v>0.99576810000000004</v>
      </c>
      <c r="Q3814">
        <v>-9.1764440000000003E-2</v>
      </c>
      <c r="R3814">
        <v>-5.016576E-3</v>
      </c>
      <c r="S3814">
        <v>2.93866</v>
      </c>
      <c r="T3814">
        <v>-0.77279940000000003</v>
      </c>
      <c r="U3814">
        <v>-0.55020139999999995</v>
      </c>
      <c r="V3814">
        <v>7.9594439999999995E-3</v>
      </c>
      <c r="W3814">
        <v>-8.0037789999999998E-2</v>
      </c>
      <c r="X3814">
        <v>0.99676010000000004</v>
      </c>
      <c r="Y3814">
        <v>0.18064369999999999</v>
      </c>
      <c r="Z3814">
        <v>-2.4982979999999998E-2</v>
      </c>
      <c r="AA3814">
        <v>0.98323119999999997</v>
      </c>
      <c r="AB3814">
        <v>31</v>
      </c>
      <c r="AC3814">
        <v>0.51819999999997801</v>
      </c>
      <c r="AD3814">
        <v>-0.21393479999999901</v>
      </c>
      <c r="AE3814">
        <v>-0.15320000000002601</v>
      </c>
      <c r="AF3814">
        <v>0.13377281840589</v>
      </c>
      <c r="AG3814">
        <v>-0.21393479999999901</v>
      </c>
      <c r="AH3814">
        <v>0.447587592240136</v>
      </c>
      <c r="AI3814">
        <v>114.60572753533199</v>
      </c>
      <c r="AJ3814">
        <v>73.359900591140999</v>
      </c>
      <c r="AK3814">
        <v>0.51380727741305598</v>
      </c>
      <c r="AL3814">
        <v>94.590737684353698</v>
      </c>
      <c r="AM3814">
        <v>89.542484841019601</v>
      </c>
      <c r="AN3814">
        <v>1.00000004876444</v>
      </c>
    </row>
    <row r="3815" spans="1:40" x14ac:dyDescent="0.25">
      <c r="A3815" t="str">
        <f>"20190303154845092"</f>
        <v>20190303154845092</v>
      </c>
      <c r="B3815" t="str">
        <f>"1551599325085064"</f>
        <v>1551599325085064</v>
      </c>
      <c r="C3815" t="s">
        <v>40</v>
      </c>
      <c r="D3815">
        <v>5.2384680000000001</v>
      </c>
      <c r="E3815">
        <v>0.56770410000000004</v>
      </c>
      <c r="F3815" t="s">
        <v>42</v>
      </c>
      <c r="G3815">
        <v>-290.5147</v>
      </c>
      <c r="H3815">
        <v>0.91120619999999997</v>
      </c>
      <c r="I3815">
        <v>215.05779999999999</v>
      </c>
      <c r="J3815">
        <v>-291.01170000000002</v>
      </c>
      <c r="K3815">
        <v>1.120255</v>
      </c>
      <c r="L3815">
        <v>215.20840000000001</v>
      </c>
      <c r="M3815">
        <v>0.99992950000000003</v>
      </c>
      <c r="N3815">
        <v>-1.1526990000000001E-2</v>
      </c>
      <c r="O3815">
        <v>2.861022E-3</v>
      </c>
      <c r="P3815">
        <v>0.99576589999999998</v>
      </c>
      <c r="Q3815">
        <v>-9.1746610000000006E-2</v>
      </c>
      <c r="R3815">
        <v>-5.751043E-3</v>
      </c>
      <c r="S3815">
        <v>2.9388429999999999</v>
      </c>
      <c r="T3815">
        <v>-0.77171230000000002</v>
      </c>
      <c r="U3815">
        <v>-0.55163569999999995</v>
      </c>
      <c r="V3815">
        <v>8.5803340000000002E-3</v>
      </c>
      <c r="W3815">
        <v>-8.026469E-2</v>
      </c>
      <c r="X3815">
        <v>0.99673659999999997</v>
      </c>
      <c r="Y3815">
        <v>0.1810011</v>
      </c>
      <c r="Z3815">
        <v>-2.494627E-2</v>
      </c>
      <c r="AA3815">
        <v>0.98316650000000005</v>
      </c>
      <c r="AB3815">
        <v>31</v>
      </c>
      <c r="AC3815">
        <v>0.49700000000001399</v>
      </c>
      <c r="AD3815">
        <v>-0.20904880000000001</v>
      </c>
      <c r="AE3815">
        <v>-0.15060000000002499</v>
      </c>
      <c r="AF3815">
        <v>0.13082247723691601</v>
      </c>
      <c r="AG3815">
        <v>-0.20904880000000001</v>
      </c>
      <c r="AH3815">
        <v>0.42732228031608599</v>
      </c>
      <c r="AI3815">
        <v>115.069075584942</v>
      </c>
      <c r="AJ3815">
        <v>72.978305562488799</v>
      </c>
      <c r="AK3815">
        <v>0.49337638024776098</v>
      </c>
      <c r="AL3815">
        <v>94.603780530428295</v>
      </c>
      <c r="AM3815">
        <v>89.506785662537794</v>
      </c>
      <c r="AN3815">
        <v>0.999999946185952</v>
      </c>
    </row>
    <row r="3816" spans="1:40" x14ac:dyDescent="0.25">
      <c r="A3816" t="str">
        <f>"20190303154845116"</f>
        <v>20190303154845116</v>
      </c>
      <c r="B3816" t="str">
        <f>"1551599325104581"</f>
        <v>1551599325104581</v>
      </c>
      <c r="C3816" t="s">
        <v>40</v>
      </c>
      <c r="D3816">
        <v>5.2336390000000002</v>
      </c>
      <c r="E3816">
        <v>0.567277699999999</v>
      </c>
      <c r="F3816" t="s">
        <v>42</v>
      </c>
      <c r="G3816">
        <v>-290.23660000000001</v>
      </c>
      <c r="H3816">
        <v>0.91585810000000001</v>
      </c>
      <c r="I3816">
        <v>215.06309999999999</v>
      </c>
      <c r="J3816">
        <v>-290.69889999999998</v>
      </c>
      <c r="K3816">
        <v>1.1202289999999999</v>
      </c>
      <c r="L3816">
        <v>215.20910000000001</v>
      </c>
      <c r="M3816">
        <v>0.99993279999999995</v>
      </c>
      <c r="N3816">
        <v>-1.127035E-2</v>
      </c>
      <c r="O3816">
        <v>2.7375199999999998E-3</v>
      </c>
      <c r="P3816">
        <v>0.99581489999999995</v>
      </c>
      <c r="Q3816">
        <v>-9.1171669999999996E-2</v>
      </c>
      <c r="R3816">
        <v>-6.363446E-3</v>
      </c>
      <c r="S3816">
        <v>2.9381710000000001</v>
      </c>
      <c r="T3816">
        <v>-0.7748005</v>
      </c>
      <c r="U3816">
        <v>-0.55032349999999997</v>
      </c>
      <c r="V3816">
        <v>9.0689440000000007E-3</v>
      </c>
      <c r="W3816">
        <v>-7.9945290000000002E-2</v>
      </c>
      <c r="X3816">
        <v>0.99675800000000003</v>
      </c>
      <c r="Y3816">
        <v>0.1804723</v>
      </c>
      <c r="Z3816">
        <v>-2.492057E-2</v>
      </c>
      <c r="AA3816">
        <v>0.98326429999999998</v>
      </c>
      <c r="AB3816">
        <v>31</v>
      </c>
      <c r="AC3816">
        <v>0.46229999999997001</v>
      </c>
      <c r="AD3816">
        <v>-0.20437089999999999</v>
      </c>
      <c r="AE3816">
        <v>-0.14600000000001501</v>
      </c>
      <c r="AF3816">
        <v>0.12504404912363901</v>
      </c>
      <c r="AG3816">
        <v>-0.20437089999999999</v>
      </c>
      <c r="AH3816">
        <v>0.39220203023007699</v>
      </c>
      <c r="AI3816">
        <v>116.40272717617199</v>
      </c>
      <c r="AJ3816">
        <v>72.316386850045902</v>
      </c>
      <c r="AK3816">
        <v>0.45959320219585398</v>
      </c>
      <c r="AL3816">
        <v>94.585420998217998</v>
      </c>
      <c r="AM3816">
        <v>89.478712106211304</v>
      </c>
      <c r="AN3816">
        <v>1.0000000028512199</v>
      </c>
    </row>
    <row r="3817" spans="1:40" x14ac:dyDescent="0.25">
      <c r="A3817" t="str">
        <f>"20190303154845138"</f>
        <v>20190303154845138</v>
      </c>
      <c r="B3817" t="str">
        <f>"1551599325134837"</f>
        <v>1551599325134837</v>
      </c>
      <c r="C3817" t="s">
        <v>40</v>
      </c>
      <c r="D3817">
        <v>5.1800990000000002</v>
      </c>
      <c r="E3817">
        <v>0.56639280000000003</v>
      </c>
      <c r="F3817" t="s">
        <v>42</v>
      </c>
      <c r="G3817">
        <v>-289.9563</v>
      </c>
      <c r="H3817">
        <v>0.92457449999999997</v>
      </c>
      <c r="I3817">
        <v>215.0702</v>
      </c>
      <c r="J3817">
        <v>-290.38229999999999</v>
      </c>
      <c r="K3817">
        <v>1.120196</v>
      </c>
      <c r="L3817">
        <v>215.2099</v>
      </c>
      <c r="M3817">
        <v>0.99993650000000001</v>
      </c>
      <c r="N3817">
        <v>-1.098186E-2</v>
      </c>
      <c r="O3817">
        <v>2.609189E-3</v>
      </c>
      <c r="P3817">
        <v>0.99591419999999997</v>
      </c>
      <c r="Q3817">
        <v>-9.0044830000000006E-2</v>
      </c>
      <c r="R3817">
        <v>-6.8775709999999999E-3</v>
      </c>
      <c r="S3817">
        <v>2.938202</v>
      </c>
      <c r="T3817">
        <v>-0.77417290000000005</v>
      </c>
      <c r="U3817">
        <v>-0.54838560000000003</v>
      </c>
      <c r="V3817">
        <v>9.4550510000000008E-3</v>
      </c>
      <c r="W3817">
        <v>-7.9105149999999999E-2</v>
      </c>
      <c r="X3817">
        <v>0.99682150000000003</v>
      </c>
      <c r="Y3817">
        <v>0.17976199999999901</v>
      </c>
      <c r="Z3817">
        <v>-2.4750060000000001E-2</v>
      </c>
      <c r="AA3817">
        <v>0.98339869999999996</v>
      </c>
      <c r="AB3817">
        <v>31</v>
      </c>
      <c r="AC3817">
        <v>0.425999999999987</v>
      </c>
      <c r="AD3817">
        <v>-0.195621499999999</v>
      </c>
      <c r="AE3817">
        <v>-0.13970000000000399</v>
      </c>
      <c r="AF3817">
        <v>0.118289454345407</v>
      </c>
      <c r="AG3817">
        <v>-0.195621499999999</v>
      </c>
      <c r="AH3817">
        <v>0.35755714157495</v>
      </c>
      <c r="AI3817">
        <v>117.44823006206801</v>
      </c>
      <c r="AJ3817">
        <v>71.694405048629804</v>
      </c>
      <c r="AK3817">
        <v>0.42439047557978099</v>
      </c>
      <c r="AL3817">
        <v>94.537131308499596</v>
      </c>
      <c r="AM3817">
        <v>89.456554386298905</v>
      </c>
      <c r="AN3817">
        <v>1.0000000628040899</v>
      </c>
    </row>
    <row r="3818" spans="1:40" x14ac:dyDescent="0.25">
      <c r="A3818" t="str">
        <f>"20190303154845162"</f>
        <v>20190303154845162</v>
      </c>
      <c r="B3818" t="str">
        <f>"1551599325154356"</f>
        <v>1551599325154356</v>
      </c>
      <c r="C3818" t="s">
        <v>40</v>
      </c>
      <c r="D3818">
        <v>5.1514259999999998</v>
      </c>
      <c r="E3818">
        <v>0.56615000000000004</v>
      </c>
      <c r="F3818" t="s">
        <v>42</v>
      </c>
      <c r="G3818">
        <v>-289.67450000000002</v>
      </c>
      <c r="H3818">
        <v>0.93506789999999995</v>
      </c>
      <c r="I3818">
        <v>215.07910000000001</v>
      </c>
      <c r="J3818">
        <v>-290.0684</v>
      </c>
      <c r="K3818">
        <v>1.120144</v>
      </c>
      <c r="L3818">
        <v>215.2105</v>
      </c>
      <c r="M3818">
        <v>0.99994050000000001</v>
      </c>
      <c r="N3818">
        <v>-1.0634950000000001E-2</v>
      </c>
      <c r="O3818">
        <v>2.4816299999999999E-3</v>
      </c>
      <c r="P3818">
        <v>0.9959595</v>
      </c>
      <c r="Q3818">
        <v>-8.9522779999999996E-2</v>
      </c>
      <c r="R3818">
        <v>-7.1215360000000004E-3</v>
      </c>
      <c r="S3818">
        <v>2.9389949999999998</v>
      </c>
      <c r="T3818">
        <v>-0.76869270000000001</v>
      </c>
      <c r="U3818">
        <v>-0.54335019999999901</v>
      </c>
      <c r="V3818">
        <v>9.571698E-3</v>
      </c>
      <c r="W3818">
        <v>-7.892855E-2</v>
      </c>
      <c r="X3818">
        <v>0.99683429999999995</v>
      </c>
      <c r="Y3818">
        <v>0.17811399999999999</v>
      </c>
      <c r="Z3818">
        <v>-2.4302649999999999E-2</v>
      </c>
      <c r="AA3818">
        <v>0.98370970000000002</v>
      </c>
      <c r="AB3818">
        <v>31</v>
      </c>
      <c r="AC3818">
        <v>0.39389999999997299</v>
      </c>
      <c r="AD3818">
        <v>-0.18507609999999999</v>
      </c>
      <c r="AE3818">
        <v>-0.131399999999985</v>
      </c>
      <c r="AF3818">
        <v>0.110437852460417</v>
      </c>
      <c r="AG3818">
        <v>-0.18507609999999999</v>
      </c>
      <c r="AH3818">
        <v>0.32834455983657201</v>
      </c>
      <c r="AI3818">
        <v>118.113532459429</v>
      </c>
      <c r="AJ3818">
        <v>71.409765889218804</v>
      </c>
      <c r="AK3818">
        <v>0.39275925453329702</v>
      </c>
      <c r="AL3818">
        <v>94.526981524556902</v>
      </c>
      <c r="AM3818">
        <v>89.449857369120295</v>
      </c>
      <c r="AN3818">
        <v>0.99999997753209702</v>
      </c>
    </row>
    <row r="3819" spans="1:40" x14ac:dyDescent="0.25">
      <c r="A3819" t="str">
        <f>"20190303154845182"</f>
        <v>20190303154845182</v>
      </c>
      <c r="B3819" t="str">
        <f>"1551599325174853"</f>
        <v>1551599325174853</v>
      </c>
      <c r="C3819" t="s">
        <v>40</v>
      </c>
      <c r="D3819">
        <v>5.2389159999999997</v>
      </c>
      <c r="E3819">
        <v>0.56559159999999997</v>
      </c>
      <c r="F3819" t="s">
        <v>42</v>
      </c>
      <c r="G3819">
        <v>-289.13979999999998</v>
      </c>
      <c r="H3819">
        <v>0.87744219999999895</v>
      </c>
      <c r="I3819">
        <v>215.03919999999999</v>
      </c>
      <c r="J3819">
        <v>-289.7663</v>
      </c>
      <c r="K3819">
        <v>1.120079</v>
      </c>
      <c r="L3819">
        <v>215.21119999999999</v>
      </c>
      <c r="M3819">
        <v>0.99994490000000003</v>
      </c>
      <c r="N3819">
        <v>-1.023716E-2</v>
      </c>
      <c r="O3819">
        <v>2.3603029999999998E-3</v>
      </c>
      <c r="P3819">
        <v>0.99603629999999999</v>
      </c>
      <c r="Q3819">
        <v>-8.8692709999999994E-2</v>
      </c>
      <c r="R3819">
        <v>-6.7518789999999997E-3</v>
      </c>
      <c r="S3819">
        <v>2.9392399999999999</v>
      </c>
      <c r="T3819">
        <v>-0.76821980000000001</v>
      </c>
      <c r="U3819">
        <v>-0.54206849999999995</v>
      </c>
      <c r="V3819">
        <v>9.0811199999999998E-3</v>
      </c>
      <c r="W3819">
        <v>-7.84942E-2</v>
      </c>
      <c r="X3819">
        <v>0.99687320000000001</v>
      </c>
      <c r="Y3819">
        <v>0.17760300000000001</v>
      </c>
      <c r="Z3819">
        <v>-2.4154769999999999E-2</v>
      </c>
      <c r="AA3819">
        <v>0.98380570000000001</v>
      </c>
      <c r="AB3819">
        <v>31</v>
      </c>
      <c r="AC3819">
        <v>0.62650000000002104</v>
      </c>
      <c r="AD3819">
        <v>-0.24263680000000001</v>
      </c>
      <c r="AE3819">
        <v>-0.17199999999999699</v>
      </c>
      <c r="AF3819">
        <v>0.15224340791535201</v>
      </c>
      <c r="AG3819">
        <v>-0.24263680000000001</v>
      </c>
      <c r="AH3819">
        <v>0.54945433597278404</v>
      </c>
      <c r="AI3819">
        <v>113.05275832698</v>
      </c>
      <c r="AJ3819">
        <v>74.5129533683765</v>
      </c>
      <c r="AK3819">
        <v>0.61963758705166805</v>
      </c>
      <c r="AL3819">
        <v>94.502017587082605</v>
      </c>
      <c r="AM3819">
        <v>89.478072579992002</v>
      </c>
      <c r="AN3819">
        <v>0.99999999152616703</v>
      </c>
    </row>
    <row r="3820" spans="1:40" x14ac:dyDescent="0.25">
      <c r="A3820" t="str">
        <f>"20190303154845205"</f>
        <v>20190303154845205</v>
      </c>
      <c r="B3820" t="str">
        <f>"1551599325194373"</f>
        <v>1551599325194373</v>
      </c>
      <c r="C3820" t="s">
        <v>40</v>
      </c>
      <c r="D3820">
        <v>5.2146509999999999</v>
      </c>
      <c r="E3820">
        <v>0.56502439999999998</v>
      </c>
      <c r="F3820" t="s">
        <v>42</v>
      </c>
      <c r="G3820">
        <v>-288.85789999999997</v>
      </c>
      <c r="H3820">
        <v>0.88244489999999998</v>
      </c>
      <c r="I3820">
        <v>215.04519999999999</v>
      </c>
      <c r="J3820">
        <v>-289.45429999999999</v>
      </c>
      <c r="K3820">
        <v>1.1200129999999999</v>
      </c>
      <c r="L3820">
        <v>215.21180000000001</v>
      </c>
      <c r="M3820">
        <v>0.99994939999999999</v>
      </c>
      <c r="N3820">
        <v>-9.8093690000000001E-3</v>
      </c>
      <c r="O3820">
        <v>2.2361920000000001E-3</v>
      </c>
      <c r="P3820">
        <v>0.99606079999999997</v>
      </c>
      <c r="Q3820">
        <v>-8.8438569999999994E-2</v>
      </c>
      <c r="R3820">
        <v>-6.4672920000000004E-3</v>
      </c>
      <c r="S3820">
        <v>2.9398499999999999</v>
      </c>
      <c r="T3820">
        <v>-0.76905819999999903</v>
      </c>
      <c r="U3820">
        <v>-0.53622440000000005</v>
      </c>
      <c r="V3820">
        <v>8.672506E-3</v>
      </c>
      <c r="W3820">
        <v>-7.8666169999999994E-2</v>
      </c>
      <c r="X3820">
        <v>0.99686330000000001</v>
      </c>
      <c r="Y3820">
        <v>0.1756199</v>
      </c>
      <c r="Z3820">
        <v>-2.3847E-2</v>
      </c>
      <c r="AA3820">
        <v>0.98416919999999997</v>
      </c>
      <c r="AB3820">
        <v>31</v>
      </c>
      <c r="AC3820">
        <v>0.59640000000001603</v>
      </c>
      <c r="AD3820">
        <v>-0.23756809999999901</v>
      </c>
      <c r="AE3820">
        <v>-0.16660000000001601</v>
      </c>
      <c r="AF3820">
        <v>0.14638705451043399</v>
      </c>
      <c r="AG3820">
        <v>-0.23756809999999901</v>
      </c>
      <c r="AH3820">
        <v>0.51955434366240305</v>
      </c>
      <c r="AI3820">
        <v>113.75514116729001</v>
      </c>
      <c r="AJ3820">
        <v>74.264550228431304</v>
      </c>
      <c r="AK3820">
        <v>0.58974951283093102</v>
      </c>
      <c r="AL3820">
        <v>94.511901226863998</v>
      </c>
      <c r="AM3820">
        <v>89.501551059180699</v>
      </c>
      <c r="AN3820">
        <v>1.00000000877483</v>
      </c>
    </row>
    <row r="3821" spans="1:40" x14ac:dyDescent="0.25">
      <c r="A3821" t="str">
        <f>"20190303154845227"</f>
        <v>20190303154845227</v>
      </c>
      <c r="B3821" t="str">
        <f>"1551599325224629"</f>
        <v>1551599325224629</v>
      </c>
      <c r="C3821" t="s">
        <v>40</v>
      </c>
      <c r="D3821">
        <v>5.1707559999999999</v>
      </c>
      <c r="E3821">
        <v>0.56439799999999996</v>
      </c>
      <c r="F3821" t="s">
        <v>42</v>
      </c>
      <c r="G3821">
        <v>-288.57440000000003</v>
      </c>
      <c r="H3821">
        <v>0.88912939999999996</v>
      </c>
      <c r="I3821">
        <v>215.05279999999999</v>
      </c>
      <c r="J3821">
        <v>-289.1361</v>
      </c>
      <c r="K3821">
        <v>1.1199410000000001</v>
      </c>
      <c r="L3821">
        <v>215.2124</v>
      </c>
      <c r="M3821">
        <v>0.99995400000000001</v>
      </c>
      <c r="N3821">
        <v>-9.3629750000000008E-3</v>
      </c>
      <c r="O3821">
        <v>2.1110669999999999E-3</v>
      </c>
      <c r="P3821">
        <v>0.99608099999999999</v>
      </c>
      <c r="Q3821">
        <v>-8.8231980000000002E-2</v>
      </c>
      <c r="R3821">
        <v>-6.1742069999999897E-3</v>
      </c>
      <c r="S3821">
        <v>2.9399410000000001</v>
      </c>
      <c r="T3821">
        <v>-0.77139349999999995</v>
      </c>
      <c r="U3821">
        <v>-0.530929599999999</v>
      </c>
      <c r="V3821">
        <v>8.2545109999999904E-3</v>
      </c>
      <c r="W3821">
        <v>-7.890432E-2</v>
      </c>
      <c r="X3821">
        <v>0.99684799999999996</v>
      </c>
      <c r="Y3821">
        <v>0.17381340000000001</v>
      </c>
      <c r="Z3821">
        <v>-2.360727E-2</v>
      </c>
      <c r="AA3821">
        <v>0.98449560000000003</v>
      </c>
      <c r="AB3821">
        <v>31</v>
      </c>
      <c r="AC3821">
        <v>0.561699999999973</v>
      </c>
      <c r="AD3821">
        <v>-0.23081160000000001</v>
      </c>
      <c r="AE3821">
        <v>-0.15960000000001101</v>
      </c>
      <c r="AF3821">
        <v>0.13905911910831201</v>
      </c>
      <c r="AG3821">
        <v>-0.23081160000000001</v>
      </c>
      <c r="AH3821">
        <v>0.48550700699620902</v>
      </c>
      <c r="AI3821">
        <v>114.56164473289699</v>
      </c>
      <c r="AJ3821">
        <v>74.017206229239207</v>
      </c>
      <c r="AK3821">
        <v>0.55527334452876198</v>
      </c>
      <c r="AL3821">
        <v>94.525588884791304</v>
      </c>
      <c r="AM3821">
        <v>89.525566753515207</v>
      </c>
      <c r="AN3821">
        <v>0.99999998188525496</v>
      </c>
    </row>
    <row r="3822" spans="1:40" x14ac:dyDescent="0.25">
      <c r="A3822" t="str">
        <f>"20190303154845250"</f>
        <v>20190303154845250</v>
      </c>
      <c r="B3822" t="str">
        <f>"1551599325245125"</f>
        <v>1551599325245125</v>
      </c>
      <c r="C3822" t="s">
        <v>40</v>
      </c>
      <c r="D3822">
        <v>5.1063260000000001</v>
      </c>
      <c r="E3822">
        <v>0.56380739999999996</v>
      </c>
      <c r="F3822" t="s">
        <v>42</v>
      </c>
      <c r="G3822">
        <v>-288.28960000000001</v>
      </c>
      <c r="H3822">
        <v>0.89649029999999996</v>
      </c>
      <c r="I3822">
        <v>215.06100000000001</v>
      </c>
      <c r="J3822">
        <v>-288.82260000000002</v>
      </c>
      <c r="K3822">
        <v>1.119877</v>
      </c>
      <c r="L3822">
        <v>215.21289999999999</v>
      </c>
      <c r="M3822">
        <v>0.99995829999999997</v>
      </c>
      <c r="N3822">
        <v>-8.9236760000000002E-3</v>
      </c>
      <c r="O3822">
        <v>1.9884949999999998E-3</v>
      </c>
      <c r="P3822">
        <v>0.99612639999999997</v>
      </c>
      <c r="Q3822">
        <v>-8.7748140000000002E-2</v>
      </c>
      <c r="R3822">
        <v>-5.7171339999999996E-3</v>
      </c>
      <c r="S3822">
        <v>2.939819</v>
      </c>
      <c r="T3822">
        <v>-0.77599949999999995</v>
      </c>
      <c r="U3822">
        <v>-0.52479549999999997</v>
      </c>
      <c r="V3822">
        <v>7.6753079999999996E-3</v>
      </c>
      <c r="W3822">
        <v>-7.8857880000000005E-2</v>
      </c>
      <c r="X3822">
        <v>0.99685630000000003</v>
      </c>
      <c r="Y3822">
        <v>0.17172279999999901</v>
      </c>
      <c r="Z3822">
        <v>-2.3396340000000002E-2</v>
      </c>
      <c r="AA3822">
        <v>0.98486750000000001</v>
      </c>
      <c r="AB3822">
        <v>31</v>
      </c>
      <c r="AC3822">
        <v>0.53300000000001502</v>
      </c>
      <c r="AD3822">
        <v>-0.22338669999999899</v>
      </c>
      <c r="AE3822">
        <v>-0.151900000000011</v>
      </c>
      <c r="AF3822">
        <v>0.131582693698267</v>
      </c>
      <c r="AG3822">
        <v>-0.22338669999999899</v>
      </c>
      <c r="AH3822">
        <v>0.45824967002653999</v>
      </c>
      <c r="AI3822">
        <v>115.105195470753</v>
      </c>
      <c r="AJ3822">
        <v>73.979008205020804</v>
      </c>
      <c r="AK3822">
        <v>0.52650582437159699</v>
      </c>
      <c r="AL3822">
        <v>94.522919763885696</v>
      </c>
      <c r="AM3822">
        <v>89.558859120322893</v>
      </c>
      <c r="AN3822">
        <v>0.99999997922033901</v>
      </c>
    </row>
    <row r="3823" spans="1:40" x14ac:dyDescent="0.25">
      <c r="A3823" t="str">
        <f>"20190303154845272"</f>
        <v>20190303154845272</v>
      </c>
      <c r="B3823" t="str">
        <f>"1551599325264645"</f>
        <v>1551599325264645</v>
      </c>
      <c r="C3823" t="s">
        <v>40</v>
      </c>
      <c r="D3823">
        <v>5.1641769999999996</v>
      </c>
      <c r="E3823">
        <v>0.56343799999999999</v>
      </c>
      <c r="F3823" t="s">
        <v>42</v>
      </c>
      <c r="G3823">
        <v>-288.00369999999998</v>
      </c>
      <c r="H3823">
        <v>0.90396169999999998</v>
      </c>
      <c r="I3823">
        <v>215.06880000000001</v>
      </c>
      <c r="J3823">
        <v>-288.50659999999999</v>
      </c>
      <c r="K3823">
        <v>1.119812</v>
      </c>
      <c r="L3823">
        <v>215.21340000000001</v>
      </c>
      <c r="M3823">
        <v>0.99996220000000002</v>
      </c>
      <c r="N3823">
        <v>-8.5024829999999999E-3</v>
      </c>
      <c r="O3823">
        <v>1.86575E-3</v>
      </c>
      <c r="P3823">
        <v>0.99612780000000001</v>
      </c>
      <c r="Q3823">
        <v>-8.7689619999999996E-2</v>
      </c>
      <c r="R3823">
        <v>-6.3098249999999998E-3</v>
      </c>
      <c r="S3823">
        <v>2.9403990000000002</v>
      </c>
      <c r="T3823">
        <v>-0.77530790000000005</v>
      </c>
      <c r="U3823">
        <v>-0.51797490000000002</v>
      </c>
      <c r="V3823">
        <v>8.1454479999999996E-3</v>
      </c>
      <c r="W3823">
        <v>-7.9219380000000006E-2</v>
      </c>
      <c r="X3823">
        <v>0.99682389999999998</v>
      </c>
      <c r="Y3823">
        <v>0.16945379999999999</v>
      </c>
      <c r="Z3823">
        <v>-2.3008029999999999E-2</v>
      </c>
      <c r="AA3823">
        <v>0.98526950000000002</v>
      </c>
      <c r="AB3823">
        <v>32</v>
      </c>
      <c r="AC3823">
        <v>0.502900000000011</v>
      </c>
      <c r="AD3823">
        <v>-0.21585029999999999</v>
      </c>
      <c r="AE3823">
        <v>-0.14459999999999601</v>
      </c>
      <c r="AF3823">
        <v>0.12437506365708501</v>
      </c>
      <c r="AG3823">
        <v>-0.21585029999999999</v>
      </c>
      <c r="AH3823">
        <v>0.42954091350144502</v>
      </c>
      <c r="AI3823">
        <v>115.765983409866</v>
      </c>
      <c r="AJ3823">
        <v>73.851443160916006</v>
      </c>
      <c r="AK3823">
        <v>0.49655403013312699</v>
      </c>
      <c r="AL3823">
        <v>94.543697217876201</v>
      </c>
      <c r="AM3823">
        <v>89.531823619399404</v>
      </c>
      <c r="AN3823">
        <v>0.999999973050957</v>
      </c>
    </row>
    <row r="3824" spans="1:40" x14ac:dyDescent="0.25">
      <c r="A3824" t="str">
        <f>"20190303154845293"</f>
        <v>20190303154845293</v>
      </c>
      <c r="B3824" t="str">
        <f>"1551599325285141"</f>
        <v>1551599325285141</v>
      </c>
      <c r="C3824" t="s">
        <v>40</v>
      </c>
      <c r="D3824">
        <v>5.1649240000000001</v>
      </c>
      <c r="E3824">
        <v>0.56309169999999997</v>
      </c>
      <c r="F3824" t="s">
        <v>42</v>
      </c>
      <c r="G3824">
        <v>-287.71690000000001</v>
      </c>
      <c r="H3824">
        <v>0.91093959999999996</v>
      </c>
      <c r="I3824">
        <v>215.0744</v>
      </c>
      <c r="J3824">
        <v>-288.19589999999999</v>
      </c>
      <c r="K3824">
        <v>1.119767</v>
      </c>
      <c r="L3824">
        <v>215.2139</v>
      </c>
      <c r="M3824">
        <v>0.99996549999999995</v>
      </c>
      <c r="N3824">
        <v>-8.1211979999999996E-3</v>
      </c>
      <c r="O3824">
        <v>1.745316E-3</v>
      </c>
      <c r="P3824">
        <v>0.99615620000000005</v>
      </c>
      <c r="Q3824">
        <v>-8.7306380000000003E-2</v>
      </c>
      <c r="R3824">
        <v>-7.0993810000000001E-3</v>
      </c>
      <c r="S3824">
        <v>2.939972</v>
      </c>
      <c r="T3824">
        <v>-0.77767500000000001</v>
      </c>
      <c r="U3824">
        <v>-0.51644899999999905</v>
      </c>
      <c r="V3824">
        <v>8.8149330000000005E-3</v>
      </c>
      <c r="W3824">
        <v>-7.9216229999999999E-2</v>
      </c>
      <c r="X3824">
        <v>0.99681850000000005</v>
      </c>
      <c r="Y3824">
        <v>0.16885939999999999</v>
      </c>
      <c r="Z3824">
        <v>-2.2936189999999999E-2</v>
      </c>
      <c r="AA3824">
        <v>0.98537330000000001</v>
      </c>
      <c r="AB3824">
        <v>32</v>
      </c>
      <c r="AC3824">
        <v>0.47899999999998399</v>
      </c>
      <c r="AD3824">
        <v>-0.208827399999999</v>
      </c>
      <c r="AE3824">
        <v>-0.13949999999999799</v>
      </c>
      <c r="AF3824">
        <v>0.119413850802668</v>
      </c>
      <c r="AG3824">
        <v>-0.208827399999999</v>
      </c>
      <c r="AH3824">
        <v>0.40738046765972102</v>
      </c>
      <c r="AI3824">
        <v>116.193145489397</v>
      </c>
      <c r="AJ3824">
        <v>73.662761544455407</v>
      </c>
      <c r="AK3824">
        <v>0.47310400144675901</v>
      </c>
      <c r="AL3824">
        <v>94.543515962342298</v>
      </c>
      <c r="AM3824">
        <v>89.493342776999896</v>
      </c>
      <c r="AN3824">
        <v>1.00000001804072</v>
      </c>
    </row>
    <row r="3825" spans="1:40" x14ac:dyDescent="0.25">
      <c r="A3825" t="str">
        <f>"20190303154845316"</f>
        <v>20190303154845316</v>
      </c>
      <c r="B3825" t="str">
        <f>"1551599325304661"</f>
        <v>1551599325304661</v>
      </c>
      <c r="C3825" t="s">
        <v>40</v>
      </c>
      <c r="D3825">
        <v>5.1296379999999999</v>
      </c>
      <c r="E3825">
        <v>0.56281789999999998</v>
      </c>
      <c r="F3825" t="s">
        <v>42</v>
      </c>
      <c r="G3825">
        <v>-287.42959999999999</v>
      </c>
      <c r="H3825">
        <v>0.91668249999999996</v>
      </c>
      <c r="I3825">
        <v>215.07929999999999</v>
      </c>
      <c r="J3825">
        <v>-287.87200000000001</v>
      </c>
      <c r="K3825">
        <v>1.1197280000000001</v>
      </c>
      <c r="L3825">
        <v>215.21430000000001</v>
      </c>
      <c r="M3825">
        <v>0.99996859999999999</v>
      </c>
      <c r="N3825">
        <v>-7.7617759999999997E-3</v>
      </c>
      <c r="O3825">
        <v>1.6199539999999901E-3</v>
      </c>
      <c r="P3825">
        <v>0.99617549999999999</v>
      </c>
      <c r="Q3825">
        <v>-8.7009340000000004E-2</v>
      </c>
      <c r="R3825">
        <v>-8.0125390000000008E-3</v>
      </c>
      <c r="S3825">
        <v>2.9396360000000001</v>
      </c>
      <c r="T3825">
        <v>-0.77904759999999995</v>
      </c>
      <c r="U3825">
        <v>-0.51591489999999995</v>
      </c>
      <c r="V3825">
        <v>9.602836E-3</v>
      </c>
      <c r="W3825">
        <v>-7.927758E-2</v>
      </c>
      <c r="X3825">
        <v>0.99680630000000003</v>
      </c>
      <c r="Y3825">
        <v>0.16858129999999999</v>
      </c>
      <c r="Z3825">
        <v>-2.2877930000000001E-2</v>
      </c>
      <c r="AA3825">
        <v>0.98542220000000003</v>
      </c>
      <c r="AB3825">
        <v>32</v>
      </c>
      <c r="AC3825">
        <v>0.44240000000002</v>
      </c>
      <c r="AD3825">
        <v>-0.20304549999999999</v>
      </c>
      <c r="AE3825">
        <v>-0.13500000000001899</v>
      </c>
      <c r="AF3825">
        <v>0.113788997219364</v>
      </c>
      <c r="AG3825">
        <v>-0.20304549999999999</v>
      </c>
      <c r="AH3825">
        <v>0.37073823849075699</v>
      </c>
      <c r="AI3825">
        <v>117.635326638948</v>
      </c>
      <c r="AJ3825">
        <v>72.937417857966594</v>
      </c>
      <c r="AK3825">
        <v>0.43774679032252001</v>
      </c>
      <c r="AL3825">
        <v>94.547042346836406</v>
      </c>
      <c r="AM3825">
        <v>89.448052290232397</v>
      </c>
      <c r="AN3825">
        <v>0.99999997443479405</v>
      </c>
    </row>
    <row r="3826" spans="1:40" x14ac:dyDescent="0.25">
      <c r="A3826" t="str">
        <f>"20190303154845339"</f>
        <v>20190303154845339</v>
      </c>
      <c r="B3826" t="str">
        <f>"1551599325334916"</f>
        <v>1551599325334916</v>
      </c>
      <c r="C3826" t="s">
        <v>40</v>
      </c>
      <c r="D3826">
        <v>5.1251160000000002</v>
      </c>
      <c r="E3826">
        <v>0.56244349999999999</v>
      </c>
      <c r="F3826" t="s">
        <v>42</v>
      </c>
      <c r="G3826">
        <v>-287.13990000000001</v>
      </c>
      <c r="H3826">
        <v>0.9255738</v>
      </c>
      <c r="I3826">
        <v>215.08539999999999</v>
      </c>
      <c r="J3826">
        <v>-287.54730000000001</v>
      </c>
      <c r="K3826">
        <v>1.1197060000000001</v>
      </c>
      <c r="L3826">
        <v>215.21469999999999</v>
      </c>
      <c r="M3826">
        <v>0.99997119999999995</v>
      </c>
      <c r="N3826">
        <v>-7.443425E-3</v>
      </c>
      <c r="O3826">
        <v>1.49431E-3</v>
      </c>
      <c r="P3826">
        <v>0.99617929999999999</v>
      </c>
      <c r="Q3826">
        <v>-8.6862830000000002E-2</v>
      </c>
      <c r="R3826">
        <v>-9.0546559999999995E-3</v>
      </c>
      <c r="S3826">
        <v>2.9393009999999999</v>
      </c>
      <c r="T3826">
        <v>-0.77939759999999902</v>
      </c>
      <c r="U3826">
        <v>-0.51634219999999997</v>
      </c>
      <c r="V3826">
        <v>1.051946E-2</v>
      </c>
      <c r="W3826">
        <v>-7.9448690000000002E-2</v>
      </c>
      <c r="X3826">
        <v>0.99678339999999999</v>
      </c>
      <c r="Y3826">
        <v>0.1686193</v>
      </c>
      <c r="Z3826">
        <v>-2.2836220000000001E-2</v>
      </c>
      <c r="AA3826">
        <v>0.98541670000000003</v>
      </c>
      <c r="AB3826">
        <v>32</v>
      </c>
      <c r="AC3826">
        <v>0.40739999999999499</v>
      </c>
      <c r="AD3826">
        <v>-0.19413219999999901</v>
      </c>
      <c r="AE3826">
        <v>-0.1293</v>
      </c>
      <c r="AF3826">
        <v>0.107692956926789</v>
      </c>
      <c r="AG3826">
        <v>-0.19413219999999901</v>
      </c>
      <c r="AH3826">
        <v>0.337569913882035</v>
      </c>
      <c r="AI3826">
        <v>118.717545753308</v>
      </c>
      <c r="AJ3826">
        <v>72.306060922287401</v>
      </c>
      <c r="AK3826">
        <v>0.404027883699628</v>
      </c>
      <c r="AL3826">
        <v>94.556877361277301</v>
      </c>
      <c r="AM3826">
        <v>89.395356818370104</v>
      </c>
      <c r="AN3826">
        <v>0.99999994994848196</v>
      </c>
    </row>
    <row r="3827" spans="1:40" x14ac:dyDescent="0.25">
      <c r="A3827" t="str">
        <f>"20190303154845363"</f>
        <v>20190303154845363</v>
      </c>
      <c r="B3827" t="str">
        <f>"1551599325354437"</f>
        <v>1551599325354437</v>
      </c>
      <c r="C3827" t="s">
        <v>40</v>
      </c>
      <c r="D3827">
        <v>5.1427069999999997</v>
      </c>
      <c r="E3827">
        <v>0.56220230000000004</v>
      </c>
      <c r="F3827" t="s">
        <v>42</v>
      </c>
      <c r="G3827">
        <v>-286.8492</v>
      </c>
      <c r="H3827">
        <v>0.93361890000000003</v>
      </c>
      <c r="I3827">
        <v>215.09209999999999</v>
      </c>
      <c r="J3827">
        <v>-287.2133</v>
      </c>
      <c r="K3827">
        <v>1.1196900000000001</v>
      </c>
      <c r="L3827">
        <v>215.21510000000001</v>
      </c>
      <c r="M3827">
        <v>0.99997349999999996</v>
      </c>
      <c r="N3827">
        <v>-7.165729E-3</v>
      </c>
      <c r="O3827">
        <v>1.3653039999999999E-3</v>
      </c>
      <c r="P3827">
        <v>0.99621709999999997</v>
      </c>
      <c r="Q3827">
        <v>-8.6295810000000001E-2</v>
      </c>
      <c r="R3827">
        <v>-1.022031E-2</v>
      </c>
      <c r="S3827">
        <v>2.938507</v>
      </c>
      <c r="T3827">
        <v>-0.78334759999999903</v>
      </c>
      <c r="U3827">
        <v>-0.51600649999999904</v>
      </c>
      <c r="V3827">
        <v>1.155693E-2</v>
      </c>
      <c r="W3827">
        <v>-7.9158539999999999E-2</v>
      </c>
      <c r="X3827">
        <v>0.99679510000000004</v>
      </c>
      <c r="Y3827">
        <v>0.1683858</v>
      </c>
      <c r="Z3827">
        <v>-2.2863609999999999E-2</v>
      </c>
      <c r="AA3827">
        <v>0.985456</v>
      </c>
      <c r="AB3827">
        <v>32</v>
      </c>
      <c r="AC3827">
        <v>0.36410000000000697</v>
      </c>
      <c r="AD3827">
        <v>-0.18607109999999999</v>
      </c>
      <c r="AE3827">
        <v>-0.123000000000018</v>
      </c>
      <c r="AF3827">
        <v>0.100045034992195</v>
      </c>
      <c r="AG3827">
        <v>-0.18607109999999999</v>
      </c>
      <c r="AH3827">
        <v>0.29482141678465201</v>
      </c>
      <c r="AI3827">
        <v>120.864990536714</v>
      </c>
      <c r="AJ3827">
        <v>71.255811888714007</v>
      </c>
      <c r="AK3827">
        <v>0.36269978091626898</v>
      </c>
      <c r="AL3827">
        <v>94.540199991742995</v>
      </c>
      <c r="AM3827">
        <v>89.335737459428003</v>
      </c>
      <c r="AN3827">
        <v>1.0000000542349801</v>
      </c>
    </row>
    <row r="3828" spans="1:40" x14ac:dyDescent="0.25">
      <c r="A3828" t="str">
        <f>"20190303154845383"</f>
        <v>20190303154845383</v>
      </c>
      <c r="B3828" t="str">
        <f>"1551599325374932"</f>
        <v>1551599325374932</v>
      </c>
      <c r="C3828" t="s">
        <v>40</v>
      </c>
      <c r="D3828">
        <v>5.1339769999999998</v>
      </c>
      <c r="E3828">
        <v>0.56201060000000003</v>
      </c>
      <c r="F3828" t="s">
        <v>42</v>
      </c>
      <c r="G3828">
        <v>-286.29500000000002</v>
      </c>
      <c r="H3828">
        <v>0.87452109999999905</v>
      </c>
      <c r="I3828">
        <v>215.05330000000001</v>
      </c>
      <c r="J3828">
        <v>-286.89960000000002</v>
      </c>
      <c r="K3828">
        <v>1.1196820000000001</v>
      </c>
      <c r="L3828">
        <v>215.21539999999999</v>
      </c>
      <c r="M3828">
        <v>0.99997510000000001</v>
      </c>
      <c r="N3828">
        <v>-6.9537409999999899E-3</v>
      </c>
      <c r="O3828">
        <v>1.2443059999999999E-3</v>
      </c>
      <c r="P3828">
        <v>0.99621649999999995</v>
      </c>
      <c r="Q3828">
        <v>-8.6235469999999995E-2</v>
      </c>
      <c r="R3828">
        <v>-1.079543E-2</v>
      </c>
      <c r="S3828">
        <v>2.9381409999999999</v>
      </c>
      <c r="T3828">
        <v>-0.78446419999999994</v>
      </c>
      <c r="U3828">
        <v>-0.51763919999999997</v>
      </c>
      <c r="V3828">
        <v>1.2011010000000001E-2</v>
      </c>
      <c r="W3828">
        <v>-7.9309690000000002E-2</v>
      </c>
      <c r="X3828">
        <v>0.99677769999999999</v>
      </c>
      <c r="Y3828">
        <v>0.168796</v>
      </c>
      <c r="Z3828">
        <v>-2.290215E-2</v>
      </c>
      <c r="AA3828">
        <v>0.98538490000000001</v>
      </c>
      <c r="AB3828">
        <v>32</v>
      </c>
      <c r="AC3828">
        <v>0.60460000000000402</v>
      </c>
      <c r="AD3828">
        <v>-0.24516089999999999</v>
      </c>
      <c r="AE3828">
        <v>-0.16209999999998101</v>
      </c>
      <c r="AF3828">
        <v>0.14119346437049499</v>
      </c>
      <c r="AG3828">
        <v>-0.24516089999999999</v>
      </c>
      <c r="AH3828">
        <v>0.52401516679052496</v>
      </c>
      <c r="AI3828">
        <v>114.31058468899199</v>
      </c>
      <c r="AJ3828">
        <v>74.920047366460096</v>
      </c>
      <c r="AK3828">
        <v>0.595509325112759</v>
      </c>
      <c r="AL3828">
        <v>94.548887639176996</v>
      </c>
      <c r="AM3828">
        <v>89.309628540053396</v>
      </c>
      <c r="AN3828">
        <v>1.0000000372532001</v>
      </c>
    </row>
    <row r="3829" spans="1:40" x14ac:dyDescent="0.25">
      <c r="A3829" t="str">
        <f>"20190303154845406"</f>
        <v>20190303154845406</v>
      </c>
      <c r="B3829" t="str">
        <f>"1551599325394453"</f>
        <v>1551599325394453</v>
      </c>
      <c r="C3829" t="s">
        <v>40</v>
      </c>
      <c r="D3829">
        <v>5.1395140000000001</v>
      </c>
      <c r="E3829">
        <v>0.56184029999999996</v>
      </c>
      <c r="F3829" t="s">
        <v>42</v>
      </c>
      <c r="G3829">
        <v>-286.00279999999998</v>
      </c>
      <c r="H3829">
        <v>0.87969419999999898</v>
      </c>
      <c r="I3829">
        <v>215.05719999999999</v>
      </c>
      <c r="J3829">
        <v>-286.57170000000002</v>
      </c>
      <c r="K3829">
        <v>1.1196729999999999</v>
      </c>
      <c r="L3829">
        <v>215.2157</v>
      </c>
      <c r="M3829">
        <v>0.99997659999999999</v>
      </c>
      <c r="N3829">
        <v>-6.7737209999999999E-3</v>
      </c>
      <c r="O3829">
        <v>1.11775E-3</v>
      </c>
      <c r="P3829">
        <v>0.99625249999999999</v>
      </c>
      <c r="Q3829">
        <v>-8.5846679999999995E-2</v>
      </c>
      <c r="R3829">
        <v>-1.055701E-2</v>
      </c>
      <c r="S3829">
        <v>2.9377439999999999</v>
      </c>
      <c r="T3829">
        <v>-0.78616399999999997</v>
      </c>
      <c r="U3829">
        <v>-0.51779169999999997</v>
      </c>
      <c r="V3829">
        <v>1.164655E-2</v>
      </c>
      <c r="W3829">
        <v>-7.9099989999999995E-2</v>
      </c>
      <c r="X3829">
        <v>0.99679859999999998</v>
      </c>
      <c r="Y3829">
        <v>0.16872779999999901</v>
      </c>
      <c r="Z3829">
        <v>-2.289501E-2</v>
      </c>
      <c r="AA3829">
        <v>0.98539670000000001</v>
      </c>
      <c r="AB3829">
        <v>32</v>
      </c>
      <c r="AC3829">
        <v>0.56890000000004104</v>
      </c>
      <c r="AD3829">
        <v>-0.23997879999999999</v>
      </c>
      <c r="AE3829">
        <v>-0.158500000000003</v>
      </c>
      <c r="AF3829">
        <v>0.13658284763453801</v>
      </c>
      <c r="AG3829">
        <v>-0.23997879999999999</v>
      </c>
      <c r="AH3829">
        <v>0.48812230666464002</v>
      </c>
      <c r="AI3829">
        <v>115.335279661908</v>
      </c>
      <c r="AJ3829">
        <v>74.367702395500899</v>
      </c>
      <c r="AK3829">
        <v>0.56081020406284399</v>
      </c>
      <c r="AL3829">
        <v>94.536835246938097</v>
      </c>
      <c r="AM3829">
        <v>89.330589150089395</v>
      </c>
      <c r="AN3829">
        <v>0.99999994975342998</v>
      </c>
    </row>
    <row r="3830" spans="1:40" x14ac:dyDescent="0.25">
      <c r="A3830" t="str">
        <f>"20190303154845428"</f>
        <v>20190303154845428</v>
      </c>
      <c r="B3830" t="str">
        <f>"1551599325424709"</f>
        <v>1551599325424709</v>
      </c>
      <c r="C3830" t="s">
        <v>40</v>
      </c>
      <c r="D3830">
        <v>5.1358480000000002</v>
      </c>
      <c r="E3830">
        <v>0.56152639999999998</v>
      </c>
      <c r="F3830" t="s">
        <v>42</v>
      </c>
      <c r="G3830">
        <v>-285.70830000000001</v>
      </c>
      <c r="H3830">
        <v>0.88855649999999997</v>
      </c>
      <c r="I3830">
        <v>215.0641</v>
      </c>
      <c r="J3830">
        <v>-286.25209999999998</v>
      </c>
      <c r="K3830">
        <v>1.119675</v>
      </c>
      <c r="L3830">
        <v>215.21600000000001</v>
      </c>
      <c r="M3830">
        <v>0.99997760000000002</v>
      </c>
      <c r="N3830">
        <v>-6.637474E-3</v>
      </c>
      <c r="O3830">
        <v>9.9454249999999991E-4</v>
      </c>
      <c r="P3830">
        <v>0.99627330000000003</v>
      </c>
      <c r="Q3830">
        <v>-8.5649890000000006E-2</v>
      </c>
      <c r="R3830">
        <v>-1.01882E-2</v>
      </c>
      <c r="S3830">
        <v>2.9380489999999999</v>
      </c>
      <c r="T3830">
        <v>-0.78643949999999996</v>
      </c>
      <c r="U3830">
        <v>-0.51567079999999998</v>
      </c>
      <c r="V3830">
        <v>1.115508E-2</v>
      </c>
      <c r="W3830">
        <v>-7.9038739999999996E-2</v>
      </c>
      <c r="X3830">
        <v>0.9968091</v>
      </c>
      <c r="Y3830">
        <v>0.16793029999999901</v>
      </c>
      <c r="Z3830">
        <v>-2.2751790000000001E-2</v>
      </c>
      <c r="AA3830">
        <v>0.98553630000000003</v>
      </c>
      <c r="AB3830">
        <v>32</v>
      </c>
      <c r="AC3830">
        <v>0.54379999999997597</v>
      </c>
      <c r="AD3830">
        <v>-0.23111849999999901</v>
      </c>
      <c r="AE3830">
        <v>-0.15189999999998299</v>
      </c>
      <c r="AF3830">
        <v>0.130563904866564</v>
      </c>
      <c r="AG3830">
        <v>-0.23111849999999901</v>
      </c>
      <c r="AH3830">
        <v>0.46562931947684</v>
      </c>
      <c r="AI3830">
        <v>115.54426153482299</v>
      </c>
      <c r="AJ3830">
        <v>74.336338910506797</v>
      </c>
      <c r="AK3830">
        <v>0.53597887780463904</v>
      </c>
      <c r="AL3830">
        <v>94.533314766195701</v>
      </c>
      <c r="AM3830">
        <v>89.358841802764701</v>
      </c>
      <c r="AN3830">
        <v>0.99999997003670105</v>
      </c>
    </row>
    <row r="3831" spans="1:40" x14ac:dyDescent="0.25">
      <c r="A3831" t="str">
        <f>"20190303154845450"</f>
        <v>20190303154845450</v>
      </c>
      <c r="B3831" t="str">
        <f>"1551599325445209"</f>
        <v>1551599325445209</v>
      </c>
      <c r="C3831" t="s">
        <v>40</v>
      </c>
      <c r="D3831">
        <v>5.11937</v>
      </c>
      <c r="E3831">
        <v>0.56134240000000002</v>
      </c>
      <c r="F3831" t="s">
        <v>42</v>
      </c>
      <c r="G3831">
        <v>-285.41390000000001</v>
      </c>
      <c r="H3831">
        <v>0.89470169999999904</v>
      </c>
      <c r="I3831">
        <v>215.06960000000001</v>
      </c>
      <c r="J3831">
        <v>-285.9307</v>
      </c>
      <c r="K3831">
        <v>1.119672</v>
      </c>
      <c r="L3831">
        <v>215.21610000000001</v>
      </c>
      <c r="M3831">
        <v>0.99997840000000005</v>
      </c>
      <c r="N3831">
        <v>-6.5340149999999998E-3</v>
      </c>
      <c r="O3831">
        <v>8.7085549999999998E-4</v>
      </c>
      <c r="P3831">
        <v>0.996255</v>
      </c>
      <c r="Q3831">
        <v>-8.5928829999999998E-2</v>
      </c>
      <c r="R3831">
        <v>-9.6310619999999993E-3</v>
      </c>
      <c r="S3831">
        <v>2.938202</v>
      </c>
      <c r="T3831">
        <v>-0.78861119999999996</v>
      </c>
      <c r="U3831">
        <v>-0.51208500000000001</v>
      </c>
      <c r="V3831">
        <v>1.047412E-2</v>
      </c>
      <c r="W3831">
        <v>-7.9420729999999995E-2</v>
      </c>
      <c r="X3831">
        <v>0.99678619999999996</v>
      </c>
      <c r="Y3831">
        <v>0.1666513</v>
      </c>
      <c r="Z3831">
        <v>-2.2599959999999999E-2</v>
      </c>
      <c r="AA3831">
        <v>0.98575690000000005</v>
      </c>
      <c r="AB3831">
        <v>33</v>
      </c>
      <c r="AC3831">
        <v>0.51679999999998905</v>
      </c>
      <c r="AD3831">
        <v>-0.22497030000000001</v>
      </c>
      <c r="AE3831">
        <v>-0.14650000000000299</v>
      </c>
      <c r="AF3831">
        <v>0.125020935983499</v>
      </c>
      <c r="AG3831">
        <v>-0.22497030000000001</v>
      </c>
      <c r="AH3831">
        <v>0.43957018943336901</v>
      </c>
      <c r="AI3831">
        <v>116.209760197382</v>
      </c>
      <c r="AJ3831">
        <v>74.123382889866093</v>
      </c>
      <c r="AK3831">
        <v>0.50937591399159099</v>
      </c>
      <c r="AL3831">
        <v>94.555269863521204</v>
      </c>
      <c r="AM3831">
        <v>89.397964394066705</v>
      </c>
      <c r="AN3831">
        <v>1.0000000440269701</v>
      </c>
    </row>
    <row r="3832" spans="1:40" x14ac:dyDescent="0.25">
      <c r="A3832" t="str">
        <f>"20190303154845472"</f>
        <v>20190303154845472</v>
      </c>
      <c r="B3832" t="str">
        <f>"1551599325464725"</f>
        <v>1551599325464725</v>
      </c>
      <c r="C3832" t="s">
        <v>40</v>
      </c>
      <c r="D3832">
        <v>5.1064679999999996</v>
      </c>
      <c r="E3832">
        <v>0.5611969</v>
      </c>
      <c r="F3832" t="s">
        <v>42</v>
      </c>
      <c r="G3832">
        <v>-285.11860000000001</v>
      </c>
      <c r="H3832">
        <v>0.90110270000000003</v>
      </c>
      <c r="I3832">
        <v>215.0754</v>
      </c>
      <c r="J3832">
        <v>-285.60640000000001</v>
      </c>
      <c r="K3832">
        <v>1.119667</v>
      </c>
      <c r="L3832">
        <v>215.21629999999999</v>
      </c>
      <c r="M3832">
        <v>0.9999789</v>
      </c>
      <c r="N3832">
        <v>-6.4540049999999996E-3</v>
      </c>
      <c r="O3832">
        <v>7.4607099999999995E-4</v>
      </c>
      <c r="P3832">
        <v>0.99629800000000002</v>
      </c>
      <c r="Q3832">
        <v>-8.5466589999999995E-2</v>
      </c>
      <c r="R3832">
        <v>-9.2440920000000006E-3</v>
      </c>
      <c r="S3832">
        <v>2.9381710000000001</v>
      </c>
      <c r="T3832">
        <v>-0.79071340000000001</v>
      </c>
      <c r="U3832">
        <v>-0.50898739999999998</v>
      </c>
      <c r="V3832">
        <v>9.9631830000000005E-3</v>
      </c>
      <c r="W3832">
        <v>-7.9037850000000007E-2</v>
      </c>
      <c r="X3832">
        <v>0.99682179999999998</v>
      </c>
      <c r="Y3832">
        <v>0.16553470000000001</v>
      </c>
      <c r="Z3832">
        <v>-2.2469840000000001E-2</v>
      </c>
      <c r="AA3832">
        <v>0.98594800000000005</v>
      </c>
      <c r="AB3832">
        <v>33</v>
      </c>
      <c r="AC3832">
        <v>0.48779999999999202</v>
      </c>
      <c r="AD3832">
        <v>-0.21856429999999999</v>
      </c>
      <c r="AE3832">
        <v>-0.14089999999998701</v>
      </c>
      <c r="AF3832">
        <v>0.119179985675911</v>
      </c>
      <c r="AG3832">
        <v>-0.21856429999999999</v>
      </c>
      <c r="AH3832">
        <v>0.41145297181303903</v>
      </c>
      <c r="AI3832">
        <v>117.031945525395</v>
      </c>
      <c r="AJ3832">
        <v>73.846002376536404</v>
      </c>
      <c r="AK3832">
        <v>0.48090307779632901</v>
      </c>
      <c r="AL3832">
        <v>94.533263595590995</v>
      </c>
      <c r="AM3832">
        <v>89.427350677427299</v>
      </c>
      <c r="AN3832">
        <v>0.99999997385167605</v>
      </c>
    </row>
    <row r="3833" spans="1:40" x14ac:dyDescent="0.25">
      <c r="A3833" t="str">
        <f>"20190303154845488"</f>
        <v>20190303154845488</v>
      </c>
      <c r="B3833" t="str">
        <f>"1551599325484246"</f>
        <v>1551599325484246</v>
      </c>
      <c r="C3833" t="s">
        <v>40</v>
      </c>
      <c r="D3833">
        <v>5.1129119999999997</v>
      </c>
      <c r="E3833">
        <v>0.56110700000000002</v>
      </c>
      <c r="F3833" t="s">
        <v>42</v>
      </c>
      <c r="G3833">
        <v>-284.8218</v>
      </c>
      <c r="H3833">
        <v>0.9086071</v>
      </c>
      <c r="I3833">
        <v>215.08080000000001</v>
      </c>
      <c r="J3833">
        <v>-285.37529999999998</v>
      </c>
      <c r="K3833">
        <v>1.1196649999999999</v>
      </c>
      <c r="L3833">
        <v>215.21639999999999</v>
      </c>
      <c r="M3833">
        <v>0.99997930000000002</v>
      </c>
      <c r="N3833">
        <v>-6.4082740000000003E-3</v>
      </c>
      <c r="O3833">
        <v>6.5723140000000001E-4</v>
      </c>
      <c r="P3833">
        <v>0.99626630000000005</v>
      </c>
      <c r="Q3833">
        <v>-8.5869000000000001E-2</v>
      </c>
      <c r="R3833">
        <v>-8.9442500000000008E-3</v>
      </c>
      <c r="S3833">
        <v>2.93866</v>
      </c>
      <c r="T3833">
        <v>-0.79053209999999996</v>
      </c>
      <c r="U3833">
        <v>-0.50703429999999905</v>
      </c>
      <c r="V3833">
        <v>9.5742689999999998E-3</v>
      </c>
      <c r="W3833">
        <v>-7.9485920000000002E-2</v>
      </c>
      <c r="X3833">
        <v>0.99678999999999995</v>
      </c>
      <c r="Y3833">
        <v>0.1648165</v>
      </c>
      <c r="Z3833">
        <v>-2.2339419999999999E-2</v>
      </c>
      <c r="AA3833">
        <v>0.98607120000000004</v>
      </c>
      <c r="AB3833">
        <v>33</v>
      </c>
      <c r="AC3833">
        <v>0.553499999999985</v>
      </c>
      <c r="AD3833">
        <v>-0.21105789999999899</v>
      </c>
      <c r="AE3833">
        <v>-0.13559999999998201</v>
      </c>
      <c r="AF3833">
        <v>0.11956341411150399</v>
      </c>
      <c r="AG3833">
        <v>-0.21105789999999899</v>
      </c>
      <c r="AH3833">
        <v>0.48665675110428103</v>
      </c>
      <c r="AI3833">
        <v>112.83911632633</v>
      </c>
      <c r="AJ3833">
        <v>76.196774360441296</v>
      </c>
      <c r="AK3833">
        <v>0.54376064637097699</v>
      </c>
      <c r="AL3833">
        <v>94.559017062695304</v>
      </c>
      <c r="AM3833">
        <v>89.449685152621001</v>
      </c>
      <c r="AN3833">
        <v>0.99999999110256499</v>
      </c>
    </row>
    <row r="3834" spans="1:40" x14ac:dyDescent="0.25">
      <c r="A3834" t="str">
        <f>"20190303154845501"</f>
        <v>20190303154845501</v>
      </c>
      <c r="B3834" t="str">
        <f>"1551599325494981"</f>
        <v>1551599325494981</v>
      </c>
      <c r="C3834" t="s">
        <v>40</v>
      </c>
      <c r="D3834">
        <v>5.0960260000000002</v>
      </c>
      <c r="E3834">
        <v>0.56105319999999903</v>
      </c>
      <c r="F3834" t="s">
        <v>42</v>
      </c>
      <c r="G3834">
        <v>-284.53339999999997</v>
      </c>
      <c r="H3834">
        <v>0.89249269999999903</v>
      </c>
      <c r="I3834">
        <v>215.07169999999999</v>
      </c>
      <c r="J3834">
        <v>-285.17</v>
      </c>
      <c r="K3834">
        <v>1.1196619999999999</v>
      </c>
      <c r="L3834">
        <v>215.2165</v>
      </c>
      <c r="M3834">
        <v>0.99997959999999997</v>
      </c>
      <c r="N3834">
        <v>-6.3733009999999996E-3</v>
      </c>
      <c r="O3834">
        <v>5.7813020000000001E-4</v>
      </c>
      <c r="P3834">
        <v>0.99629049999999997</v>
      </c>
      <c r="Q3834">
        <v>-8.5596729999999996E-2</v>
      </c>
      <c r="R3834">
        <v>-8.8600439999999992E-3</v>
      </c>
      <c r="S3834">
        <v>2.9383539999999999</v>
      </c>
      <c r="T3834">
        <v>-0.79283019999999904</v>
      </c>
      <c r="U3834">
        <v>-0.50523379999999996</v>
      </c>
      <c r="V3834">
        <v>9.4114769999999997E-3</v>
      </c>
      <c r="W3834">
        <v>-7.9248330000000006E-2</v>
      </c>
      <c r="X3834">
        <v>0.99681050000000004</v>
      </c>
      <c r="Y3834">
        <v>0.16416059999999999</v>
      </c>
      <c r="Z3834">
        <v>-2.2292180000000002E-2</v>
      </c>
      <c r="AA3834">
        <v>0.98618170000000005</v>
      </c>
      <c r="AB3834">
        <v>33</v>
      </c>
      <c r="AC3834">
        <v>0.63660000000004302</v>
      </c>
      <c r="AD3834">
        <v>-0.22716929999999999</v>
      </c>
      <c r="AE3834">
        <v>-0.14480000000000301</v>
      </c>
      <c r="AF3834">
        <v>0.12948988018594601</v>
      </c>
      <c r="AG3834">
        <v>-0.22716929999999999</v>
      </c>
      <c r="AH3834">
        <v>0.56777245554494604</v>
      </c>
      <c r="AI3834">
        <v>111.310244799828</v>
      </c>
      <c r="AJ3834">
        <v>77.152494985002605</v>
      </c>
      <c r="AK3834">
        <v>0.62509125830441603</v>
      </c>
      <c r="AL3834">
        <v>94.545360933165796</v>
      </c>
      <c r="AM3834">
        <v>89.459052760046703</v>
      </c>
      <c r="AN3834">
        <v>1.0000000233086701</v>
      </c>
    </row>
    <row r="3835" spans="1:40" x14ac:dyDescent="0.25">
      <c r="A3835" t="str">
        <f>"20190303154845515"</f>
        <v>20190303154845515</v>
      </c>
      <c r="B3835" t="str">
        <f>"1551599325504741"</f>
        <v>1551599325504741</v>
      </c>
      <c r="C3835" t="s">
        <v>40</v>
      </c>
      <c r="D3835">
        <v>5.0964260000000001</v>
      </c>
      <c r="E3835">
        <v>0.56102280000000004</v>
      </c>
      <c r="F3835" t="s">
        <v>42</v>
      </c>
      <c r="G3835">
        <v>-284.24619999999999</v>
      </c>
      <c r="H3835">
        <v>0.87056469999999897</v>
      </c>
      <c r="I3835">
        <v>215.05770000000001</v>
      </c>
      <c r="J3835">
        <v>-284.96370000000002</v>
      </c>
      <c r="K3835">
        <v>1.119661</v>
      </c>
      <c r="L3835">
        <v>215.2165</v>
      </c>
      <c r="M3835">
        <v>0.99997990000000003</v>
      </c>
      <c r="N3835">
        <v>-6.3447850000000004E-3</v>
      </c>
      <c r="O3835">
        <v>4.9882910000000004E-4</v>
      </c>
      <c r="P3835">
        <v>0.99626899999999996</v>
      </c>
      <c r="Q3835">
        <v>-8.5852310000000001E-2</v>
      </c>
      <c r="R3835">
        <v>-8.8135409999999994E-3</v>
      </c>
      <c r="S3835">
        <v>2.938599</v>
      </c>
      <c r="T3835">
        <v>-0.79241039999999996</v>
      </c>
      <c r="U3835">
        <v>-0.50468440000000003</v>
      </c>
      <c r="V3835">
        <v>9.2855160000000006E-3</v>
      </c>
      <c r="W3835">
        <v>-7.9532430000000001E-2</v>
      </c>
      <c r="X3835">
        <v>0.99678900000000004</v>
      </c>
      <c r="Y3835">
        <v>0.16390869999999999</v>
      </c>
      <c r="Z3835">
        <v>-2.222292E-2</v>
      </c>
      <c r="AA3835">
        <v>0.98622520000000002</v>
      </c>
      <c r="AB3835">
        <v>33</v>
      </c>
      <c r="AC3835">
        <v>0.717500000000029</v>
      </c>
      <c r="AD3835">
        <v>-0.24909629999999999</v>
      </c>
      <c r="AE3835">
        <v>-0.15879999999998501</v>
      </c>
      <c r="AF3835">
        <v>0.14275525391191901</v>
      </c>
      <c r="AG3835">
        <v>-0.24909629999999999</v>
      </c>
      <c r="AH3835">
        <v>0.64348408244053601</v>
      </c>
      <c r="AI3835">
        <v>110.702454321548</v>
      </c>
      <c r="AJ3835">
        <v>77.491660442074306</v>
      </c>
      <c r="AK3835">
        <v>0.70462741470048196</v>
      </c>
      <c r="AL3835">
        <v>94.561690452026099</v>
      </c>
      <c r="AM3835">
        <v>89.466280738341695</v>
      </c>
      <c r="AN3835">
        <v>0.99999996937504498</v>
      </c>
    </row>
    <row r="3836" spans="1:40" x14ac:dyDescent="0.25">
      <c r="A3836" t="str">
        <f>"20190303154845529"</f>
        <v>20190303154845529</v>
      </c>
      <c r="B3836" t="str">
        <f>"1551599325524261"</f>
        <v>1551599325524261</v>
      </c>
      <c r="C3836" t="s">
        <v>40</v>
      </c>
      <c r="D3836">
        <v>5.0678960000000002</v>
      </c>
      <c r="E3836">
        <v>0.56091539999999995</v>
      </c>
      <c r="F3836" t="s">
        <v>42</v>
      </c>
      <c r="G3836">
        <v>-284.22669999999999</v>
      </c>
      <c r="H3836">
        <v>0.92060790000000003</v>
      </c>
      <c r="I3836">
        <v>215.0899</v>
      </c>
      <c r="J3836">
        <v>-284.77140000000003</v>
      </c>
      <c r="K3836">
        <v>1.119656</v>
      </c>
      <c r="L3836">
        <v>215.2166</v>
      </c>
      <c r="M3836">
        <v>0.99997990000000003</v>
      </c>
      <c r="N3836">
        <v>-6.3219039999999997E-3</v>
      </c>
      <c r="O3836">
        <v>4.2475500000000002E-4</v>
      </c>
      <c r="P3836">
        <v>0.99627080000000001</v>
      </c>
      <c r="Q3836">
        <v>-8.585168E-2</v>
      </c>
      <c r="R3836">
        <v>-8.6136040000000004E-3</v>
      </c>
      <c r="S3836">
        <v>2.9383539999999999</v>
      </c>
      <c r="T3836">
        <v>-0.79361579999999998</v>
      </c>
      <c r="U3836">
        <v>-0.50433349999999999</v>
      </c>
      <c r="V3836">
        <v>9.0115549999999992E-3</v>
      </c>
      <c r="W3836">
        <v>-7.9554520000000004E-2</v>
      </c>
      <c r="X3836">
        <v>0.99678979999999995</v>
      </c>
      <c r="Y3836">
        <v>0.16372610000000001</v>
      </c>
      <c r="Z3836">
        <v>-2.2211129999999999E-2</v>
      </c>
      <c r="AA3836">
        <v>0.98625580000000002</v>
      </c>
      <c r="AB3836">
        <v>33</v>
      </c>
      <c r="AC3836">
        <v>0.54470000000003405</v>
      </c>
      <c r="AD3836">
        <v>-0.19904810000000001</v>
      </c>
      <c r="AE3836">
        <v>-0.12669999999999901</v>
      </c>
      <c r="AF3836">
        <v>0.112659362331888</v>
      </c>
      <c r="AG3836">
        <v>-0.19904810000000001</v>
      </c>
      <c r="AH3836">
        <v>0.48340683820970198</v>
      </c>
      <c r="AI3836">
        <v>111.851512714582</v>
      </c>
      <c r="AJ3836">
        <v>76.881217018688105</v>
      </c>
      <c r="AK3836">
        <v>0.534784488614375</v>
      </c>
      <c r="AL3836">
        <v>94.562959918543996</v>
      </c>
      <c r="AM3836">
        <v>89.482027201420905</v>
      </c>
      <c r="AN3836">
        <v>1.0000000175799899</v>
      </c>
    </row>
    <row r="3837" spans="1:40" x14ac:dyDescent="0.25">
      <c r="A3837" t="str">
        <f>"20190303154845545"</f>
        <v>20190303154845545</v>
      </c>
      <c r="B3837" t="str">
        <f>"1551599325534998"</f>
        <v>1551599325534998</v>
      </c>
      <c r="C3837" t="s">
        <v>40</v>
      </c>
      <c r="D3837">
        <v>5.0457020000000004</v>
      </c>
      <c r="E3837">
        <v>0.56086840000000004</v>
      </c>
      <c r="F3837" t="s">
        <v>42</v>
      </c>
      <c r="G3837">
        <v>-283.9402</v>
      </c>
      <c r="H3837">
        <v>0.89485380000000003</v>
      </c>
      <c r="I3837">
        <v>215.07419999999999</v>
      </c>
      <c r="J3837">
        <v>-284.52519999999998</v>
      </c>
      <c r="K3837">
        <v>1.119651</v>
      </c>
      <c r="L3837">
        <v>215.2166</v>
      </c>
      <c r="M3837">
        <v>0.99998019999999999</v>
      </c>
      <c r="N3837">
        <v>-6.2970279999999997E-3</v>
      </c>
      <c r="O3837">
        <v>3.2964639999999998E-4</v>
      </c>
      <c r="P3837">
        <v>0.99626800000000004</v>
      </c>
      <c r="Q3837">
        <v>-8.586531E-2</v>
      </c>
      <c r="R3837">
        <v>-8.7942430000000002E-3</v>
      </c>
      <c r="S3837">
        <v>2.9383539999999999</v>
      </c>
      <c r="T3837">
        <v>-0.79471780000000003</v>
      </c>
      <c r="U3837">
        <v>-0.50294490000000003</v>
      </c>
      <c r="V3837">
        <v>9.0975540000000008E-3</v>
      </c>
      <c r="W3837">
        <v>-7.9592979999999994E-2</v>
      </c>
      <c r="X3837">
        <v>0.9967859</v>
      </c>
      <c r="Y3837">
        <v>0.1631862</v>
      </c>
      <c r="Z3837">
        <v>-2.2141480000000002E-2</v>
      </c>
      <c r="AA3837">
        <v>0.98634679999999997</v>
      </c>
      <c r="AB3837">
        <v>33</v>
      </c>
      <c r="AC3837">
        <v>0.58499999999997898</v>
      </c>
      <c r="AD3837">
        <v>-0.224797199999999</v>
      </c>
      <c r="AE3837">
        <v>-0.14240000000000899</v>
      </c>
      <c r="AF3837">
        <v>0.12514703331176</v>
      </c>
      <c r="AG3837">
        <v>-0.224797199999999</v>
      </c>
      <c r="AH3837">
        <v>0.51338577861809598</v>
      </c>
      <c r="AI3837">
        <v>113.045609836034</v>
      </c>
      <c r="AJ3837">
        <v>76.300308581490199</v>
      </c>
      <c r="AK3837">
        <v>0.57424778516062502</v>
      </c>
      <c r="AL3837">
        <v>94.565170745404103</v>
      </c>
      <c r="AM3837">
        <v>89.477082314884797</v>
      </c>
      <c r="AN3837">
        <v>0.99999996919643597</v>
      </c>
    </row>
    <row r="3838" spans="1:40" x14ac:dyDescent="0.25">
      <c r="A3838" t="str">
        <f>"20190303154845564"</f>
        <v>20190303154845564</v>
      </c>
      <c r="B3838" t="str">
        <f>"1551599325554517"</f>
        <v>1551599325554517</v>
      </c>
      <c r="C3838" t="s">
        <v>40</v>
      </c>
      <c r="D3838">
        <v>4.9615879999999999</v>
      </c>
      <c r="E3838">
        <v>0.56075459999999999</v>
      </c>
      <c r="F3838" t="s">
        <v>42</v>
      </c>
      <c r="G3838">
        <v>-283.64769999999999</v>
      </c>
      <c r="H3838">
        <v>0.88216519999999998</v>
      </c>
      <c r="I3838">
        <v>215.0659</v>
      </c>
      <c r="J3838">
        <v>-284.24900000000002</v>
      </c>
      <c r="K3838">
        <v>1.119642</v>
      </c>
      <c r="L3838">
        <v>215.2166</v>
      </c>
      <c r="M3838">
        <v>0.99998030000000004</v>
      </c>
      <c r="N3838">
        <v>-6.2748959999999899E-3</v>
      </c>
      <c r="O3838">
        <v>2.2350070000000001E-4</v>
      </c>
      <c r="P3838">
        <v>0.9962801</v>
      </c>
      <c r="Q3838">
        <v>-8.569765E-2</v>
      </c>
      <c r="R3838">
        <v>-9.0477690000000006E-3</v>
      </c>
      <c r="S3838">
        <v>2.9382630000000001</v>
      </c>
      <c r="T3838">
        <v>-0.79523339999999998</v>
      </c>
      <c r="U3838">
        <v>-0.50318909999999994</v>
      </c>
      <c r="V3838">
        <v>9.2452750000000007E-3</v>
      </c>
      <c r="W3838">
        <v>-7.9447370000000003E-2</v>
      </c>
      <c r="X3838">
        <v>0.99679620000000002</v>
      </c>
      <c r="Y3838">
        <v>0.16316359999999999</v>
      </c>
      <c r="Z3838">
        <v>-2.2123259999999999E-2</v>
      </c>
      <c r="AA3838">
        <v>0.98635099999999998</v>
      </c>
      <c r="AB3838">
        <v>33</v>
      </c>
      <c r="AC3838">
        <v>0.60130000000003703</v>
      </c>
      <c r="AD3838">
        <v>-0.23747679999999999</v>
      </c>
      <c r="AE3838">
        <v>-0.1507</v>
      </c>
      <c r="AF3838">
        <v>0.13153107858879801</v>
      </c>
      <c r="AG3838">
        <v>-0.23747679999999999</v>
      </c>
      <c r="AH3838">
        <v>0.52431813063071697</v>
      </c>
      <c r="AI3838">
        <v>113.71649145015</v>
      </c>
      <c r="AJ3838">
        <v>75.917325037736305</v>
      </c>
      <c r="AK3838">
        <v>0.59042794419053601</v>
      </c>
      <c r="AL3838">
        <v>94.556801207564305</v>
      </c>
      <c r="AM3838">
        <v>89.468597443430198</v>
      </c>
      <c r="AN3838">
        <v>1.00000001202209</v>
      </c>
    </row>
    <row r="3839" spans="1:40" x14ac:dyDescent="0.25">
      <c r="A3839" t="str">
        <f>"20190303154845584"</f>
        <v>20190303154845584</v>
      </c>
      <c r="B3839" t="str">
        <f>"1551599325575013"</f>
        <v>1551599325575013</v>
      </c>
      <c r="C3839" t="s">
        <v>40</v>
      </c>
      <c r="D3839">
        <v>4.9015810000000002</v>
      </c>
      <c r="E3839">
        <v>0.52473049999999999</v>
      </c>
      <c r="F3839" t="s">
        <v>42</v>
      </c>
      <c r="G3839">
        <v>-283.35129999999998</v>
      </c>
      <c r="H3839">
        <v>0.87695119999999904</v>
      </c>
      <c r="I3839">
        <v>215.06280000000001</v>
      </c>
      <c r="J3839">
        <v>-283.94639999999998</v>
      </c>
      <c r="K3839">
        <v>1.1196330000000001</v>
      </c>
      <c r="L3839">
        <v>215.2165</v>
      </c>
      <c r="M3839">
        <v>0.99998039999999999</v>
      </c>
      <c r="N3839">
        <v>-6.2564710000000004E-3</v>
      </c>
      <c r="O3839">
        <v>1.0673239999999999E-4</v>
      </c>
      <c r="P3839">
        <v>0.99629659999999998</v>
      </c>
      <c r="Q3839">
        <v>-8.5425020000000004E-2</v>
      </c>
      <c r="R3839">
        <v>-9.7761789999999994E-3</v>
      </c>
      <c r="S3839">
        <v>2.9382929999999998</v>
      </c>
      <c r="T3839">
        <v>-0.79436640000000003</v>
      </c>
      <c r="U3839">
        <v>-0.50291439999999998</v>
      </c>
      <c r="V3839">
        <v>9.8573310000000004E-3</v>
      </c>
      <c r="W3839">
        <v>-7.919321E-2</v>
      </c>
      <c r="X3839">
        <v>0.99681059999999999</v>
      </c>
      <c r="Y3839">
        <v>0.1629805</v>
      </c>
      <c r="Z3839">
        <v>-2.2044080000000001E-2</v>
      </c>
      <c r="AA3839">
        <v>0.98638300000000001</v>
      </c>
      <c r="AB3839">
        <v>33</v>
      </c>
      <c r="AC3839">
        <v>0.59510000000000196</v>
      </c>
      <c r="AD3839">
        <v>-0.2426818</v>
      </c>
      <c r="AE3839">
        <v>-0.15369999999998599</v>
      </c>
      <c r="AF3839">
        <v>0.133024786526969</v>
      </c>
      <c r="AG3839">
        <v>-0.2426818</v>
      </c>
      <c r="AH3839">
        <v>0.514822172154206</v>
      </c>
      <c r="AI3839">
        <v>114.531950754276</v>
      </c>
      <c r="AJ3839">
        <v>75.512234790500898</v>
      </c>
      <c r="AK3839">
        <v>0.584492873201514</v>
      </c>
      <c r="AL3839">
        <v>94.542192702795205</v>
      </c>
      <c r="AM3839">
        <v>89.433427920378904</v>
      </c>
      <c r="AN3839">
        <v>1.00000005187845</v>
      </c>
    </row>
    <row r="3840" spans="1:40" x14ac:dyDescent="0.25">
      <c r="A3840" t="str">
        <f>"20190303154845600"</f>
        <v>20190303154845600</v>
      </c>
      <c r="B3840" t="str">
        <f>"1551599325594533"</f>
        <v>1551599325594533</v>
      </c>
      <c r="C3840" t="s">
        <v>40</v>
      </c>
      <c r="D3840">
        <v>4.9238359999999997</v>
      </c>
      <c r="E3840">
        <v>0.52032999999999996</v>
      </c>
      <c r="F3840" t="s">
        <v>42</v>
      </c>
      <c r="G3840">
        <v>-283.0086</v>
      </c>
      <c r="H3840">
        <v>0.97970460000000004</v>
      </c>
      <c r="I3840">
        <v>215.14570000000001</v>
      </c>
      <c r="J3840">
        <v>-283.70209999999997</v>
      </c>
      <c r="K3840">
        <v>1.119631</v>
      </c>
      <c r="L3840">
        <v>215.2165</v>
      </c>
      <c r="M3840">
        <v>0.99998069999999895</v>
      </c>
      <c r="N3840">
        <v>-6.2450279999999997E-3</v>
      </c>
      <c r="O3840" s="1">
        <v>1.270997E-5</v>
      </c>
      <c r="P3840">
        <v>0.99628559999999999</v>
      </c>
      <c r="Q3840">
        <v>-8.5480169999999994E-2</v>
      </c>
      <c r="R3840">
        <v>-1.043263E-2</v>
      </c>
      <c r="S3840">
        <v>2.9709469999999998</v>
      </c>
      <c r="T3840">
        <v>-0.44337149999999997</v>
      </c>
      <c r="U3840">
        <v>-0.2234497</v>
      </c>
      <c r="V3840">
        <v>1.0419889999999999E-2</v>
      </c>
      <c r="W3840">
        <v>-7.9259990000000002E-2</v>
      </c>
      <c r="X3840">
        <v>0.99679949999999995</v>
      </c>
      <c r="Y3840">
        <v>7.416093E-2</v>
      </c>
      <c r="Z3840">
        <v>-5.730649E-3</v>
      </c>
      <c r="AA3840">
        <v>0.99722980000000006</v>
      </c>
      <c r="AB3840">
        <v>33</v>
      </c>
      <c r="AC3840">
        <v>0.69349999999997103</v>
      </c>
      <c r="AD3840">
        <v>-0.13992639999999901</v>
      </c>
      <c r="AE3840">
        <v>-7.07999999999913E-2</v>
      </c>
      <c r="AF3840">
        <v>6.8066381513087998E-2</v>
      </c>
      <c r="AG3840">
        <v>-0.13992639999999901</v>
      </c>
      <c r="AH3840">
        <v>0.66663980519908494</v>
      </c>
      <c r="AI3840">
        <v>101.794594643811</v>
      </c>
      <c r="AJ3840">
        <v>84.170092932283893</v>
      </c>
      <c r="AK3840">
        <v>0.68455902563995097</v>
      </c>
      <c r="AL3840">
        <v>94.546031299747995</v>
      </c>
      <c r="AM3840">
        <v>89.401089210389998</v>
      </c>
      <c r="AN3840">
        <v>0.99999998166132997</v>
      </c>
    </row>
    <row r="3841" spans="1:40" x14ac:dyDescent="0.25">
      <c r="A3841" t="str">
        <f>"20190303154845617"</f>
        <v>20190303154845617</v>
      </c>
      <c r="B3841" t="str">
        <f>"1551599325615029"</f>
        <v>1551599325615029</v>
      </c>
      <c r="C3841" t="s">
        <v>40</v>
      </c>
      <c r="D3841">
        <v>4.8875820000000001</v>
      </c>
      <c r="E3841">
        <v>0.51845659999999905</v>
      </c>
      <c r="F3841" t="s">
        <v>42</v>
      </c>
      <c r="G3841">
        <v>-282.6961</v>
      </c>
      <c r="H3841">
        <v>1.0051099999999999</v>
      </c>
      <c r="I3841">
        <v>215.1516</v>
      </c>
      <c r="J3841">
        <v>-283.4359</v>
      </c>
      <c r="K3841">
        <v>1.1196200000000001</v>
      </c>
      <c r="L3841">
        <v>215.21639999999999</v>
      </c>
      <c r="M3841">
        <v>0.9999806</v>
      </c>
      <c r="N3841">
        <v>-6.2360840000000002E-3</v>
      </c>
      <c r="O3841" s="1">
        <v>-8.9663959999999998E-5</v>
      </c>
      <c r="P3841">
        <v>0.9962432</v>
      </c>
      <c r="Q3841">
        <v>-8.5907170000000005E-2</v>
      </c>
      <c r="R3841">
        <v>-1.093308E-2</v>
      </c>
      <c r="S3841">
        <v>2.9800719999999998</v>
      </c>
      <c r="T3841">
        <v>-0.33927069999999998</v>
      </c>
      <c r="U3841">
        <v>-0.19224550000000001</v>
      </c>
      <c r="V3841">
        <v>1.0818059999999999E-2</v>
      </c>
      <c r="W3841">
        <v>-7.9696320000000001E-2</v>
      </c>
      <c r="X3841">
        <v>0.99676050000000005</v>
      </c>
      <c r="Y3841">
        <v>6.3854079999999994E-2</v>
      </c>
      <c r="Z3841">
        <v>-3.809729E-3</v>
      </c>
      <c r="AA3841">
        <v>0.99795199999999995</v>
      </c>
      <c r="AB3841">
        <v>33</v>
      </c>
      <c r="AC3841">
        <v>0.73980000000000201</v>
      </c>
      <c r="AD3841">
        <v>-0.11451</v>
      </c>
      <c r="AE3841">
        <v>-6.4799999999991004E-2</v>
      </c>
      <c r="AF3841">
        <v>6.3230301087566096E-2</v>
      </c>
      <c r="AG3841">
        <v>-0.11451</v>
      </c>
      <c r="AH3841">
        <v>0.72262467922956697</v>
      </c>
      <c r="AI3841">
        <v>98.970731307933704</v>
      </c>
      <c r="AJ3841">
        <v>84.9993049131851</v>
      </c>
      <c r="AK3841">
        <v>0.73436846208647799</v>
      </c>
      <c r="AL3841">
        <v>94.571110354636403</v>
      </c>
      <c r="AM3841">
        <v>89.378180771417703</v>
      </c>
      <c r="AN3841">
        <v>1.00000001410197</v>
      </c>
    </row>
    <row r="3842" spans="1:40" x14ac:dyDescent="0.25">
      <c r="A3842" t="str">
        <f>"20190303154845636"</f>
        <v>20190303154845636</v>
      </c>
      <c r="B3842" t="str">
        <f>"1551599325624789"</f>
        <v>1551599325624789</v>
      </c>
      <c r="C3842" t="s">
        <v>40</v>
      </c>
      <c r="D3842">
        <v>4.8834179999999998</v>
      </c>
      <c r="E3842">
        <v>0.51779209999999998</v>
      </c>
      <c r="F3842" t="s">
        <v>42</v>
      </c>
      <c r="G3842">
        <v>-282.67669999999998</v>
      </c>
      <c r="H3842">
        <v>1.0448740000000001</v>
      </c>
      <c r="I3842">
        <v>215.17070000000001</v>
      </c>
      <c r="J3842">
        <v>-283.17169999999999</v>
      </c>
      <c r="K3842">
        <v>1.11961</v>
      </c>
      <c r="L3842">
        <v>215.21629999999999</v>
      </c>
      <c r="M3842">
        <v>0.99998069999999895</v>
      </c>
      <c r="N3842">
        <v>-6.2299629999999998E-3</v>
      </c>
      <c r="O3842">
        <v>-1.912137E-4</v>
      </c>
      <c r="P3842">
        <v>0.9962512</v>
      </c>
      <c r="Q3842">
        <v>-8.5783170000000006E-2</v>
      </c>
      <c r="R3842">
        <v>-1.1178799999999999E-2</v>
      </c>
      <c r="S3842">
        <v>2.983978</v>
      </c>
      <c r="T3842">
        <v>-0.29385159999999899</v>
      </c>
      <c r="U3842">
        <v>-0.1793671</v>
      </c>
      <c r="V3842">
        <v>1.0962609999999999E-2</v>
      </c>
      <c r="W3842">
        <v>-7.957844E-2</v>
      </c>
      <c r="X3842">
        <v>0.99676830000000005</v>
      </c>
      <c r="Y3842">
        <v>5.9506589999999998E-2</v>
      </c>
      <c r="Z3842">
        <v>-3.0887380000000002E-3</v>
      </c>
      <c r="AA3842">
        <v>0.99822310000000003</v>
      </c>
      <c r="AB3842">
        <v>33</v>
      </c>
      <c r="AC3842">
        <v>0.49500000000000399</v>
      </c>
      <c r="AD3842">
        <v>-7.47359999999999E-2</v>
      </c>
      <c r="AE3842">
        <v>-4.55999999999789E-2</v>
      </c>
      <c r="AF3842">
        <v>4.4499493912175898E-2</v>
      </c>
      <c r="AG3842">
        <v>-7.47359999999999E-2</v>
      </c>
      <c r="AH3842">
        <v>0.48406701108865502</v>
      </c>
      <c r="AI3842">
        <v>98.740421220125896</v>
      </c>
      <c r="AJ3842">
        <v>84.747654429723895</v>
      </c>
      <c r="AK3842">
        <v>0.491819627382584</v>
      </c>
      <c r="AL3842">
        <v>94.564334985414703</v>
      </c>
      <c r="AM3842">
        <v>89.369877671699598</v>
      </c>
      <c r="AN3842">
        <v>0.999999975407867</v>
      </c>
    </row>
    <row r="3843" spans="1:40" x14ac:dyDescent="0.25">
      <c r="A3843" t="str">
        <f>"20190303154845652"</f>
        <v>20190303154845652</v>
      </c>
      <c r="B3843" t="str">
        <f>"1551599325644309"</f>
        <v>1551599325644309</v>
      </c>
      <c r="C3843" t="s">
        <v>40</v>
      </c>
      <c r="D3843">
        <v>4.8933470000000003</v>
      </c>
      <c r="E3843">
        <v>0.51636759999999904</v>
      </c>
      <c r="F3843" t="s">
        <v>42</v>
      </c>
      <c r="G3843">
        <v>-282.37529999999998</v>
      </c>
      <c r="H3843">
        <v>1.045642</v>
      </c>
      <c r="I3843">
        <v>215.16929999999999</v>
      </c>
      <c r="J3843">
        <v>-282.92469999999997</v>
      </c>
      <c r="K3843">
        <v>1.119602</v>
      </c>
      <c r="L3843">
        <v>215.21610000000001</v>
      </c>
      <c r="M3843">
        <v>0.9999806</v>
      </c>
      <c r="N3843">
        <v>-6.230635E-3</v>
      </c>
      <c r="O3843">
        <v>-2.8622910000000002E-4</v>
      </c>
      <c r="P3843">
        <v>0.99621749999999998</v>
      </c>
      <c r="Q3843">
        <v>-8.6168159999999994E-2</v>
      </c>
      <c r="R3843">
        <v>-1.121803E-2</v>
      </c>
      <c r="S3843">
        <v>2.985474</v>
      </c>
      <c r="T3843">
        <v>-0.27745579999999997</v>
      </c>
      <c r="U3843">
        <v>-0.17503360000000001</v>
      </c>
      <c r="V3843">
        <v>1.0906839999999999E-2</v>
      </c>
      <c r="W3843">
        <v>-7.9962920000000007E-2</v>
      </c>
      <c r="X3843">
        <v>0.99673820000000002</v>
      </c>
      <c r="Y3843">
        <v>5.7977439999999998E-2</v>
      </c>
      <c r="Z3843">
        <v>-2.8424359999999998E-3</v>
      </c>
      <c r="AA3843">
        <v>0.99831380000000003</v>
      </c>
      <c r="AB3843">
        <v>34</v>
      </c>
      <c r="AC3843">
        <v>0.54939999999999101</v>
      </c>
      <c r="AD3843">
        <v>-7.3959999999999998E-2</v>
      </c>
      <c r="AE3843">
        <v>-4.6800000000018799E-2</v>
      </c>
      <c r="AF3843">
        <v>4.5818382011083701E-2</v>
      </c>
      <c r="AG3843">
        <v>-7.3959999999999998E-2</v>
      </c>
      <c r="AH3843">
        <v>0.53970310068877203</v>
      </c>
      <c r="AI3843">
        <v>97.775487088204599</v>
      </c>
      <c r="AJ3843">
        <v>85.1474797568073</v>
      </c>
      <c r="AK3843">
        <v>0.54667068937632701</v>
      </c>
      <c r="AL3843">
        <v>94.586434226024593</v>
      </c>
      <c r="AM3843">
        <v>89.373064101140102</v>
      </c>
      <c r="AN3843">
        <v>1.00000003353647</v>
      </c>
    </row>
    <row r="3844" spans="1:40" x14ac:dyDescent="0.25">
      <c r="A3844" t="str">
        <f>"20190303154845674"</f>
        <v>20190303154845674</v>
      </c>
      <c r="B3844" t="str">
        <f>"1551599325664805"</f>
        <v>1551599325664805</v>
      </c>
      <c r="C3844" t="s">
        <v>40</v>
      </c>
      <c r="D3844">
        <v>4.8551449999999896</v>
      </c>
      <c r="E3844">
        <v>0.51512619999999998</v>
      </c>
      <c r="F3844" t="s">
        <v>42</v>
      </c>
      <c r="G3844">
        <v>-282.07339999999999</v>
      </c>
      <c r="H3844">
        <v>1.0457479999999999</v>
      </c>
      <c r="I3844">
        <v>215.16929999999999</v>
      </c>
      <c r="J3844">
        <v>-282.59559999999999</v>
      </c>
      <c r="K3844">
        <v>1.1195999999999999</v>
      </c>
      <c r="L3844">
        <v>215.2159</v>
      </c>
      <c r="M3844">
        <v>0.99998039999999999</v>
      </c>
      <c r="N3844">
        <v>-6.2656489999999999E-3</v>
      </c>
      <c r="O3844">
        <v>-4.124725E-4</v>
      </c>
      <c r="P3844">
        <v>0.99621380000000004</v>
      </c>
      <c r="Q3844">
        <v>-8.6182949999999994E-2</v>
      </c>
      <c r="R3844">
        <v>-1.144187E-2</v>
      </c>
      <c r="S3844">
        <v>2.9871219999999998</v>
      </c>
      <c r="T3844">
        <v>-0.25919750000000003</v>
      </c>
      <c r="U3844">
        <v>-0.16418460000000001</v>
      </c>
      <c r="V3844">
        <v>1.1004979999999999E-2</v>
      </c>
      <c r="W3844">
        <v>-7.9942899999999997E-2</v>
      </c>
      <c r="X3844">
        <v>0.99673869999999998</v>
      </c>
      <c r="Y3844">
        <v>5.4252769999999999E-2</v>
      </c>
      <c r="Z3844">
        <v>-2.484942E-3</v>
      </c>
      <c r="AA3844">
        <v>0.99852410000000003</v>
      </c>
      <c r="AB3844">
        <v>34</v>
      </c>
      <c r="AC3844">
        <v>0.522199999999998</v>
      </c>
      <c r="AD3844">
        <v>-7.3852000000000001E-2</v>
      </c>
      <c r="AE3844">
        <v>-4.6600000000012097E-2</v>
      </c>
      <c r="AF3844">
        <v>4.5482100091932799E-2</v>
      </c>
      <c r="AG3844">
        <v>-7.3852000000000001E-2</v>
      </c>
      <c r="AH3844">
        <v>0.51205843222416902</v>
      </c>
      <c r="AI3844">
        <v>98.175185873948394</v>
      </c>
      <c r="AJ3844">
        <v>84.924189460170794</v>
      </c>
      <c r="AK3844">
        <v>0.51935207455506105</v>
      </c>
      <c r="AL3844">
        <v>94.585283605021402</v>
      </c>
      <c r="AM3844">
        <v>89.367423690999203</v>
      </c>
      <c r="AN3844">
        <v>1.00000000646145</v>
      </c>
    </row>
    <row r="3845" spans="1:40" x14ac:dyDescent="0.25">
      <c r="A3845" t="str">
        <f>"20190303154845697"</f>
        <v>20190303154845697</v>
      </c>
      <c r="B3845" t="str">
        <f>"1551599325684325"</f>
        <v>1551599325684325</v>
      </c>
      <c r="C3845" t="s">
        <v>40</v>
      </c>
      <c r="D3845">
        <v>4.8712080000000002</v>
      </c>
      <c r="E3845">
        <v>0.51448289999999997</v>
      </c>
      <c r="F3845" t="s">
        <v>42</v>
      </c>
      <c r="G3845">
        <v>-281.76650000000001</v>
      </c>
      <c r="H3845">
        <v>1.050915</v>
      </c>
      <c r="I3845">
        <v>215.17259999999999</v>
      </c>
      <c r="J3845">
        <v>-282.2552</v>
      </c>
      <c r="K3845">
        <v>1.119624</v>
      </c>
      <c r="L3845">
        <v>215.2157</v>
      </c>
      <c r="M3845">
        <v>0.99997939999999996</v>
      </c>
      <c r="N3845">
        <v>-6.4060790000000003E-3</v>
      </c>
      <c r="O3845">
        <v>-5.4228839999999996E-4</v>
      </c>
      <c r="P3845">
        <v>0.99616550000000004</v>
      </c>
      <c r="Q3845">
        <v>-8.6734220000000001E-2</v>
      </c>
      <c r="R3845">
        <v>-1.14751E-2</v>
      </c>
      <c r="S3845">
        <v>2.9881899999999999</v>
      </c>
      <c r="T3845">
        <v>-0.24771109999999999</v>
      </c>
      <c r="U3845">
        <v>-0.15527340000000001</v>
      </c>
      <c r="V3845">
        <v>1.09085E-2</v>
      </c>
      <c r="W3845">
        <v>-8.0354469999999997E-2</v>
      </c>
      <c r="X3845">
        <v>0.99670669999999995</v>
      </c>
      <c r="Y3845">
        <v>5.1163750000000001E-2</v>
      </c>
      <c r="Z3845">
        <v>-2.2385149999999999E-3</v>
      </c>
      <c r="AA3845">
        <v>0.99868769999999996</v>
      </c>
      <c r="AB3845">
        <v>34</v>
      </c>
      <c r="AC3845">
        <v>0.48869999999999397</v>
      </c>
      <c r="AD3845">
        <v>-6.8708999999999895E-2</v>
      </c>
      <c r="AE3845">
        <v>-4.3100000000009603E-2</v>
      </c>
      <c r="AF3845">
        <v>4.2010947325497899E-2</v>
      </c>
      <c r="AG3845">
        <v>-6.8708999999999895E-2</v>
      </c>
      <c r="AH3845">
        <v>0.47932163730567101</v>
      </c>
      <c r="AI3845">
        <v>98.126831892257698</v>
      </c>
      <c r="AJ3845">
        <v>84.991015555610005</v>
      </c>
      <c r="AK3845">
        <v>0.48604020241701701</v>
      </c>
      <c r="AL3845">
        <v>94.608940776919894</v>
      </c>
      <c r="AM3845">
        <v>89.372948875157505</v>
      </c>
      <c r="AN3845">
        <v>1.0000000410230501</v>
      </c>
    </row>
    <row r="3846" spans="1:40" x14ac:dyDescent="0.25">
      <c r="A3846" t="str">
        <f>"20190303154845712"</f>
        <v>20190303154845712</v>
      </c>
      <c r="B3846" t="str">
        <f>"1551599325704822"</f>
        <v>1551599325704822</v>
      </c>
      <c r="C3846" t="s">
        <v>40</v>
      </c>
      <c r="D3846">
        <v>4.8373970000000002</v>
      </c>
      <c r="E3846">
        <v>0.51401560000000002</v>
      </c>
      <c r="F3846" t="s">
        <v>42</v>
      </c>
      <c r="G3846">
        <v>-281.45769999999999</v>
      </c>
      <c r="H3846">
        <v>1.055588</v>
      </c>
      <c r="I3846">
        <v>215.1755</v>
      </c>
      <c r="J3846">
        <v>-282.01909999999998</v>
      </c>
      <c r="K3846">
        <v>1.119675</v>
      </c>
      <c r="L3846">
        <v>215.21549999999999</v>
      </c>
      <c r="M3846">
        <v>0.99997789999999998</v>
      </c>
      <c r="N3846">
        <v>-6.6296389999999997E-3</v>
      </c>
      <c r="O3846">
        <v>-6.3294419999999896E-4</v>
      </c>
      <c r="P3846">
        <v>0.99609250000000005</v>
      </c>
      <c r="Q3846">
        <v>-8.7566480000000002E-2</v>
      </c>
      <c r="R3846">
        <v>-1.1497510000000001E-2</v>
      </c>
      <c r="S3846">
        <v>2.9888919999999999</v>
      </c>
      <c r="T3846">
        <v>-0.23996629999999999</v>
      </c>
      <c r="U3846">
        <v>-0.15032960000000001</v>
      </c>
      <c r="V3846">
        <v>1.0840310000000001E-2</v>
      </c>
      <c r="W3846">
        <v>-8.0964350000000004E-2</v>
      </c>
      <c r="X3846">
        <v>0.99665800000000004</v>
      </c>
      <c r="Y3846">
        <v>4.943032E-2</v>
      </c>
      <c r="Z3846">
        <v>-2.0975759999999999E-3</v>
      </c>
      <c r="AA3846">
        <v>0.99877539999999998</v>
      </c>
      <c r="AB3846">
        <v>34</v>
      </c>
      <c r="AC3846">
        <v>0.56139999999999102</v>
      </c>
      <c r="AD3846">
        <v>-6.4087000000000005E-2</v>
      </c>
      <c r="AE3846">
        <v>-3.9999999999992E-2</v>
      </c>
      <c r="AF3846">
        <v>3.9137208118848903E-2</v>
      </c>
      <c r="AG3846">
        <v>-6.4087000000000005E-2</v>
      </c>
      <c r="AH3846">
        <v>0.55423910907457696</v>
      </c>
      <c r="AI3846">
        <v>96.579613260807406</v>
      </c>
      <c r="AJ3846">
        <v>85.960803244460493</v>
      </c>
      <c r="AK3846">
        <v>0.55930300790905696</v>
      </c>
      <c r="AL3846">
        <v>94.643998960794306</v>
      </c>
      <c r="AM3846">
        <v>89.376837871373596</v>
      </c>
      <c r="AN3846">
        <v>0.99999995362790794</v>
      </c>
    </row>
    <row r="3847" spans="1:40" x14ac:dyDescent="0.25">
      <c r="A3847" t="str">
        <f>"20190303154845731"</f>
        <v>20190303154845731</v>
      </c>
      <c r="B3847" t="str">
        <f>"1551599325724341"</f>
        <v>1551599325724341</v>
      </c>
      <c r="C3847" t="s">
        <v>40</v>
      </c>
      <c r="D3847">
        <v>4.8570760000000002</v>
      </c>
      <c r="E3847">
        <v>0.51348689999999997</v>
      </c>
      <c r="F3847" t="s">
        <v>42</v>
      </c>
      <c r="G3847">
        <v>-281.1592</v>
      </c>
      <c r="H3847">
        <v>1.052076</v>
      </c>
      <c r="I3847">
        <v>215.17310000000001</v>
      </c>
      <c r="J3847">
        <v>-281.73750000000001</v>
      </c>
      <c r="K3847">
        <v>1.1197619999999999</v>
      </c>
      <c r="L3847">
        <v>215.21520000000001</v>
      </c>
      <c r="M3847">
        <v>0.99997499999999995</v>
      </c>
      <c r="N3847">
        <v>-7.0365890000000002E-3</v>
      </c>
      <c r="O3847">
        <v>-7.3907819999999996E-4</v>
      </c>
      <c r="P3847">
        <v>0.99603330000000001</v>
      </c>
      <c r="Q3847">
        <v>-8.829215E-2</v>
      </c>
      <c r="R3847">
        <v>-1.1053220000000001E-2</v>
      </c>
      <c r="S3847">
        <v>2.9894099999999999</v>
      </c>
      <c r="T3847">
        <v>-0.2350826</v>
      </c>
      <c r="U3847">
        <v>-0.14663699999999999</v>
      </c>
      <c r="V3847">
        <v>1.0289939999999999E-2</v>
      </c>
      <c r="W3847">
        <v>-8.1284659999999995E-2</v>
      </c>
      <c r="X3847">
        <v>0.99663780000000002</v>
      </c>
      <c r="Y3847">
        <v>4.809546E-2</v>
      </c>
      <c r="Z3847">
        <v>-2.0038289999999999E-3</v>
      </c>
      <c r="AA3847">
        <v>0.99884070000000003</v>
      </c>
      <c r="AB3847">
        <v>34</v>
      </c>
      <c r="AC3847">
        <v>0.57830000000001203</v>
      </c>
      <c r="AD3847">
        <v>-6.7686000000000093E-2</v>
      </c>
      <c r="AE3847">
        <v>-4.2100000000004897E-2</v>
      </c>
      <c r="AF3847">
        <v>4.1112337034470703E-2</v>
      </c>
      <c r="AG3847">
        <v>-6.7686000000000093E-2</v>
      </c>
      <c r="AH3847">
        <v>0.57055607149686505</v>
      </c>
      <c r="AI3847">
        <v>96.7481383603631</v>
      </c>
      <c r="AJ3847">
        <v>85.878583452001607</v>
      </c>
      <c r="AK3847">
        <v>0.57602591050609098</v>
      </c>
      <c r="AL3847">
        <v>94.6624118854579</v>
      </c>
      <c r="AM3847">
        <v>89.408461945060594</v>
      </c>
      <c r="AN3847">
        <v>0.99999999160267905</v>
      </c>
    </row>
    <row r="3848" spans="1:40" x14ac:dyDescent="0.25">
      <c r="A3848" t="str">
        <f>"20190303154845746"</f>
        <v>20190303154845746</v>
      </c>
      <c r="B3848" t="str">
        <f>"1551599325735078"</f>
        <v>1551599325735078</v>
      </c>
      <c r="C3848" t="s">
        <v>40</v>
      </c>
      <c r="D3848">
        <v>4.84795</v>
      </c>
      <c r="E3848">
        <v>0.51309780000000005</v>
      </c>
      <c r="F3848" t="s">
        <v>42</v>
      </c>
      <c r="G3848">
        <v>-280.85680000000002</v>
      </c>
      <c r="H3848">
        <v>1.0515699999999999</v>
      </c>
      <c r="I3848">
        <v>215.17359999999999</v>
      </c>
      <c r="J3848">
        <v>-281.5138</v>
      </c>
      <c r="K3848">
        <v>1.119848</v>
      </c>
      <c r="L3848">
        <v>215.215</v>
      </c>
      <c r="M3848">
        <v>0.99997199999999997</v>
      </c>
      <c r="N3848">
        <v>-7.4480750000000002E-3</v>
      </c>
      <c r="O3848">
        <v>-8.2230170000000002E-4</v>
      </c>
      <c r="P3848">
        <v>0.99593339999999997</v>
      </c>
      <c r="Q3848">
        <v>-8.9439550000000007E-2</v>
      </c>
      <c r="R3848">
        <v>-1.0829460000000001E-2</v>
      </c>
      <c r="S3848">
        <v>2.9898380000000002</v>
      </c>
      <c r="T3848">
        <v>-0.23152880000000001</v>
      </c>
      <c r="U3848">
        <v>-0.1412659</v>
      </c>
      <c r="V3848">
        <v>9.9829830000000008E-3</v>
      </c>
      <c r="W3848">
        <v>-8.2022600000000001E-2</v>
      </c>
      <c r="X3848">
        <v>0.99658049999999998</v>
      </c>
      <c r="Y3848">
        <v>4.6225179999999998E-2</v>
      </c>
      <c r="Z3848">
        <v>-1.9012289999999999E-3</v>
      </c>
      <c r="AA3848">
        <v>0.99892930000000002</v>
      </c>
      <c r="AB3848">
        <v>34</v>
      </c>
      <c r="AC3848">
        <v>0.65699999999998204</v>
      </c>
      <c r="AD3848">
        <v>-6.8277999999999797E-2</v>
      </c>
      <c r="AE3848">
        <v>-4.1400000000009998E-2</v>
      </c>
      <c r="AF3848">
        <v>4.0424850079097102E-2</v>
      </c>
      <c r="AG3848">
        <v>-6.8277999999999797E-2</v>
      </c>
      <c r="AH3848">
        <v>0.65004103084248499</v>
      </c>
      <c r="AI3848">
        <v>95.984681243522999</v>
      </c>
      <c r="AJ3848">
        <v>86.441464051603603</v>
      </c>
      <c r="AK3848">
        <v>0.65486593709451502</v>
      </c>
      <c r="AL3848">
        <v>94.704834212282293</v>
      </c>
      <c r="AM3848">
        <v>89.426073797224902</v>
      </c>
      <c r="AN3848">
        <v>1.00000002992029</v>
      </c>
    </row>
    <row r="3849" spans="1:40" x14ac:dyDescent="0.25">
      <c r="A3849" t="str">
        <f>"20190303154845764"</f>
        <v>20190303154845764</v>
      </c>
      <c r="B3849" t="str">
        <f>"1551599325754597"</f>
        <v>1551599325754597</v>
      </c>
      <c r="C3849" t="s">
        <v>40</v>
      </c>
      <c r="D3849">
        <v>4.8727159999999996</v>
      </c>
      <c r="E3849">
        <v>0.51305000000000001</v>
      </c>
      <c r="F3849" t="s">
        <v>42</v>
      </c>
      <c r="G3849">
        <v>-280.56020000000001</v>
      </c>
      <c r="H3849">
        <v>1.044762</v>
      </c>
      <c r="I3849">
        <v>215.17089999999999</v>
      </c>
      <c r="J3849">
        <v>-281.238</v>
      </c>
      <c r="K3849">
        <v>1.119953</v>
      </c>
      <c r="L3849">
        <v>215.21459999999999</v>
      </c>
      <c r="M3849">
        <v>0.99996759999999996</v>
      </c>
      <c r="N3849">
        <v>-8.0138220000000003E-3</v>
      </c>
      <c r="O3849">
        <v>-9.2591060000000005E-4</v>
      </c>
      <c r="P3849">
        <v>0.99585999999999997</v>
      </c>
      <c r="Q3849">
        <v>-9.0312240000000002E-2</v>
      </c>
      <c r="R3849">
        <v>-1.0348019999999999E-2</v>
      </c>
      <c r="S3849">
        <v>2.989563</v>
      </c>
      <c r="T3849">
        <v>-0.23551259999999999</v>
      </c>
      <c r="U3849">
        <v>-0.1375275</v>
      </c>
      <c r="V3849">
        <v>9.3982360000000008E-3</v>
      </c>
      <c r="W3849">
        <v>-8.2331779999999993E-2</v>
      </c>
      <c r="X3849">
        <v>0.99656060000000002</v>
      </c>
      <c r="Y3849">
        <v>4.4878330000000001E-2</v>
      </c>
      <c r="Z3849">
        <v>-1.8788990000000001E-3</v>
      </c>
      <c r="AA3849">
        <v>0.99899070000000001</v>
      </c>
      <c r="AB3849">
        <v>34</v>
      </c>
      <c r="AC3849">
        <v>0.67779999999998997</v>
      </c>
      <c r="AD3849">
        <v>-7.5190999999999703E-2</v>
      </c>
      <c r="AE3849">
        <v>-4.3700000000001099E-2</v>
      </c>
      <c r="AF3849">
        <v>4.2550901203427201E-2</v>
      </c>
      <c r="AG3849">
        <v>-7.5190999999999703E-2</v>
      </c>
      <c r="AH3849">
        <v>0.66963355417179604</v>
      </c>
      <c r="AI3849">
        <v>96.393934354540605</v>
      </c>
      <c r="AJ3849">
        <v>86.364110475344006</v>
      </c>
      <c r="AK3849">
        <v>0.67518394719289299</v>
      </c>
      <c r="AL3849">
        <v>94.7226094697333</v>
      </c>
      <c r="AM3849">
        <v>89.459678322782807</v>
      </c>
      <c r="AN3849">
        <v>0.99999993915511798</v>
      </c>
    </row>
    <row r="3850" spans="1:40" x14ac:dyDescent="0.25">
      <c r="A3850" t="str">
        <f>"20190303154845785"</f>
        <v>20190303154845785</v>
      </c>
      <c r="B3850" t="str">
        <f>"1551599325775094"</f>
        <v>1551599325775094</v>
      </c>
      <c r="C3850" t="s">
        <v>40</v>
      </c>
      <c r="D3850">
        <v>4.820614</v>
      </c>
      <c r="E3850">
        <v>0.51293219999999995</v>
      </c>
      <c r="F3850" t="s">
        <v>42</v>
      </c>
      <c r="G3850">
        <v>-280.25880000000001</v>
      </c>
      <c r="H3850">
        <v>1.043533</v>
      </c>
      <c r="I3850">
        <v>215.17009999999999</v>
      </c>
      <c r="J3850">
        <v>-280.91329999999999</v>
      </c>
      <c r="K3850">
        <v>1.120063</v>
      </c>
      <c r="L3850">
        <v>215.21420000000001</v>
      </c>
      <c r="M3850">
        <v>0.99996189999999996</v>
      </c>
      <c r="N3850">
        <v>-8.6782690000000006E-3</v>
      </c>
      <c r="O3850">
        <v>-1.0490689999999999E-3</v>
      </c>
      <c r="P3850">
        <v>0.99574119999999999</v>
      </c>
      <c r="Q3850">
        <v>-9.1667150000000003E-2</v>
      </c>
      <c r="R3850">
        <v>-9.8359280000000007E-3</v>
      </c>
      <c r="S3850">
        <v>2.9898989999999999</v>
      </c>
      <c r="T3850">
        <v>-0.23333119999999999</v>
      </c>
      <c r="U3850">
        <v>-0.13562009999999999</v>
      </c>
      <c r="V3850">
        <v>8.7634299999999991E-3</v>
      </c>
      <c r="W3850">
        <v>-8.3025219999999997E-2</v>
      </c>
      <c r="X3850">
        <v>0.99650890000000003</v>
      </c>
      <c r="Y3850">
        <v>4.4118480000000002E-2</v>
      </c>
      <c r="Z3850">
        <v>-1.8372530000000001E-3</v>
      </c>
      <c r="AA3850">
        <v>0.99902460000000004</v>
      </c>
      <c r="AB3850">
        <v>34</v>
      </c>
      <c r="AC3850">
        <v>0.65449999999998398</v>
      </c>
      <c r="AD3850">
        <v>-7.6529999999999904E-2</v>
      </c>
      <c r="AE3850">
        <v>-4.4100000000014399E-2</v>
      </c>
      <c r="AF3850">
        <v>4.2830387537949703E-2</v>
      </c>
      <c r="AG3850">
        <v>-7.6529999999999904E-2</v>
      </c>
      <c r="AH3850">
        <v>0.64575677620806404</v>
      </c>
      <c r="AI3850">
        <v>96.744038479209706</v>
      </c>
      <c r="AJ3850">
        <v>86.205364749461793</v>
      </c>
      <c r="AK3850">
        <v>0.651684814166543</v>
      </c>
      <c r="AL3850">
        <v>94.762476929303105</v>
      </c>
      <c r="AM3850">
        <v>89.4961463867796</v>
      </c>
      <c r="AN3850">
        <v>0.99999998632031095</v>
      </c>
    </row>
    <row r="3851" spans="1:40" x14ac:dyDescent="0.25">
      <c r="A3851" t="str">
        <f>"20190303154845803"</f>
        <v>20190303154845803</v>
      </c>
      <c r="B3851" t="str">
        <f>"1551599325794614"</f>
        <v>1551599325794614</v>
      </c>
      <c r="C3851" t="s">
        <v>40</v>
      </c>
      <c r="D3851">
        <v>4.7958410000000002</v>
      </c>
      <c r="E3851">
        <v>0.51139860000000004</v>
      </c>
      <c r="F3851" t="s">
        <v>42</v>
      </c>
      <c r="G3851">
        <v>-279.95589999999999</v>
      </c>
      <c r="H3851">
        <v>1.045615</v>
      </c>
      <c r="I3851">
        <v>215.1713</v>
      </c>
      <c r="J3851">
        <v>-280.64789999999999</v>
      </c>
      <c r="K3851">
        <v>1.120136</v>
      </c>
      <c r="L3851">
        <v>215.21379999999999</v>
      </c>
      <c r="M3851">
        <v>0.99995710000000004</v>
      </c>
      <c r="N3851">
        <v>-9.197574E-3</v>
      </c>
      <c r="O3851">
        <v>-1.150175E-3</v>
      </c>
      <c r="P3851">
        <v>0.99568619999999997</v>
      </c>
      <c r="Q3851">
        <v>-9.2261460000000003E-2</v>
      </c>
      <c r="R3851">
        <v>-9.8640039999999991E-3</v>
      </c>
      <c r="S3851">
        <v>2.9901119999999999</v>
      </c>
      <c r="T3851">
        <v>-0.23260410000000001</v>
      </c>
      <c r="U3851">
        <v>-0.13331599999999999</v>
      </c>
      <c r="V3851">
        <v>8.6907960000000006E-3</v>
      </c>
      <c r="W3851">
        <v>-8.3102469999999998E-2</v>
      </c>
      <c r="X3851">
        <v>0.99650309999999998</v>
      </c>
      <c r="Y3851">
        <v>4.3249080000000002E-2</v>
      </c>
      <c r="Z3851">
        <v>-1.7994269999999999E-3</v>
      </c>
      <c r="AA3851">
        <v>0.99906269999999997</v>
      </c>
      <c r="AB3851">
        <v>34</v>
      </c>
      <c r="AC3851">
        <v>0.69200000000000705</v>
      </c>
      <c r="AD3851">
        <v>-7.4521000000000004E-2</v>
      </c>
      <c r="AE3851">
        <v>-4.2499999999989699E-2</v>
      </c>
      <c r="AF3851">
        <v>4.1227696770353803E-2</v>
      </c>
      <c r="AG3851">
        <v>-7.4521000000000004E-2</v>
      </c>
      <c r="AH3851">
        <v>0.68414422942645503</v>
      </c>
      <c r="AI3851">
        <v>96.205314671243599</v>
      </c>
      <c r="AJ3851">
        <v>86.551429146742294</v>
      </c>
      <c r="AK3851">
        <v>0.68942470878226203</v>
      </c>
      <c r="AL3851">
        <v>94.766918362333996</v>
      </c>
      <c r="AM3851">
        <v>89.500319359531602</v>
      </c>
      <c r="AN3851">
        <v>0.99999998938241197</v>
      </c>
    </row>
    <row r="3852" spans="1:40" x14ac:dyDescent="0.25">
      <c r="A3852" t="str">
        <f>"20190303154845820"</f>
        <v>20190303154845820</v>
      </c>
      <c r="B3852" t="str">
        <f>"1551599325815110"</f>
        <v>1551599325815110</v>
      </c>
      <c r="C3852" t="s">
        <v>40</v>
      </c>
      <c r="D3852">
        <v>4.9057559999999896</v>
      </c>
      <c r="E3852">
        <v>0.51210339999999999</v>
      </c>
      <c r="F3852" t="s">
        <v>52</v>
      </c>
      <c r="G3852">
        <v>-240.73490000000001</v>
      </c>
      <c r="H3852" s="1">
        <v>-1.1001479999999999E-6</v>
      </c>
      <c r="I3852">
        <v>213.5737</v>
      </c>
      <c r="J3852">
        <v>-280.38350000000003</v>
      </c>
      <c r="K3852">
        <v>1.120193</v>
      </c>
      <c r="L3852">
        <v>215.21340000000001</v>
      </c>
      <c r="M3852">
        <v>0.99995239999999996</v>
      </c>
      <c r="N3852">
        <v>-9.6885489999999994E-3</v>
      </c>
      <c r="O3852">
        <v>-1.250918E-3</v>
      </c>
      <c r="P3852">
        <v>0.99567269999999997</v>
      </c>
      <c r="Q3852">
        <v>-9.2404539999999993E-2</v>
      </c>
      <c r="R3852">
        <v>-9.8817590000000004E-3</v>
      </c>
      <c r="S3852">
        <v>3.0039669999999998</v>
      </c>
      <c r="T3852">
        <v>-8.4304569999999995E-2</v>
      </c>
      <c r="U3852">
        <v>-0.1234436</v>
      </c>
      <c r="V3852">
        <v>8.6085280000000007E-3</v>
      </c>
      <c r="W3852">
        <v>-8.2756389999999999E-2</v>
      </c>
      <c r="X3852">
        <v>0.99653259999999999</v>
      </c>
      <c r="Y3852">
        <v>3.9788080000000003E-2</v>
      </c>
      <c r="Z3852">
        <v>-7.2787950000000002E-4</v>
      </c>
      <c r="AA3852">
        <v>0.99920790000000004</v>
      </c>
      <c r="AB3852">
        <v>34</v>
      </c>
      <c r="AC3852">
        <v>39.648600000000002</v>
      </c>
      <c r="AD3852">
        <v>-1.120194100148</v>
      </c>
      <c r="AE3852">
        <v>-1.6396999999999999</v>
      </c>
      <c r="AF3852">
        <v>1.5888331503809701</v>
      </c>
      <c r="AG3852">
        <v>-1.120194100148</v>
      </c>
      <c r="AH3852">
        <v>39.619048881456898</v>
      </c>
      <c r="AI3852">
        <v>91.618256732418004</v>
      </c>
      <c r="AJ3852">
        <v>87.7035117567317</v>
      </c>
      <c r="AK3852">
        <v>39.666714760275099</v>
      </c>
      <c r="AL3852">
        <v>94.747020969428604</v>
      </c>
      <c r="AM3852">
        <v>89.505063804349305</v>
      </c>
      <c r="AN3852">
        <v>0.99999997485145897</v>
      </c>
    </row>
    <row r="3853" spans="1:40" x14ac:dyDescent="0.25">
      <c r="A3853" t="str">
        <f>"20190303154845834"</f>
        <v>20190303154845834</v>
      </c>
      <c r="B3853" t="str">
        <f>"1551599325824869"</f>
        <v>1551599325824869</v>
      </c>
      <c r="C3853" t="s">
        <v>40</v>
      </c>
      <c r="D3853">
        <v>4.9561019999999996</v>
      </c>
      <c r="E3853">
        <v>0.51066400000000001</v>
      </c>
      <c r="F3853" t="s">
        <v>52</v>
      </c>
      <c r="G3853">
        <v>-223.95269999999999</v>
      </c>
      <c r="H3853" s="1">
        <v>6.46668699999999E-7</v>
      </c>
      <c r="I3853">
        <v>212.78540000000001</v>
      </c>
      <c r="J3853">
        <v>-280.17290000000003</v>
      </c>
      <c r="K3853">
        <v>1.1202289999999999</v>
      </c>
      <c r="L3853">
        <v>215.2131</v>
      </c>
      <c r="M3853">
        <v>0.99994859999999997</v>
      </c>
      <c r="N3853">
        <v>-1.005343E-2</v>
      </c>
      <c r="O3853">
        <v>-1.3303810000000001E-3</v>
      </c>
      <c r="P3853">
        <v>0.99568369999999995</v>
      </c>
      <c r="Q3853">
        <v>-9.2267360000000007E-2</v>
      </c>
      <c r="R3853">
        <v>-1.0034609999999999E-2</v>
      </c>
      <c r="S3853">
        <v>3.006195</v>
      </c>
      <c r="T3853">
        <v>-5.9675220000000001E-2</v>
      </c>
      <c r="U3853">
        <v>-0.12934880000000001</v>
      </c>
      <c r="V3853">
        <v>8.6823490000000007E-3</v>
      </c>
      <c r="W3853">
        <v>-8.2255469999999997E-2</v>
      </c>
      <c r="X3853">
        <v>0.99657340000000005</v>
      </c>
      <c r="Y3853">
        <v>4.1646089999999997E-2</v>
      </c>
      <c r="Z3853">
        <v>-6.0957169999999996E-4</v>
      </c>
      <c r="AA3853">
        <v>0.99913220000000003</v>
      </c>
      <c r="AB3853">
        <v>34</v>
      </c>
      <c r="AC3853">
        <v>56.220199999999998</v>
      </c>
      <c r="AD3853">
        <v>-1.1202283533313</v>
      </c>
      <c r="AE3853">
        <v>-2.4276999999999802</v>
      </c>
      <c r="AF3853">
        <v>2.35196771253116</v>
      </c>
      <c r="AG3853">
        <v>-1.1202283533313</v>
      </c>
      <c r="AH3853">
        <v>56.201107918278097</v>
      </c>
      <c r="AI3853">
        <v>91.140898324748093</v>
      </c>
      <c r="AJ3853">
        <v>87.603619543141605</v>
      </c>
      <c r="AK3853">
        <v>56.261453899862403</v>
      </c>
      <c r="AL3853">
        <v>94.718222327148595</v>
      </c>
      <c r="AM3853">
        <v>89.500840210729905</v>
      </c>
      <c r="AN3853">
        <v>0.99999994355831701</v>
      </c>
    </row>
    <row r="3854" spans="1:40" x14ac:dyDescent="0.25">
      <c r="A3854" t="str">
        <f>"20190303154845853"</f>
        <v>20190303154845853</v>
      </c>
      <c r="B3854" t="str">
        <f>"1551599325844389"</f>
        <v>1551599325844389</v>
      </c>
      <c r="C3854" t="s">
        <v>40</v>
      </c>
      <c r="D3854">
        <v>4.7813840000000001</v>
      </c>
      <c r="E3854">
        <v>0.51094700000000004</v>
      </c>
      <c r="F3854" t="s">
        <v>52</v>
      </c>
      <c r="G3854">
        <v>-235.32910000000001</v>
      </c>
      <c r="H3854" s="1">
        <v>1.3499889999999999E-6</v>
      </c>
      <c r="I3854">
        <v>213.45189999999999</v>
      </c>
      <c r="J3854">
        <v>-279.90289999999999</v>
      </c>
      <c r="K3854">
        <v>1.120274</v>
      </c>
      <c r="L3854">
        <v>215.21260000000001</v>
      </c>
      <c r="M3854">
        <v>0.9999439</v>
      </c>
      <c r="N3854">
        <v>-1.049722E-2</v>
      </c>
      <c r="O3854">
        <v>-1.4320299999999999E-3</v>
      </c>
      <c r="P3854">
        <v>0.99569350000000001</v>
      </c>
      <c r="Q3854">
        <v>-9.2121999999999996E-2</v>
      </c>
      <c r="R3854">
        <v>-1.039021E-2</v>
      </c>
      <c r="S3854">
        <v>3.0048520000000001</v>
      </c>
      <c r="T3854">
        <v>-7.5063229999999995E-2</v>
      </c>
      <c r="U3854">
        <v>-0.11801150000000001</v>
      </c>
      <c r="V3854">
        <v>8.9367639999999998E-3</v>
      </c>
      <c r="W3854">
        <v>-8.1667770000000001E-2</v>
      </c>
      <c r="X3854">
        <v>0.99661949999999999</v>
      </c>
      <c r="Y3854">
        <v>3.7795759999999998E-2</v>
      </c>
      <c r="Z3854">
        <v>-6.4959960000000004E-4</v>
      </c>
      <c r="AA3854">
        <v>0.99928530000000004</v>
      </c>
      <c r="AB3854">
        <v>34</v>
      </c>
      <c r="AC3854">
        <v>44.573799999999899</v>
      </c>
      <c r="AD3854">
        <v>-1.1202726500110001</v>
      </c>
      <c r="AE3854">
        <v>-1.7607000000000099</v>
      </c>
      <c r="AF3854">
        <v>1.6957941516492401</v>
      </c>
      <c r="AG3854">
        <v>-1.1202726500110001</v>
      </c>
      <c r="AH3854">
        <v>44.548180030735097</v>
      </c>
      <c r="AI3854">
        <v>91.439496380455907</v>
      </c>
      <c r="AJ3854">
        <v>87.8200016836863</v>
      </c>
      <c r="AK3854">
        <v>44.594518415001602</v>
      </c>
      <c r="AL3854">
        <v>94.6844358473558</v>
      </c>
      <c r="AM3854">
        <v>89.486238091589797</v>
      </c>
      <c r="AN3854">
        <v>0.99999995909390604</v>
      </c>
    </row>
    <row r="3855" spans="1:40" x14ac:dyDescent="0.25">
      <c r="A3855" t="str">
        <f>"20190303154845869"</f>
        <v>20190303154845869</v>
      </c>
      <c r="B3855" t="str">
        <f>"1551599325864886"</f>
        <v>1551599325864886</v>
      </c>
      <c r="C3855" t="s">
        <v>40</v>
      </c>
      <c r="D3855">
        <v>4.75976</v>
      </c>
      <c r="E3855">
        <v>0.51083149999999999</v>
      </c>
      <c r="F3855" t="s">
        <v>52</v>
      </c>
      <c r="G3855">
        <v>-227.08199999999999</v>
      </c>
      <c r="H3855" s="1">
        <v>2.2991269999999998E-6</v>
      </c>
      <c r="I3855">
        <v>213.07820000000001</v>
      </c>
      <c r="J3855">
        <v>-279.65109999999999</v>
      </c>
      <c r="K3855">
        <v>1.120306</v>
      </c>
      <c r="L3855">
        <v>215.2122</v>
      </c>
      <c r="M3855">
        <v>0.99993960000000004</v>
      </c>
      <c r="N3855">
        <v>-1.088109E-2</v>
      </c>
      <c r="O3855">
        <v>-1.5269999999999999E-3</v>
      </c>
      <c r="P3855">
        <v>0.99569189999999996</v>
      </c>
      <c r="Q3855">
        <v>-9.2120140000000003E-2</v>
      </c>
      <c r="R3855">
        <v>-1.055962E-2</v>
      </c>
      <c r="S3855">
        <v>3.005798</v>
      </c>
      <c r="T3855">
        <v>-6.3749550000000002E-2</v>
      </c>
      <c r="U3855">
        <v>-0.121459999999999</v>
      </c>
      <c r="V3855">
        <v>9.0119080000000008E-3</v>
      </c>
      <c r="W3855">
        <v>-8.1283350000000004E-2</v>
      </c>
      <c r="X3855">
        <v>0.99665029999999999</v>
      </c>
      <c r="Y3855">
        <v>3.8836589999999997E-2</v>
      </c>
      <c r="Z3855">
        <v>-6.072858E-4</v>
      </c>
      <c r="AA3855">
        <v>0.99924539999999995</v>
      </c>
      <c r="AB3855">
        <v>34</v>
      </c>
      <c r="AC3855">
        <v>52.569099999999899</v>
      </c>
      <c r="AD3855">
        <v>-1.1203037008729999</v>
      </c>
      <c r="AE3855">
        <v>-2.1339999999999799</v>
      </c>
      <c r="AF3855">
        <v>2.05278897663981</v>
      </c>
      <c r="AG3855">
        <v>-1.1203037008729999</v>
      </c>
      <c r="AH3855">
        <v>52.548471277919298</v>
      </c>
      <c r="AI3855">
        <v>91.220398055672902</v>
      </c>
      <c r="AJ3855">
        <v>87.762896481528401</v>
      </c>
      <c r="AK3855">
        <v>52.600483425640803</v>
      </c>
      <c r="AL3855">
        <v>94.662336497589394</v>
      </c>
      <c r="AM3855">
        <v>89.481934413584995</v>
      </c>
      <c r="AN3855">
        <v>1.0000000089815499</v>
      </c>
    </row>
    <row r="3856" spans="1:40" x14ac:dyDescent="0.25">
      <c r="A3856" t="str">
        <f>"20190303154845887"</f>
        <v>20190303154845887</v>
      </c>
      <c r="B3856" t="str">
        <f>"1551599325874646"</f>
        <v>1551599325874646</v>
      </c>
      <c r="C3856" t="s">
        <v>40</v>
      </c>
      <c r="D3856">
        <v>4.8144019999999896</v>
      </c>
      <c r="E3856">
        <v>0.51090440000000004</v>
      </c>
      <c r="F3856" t="s">
        <v>52</v>
      </c>
      <c r="G3856">
        <v>-222.48570000000001</v>
      </c>
      <c r="H3856" s="1">
        <v>-1.395456E-7</v>
      </c>
      <c r="I3856">
        <v>212.91300000000001</v>
      </c>
      <c r="J3856">
        <v>-279.3974</v>
      </c>
      <c r="K3856">
        <v>1.120339</v>
      </c>
      <c r="L3856">
        <v>215.21170000000001</v>
      </c>
      <c r="M3856">
        <v>0.99993569999999998</v>
      </c>
      <c r="N3856">
        <v>-1.1238639999999999E-2</v>
      </c>
      <c r="O3856">
        <v>-1.62260299999999E-3</v>
      </c>
      <c r="P3856">
        <v>0.99569770000000002</v>
      </c>
      <c r="Q3856">
        <v>-9.20599E-2</v>
      </c>
      <c r="R3856">
        <v>-1.0552890000000001E-2</v>
      </c>
      <c r="S3856">
        <v>3.0063170000000001</v>
      </c>
      <c r="T3856">
        <v>-5.8916690000000001E-2</v>
      </c>
      <c r="U3856">
        <v>-0.12091059999999999</v>
      </c>
      <c r="V3856">
        <v>8.9102580000000008E-3</v>
      </c>
      <c r="W3856">
        <v>-8.0866590000000002E-2</v>
      </c>
      <c r="X3856">
        <v>0.99668509999999999</v>
      </c>
      <c r="Y3856">
        <v>3.8553339999999998E-2</v>
      </c>
      <c r="Z3856">
        <v>-5.8080429999999997E-4</v>
      </c>
      <c r="AA3856">
        <v>0.99925640000000004</v>
      </c>
      <c r="AB3856">
        <v>34</v>
      </c>
      <c r="AC3856">
        <v>56.911700000000003</v>
      </c>
      <c r="AD3856">
        <v>-1.1203391395455999</v>
      </c>
      <c r="AE3856">
        <v>-2.2987000000000202</v>
      </c>
      <c r="AF3856">
        <v>2.20549277781278</v>
      </c>
      <c r="AG3856">
        <v>-1.1203391395455999</v>
      </c>
      <c r="AH3856">
        <v>56.893343694043203</v>
      </c>
      <c r="AI3856">
        <v>91.1272716007513</v>
      </c>
      <c r="AJ3856">
        <v>87.780018224611595</v>
      </c>
      <c r="AK3856">
        <v>56.947097510488703</v>
      </c>
      <c r="AL3856">
        <v>94.638379113562394</v>
      </c>
      <c r="AM3856">
        <v>89.487795515473493</v>
      </c>
      <c r="AN3856">
        <v>0.99999999331893197</v>
      </c>
    </row>
    <row r="3857" spans="1:40" x14ac:dyDescent="0.25">
      <c r="A3857" t="str">
        <f>"20190303154845902"</f>
        <v>20190303154845902</v>
      </c>
      <c r="B3857" t="str">
        <f>"1551599325895142"</f>
        <v>1551599325895142</v>
      </c>
      <c r="C3857" t="s">
        <v>40</v>
      </c>
      <c r="D3857">
        <v>4.7870379999999999</v>
      </c>
      <c r="E3857">
        <v>0.51072949999999995</v>
      </c>
      <c r="F3857" t="s">
        <v>52</v>
      </c>
      <c r="G3857">
        <v>-219.32220000000001</v>
      </c>
      <c r="H3857" s="1">
        <v>3.5041200000000002E-6</v>
      </c>
      <c r="I3857">
        <v>212.78380000000001</v>
      </c>
      <c r="J3857">
        <v>-279.15320000000003</v>
      </c>
      <c r="K3857">
        <v>1.1203590000000001</v>
      </c>
      <c r="L3857">
        <v>215.21119999999999</v>
      </c>
      <c r="M3857">
        <v>0.99993189999999998</v>
      </c>
      <c r="N3857">
        <v>-1.1555859999999999E-2</v>
      </c>
      <c r="O3857">
        <v>-1.7146900000000001E-3</v>
      </c>
      <c r="P3857">
        <v>0.99568610000000002</v>
      </c>
      <c r="Q3857">
        <v>-9.2171249999999996E-2</v>
      </c>
      <c r="R3857">
        <v>-1.0671999999999999E-2</v>
      </c>
      <c r="S3857">
        <v>3.0065309999999998</v>
      </c>
      <c r="T3857">
        <v>-5.6068420000000001E-2</v>
      </c>
      <c r="U3857">
        <v>-0.12150569999999999</v>
      </c>
      <c r="V3857">
        <v>8.9378469999999901E-3</v>
      </c>
      <c r="W3857">
        <v>-8.0661860000000002E-2</v>
      </c>
      <c r="X3857">
        <v>0.99670150000000002</v>
      </c>
      <c r="Y3857">
        <v>3.8656669999999997E-2</v>
      </c>
      <c r="Z3857">
        <v>-5.7160489999999995E-4</v>
      </c>
      <c r="AA3857">
        <v>0.99925240000000004</v>
      </c>
      <c r="AB3857">
        <v>34</v>
      </c>
      <c r="AC3857">
        <v>59.831000000000003</v>
      </c>
      <c r="AD3857">
        <v>-1.1203554958799999</v>
      </c>
      <c r="AE3857">
        <v>-2.4273999999999698</v>
      </c>
      <c r="AF3857">
        <v>2.3239844390063098</v>
      </c>
      <c r="AG3857">
        <v>-1.1203554958799999</v>
      </c>
      <c r="AH3857">
        <v>59.814135894347899</v>
      </c>
      <c r="AI3857">
        <v>91.072250822043202</v>
      </c>
      <c r="AJ3857">
        <v>87.774981519349197</v>
      </c>
      <c r="AK3857">
        <v>59.869749898403697</v>
      </c>
      <c r="AL3857">
        <v>94.626610238398399</v>
      </c>
      <c r="AM3857">
        <v>89.486218105543998</v>
      </c>
      <c r="AN3857">
        <v>1.00000005043495</v>
      </c>
    </row>
    <row r="3858" spans="1:40" x14ac:dyDescent="0.25">
      <c r="A3858" t="str">
        <f>"20190303154845915"</f>
        <v>20190303154845915</v>
      </c>
      <c r="B3858" t="str">
        <f>"1551599325904902"</f>
        <v>1551599325904902</v>
      </c>
      <c r="C3858" t="s">
        <v>40</v>
      </c>
      <c r="D3858">
        <v>4.8370220000000002</v>
      </c>
      <c r="E3858">
        <v>0.51078859999999904</v>
      </c>
      <c r="F3858" t="s">
        <v>52</v>
      </c>
      <c r="G3858">
        <v>-218.2037</v>
      </c>
      <c r="H3858" s="1">
        <v>2.9094980000000002E-6</v>
      </c>
      <c r="I3858">
        <v>212.77090000000001</v>
      </c>
      <c r="J3858">
        <v>-278.94400000000002</v>
      </c>
      <c r="K3858">
        <v>1.120377</v>
      </c>
      <c r="L3858">
        <v>215.21080000000001</v>
      </c>
      <c r="M3858">
        <v>0.99992879999999995</v>
      </c>
      <c r="N3858">
        <v>-1.1802699999999999E-2</v>
      </c>
      <c r="O3858">
        <v>-1.7940020000000001E-3</v>
      </c>
      <c r="P3858">
        <v>0.99569439999999998</v>
      </c>
      <c r="Q3858">
        <v>-9.2062379999999999E-2</v>
      </c>
      <c r="R3858">
        <v>-1.084745E-2</v>
      </c>
      <c r="S3858">
        <v>3.0065919999999999</v>
      </c>
      <c r="T3858">
        <v>-5.5266379999999997E-2</v>
      </c>
      <c r="U3858">
        <v>-0.1203766</v>
      </c>
      <c r="V3858">
        <v>9.0344210000000008E-3</v>
      </c>
      <c r="W3858">
        <v>-8.0306849999999999E-2</v>
      </c>
      <c r="X3858">
        <v>0.99672930000000004</v>
      </c>
      <c r="Y3858">
        <v>3.8202199999999999E-2</v>
      </c>
      <c r="Z3858">
        <v>-5.6472049999999995E-4</v>
      </c>
      <c r="AA3858">
        <v>0.99926979999999999</v>
      </c>
      <c r="AB3858">
        <v>33</v>
      </c>
      <c r="AC3858">
        <v>60.740299999999998</v>
      </c>
      <c r="AD3858">
        <v>-1.1203740905020001</v>
      </c>
      <c r="AE3858">
        <v>-2.43989999999999</v>
      </c>
      <c r="AF3858">
        <v>2.3301287678223002</v>
      </c>
      <c r="AG3858">
        <v>-1.1203740905020001</v>
      </c>
      <c r="AH3858">
        <v>60.723952921272101</v>
      </c>
      <c r="AI3858">
        <v>91.056226237654499</v>
      </c>
      <c r="AJ3858">
        <v>87.802496899325703</v>
      </c>
      <c r="AK3858">
        <v>60.778970018931403</v>
      </c>
      <c r="AL3858">
        <v>94.606203445069596</v>
      </c>
      <c r="AM3858">
        <v>89.480681446273806</v>
      </c>
      <c r="AN3858">
        <v>1.0000000541991001</v>
      </c>
    </row>
    <row r="3859" spans="1:40" x14ac:dyDescent="0.25">
      <c r="A3859" t="str">
        <f>"20190303154845942"</f>
        <v>20190303154845942</v>
      </c>
      <c r="B3859" t="str">
        <f>"1551599325935170"</f>
        <v>1551599325935170</v>
      </c>
      <c r="C3859" t="s">
        <v>40</v>
      </c>
      <c r="D3859">
        <v>4.7816830000000001</v>
      </c>
      <c r="E3859">
        <v>0.51068159999999996</v>
      </c>
      <c r="F3859" t="s">
        <v>52</v>
      </c>
      <c r="G3859">
        <v>-216.2997</v>
      </c>
      <c r="H3859" s="1">
        <v>1.899961E-6</v>
      </c>
      <c r="I3859">
        <v>212.68620000000001</v>
      </c>
      <c r="J3859">
        <v>-278.55939999999998</v>
      </c>
      <c r="K3859">
        <v>1.120406</v>
      </c>
      <c r="L3859">
        <v>215.2099</v>
      </c>
      <c r="M3859">
        <v>0.99992360000000002</v>
      </c>
      <c r="N3859">
        <v>-1.2212880000000001E-2</v>
      </c>
      <c r="O3859">
        <v>-1.939797E-3</v>
      </c>
      <c r="P3859">
        <v>0.9956777</v>
      </c>
      <c r="Q3859">
        <v>-9.2167029999999997E-2</v>
      </c>
      <c r="R3859">
        <v>-1.145991E-2</v>
      </c>
      <c r="S3859">
        <v>3.0066830000000002</v>
      </c>
      <c r="T3859">
        <v>-5.3773639999999998E-2</v>
      </c>
      <c r="U3859">
        <v>-0.12117</v>
      </c>
      <c r="V3859">
        <v>9.5022930000000002E-3</v>
      </c>
      <c r="W3859">
        <v>-8.0002959999999998E-2</v>
      </c>
      <c r="X3859">
        <v>0.99674929999999995</v>
      </c>
      <c r="Y3859">
        <v>3.8318829999999998E-2</v>
      </c>
      <c r="Z3859">
        <v>-5.6562669999999998E-4</v>
      </c>
      <c r="AA3859">
        <v>0.99926539999999997</v>
      </c>
      <c r="AB3859">
        <v>33</v>
      </c>
      <c r="AC3859">
        <v>62.259699999999903</v>
      </c>
      <c r="AD3859">
        <v>-1.1204041000389999</v>
      </c>
      <c r="AE3859">
        <v>-2.5236999999999901</v>
      </c>
      <c r="AF3859">
        <v>2.4021384304615099</v>
      </c>
      <c r="AG3859">
        <v>-1.1204041000389999</v>
      </c>
      <c r="AH3859">
        <v>62.244354306946803</v>
      </c>
      <c r="AI3859">
        <v>91.030451036825795</v>
      </c>
      <c r="AJ3859">
        <v>87.789934060765106</v>
      </c>
      <c r="AK3859">
        <v>62.300764180507599</v>
      </c>
      <c r="AL3859">
        <v>94.588736027858602</v>
      </c>
      <c r="AM3859">
        <v>89.453799674679601</v>
      </c>
      <c r="AN3859">
        <v>0.99999996711575401</v>
      </c>
    </row>
    <row r="3860" spans="1:40" x14ac:dyDescent="0.25">
      <c r="A3860" t="str">
        <f>"20190303154845965"</f>
        <v>20190303154845965</v>
      </c>
      <c r="B3860" t="str">
        <f>"1551599325954677"</f>
        <v>1551599325954677</v>
      </c>
      <c r="C3860" t="s">
        <v>40</v>
      </c>
      <c r="D3860">
        <v>4.914472</v>
      </c>
      <c r="E3860">
        <v>0.51067629999999997</v>
      </c>
      <c r="F3860" t="s">
        <v>52</v>
      </c>
      <c r="G3860">
        <v>-215.17449999999999</v>
      </c>
      <c r="H3860" s="1">
        <v>1.3038009999999999E-6</v>
      </c>
      <c r="I3860">
        <v>212.62690000000001</v>
      </c>
      <c r="J3860">
        <v>-278.22669999999999</v>
      </c>
      <c r="K3860">
        <v>1.120417</v>
      </c>
      <c r="L3860">
        <v>215.20910000000001</v>
      </c>
      <c r="M3860">
        <v>0.99991960000000002</v>
      </c>
      <c r="N3860">
        <v>-1.2518349999999999E-2</v>
      </c>
      <c r="O3860">
        <v>-2.0661659999999999E-3</v>
      </c>
      <c r="P3860">
        <v>0.99566180000000004</v>
      </c>
      <c r="Q3860">
        <v>-9.232812E-2</v>
      </c>
      <c r="R3860">
        <v>-1.155715E-2</v>
      </c>
      <c r="S3860">
        <v>3.0067140000000001</v>
      </c>
      <c r="T3860">
        <v>-5.3147319999999998E-2</v>
      </c>
      <c r="U3860">
        <v>-0.1225281</v>
      </c>
      <c r="V3860">
        <v>9.4736309999999997E-3</v>
      </c>
      <c r="W3860">
        <v>-7.9859650000000004E-2</v>
      </c>
      <c r="X3860">
        <v>0.99676109999999896</v>
      </c>
      <c r="Y3860">
        <v>3.864273E-2</v>
      </c>
      <c r="Z3860">
        <v>-5.7272529999999897E-4</v>
      </c>
      <c r="AA3860">
        <v>0.9992529</v>
      </c>
      <c r="AB3860">
        <v>33</v>
      </c>
      <c r="AC3860">
        <v>63.052199999999999</v>
      </c>
      <c r="AD3860">
        <v>-1.1204156961989999</v>
      </c>
      <c r="AE3860">
        <v>-2.5821999999999998</v>
      </c>
      <c r="AF3860">
        <v>2.4511353026584901</v>
      </c>
      <c r="AG3860">
        <v>-1.1204156961989999</v>
      </c>
      <c r="AH3860">
        <v>63.037529626453299</v>
      </c>
      <c r="AI3860">
        <v>91.017487090015095</v>
      </c>
      <c r="AJ3860">
        <v>87.773247242440902</v>
      </c>
      <c r="AK3860">
        <v>63.0951150011648</v>
      </c>
      <c r="AL3860">
        <v>94.580498452976499</v>
      </c>
      <c r="AM3860">
        <v>89.455453539003301</v>
      </c>
      <c r="AN3860">
        <v>1.0000000019278199</v>
      </c>
    </row>
    <row r="3861" spans="1:40" x14ac:dyDescent="0.25">
      <c r="A3861" t="str">
        <f>"20190303154845986"</f>
        <v>20190303154845986</v>
      </c>
      <c r="B3861" t="str">
        <f>"1551599325984934"</f>
        <v>1551599325984934</v>
      </c>
      <c r="C3861" t="s">
        <v>40</v>
      </c>
      <c r="D3861">
        <v>4.9088469999999997</v>
      </c>
      <c r="E3861">
        <v>0.51094910000000004</v>
      </c>
      <c r="F3861" t="s">
        <v>52</v>
      </c>
      <c r="G3861">
        <v>-216.17019999999999</v>
      </c>
      <c r="H3861" s="1">
        <v>1.831302E-6</v>
      </c>
      <c r="I3861">
        <v>212.6808</v>
      </c>
      <c r="J3861">
        <v>-277.89260000000002</v>
      </c>
      <c r="K3861">
        <v>1.1204209999999999</v>
      </c>
      <c r="L3861">
        <v>215.20830000000001</v>
      </c>
      <c r="M3861">
        <v>0.99991589999999997</v>
      </c>
      <c r="N3861">
        <v>-1.278675E-2</v>
      </c>
      <c r="O3861">
        <v>-2.1924620000000001E-3</v>
      </c>
      <c r="P3861">
        <v>0.99557850000000003</v>
      </c>
      <c r="Q3861">
        <v>-9.3244579999999994E-2</v>
      </c>
      <c r="R3861">
        <v>-1.1359380000000001E-2</v>
      </c>
      <c r="S3861">
        <v>3.0066220000000001</v>
      </c>
      <c r="T3861">
        <v>-5.4283860000000003E-2</v>
      </c>
      <c r="U3861">
        <v>-0.1224976</v>
      </c>
      <c r="V3861">
        <v>9.1504229999999995E-3</v>
      </c>
      <c r="W3861">
        <v>-8.0509419999999998E-2</v>
      </c>
      <c r="X3861">
        <v>0.99671189999999998</v>
      </c>
      <c r="Y3861">
        <v>3.8507199999999901E-2</v>
      </c>
      <c r="Z3861">
        <v>-5.8224359999999996E-4</v>
      </c>
      <c r="AA3861">
        <v>0.99925819999999999</v>
      </c>
      <c r="AB3861">
        <v>33</v>
      </c>
      <c r="AC3861">
        <v>61.7224</v>
      </c>
      <c r="AD3861">
        <v>-1.1204191686979901</v>
      </c>
      <c r="AE3861">
        <v>-2.5274999999999999</v>
      </c>
      <c r="AF3861">
        <v>2.3913721770260898</v>
      </c>
      <c r="AG3861">
        <v>-1.1204191686979901</v>
      </c>
      <c r="AH3861">
        <v>61.707494011935999</v>
      </c>
      <c r="AI3861">
        <v>91.0394215919586</v>
      </c>
      <c r="AJ3861">
        <v>87.780707093496702</v>
      </c>
      <c r="AK3861">
        <v>61.763976695447298</v>
      </c>
      <c r="AL3861">
        <v>94.617847553507005</v>
      </c>
      <c r="AM3861">
        <v>89.474004584488497</v>
      </c>
      <c r="AN3861">
        <v>1.0000000542757099</v>
      </c>
    </row>
    <row r="3862" spans="1:40" x14ac:dyDescent="0.25">
      <c r="A3862" t="str">
        <f>"20190303154846009"</f>
        <v>20190303154846009</v>
      </c>
      <c r="B3862" t="str">
        <f>"1551599326004454"</f>
        <v>1551599326004454</v>
      </c>
      <c r="C3862" t="s">
        <v>40</v>
      </c>
      <c r="D3862">
        <v>4.9921340000000001</v>
      </c>
      <c r="E3862">
        <v>0.51099589999999995</v>
      </c>
      <c r="F3862" t="s">
        <v>52</v>
      </c>
      <c r="G3862">
        <v>-217.7894</v>
      </c>
      <c r="H3862" s="1">
        <v>2.6910199999999999E-6</v>
      </c>
      <c r="I3862">
        <v>212.7244</v>
      </c>
      <c r="J3862">
        <v>-277.5686</v>
      </c>
      <c r="K3862">
        <v>1.120425</v>
      </c>
      <c r="L3862">
        <v>215.20740000000001</v>
      </c>
      <c r="M3862">
        <v>0.99991269999999999</v>
      </c>
      <c r="N3862">
        <v>-1.3014019999999999E-2</v>
      </c>
      <c r="O3862">
        <v>-2.3151819999999998E-3</v>
      </c>
      <c r="P3862">
        <v>0.99559370000000003</v>
      </c>
      <c r="Q3862">
        <v>-9.3122269999999993E-2</v>
      </c>
      <c r="R3862">
        <v>-1.102829E-2</v>
      </c>
      <c r="S3862">
        <v>3.0066220000000001</v>
      </c>
      <c r="T3862">
        <v>-5.6048149999999998E-2</v>
      </c>
      <c r="U3862">
        <v>-0.1242523</v>
      </c>
      <c r="V3862">
        <v>8.6973850000000002E-3</v>
      </c>
      <c r="W3862">
        <v>-8.0160229999999999E-2</v>
      </c>
      <c r="X3862">
        <v>0.99674399999999996</v>
      </c>
      <c r="Y3862">
        <v>3.8966010000000002E-2</v>
      </c>
      <c r="Z3862">
        <v>-6.0369760000000003E-4</v>
      </c>
      <c r="AA3862">
        <v>0.99924029999999997</v>
      </c>
      <c r="AB3862">
        <v>33</v>
      </c>
      <c r="AC3862">
        <v>59.779200000000003</v>
      </c>
      <c r="AD3862">
        <v>-1.1204223089799901</v>
      </c>
      <c r="AE3862">
        <v>-2.4830000000000001</v>
      </c>
      <c r="AF3862">
        <v>2.3437599874761301</v>
      </c>
      <c r="AG3862">
        <v>-1.1204223089799901</v>
      </c>
      <c r="AH3862">
        <v>59.763830688205303</v>
      </c>
      <c r="AI3862">
        <v>91.073201937950003</v>
      </c>
      <c r="AJ3862">
        <v>87.754180518053303</v>
      </c>
      <c r="AK3862">
        <v>59.820264255165498</v>
      </c>
      <c r="AL3862">
        <v>94.597776028129601</v>
      </c>
      <c r="AM3862">
        <v>89.500061393388094</v>
      </c>
      <c r="AN3862">
        <v>0.99999995425774402</v>
      </c>
    </row>
    <row r="3863" spans="1:40" x14ac:dyDescent="0.25">
      <c r="A3863" t="str">
        <f>"20190303154846031"</f>
        <v>20190303154846031</v>
      </c>
      <c r="B3863" t="str">
        <f>"1551599326024953"</f>
        <v>1551599326024953</v>
      </c>
      <c r="C3863" t="s">
        <v>40</v>
      </c>
      <c r="D3863">
        <v>5.0290790000000003</v>
      </c>
      <c r="E3863">
        <v>0.51102440000000005</v>
      </c>
      <c r="F3863" t="s">
        <v>52</v>
      </c>
      <c r="G3863">
        <v>-218.15809999999999</v>
      </c>
      <c r="H3863" s="1">
        <v>2.8856450000000001E-6</v>
      </c>
      <c r="I3863">
        <v>212.76060000000001</v>
      </c>
      <c r="J3863">
        <v>-277.22699999999998</v>
      </c>
      <c r="K3863">
        <v>1.1204289999999999</v>
      </c>
      <c r="L3863">
        <v>215.20650000000001</v>
      </c>
      <c r="M3863">
        <v>0.99990970000000001</v>
      </c>
      <c r="N3863">
        <v>-1.322226E-2</v>
      </c>
      <c r="O3863">
        <v>-2.4445930000000001E-3</v>
      </c>
      <c r="P3863">
        <v>0.99564180000000002</v>
      </c>
      <c r="Q3863">
        <v>-9.2654169999999994E-2</v>
      </c>
      <c r="R3863">
        <v>-1.0620620000000001E-2</v>
      </c>
      <c r="S3863">
        <v>3.0065919999999999</v>
      </c>
      <c r="T3863">
        <v>-5.6701300000000003E-2</v>
      </c>
      <c r="U3863">
        <v>-0.12382509999999999</v>
      </c>
      <c r="V3863">
        <v>8.1609649999999992E-3</v>
      </c>
      <c r="W3863">
        <v>-7.9483730000000002E-2</v>
      </c>
      <c r="X3863">
        <v>0.99680270000000004</v>
      </c>
      <c r="Y3863">
        <v>3.8695130000000001E-2</v>
      </c>
      <c r="Z3863">
        <v>-6.0689749999999997E-4</v>
      </c>
      <c r="AA3863">
        <v>0.99925090000000005</v>
      </c>
      <c r="AB3863">
        <v>33</v>
      </c>
      <c r="AC3863">
        <v>59.068899999999999</v>
      </c>
      <c r="AD3863">
        <v>-1.1204261143550001</v>
      </c>
      <c r="AE3863">
        <v>-2.4458999999999902</v>
      </c>
      <c r="AF3863">
        <v>2.3006543271850899</v>
      </c>
      <c r="AG3863">
        <v>-1.1204261143550001</v>
      </c>
      <c r="AH3863">
        <v>59.053492753227303</v>
      </c>
      <c r="AI3863">
        <v>91.086122740503399</v>
      </c>
      <c r="AJ3863">
        <v>87.768952401640504</v>
      </c>
      <c r="AK3863">
        <v>59.108911099481404</v>
      </c>
      <c r="AL3863">
        <v>94.558891403208406</v>
      </c>
      <c r="AM3863">
        <v>89.530921812018306</v>
      </c>
      <c r="AN3863">
        <v>0.99999994370586498</v>
      </c>
    </row>
    <row r="3864" spans="1:40" x14ac:dyDescent="0.25">
      <c r="A3864" t="str">
        <f>"20190303154846052"</f>
        <v>20190303154846052</v>
      </c>
      <c r="B3864" t="str">
        <f>"1551599326044469"</f>
        <v>1551599326044469</v>
      </c>
      <c r="C3864" t="s">
        <v>40</v>
      </c>
      <c r="D3864">
        <v>5.1298000000000004</v>
      </c>
      <c r="E3864">
        <v>0.5135748</v>
      </c>
      <c r="F3864" t="s">
        <v>52</v>
      </c>
      <c r="G3864">
        <v>-216.8246</v>
      </c>
      <c r="H3864" s="1">
        <v>2.177127E-6</v>
      </c>
      <c r="I3864">
        <v>212.73580000000001</v>
      </c>
      <c r="J3864">
        <v>-276.90589999999997</v>
      </c>
      <c r="K3864">
        <v>1.120439</v>
      </c>
      <c r="L3864">
        <v>215.2056</v>
      </c>
      <c r="M3864">
        <v>0.99990710000000005</v>
      </c>
      <c r="N3864">
        <v>-1.3391989999999999E-2</v>
      </c>
      <c r="O3864">
        <v>-2.5658980000000001E-3</v>
      </c>
      <c r="P3864">
        <v>0.9957068</v>
      </c>
      <c r="Q3864">
        <v>-9.1948660000000002E-2</v>
      </c>
      <c r="R3864">
        <v>-1.0665050000000001E-2</v>
      </c>
      <c r="S3864">
        <v>3.0066220000000001</v>
      </c>
      <c r="T3864">
        <v>-5.5770989999999999E-2</v>
      </c>
      <c r="U3864">
        <v>-0.12298580000000001</v>
      </c>
      <c r="V3864">
        <v>8.0847049999999993E-3</v>
      </c>
      <c r="W3864">
        <v>-7.860818E-2</v>
      </c>
      <c r="X3864">
        <v>0.9968728</v>
      </c>
      <c r="Y3864">
        <v>3.8295389999999999E-2</v>
      </c>
      <c r="Z3864">
        <v>-5.9835940000000005E-4</v>
      </c>
      <c r="AA3864">
        <v>0.99926630000000005</v>
      </c>
      <c r="AB3864">
        <v>33</v>
      </c>
      <c r="AC3864">
        <v>60.081299999999899</v>
      </c>
      <c r="AD3864">
        <v>-1.1204368228729999</v>
      </c>
      <c r="AE3864">
        <v>-2.46979999999999</v>
      </c>
      <c r="AF3864">
        <v>2.3148118937975801</v>
      </c>
      <c r="AG3864">
        <v>-1.1204368228729999</v>
      </c>
      <c r="AH3864">
        <v>60.066585696415302</v>
      </c>
      <c r="AI3864">
        <v>91.067835901581105</v>
      </c>
      <c r="AJ3864">
        <v>87.793059959183694</v>
      </c>
      <c r="AK3864">
        <v>60.1216138339826</v>
      </c>
      <c r="AL3864">
        <v>94.508568390854293</v>
      </c>
      <c r="AM3864">
        <v>89.535337588002605</v>
      </c>
      <c r="AN3864">
        <v>0.99999999389884398</v>
      </c>
    </row>
    <row r="3865" spans="1:40" x14ac:dyDescent="0.25">
      <c r="A3865" t="str">
        <f>"20190303154846076"</f>
        <v>20190303154846076</v>
      </c>
      <c r="B3865" t="str">
        <f>"1551599326064576"</f>
        <v>1551599326064576</v>
      </c>
      <c r="C3865" t="s">
        <v>40</v>
      </c>
      <c r="D3865">
        <v>5.1026339999999903</v>
      </c>
      <c r="E3865">
        <v>0.51737429999999995</v>
      </c>
      <c r="F3865" t="s">
        <v>52</v>
      </c>
      <c r="G3865">
        <v>-220.7346</v>
      </c>
      <c r="H3865" s="1">
        <v>-1.054629E-6</v>
      </c>
      <c r="I3865">
        <v>212.529</v>
      </c>
      <c r="J3865">
        <v>-276.56760000000003</v>
      </c>
      <c r="K3865">
        <v>1.1204499999999999</v>
      </c>
      <c r="L3865">
        <v>215.2046</v>
      </c>
      <c r="M3865">
        <v>0.99990469999999998</v>
      </c>
      <c r="N3865">
        <v>-1.354703E-2</v>
      </c>
      <c r="O3865">
        <v>-2.6935539999999999E-3</v>
      </c>
      <c r="P3865">
        <v>0.99571189999999998</v>
      </c>
      <c r="Q3865">
        <v>-9.1865639999999998E-2</v>
      </c>
      <c r="R3865">
        <v>-1.090673E-2</v>
      </c>
      <c r="S3865">
        <v>3.0058590000000001</v>
      </c>
      <c r="T3865">
        <v>-5.9957389999999999E-2</v>
      </c>
      <c r="U3865">
        <v>-0.14323429999999901</v>
      </c>
      <c r="V3865">
        <v>8.1992030000000004E-3</v>
      </c>
      <c r="W3865">
        <v>-7.8370529999999994E-2</v>
      </c>
      <c r="X3865">
        <v>0.99689059999999896</v>
      </c>
      <c r="Y3865">
        <v>4.4891849999999997E-2</v>
      </c>
      <c r="Z3865">
        <v>-7.3451850000000004E-4</v>
      </c>
      <c r="AA3865">
        <v>0.99899159999999998</v>
      </c>
      <c r="AB3865">
        <v>33</v>
      </c>
      <c r="AC3865">
        <v>55.832999999999998</v>
      </c>
      <c r="AD3865">
        <v>-1.1204510546290001</v>
      </c>
      <c r="AE3865">
        <v>-2.67559999999997</v>
      </c>
      <c r="AF3865">
        <v>2.5241730964962299</v>
      </c>
      <c r="AG3865">
        <v>-1.1204510546290001</v>
      </c>
      <c r="AH3865">
        <v>55.817577570698397</v>
      </c>
      <c r="AI3865">
        <v>91.148795482284797</v>
      </c>
      <c r="AJ3865">
        <v>87.410743964270395</v>
      </c>
      <c r="AK3865">
        <v>55.885855332524301</v>
      </c>
      <c r="AL3865">
        <v>94.494909804757398</v>
      </c>
      <c r="AM3865">
        <v>89.528765609140706</v>
      </c>
      <c r="AN3865">
        <v>1.0000000176353301</v>
      </c>
    </row>
    <row r="3866" spans="1:40" x14ac:dyDescent="0.25">
      <c r="A3866" t="str">
        <f>"20190303154846098"</f>
        <v>20190303154846098</v>
      </c>
      <c r="B3866" t="str">
        <f>"1551599326094832"</f>
        <v>1551599326094832</v>
      </c>
      <c r="C3866" t="s">
        <v>40</v>
      </c>
      <c r="D3866">
        <v>5.080857</v>
      </c>
      <c r="E3866">
        <v>0.52230639999999995</v>
      </c>
      <c r="F3866" t="s">
        <v>52</v>
      </c>
      <c r="G3866">
        <v>-222.92230000000001</v>
      </c>
      <c r="H3866" s="1">
        <v>1.285963E-7</v>
      </c>
      <c r="I3866">
        <v>212.09379999999999</v>
      </c>
      <c r="J3866">
        <v>-276.24079999999998</v>
      </c>
      <c r="K3866">
        <v>1.120452</v>
      </c>
      <c r="L3866">
        <v>215.20359999999999</v>
      </c>
      <c r="M3866">
        <v>0.99990290000000004</v>
      </c>
      <c r="N3866">
        <v>-1.365531E-2</v>
      </c>
      <c r="O3866">
        <v>-2.8177950000000001E-3</v>
      </c>
      <c r="P3866">
        <v>0.9956699</v>
      </c>
      <c r="Q3866">
        <v>-9.2226660000000002E-2</v>
      </c>
      <c r="R3866">
        <v>-1.166858E-2</v>
      </c>
      <c r="S3866">
        <v>3.0052490000000001</v>
      </c>
      <c r="T3866">
        <v>-6.2768459999999998E-2</v>
      </c>
      <c r="U3866">
        <v>-0.1742706</v>
      </c>
      <c r="V3866">
        <v>8.8377519999999904E-3</v>
      </c>
      <c r="W3866">
        <v>-7.8624289999999999E-2</v>
      </c>
      <c r="X3866">
        <v>0.99686520000000001</v>
      </c>
      <c r="Y3866">
        <v>5.5058200000000002E-2</v>
      </c>
      <c r="Z3866">
        <v>-9.304049E-4</v>
      </c>
      <c r="AA3866">
        <v>0.99848269999999995</v>
      </c>
      <c r="AB3866">
        <v>33</v>
      </c>
      <c r="AC3866">
        <v>53.318499999999901</v>
      </c>
      <c r="AD3866">
        <v>-1.1204518714037</v>
      </c>
      <c r="AE3866">
        <v>-3.1097999999999999</v>
      </c>
      <c r="AF3866">
        <v>2.958231125482</v>
      </c>
      <c r="AG3866">
        <v>-1.1204518714037</v>
      </c>
      <c r="AH3866">
        <v>53.303592736993998</v>
      </c>
      <c r="AI3866">
        <v>91.202341436827297</v>
      </c>
      <c r="AJ3866">
        <v>86.823469933626498</v>
      </c>
      <c r="AK3866">
        <v>53.3973739284922</v>
      </c>
      <c r="AL3866">
        <v>94.509494011379203</v>
      </c>
      <c r="AM3866">
        <v>89.492055070050597</v>
      </c>
      <c r="AN3866">
        <v>1.00000005590472</v>
      </c>
    </row>
    <row r="3867" spans="1:40" x14ac:dyDescent="0.25">
      <c r="A3867" t="str">
        <f>"20190303154846121"</f>
        <v>20190303154846121</v>
      </c>
      <c r="B3867" t="str">
        <f>"1551599326114352"</f>
        <v>1551599326114352</v>
      </c>
      <c r="C3867" t="s">
        <v>40</v>
      </c>
      <c r="D3867">
        <v>5.1506910000000001</v>
      </c>
      <c r="E3867">
        <v>0.52499659999999904</v>
      </c>
      <c r="F3867" t="s">
        <v>52</v>
      </c>
      <c r="G3867">
        <v>-226.52359999999999</v>
      </c>
      <c r="H3867" s="1">
        <v>2.0653010000000002E-6</v>
      </c>
      <c r="I3867">
        <v>211.62950000000001</v>
      </c>
      <c r="J3867">
        <v>-275.9083</v>
      </c>
      <c r="K3867">
        <v>1.120436</v>
      </c>
      <c r="L3867">
        <v>215.20249999999999</v>
      </c>
      <c r="M3867">
        <v>0.99990179999999995</v>
      </c>
      <c r="N3867">
        <v>-1.370061E-2</v>
      </c>
      <c r="O3867">
        <v>-2.944351E-3</v>
      </c>
      <c r="P3867">
        <v>0.99561120000000003</v>
      </c>
      <c r="Q3867">
        <v>-9.2780199999999993E-2</v>
      </c>
      <c r="R3867">
        <v>-1.2274139999999999E-2</v>
      </c>
      <c r="S3867">
        <v>3.0042420000000001</v>
      </c>
      <c r="T3867">
        <v>-6.7705039999999994E-2</v>
      </c>
      <c r="U3867">
        <v>-0.2159729</v>
      </c>
      <c r="V3867">
        <v>9.3168910000000008E-3</v>
      </c>
      <c r="W3867">
        <v>-7.9133529999999994E-2</v>
      </c>
      <c r="X3867">
        <v>0.9968205</v>
      </c>
      <c r="Y3867">
        <v>6.8739060000000005E-2</v>
      </c>
      <c r="Z3867">
        <v>-1.2191089999999999E-3</v>
      </c>
      <c r="AA3867">
        <v>0.99763389999999996</v>
      </c>
      <c r="AB3867">
        <v>33</v>
      </c>
      <c r="AC3867">
        <v>49.384700000000002</v>
      </c>
      <c r="AD3867">
        <v>-1.120433934699</v>
      </c>
      <c r="AE3867">
        <v>-3.5729999999999702</v>
      </c>
      <c r="AF3867">
        <v>3.4258107506675199</v>
      </c>
      <c r="AG3867">
        <v>-1.120433934699</v>
      </c>
      <c r="AH3867">
        <v>49.369726822676903</v>
      </c>
      <c r="AI3867">
        <v>91.296972889391895</v>
      </c>
      <c r="AJ3867">
        <v>86.030556092739801</v>
      </c>
      <c r="AK3867">
        <v>49.501126028072903</v>
      </c>
      <c r="AL3867">
        <v>94.538762695218495</v>
      </c>
      <c r="AM3867">
        <v>89.464494371189005</v>
      </c>
      <c r="AN3867">
        <v>1.0000000146242001</v>
      </c>
    </row>
    <row r="3868" spans="1:40" x14ac:dyDescent="0.25">
      <c r="A3868" t="str">
        <f>"20190303154846142"</f>
        <v>20190303154846142</v>
      </c>
      <c r="B3868" t="str">
        <f>"1551599326134852"</f>
        <v>1551599326134852</v>
      </c>
      <c r="C3868" t="s">
        <v>40</v>
      </c>
      <c r="D3868">
        <v>5.1578410000000003</v>
      </c>
      <c r="E3868">
        <v>0.52750319999999995</v>
      </c>
      <c r="F3868" t="s">
        <v>52</v>
      </c>
      <c r="G3868">
        <v>-229.25020000000001</v>
      </c>
      <c r="H3868" s="1">
        <v>3.5224669999999999E-6</v>
      </c>
      <c r="I3868">
        <v>211.4879</v>
      </c>
      <c r="J3868">
        <v>-275.58789999999999</v>
      </c>
      <c r="K3868">
        <v>1.12042</v>
      </c>
      <c r="L3868">
        <v>215.20140000000001</v>
      </c>
      <c r="M3868">
        <v>0.9999017</v>
      </c>
      <c r="N3868">
        <v>-1.369512E-2</v>
      </c>
      <c r="O3868">
        <v>-3.0648530000000002E-3</v>
      </c>
      <c r="P3868">
        <v>0.99554810000000005</v>
      </c>
      <c r="Q3868">
        <v>-9.3348210000000001E-2</v>
      </c>
      <c r="R3868">
        <v>-1.3052579999999999E-2</v>
      </c>
      <c r="S3868">
        <v>3.0035400000000001</v>
      </c>
      <c r="T3868">
        <v>-7.212615E-2</v>
      </c>
      <c r="U3868">
        <v>-0.23912050000000001</v>
      </c>
      <c r="V3868">
        <v>9.9753370000000008E-3</v>
      </c>
      <c r="W3868">
        <v>-7.9708039999999994E-2</v>
      </c>
      <c r="X3868">
        <v>0.9967684</v>
      </c>
      <c r="Y3868">
        <v>7.6271710000000006E-2</v>
      </c>
      <c r="Z3868">
        <v>-1.4058860000000001E-3</v>
      </c>
      <c r="AA3868">
        <v>0.99708609999999998</v>
      </c>
      <c r="AB3868">
        <v>33</v>
      </c>
      <c r="AC3868">
        <v>46.337699999999899</v>
      </c>
      <c r="AD3868">
        <v>-1.1204164775330001</v>
      </c>
      <c r="AE3868">
        <v>-3.71350000000001</v>
      </c>
      <c r="AF3868">
        <v>3.5693775309318099</v>
      </c>
      <c r="AG3868">
        <v>-1.1204164775330001</v>
      </c>
      <c r="AH3868">
        <v>46.3219557816075</v>
      </c>
      <c r="AI3868">
        <v>91.3814829788857</v>
      </c>
      <c r="AJ3868">
        <v>85.593732312817906</v>
      </c>
      <c r="AK3868">
        <v>46.472781027980801</v>
      </c>
      <c r="AL3868">
        <v>94.571783788845195</v>
      </c>
      <c r="AM3868">
        <v>89.426621440134994</v>
      </c>
      <c r="AN3868">
        <v>1.0000000611137301</v>
      </c>
    </row>
    <row r="3869" spans="1:40" x14ac:dyDescent="0.25">
      <c r="A3869" t="str">
        <f>"20190303154846166"</f>
        <v>20190303154846166</v>
      </c>
      <c r="B3869" t="str">
        <f>"1551599326155008"</f>
        <v>1551599326155008</v>
      </c>
      <c r="C3869" t="s">
        <v>40</v>
      </c>
      <c r="D3869">
        <v>5.1945880000000004</v>
      </c>
      <c r="E3869">
        <v>0.52969519999999903</v>
      </c>
      <c r="F3869" t="s">
        <v>52</v>
      </c>
      <c r="G3869">
        <v>-231.53489999999999</v>
      </c>
      <c r="H3869" s="1">
        <v>-5.7788629999999997E-7</v>
      </c>
      <c r="I3869">
        <v>211.3657</v>
      </c>
      <c r="J3869">
        <v>-275.24209999999999</v>
      </c>
      <c r="K3869">
        <v>1.120403</v>
      </c>
      <c r="L3869">
        <v>215.2002</v>
      </c>
      <c r="M3869">
        <v>0.99990159999999995</v>
      </c>
      <c r="N3869">
        <v>-1.366972E-2</v>
      </c>
      <c r="O3869">
        <v>-3.1873930000000002E-3</v>
      </c>
      <c r="P3869">
        <v>0.99549670000000001</v>
      </c>
      <c r="Q3869">
        <v>-9.3821959999999996E-2</v>
      </c>
      <c r="R3869">
        <v>-1.3563459999999999E-2</v>
      </c>
      <c r="S3869">
        <v>3.0028380000000001</v>
      </c>
      <c r="T3869">
        <v>-7.6372620000000002E-2</v>
      </c>
      <c r="U3869">
        <v>-0.26145940000000001</v>
      </c>
      <c r="V3869">
        <v>1.036363E-2</v>
      </c>
      <c r="W3869">
        <v>-8.0207940000000005E-2</v>
      </c>
      <c r="X3869">
        <v>0.99672419999999995</v>
      </c>
      <c r="Y3869">
        <v>8.3525349999999998E-2</v>
      </c>
      <c r="Z3869">
        <v>-1.5947159999999999E-3</v>
      </c>
      <c r="AA3869">
        <v>0.99650439999999996</v>
      </c>
      <c r="AB3869">
        <v>33</v>
      </c>
      <c r="AC3869">
        <v>43.7072</v>
      </c>
      <c r="AD3869">
        <v>-1.1204035778863</v>
      </c>
      <c r="AE3869">
        <v>-3.83449999999999</v>
      </c>
      <c r="AF3869">
        <v>3.6927474583583799</v>
      </c>
      <c r="AG3869">
        <v>-1.1204035778863</v>
      </c>
      <c r="AH3869">
        <v>43.690710494979101</v>
      </c>
      <c r="AI3869">
        <v>91.463753014512307</v>
      </c>
      <c r="AJ3869">
        <v>85.168831675171603</v>
      </c>
      <c r="AK3869">
        <v>43.860801081656398</v>
      </c>
      <c r="AL3869">
        <v>94.600518576696999</v>
      </c>
      <c r="AM3869">
        <v>89.404277670654594</v>
      </c>
      <c r="AN3869">
        <v>0.99999992466572696</v>
      </c>
    </row>
    <row r="3870" spans="1:40" x14ac:dyDescent="0.25">
      <c r="A3870" t="str">
        <f>"20190303154846188"</f>
        <v>20190303154846188</v>
      </c>
      <c r="B3870" t="str">
        <f>"1551599326184288"</f>
        <v>1551599326184288</v>
      </c>
      <c r="C3870" t="s">
        <v>40</v>
      </c>
      <c r="D3870">
        <v>5.2255909999999997</v>
      </c>
      <c r="E3870">
        <v>0.53253649999999997</v>
      </c>
      <c r="F3870" t="s">
        <v>52</v>
      </c>
      <c r="G3870">
        <v>-233.35990000000001</v>
      </c>
      <c r="H3870" s="1">
        <v>3.9668840000000001E-7</v>
      </c>
      <c r="I3870">
        <v>211.2876</v>
      </c>
      <c r="J3870">
        <v>-274.90780000000001</v>
      </c>
      <c r="K3870">
        <v>1.1203909999999999</v>
      </c>
      <c r="L3870">
        <v>215.19900000000001</v>
      </c>
      <c r="M3870">
        <v>0.9999015</v>
      </c>
      <c r="N3870">
        <v>-1.3637969999999999E-2</v>
      </c>
      <c r="O3870">
        <v>-3.304838E-3</v>
      </c>
      <c r="P3870">
        <v>0.99550179999999999</v>
      </c>
      <c r="Q3870">
        <v>-9.3776700000000004E-2</v>
      </c>
      <c r="R3870">
        <v>-1.3490439999999999E-2</v>
      </c>
      <c r="S3870">
        <v>3.002167</v>
      </c>
      <c r="T3870">
        <v>-8.0311779999999999E-2</v>
      </c>
      <c r="U3870">
        <v>-0.2804565</v>
      </c>
      <c r="V3870">
        <v>1.017349E-2</v>
      </c>
      <c r="W3870">
        <v>-8.0194219999999997E-2</v>
      </c>
      <c r="X3870">
        <v>0.99672729999999998</v>
      </c>
      <c r="Y3870">
        <v>8.9673870000000003E-2</v>
      </c>
      <c r="Z3870">
        <v>-1.766409E-3</v>
      </c>
      <c r="AA3870">
        <v>0.99596960000000001</v>
      </c>
      <c r="AB3870">
        <v>33</v>
      </c>
      <c r="AC3870">
        <v>41.547899999999998</v>
      </c>
      <c r="AD3870">
        <v>-1.1203906033116</v>
      </c>
      <c r="AE3870">
        <v>-3.9114000000000102</v>
      </c>
      <c r="AF3870">
        <v>3.7713384382856399</v>
      </c>
      <c r="AG3870">
        <v>-1.1203906033116</v>
      </c>
      <c r="AH3870">
        <v>41.530665926619498</v>
      </c>
      <c r="AI3870">
        <v>91.538988725062197</v>
      </c>
      <c r="AJ3870">
        <v>84.811286021750206</v>
      </c>
      <c r="AK3870">
        <v>41.716597188991301</v>
      </c>
      <c r="AL3870">
        <v>94.599729767423895</v>
      </c>
      <c r="AM3870">
        <v>89.415208353433897</v>
      </c>
      <c r="AN3870">
        <v>0.99999996169273797</v>
      </c>
    </row>
    <row r="3871" spans="1:40" x14ac:dyDescent="0.25">
      <c r="A3871" t="str">
        <f>"20190303154846209"</f>
        <v>20190303154846209</v>
      </c>
      <c r="B3871" t="str">
        <f>"1551599326204788"</f>
        <v>1551599326204788</v>
      </c>
      <c r="C3871" t="s">
        <v>40</v>
      </c>
      <c r="D3871">
        <v>5.2676740000000004</v>
      </c>
      <c r="E3871">
        <v>0.53431609999999996</v>
      </c>
      <c r="F3871" t="s">
        <v>52</v>
      </c>
      <c r="G3871">
        <v>-234.8279</v>
      </c>
      <c r="H3871" s="1">
        <v>1.1836950000000001E-6</v>
      </c>
      <c r="I3871">
        <v>211.15469999999999</v>
      </c>
      <c r="J3871">
        <v>-274.58730000000003</v>
      </c>
      <c r="K3871">
        <v>1.1203920000000001</v>
      </c>
      <c r="L3871">
        <v>215.1978</v>
      </c>
      <c r="M3871">
        <v>0.9999017</v>
      </c>
      <c r="N3871">
        <v>-1.360573E-2</v>
      </c>
      <c r="O3871">
        <v>-3.4241160000000001E-3</v>
      </c>
      <c r="P3871">
        <v>0.99553709999999995</v>
      </c>
      <c r="Q3871">
        <v>-9.3438060000000003E-2</v>
      </c>
      <c r="R3871">
        <v>-1.3238099999999999E-2</v>
      </c>
      <c r="S3871">
        <v>3.0015559999999999</v>
      </c>
      <c r="T3871">
        <v>-8.3905339999999995E-2</v>
      </c>
      <c r="U3871">
        <v>-0.30287170000000002</v>
      </c>
      <c r="V3871">
        <v>9.8031060000000007E-3</v>
      </c>
      <c r="W3871">
        <v>-7.9887050000000001E-2</v>
      </c>
      <c r="X3871">
        <v>0.99675570000000002</v>
      </c>
      <c r="Y3871">
        <v>9.6931820000000002E-2</v>
      </c>
      <c r="Z3871">
        <v>-1.9634420000000001E-3</v>
      </c>
      <c r="AA3871">
        <v>0.99528910000000004</v>
      </c>
      <c r="AB3871">
        <v>33</v>
      </c>
      <c r="AC3871">
        <v>39.759399999999999</v>
      </c>
      <c r="AD3871">
        <v>-1.120390816305</v>
      </c>
      <c r="AE3871">
        <v>-4.0431000000000097</v>
      </c>
      <c r="AF3871">
        <v>3.9038546992995902</v>
      </c>
      <c r="AG3871">
        <v>-1.120390816305</v>
      </c>
      <c r="AH3871">
        <v>39.741777387587803</v>
      </c>
      <c r="AI3871">
        <v>91.607110393596301</v>
      </c>
      <c r="AJ3871">
        <v>84.389805369651498</v>
      </c>
      <c r="AK3871">
        <v>39.948770031367502</v>
      </c>
      <c r="AL3871">
        <v>94.582073473547496</v>
      </c>
      <c r="AM3871">
        <v>89.436513389275305</v>
      </c>
      <c r="AN3871">
        <v>0.999999983563719</v>
      </c>
    </row>
    <row r="3872" spans="1:40" x14ac:dyDescent="0.25">
      <c r="A3872" t="str">
        <f>"20190303154846232"</f>
        <v>20190303154846232</v>
      </c>
      <c r="B3872" t="str">
        <f>"1551599326224304"</f>
        <v>1551599326224304</v>
      </c>
      <c r="C3872" t="s">
        <v>40</v>
      </c>
      <c r="D3872">
        <v>5.260618</v>
      </c>
      <c r="E3872">
        <v>0.53590729999999998</v>
      </c>
      <c r="F3872" t="s">
        <v>52</v>
      </c>
      <c r="G3872">
        <v>-235.0985</v>
      </c>
      <c r="H3872" s="1">
        <v>1.332855E-6</v>
      </c>
      <c r="I3872">
        <v>211.0361</v>
      </c>
      <c r="J3872">
        <v>-274.26339999999999</v>
      </c>
      <c r="K3872">
        <v>1.120398</v>
      </c>
      <c r="L3872">
        <v>215.19649999999999</v>
      </c>
      <c r="M3872">
        <v>0.9999015</v>
      </c>
      <c r="N3872">
        <v>-1.357847E-2</v>
      </c>
      <c r="O3872">
        <v>-3.5498439999999999E-3</v>
      </c>
      <c r="P3872">
        <v>0.99558310000000005</v>
      </c>
      <c r="Q3872">
        <v>-9.2991980000000002E-2</v>
      </c>
      <c r="R3872">
        <v>-1.2913310000000001E-2</v>
      </c>
      <c r="S3872">
        <v>3.0012819999999998</v>
      </c>
      <c r="T3872">
        <v>-8.5153339999999994E-2</v>
      </c>
      <c r="U3872">
        <v>-0.31629940000000001</v>
      </c>
      <c r="V3872">
        <v>9.3540029999999996E-3</v>
      </c>
      <c r="W3872">
        <v>-7.9467280000000001E-2</v>
      </c>
      <c r="X3872">
        <v>0.99679359999999995</v>
      </c>
      <c r="Y3872">
        <v>0.1012171</v>
      </c>
      <c r="Z3872">
        <v>-2.068603E-3</v>
      </c>
      <c r="AA3872">
        <v>0.99486220000000003</v>
      </c>
      <c r="AB3872">
        <v>33</v>
      </c>
      <c r="AC3872">
        <v>39.164899999999903</v>
      </c>
      <c r="AD3872">
        <v>-1.1203966671449901</v>
      </c>
      <c r="AE3872">
        <v>-4.1603999999999797</v>
      </c>
      <c r="AF3872">
        <v>4.01808009362062</v>
      </c>
      <c r="AG3872">
        <v>-1.1203966671449901</v>
      </c>
      <c r="AH3872">
        <v>39.147743477050803</v>
      </c>
      <c r="AI3872">
        <v>91.630777780733695</v>
      </c>
      <c r="AJ3872">
        <v>84.139747269494407</v>
      </c>
      <c r="AK3872">
        <v>39.369354524496302</v>
      </c>
      <c r="AL3872">
        <v>94.557945578066494</v>
      </c>
      <c r="AM3872">
        <v>89.462346906818993</v>
      </c>
      <c r="AN3872">
        <v>1.0000000134818401</v>
      </c>
    </row>
    <row r="3873" spans="1:40" x14ac:dyDescent="0.25">
      <c r="A3873" t="str">
        <f>"20190303154846254"</f>
        <v>20190303154846254</v>
      </c>
      <c r="B3873" t="str">
        <f>"1551599326244800"</f>
        <v>1551599326244800</v>
      </c>
      <c r="C3873" t="s">
        <v>40</v>
      </c>
      <c r="D3873">
        <v>5.2734170000000002</v>
      </c>
      <c r="E3873">
        <v>0.5374333</v>
      </c>
      <c r="F3873" t="s">
        <v>52</v>
      </c>
      <c r="G3873">
        <v>-235.0813</v>
      </c>
      <c r="H3873" s="1">
        <v>1.3291140000000001E-6</v>
      </c>
      <c r="I3873">
        <v>210.91329999999999</v>
      </c>
      <c r="J3873">
        <v>-273.9366</v>
      </c>
      <c r="K3873">
        <v>1.120414</v>
      </c>
      <c r="L3873">
        <v>215.1952</v>
      </c>
      <c r="M3873">
        <v>0.99990129999999999</v>
      </c>
      <c r="N3873">
        <v>-1.35611E-2</v>
      </c>
      <c r="O3873">
        <v>-3.677572E-3</v>
      </c>
      <c r="P3873">
        <v>0.99558849999999999</v>
      </c>
      <c r="Q3873">
        <v>-9.2958260000000001E-2</v>
      </c>
      <c r="R3873">
        <v>-1.2741819999999999E-2</v>
      </c>
      <c r="S3873">
        <v>3.0010379999999999</v>
      </c>
      <c r="T3873">
        <v>-8.5813520000000004E-2</v>
      </c>
      <c r="U3873">
        <v>-0.32806400000000002</v>
      </c>
      <c r="V3873">
        <v>9.0558519999999997E-3</v>
      </c>
      <c r="W3873">
        <v>-7.9450640000000003E-2</v>
      </c>
      <c r="X3873">
        <v>0.99679770000000001</v>
      </c>
      <c r="Y3873">
        <v>0.1049503</v>
      </c>
      <c r="Z3873">
        <v>-2.1546310000000002E-3</v>
      </c>
      <c r="AA3873">
        <v>0.99447509999999995</v>
      </c>
      <c r="AB3873">
        <v>33</v>
      </c>
      <c r="AC3873">
        <v>38.8553</v>
      </c>
      <c r="AD3873">
        <v>-1.1204126708860001</v>
      </c>
      <c r="AE3873">
        <v>-4.2819000000000003</v>
      </c>
      <c r="AF3873">
        <v>4.1355673260063801</v>
      </c>
      <c r="AG3873">
        <v>-1.1204126708860001</v>
      </c>
      <c r="AH3873">
        <v>38.838879101836397</v>
      </c>
      <c r="AI3873">
        <v>91.643110279902302</v>
      </c>
      <c r="AJ3873">
        <v>83.922041872169601</v>
      </c>
      <c r="AK3873">
        <v>39.074502831745399</v>
      </c>
      <c r="AL3873">
        <v>94.556989059945394</v>
      </c>
      <c r="AM3873">
        <v>89.479485330644494</v>
      </c>
      <c r="AN3873">
        <v>1.0000000336885699</v>
      </c>
    </row>
    <row r="3874" spans="1:40" x14ac:dyDescent="0.25">
      <c r="A3874" t="str">
        <f>"20190303154846276"</f>
        <v>20190303154846276</v>
      </c>
      <c r="B3874" t="str">
        <f>"1551599326274920"</f>
        <v>1551599326274920</v>
      </c>
      <c r="C3874" t="s">
        <v>40</v>
      </c>
      <c r="D3874">
        <v>5.3327489999999997</v>
      </c>
      <c r="E3874">
        <v>0.53950869999999995</v>
      </c>
      <c r="F3874" t="s">
        <v>52</v>
      </c>
      <c r="G3874">
        <v>-235.52199999999999</v>
      </c>
      <c r="H3874" s="1">
        <v>1.566554E-6</v>
      </c>
      <c r="I3874">
        <v>210.846</v>
      </c>
      <c r="J3874">
        <v>-273.6046</v>
      </c>
      <c r="K3874">
        <v>1.1204270000000001</v>
      </c>
      <c r="L3874">
        <v>215.19380000000001</v>
      </c>
      <c r="M3874">
        <v>0.99990109999999999</v>
      </c>
      <c r="N3874">
        <v>-1.3552069999999999E-2</v>
      </c>
      <c r="O3874">
        <v>-3.8057529999999998E-3</v>
      </c>
      <c r="P3874">
        <v>0.99563990000000002</v>
      </c>
      <c r="Q3874">
        <v>-9.2388419999999999E-2</v>
      </c>
      <c r="R3874">
        <v>-1.2875569999999999E-2</v>
      </c>
      <c r="S3874">
        <v>3.0007630000000001</v>
      </c>
      <c r="T3874">
        <v>-8.7521080000000001E-2</v>
      </c>
      <c r="U3874">
        <v>-0.33973690000000001</v>
      </c>
      <c r="V3874">
        <v>9.0623370000000002E-3</v>
      </c>
      <c r="W3874">
        <v>-7.8889119999999993E-2</v>
      </c>
      <c r="X3874">
        <v>0.99684220000000001</v>
      </c>
      <c r="Y3874">
        <v>0.1086488</v>
      </c>
      <c r="Z3874">
        <v>-2.2586709999999999E-3</v>
      </c>
      <c r="AA3874">
        <v>0.99407760000000001</v>
      </c>
      <c r="AB3874">
        <v>33</v>
      </c>
      <c r="AC3874">
        <v>38.0825999999999</v>
      </c>
      <c r="AD3874">
        <v>-1.120425433446</v>
      </c>
      <c r="AE3874">
        <v>-4.3478000000000296</v>
      </c>
      <c r="AF3874">
        <v>4.1992342014739403</v>
      </c>
      <c r="AG3874">
        <v>-1.120425433446</v>
      </c>
      <c r="AH3874">
        <v>38.066346392570203</v>
      </c>
      <c r="AI3874">
        <v>91.6757684204931</v>
      </c>
      <c r="AJ3874">
        <v>83.704951215013693</v>
      </c>
      <c r="AK3874">
        <v>38.313648334632397</v>
      </c>
      <c r="AL3874">
        <v>94.524715204156607</v>
      </c>
      <c r="AM3874">
        <v>89.479135856256704</v>
      </c>
      <c r="AN3874">
        <v>0.999999995453558</v>
      </c>
    </row>
    <row r="3875" spans="1:40" x14ac:dyDescent="0.25">
      <c r="A3875" t="str">
        <f>"20190303154846299"</f>
        <v>20190303154846299</v>
      </c>
      <c r="B3875" t="str">
        <f>"1551599326294440"</f>
        <v>1551599326294440</v>
      </c>
      <c r="C3875" t="s">
        <v>40</v>
      </c>
      <c r="D3875">
        <v>5.3429580000000003</v>
      </c>
      <c r="E3875">
        <v>0.5407805</v>
      </c>
      <c r="F3875" t="s">
        <v>52</v>
      </c>
      <c r="G3875">
        <v>-235.6644</v>
      </c>
      <c r="H3875" s="1">
        <v>1.6494170000000001E-6</v>
      </c>
      <c r="I3875">
        <v>210.6833</v>
      </c>
      <c r="J3875">
        <v>-273.27609999999999</v>
      </c>
      <c r="K3875">
        <v>1.120431</v>
      </c>
      <c r="L3875">
        <v>215.1925</v>
      </c>
      <c r="M3875">
        <v>0.99990060000000003</v>
      </c>
      <c r="N3875">
        <v>-1.3546849999999999E-2</v>
      </c>
      <c r="O3875">
        <v>-3.9296959999999999E-3</v>
      </c>
      <c r="P3875">
        <v>0.99565550000000003</v>
      </c>
      <c r="Q3875">
        <v>-9.2189400000000005E-2</v>
      </c>
      <c r="R3875">
        <v>-1.3093560000000001E-2</v>
      </c>
      <c r="S3875">
        <v>3.000305</v>
      </c>
      <c r="T3875">
        <v>-8.8602899999999998E-2</v>
      </c>
      <c r="U3875">
        <v>-0.35668949999999999</v>
      </c>
      <c r="V3875">
        <v>9.1567320000000008E-3</v>
      </c>
      <c r="W3875">
        <v>-7.8695109999999999E-2</v>
      </c>
      <c r="X3875">
        <v>0.99685670000000004</v>
      </c>
      <c r="Y3875">
        <v>0.11407829999999999</v>
      </c>
      <c r="Z3875">
        <v>-2.3912959999999998E-3</v>
      </c>
      <c r="AA3875">
        <v>0.99346889999999999</v>
      </c>
      <c r="AB3875">
        <v>33</v>
      </c>
      <c r="AC3875">
        <v>37.6116999999999</v>
      </c>
      <c r="AD3875">
        <v>-1.1204293505830001</v>
      </c>
      <c r="AE3875">
        <v>-4.5091999999999901</v>
      </c>
      <c r="AF3875">
        <v>4.35753696017587</v>
      </c>
      <c r="AG3875">
        <v>-1.1204293505830001</v>
      </c>
      <c r="AH3875">
        <v>37.596240505793602</v>
      </c>
      <c r="AI3875">
        <v>91.695657816140994</v>
      </c>
      <c r="AJ3875">
        <v>83.388716141858396</v>
      </c>
      <c r="AK3875">
        <v>37.8645056808936</v>
      </c>
      <c r="AL3875">
        <v>94.513564457863197</v>
      </c>
      <c r="AM3875">
        <v>89.473718396173993</v>
      </c>
      <c r="AN3875">
        <v>1.00000002320686</v>
      </c>
    </row>
    <row r="3876" spans="1:40" x14ac:dyDescent="0.25">
      <c r="A3876" t="str">
        <f>"20190303154846321"</f>
        <v>20190303154846321</v>
      </c>
      <c r="B3876" t="str">
        <f>"1551599326314940"</f>
        <v>1551599326314940</v>
      </c>
      <c r="C3876" t="s">
        <v>40</v>
      </c>
      <c r="D3876">
        <v>5.350403</v>
      </c>
      <c r="E3876">
        <v>0.54192600000000002</v>
      </c>
      <c r="F3876" t="s">
        <v>52</v>
      </c>
      <c r="G3876">
        <v>-235.76939999999999</v>
      </c>
      <c r="H3876" s="1">
        <v>1.7090930000000001E-6</v>
      </c>
      <c r="I3876">
        <v>210.5966</v>
      </c>
      <c r="J3876">
        <v>-272.94959999999998</v>
      </c>
      <c r="K3876">
        <v>1.120449</v>
      </c>
      <c r="L3876">
        <v>215.191</v>
      </c>
      <c r="M3876">
        <v>0.99990020000000002</v>
      </c>
      <c r="N3876">
        <v>-1.3538339999999999E-2</v>
      </c>
      <c r="O3876">
        <v>-4.0513629999999997E-3</v>
      </c>
      <c r="P3876">
        <v>0.99562050000000002</v>
      </c>
      <c r="Q3876">
        <v>-9.2471899999999996E-2</v>
      </c>
      <c r="R3876">
        <v>-1.3731459999999999E-2</v>
      </c>
      <c r="S3876">
        <v>2.9999690000000001</v>
      </c>
      <c r="T3876">
        <v>-8.9617370000000002E-2</v>
      </c>
      <c r="U3876">
        <v>-0.36759950000000002</v>
      </c>
      <c r="V3876">
        <v>9.6734520000000008E-3</v>
      </c>
      <c r="W3876">
        <v>-7.8986699999999896E-2</v>
      </c>
      <c r="X3876">
        <v>0.99682870000000001</v>
      </c>
      <c r="Y3876">
        <v>0.1175273</v>
      </c>
      <c r="Z3876">
        <v>-2.4814279999999999E-3</v>
      </c>
      <c r="AA3876">
        <v>0.99306649999999996</v>
      </c>
      <c r="AB3876">
        <v>33</v>
      </c>
      <c r="AC3876">
        <v>37.1801999999999</v>
      </c>
      <c r="AD3876">
        <v>-1.120447290907</v>
      </c>
      <c r="AE3876">
        <v>-4.5943999999999701</v>
      </c>
      <c r="AF3876">
        <v>4.4397466718657901</v>
      </c>
      <c r="AG3876">
        <v>-1.120447290907</v>
      </c>
      <c r="AH3876">
        <v>37.1652659544607</v>
      </c>
      <c r="AI3876">
        <v>91.714629254941997</v>
      </c>
      <c r="AJ3876">
        <v>83.187753364417802</v>
      </c>
      <c r="AK3876">
        <v>37.446278134253099</v>
      </c>
      <c r="AL3876">
        <v>94.530323761874001</v>
      </c>
      <c r="AM3876">
        <v>89.4440062011778</v>
      </c>
      <c r="AN3876">
        <v>0.99999996579708705</v>
      </c>
    </row>
    <row r="3877" spans="1:40" x14ac:dyDescent="0.25">
      <c r="A3877" t="str">
        <f>"20190303154846343"</f>
        <v>20190303154846343</v>
      </c>
      <c r="B3877" t="str">
        <f>"1551599326334456"</f>
        <v>1551599326334456</v>
      </c>
      <c r="C3877" t="s">
        <v>40</v>
      </c>
      <c r="D3877">
        <v>5.3584250000000004</v>
      </c>
      <c r="E3877">
        <v>0.54298939999999996</v>
      </c>
      <c r="F3877" t="s">
        <v>52</v>
      </c>
      <c r="G3877">
        <v>-236.7423</v>
      </c>
      <c r="H3877" s="1">
        <v>2.225763E-6</v>
      </c>
      <c r="I3877">
        <v>210.6207</v>
      </c>
      <c r="J3877">
        <v>-272.62479999999999</v>
      </c>
      <c r="K3877">
        <v>1.1204510000000001</v>
      </c>
      <c r="L3877">
        <v>215.18960000000001</v>
      </c>
      <c r="M3877">
        <v>0.99989989999999995</v>
      </c>
      <c r="N3877">
        <v>-1.3521729999999999E-2</v>
      </c>
      <c r="O3877">
        <v>-4.1727350000000003E-3</v>
      </c>
      <c r="P3877">
        <v>0.99562059999999997</v>
      </c>
      <c r="Q3877">
        <v>-9.2394409999999996E-2</v>
      </c>
      <c r="R3877">
        <v>-1.4252300000000001E-2</v>
      </c>
      <c r="S3877">
        <v>2.9993590000000001</v>
      </c>
      <c r="T3877">
        <v>-9.2816109999999993E-2</v>
      </c>
      <c r="U3877">
        <v>-0.37860110000000002</v>
      </c>
      <c r="V3877">
        <v>1.007308E-2</v>
      </c>
      <c r="W3877">
        <v>-7.892586E-2</v>
      </c>
      <c r="X3877">
        <v>0.99682959999999998</v>
      </c>
      <c r="Y3877">
        <v>0.1210106</v>
      </c>
      <c r="Z3877">
        <v>-2.613822E-3</v>
      </c>
      <c r="AA3877">
        <v>0.99264779999999997</v>
      </c>
      <c r="AB3877">
        <v>33</v>
      </c>
      <c r="AC3877">
        <v>35.882499999999901</v>
      </c>
      <c r="AD3877">
        <v>-1.120448774237</v>
      </c>
      <c r="AE3877">
        <v>-4.56890000000001</v>
      </c>
      <c r="AF3877">
        <v>4.4148823950840201</v>
      </c>
      <c r="AG3877">
        <v>-1.120448774237</v>
      </c>
      <c r="AH3877">
        <v>35.866840744088698</v>
      </c>
      <c r="AI3877">
        <v>91.775893850072606</v>
      </c>
      <c r="AJ3877">
        <v>82.982708305407598</v>
      </c>
      <c r="AK3877">
        <v>36.154900870835398</v>
      </c>
      <c r="AL3877">
        <v>94.526826792545805</v>
      </c>
      <c r="AM3877">
        <v>89.4210391353175</v>
      </c>
      <c r="AN3877">
        <v>1.0000000048767901</v>
      </c>
    </row>
    <row r="3878" spans="1:40" x14ac:dyDescent="0.25">
      <c r="A3878" t="str">
        <f>"20190303154846366"</f>
        <v>20190303154846366</v>
      </c>
      <c r="B3878" t="str">
        <f>"1551599326354956"</f>
        <v>1551599326354956</v>
      </c>
      <c r="C3878" t="s">
        <v>40</v>
      </c>
      <c r="D3878">
        <v>5.4009</v>
      </c>
      <c r="E3878">
        <v>0.54396959999999905</v>
      </c>
      <c r="F3878" t="s">
        <v>52</v>
      </c>
      <c r="G3878">
        <v>-237.20779999999999</v>
      </c>
      <c r="H3878" s="1">
        <v>2.4744610000000002E-6</v>
      </c>
      <c r="I3878">
        <v>210.5985</v>
      </c>
      <c r="J3878">
        <v>-272.28219999999999</v>
      </c>
      <c r="K3878">
        <v>1.120449</v>
      </c>
      <c r="L3878">
        <v>215.18799999999999</v>
      </c>
      <c r="M3878">
        <v>0.99989969999999995</v>
      </c>
      <c r="N3878">
        <v>-1.349934E-2</v>
      </c>
      <c r="O3878">
        <v>-4.3008630000000003E-3</v>
      </c>
      <c r="P3878">
        <v>0.9955813</v>
      </c>
      <c r="Q3878">
        <v>-9.2679410000000004E-2</v>
      </c>
      <c r="R3878">
        <v>-1.512546E-2</v>
      </c>
      <c r="S3878">
        <v>2.99884</v>
      </c>
      <c r="T3878">
        <v>-9.487081E-2</v>
      </c>
      <c r="U3878">
        <v>-0.38873289999999999</v>
      </c>
      <c r="V3878">
        <v>1.081853E-2</v>
      </c>
      <c r="W3878">
        <v>-7.9233880000000007E-2</v>
      </c>
      <c r="X3878">
        <v>0.9967973</v>
      </c>
      <c r="Y3878">
        <v>0.12419860000000001</v>
      </c>
      <c r="Z3878">
        <v>-2.7203850000000001E-3</v>
      </c>
      <c r="AA3878">
        <v>0.99225370000000002</v>
      </c>
      <c r="AB3878">
        <v>33</v>
      </c>
      <c r="AC3878">
        <v>35.074399999999997</v>
      </c>
      <c r="AD3878">
        <v>-1.1204465255389999</v>
      </c>
      <c r="AE3878">
        <v>-4.5894999999999797</v>
      </c>
      <c r="AF3878">
        <v>4.4341448628498998</v>
      </c>
      <c r="AG3878">
        <v>-1.1204465255389999</v>
      </c>
      <c r="AH3878">
        <v>35.058641982766197</v>
      </c>
      <c r="AI3878">
        <v>91.816046920008404</v>
      </c>
      <c r="AJ3878">
        <v>82.791621840606496</v>
      </c>
      <c r="AK3878">
        <v>35.355698533010397</v>
      </c>
      <c r="AL3878">
        <v>94.544530718595396</v>
      </c>
      <c r="AM3878">
        <v>89.378176713728195</v>
      </c>
      <c r="AN3878">
        <v>0.99999995280925102</v>
      </c>
    </row>
    <row r="3879" spans="1:40" x14ac:dyDescent="0.25">
      <c r="A3879" t="str">
        <f>"20190303154846390"</f>
        <v>20190303154846390</v>
      </c>
      <c r="B3879" t="str">
        <f>"1551599326384232"</f>
        <v>1551599326384232</v>
      </c>
      <c r="C3879" t="s">
        <v>40</v>
      </c>
      <c r="D3879">
        <v>5.3926299999999996</v>
      </c>
      <c r="E3879">
        <v>0.54534300000000002</v>
      </c>
      <c r="F3879" t="s">
        <v>52</v>
      </c>
      <c r="G3879">
        <v>-238.00020000000001</v>
      </c>
      <c r="H3879" s="1">
        <v>2.8950159999999998E-6</v>
      </c>
      <c r="I3879">
        <v>210.6249</v>
      </c>
      <c r="J3879">
        <v>-271.94830000000002</v>
      </c>
      <c r="K3879">
        <v>1.1204449999999999</v>
      </c>
      <c r="L3879">
        <v>215.18639999999999</v>
      </c>
      <c r="M3879">
        <v>0.9998996</v>
      </c>
      <c r="N3879">
        <v>-1.347069E-2</v>
      </c>
      <c r="O3879">
        <v>-4.4258459999999998E-3</v>
      </c>
      <c r="P3879">
        <v>0.99545530000000004</v>
      </c>
      <c r="Q3879">
        <v>-9.3968019999999999E-2</v>
      </c>
      <c r="R3879">
        <v>-1.5464479999999999E-2</v>
      </c>
      <c r="S3879">
        <v>2.998138</v>
      </c>
      <c r="T3879">
        <v>-9.7988839999999994E-2</v>
      </c>
      <c r="U3879">
        <v>-0.3990631</v>
      </c>
      <c r="V3879">
        <v>1.1033029999999999E-2</v>
      </c>
      <c r="W3879">
        <v>-8.0552699999999894E-2</v>
      </c>
      <c r="X3879">
        <v>0.9966893</v>
      </c>
      <c r="Y3879">
        <v>0.12745709999999999</v>
      </c>
      <c r="Z3879">
        <v>-2.851148E-3</v>
      </c>
      <c r="AA3879">
        <v>0.99184000000000005</v>
      </c>
      <c r="AB3879">
        <v>33</v>
      </c>
      <c r="AC3879">
        <v>33.948099999999997</v>
      </c>
      <c r="AD3879">
        <v>-1.1204421049840001</v>
      </c>
      <c r="AE3879">
        <v>-4.5614999999999899</v>
      </c>
      <c r="AF3879">
        <v>4.4064777825366903</v>
      </c>
      <c r="AG3879">
        <v>-1.1204421049840001</v>
      </c>
      <c r="AH3879">
        <v>33.931651483372299</v>
      </c>
      <c r="AI3879">
        <v>91.875514212615997</v>
      </c>
      <c r="AJ3879">
        <v>82.600787604524598</v>
      </c>
      <c r="AK3879">
        <v>34.2349150626615</v>
      </c>
      <c r="AL3879">
        <v>94.6203355861782</v>
      </c>
      <c r="AM3879">
        <v>89.365780052471493</v>
      </c>
      <c r="AN3879">
        <v>1.00000001298138</v>
      </c>
    </row>
    <row r="3880" spans="1:40" x14ac:dyDescent="0.25">
      <c r="A3880" t="str">
        <f>"20190303154846410"</f>
        <v>20190303154846410</v>
      </c>
      <c r="B3880" t="str">
        <f>"1551599326404728"</f>
        <v>1551599326404728</v>
      </c>
      <c r="C3880" t="s">
        <v>40</v>
      </c>
      <c r="D3880">
        <v>5.4034940000000002</v>
      </c>
      <c r="E3880">
        <v>0.54616960000000003</v>
      </c>
      <c r="F3880" t="s">
        <v>52</v>
      </c>
      <c r="G3880">
        <v>-240.11709999999999</v>
      </c>
      <c r="H3880" s="1">
        <v>-1.308621E-6</v>
      </c>
      <c r="I3880">
        <v>210.82140000000001</v>
      </c>
      <c r="J3880">
        <v>-271.63189999999997</v>
      </c>
      <c r="K3880">
        <v>1.1204430000000001</v>
      </c>
      <c r="L3880">
        <v>215.1849</v>
      </c>
      <c r="M3880">
        <v>0.9998996</v>
      </c>
      <c r="N3880">
        <v>-1.3430559999999999E-2</v>
      </c>
      <c r="O3880">
        <v>-4.5444379999999996E-3</v>
      </c>
      <c r="P3880">
        <v>0.99540399999999996</v>
      </c>
      <c r="Q3880">
        <v>-9.4363349999999999E-2</v>
      </c>
      <c r="R3880">
        <v>-1.633596E-2</v>
      </c>
      <c r="S3880">
        <v>2.9973450000000001</v>
      </c>
      <c r="T3880">
        <v>-0.1055053</v>
      </c>
      <c r="U3880">
        <v>-0.411026</v>
      </c>
      <c r="V3880">
        <v>1.1786339999999999E-2</v>
      </c>
      <c r="W3880">
        <v>-8.0988850000000001E-2</v>
      </c>
      <c r="X3880">
        <v>0.99664529999999996</v>
      </c>
      <c r="Y3880">
        <v>0.13124479999999999</v>
      </c>
      <c r="Z3880">
        <v>-3.085876E-3</v>
      </c>
      <c r="AA3880">
        <v>0.99134520000000004</v>
      </c>
      <c r="AB3880">
        <v>33</v>
      </c>
      <c r="AC3880">
        <v>31.514799999999902</v>
      </c>
      <c r="AD3880">
        <v>-1.1204443086210001</v>
      </c>
      <c r="AE3880">
        <v>-4.3634999999999797</v>
      </c>
      <c r="AF3880">
        <v>4.2149973855219001</v>
      </c>
      <c r="AG3880">
        <v>-1.1204443086210001</v>
      </c>
      <c r="AH3880">
        <v>31.495244413746398</v>
      </c>
      <c r="AI3880">
        <v>92.019450734464797</v>
      </c>
      <c r="AJ3880">
        <v>82.377418583328307</v>
      </c>
      <c r="AK3880">
        <v>31.7957861844978</v>
      </c>
      <c r="AL3880">
        <v>94.645407196623395</v>
      </c>
      <c r="AM3880">
        <v>89.322450967329104</v>
      </c>
      <c r="AN3880">
        <v>0.999999982823504</v>
      </c>
    </row>
    <row r="3881" spans="1:40" x14ac:dyDescent="0.25">
      <c r="A3881" t="str">
        <f>"20190303154846433"</f>
        <v>20190303154846433</v>
      </c>
      <c r="B3881" t="str">
        <f>"1551599326424249"</f>
        <v>1551599326424249</v>
      </c>
      <c r="C3881" t="s">
        <v>40</v>
      </c>
      <c r="D3881">
        <v>5.400468</v>
      </c>
      <c r="E3881">
        <v>0.54695799999999895</v>
      </c>
      <c r="F3881" t="s">
        <v>52</v>
      </c>
      <c r="G3881">
        <v>-240.9068</v>
      </c>
      <c r="H3881" s="1">
        <v>-8.9064969999999997E-7</v>
      </c>
      <c r="I3881">
        <v>210.87430000000001</v>
      </c>
      <c r="J3881">
        <v>-271.31029999999998</v>
      </c>
      <c r="K3881">
        <v>1.12043</v>
      </c>
      <c r="L3881">
        <v>215.1833</v>
      </c>
      <c r="M3881">
        <v>0.99989980000000001</v>
      </c>
      <c r="N3881">
        <v>-1.336349E-2</v>
      </c>
      <c r="O3881">
        <v>-4.6636179999999996E-3</v>
      </c>
      <c r="P3881">
        <v>0.99541120000000005</v>
      </c>
      <c r="Q3881">
        <v>-9.4250589999999995E-2</v>
      </c>
      <c r="R3881">
        <v>-1.6542310000000001E-2</v>
      </c>
      <c r="S3881">
        <v>2.996613</v>
      </c>
      <c r="T3881">
        <v>-0.10927679999999999</v>
      </c>
      <c r="U3881">
        <v>-0.42041020000000001</v>
      </c>
      <c r="V3881">
        <v>1.187302E-2</v>
      </c>
      <c r="W3881">
        <v>-8.0943000000000001E-2</v>
      </c>
      <c r="X3881">
        <v>0.99664799999999998</v>
      </c>
      <c r="Y3881">
        <v>0.13419539999999999</v>
      </c>
      <c r="Z3881">
        <v>-3.2284309999999999E-3</v>
      </c>
      <c r="AA3881">
        <v>0.99094959999999999</v>
      </c>
      <c r="AB3881">
        <v>33</v>
      </c>
      <c r="AC3881">
        <v>30.403499999999902</v>
      </c>
      <c r="AD3881">
        <v>-1.1204308906497</v>
      </c>
      <c r="AE3881">
        <v>-4.3089999999999904</v>
      </c>
      <c r="AF3881">
        <v>4.1616096773067497</v>
      </c>
      <c r="AG3881">
        <v>-1.1204308906497</v>
      </c>
      <c r="AH3881">
        <v>30.382817058599599</v>
      </c>
      <c r="AI3881">
        <v>92.092426842190804</v>
      </c>
      <c r="AJ3881">
        <v>82.200589667464996</v>
      </c>
      <c r="AK3881">
        <v>30.686966824750002</v>
      </c>
      <c r="AL3881">
        <v>94.642771512989498</v>
      </c>
      <c r="AM3881">
        <v>89.317470403113205</v>
      </c>
      <c r="AN3881">
        <v>0.99999998687846003</v>
      </c>
    </row>
    <row r="3882" spans="1:40" x14ac:dyDescent="0.25">
      <c r="A3882" t="str">
        <f>"20190303154846455"</f>
        <v>20190303154846455</v>
      </c>
      <c r="B3882" t="str">
        <f>"1551599326444744"</f>
        <v>1551599326444744</v>
      </c>
      <c r="C3882" t="s">
        <v>40</v>
      </c>
      <c r="D3882">
        <v>5.3910609999999997</v>
      </c>
      <c r="E3882">
        <v>0.54768380000000005</v>
      </c>
      <c r="F3882" t="s">
        <v>52</v>
      </c>
      <c r="G3882">
        <v>-241.2167</v>
      </c>
      <c r="H3882" s="1">
        <v>-7.2636100000000003E-7</v>
      </c>
      <c r="I3882">
        <v>210.88810000000001</v>
      </c>
      <c r="J3882">
        <v>-270.98099999999999</v>
      </c>
      <c r="K3882">
        <v>1.1204130000000001</v>
      </c>
      <c r="L3882">
        <v>215.1816</v>
      </c>
      <c r="M3882">
        <v>0.99990060000000003</v>
      </c>
      <c r="N3882">
        <v>-1.326126E-2</v>
      </c>
      <c r="O3882">
        <v>-4.7863269999999999E-3</v>
      </c>
      <c r="P3882">
        <v>0.99548829999999999</v>
      </c>
      <c r="Q3882">
        <v>-9.3453300000000003E-2</v>
      </c>
      <c r="R3882">
        <v>-1.6419039999999999E-2</v>
      </c>
      <c r="S3882">
        <v>2.9961549999999999</v>
      </c>
      <c r="T3882">
        <v>-0.11155130000000001</v>
      </c>
      <c r="U3882">
        <v>-0.4276276</v>
      </c>
      <c r="V3882">
        <v>1.1627210000000001E-2</v>
      </c>
      <c r="W3882">
        <v>-8.0246620000000005E-2</v>
      </c>
      <c r="X3882">
        <v>0.99670720000000002</v>
      </c>
      <c r="Y3882">
        <v>0.13642839999999901</v>
      </c>
      <c r="Z3882">
        <v>-3.3215950000000001E-3</v>
      </c>
      <c r="AA3882">
        <v>0.99064439999999998</v>
      </c>
      <c r="AB3882">
        <v>33</v>
      </c>
      <c r="AC3882">
        <v>29.764299999999899</v>
      </c>
      <c r="AD3882">
        <v>-1.1204137263609999</v>
      </c>
      <c r="AE3882">
        <v>-4.2934999999999901</v>
      </c>
      <c r="AF3882">
        <v>4.1452226166530703</v>
      </c>
      <c r="AG3882">
        <v>-1.1204137263609999</v>
      </c>
      <c r="AH3882">
        <v>29.7432242749375</v>
      </c>
      <c r="AI3882">
        <v>92.136654868223303</v>
      </c>
      <c r="AJ3882">
        <v>82.065966225186301</v>
      </c>
      <c r="AK3882">
        <v>30.051582116904601</v>
      </c>
      <c r="AL3882">
        <v>94.602741701722607</v>
      </c>
      <c r="AM3882">
        <v>89.331639379047701</v>
      </c>
      <c r="AN3882">
        <v>0.99999997728282397</v>
      </c>
    </row>
    <row r="3883" spans="1:40" x14ac:dyDescent="0.25">
      <c r="A3883" t="str">
        <f>"20190303154846477"</f>
        <v>20190303154846477</v>
      </c>
      <c r="B3883" t="str">
        <f>"1551599326475000"</f>
        <v>1551599326475000</v>
      </c>
      <c r="C3883" t="s">
        <v>40</v>
      </c>
      <c r="D3883">
        <v>5.3810900000000004</v>
      </c>
      <c r="E3883">
        <v>0.54791400000000001</v>
      </c>
      <c r="F3883" t="s">
        <v>52</v>
      </c>
      <c r="G3883">
        <v>-240.5257</v>
      </c>
      <c r="H3883" s="1">
        <v>-1.089449E-6</v>
      </c>
      <c r="I3883">
        <v>210.78280000000001</v>
      </c>
      <c r="J3883">
        <v>-270.65089999999998</v>
      </c>
      <c r="K3883">
        <v>1.1203989999999999</v>
      </c>
      <c r="L3883">
        <v>215.1798</v>
      </c>
      <c r="M3883">
        <v>0.9999017</v>
      </c>
      <c r="N3883">
        <v>-1.3132110000000001E-2</v>
      </c>
      <c r="O3883">
        <v>-4.9149550000000004E-3</v>
      </c>
      <c r="P3883">
        <v>0.9954904</v>
      </c>
      <c r="Q3883">
        <v>-9.3403749999999994E-2</v>
      </c>
      <c r="R3883">
        <v>-1.657279E-2</v>
      </c>
      <c r="S3883">
        <v>2.996124</v>
      </c>
      <c r="T3883">
        <v>-0.110224</v>
      </c>
      <c r="U3883">
        <v>-0.43273929999999999</v>
      </c>
      <c r="V3883">
        <v>1.1653780000000001E-2</v>
      </c>
      <c r="W3883">
        <v>-8.0325610000000006E-2</v>
      </c>
      <c r="X3883">
        <v>0.99670049999999999</v>
      </c>
      <c r="Y3883">
        <v>0.13795979999999999</v>
      </c>
      <c r="Z3883">
        <v>-3.3191280000000002E-3</v>
      </c>
      <c r="AA3883">
        <v>0.99043230000000004</v>
      </c>
      <c r="AB3883">
        <v>33</v>
      </c>
      <c r="AC3883">
        <v>30.1251999999999</v>
      </c>
      <c r="AD3883">
        <v>-1.1204000894489901</v>
      </c>
      <c r="AE3883">
        <v>-4.3969999999999896</v>
      </c>
      <c r="AF3883">
        <v>4.2431234298471399</v>
      </c>
      <c r="AG3883">
        <v>-1.1204000894489901</v>
      </c>
      <c r="AH3883">
        <v>30.105675312516698</v>
      </c>
      <c r="AI3883">
        <v>92.110472549221001</v>
      </c>
      <c r="AJ3883">
        <v>81.977518584624704</v>
      </c>
      <c r="AK3883">
        <v>30.423857066848601</v>
      </c>
      <c r="AL3883">
        <v>94.607282276534505</v>
      </c>
      <c r="AM3883">
        <v>89.330107706442107</v>
      </c>
      <c r="AN3883">
        <v>0.99999995045520396</v>
      </c>
    </row>
    <row r="3884" spans="1:40" x14ac:dyDescent="0.25">
      <c r="A3884" t="str">
        <f>"20190303154846494"</f>
        <v>20190303154846494</v>
      </c>
      <c r="B3884" t="str">
        <f>"1551599326484760"</f>
        <v>1551599326484760</v>
      </c>
      <c r="C3884" t="s">
        <v>40</v>
      </c>
      <c r="D3884">
        <v>5.3789480000000003</v>
      </c>
      <c r="E3884">
        <v>0.54795640000000001</v>
      </c>
      <c r="F3884" t="s">
        <v>52</v>
      </c>
      <c r="G3884">
        <v>-240.61009999999999</v>
      </c>
      <c r="H3884" s="1">
        <v>-1.046105E-6</v>
      </c>
      <c r="I3884">
        <v>210.81809999999999</v>
      </c>
      <c r="J3884">
        <v>-270.42129999999997</v>
      </c>
      <c r="K3884">
        <v>1.120384</v>
      </c>
      <c r="L3884">
        <v>215.17859999999999</v>
      </c>
      <c r="M3884">
        <v>0.99990270000000003</v>
      </c>
      <c r="N3884">
        <v>-1.3027159999999999E-2</v>
      </c>
      <c r="O3884">
        <v>-5.0078839999999998E-3</v>
      </c>
      <c r="P3884">
        <v>0.99549540000000003</v>
      </c>
      <c r="Q3884">
        <v>-9.3329209999999996E-2</v>
      </c>
      <c r="R3884">
        <v>-1.67011E-2</v>
      </c>
      <c r="S3884">
        <v>2.9958499999999999</v>
      </c>
      <c r="T3884">
        <v>-0.1117331</v>
      </c>
      <c r="U3884">
        <v>-0.43498229999999999</v>
      </c>
      <c r="V3884">
        <v>1.169041E-2</v>
      </c>
      <c r="W3884">
        <v>-8.0355490000000002E-2</v>
      </c>
      <c r="X3884">
        <v>0.99669770000000002</v>
      </c>
      <c r="Y3884">
        <v>0.13860359999999999</v>
      </c>
      <c r="Z3884">
        <v>-3.3574619999999999E-3</v>
      </c>
      <c r="AA3884">
        <v>0.99034230000000001</v>
      </c>
      <c r="AB3884">
        <v>33</v>
      </c>
      <c r="AC3884">
        <v>29.8111999999999</v>
      </c>
      <c r="AD3884">
        <v>-1.120385046105</v>
      </c>
      <c r="AE3884">
        <v>-4.3605</v>
      </c>
      <c r="AF3884">
        <v>4.2053261985190398</v>
      </c>
      <c r="AG3884">
        <v>-1.120385046105</v>
      </c>
      <c r="AH3884">
        <v>29.791467066389199</v>
      </c>
      <c r="AI3884">
        <v>92.132618310351802</v>
      </c>
      <c r="AJ3884">
        <v>81.965284866617395</v>
      </c>
      <c r="AK3884">
        <v>30.107665818778401</v>
      </c>
      <c r="AL3884">
        <v>94.608999653940899</v>
      </c>
      <c r="AM3884">
        <v>89.328000415390804</v>
      </c>
      <c r="AN3884">
        <v>0.99999998782219901</v>
      </c>
    </row>
    <row r="3885" spans="1:40" x14ac:dyDescent="0.25">
      <c r="A3885" t="str">
        <f>"20190303154846508"</f>
        <v>20190303154846508</v>
      </c>
      <c r="B3885" t="str">
        <f>"1551599326504281"</f>
        <v>1551599326504281</v>
      </c>
      <c r="C3885" t="s">
        <v>40</v>
      </c>
      <c r="D3885">
        <v>5.3549759999999997</v>
      </c>
      <c r="E3885">
        <v>0.54805950000000003</v>
      </c>
      <c r="F3885" t="s">
        <v>52</v>
      </c>
      <c r="G3885">
        <v>-240.46709999999999</v>
      </c>
      <c r="H3885" s="1">
        <v>-1.122322E-6</v>
      </c>
      <c r="I3885">
        <v>210.82069999999999</v>
      </c>
      <c r="J3885">
        <v>-270.21289999999999</v>
      </c>
      <c r="K3885">
        <v>1.1203719999999999</v>
      </c>
      <c r="L3885">
        <v>215.17750000000001</v>
      </c>
      <c r="M3885">
        <v>0.99990349999999995</v>
      </c>
      <c r="N3885">
        <v>-1.2926139999999999E-2</v>
      </c>
      <c r="O3885">
        <v>-5.0925170000000004E-3</v>
      </c>
      <c r="P3885">
        <v>0.99550959999999999</v>
      </c>
      <c r="Q3885">
        <v>-9.3172279999999996E-2</v>
      </c>
      <c r="R3885">
        <v>-1.6723499999999999E-2</v>
      </c>
      <c r="S3885">
        <v>2.9957579999999999</v>
      </c>
      <c r="T3885">
        <v>-0.1120512</v>
      </c>
      <c r="U3885">
        <v>-0.43583680000000002</v>
      </c>
      <c r="V3885">
        <v>1.1629240000000001E-2</v>
      </c>
      <c r="W3885">
        <v>-8.0298969999999997E-2</v>
      </c>
      <c r="X3885">
        <v>0.99670300000000001</v>
      </c>
      <c r="Y3885">
        <v>0.13880029999999999</v>
      </c>
      <c r="Z3885">
        <v>-3.3596199999999998E-3</v>
      </c>
      <c r="AA3885">
        <v>0.99031469999999999</v>
      </c>
      <c r="AB3885">
        <v>33</v>
      </c>
      <c r="AC3885">
        <v>29.745799999999999</v>
      </c>
      <c r="AD3885">
        <v>-1.1203731223219999</v>
      </c>
      <c r="AE3885">
        <v>-4.3568000000000202</v>
      </c>
      <c r="AF3885">
        <v>4.19941748293299</v>
      </c>
      <c r="AG3885">
        <v>-1.1203731223219999</v>
      </c>
      <c r="AH3885">
        <v>29.726317719449501</v>
      </c>
      <c r="AI3885">
        <v>92.137232487338807</v>
      </c>
      <c r="AJ3885">
        <v>81.959071936760694</v>
      </c>
      <c r="AK3885">
        <v>30.042375210473001</v>
      </c>
      <c r="AL3885">
        <v>94.605750663206294</v>
      </c>
      <c r="AM3885">
        <v>89.331519883607896</v>
      </c>
      <c r="AN3885">
        <v>1.0000000170075101</v>
      </c>
    </row>
    <row r="3886" spans="1:40" x14ac:dyDescent="0.25">
      <c r="A3886" t="str">
        <f>"20190303154846522"</f>
        <v>20190303154846522</v>
      </c>
      <c r="B3886" t="str">
        <f>"1551599326515016"</f>
        <v>1551599326515016</v>
      </c>
      <c r="C3886" t="s">
        <v>40</v>
      </c>
      <c r="D3886">
        <v>5.3668610000000001</v>
      </c>
      <c r="E3886">
        <v>0.54811259999999995</v>
      </c>
      <c r="F3886" t="s">
        <v>52</v>
      </c>
      <c r="G3886">
        <v>-240.4572</v>
      </c>
      <c r="H3886" s="1">
        <v>-1.1284920000000001E-6</v>
      </c>
      <c r="I3886">
        <v>210.84110000000001</v>
      </c>
      <c r="J3886">
        <v>-269.99329999999998</v>
      </c>
      <c r="K3886">
        <v>1.120363</v>
      </c>
      <c r="L3886">
        <v>215.1763</v>
      </c>
      <c r="M3886">
        <v>0.99990440000000003</v>
      </c>
      <c r="N3886">
        <v>-1.281531E-2</v>
      </c>
      <c r="O3886">
        <v>-5.1812759999999899E-3</v>
      </c>
      <c r="P3886">
        <v>0.99550709999999998</v>
      </c>
      <c r="Q3886">
        <v>-9.325543E-2</v>
      </c>
      <c r="R3886">
        <v>-1.6401820000000001E-2</v>
      </c>
      <c r="S3886">
        <v>2.9956670000000001</v>
      </c>
      <c r="T3886">
        <v>-0.1127938</v>
      </c>
      <c r="U3886">
        <v>-0.43656919999999999</v>
      </c>
      <c r="V3886">
        <v>1.1219410000000001E-2</v>
      </c>
      <c r="W3886">
        <v>-8.0492439999999998E-2</v>
      </c>
      <c r="X3886">
        <v>0.99669209999999997</v>
      </c>
      <c r="Y3886">
        <v>0.13895250000000001</v>
      </c>
      <c r="Z3886">
        <v>-3.3688530000000002E-3</v>
      </c>
      <c r="AA3886">
        <v>0.99029330000000004</v>
      </c>
      <c r="AB3886">
        <v>33</v>
      </c>
      <c r="AC3886">
        <v>29.536099999999902</v>
      </c>
      <c r="AD3886">
        <v>-1.1203641284919901</v>
      </c>
      <c r="AE3886">
        <v>-4.33519999999998</v>
      </c>
      <c r="AF3886">
        <v>4.1762123622753</v>
      </c>
      <c r="AG3886">
        <v>-1.1203641284919901</v>
      </c>
      <c r="AH3886">
        <v>29.516593213762199</v>
      </c>
      <c r="AI3886">
        <v>92.152321835545095</v>
      </c>
      <c r="AJ3886">
        <v>81.946849237756396</v>
      </c>
      <c r="AK3886">
        <v>29.8316147806643</v>
      </c>
      <c r="AL3886">
        <v>94.616871638339703</v>
      </c>
      <c r="AM3886">
        <v>89.355068940079306</v>
      </c>
      <c r="AN3886">
        <v>1.00000002513015</v>
      </c>
    </row>
    <row r="3887" spans="1:40" x14ac:dyDescent="0.25">
      <c r="A3887" t="str">
        <f>"20190303154846545"</f>
        <v>20190303154846545</v>
      </c>
      <c r="B3887" t="str">
        <f>"1551599326534536"</f>
        <v>1551599326534536</v>
      </c>
      <c r="C3887" t="s">
        <v>40</v>
      </c>
      <c r="D3887">
        <v>5.3255369999999997</v>
      </c>
      <c r="E3887">
        <v>0.54819629999999997</v>
      </c>
      <c r="F3887" t="s">
        <v>52</v>
      </c>
      <c r="G3887">
        <v>-240.4487</v>
      </c>
      <c r="H3887" s="1">
        <v>-1.134467E-6</v>
      </c>
      <c r="I3887">
        <v>210.8751</v>
      </c>
      <c r="J3887">
        <v>-269.66989999999998</v>
      </c>
      <c r="K3887">
        <v>1.120336</v>
      </c>
      <c r="L3887">
        <v>215.17449999999999</v>
      </c>
      <c r="M3887">
        <v>0.99990610000000002</v>
      </c>
      <c r="N3887">
        <v>-1.2643659999999999E-2</v>
      </c>
      <c r="O3887">
        <v>-5.3086599999999998E-3</v>
      </c>
      <c r="P3887">
        <v>0.99553020000000003</v>
      </c>
      <c r="Q3887">
        <v>-9.3076690000000004E-2</v>
      </c>
      <c r="R3887">
        <v>-1.6023840000000001E-2</v>
      </c>
      <c r="S3887">
        <v>2.9957280000000002</v>
      </c>
      <c r="T3887">
        <v>-0.1136012</v>
      </c>
      <c r="U3887">
        <v>-0.43612669999999998</v>
      </c>
      <c r="V3887">
        <v>1.071453E-2</v>
      </c>
      <c r="W3887">
        <v>-8.0484349999999996E-2</v>
      </c>
      <c r="X3887">
        <v>0.99669830000000004</v>
      </c>
      <c r="Y3887">
        <v>0.13867939999999901</v>
      </c>
      <c r="Z3887">
        <v>-3.3630779999999998E-3</v>
      </c>
      <c r="AA3887">
        <v>0.99033159999999998</v>
      </c>
      <c r="AB3887">
        <v>33</v>
      </c>
      <c r="AC3887">
        <v>29.2211999999999</v>
      </c>
      <c r="AD3887">
        <v>-1.1203371344669999</v>
      </c>
      <c r="AE3887">
        <v>-4.2993999999999897</v>
      </c>
      <c r="AF3887">
        <v>4.1382475053391898</v>
      </c>
      <c r="AG3887">
        <v>-1.1203371344669999</v>
      </c>
      <c r="AH3887">
        <v>29.201598828960599</v>
      </c>
      <c r="AI3887">
        <v>92.175395918843506</v>
      </c>
      <c r="AJ3887">
        <v>81.934148817681105</v>
      </c>
      <c r="AK3887">
        <v>29.514634029204299</v>
      </c>
      <c r="AL3887">
        <v>94.616406646715404</v>
      </c>
      <c r="AM3887">
        <v>89.3840927568897</v>
      </c>
      <c r="AN3887">
        <v>1.0000000164854601</v>
      </c>
    </row>
    <row r="3888" spans="1:40" x14ac:dyDescent="0.25">
      <c r="A3888" t="str">
        <f>"20190303154846559"</f>
        <v>20190303154846559</v>
      </c>
      <c r="B3888" t="str">
        <f>"1551599326555032"</f>
        <v>1551599326555032</v>
      </c>
      <c r="C3888" t="s">
        <v>40</v>
      </c>
      <c r="D3888">
        <v>5.2906329999999997</v>
      </c>
      <c r="E3888">
        <v>0.54829369999999999</v>
      </c>
      <c r="F3888" t="s">
        <v>52</v>
      </c>
      <c r="G3888">
        <v>-240.17869999999999</v>
      </c>
      <c r="H3888" s="1">
        <v>-1.2786759999999999E-6</v>
      </c>
      <c r="I3888">
        <v>210.8869</v>
      </c>
      <c r="J3888">
        <v>-269.44909999999999</v>
      </c>
      <c r="K3888">
        <v>1.120317</v>
      </c>
      <c r="L3888">
        <v>215.17320000000001</v>
      </c>
      <c r="M3888">
        <v>0.99990710000000005</v>
      </c>
      <c r="N3888">
        <v>-1.2521930000000001E-2</v>
      </c>
      <c r="O3888">
        <v>-5.3936019999999999E-3</v>
      </c>
      <c r="P3888">
        <v>0.99552949999999996</v>
      </c>
      <c r="Q3888">
        <v>-9.314385E-2</v>
      </c>
      <c r="R3888">
        <v>-1.565855E-2</v>
      </c>
      <c r="S3888">
        <v>2.995819</v>
      </c>
      <c r="T3888">
        <v>-0.1138078</v>
      </c>
      <c r="U3888">
        <v>-0.43554690000000001</v>
      </c>
      <c r="V3888">
        <v>1.0264550000000001E-2</v>
      </c>
      <c r="W3888">
        <v>-8.0672759999999996E-2</v>
      </c>
      <c r="X3888">
        <v>0.99668780000000001</v>
      </c>
      <c r="Y3888">
        <v>0.13840350000000001</v>
      </c>
      <c r="Z3888">
        <v>-3.349182E-3</v>
      </c>
      <c r="AA3888">
        <v>0.99037030000000004</v>
      </c>
      <c r="AB3888">
        <v>33</v>
      </c>
      <c r="AC3888">
        <v>29.270399999999899</v>
      </c>
      <c r="AD3888">
        <v>-1.120318278676</v>
      </c>
      <c r="AE3888">
        <v>-4.2863000000000104</v>
      </c>
      <c r="AF3888">
        <v>4.1224399648880503</v>
      </c>
      <c r="AG3888">
        <v>-1.120318278676</v>
      </c>
      <c r="AH3888">
        <v>29.251142481122301</v>
      </c>
      <c r="AI3888">
        <v>92.171913010268099</v>
      </c>
      <c r="AJ3888">
        <v>81.977988688824695</v>
      </c>
      <c r="AK3888">
        <v>29.561443820634999</v>
      </c>
      <c r="AL3888">
        <v>94.627236978209098</v>
      </c>
      <c r="AM3888">
        <v>89.409951037215905</v>
      </c>
      <c r="AN3888">
        <v>1.00000001293078</v>
      </c>
    </row>
    <row r="3889" spans="1:40" x14ac:dyDescent="0.25">
      <c r="A3889" t="str">
        <f>"20190303154846577"</f>
        <v>20190303154846577</v>
      </c>
      <c r="B3889" t="str">
        <f>"1551599326574552"</f>
        <v>1551599326574552</v>
      </c>
      <c r="C3889" t="s">
        <v>40</v>
      </c>
      <c r="D3889">
        <v>5.2932249999999996</v>
      </c>
      <c r="E3889">
        <v>0.54837499999999995</v>
      </c>
      <c r="F3889" t="s">
        <v>52</v>
      </c>
      <c r="G3889">
        <v>-240.20179999999999</v>
      </c>
      <c r="H3889" s="1">
        <v>-1.2680490000000001E-6</v>
      </c>
      <c r="I3889">
        <v>210.92519999999999</v>
      </c>
      <c r="J3889">
        <v>-269.19650000000001</v>
      </c>
      <c r="K3889">
        <v>1.1202970000000001</v>
      </c>
      <c r="L3889">
        <v>215.17179999999999</v>
      </c>
      <c r="M3889">
        <v>0.99990829999999997</v>
      </c>
      <c r="N3889">
        <v>-1.238059E-2</v>
      </c>
      <c r="O3889">
        <v>-5.4888130000000004E-3</v>
      </c>
      <c r="P3889">
        <v>0.99554949999999998</v>
      </c>
      <c r="Q3889">
        <v>-9.2965980000000004E-2</v>
      </c>
      <c r="R3889">
        <v>-1.544537E-2</v>
      </c>
      <c r="S3889">
        <v>2.9958800000000001</v>
      </c>
      <c r="T3889">
        <v>-0.114757399999999</v>
      </c>
      <c r="U3889">
        <v>-0.43513489999999999</v>
      </c>
      <c r="V3889">
        <v>9.9558709999999998E-3</v>
      </c>
      <c r="W3889">
        <v>-8.0635499999999999E-2</v>
      </c>
      <c r="X3889">
        <v>0.99669390000000002</v>
      </c>
      <c r="Y3889">
        <v>0.13817170000000001</v>
      </c>
      <c r="Z3889">
        <v>-3.3503449999999998E-3</v>
      </c>
      <c r="AA3889">
        <v>0.99040260000000002</v>
      </c>
      <c r="AB3889">
        <v>33</v>
      </c>
      <c r="AC3889">
        <v>28.994700000000002</v>
      </c>
      <c r="AD3889">
        <v>-1.1202982680489999</v>
      </c>
      <c r="AE3889">
        <v>-4.2465999999999999</v>
      </c>
      <c r="AF3889">
        <v>4.0814121643697003</v>
      </c>
      <c r="AG3889">
        <v>-1.1202982680489999</v>
      </c>
      <c r="AH3889">
        <v>28.9752251120251</v>
      </c>
      <c r="AI3889">
        <v>92.192558267023003</v>
      </c>
      <c r="AJ3889">
        <v>81.982141931714693</v>
      </c>
      <c r="AK3889">
        <v>29.2827024667701</v>
      </c>
      <c r="AL3889">
        <v>94.625095373764495</v>
      </c>
      <c r="AM3889">
        <v>89.427697491972495</v>
      </c>
      <c r="AN3889">
        <v>0.99999996676241298</v>
      </c>
    </row>
    <row r="3890" spans="1:40" x14ac:dyDescent="0.25">
      <c r="A3890" t="str">
        <f>"20190303154846593"</f>
        <v>20190303154846593</v>
      </c>
      <c r="B3890" t="str">
        <f>"1551599326584313"</f>
        <v>1551599326584313</v>
      </c>
      <c r="C3890" t="s">
        <v>40</v>
      </c>
      <c r="D3890">
        <v>5.3310940000000002</v>
      </c>
      <c r="E3890">
        <v>0.54842009999999997</v>
      </c>
      <c r="F3890" t="s">
        <v>52</v>
      </c>
      <c r="G3890">
        <v>-240.0026</v>
      </c>
      <c r="H3890" s="1">
        <v>-1.3743300000000001E-6</v>
      </c>
      <c r="I3890">
        <v>210.9314</v>
      </c>
      <c r="J3890">
        <v>-268.96390000000002</v>
      </c>
      <c r="K3890">
        <v>1.120277</v>
      </c>
      <c r="L3890">
        <v>215.1704</v>
      </c>
      <c r="M3890">
        <v>0.99990959999999995</v>
      </c>
      <c r="N3890">
        <v>-1.2240920000000001E-2</v>
      </c>
      <c r="O3890">
        <v>-5.576765E-3</v>
      </c>
      <c r="P3890">
        <v>0.99551630000000002</v>
      </c>
      <c r="Q3890">
        <v>-9.3345540000000005E-2</v>
      </c>
      <c r="R3890">
        <v>-1.529585E-2</v>
      </c>
      <c r="S3890">
        <v>2.995911</v>
      </c>
      <c r="T3890">
        <v>-0.1149662</v>
      </c>
      <c r="U3890">
        <v>-0.43515009999999998</v>
      </c>
      <c r="V3890">
        <v>9.7187560000000003E-3</v>
      </c>
      <c r="W3890">
        <v>-8.1154610000000002E-2</v>
      </c>
      <c r="X3890">
        <v>0.99665420000000005</v>
      </c>
      <c r="Y3890">
        <v>0.13808819999999999</v>
      </c>
      <c r="Z3890">
        <v>-3.3398640000000001E-3</v>
      </c>
      <c r="AA3890">
        <v>0.99041429999999997</v>
      </c>
      <c r="AB3890">
        <v>33</v>
      </c>
      <c r="AC3890">
        <v>28.961300000000001</v>
      </c>
      <c r="AD3890">
        <v>-1.12027837433</v>
      </c>
      <c r="AE3890">
        <v>-4.2389999999999999</v>
      </c>
      <c r="AF3890">
        <v>4.0714473283604802</v>
      </c>
      <c r="AG3890">
        <v>-1.12027837433</v>
      </c>
      <c r="AH3890">
        <v>28.942093787329899</v>
      </c>
      <c r="AI3890">
        <v>92.195082202325096</v>
      </c>
      <c r="AJ3890">
        <v>81.992426431351305</v>
      </c>
      <c r="AK3890">
        <v>29.2485298737937</v>
      </c>
      <c r="AL3890">
        <v>94.654935552712502</v>
      </c>
      <c r="AM3890">
        <v>89.4413046652123</v>
      </c>
      <c r="AN3890">
        <v>1.00000005966003</v>
      </c>
    </row>
    <row r="3891" spans="1:40" x14ac:dyDescent="0.25">
      <c r="A3891" t="str">
        <f>"20190303154846612"</f>
        <v>20190303154846612</v>
      </c>
      <c r="B3891" t="str">
        <f>"1551599326604808"</f>
        <v>1551599326604808</v>
      </c>
      <c r="C3891" t="s">
        <v>40</v>
      </c>
      <c r="D3891">
        <v>5.2975839999999996</v>
      </c>
      <c r="E3891">
        <v>0.54852060000000002</v>
      </c>
      <c r="F3891" t="s">
        <v>52</v>
      </c>
      <c r="G3891">
        <v>-240.19569999999999</v>
      </c>
      <c r="H3891" s="1">
        <v>-1.274253E-6</v>
      </c>
      <c r="I3891">
        <v>210.99270000000001</v>
      </c>
      <c r="J3891">
        <v>-268.67169999999999</v>
      </c>
      <c r="K3891">
        <v>1.120247</v>
      </c>
      <c r="L3891">
        <v>215.1687</v>
      </c>
      <c r="M3891">
        <v>0.9999112</v>
      </c>
      <c r="N3891">
        <v>-1.2053680000000001E-2</v>
      </c>
      <c r="O3891">
        <v>-5.6875579999999997E-3</v>
      </c>
      <c r="P3891">
        <v>0.99555749999999998</v>
      </c>
      <c r="Q3891">
        <v>-9.2901259999999999E-2</v>
      </c>
      <c r="R3891">
        <v>-1.5325989999999999E-2</v>
      </c>
      <c r="S3891">
        <v>2.9959410000000002</v>
      </c>
      <c r="T3891">
        <v>-0.1166667</v>
      </c>
      <c r="U3891">
        <v>-0.43507390000000001</v>
      </c>
      <c r="V3891">
        <v>9.638232E-3</v>
      </c>
      <c r="W3891">
        <v>-8.0896480000000007E-2</v>
      </c>
      <c r="X3891">
        <v>0.99667589999999995</v>
      </c>
      <c r="Y3891">
        <v>0.13794970000000001</v>
      </c>
      <c r="Z3891">
        <v>-3.355125E-3</v>
      </c>
      <c r="AA3891">
        <v>0.99043360000000003</v>
      </c>
      <c r="AB3891">
        <v>33</v>
      </c>
      <c r="AC3891">
        <v>28.475999999999999</v>
      </c>
      <c r="AD3891">
        <v>-1.120248274253</v>
      </c>
      <c r="AE3891">
        <v>-4.1759999999999797</v>
      </c>
      <c r="AF3891">
        <v>4.0078895916682704</v>
      </c>
      <c r="AG3891">
        <v>-1.120248274253</v>
      </c>
      <c r="AH3891">
        <v>28.456179524439701</v>
      </c>
      <c r="AI3891">
        <v>92.232415717579897</v>
      </c>
      <c r="AJ3891">
        <v>81.982952369825895</v>
      </c>
      <c r="AK3891">
        <v>28.758864516912201</v>
      </c>
      <c r="AL3891">
        <v>94.6400973160614</v>
      </c>
      <c r="AM3891">
        <v>89.4459454649365</v>
      </c>
      <c r="AN3891">
        <v>0.99999999281664298</v>
      </c>
    </row>
    <row r="3892" spans="1:40" x14ac:dyDescent="0.25">
      <c r="A3892" t="str">
        <f>"20190303154846634"</f>
        <v>20190303154846634</v>
      </c>
      <c r="B3892" t="str">
        <f>"1551599326624329"</f>
        <v>1551599326624329</v>
      </c>
      <c r="C3892" t="s">
        <v>40</v>
      </c>
      <c r="D3892">
        <v>5.3016040000000002</v>
      </c>
      <c r="E3892">
        <v>0.54862159999999904</v>
      </c>
      <c r="F3892" t="s">
        <v>52</v>
      </c>
      <c r="G3892">
        <v>-239.78290000000001</v>
      </c>
      <c r="H3892" s="1">
        <v>3.8288009999999999E-6</v>
      </c>
      <c r="I3892">
        <v>210.96420000000001</v>
      </c>
      <c r="J3892">
        <v>-268.35520000000002</v>
      </c>
      <c r="K3892">
        <v>1.12022</v>
      </c>
      <c r="L3892">
        <v>215.16669999999999</v>
      </c>
      <c r="M3892">
        <v>0.9999131</v>
      </c>
      <c r="N3892">
        <v>-1.184345E-2</v>
      </c>
      <c r="O3892">
        <v>-5.8087119999999997E-3</v>
      </c>
      <c r="P3892">
        <v>0.99557450000000003</v>
      </c>
      <c r="Q3892">
        <v>-9.2594789999999996E-2</v>
      </c>
      <c r="R3892">
        <v>-1.6058269999999999E-2</v>
      </c>
      <c r="S3892">
        <v>2.995819</v>
      </c>
      <c r="T3892">
        <v>-0.11617089999999899</v>
      </c>
      <c r="U3892">
        <v>-0.43600460000000002</v>
      </c>
      <c r="V3892">
        <v>1.0249670000000001E-2</v>
      </c>
      <c r="W3892">
        <v>-8.0799549999999998E-2</v>
      </c>
      <c r="X3892">
        <v>0.9966777</v>
      </c>
      <c r="Y3892">
        <v>0.13813829999999999</v>
      </c>
      <c r="Z3892">
        <v>-3.3305140000000001E-3</v>
      </c>
      <c r="AA3892">
        <v>0.99040729999999999</v>
      </c>
      <c r="AB3892">
        <v>33</v>
      </c>
      <c r="AC3892">
        <v>28.572299999999998</v>
      </c>
      <c r="AD3892">
        <v>-1.120216171199</v>
      </c>
      <c r="AE3892">
        <v>-4.2024999999999801</v>
      </c>
      <c r="AF3892">
        <v>4.0303851284291303</v>
      </c>
      <c r="AG3892">
        <v>-1.120216171199</v>
      </c>
      <c r="AH3892">
        <v>28.553269753802301</v>
      </c>
      <c r="AI3892">
        <v>92.224673818459706</v>
      </c>
      <c r="AJ3892">
        <v>81.965597072441497</v>
      </c>
      <c r="AK3892">
        <v>28.858068233807298</v>
      </c>
      <c r="AL3892">
        <v>94.634525221790398</v>
      </c>
      <c r="AM3892">
        <v>89.410800370796906</v>
      </c>
      <c r="AN3892">
        <v>1.0000000303462999</v>
      </c>
    </row>
    <row r="3893" spans="1:40" x14ac:dyDescent="0.25">
      <c r="A3893" t="str">
        <f>"20190303154846657"</f>
        <v>20190303154846657</v>
      </c>
      <c r="B3893" t="str">
        <f>"1551599326654584"</f>
        <v>1551599326654584</v>
      </c>
      <c r="C3893" t="s">
        <v>40</v>
      </c>
      <c r="D3893">
        <v>5.3146599999999999</v>
      </c>
      <c r="E3893">
        <v>0.5487033</v>
      </c>
      <c r="F3893" t="s">
        <v>52</v>
      </c>
      <c r="G3893">
        <v>-239.33109999999999</v>
      </c>
      <c r="H3893" s="1">
        <v>3.5906489999999998E-6</v>
      </c>
      <c r="I3893">
        <v>210.91329999999999</v>
      </c>
      <c r="J3893">
        <v>-268.01229999999998</v>
      </c>
      <c r="K3893">
        <v>1.1201939999999999</v>
      </c>
      <c r="L3893">
        <v>215.16460000000001</v>
      </c>
      <c r="M3893">
        <v>0.999915</v>
      </c>
      <c r="N3893">
        <v>-1.1621940000000001E-2</v>
      </c>
      <c r="O3893">
        <v>-5.9410210000000003E-3</v>
      </c>
      <c r="P3893">
        <v>0.99565979999999998</v>
      </c>
      <c r="Q3893">
        <v>-9.1531749999999995E-2</v>
      </c>
      <c r="R3893">
        <v>-1.6842079999999999E-2</v>
      </c>
      <c r="S3893">
        <v>2.9955440000000002</v>
      </c>
      <c r="T3893">
        <v>-0.1156166</v>
      </c>
      <c r="U3893">
        <v>-0.43899539999999998</v>
      </c>
      <c r="V3893">
        <v>1.0901330000000001E-2</v>
      </c>
      <c r="W3893">
        <v>-7.9956509999999995E-2</v>
      </c>
      <c r="X3893">
        <v>0.99673869999999998</v>
      </c>
      <c r="Y3893">
        <v>0.13898920000000001</v>
      </c>
      <c r="Z3893">
        <v>-3.3200629999999998E-3</v>
      </c>
      <c r="AA3893">
        <v>0.99028830000000001</v>
      </c>
      <c r="AB3893">
        <v>33</v>
      </c>
      <c r="AC3893">
        <v>28.681199999999901</v>
      </c>
      <c r="AD3893">
        <v>-1.120190409351</v>
      </c>
      <c r="AE3893">
        <v>-4.2513000000000103</v>
      </c>
      <c r="AF3893">
        <v>4.0747358245267602</v>
      </c>
      <c r="AG3893">
        <v>-1.120190409351</v>
      </c>
      <c r="AH3893">
        <v>28.663169185837901</v>
      </c>
      <c r="AI3893">
        <v>92.215792353624707</v>
      </c>
      <c r="AJ3893">
        <v>81.909085725310305</v>
      </c>
      <c r="AK3893">
        <v>28.973014450844602</v>
      </c>
      <c r="AL3893">
        <v>94.586066121625706</v>
      </c>
      <c r="AM3893">
        <v>89.373381110412595</v>
      </c>
      <c r="AN3893">
        <v>0.99999995928241803</v>
      </c>
    </row>
    <row r="3894" spans="1:40" x14ac:dyDescent="0.25">
      <c r="A3894" t="str">
        <f>"20190303154846675"</f>
        <v>20190303154846675</v>
      </c>
      <c r="B3894" t="str">
        <f>"1551599326664344"</f>
        <v>1551599326664344</v>
      </c>
      <c r="C3894" t="s">
        <v>40</v>
      </c>
      <c r="D3894">
        <v>5.2815000000000003</v>
      </c>
      <c r="E3894">
        <v>0.54872349999999903</v>
      </c>
      <c r="F3894" t="s">
        <v>52</v>
      </c>
      <c r="G3894">
        <v>-238.53120000000001</v>
      </c>
      <c r="H3894" s="1">
        <v>3.1692660000000002E-6</v>
      </c>
      <c r="I3894">
        <v>210.81450000000001</v>
      </c>
      <c r="J3894">
        <v>-267.75830000000002</v>
      </c>
      <c r="K3894">
        <v>1.120179</v>
      </c>
      <c r="L3894">
        <v>215.16300000000001</v>
      </c>
      <c r="M3894">
        <v>0.99991600000000003</v>
      </c>
      <c r="N3894">
        <v>-1.1466290000000001E-2</v>
      </c>
      <c r="O3894">
        <v>-6.039287E-3</v>
      </c>
      <c r="P3894">
        <v>0.99569260000000004</v>
      </c>
      <c r="Q3894">
        <v>-9.1109460000000003E-2</v>
      </c>
      <c r="R3894">
        <v>-1.7192570000000001E-2</v>
      </c>
      <c r="S3894">
        <v>2.9951479999999999</v>
      </c>
      <c r="T3894">
        <v>-0.1138064</v>
      </c>
      <c r="U3894">
        <v>-0.4419556</v>
      </c>
      <c r="V3894">
        <v>1.115387E-2</v>
      </c>
      <c r="W3894">
        <v>-7.9689060000000006E-2</v>
      </c>
      <c r="X3894">
        <v>0.99675740000000002</v>
      </c>
      <c r="Y3894">
        <v>0.13987189999999999</v>
      </c>
      <c r="Z3894">
        <v>-3.2894600000000001E-3</v>
      </c>
      <c r="AA3894">
        <v>0.99016420000000005</v>
      </c>
      <c r="AB3894">
        <v>33</v>
      </c>
      <c r="AC3894">
        <v>29.2271</v>
      </c>
      <c r="AD3894">
        <v>-1.120175830734</v>
      </c>
      <c r="AE3894">
        <v>-4.3484999999999703</v>
      </c>
      <c r="AF3894">
        <v>4.1659113325361803</v>
      </c>
      <c r="AG3894">
        <v>-1.120175830734</v>
      </c>
      <c r="AH3894">
        <v>29.2108510857643</v>
      </c>
      <c r="AI3894">
        <v>92.174121665302394</v>
      </c>
      <c r="AJ3894">
        <v>81.883483235833694</v>
      </c>
      <c r="AK3894">
        <v>29.527672313899199</v>
      </c>
      <c r="AL3894">
        <v>94.570692965368096</v>
      </c>
      <c r="AM3894">
        <v>89.358878094545204</v>
      </c>
      <c r="AN3894">
        <v>1.0000000347772</v>
      </c>
    </row>
    <row r="3895" spans="1:40" x14ac:dyDescent="0.25">
      <c r="A3895" t="str">
        <f>"20190303154846691"</f>
        <v>20190303154846691</v>
      </c>
      <c r="B3895" t="str">
        <f>"1551599326684841"</f>
        <v>1551599326684841</v>
      </c>
      <c r="C3895" t="s">
        <v>40</v>
      </c>
      <c r="D3895">
        <v>5.2847280000000003</v>
      </c>
      <c r="E3895">
        <v>0.54876459999999905</v>
      </c>
      <c r="F3895" t="s">
        <v>52</v>
      </c>
      <c r="G3895">
        <v>-238.07339999999999</v>
      </c>
      <c r="H3895" s="1">
        <v>2.9276339999999998E-6</v>
      </c>
      <c r="I3895">
        <v>210.7696</v>
      </c>
      <c r="J3895">
        <v>-267.50630000000001</v>
      </c>
      <c r="K3895">
        <v>1.120169</v>
      </c>
      <c r="L3895">
        <v>215.16139999999999</v>
      </c>
      <c r="M3895">
        <v>0.9999171</v>
      </c>
      <c r="N3895">
        <v>-1.1319559999999999E-2</v>
      </c>
      <c r="O3895">
        <v>-6.1367840000000002E-3</v>
      </c>
      <c r="P3895">
        <v>0.9957587</v>
      </c>
      <c r="Q3895">
        <v>-9.0364459999999994E-2</v>
      </c>
      <c r="R3895">
        <v>-1.7288209999999998E-2</v>
      </c>
      <c r="S3895">
        <v>2.9949949999999999</v>
      </c>
      <c r="T3895">
        <v>-0.1130178</v>
      </c>
      <c r="U3895">
        <v>-0.44326779999999999</v>
      </c>
      <c r="V3895">
        <v>1.1152209999999999E-2</v>
      </c>
      <c r="W3895">
        <v>-7.9089619999999999E-2</v>
      </c>
      <c r="X3895">
        <v>0.9968051</v>
      </c>
      <c r="Y3895">
        <v>0.1402089</v>
      </c>
      <c r="Z3895">
        <v>-3.267285E-3</v>
      </c>
      <c r="AA3895">
        <v>0.99011649999999995</v>
      </c>
      <c r="AB3895">
        <v>33</v>
      </c>
      <c r="AC3895">
        <v>29.4329</v>
      </c>
      <c r="AD3895">
        <v>-1.1201660723660001</v>
      </c>
      <c r="AE3895">
        <v>-4.3917999999999804</v>
      </c>
      <c r="AF3895">
        <v>4.2051241809029403</v>
      </c>
      <c r="AG3895">
        <v>-1.1201660723660001</v>
      </c>
      <c r="AH3895">
        <v>29.417617506642799</v>
      </c>
      <c r="AI3895">
        <v>92.158736460748898</v>
      </c>
      <c r="AJ3895">
        <v>81.864920933685895</v>
      </c>
      <c r="AK3895">
        <v>29.737754810570902</v>
      </c>
      <c r="AL3895">
        <v>94.536239114066007</v>
      </c>
      <c r="AM3895">
        <v>89.359004175411997</v>
      </c>
      <c r="AN3895">
        <v>0.999999973582818</v>
      </c>
    </row>
    <row r="3896" spans="1:40" x14ac:dyDescent="0.25">
      <c r="A3896" t="str">
        <f>"20190303154846712"</f>
        <v>20190303154846712</v>
      </c>
      <c r="B3896" t="str">
        <f>"1551599326704361"</f>
        <v>1551599326704361</v>
      </c>
      <c r="C3896" t="s">
        <v>40</v>
      </c>
      <c r="D3896">
        <v>5.2839070000000001</v>
      </c>
      <c r="E3896">
        <v>0.5488324</v>
      </c>
      <c r="F3896" t="s">
        <v>52</v>
      </c>
      <c r="G3896">
        <v>-237.3383</v>
      </c>
      <c r="H3896" s="1">
        <v>2.5398549999999998E-6</v>
      </c>
      <c r="I3896">
        <v>210.6909</v>
      </c>
      <c r="J3896">
        <v>-267.19900000000001</v>
      </c>
      <c r="K3896">
        <v>1.120158</v>
      </c>
      <c r="L3896">
        <v>215.15940000000001</v>
      </c>
      <c r="M3896">
        <v>0.99991819999999998</v>
      </c>
      <c r="N3896">
        <v>-1.115298E-2</v>
      </c>
      <c r="O3896">
        <v>-6.255399E-3</v>
      </c>
      <c r="P3896">
        <v>0.99577059999999995</v>
      </c>
      <c r="Q3896">
        <v>-9.021419E-2</v>
      </c>
      <c r="R3896">
        <v>-1.738199E-2</v>
      </c>
      <c r="S3896">
        <v>2.9949650000000001</v>
      </c>
      <c r="T3896">
        <v>-0.1112057</v>
      </c>
      <c r="U3896">
        <v>-0.44381710000000002</v>
      </c>
      <c r="V3896">
        <v>1.1127659999999999E-2</v>
      </c>
      <c r="W3896">
        <v>-7.9105259999999997E-2</v>
      </c>
      <c r="X3896">
        <v>0.99680420000000003</v>
      </c>
      <c r="Y3896">
        <v>0.1402745</v>
      </c>
      <c r="Z3896">
        <v>-3.2145759999999998E-3</v>
      </c>
      <c r="AA3896">
        <v>0.99010739999999997</v>
      </c>
      <c r="AB3896">
        <v>33</v>
      </c>
      <c r="AC3896">
        <v>29.860700000000001</v>
      </c>
      <c r="AD3896">
        <v>-1.1201554601449999</v>
      </c>
      <c r="AE3896">
        <v>-4.4684999999999997</v>
      </c>
      <c r="AF3896">
        <v>4.2757253186942501</v>
      </c>
      <c r="AG3896">
        <v>-1.1201554601449999</v>
      </c>
      <c r="AH3896">
        <v>29.846988872760502</v>
      </c>
      <c r="AI3896">
        <v>92.127597903040893</v>
      </c>
      <c r="AJ3896">
        <v>81.847568807977694</v>
      </c>
      <c r="AK3896">
        <v>30.1724927711733</v>
      </c>
      <c r="AL3896">
        <v>94.537137734269507</v>
      </c>
      <c r="AM3896">
        <v>89.360414541541999</v>
      </c>
      <c r="AN3896">
        <v>1.00000004005719</v>
      </c>
    </row>
    <row r="3897" spans="1:40" x14ac:dyDescent="0.25">
      <c r="A3897" t="str">
        <f>"20190303154846729"</f>
        <v>20190303154846729</v>
      </c>
      <c r="B3897" t="str">
        <f>"1551599326724857"</f>
        <v>1551599326724857</v>
      </c>
      <c r="C3897" t="s">
        <v>40</v>
      </c>
      <c r="D3897">
        <v>5.2862809999999998</v>
      </c>
      <c r="E3897">
        <v>0.54871979999999998</v>
      </c>
      <c r="F3897" t="s">
        <v>52</v>
      </c>
      <c r="G3897">
        <v>-236.95249999999999</v>
      </c>
      <c r="H3897" s="1">
        <v>2.3355010000000002E-6</v>
      </c>
      <c r="I3897">
        <v>210.6696</v>
      </c>
      <c r="J3897">
        <v>-266.94499999999999</v>
      </c>
      <c r="K3897">
        <v>1.120152</v>
      </c>
      <c r="L3897">
        <v>215.15770000000001</v>
      </c>
      <c r="M3897">
        <v>0.99991920000000001</v>
      </c>
      <c r="N3897">
        <v>-1.102676E-2</v>
      </c>
      <c r="O3897">
        <v>-6.3536319999999997E-3</v>
      </c>
      <c r="P3897">
        <v>0.99579680000000004</v>
      </c>
      <c r="Q3897">
        <v>-8.9914399999999894E-2</v>
      </c>
      <c r="R3897">
        <v>-1.744238E-2</v>
      </c>
      <c r="S3897">
        <v>2.9949340000000002</v>
      </c>
      <c r="T3897">
        <v>-0.1109151</v>
      </c>
      <c r="U3897">
        <v>-0.44456479999999998</v>
      </c>
      <c r="V3897">
        <v>1.10901E-2</v>
      </c>
      <c r="W3897">
        <v>-7.8931020000000005E-2</v>
      </c>
      <c r="X3897">
        <v>0.99681839999999999</v>
      </c>
      <c r="Y3897">
        <v>0.1404214</v>
      </c>
      <c r="Z3897">
        <v>-3.199697E-3</v>
      </c>
      <c r="AA3897">
        <v>0.99008669999999999</v>
      </c>
      <c r="AB3897">
        <v>33</v>
      </c>
      <c r="AC3897">
        <v>29.9925</v>
      </c>
      <c r="AD3897">
        <v>-1.1201496644990001</v>
      </c>
      <c r="AE3897">
        <v>-4.4881000000000002</v>
      </c>
      <c r="AF3897">
        <v>4.2915815444021099</v>
      </c>
      <c r="AG3897">
        <v>-1.1201496644990001</v>
      </c>
      <c r="AH3897">
        <v>29.979511025662301</v>
      </c>
      <c r="AI3897">
        <v>92.118221641538398</v>
      </c>
      <c r="AJ3897">
        <v>81.8534271993978</v>
      </c>
      <c r="AK3897">
        <v>30.305832586499601</v>
      </c>
      <c r="AL3897">
        <v>94.527123343431796</v>
      </c>
      <c r="AM3897">
        <v>89.362582282021606</v>
      </c>
      <c r="AN3897">
        <v>1.0000000094074</v>
      </c>
    </row>
    <row r="3898" spans="1:40" x14ac:dyDescent="0.25">
      <c r="A3898" t="str">
        <f>"20190303154846742"</f>
        <v>20190303154846742</v>
      </c>
      <c r="B3898" t="str">
        <f>"1551599326734617"</f>
        <v>1551599326734617</v>
      </c>
      <c r="C3898" t="s">
        <v>40</v>
      </c>
      <c r="D3898">
        <v>5.1377030000000001</v>
      </c>
      <c r="E3898">
        <v>0.54871979999999998</v>
      </c>
      <c r="F3898" t="s">
        <v>52</v>
      </c>
      <c r="G3898">
        <v>-236.68969999999999</v>
      </c>
      <c r="H3898" s="1">
        <v>2.1954959999999999E-6</v>
      </c>
      <c r="I3898">
        <v>210.67349999999999</v>
      </c>
      <c r="J3898">
        <v>-266.74400000000003</v>
      </c>
      <c r="K3898">
        <v>1.1201449999999999</v>
      </c>
      <c r="L3898">
        <v>215.15639999999999</v>
      </c>
      <c r="M3898">
        <v>0.99991949999999996</v>
      </c>
      <c r="N3898">
        <v>-1.093326E-2</v>
      </c>
      <c r="O3898">
        <v>-6.430954E-3</v>
      </c>
      <c r="P3898">
        <v>0.99582490000000001</v>
      </c>
      <c r="Q3898">
        <v>-8.9588879999999996E-2</v>
      </c>
      <c r="R3898">
        <v>-1.7508159999999998E-2</v>
      </c>
      <c r="S3898">
        <v>2.9948429999999999</v>
      </c>
      <c r="T3898">
        <v>-0.1108789</v>
      </c>
      <c r="U3898">
        <v>-0.4438782</v>
      </c>
      <c r="V3898">
        <v>1.107851E-2</v>
      </c>
      <c r="W3898">
        <v>-7.8698399999999905E-2</v>
      </c>
      <c r="X3898">
        <v>0.99683690000000003</v>
      </c>
      <c r="Y3898">
        <v>0.14012769999999999</v>
      </c>
      <c r="Z3898">
        <v>-3.182809E-3</v>
      </c>
      <c r="AA3898">
        <v>0.99012829999999996</v>
      </c>
      <c r="AB3898">
        <v>33</v>
      </c>
      <c r="AC3898">
        <v>30.054300000000001</v>
      </c>
      <c r="AD3898">
        <v>-1.1201428045040001</v>
      </c>
      <c r="AE3898">
        <v>-4.4828999999999999</v>
      </c>
      <c r="AF3898">
        <v>4.2836969297765402</v>
      </c>
      <c r="AG3898">
        <v>-1.1201428045040001</v>
      </c>
      <c r="AH3898">
        <v>30.041686827637701</v>
      </c>
      <c r="AI3898">
        <v>92.113993929204995</v>
      </c>
      <c r="AJ3898">
        <v>81.884799538229203</v>
      </c>
      <c r="AK3898">
        <v>30.366226745160802</v>
      </c>
      <c r="AL3898">
        <v>94.513753704968593</v>
      </c>
      <c r="AM3898">
        <v>89.3632601935672</v>
      </c>
      <c r="AN3898">
        <v>0.99999998837399495</v>
      </c>
    </row>
    <row r="3899" spans="1:40" x14ac:dyDescent="0.25">
      <c r="A3899" t="str">
        <f>"20190303154846757"</f>
        <v>20190303154846757</v>
      </c>
      <c r="B3899" t="str">
        <f>"1551599326755112"</f>
        <v>1551599326755112</v>
      </c>
      <c r="C3899" t="s">
        <v>40</v>
      </c>
      <c r="D3899">
        <v>5.1150840000000004</v>
      </c>
      <c r="E3899">
        <v>0.51383579999999995</v>
      </c>
      <c r="F3899" t="s">
        <v>52</v>
      </c>
      <c r="G3899">
        <v>-236.24700000000001</v>
      </c>
      <c r="H3899" s="1">
        <v>1.9615749999999999E-6</v>
      </c>
      <c r="I3899">
        <v>210.63480000000001</v>
      </c>
      <c r="J3899">
        <v>-266.52280000000002</v>
      </c>
      <c r="K3899">
        <v>1.1201380000000001</v>
      </c>
      <c r="L3899">
        <v>215.1549</v>
      </c>
      <c r="M3899">
        <v>0.99992000000000003</v>
      </c>
      <c r="N3899">
        <v>-1.083925E-2</v>
      </c>
      <c r="O3899">
        <v>-6.5161459999999996E-3</v>
      </c>
      <c r="P3899">
        <v>0.99585610000000002</v>
      </c>
      <c r="Q3899">
        <v>-8.9178720000000003E-2</v>
      </c>
      <c r="R3899">
        <v>-1.7829049999999999E-2</v>
      </c>
      <c r="S3899">
        <v>2.9948730000000001</v>
      </c>
      <c r="T3899">
        <v>-0.1100005</v>
      </c>
      <c r="U3899">
        <v>-0.4440308</v>
      </c>
      <c r="V3899">
        <v>1.131427E-2</v>
      </c>
      <c r="W3899">
        <v>-7.8381709999999993E-2</v>
      </c>
      <c r="X3899">
        <v>0.99685919999999895</v>
      </c>
      <c r="Y3899">
        <v>0.1400932</v>
      </c>
      <c r="Z3899">
        <v>-3.1539929999999999E-3</v>
      </c>
      <c r="AA3899">
        <v>0.99013329999999999</v>
      </c>
      <c r="AB3899">
        <v>33</v>
      </c>
      <c r="AC3899">
        <v>30.2758</v>
      </c>
      <c r="AD3899">
        <v>-1.1201360384250001</v>
      </c>
      <c r="AE3899">
        <v>-4.5200999999999798</v>
      </c>
      <c r="AF3899">
        <v>4.3169305849928401</v>
      </c>
      <c r="AG3899">
        <v>-1.1201360384250001</v>
      </c>
      <c r="AH3899">
        <v>30.2640893073165</v>
      </c>
      <c r="AI3899">
        <v>92.098445317728704</v>
      </c>
      <c r="AJ3899">
        <v>81.881977587402801</v>
      </c>
      <c r="AK3899">
        <v>30.590941404629199</v>
      </c>
      <c r="AL3899">
        <v>94.4955524955963</v>
      </c>
      <c r="AM3899">
        <v>89.349725532949094</v>
      </c>
      <c r="AN3899">
        <v>0.99999998489639796</v>
      </c>
    </row>
    <row r="3900" spans="1:40" x14ac:dyDescent="0.25">
      <c r="A3900" t="str">
        <f>"20190303154846775"</f>
        <v>20190303154846775</v>
      </c>
      <c r="B3900" t="str">
        <f>"1551599326764873"</f>
        <v>1551599326764873</v>
      </c>
      <c r="C3900" t="s">
        <v>40</v>
      </c>
      <c r="D3900">
        <v>5.1153380000000004</v>
      </c>
      <c r="E3900">
        <v>0.51249500000000003</v>
      </c>
      <c r="F3900" t="s">
        <v>52</v>
      </c>
      <c r="G3900">
        <v>-239.65600000000001</v>
      </c>
      <c r="H3900" s="1">
        <v>3.6433779999999999E-6</v>
      </c>
      <c r="I3900">
        <v>213.66220000000001</v>
      </c>
      <c r="J3900">
        <v>-266.2681</v>
      </c>
      <c r="K3900">
        <v>1.1201319999999999</v>
      </c>
      <c r="L3900">
        <v>215.15309999999999</v>
      </c>
      <c r="M3900">
        <v>0.99992049999999999</v>
      </c>
      <c r="N3900">
        <v>-1.074052E-2</v>
      </c>
      <c r="O3900">
        <v>-6.6144289999999998E-3</v>
      </c>
      <c r="P3900">
        <v>0.99586949999999996</v>
      </c>
      <c r="Q3900">
        <v>-8.9016970000000001E-2</v>
      </c>
      <c r="R3900">
        <v>-1.789377E-2</v>
      </c>
      <c r="S3900">
        <v>2.998291</v>
      </c>
      <c r="T3900">
        <v>-0.12500519999999901</v>
      </c>
      <c r="U3900">
        <v>-0.16658020000000001</v>
      </c>
      <c r="V3900">
        <v>1.128114E-2</v>
      </c>
      <c r="W3900">
        <v>-7.8318219999999994E-2</v>
      </c>
      <c r="X3900">
        <v>0.99686459999999999</v>
      </c>
      <c r="Y3900">
        <v>4.8816949999999998E-2</v>
      </c>
      <c r="Z3900">
        <v>-1.074476E-3</v>
      </c>
      <c r="AA3900">
        <v>0.99880720000000001</v>
      </c>
      <c r="AB3900">
        <v>33</v>
      </c>
      <c r="AC3900">
        <v>26.612100000000002</v>
      </c>
      <c r="AD3900">
        <v>-1.1201283566219999</v>
      </c>
      <c r="AE3900">
        <v>-1.4908999999999799</v>
      </c>
      <c r="AF3900">
        <v>1.3125153533563301</v>
      </c>
      <c r="AG3900">
        <v>-1.1201283566219999</v>
      </c>
      <c r="AH3900">
        <v>26.5744465549894</v>
      </c>
      <c r="AI3900">
        <v>92.410686623722398</v>
      </c>
      <c r="AJ3900">
        <v>87.172451703163603</v>
      </c>
      <c r="AK3900">
        <v>26.630407315549899</v>
      </c>
      <c r="AL3900">
        <v>94.491903414907497</v>
      </c>
      <c r="AM3900">
        <v>89.351632990167005</v>
      </c>
      <c r="AN3900">
        <v>1.00000001921841</v>
      </c>
    </row>
    <row r="3901" spans="1:40" x14ac:dyDescent="0.25">
      <c r="A3901" t="str">
        <f>"20190303154846792"</f>
        <v>20190303154846792</v>
      </c>
      <c r="B3901" t="str">
        <f>"1551599326784392"</f>
        <v>1551599326784392</v>
      </c>
      <c r="C3901" t="s">
        <v>40</v>
      </c>
      <c r="D3901">
        <v>5.104349</v>
      </c>
      <c r="E3901">
        <v>0.51134380000000001</v>
      </c>
      <c r="F3901" t="s">
        <v>52</v>
      </c>
      <c r="G3901">
        <v>-239.35560000000001</v>
      </c>
      <c r="H3901" s="1">
        <v>3.4795439999999998E-6</v>
      </c>
      <c r="I3901">
        <v>213.7526</v>
      </c>
      <c r="J3901">
        <v>-266.017</v>
      </c>
      <c r="K3901">
        <v>1.120123</v>
      </c>
      <c r="L3901">
        <v>215.1514</v>
      </c>
      <c r="M3901">
        <v>0.99992080000000005</v>
      </c>
      <c r="N3901">
        <v>-1.065223E-2</v>
      </c>
      <c r="O3901">
        <v>-6.7111030000000004E-3</v>
      </c>
      <c r="P3901">
        <v>0.99586549999999996</v>
      </c>
      <c r="Q3901">
        <v>-8.904128E-2</v>
      </c>
      <c r="R3901">
        <v>-1.7991699999999999E-2</v>
      </c>
      <c r="S3901">
        <v>2.9984739999999999</v>
      </c>
      <c r="T3901">
        <v>-0.12479999999999999</v>
      </c>
      <c r="U3901">
        <v>-0.15603639999999999</v>
      </c>
      <c r="V3901">
        <v>1.128258E-2</v>
      </c>
      <c r="W3901">
        <v>-7.8430589999999994E-2</v>
      </c>
      <c r="X3901">
        <v>0.99685570000000001</v>
      </c>
      <c r="Y3901">
        <v>4.5218840000000003E-2</v>
      </c>
      <c r="Z3901">
        <v>-9.7355059999999999E-4</v>
      </c>
      <c r="AA3901">
        <v>0.99897659999999999</v>
      </c>
      <c r="AB3901">
        <v>33</v>
      </c>
      <c r="AC3901">
        <v>26.661399999999901</v>
      </c>
      <c r="AD3901">
        <v>-1.1201195204559999</v>
      </c>
      <c r="AE3901">
        <v>-1.3987999999999901</v>
      </c>
      <c r="AF3901">
        <v>1.21768754412074</v>
      </c>
      <c r="AG3901">
        <v>-1.1201195204559999</v>
      </c>
      <c r="AH3901">
        <v>26.623324415902101</v>
      </c>
      <c r="AI3901">
        <v>92.406663714373906</v>
      </c>
      <c r="AJ3901">
        <v>87.381252365296305</v>
      </c>
      <c r="AK3901">
        <v>26.674685258678998</v>
      </c>
      <c r="AL3901">
        <v>94.498361827280505</v>
      </c>
      <c r="AM3901">
        <v>89.351544446429102</v>
      </c>
      <c r="AN3901">
        <v>0.99999997034084598</v>
      </c>
    </row>
    <row r="3902" spans="1:40" x14ac:dyDescent="0.25">
      <c r="A3902" t="str">
        <f>"20190303154846814"</f>
        <v>20190303154846814</v>
      </c>
      <c r="B3902" t="str">
        <f>"1551599326804888"</f>
        <v>1551599326804888</v>
      </c>
      <c r="C3902" t="s">
        <v>40</v>
      </c>
      <c r="D3902">
        <v>5.1294120000000003</v>
      </c>
      <c r="E3902">
        <v>0.51076569999999999</v>
      </c>
      <c r="F3902" t="s">
        <v>52</v>
      </c>
      <c r="G3902">
        <v>-239.67070000000001</v>
      </c>
      <c r="H3902" s="1">
        <v>3.642667E-6</v>
      </c>
      <c r="I3902">
        <v>213.85669999999999</v>
      </c>
      <c r="J3902">
        <v>-265.68540000000002</v>
      </c>
      <c r="K3902">
        <v>1.120117</v>
      </c>
      <c r="L3902">
        <v>215.149</v>
      </c>
      <c r="M3902">
        <v>0.99992099999999995</v>
      </c>
      <c r="N3902">
        <v>-1.054809E-2</v>
      </c>
      <c r="O3902">
        <v>-6.8388110000000002E-3</v>
      </c>
      <c r="P3902">
        <v>0.99587000000000003</v>
      </c>
      <c r="Q3902">
        <v>-8.8932830000000004E-2</v>
      </c>
      <c r="R3902">
        <v>-1.827544E-2</v>
      </c>
      <c r="S3902">
        <v>2.998383</v>
      </c>
      <c r="T3902">
        <v>-0.1274768</v>
      </c>
      <c r="U3902">
        <v>-0.14733889999999999</v>
      </c>
      <c r="V3902">
        <v>1.14389E-2</v>
      </c>
      <c r="W3902">
        <v>-7.8425930000000005E-2</v>
      </c>
      <c r="X3902">
        <v>0.99685429999999997</v>
      </c>
      <c r="Y3902">
        <v>4.2204119999999998E-2</v>
      </c>
      <c r="Z3902">
        <v>-9.0070619999999999E-4</v>
      </c>
      <c r="AA3902">
        <v>0.99910860000000001</v>
      </c>
      <c r="AB3902">
        <v>33</v>
      </c>
      <c r="AC3902">
        <v>26.014700000000001</v>
      </c>
      <c r="AD3902">
        <v>-1.120113357333</v>
      </c>
      <c r="AE3902">
        <v>-1.29230000000001</v>
      </c>
      <c r="AF3902">
        <v>1.11229326052083</v>
      </c>
      <c r="AG3902">
        <v>-1.120113357333</v>
      </c>
      <c r="AH3902">
        <v>25.974893549800601</v>
      </c>
      <c r="AI3902">
        <v>92.466973687152404</v>
      </c>
      <c r="AJ3902">
        <v>87.547986169135697</v>
      </c>
      <c r="AK3902">
        <v>26.022815857515301</v>
      </c>
      <c r="AL3902">
        <v>94.498093937099</v>
      </c>
      <c r="AM3902">
        <v>89.342559963080802</v>
      </c>
      <c r="AN3902">
        <v>0.99999998517903199</v>
      </c>
    </row>
    <row r="3903" spans="1:40" x14ac:dyDescent="0.25">
      <c r="A3903" t="str">
        <f>"20190303154846836"</f>
        <v>20190303154846836</v>
      </c>
      <c r="B3903" t="str">
        <f>"1551599326824409"</f>
        <v>1551599326824409</v>
      </c>
      <c r="C3903" t="s">
        <v>40</v>
      </c>
      <c r="D3903">
        <v>5.0879830000000004</v>
      </c>
      <c r="E3903">
        <v>0.51041229999999904</v>
      </c>
      <c r="F3903" t="s">
        <v>52</v>
      </c>
      <c r="G3903">
        <v>-239.8049</v>
      </c>
      <c r="H3903" s="1">
        <v>3.7117259999999998E-6</v>
      </c>
      <c r="I3903">
        <v>213.91130000000001</v>
      </c>
      <c r="J3903">
        <v>-265.36040000000003</v>
      </c>
      <c r="K3903">
        <v>1.1201110000000001</v>
      </c>
      <c r="L3903">
        <v>215.14670000000001</v>
      </c>
      <c r="M3903">
        <v>0.99992119999999995</v>
      </c>
      <c r="N3903">
        <v>-1.0459070000000001E-2</v>
      </c>
      <c r="O3903">
        <v>-6.9639819999999996E-3</v>
      </c>
      <c r="P3903">
        <v>0.99585469999999998</v>
      </c>
      <c r="Q3903">
        <v>-8.9070510000000006E-2</v>
      </c>
      <c r="R3903">
        <v>-1.8440419999999999E-2</v>
      </c>
      <c r="S3903">
        <v>2.9981990000000001</v>
      </c>
      <c r="T3903">
        <v>-0.12976299999999999</v>
      </c>
      <c r="U3903">
        <v>-0.14338679999999901</v>
      </c>
      <c r="V3903">
        <v>1.14793E-2</v>
      </c>
      <c r="W3903">
        <v>-7.8652529999999998E-2</v>
      </c>
      <c r="X3903">
        <v>0.99683600000000006</v>
      </c>
      <c r="Y3903">
        <v>4.076859E-2</v>
      </c>
      <c r="Z3903">
        <v>-8.6647359999999997E-4</v>
      </c>
      <c r="AA3903">
        <v>0.99916819999999895</v>
      </c>
      <c r="AB3903">
        <v>33</v>
      </c>
      <c r="AC3903">
        <v>25.555499999999999</v>
      </c>
      <c r="AD3903">
        <v>-1.120107288274</v>
      </c>
      <c r="AE3903">
        <v>-1.2353999999999901</v>
      </c>
      <c r="AF3903">
        <v>1.0553695432969299</v>
      </c>
      <c r="AG3903">
        <v>-1.120107288274</v>
      </c>
      <c r="AH3903">
        <v>25.514582173527799</v>
      </c>
      <c r="AI3903">
        <v>92.511564271144394</v>
      </c>
      <c r="AJ3903">
        <v>87.631402702273405</v>
      </c>
      <c r="AK3903">
        <v>25.560953595276199</v>
      </c>
      <c r="AL3903">
        <v>94.511117310214502</v>
      </c>
      <c r="AM3903">
        <v>89.340226105009407</v>
      </c>
      <c r="AN3903">
        <v>1.0000000028499401</v>
      </c>
    </row>
    <row r="3904" spans="1:40" x14ac:dyDescent="0.25">
      <c r="A3904" t="str">
        <f>"20190303154846852"</f>
        <v>20190303154846852</v>
      </c>
      <c r="B3904" t="str">
        <f>"1551599326844904"</f>
        <v>1551599326844904</v>
      </c>
      <c r="C3904" t="s">
        <v>40</v>
      </c>
      <c r="D3904">
        <v>5.1056819999999998</v>
      </c>
      <c r="E3904">
        <v>0.5098511</v>
      </c>
      <c r="F3904" t="s">
        <v>52</v>
      </c>
      <c r="G3904">
        <v>-239.5197</v>
      </c>
      <c r="H3904" s="1">
        <v>3.5591689999999999E-6</v>
      </c>
      <c r="I3904">
        <v>213.9289</v>
      </c>
      <c r="J3904">
        <v>-265.10390000000001</v>
      </c>
      <c r="K3904">
        <v>1.120107</v>
      </c>
      <c r="L3904">
        <v>215.1448</v>
      </c>
      <c r="M3904">
        <v>0.99992099999999995</v>
      </c>
      <c r="N3904">
        <v>-1.039733E-2</v>
      </c>
      <c r="O3904">
        <v>-7.0627160000000001E-3</v>
      </c>
      <c r="P3904">
        <v>0.99584130000000004</v>
      </c>
      <c r="Q3904">
        <v>-8.9166120000000001E-2</v>
      </c>
      <c r="R3904">
        <v>-1.8704769999999999E-2</v>
      </c>
      <c r="S3904">
        <v>2.99823</v>
      </c>
      <c r="T3904">
        <v>-0.12996289999999999</v>
      </c>
      <c r="U3904">
        <v>-0.14129639999999999</v>
      </c>
      <c r="V3904">
        <v>1.164516E-2</v>
      </c>
      <c r="W3904">
        <v>-7.8809840000000006E-2</v>
      </c>
      <c r="X3904">
        <v>0.99682159999999997</v>
      </c>
      <c r="Y3904">
        <v>3.997527E-2</v>
      </c>
      <c r="Z3904">
        <v>-8.4112409999999999E-4</v>
      </c>
      <c r="AA3904">
        <v>0.99920030000000004</v>
      </c>
      <c r="AB3904">
        <v>33</v>
      </c>
      <c r="AC3904">
        <v>25.584199999999999</v>
      </c>
      <c r="AD3904">
        <v>-1.120103440831</v>
      </c>
      <c r="AE3904">
        <v>-1.2159</v>
      </c>
      <c r="AF3904">
        <v>1.03319002713814</v>
      </c>
      <c r="AG3904">
        <v>-1.120103440831</v>
      </c>
      <c r="AH3904">
        <v>25.543299265668701</v>
      </c>
      <c r="AI3904">
        <v>92.508829250052798</v>
      </c>
      <c r="AJ3904">
        <v>87.683730085945101</v>
      </c>
      <c r="AK3904">
        <v>25.5887133464316</v>
      </c>
      <c r="AL3904">
        <v>94.520158807332393</v>
      </c>
      <c r="AM3904">
        <v>89.330684478394005</v>
      </c>
      <c r="AN3904">
        <v>0.99999995142940401</v>
      </c>
    </row>
    <row r="3905" spans="1:40" x14ac:dyDescent="0.25">
      <c r="A3905" t="str">
        <f>"20190303154846869"</f>
        <v>20190303154846869</v>
      </c>
      <c r="B3905" t="str">
        <f>"1551599326864424"</f>
        <v>1551599326864424</v>
      </c>
      <c r="C3905" t="s">
        <v>40</v>
      </c>
      <c r="D3905">
        <v>5.1620780000000002</v>
      </c>
      <c r="E3905">
        <v>0.5098317</v>
      </c>
      <c r="F3905" t="s">
        <v>52</v>
      </c>
      <c r="G3905">
        <v>-240.0333</v>
      </c>
      <c r="H3905" s="1">
        <v>-1.49195E-6</v>
      </c>
      <c r="I3905">
        <v>213.99610000000001</v>
      </c>
      <c r="J3905">
        <v>-264.86070000000001</v>
      </c>
      <c r="K3905">
        <v>1.120098</v>
      </c>
      <c r="L3905">
        <v>215.143</v>
      </c>
      <c r="M3905">
        <v>0.99992080000000005</v>
      </c>
      <c r="N3905">
        <v>-1.034463E-2</v>
      </c>
      <c r="O3905">
        <v>-7.1564929999999999E-3</v>
      </c>
      <c r="P3905">
        <v>0.99582839999999995</v>
      </c>
      <c r="Q3905">
        <v>-8.9253739999999998E-2</v>
      </c>
      <c r="R3905">
        <v>-1.8963190000000001E-2</v>
      </c>
      <c r="S3905">
        <v>2.9979550000000001</v>
      </c>
      <c r="T3905">
        <v>-0.13394300000000001</v>
      </c>
      <c r="U3905">
        <v>-0.1373596</v>
      </c>
      <c r="V3905">
        <v>1.1810319999999999E-2</v>
      </c>
      <c r="W3905">
        <v>-7.8950160000000005E-2</v>
      </c>
      <c r="X3905">
        <v>0.99680860000000004</v>
      </c>
      <c r="Y3905">
        <v>3.857609E-2</v>
      </c>
      <c r="Z3905">
        <v>-8.152058E-4</v>
      </c>
      <c r="AA3905">
        <v>0.99925540000000002</v>
      </c>
      <c r="AB3905">
        <v>33</v>
      </c>
      <c r="AC3905">
        <v>24.827400000000001</v>
      </c>
      <c r="AD3905">
        <v>-1.12009949195</v>
      </c>
      <c r="AE3905">
        <v>-1.14689999999998</v>
      </c>
      <c r="AF3905">
        <v>0.96721949966854204</v>
      </c>
      <c r="AG3905">
        <v>-1.12009949195</v>
      </c>
      <c r="AH3905">
        <v>24.784633043420499</v>
      </c>
      <c r="AI3905">
        <v>92.585659449349805</v>
      </c>
      <c r="AJ3905">
        <v>87.765168115716705</v>
      </c>
      <c r="AK3905">
        <v>24.828777084854899</v>
      </c>
      <c r="AL3905">
        <v>94.528223468345701</v>
      </c>
      <c r="AM3905">
        <v>89.321183796386606</v>
      </c>
      <c r="AN3905">
        <v>0.99999999822824404</v>
      </c>
    </row>
    <row r="3906" spans="1:40" x14ac:dyDescent="0.25">
      <c r="A3906" t="str">
        <f>"20190303154846891"</f>
        <v>20190303154846891</v>
      </c>
      <c r="B3906" t="str">
        <f>"1551599326884924"</f>
        <v>1551599326884924</v>
      </c>
      <c r="C3906" t="s">
        <v>40</v>
      </c>
      <c r="D3906">
        <v>5.1240750000000004</v>
      </c>
      <c r="E3906">
        <v>0.50966520000000004</v>
      </c>
      <c r="F3906" t="s">
        <v>52</v>
      </c>
      <c r="G3906">
        <v>-240.15209999999999</v>
      </c>
      <c r="H3906" s="1">
        <v>-1.429178E-6</v>
      </c>
      <c r="I3906">
        <v>214.006</v>
      </c>
      <c r="J3906">
        <v>-264.51589999999999</v>
      </c>
      <c r="K3906">
        <v>1.120096</v>
      </c>
      <c r="L3906">
        <v>215.1404</v>
      </c>
      <c r="M3906">
        <v>0.99992060000000005</v>
      </c>
      <c r="N3906">
        <v>-1.027931E-2</v>
      </c>
      <c r="O3906">
        <v>-7.2893050000000003E-3</v>
      </c>
      <c r="P3906">
        <v>0.99581940000000002</v>
      </c>
      <c r="Q3906">
        <v>-8.9284479999999999E-2</v>
      </c>
      <c r="R3906">
        <v>-1.929548E-2</v>
      </c>
      <c r="S3906">
        <v>2.9977719999999999</v>
      </c>
      <c r="T3906">
        <v>-0.1358963</v>
      </c>
      <c r="U3906">
        <v>-0.13793949999999999</v>
      </c>
      <c r="V3906">
        <v>1.2010069999999999E-2</v>
      </c>
      <c r="W3906">
        <v>-7.9046149999999996E-2</v>
      </c>
      <c r="X3906">
        <v>0.99679859999999998</v>
      </c>
      <c r="Y3906">
        <v>3.863801E-2</v>
      </c>
      <c r="Z3906">
        <v>-8.1847039999999999E-4</v>
      </c>
      <c r="AA3906">
        <v>0.9992529</v>
      </c>
      <c r="AB3906">
        <v>33</v>
      </c>
      <c r="AC3906">
        <v>24.363800000000001</v>
      </c>
      <c r="AD3906">
        <v>-1.1200974291779999</v>
      </c>
      <c r="AE3906">
        <v>-1.1344000000000201</v>
      </c>
      <c r="AF3906">
        <v>0.95475171448389595</v>
      </c>
      <c r="AG3906">
        <v>-1.1200974291779999</v>
      </c>
      <c r="AH3906">
        <v>24.320130391305799</v>
      </c>
      <c r="AI3906">
        <v>92.634946558786993</v>
      </c>
      <c r="AJ3906">
        <v>87.751855497408798</v>
      </c>
      <c r="AK3906">
        <v>24.364624178043002</v>
      </c>
      <c r="AL3906">
        <v>94.533740559364404</v>
      </c>
      <c r="AM3906">
        <v>89.309697036921094</v>
      </c>
      <c r="AN3906">
        <v>0.99999999228659298</v>
      </c>
    </row>
    <row r="3907" spans="1:40" x14ac:dyDescent="0.25">
      <c r="A3907" t="str">
        <f>"20190303154846913"</f>
        <v>20190303154846913</v>
      </c>
      <c r="B3907" t="str">
        <f>"1551599326904441"</f>
        <v>1551599326904441</v>
      </c>
      <c r="C3907" t="s">
        <v>40</v>
      </c>
      <c r="D3907">
        <v>5.1809649999999996</v>
      </c>
      <c r="E3907">
        <v>0.50962289999999999</v>
      </c>
      <c r="F3907" t="s">
        <v>52</v>
      </c>
      <c r="G3907">
        <v>-240.05019999999999</v>
      </c>
      <c r="H3907" s="1">
        <v>-1.483829E-6</v>
      </c>
      <c r="I3907">
        <v>214.01589999999999</v>
      </c>
      <c r="J3907">
        <v>-264.19760000000002</v>
      </c>
      <c r="K3907">
        <v>1.1200889999999999</v>
      </c>
      <c r="L3907">
        <v>215.1379</v>
      </c>
      <c r="M3907">
        <v>0.99992040000000004</v>
      </c>
      <c r="N3907">
        <v>-1.0227470000000001E-2</v>
      </c>
      <c r="O3907">
        <v>-7.4118200000000004E-3</v>
      </c>
      <c r="P3907">
        <v>0.99584779999999995</v>
      </c>
      <c r="Q3907">
        <v>-8.8850440000000003E-2</v>
      </c>
      <c r="R3907">
        <v>-1.9826750000000001E-2</v>
      </c>
      <c r="S3907">
        <v>2.99762</v>
      </c>
      <c r="T3907">
        <v>-0.1372379</v>
      </c>
      <c r="U3907">
        <v>-0.13777159999999999</v>
      </c>
      <c r="V3907">
        <v>1.241928E-2</v>
      </c>
      <c r="W3907">
        <v>-7.86636E-2</v>
      </c>
      <c r="X3907">
        <v>0.99682380000000004</v>
      </c>
      <c r="Y3907">
        <v>3.8461679999999998E-2</v>
      </c>
      <c r="Z3907">
        <v>-8.1320729999999905E-4</v>
      </c>
      <c r="AA3907">
        <v>0.99925980000000003</v>
      </c>
      <c r="AB3907">
        <v>33</v>
      </c>
      <c r="AC3907">
        <v>24.147400000000001</v>
      </c>
      <c r="AD3907">
        <v>-1.12009048382899</v>
      </c>
      <c r="AE3907">
        <v>-1.1220000000000101</v>
      </c>
      <c r="AF3907">
        <v>0.94096343126787096</v>
      </c>
      <c r="AG3907">
        <v>-1.12009048382899</v>
      </c>
      <c r="AH3907">
        <v>24.103303735440601</v>
      </c>
      <c r="AI3907">
        <v>92.658622205474799</v>
      </c>
      <c r="AJ3907">
        <v>87.764378256664202</v>
      </c>
      <c r="AK3907">
        <v>24.147655493522599</v>
      </c>
      <c r="AL3907">
        <v>94.511753810192403</v>
      </c>
      <c r="AM3907">
        <v>89.286197305322403</v>
      </c>
      <c r="AN3907">
        <v>0.99999994436355699</v>
      </c>
    </row>
    <row r="3908" spans="1:40" x14ac:dyDescent="0.25">
      <c r="A3908" t="str">
        <f>"20190303154846929"</f>
        <v>20190303154846929</v>
      </c>
      <c r="B3908" t="str">
        <f>"1551599326924937"</f>
        <v>1551599326924937</v>
      </c>
      <c r="C3908" t="s">
        <v>40</v>
      </c>
      <c r="D3908">
        <v>5.1352219999999997</v>
      </c>
      <c r="E3908">
        <v>0.50957010000000003</v>
      </c>
      <c r="F3908" t="s">
        <v>52</v>
      </c>
      <c r="G3908">
        <v>-239.8073</v>
      </c>
      <c r="H3908" s="1">
        <v>3.7087670000000001E-6</v>
      </c>
      <c r="I3908">
        <v>214.00829999999999</v>
      </c>
      <c r="J3908">
        <v>-263.94299999999998</v>
      </c>
      <c r="K3908">
        <v>1.12008</v>
      </c>
      <c r="L3908">
        <v>215.136</v>
      </c>
      <c r="M3908">
        <v>0.99991980000000003</v>
      </c>
      <c r="N3908">
        <v>-1.0195249999999999E-2</v>
      </c>
      <c r="O3908">
        <v>-7.5096429999999999E-3</v>
      </c>
      <c r="P3908">
        <v>0.99582859999999995</v>
      </c>
      <c r="Q3908">
        <v>-8.9044810000000002E-2</v>
      </c>
      <c r="R3908">
        <v>-1.9908769999999999E-2</v>
      </c>
      <c r="S3908">
        <v>2.9974669999999999</v>
      </c>
      <c r="T3908">
        <v>-0.1376541</v>
      </c>
      <c r="U3908">
        <v>-0.13882449999999999</v>
      </c>
      <c r="V3908">
        <v>1.2403890000000001E-2</v>
      </c>
      <c r="W3908">
        <v>-7.8890260000000004E-2</v>
      </c>
      <c r="X3908">
        <v>0.99680610000000003</v>
      </c>
      <c r="Y3908">
        <v>3.871604E-2</v>
      </c>
      <c r="Z3908">
        <v>-8.1765210000000002E-4</v>
      </c>
      <c r="AA3908">
        <v>0.99924990000000002</v>
      </c>
      <c r="AB3908">
        <v>34</v>
      </c>
      <c r="AC3908">
        <v>24.1356999999999</v>
      </c>
      <c r="AD3908">
        <v>-1.120076291233</v>
      </c>
      <c r="AE3908">
        <v>-1.1276999999999999</v>
      </c>
      <c r="AF3908">
        <v>0.94437884940478201</v>
      </c>
      <c r="AG3908">
        <v>-1.120076291233</v>
      </c>
      <c r="AH3908">
        <v>24.091716284405901</v>
      </c>
      <c r="AI3908">
        <v>92.659848783099804</v>
      </c>
      <c r="AJ3908">
        <v>87.7551938238866</v>
      </c>
      <c r="AK3908">
        <v>24.136222070524902</v>
      </c>
      <c r="AL3908">
        <v>94.524780862258893</v>
      </c>
      <c r="AM3908">
        <v>89.287069102113506</v>
      </c>
      <c r="AN3908">
        <v>0.99999996530360402</v>
      </c>
    </row>
    <row r="3909" spans="1:40" x14ac:dyDescent="0.25">
      <c r="A3909" t="str">
        <f>"20190303154846943"</f>
        <v>20190303154846943</v>
      </c>
      <c r="B3909" t="str">
        <f>"1551599326934697"</f>
        <v>1551599326934697</v>
      </c>
      <c r="C3909" t="s">
        <v>40</v>
      </c>
      <c r="D3909">
        <v>5.1376559999999998</v>
      </c>
      <c r="E3909">
        <v>0.50954920000000004</v>
      </c>
      <c r="F3909" t="s">
        <v>52</v>
      </c>
      <c r="G3909">
        <v>-239.8897</v>
      </c>
      <c r="H3909" s="1">
        <v>3.7519090000000001E-6</v>
      </c>
      <c r="I3909">
        <v>214.02369999999999</v>
      </c>
      <c r="J3909">
        <v>-263.7484</v>
      </c>
      <c r="K3909">
        <v>1.120085</v>
      </c>
      <c r="L3909">
        <v>215.1344</v>
      </c>
      <c r="M3909">
        <v>0.99991949999999996</v>
      </c>
      <c r="N3909">
        <v>-1.017622E-2</v>
      </c>
      <c r="O3909">
        <v>-7.5845269999999998E-3</v>
      </c>
      <c r="P3909">
        <v>0.99580619999999997</v>
      </c>
      <c r="Q3909">
        <v>-8.9254780000000006E-2</v>
      </c>
      <c r="R3909">
        <v>-2.0090810000000001E-2</v>
      </c>
      <c r="S3909">
        <v>2.9973139999999998</v>
      </c>
      <c r="T3909">
        <v>-0.13957420000000001</v>
      </c>
      <c r="U3909">
        <v>-0.13859560000000001</v>
      </c>
      <c r="V3909">
        <v>1.25115E-2</v>
      </c>
      <c r="W3909">
        <v>-7.9119439999999999E-2</v>
      </c>
      <c r="X3909">
        <v>0.99678670000000003</v>
      </c>
      <c r="Y3909">
        <v>3.8566589999999998E-2</v>
      </c>
      <c r="Z3909">
        <v>-8.1778660000000002E-4</v>
      </c>
      <c r="AA3909">
        <v>0.99925569999999997</v>
      </c>
      <c r="AB3909">
        <v>34</v>
      </c>
      <c r="AC3909">
        <v>23.858699999999999</v>
      </c>
      <c r="AD3909">
        <v>-1.1200812480910001</v>
      </c>
      <c r="AE3909">
        <v>-1.1107</v>
      </c>
      <c r="AF3909">
        <v>0.92766161678344705</v>
      </c>
      <c r="AG3909">
        <v>-1.1200812480910001</v>
      </c>
      <c r="AH3909">
        <v>23.8140662873212</v>
      </c>
      <c r="AI3909">
        <v>92.690852415548903</v>
      </c>
      <c r="AJ3909">
        <v>87.769207715206306</v>
      </c>
      <c r="AK3909">
        <v>23.8584343831381</v>
      </c>
      <c r="AL3909">
        <v>94.537952586887201</v>
      </c>
      <c r="AM3909">
        <v>89.280870719485094</v>
      </c>
      <c r="AN3909">
        <v>1.0000000743575199</v>
      </c>
    </row>
    <row r="3910" spans="1:40" x14ac:dyDescent="0.25">
      <c r="A3910" t="str">
        <f>"20190303154846958"</f>
        <v>20190303154846958</v>
      </c>
      <c r="B3910" t="str">
        <f>"1551599326954217"</f>
        <v>1551599326954217</v>
      </c>
      <c r="C3910" t="s">
        <v>40</v>
      </c>
      <c r="D3910">
        <v>5.1335639999999998</v>
      </c>
      <c r="E3910">
        <v>0.50953559999999998</v>
      </c>
      <c r="F3910" t="s">
        <v>52</v>
      </c>
      <c r="G3910">
        <v>-239.83539999999999</v>
      </c>
      <c r="H3910" s="1">
        <v>3.722886E-6</v>
      </c>
      <c r="I3910">
        <v>214.0265</v>
      </c>
      <c r="J3910">
        <v>-263.52030000000002</v>
      </c>
      <c r="K3910">
        <v>1.1200969999999999</v>
      </c>
      <c r="L3910">
        <v>215.1326</v>
      </c>
      <c r="M3910">
        <v>0.99991909999999895</v>
      </c>
      <c r="N3910">
        <v>-1.016128E-2</v>
      </c>
      <c r="O3910">
        <v>-7.6720699999999996E-3</v>
      </c>
      <c r="P3910">
        <v>0.99587460000000005</v>
      </c>
      <c r="Q3910">
        <v>-8.8529469999999999E-2</v>
      </c>
      <c r="R3910">
        <v>-1.992143E-2</v>
      </c>
      <c r="S3910">
        <v>2.997223</v>
      </c>
      <c r="T3910">
        <v>-0.14038919999999999</v>
      </c>
      <c r="U3910">
        <v>-0.1388702</v>
      </c>
      <c r="V3910">
        <v>1.2254269999999999E-2</v>
      </c>
      <c r="W3910">
        <v>-7.8408240000000004E-2</v>
      </c>
      <c r="X3910">
        <v>0.99684600000000001</v>
      </c>
      <c r="Y3910">
        <v>3.857149E-2</v>
      </c>
      <c r="Z3910">
        <v>-8.1750880000000005E-4</v>
      </c>
      <c r="AA3910">
        <v>0.99925549999999996</v>
      </c>
      <c r="AB3910">
        <v>34</v>
      </c>
      <c r="AC3910">
        <v>23.684899999999999</v>
      </c>
      <c r="AD3910">
        <v>-1.120093277114</v>
      </c>
      <c r="AE3910">
        <v>-1.1060999999999901</v>
      </c>
      <c r="AF3910">
        <v>0.92228768938862304</v>
      </c>
      <c r="AG3910">
        <v>-1.120093277114</v>
      </c>
      <c r="AH3910">
        <v>23.639934162894601</v>
      </c>
      <c r="AI3910">
        <v>92.710666608766005</v>
      </c>
      <c r="AJ3910">
        <v>87.765797252338601</v>
      </c>
      <c r="AK3910">
        <v>23.6844191560068</v>
      </c>
      <c r="AL3910">
        <v>94.497077251660201</v>
      </c>
      <c r="AM3910">
        <v>89.295696037844394</v>
      </c>
      <c r="AN3910">
        <v>0.99999998347456498</v>
      </c>
    </row>
    <row r="3911" spans="1:40" x14ac:dyDescent="0.25">
      <c r="A3911" t="str">
        <f>"20190303154846975"</f>
        <v>20190303154846975</v>
      </c>
      <c r="B3911" t="str">
        <f>"1551599326964952"</f>
        <v>1551599326964952</v>
      </c>
      <c r="C3911" t="s">
        <v>40</v>
      </c>
      <c r="D3911">
        <v>5.1166619999999998</v>
      </c>
      <c r="E3911">
        <v>0.5095016</v>
      </c>
      <c r="F3911" t="s">
        <v>52</v>
      </c>
      <c r="G3911">
        <v>-239.4111</v>
      </c>
      <c r="H3911" s="1">
        <v>3.4974210000000001E-6</v>
      </c>
      <c r="I3911">
        <v>214.0198</v>
      </c>
      <c r="J3911">
        <v>-263.26170000000002</v>
      </c>
      <c r="K3911">
        <v>1.1201019999999999</v>
      </c>
      <c r="L3911">
        <v>215.13050000000001</v>
      </c>
      <c r="M3911">
        <v>0.99991839999999999</v>
      </c>
      <c r="N3911">
        <v>-1.0155279999999999E-2</v>
      </c>
      <c r="O3911">
        <v>-7.7715780000000003E-3</v>
      </c>
      <c r="P3911">
        <v>0.99589380000000005</v>
      </c>
      <c r="Q3911">
        <v>-8.8309200000000004E-2</v>
      </c>
      <c r="R3911">
        <v>-1.993491E-2</v>
      </c>
      <c r="S3911">
        <v>2.9972840000000001</v>
      </c>
      <c r="T3911">
        <v>-0.1392515</v>
      </c>
      <c r="U3911">
        <v>-0.13835140000000001</v>
      </c>
      <c r="V3911">
        <v>1.2168719999999999E-2</v>
      </c>
      <c r="W3911">
        <v>-7.8193780000000004E-2</v>
      </c>
      <c r="X3911">
        <v>0.99686390000000002</v>
      </c>
      <c r="Y3911">
        <v>3.8299590000000001E-2</v>
      </c>
      <c r="Z3911">
        <v>-8.016373E-4</v>
      </c>
      <c r="AA3911">
        <v>0.99926599999999999</v>
      </c>
      <c r="AB3911">
        <v>34</v>
      </c>
      <c r="AC3911">
        <v>23.8506</v>
      </c>
      <c r="AD3911">
        <v>-1.120098502579</v>
      </c>
      <c r="AE3911">
        <v>-1.1107</v>
      </c>
      <c r="AF3911">
        <v>0.92326823515627598</v>
      </c>
      <c r="AG3911">
        <v>-1.120098502579</v>
      </c>
      <c r="AH3911">
        <v>23.806120398505001</v>
      </c>
      <c r="AI3911">
        <v>92.691808533592095</v>
      </c>
      <c r="AJ3911">
        <v>87.779021774084995</v>
      </c>
      <c r="AK3911">
        <v>23.850333610196</v>
      </c>
      <c r="AL3911">
        <v>94.484751726812107</v>
      </c>
      <c r="AM3911">
        <v>89.300625019896898</v>
      </c>
      <c r="AN3911">
        <v>0.99999999005016804</v>
      </c>
    </row>
    <row r="3912" spans="1:40" x14ac:dyDescent="0.25">
      <c r="A3912" t="str">
        <f>"20190303154846993"</f>
        <v>20190303154846993</v>
      </c>
      <c r="B3912" t="str">
        <f>"1551599326984473"</f>
        <v>1551599326984473</v>
      </c>
      <c r="C3912" t="s">
        <v>40</v>
      </c>
      <c r="D3912">
        <v>5.1285379999999998</v>
      </c>
      <c r="E3912">
        <v>0.50951780000000002</v>
      </c>
      <c r="F3912" t="s">
        <v>52</v>
      </c>
      <c r="G3912">
        <v>-239.21279999999999</v>
      </c>
      <c r="H3912" s="1">
        <v>3.3917300000000001E-6</v>
      </c>
      <c r="I3912">
        <v>214.02279999999999</v>
      </c>
      <c r="J3912">
        <v>-263.00479999999999</v>
      </c>
      <c r="K3912">
        <v>1.1201129999999999</v>
      </c>
      <c r="L3912">
        <v>215.1284</v>
      </c>
      <c r="M3912">
        <v>0.99991739999999996</v>
      </c>
      <c r="N3912">
        <v>-1.0162239999999999E-2</v>
      </c>
      <c r="O3912">
        <v>-7.8700819999999901E-3</v>
      </c>
      <c r="P3912">
        <v>0.9959694</v>
      </c>
      <c r="Q3912">
        <v>-8.7501469999999998E-2</v>
      </c>
      <c r="R3912">
        <v>-1.9720330000000001E-2</v>
      </c>
      <c r="S3912">
        <v>2.997223</v>
      </c>
      <c r="T3912">
        <v>-0.1395981</v>
      </c>
      <c r="U3912">
        <v>-0.1380615</v>
      </c>
      <c r="V3912">
        <v>1.1855559999999999E-2</v>
      </c>
      <c r="W3912">
        <v>-7.7378269999999999E-2</v>
      </c>
      <c r="X3912">
        <v>0.99693129999999996</v>
      </c>
      <c r="Y3912">
        <v>3.8105750000000001E-2</v>
      </c>
      <c r="Z3912">
        <v>-7.9407259999999895E-4</v>
      </c>
      <c r="AA3912">
        <v>0.99927339999999998</v>
      </c>
      <c r="AB3912">
        <v>34</v>
      </c>
      <c r="AC3912">
        <v>23.791999999999899</v>
      </c>
      <c r="AD3912">
        <v>-1.1201096082699999</v>
      </c>
      <c r="AE3912">
        <v>-1.1055999999999999</v>
      </c>
      <c r="AF3912">
        <v>0.91628456935122204</v>
      </c>
      <c r="AG3912">
        <v>-1.1201096082699999</v>
      </c>
      <c r="AH3912">
        <v>23.7474429575526</v>
      </c>
      <c r="AI3912">
        <v>92.698497240221897</v>
      </c>
      <c r="AJ3912">
        <v>87.790363832644402</v>
      </c>
      <c r="AK3912">
        <v>23.791495748875999</v>
      </c>
      <c r="AL3912">
        <v>94.437884466739504</v>
      </c>
      <c r="AM3912">
        <v>89.318667662139205</v>
      </c>
      <c r="AN3912">
        <v>0.99999998394539802</v>
      </c>
    </row>
    <row r="3913" spans="1:40" x14ac:dyDescent="0.25">
      <c r="A3913" t="str">
        <f>"20190303154847015"</f>
        <v>20190303154847015</v>
      </c>
      <c r="B3913" t="str">
        <f>"1551599327004969"</f>
        <v>1551599327004969</v>
      </c>
      <c r="C3913" t="s">
        <v>40</v>
      </c>
      <c r="D3913">
        <v>5.1473100000000001</v>
      </c>
      <c r="E3913">
        <v>0.50954619999999995</v>
      </c>
      <c r="F3913" t="s">
        <v>52</v>
      </c>
      <c r="G3913">
        <v>-238.75530000000001</v>
      </c>
      <c r="H3913" s="1">
        <v>3.1486490000000001E-6</v>
      </c>
      <c r="I3913">
        <v>214.01419999999999</v>
      </c>
      <c r="J3913">
        <v>-262.66969999999998</v>
      </c>
      <c r="K3913">
        <v>1.120126</v>
      </c>
      <c r="L3913">
        <v>215.12569999999999</v>
      </c>
      <c r="M3913">
        <v>0.99991620000000003</v>
      </c>
      <c r="N3913">
        <v>-1.019753E-2</v>
      </c>
      <c r="O3913">
        <v>-7.9988950000000007E-3</v>
      </c>
      <c r="P3913">
        <v>0.99601709999999999</v>
      </c>
      <c r="Q3913">
        <v>-8.6983759999999993E-2</v>
      </c>
      <c r="R3913">
        <v>-1.9602379999999999E-2</v>
      </c>
      <c r="S3913">
        <v>2.9972530000000002</v>
      </c>
      <c r="T3913">
        <v>-0.13844629999999999</v>
      </c>
      <c r="U3913">
        <v>-0.13772579999999901</v>
      </c>
      <c r="V3913">
        <v>1.160897E-2</v>
      </c>
      <c r="W3913">
        <v>-7.6824859999999995E-2</v>
      </c>
      <c r="X3913">
        <v>0.996977</v>
      </c>
      <c r="Y3913">
        <v>3.7865860000000001E-2</v>
      </c>
      <c r="Z3913">
        <v>-7.7933979999999896E-4</v>
      </c>
      <c r="AA3913">
        <v>0.99928249999999996</v>
      </c>
      <c r="AB3913">
        <v>34</v>
      </c>
      <c r="AC3913">
        <v>23.914399999999901</v>
      </c>
      <c r="AD3913">
        <v>-1.120122851351</v>
      </c>
      <c r="AE3913">
        <v>-1.1114999999999999</v>
      </c>
      <c r="AF3913">
        <v>0.91815577333531695</v>
      </c>
      <c r="AG3913">
        <v>-1.120122851351</v>
      </c>
      <c r="AH3913">
        <v>23.870270530638599</v>
      </c>
      <c r="AI3913">
        <v>92.684676223593002</v>
      </c>
      <c r="AJ3913">
        <v>87.797237791917993</v>
      </c>
      <c r="AK3913">
        <v>23.914169448929201</v>
      </c>
      <c r="AL3913">
        <v>94.406081744061694</v>
      </c>
      <c r="AM3913">
        <v>89.332868334641404</v>
      </c>
      <c r="AN3913">
        <v>0.99999998291374004</v>
      </c>
    </row>
    <row r="3914" spans="1:40" x14ac:dyDescent="0.25">
      <c r="A3914" t="str">
        <f>"20190303154847037"</f>
        <v>20190303154847037</v>
      </c>
      <c r="B3914" t="str">
        <f>"1551599327024489"</f>
        <v>1551599327024489</v>
      </c>
      <c r="C3914" t="s">
        <v>40</v>
      </c>
      <c r="D3914">
        <v>5.0992069999999998</v>
      </c>
      <c r="E3914">
        <v>0.50960050000000001</v>
      </c>
      <c r="F3914" t="s">
        <v>52</v>
      </c>
      <c r="G3914">
        <v>-238.3553</v>
      </c>
      <c r="H3914" s="1">
        <v>2.9359659999999998E-6</v>
      </c>
      <c r="I3914">
        <v>214.01050000000001</v>
      </c>
      <c r="J3914">
        <v>-262.3399</v>
      </c>
      <c r="K3914">
        <v>1.1201460000000001</v>
      </c>
      <c r="L3914">
        <v>215.12289999999999</v>
      </c>
      <c r="M3914">
        <v>0.99991419999999998</v>
      </c>
      <c r="N3914">
        <v>-1.0284099999999999E-2</v>
      </c>
      <c r="O3914">
        <v>-8.1255979999999995E-3</v>
      </c>
      <c r="P3914">
        <v>0.9959903</v>
      </c>
      <c r="Q3914">
        <v>-8.7231920000000004E-2</v>
      </c>
      <c r="R3914">
        <v>-1.9854710000000001E-2</v>
      </c>
      <c r="S3914">
        <v>2.9971920000000001</v>
      </c>
      <c r="T3914">
        <v>-0.1380757</v>
      </c>
      <c r="U3914">
        <v>-0.13746639999999999</v>
      </c>
      <c r="V3914">
        <v>1.173514E-2</v>
      </c>
      <c r="W3914">
        <v>-7.6987009999999995E-2</v>
      </c>
      <c r="X3914">
        <v>0.99696300000000004</v>
      </c>
      <c r="Y3914">
        <v>3.7654319999999998E-2</v>
      </c>
      <c r="Z3914">
        <v>-7.6984979999999905E-4</v>
      </c>
      <c r="AA3914">
        <v>0.99929049999999997</v>
      </c>
      <c r="AB3914">
        <v>34</v>
      </c>
      <c r="AC3914">
        <v>23.9846</v>
      </c>
      <c r="AD3914">
        <v>-1.12014306403399</v>
      </c>
      <c r="AE3914">
        <v>-1.1123999999999701</v>
      </c>
      <c r="AF3914">
        <v>0.915471288551298</v>
      </c>
      <c r="AG3914">
        <v>-1.12014306403399</v>
      </c>
      <c r="AH3914">
        <v>23.940741656726701</v>
      </c>
      <c r="AI3914">
        <v>92.676856515782404</v>
      </c>
      <c r="AJ3914">
        <v>87.810130596614499</v>
      </c>
      <c r="AK3914">
        <v>23.984409920575299</v>
      </c>
      <c r="AL3914">
        <v>94.415399916505507</v>
      </c>
      <c r="AM3914">
        <v>89.325608931073106</v>
      </c>
      <c r="AN3914">
        <v>0.99999996829427895</v>
      </c>
    </row>
    <row r="3915" spans="1:40" x14ac:dyDescent="0.25">
      <c r="A3915" t="str">
        <f>"20190303154847058"</f>
        <v>20190303154847058</v>
      </c>
      <c r="B3915" t="str">
        <f>"1551599327054745"</f>
        <v>1551599327054745</v>
      </c>
      <c r="C3915" t="s">
        <v>40</v>
      </c>
      <c r="D3915">
        <v>5.1261850000000004</v>
      </c>
      <c r="E3915">
        <v>0.50960479999999997</v>
      </c>
      <c r="F3915" t="s">
        <v>52</v>
      </c>
      <c r="G3915">
        <v>-238.2921</v>
      </c>
      <c r="H3915" s="1">
        <v>2.9023769999999999E-6</v>
      </c>
      <c r="I3915">
        <v>214.01009999999999</v>
      </c>
      <c r="J3915">
        <v>-262.00659999999999</v>
      </c>
      <c r="K3915">
        <v>1.120187</v>
      </c>
      <c r="L3915">
        <v>215.12010000000001</v>
      </c>
      <c r="M3915">
        <v>0.9999112</v>
      </c>
      <c r="N3915">
        <v>-1.0468699999999999E-2</v>
      </c>
      <c r="O3915">
        <v>-8.2525949999999997E-3</v>
      </c>
      <c r="P3915">
        <v>0.99595929999999999</v>
      </c>
      <c r="Q3915">
        <v>-8.7468790000000005E-2</v>
      </c>
      <c r="R3915">
        <v>-2.036338E-2</v>
      </c>
      <c r="S3915">
        <v>2.9971009999999998</v>
      </c>
      <c r="T3915">
        <v>-0.139604799999999</v>
      </c>
      <c r="U3915">
        <v>-0.13868710000000001</v>
      </c>
      <c r="V3915">
        <v>1.2117299999999999E-2</v>
      </c>
      <c r="W3915">
        <v>-7.7040220000000006E-2</v>
      </c>
      <c r="X3915">
        <v>0.99695429999999996</v>
      </c>
      <c r="Y3915">
        <v>3.793357E-2</v>
      </c>
      <c r="Z3915">
        <v>-7.8367089999999996E-4</v>
      </c>
      <c r="AA3915">
        <v>0.99927999999999995</v>
      </c>
      <c r="AB3915">
        <v>34</v>
      </c>
      <c r="AC3915">
        <v>23.714499999999902</v>
      </c>
      <c r="AD3915">
        <v>-1.120184097623</v>
      </c>
      <c r="AE3915">
        <v>-1.1100000000000101</v>
      </c>
      <c r="AF3915">
        <v>0.912214377032734</v>
      </c>
      <c r="AG3915">
        <v>-1.120184097623</v>
      </c>
      <c r="AH3915">
        <v>23.6701543432725</v>
      </c>
      <c r="AI3915">
        <v>92.707479936815403</v>
      </c>
      <c r="AJ3915">
        <v>87.792993635738597</v>
      </c>
      <c r="AK3915">
        <v>23.714197311243201</v>
      </c>
      <c r="AL3915">
        <v>94.418457785884399</v>
      </c>
      <c r="AM3915">
        <v>89.303643141379496</v>
      </c>
      <c r="AN3915">
        <v>0.99999995037271205</v>
      </c>
    </row>
    <row r="3916" spans="1:40" x14ac:dyDescent="0.25">
      <c r="A3916" t="str">
        <f>"20190303154847082"</f>
        <v>20190303154847082</v>
      </c>
      <c r="B3916" t="str">
        <f>"1551599327074265"</f>
        <v>1551599327074265</v>
      </c>
      <c r="C3916" t="s">
        <v>40</v>
      </c>
      <c r="D3916">
        <v>5.1303599999999996</v>
      </c>
      <c r="E3916">
        <v>0.50961939999999994</v>
      </c>
      <c r="F3916" t="s">
        <v>52</v>
      </c>
      <c r="G3916">
        <v>-238.38810000000001</v>
      </c>
      <c r="H3916" s="1">
        <v>2.9532200000000001E-6</v>
      </c>
      <c r="I3916">
        <v>214.01490000000001</v>
      </c>
      <c r="J3916">
        <v>-261.66669999999999</v>
      </c>
      <c r="K3916">
        <v>1.120244</v>
      </c>
      <c r="L3916">
        <v>215.11709999999999</v>
      </c>
      <c r="M3916">
        <v>0.99990690000000004</v>
      </c>
      <c r="N3916">
        <v>-1.077881E-2</v>
      </c>
      <c r="O3916">
        <v>-8.3773149999999998E-3</v>
      </c>
      <c r="P3916">
        <v>0.99587110000000001</v>
      </c>
      <c r="Q3916">
        <v>-8.8426779999999996E-2</v>
      </c>
      <c r="R3916">
        <v>-2.0533659999999999E-2</v>
      </c>
      <c r="S3916">
        <v>2.996826</v>
      </c>
      <c r="T3916">
        <v>-0.14213419999999999</v>
      </c>
      <c r="U3916">
        <v>-0.1402283</v>
      </c>
      <c r="V3916">
        <v>1.216361E-2</v>
      </c>
      <c r="W3916">
        <v>-7.7689949999999994E-2</v>
      </c>
      <c r="X3916">
        <v>0.9969034</v>
      </c>
      <c r="Y3916">
        <v>3.8323669999999997E-2</v>
      </c>
      <c r="Z3916">
        <v>-8.0796699999999895E-4</v>
      </c>
      <c r="AA3916">
        <v>0.99926510000000002</v>
      </c>
      <c r="AB3916">
        <v>34</v>
      </c>
      <c r="AC3916">
        <v>23.278599999999901</v>
      </c>
      <c r="AD3916">
        <v>-1.1202410467799999</v>
      </c>
      <c r="AE3916">
        <v>-1.1021999999999801</v>
      </c>
      <c r="AF3916">
        <v>0.90504658300329599</v>
      </c>
      <c r="AG3916">
        <v>-1.1202410467799999</v>
      </c>
      <c r="AH3916">
        <v>23.233332649127899</v>
      </c>
      <c r="AI3916">
        <v>92.758402430775504</v>
      </c>
      <c r="AJ3916">
        <v>87.769190303513199</v>
      </c>
      <c r="AK3916">
        <v>23.277925064432299</v>
      </c>
      <c r="AL3916">
        <v>94.455796106314907</v>
      </c>
      <c r="AM3916">
        <v>89.300946375408202</v>
      </c>
      <c r="AN3916">
        <v>1.0000000353353899</v>
      </c>
    </row>
    <row r="3917" spans="1:40" x14ac:dyDescent="0.25">
      <c r="A3917" t="str">
        <f>"20190303154847102"</f>
        <v>20190303154847102</v>
      </c>
      <c r="B3917" t="str">
        <f>"1551599327094761"</f>
        <v>1551599327094761</v>
      </c>
      <c r="C3917" t="s">
        <v>40</v>
      </c>
      <c r="D3917">
        <v>5.1973890000000003</v>
      </c>
      <c r="E3917">
        <v>0.50960490000000003</v>
      </c>
      <c r="F3917" t="s">
        <v>52</v>
      </c>
      <c r="G3917">
        <v>-238.6876</v>
      </c>
      <c r="H3917" s="1">
        <v>3.111607E-6</v>
      </c>
      <c r="I3917">
        <v>214.0377</v>
      </c>
      <c r="J3917">
        <v>-261.34519999999998</v>
      </c>
      <c r="K3917">
        <v>1.1203000000000001</v>
      </c>
      <c r="L3917">
        <v>215.11429999999999</v>
      </c>
      <c r="M3917">
        <v>0.99990199999999996</v>
      </c>
      <c r="N3917">
        <v>-1.112781E-2</v>
      </c>
      <c r="O3917">
        <v>-8.4971460000000006E-3</v>
      </c>
      <c r="P3917">
        <v>0.99573920000000005</v>
      </c>
      <c r="Q3917">
        <v>-8.9916380000000004E-2</v>
      </c>
      <c r="R3917">
        <v>-2.045891E-2</v>
      </c>
      <c r="S3917">
        <v>2.9965519999999999</v>
      </c>
      <c r="T3917">
        <v>-0.14608309999999999</v>
      </c>
      <c r="U3917">
        <v>-0.14076229999999901</v>
      </c>
      <c r="V3917">
        <v>1.197054E-2</v>
      </c>
      <c r="W3917">
        <v>-7.8832860000000005E-2</v>
      </c>
      <c r="X3917">
        <v>0.99681600000000004</v>
      </c>
      <c r="Y3917">
        <v>3.8383130000000001E-2</v>
      </c>
      <c r="Z3917">
        <v>-8.2909330000000003E-4</v>
      </c>
      <c r="AA3917">
        <v>0.99926280000000001</v>
      </c>
      <c r="AB3917">
        <v>34</v>
      </c>
      <c r="AC3917">
        <v>22.657599999999899</v>
      </c>
      <c r="AD3917">
        <v>-1.120296888393</v>
      </c>
      <c r="AE3917">
        <v>-1.07659999999998</v>
      </c>
      <c r="AF3917">
        <v>0.88187315341827099</v>
      </c>
      <c r="AG3917">
        <v>-1.120296888393</v>
      </c>
      <c r="AH3917">
        <v>22.610776841034301</v>
      </c>
      <c r="AI3917">
        <v>92.8343647657329</v>
      </c>
      <c r="AJ3917">
        <v>87.766462740254795</v>
      </c>
      <c r="AK3917">
        <v>22.655683497346001</v>
      </c>
      <c r="AL3917">
        <v>94.521481535880497</v>
      </c>
      <c r="AM3917">
        <v>89.311980893337804</v>
      </c>
      <c r="AN3917">
        <v>1.00000002574983</v>
      </c>
    </row>
    <row r="3918" spans="1:40" x14ac:dyDescent="0.25">
      <c r="A3918" t="str">
        <f>"20190303154847125"</f>
        <v>20190303154847125</v>
      </c>
      <c r="B3918" t="str">
        <f>"1551599327114281"</f>
        <v>1551599327114281</v>
      </c>
      <c r="C3918" t="s">
        <v>40</v>
      </c>
      <c r="D3918">
        <v>5.1311980000000004</v>
      </c>
      <c r="E3918">
        <v>0.50964049999999905</v>
      </c>
      <c r="F3918" t="s">
        <v>52</v>
      </c>
      <c r="G3918">
        <v>-239.23490000000001</v>
      </c>
      <c r="H3918" s="1">
        <v>3.4010850000000002E-6</v>
      </c>
      <c r="I3918">
        <v>214.07849999999999</v>
      </c>
      <c r="J3918">
        <v>-260.99680000000001</v>
      </c>
      <c r="K3918">
        <v>1.1203540000000001</v>
      </c>
      <c r="L3918">
        <v>215.1112</v>
      </c>
      <c r="M3918">
        <v>0.99989669999999997</v>
      </c>
      <c r="N3918">
        <v>-1.150194E-2</v>
      </c>
      <c r="O3918">
        <v>-8.6306400000000002E-3</v>
      </c>
      <c r="P3918">
        <v>0.9956912</v>
      </c>
      <c r="Q3918">
        <v>-9.0451760000000006E-2</v>
      </c>
      <c r="R3918">
        <v>-2.0440030000000001E-2</v>
      </c>
      <c r="S3918">
        <v>2.9962460000000002</v>
      </c>
      <c r="T3918">
        <v>-0.15181520000000001</v>
      </c>
      <c r="U3918">
        <v>-0.14036560000000001</v>
      </c>
      <c r="V3918">
        <v>1.1819349999999999E-2</v>
      </c>
      <c r="W3918">
        <v>-7.8995650000000001E-2</v>
      </c>
      <c r="X3918">
        <v>0.99680489999999999</v>
      </c>
      <c r="Y3918">
        <v>3.8119029999999998E-2</v>
      </c>
      <c r="Z3918">
        <v>-8.4650939999999998E-4</v>
      </c>
      <c r="AA3918">
        <v>0.99927279999999996</v>
      </c>
      <c r="AB3918">
        <v>34</v>
      </c>
      <c r="AC3918">
        <v>21.761900000000001</v>
      </c>
      <c r="AD3918">
        <v>-1.120350598915</v>
      </c>
      <c r="AE3918">
        <v>-1.0327</v>
      </c>
      <c r="AF3918">
        <v>0.842601772302629</v>
      </c>
      <c r="AG3918">
        <v>-1.120350598915</v>
      </c>
      <c r="AH3918">
        <v>21.7125847171862</v>
      </c>
      <c r="AI3918">
        <v>92.951575331170105</v>
      </c>
      <c r="AJ3918">
        <v>87.777633905286606</v>
      </c>
      <c r="AK3918">
        <v>21.7577916690128</v>
      </c>
      <c r="AL3918">
        <v>94.530837969368605</v>
      </c>
      <c r="AM3918">
        <v>89.320662310588204</v>
      </c>
      <c r="AN3918">
        <v>1.00000000920867</v>
      </c>
    </row>
    <row r="3919" spans="1:40" x14ac:dyDescent="0.25">
      <c r="A3919" t="str">
        <f>"20190303154847149"</f>
        <v>20190303154847149</v>
      </c>
      <c r="B3919" t="str">
        <f>"1551599327144537"</f>
        <v>1551599327144537</v>
      </c>
      <c r="C3919" t="s">
        <v>40</v>
      </c>
      <c r="D3919">
        <v>5.1338629999999998</v>
      </c>
      <c r="E3919">
        <v>0.50973480000000004</v>
      </c>
      <c r="F3919" t="s">
        <v>52</v>
      </c>
      <c r="G3919">
        <v>-239.27459999999999</v>
      </c>
      <c r="H3919" s="1">
        <v>3.4216220000000002E-6</v>
      </c>
      <c r="I3919">
        <v>214.09190000000001</v>
      </c>
      <c r="J3919">
        <v>-260.65649999999999</v>
      </c>
      <c r="K3919">
        <v>1.1203989999999999</v>
      </c>
      <c r="L3919">
        <v>215.10810000000001</v>
      </c>
      <c r="M3919">
        <v>0.99989150000000004</v>
      </c>
      <c r="N3919">
        <v>-1.184583E-2</v>
      </c>
      <c r="O3919">
        <v>-8.7616429999999995E-3</v>
      </c>
      <c r="P3919">
        <v>0.99558690000000005</v>
      </c>
      <c r="Q3919">
        <v>-9.1552659999999994E-2</v>
      </c>
      <c r="R3919">
        <v>-2.0621549999999999E-2</v>
      </c>
      <c r="S3919">
        <v>2.9960939999999998</v>
      </c>
      <c r="T3919">
        <v>-0.15452750000000001</v>
      </c>
      <c r="U3919">
        <v>-0.14059449999999901</v>
      </c>
      <c r="V3919">
        <v>1.187116E-2</v>
      </c>
      <c r="W3919">
        <v>-7.9754839999999994E-2</v>
      </c>
      <c r="X3919">
        <v>0.99674379999999996</v>
      </c>
      <c r="Y3919">
        <v>3.80647E-2</v>
      </c>
      <c r="Z3919">
        <v>-8.5856929999999902E-4</v>
      </c>
      <c r="AA3919">
        <v>0.99927489999999997</v>
      </c>
      <c r="AB3919">
        <v>34</v>
      </c>
      <c r="AC3919">
        <v>21.381900000000002</v>
      </c>
      <c r="AD3919">
        <v>-1.120395578378</v>
      </c>
      <c r="AE3919">
        <v>-1.01619999999999</v>
      </c>
      <c r="AF3919">
        <v>0.826542968918488</v>
      </c>
      <c r="AG3919">
        <v>-1.120395578378</v>
      </c>
      <c r="AH3919">
        <v>21.3315457306593</v>
      </c>
      <c r="AI3919">
        <v>93.004330012807998</v>
      </c>
      <c r="AJ3919">
        <v>87.781044778754804</v>
      </c>
      <c r="AK3919">
        <v>21.376933895924498</v>
      </c>
      <c r="AL3919">
        <v>94.5744741628762</v>
      </c>
      <c r="AM3919">
        <v>89.317642899981294</v>
      </c>
      <c r="AN3919">
        <v>0.999999980890805</v>
      </c>
    </row>
    <row r="3920" spans="1:40" x14ac:dyDescent="0.25">
      <c r="A3920" t="str">
        <f>"20190303154847170"</f>
        <v>20190303154847170</v>
      </c>
      <c r="B3920" t="str">
        <f>"1551599327165036"</f>
        <v>1551599327165036</v>
      </c>
      <c r="C3920" t="s">
        <v>40</v>
      </c>
      <c r="D3920">
        <v>5.155519</v>
      </c>
      <c r="E3920">
        <v>0.50987709999999997</v>
      </c>
      <c r="F3920" t="s">
        <v>52</v>
      </c>
      <c r="G3920">
        <v>-239.477</v>
      </c>
      <c r="H3920" s="1">
        <v>3.5287409999999998E-6</v>
      </c>
      <c r="I3920">
        <v>214.10489999999999</v>
      </c>
      <c r="J3920">
        <v>-260.33019999999999</v>
      </c>
      <c r="K3920">
        <v>1.120422</v>
      </c>
      <c r="L3920">
        <v>215.10509999999999</v>
      </c>
      <c r="M3920">
        <v>0.99988690000000002</v>
      </c>
      <c r="N3920">
        <v>-1.2152380000000001E-2</v>
      </c>
      <c r="O3920">
        <v>-8.8864110000000003E-3</v>
      </c>
      <c r="P3920">
        <v>0.99549030000000005</v>
      </c>
      <c r="Q3920">
        <v>-9.2472879999999993E-2</v>
      </c>
      <c r="R3920">
        <v>-2.1169650000000002E-2</v>
      </c>
      <c r="S3920">
        <v>2.9957889999999998</v>
      </c>
      <c r="T3920">
        <v>-0.15847710000000001</v>
      </c>
      <c r="U3920">
        <v>-0.1419067</v>
      </c>
      <c r="V3920">
        <v>1.2295749999999999E-2</v>
      </c>
      <c r="W3920">
        <v>-8.0370629999999998E-2</v>
      </c>
      <c r="X3920">
        <v>0.99668920000000005</v>
      </c>
      <c r="Y3920">
        <v>3.837819E-2</v>
      </c>
      <c r="Z3920">
        <v>-8.8577139999999996E-4</v>
      </c>
      <c r="AA3920">
        <v>0.99926289999999995</v>
      </c>
      <c r="AB3920">
        <v>34</v>
      </c>
      <c r="AC3920">
        <v>20.853199999999902</v>
      </c>
      <c r="AD3920">
        <v>-1.120418471259</v>
      </c>
      <c r="AE3920">
        <v>-1.0002</v>
      </c>
      <c r="AF3920">
        <v>0.81249663027369001</v>
      </c>
      <c r="AG3920">
        <v>-1.120418471259</v>
      </c>
      <c r="AH3920">
        <v>20.8013540336229</v>
      </c>
      <c r="AI3920">
        <v>93.080785195251295</v>
      </c>
      <c r="AJ3920">
        <v>87.763175669038205</v>
      </c>
      <c r="AK3920">
        <v>20.8473455853992</v>
      </c>
      <c r="AL3920">
        <v>94.609869905129798</v>
      </c>
      <c r="AM3920">
        <v>89.293201085316497</v>
      </c>
      <c r="AN3920">
        <v>0.99999999251564897</v>
      </c>
    </row>
    <row r="3921" spans="1:40" x14ac:dyDescent="0.25">
      <c r="A3921" t="str">
        <f>"20190303154847193"</f>
        <v>20190303154847193</v>
      </c>
      <c r="B3921" t="str">
        <f>"1551599327184553"</f>
        <v>1551599327184553</v>
      </c>
      <c r="C3921" t="s">
        <v>40</v>
      </c>
      <c r="D3921">
        <v>5.399133</v>
      </c>
      <c r="E3921">
        <v>0.53602989999999995</v>
      </c>
      <c r="F3921" t="s">
        <v>52</v>
      </c>
      <c r="G3921">
        <v>-239.5556</v>
      </c>
      <c r="H3921" s="1">
        <v>3.570847E-6</v>
      </c>
      <c r="I3921">
        <v>214.09889999999999</v>
      </c>
      <c r="J3921">
        <v>-259.99400000000003</v>
      </c>
      <c r="K3921">
        <v>1.1204540000000001</v>
      </c>
      <c r="L3921">
        <v>215.102</v>
      </c>
      <c r="M3921">
        <v>0.99988200000000005</v>
      </c>
      <c r="N3921">
        <v>-1.244265E-2</v>
      </c>
      <c r="O3921">
        <v>-9.0130390000000005E-3</v>
      </c>
      <c r="P3921">
        <v>0.99545260000000002</v>
      </c>
      <c r="Q3921">
        <v>-9.2717569999999999E-2</v>
      </c>
      <c r="R3921">
        <v>-2.1858269999999999E-2</v>
      </c>
      <c r="S3921">
        <v>2.995514</v>
      </c>
      <c r="T3921">
        <v>-0.1615547</v>
      </c>
      <c r="U3921">
        <v>-0.1450806</v>
      </c>
      <c r="V3921">
        <v>1.285847E-2</v>
      </c>
      <c r="W3921">
        <v>-8.0326549999999997E-2</v>
      </c>
      <c r="X3921">
        <v>0.99668570000000001</v>
      </c>
      <c r="Y3921">
        <v>3.9308309999999999E-2</v>
      </c>
      <c r="Z3921">
        <v>-9.3012840000000004E-4</v>
      </c>
      <c r="AA3921">
        <v>0.99922670000000002</v>
      </c>
      <c r="AB3921">
        <v>33</v>
      </c>
      <c r="AC3921">
        <v>20.438400000000001</v>
      </c>
      <c r="AD3921">
        <v>-1.120450429153</v>
      </c>
      <c r="AE3921">
        <v>-1.0031000000000101</v>
      </c>
      <c r="AF3921">
        <v>0.81638529028718398</v>
      </c>
      <c r="AG3921">
        <v>-1.120450429153</v>
      </c>
      <c r="AH3921">
        <v>20.385493554754198</v>
      </c>
      <c r="AI3921">
        <v>93.143475011879403</v>
      </c>
      <c r="AJ3921">
        <v>87.706680513379695</v>
      </c>
      <c r="AK3921">
        <v>20.432577947417901</v>
      </c>
      <c r="AL3921">
        <v>94.607335896937599</v>
      </c>
      <c r="AM3921">
        <v>89.260855060383193</v>
      </c>
      <c r="AN3921">
        <v>1.0000000397350599</v>
      </c>
    </row>
    <row r="3922" spans="1:40" x14ac:dyDescent="0.25">
      <c r="A3922" t="str">
        <f>"20190303154847215"</f>
        <v>20190303154847215</v>
      </c>
      <c r="B3922" t="str">
        <f>"1551599327205049"</f>
        <v>1551599327205049</v>
      </c>
      <c r="C3922" t="s">
        <v>40</v>
      </c>
      <c r="D3922">
        <v>5.3138050000000003</v>
      </c>
      <c r="E3922">
        <v>0.55501069999999997</v>
      </c>
      <c r="F3922" t="s">
        <v>52</v>
      </c>
      <c r="G3922">
        <v>-242.6207</v>
      </c>
      <c r="H3922" s="1">
        <v>-7.3229600000000006E-8</v>
      </c>
      <c r="I3922">
        <v>213.03919999999999</v>
      </c>
      <c r="J3922">
        <v>-259.66039999999998</v>
      </c>
      <c r="K3922">
        <v>1.1204700000000001</v>
      </c>
      <c r="L3922">
        <v>215.09880000000001</v>
      </c>
      <c r="M3922">
        <v>0.99987769999999998</v>
      </c>
      <c r="N3922">
        <v>-1.2703310000000001E-2</v>
      </c>
      <c r="O3922">
        <v>-9.1383239999999998E-3</v>
      </c>
      <c r="P3922">
        <v>0.99541469999999999</v>
      </c>
      <c r="Q3922">
        <v>-9.3073580000000003E-2</v>
      </c>
      <c r="R3922">
        <v>-2.2071779999999999E-2</v>
      </c>
      <c r="S3922">
        <v>2.9879760000000002</v>
      </c>
      <c r="T3922">
        <v>-0.1927036</v>
      </c>
      <c r="U3922">
        <v>-0.35476679999999999</v>
      </c>
      <c r="V3922">
        <v>1.294758E-2</v>
      </c>
      <c r="W3922">
        <v>-8.0423179999999997E-2</v>
      </c>
      <c r="X3922">
        <v>0.99667669999999997</v>
      </c>
      <c r="Y3922">
        <v>0.1085684</v>
      </c>
      <c r="Z3922">
        <v>-3.7069960000000002E-3</v>
      </c>
      <c r="AA3922">
        <v>0.99408209999999997</v>
      </c>
      <c r="AB3922">
        <v>33</v>
      </c>
      <c r="AC3922">
        <v>17.0396999999999</v>
      </c>
      <c r="AD3922">
        <v>-1.1204700732296</v>
      </c>
      <c r="AE3922">
        <v>-2.0596000000000099</v>
      </c>
      <c r="AF3922">
        <v>1.895708302666</v>
      </c>
      <c r="AG3922">
        <v>-1.1204700732296</v>
      </c>
      <c r="AH3922">
        <v>16.985425284353099</v>
      </c>
      <c r="AI3922">
        <v>93.750915388003094</v>
      </c>
      <c r="AJ3922">
        <v>83.631690817661493</v>
      </c>
      <c r="AK3922">
        <v>17.127575287942602</v>
      </c>
      <c r="AL3922">
        <v>94.612890606539295</v>
      </c>
      <c r="AM3922">
        <v>89.255726594036204</v>
      </c>
      <c r="AN3922">
        <v>0.99999998601602902</v>
      </c>
    </row>
    <row r="3923" spans="1:40" x14ac:dyDescent="0.25">
      <c r="A3923" t="str">
        <f>"20190303154847238"</f>
        <v>20190303154847238</v>
      </c>
      <c r="B3923" t="str">
        <f>"1551599327235305"</f>
        <v>1551599327235305</v>
      </c>
      <c r="C3923" t="s">
        <v>40</v>
      </c>
      <c r="D3923">
        <v>5.2696269999999998</v>
      </c>
      <c r="E3923">
        <v>0.56249649999999995</v>
      </c>
      <c r="F3923" t="s">
        <v>52</v>
      </c>
      <c r="G3923">
        <v>-242.10050000000001</v>
      </c>
      <c r="H3923" s="1">
        <v>-3.0975560000000002E-7</v>
      </c>
      <c r="I3923">
        <v>212.1173</v>
      </c>
      <c r="J3923">
        <v>-259.32619999999997</v>
      </c>
      <c r="K3923">
        <v>1.1204809999999901</v>
      </c>
      <c r="L3923">
        <v>215.09559999999999</v>
      </c>
      <c r="M3923">
        <v>0.99987349999999997</v>
      </c>
      <c r="N3923">
        <v>-1.293675E-2</v>
      </c>
      <c r="O3923">
        <v>-9.2641719999999993E-3</v>
      </c>
      <c r="P3923">
        <v>0.99540249999999997</v>
      </c>
      <c r="Q3923">
        <v>-9.3135460000000003E-2</v>
      </c>
      <c r="R3923">
        <v>-2.2361570000000001E-2</v>
      </c>
      <c r="S3923">
        <v>2.984772</v>
      </c>
      <c r="T3923">
        <v>-0.19045400000000001</v>
      </c>
      <c r="U3923">
        <v>-0.50679019999999997</v>
      </c>
      <c r="V3923">
        <v>1.3112270000000001E-2</v>
      </c>
      <c r="W3923">
        <v>-8.0252530000000002E-2</v>
      </c>
      <c r="X3923">
        <v>0.99668829999999997</v>
      </c>
      <c r="Y3923">
        <v>0.15788949999999999</v>
      </c>
      <c r="Z3923">
        <v>-5.5590960000000003E-3</v>
      </c>
      <c r="AA3923">
        <v>0.98744109999999996</v>
      </c>
      <c r="AB3923">
        <v>33</v>
      </c>
      <c r="AC3923">
        <v>17.2256999999999</v>
      </c>
      <c r="AD3923">
        <v>-1.1204813097555999</v>
      </c>
      <c r="AE3923">
        <v>-2.9782999999999902</v>
      </c>
      <c r="AF3923">
        <v>2.8070447787634301</v>
      </c>
      <c r="AG3923">
        <v>-1.1204813097555999</v>
      </c>
      <c r="AH3923">
        <v>17.181965650237899</v>
      </c>
      <c r="AI3923">
        <v>93.682443715353699</v>
      </c>
      <c r="AJ3923">
        <v>80.721467686363397</v>
      </c>
      <c r="AK3923">
        <v>17.4457709018962</v>
      </c>
      <c r="AL3923">
        <v>94.603081385476301</v>
      </c>
      <c r="AM3923">
        <v>89.246269478028395</v>
      </c>
      <c r="AN3923">
        <v>0.99999998377642096</v>
      </c>
    </row>
    <row r="3924" spans="1:40" x14ac:dyDescent="0.25">
      <c r="A3924" t="str">
        <f>"20190303154847258"</f>
        <v>20190303154847258</v>
      </c>
      <c r="B3924" t="str">
        <f>"1551599327254825"</f>
        <v>1551599327254825</v>
      </c>
      <c r="C3924" t="s">
        <v>40</v>
      </c>
      <c r="D3924">
        <v>5.3320930000000004</v>
      </c>
      <c r="E3924">
        <v>0.56441189999999997</v>
      </c>
      <c r="F3924" t="s">
        <v>52</v>
      </c>
      <c r="G3924">
        <v>-241.14769999999999</v>
      </c>
      <c r="H3924" s="1">
        <v>-7.958618E-7</v>
      </c>
      <c r="I3924">
        <v>211.63759999999999</v>
      </c>
      <c r="J3924">
        <v>-259.00689999999997</v>
      </c>
      <c r="K3924">
        <v>1.1204940000000001</v>
      </c>
      <c r="L3924">
        <v>215.0926</v>
      </c>
      <c r="M3924">
        <v>0.99986969999999997</v>
      </c>
      <c r="N3924">
        <v>-1.313457E-2</v>
      </c>
      <c r="O3924">
        <v>-9.3846789999999999E-3</v>
      </c>
      <c r="P3924">
        <v>0.99538159999999998</v>
      </c>
      <c r="Q3924">
        <v>-9.3394099999999994E-2</v>
      </c>
      <c r="R3924">
        <v>-2.2205550000000001E-2</v>
      </c>
      <c r="S3924">
        <v>2.9839169999999999</v>
      </c>
      <c r="T3924">
        <v>-0.1839211</v>
      </c>
      <c r="U3924">
        <v>-0.56761169999999905</v>
      </c>
      <c r="V3924">
        <v>1.2836439999999999E-2</v>
      </c>
      <c r="W3924">
        <v>-8.0314129999999997E-2</v>
      </c>
      <c r="X3924">
        <v>0.99668690000000004</v>
      </c>
      <c r="Y3924">
        <v>0.1772591</v>
      </c>
      <c r="Z3924">
        <v>-6.1346339999999999E-3</v>
      </c>
      <c r="AA3924">
        <v>0.98414509999999999</v>
      </c>
      <c r="AB3924">
        <v>33</v>
      </c>
      <c r="AC3924">
        <v>17.859199999999898</v>
      </c>
      <c r="AD3924">
        <v>-1.1204947958617999</v>
      </c>
      <c r="AE3924">
        <v>-3.4550000000000098</v>
      </c>
      <c r="AF3924">
        <v>3.2748047178681001</v>
      </c>
      <c r="AG3924">
        <v>-1.1204947958617999</v>
      </c>
      <c r="AH3924">
        <v>17.8232125645198</v>
      </c>
      <c r="AI3924">
        <v>93.538214312676303</v>
      </c>
      <c r="AJ3924">
        <v>79.588701835418405</v>
      </c>
      <c r="AK3924">
        <v>18.156176928191101</v>
      </c>
      <c r="AL3924">
        <v>94.606622367271996</v>
      </c>
      <c r="AM3924">
        <v>89.262122161622599</v>
      </c>
      <c r="AN3924">
        <v>0.99999995515056905</v>
      </c>
    </row>
    <row r="3925" spans="1:40" x14ac:dyDescent="0.25">
      <c r="A3925" t="str">
        <f>"20190303154847283"</f>
        <v>20190303154847283</v>
      </c>
      <c r="B3925" t="str">
        <f>"1551599327275324"</f>
        <v>1551599327275324</v>
      </c>
      <c r="C3925" t="s">
        <v>40</v>
      </c>
      <c r="D3925">
        <v>5.3393959999999998</v>
      </c>
      <c r="E3925">
        <v>0.56585160000000001</v>
      </c>
      <c r="F3925" t="s">
        <v>52</v>
      </c>
      <c r="G3925">
        <v>-241.06870000000001</v>
      </c>
      <c r="H3925" s="1">
        <v>-8.3581769999999899E-7</v>
      </c>
      <c r="I3925">
        <v>211.59030000000001</v>
      </c>
      <c r="J3925">
        <v>-258.6628</v>
      </c>
      <c r="K3925">
        <v>1.1205020000000001</v>
      </c>
      <c r="L3925">
        <v>215.08920000000001</v>
      </c>
      <c r="M3925">
        <v>0.99986609999999998</v>
      </c>
      <c r="N3925">
        <v>-1.332158E-2</v>
      </c>
      <c r="O3925">
        <v>-9.5150229999999992E-3</v>
      </c>
      <c r="P3925">
        <v>0.99543890000000002</v>
      </c>
      <c r="Q3925">
        <v>-9.2874300000000007E-2</v>
      </c>
      <c r="R3925">
        <v>-2.1820639999999999E-2</v>
      </c>
      <c r="S3925">
        <v>2.9833980000000002</v>
      </c>
      <c r="T3925">
        <v>-0.1863551</v>
      </c>
      <c r="U3925">
        <v>-0.58247380000000004</v>
      </c>
      <c r="V3925">
        <v>1.2321520000000001E-2</v>
      </c>
      <c r="W3925">
        <v>-7.9607029999999995E-2</v>
      </c>
      <c r="X3925">
        <v>0.99675020000000003</v>
      </c>
      <c r="Y3925">
        <v>0.1818668</v>
      </c>
      <c r="Z3925">
        <v>-6.3831900000000004E-3</v>
      </c>
      <c r="AA3925">
        <v>0.98330249999999997</v>
      </c>
      <c r="AB3925">
        <v>33</v>
      </c>
      <c r="AC3925">
        <v>17.594099999999901</v>
      </c>
      <c r="AD3925">
        <v>-1.1205028358176901</v>
      </c>
      <c r="AE3925">
        <v>-3.4988999999999901</v>
      </c>
      <c r="AF3925">
        <v>3.3183713888395401</v>
      </c>
      <c r="AG3925">
        <v>-1.1205028358176901</v>
      </c>
      <c r="AH3925">
        <v>17.558093116601</v>
      </c>
      <c r="AI3925">
        <v>93.588137468752095</v>
      </c>
      <c r="AJ3925">
        <v>79.297683440480498</v>
      </c>
      <c r="AK3925">
        <v>17.9040148896994</v>
      </c>
      <c r="AL3925">
        <v>94.565978034778993</v>
      </c>
      <c r="AM3925">
        <v>89.291763235837607</v>
      </c>
      <c r="AN3925">
        <v>1.00000003014028</v>
      </c>
    </row>
    <row r="3926" spans="1:40" x14ac:dyDescent="0.25">
      <c r="A3926" t="str">
        <f>"20190303154847304"</f>
        <v>20190303154847304</v>
      </c>
      <c r="B3926" t="str">
        <f>"1551599327294842"</f>
        <v>1551599327294842</v>
      </c>
      <c r="C3926" t="s">
        <v>40</v>
      </c>
      <c r="D3926">
        <v>5.2979820000000002</v>
      </c>
      <c r="E3926">
        <v>0.56729469999999904</v>
      </c>
      <c r="F3926" t="s">
        <v>52</v>
      </c>
      <c r="G3926">
        <v>-240.68389999999999</v>
      </c>
      <c r="H3926" s="1">
        <v>-1.037386E-6</v>
      </c>
      <c r="I3926">
        <v>211.51769999999999</v>
      </c>
      <c r="J3926">
        <v>-258.33760000000001</v>
      </c>
      <c r="K3926">
        <v>1.120512</v>
      </c>
      <c r="L3926">
        <v>215.08600000000001</v>
      </c>
      <c r="M3926">
        <v>0.99986269999999999</v>
      </c>
      <c r="N3926">
        <v>-1.347599E-2</v>
      </c>
      <c r="O3926">
        <v>-9.6381290000000005E-3</v>
      </c>
      <c r="P3926">
        <v>0.99551480000000003</v>
      </c>
      <c r="Q3926">
        <v>-9.2188419999999993E-2</v>
      </c>
      <c r="R3926">
        <v>-2.1254450000000001E-2</v>
      </c>
      <c r="S3926">
        <v>2.9833829999999999</v>
      </c>
      <c r="T3926">
        <v>-0.18593409999999999</v>
      </c>
      <c r="U3926">
        <v>-0.59265140000000005</v>
      </c>
      <c r="V3926">
        <v>1.1632389999999999E-2</v>
      </c>
      <c r="W3926">
        <v>-7.8766089999999997E-2</v>
      </c>
      <c r="X3926">
        <v>0.99682530000000003</v>
      </c>
      <c r="Y3926">
        <v>0.18496889999999999</v>
      </c>
      <c r="Z3926">
        <v>-6.4970590000000003E-3</v>
      </c>
      <c r="AA3926">
        <v>0.98272289999999995</v>
      </c>
      <c r="AB3926">
        <v>33</v>
      </c>
      <c r="AC3926">
        <v>17.653700000000001</v>
      </c>
      <c r="AD3926">
        <v>-1.1205130373859999</v>
      </c>
      <c r="AE3926">
        <v>-3.56829999999999</v>
      </c>
      <c r="AF3926">
        <v>3.3848688532704201</v>
      </c>
      <c r="AG3926">
        <v>-1.1205130373859999</v>
      </c>
      <c r="AH3926">
        <v>17.619079334357799</v>
      </c>
      <c r="AI3926">
        <v>93.573736832707795</v>
      </c>
      <c r="AJ3926">
        <v>79.125184562675599</v>
      </c>
      <c r="AK3926">
        <v>17.976229949886299</v>
      </c>
      <c r="AL3926">
        <v>94.517643880838904</v>
      </c>
      <c r="AM3926">
        <v>89.331420859799493</v>
      </c>
      <c r="AN3926">
        <v>1.0000000440755401</v>
      </c>
    </row>
    <row r="3927" spans="1:40" x14ac:dyDescent="0.25">
      <c r="A3927" t="str">
        <f>"20190303154847326"</f>
        <v>20190303154847326</v>
      </c>
      <c r="B3927" t="str">
        <f>"1551599327315337"</f>
        <v>1551599327315337</v>
      </c>
      <c r="C3927" t="s">
        <v>40</v>
      </c>
      <c r="D3927">
        <v>5.344684</v>
      </c>
      <c r="E3927">
        <v>0.56852749999999996</v>
      </c>
      <c r="F3927" t="s">
        <v>52</v>
      </c>
      <c r="G3927">
        <v>-240.00729999999999</v>
      </c>
      <c r="H3927" s="1">
        <v>-1.3916409999999901E-6</v>
      </c>
      <c r="I3927">
        <v>211.38409999999999</v>
      </c>
      <c r="J3927">
        <v>-258.00940000000003</v>
      </c>
      <c r="K3927">
        <v>1.120522</v>
      </c>
      <c r="L3927">
        <v>215.08269999999999</v>
      </c>
      <c r="M3927">
        <v>0.99985990000000002</v>
      </c>
      <c r="N3927">
        <v>-1.361212E-2</v>
      </c>
      <c r="O3927">
        <v>-9.7629080000000007E-3</v>
      </c>
      <c r="P3927">
        <v>0.99554500000000001</v>
      </c>
      <c r="Q3927">
        <v>-9.1868270000000002E-2</v>
      </c>
      <c r="R3927">
        <v>-2.1232089999999999E-2</v>
      </c>
      <c r="S3927">
        <v>2.983765</v>
      </c>
      <c r="T3927">
        <v>-0.18239379999999999</v>
      </c>
      <c r="U3927">
        <v>-0.60258480000000003</v>
      </c>
      <c r="V3927">
        <v>1.1485799999999999E-2</v>
      </c>
      <c r="W3927">
        <v>-7.8309749999999997E-2</v>
      </c>
      <c r="X3927">
        <v>0.9968629</v>
      </c>
      <c r="Y3927">
        <v>0.1879739</v>
      </c>
      <c r="Z3927">
        <v>-6.5177300000000002E-3</v>
      </c>
      <c r="AA3927">
        <v>0.98215240000000004</v>
      </c>
      <c r="AB3927">
        <v>33</v>
      </c>
      <c r="AC3927">
        <v>18.002099999999999</v>
      </c>
      <c r="AD3927">
        <v>-1.120523391641</v>
      </c>
      <c r="AE3927">
        <v>-3.6985999999999901</v>
      </c>
      <c r="AF3927">
        <v>3.50960797423263</v>
      </c>
      <c r="AG3927">
        <v>-1.120523391641</v>
      </c>
      <c r="AH3927">
        <v>17.970550526475002</v>
      </c>
      <c r="AI3927">
        <v>93.501972105044501</v>
      </c>
      <c r="AJ3927">
        <v>78.949357371826494</v>
      </c>
      <c r="AK3927">
        <v>18.344307210374701</v>
      </c>
      <c r="AL3927">
        <v>94.4914167517354</v>
      </c>
      <c r="AM3927">
        <v>89.339870362197303</v>
      </c>
      <c r="AN3927">
        <v>0.99999999097155601</v>
      </c>
    </row>
    <row r="3928" spans="1:40" x14ac:dyDescent="0.25">
      <c r="A3928" t="str">
        <f>"20190303154847348"</f>
        <v>20190303154847348</v>
      </c>
      <c r="B3928" t="str">
        <f>"1551599327344616"</f>
        <v>1551599327344616</v>
      </c>
      <c r="C3928" t="s">
        <v>40</v>
      </c>
      <c r="D3928">
        <v>5.367362</v>
      </c>
      <c r="E3928">
        <v>0.56985750000000002</v>
      </c>
      <c r="F3928" t="s">
        <v>52</v>
      </c>
      <c r="G3928">
        <v>-239.23759999999999</v>
      </c>
      <c r="H3928" s="1">
        <v>3.5270089999999999E-6</v>
      </c>
      <c r="I3928">
        <v>211.23070000000001</v>
      </c>
      <c r="J3928">
        <v>-257.68090000000001</v>
      </c>
      <c r="K3928">
        <v>1.1205290000000001</v>
      </c>
      <c r="L3928">
        <v>215.07929999999999</v>
      </c>
      <c r="M3928">
        <v>0.99985690000000005</v>
      </c>
      <c r="N3928">
        <v>-1.373071E-2</v>
      </c>
      <c r="O3928">
        <v>-9.8872179999999997E-3</v>
      </c>
      <c r="P3928">
        <v>0.9955986</v>
      </c>
      <c r="Q3928">
        <v>-9.1211319999999999E-2</v>
      </c>
      <c r="R3928">
        <v>-2.154536E-2</v>
      </c>
      <c r="S3928">
        <v>2.9839020000000001</v>
      </c>
      <c r="T3928">
        <v>-0.17811379999999999</v>
      </c>
      <c r="U3928">
        <v>-0.61228939999999998</v>
      </c>
      <c r="V3928">
        <v>1.167501E-2</v>
      </c>
      <c r="W3928">
        <v>-7.7533920000000006E-2</v>
      </c>
      <c r="X3928">
        <v>0.99692139999999996</v>
      </c>
      <c r="Y3928">
        <v>0.19091959999999999</v>
      </c>
      <c r="Z3928">
        <v>-6.5110999999999997E-3</v>
      </c>
      <c r="AA3928">
        <v>0.98158409999999996</v>
      </c>
      <c r="AB3928">
        <v>33</v>
      </c>
      <c r="AC3928">
        <v>18.443300000000001</v>
      </c>
      <c r="AD3928">
        <v>-1.1205254729909999</v>
      </c>
      <c r="AE3928">
        <v>-3.84859999999997</v>
      </c>
      <c r="AF3928">
        <v>3.65312004410886</v>
      </c>
      <c r="AG3928">
        <v>-1.1205254729909999</v>
      </c>
      <c r="AH3928">
        <v>18.4153158299907</v>
      </c>
      <c r="AI3928">
        <v>93.415615085849495</v>
      </c>
      <c r="AJ3928">
        <v>78.779674676393896</v>
      </c>
      <c r="AK3928">
        <v>18.8075708296047</v>
      </c>
      <c r="AL3928">
        <v>94.446829150384403</v>
      </c>
      <c r="AM3928">
        <v>89.329036150378002</v>
      </c>
      <c r="AN3928">
        <v>1.0000000461935099</v>
      </c>
    </row>
    <row r="3929" spans="1:40" x14ac:dyDescent="0.25">
      <c r="A3929" t="str">
        <f>"20190303154847370"</f>
        <v>20190303154847370</v>
      </c>
      <c r="B3929" t="str">
        <f>"1551599327365113"</f>
        <v>1551599327365113</v>
      </c>
      <c r="C3929" t="s">
        <v>40</v>
      </c>
      <c r="D3929">
        <v>5.3780219999999996</v>
      </c>
      <c r="E3929">
        <v>0.57055230000000001</v>
      </c>
      <c r="F3929" t="s">
        <v>52</v>
      </c>
      <c r="G3929">
        <v>-238.42779999999999</v>
      </c>
      <c r="H3929" s="1">
        <v>3.1038229999999998E-6</v>
      </c>
      <c r="I3929">
        <v>211.05340000000001</v>
      </c>
      <c r="J3929">
        <v>-257.34469999999999</v>
      </c>
      <c r="K3929">
        <v>1.1205309999999999</v>
      </c>
      <c r="L3929">
        <v>215.07579999999999</v>
      </c>
      <c r="M3929">
        <v>0.99985420000000003</v>
      </c>
      <c r="N3929">
        <v>-1.3835760000000001E-2</v>
      </c>
      <c r="O3929">
        <v>-1.00149E-2</v>
      </c>
      <c r="P3929">
        <v>0.99559549999999997</v>
      </c>
      <c r="Q3929">
        <v>-9.1137090000000004E-2</v>
      </c>
      <c r="R3929">
        <v>-2.1999319999999999E-2</v>
      </c>
      <c r="S3929">
        <v>2.9838559999999998</v>
      </c>
      <c r="T3929">
        <v>-0.17365990000000001</v>
      </c>
      <c r="U3929">
        <v>-0.62393189999999998</v>
      </c>
      <c r="V3929">
        <v>1.2001909999999999E-2</v>
      </c>
      <c r="W3929">
        <v>-7.7354989999999998E-2</v>
      </c>
      <c r="X3929">
        <v>0.99693140000000002</v>
      </c>
      <c r="Y3929">
        <v>0.19447829999999999</v>
      </c>
      <c r="Z3929">
        <v>-6.5164100000000003E-3</v>
      </c>
      <c r="AA3929">
        <v>0.98088520000000001</v>
      </c>
      <c r="AB3929">
        <v>33</v>
      </c>
      <c r="AC3929">
        <v>18.916899999999998</v>
      </c>
      <c r="AD3929">
        <v>-1.120527896177</v>
      </c>
      <c r="AE3929">
        <v>-4.02239999999997</v>
      </c>
      <c r="AF3929">
        <v>3.8199061542651198</v>
      </c>
      <c r="AG3929">
        <v>-1.120527896177</v>
      </c>
      <c r="AH3929">
        <v>18.892817341605401</v>
      </c>
      <c r="AI3929">
        <v>93.327052935286702</v>
      </c>
      <c r="AJ3929">
        <v>78.569561741845106</v>
      </c>
      <c r="AK3929">
        <v>19.307662025651101</v>
      </c>
      <c r="AL3929">
        <v>94.436546413793195</v>
      </c>
      <c r="AM3929">
        <v>89.310257887073305</v>
      </c>
      <c r="AN3929">
        <v>1.00000002831375</v>
      </c>
    </row>
    <row r="3930" spans="1:40" x14ac:dyDescent="0.25">
      <c r="A3930" t="str">
        <f>"20190303154847395"</f>
        <v>20190303154847395</v>
      </c>
      <c r="B3930" t="str">
        <f>"1551599327384633"</f>
        <v>1551599327384633</v>
      </c>
      <c r="C3930" t="s">
        <v>40</v>
      </c>
      <c r="D3930">
        <v>5.3644239999999996</v>
      </c>
      <c r="E3930">
        <v>0.57118679999999999</v>
      </c>
      <c r="F3930" t="s">
        <v>52</v>
      </c>
      <c r="G3930">
        <v>-238.09620000000001</v>
      </c>
      <c r="H3930" s="1">
        <v>2.9294240000000001E-6</v>
      </c>
      <c r="I3930">
        <v>211.00540000000001</v>
      </c>
      <c r="J3930">
        <v>-256.9991</v>
      </c>
      <c r="K3930">
        <v>1.120533</v>
      </c>
      <c r="L3930">
        <v>215.07220000000001</v>
      </c>
      <c r="M3930">
        <v>0.9998515</v>
      </c>
      <c r="N3930">
        <v>-1.392882E-2</v>
      </c>
      <c r="O3930">
        <v>-1.014583E-2</v>
      </c>
      <c r="P3930">
        <v>0.99556739999999999</v>
      </c>
      <c r="Q3930">
        <v>-9.1337810000000005E-2</v>
      </c>
      <c r="R3930">
        <v>-2.2430249999999999E-2</v>
      </c>
      <c r="S3930">
        <v>2.9834290000000001</v>
      </c>
      <c r="T3930">
        <v>-0.1736761</v>
      </c>
      <c r="U3930">
        <v>-0.6308899</v>
      </c>
      <c r="V3930">
        <v>1.2302840000000001E-2</v>
      </c>
      <c r="W3930">
        <v>-7.7463329999999997E-2</v>
      </c>
      <c r="X3930">
        <v>0.99691929999999995</v>
      </c>
      <c r="Y3930">
        <v>0.1965636</v>
      </c>
      <c r="Z3930">
        <v>-6.5957189999999999E-3</v>
      </c>
      <c r="AA3930">
        <v>0.98046889999999998</v>
      </c>
      <c r="AB3930">
        <v>33</v>
      </c>
      <c r="AC3930">
        <v>18.902899999999899</v>
      </c>
      <c r="AD3930">
        <v>-1.120530070576</v>
      </c>
      <c r="AE3930">
        <v>-4.0667999999999997</v>
      </c>
      <c r="AF3930">
        <v>3.8618166754880701</v>
      </c>
      <c r="AG3930">
        <v>-1.120530070576</v>
      </c>
      <c r="AH3930">
        <v>18.879784994443501</v>
      </c>
      <c r="AI3930">
        <v>93.327820537113993</v>
      </c>
      <c r="AJ3930">
        <v>78.439745489069097</v>
      </c>
      <c r="AK3930">
        <v>19.303250946681398</v>
      </c>
      <c r="AL3930">
        <v>94.442772606172696</v>
      </c>
      <c r="AM3930">
        <v>89.292956785384007</v>
      </c>
      <c r="AN3930">
        <v>1.0000000090396199</v>
      </c>
    </row>
    <row r="3931" spans="1:40" x14ac:dyDescent="0.25">
      <c r="A3931" t="str">
        <f>"20190303154847416"</f>
        <v>20190303154847416</v>
      </c>
      <c r="B3931" t="str">
        <f>"1551599327405129"</f>
        <v>1551599327405129</v>
      </c>
      <c r="C3931" t="s">
        <v>40</v>
      </c>
      <c r="D3931">
        <v>5.391229</v>
      </c>
      <c r="E3931">
        <v>0.57169479999999995</v>
      </c>
      <c r="F3931" t="s">
        <v>52</v>
      </c>
      <c r="G3931">
        <v>-237.70050000000001</v>
      </c>
      <c r="H3931" s="1">
        <v>2.7212910000000001E-6</v>
      </c>
      <c r="I3931">
        <v>210.94990000000001</v>
      </c>
      <c r="J3931">
        <v>-256.6748</v>
      </c>
      <c r="K3931">
        <v>1.1205369999999999</v>
      </c>
      <c r="L3931">
        <v>215.06880000000001</v>
      </c>
      <c r="M3931">
        <v>0.99984919999999999</v>
      </c>
      <c r="N3931">
        <v>-1.400413E-2</v>
      </c>
      <c r="O3931">
        <v>-1.026878E-2</v>
      </c>
      <c r="P3931">
        <v>0.99553320000000001</v>
      </c>
      <c r="Q3931">
        <v>-9.1532989999999995E-2</v>
      </c>
      <c r="R3931">
        <v>-2.3143279999999999E-2</v>
      </c>
      <c r="S3931">
        <v>2.9830779999999999</v>
      </c>
      <c r="T3931">
        <v>-0.17320529999999901</v>
      </c>
      <c r="U3931">
        <v>-0.63720699999999997</v>
      </c>
      <c r="V3931">
        <v>1.289362E-2</v>
      </c>
      <c r="W3931">
        <v>-7.7583929999999995E-2</v>
      </c>
      <c r="X3931">
        <v>0.99690250000000002</v>
      </c>
      <c r="Y3931">
        <v>0.1984504</v>
      </c>
      <c r="Z3931">
        <v>-6.6521339999999997E-3</v>
      </c>
      <c r="AA3931">
        <v>0.98008839999999997</v>
      </c>
      <c r="AB3931">
        <v>33</v>
      </c>
      <c r="AC3931">
        <v>18.974299999999999</v>
      </c>
      <c r="AD3931">
        <v>-1.120534278709</v>
      </c>
      <c r="AE3931">
        <v>-4.1188999999999902</v>
      </c>
      <c r="AF3931">
        <v>3.9107955088213502</v>
      </c>
      <c r="AG3931">
        <v>-1.120534278709</v>
      </c>
      <c r="AH3931">
        <v>18.952476677306201</v>
      </c>
      <c r="AI3931">
        <v>93.313924415299098</v>
      </c>
      <c r="AJ3931">
        <v>78.340803069817895</v>
      </c>
      <c r="AK3931">
        <v>19.384176298863299</v>
      </c>
      <c r="AL3931">
        <v>94.449703138738002</v>
      </c>
      <c r="AM3931">
        <v>89.258995919815206</v>
      </c>
      <c r="AN3931">
        <v>1.00000005306859</v>
      </c>
    </row>
    <row r="3932" spans="1:40" x14ac:dyDescent="0.25">
      <c r="A3932" t="str">
        <f>"20190303154847439"</f>
        <v>20190303154847439</v>
      </c>
      <c r="B3932" t="str">
        <f>"1551599327435385"</f>
        <v>1551599327435385</v>
      </c>
      <c r="C3932" t="s">
        <v>40</v>
      </c>
      <c r="D3932">
        <v>5.3926309999999997</v>
      </c>
      <c r="E3932">
        <v>0.57233599999999996</v>
      </c>
      <c r="F3932" t="s">
        <v>52</v>
      </c>
      <c r="G3932">
        <v>-237.5351</v>
      </c>
      <c r="H3932" s="1">
        <v>2.6337700000000001E-6</v>
      </c>
      <c r="I3932">
        <v>210.9392</v>
      </c>
      <c r="J3932">
        <v>-256.35410000000002</v>
      </c>
      <c r="K3932">
        <v>1.120552</v>
      </c>
      <c r="L3932">
        <v>215.06540000000001</v>
      </c>
      <c r="M3932">
        <v>0.99984709999999999</v>
      </c>
      <c r="N3932">
        <v>-1.406836E-2</v>
      </c>
      <c r="O3932">
        <v>-1.0390470000000001E-2</v>
      </c>
      <c r="P3932">
        <v>0.9955174</v>
      </c>
      <c r="Q3932">
        <v>-9.1439989999999999E-2</v>
      </c>
      <c r="R3932">
        <v>-2.4164399999999999E-2</v>
      </c>
      <c r="S3932">
        <v>2.9824830000000002</v>
      </c>
      <c r="T3932">
        <v>-0.17461009999999999</v>
      </c>
      <c r="U3932">
        <v>-0.64350889999999905</v>
      </c>
      <c r="V3932">
        <v>1.379388E-2</v>
      </c>
      <c r="W3932">
        <v>-7.7427239999999994E-2</v>
      </c>
      <c r="X3932">
        <v>0.99690259999999997</v>
      </c>
      <c r="Y3932">
        <v>0.2003405</v>
      </c>
      <c r="Z3932">
        <v>-6.7635159999999998E-3</v>
      </c>
      <c r="AA3932">
        <v>0.97970290000000004</v>
      </c>
      <c r="AB3932">
        <v>33</v>
      </c>
      <c r="AC3932">
        <v>18.818999999999999</v>
      </c>
      <c r="AD3932">
        <v>-1.1205493662299999</v>
      </c>
      <c r="AE3932">
        <v>-4.1262000000000096</v>
      </c>
      <c r="AF3932">
        <v>3.9171685946127801</v>
      </c>
      <c r="AG3932">
        <v>-1.1205493662299999</v>
      </c>
      <c r="AH3932">
        <v>18.7972737733778</v>
      </c>
      <c r="AI3932">
        <v>93.339915855228796</v>
      </c>
      <c r="AJ3932">
        <v>78.228585631257502</v>
      </c>
      <c r="AK3932">
        <v>19.233755275351001</v>
      </c>
      <c r="AL3932">
        <v>94.440698518017996</v>
      </c>
      <c r="AM3932">
        <v>89.207263904010503</v>
      </c>
      <c r="AN3932">
        <v>1.0000000212531099</v>
      </c>
    </row>
    <row r="3933" spans="1:40" x14ac:dyDescent="0.25">
      <c r="A3933" t="str">
        <f>"20190303154847461"</f>
        <v>20190303154847461</v>
      </c>
      <c r="B3933" t="str">
        <f>"1551599327454905"</f>
        <v>1551599327454905</v>
      </c>
      <c r="C3933" t="s">
        <v>40</v>
      </c>
      <c r="D3933">
        <v>5.3753140000000004</v>
      </c>
      <c r="E3933">
        <v>0.57267860000000004</v>
      </c>
      <c r="F3933" t="s">
        <v>52</v>
      </c>
      <c r="G3933">
        <v>-237.16229999999999</v>
      </c>
      <c r="H3933" s="1">
        <v>2.4383750000000002E-6</v>
      </c>
      <c r="I3933">
        <v>210.8708</v>
      </c>
      <c r="J3933">
        <v>-256.02</v>
      </c>
      <c r="K3933">
        <v>1.120555</v>
      </c>
      <c r="L3933">
        <v>215.06180000000001</v>
      </c>
      <c r="M3933">
        <v>0.99984499999999998</v>
      </c>
      <c r="N3933">
        <v>-1.412511E-2</v>
      </c>
      <c r="O3933">
        <v>-1.051711E-2</v>
      </c>
      <c r="P3933">
        <v>0.99551670000000003</v>
      </c>
      <c r="Q3933">
        <v>-9.1506039999999997E-2</v>
      </c>
      <c r="R3933">
        <v>-2.3942560000000002E-2</v>
      </c>
      <c r="S3933">
        <v>2.9817049999999998</v>
      </c>
      <c r="T3933">
        <v>-0.1740931</v>
      </c>
      <c r="U3933">
        <v>-0.65168760000000003</v>
      </c>
      <c r="V3933">
        <v>1.344597E-2</v>
      </c>
      <c r="W3933">
        <v>-7.7436610000000003E-2</v>
      </c>
      <c r="X3933">
        <v>0.99690659999999998</v>
      </c>
      <c r="Y3933">
        <v>0.2028316</v>
      </c>
      <c r="Z3933">
        <v>-6.8388069999999997E-3</v>
      </c>
      <c r="AA3933">
        <v>0.9791898</v>
      </c>
      <c r="AB3933">
        <v>33</v>
      </c>
      <c r="AC3933">
        <v>18.857699999999902</v>
      </c>
      <c r="AD3933">
        <v>-1.1205525616249901</v>
      </c>
      <c r="AE3933">
        <v>-4.1909999999999998</v>
      </c>
      <c r="AF3933">
        <v>3.9790315509782701</v>
      </c>
      <c r="AG3933">
        <v>-1.1205525616249901</v>
      </c>
      <c r="AH3933">
        <v>18.837355974638299</v>
      </c>
      <c r="AI3933">
        <v>93.330936912825194</v>
      </c>
      <c r="AJ3933">
        <v>78.072691363757798</v>
      </c>
      <c r="AK3933">
        <v>19.2855985191615</v>
      </c>
      <c r="AL3933">
        <v>94.441237108987906</v>
      </c>
      <c r="AM3933">
        <v>89.227258981720198</v>
      </c>
      <c r="AN3933">
        <v>0.999999995900546</v>
      </c>
    </row>
    <row r="3934" spans="1:40" x14ac:dyDescent="0.25">
      <c r="A3934" t="str">
        <f>"20190303154847483"</f>
        <v>20190303154847483</v>
      </c>
      <c r="B3934" t="str">
        <f>"1551599327475408"</f>
        <v>1551599327475408</v>
      </c>
      <c r="C3934" t="s">
        <v>40</v>
      </c>
      <c r="D3934">
        <v>5.3769799999999996</v>
      </c>
      <c r="E3934">
        <v>0.57302810000000004</v>
      </c>
      <c r="F3934" t="s">
        <v>52</v>
      </c>
      <c r="G3934">
        <v>-236.78540000000001</v>
      </c>
      <c r="H3934" s="1">
        <v>2.2389150000000001E-6</v>
      </c>
      <c r="I3934">
        <v>210.845</v>
      </c>
      <c r="J3934">
        <v>-255.70429999999999</v>
      </c>
      <c r="K3934">
        <v>1.1205510000000001</v>
      </c>
      <c r="L3934">
        <v>215.0583</v>
      </c>
      <c r="M3934">
        <v>0.99984340000000005</v>
      </c>
      <c r="N3934">
        <v>-1.414872E-2</v>
      </c>
      <c r="O3934">
        <v>-1.063707E-2</v>
      </c>
      <c r="P3934">
        <v>0.9955484</v>
      </c>
      <c r="Q3934">
        <v>-9.1233439999999999E-2</v>
      </c>
      <c r="R3934">
        <v>-2.366946E-2</v>
      </c>
      <c r="S3934">
        <v>2.981827</v>
      </c>
      <c r="T3934">
        <v>-0.1737128</v>
      </c>
      <c r="U3934">
        <v>-0.6537018</v>
      </c>
      <c r="V3934">
        <v>1.305306E-2</v>
      </c>
      <c r="W3934">
        <v>-7.7139929999999995E-2</v>
      </c>
      <c r="X3934">
        <v>0.99693480000000001</v>
      </c>
      <c r="Y3934">
        <v>0.2033375</v>
      </c>
      <c r="Z3934">
        <v>-6.8425069999999899E-3</v>
      </c>
      <c r="AA3934">
        <v>0.97908479999999998</v>
      </c>
      <c r="AB3934">
        <v>33</v>
      </c>
      <c r="AC3934">
        <v>18.918899999999901</v>
      </c>
      <c r="AD3934">
        <v>-1.120548761085</v>
      </c>
      <c r="AE3934">
        <v>-4.2133000000000003</v>
      </c>
      <c r="AF3934">
        <v>3.9984357611602199</v>
      </c>
      <c r="AG3934">
        <v>-1.120548761085</v>
      </c>
      <c r="AH3934">
        <v>18.899483081929802</v>
      </c>
      <c r="AI3934">
        <v>93.319777863326195</v>
      </c>
      <c r="AJ3934">
        <v>78.054464256279502</v>
      </c>
      <c r="AK3934">
        <v>19.350286272462299</v>
      </c>
      <c r="AL3934">
        <v>94.424187698415594</v>
      </c>
      <c r="AM3934">
        <v>89.249858150157607</v>
      </c>
      <c r="AN3934">
        <v>0.99999997331340296</v>
      </c>
    </row>
    <row r="3935" spans="1:40" x14ac:dyDescent="0.25">
      <c r="A3935" t="str">
        <f>"20190303154847500"</f>
        <v>20190303154847500</v>
      </c>
      <c r="B3935" t="str">
        <f>"1551599327494921"</f>
        <v>1551599327494921</v>
      </c>
      <c r="C3935" t="s">
        <v>40</v>
      </c>
      <c r="D3935">
        <v>5.3622969999999999</v>
      </c>
      <c r="E3935">
        <v>0.57336469999999995</v>
      </c>
      <c r="F3935" t="s">
        <v>52</v>
      </c>
      <c r="G3935">
        <v>-236.26439999999999</v>
      </c>
      <c r="H3935" s="1">
        <v>1.9643180000000001E-6</v>
      </c>
      <c r="I3935">
        <v>210.78460000000001</v>
      </c>
      <c r="J3935">
        <v>-255.4375</v>
      </c>
      <c r="K3935">
        <v>1.1205419999999999</v>
      </c>
      <c r="L3935">
        <v>215.05539999999999</v>
      </c>
      <c r="M3935">
        <v>0.99984229999999996</v>
      </c>
      <c r="N3935">
        <v>-1.415079E-2</v>
      </c>
      <c r="O3935">
        <v>-1.0738289999999999E-2</v>
      </c>
      <c r="P3935">
        <v>0.9955619</v>
      </c>
      <c r="Q3935">
        <v>-9.1174140000000001E-2</v>
      </c>
      <c r="R3935">
        <v>-2.332629E-2</v>
      </c>
      <c r="S3935">
        <v>2.9820709999999999</v>
      </c>
      <c r="T3935">
        <v>-0.17189179999999901</v>
      </c>
      <c r="U3935">
        <v>-0.65559389999999995</v>
      </c>
      <c r="V3935">
        <v>1.260875E-2</v>
      </c>
      <c r="W3935">
        <v>-7.7078279999999999E-2</v>
      </c>
      <c r="X3935">
        <v>0.99694530000000003</v>
      </c>
      <c r="Y3935">
        <v>0.2038209</v>
      </c>
      <c r="Z3935">
        <v>-6.8001099999999998E-3</v>
      </c>
      <c r="AA3935">
        <v>0.97898459999999998</v>
      </c>
      <c r="AB3935">
        <v>33</v>
      </c>
      <c r="AC3935">
        <v>19.173100000000002</v>
      </c>
      <c r="AD3935">
        <v>-1.1205400356819999</v>
      </c>
      <c r="AE3935">
        <v>-4.2707999999999799</v>
      </c>
      <c r="AF3935">
        <v>4.0514626895545804</v>
      </c>
      <c r="AG3935">
        <v>-1.1205400356819999</v>
      </c>
      <c r="AH3935">
        <v>19.155524824029499</v>
      </c>
      <c r="AI3935">
        <v>93.275515429298096</v>
      </c>
      <c r="AJ3935">
        <v>78.057734034174899</v>
      </c>
      <c r="AK3935">
        <v>19.611325584478699</v>
      </c>
      <c r="AL3935">
        <v>94.4206448068513</v>
      </c>
      <c r="AM3935">
        <v>89.275396910293495</v>
      </c>
      <c r="AN3935">
        <v>0.99999998650820499</v>
      </c>
    </row>
    <row r="3936" spans="1:40" x14ac:dyDescent="0.25">
      <c r="A3936" t="str">
        <f>"20190303154847516"</f>
        <v>20190303154847516</v>
      </c>
      <c r="B3936" t="str">
        <f>"1551599327504681"</f>
        <v>1551599327504681</v>
      </c>
      <c r="C3936" t="s">
        <v>40</v>
      </c>
      <c r="D3936">
        <v>5.351858</v>
      </c>
      <c r="E3936">
        <v>0.57354830000000001</v>
      </c>
      <c r="F3936" t="s">
        <v>52</v>
      </c>
      <c r="G3936">
        <v>-235.93680000000001</v>
      </c>
      <c r="H3936" s="1">
        <v>1.7911619999999999E-6</v>
      </c>
      <c r="I3936">
        <v>210.7569</v>
      </c>
      <c r="J3936">
        <v>-255.2028</v>
      </c>
      <c r="K3936">
        <v>1.12052</v>
      </c>
      <c r="L3936">
        <v>215.05279999999999</v>
      </c>
      <c r="M3936">
        <v>0.99984209999999996</v>
      </c>
      <c r="N3936">
        <v>-1.409622E-2</v>
      </c>
      <c r="O3936">
        <v>-1.083043E-2</v>
      </c>
      <c r="P3936">
        <v>0.99553510000000001</v>
      </c>
      <c r="Q3936">
        <v>-9.1599459999999994E-2</v>
      </c>
      <c r="R3936">
        <v>-2.2798869999999999E-2</v>
      </c>
      <c r="S3936">
        <v>2.9823</v>
      </c>
      <c r="T3936">
        <v>-0.1713674</v>
      </c>
      <c r="U3936">
        <v>-0.65737919999999905</v>
      </c>
      <c r="V3936">
        <v>1.1989639999999999E-2</v>
      </c>
      <c r="W3936">
        <v>-7.7558249999999995E-2</v>
      </c>
      <c r="X3936">
        <v>0.99691569999999996</v>
      </c>
      <c r="Y3936">
        <v>0.2042757</v>
      </c>
      <c r="Z3936">
        <v>-6.7896509999999998E-3</v>
      </c>
      <c r="AA3936">
        <v>0.97888989999999998</v>
      </c>
      <c r="AB3936">
        <v>33</v>
      </c>
      <c r="AC3936">
        <v>19.265999999999899</v>
      </c>
      <c r="AD3936">
        <v>-1.1205182088379999</v>
      </c>
      <c r="AE3936">
        <v>-4.2958999999999801</v>
      </c>
      <c r="AF3936">
        <v>4.0738406104586602</v>
      </c>
      <c r="AG3936">
        <v>-1.1205182088379999</v>
      </c>
      <c r="AH3936">
        <v>19.2493713989432</v>
      </c>
      <c r="AI3936">
        <v>93.259430918169897</v>
      </c>
      <c r="AJ3936">
        <v>78.050528882931005</v>
      </c>
      <c r="AK3936">
        <v>19.707613697000699</v>
      </c>
      <c r="AL3936">
        <v>94.448227692074099</v>
      </c>
      <c r="AM3936">
        <v>89.310952117823106</v>
      </c>
      <c r="AN3936">
        <v>0.99999997325844003</v>
      </c>
    </row>
    <row r="3937" spans="1:40" x14ac:dyDescent="0.25">
      <c r="A3937" t="str">
        <f>"20190303154847538"</f>
        <v>20190303154847538</v>
      </c>
      <c r="B3937" t="str">
        <f>"1551599327534938"</f>
        <v>1551599327534938</v>
      </c>
      <c r="C3937" t="s">
        <v>40</v>
      </c>
      <c r="D3937">
        <v>5.3530749999999996</v>
      </c>
      <c r="E3937">
        <v>0.57410139999999998</v>
      </c>
      <c r="F3937" t="s">
        <v>52</v>
      </c>
      <c r="G3937">
        <v>-235.8143</v>
      </c>
      <c r="H3937" s="1">
        <v>1.724984E-6</v>
      </c>
      <c r="I3937">
        <v>210.7801</v>
      </c>
      <c r="J3937">
        <v>-254.88390000000001</v>
      </c>
      <c r="K3937">
        <v>1.120482</v>
      </c>
      <c r="L3937">
        <v>215.04920000000001</v>
      </c>
      <c r="M3937">
        <v>0.99984289999999998</v>
      </c>
      <c r="N3937">
        <v>-1.394132E-2</v>
      </c>
      <c r="O3937">
        <v>-1.0943980000000001E-2</v>
      </c>
      <c r="P3937">
        <v>0.99554940000000003</v>
      </c>
      <c r="Q3937">
        <v>-9.1505729999999993E-2</v>
      </c>
      <c r="R3937">
        <v>-2.2542409999999999E-2</v>
      </c>
      <c r="S3937">
        <v>2.9825590000000002</v>
      </c>
      <c r="T3937">
        <v>-0.17237140000000001</v>
      </c>
      <c r="U3937">
        <v>-0.65727230000000003</v>
      </c>
      <c r="V3937">
        <v>1.161887E-2</v>
      </c>
      <c r="W3937">
        <v>-7.7618809999999996E-2</v>
      </c>
      <c r="X3937">
        <v>0.99691540000000001</v>
      </c>
      <c r="Y3937">
        <v>0.2041106</v>
      </c>
      <c r="Z3937">
        <v>-6.7910640000000003E-3</v>
      </c>
      <c r="AA3937">
        <v>0.97892429999999997</v>
      </c>
      <c r="AB3937">
        <v>33</v>
      </c>
      <c r="AC3937">
        <v>19.069600000000001</v>
      </c>
      <c r="AD3937">
        <v>-1.1204802750159999</v>
      </c>
      <c r="AE3937">
        <v>-4.2690999999999999</v>
      </c>
      <c r="AF3937">
        <v>4.0468220868733402</v>
      </c>
      <c r="AG3937">
        <v>-1.1204802750159999</v>
      </c>
      <c r="AH3937">
        <v>19.052544884188201</v>
      </c>
      <c r="AI3937">
        <v>93.292406114485104</v>
      </c>
      <c r="AJ3937">
        <v>78.008405717331996</v>
      </c>
      <c r="AK3937">
        <v>19.5097850222269</v>
      </c>
      <c r="AL3937">
        <v>94.451707913430695</v>
      </c>
      <c r="AM3937">
        <v>89.332258209810405</v>
      </c>
      <c r="AN3937">
        <v>0.99999999628152603</v>
      </c>
    </row>
    <row r="3938" spans="1:40" x14ac:dyDescent="0.25">
      <c r="A3938" t="str">
        <f>"20190303154847556"</f>
        <v>20190303154847556</v>
      </c>
      <c r="B3938" t="str">
        <f>"1551599327544697"</f>
        <v>1551599327544697</v>
      </c>
      <c r="C3938" t="s">
        <v>40</v>
      </c>
      <c r="D3938">
        <v>5.382708</v>
      </c>
      <c r="E3938">
        <v>0.57415119999999997</v>
      </c>
      <c r="F3938" t="s">
        <v>52</v>
      </c>
      <c r="G3938">
        <v>-235.3683</v>
      </c>
      <c r="H3938" s="1">
        <v>1.4900689999999999E-6</v>
      </c>
      <c r="I3938">
        <v>210.72399999999999</v>
      </c>
      <c r="J3938">
        <v>-254.62620000000001</v>
      </c>
      <c r="K3938">
        <v>1.1204369999999999</v>
      </c>
      <c r="L3938">
        <v>215.0462</v>
      </c>
      <c r="M3938">
        <v>0.99984479999999998</v>
      </c>
      <c r="N3938">
        <v>-1.374248E-2</v>
      </c>
      <c r="O3938">
        <v>-1.103699E-2</v>
      </c>
      <c r="P3938">
        <v>0.99553820000000004</v>
      </c>
      <c r="Q3938">
        <v>-9.1584520000000003E-2</v>
      </c>
      <c r="R3938">
        <v>-2.2714089999999999E-2</v>
      </c>
      <c r="S3938">
        <v>2.982666</v>
      </c>
      <c r="T3938">
        <v>-0.17124779999999901</v>
      </c>
      <c r="U3938">
        <v>-0.66104130000000005</v>
      </c>
      <c r="V3938">
        <v>1.169828E-2</v>
      </c>
      <c r="W3938">
        <v>-7.7895950000000005E-2</v>
      </c>
      <c r="X3938">
        <v>0.99689289999999997</v>
      </c>
      <c r="Y3938">
        <v>0.2051953</v>
      </c>
      <c r="Z3938">
        <v>-6.7680819999999999E-3</v>
      </c>
      <c r="AA3938">
        <v>0.9786977</v>
      </c>
      <c r="AB3938">
        <v>33</v>
      </c>
      <c r="AC3938">
        <v>19.257899999999999</v>
      </c>
      <c r="AD3938">
        <v>-1.1204355099309999</v>
      </c>
      <c r="AE3938">
        <v>-4.3221999999999801</v>
      </c>
      <c r="AF3938">
        <v>4.0961668997037801</v>
      </c>
      <c r="AG3938">
        <v>-1.1204355099309999</v>
      </c>
      <c r="AH3938">
        <v>19.242423846013601</v>
      </c>
      <c r="AI3938">
        <v>93.259548036644205</v>
      </c>
      <c r="AJ3938">
        <v>77.982727169338602</v>
      </c>
      <c r="AK3938">
        <v>19.705451897172399</v>
      </c>
      <c r="AL3938">
        <v>94.467634886302903</v>
      </c>
      <c r="AM3938">
        <v>89.327679725526707</v>
      </c>
      <c r="AN3938">
        <v>1.0000000414258801</v>
      </c>
    </row>
    <row r="3939" spans="1:40" x14ac:dyDescent="0.25">
      <c r="A3939" t="str">
        <f>"20190303154847570"</f>
        <v>20190303154847570</v>
      </c>
      <c r="B3939" t="str">
        <f>"1551599327565194"</f>
        <v>1551599327565194</v>
      </c>
      <c r="C3939" t="s">
        <v>40</v>
      </c>
      <c r="D3939">
        <v>5.4589879999999997</v>
      </c>
      <c r="E3939">
        <v>0.54872209999999999</v>
      </c>
      <c r="F3939" t="s">
        <v>52</v>
      </c>
      <c r="G3939">
        <v>-235.19569999999999</v>
      </c>
      <c r="H3939" s="1">
        <v>1.397832E-6</v>
      </c>
      <c r="I3939">
        <v>210.7336</v>
      </c>
      <c r="J3939">
        <v>-254.41120000000001</v>
      </c>
      <c r="K3939">
        <v>1.1203920000000001</v>
      </c>
      <c r="L3939">
        <v>215.0438</v>
      </c>
      <c r="M3939">
        <v>0.99984640000000002</v>
      </c>
      <c r="N3939">
        <v>-1.355307E-2</v>
      </c>
      <c r="O3939">
        <v>-1.1118360000000001E-2</v>
      </c>
      <c r="P3939">
        <v>0.99556080000000002</v>
      </c>
      <c r="Q3939">
        <v>-9.1319800000000007E-2</v>
      </c>
      <c r="R3939">
        <v>-2.2793029999999999E-2</v>
      </c>
      <c r="S3939">
        <v>2.982513</v>
      </c>
      <c r="T3939">
        <v>-0.17198350000000001</v>
      </c>
      <c r="U3939">
        <v>-0.661972</v>
      </c>
      <c r="V3939">
        <v>1.1696420000000001E-2</v>
      </c>
      <c r="W3939">
        <v>-7.7819700000000006E-2</v>
      </c>
      <c r="X3939">
        <v>0.99689879999999997</v>
      </c>
      <c r="Y3939">
        <v>0.20541519999999999</v>
      </c>
      <c r="Z3939">
        <v>-6.7729519999999996E-3</v>
      </c>
      <c r="AA3939">
        <v>0.97865150000000001</v>
      </c>
      <c r="AB3939">
        <v>33</v>
      </c>
      <c r="AC3939">
        <v>19.215499999999999</v>
      </c>
      <c r="AD3939">
        <v>-1.1203906021679999</v>
      </c>
      <c r="AE3939">
        <v>-4.3102</v>
      </c>
      <c r="AF3939">
        <v>4.0830530384659296</v>
      </c>
      <c r="AG3939">
        <v>-1.1203906021679999</v>
      </c>
      <c r="AH3939">
        <v>19.200091895951999</v>
      </c>
      <c r="AI3939">
        <v>93.2667301937921</v>
      </c>
      <c r="AJ3939">
        <v>77.994439659691906</v>
      </c>
      <c r="AK3939">
        <v>19.661386676156699</v>
      </c>
      <c r="AL3939">
        <v>94.463253124458006</v>
      </c>
      <c r="AM3939">
        <v>89.327790591147902</v>
      </c>
      <c r="AN3939">
        <v>0.99999996469517205</v>
      </c>
    </row>
    <row r="3940" spans="1:40" x14ac:dyDescent="0.25">
      <c r="A3940" t="str">
        <f>"20190303154847583"</f>
        <v>20190303154847583</v>
      </c>
      <c r="B3940" t="str">
        <f>"1551599327574953"</f>
        <v>1551599327574953</v>
      </c>
      <c r="C3940" t="s">
        <v>40</v>
      </c>
      <c r="D3940">
        <v>5.3501699999999897</v>
      </c>
      <c r="E3940">
        <v>0.54229680000000002</v>
      </c>
      <c r="F3940" t="s">
        <v>52</v>
      </c>
      <c r="G3940">
        <v>-237.91839999999999</v>
      </c>
      <c r="H3940" s="1">
        <v>2.7691159999999999E-6</v>
      </c>
      <c r="I3940">
        <v>212.50899999999999</v>
      </c>
      <c r="J3940">
        <v>-254.22210000000001</v>
      </c>
      <c r="K3940">
        <v>1.120363</v>
      </c>
      <c r="L3940">
        <v>215.04159999999999</v>
      </c>
      <c r="M3940">
        <v>0.99984790000000001</v>
      </c>
      <c r="N3940">
        <v>-1.337906E-2</v>
      </c>
      <c r="O3940">
        <v>-1.119186E-2</v>
      </c>
      <c r="P3940">
        <v>0.99553230000000004</v>
      </c>
      <c r="Q3940">
        <v>-9.1521069999999996E-2</v>
      </c>
      <c r="R3940">
        <v>-2.323515E-2</v>
      </c>
      <c r="S3940">
        <v>2.984283</v>
      </c>
      <c r="T3940">
        <v>-0.2027292</v>
      </c>
      <c r="U3940">
        <v>-0.45864870000000002</v>
      </c>
      <c r="V3940">
        <v>1.206606E-2</v>
      </c>
      <c r="W3940">
        <v>-7.8194739999999999E-2</v>
      </c>
      <c r="X3940">
        <v>0.99686509999999995</v>
      </c>
      <c r="Y3940">
        <v>0.1404685</v>
      </c>
      <c r="Z3940">
        <v>-5.0783740000000001E-3</v>
      </c>
      <c r="AA3940">
        <v>0.99007210000000001</v>
      </c>
      <c r="AB3940">
        <v>33</v>
      </c>
      <c r="AC3940">
        <v>16.303699999999999</v>
      </c>
      <c r="AD3940">
        <v>-1.1203602308839999</v>
      </c>
      <c r="AE3940">
        <v>-2.5325999999999702</v>
      </c>
      <c r="AF3940">
        <v>2.33917056435704</v>
      </c>
      <c r="AG3940">
        <v>-1.1203602308839999</v>
      </c>
      <c r="AH3940">
        <v>16.256070259479898</v>
      </c>
      <c r="AI3940">
        <v>93.902493037273402</v>
      </c>
      <c r="AJ3940">
        <v>81.811619080953804</v>
      </c>
      <c r="AK3940">
        <v>16.461675074464601</v>
      </c>
      <c r="AL3940">
        <v>94.484806776859998</v>
      </c>
      <c r="AM3940">
        <v>89.306525472140194</v>
      </c>
      <c r="AN3940">
        <v>1.0000000173828001</v>
      </c>
    </row>
    <row r="3941" spans="1:40" x14ac:dyDescent="0.25">
      <c r="A3941" t="str">
        <f>"20190303154847602"</f>
        <v>20190303154847602</v>
      </c>
      <c r="B3941" t="str">
        <f>"1551599327595450"</f>
        <v>1551599327595450</v>
      </c>
      <c r="C3941" t="s">
        <v>40</v>
      </c>
      <c r="D3941">
        <v>5.2961980000000004</v>
      </c>
      <c r="E3941">
        <v>0.53748390000000001</v>
      </c>
      <c r="F3941" t="s">
        <v>52</v>
      </c>
      <c r="G3941">
        <v>-238.16820000000001</v>
      </c>
      <c r="H3941" s="1">
        <v>2.8874270000000002E-6</v>
      </c>
      <c r="I3941">
        <v>212.84370000000001</v>
      </c>
      <c r="J3941">
        <v>-253.95490000000001</v>
      </c>
      <c r="K3941">
        <v>1.120331</v>
      </c>
      <c r="L3941">
        <v>215.0385</v>
      </c>
      <c r="M3941">
        <v>0.99985000000000002</v>
      </c>
      <c r="N3941">
        <v>-1.312967E-2</v>
      </c>
      <c r="O3941">
        <v>-1.12993E-2</v>
      </c>
      <c r="P3941">
        <v>0.99553380000000002</v>
      </c>
      <c r="Q3941">
        <v>-9.1411720000000002E-2</v>
      </c>
      <c r="R3941">
        <v>-2.3587629999999998E-2</v>
      </c>
      <c r="S3941">
        <v>2.9847869999999999</v>
      </c>
      <c r="T3941">
        <v>-0.20830070000000001</v>
      </c>
      <c r="U3941">
        <v>-0.4086456</v>
      </c>
      <c r="V3941">
        <v>1.2312409999999999E-2</v>
      </c>
      <c r="W3941">
        <v>-7.8333920000000001E-2</v>
      </c>
      <c r="X3941">
        <v>0.99685109999999999</v>
      </c>
      <c r="Y3941">
        <v>0.12410450000000001</v>
      </c>
      <c r="Z3941">
        <v>-4.4886789999999998E-3</v>
      </c>
      <c r="AA3941">
        <v>0.992259</v>
      </c>
      <c r="AB3941">
        <v>33</v>
      </c>
      <c r="AC3941">
        <v>15.7866999999999</v>
      </c>
      <c r="AD3941">
        <v>-1.120328112573</v>
      </c>
      <c r="AE3941">
        <v>-2.1947999999999799</v>
      </c>
      <c r="AF3941">
        <v>2.0063529322895102</v>
      </c>
      <c r="AG3941">
        <v>-1.120328112573</v>
      </c>
      <c r="AH3941">
        <v>15.7327621168729</v>
      </c>
      <c r="AI3941">
        <v>94.040536413403302</v>
      </c>
      <c r="AJ3941">
        <v>82.732465814011306</v>
      </c>
      <c r="AK3941">
        <v>15.899697827155</v>
      </c>
      <c r="AL3941">
        <v>94.492806010761896</v>
      </c>
      <c r="AM3941">
        <v>89.292358448791603</v>
      </c>
      <c r="AN3941">
        <v>0.99999995701689104</v>
      </c>
    </row>
    <row r="3942" spans="1:40" x14ac:dyDescent="0.25">
      <c r="A3942" t="str">
        <f>"20190303154847618"</f>
        <v>20190303154847618</v>
      </c>
      <c r="B3942" t="str">
        <f>"1551599327614970"</f>
        <v>1551599327614970</v>
      </c>
      <c r="C3942" t="s">
        <v>40</v>
      </c>
      <c r="D3942">
        <v>5.2752290000000004</v>
      </c>
      <c r="E3942">
        <v>0.5356706</v>
      </c>
      <c r="F3942" t="s">
        <v>42</v>
      </c>
      <c r="G3942">
        <v>-252.94290000000001</v>
      </c>
      <c r="H3942">
        <v>1.047979</v>
      </c>
      <c r="I3942">
        <v>214.91249999999999</v>
      </c>
      <c r="J3942">
        <v>-253.70609999999999</v>
      </c>
      <c r="K3942">
        <v>1.120303</v>
      </c>
      <c r="L3942">
        <v>215.03559999999999</v>
      </c>
      <c r="M3942">
        <v>0.99985179999999996</v>
      </c>
      <c r="N3942">
        <v>-1.290327E-2</v>
      </c>
      <c r="O3942">
        <v>-1.139981E-2</v>
      </c>
      <c r="P3942">
        <v>0.99550590000000005</v>
      </c>
      <c r="Q3942">
        <v>-9.1495450000000006E-2</v>
      </c>
      <c r="R3942">
        <v>-2.4424370000000001E-2</v>
      </c>
      <c r="S3942">
        <v>2.9850620000000001</v>
      </c>
      <c r="T3942">
        <v>-0.21344669999999999</v>
      </c>
      <c r="U3942">
        <v>-0.37113950000000001</v>
      </c>
      <c r="V3942">
        <v>1.304987E-2</v>
      </c>
      <c r="W3942">
        <v>-7.8643710000000006E-2</v>
      </c>
      <c r="X3942">
        <v>0.99681739999999996</v>
      </c>
      <c r="Y3942">
        <v>0.1117475</v>
      </c>
      <c r="Z3942">
        <v>-4.0353100000000003E-3</v>
      </c>
      <c r="AA3942">
        <v>0.99372850000000001</v>
      </c>
      <c r="AB3942">
        <v>33</v>
      </c>
      <c r="AC3942">
        <v>0.763199999999983</v>
      </c>
      <c r="AD3942">
        <v>-7.2323999999999999E-2</v>
      </c>
      <c r="AE3942">
        <v>-0.12309999999999301</v>
      </c>
      <c r="AF3942">
        <v>0.113398416543182</v>
      </c>
      <c r="AG3942">
        <v>-7.2323999999999999E-2</v>
      </c>
      <c r="AH3942">
        <v>0.75792010726270997</v>
      </c>
      <c r="AI3942">
        <v>95.391255436777499</v>
      </c>
      <c r="AJ3942">
        <v>81.490646432125502</v>
      </c>
      <c r="AK3942">
        <v>0.76976155453726003</v>
      </c>
      <c r="AL3942">
        <v>94.510610265861899</v>
      </c>
      <c r="AM3942">
        <v>89.249953138087406</v>
      </c>
      <c r="AN3942">
        <v>1.00000003058617</v>
      </c>
    </row>
    <row r="3943" spans="1:40" x14ac:dyDescent="0.25">
      <c r="A3943" t="str">
        <f>"20190303154847641"</f>
        <v>20190303154847641</v>
      </c>
      <c r="B3943" t="str">
        <f>"1551599327634489"</f>
        <v>1551599327634489</v>
      </c>
      <c r="C3943" t="s">
        <v>40</v>
      </c>
      <c r="D3943">
        <v>5.2438520000000004</v>
      </c>
      <c r="E3943">
        <v>0.5348811</v>
      </c>
      <c r="F3943" t="s">
        <v>52</v>
      </c>
      <c r="G3943">
        <v>-238.06489999999999</v>
      </c>
      <c r="H3943" s="1">
        <v>2.8188579999999999E-6</v>
      </c>
      <c r="I3943">
        <v>213.15379999999999</v>
      </c>
      <c r="J3943">
        <v>-253.38329999999999</v>
      </c>
      <c r="K3943">
        <v>1.120274</v>
      </c>
      <c r="L3943">
        <v>215.0318</v>
      </c>
      <c r="M3943">
        <v>0.99985389999999996</v>
      </c>
      <c r="N3943">
        <v>-1.2622670000000001E-2</v>
      </c>
      <c r="O3943">
        <v>-1.1528149999999999E-2</v>
      </c>
      <c r="P3943">
        <v>0.99553970000000003</v>
      </c>
      <c r="Q3943">
        <v>-9.0997709999999996E-2</v>
      </c>
      <c r="R3943">
        <v>-2.490216E-2</v>
      </c>
      <c r="S3943">
        <v>2.985077</v>
      </c>
      <c r="T3943">
        <v>-0.21380540000000001</v>
      </c>
      <c r="U3943">
        <v>-0.35913089999999998</v>
      </c>
      <c r="V3943">
        <v>1.339978E-2</v>
      </c>
      <c r="W3943">
        <v>-7.8425300000000003E-2</v>
      </c>
      <c r="X3943">
        <v>0.99682990000000005</v>
      </c>
      <c r="Y3943">
        <v>0.1076922</v>
      </c>
      <c r="Z3943">
        <v>-3.8444949999999999E-3</v>
      </c>
      <c r="AA3943">
        <v>0.99417690000000003</v>
      </c>
      <c r="AB3943">
        <v>33</v>
      </c>
      <c r="AC3943">
        <v>15.318399999999899</v>
      </c>
      <c r="AD3943">
        <v>-1.1202711811419901</v>
      </c>
      <c r="AE3943">
        <v>-1.8780000000000101</v>
      </c>
      <c r="AF3943">
        <v>1.69235105451478</v>
      </c>
      <c r="AG3943">
        <v>-1.1202711811419901</v>
      </c>
      <c r="AH3943">
        <v>15.2586334720552</v>
      </c>
      <c r="AI3943">
        <v>94.173555490412696</v>
      </c>
      <c r="AJ3943">
        <v>83.671131391546396</v>
      </c>
      <c r="AK3943">
        <v>15.393016437512699</v>
      </c>
      <c r="AL3943">
        <v>94.498057817218694</v>
      </c>
      <c r="AM3943">
        <v>89.229853958283698</v>
      </c>
      <c r="AN3943">
        <v>0.99999996565907301</v>
      </c>
    </row>
    <row r="3944" spans="1:40" x14ac:dyDescent="0.25">
      <c r="A3944" t="str">
        <f>"20190303154847663"</f>
        <v>20190303154847663</v>
      </c>
      <c r="B3944" t="str">
        <f>"1551599327654986"</f>
        <v>1551599327654986</v>
      </c>
      <c r="C3944" t="s">
        <v>40</v>
      </c>
      <c r="D3944">
        <v>5.2842989999999999</v>
      </c>
      <c r="E3944">
        <v>0.53430040000000001</v>
      </c>
      <c r="F3944" t="s">
        <v>52</v>
      </c>
      <c r="G3944">
        <v>-237.3947</v>
      </c>
      <c r="H3944" s="1">
        <v>2.4631600000000001E-6</v>
      </c>
      <c r="I3944">
        <v>213.1326</v>
      </c>
      <c r="J3944">
        <v>-253.04910000000001</v>
      </c>
      <c r="K3944">
        <v>1.12025</v>
      </c>
      <c r="L3944">
        <v>215.02780000000001</v>
      </c>
      <c r="M3944">
        <v>0.99985590000000002</v>
      </c>
      <c r="N3944">
        <v>-1.2349509999999999E-2</v>
      </c>
      <c r="O3944">
        <v>-1.16571E-2</v>
      </c>
      <c r="P3944">
        <v>0.9955657</v>
      </c>
      <c r="Q3944">
        <v>-9.050395E-2</v>
      </c>
      <c r="R3944">
        <v>-2.5659959999999999E-2</v>
      </c>
      <c r="S3944">
        <v>2.9854280000000002</v>
      </c>
      <c r="T3944">
        <v>-0.20917930000000001</v>
      </c>
      <c r="U3944">
        <v>-0.35461429999999999</v>
      </c>
      <c r="V3944">
        <v>1.4028469999999999E-2</v>
      </c>
      <c r="W3944">
        <v>-7.820365E-2</v>
      </c>
      <c r="X3944">
        <v>0.99683869999999997</v>
      </c>
      <c r="Y3944">
        <v>0.10608480000000001</v>
      </c>
      <c r="Z3944">
        <v>-3.6878760000000001E-3</v>
      </c>
      <c r="AA3944">
        <v>0.99435030000000002</v>
      </c>
      <c r="AB3944">
        <v>33</v>
      </c>
      <c r="AC3944">
        <v>15.654400000000001</v>
      </c>
      <c r="AD3944">
        <v>-1.12024753684</v>
      </c>
      <c r="AE3944">
        <v>-1.89520000000001</v>
      </c>
      <c r="AF3944">
        <v>1.70397240322514</v>
      </c>
      <c r="AG3944">
        <v>-1.12024753684</v>
      </c>
      <c r="AH3944">
        <v>15.596713297374199</v>
      </c>
      <c r="AI3944">
        <v>94.084045917863307</v>
      </c>
      <c r="AJ3944">
        <v>83.765048791649903</v>
      </c>
      <c r="AK3944">
        <v>15.729460962640699</v>
      </c>
      <c r="AL3944">
        <v>94.485318922487195</v>
      </c>
      <c r="AM3944">
        <v>89.193732076750194</v>
      </c>
      <c r="AN3944">
        <v>1.0000000013307699</v>
      </c>
    </row>
    <row r="3945" spans="1:40" x14ac:dyDescent="0.25">
      <c r="A3945" t="str">
        <f>"20190303154847690"</f>
        <v>20190303154847690</v>
      </c>
      <c r="B3945" t="str">
        <f>"1551599327685242"</f>
        <v>1551599327685242</v>
      </c>
      <c r="C3945" t="s">
        <v>40</v>
      </c>
      <c r="D3945">
        <v>5.2488849999999996</v>
      </c>
      <c r="E3945">
        <v>0.53326189999999996</v>
      </c>
      <c r="F3945" t="s">
        <v>52</v>
      </c>
      <c r="G3945">
        <v>-236.67320000000001</v>
      </c>
      <c r="H3945" s="1">
        <v>2.0808320000000001E-6</v>
      </c>
      <c r="I3945">
        <v>213.096</v>
      </c>
      <c r="J3945">
        <v>-252.66550000000001</v>
      </c>
      <c r="K3945">
        <v>1.12022</v>
      </c>
      <c r="L3945">
        <v>215.0231</v>
      </c>
      <c r="M3945">
        <v>0.99985769999999996</v>
      </c>
      <c r="N3945">
        <v>-1.206218E-2</v>
      </c>
      <c r="O3945">
        <v>-1.180198E-2</v>
      </c>
      <c r="P3945">
        <v>0.99560340000000003</v>
      </c>
      <c r="Q3945">
        <v>-9.0082209999999996E-2</v>
      </c>
      <c r="R3945">
        <v>-2.567678E-2</v>
      </c>
      <c r="S3945">
        <v>2.985703</v>
      </c>
      <c r="T3945">
        <v>-0.20424700000000001</v>
      </c>
      <c r="U3945">
        <v>-0.3522034</v>
      </c>
      <c r="V3945">
        <v>1.390008E-2</v>
      </c>
      <c r="W3945">
        <v>-7.8067960000000006E-2</v>
      </c>
      <c r="X3945">
        <v>0.99685109999999999</v>
      </c>
      <c r="Y3945">
        <v>0.1051541</v>
      </c>
      <c r="Z3945">
        <v>-3.5556939999999999E-3</v>
      </c>
      <c r="AA3945">
        <v>0.99444960000000004</v>
      </c>
      <c r="AB3945">
        <v>33</v>
      </c>
      <c r="AC3945">
        <v>15.9923</v>
      </c>
      <c r="AD3945">
        <v>-1.120217919168</v>
      </c>
      <c r="AE3945">
        <v>-1.92710000000002</v>
      </c>
      <c r="AF3945">
        <v>1.7298450248031101</v>
      </c>
      <c r="AG3945">
        <v>-1.120217919168</v>
      </c>
      <c r="AH3945">
        <v>15.9368542767418</v>
      </c>
      <c r="AI3945">
        <v>93.9973639465926</v>
      </c>
      <c r="AJ3945">
        <v>83.805157168532702</v>
      </c>
      <c r="AK3945">
        <v>16.069554325940899</v>
      </c>
      <c r="AL3945">
        <v>94.477520770240702</v>
      </c>
      <c r="AM3945">
        <v>89.201120099157095</v>
      </c>
      <c r="AN3945">
        <v>0.99999996708688799</v>
      </c>
    </row>
    <row r="3946" spans="1:40" x14ac:dyDescent="0.25">
      <c r="A3946" t="str">
        <f>"20190303154847707"</f>
        <v>20190303154847707</v>
      </c>
      <c r="B3946" t="str">
        <f>"1551599327695002"</f>
        <v>1551599327695002</v>
      </c>
      <c r="C3946" t="s">
        <v>40</v>
      </c>
      <c r="D3946">
        <v>5.248507</v>
      </c>
      <c r="E3946">
        <v>0.53295419999999905</v>
      </c>
      <c r="F3946" t="s">
        <v>52</v>
      </c>
      <c r="G3946">
        <v>-235.7921</v>
      </c>
      <c r="H3946" s="1">
        <v>1.612669E-6</v>
      </c>
      <c r="I3946">
        <v>213.07910000000001</v>
      </c>
      <c r="J3946">
        <v>-252.40110000000001</v>
      </c>
      <c r="K3946">
        <v>1.120206</v>
      </c>
      <c r="L3946">
        <v>215.01990000000001</v>
      </c>
      <c r="M3946">
        <v>0.99985860000000004</v>
      </c>
      <c r="N3946">
        <v>-1.188167E-2</v>
      </c>
      <c r="O3946">
        <v>-1.190128E-2</v>
      </c>
      <c r="P3946">
        <v>0.99564889999999995</v>
      </c>
      <c r="Q3946">
        <v>-8.9679659999999994E-2</v>
      </c>
      <c r="R3946">
        <v>-2.5321360000000001E-2</v>
      </c>
      <c r="S3946">
        <v>2.9864350000000002</v>
      </c>
      <c r="T3946">
        <v>-0.19826820000000001</v>
      </c>
      <c r="U3946">
        <v>-0.3440704</v>
      </c>
      <c r="V3946">
        <v>1.3445149999999999E-2</v>
      </c>
      <c r="W3946">
        <v>-7.7844759999999999E-2</v>
      </c>
      <c r="X3946">
        <v>0.99687479999999995</v>
      </c>
      <c r="Y3946">
        <v>0.1023767</v>
      </c>
      <c r="Z3946">
        <v>-3.3488300000000001E-3</v>
      </c>
      <c r="AA3946">
        <v>0.99474010000000002</v>
      </c>
      <c r="AB3946">
        <v>33</v>
      </c>
      <c r="AC3946">
        <v>16.609000000000002</v>
      </c>
      <c r="AD3946">
        <v>-1.1202043873309999</v>
      </c>
      <c r="AE3946">
        <v>-1.9407999999999901</v>
      </c>
      <c r="AF3946">
        <v>1.7351933013341601</v>
      </c>
      <c r="AG3946">
        <v>-1.1202043873309999</v>
      </c>
      <c r="AH3946">
        <v>16.556623074253</v>
      </c>
      <c r="AI3946">
        <v>93.849655179623795</v>
      </c>
      <c r="AJ3946">
        <v>84.017038830195503</v>
      </c>
      <c r="AK3946">
        <v>16.684948944641</v>
      </c>
      <c r="AL3946">
        <v>94.464693289392599</v>
      </c>
      <c r="AM3946">
        <v>89.227281455765294</v>
      </c>
      <c r="AN3946">
        <v>0.99999997279650898</v>
      </c>
    </row>
    <row r="3947" spans="1:40" x14ac:dyDescent="0.25">
      <c r="A3947" t="str">
        <f>"20190303154847729"</f>
        <v>20190303154847729</v>
      </c>
      <c r="B3947" t="str">
        <f>"1551599327725258"</f>
        <v>1551599327725258</v>
      </c>
      <c r="C3947" t="s">
        <v>40</v>
      </c>
      <c r="D3947">
        <v>5.2489210000000002</v>
      </c>
      <c r="E3947">
        <v>0.53231530000000005</v>
      </c>
      <c r="F3947" t="s">
        <v>52</v>
      </c>
      <c r="G3947">
        <v>-235.3903</v>
      </c>
      <c r="H3947" s="1">
        <v>1.398761E-6</v>
      </c>
      <c r="I3947">
        <v>213.0806</v>
      </c>
      <c r="J3947">
        <v>-252.0735</v>
      </c>
      <c r="K3947">
        <v>1.1201970000000001</v>
      </c>
      <c r="L3947">
        <v>215.01589999999999</v>
      </c>
      <c r="M3947">
        <v>0.99985959999999996</v>
      </c>
      <c r="N3947">
        <v>-1.1680340000000001E-2</v>
      </c>
      <c r="O3947">
        <v>-1.20237E-2</v>
      </c>
      <c r="P3947">
        <v>0.99566259999999995</v>
      </c>
      <c r="Q3947">
        <v>-8.9843649999999997E-2</v>
      </c>
      <c r="R3947">
        <v>-2.4174580000000001E-2</v>
      </c>
      <c r="S3947">
        <v>2.9867400000000002</v>
      </c>
      <c r="T3947">
        <v>-0.19668440000000001</v>
      </c>
      <c r="U3947">
        <v>-0.34049990000000002</v>
      </c>
      <c r="V3947">
        <v>1.2176299999999999E-2</v>
      </c>
      <c r="W3947">
        <v>-7.820908E-2</v>
      </c>
      <c r="X3947">
        <v>0.99686260000000004</v>
      </c>
      <c r="Y3947">
        <v>0.101077399999999</v>
      </c>
      <c r="Z3947">
        <v>-3.2584350000000001E-3</v>
      </c>
      <c r="AA3947">
        <v>0.99487320000000001</v>
      </c>
      <c r="AB3947">
        <v>33</v>
      </c>
      <c r="AC3947">
        <v>16.683199999999999</v>
      </c>
      <c r="AD3947">
        <v>-1.120195601239</v>
      </c>
      <c r="AE3947">
        <v>-1.93529999999998</v>
      </c>
      <c r="AF3947">
        <v>1.7268704643645401</v>
      </c>
      <c r="AG3947">
        <v>-1.120195601239</v>
      </c>
      <c r="AH3947">
        <v>16.631278916929698</v>
      </c>
      <c r="AI3947">
        <v>93.832779020738897</v>
      </c>
      <c r="AJ3947">
        <v>84.072067522476402</v>
      </c>
      <c r="AK3947">
        <v>16.758172877686899</v>
      </c>
      <c r="AL3947">
        <v>94.485631077330297</v>
      </c>
      <c r="AM3947">
        <v>89.300188504012596</v>
      </c>
      <c r="AN3947">
        <v>0.99999998287744796</v>
      </c>
    </row>
    <row r="3948" spans="1:40" x14ac:dyDescent="0.25">
      <c r="A3948" t="str">
        <f>"20190303154847748"</f>
        <v>20190303154847748</v>
      </c>
      <c r="B3948" t="str">
        <f>"1551599327744778"</f>
        <v>1551599327744778</v>
      </c>
      <c r="C3948" t="s">
        <v>40</v>
      </c>
      <c r="D3948">
        <v>5.2030120000000002</v>
      </c>
      <c r="E3948">
        <v>0.53194459999999999</v>
      </c>
      <c r="F3948" t="s">
        <v>52</v>
      </c>
      <c r="G3948">
        <v>-234.98990000000001</v>
      </c>
      <c r="H3948" s="1">
        <v>1.184169E-6</v>
      </c>
      <c r="I3948">
        <v>213.1163</v>
      </c>
      <c r="J3948">
        <v>-251.7936</v>
      </c>
      <c r="K3948">
        <v>1.1201909999999999</v>
      </c>
      <c r="L3948">
        <v>215.01249999999999</v>
      </c>
      <c r="M3948">
        <v>0.99986019999999998</v>
      </c>
      <c r="N3948">
        <v>-1.152599E-2</v>
      </c>
      <c r="O3948">
        <v>-1.212505E-2</v>
      </c>
      <c r="P3948">
        <v>0.99565740000000003</v>
      </c>
      <c r="Q3948">
        <v>-8.9970320000000006E-2</v>
      </c>
      <c r="R3948">
        <v>-2.391567E-2</v>
      </c>
      <c r="S3948">
        <v>2.9873349999999999</v>
      </c>
      <c r="T3948">
        <v>-0.19588359999999999</v>
      </c>
      <c r="U3948">
        <v>-0.33216859999999998</v>
      </c>
      <c r="V3948">
        <v>1.181666E-2</v>
      </c>
      <c r="W3948">
        <v>-7.8489550000000005E-2</v>
      </c>
      <c r="X3948">
        <v>0.99684490000000003</v>
      </c>
      <c r="Y3948">
        <v>9.8223619999999998E-2</v>
      </c>
      <c r="Z3948">
        <v>-3.1231589999999999E-3</v>
      </c>
      <c r="AA3948">
        <v>0.99515940000000003</v>
      </c>
      <c r="AB3948">
        <v>33</v>
      </c>
      <c r="AC3948">
        <v>16.8036999999999</v>
      </c>
      <c r="AD3948">
        <v>-1.120189815831</v>
      </c>
      <c r="AE3948">
        <v>-1.8961999999999899</v>
      </c>
      <c r="AF3948">
        <v>1.6849078102947499</v>
      </c>
      <c r="AG3948">
        <v>-1.120189815831</v>
      </c>
      <c r="AH3948">
        <v>16.751948131107699</v>
      </c>
      <c r="AI3948">
        <v>93.806480744371001</v>
      </c>
      <c r="AJ3948">
        <v>84.256516836016601</v>
      </c>
      <c r="AK3948">
        <v>16.873692712029701</v>
      </c>
      <c r="AL3948">
        <v>94.501750304431596</v>
      </c>
      <c r="AM3948">
        <v>89.320844159287603</v>
      </c>
      <c r="AN3948">
        <v>0.99999999878438395</v>
      </c>
    </row>
    <row r="3949" spans="1:40" x14ac:dyDescent="0.25">
      <c r="A3949" t="str">
        <f>"20190303154847761"</f>
        <v>20190303154847761</v>
      </c>
      <c r="B3949" t="str">
        <f>"1551599327754538"</f>
        <v>1551599327754538</v>
      </c>
      <c r="C3949" t="s">
        <v>40</v>
      </c>
      <c r="D3949">
        <v>5.2194789999999998</v>
      </c>
      <c r="E3949">
        <v>0.53172929999999996</v>
      </c>
      <c r="F3949" t="s">
        <v>52</v>
      </c>
      <c r="G3949">
        <v>-234.61109999999999</v>
      </c>
      <c r="H3949" s="1">
        <v>9.822978999999999E-7</v>
      </c>
      <c r="I3949">
        <v>213.12289999999999</v>
      </c>
      <c r="J3949">
        <v>-251.58170000000001</v>
      </c>
      <c r="K3949">
        <v>1.1201890000000001</v>
      </c>
      <c r="L3949">
        <v>215.00980000000001</v>
      </c>
      <c r="M3949">
        <v>0.99986050000000004</v>
      </c>
      <c r="N3949">
        <v>-1.1418350000000001E-2</v>
      </c>
      <c r="O3949">
        <v>-1.219781E-2</v>
      </c>
      <c r="P3949">
        <v>0.99561089999999997</v>
      </c>
      <c r="Q3949">
        <v>-9.0666650000000001E-2</v>
      </c>
      <c r="R3949">
        <v>-2.3212480000000001E-2</v>
      </c>
      <c r="S3949">
        <v>2.9876100000000001</v>
      </c>
      <c r="T3949">
        <v>-0.19477359999999999</v>
      </c>
      <c r="U3949">
        <v>-0.32855220000000002</v>
      </c>
      <c r="V3949">
        <v>1.1041850000000001E-2</v>
      </c>
      <c r="W3949">
        <v>-7.9293429999999998E-2</v>
      </c>
      <c r="X3949">
        <v>0.99679019999999996</v>
      </c>
      <c r="Y3949">
        <v>9.6957000000000002E-2</v>
      </c>
      <c r="Z3949">
        <v>-3.0505150000000002E-3</v>
      </c>
      <c r="AA3949">
        <v>0.9952839</v>
      </c>
      <c r="AB3949">
        <v>33</v>
      </c>
      <c r="AC3949">
        <v>16.970600000000001</v>
      </c>
      <c r="AD3949">
        <v>-1.1201880177021</v>
      </c>
      <c r="AE3949">
        <v>-1.88690000000002</v>
      </c>
      <c r="AF3949">
        <v>1.6725436898991899</v>
      </c>
      <c r="AG3949">
        <v>-1.1201880177021</v>
      </c>
      <c r="AH3949">
        <v>16.919536642204999</v>
      </c>
      <c r="AI3949">
        <v>93.769521467323699</v>
      </c>
      <c r="AJ3949">
        <v>84.354492760137902</v>
      </c>
      <c r="AK3949">
        <v>17.038865683388199</v>
      </c>
      <c r="AL3949">
        <v>94.547953069290998</v>
      </c>
      <c r="AM3949">
        <v>89.365337332172601</v>
      </c>
      <c r="AN3949">
        <v>1.00000003665431</v>
      </c>
    </row>
    <row r="3950" spans="1:40" x14ac:dyDescent="0.25">
      <c r="A3950" t="str">
        <f>"20190303154847781"</f>
        <v>20190303154847781</v>
      </c>
      <c r="B3950" t="str">
        <f>"1551599327774659"</f>
        <v>1551599327774659</v>
      </c>
      <c r="C3950" t="s">
        <v>40</v>
      </c>
      <c r="D3950">
        <v>5.23834</v>
      </c>
      <c r="E3950">
        <v>0.53154069999999998</v>
      </c>
      <c r="F3950" t="s">
        <v>52</v>
      </c>
      <c r="G3950">
        <v>-234.57599999999999</v>
      </c>
      <c r="H3950" s="1">
        <v>9.6187350000000007E-7</v>
      </c>
      <c r="I3950">
        <v>213.16220000000001</v>
      </c>
      <c r="J3950">
        <v>-251.30369999999999</v>
      </c>
      <c r="K3950">
        <v>1.120193</v>
      </c>
      <c r="L3950">
        <v>215.00630000000001</v>
      </c>
      <c r="M3950">
        <v>0.99986090000000005</v>
      </c>
      <c r="N3950">
        <v>-1.1291249999999999E-2</v>
      </c>
      <c r="O3950">
        <v>-1.228076E-2</v>
      </c>
      <c r="P3950">
        <v>0.99560899999999997</v>
      </c>
      <c r="Q3950">
        <v>-9.0684109999999998E-2</v>
      </c>
      <c r="R3950">
        <v>-2.3222079999999999E-2</v>
      </c>
      <c r="S3950">
        <v>2.9877319999999998</v>
      </c>
      <c r="T3950">
        <v>-0.1968056</v>
      </c>
      <c r="U3950">
        <v>-0.32460020000000001</v>
      </c>
      <c r="V3950">
        <v>1.097045E-2</v>
      </c>
      <c r="W3950">
        <v>-7.9437350000000004E-2</v>
      </c>
      <c r="X3950">
        <v>0.99677950000000004</v>
      </c>
      <c r="Y3950">
        <v>9.5568860000000005E-2</v>
      </c>
      <c r="Z3950">
        <v>-3.0094459999999998E-3</v>
      </c>
      <c r="AA3950">
        <v>0.99541829999999998</v>
      </c>
      <c r="AB3950">
        <v>33</v>
      </c>
      <c r="AC3950">
        <v>16.727699999999999</v>
      </c>
      <c r="AD3950">
        <v>-1.1201920381265</v>
      </c>
      <c r="AE3950">
        <v>-1.8440999999999901</v>
      </c>
      <c r="AF3950">
        <v>1.63129130403489</v>
      </c>
      <c r="AG3950">
        <v>-1.1201920381265</v>
      </c>
      <c r="AH3950">
        <v>16.675204990623602</v>
      </c>
      <c r="AI3950">
        <v>93.8249857898915</v>
      </c>
      <c r="AJ3950">
        <v>84.412683711157399</v>
      </c>
      <c r="AK3950">
        <v>16.792212570123699</v>
      </c>
      <c r="AL3950">
        <v>94.556225304349795</v>
      </c>
      <c r="AM3950">
        <v>89.3694341556116</v>
      </c>
      <c r="AN3950">
        <v>1.0000000074842299</v>
      </c>
    </row>
    <row r="3951" spans="1:40" x14ac:dyDescent="0.25">
      <c r="A3951" t="str">
        <f>"20190303154847795"</f>
        <v>20190303154847795</v>
      </c>
      <c r="B3951" t="str">
        <f>"1551599327784419"</f>
        <v>1551599327784419</v>
      </c>
      <c r="C3951" t="s">
        <v>40</v>
      </c>
      <c r="D3951">
        <v>5.2484129999999896</v>
      </c>
      <c r="E3951">
        <v>0.53153090000000003</v>
      </c>
      <c r="F3951" t="s">
        <v>42</v>
      </c>
      <c r="G3951">
        <v>-250.27080000000001</v>
      </c>
      <c r="H3951">
        <v>1.0525850000000001</v>
      </c>
      <c r="I3951">
        <v>214.89439999999999</v>
      </c>
      <c r="J3951">
        <v>-251.08609999999999</v>
      </c>
      <c r="K3951">
        <v>1.120204</v>
      </c>
      <c r="L3951">
        <v>215.00360000000001</v>
      </c>
      <c r="M3951">
        <v>0.99986120000000001</v>
      </c>
      <c r="N3951">
        <v>-1.1203289999999999E-2</v>
      </c>
      <c r="O3951">
        <v>-1.2329919999999999E-2</v>
      </c>
      <c r="P3951">
        <v>0.99561739999999999</v>
      </c>
      <c r="Q3951">
        <v>-9.0698849999999998E-2</v>
      </c>
      <c r="R3951">
        <v>-2.280252E-2</v>
      </c>
      <c r="S3951">
        <v>2.9878689999999999</v>
      </c>
      <c r="T3951">
        <v>-0.1957064</v>
      </c>
      <c r="U3951">
        <v>-0.32325739999999997</v>
      </c>
      <c r="V3951">
        <v>1.050393E-2</v>
      </c>
      <c r="W3951">
        <v>-7.9539289999999999E-2</v>
      </c>
      <c r="X3951">
        <v>0.99677640000000001</v>
      </c>
      <c r="Y3951">
        <v>9.5076729999999998E-2</v>
      </c>
      <c r="Z3951">
        <v>-2.969621E-3</v>
      </c>
      <c r="AA3951">
        <v>0.9954655</v>
      </c>
      <c r="AB3951">
        <v>33</v>
      </c>
      <c r="AC3951">
        <v>0.81529999999997904</v>
      </c>
      <c r="AD3951">
        <v>-6.7618999999999804E-2</v>
      </c>
      <c r="AE3951">
        <v>-0.10920000000001499</v>
      </c>
      <c r="AF3951">
        <v>9.8473059669319601E-2</v>
      </c>
      <c r="AG3951">
        <v>-6.7618999999999804E-2</v>
      </c>
      <c r="AH3951">
        <v>0.81110356394364203</v>
      </c>
      <c r="AI3951">
        <v>94.730959345775503</v>
      </c>
      <c r="AJ3951">
        <v>83.077810202780597</v>
      </c>
      <c r="AK3951">
        <v>0.81985258680064899</v>
      </c>
      <c r="AL3951">
        <v>94.562084558101503</v>
      </c>
      <c r="AM3951">
        <v>89.396245154332206</v>
      </c>
      <c r="AN3951">
        <v>1.0000000113980501</v>
      </c>
    </row>
    <row r="3952" spans="1:40" x14ac:dyDescent="0.25">
      <c r="A3952" t="str">
        <f>"20190303154847819"</f>
        <v>20190303154847819</v>
      </c>
      <c r="B3952" t="str">
        <f>"1551599327814676"</f>
        <v>1551599327814676</v>
      </c>
      <c r="C3952" t="s">
        <v>40</v>
      </c>
      <c r="D3952">
        <v>5.2498950000000004</v>
      </c>
      <c r="E3952">
        <v>0.53137800000000002</v>
      </c>
      <c r="F3952" t="s">
        <v>52</v>
      </c>
      <c r="G3952">
        <v>-233.9299</v>
      </c>
      <c r="H3952" s="1">
        <v>6.1840439999999995E-7</v>
      </c>
      <c r="I3952">
        <v>213.1541</v>
      </c>
      <c r="J3952">
        <v>-250.7346</v>
      </c>
      <c r="K3952">
        <v>1.120223</v>
      </c>
      <c r="L3952">
        <v>214.9992</v>
      </c>
      <c r="M3952">
        <v>0.99986209999999998</v>
      </c>
      <c r="N3952">
        <v>-1.1073980000000001E-2</v>
      </c>
      <c r="O3952">
        <v>-1.2391370000000001E-2</v>
      </c>
      <c r="P3952">
        <v>0.99562379999999995</v>
      </c>
      <c r="Q3952">
        <v>-9.0463829999999995E-2</v>
      </c>
      <c r="R3952">
        <v>-2.3447570000000001E-2</v>
      </c>
      <c r="S3952">
        <v>2.988083</v>
      </c>
      <c r="T3952">
        <v>-0.19510440000000001</v>
      </c>
      <c r="U3952">
        <v>-0.32212829999999998</v>
      </c>
      <c r="V3952">
        <v>1.1092070000000001E-2</v>
      </c>
      <c r="W3952">
        <v>-7.9432610000000001E-2</v>
      </c>
      <c r="X3952">
        <v>0.99677850000000001</v>
      </c>
      <c r="Y3952">
        <v>9.4639000000000001E-2</v>
      </c>
      <c r="Z3952">
        <v>-2.9346929999999999E-3</v>
      </c>
      <c r="AA3952">
        <v>0.99550740000000004</v>
      </c>
      <c r="AB3952">
        <v>33</v>
      </c>
      <c r="AC3952">
        <v>16.804699999999901</v>
      </c>
      <c r="AD3952">
        <v>-1.1202223815956001</v>
      </c>
      <c r="AE3952">
        <v>-1.8451</v>
      </c>
      <c r="AF3952">
        <v>1.6295572953367501</v>
      </c>
      <c r="AG3952">
        <v>-1.1202223815956001</v>
      </c>
      <c r="AH3952">
        <v>16.752716689936499</v>
      </c>
      <c r="AI3952">
        <v>93.807647306813095</v>
      </c>
      <c r="AJ3952">
        <v>84.444247547057202</v>
      </c>
      <c r="AK3952">
        <v>16.869021063959</v>
      </c>
      <c r="AL3952">
        <v>94.555953006083698</v>
      </c>
      <c r="AM3952">
        <v>89.362443545500795</v>
      </c>
      <c r="AN3952">
        <v>0.999999975805273</v>
      </c>
    </row>
    <row r="3953" spans="1:40" x14ac:dyDescent="0.25">
      <c r="A3953" t="str">
        <f>"20190303154847842"</f>
        <v>20190303154847842</v>
      </c>
      <c r="B3953" t="str">
        <f>"1551599327835171"</f>
        <v>1551599327835171</v>
      </c>
      <c r="C3953" t="s">
        <v>40</v>
      </c>
      <c r="D3953">
        <v>5.2794589999999904</v>
      </c>
      <c r="E3953">
        <v>0.53128059999999999</v>
      </c>
      <c r="F3953" t="s">
        <v>52</v>
      </c>
      <c r="G3953">
        <v>-233.5206</v>
      </c>
      <c r="H3953" s="1">
        <v>4.0121199999999998E-7</v>
      </c>
      <c r="I3953">
        <v>213.13980000000001</v>
      </c>
      <c r="J3953">
        <v>-250.4032</v>
      </c>
      <c r="K3953">
        <v>1.1202460000000001</v>
      </c>
      <c r="L3953">
        <v>214.995</v>
      </c>
      <c r="M3953">
        <v>0.99986280000000005</v>
      </c>
      <c r="N3953">
        <v>-1.0968790000000001E-2</v>
      </c>
      <c r="O3953">
        <v>-1.241165E-2</v>
      </c>
      <c r="P3953">
        <v>0.99558340000000001</v>
      </c>
      <c r="Q3953">
        <v>-9.0528040000000004E-2</v>
      </c>
      <c r="R3953">
        <v>-2.4870239999999998E-2</v>
      </c>
      <c r="S3953">
        <v>2.98793</v>
      </c>
      <c r="T3953">
        <v>-0.19444220000000001</v>
      </c>
      <c r="U3953">
        <v>-0.32273859999999999</v>
      </c>
      <c r="V3953">
        <v>1.2499909999999999E-2</v>
      </c>
      <c r="W3953">
        <v>-7.9601409999999997E-2</v>
      </c>
      <c r="X3953">
        <v>0.99674839999999998</v>
      </c>
      <c r="Y3953">
        <v>9.4826499999999994E-2</v>
      </c>
      <c r="Z3953">
        <v>-2.9268079999999999E-3</v>
      </c>
      <c r="AA3953">
        <v>0.99548950000000003</v>
      </c>
      <c r="AB3953">
        <v>33</v>
      </c>
      <c r="AC3953">
        <v>16.882599999999901</v>
      </c>
      <c r="AD3953">
        <v>-1.12024559878799</v>
      </c>
      <c r="AE3953">
        <v>-1.85519999999999</v>
      </c>
      <c r="AF3953">
        <v>1.6383758658697101</v>
      </c>
      <c r="AG3953">
        <v>-1.12024559878799</v>
      </c>
      <c r="AH3953">
        <v>16.831103892760598</v>
      </c>
      <c r="AI3953">
        <v>93.79001830512</v>
      </c>
      <c r="AJ3953">
        <v>84.440221943168794</v>
      </c>
      <c r="AK3953">
        <v>16.947722086710399</v>
      </c>
      <c r="AL3953">
        <v>94.565655133570502</v>
      </c>
      <c r="AM3953">
        <v>89.281509209408597</v>
      </c>
      <c r="AN3953">
        <v>1.00000000256327</v>
      </c>
    </row>
    <row r="3954" spans="1:40" x14ac:dyDescent="0.25">
      <c r="A3954" t="str">
        <f>"20190303154847862"</f>
        <v>20190303154847862</v>
      </c>
      <c r="B3954" t="str">
        <f>"1551599327854691"</f>
        <v>1551599327854691</v>
      </c>
      <c r="C3954" t="s">
        <v>40</v>
      </c>
      <c r="D3954">
        <v>5.1857300000000004</v>
      </c>
      <c r="E3954">
        <v>0.53015140000000005</v>
      </c>
      <c r="F3954" t="s">
        <v>42</v>
      </c>
      <c r="G3954">
        <v>-249.3707</v>
      </c>
      <c r="H3954">
        <v>1.0531459999999999</v>
      </c>
      <c r="I3954">
        <v>214.88220000000001</v>
      </c>
      <c r="J3954">
        <v>-250.08760000000001</v>
      </c>
      <c r="K3954">
        <v>1.1202749999999999</v>
      </c>
      <c r="L3954">
        <v>214.99109999999999</v>
      </c>
      <c r="M3954">
        <v>0.99986430000000004</v>
      </c>
      <c r="N3954">
        <v>-1.0882279999999999E-2</v>
      </c>
      <c r="O3954">
        <v>-1.2378770000000001E-2</v>
      </c>
      <c r="P3954">
        <v>0.99550590000000005</v>
      </c>
      <c r="Q3954">
        <v>-9.1001189999999996E-2</v>
      </c>
      <c r="R3954">
        <v>-2.6217109999999998E-2</v>
      </c>
      <c r="S3954">
        <v>2.9875180000000001</v>
      </c>
      <c r="T3954">
        <v>-0.1941454</v>
      </c>
      <c r="U3954">
        <v>-0.32633970000000001</v>
      </c>
      <c r="V3954">
        <v>1.3886880000000001E-2</v>
      </c>
      <c r="W3954">
        <v>-8.0160419999999996E-2</v>
      </c>
      <c r="X3954">
        <v>0.99668520000000005</v>
      </c>
      <c r="Y3954">
        <v>9.6057630000000005E-2</v>
      </c>
      <c r="Z3954">
        <v>-2.9666929999999998E-3</v>
      </c>
      <c r="AA3954">
        <v>0.99537129999999996</v>
      </c>
      <c r="AB3954">
        <v>33</v>
      </c>
      <c r="AC3954">
        <v>0.71690000000000897</v>
      </c>
      <c r="AD3954">
        <v>-6.7128999999999994E-2</v>
      </c>
      <c r="AE3954">
        <v>-0.108899999999977</v>
      </c>
      <c r="AF3954">
        <v>9.9166900968081007E-2</v>
      </c>
      <c r="AG3954">
        <v>-6.7128999999999994E-2</v>
      </c>
      <c r="AH3954">
        <v>0.712090367574855</v>
      </c>
      <c r="AI3954">
        <v>95.334201407122094</v>
      </c>
      <c r="AJ3954">
        <v>82.071883226764896</v>
      </c>
      <c r="AK3954">
        <v>0.72208937707288401</v>
      </c>
      <c r="AL3954">
        <v>94.597786908570299</v>
      </c>
      <c r="AM3954">
        <v>89.2017458136378</v>
      </c>
      <c r="AN3954">
        <v>0.99999996313487405</v>
      </c>
    </row>
    <row r="3955" spans="1:40" x14ac:dyDescent="0.25">
      <c r="A3955" t="str">
        <f>"20190303154847882"</f>
        <v>20190303154847882</v>
      </c>
      <c r="B3955" t="str">
        <f>"1551599327875187"</f>
        <v>1551599327875187</v>
      </c>
      <c r="C3955" t="s">
        <v>40</v>
      </c>
      <c r="D3955">
        <v>5.165216</v>
      </c>
      <c r="E3955">
        <v>0.50626439999999995</v>
      </c>
      <c r="F3955" t="s">
        <v>52</v>
      </c>
      <c r="G3955">
        <v>-232.80449999999999</v>
      </c>
      <c r="H3955" s="1">
        <v>2.05067E-8</v>
      </c>
      <c r="I3955">
        <v>213.13200000000001</v>
      </c>
      <c r="J3955">
        <v>-249.79730000000001</v>
      </c>
      <c r="K3955">
        <v>1.1203080000000001</v>
      </c>
      <c r="L3955">
        <v>214.98759999999999</v>
      </c>
      <c r="M3955">
        <v>0.99986589999999997</v>
      </c>
      <c r="N3955">
        <v>-1.081264E-2</v>
      </c>
      <c r="O3955">
        <v>-1.2309270000000001E-2</v>
      </c>
      <c r="P3955">
        <v>0.99545249999999996</v>
      </c>
      <c r="Q3955">
        <v>-9.1365890000000005E-2</v>
      </c>
      <c r="R3955">
        <v>-2.6965699999999999E-2</v>
      </c>
      <c r="S3955">
        <v>2.9873810000000001</v>
      </c>
      <c r="T3955">
        <v>-0.1936399</v>
      </c>
      <c r="U3955">
        <v>-0.32135010000000003</v>
      </c>
      <c r="V3955">
        <v>1.4712360000000001E-2</v>
      </c>
      <c r="W3955">
        <v>-8.0593789999999998E-2</v>
      </c>
      <c r="X3955">
        <v>0.99663840000000004</v>
      </c>
      <c r="Y3955">
        <v>9.4493369999999993E-2</v>
      </c>
      <c r="Z3955">
        <v>-2.901495E-3</v>
      </c>
      <c r="AA3955">
        <v>0.9955212</v>
      </c>
      <c r="AB3955">
        <v>33</v>
      </c>
      <c r="AC3955">
        <v>16.992799999999999</v>
      </c>
      <c r="AD3955">
        <v>-1.1203079794933</v>
      </c>
      <c r="AE3955">
        <v>-1.8555999999999799</v>
      </c>
      <c r="AF3955">
        <v>1.63923716417351</v>
      </c>
      <c r="AG3955">
        <v>-1.1203079794933</v>
      </c>
      <c r="AH3955">
        <v>16.941585101187101</v>
      </c>
      <c r="AI3955">
        <v>93.765793666880796</v>
      </c>
      <c r="AJ3955">
        <v>84.473368096760694</v>
      </c>
      <c r="AK3955">
        <v>17.057534821599699</v>
      </c>
      <c r="AL3955">
        <v>94.622697811147603</v>
      </c>
      <c r="AM3955">
        <v>89.154262055902194</v>
      </c>
      <c r="AN3955">
        <v>0.99999995643894501</v>
      </c>
    </row>
    <row r="3956" spans="1:40" x14ac:dyDescent="0.25">
      <c r="A3956" t="str">
        <f>"20190303154847896"</f>
        <v>20190303154847896</v>
      </c>
      <c r="B3956" t="str">
        <f>"1551599327884946"</f>
        <v>1551599327884946</v>
      </c>
      <c r="C3956" t="s">
        <v>40</v>
      </c>
      <c r="D3956">
        <v>5.171945</v>
      </c>
      <c r="E3956">
        <v>0.50637749999999904</v>
      </c>
      <c r="F3956" t="s">
        <v>52</v>
      </c>
      <c r="G3956">
        <v>-212.8777</v>
      </c>
      <c r="H3956" s="1">
        <v>5.1569169999999998E-8</v>
      </c>
      <c r="I3956">
        <v>213.31290000000001</v>
      </c>
      <c r="J3956">
        <v>-249.5812</v>
      </c>
      <c r="K3956">
        <v>1.120331</v>
      </c>
      <c r="L3956">
        <v>214.98500000000001</v>
      </c>
      <c r="M3956">
        <v>0.99986730000000001</v>
      </c>
      <c r="N3956">
        <v>-1.0769819999999999E-2</v>
      </c>
      <c r="O3956">
        <v>-1.222329E-2</v>
      </c>
      <c r="P3956">
        <v>0.99539010000000006</v>
      </c>
      <c r="Q3956">
        <v>-9.1703709999999994E-2</v>
      </c>
      <c r="R3956">
        <v>-2.809263E-2</v>
      </c>
      <c r="S3956">
        <v>3.0016630000000002</v>
      </c>
      <c r="T3956">
        <v>-9.1084239999999997E-2</v>
      </c>
      <c r="U3956">
        <v>-0.1361542</v>
      </c>
      <c r="V3956">
        <v>1.5931580000000001E-2</v>
      </c>
      <c r="W3956">
        <v>-8.0973619999999996E-2</v>
      </c>
      <c r="X3956">
        <v>0.9965889</v>
      </c>
      <c r="Y3956">
        <v>3.3079900000000002E-2</v>
      </c>
      <c r="Z3956">
        <v>-4.4077770000000002E-4</v>
      </c>
      <c r="AA3956">
        <v>0.99945260000000002</v>
      </c>
      <c r="AB3956">
        <v>33</v>
      </c>
      <c r="AC3956">
        <v>36.703499999999899</v>
      </c>
      <c r="AD3956">
        <v>-1.1203309484308299</v>
      </c>
      <c r="AE3956">
        <v>-1.6720999999999999</v>
      </c>
      <c r="AF3956">
        <v>1.2221751793523601</v>
      </c>
      <c r="AG3956">
        <v>-1.1203309484308299</v>
      </c>
      <c r="AH3956">
        <v>36.687086723812698</v>
      </c>
      <c r="AI3956">
        <v>91.748155620146505</v>
      </c>
      <c r="AJ3956">
        <v>88.091982804205102</v>
      </c>
      <c r="AK3956">
        <v>36.724531118634999</v>
      </c>
      <c r="AL3956">
        <v>94.644531677744993</v>
      </c>
      <c r="AM3956">
        <v>89.084141365851707</v>
      </c>
      <c r="AN3956">
        <v>0.99999998899020504</v>
      </c>
    </row>
    <row r="3957" spans="1:40" x14ac:dyDescent="0.25">
      <c r="A3957" t="str">
        <f>"20190303154847919"</f>
        <v>20190303154847919</v>
      </c>
      <c r="B3957" t="str">
        <f>"1551599327915203"</f>
        <v>1551599327915203</v>
      </c>
      <c r="C3957" t="s">
        <v>40</v>
      </c>
      <c r="D3957">
        <v>5.1817539999999997</v>
      </c>
      <c r="E3957">
        <v>0.50657890000000005</v>
      </c>
      <c r="F3957" t="s">
        <v>52</v>
      </c>
      <c r="G3957">
        <v>-212.2002</v>
      </c>
      <c r="H3957" s="1">
        <v>-3.0548390000000002E-7</v>
      </c>
      <c r="I3957">
        <v>213.23259999999999</v>
      </c>
      <c r="J3957">
        <v>-249.2526</v>
      </c>
      <c r="K3957">
        <v>1.1203730000000001</v>
      </c>
      <c r="L3957">
        <v>214.9811</v>
      </c>
      <c r="M3957">
        <v>0.99987009999999998</v>
      </c>
      <c r="N3957">
        <v>-1.071866E-2</v>
      </c>
      <c r="O3957">
        <v>-1.204008E-2</v>
      </c>
      <c r="P3957">
        <v>0.99529990000000002</v>
      </c>
      <c r="Q3957">
        <v>-9.2490970000000006E-2</v>
      </c>
      <c r="R3957">
        <v>-2.8699249999999999E-2</v>
      </c>
      <c r="S3957">
        <v>3.001633</v>
      </c>
      <c r="T3957">
        <v>-8.9960689999999996E-2</v>
      </c>
      <c r="U3957">
        <v>-0.1407166</v>
      </c>
      <c r="V3957">
        <v>1.6732219999999999E-2</v>
      </c>
      <c r="W3957">
        <v>-8.181049E-2</v>
      </c>
      <c r="X3957">
        <v>0.99650749999999999</v>
      </c>
      <c r="Y3957">
        <v>3.4778669999999998E-2</v>
      </c>
      <c r="Z3957">
        <v>-4.7576250000000002E-4</v>
      </c>
      <c r="AA3957">
        <v>0.99939500000000003</v>
      </c>
      <c r="AB3957">
        <v>33</v>
      </c>
      <c r="AC3957">
        <v>37.052399999999999</v>
      </c>
      <c r="AD3957">
        <v>-1.12037330548389</v>
      </c>
      <c r="AE3957">
        <v>-1.7484999999999999</v>
      </c>
      <c r="AF3957">
        <v>1.3010468575472101</v>
      </c>
      <c r="AG3957">
        <v>-1.12037330548389</v>
      </c>
      <c r="AH3957">
        <v>37.036979271983398</v>
      </c>
      <c r="AI3957">
        <v>91.731608774829795</v>
      </c>
      <c r="AJ3957">
        <v>87.988122805190798</v>
      </c>
      <c r="AK3957">
        <v>37.076755425232399</v>
      </c>
      <c r="AL3957">
        <v>94.692640079320199</v>
      </c>
      <c r="AM3957">
        <v>89.0380448636148</v>
      </c>
      <c r="AN3957">
        <v>1.0000000605082</v>
      </c>
    </row>
    <row r="3958" spans="1:40" x14ac:dyDescent="0.25">
      <c r="A3958" t="str">
        <f>"20190303154847936"</f>
        <v>20190303154847936</v>
      </c>
      <c r="B3958" t="str">
        <f>"1551599327924963"</f>
        <v>1551599327924963</v>
      </c>
      <c r="C3958" t="s">
        <v>40</v>
      </c>
      <c r="D3958">
        <v>5.2269600000000001</v>
      </c>
      <c r="E3958">
        <v>0.50686620000000004</v>
      </c>
      <c r="F3958" t="s">
        <v>52</v>
      </c>
      <c r="G3958">
        <v>-213.8374</v>
      </c>
      <c r="H3958" s="1">
        <v>5.6368749999999997E-7</v>
      </c>
      <c r="I3958">
        <v>213.28049999999999</v>
      </c>
      <c r="J3958">
        <v>-248.9906</v>
      </c>
      <c r="K3958">
        <v>1.1204209999999999</v>
      </c>
      <c r="L3958">
        <v>214.97810000000001</v>
      </c>
      <c r="M3958">
        <v>0.99987289999999995</v>
      </c>
      <c r="N3958">
        <v>-1.0695680000000001E-2</v>
      </c>
      <c r="O3958">
        <v>-1.183385E-2</v>
      </c>
      <c r="P3958">
        <v>0.99529959999999995</v>
      </c>
      <c r="Q3958">
        <v>-9.2470930000000007E-2</v>
      </c>
      <c r="R3958">
        <v>-2.8771499999999998E-2</v>
      </c>
      <c r="S3958">
        <v>3.0012050000000001</v>
      </c>
      <c r="T3958">
        <v>-9.4944120000000007E-2</v>
      </c>
      <c r="U3958">
        <v>-0.14411930000000001</v>
      </c>
      <c r="V3958">
        <v>1.7019650000000001E-2</v>
      </c>
      <c r="W3958">
        <v>-8.1811330000000002E-2</v>
      </c>
      <c r="X3958">
        <v>0.99650249999999996</v>
      </c>
      <c r="Y3958">
        <v>3.611938E-2</v>
      </c>
      <c r="Z3958">
        <v>-5.1666129999999996E-4</v>
      </c>
      <c r="AA3958">
        <v>0.99934730000000005</v>
      </c>
      <c r="AB3958">
        <v>33</v>
      </c>
      <c r="AC3958">
        <v>35.153199999999998</v>
      </c>
      <c r="AD3958">
        <v>-1.1204204363125001</v>
      </c>
      <c r="AE3958">
        <v>-1.69760000000002</v>
      </c>
      <c r="AF3958">
        <v>1.28016224139414</v>
      </c>
      <c r="AG3958">
        <v>-1.1204204363125001</v>
      </c>
      <c r="AH3958">
        <v>35.135219202625002</v>
      </c>
      <c r="AI3958">
        <v>91.825265130456899</v>
      </c>
      <c r="AJ3958">
        <v>87.913334146942702</v>
      </c>
      <c r="AK3958">
        <v>35.176381077861201</v>
      </c>
      <c r="AL3958">
        <v>94.692688666673305</v>
      </c>
      <c r="AM3958">
        <v>89.021518449634897</v>
      </c>
      <c r="AN3958">
        <v>0.99999999735436995</v>
      </c>
    </row>
    <row r="3959" spans="1:40" x14ac:dyDescent="0.25">
      <c r="A3959" t="str">
        <f>"20190303154847950"</f>
        <v>20190303154847950</v>
      </c>
      <c r="B3959" t="str">
        <f>"1551599327944484"</f>
        <v>1551599327944484</v>
      </c>
      <c r="C3959" t="s">
        <v>40</v>
      </c>
      <c r="D3959">
        <v>5.2233869999999998</v>
      </c>
      <c r="E3959">
        <v>0.50706549999999995</v>
      </c>
      <c r="F3959" t="s">
        <v>52</v>
      </c>
      <c r="G3959">
        <v>-213.97749999999999</v>
      </c>
      <c r="H3959" s="1">
        <v>6.3868590000000001E-7</v>
      </c>
      <c r="I3959">
        <v>213.27</v>
      </c>
      <c r="J3959">
        <v>-248.7689</v>
      </c>
      <c r="K3959">
        <v>1.1204670000000001</v>
      </c>
      <c r="L3959">
        <v>214.97569999999999</v>
      </c>
      <c r="M3959">
        <v>0.99987539999999997</v>
      </c>
      <c r="N3959">
        <v>-1.069146E-2</v>
      </c>
      <c r="O3959">
        <v>-1.16235E-2</v>
      </c>
      <c r="P3959">
        <v>0.99531510000000001</v>
      </c>
      <c r="Q3959">
        <v>-9.2387490000000003E-2</v>
      </c>
      <c r="R3959">
        <v>-2.8506799999999999E-2</v>
      </c>
      <c r="S3959">
        <v>3.0010219999999999</v>
      </c>
      <c r="T3959">
        <v>-9.6032740000000005E-2</v>
      </c>
      <c r="U3959">
        <v>-0.14640810000000001</v>
      </c>
      <c r="V3959">
        <v>1.6972439999999998E-2</v>
      </c>
      <c r="W3959">
        <v>-8.173031E-2</v>
      </c>
      <c r="X3959">
        <v>0.99651000000000001</v>
      </c>
      <c r="Y3959">
        <v>3.7091819999999998E-2</v>
      </c>
      <c r="Z3959">
        <v>-5.4402719999999995E-4</v>
      </c>
      <c r="AA3959">
        <v>0.99931170000000002</v>
      </c>
      <c r="AB3959">
        <v>33</v>
      </c>
      <c r="AC3959">
        <v>34.791400000000003</v>
      </c>
      <c r="AD3959">
        <v>-1.1204663613140999</v>
      </c>
      <c r="AE3959">
        <v>-1.70569999999997</v>
      </c>
      <c r="AF3959">
        <v>1.2998189388978501</v>
      </c>
      <c r="AG3959">
        <v>-1.1204663613140999</v>
      </c>
      <c r="AH3959">
        <v>34.772897478791201</v>
      </c>
      <c r="AI3959">
        <v>91.844282057256393</v>
      </c>
      <c r="AJ3959">
        <v>87.859267226421693</v>
      </c>
      <c r="AK3959">
        <v>34.815217552261203</v>
      </c>
      <c r="AL3959">
        <v>94.688030746963094</v>
      </c>
      <c r="AM3959">
        <v>89.024239430176294</v>
      </c>
      <c r="AN3959">
        <v>1.0000000436961201</v>
      </c>
    </row>
    <row r="3960" spans="1:40" x14ac:dyDescent="0.25">
      <c r="A3960" t="str">
        <f>"20190303154847964"</f>
        <v>20190303154847964</v>
      </c>
      <c r="B3960" t="str">
        <f>"1551599327955218"</f>
        <v>1551599327955218</v>
      </c>
      <c r="C3960" t="s">
        <v>40</v>
      </c>
      <c r="D3960">
        <v>5.2057640000000003</v>
      </c>
      <c r="E3960">
        <v>0.50694410000000001</v>
      </c>
      <c r="F3960" t="s">
        <v>52</v>
      </c>
      <c r="G3960">
        <v>-213.5412</v>
      </c>
      <c r="H3960" s="1">
        <v>4.0749309999999902E-7</v>
      </c>
      <c r="I3960">
        <v>213.24719999999999</v>
      </c>
      <c r="J3960">
        <v>-248.5728</v>
      </c>
      <c r="K3960">
        <v>1.120509</v>
      </c>
      <c r="L3960">
        <v>214.9736</v>
      </c>
      <c r="M3960">
        <v>0.99987769999999998</v>
      </c>
      <c r="N3960">
        <v>-1.069868E-2</v>
      </c>
      <c r="O3960">
        <v>-1.141781E-2</v>
      </c>
      <c r="P3960">
        <v>0.99533329999999998</v>
      </c>
      <c r="Q3960">
        <v>-9.226732E-2</v>
      </c>
      <c r="R3960">
        <v>-2.8263369999999999E-2</v>
      </c>
      <c r="S3960">
        <v>3.0010379999999999</v>
      </c>
      <c r="T3960">
        <v>-9.5452190000000006E-2</v>
      </c>
      <c r="U3960">
        <v>-0.1472473</v>
      </c>
      <c r="V3960">
        <v>1.6940520000000001E-2</v>
      </c>
      <c r="W3960">
        <v>-8.1601300000000002E-2</v>
      </c>
      <c r="X3960">
        <v>0.99652110000000005</v>
      </c>
      <c r="Y3960">
        <v>3.757576E-2</v>
      </c>
      <c r="Z3960">
        <v>-5.5752229999999996E-4</v>
      </c>
      <c r="AA3960">
        <v>0.9992936</v>
      </c>
      <c r="AB3960">
        <v>33</v>
      </c>
      <c r="AC3960">
        <v>35.031599999999997</v>
      </c>
      <c r="AD3960">
        <v>-1.1205085925068901</v>
      </c>
      <c r="AE3960">
        <v>-1.7264000000000099</v>
      </c>
      <c r="AF3960">
        <v>1.32492822750617</v>
      </c>
      <c r="AG3960">
        <v>-1.1205085925068901</v>
      </c>
      <c r="AH3960">
        <v>35.013294342277</v>
      </c>
      <c r="AI3960">
        <v>91.831665435842893</v>
      </c>
      <c r="AJ3960">
        <v>87.8329204825163</v>
      </c>
      <c r="AK3960">
        <v>35.056265559994401</v>
      </c>
      <c r="AL3960">
        <v>94.680614319284402</v>
      </c>
      <c r="AM3960">
        <v>89.026085031600601</v>
      </c>
      <c r="AN3960">
        <v>1.00000002806238</v>
      </c>
    </row>
    <row r="3961" spans="1:40" x14ac:dyDescent="0.25">
      <c r="A3961" t="str">
        <f>"20190303154847996"</f>
        <v>20190303154847996</v>
      </c>
      <c r="B3961" t="str">
        <f>"1551599327984499"</f>
        <v>1551599327984499</v>
      </c>
      <c r="C3961" t="s">
        <v>40</v>
      </c>
      <c r="D3961">
        <v>5.1999139999999997</v>
      </c>
      <c r="E3961">
        <v>0.50669640000000005</v>
      </c>
      <c r="F3961" t="s">
        <v>52</v>
      </c>
      <c r="G3961">
        <v>-213.0727</v>
      </c>
      <c r="H3961" s="1">
        <v>1.5795270000000001E-7</v>
      </c>
      <c r="I3961">
        <v>213.25239999999999</v>
      </c>
      <c r="J3961">
        <v>-248.08179999999999</v>
      </c>
      <c r="K3961">
        <v>1.1206119999999999</v>
      </c>
      <c r="L3961">
        <v>214.96860000000001</v>
      </c>
      <c r="M3961">
        <v>0.99988339999999998</v>
      </c>
      <c r="N3961">
        <v>-1.079108E-2</v>
      </c>
      <c r="O3961">
        <v>-1.08164E-2</v>
      </c>
      <c r="P3961">
        <v>0.99543859999999995</v>
      </c>
      <c r="Q3961">
        <v>-9.1983750000000003E-2</v>
      </c>
      <c r="R3961">
        <v>-2.5320869999999999E-2</v>
      </c>
      <c r="S3961">
        <v>3.001144</v>
      </c>
      <c r="T3961">
        <v>-9.47268E-2</v>
      </c>
      <c r="U3961">
        <v>-0.14550779999999999</v>
      </c>
      <c r="V3961">
        <v>1.4611290000000001E-2</v>
      </c>
      <c r="W3961">
        <v>-8.1223530000000002E-2</v>
      </c>
      <c r="X3961">
        <v>0.99658880000000005</v>
      </c>
      <c r="Y3961">
        <v>3.7597310000000002E-2</v>
      </c>
      <c r="Z3961">
        <v>-5.7146140000000002E-4</v>
      </c>
      <c r="AA3961">
        <v>0.99929279999999998</v>
      </c>
      <c r="AB3961">
        <v>33</v>
      </c>
      <c r="AC3961">
        <v>35.009099999999897</v>
      </c>
      <c r="AD3961">
        <v>-1.1206118420472999</v>
      </c>
      <c r="AE3961">
        <v>-1.7162000000000099</v>
      </c>
      <c r="AF3961">
        <v>1.33603955586475</v>
      </c>
      <c r="AG3961">
        <v>-1.1206118420472999</v>
      </c>
      <c r="AH3961">
        <v>34.989851774422903</v>
      </c>
      <c r="AI3961">
        <v>91.833036716151994</v>
      </c>
      <c r="AJ3961">
        <v>87.813301466348406</v>
      </c>
      <c r="AK3961">
        <v>35.0332770347203</v>
      </c>
      <c r="AL3961">
        <v>94.658897763759995</v>
      </c>
      <c r="AM3961">
        <v>89.1600294183242</v>
      </c>
      <c r="AN3961">
        <v>0.99999999395328198</v>
      </c>
    </row>
    <row r="3962" spans="1:40" x14ac:dyDescent="0.25">
      <c r="A3962" t="str">
        <f>"20190303154848019"</f>
        <v>20190303154848019</v>
      </c>
      <c r="B3962" t="str">
        <f>"1551599328014755"</f>
        <v>1551599328014755</v>
      </c>
      <c r="C3962" t="s">
        <v>40</v>
      </c>
      <c r="D3962">
        <v>5.2365629999999896</v>
      </c>
      <c r="E3962">
        <v>0.50672919999999999</v>
      </c>
      <c r="F3962" t="s">
        <v>52</v>
      </c>
      <c r="G3962">
        <v>-211.92169999999999</v>
      </c>
      <c r="H3962" s="1">
        <v>-4.5878819999999998E-7</v>
      </c>
      <c r="I3962">
        <v>213.34979999999999</v>
      </c>
      <c r="J3962">
        <v>-247.7466</v>
      </c>
      <c r="K3962">
        <v>1.120682</v>
      </c>
      <c r="L3962">
        <v>214.96549999999999</v>
      </c>
      <c r="M3962">
        <v>0.99988659999999996</v>
      </c>
      <c r="N3962">
        <v>-1.092164E-2</v>
      </c>
      <c r="O3962">
        <v>-1.0364180000000001E-2</v>
      </c>
      <c r="P3962">
        <v>0.99548539999999996</v>
      </c>
      <c r="Q3962">
        <v>-9.2242779999999996E-2</v>
      </c>
      <c r="R3962">
        <v>-2.236873E-2</v>
      </c>
      <c r="S3962">
        <v>3.0017239999999998</v>
      </c>
      <c r="T3962">
        <v>-9.3024490000000001E-2</v>
      </c>
      <c r="U3962">
        <v>-0.13438420000000001</v>
      </c>
      <c r="V3962">
        <v>1.2116699999999999E-2</v>
      </c>
      <c r="W3962">
        <v>-8.135299E-2</v>
      </c>
      <c r="X3962">
        <v>0.99661169999999999</v>
      </c>
      <c r="Y3962">
        <v>3.4347170000000003E-2</v>
      </c>
      <c r="Z3962">
        <v>-5.1174759999999999E-4</v>
      </c>
      <c r="AA3962">
        <v>0.99940989999999996</v>
      </c>
      <c r="AB3962">
        <v>33</v>
      </c>
      <c r="AC3962">
        <v>35.8249</v>
      </c>
      <c r="AD3962">
        <v>-1.1206824587882001</v>
      </c>
      <c r="AE3962">
        <v>-1.6156999999999999</v>
      </c>
      <c r="AF3962">
        <v>1.24308135403147</v>
      </c>
      <c r="AG3962">
        <v>-1.1206824587882001</v>
      </c>
      <c r="AH3962">
        <v>35.804755434192401</v>
      </c>
      <c r="AI3962">
        <v>91.791683603591693</v>
      </c>
      <c r="AJ3962">
        <v>88.0115848201105</v>
      </c>
      <c r="AK3962">
        <v>35.843851524752502</v>
      </c>
      <c r="AL3962">
        <v>94.666339866617093</v>
      </c>
      <c r="AM3962">
        <v>89.303438271249803</v>
      </c>
      <c r="AN3962">
        <v>1.00000000198886</v>
      </c>
    </row>
    <row r="3963" spans="1:40" x14ac:dyDescent="0.25">
      <c r="A3963" t="str">
        <f>"20190303154848043"</f>
        <v>20190303154848043</v>
      </c>
      <c r="B3963" t="str">
        <f>"1551599328035251"</f>
        <v>1551599328035251</v>
      </c>
      <c r="C3963" t="s">
        <v>40</v>
      </c>
      <c r="D3963">
        <v>5.2206000000000001</v>
      </c>
      <c r="E3963">
        <v>0.50694259999999902</v>
      </c>
      <c r="F3963" t="s">
        <v>52</v>
      </c>
      <c r="G3963">
        <v>-211.45359999999999</v>
      </c>
      <c r="H3963" s="1">
        <v>-7.1205819999999896E-7</v>
      </c>
      <c r="I3963">
        <v>213.44569999999999</v>
      </c>
      <c r="J3963">
        <v>-247.4016</v>
      </c>
      <c r="K3963">
        <v>1.120754</v>
      </c>
      <c r="L3963">
        <v>214.9624</v>
      </c>
      <c r="M3963">
        <v>0.99988889999999997</v>
      </c>
      <c r="N3963">
        <v>-1.1161809999999999E-2</v>
      </c>
      <c r="O3963">
        <v>-9.8904059999999992E-3</v>
      </c>
      <c r="P3963">
        <v>0.99547779999999997</v>
      </c>
      <c r="Q3963">
        <v>-9.2894249999999998E-2</v>
      </c>
      <c r="R3963">
        <v>-1.987411E-2</v>
      </c>
      <c r="S3963">
        <v>3.0021819999999999</v>
      </c>
      <c r="T3963">
        <v>-9.27037E-2</v>
      </c>
      <c r="U3963">
        <v>-0.1257172</v>
      </c>
      <c r="V3963">
        <v>1.009957E-2</v>
      </c>
      <c r="W3963">
        <v>-8.1766519999999995E-2</v>
      </c>
      <c r="X3963">
        <v>0.99660029999999999</v>
      </c>
      <c r="Y3963">
        <v>3.1935409999999997E-2</v>
      </c>
      <c r="Z3963">
        <v>-4.7626230000000002E-4</v>
      </c>
      <c r="AA3963">
        <v>0.99948979999999998</v>
      </c>
      <c r="AB3963">
        <v>33</v>
      </c>
      <c r="AC3963">
        <v>35.948</v>
      </c>
      <c r="AD3963">
        <v>-1.1207547120582</v>
      </c>
      <c r="AE3963">
        <v>-1.5167000000000099</v>
      </c>
      <c r="AF3963">
        <v>1.15993791104213</v>
      </c>
      <c r="AG3963">
        <v>-1.1207547120582</v>
      </c>
      <c r="AH3963">
        <v>35.926384402797702</v>
      </c>
      <c r="AI3963">
        <v>91.785882066933794</v>
      </c>
      <c r="AJ3963">
        <v>88.150761079040706</v>
      </c>
      <c r="AK3963">
        <v>35.962572813129803</v>
      </c>
      <c r="AL3963">
        <v>94.690112780542407</v>
      </c>
      <c r="AM3963">
        <v>89.419383149022806</v>
      </c>
      <c r="AN3963">
        <v>0.99999996153359105</v>
      </c>
    </row>
    <row r="3964" spans="1:40" x14ac:dyDescent="0.25">
      <c r="A3964" t="str">
        <f>"20190303154848063"</f>
        <v>20190303154848063</v>
      </c>
      <c r="B3964" t="str">
        <f>"1551599328054771"</f>
        <v>1551599328054771</v>
      </c>
      <c r="C3964" t="s">
        <v>40</v>
      </c>
      <c r="D3964">
        <v>5.2408359999999998</v>
      </c>
      <c r="E3964">
        <v>0.50703589999999998</v>
      </c>
      <c r="F3964" t="s">
        <v>52</v>
      </c>
      <c r="G3964">
        <v>-211.6112</v>
      </c>
      <c r="H3964" s="1">
        <v>-6.3188439999999999E-7</v>
      </c>
      <c r="I3964">
        <v>213.52959999999999</v>
      </c>
      <c r="J3964">
        <v>-247.0795</v>
      </c>
      <c r="K3964">
        <v>1.120817</v>
      </c>
      <c r="L3964">
        <v>214.95959999999999</v>
      </c>
      <c r="M3964">
        <v>0.9998899</v>
      </c>
      <c r="N3964">
        <v>-1.1455989999999999E-2</v>
      </c>
      <c r="O3964">
        <v>-9.4356189999999993E-3</v>
      </c>
      <c r="P3964">
        <v>0.99544219999999894</v>
      </c>
      <c r="Q3964">
        <v>-9.3408350000000001E-2</v>
      </c>
      <c r="R3964">
        <v>-1.9233420000000001E-2</v>
      </c>
      <c r="S3964">
        <v>3.002472</v>
      </c>
      <c r="T3964">
        <v>-9.4020610000000004E-2</v>
      </c>
      <c r="U3964">
        <v>-0.12019349999999999</v>
      </c>
      <c r="V3964">
        <v>9.9138430000000003E-3</v>
      </c>
      <c r="W3964">
        <v>-8.1987889999999994E-2</v>
      </c>
      <c r="X3964">
        <v>0.99658400000000003</v>
      </c>
      <c r="Y3964">
        <v>3.0550440000000002E-2</v>
      </c>
      <c r="Z3964">
        <v>-4.6593410000000002E-4</v>
      </c>
      <c r="AA3964">
        <v>0.99953309999999995</v>
      </c>
      <c r="AB3964">
        <v>33</v>
      </c>
      <c r="AC3964">
        <v>35.468299999999999</v>
      </c>
      <c r="AD3964">
        <v>-1.1208176318844001</v>
      </c>
      <c r="AE3964">
        <v>-1.43</v>
      </c>
      <c r="AF3964">
        <v>1.0941581716262001</v>
      </c>
      <c r="AG3964">
        <v>-1.1208176318844001</v>
      </c>
      <c r="AH3964">
        <v>35.444877073580201</v>
      </c>
      <c r="AI3964">
        <v>91.810309107050003</v>
      </c>
      <c r="AJ3964">
        <v>88.231881473584195</v>
      </c>
      <c r="AK3964">
        <v>35.479469063525897</v>
      </c>
      <c r="AL3964">
        <v>94.702838972679402</v>
      </c>
      <c r="AM3964">
        <v>89.430050425468806</v>
      </c>
      <c r="AN3964">
        <v>0.99999998372284005</v>
      </c>
    </row>
    <row r="3965" spans="1:40" x14ac:dyDescent="0.25">
      <c r="A3965" t="str">
        <f>"20190303154848086"</f>
        <v>20190303154848086</v>
      </c>
      <c r="B3965" t="str">
        <f>"1551599328074291"</f>
        <v>1551599328074291</v>
      </c>
      <c r="C3965" t="s">
        <v>40</v>
      </c>
      <c r="D3965">
        <v>5.2505879999999996</v>
      </c>
      <c r="E3965">
        <v>0.50720549999999998</v>
      </c>
      <c r="F3965" t="s">
        <v>52</v>
      </c>
      <c r="G3965">
        <v>-211.76929999999999</v>
      </c>
      <c r="H3965" s="1">
        <v>-5.4897489999999996E-7</v>
      </c>
      <c r="I3965">
        <v>213.55799999999999</v>
      </c>
      <c r="J3965">
        <v>-246.74299999999999</v>
      </c>
      <c r="K3965">
        <v>1.1208750000000001</v>
      </c>
      <c r="L3965">
        <v>214.95699999999999</v>
      </c>
      <c r="M3965">
        <v>0.99989059999999996</v>
      </c>
      <c r="N3965">
        <v>-1.177534E-2</v>
      </c>
      <c r="O3965">
        <v>-8.9514039999999996E-3</v>
      </c>
      <c r="P3965">
        <v>0.99543170000000003</v>
      </c>
      <c r="Q3965">
        <v>-9.3473749999999994E-2</v>
      </c>
      <c r="R3965">
        <v>-1.9446640000000001E-2</v>
      </c>
      <c r="S3965">
        <v>3.0024570000000002</v>
      </c>
      <c r="T3965">
        <v>-9.5304249999999993E-2</v>
      </c>
      <c r="U3965">
        <v>-0.1191864</v>
      </c>
      <c r="V3965">
        <v>1.060967E-2</v>
      </c>
      <c r="W3965">
        <v>-8.1734490000000007E-2</v>
      </c>
      <c r="X3965">
        <v>0.99659759999999997</v>
      </c>
      <c r="Y3965">
        <v>3.0699089999999998E-2</v>
      </c>
      <c r="Z3965">
        <v>-4.8921769999999895E-4</v>
      </c>
      <c r="AA3965">
        <v>0.99952850000000004</v>
      </c>
      <c r="AB3965">
        <v>33</v>
      </c>
      <c r="AC3965">
        <v>34.973700000000001</v>
      </c>
      <c r="AD3965">
        <v>-1.1208755489749</v>
      </c>
      <c r="AE3965">
        <v>-1.399</v>
      </c>
      <c r="AF3965">
        <v>1.0847461054978</v>
      </c>
      <c r="AG3965">
        <v>-1.1208755489749</v>
      </c>
      <c r="AH3965">
        <v>34.948982167119603</v>
      </c>
      <c r="AI3965">
        <v>91.836063558045396</v>
      </c>
      <c r="AJ3965">
        <v>88.222224986756302</v>
      </c>
      <c r="AK3965">
        <v>34.9837732474261</v>
      </c>
      <c r="AL3965">
        <v>94.688271562062198</v>
      </c>
      <c r="AM3965">
        <v>89.390058385108006</v>
      </c>
      <c r="AN3965">
        <v>0.99999993413941202</v>
      </c>
    </row>
    <row r="3966" spans="1:40" x14ac:dyDescent="0.25">
      <c r="A3966" t="str">
        <f>"20190303154848108"</f>
        <v>20190303154848108</v>
      </c>
      <c r="B3966" t="str">
        <f>"1551599328104547"</f>
        <v>1551599328104547</v>
      </c>
      <c r="C3966" t="s">
        <v>40</v>
      </c>
      <c r="D3966">
        <v>5.2416850000000004</v>
      </c>
      <c r="E3966">
        <v>0.50733149999999905</v>
      </c>
      <c r="F3966" t="s">
        <v>52</v>
      </c>
      <c r="G3966">
        <v>-211.53399999999999</v>
      </c>
      <c r="H3966" s="1">
        <v>-6.7318580000000002E-7</v>
      </c>
      <c r="I3966">
        <v>213.53489999999999</v>
      </c>
      <c r="J3966">
        <v>-246.4171</v>
      </c>
      <c r="K3966">
        <v>1.120924</v>
      </c>
      <c r="L3966">
        <v>214.9545</v>
      </c>
      <c r="M3966">
        <v>0.99989119999999998</v>
      </c>
      <c r="N3966">
        <v>-1.2070559999999999E-2</v>
      </c>
      <c r="O3966">
        <v>-8.4861889999999999E-3</v>
      </c>
      <c r="P3966">
        <v>0.99537180000000003</v>
      </c>
      <c r="Q3966">
        <v>-9.3874529999999998E-2</v>
      </c>
      <c r="R3966">
        <v>-2.0558300000000002E-2</v>
      </c>
      <c r="S3966">
        <v>3.0024259999999998</v>
      </c>
      <c r="T3966">
        <v>-9.5582009999999995E-2</v>
      </c>
      <c r="U3966">
        <v>-0.1212616</v>
      </c>
      <c r="V3966">
        <v>1.2185130000000001E-2</v>
      </c>
      <c r="W3966">
        <v>-8.1840170000000004E-2</v>
      </c>
      <c r="X3966">
        <v>0.99657099999999998</v>
      </c>
      <c r="Y3966">
        <v>3.1853050000000001E-2</v>
      </c>
      <c r="Z3966">
        <v>-5.3149890000000002E-4</v>
      </c>
      <c r="AA3966">
        <v>0.99949239999999995</v>
      </c>
      <c r="AB3966">
        <v>33</v>
      </c>
      <c r="AC3966">
        <v>34.883099999999899</v>
      </c>
      <c r="AD3966">
        <v>-1.1209246731858</v>
      </c>
      <c r="AE3966">
        <v>-1.4196</v>
      </c>
      <c r="AF3966">
        <v>1.12234575373429</v>
      </c>
      <c r="AG3966">
        <v>-1.1209246731858</v>
      </c>
      <c r="AH3966">
        <v>34.857957570382702</v>
      </c>
      <c r="AI3966">
        <v>91.840868012850805</v>
      </c>
      <c r="AJ3966">
        <v>88.155845281124201</v>
      </c>
      <c r="AK3966">
        <v>34.894030121103597</v>
      </c>
      <c r="AL3966">
        <v>94.694346509324404</v>
      </c>
      <c r="AM3966">
        <v>89.299476170529005</v>
      </c>
      <c r="AN3966">
        <v>1.0000000244298699</v>
      </c>
    </row>
    <row r="3967" spans="1:40" x14ac:dyDescent="0.25">
      <c r="A3967" t="str">
        <f>"20190303154848130"</f>
        <v>20190303154848130</v>
      </c>
      <c r="B3967" t="str">
        <f>"1551599328125043"</f>
        <v>1551599328125043</v>
      </c>
      <c r="C3967" t="s">
        <v>40</v>
      </c>
      <c r="D3967">
        <v>5.221292</v>
      </c>
      <c r="E3967">
        <v>0.50747730000000002</v>
      </c>
      <c r="F3967" t="s">
        <v>52</v>
      </c>
      <c r="G3967">
        <v>-211.55709999999999</v>
      </c>
      <c r="H3967" s="1">
        <v>-6.5928139999999995E-7</v>
      </c>
      <c r="I3967">
        <v>213.49719999999999</v>
      </c>
      <c r="J3967">
        <v>-246.08109999999999</v>
      </c>
      <c r="K3967">
        <v>1.120959</v>
      </c>
      <c r="L3967">
        <v>214.9521</v>
      </c>
      <c r="M3967">
        <v>0.99989159999999999</v>
      </c>
      <c r="N3967">
        <v>-1.2354469999999999E-2</v>
      </c>
      <c r="O3967">
        <v>-8.0251400000000001E-3</v>
      </c>
      <c r="P3967">
        <v>0.99540260000000003</v>
      </c>
      <c r="Q3967">
        <v>-9.3231369999999994E-2</v>
      </c>
      <c r="R3967">
        <v>-2.1956460000000001E-2</v>
      </c>
      <c r="S3967">
        <v>3.0022579999999999</v>
      </c>
      <c r="T3967">
        <v>-9.6537590000000006E-2</v>
      </c>
      <c r="U3967">
        <v>-0.12550349999999999</v>
      </c>
      <c r="V3967">
        <v>1.404116E-2</v>
      </c>
      <c r="W3967">
        <v>-8.0911930000000007E-2</v>
      </c>
      <c r="X3967">
        <v>0.99662229999999996</v>
      </c>
      <c r="Y3967">
        <v>3.3723950000000003E-2</v>
      </c>
      <c r="Z3967">
        <v>-5.9155399999999999E-4</v>
      </c>
      <c r="AA3967">
        <v>0.99943099999999996</v>
      </c>
      <c r="AB3967">
        <v>33</v>
      </c>
      <c r="AC3967">
        <v>34.524000000000001</v>
      </c>
      <c r="AD3967">
        <v>-1.1209596592814</v>
      </c>
      <c r="AE3967">
        <v>-1.4549000000000001</v>
      </c>
      <c r="AF3967">
        <v>1.1765339511855</v>
      </c>
      <c r="AG3967">
        <v>-1.1209596592814</v>
      </c>
      <c r="AH3967">
        <v>34.498259930808501</v>
      </c>
      <c r="AI3967">
        <v>91.859989161042904</v>
      </c>
      <c r="AJ3967">
        <v>88.046732984723803</v>
      </c>
      <c r="AK3967">
        <v>34.536512866090803</v>
      </c>
      <c r="AL3967">
        <v>94.640985638389495</v>
      </c>
      <c r="AM3967">
        <v>89.192827629178893</v>
      </c>
      <c r="AN3967">
        <v>0.99999995172387901</v>
      </c>
    </row>
    <row r="3968" spans="1:40" x14ac:dyDescent="0.25">
      <c r="A3968" t="str">
        <f>"20190303154848152"</f>
        <v>20190303154848152</v>
      </c>
      <c r="B3968" t="str">
        <f>"1551599328144563"</f>
        <v>1551599328144563</v>
      </c>
      <c r="C3968" t="s">
        <v>40</v>
      </c>
      <c r="D3968">
        <v>5.2345050000000004</v>
      </c>
      <c r="E3968">
        <v>0.50759330000000003</v>
      </c>
      <c r="F3968" t="s">
        <v>52</v>
      </c>
      <c r="G3968">
        <v>-210.67580000000001</v>
      </c>
      <c r="H3968" s="1">
        <v>-1.124538E-6</v>
      </c>
      <c r="I3968">
        <v>213.41239999999999</v>
      </c>
      <c r="J3968">
        <v>-245.75970000000001</v>
      </c>
      <c r="K3968">
        <v>1.1209819999999999</v>
      </c>
      <c r="L3968">
        <v>214.95</v>
      </c>
      <c r="M3968">
        <v>0.9998918</v>
      </c>
      <c r="N3968">
        <v>-1.2605430000000001E-2</v>
      </c>
      <c r="O3968">
        <v>-7.6076329999999999E-3</v>
      </c>
      <c r="P3968">
        <v>0.99545320000000004</v>
      </c>
      <c r="Q3968">
        <v>-9.2344469999999998E-2</v>
      </c>
      <c r="R3968">
        <v>-2.3357320000000001E-2</v>
      </c>
      <c r="S3968">
        <v>3.002075</v>
      </c>
      <c r="T3968">
        <v>-9.5048069999999998E-2</v>
      </c>
      <c r="U3968">
        <v>-0.13055419999999901</v>
      </c>
      <c r="V3968">
        <v>1.585543E-2</v>
      </c>
      <c r="W3968">
        <v>-7.9772770000000007E-2</v>
      </c>
      <c r="X3968">
        <v>0.99668699999999999</v>
      </c>
      <c r="Y3968">
        <v>3.5820919999999999E-2</v>
      </c>
      <c r="Z3968">
        <v>-6.4778160000000004E-4</v>
      </c>
      <c r="AA3968">
        <v>0.99935799999999997</v>
      </c>
      <c r="AB3968">
        <v>33</v>
      </c>
      <c r="AC3968">
        <v>35.0839</v>
      </c>
      <c r="AD3968">
        <v>-1.120983124538</v>
      </c>
      <c r="AE3968">
        <v>-1.5375999999999901</v>
      </c>
      <c r="AF3968">
        <v>1.2693355273164899</v>
      </c>
      <c r="AG3968">
        <v>-1.120983124538</v>
      </c>
      <c r="AH3968">
        <v>35.058860077869902</v>
      </c>
      <c r="AI3968">
        <v>91.830171170529297</v>
      </c>
      <c r="AJ3968">
        <v>87.926463818679807</v>
      </c>
      <c r="AK3968">
        <v>35.0997362640529</v>
      </c>
      <c r="AL3968">
        <v>94.575504522216704</v>
      </c>
      <c r="AM3968">
        <v>89.088607958526794</v>
      </c>
      <c r="AN3968">
        <v>1.00000003273147</v>
      </c>
    </row>
    <row r="3969" spans="1:40" x14ac:dyDescent="0.25">
      <c r="A3969" t="str">
        <f>"20190303154848174"</f>
        <v>20190303154848174</v>
      </c>
      <c r="B3969" t="str">
        <f>"1551599328165060"</f>
        <v>1551599328165060</v>
      </c>
      <c r="C3969" t="s">
        <v>40</v>
      </c>
      <c r="D3969">
        <v>5.2155250000000004</v>
      </c>
      <c r="E3969">
        <v>0.50763309999999995</v>
      </c>
      <c r="F3969" t="s">
        <v>47</v>
      </c>
      <c r="G3969">
        <v>-209.37799999999999</v>
      </c>
      <c r="H3969" s="1">
        <v>6.4903369999999999E-6</v>
      </c>
      <c r="I3969">
        <v>213.3056</v>
      </c>
      <c r="J3969">
        <v>-245.42830000000001</v>
      </c>
      <c r="K3969">
        <v>1.1209910000000001</v>
      </c>
      <c r="L3969">
        <v>214.9479</v>
      </c>
      <c r="M3969">
        <v>0.99989159999999999</v>
      </c>
      <c r="N3969">
        <v>-1.2841200000000001E-2</v>
      </c>
      <c r="O3969">
        <v>-7.2054529999999997E-3</v>
      </c>
      <c r="P3969">
        <v>0.99550320000000003</v>
      </c>
      <c r="Q3969">
        <v>-9.1855469999999995E-2</v>
      </c>
      <c r="R3969">
        <v>-2.3148680000000001E-2</v>
      </c>
      <c r="S3969">
        <v>3.0019529999999999</v>
      </c>
      <c r="T3969">
        <v>-9.2494850000000003E-2</v>
      </c>
      <c r="U3969">
        <v>-0.1356812</v>
      </c>
      <c r="V3969">
        <v>1.604386E-2</v>
      </c>
      <c r="W3969">
        <v>-7.9048599999999997E-2</v>
      </c>
      <c r="X3969">
        <v>0.99674169999999995</v>
      </c>
      <c r="Y3969">
        <v>3.792736E-2</v>
      </c>
      <c r="Z3969">
        <v>-6.9823629999999997E-4</v>
      </c>
      <c r="AA3969">
        <v>0.99928030000000001</v>
      </c>
      <c r="AB3969">
        <v>33</v>
      </c>
      <c r="AC3969">
        <v>36.0503</v>
      </c>
      <c r="AD3969">
        <v>-1.120984509663</v>
      </c>
      <c r="AE3969">
        <v>-1.6423000000000001</v>
      </c>
      <c r="AF3969">
        <v>1.3811445387699699</v>
      </c>
      <c r="AG3969">
        <v>-1.120984509663</v>
      </c>
      <c r="AH3969">
        <v>36.026436673851997</v>
      </c>
      <c r="AI3969">
        <v>91.780910639938597</v>
      </c>
      <c r="AJ3969">
        <v>87.804528391455804</v>
      </c>
      <c r="AK3969">
        <v>36.070324449926197</v>
      </c>
      <c r="AL3969">
        <v>94.533881105344804</v>
      </c>
      <c r="AM3969">
        <v>89.077829202889106</v>
      </c>
      <c r="AN3969">
        <v>1.00000005156227</v>
      </c>
    </row>
    <row r="3970" spans="1:40" x14ac:dyDescent="0.25">
      <c r="A3970" t="str">
        <f>"20190303154848198"</f>
        <v>20190303154848198</v>
      </c>
      <c r="B3970" t="str">
        <f>"1551599328195315"</f>
        <v>1551599328195315</v>
      </c>
      <c r="C3970" t="s">
        <v>40</v>
      </c>
      <c r="D3970">
        <v>5.2303750000000004</v>
      </c>
      <c r="E3970">
        <v>0.50768729999999995</v>
      </c>
      <c r="F3970" t="s">
        <v>47</v>
      </c>
      <c r="G3970">
        <v>-208.43199999999999</v>
      </c>
      <c r="H3970" s="1">
        <v>6.072649E-6</v>
      </c>
      <c r="I3970">
        <v>213.28440000000001</v>
      </c>
      <c r="J3970">
        <v>-245.0847</v>
      </c>
      <c r="K3970">
        <v>1.1209709999999999</v>
      </c>
      <c r="L3970">
        <v>214.94579999999999</v>
      </c>
      <c r="M3970">
        <v>0.99989150000000004</v>
      </c>
      <c r="N3970">
        <v>-1.3060459999999999E-2</v>
      </c>
      <c r="O3970">
        <v>-6.8252019999999998E-3</v>
      </c>
      <c r="P3970">
        <v>0.99551670000000003</v>
      </c>
      <c r="Q3970">
        <v>-9.196791E-2</v>
      </c>
      <c r="R3970">
        <v>-2.210606E-2</v>
      </c>
      <c r="S3970">
        <v>3.002014</v>
      </c>
      <c r="T3970">
        <v>-9.0960620000000006E-2</v>
      </c>
      <c r="U3970">
        <v>-0.13497919999999999</v>
      </c>
      <c r="V3970">
        <v>1.5374820000000001E-2</v>
      </c>
      <c r="W3970">
        <v>-7.8943949999999999E-2</v>
      </c>
      <c r="X3970">
        <v>0.99676050000000005</v>
      </c>
      <c r="Y3970">
        <v>3.8073610000000001E-2</v>
      </c>
      <c r="Z3970">
        <v>-7.0768610000000005E-4</v>
      </c>
      <c r="AA3970">
        <v>0.99927469999999996</v>
      </c>
      <c r="AB3970">
        <v>33</v>
      </c>
      <c r="AC3970">
        <v>36.652699999999903</v>
      </c>
      <c r="AD3970">
        <v>-1.1209649273509901</v>
      </c>
      <c r="AE3970">
        <v>-1.66139999999998</v>
      </c>
      <c r="AF3970">
        <v>1.40986189346199</v>
      </c>
      <c r="AG3970">
        <v>-1.1209649273509901</v>
      </c>
      <c r="AH3970">
        <v>36.628995977380299</v>
      </c>
      <c r="AI3970">
        <v>91.7515915878257</v>
      </c>
      <c r="AJ3970">
        <v>87.795755032443907</v>
      </c>
      <c r="AK3970">
        <v>36.673254821980699</v>
      </c>
      <c r="AL3970">
        <v>94.527866478942997</v>
      </c>
      <c r="AM3970">
        <v>89.116294793661893</v>
      </c>
      <c r="AN3970">
        <v>1.0000000133459399</v>
      </c>
    </row>
    <row r="3971" spans="1:40" x14ac:dyDescent="0.25">
      <c r="A3971" t="str">
        <f>"20190303154848221"</f>
        <v>20190303154848221</v>
      </c>
      <c r="B3971" t="str">
        <f>"1551599328214835"</f>
        <v>1551599328214835</v>
      </c>
      <c r="C3971" t="s">
        <v>40</v>
      </c>
      <c r="D3971">
        <v>5.2516590000000001</v>
      </c>
      <c r="E3971">
        <v>0.50768219999999997</v>
      </c>
      <c r="F3971" t="s">
        <v>47</v>
      </c>
      <c r="G3971">
        <v>-208.1525</v>
      </c>
      <c r="H3971" s="1">
        <v>5.9456719999999997E-6</v>
      </c>
      <c r="I3971">
        <v>213.31950000000001</v>
      </c>
      <c r="J3971">
        <v>-244.74930000000001</v>
      </c>
      <c r="K3971">
        <v>1.120941</v>
      </c>
      <c r="L3971">
        <v>214.94390000000001</v>
      </c>
      <c r="M3971">
        <v>0.99989110000000003</v>
      </c>
      <c r="N3971">
        <v>-1.324986E-2</v>
      </c>
      <c r="O3971">
        <v>-6.5011309999999899E-3</v>
      </c>
      <c r="P3971">
        <v>0.9955349</v>
      </c>
      <c r="Q3971">
        <v>-9.2222090000000007E-2</v>
      </c>
      <c r="R3971">
        <v>-2.0140720000000001E-2</v>
      </c>
      <c r="S3971">
        <v>3.002151</v>
      </c>
      <c r="T3971">
        <v>-9.1121320000000006E-2</v>
      </c>
      <c r="U3971">
        <v>-0.13220209999999999</v>
      </c>
      <c r="V3971">
        <v>1.3725060000000001E-2</v>
      </c>
      <c r="W3971">
        <v>-7.9011860000000003E-2</v>
      </c>
      <c r="X3971">
        <v>0.99677919999999998</v>
      </c>
      <c r="Y3971">
        <v>3.7473020000000003E-2</v>
      </c>
      <c r="Z3971">
        <v>-7.0567410000000003E-4</v>
      </c>
      <c r="AA3971">
        <v>0.9992974</v>
      </c>
      <c r="AB3971">
        <v>33</v>
      </c>
      <c r="AC3971">
        <v>36.596800000000002</v>
      </c>
      <c r="AD3971">
        <v>-1.1209350543279999</v>
      </c>
      <c r="AE3971">
        <v>-1.6244000000000001</v>
      </c>
      <c r="AF3971">
        <v>1.38512728295453</v>
      </c>
      <c r="AG3971">
        <v>-1.1209350543279999</v>
      </c>
      <c r="AH3971">
        <v>36.572344773427403</v>
      </c>
      <c r="AI3971">
        <v>91.754297639531401</v>
      </c>
      <c r="AJ3971">
        <v>87.831037779469497</v>
      </c>
      <c r="AK3971">
        <v>36.615727156680201</v>
      </c>
      <c r="AL3971">
        <v>94.5317696314752</v>
      </c>
      <c r="AM3971">
        <v>89.211120859681998</v>
      </c>
      <c r="AN3971">
        <v>1.00000001242265</v>
      </c>
    </row>
    <row r="3972" spans="1:40" x14ac:dyDescent="0.25">
      <c r="A3972" t="str">
        <f>"20190303154848244"</f>
        <v>20190303154848244</v>
      </c>
      <c r="B3972" t="str">
        <f>"1551599328234355"</f>
        <v>1551599328234355</v>
      </c>
      <c r="C3972" t="s">
        <v>40</v>
      </c>
      <c r="D3972">
        <v>5.2588160000000004</v>
      </c>
      <c r="E3972">
        <v>0.50767470000000003</v>
      </c>
      <c r="F3972" t="s">
        <v>47</v>
      </c>
      <c r="G3972">
        <v>-208.2954</v>
      </c>
      <c r="H3972" s="1">
        <v>6.0006779999999998E-6</v>
      </c>
      <c r="I3972">
        <v>213.4151</v>
      </c>
      <c r="J3972">
        <v>-244.41489999999999</v>
      </c>
      <c r="K3972">
        <v>1.1209</v>
      </c>
      <c r="L3972">
        <v>214.94210000000001</v>
      </c>
      <c r="M3972">
        <v>0.99989050000000002</v>
      </c>
      <c r="N3972">
        <v>-1.341431E-2</v>
      </c>
      <c r="O3972">
        <v>-6.2436280000000002E-3</v>
      </c>
      <c r="P3972">
        <v>0.99558999999999997</v>
      </c>
      <c r="Q3972">
        <v>-9.2169150000000005E-2</v>
      </c>
      <c r="R3972">
        <v>-1.7484889999999999E-2</v>
      </c>
      <c r="S3972">
        <v>3.0023499999999999</v>
      </c>
      <c r="T3972">
        <v>-9.2320440000000004E-2</v>
      </c>
      <c r="U3972">
        <v>-0.12591550000000001</v>
      </c>
      <c r="V3972">
        <v>1.1316110000000001E-2</v>
      </c>
      <c r="W3972">
        <v>-7.8797590000000001E-2</v>
      </c>
      <c r="X3972">
        <v>0.9968264</v>
      </c>
      <c r="Y3972">
        <v>3.5639410000000003E-2</v>
      </c>
      <c r="Z3972">
        <v>-6.7867329999999997E-4</v>
      </c>
      <c r="AA3972">
        <v>0.99936449999999999</v>
      </c>
      <c r="AB3972">
        <v>33</v>
      </c>
      <c r="AC3972">
        <v>36.119499999999903</v>
      </c>
      <c r="AD3972">
        <v>-1.120893999322</v>
      </c>
      <c r="AE3972">
        <v>-1.5270000000000099</v>
      </c>
      <c r="AF3972">
        <v>1.300183311182</v>
      </c>
      <c r="AG3972">
        <v>-1.120893999322</v>
      </c>
      <c r="AH3972">
        <v>36.093633021461002</v>
      </c>
      <c r="AI3972">
        <v>91.777606421437</v>
      </c>
      <c r="AJ3972">
        <v>87.936954164844195</v>
      </c>
      <c r="AK3972">
        <v>36.134432674227703</v>
      </c>
      <c r="AL3972">
        <v>94.519454555586705</v>
      </c>
      <c r="AM3972">
        <v>89.349598391630394</v>
      </c>
      <c r="AN3972">
        <v>0.99999999313614996</v>
      </c>
    </row>
    <row r="3973" spans="1:40" x14ac:dyDescent="0.25">
      <c r="A3973" t="str">
        <f>"20190303154848264"</f>
        <v>20190303154848264</v>
      </c>
      <c r="B3973" t="str">
        <f>"1551599328254851"</f>
        <v>1551599328254851</v>
      </c>
      <c r="C3973" t="s">
        <v>40</v>
      </c>
      <c r="D3973">
        <v>5.2930590000000004</v>
      </c>
      <c r="E3973">
        <v>0.50763139999999995</v>
      </c>
      <c r="F3973" t="s">
        <v>47</v>
      </c>
      <c r="G3973">
        <v>-208.32550000000001</v>
      </c>
      <c r="H3973" s="1">
        <v>6.0044289999999998E-6</v>
      </c>
      <c r="I3973">
        <v>213.52449999999999</v>
      </c>
      <c r="J3973">
        <v>-244.10210000000001</v>
      </c>
      <c r="K3973">
        <v>1.120865</v>
      </c>
      <c r="L3973">
        <v>214.94040000000001</v>
      </c>
      <c r="M3973">
        <v>0.9998899</v>
      </c>
      <c r="N3973">
        <v>-1.354995E-2</v>
      </c>
      <c r="O3973">
        <v>-6.0517449999999999E-3</v>
      </c>
      <c r="P3973">
        <v>0.99567070000000002</v>
      </c>
      <c r="Q3973">
        <v>-9.1715030000000003E-2</v>
      </c>
      <c r="R3973">
        <v>-1.511386E-2</v>
      </c>
      <c r="S3973">
        <v>3.0025789999999999</v>
      </c>
      <c r="T3973">
        <v>-9.3256469999999994E-2</v>
      </c>
      <c r="U3973">
        <v>-0.1179352</v>
      </c>
      <c r="V3973">
        <v>9.1267410000000007E-3</v>
      </c>
      <c r="W3973">
        <v>-7.8209749999999995E-2</v>
      </c>
      <c r="X3973">
        <v>0.99689510000000003</v>
      </c>
      <c r="Y3973">
        <v>3.3177320000000003E-2</v>
      </c>
      <c r="Z3973">
        <v>-6.3398030000000002E-4</v>
      </c>
      <c r="AA3973">
        <v>0.99944929999999998</v>
      </c>
      <c r="AB3973">
        <v>33</v>
      </c>
      <c r="AC3973">
        <v>35.776600000000002</v>
      </c>
      <c r="AD3973">
        <v>-1.120858995571</v>
      </c>
      <c r="AE3973">
        <v>-1.4159000000000199</v>
      </c>
      <c r="AF3973">
        <v>1.19816913206069</v>
      </c>
      <c r="AG3973">
        <v>-1.120858995571</v>
      </c>
      <c r="AH3973">
        <v>35.749479857522999</v>
      </c>
      <c r="AI3973">
        <v>91.794808075307699</v>
      </c>
      <c r="AJ3973">
        <v>88.0804099228463</v>
      </c>
      <c r="AK3973">
        <v>35.787110029176901</v>
      </c>
      <c r="AL3973">
        <v>94.485669724935093</v>
      </c>
      <c r="AM3973">
        <v>89.475462231920602</v>
      </c>
      <c r="AN3973">
        <v>0.99999995140017495</v>
      </c>
    </row>
    <row r="3974" spans="1:40" x14ac:dyDescent="0.25">
      <c r="A3974" t="str">
        <f>"20190303154848288"</f>
        <v>20190303154848288</v>
      </c>
      <c r="B3974" t="str">
        <f>"1551599328285107"</f>
        <v>1551599328285107</v>
      </c>
      <c r="C3974" t="s">
        <v>40</v>
      </c>
      <c r="D3974">
        <v>5.2752019999999904</v>
      </c>
      <c r="E3974">
        <v>0.50762249999999998</v>
      </c>
      <c r="F3974" t="s">
        <v>47</v>
      </c>
      <c r="G3974">
        <v>-207.69239999999999</v>
      </c>
      <c r="H3974" s="1">
        <v>5.7170079999999999E-6</v>
      </c>
      <c r="I3974">
        <v>213.60079999999999</v>
      </c>
      <c r="J3974">
        <v>-243.76339999999999</v>
      </c>
      <c r="K3974">
        <v>1.1208199999999999</v>
      </c>
      <c r="L3974">
        <v>214.9385</v>
      </c>
      <c r="M3974">
        <v>0.99988909999999998</v>
      </c>
      <c r="N3974">
        <v>-1.367818E-2</v>
      </c>
      <c r="O3974">
        <v>-5.9030350000000001E-3</v>
      </c>
      <c r="P3974">
        <v>0.99565009999999998</v>
      </c>
      <c r="Q3974">
        <v>-9.2100689999999999E-2</v>
      </c>
      <c r="R3974">
        <v>-1.408862E-2</v>
      </c>
      <c r="S3974">
        <v>3.0028380000000001</v>
      </c>
      <c r="T3974">
        <v>-9.2441079999999995E-2</v>
      </c>
      <c r="U3974">
        <v>-0.11047360000000001</v>
      </c>
      <c r="V3974">
        <v>8.2406530000000006E-3</v>
      </c>
      <c r="W3974">
        <v>-7.8469319999999995E-2</v>
      </c>
      <c r="X3974">
        <v>0.9968825</v>
      </c>
      <c r="Y3974">
        <v>3.0844409999999999E-2</v>
      </c>
      <c r="Z3974">
        <v>-5.8469299999999995E-4</v>
      </c>
      <c r="AA3974">
        <v>0.99952399999999997</v>
      </c>
      <c r="AB3974">
        <v>33</v>
      </c>
      <c r="AC3974">
        <v>36.070999999999998</v>
      </c>
      <c r="AD3974">
        <v>-1.120814282992</v>
      </c>
      <c r="AE3974">
        <v>-1.3377000000000101</v>
      </c>
      <c r="AF3974">
        <v>1.1236450219657199</v>
      </c>
      <c r="AG3974">
        <v>-1.120814282992</v>
      </c>
      <c r="AH3974">
        <v>36.043516529623197</v>
      </c>
      <c r="AI3974">
        <v>91.780239407149793</v>
      </c>
      <c r="AJ3974">
        <v>88.214400823950001</v>
      </c>
      <c r="AK3974">
        <v>36.078440745320101</v>
      </c>
      <c r="AL3974">
        <v>94.5005874809749</v>
      </c>
      <c r="AM3974">
        <v>89.526379605347202</v>
      </c>
      <c r="AN3974">
        <v>1.0000000306746799</v>
      </c>
    </row>
    <row r="3975" spans="1:40" x14ac:dyDescent="0.25">
      <c r="A3975" t="str">
        <f>"20190303154848309"</f>
        <v>20190303154848309</v>
      </c>
      <c r="B3975" t="str">
        <f>"1551599328304627"</f>
        <v>1551599328304627</v>
      </c>
      <c r="C3975" t="s">
        <v>40</v>
      </c>
      <c r="D3975">
        <v>5.2953279999999996</v>
      </c>
      <c r="E3975">
        <v>0.50767320000000005</v>
      </c>
      <c r="F3975" t="s">
        <v>47</v>
      </c>
      <c r="G3975">
        <v>-208.26240000000001</v>
      </c>
      <c r="H3975" s="1">
        <v>5.9639940000000002E-6</v>
      </c>
      <c r="I3975">
        <v>213.66739999999999</v>
      </c>
      <c r="J3975">
        <v>-243.44659999999999</v>
      </c>
      <c r="K3975">
        <v>1.120776</v>
      </c>
      <c r="L3975">
        <v>214.9367</v>
      </c>
      <c r="M3975">
        <v>0.99988809999999995</v>
      </c>
      <c r="N3975">
        <v>-1.378273E-2</v>
      </c>
      <c r="O3975">
        <v>-5.8172900000000001E-3</v>
      </c>
      <c r="P3975">
        <v>0.99559549999999997</v>
      </c>
      <c r="Q3975">
        <v>-9.2694799999999994E-2</v>
      </c>
      <c r="R3975">
        <v>-1.403722E-2</v>
      </c>
      <c r="S3975">
        <v>3.0028229999999998</v>
      </c>
      <c r="T3975">
        <v>-9.4803209999999999E-2</v>
      </c>
      <c r="U3975">
        <v>-0.1075134</v>
      </c>
      <c r="V3975">
        <v>8.2671299999999993E-3</v>
      </c>
      <c r="W3975">
        <v>-7.8960779999999994E-2</v>
      </c>
      <c r="X3975">
        <v>0.99684349999999999</v>
      </c>
      <c r="Y3975">
        <v>2.9945980000000001E-2</v>
      </c>
      <c r="Z3975">
        <v>-5.755647E-4</v>
      </c>
      <c r="AA3975">
        <v>0.99955139999999998</v>
      </c>
      <c r="AB3975">
        <v>33</v>
      </c>
      <c r="AC3975">
        <v>35.184199999999898</v>
      </c>
      <c r="AD3975">
        <v>-1.120770036006</v>
      </c>
      <c r="AE3975">
        <v>-1.2693000000000101</v>
      </c>
      <c r="AF3975">
        <v>1.06350464669331</v>
      </c>
      <c r="AG3975">
        <v>-1.120770036006</v>
      </c>
      <c r="AH3975">
        <v>35.155363356071597</v>
      </c>
      <c r="AI3975">
        <v>91.825164382802598</v>
      </c>
      <c r="AJ3975">
        <v>88.267241638995202</v>
      </c>
      <c r="AK3975">
        <v>35.189298661731897</v>
      </c>
      <c r="AL3975">
        <v>94.528833589002105</v>
      </c>
      <c r="AM3975">
        <v>89.524839356842904</v>
      </c>
      <c r="AN3975">
        <v>1.00000005685444</v>
      </c>
    </row>
    <row r="3976" spans="1:40" x14ac:dyDescent="0.25">
      <c r="A3976" t="str">
        <f>"20190303154848331"</f>
        <v>20190303154848331</v>
      </c>
      <c r="B3976" t="str">
        <f>"1551599328325127"</f>
        <v>1551599328325127</v>
      </c>
      <c r="C3976" t="s">
        <v>40</v>
      </c>
      <c r="D3976">
        <v>5.2952320000000004</v>
      </c>
      <c r="E3976">
        <v>0.50767549999999995</v>
      </c>
      <c r="F3976" t="s">
        <v>47</v>
      </c>
      <c r="G3976">
        <v>-209.17019999999999</v>
      </c>
      <c r="H3976" s="1">
        <v>6.3630970000000002E-6</v>
      </c>
      <c r="I3976">
        <v>213.70679999999999</v>
      </c>
      <c r="J3976">
        <v>-243.11240000000001</v>
      </c>
      <c r="K3976">
        <v>1.120735</v>
      </c>
      <c r="L3976">
        <v>214.9348</v>
      </c>
      <c r="M3976">
        <v>0.99988710000000003</v>
      </c>
      <c r="N3976">
        <v>-1.38785E-2</v>
      </c>
      <c r="O3976">
        <v>-5.7693559999999998E-3</v>
      </c>
      <c r="P3976">
        <v>0.99548380000000003</v>
      </c>
      <c r="Q3976">
        <v>-9.3750700000000006E-2</v>
      </c>
      <c r="R3976">
        <v>-1.493765E-2</v>
      </c>
      <c r="S3976">
        <v>3.0025940000000002</v>
      </c>
      <c r="T3976">
        <v>-9.817874E-2</v>
      </c>
      <c r="U3976">
        <v>-0.1077423</v>
      </c>
      <c r="V3976">
        <v>9.208417E-3</v>
      </c>
      <c r="W3976">
        <v>-7.9923179999999996E-2</v>
      </c>
      <c r="X3976">
        <v>0.99675849999999999</v>
      </c>
      <c r="Y3976">
        <v>3.007135E-2</v>
      </c>
      <c r="Z3976">
        <v>-5.9168440000000001E-4</v>
      </c>
      <c r="AA3976">
        <v>0.99954759999999998</v>
      </c>
      <c r="AB3976">
        <v>33</v>
      </c>
      <c r="AC3976">
        <v>33.9422</v>
      </c>
      <c r="AD3976">
        <v>-1.1207286369030001</v>
      </c>
      <c r="AE3976">
        <v>-1.228</v>
      </c>
      <c r="AF3976">
        <v>1.03101349258172</v>
      </c>
      <c r="AG3976">
        <v>-1.1207286369030001</v>
      </c>
      <c r="AH3976">
        <v>33.911796877561599</v>
      </c>
      <c r="AI3976">
        <v>91.891967996562897</v>
      </c>
      <c r="AJ3976">
        <v>88.258584434538903</v>
      </c>
      <c r="AK3976">
        <v>33.945971616149997</v>
      </c>
      <c r="AL3976">
        <v>94.584150096034804</v>
      </c>
      <c r="AM3976">
        <v>89.470695839550999</v>
      </c>
      <c r="AN3976">
        <v>1.0000000084836</v>
      </c>
    </row>
    <row r="3977" spans="1:40" x14ac:dyDescent="0.25">
      <c r="A3977" t="str">
        <f>"20190303154848353"</f>
        <v>20190303154848353</v>
      </c>
      <c r="B3977" t="str">
        <f>"1551599328344644"</f>
        <v>1551599328344644</v>
      </c>
      <c r="C3977" t="s">
        <v>40</v>
      </c>
      <c r="D3977">
        <v>5.2938289999999997</v>
      </c>
      <c r="E3977">
        <v>0.50770700000000002</v>
      </c>
      <c r="F3977" t="s">
        <v>52</v>
      </c>
      <c r="G3977">
        <v>-210.34880000000001</v>
      </c>
      <c r="H3977" s="1">
        <v>-1.312481E-6</v>
      </c>
      <c r="I3977">
        <v>213.73060000000001</v>
      </c>
      <c r="J3977">
        <v>-242.79390000000001</v>
      </c>
      <c r="K3977">
        <v>1.1207039999999999</v>
      </c>
      <c r="L3977">
        <v>214.93299999999999</v>
      </c>
      <c r="M3977">
        <v>0.9998861</v>
      </c>
      <c r="N3977">
        <v>-1.395746E-2</v>
      </c>
      <c r="O3977">
        <v>-5.7507139999999997E-3</v>
      </c>
      <c r="P3977">
        <v>0.99535910000000005</v>
      </c>
      <c r="Q3977">
        <v>-9.4820310000000005E-2</v>
      </c>
      <c r="R3977">
        <v>-1.6412570000000001E-2</v>
      </c>
      <c r="S3977">
        <v>3.0022890000000002</v>
      </c>
      <c r="T3977">
        <v>-0.1026986</v>
      </c>
      <c r="U3977">
        <v>-0.11035159999999999</v>
      </c>
      <c r="V3977">
        <v>1.0697089999999999E-2</v>
      </c>
      <c r="W3977">
        <v>-8.0916080000000001E-2</v>
      </c>
      <c r="X3977">
        <v>0.99666350000000004</v>
      </c>
      <c r="Y3977">
        <v>3.0958719999999999E-2</v>
      </c>
      <c r="Z3977">
        <v>-6.290375E-4</v>
      </c>
      <c r="AA3977">
        <v>0.99952050000000003</v>
      </c>
      <c r="AB3977">
        <v>33</v>
      </c>
      <c r="AC3977">
        <v>32.445099999999996</v>
      </c>
      <c r="AD3977">
        <v>-1.120705312481</v>
      </c>
      <c r="AE3977">
        <v>-1.2023999999999799</v>
      </c>
      <c r="AF3977">
        <v>1.0145706094251401</v>
      </c>
      <c r="AG3977">
        <v>-1.120705312481</v>
      </c>
      <c r="AH3977">
        <v>32.412859296542301</v>
      </c>
      <c r="AI3977">
        <v>91.979298333966796</v>
      </c>
      <c r="AJ3977">
        <v>88.207142435915898</v>
      </c>
      <c r="AK3977">
        <v>32.448093652730698</v>
      </c>
      <c r="AL3977">
        <v>94.641224038742095</v>
      </c>
      <c r="AM3977">
        <v>89.385073721068693</v>
      </c>
      <c r="AN3977">
        <v>0.99999998598464201</v>
      </c>
    </row>
    <row r="3978" spans="1:40" x14ac:dyDescent="0.25">
      <c r="A3978" t="str">
        <f>"20190303154848376"</f>
        <v>20190303154848376</v>
      </c>
      <c r="B3978" t="str">
        <f>"1551599328365139"</f>
        <v>1551599328365139</v>
      </c>
      <c r="C3978" t="s">
        <v>40</v>
      </c>
      <c r="D3978">
        <v>5.2815810000000001</v>
      </c>
      <c r="E3978">
        <v>0.50775579999999998</v>
      </c>
      <c r="F3978" t="s">
        <v>52</v>
      </c>
      <c r="G3978">
        <v>-211.35659999999999</v>
      </c>
      <c r="H3978" s="1">
        <v>-7.7598040000000001E-7</v>
      </c>
      <c r="I3978">
        <v>213.72640000000001</v>
      </c>
      <c r="J3978">
        <v>-242.45740000000001</v>
      </c>
      <c r="K3978">
        <v>1.120679</v>
      </c>
      <c r="L3978">
        <v>214.93109999999999</v>
      </c>
      <c r="M3978">
        <v>0.99988509999999997</v>
      </c>
      <c r="N3978">
        <v>-1.4029430000000001E-2</v>
      </c>
      <c r="O3978">
        <v>-5.7485979999999997E-3</v>
      </c>
      <c r="P3978">
        <v>0.99527779999999999</v>
      </c>
      <c r="Q3978">
        <v>-9.5331079999999999E-2</v>
      </c>
      <c r="R3978">
        <v>-1.8282610000000001E-2</v>
      </c>
      <c r="S3978">
        <v>3.0018769999999999</v>
      </c>
      <c r="T3978">
        <v>-0.1070135</v>
      </c>
      <c r="U3978">
        <v>-0.1152191</v>
      </c>
      <c r="V3978">
        <v>1.25655E-2</v>
      </c>
      <c r="W3978">
        <v>-8.1356499999999998E-2</v>
      </c>
      <c r="X3978">
        <v>0.99660590000000004</v>
      </c>
      <c r="Y3978">
        <v>3.2581079999999998E-2</v>
      </c>
      <c r="Z3978">
        <v>-6.8491149999999905E-4</v>
      </c>
      <c r="AA3978">
        <v>0.99946889999999999</v>
      </c>
      <c r="AB3978">
        <v>33</v>
      </c>
      <c r="AC3978">
        <v>31.1008</v>
      </c>
      <c r="AD3978">
        <v>-1.1206797759803999</v>
      </c>
      <c r="AE3978">
        <v>-1.2046999999999699</v>
      </c>
      <c r="AF3978">
        <v>1.0245481885669201</v>
      </c>
      <c r="AG3978">
        <v>-1.1206797759803999</v>
      </c>
      <c r="AH3978">
        <v>31.0669340917241</v>
      </c>
      <c r="AI3978">
        <v>92.064817458273197</v>
      </c>
      <c r="AJ3978">
        <v>88.111142240828499</v>
      </c>
      <c r="AK3978">
        <v>31.104019290286502</v>
      </c>
      <c r="AL3978">
        <v>94.666541438290295</v>
      </c>
      <c r="AM3978">
        <v>89.277636254033993</v>
      </c>
      <c r="AN3978">
        <v>1.00000004589865</v>
      </c>
    </row>
    <row r="3979" spans="1:40" x14ac:dyDescent="0.25">
      <c r="A3979" t="str">
        <f>"20190303154848399"</f>
        <v>20190303154848399</v>
      </c>
      <c r="B3979" t="str">
        <f>"1551599328395395"</f>
        <v>1551599328395395</v>
      </c>
      <c r="C3979" t="s">
        <v>40</v>
      </c>
      <c r="D3979">
        <v>5.2952050000000002</v>
      </c>
      <c r="E3979">
        <v>0.50781880000000001</v>
      </c>
      <c r="F3979" t="s">
        <v>52</v>
      </c>
      <c r="G3979">
        <v>-211.80799999999999</v>
      </c>
      <c r="H3979" s="1">
        <v>-5.342934E-7</v>
      </c>
      <c r="I3979">
        <v>213.69229999999999</v>
      </c>
      <c r="J3979">
        <v>-242.13130000000001</v>
      </c>
      <c r="K3979">
        <v>1.120668</v>
      </c>
      <c r="L3979">
        <v>214.92920000000001</v>
      </c>
      <c r="M3979">
        <v>0.9998842</v>
      </c>
      <c r="N3979">
        <v>-1.408939E-2</v>
      </c>
      <c r="O3979">
        <v>-5.7554520000000003E-3</v>
      </c>
      <c r="P3979">
        <v>0.99521559999999998</v>
      </c>
      <c r="Q3979">
        <v>-9.5553929999999995E-2</v>
      </c>
      <c r="R3979">
        <v>-2.0382109999999998E-2</v>
      </c>
      <c r="S3979">
        <v>3.0015109999999998</v>
      </c>
      <c r="T3979">
        <v>-0.1097487</v>
      </c>
      <c r="U3979">
        <v>-0.1213226</v>
      </c>
      <c r="V3979">
        <v>1.465559E-2</v>
      </c>
      <c r="W3979">
        <v>-8.1520620000000002E-2</v>
      </c>
      <c r="X3979">
        <v>0.99656389999999995</v>
      </c>
      <c r="Y3979">
        <v>3.4604999999999997E-2</v>
      </c>
      <c r="Z3979">
        <v>-7.4695950000000001E-4</v>
      </c>
      <c r="AA3979">
        <v>0.99940079999999998</v>
      </c>
      <c r="AB3979">
        <v>33</v>
      </c>
      <c r="AC3979">
        <v>30.3233</v>
      </c>
      <c r="AD3979">
        <v>-1.1206685342934</v>
      </c>
      <c r="AE3979">
        <v>-1.2369000000000201</v>
      </c>
      <c r="AF3979">
        <v>1.0608912849354699</v>
      </c>
      <c r="AG3979">
        <v>-1.1206685342934</v>
      </c>
      <c r="AH3979">
        <v>30.288616450198901</v>
      </c>
      <c r="AI3979">
        <v>92.117660407137095</v>
      </c>
      <c r="AJ3979">
        <v>87.993973935331795</v>
      </c>
      <c r="AK3979">
        <v>30.327902577485801</v>
      </c>
      <c r="AL3979">
        <v>94.675976364264201</v>
      </c>
      <c r="AM3979">
        <v>89.157462028373999</v>
      </c>
      <c r="AN3979">
        <v>1.00000000229332</v>
      </c>
    </row>
    <row r="3980" spans="1:40" x14ac:dyDescent="0.25">
      <c r="A3980" t="str">
        <f>"20190303154848421"</f>
        <v>20190303154848421</v>
      </c>
      <c r="B3980" t="str">
        <f>"1551599328414915"</f>
        <v>1551599328414915</v>
      </c>
      <c r="C3980" t="s">
        <v>40</v>
      </c>
      <c r="D3980">
        <v>5.3273299999999999</v>
      </c>
      <c r="E3980">
        <v>0.50786920000000002</v>
      </c>
      <c r="F3980" t="s">
        <v>52</v>
      </c>
      <c r="G3980">
        <v>-212.02709999999999</v>
      </c>
      <c r="H3980" s="1">
        <v>-4.1568809999999998E-7</v>
      </c>
      <c r="I3980">
        <v>213.6463</v>
      </c>
      <c r="J3980">
        <v>-241.80119999999999</v>
      </c>
      <c r="K3980">
        <v>1.120657</v>
      </c>
      <c r="L3980">
        <v>214.92740000000001</v>
      </c>
      <c r="M3980">
        <v>0.99988350000000004</v>
      </c>
      <c r="N3980">
        <v>-1.4141219999999999E-2</v>
      </c>
      <c r="O3980">
        <v>-5.7656249999999999E-3</v>
      </c>
      <c r="P3980">
        <v>0.99517120000000003</v>
      </c>
      <c r="Q3980">
        <v>-9.5919470000000007E-2</v>
      </c>
      <c r="R3980">
        <v>-2.083233E-2</v>
      </c>
      <c r="S3980">
        <v>3.0010829999999999</v>
      </c>
      <c r="T3980">
        <v>-0.11171929999999999</v>
      </c>
      <c r="U3980">
        <v>-0.12789919999999999</v>
      </c>
      <c r="V3980">
        <v>1.5094170000000001E-2</v>
      </c>
      <c r="W3980">
        <v>-8.1835379999999999E-2</v>
      </c>
      <c r="X3980">
        <v>0.99653150000000001</v>
      </c>
      <c r="Y3980">
        <v>3.6783749999999997E-2</v>
      </c>
      <c r="Z3980">
        <v>-8.114846E-4</v>
      </c>
      <c r="AA3980">
        <v>0.99932290000000001</v>
      </c>
      <c r="AB3980">
        <v>33</v>
      </c>
      <c r="AC3980">
        <v>29.774100000000001</v>
      </c>
      <c r="AD3980">
        <v>-1.1206574156881</v>
      </c>
      <c r="AE3980">
        <v>-1.2810999999999999</v>
      </c>
      <c r="AF3980">
        <v>1.10782873293314</v>
      </c>
      <c r="AG3980">
        <v>-1.1206574156881</v>
      </c>
      <c r="AH3980">
        <v>29.738939708933501</v>
      </c>
      <c r="AI3980">
        <v>92.156570884919603</v>
      </c>
      <c r="AJ3980">
        <v>87.866616125659604</v>
      </c>
      <c r="AK3980">
        <v>29.780659706534902</v>
      </c>
      <c r="AL3980">
        <v>94.694071503421199</v>
      </c>
      <c r="AM3980">
        <v>89.132224011012696</v>
      </c>
      <c r="AN3980">
        <v>0.99999994693998995</v>
      </c>
    </row>
    <row r="3981" spans="1:40" x14ac:dyDescent="0.25">
      <c r="A3981" t="str">
        <f>"20190303154848444"</f>
        <v>20190303154848444</v>
      </c>
      <c r="B3981" t="str">
        <f>"1551599328434435"</f>
        <v>1551599328434435</v>
      </c>
      <c r="C3981" t="s">
        <v>40</v>
      </c>
      <c r="D3981">
        <v>5.2515599999999996</v>
      </c>
      <c r="E3981">
        <v>0.50786920000000002</v>
      </c>
      <c r="F3981" t="s">
        <v>52</v>
      </c>
      <c r="G3981">
        <v>-212.19239999999999</v>
      </c>
      <c r="H3981" s="1">
        <v>-3.2789000000000001E-7</v>
      </c>
      <c r="I3981">
        <v>213.65039999999999</v>
      </c>
      <c r="J3981">
        <v>-241.47720000000001</v>
      </c>
      <c r="K3981">
        <v>1.1206560000000001</v>
      </c>
      <c r="L3981">
        <v>214.9255</v>
      </c>
      <c r="M3981">
        <v>0.99988279999999996</v>
      </c>
      <c r="N3981">
        <v>-1.418435E-2</v>
      </c>
      <c r="O3981">
        <v>-5.7741329999999999E-3</v>
      </c>
      <c r="P3981">
        <v>0.99516610000000005</v>
      </c>
      <c r="Q3981">
        <v>-9.6134380000000005E-2</v>
      </c>
      <c r="R3981">
        <v>-2.0065840000000001E-2</v>
      </c>
      <c r="S3981">
        <v>3.0009000000000001</v>
      </c>
      <c r="T3981">
        <v>-0.1135803</v>
      </c>
      <c r="U3981">
        <v>-0.12942500000000001</v>
      </c>
      <c r="V3981">
        <v>1.4317939999999999E-2</v>
      </c>
      <c r="W3981">
        <v>-8.2007650000000001E-2</v>
      </c>
      <c r="X3981">
        <v>0.99652890000000005</v>
      </c>
      <c r="Y3981">
        <v>3.7283570000000002E-2</v>
      </c>
      <c r="Z3981">
        <v>-8.3317299999999999E-4</v>
      </c>
      <c r="AA3981">
        <v>0.99930439999999998</v>
      </c>
      <c r="AB3981">
        <v>33</v>
      </c>
      <c r="AC3981">
        <v>29.284800000000001</v>
      </c>
      <c r="AD3981">
        <v>-1.1206563278899999</v>
      </c>
      <c r="AE3981">
        <v>-1.2750999999999999</v>
      </c>
      <c r="AF3981">
        <v>1.1043532516349901</v>
      </c>
      <c r="AG3981">
        <v>-1.1206563278899999</v>
      </c>
      <c r="AH3981">
        <v>29.2489239098044</v>
      </c>
      <c r="AI3981">
        <v>92.1926219969709</v>
      </c>
      <c r="AJ3981">
        <v>87.837707184635505</v>
      </c>
      <c r="AK3981">
        <v>29.291210568891898</v>
      </c>
      <c r="AL3981">
        <v>94.703974634707393</v>
      </c>
      <c r="AM3981">
        <v>89.176841644622698</v>
      </c>
      <c r="AN3981">
        <v>1.0000000532997799</v>
      </c>
    </row>
    <row r="3982" spans="1:40" x14ac:dyDescent="0.25">
      <c r="A3982" t="str">
        <f>"20190303154848465"</f>
        <v>20190303154848465</v>
      </c>
      <c r="B3982" t="str">
        <f>"1551599328454931"</f>
        <v>1551599328454931</v>
      </c>
      <c r="C3982" t="s">
        <v>40</v>
      </c>
      <c r="D3982">
        <v>5.3076939999999997</v>
      </c>
      <c r="E3982">
        <v>0.50787720000000003</v>
      </c>
      <c r="F3982" t="s">
        <v>52</v>
      </c>
      <c r="G3982">
        <v>-212.02379999999999</v>
      </c>
      <c r="H3982" s="1">
        <v>-4.1889200000000002E-7</v>
      </c>
      <c r="I3982">
        <v>213.6797</v>
      </c>
      <c r="J3982">
        <v>-241.15479999999999</v>
      </c>
      <c r="K3982">
        <v>1.1206579999999999</v>
      </c>
      <c r="L3982">
        <v>214.9237</v>
      </c>
      <c r="M3982">
        <v>0.99988220000000005</v>
      </c>
      <c r="N3982">
        <v>-1.42211E-2</v>
      </c>
      <c r="O3982">
        <v>-5.7797090000000001E-3</v>
      </c>
      <c r="P3982">
        <v>0.99518519999999999</v>
      </c>
      <c r="Q3982">
        <v>-9.6247219999999994E-2</v>
      </c>
      <c r="R3982">
        <v>-1.851564E-2</v>
      </c>
      <c r="S3982">
        <v>3.0009920000000001</v>
      </c>
      <c r="T3982">
        <v>-0.114183199999999</v>
      </c>
      <c r="U3982">
        <v>-0.12693789999999999</v>
      </c>
      <c r="V3982">
        <v>1.276152E-2</v>
      </c>
      <c r="W3982">
        <v>-8.2083809999999993E-2</v>
      </c>
      <c r="X3982">
        <v>0.99654370000000003</v>
      </c>
      <c r="Y3982">
        <v>3.6450459999999997E-2</v>
      </c>
      <c r="Z3982">
        <v>-8.1474420000000002E-4</v>
      </c>
      <c r="AA3982">
        <v>0.99933510000000003</v>
      </c>
      <c r="AB3982">
        <v>33</v>
      </c>
      <c r="AC3982">
        <v>29.131</v>
      </c>
      <c r="AD3982">
        <v>-1.1206584188919999</v>
      </c>
      <c r="AE3982">
        <v>-1.24399999999999</v>
      </c>
      <c r="AF3982">
        <v>1.07400694978828</v>
      </c>
      <c r="AG3982">
        <v>-1.1206584188919999</v>
      </c>
      <c r="AH3982">
        <v>29.094724782156302</v>
      </c>
      <c r="AI3982">
        <v>92.204304554942695</v>
      </c>
      <c r="AJ3982">
        <v>87.885935065978501</v>
      </c>
      <c r="AK3982">
        <v>29.1361009122609</v>
      </c>
      <c r="AL3982">
        <v>94.708353401984397</v>
      </c>
      <c r="AM3982">
        <v>89.266322920125305</v>
      </c>
      <c r="AN3982">
        <v>0.99999997713325794</v>
      </c>
    </row>
    <row r="3983" spans="1:40" x14ac:dyDescent="0.25">
      <c r="A3983" t="str">
        <f>"20190303154848488"</f>
        <v>20190303154848488</v>
      </c>
      <c r="B3983" t="str">
        <f>"1551599328485187"</f>
        <v>1551599328485187</v>
      </c>
      <c r="C3983" t="s">
        <v>40</v>
      </c>
      <c r="D3983">
        <v>5.3488470000000001</v>
      </c>
      <c r="E3983">
        <v>0.50760850000000002</v>
      </c>
      <c r="F3983" t="s">
        <v>52</v>
      </c>
      <c r="G3983">
        <v>-211.99760000000001</v>
      </c>
      <c r="H3983" s="1">
        <v>-4.351571E-7</v>
      </c>
      <c r="I3983">
        <v>213.73310000000001</v>
      </c>
      <c r="J3983">
        <v>-240.8306</v>
      </c>
      <c r="K3983">
        <v>1.12066</v>
      </c>
      <c r="L3983">
        <v>214.92179999999999</v>
      </c>
      <c r="M3983">
        <v>0.99988169999999998</v>
      </c>
      <c r="N3983">
        <v>-1.4252920000000001E-2</v>
      </c>
      <c r="O3983">
        <v>-5.7827269999999997E-3</v>
      </c>
      <c r="P3983">
        <v>0.99516340000000003</v>
      </c>
      <c r="Q3983">
        <v>-9.6721280000000007E-2</v>
      </c>
      <c r="R3983">
        <v>-1.716548E-2</v>
      </c>
      <c r="S3983">
        <v>3.0010829999999999</v>
      </c>
      <c r="T3983">
        <v>-0.115346699999999</v>
      </c>
      <c r="U3983">
        <v>-0.12254329999999999</v>
      </c>
      <c r="V3983">
        <v>1.140801E-2</v>
      </c>
      <c r="W3983">
        <v>-8.2526589999999997E-2</v>
      </c>
      <c r="X3983">
        <v>0.99652359999999895</v>
      </c>
      <c r="Y3983">
        <v>3.4986169999999997E-2</v>
      </c>
      <c r="Z3983">
        <v>-7.8168619999999895E-4</v>
      </c>
      <c r="AA3983">
        <v>0.99938749999999998</v>
      </c>
      <c r="AB3983">
        <v>33</v>
      </c>
      <c r="AC3983">
        <v>28.832999999999998</v>
      </c>
      <c r="AD3983">
        <v>-1.1206604351570999</v>
      </c>
      <c r="AE3983">
        <v>-1.1886999999999801</v>
      </c>
      <c r="AF3983">
        <v>1.0203909607420201</v>
      </c>
      <c r="AG3983">
        <v>-1.1206604351570999</v>
      </c>
      <c r="AH3983">
        <v>28.795965167680698</v>
      </c>
      <c r="AI3983">
        <v>92.227274299592096</v>
      </c>
      <c r="AJ3983">
        <v>87.970561383831694</v>
      </c>
      <c r="AK3983">
        <v>28.8358229891566</v>
      </c>
      <c r="AL3983">
        <v>94.733808929860103</v>
      </c>
      <c r="AM3983">
        <v>89.344117615863595</v>
      </c>
      <c r="AN3983">
        <v>1.0000000330530701</v>
      </c>
    </row>
    <row r="3984" spans="1:40" x14ac:dyDescent="0.25">
      <c r="A3984" t="str">
        <f>"20190303154848510"</f>
        <v>20190303154848510</v>
      </c>
      <c r="B3984" t="str">
        <f>"1551599328504707"</f>
        <v>1551599328504707</v>
      </c>
      <c r="C3984" t="s">
        <v>40</v>
      </c>
      <c r="D3984">
        <v>5.3266349999999996</v>
      </c>
      <c r="E3984">
        <v>0.48175669999999998</v>
      </c>
      <c r="F3984" t="s">
        <v>52</v>
      </c>
      <c r="G3984">
        <v>-212.37540000000001</v>
      </c>
      <c r="H3984" s="1">
        <v>-2.378413E-7</v>
      </c>
      <c r="I3984">
        <v>213.81809999999999</v>
      </c>
      <c r="J3984">
        <v>-240.50370000000001</v>
      </c>
      <c r="K3984">
        <v>1.1206609999999999</v>
      </c>
      <c r="L3984">
        <v>214.91990000000001</v>
      </c>
      <c r="M3984">
        <v>0.99988140000000003</v>
      </c>
      <c r="N3984">
        <v>-1.427986E-2</v>
      </c>
      <c r="O3984">
        <v>-5.7839060000000001E-3</v>
      </c>
      <c r="P3984">
        <v>0.99514729999999996</v>
      </c>
      <c r="Q3984">
        <v>-9.705308E-2</v>
      </c>
      <c r="R3984">
        <v>-1.6209680000000001E-2</v>
      </c>
      <c r="S3984">
        <v>3.001099</v>
      </c>
      <c r="T3984">
        <v>-0.1181931</v>
      </c>
      <c r="U3984">
        <v>-0.11640929999999999</v>
      </c>
      <c r="V3984">
        <v>1.0450539999999999E-2</v>
      </c>
      <c r="W3984">
        <v>-8.2831840000000004E-2</v>
      </c>
      <c r="X3984">
        <v>0.99650870000000003</v>
      </c>
      <c r="Y3984">
        <v>3.2946009999999998E-2</v>
      </c>
      <c r="Z3984">
        <v>-7.3866369999999999E-4</v>
      </c>
      <c r="AA3984">
        <v>0.99945689999999998</v>
      </c>
      <c r="AB3984">
        <v>33</v>
      </c>
      <c r="AC3984">
        <v>28.128299999999999</v>
      </c>
      <c r="AD3984">
        <v>-1.1206612378412999</v>
      </c>
      <c r="AE3984">
        <v>-1.1018000000000201</v>
      </c>
      <c r="AF3984">
        <v>0.93758758596982605</v>
      </c>
      <c r="AG3984">
        <v>-1.1206612378412999</v>
      </c>
      <c r="AH3984">
        <v>28.089684033349901</v>
      </c>
      <c r="AI3984">
        <v>92.283380734802904</v>
      </c>
      <c r="AJ3984">
        <v>88.088270596170901</v>
      </c>
      <c r="AK3984">
        <v>28.127660784089301</v>
      </c>
      <c r="AL3984">
        <v>94.751358908026205</v>
      </c>
      <c r="AM3984">
        <v>89.399152374658897</v>
      </c>
      <c r="AN3984">
        <v>0.99999995833988198</v>
      </c>
    </row>
    <row r="3985" spans="1:40" x14ac:dyDescent="0.25">
      <c r="A3985" t="str">
        <f>"20190303154848532"</f>
        <v>20190303154848532</v>
      </c>
      <c r="B3985" t="str">
        <f>"1551599328525203"</f>
        <v>1551599328525203</v>
      </c>
      <c r="C3985" t="s">
        <v>40</v>
      </c>
      <c r="D3985">
        <v>5.3362189999999998</v>
      </c>
      <c r="E3985">
        <v>0.48079539999999998</v>
      </c>
      <c r="F3985" t="s">
        <v>52</v>
      </c>
      <c r="G3985">
        <v>-226.18819999999999</v>
      </c>
      <c r="H3985" s="1">
        <v>1.723014E-6</v>
      </c>
      <c r="I3985">
        <v>215.37639999999999</v>
      </c>
      <c r="J3985">
        <v>-240.18729999999999</v>
      </c>
      <c r="K3985">
        <v>1.1206609999999999</v>
      </c>
      <c r="L3985">
        <v>214.91810000000001</v>
      </c>
      <c r="M3985">
        <v>0.99988109999999997</v>
      </c>
      <c r="N3985">
        <v>-1.430172E-2</v>
      </c>
      <c r="O3985">
        <v>-5.7840819999999899E-3</v>
      </c>
      <c r="P3985">
        <v>0.99515710000000002</v>
      </c>
      <c r="Q3985">
        <v>-9.7026769999999998E-2</v>
      </c>
      <c r="R3985">
        <v>-1.5758149999999999E-2</v>
      </c>
      <c r="S3985">
        <v>2.9933320000000001</v>
      </c>
      <c r="T3985">
        <v>-0.2343256</v>
      </c>
      <c r="U3985">
        <v>9.5458979999999999E-2</v>
      </c>
      <c r="V3985">
        <v>9.9984749999999997E-3</v>
      </c>
      <c r="W3985">
        <v>-8.2783670000000004E-2</v>
      </c>
      <c r="X3985">
        <v>0.9965174</v>
      </c>
      <c r="Y3985">
        <v>-3.7508060000000003E-2</v>
      </c>
      <c r="Z3985">
        <v>2.1036760000000001E-3</v>
      </c>
      <c r="AA3985">
        <v>0.99929409999999996</v>
      </c>
      <c r="AB3985">
        <v>33</v>
      </c>
      <c r="AC3985">
        <v>13.9991</v>
      </c>
      <c r="AD3985">
        <v>-1.120659276986</v>
      </c>
      <c r="AE3985">
        <v>0.45829999999998</v>
      </c>
      <c r="AF3985">
        <v>-0.53584235339409803</v>
      </c>
      <c r="AG3985">
        <v>-1.120659276986</v>
      </c>
      <c r="AH3985">
        <v>13.907187800225</v>
      </c>
      <c r="AI3985">
        <v>94.603612794544503</v>
      </c>
      <c r="AJ3985">
        <v>92.206508363281799</v>
      </c>
      <c r="AK3985">
        <v>13.9625526589343</v>
      </c>
      <c r="AL3985">
        <v>94.748589179399303</v>
      </c>
      <c r="AM3985">
        <v>89.425146819605203</v>
      </c>
      <c r="AN3985">
        <v>1.0000000170118699</v>
      </c>
    </row>
    <row r="3986" spans="1:40" x14ac:dyDescent="0.25">
      <c r="A3986" t="str">
        <f>"20190303154848551"</f>
        <v>20190303154848551</v>
      </c>
      <c r="B3986" t="str">
        <f>"1551599328544724"</f>
        <v>1551599328544724</v>
      </c>
      <c r="C3986" t="s">
        <v>40</v>
      </c>
      <c r="D3986">
        <v>5.3614259999999998</v>
      </c>
      <c r="E3986">
        <v>0.48030699999999998</v>
      </c>
      <c r="F3986" t="s">
        <v>52</v>
      </c>
      <c r="G3986">
        <v>-226.49879999999999</v>
      </c>
      <c r="H3986" s="1">
        <v>1.8874280000000001E-6</v>
      </c>
      <c r="I3986">
        <v>215.39709999999999</v>
      </c>
      <c r="J3986">
        <v>-239.91200000000001</v>
      </c>
      <c r="K3986">
        <v>1.120663</v>
      </c>
      <c r="L3986">
        <v>214.91650000000001</v>
      </c>
      <c r="M3986">
        <v>0.99988089999999996</v>
      </c>
      <c r="N3986">
        <v>-1.431789E-2</v>
      </c>
      <c r="O3986">
        <v>-5.7838500000000001E-3</v>
      </c>
      <c r="P3986">
        <v>0.99517480000000003</v>
      </c>
      <c r="Q3986">
        <v>-9.6860349999999998E-2</v>
      </c>
      <c r="R3986">
        <v>-1.5664299999999999E-2</v>
      </c>
      <c r="S3986">
        <v>2.9923709999999999</v>
      </c>
      <c r="T3986">
        <v>-0.24498239999999999</v>
      </c>
      <c r="U3986">
        <v>0.1047211</v>
      </c>
      <c r="V3986">
        <v>9.904576E-3</v>
      </c>
      <c r="W3986">
        <v>-8.2600880000000002E-2</v>
      </c>
      <c r="X3986">
        <v>0.99653349999999996</v>
      </c>
      <c r="Y3986">
        <v>-4.058233E-2</v>
      </c>
      <c r="Z3986">
        <v>2.3390559999999999E-3</v>
      </c>
      <c r="AA3986">
        <v>0.99917350000000005</v>
      </c>
      <c r="AB3986">
        <v>33</v>
      </c>
      <c r="AC3986">
        <v>13.4132</v>
      </c>
      <c r="AD3986">
        <v>-1.1206611125720001</v>
      </c>
      <c r="AE3986">
        <v>0.48059999999998099</v>
      </c>
      <c r="AF3986">
        <v>-0.55431542584204996</v>
      </c>
      <c r="AG3986">
        <v>-1.1206611125720001</v>
      </c>
      <c r="AH3986">
        <v>13.3173535832046</v>
      </c>
      <c r="AI3986">
        <v>94.805990291330403</v>
      </c>
      <c r="AJ3986">
        <v>92.383477445293806</v>
      </c>
      <c r="AK3986">
        <v>13.3759131793179</v>
      </c>
      <c r="AL3986">
        <v>94.738080118823007</v>
      </c>
      <c r="AM3986">
        <v>89.430554299086396</v>
      </c>
      <c r="AN3986">
        <v>1.0000000113123799</v>
      </c>
    </row>
    <row r="3987" spans="1:40" x14ac:dyDescent="0.25">
      <c r="A3987" t="str">
        <f>"20190303154848567"</f>
        <v>20190303154848567</v>
      </c>
      <c r="B3987" t="str">
        <f>"1551599328554484"</f>
        <v>1551599328554484</v>
      </c>
      <c r="C3987" t="s">
        <v>40</v>
      </c>
      <c r="D3987">
        <v>5.3572899999999999</v>
      </c>
      <c r="E3987">
        <v>0.48011100000000001</v>
      </c>
      <c r="F3987" t="s">
        <v>52</v>
      </c>
      <c r="G3987">
        <v>-226.47550000000001</v>
      </c>
      <c r="H3987" s="1">
        <v>1.874646E-6</v>
      </c>
      <c r="I3987">
        <v>215.4058</v>
      </c>
      <c r="J3987">
        <v>-239.68719999999999</v>
      </c>
      <c r="K3987">
        <v>1.120665</v>
      </c>
      <c r="L3987">
        <v>214.9152</v>
      </c>
      <c r="M3987">
        <v>0.99988069999999896</v>
      </c>
      <c r="N3987">
        <v>-1.432947E-2</v>
      </c>
      <c r="O3987">
        <v>-5.7838200000000003E-3</v>
      </c>
      <c r="P3987">
        <v>0.99517690000000003</v>
      </c>
      <c r="Q3987">
        <v>-9.6724459999999998E-2</v>
      </c>
      <c r="R3987">
        <v>-1.63564E-2</v>
      </c>
      <c r="S3987">
        <v>2.9920040000000001</v>
      </c>
      <c r="T3987">
        <v>-0.2495463</v>
      </c>
      <c r="U3987">
        <v>0.108963</v>
      </c>
      <c r="V3987">
        <v>1.059687E-2</v>
      </c>
      <c r="W3987">
        <v>-8.2453440000000003E-2</v>
      </c>
      <c r="X3987">
        <v>0.99653860000000005</v>
      </c>
      <c r="Y3987">
        <v>-4.198942E-2</v>
      </c>
      <c r="Z3987">
        <v>2.4476860000000001E-3</v>
      </c>
      <c r="AA3987">
        <v>0.99911499999999998</v>
      </c>
      <c r="AB3987">
        <v>32</v>
      </c>
      <c r="AC3987">
        <v>13.211699999999899</v>
      </c>
      <c r="AD3987">
        <v>-1.120663125354</v>
      </c>
      <c r="AE3987">
        <v>0.49059999999999998</v>
      </c>
      <c r="AF3987">
        <v>-0.56296872523324604</v>
      </c>
      <c r="AG3987">
        <v>-1.120663125354</v>
      </c>
      <c r="AH3987">
        <v>13.1144124472491</v>
      </c>
      <c r="AI3987">
        <v>94.879746440585706</v>
      </c>
      <c r="AJ3987">
        <v>92.458054501135507</v>
      </c>
      <c r="AK3987">
        <v>13.1742412860354</v>
      </c>
      <c r="AL3987">
        <v>94.729603461569596</v>
      </c>
      <c r="AM3987">
        <v>89.390758126315205</v>
      </c>
      <c r="AN3987">
        <v>1.0000000223557901</v>
      </c>
    </row>
    <row r="3988" spans="1:40" x14ac:dyDescent="0.25">
      <c r="A3988" t="str">
        <f>"20190303154848588"</f>
        <v>20190303154848588</v>
      </c>
      <c r="B3988" t="str">
        <f>"1551599328584740"</f>
        <v>1551599328584740</v>
      </c>
      <c r="C3988" t="s">
        <v>40</v>
      </c>
      <c r="D3988">
        <v>5.3065280000000001</v>
      </c>
      <c r="E3988">
        <v>0.4797264</v>
      </c>
      <c r="F3988" t="s">
        <v>52</v>
      </c>
      <c r="G3988">
        <v>-226.20240000000001</v>
      </c>
      <c r="H3988" s="1">
        <v>1.7294089999999999E-6</v>
      </c>
      <c r="I3988">
        <v>215.40369999999999</v>
      </c>
      <c r="J3988">
        <v>-239.37280000000001</v>
      </c>
      <c r="K3988">
        <v>1.1206689999999999</v>
      </c>
      <c r="L3988">
        <v>214.9134</v>
      </c>
      <c r="M3988">
        <v>0.99988049999999995</v>
      </c>
      <c r="N3988">
        <v>-1.434335E-2</v>
      </c>
      <c r="O3988">
        <v>-5.7834469999999997E-3</v>
      </c>
      <c r="P3988">
        <v>0.99511260000000001</v>
      </c>
      <c r="Q3988">
        <v>-9.718715E-2</v>
      </c>
      <c r="R3988">
        <v>-1.7489950000000001E-2</v>
      </c>
      <c r="S3988">
        <v>2.9921570000000002</v>
      </c>
      <c r="T3988">
        <v>-0.24866569999999999</v>
      </c>
      <c r="U3988">
        <v>0.10839840000000001</v>
      </c>
      <c r="V3988">
        <v>1.1730839999999999E-2</v>
      </c>
      <c r="W3988">
        <v>-8.2903089999999999E-2</v>
      </c>
      <c r="X3988">
        <v>0.99648859999999995</v>
      </c>
      <c r="Y3988">
        <v>-4.1800900000000002E-2</v>
      </c>
      <c r="Z3988">
        <v>2.4307489999999998E-3</v>
      </c>
      <c r="AA3988">
        <v>0.99912299999999998</v>
      </c>
      <c r="AB3988">
        <v>32</v>
      </c>
      <c r="AC3988">
        <v>13.170400000000001</v>
      </c>
      <c r="AD3988">
        <v>-1.1206672705909999</v>
      </c>
      <c r="AE3988">
        <v>0.49029999999999002</v>
      </c>
      <c r="AF3988">
        <v>-0.56240361292343299</v>
      </c>
      <c r="AG3988">
        <v>-1.1206672705909999</v>
      </c>
      <c r="AH3988">
        <v>13.0728238437475</v>
      </c>
      <c r="AI3988">
        <v>94.895193587920502</v>
      </c>
      <c r="AJ3988">
        <v>92.463392475143607</v>
      </c>
      <c r="AK3988">
        <v>13.1328182887321</v>
      </c>
      <c r="AL3988">
        <v>94.755454968625102</v>
      </c>
      <c r="AM3988">
        <v>89.325535107997894</v>
      </c>
      <c r="AN3988">
        <v>1.0000000324342999</v>
      </c>
    </row>
    <row r="3989" spans="1:40" x14ac:dyDescent="0.25">
      <c r="A3989" t="str">
        <f>"20190303154848608"</f>
        <v>20190303154848608</v>
      </c>
      <c r="B3989" t="str">
        <f>"1551599328605235"</f>
        <v>1551599328605235</v>
      </c>
      <c r="C3989" t="s">
        <v>40</v>
      </c>
      <c r="D3989">
        <v>5.3039569999999996</v>
      </c>
      <c r="E3989">
        <v>0.47929559999999999</v>
      </c>
      <c r="F3989" t="s">
        <v>52</v>
      </c>
      <c r="G3989">
        <v>-225.95959999999999</v>
      </c>
      <c r="H3989" s="1">
        <v>1.600455E-6</v>
      </c>
      <c r="I3989">
        <v>215.39830000000001</v>
      </c>
      <c r="J3989">
        <v>-239.0975</v>
      </c>
      <c r="K3989">
        <v>1.120673</v>
      </c>
      <c r="L3989">
        <v>214.9118</v>
      </c>
      <c r="M3989">
        <v>0.99988030000000006</v>
      </c>
      <c r="N3989">
        <v>-1.4353640000000001E-2</v>
      </c>
      <c r="O3989">
        <v>-5.7830470000000004E-3</v>
      </c>
      <c r="P3989">
        <v>0.99508680000000005</v>
      </c>
      <c r="Q3989">
        <v>-9.737229E-2</v>
      </c>
      <c r="R3989">
        <v>-1.7916169999999999E-2</v>
      </c>
      <c r="S3989">
        <v>2.9922029999999999</v>
      </c>
      <c r="T3989">
        <v>-0.24999869999999999</v>
      </c>
      <c r="U3989">
        <v>0.1081848</v>
      </c>
      <c r="V3989">
        <v>1.2157630000000001E-2</v>
      </c>
      <c r="W3989">
        <v>-8.3078340000000001E-2</v>
      </c>
      <c r="X3989">
        <v>0.99646880000000004</v>
      </c>
      <c r="Y3989">
        <v>-4.1727170000000001E-2</v>
      </c>
      <c r="Z3989">
        <v>2.439072E-3</v>
      </c>
      <c r="AA3989">
        <v>0.99912610000000002</v>
      </c>
      <c r="AB3989">
        <v>32</v>
      </c>
      <c r="AC3989">
        <v>13.1379</v>
      </c>
      <c r="AD3989">
        <v>-1.1206713995449999</v>
      </c>
      <c r="AE3989">
        <v>0.48650000000000598</v>
      </c>
      <c r="AF3989">
        <v>-0.55841917485286996</v>
      </c>
      <c r="AG3989">
        <v>-1.1206713995449999</v>
      </c>
      <c r="AH3989">
        <v>13.0401139627185</v>
      </c>
      <c r="AI3989">
        <v>94.907472166129196</v>
      </c>
      <c r="AJ3989">
        <v>92.452089431132805</v>
      </c>
      <c r="AK3989">
        <v>13.100088111203201</v>
      </c>
      <c r="AL3989">
        <v>94.765531234708305</v>
      </c>
      <c r="AM3989">
        <v>89.300985312105993</v>
      </c>
      <c r="AN3989">
        <v>0.99999994395890401</v>
      </c>
    </row>
    <row r="3990" spans="1:40" x14ac:dyDescent="0.25">
      <c r="A3990" t="str">
        <f>"20190303154848622"</f>
        <v>20190303154848622</v>
      </c>
      <c r="B3990" t="str">
        <f>"1551599328614995"</f>
        <v>1551599328614995</v>
      </c>
      <c r="C3990" t="s">
        <v>40</v>
      </c>
      <c r="D3990">
        <v>5.2655880000000002</v>
      </c>
      <c r="E3990">
        <v>0.47918539999999998</v>
      </c>
      <c r="F3990" t="s">
        <v>52</v>
      </c>
      <c r="G3990">
        <v>-225.8262</v>
      </c>
      <c r="H3990" s="1">
        <v>1.5292919999999999E-6</v>
      </c>
      <c r="I3990">
        <v>215.40119999999999</v>
      </c>
      <c r="J3990">
        <v>-238.8836</v>
      </c>
      <c r="K3990">
        <v>1.1206750000000001</v>
      </c>
      <c r="L3990">
        <v>214.91050000000001</v>
      </c>
      <c r="M3990">
        <v>0.99988030000000006</v>
      </c>
      <c r="N3990">
        <v>-1.4360619999999999E-2</v>
      </c>
      <c r="O3990">
        <v>-5.7830989999999999E-3</v>
      </c>
      <c r="P3990">
        <v>0.99506099999999997</v>
      </c>
      <c r="Q3990">
        <v>-9.7466860000000002E-2</v>
      </c>
      <c r="R3990">
        <v>-1.8824690000000002E-2</v>
      </c>
      <c r="S3990">
        <v>2.9920960000000001</v>
      </c>
      <c r="T3990">
        <v>-0.25266060000000001</v>
      </c>
      <c r="U3990">
        <v>0.1103363</v>
      </c>
      <c r="V3990">
        <v>1.3066059999999999E-2</v>
      </c>
      <c r="W3990">
        <v>-8.3166249999999997E-2</v>
      </c>
      <c r="X3990">
        <v>0.99644999999999995</v>
      </c>
      <c r="Y3990">
        <v>-4.2439240000000003E-2</v>
      </c>
      <c r="Z3990">
        <v>2.4979519999999999E-3</v>
      </c>
      <c r="AA3990">
        <v>0.99909590000000004</v>
      </c>
      <c r="AB3990">
        <v>32</v>
      </c>
      <c r="AC3990">
        <v>13.057399999999999</v>
      </c>
      <c r="AD3990">
        <v>-1.1206734707079999</v>
      </c>
      <c r="AE3990">
        <v>0.49069999999997499</v>
      </c>
      <c r="AF3990">
        <v>-0.56207725992413604</v>
      </c>
      <c r="AG3990">
        <v>-1.1206734707079999</v>
      </c>
      <c r="AH3990">
        <v>12.9590191672063</v>
      </c>
      <c r="AI3990">
        <v>94.937923479590395</v>
      </c>
      <c r="AJ3990">
        <v>92.483558519575297</v>
      </c>
      <c r="AK3990">
        <v>13.019524478647201</v>
      </c>
      <c r="AL3990">
        <v>94.770585450951998</v>
      </c>
      <c r="AM3990">
        <v>89.248745857121705</v>
      </c>
      <c r="AN3990">
        <v>0.99999997478149205</v>
      </c>
    </row>
    <row r="3991" spans="1:40" x14ac:dyDescent="0.25">
      <c r="A3991" t="str">
        <f>"20190303154848645"</f>
        <v>20190303154848645</v>
      </c>
      <c r="B3991" t="str">
        <f>"1551599328634516"</f>
        <v>1551599328634516</v>
      </c>
      <c r="C3991" t="s">
        <v>40</v>
      </c>
      <c r="D3991">
        <v>5.2873070000000002</v>
      </c>
      <c r="E3991">
        <v>0.4791995</v>
      </c>
      <c r="F3991" t="s">
        <v>52</v>
      </c>
      <c r="G3991">
        <v>-225.56469999999999</v>
      </c>
      <c r="H3991" s="1">
        <v>1.3904719999999999E-6</v>
      </c>
      <c r="I3991">
        <v>215.3937</v>
      </c>
      <c r="J3991">
        <v>-238.55860000000001</v>
      </c>
      <c r="K3991">
        <v>1.120679</v>
      </c>
      <c r="L3991">
        <v>214.90860000000001</v>
      </c>
      <c r="M3991">
        <v>0.99988010000000005</v>
      </c>
      <c r="N3991">
        <v>-1.4369410000000001E-2</v>
      </c>
      <c r="O3991">
        <v>-5.7828080000000004E-3</v>
      </c>
      <c r="P3991">
        <v>0.9949924</v>
      </c>
      <c r="Q3991">
        <v>-9.809843E-2</v>
      </c>
      <c r="R3991">
        <v>-1.9157090000000002E-2</v>
      </c>
      <c r="S3991">
        <v>2.9922789999999999</v>
      </c>
      <c r="T3991">
        <v>-0.25177509999999997</v>
      </c>
      <c r="U3991">
        <v>0.10855099999999999</v>
      </c>
      <c r="V3991">
        <v>1.339926E-2</v>
      </c>
      <c r="W3991">
        <v>-8.3789970000000005E-2</v>
      </c>
      <c r="X3991">
        <v>0.99639330000000004</v>
      </c>
      <c r="Y3991">
        <v>-4.1845140000000003E-2</v>
      </c>
      <c r="Z3991">
        <v>2.4607779999999998E-3</v>
      </c>
      <c r="AA3991">
        <v>0.99912109999999998</v>
      </c>
      <c r="AB3991">
        <v>32</v>
      </c>
      <c r="AC3991">
        <v>12.9939</v>
      </c>
      <c r="AD3991">
        <v>-1.120677609528</v>
      </c>
      <c r="AE3991">
        <v>0.48509999999998799</v>
      </c>
      <c r="AF3991">
        <v>-0.55611003135679904</v>
      </c>
      <c r="AG3991">
        <v>-1.120677609528</v>
      </c>
      <c r="AH3991">
        <v>12.895091191957601</v>
      </c>
      <c r="AI3991">
        <v>94.962352554193401</v>
      </c>
      <c r="AJ3991">
        <v>92.4693913524914</v>
      </c>
      <c r="AK3991">
        <v>12.955637904803201</v>
      </c>
      <c r="AL3991">
        <v>94.806447248579303</v>
      </c>
      <c r="AM3991">
        <v>89.229546432312404</v>
      </c>
      <c r="AN3991">
        <v>0.99999995376301798</v>
      </c>
    </row>
    <row r="3992" spans="1:40" x14ac:dyDescent="0.25">
      <c r="A3992" t="str">
        <f>"20190303154848668"</f>
        <v>20190303154848668</v>
      </c>
      <c r="B3992" t="str">
        <f>"1551599328664771"</f>
        <v>1551599328664771</v>
      </c>
      <c r="C3992" t="s">
        <v>40</v>
      </c>
      <c r="D3992">
        <v>5.2596449999999999</v>
      </c>
      <c r="E3992">
        <v>0.4791436</v>
      </c>
      <c r="F3992" t="s">
        <v>52</v>
      </c>
      <c r="G3992">
        <v>-225.24270000000001</v>
      </c>
      <c r="H3992" s="1">
        <v>1.2194929999999999E-6</v>
      </c>
      <c r="I3992">
        <v>215.38570000000001</v>
      </c>
      <c r="J3992">
        <v>-238.22329999999999</v>
      </c>
      <c r="K3992">
        <v>1.1206739999999999</v>
      </c>
      <c r="L3992">
        <v>214.9067</v>
      </c>
      <c r="M3992">
        <v>0.99987999999999999</v>
      </c>
      <c r="N3992">
        <v>-1.437686E-2</v>
      </c>
      <c r="O3992">
        <v>-5.7826259999999999E-3</v>
      </c>
      <c r="P3992">
        <v>0.99496949999999995</v>
      </c>
      <c r="Q3992">
        <v>-9.8316940000000005E-2</v>
      </c>
      <c r="R3992">
        <v>-1.9227709999999999E-2</v>
      </c>
      <c r="S3992">
        <v>2.9923549999999999</v>
      </c>
      <c r="T3992">
        <v>-0.25184010000000001</v>
      </c>
      <c r="U3992">
        <v>0.10720830000000001</v>
      </c>
      <c r="V3992">
        <v>1.347017E-2</v>
      </c>
      <c r="W3992">
        <v>-8.4001350000000002E-2</v>
      </c>
      <c r="X3992">
        <v>0.9963746</v>
      </c>
      <c r="Y3992">
        <v>-4.1398030000000002E-2</v>
      </c>
      <c r="Z3992">
        <v>2.4394159999999998E-3</v>
      </c>
      <c r="AA3992">
        <v>0.99913980000000002</v>
      </c>
      <c r="AB3992">
        <v>32</v>
      </c>
      <c r="AC3992">
        <v>12.9805999999999</v>
      </c>
      <c r="AD3992">
        <v>-1.120672780507</v>
      </c>
      <c r="AE3992">
        <v>0.47900000000001303</v>
      </c>
      <c r="AF3992">
        <v>-0.54996801149427099</v>
      </c>
      <c r="AG3992">
        <v>-1.120672780507</v>
      </c>
      <c r="AH3992">
        <v>12.881727634597601</v>
      </c>
      <c r="AI3992">
        <v>94.967544942742606</v>
      </c>
      <c r="AJ3992">
        <v>92.444681512161594</v>
      </c>
      <c r="AK3992">
        <v>12.9420739893802</v>
      </c>
      <c r="AL3992">
        <v>94.818601018035096</v>
      </c>
      <c r="AM3992">
        <v>89.225455088607305</v>
      </c>
      <c r="AN3992">
        <v>1.0000000079033999</v>
      </c>
    </row>
    <row r="3993" spans="1:40" x14ac:dyDescent="0.25">
      <c r="A3993" t="str">
        <f>"20190303154848690"</f>
        <v>20190303154848690</v>
      </c>
      <c r="B3993" t="str">
        <f>"1551599328685268"</f>
        <v>1551599328685268</v>
      </c>
      <c r="C3993" t="s">
        <v>40</v>
      </c>
      <c r="D3993">
        <v>5.2643060000000004</v>
      </c>
      <c r="E3993">
        <v>0.47934300000000002</v>
      </c>
      <c r="F3993" t="s">
        <v>52</v>
      </c>
      <c r="G3993">
        <v>-224.99359999999999</v>
      </c>
      <c r="H3993" s="1">
        <v>1.087071E-6</v>
      </c>
      <c r="I3993">
        <v>215.38200000000001</v>
      </c>
      <c r="J3993">
        <v>-237.90989999999999</v>
      </c>
      <c r="K3993">
        <v>1.1206769999999999</v>
      </c>
      <c r="L3993">
        <v>214.9049</v>
      </c>
      <c r="M3993">
        <v>0.99987979999999999</v>
      </c>
      <c r="N3993">
        <v>-1.438241E-2</v>
      </c>
      <c r="O3993">
        <v>-5.7825489999999997E-3</v>
      </c>
      <c r="P3993">
        <v>0.99499519999999997</v>
      </c>
      <c r="Q3993">
        <v>-9.8109810000000006E-2</v>
      </c>
      <c r="R3993">
        <v>-1.8939899999999999E-2</v>
      </c>
      <c r="S3993">
        <v>2.9921880000000001</v>
      </c>
      <c r="T3993">
        <v>-0.25346479999999999</v>
      </c>
      <c r="U3993">
        <v>0.1074982</v>
      </c>
      <c r="V3993">
        <v>1.318246E-2</v>
      </c>
      <c r="W3993">
        <v>-8.3788399999999902E-2</v>
      </c>
      <c r="X3993">
        <v>0.99639639999999996</v>
      </c>
      <c r="Y3993">
        <v>-4.149394E-2</v>
      </c>
      <c r="Z3993">
        <v>2.4586669999999999E-3</v>
      </c>
      <c r="AA3993">
        <v>0.99913569999999996</v>
      </c>
      <c r="AB3993">
        <v>32</v>
      </c>
      <c r="AC3993">
        <v>12.9163</v>
      </c>
      <c r="AD3993">
        <v>-1.120675912929</v>
      </c>
      <c r="AE3993">
        <v>0.47710000000000702</v>
      </c>
      <c r="AF3993">
        <v>-0.54767159474125204</v>
      </c>
      <c r="AG3993">
        <v>-1.120675912929</v>
      </c>
      <c r="AH3993">
        <v>12.8169692533627</v>
      </c>
      <c r="AI3993">
        <v>94.992523323501601</v>
      </c>
      <c r="AJ3993">
        <v>92.446771390433597</v>
      </c>
      <c r="AK3993">
        <v>12.877521481991399</v>
      </c>
      <c r="AL3993">
        <v>94.806356611502096</v>
      </c>
      <c r="AM3993">
        <v>89.242013261077005</v>
      </c>
      <c r="AN3993">
        <v>1.0000000295795799</v>
      </c>
    </row>
    <row r="3994" spans="1:40" x14ac:dyDescent="0.25">
      <c r="A3994" t="str">
        <f>"20190303154848712"</f>
        <v>20190303154848712</v>
      </c>
      <c r="B3994" t="str">
        <f>"1551599328704787"</f>
        <v>1551599328704787</v>
      </c>
      <c r="C3994" t="s">
        <v>40</v>
      </c>
      <c r="D3994">
        <v>5.2709130000000002</v>
      </c>
      <c r="E3994">
        <v>0.47930499999999998</v>
      </c>
      <c r="F3994" t="s">
        <v>52</v>
      </c>
      <c r="G3994">
        <v>-224.5676</v>
      </c>
      <c r="H3994" s="1">
        <v>8.6045869999999996E-7</v>
      </c>
      <c r="I3994">
        <v>215.381</v>
      </c>
      <c r="J3994">
        <v>-237.5916</v>
      </c>
      <c r="K3994">
        <v>1.1206780000000001</v>
      </c>
      <c r="L3994">
        <v>214.90299999999999</v>
      </c>
      <c r="M3994">
        <v>0.99987999999999999</v>
      </c>
      <c r="N3994">
        <v>-1.438673E-2</v>
      </c>
      <c r="O3994">
        <v>-5.7825819999999997E-3</v>
      </c>
      <c r="P3994">
        <v>0.99501079999999997</v>
      </c>
      <c r="Q3994">
        <v>-9.8053409999999994E-2</v>
      </c>
      <c r="R3994">
        <v>-1.843001E-2</v>
      </c>
      <c r="S3994">
        <v>2.9923549999999999</v>
      </c>
      <c r="T3994">
        <v>-0.25134230000000002</v>
      </c>
      <c r="U3994">
        <v>0.106781</v>
      </c>
      <c r="V3994">
        <v>1.267223E-2</v>
      </c>
      <c r="W3994">
        <v>-8.3727499999999996E-2</v>
      </c>
      <c r="X3994">
        <v>0.99640810000000002</v>
      </c>
      <c r="Y3994">
        <v>-4.1256769999999998E-2</v>
      </c>
      <c r="Z3994">
        <v>2.4282420000000002E-3</v>
      </c>
      <c r="AA3994">
        <v>0.99914559999999997</v>
      </c>
      <c r="AB3994">
        <v>32</v>
      </c>
      <c r="AC3994">
        <v>13.023999999999999</v>
      </c>
      <c r="AD3994">
        <v>-1.1206771395413</v>
      </c>
      <c r="AE3994">
        <v>0.47799999999998</v>
      </c>
      <c r="AF3994">
        <v>-0.54925089565209595</v>
      </c>
      <c r="AG3994">
        <v>-1.1206771395413</v>
      </c>
      <c r="AH3994">
        <v>12.9254452956132</v>
      </c>
      <c r="AI3994">
        <v>94.950887917546396</v>
      </c>
      <c r="AJ3994">
        <v>92.433249774302496</v>
      </c>
      <c r="AK3994">
        <v>12.985558512723101</v>
      </c>
      <c r="AL3994">
        <v>94.802855181538703</v>
      </c>
      <c r="AM3994">
        <v>89.271356631944897</v>
      </c>
      <c r="AN3994">
        <v>0.999999990707516</v>
      </c>
    </row>
    <row r="3995" spans="1:40" x14ac:dyDescent="0.25">
      <c r="A3995" t="str">
        <f>"20190303154848734"</f>
        <v>20190303154848734</v>
      </c>
      <c r="B3995" t="str">
        <f>"1551599328724307"</f>
        <v>1551599328724307</v>
      </c>
      <c r="C3995" t="s">
        <v>40</v>
      </c>
      <c r="D3995">
        <v>5.2696500000000004</v>
      </c>
      <c r="E3995">
        <v>0.47939680000000001</v>
      </c>
      <c r="F3995" t="s">
        <v>52</v>
      </c>
      <c r="G3995">
        <v>-224.24119999999999</v>
      </c>
      <c r="H3995" s="1">
        <v>6.8649459999999895E-7</v>
      </c>
      <c r="I3995">
        <v>215.38720000000001</v>
      </c>
      <c r="J3995">
        <v>-237.28380000000001</v>
      </c>
      <c r="K3995">
        <v>1.1206830000000001</v>
      </c>
      <c r="L3995">
        <v>214.90129999999999</v>
      </c>
      <c r="M3995">
        <v>0.99987979999999999</v>
      </c>
      <c r="N3995">
        <v>-1.438993E-2</v>
      </c>
      <c r="O3995">
        <v>-5.7823689999999999E-3</v>
      </c>
      <c r="P3995">
        <v>0.99502550000000001</v>
      </c>
      <c r="Q3995">
        <v>-9.7970680000000004E-2</v>
      </c>
      <c r="R3995">
        <v>-1.8060509999999998E-2</v>
      </c>
      <c r="S3995">
        <v>2.9923250000000001</v>
      </c>
      <c r="T3995">
        <v>-0.2511873</v>
      </c>
      <c r="U3995">
        <v>0.10852050000000001</v>
      </c>
      <c r="V3995">
        <v>1.2302789999999999E-2</v>
      </c>
      <c r="W3995">
        <v>-8.3641389999999996E-2</v>
      </c>
      <c r="X3995">
        <v>0.99641999999999997</v>
      </c>
      <c r="Y3995">
        <v>-4.1834820000000002E-2</v>
      </c>
      <c r="Z3995">
        <v>2.4552979999999999E-3</v>
      </c>
      <c r="AA3995">
        <v>0.9991215</v>
      </c>
      <c r="AB3995">
        <v>32</v>
      </c>
      <c r="AC3995">
        <v>13.0426</v>
      </c>
      <c r="AD3995">
        <v>-1.1206823135054</v>
      </c>
      <c r="AE3995">
        <v>0.48590000000001499</v>
      </c>
      <c r="AF3995">
        <v>-0.55720860055191002</v>
      </c>
      <c r="AG3995">
        <v>-1.1206823135054</v>
      </c>
      <c r="AH3995">
        <v>12.9441370171673</v>
      </c>
      <c r="AI3995">
        <v>94.943680631773802</v>
      </c>
      <c r="AJ3995">
        <v>92.464899969547503</v>
      </c>
      <c r="AK3995">
        <v>13.004502812162199</v>
      </c>
      <c r="AL3995">
        <v>94.797903892803106</v>
      </c>
      <c r="AM3995">
        <v>89.292605400968498</v>
      </c>
      <c r="AN3995">
        <v>1.0000000285814501</v>
      </c>
    </row>
    <row r="3996" spans="1:40" x14ac:dyDescent="0.25">
      <c r="A3996" t="str">
        <f>"20190303154848752"</f>
        <v>20190303154848752</v>
      </c>
      <c r="B3996" t="str">
        <f>"1551599328744804"</f>
        <v>1551599328744804</v>
      </c>
      <c r="C3996" t="s">
        <v>40</v>
      </c>
      <c r="D3996">
        <v>5.246937</v>
      </c>
      <c r="E3996">
        <v>0.47938799999999998</v>
      </c>
      <c r="F3996" t="s">
        <v>52</v>
      </c>
      <c r="G3996">
        <v>-223.88470000000001</v>
      </c>
      <c r="H3996" s="1">
        <v>4.9667919999999998E-7</v>
      </c>
      <c r="I3996">
        <v>215.3888</v>
      </c>
      <c r="J3996">
        <v>-237.0095</v>
      </c>
      <c r="K3996">
        <v>1.1206860000000001</v>
      </c>
      <c r="L3996">
        <v>214.8997</v>
      </c>
      <c r="M3996">
        <v>0.99987979999999999</v>
      </c>
      <c r="N3996">
        <v>-1.439211E-2</v>
      </c>
      <c r="O3996">
        <v>-5.7823850000000001E-3</v>
      </c>
      <c r="P3996">
        <v>0.99503390000000003</v>
      </c>
      <c r="Q3996">
        <v>-9.7954879999999994E-2</v>
      </c>
      <c r="R3996">
        <v>-1.768664E-2</v>
      </c>
      <c r="S3996">
        <v>2.9923250000000001</v>
      </c>
      <c r="T3996">
        <v>-0.2502741</v>
      </c>
      <c r="U3996">
        <v>0.1088867</v>
      </c>
      <c r="V3996">
        <v>1.1928899999999999E-2</v>
      </c>
      <c r="W3996">
        <v>-8.3623329999999996E-2</v>
      </c>
      <c r="X3996">
        <v>0.99642600000000003</v>
      </c>
      <c r="Y3996">
        <v>-4.1957719999999997E-2</v>
      </c>
      <c r="Z3996">
        <v>2.4532360000000001E-3</v>
      </c>
      <c r="AA3996">
        <v>0.99911640000000002</v>
      </c>
      <c r="AB3996">
        <v>32</v>
      </c>
      <c r="AC3996">
        <v>13.124799999999899</v>
      </c>
      <c r="AD3996">
        <v>-1.1206855033208001</v>
      </c>
      <c r="AE3996">
        <v>0.48910000000000697</v>
      </c>
      <c r="AF3996">
        <v>-0.56090845691703495</v>
      </c>
      <c r="AG3996">
        <v>-1.1206855033208001</v>
      </c>
      <c r="AH3996">
        <v>13.026905708144801</v>
      </c>
      <c r="AI3996">
        <v>94.912436004955097</v>
      </c>
      <c r="AJ3996">
        <v>92.465500967462901</v>
      </c>
      <c r="AK3996">
        <v>13.087048048482499</v>
      </c>
      <c r="AL3996">
        <v>94.796865790615001</v>
      </c>
      <c r="AM3996">
        <v>89.314105638713102</v>
      </c>
      <c r="AN3996">
        <v>0.99999996672574898</v>
      </c>
    </row>
    <row r="3997" spans="1:40" x14ac:dyDescent="0.25">
      <c r="A3997" t="str">
        <f>"20190303154848768"</f>
        <v>20190303154848768</v>
      </c>
      <c r="B3997" t="str">
        <f>"1551599328764324"</f>
        <v>1551599328764324</v>
      </c>
      <c r="C3997" t="s">
        <v>40</v>
      </c>
      <c r="D3997">
        <v>5.2539769999999999</v>
      </c>
      <c r="E3997">
        <v>0.47951389999999999</v>
      </c>
      <c r="F3997" t="s">
        <v>52</v>
      </c>
      <c r="G3997">
        <v>-223.6207</v>
      </c>
      <c r="H3997" s="1">
        <v>3.5604699999999999E-7</v>
      </c>
      <c r="I3997">
        <v>215.39269999999999</v>
      </c>
      <c r="J3997">
        <v>-236.79179999999999</v>
      </c>
      <c r="K3997">
        <v>1.1206879999999999</v>
      </c>
      <c r="L3997">
        <v>214.89840000000001</v>
      </c>
      <c r="M3997">
        <v>0.99987979999999999</v>
      </c>
      <c r="N3997">
        <v>-1.439344E-2</v>
      </c>
      <c r="O3997">
        <v>-5.7815560000000002E-3</v>
      </c>
      <c r="P3997">
        <v>0.99507449999999997</v>
      </c>
      <c r="Q3997">
        <v>-9.7635420000000001E-2</v>
      </c>
      <c r="R3997">
        <v>-1.7154369999999999E-2</v>
      </c>
      <c r="S3997">
        <v>2.992264</v>
      </c>
      <c r="T3997">
        <v>-0.25046350000000001</v>
      </c>
      <c r="U3997">
        <v>0.11019900000000001</v>
      </c>
      <c r="V3997">
        <v>1.1397310000000001E-2</v>
      </c>
      <c r="W3997">
        <v>-8.3301990000000006E-2</v>
      </c>
      <c r="X3997">
        <v>0.99645919999999999</v>
      </c>
      <c r="Y3997">
        <v>-4.2393159999999999E-2</v>
      </c>
      <c r="Z3997">
        <v>2.4762429999999999E-3</v>
      </c>
      <c r="AA3997">
        <v>0.99909789999999998</v>
      </c>
      <c r="AB3997">
        <v>32</v>
      </c>
      <c r="AC3997">
        <v>13.1710999999999</v>
      </c>
      <c r="AD3997">
        <v>-1.12068764395299</v>
      </c>
      <c r="AE3997">
        <v>0.49429999999998098</v>
      </c>
      <c r="AF3997">
        <v>-0.56635455751264696</v>
      </c>
      <c r="AG3997">
        <v>-1.12068764395299</v>
      </c>
      <c r="AH3997">
        <v>13.073505582704</v>
      </c>
      <c r="AI3997">
        <v>94.894965152617402</v>
      </c>
      <c r="AJ3997">
        <v>92.480547326010097</v>
      </c>
      <c r="AK3997">
        <v>13.1336684327387</v>
      </c>
      <c r="AL3997">
        <v>94.778389602983907</v>
      </c>
      <c r="AM3997">
        <v>89.344690393391701</v>
      </c>
      <c r="AN3997">
        <v>1.0000000287389099</v>
      </c>
    </row>
    <row r="3998" spans="1:40" x14ac:dyDescent="0.25">
      <c r="A3998" t="str">
        <f>"20190303154848790"</f>
        <v>20190303154848790</v>
      </c>
      <c r="B3998" t="str">
        <f>"1551599328785234"</f>
        <v>1551599328785234</v>
      </c>
      <c r="C3998" t="s">
        <v>40</v>
      </c>
      <c r="D3998">
        <v>5.2436759999999998</v>
      </c>
      <c r="E3998">
        <v>0.4795391</v>
      </c>
      <c r="F3998" t="s">
        <v>52</v>
      </c>
      <c r="G3998">
        <v>-223.2801</v>
      </c>
      <c r="H3998" s="1">
        <v>1.7451579999999999E-7</v>
      </c>
      <c r="I3998">
        <v>215.39830000000001</v>
      </c>
      <c r="J3998">
        <v>-236.4796</v>
      </c>
      <c r="K3998">
        <v>1.120695</v>
      </c>
      <c r="L3998">
        <v>214.89660000000001</v>
      </c>
      <c r="M3998">
        <v>0.99987979999999999</v>
      </c>
      <c r="N3998">
        <v>-1.4394769999999999E-2</v>
      </c>
      <c r="O3998">
        <v>-5.7766400000000004E-3</v>
      </c>
      <c r="P3998">
        <v>0.99505089999999996</v>
      </c>
      <c r="Q3998">
        <v>-9.7815570000000004E-2</v>
      </c>
      <c r="R3998">
        <v>-1.749709E-2</v>
      </c>
      <c r="S3998">
        <v>2.9924010000000001</v>
      </c>
      <c r="T3998">
        <v>-0.24819550000000001</v>
      </c>
      <c r="U3998">
        <v>0.1107025</v>
      </c>
      <c r="V3998">
        <v>1.1745449999999999E-2</v>
      </c>
      <c r="W3998">
        <v>-8.3481050000000001E-2</v>
      </c>
      <c r="X3998">
        <v>0.9964402</v>
      </c>
      <c r="Y3998">
        <v>-4.2557009999999999E-2</v>
      </c>
      <c r="Z3998">
        <v>2.463434E-3</v>
      </c>
      <c r="AA3998">
        <v>0.99909099999999995</v>
      </c>
      <c r="AB3998">
        <v>32</v>
      </c>
      <c r="AC3998">
        <v>13.1995</v>
      </c>
      <c r="AD3998">
        <v>-1.1206948254842</v>
      </c>
      <c r="AE3998">
        <v>0.50169999999999904</v>
      </c>
      <c r="AF3998">
        <v>-0.57381774121543405</v>
      </c>
      <c r="AG3998">
        <v>-1.1206948254842</v>
      </c>
      <c r="AH3998">
        <v>13.1020680430623</v>
      </c>
      <c r="AI3998">
        <v>94.884276558055603</v>
      </c>
      <c r="AJ3998">
        <v>92.507721552446597</v>
      </c>
      <c r="AK3998">
        <v>13.1624241953006</v>
      </c>
      <c r="AL3998">
        <v>94.788684710334607</v>
      </c>
      <c r="AM3998">
        <v>89.324662385002199</v>
      </c>
      <c r="AN3998">
        <v>1.0000000567404199</v>
      </c>
    </row>
    <row r="3999" spans="1:40" x14ac:dyDescent="0.25">
      <c r="A3999" t="str">
        <f>"20190303154848812"</f>
        <v>20190303154848812</v>
      </c>
      <c r="B3999" t="str">
        <f>"1551599328804753"</f>
        <v>1551599328804753</v>
      </c>
      <c r="C3999" t="s">
        <v>40</v>
      </c>
      <c r="D3999">
        <v>5.2753230000000002</v>
      </c>
      <c r="E3999">
        <v>0.47954869999999999</v>
      </c>
      <c r="F3999" t="s">
        <v>52</v>
      </c>
      <c r="G3999">
        <v>-222.9933</v>
      </c>
      <c r="H3999" s="1">
        <v>2.2273149999999999E-8</v>
      </c>
      <c r="I3999">
        <v>215.39019999999999</v>
      </c>
      <c r="J3999">
        <v>-236.15790000000001</v>
      </c>
      <c r="K3999">
        <v>1.120703</v>
      </c>
      <c r="L3999">
        <v>214.8947</v>
      </c>
      <c r="M3999">
        <v>0.99987979999999999</v>
      </c>
      <c r="N3999">
        <v>-1.439552E-2</v>
      </c>
      <c r="O3999">
        <v>-5.7619990000000003E-3</v>
      </c>
      <c r="P3999">
        <v>0.99504440000000005</v>
      </c>
      <c r="Q3999">
        <v>-9.7767199999999999E-2</v>
      </c>
      <c r="R3999">
        <v>-1.811888E-2</v>
      </c>
      <c r="S3999">
        <v>2.992416</v>
      </c>
      <c r="T3999">
        <v>-0.2486672</v>
      </c>
      <c r="U3999">
        <v>0.1095276</v>
      </c>
      <c r="V3999">
        <v>1.238294E-2</v>
      </c>
      <c r="W3999">
        <v>-8.3431850000000002E-2</v>
      </c>
      <c r="X3999">
        <v>0.99643649999999995</v>
      </c>
      <c r="Y3999">
        <v>-4.215145E-2</v>
      </c>
      <c r="Z3999">
        <v>2.4469460000000002E-3</v>
      </c>
      <c r="AA3999">
        <v>0.99910829999999995</v>
      </c>
      <c r="AB3999">
        <v>32</v>
      </c>
      <c r="AC3999">
        <v>13.1646</v>
      </c>
      <c r="AD3999">
        <v>-1.12070297772685</v>
      </c>
      <c r="AE3999">
        <v>0.495499999999992</v>
      </c>
      <c r="AF3999">
        <v>-0.56724893599589599</v>
      </c>
      <c r="AG3999">
        <v>-1.12070297772685</v>
      </c>
      <c r="AH3999">
        <v>13.066962116999299</v>
      </c>
      <c r="AI3999">
        <v>94.8974521241432</v>
      </c>
      <c r="AJ3999">
        <v>92.485702232075099</v>
      </c>
      <c r="AK3999">
        <v>13.1271948826385</v>
      </c>
      <c r="AL3999">
        <v>94.785856379249395</v>
      </c>
      <c r="AM3999">
        <v>89.288009140813003</v>
      </c>
      <c r="AN3999">
        <v>0.99999995466485703</v>
      </c>
    </row>
    <row r="4000" spans="1:40" x14ac:dyDescent="0.25">
      <c r="A4000" t="str">
        <f>"20190303154848834"</f>
        <v>20190303154848834</v>
      </c>
      <c r="B4000" t="str">
        <f>"1551599328825249"</f>
        <v>1551599328825249</v>
      </c>
      <c r="C4000" t="s">
        <v>40</v>
      </c>
      <c r="D4000">
        <v>5.2244640000000002</v>
      </c>
      <c r="E4000">
        <v>0.47951589999999999</v>
      </c>
      <c r="F4000" t="s">
        <v>52</v>
      </c>
      <c r="G4000">
        <v>-222.6489</v>
      </c>
      <c r="H4000" s="1">
        <v>-1.6056619999999999E-7</v>
      </c>
      <c r="I4000">
        <v>215.38</v>
      </c>
      <c r="J4000">
        <v>-235.84950000000001</v>
      </c>
      <c r="K4000">
        <v>1.1207229999999999</v>
      </c>
      <c r="L4000">
        <v>214.893</v>
      </c>
      <c r="M4000">
        <v>0.99987999999999999</v>
      </c>
      <c r="N4000">
        <v>-1.4395720000000001E-2</v>
      </c>
      <c r="O4000">
        <v>-5.7335709999999998E-3</v>
      </c>
      <c r="P4000">
        <v>0.99501090000000003</v>
      </c>
      <c r="Q4000">
        <v>-9.7918480000000002E-2</v>
      </c>
      <c r="R4000">
        <v>-1.911266E-2</v>
      </c>
      <c r="S4000">
        <v>2.9924930000000001</v>
      </c>
      <c r="T4000">
        <v>-0.24825559999999999</v>
      </c>
      <c r="U4000">
        <v>0.1074982</v>
      </c>
      <c r="V4000">
        <v>1.340737E-2</v>
      </c>
      <c r="W4000">
        <v>-8.3583009999999999E-2</v>
      </c>
      <c r="X4000">
        <v>0.99641060000000004</v>
      </c>
      <c r="Y4000">
        <v>-4.1448899999999997E-2</v>
      </c>
      <c r="Z4000">
        <v>2.4071449999999999E-3</v>
      </c>
      <c r="AA4000">
        <v>0.99913770000000002</v>
      </c>
      <c r="AB4000">
        <v>32</v>
      </c>
      <c r="AC4000">
        <v>13.2006</v>
      </c>
      <c r="AD4000">
        <v>-1.12072316056619</v>
      </c>
      <c r="AE4000">
        <v>0.48699999999999399</v>
      </c>
      <c r="AF4000">
        <v>-0.55866507549341704</v>
      </c>
      <c r="AG4000">
        <v>-1.12072316056619</v>
      </c>
      <c r="AH4000">
        <v>13.1032716078407</v>
      </c>
      <c r="AI4000">
        <v>94.884196270067704</v>
      </c>
      <c r="AJ4000">
        <v>92.441357988519201</v>
      </c>
      <c r="AK4000">
        <v>13.1629728366372</v>
      </c>
      <c r="AL4000">
        <v>94.794547442685101</v>
      </c>
      <c r="AM4000">
        <v>89.229093549266693</v>
      </c>
      <c r="AN4000">
        <v>0.99999998046166805</v>
      </c>
    </row>
    <row r="4001" spans="1:40" x14ac:dyDescent="0.25">
      <c r="A4001" t="str">
        <f>"20190303154848857"</f>
        <v>20190303154848857</v>
      </c>
      <c r="B4001" t="str">
        <f>"1551599328844769"</f>
        <v>1551599328844769</v>
      </c>
      <c r="C4001" t="s">
        <v>40</v>
      </c>
      <c r="D4001">
        <v>5.2622839999999904</v>
      </c>
      <c r="E4001">
        <v>0.47956260000000001</v>
      </c>
      <c r="F4001" t="s">
        <v>52</v>
      </c>
      <c r="G4001">
        <v>-222.36490000000001</v>
      </c>
      <c r="H4001" s="1">
        <v>-3.110354E-7</v>
      </c>
      <c r="I4001">
        <v>215.36529999999999</v>
      </c>
      <c r="J4001">
        <v>-235.51820000000001</v>
      </c>
      <c r="K4001">
        <v>1.1207400000000001</v>
      </c>
      <c r="L4001">
        <v>214.89109999999999</v>
      </c>
      <c r="M4001">
        <v>0.99988030000000006</v>
      </c>
      <c r="N4001">
        <v>-1.4395450000000001E-2</v>
      </c>
      <c r="O4001">
        <v>-5.679875E-3</v>
      </c>
      <c r="P4001">
        <v>0.99504999999999999</v>
      </c>
      <c r="Q4001">
        <v>-9.7319130000000004E-2</v>
      </c>
      <c r="R4001">
        <v>-2.0115549999999999E-2</v>
      </c>
      <c r="S4001">
        <v>2.9925839999999999</v>
      </c>
      <c r="T4001">
        <v>-0.2487172</v>
      </c>
      <c r="U4001">
        <v>0.1048279</v>
      </c>
      <c r="V4001">
        <v>1.446685E-2</v>
      </c>
      <c r="W4001">
        <v>-8.2982730000000005E-2</v>
      </c>
      <c r="X4001">
        <v>0.99644600000000005</v>
      </c>
      <c r="Y4001">
        <v>-4.0507019999999998E-2</v>
      </c>
      <c r="Z4001">
        <v>2.3616240000000001E-3</v>
      </c>
      <c r="AA4001">
        <v>0.99917639999999996</v>
      </c>
      <c r="AB4001">
        <v>32</v>
      </c>
      <c r="AC4001">
        <v>13.1533</v>
      </c>
      <c r="AD4001">
        <v>-1.1207403110353999</v>
      </c>
      <c r="AE4001">
        <v>0.47419999999999601</v>
      </c>
      <c r="AF4001">
        <v>-0.54495789302532005</v>
      </c>
      <c r="AG4001">
        <v>-1.1207403110353999</v>
      </c>
      <c r="AH4001">
        <v>13.0557316789504</v>
      </c>
      <c r="AI4001">
        <v>94.902153068480601</v>
      </c>
      <c r="AJ4001">
        <v>92.390189475884696</v>
      </c>
      <c r="AK4001">
        <v>13.115074060892599</v>
      </c>
      <c r="AL4001">
        <v>94.7600338071572</v>
      </c>
      <c r="AM4001">
        <v>89.168212611658902</v>
      </c>
      <c r="AN4001">
        <v>1.0000000270715801</v>
      </c>
    </row>
    <row r="4002" spans="1:40" x14ac:dyDescent="0.25">
      <c r="A4002" t="str">
        <f>"20190303154848880"</f>
        <v>20190303154848880</v>
      </c>
      <c r="B4002" t="str">
        <f>"1551599328875025"</f>
        <v>1551599328875025</v>
      </c>
      <c r="C4002" t="s">
        <v>40</v>
      </c>
      <c r="D4002">
        <v>5.2529450000000004</v>
      </c>
      <c r="E4002">
        <v>0.47958030000000001</v>
      </c>
      <c r="F4002" t="s">
        <v>52</v>
      </c>
      <c r="G4002">
        <v>-221.87020000000001</v>
      </c>
      <c r="H4002" s="1">
        <v>-5.7378030000000002E-7</v>
      </c>
      <c r="I4002">
        <v>215.35339999999999</v>
      </c>
      <c r="J4002">
        <v>-235.18729999999999</v>
      </c>
      <c r="K4002">
        <v>1.1207670000000001</v>
      </c>
      <c r="L4002">
        <v>214.88929999999999</v>
      </c>
      <c r="M4002">
        <v>0.99988089999999996</v>
      </c>
      <c r="N4002">
        <v>-1.4394769999999999E-2</v>
      </c>
      <c r="O4002">
        <v>-5.595806E-3</v>
      </c>
      <c r="P4002">
        <v>0.99506459999999997</v>
      </c>
      <c r="Q4002">
        <v>-9.7092609999999996E-2</v>
      </c>
      <c r="R4002">
        <v>-2.0485860000000002E-2</v>
      </c>
      <c r="S4002">
        <v>2.9929350000000001</v>
      </c>
      <c r="T4002">
        <v>-0.2457734</v>
      </c>
      <c r="U4002">
        <v>0.10137939999999999</v>
      </c>
      <c r="V4002">
        <v>1.49251E-2</v>
      </c>
      <c r="W4002">
        <v>-8.2755880000000004E-2</v>
      </c>
      <c r="X4002">
        <v>0.99645810000000001</v>
      </c>
      <c r="Y4002">
        <v>-3.9278019999999997E-2</v>
      </c>
      <c r="Z4002">
        <v>2.2710999999999999E-3</v>
      </c>
      <c r="AA4002">
        <v>0.99922569999999999</v>
      </c>
      <c r="AB4002">
        <v>32</v>
      </c>
      <c r="AC4002">
        <v>13.3170999999999</v>
      </c>
      <c r="AD4002">
        <v>-1.1207675737803</v>
      </c>
      <c r="AE4002">
        <v>0.46410000000000201</v>
      </c>
      <c r="AF4002">
        <v>-0.53483674372555601</v>
      </c>
      <c r="AG4002">
        <v>-1.1207675737803</v>
      </c>
      <c r="AH4002">
        <v>13.2207662523466</v>
      </c>
      <c r="AI4002">
        <v>94.841623815852401</v>
      </c>
      <c r="AJ4002">
        <v>92.316597026641105</v>
      </c>
      <c r="AK4002">
        <v>13.278961954763799</v>
      </c>
      <c r="AL4002">
        <v>94.746991434761</v>
      </c>
      <c r="AM4002">
        <v>89.141879324150096</v>
      </c>
      <c r="AN4002">
        <v>1.00000001967009</v>
      </c>
    </row>
    <row r="4003" spans="1:40" x14ac:dyDescent="0.25">
      <c r="A4003" t="str">
        <f>"20190303154848902"</f>
        <v>20190303154848902</v>
      </c>
      <c r="B4003" t="str">
        <f>"1551599328894546"</f>
        <v>1551599328894546</v>
      </c>
      <c r="C4003" t="s">
        <v>40</v>
      </c>
      <c r="D4003">
        <v>5.244415</v>
      </c>
      <c r="E4003">
        <v>0.4796531</v>
      </c>
      <c r="F4003" t="s">
        <v>52</v>
      </c>
      <c r="G4003">
        <v>-221.46549999999999</v>
      </c>
      <c r="H4003" s="1">
        <v>-7.888726E-7</v>
      </c>
      <c r="I4003">
        <v>215.34790000000001</v>
      </c>
      <c r="J4003">
        <v>-234.8854</v>
      </c>
      <c r="K4003">
        <v>1.120792</v>
      </c>
      <c r="L4003">
        <v>214.8877</v>
      </c>
      <c r="M4003">
        <v>0.99988140000000003</v>
      </c>
      <c r="N4003">
        <v>-1.439379E-2</v>
      </c>
      <c r="O4003">
        <v>-5.4885940000000003E-3</v>
      </c>
      <c r="P4003">
        <v>0.99507239999999997</v>
      </c>
      <c r="Q4003">
        <v>-9.7048819999999994E-2</v>
      </c>
      <c r="R4003">
        <v>-2.0324809999999999E-2</v>
      </c>
      <c r="S4003">
        <v>2.9930880000000002</v>
      </c>
      <c r="T4003">
        <v>-0.2444692</v>
      </c>
      <c r="U4003">
        <v>0.1000214</v>
      </c>
      <c r="V4003">
        <v>1.487511E-2</v>
      </c>
      <c r="W4003">
        <v>-8.271212E-2</v>
      </c>
      <c r="X4003">
        <v>0.99646250000000003</v>
      </c>
      <c r="Y4003">
        <v>-3.8720419999999998E-2</v>
      </c>
      <c r="Z4003">
        <v>2.2261E-3</v>
      </c>
      <c r="AA4003">
        <v>0.99924760000000001</v>
      </c>
      <c r="AB4003">
        <v>32</v>
      </c>
      <c r="AC4003">
        <v>13.4199</v>
      </c>
      <c r="AD4003">
        <v>-1.1207927888725999</v>
      </c>
      <c r="AE4003">
        <v>0.46020000000001399</v>
      </c>
      <c r="AF4003">
        <v>-0.53016346259769398</v>
      </c>
      <c r="AG4003">
        <v>-1.1207927888725999</v>
      </c>
      <c r="AH4003">
        <v>13.3243419016841</v>
      </c>
      <c r="AI4003">
        <v>94.80439969535</v>
      </c>
      <c r="AJ4003">
        <v>92.278545093064906</v>
      </c>
      <c r="AK4003">
        <v>13.381903335685699</v>
      </c>
      <c r="AL4003">
        <v>94.744475455226194</v>
      </c>
      <c r="AM4003">
        <v>89.144756854323404</v>
      </c>
      <c r="AN4003">
        <v>1.00000003879932</v>
      </c>
    </row>
    <row r="4004" spans="1:40" x14ac:dyDescent="0.25">
      <c r="A4004" t="str">
        <f>"20190303154848923"</f>
        <v>20190303154848923</v>
      </c>
      <c r="B4004" t="str">
        <f>"1551599328915041"</f>
        <v>1551599328915041</v>
      </c>
      <c r="C4004" t="s">
        <v>40</v>
      </c>
      <c r="D4004">
        <v>5.2332960000000002</v>
      </c>
      <c r="E4004">
        <v>0.49492599999999998</v>
      </c>
      <c r="F4004" t="s">
        <v>52</v>
      </c>
      <c r="G4004">
        <v>-221.1473</v>
      </c>
      <c r="H4004" s="1">
        <v>-9.5818229999999995E-7</v>
      </c>
      <c r="I4004">
        <v>215.34690000000001</v>
      </c>
      <c r="J4004">
        <v>-234.57480000000001</v>
      </c>
      <c r="K4004">
        <v>1.120811</v>
      </c>
      <c r="L4004">
        <v>214.8862</v>
      </c>
      <c r="M4004">
        <v>0.99988220000000005</v>
      </c>
      <c r="N4004">
        <v>-1.4392500000000001E-2</v>
      </c>
      <c r="O4004">
        <v>-5.3506329999999996E-3</v>
      </c>
      <c r="P4004">
        <v>0.99509329999999996</v>
      </c>
      <c r="Q4004">
        <v>-9.6917160000000002E-2</v>
      </c>
      <c r="R4004">
        <v>-1.9913739999999999E-2</v>
      </c>
      <c r="S4004">
        <v>2.9930569999999999</v>
      </c>
      <c r="T4004">
        <v>-0.2441827</v>
      </c>
      <c r="U4004">
        <v>0.1000366</v>
      </c>
      <c r="V4004">
        <v>1.4605989999999999E-2</v>
      </c>
      <c r="W4004">
        <v>-8.2580799999999996E-2</v>
      </c>
      <c r="X4004">
        <v>0.99647730000000001</v>
      </c>
      <c r="Y4004">
        <v>-3.8589150000000003E-2</v>
      </c>
      <c r="Z4004">
        <v>2.2081929999999998E-3</v>
      </c>
      <c r="AA4004">
        <v>0.99925269999999999</v>
      </c>
      <c r="AB4004">
        <v>32</v>
      </c>
      <c r="AC4004">
        <v>13.4275</v>
      </c>
      <c r="AD4004">
        <v>-1.1208119581822999</v>
      </c>
      <c r="AE4004">
        <v>0.460700000000002</v>
      </c>
      <c r="AF4004">
        <v>-0.52886593848341701</v>
      </c>
      <c r="AG4004">
        <v>-1.1208119581822999</v>
      </c>
      <c r="AH4004">
        <v>13.332060926551801</v>
      </c>
      <c r="AI4004">
        <v>94.801735600834604</v>
      </c>
      <c r="AJ4004">
        <v>92.271659796659094</v>
      </c>
      <c r="AK4004">
        <v>13.3895394683978</v>
      </c>
      <c r="AL4004">
        <v>94.736925888498703</v>
      </c>
      <c r="AM4004">
        <v>89.160240119642793</v>
      </c>
      <c r="AN4004">
        <v>0.99999996644390399</v>
      </c>
    </row>
    <row r="4005" spans="1:40" x14ac:dyDescent="0.25">
      <c r="A4005" t="str">
        <f>"20190303154848946"</f>
        <v>20190303154848946</v>
      </c>
      <c r="B4005" t="str">
        <f>"1551599328934561"</f>
        <v>1551599328934561</v>
      </c>
      <c r="C4005" t="s">
        <v>40</v>
      </c>
      <c r="D4005">
        <v>5.3239479999999997</v>
      </c>
      <c r="E4005">
        <v>0.5045984</v>
      </c>
      <c r="F4005" t="s">
        <v>52</v>
      </c>
      <c r="G4005">
        <v>-214.12710000000001</v>
      </c>
      <c r="H4005" s="1">
        <v>6.5445420000000003E-7</v>
      </c>
      <c r="I4005">
        <v>214.73070000000001</v>
      </c>
      <c r="J4005">
        <v>-234.25700000000001</v>
      </c>
      <c r="K4005">
        <v>1.12083</v>
      </c>
      <c r="L4005">
        <v>214.88470000000001</v>
      </c>
      <c r="M4005">
        <v>0.99988319999999997</v>
      </c>
      <c r="N4005">
        <v>-1.439087E-2</v>
      </c>
      <c r="O4005">
        <v>-5.1874649999999996E-3</v>
      </c>
      <c r="P4005">
        <v>0.9951622</v>
      </c>
      <c r="Q4005">
        <v>-9.6458639999999998E-2</v>
      </c>
      <c r="R4005">
        <v>-1.8662140000000001E-2</v>
      </c>
      <c r="S4005">
        <v>2.9983369999999998</v>
      </c>
      <c r="T4005">
        <v>-0.16434939999999901</v>
      </c>
      <c r="U4005">
        <v>-2.2796629999999998E-2</v>
      </c>
      <c r="V4005">
        <v>1.352017E-2</v>
      </c>
      <c r="W4005">
        <v>-8.2122710000000002E-2</v>
      </c>
      <c r="X4005">
        <v>0.99653049999999999</v>
      </c>
      <c r="Y4005">
        <v>2.414575E-3</v>
      </c>
      <c r="Z4005">
        <v>1.259927E-4</v>
      </c>
      <c r="AA4005">
        <v>0.99999709999999997</v>
      </c>
      <c r="AB4005">
        <v>32</v>
      </c>
      <c r="AC4005">
        <v>20.1298999999999</v>
      </c>
      <c r="AD4005">
        <v>-1.1208293455458</v>
      </c>
      <c r="AE4005">
        <v>-0.153999999999996</v>
      </c>
      <c r="AF4005">
        <v>4.94108066699874E-2</v>
      </c>
      <c r="AG4005">
        <v>-1.1208293455458</v>
      </c>
      <c r="AH4005">
        <v>20.068215343378601</v>
      </c>
      <c r="AI4005">
        <v>93.196694244146897</v>
      </c>
      <c r="AJ4005">
        <v>89.858929909042701</v>
      </c>
      <c r="AK4005">
        <v>20.099551410861601</v>
      </c>
      <c r="AL4005">
        <v>94.710589716497395</v>
      </c>
      <c r="AM4005">
        <v>89.222702009947398</v>
      </c>
      <c r="AN4005">
        <v>0.99999998596241102</v>
      </c>
    </row>
    <row r="4006" spans="1:40" x14ac:dyDescent="0.25">
      <c r="A4006" t="str">
        <f>"20190303154848968"</f>
        <v>20190303154848968</v>
      </c>
      <c r="B4006" t="str">
        <f>"1551599328964817"</f>
        <v>1551599328964817</v>
      </c>
      <c r="C4006" t="s">
        <v>40</v>
      </c>
      <c r="D4006">
        <v>5.2059319999999998</v>
      </c>
      <c r="E4006">
        <v>0.50814269999999995</v>
      </c>
      <c r="F4006" t="s">
        <v>52</v>
      </c>
      <c r="G4006">
        <v>-215.29220000000001</v>
      </c>
      <c r="H4006" s="1">
        <v>1.294214E-6</v>
      </c>
      <c r="I4006">
        <v>214.27860000000001</v>
      </c>
      <c r="J4006">
        <v>-233.9408</v>
      </c>
      <c r="K4006">
        <v>1.120844</v>
      </c>
      <c r="L4006">
        <v>214.88319999999999</v>
      </c>
      <c r="M4006">
        <v>0.99988410000000005</v>
      </c>
      <c r="N4006">
        <v>-1.4389030000000001E-2</v>
      </c>
      <c r="O4006">
        <v>-5.0091279999999998E-3</v>
      </c>
      <c r="P4006">
        <v>0.99520220000000004</v>
      </c>
      <c r="Q4006">
        <v>-9.612685E-2</v>
      </c>
      <c r="R4006">
        <v>-1.8236080000000002E-2</v>
      </c>
      <c r="S4006">
        <v>2.9956209999999999</v>
      </c>
      <c r="T4006">
        <v>-0.17704259999999999</v>
      </c>
      <c r="U4006">
        <v>-9.5733639999999995E-2</v>
      </c>
      <c r="V4006">
        <v>1.3274070000000001E-2</v>
      </c>
      <c r="W4006">
        <v>-8.1791890000000006E-2</v>
      </c>
      <c r="X4006">
        <v>0.99656109999999998</v>
      </c>
      <c r="Y4006">
        <v>2.6880769999999998E-2</v>
      </c>
      <c r="Z4006">
        <v>-7.6341619999999904E-4</v>
      </c>
      <c r="AA4006">
        <v>0.99963840000000004</v>
      </c>
      <c r="AB4006">
        <v>32</v>
      </c>
      <c r="AC4006">
        <v>18.648599999999899</v>
      </c>
      <c r="AD4006">
        <v>-1.120842705786</v>
      </c>
      <c r="AE4006">
        <v>-0.60459999999997605</v>
      </c>
      <c r="AF4006">
        <v>0.50933155151935705</v>
      </c>
      <c r="AG4006">
        <v>-1.120842705786</v>
      </c>
      <c r="AH4006">
        <v>18.584331114940699</v>
      </c>
      <c r="AI4006">
        <v>93.450102320118503</v>
      </c>
      <c r="AJ4006">
        <v>88.430115946177096</v>
      </c>
      <c r="AK4006">
        <v>18.625065637206198</v>
      </c>
      <c r="AL4006">
        <v>94.691570749166999</v>
      </c>
      <c r="AM4006">
        <v>89.236872466565501</v>
      </c>
      <c r="AN4006">
        <v>1.00000007011867</v>
      </c>
    </row>
    <row r="4007" spans="1:40" x14ac:dyDescent="0.25">
      <c r="A4007" t="str">
        <f>"20190303154848981"</f>
        <v>20190303154848981</v>
      </c>
      <c r="B4007" t="str">
        <f>"1551599328974577"</f>
        <v>1551599328974577</v>
      </c>
      <c r="C4007" t="s">
        <v>40</v>
      </c>
      <c r="D4007">
        <v>5.20024</v>
      </c>
      <c r="E4007">
        <v>0.50951299999999999</v>
      </c>
      <c r="F4007" t="s">
        <v>52</v>
      </c>
      <c r="G4007">
        <v>-216.36930000000001</v>
      </c>
      <c r="H4007" s="1">
        <v>1.8723559999999999E-6</v>
      </c>
      <c r="I4007">
        <v>214.16489999999999</v>
      </c>
      <c r="J4007">
        <v>-233.75120000000001</v>
      </c>
      <c r="K4007">
        <v>1.120852</v>
      </c>
      <c r="L4007">
        <v>214.88239999999999</v>
      </c>
      <c r="M4007">
        <v>0.99988449999999995</v>
      </c>
      <c r="N4007">
        <v>-1.4387840000000001E-2</v>
      </c>
      <c r="O4007">
        <v>-4.8973200000000001E-3</v>
      </c>
      <c r="P4007">
        <v>0.99529800000000002</v>
      </c>
      <c r="Q4007">
        <v>-9.5347029999999999E-2</v>
      </c>
      <c r="R4007">
        <v>-1.7068259999999998E-2</v>
      </c>
      <c r="S4007">
        <v>2.9937740000000002</v>
      </c>
      <c r="T4007">
        <v>-0.19096550000000001</v>
      </c>
      <c r="U4007">
        <v>-0.1223755</v>
      </c>
      <c r="V4007">
        <v>1.221801E-2</v>
      </c>
      <c r="W4007">
        <v>-8.1012230000000005E-2</v>
      </c>
      <c r="X4007">
        <v>0.99663820000000003</v>
      </c>
      <c r="Y4007">
        <v>3.5865040000000001E-2</v>
      </c>
      <c r="Z4007">
        <v>-1.159137E-3</v>
      </c>
      <c r="AA4007">
        <v>0.99935600000000002</v>
      </c>
      <c r="AB4007">
        <v>32</v>
      </c>
      <c r="AC4007">
        <v>17.381900000000002</v>
      </c>
      <c r="AD4007">
        <v>-1.1208501276439999</v>
      </c>
      <c r="AE4007">
        <v>-0.71750000000000103</v>
      </c>
      <c r="AF4007">
        <v>0.62974373822813101</v>
      </c>
      <c r="AG4007">
        <v>-1.1208501276439999</v>
      </c>
      <c r="AH4007">
        <v>17.3133366395429</v>
      </c>
      <c r="AI4007">
        <v>93.701668051912407</v>
      </c>
      <c r="AJ4007">
        <v>87.916879946224597</v>
      </c>
      <c r="AK4007">
        <v>17.361005379257701</v>
      </c>
      <c r="AL4007">
        <v>94.646751194700201</v>
      </c>
      <c r="AM4007">
        <v>89.297633443251399</v>
      </c>
      <c r="AN4007">
        <v>0.99999998143858604</v>
      </c>
    </row>
    <row r="4008" spans="1:40" x14ac:dyDescent="0.25">
      <c r="A4008" t="str">
        <f>"20190303154849001"</f>
        <v>20190303154849001</v>
      </c>
      <c r="B4008" t="str">
        <f>"1551599328995077"</f>
        <v>1551599328995077</v>
      </c>
      <c r="C4008" t="s">
        <v>40</v>
      </c>
      <c r="D4008">
        <v>5.1914410000000002</v>
      </c>
      <c r="E4008">
        <v>0.51175979999999999</v>
      </c>
      <c r="F4008" t="s">
        <v>52</v>
      </c>
      <c r="G4008">
        <v>-214.7998</v>
      </c>
      <c r="H4008" s="1">
        <v>1.041804E-6</v>
      </c>
      <c r="I4008">
        <v>214.05840000000001</v>
      </c>
      <c r="J4008">
        <v>-233.46690000000001</v>
      </c>
      <c r="K4008">
        <v>1.120868</v>
      </c>
      <c r="L4008">
        <v>214.8811</v>
      </c>
      <c r="M4008">
        <v>0.99988540000000004</v>
      </c>
      <c r="N4008">
        <v>-1.438593E-2</v>
      </c>
      <c r="O4008">
        <v>-4.7241130000000003E-3</v>
      </c>
      <c r="P4008">
        <v>0.99536480000000005</v>
      </c>
      <c r="Q4008">
        <v>-9.4665050000000001E-2</v>
      </c>
      <c r="R4008">
        <v>-1.6960340000000001E-2</v>
      </c>
      <c r="S4008">
        <v>2.9949650000000001</v>
      </c>
      <c r="T4008">
        <v>-0.1771325</v>
      </c>
      <c r="U4008">
        <v>-0.13021849999999999</v>
      </c>
      <c r="V4008">
        <v>1.22833E-2</v>
      </c>
      <c r="W4008">
        <v>-8.0331059999999996E-2</v>
      </c>
      <c r="X4008">
        <v>0.99669249999999998</v>
      </c>
      <c r="Y4008">
        <v>3.8638369999999998E-2</v>
      </c>
      <c r="Z4008">
        <v>-1.2083110000000001E-3</v>
      </c>
      <c r="AA4008">
        <v>0.99925260000000005</v>
      </c>
      <c r="AB4008">
        <v>32</v>
      </c>
      <c r="AC4008">
        <v>18.667100000000001</v>
      </c>
      <c r="AD4008">
        <v>-1.120866958196</v>
      </c>
      <c r="AE4008">
        <v>-0.82269999999999699</v>
      </c>
      <c r="AF4008">
        <v>0.73186265697229202</v>
      </c>
      <c r="AG4008">
        <v>-1.120866958196</v>
      </c>
      <c r="AH4008">
        <v>18.603834202567299</v>
      </c>
      <c r="AI4008">
        <v>93.445201177860994</v>
      </c>
      <c r="AJ4008">
        <v>87.747183209354901</v>
      </c>
      <c r="AK4008">
        <v>18.651933216781</v>
      </c>
      <c r="AL4008">
        <v>94.607595557128903</v>
      </c>
      <c r="AM4008">
        <v>89.293919016091195</v>
      </c>
      <c r="AN4008">
        <v>0.99999994910793</v>
      </c>
    </row>
    <row r="4009" spans="1:40" x14ac:dyDescent="0.25">
      <c r="A4009" t="str">
        <f>"20190303154849024"</f>
        <v>20190303154849024</v>
      </c>
      <c r="B4009" t="str">
        <f>"1551599329014593"</f>
        <v>1551599329014593</v>
      </c>
      <c r="C4009" t="s">
        <v>40</v>
      </c>
      <c r="D4009">
        <v>5.2079050000000002</v>
      </c>
      <c r="E4009">
        <v>0.51338549999999905</v>
      </c>
      <c r="F4009" t="s">
        <v>52</v>
      </c>
      <c r="G4009">
        <v>-213.07089999999999</v>
      </c>
      <c r="H4009" s="1">
        <v>1.2985380000000001E-7</v>
      </c>
      <c r="I4009">
        <v>213.8732</v>
      </c>
      <c r="J4009">
        <v>-233.14510000000001</v>
      </c>
      <c r="K4009">
        <v>1.1208769999999999</v>
      </c>
      <c r="L4009">
        <v>214.87979999999999</v>
      </c>
      <c r="M4009">
        <v>0.99988630000000001</v>
      </c>
      <c r="N4009">
        <v>-1.438357E-2</v>
      </c>
      <c r="O4009">
        <v>-4.5258999999999898E-3</v>
      </c>
      <c r="P4009">
        <v>0.99535830000000003</v>
      </c>
      <c r="Q4009">
        <v>-9.4621140000000006E-2</v>
      </c>
      <c r="R4009">
        <v>-1.757945E-2</v>
      </c>
      <c r="S4009">
        <v>2.9957889999999998</v>
      </c>
      <c r="T4009">
        <v>-0.16463449999999999</v>
      </c>
      <c r="U4009">
        <v>-0.1480408</v>
      </c>
      <c r="V4009">
        <v>1.310069E-2</v>
      </c>
      <c r="W4009">
        <v>-8.0289159999999998E-2</v>
      </c>
      <c r="X4009">
        <v>0.9966855</v>
      </c>
      <c r="Y4009">
        <v>4.4753370000000001E-2</v>
      </c>
      <c r="Z4009">
        <v>-1.36707E-3</v>
      </c>
      <c r="AA4009">
        <v>0.99899720000000003</v>
      </c>
      <c r="AB4009">
        <v>32</v>
      </c>
      <c r="AC4009">
        <v>20.074200000000001</v>
      </c>
      <c r="AD4009">
        <v>-1.1208768701462</v>
      </c>
      <c r="AE4009">
        <v>-1.0065999999999899</v>
      </c>
      <c r="AF4009">
        <v>0.91288746255668196</v>
      </c>
      <c r="AG4009">
        <v>-1.1208768701462</v>
      </c>
      <c r="AH4009">
        <v>20.016301579417</v>
      </c>
      <c r="AI4009">
        <v>93.201791927183905</v>
      </c>
      <c r="AJ4009">
        <v>87.388709450297497</v>
      </c>
      <c r="AK4009">
        <v>20.068434353369302</v>
      </c>
      <c r="AL4009">
        <v>94.6051869343394</v>
      </c>
      <c r="AM4009">
        <v>89.2469329372761</v>
      </c>
      <c r="AN4009">
        <v>0.99999998160111503</v>
      </c>
    </row>
    <row r="4010" spans="1:40" x14ac:dyDescent="0.25">
      <c r="A4010" t="str">
        <f>"20190303154849047"</f>
        <v>20190303154849047</v>
      </c>
      <c r="B4010" t="str">
        <f>"1551599329044851"</f>
        <v>1551599329044851</v>
      </c>
      <c r="C4010" t="s">
        <v>40</v>
      </c>
      <c r="D4010">
        <v>5.2205240000000002</v>
      </c>
      <c r="E4010">
        <v>0.51477890000000004</v>
      </c>
      <c r="F4010" t="s">
        <v>52</v>
      </c>
      <c r="G4010">
        <v>-211.79480000000001</v>
      </c>
      <c r="H4010" s="1">
        <v>-5.4237219999999899E-7</v>
      </c>
      <c r="I4010">
        <v>213.7165</v>
      </c>
      <c r="J4010">
        <v>-232.82210000000001</v>
      </c>
      <c r="K4010">
        <v>1.1208800000000001</v>
      </c>
      <c r="L4010">
        <v>214.8785</v>
      </c>
      <c r="M4010">
        <v>0.99988719999999998</v>
      </c>
      <c r="N4010">
        <v>-1.4381049999999999E-2</v>
      </c>
      <c r="O4010">
        <v>-4.3274790000000004E-3</v>
      </c>
      <c r="P4010">
        <v>0.99532129999999996</v>
      </c>
      <c r="Q4010">
        <v>-9.4758200000000001E-2</v>
      </c>
      <c r="R4010">
        <v>-1.888008E-2</v>
      </c>
      <c r="S4010">
        <v>2.9961700000000002</v>
      </c>
      <c r="T4010">
        <v>-0.1572971</v>
      </c>
      <c r="U4010">
        <v>-0.16325379999999901</v>
      </c>
      <c r="V4010">
        <v>1.459967E-2</v>
      </c>
      <c r="W4010">
        <v>-8.0428609999999998E-2</v>
      </c>
      <c r="X4010">
        <v>0.99665340000000002</v>
      </c>
      <c r="Y4010">
        <v>5.0000370000000002E-2</v>
      </c>
      <c r="Z4010">
        <v>-1.5060529999999901E-3</v>
      </c>
      <c r="AA4010">
        <v>0.99874810000000003</v>
      </c>
      <c r="AB4010">
        <v>32</v>
      </c>
      <c r="AC4010">
        <v>21.0273</v>
      </c>
      <c r="AD4010">
        <v>-1.1208805423721999</v>
      </c>
      <c r="AE4010">
        <v>-1.1619999999999999</v>
      </c>
      <c r="AF4010">
        <v>1.0679591104263899</v>
      </c>
      <c r="AG4010">
        <v>-1.1208805423721999</v>
      </c>
      <c r="AH4010">
        <v>20.972719029825399</v>
      </c>
      <c r="AI4010">
        <v>93.055293768316304</v>
      </c>
      <c r="AJ4010">
        <v>87.084939538357602</v>
      </c>
      <c r="AK4010">
        <v>21.029784909879901</v>
      </c>
      <c r="AL4010">
        <v>94.613202873886095</v>
      </c>
      <c r="AM4010">
        <v>89.160751723927604</v>
      </c>
      <c r="AN4010">
        <v>0.99999995570109901</v>
      </c>
    </row>
    <row r="4011" spans="1:40" x14ac:dyDescent="0.25">
      <c r="A4011" t="str">
        <f>"20190303154849069"</f>
        <v>20190303154849069</v>
      </c>
      <c r="B4011" t="str">
        <f>"1551599329064370"</f>
        <v>1551599329064370</v>
      </c>
      <c r="C4011" t="s">
        <v>40</v>
      </c>
      <c r="D4011">
        <v>5.1692839999999904</v>
      </c>
      <c r="E4011">
        <v>0.51569500000000001</v>
      </c>
      <c r="F4011" t="s">
        <v>52</v>
      </c>
      <c r="G4011">
        <v>-210.35550000000001</v>
      </c>
      <c r="H4011" s="1">
        <v>-1.3005380000000001E-6</v>
      </c>
      <c r="I4011">
        <v>213.53989999999999</v>
      </c>
      <c r="J4011">
        <v>-232.51730000000001</v>
      </c>
      <c r="K4011">
        <v>1.120887</v>
      </c>
      <c r="L4011">
        <v>214.87739999999999</v>
      </c>
      <c r="M4011">
        <v>0.99988809999999995</v>
      </c>
      <c r="N4011">
        <v>-1.437855E-2</v>
      </c>
      <c r="O4011">
        <v>-4.1415970000000003E-3</v>
      </c>
      <c r="P4011">
        <v>0.99529060000000003</v>
      </c>
      <c r="Q4011">
        <v>-9.4866350000000002E-2</v>
      </c>
      <c r="R4011">
        <v>-1.9935970000000001E-2</v>
      </c>
      <c r="S4011">
        <v>2.9964900000000001</v>
      </c>
      <c r="T4011">
        <v>-0.14949809999999999</v>
      </c>
      <c r="U4011">
        <v>-0.17854310000000001</v>
      </c>
      <c r="V4011">
        <v>1.584108E-2</v>
      </c>
      <c r="W4011">
        <v>-8.0539189999999997E-2</v>
      </c>
      <c r="X4011">
        <v>0.99662550000000005</v>
      </c>
      <c r="Y4011">
        <v>5.5257680000000003E-2</v>
      </c>
      <c r="Z4011">
        <v>-1.627475E-3</v>
      </c>
      <c r="AA4011">
        <v>0.99847079999999999</v>
      </c>
      <c r="AB4011">
        <v>32</v>
      </c>
      <c r="AC4011">
        <v>22.161799999999999</v>
      </c>
      <c r="AD4011">
        <v>-1.1208883005379999</v>
      </c>
      <c r="AE4011">
        <v>-1.3374999999999999</v>
      </c>
      <c r="AF4011">
        <v>1.2425268461499499</v>
      </c>
      <c r="AG4011">
        <v>-1.1208883005379999</v>
      </c>
      <c r="AH4011">
        <v>22.110793872682201</v>
      </c>
      <c r="AI4011">
        <v>92.897513899809297</v>
      </c>
      <c r="AJ4011">
        <v>86.783618583470201</v>
      </c>
      <c r="AK4011">
        <v>22.174026905952999</v>
      </c>
      <c r="AL4011">
        <v>94.6195593159011</v>
      </c>
      <c r="AM4011">
        <v>89.089376497385402</v>
      </c>
      <c r="AN4011">
        <v>0.99999994409583404</v>
      </c>
    </row>
    <row r="4012" spans="1:40" x14ac:dyDescent="0.25">
      <c r="A4012" t="str">
        <f>"20190303154849091"</f>
        <v>20190303154849091</v>
      </c>
      <c r="B4012" t="str">
        <f>"1551599329084865"</f>
        <v>1551599329084865</v>
      </c>
      <c r="C4012" t="s">
        <v>40</v>
      </c>
      <c r="D4012">
        <v>5.2497660000000002</v>
      </c>
      <c r="E4012">
        <v>0.51623370000000002</v>
      </c>
      <c r="F4012" t="s">
        <v>47</v>
      </c>
      <c r="G4012">
        <v>-209.75380000000001</v>
      </c>
      <c r="H4012" s="1">
        <v>6.6450839999999997E-6</v>
      </c>
      <c r="I4012">
        <v>213.4418</v>
      </c>
      <c r="J4012">
        <v>-232.19669999999999</v>
      </c>
      <c r="K4012">
        <v>1.120886</v>
      </c>
      <c r="L4012">
        <v>214.87629999999999</v>
      </c>
      <c r="M4012">
        <v>0.99988900000000003</v>
      </c>
      <c r="N4012">
        <v>-1.43757999999999E-2</v>
      </c>
      <c r="O4012">
        <v>-3.9476149999999998E-3</v>
      </c>
      <c r="P4012">
        <v>0.99531080000000005</v>
      </c>
      <c r="Q4012">
        <v>-9.4558879999999998E-2</v>
      </c>
      <c r="R4012">
        <v>-2.037626E-2</v>
      </c>
      <c r="S4012">
        <v>2.996353</v>
      </c>
      <c r="T4012">
        <v>-0.14754129999999999</v>
      </c>
      <c r="U4012">
        <v>-0.18896479999999999</v>
      </c>
      <c r="V4012">
        <v>1.6474450000000002E-2</v>
      </c>
      <c r="W4012">
        <v>-8.0233929999999995E-2</v>
      </c>
      <c r="X4012">
        <v>0.99663990000000002</v>
      </c>
      <c r="Y4012">
        <v>5.8909669999999997E-2</v>
      </c>
      <c r="Z4012">
        <v>-1.734869E-3</v>
      </c>
      <c r="AA4012">
        <v>0.99826179999999998</v>
      </c>
      <c r="AB4012">
        <v>31</v>
      </c>
      <c r="AC4012">
        <v>22.442899999999899</v>
      </c>
      <c r="AD4012">
        <v>-1.1208793549160001</v>
      </c>
      <c r="AE4012">
        <v>-1.4344999999999799</v>
      </c>
      <c r="AF4012">
        <v>1.3425485681763101</v>
      </c>
      <c r="AG4012">
        <v>-1.1208793549160001</v>
      </c>
      <c r="AH4012">
        <v>22.392760109231599</v>
      </c>
      <c r="AI4012">
        <v>92.8604456604332</v>
      </c>
      <c r="AJ4012">
        <v>86.568962579966893</v>
      </c>
      <c r="AK4012">
        <v>22.460955289029499</v>
      </c>
      <c r="AL4012">
        <v>94.6020122045921</v>
      </c>
      <c r="AM4012">
        <v>89.0529874463423</v>
      </c>
      <c r="AN4012">
        <v>0.999999990649028</v>
      </c>
    </row>
    <row r="4013" spans="1:40" x14ac:dyDescent="0.25">
      <c r="A4013" t="str">
        <f>"20190303154849113"</f>
        <v>20190303154849113</v>
      </c>
      <c r="B4013" t="str">
        <f>"1551599329104385"</f>
        <v>1551599329104385</v>
      </c>
      <c r="C4013" t="s">
        <v>40</v>
      </c>
      <c r="D4013">
        <v>5.2445820000000003</v>
      </c>
      <c r="E4013">
        <v>0.51668990000000004</v>
      </c>
      <c r="F4013" t="s">
        <v>47</v>
      </c>
      <c r="G4013">
        <v>-209.30860000000001</v>
      </c>
      <c r="H4013" s="1">
        <v>6.4522169999999997E-6</v>
      </c>
      <c r="I4013">
        <v>213.3895</v>
      </c>
      <c r="J4013">
        <v>-231.89930000000001</v>
      </c>
      <c r="K4013">
        <v>1.1208880000000001</v>
      </c>
      <c r="L4013">
        <v>214.87530000000001</v>
      </c>
      <c r="M4013">
        <v>0.99988969999999999</v>
      </c>
      <c r="N4013">
        <v>-1.4373149999999999E-2</v>
      </c>
      <c r="O4013">
        <v>-3.7685470000000001E-3</v>
      </c>
      <c r="P4013">
        <v>0.99527589999999999</v>
      </c>
      <c r="Q4013">
        <v>-9.4793479999999999E-2</v>
      </c>
      <c r="R4013">
        <v>-2.09873E-2</v>
      </c>
      <c r="S4013">
        <v>2.9962010000000001</v>
      </c>
      <c r="T4013">
        <v>-0.14673029999999901</v>
      </c>
      <c r="U4013">
        <v>-0.19462589999999999</v>
      </c>
      <c r="V4013">
        <v>1.726401E-2</v>
      </c>
      <c r="W4013">
        <v>-8.0471399999999998E-2</v>
      </c>
      <c r="X4013">
        <v>0.99660740000000003</v>
      </c>
      <c r="Y4013">
        <v>6.0967510000000003E-2</v>
      </c>
      <c r="Z4013">
        <v>-1.7992100000000001E-3</v>
      </c>
      <c r="AA4013">
        <v>0.99813810000000003</v>
      </c>
      <c r="AB4013">
        <v>31</v>
      </c>
      <c r="AC4013">
        <v>22.590699999999998</v>
      </c>
      <c r="AD4013">
        <v>-1.1208815477830001</v>
      </c>
      <c r="AE4013">
        <v>-1.48580000000001</v>
      </c>
      <c r="AF4013">
        <v>1.39722162322653</v>
      </c>
      <c r="AG4013">
        <v>-1.1208815477830001</v>
      </c>
      <c r="AH4013">
        <v>22.540886360097399</v>
      </c>
      <c r="AI4013">
        <v>92.841334776694495</v>
      </c>
      <c r="AJ4013">
        <v>86.4529963250245</v>
      </c>
      <c r="AK4013">
        <v>22.611947320109302</v>
      </c>
      <c r="AL4013">
        <v>94.615662323505006</v>
      </c>
      <c r="AM4013">
        <v>89.007577119286594</v>
      </c>
      <c r="AN4013">
        <v>1.000000000997</v>
      </c>
    </row>
    <row r="4014" spans="1:40" x14ac:dyDescent="0.25">
      <c r="A4014" t="str">
        <f>"20190303154849136"</f>
        <v>20190303154849136</v>
      </c>
      <c r="B4014" t="str">
        <f>"1551599329124882"</f>
        <v>1551599329124882</v>
      </c>
      <c r="C4014" t="s">
        <v>40</v>
      </c>
      <c r="D4014">
        <v>5.1908969999999997</v>
      </c>
      <c r="E4014">
        <v>0.51708699999999996</v>
      </c>
      <c r="F4014" t="s">
        <v>47</v>
      </c>
      <c r="G4014">
        <v>-209.19159999999999</v>
      </c>
      <c r="H4014" s="1">
        <v>6.403016E-6</v>
      </c>
      <c r="I4014">
        <v>213.35900000000001</v>
      </c>
      <c r="J4014">
        <v>-231.57650000000001</v>
      </c>
      <c r="K4014">
        <v>1.1208880000000001</v>
      </c>
      <c r="L4014">
        <v>214.87430000000001</v>
      </c>
      <c r="M4014">
        <v>0.99989039999999996</v>
      </c>
      <c r="N4014">
        <v>-1.437021E-2</v>
      </c>
      <c r="O4014">
        <v>-3.5748220000000001E-3</v>
      </c>
      <c r="P4014">
        <v>0.99527080000000001</v>
      </c>
      <c r="Q4014">
        <v>-9.4906500000000005E-2</v>
      </c>
      <c r="R4014">
        <v>-2.070748E-2</v>
      </c>
      <c r="S4014">
        <v>2.9959259999999999</v>
      </c>
      <c r="T4014">
        <v>-0.14788309999999999</v>
      </c>
      <c r="U4014">
        <v>-0.20005800000000001</v>
      </c>
      <c r="V4014">
        <v>1.717726E-2</v>
      </c>
      <c r="W4014">
        <v>-8.0587500000000006E-2</v>
      </c>
      <c r="X4014">
        <v>0.99659949999999997</v>
      </c>
      <c r="Y4014">
        <v>6.2964160000000005E-2</v>
      </c>
      <c r="Z4014">
        <v>-1.879761E-3</v>
      </c>
      <c r="AA4014">
        <v>0.99801399999999996</v>
      </c>
      <c r="AB4014">
        <v>31</v>
      </c>
      <c r="AC4014">
        <v>22.384899999999998</v>
      </c>
      <c r="AD4014">
        <v>-1.12088159698399</v>
      </c>
      <c r="AE4014">
        <v>-1.5152999999999901</v>
      </c>
      <c r="AF4014">
        <v>1.4316867052360001</v>
      </c>
      <c r="AG4014">
        <v>-1.12088159698399</v>
      </c>
      <c r="AH4014">
        <v>22.3344303765899</v>
      </c>
      <c r="AI4014">
        <v>92.867175736765404</v>
      </c>
      <c r="AJ4014">
        <v>86.3322312328159</v>
      </c>
      <c r="AK4014">
        <v>22.4083217270537</v>
      </c>
      <c r="AL4014">
        <v>94.622336119670507</v>
      </c>
      <c r="AM4014">
        <v>89.012555133712596</v>
      </c>
      <c r="AN4014">
        <v>0.99999998340880303</v>
      </c>
    </row>
    <row r="4015" spans="1:40" x14ac:dyDescent="0.25">
      <c r="A4015" t="str">
        <f>"20190303154849158"</f>
        <v>20190303154849158</v>
      </c>
      <c r="B4015" t="str">
        <f>"1551599329155138"</f>
        <v>1551599329155138</v>
      </c>
      <c r="C4015" t="s">
        <v>40</v>
      </c>
      <c r="D4015">
        <v>5.2302819999999999</v>
      </c>
      <c r="E4015">
        <v>0.5174569</v>
      </c>
      <c r="F4015" t="s">
        <v>47</v>
      </c>
      <c r="G4015">
        <v>-208.79769999999999</v>
      </c>
      <c r="H4015" s="1">
        <v>6.2303950000000002E-6</v>
      </c>
      <c r="I4015">
        <v>213.33519999999999</v>
      </c>
      <c r="J4015">
        <v>-231.26939999999999</v>
      </c>
      <c r="K4015">
        <v>1.1208959999999999</v>
      </c>
      <c r="L4015">
        <v>214.8734</v>
      </c>
      <c r="M4015">
        <v>0.99989119999999998</v>
      </c>
      <c r="N4015">
        <v>-1.4367370000000001E-2</v>
      </c>
      <c r="O4015">
        <v>-3.390639E-3</v>
      </c>
      <c r="P4015">
        <v>0.99529840000000003</v>
      </c>
      <c r="Q4015">
        <v>-9.4710390000000005E-2</v>
      </c>
      <c r="R4015">
        <v>-2.0277710000000001E-2</v>
      </c>
      <c r="S4015">
        <v>2.995987</v>
      </c>
      <c r="T4015">
        <v>-0.14742420000000001</v>
      </c>
      <c r="U4015">
        <v>-0.20243839999999999</v>
      </c>
      <c r="V4015">
        <v>1.6930649999999998E-2</v>
      </c>
      <c r="W4015">
        <v>-8.0394010000000002E-2</v>
      </c>
      <c r="X4015">
        <v>0.99661929999999999</v>
      </c>
      <c r="Y4015">
        <v>6.3934909999999998E-2</v>
      </c>
      <c r="Z4015">
        <v>-1.9125780000000001E-3</v>
      </c>
      <c r="AA4015">
        <v>0.99795219999999996</v>
      </c>
      <c r="AB4015">
        <v>31</v>
      </c>
      <c r="AC4015">
        <v>22.471699999999998</v>
      </c>
      <c r="AD4015">
        <v>-1.120889769605</v>
      </c>
      <c r="AE4015">
        <v>-1.53820000000001</v>
      </c>
      <c r="AF4015">
        <v>1.45837832787277</v>
      </c>
      <c r="AG4015">
        <v>-1.120889769605</v>
      </c>
      <c r="AH4015">
        <v>22.421262417028199</v>
      </c>
      <c r="AI4015">
        <v>92.855938323514096</v>
      </c>
      <c r="AJ4015">
        <v>86.278470853383993</v>
      </c>
      <c r="AK4015">
        <v>22.4965835094144</v>
      </c>
      <c r="AL4015">
        <v>94.611214088384401</v>
      </c>
      <c r="AM4015">
        <v>89.026748239832997</v>
      </c>
      <c r="AN4015">
        <v>0.99999993644289398</v>
      </c>
    </row>
    <row r="4016" spans="1:40" x14ac:dyDescent="0.25">
      <c r="A4016" t="str">
        <f>"20190303154849180"</f>
        <v>20190303154849180</v>
      </c>
      <c r="B4016" t="str">
        <f>"1551599329174658"</f>
        <v>1551599329174658</v>
      </c>
      <c r="C4016" t="s">
        <v>40</v>
      </c>
      <c r="D4016">
        <v>5.2096879999999999</v>
      </c>
      <c r="E4016">
        <v>0.51760790000000001</v>
      </c>
      <c r="F4016" t="s">
        <v>47</v>
      </c>
      <c r="G4016">
        <v>-208.38339999999999</v>
      </c>
      <c r="H4016" s="1">
        <v>6.048508E-6</v>
      </c>
      <c r="I4016">
        <v>213.3141</v>
      </c>
      <c r="J4016">
        <v>-230.9573</v>
      </c>
      <c r="K4016">
        <v>1.1208979999999999</v>
      </c>
      <c r="L4016">
        <v>214.8725</v>
      </c>
      <c r="M4016">
        <v>0.9998918</v>
      </c>
      <c r="N4016">
        <v>-1.4364699999999999E-2</v>
      </c>
      <c r="O4016">
        <v>-3.2037160000000001E-3</v>
      </c>
      <c r="P4016">
        <v>0.99535759999999995</v>
      </c>
      <c r="Q4016">
        <v>-9.4236169999999994E-2</v>
      </c>
      <c r="R4016">
        <v>-1.9577669999999998E-2</v>
      </c>
      <c r="S4016">
        <v>2.996048</v>
      </c>
      <c r="T4016">
        <v>-0.14673729999999999</v>
      </c>
      <c r="U4016">
        <v>-0.20413210000000001</v>
      </c>
      <c r="V4016">
        <v>1.6416130000000001E-2</v>
      </c>
      <c r="W4016">
        <v>-7.9921919999999994E-2</v>
      </c>
      <c r="X4016">
        <v>0.99666600000000005</v>
      </c>
      <c r="Y4016">
        <v>6.4681180000000005E-2</v>
      </c>
      <c r="Z4016">
        <v>-1.935972E-3</v>
      </c>
      <c r="AA4016">
        <v>0.99790409999999996</v>
      </c>
      <c r="AB4016">
        <v>31</v>
      </c>
      <c r="AC4016">
        <v>22.573899999999998</v>
      </c>
      <c r="AD4016">
        <v>-1.1208919514919999</v>
      </c>
      <c r="AE4016">
        <v>-1.5584</v>
      </c>
      <c r="AF4016">
        <v>1.48242651739605</v>
      </c>
      <c r="AG4016">
        <v>-1.1208919514919999</v>
      </c>
      <c r="AH4016">
        <v>22.523507825389601</v>
      </c>
      <c r="AI4016">
        <v>92.842857806494607</v>
      </c>
      <c r="AJ4016">
        <v>86.234402890951998</v>
      </c>
      <c r="AK4016">
        <v>22.6000529182298</v>
      </c>
      <c r="AL4016">
        <v>94.584077439200996</v>
      </c>
      <c r="AM4016">
        <v>89.056363996641394</v>
      </c>
      <c r="AN4016">
        <v>1.00000005908833</v>
      </c>
    </row>
    <row r="4017" spans="1:40" x14ac:dyDescent="0.25">
      <c r="A4017" t="str">
        <f>"20190303154849202"</f>
        <v>20190303154849202</v>
      </c>
      <c r="B4017" t="str">
        <f>"1551599329195153"</f>
        <v>1551599329195153</v>
      </c>
      <c r="C4017" t="s">
        <v>40</v>
      </c>
      <c r="D4017">
        <v>5.1720600000000001</v>
      </c>
      <c r="E4017">
        <v>0.51774370000000003</v>
      </c>
      <c r="F4017" t="s">
        <v>47</v>
      </c>
      <c r="G4017">
        <v>-207.7542</v>
      </c>
      <c r="H4017" s="1">
        <v>5.7707819999999998E-6</v>
      </c>
      <c r="I4017">
        <v>213.29920000000001</v>
      </c>
      <c r="J4017">
        <v>-230.64830000000001</v>
      </c>
      <c r="K4017">
        <v>1.120903</v>
      </c>
      <c r="L4017">
        <v>214.87180000000001</v>
      </c>
      <c r="M4017">
        <v>0.99989240000000001</v>
      </c>
      <c r="N4017">
        <v>-1.4361769999999999E-2</v>
      </c>
      <c r="O4017">
        <v>-3.0189359999999998E-3</v>
      </c>
      <c r="P4017">
        <v>0.9954558</v>
      </c>
      <c r="Q4017">
        <v>-9.3440739999999994E-2</v>
      </c>
      <c r="R4017">
        <v>-1.835674E-2</v>
      </c>
      <c r="S4017">
        <v>2.996292</v>
      </c>
      <c r="T4017">
        <v>-0.14474389999999901</v>
      </c>
      <c r="U4017">
        <v>-0.20317080000000001</v>
      </c>
      <c r="V4017">
        <v>1.537842E-2</v>
      </c>
      <c r="W4017">
        <v>-7.9128569999999995E-2</v>
      </c>
      <c r="X4017">
        <v>0.99674580000000002</v>
      </c>
      <c r="Y4017">
        <v>6.4543840000000005E-2</v>
      </c>
      <c r="Z4017">
        <v>-1.9183869999999999E-3</v>
      </c>
      <c r="AA4017">
        <v>0.99791300000000005</v>
      </c>
      <c r="AB4017">
        <v>31</v>
      </c>
      <c r="AC4017">
        <v>22.894100000000002</v>
      </c>
      <c r="AD4017">
        <v>-1.1208972292179999</v>
      </c>
      <c r="AE4017">
        <v>-1.57259999999999</v>
      </c>
      <c r="AF4017">
        <v>1.499891395955</v>
      </c>
      <c r="AG4017">
        <v>-1.1208972292179999</v>
      </c>
      <c r="AH4017">
        <v>22.844241165127901</v>
      </c>
      <c r="AI4017">
        <v>92.803050567827</v>
      </c>
      <c r="AJ4017">
        <v>86.2435050572889</v>
      </c>
      <c r="AK4017">
        <v>22.9208516248557</v>
      </c>
      <c r="AL4017">
        <v>94.538477643855799</v>
      </c>
      <c r="AM4017">
        <v>89.1160748738628</v>
      </c>
      <c r="AN4017">
        <v>1.00000000810479</v>
      </c>
    </row>
    <row r="4018" spans="1:40" x14ac:dyDescent="0.25">
      <c r="A4018" t="str">
        <f>"20190303154849225"</f>
        <v>20190303154849225</v>
      </c>
      <c r="B4018" t="str">
        <f>"1551599329214674"</f>
        <v>1551599329214674</v>
      </c>
      <c r="C4018" t="s">
        <v>40</v>
      </c>
      <c r="D4018">
        <v>5.1747139999999998</v>
      </c>
      <c r="E4018">
        <v>0.51784490000000005</v>
      </c>
      <c r="F4018" t="s">
        <v>47</v>
      </c>
      <c r="G4018">
        <v>-206.99430000000001</v>
      </c>
      <c r="H4018" s="1">
        <v>5.4347520000000004E-6</v>
      </c>
      <c r="I4018">
        <v>213.2885</v>
      </c>
      <c r="J4018">
        <v>-230.33500000000001</v>
      </c>
      <c r="K4018">
        <v>1.1209020000000001</v>
      </c>
      <c r="L4018">
        <v>214.87100000000001</v>
      </c>
      <c r="M4018">
        <v>0.99989300000000003</v>
      </c>
      <c r="N4018">
        <v>-1.435849E-2</v>
      </c>
      <c r="O4018">
        <v>-2.8315300000000001E-3</v>
      </c>
      <c r="P4018">
        <v>0.99555179999999999</v>
      </c>
      <c r="Q4018">
        <v>-9.2635380000000003E-2</v>
      </c>
      <c r="R4018">
        <v>-1.7198040000000001E-2</v>
      </c>
      <c r="S4018">
        <v>2.9966430000000002</v>
      </c>
      <c r="T4018">
        <v>-0.14200289999999999</v>
      </c>
      <c r="U4018">
        <v>-0.2005768</v>
      </c>
      <c r="V4018">
        <v>1.4405660000000001E-2</v>
      </c>
      <c r="W4018">
        <v>-7.8325599999999995E-2</v>
      </c>
      <c r="X4018">
        <v>0.99682369999999998</v>
      </c>
      <c r="Y4018">
        <v>6.3867110000000005E-2</v>
      </c>
      <c r="Z4018">
        <v>-1.8767460000000001E-3</v>
      </c>
      <c r="AA4018">
        <v>0.99795659999999997</v>
      </c>
      <c r="AB4018">
        <v>31</v>
      </c>
      <c r="AC4018">
        <v>23.340699999999998</v>
      </c>
      <c r="AD4018">
        <v>-1.1208965652480001</v>
      </c>
      <c r="AE4018">
        <v>-1.58249999999998</v>
      </c>
      <c r="AF4018">
        <v>1.5129237650232401</v>
      </c>
      <c r="AG4018">
        <v>-1.1208965652480001</v>
      </c>
      <c r="AH4018">
        <v>23.291617649580498</v>
      </c>
      <c r="AI4018">
        <v>92.749417674611905</v>
      </c>
      <c r="AJ4018">
        <v>86.283532489173695</v>
      </c>
      <c r="AK4018">
        <v>23.367601506423501</v>
      </c>
      <c r="AL4018">
        <v>94.492327846299702</v>
      </c>
      <c r="AM4018">
        <v>89.172044097171394</v>
      </c>
      <c r="AN4018">
        <v>0.99999995576854095</v>
      </c>
    </row>
    <row r="4019" spans="1:40" x14ac:dyDescent="0.25">
      <c r="A4019" t="str">
        <f>"20190303154849247"</f>
        <v>20190303154849247</v>
      </c>
      <c r="B4019" t="str">
        <f>"1551599329244930"</f>
        <v>1551599329244930</v>
      </c>
      <c r="C4019" t="s">
        <v>40</v>
      </c>
      <c r="D4019">
        <v>5.165025</v>
      </c>
      <c r="E4019">
        <v>0.51814950000000004</v>
      </c>
      <c r="F4019" t="s">
        <v>47</v>
      </c>
      <c r="G4019">
        <v>-206.33690000000001</v>
      </c>
      <c r="H4019" s="1">
        <v>5.1433670000000003E-6</v>
      </c>
      <c r="I4019">
        <v>213.2868</v>
      </c>
      <c r="J4019">
        <v>-230.0188</v>
      </c>
      <c r="K4019">
        <v>1.12090499999999</v>
      </c>
      <c r="L4019">
        <v>214.87039999999999</v>
      </c>
      <c r="M4019">
        <v>0.99989340000000004</v>
      </c>
      <c r="N4019">
        <v>-1.4355089999999999E-2</v>
      </c>
      <c r="O4019">
        <v>-2.6423359999999999E-3</v>
      </c>
      <c r="P4019">
        <v>0.99563670000000004</v>
      </c>
      <c r="Q4019">
        <v>-9.1970620000000003E-2</v>
      </c>
      <c r="R4019">
        <v>-1.5776220000000001E-2</v>
      </c>
      <c r="S4019">
        <v>2.9969640000000002</v>
      </c>
      <c r="T4019">
        <v>-0.13998139999999901</v>
      </c>
      <c r="U4019">
        <v>-0.19784550000000001</v>
      </c>
      <c r="V4019">
        <v>1.3172049999999999E-2</v>
      </c>
      <c r="W4019">
        <v>-7.7663620000000003E-2</v>
      </c>
      <c r="X4019">
        <v>0.99689260000000002</v>
      </c>
      <c r="Y4019">
        <v>6.314649E-2</v>
      </c>
      <c r="Z4019">
        <v>-1.841051E-3</v>
      </c>
      <c r="AA4019">
        <v>0.99800259999999996</v>
      </c>
      <c r="AB4019">
        <v>31</v>
      </c>
      <c r="AC4019">
        <v>23.681899999999899</v>
      </c>
      <c r="AD4019">
        <v>-1.12089985663299</v>
      </c>
      <c r="AE4019">
        <v>-1.5835999999999899</v>
      </c>
      <c r="AF4019">
        <v>1.5176277187682601</v>
      </c>
      <c r="AG4019">
        <v>-1.12089985663299</v>
      </c>
      <c r="AH4019">
        <v>23.6332928581777</v>
      </c>
      <c r="AI4019">
        <v>92.709864744143403</v>
      </c>
      <c r="AJ4019">
        <v>86.325758060454604</v>
      </c>
      <c r="AK4019">
        <v>23.7084824841609</v>
      </c>
      <c r="AL4019">
        <v>94.454283101653402</v>
      </c>
      <c r="AM4019">
        <v>89.242988706214305</v>
      </c>
      <c r="AN4019">
        <v>0.99999999835373299</v>
      </c>
    </row>
    <row r="4020" spans="1:40" x14ac:dyDescent="0.25">
      <c r="A4020" t="str">
        <f>"20190303154849270"</f>
        <v>20190303154849270</v>
      </c>
      <c r="B4020" t="str">
        <f>"1551599329264451"</f>
        <v>1551599329264451</v>
      </c>
      <c r="C4020" t="s">
        <v>40</v>
      </c>
      <c r="D4020">
        <v>5.1348010000000004</v>
      </c>
      <c r="E4020">
        <v>0.51832069999999997</v>
      </c>
      <c r="F4020" t="s">
        <v>47</v>
      </c>
      <c r="G4020">
        <v>-205.6814</v>
      </c>
      <c r="H4020" s="1">
        <v>4.8534279999999999E-6</v>
      </c>
      <c r="I4020">
        <v>213.27850000000001</v>
      </c>
      <c r="J4020">
        <v>-229.70959999999999</v>
      </c>
      <c r="K4020">
        <v>1.1209129999999901</v>
      </c>
      <c r="L4020">
        <v>214.8698</v>
      </c>
      <c r="M4020">
        <v>0.99989410000000001</v>
      </c>
      <c r="N4020">
        <v>-1.435176E-2</v>
      </c>
      <c r="O4020">
        <v>-2.4569589999999999E-3</v>
      </c>
      <c r="P4020">
        <v>0.99570389999999998</v>
      </c>
      <c r="Q4020">
        <v>-9.1310160000000001E-2</v>
      </c>
      <c r="R4020">
        <v>-1.5369890000000001E-2</v>
      </c>
      <c r="S4020">
        <v>2.9972840000000001</v>
      </c>
      <c r="T4020">
        <v>-0.13804520000000001</v>
      </c>
      <c r="U4020">
        <v>-0.19604489999999999</v>
      </c>
      <c r="V4020">
        <v>1.294964E-2</v>
      </c>
      <c r="W4020">
        <v>-7.7005710000000005E-2</v>
      </c>
      <c r="X4020">
        <v>0.99694660000000002</v>
      </c>
      <c r="Y4020">
        <v>6.2730179999999996E-2</v>
      </c>
      <c r="Z4020">
        <v>-1.8154670000000001E-3</v>
      </c>
      <c r="AA4020">
        <v>0.9980289</v>
      </c>
      <c r="AB4020">
        <v>31</v>
      </c>
      <c r="AC4020">
        <v>24.028199999999998</v>
      </c>
      <c r="AD4020">
        <v>-1.1209081465720001</v>
      </c>
      <c r="AE4020">
        <v>-1.59129999999998</v>
      </c>
      <c r="AF4020">
        <v>1.52894007882123</v>
      </c>
      <c r="AG4020">
        <v>-1.1209081465720001</v>
      </c>
      <c r="AH4020">
        <v>23.980080200212999</v>
      </c>
      <c r="AI4020">
        <v>92.6708306352497</v>
      </c>
      <c r="AJ4020">
        <v>86.351830522275193</v>
      </c>
      <c r="AK4020">
        <v>24.0549026031353</v>
      </c>
      <c r="AL4020">
        <v>94.416474185490102</v>
      </c>
      <c r="AM4020">
        <v>89.255809695183601</v>
      </c>
      <c r="AN4020">
        <v>1.0000000479001401</v>
      </c>
    </row>
    <row r="4021" spans="1:40" x14ac:dyDescent="0.25">
      <c r="A4021" t="str">
        <f>"20190303154849291"</f>
        <v>20190303154849291</v>
      </c>
      <c r="B4021" t="str">
        <f>"1551599329284707"</f>
        <v>1551599329284707</v>
      </c>
      <c r="C4021" t="s">
        <v>40</v>
      </c>
      <c r="D4021">
        <v>5.1036109999999999</v>
      </c>
      <c r="E4021">
        <v>0.51846649999999905</v>
      </c>
      <c r="F4021" t="s">
        <v>47</v>
      </c>
      <c r="G4021">
        <v>-205.06610000000001</v>
      </c>
      <c r="H4021" s="1">
        <v>4.5824789999999998E-6</v>
      </c>
      <c r="I4021">
        <v>213.25630000000001</v>
      </c>
      <c r="J4021">
        <v>-229.4049</v>
      </c>
      <c r="K4021">
        <v>1.120922</v>
      </c>
      <c r="L4021">
        <v>214.86920000000001</v>
      </c>
      <c r="M4021">
        <v>0.99989459999999997</v>
      </c>
      <c r="N4021">
        <v>-1.434845E-2</v>
      </c>
      <c r="O4021">
        <v>-2.2739650000000002E-3</v>
      </c>
      <c r="P4021">
        <v>0.99567969999999895</v>
      </c>
      <c r="Q4021">
        <v>-9.1492119999999996E-2</v>
      </c>
      <c r="R4021">
        <v>-1.5851549999999999E-2</v>
      </c>
      <c r="S4021">
        <v>2.9974210000000001</v>
      </c>
      <c r="T4021">
        <v>-0.1363375</v>
      </c>
      <c r="U4021">
        <v>-0.19624330000000001</v>
      </c>
      <c r="V4021">
        <v>1.36136E-2</v>
      </c>
      <c r="W4021">
        <v>-7.7191109999999993E-2</v>
      </c>
      <c r="X4021">
        <v>0.99692340000000002</v>
      </c>
      <c r="Y4021">
        <v>6.2977050000000007E-2</v>
      </c>
      <c r="Z4021">
        <v>-1.811928E-3</v>
      </c>
      <c r="AA4021">
        <v>0.99801329999999999</v>
      </c>
      <c r="AB4021">
        <v>31</v>
      </c>
      <c r="AC4021">
        <v>24.3387999999999</v>
      </c>
      <c r="AD4021">
        <v>-1.1209174175209999</v>
      </c>
      <c r="AE4021">
        <v>-1.61289999999999</v>
      </c>
      <c r="AF4021">
        <v>1.5542623199338801</v>
      </c>
      <c r="AG4021">
        <v>-1.1209174175209999</v>
      </c>
      <c r="AH4021">
        <v>24.2911079707516</v>
      </c>
      <c r="AI4021">
        <v>92.636665319045704</v>
      </c>
      <c r="AJ4021">
        <v>86.338930277684099</v>
      </c>
      <c r="AK4021">
        <v>24.366577799575801</v>
      </c>
      <c r="AL4021">
        <v>94.427128607989602</v>
      </c>
      <c r="AM4021">
        <v>89.217639644538806</v>
      </c>
      <c r="AN4021">
        <v>1.0000000315177699</v>
      </c>
    </row>
    <row r="4022" spans="1:40" x14ac:dyDescent="0.25">
      <c r="A4022" t="str">
        <f>"20190303154849314"</f>
        <v>20190303154849314</v>
      </c>
      <c r="B4022" t="str">
        <f>"1551599329305204"</f>
        <v>1551599329305204</v>
      </c>
      <c r="C4022" t="s">
        <v>40</v>
      </c>
      <c r="D4022">
        <v>5.1124150000000004</v>
      </c>
      <c r="E4022">
        <v>0.51837040000000001</v>
      </c>
      <c r="F4022" t="s">
        <v>47</v>
      </c>
      <c r="G4022">
        <v>-205.00540000000001</v>
      </c>
      <c r="H4022" s="1">
        <v>4.5559449999999996E-6</v>
      </c>
      <c r="I4022">
        <v>213.25190000000001</v>
      </c>
      <c r="J4022">
        <v>-229.09010000000001</v>
      </c>
      <c r="K4022">
        <v>1.1209290000000001</v>
      </c>
      <c r="L4022">
        <v>214.86869999999999</v>
      </c>
      <c r="M4022">
        <v>0.99989510000000004</v>
      </c>
      <c r="N4022">
        <v>-1.434502E-2</v>
      </c>
      <c r="O4022">
        <v>-2.0848910000000002E-3</v>
      </c>
      <c r="P4022">
        <v>0.99580349999999995</v>
      </c>
      <c r="Q4022">
        <v>-8.9914690000000005E-2</v>
      </c>
      <c r="R4022">
        <v>-1.7068400000000001E-2</v>
      </c>
      <c r="S4022">
        <v>2.9972080000000001</v>
      </c>
      <c r="T4022">
        <v>-0.13769210000000001</v>
      </c>
      <c r="U4022">
        <v>-0.1986694</v>
      </c>
      <c r="V4022">
        <v>1.501769E-2</v>
      </c>
      <c r="W4022">
        <v>-7.5615000000000002E-2</v>
      </c>
      <c r="X4022">
        <v>0.99702400000000002</v>
      </c>
      <c r="Y4022">
        <v>6.3971810000000004E-2</v>
      </c>
      <c r="Z4022">
        <v>-1.860979E-3</v>
      </c>
      <c r="AA4022">
        <v>0.99795</v>
      </c>
      <c r="AB4022">
        <v>31</v>
      </c>
      <c r="AC4022">
        <v>24.084700000000002</v>
      </c>
      <c r="AD4022">
        <v>-1.1209244440549999</v>
      </c>
      <c r="AE4022">
        <v>-1.61679999999998</v>
      </c>
      <c r="AF4022">
        <v>1.5632065455136599</v>
      </c>
      <c r="AG4022">
        <v>-1.1209244440549999</v>
      </c>
      <c r="AH4022">
        <v>24.036188617281901</v>
      </c>
      <c r="AI4022">
        <v>92.664425852894595</v>
      </c>
      <c r="AJ4022">
        <v>86.278978213480997</v>
      </c>
      <c r="AK4022">
        <v>24.113034847541801</v>
      </c>
      <c r="AL4022">
        <v>94.336559520408201</v>
      </c>
      <c r="AM4022">
        <v>89.137046659776402</v>
      </c>
      <c r="AN4022">
        <v>1.00000000790696</v>
      </c>
    </row>
    <row r="4023" spans="1:40" x14ac:dyDescent="0.25">
      <c r="A4023" t="str">
        <f>"20190303154849337"</f>
        <v>20190303154849337</v>
      </c>
      <c r="B4023" t="str">
        <f>"1551599329324724"</f>
        <v>1551599329324724</v>
      </c>
      <c r="C4023" t="s">
        <v>40</v>
      </c>
      <c r="D4023">
        <v>5.0619899999999998</v>
      </c>
      <c r="E4023">
        <v>0.50348329999999997</v>
      </c>
      <c r="F4023" t="s">
        <v>47</v>
      </c>
      <c r="G4023">
        <v>-203.96950000000001</v>
      </c>
      <c r="H4023" s="1">
        <v>4.1030350000000003E-6</v>
      </c>
      <c r="I4023">
        <v>213.1782</v>
      </c>
      <c r="J4023">
        <v>-228.77950000000001</v>
      </c>
      <c r="K4023">
        <v>1.1209389999999999</v>
      </c>
      <c r="L4023">
        <v>214.8683</v>
      </c>
      <c r="M4023">
        <v>0.99989530000000004</v>
      </c>
      <c r="N4023">
        <v>-1.4341649999999999E-2</v>
      </c>
      <c r="O4023">
        <v>-1.8983190000000001E-3</v>
      </c>
      <c r="P4023">
        <v>0.9959443</v>
      </c>
      <c r="Q4023">
        <v>-8.8146039999999995E-2</v>
      </c>
      <c r="R4023">
        <v>-1.8043770000000001E-2</v>
      </c>
      <c r="S4023">
        <v>2.9971009999999998</v>
      </c>
      <c r="T4023">
        <v>-0.1337361</v>
      </c>
      <c r="U4023">
        <v>-0.2016907</v>
      </c>
      <c r="V4023">
        <v>1.6178060000000001E-2</v>
      </c>
      <c r="W4023">
        <v>-7.384752E-2</v>
      </c>
      <c r="X4023">
        <v>0.99713830000000003</v>
      </c>
      <c r="Y4023">
        <v>6.5164509999999995E-2</v>
      </c>
      <c r="Z4023">
        <v>-1.8622790000000001E-3</v>
      </c>
      <c r="AA4023">
        <v>0.9978728</v>
      </c>
      <c r="AB4023">
        <v>31</v>
      </c>
      <c r="AC4023">
        <v>24.81</v>
      </c>
      <c r="AD4023">
        <v>-1.1209348969649999</v>
      </c>
      <c r="AE4023">
        <v>-1.6900999999999999</v>
      </c>
      <c r="AF4023">
        <v>1.6396632257459101</v>
      </c>
      <c r="AG4023">
        <v>-1.1209348969649999</v>
      </c>
      <c r="AH4023">
        <v>24.7628490050549</v>
      </c>
      <c r="AI4023">
        <v>92.586171720584204</v>
      </c>
      <c r="AJ4023">
        <v>86.211710344085802</v>
      </c>
      <c r="AK4023">
        <v>24.842376725753201</v>
      </c>
      <c r="AL4023">
        <v>94.2350064775747</v>
      </c>
      <c r="AM4023">
        <v>89.070486774031806</v>
      </c>
      <c r="AN4023">
        <v>0.99999998758120101</v>
      </c>
    </row>
    <row r="4024" spans="1:40" x14ac:dyDescent="0.25">
      <c r="A4024" t="str">
        <f>"20190303154849358"</f>
        <v>20190303154849358</v>
      </c>
      <c r="B4024" t="str">
        <f>"1551599329354980"</f>
        <v>1551599329354980</v>
      </c>
      <c r="C4024" t="s">
        <v>40</v>
      </c>
      <c r="D4024">
        <v>5.035704</v>
      </c>
      <c r="E4024">
        <v>0.50162759999999995</v>
      </c>
      <c r="F4024" t="s">
        <v>47</v>
      </c>
      <c r="G4024">
        <v>-207.6388</v>
      </c>
      <c r="H4024" s="1">
        <v>5.6348379999999996E-6</v>
      </c>
      <c r="I4024">
        <v>214.26910000000001</v>
      </c>
      <c r="J4024">
        <v>-228.47540000000001</v>
      </c>
      <c r="K4024">
        <v>1.12094</v>
      </c>
      <c r="L4024">
        <v>214.86789999999999</v>
      </c>
      <c r="M4024">
        <v>0.9998958</v>
      </c>
      <c r="N4024">
        <v>-1.4338500000000001E-2</v>
      </c>
      <c r="O4024">
        <v>-1.7155639999999999E-3</v>
      </c>
      <c r="P4024">
        <v>0.99607769999999995</v>
      </c>
      <c r="Q4024">
        <v>-8.6573720000000007E-2</v>
      </c>
      <c r="R4024">
        <v>-1.8293210000000001E-2</v>
      </c>
      <c r="S4024">
        <v>2.996597</v>
      </c>
      <c r="T4024">
        <v>-0.1588869</v>
      </c>
      <c r="U4024">
        <v>-8.4930420000000006E-2</v>
      </c>
      <c r="V4024">
        <v>1.6608689999999999E-2</v>
      </c>
      <c r="W4024">
        <v>-7.2276489999999999E-2</v>
      </c>
      <c r="X4024">
        <v>0.99724630000000003</v>
      </c>
      <c r="Y4024">
        <v>2.6569700000000002E-2</v>
      </c>
      <c r="Z4024">
        <v>-8.2816439999999997E-4</v>
      </c>
      <c r="AA4024">
        <v>0.99964660000000005</v>
      </c>
      <c r="AB4024">
        <v>31</v>
      </c>
      <c r="AC4024">
        <v>20.836600000000001</v>
      </c>
      <c r="AD4024">
        <v>-1.1209343651620001</v>
      </c>
      <c r="AE4024">
        <v>-0.59879999999998201</v>
      </c>
      <c r="AF4024">
        <v>0.56142547026308498</v>
      </c>
      <c r="AG4024">
        <v>-1.1209343651620001</v>
      </c>
      <c r="AH4024">
        <v>20.777515081133</v>
      </c>
      <c r="AI4024">
        <v>93.086954419750995</v>
      </c>
      <c r="AJ4024">
        <v>88.452197746259699</v>
      </c>
      <c r="AK4024">
        <v>20.815302672706199</v>
      </c>
      <c r="AL4024">
        <v>94.144751973477398</v>
      </c>
      <c r="AM4024">
        <v>89.045852693467396</v>
      </c>
      <c r="AN4024">
        <v>0.999999961226962</v>
      </c>
    </row>
    <row r="4025" spans="1:40" x14ac:dyDescent="0.25">
      <c r="A4025" t="str">
        <f>"20190303154849381"</f>
        <v>20190303154849381</v>
      </c>
      <c r="B4025" t="str">
        <f>"1551599329374718"</f>
        <v>1551599329374718</v>
      </c>
      <c r="C4025" t="s">
        <v>40</v>
      </c>
      <c r="D4025">
        <v>4.999733</v>
      </c>
      <c r="E4025">
        <v>0.50194669999999997</v>
      </c>
      <c r="F4025" t="s">
        <v>47</v>
      </c>
      <c r="G4025">
        <v>-207.85409999999999</v>
      </c>
      <c r="H4025" s="1">
        <v>5.72034999999999E-6</v>
      </c>
      <c r="I4025">
        <v>214.38290000000001</v>
      </c>
      <c r="J4025">
        <v>-228.16669999999999</v>
      </c>
      <c r="K4025">
        <v>1.1209450000000001</v>
      </c>
      <c r="L4025">
        <v>214.86760000000001</v>
      </c>
      <c r="M4025">
        <v>0.99989609999999995</v>
      </c>
      <c r="N4025">
        <v>-1.4335260000000001E-2</v>
      </c>
      <c r="O4025">
        <v>-1.5299459999999999E-3</v>
      </c>
      <c r="P4025">
        <v>0.99617029999999995</v>
      </c>
      <c r="Q4025">
        <v>-8.5620790000000002E-2</v>
      </c>
      <c r="R4025">
        <v>-1.771555E-2</v>
      </c>
      <c r="S4025">
        <v>2.9963679999999999</v>
      </c>
      <c r="T4025">
        <v>-0.16287699999999999</v>
      </c>
      <c r="U4025">
        <v>-7.0465089999999994E-2</v>
      </c>
      <c r="V4025">
        <v>1.62156E-2</v>
      </c>
      <c r="W4025">
        <v>-7.1325749999999993E-2</v>
      </c>
      <c r="X4025">
        <v>0.99732120000000002</v>
      </c>
      <c r="Y4025">
        <v>2.1940919999999999E-2</v>
      </c>
      <c r="Z4025">
        <v>-6.9207920000000003E-4</v>
      </c>
      <c r="AA4025">
        <v>0.99975899999999995</v>
      </c>
      <c r="AB4025">
        <v>31</v>
      </c>
      <c r="AC4025">
        <v>20.3126</v>
      </c>
      <c r="AD4025">
        <v>-1.12093927965</v>
      </c>
      <c r="AE4025">
        <v>-0.48470000000000302</v>
      </c>
      <c r="AF4025">
        <v>0.45224261820507999</v>
      </c>
      <c r="AG4025">
        <v>-1.12093927965</v>
      </c>
      <c r="AH4025">
        <v>20.2516800833011</v>
      </c>
      <c r="AI4025">
        <v>93.167325510974507</v>
      </c>
      <c r="AJ4025">
        <v>88.720733917686104</v>
      </c>
      <c r="AK4025">
        <v>20.2877197942686</v>
      </c>
      <c r="AL4025">
        <v>94.090137696717406</v>
      </c>
      <c r="AM4025">
        <v>89.068501116582098</v>
      </c>
      <c r="AN4025">
        <v>0.99999994213292898</v>
      </c>
    </row>
    <row r="4026" spans="1:40" x14ac:dyDescent="0.25">
      <c r="A4026" t="str">
        <f>"20190303154849403"</f>
        <v>20190303154849403</v>
      </c>
      <c r="B4026" t="str">
        <f>"1551599329395211"</f>
        <v>1551599329395211</v>
      </c>
      <c r="C4026" t="s">
        <v>40</v>
      </c>
      <c r="D4026">
        <v>4.9588130000000001</v>
      </c>
      <c r="E4026">
        <v>0.50237349999999903</v>
      </c>
      <c r="F4026" t="s">
        <v>47</v>
      </c>
      <c r="G4026">
        <v>-207.32259999999999</v>
      </c>
      <c r="H4026" s="1">
        <v>5.4856210000000004E-6</v>
      </c>
      <c r="I4026">
        <v>214.37219999999999</v>
      </c>
      <c r="J4026">
        <v>-227.86539999999999</v>
      </c>
      <c r="K4026">
        <v>1.120951</v>
      </c>
      <c r="L4026">
        <v>214.8673</v>
      </c>
      <c r="M4026">
        <v>0.99989649999999997</v>
      </c>
      <c r="N4026">
        <v>-1.4332040000000001E-2</v>
      </c>
      <c r="O4026">
        <v>-1.349215E-3</v>
      </c>
      <c r="P4026">
        <v>0.99630620000000003</v>
      </c>
      <c r="Q4026">
        <v>-8.4165619999999997E-2</v>
      </c>
      <c r="R4026">
        <v>-1.7040299999999901E-2</v>
      </c>
      <c r="S4026">
        <v>2.9963989999999998</v>
      </c>
      <c r="T4026">
        <v>-0.161139</v>
      </c>
      <c r="U4026">
        <v>-7.1212769999999995E-2</v>
      </c>
      <c r="V4026">
        <v>1.5719509999999999E-2</v>
      </c>
      <c r="W4026">
        <v>-6.9872219999999999E-2</v>
      </c>
      <c r="X4026">
        <v>0.99743210000000004</v>
      </c>
      <c r="Y4026">
        <v>2.237053E-2</v>
      </c>
      <c r="Z4026">
        <v>-7.0831309999999897E-4</v>
      </c>
      <c r="AA4026">
        <v>0.99974949999999996</v>
      </c>
      <c r="AB4026">
        <v>31</v>
      </c>
      <c r="AC4026">
        <v>20.5428</v>
      </c>
      <c r="AD4026">
        <v>-1.1209455143789999</v>
      </c>
      <c r="AE4026">
        <v>-0.49510000000000698</v>
      </c>
      <c r="AF4026">
        <v>0.46599336835517502</v>
      </c>
      <c r="AG4026">
        <v>-1.1209455143789999</v>
      </c>
      <c r="AH4026">
        <v>20.482498414083199</v>
      </c>
      <c r="AI4026">
        <v>93.131692038355496</v>
      </c>
      <c r="AJ4026">
        <v>88.696699609612395</v>
      </c>
      <c r="AK4026">
        <v>20.518440728975499</v>
      </c>
      <c r="AL4026">
        <v>94.006647944426206</v>
      </c>
      <c r="AM4026">
        <v>89.097094406467093</v>
      </c>
      <c r="AN4026">
        <v>1.0000000121163799</v>
      </c>
    </row>
    <row r="4027" spans="1:40" x14ac:dyDescent="0.25">
      <c r="A4027" t="str">
        <f>"20190303154849426"</f>
        <v>20190303154849426</v>
      </c>
      <c r="B4027" t="str">
        <f>"1551599329414731"</f>
        <v>1551599329414731</v>
      </c>
      <c r="C4027" t="s">
        <v>40</v>
      </c>
      <c r="D4027">
        <v>5.1089070000000003</v>
      </c>
      <c r="E4027">
        <v>0.50251329999999905</v>
      </c>
      <c r="F4027" t="s">
        <v>47</v>
      </c>
      <c r="G4027">
        <v>-206.05340000000001</v>
      </c>
      <c r="H4027" s="1">
        <v>4.9256739999999998E-6</v>
      </c>
      <c r="I4027">
        <v>214.339</v>
      </c>
      <c r="J4027">
        <v>-227.553</v>
      </c>
      <c r="K4027">
        <v>1.1209639999999901</v>
      </c>
      <c r="L4027">
        <v>214.86709999999999</v>
      </c>
      <c r="M4027">
        <v>0.99989669999999997</v>
      </c>
      <c r="N4027">
        <v>-1.43287E-2</v>
      </c>
      <c r="O4027">
        <v>-1.1618069999999999E-3</v>
      </c>
      <c r="P4027">
        <v>0.99641080000000004</v>
      </c>
      <c r="Q4027">
        <v>-8.3110799999999999E-2</v>
      </c>
      <c r="R4027">
        <v>-1.6068099999999998E-2</v>
      </c>
      <c r="S4027">
        <v>2.9968720000000002</v>
      </c>
      <c r="T4027">
        <v>-0.15401319999999999</v>
      </c>
      <c r="U4027">
        <v>-7.2586059999999994E-2</v>
      </c>
      <c r="V4027">
        <v>1.493364E-2</v>
      </c>
      <c r="W4027">
        <v>-6.8819690000000003E-2</v>
      </c>
      <c r="X4027">
        <v>0.99751730000000005</v>
      </c>
      <c r="Y4027">
        <v>2.3013869999999999E-2</v>
      </c>
      <c r="Z4027">
        <v>-7.1291029999999997E-4</v>
      </c>
      <c r="AA4027">
        <v>0.99973489999999998</v>
      </c>
      <c r="AB4027">
        <v>31</v>
      </c>
      <c r="AC4027">
        <v>21.499599999999901</v>
      </c>
      <c r="AD4027">
        <v>-1.1209590743259901</v>
      </c>
      <c r="AE4027">
        <v>-0.52809999999996604</v>
      </c>
      <c r="AF4027">
        <v>0.50175552737408602</v>
      </c>
      <c r="AG4027">
        <v>-1.1209590743259901</v>
      </c>
      <c r="AH4027">
        <v>21.441945738527799</v>
      </c>
      <c r="AI4027">
        <v>92.991812363996502</v>
      </c>
      <c r="AJ4027">
        <v>88.659486005815197</v>
      </c>
      <c r="AK4027">
        <v>21.4770888369336</v>
      </c>
      <c r="AL4027">
        <v>93.946197081862294</v>
      </c>
      <c r="AM4027">
        <v>89.142299957800006</v>
      </c>
      <c r="AN4027">
        <v>0.99999996356731702</v>
      </c>
    </row>
    <row r="4028" spans="1:40" x14ac:dyDescent="0.25">
      <c r="A4028" t="str">
        <f>"20190303154849447"</f>
        <v>20190303154849447</v>
      </c>
      <c r="B4028" t="str">
        <f>"1551599329444989"</f>
        <v>1551599329444989</v>
      </c>
      <c r="C4028" t="s">
        <v>40</v>
      </c>
      <c r="D4028">
        <v>4.8973000000000004</v>
      </c>
      <c r="E4028">
        <v>0.50257309999999999</v>
      </c>
      <c r="F4028" t="s">
        <v>47</v>
      </c>
      <c r="G4028">
        <v>-204.96940000000001</v>
      </c>
      <c r="H4028" s="1">
        <v>4.4454330000000001E-6</v>
      </c>
      <c r="I4028">
        <v>214.33359999999999</v>
      </c>
      <c r="J4028">
        <v>-227.2499</v>
      </c>
      <c r="K4028">
        <v>1.1209709999999999</v>
      </c>
      <c r="L4028">
        <v>214.86699999999999</v>
      </c>
      <c r="M4028">
        <v>0.99989709999999998</v>
      </c>
      <c r="N4028">
        <v>-1.432549E-2</v>
      </c>
      <c r="O4028">
        <v>-9.7976680000000003E-4</v>
      </c>
      <c r="P4028">
        <v>0.99660059999999995</v>
      </c>
      <c r="Q4028">
        <v>-8.1031489999999998E-2</v>
      </c>
      <c r="R4028">
        <v>-1.4888780000000001E-2</v>
      </c>
      <c r="S4028">
        <v>2.9972690000000002</v>
      </c>
      <c r="T4028">
        <v>-0.1487724</v>
      </c>
      <c r="U4028">
        <v>-7.0800779999999994E-2</v>
      </c>
      <c r="V4028">
        <v>1.39347E-2</v>
      </c>
      <c r="W4028">
        <v>-6.6741469999999997E-2</v>
      </c>
      <c r="X4028">
        <v>0.99767300000000003</v>
      </c>
      <c r="Y4028">
        <v>2.260034E-2</v>
      </c>
      <c r="Z4028">
        <v>-6.8794489999999999E-4</v>
      </c>
      <c r="AA4028">
        <v>0.99974439999999998</v>
      </c>
      <c r="AB4028">
        <v>31</v>
      </c>
      <c r="AC4028">
        <v>22.2804999999999</v>
      </c>
      <c r="AD4028">
        <v>-1.120966554567</v>
      </c>
      <c r="AE4028">
        <v>-0.53340000000002796</v>
      </c>
      <c r="AF4028">
        <v>0.51027691393539398</v>
      </c>
      <c r="AG4028">
        <v>-1.120966554567</v>
      </c>
      <c r="AH4028">
        <v>22.22478764293</v>
      </c>
      <c r="AI4028">
        <v>92.886659446637097</v>
      </c>
      <c r="AJ4028">
        <v>88.684730840209099</v>
      </c>
      <c r="AK4028">
        <v>22.258888883290801</v>
      </c>
      <c r="AL4028">
        <v>93.826849183453604</v>
      </c>
      <c r="AM4028">
        <v>89.199790325212305</v>
      </c>
      <c r="AN4028">
        <v>1.00000000730542</v>
      </c>
    </row>
    <row r="4029" spans="1:40" x14ac:dyDescent="0.25">
      <c r="A4029" t="str">
        <f>"20190303154849472"</f>
        <v>20190303154849472</v>
      </c>
      <c r="B4029" t="str">
        <f>"1551599329464509"</f>
        <v>1551599329464509</v>
      </c>
      <c r="C4029" t="s">
        <v>40</v>
      </c>
      <c r="D4029">
        <v>4.9028640000000001</v>
      </c>
      <c r="E4029">
        <v>0.50255539999999999</v>
      </c>
      <c r="F4029" t="s">
        <v>47</v>
      </c>
      <c r="G4029">
        <v>-203.7183</v>
      </c>
      <c r="H4029" s="1">
        <v>3.8904129999999998E-6</v>
      </c>
      <c r="I4029">
        <v>214.33600000000001</v>
      </c>
      <c r="J4029">
        <v>-226.92150000000001</v>
      </c>
      <c r="K4029">
        <v>1.1209789999999999</v>
      </c>
      <c r="L4029">
        <v>214.86689999999999</v>
      </c>
      <c r="M4029">
        <v>0.99989720000000004</v>
      </c>
      <c r="N4029">
        <v>-1.4322069999999999E-2</v>
      </c>
      <c r="O4029">
        <v>-7.8258639999999997E-4</v>
      </c>
      <c r="P4029">
        <v>0.99677000000000004</v>
      </c>
      <c r="Q4029">
        <v>-7.9085450000000002E-2</v>
      </c>
      <c r="R4029">
        <v>-1.398105E-2</v>
      </c>
      <c r="S4029">
        <v>2.99762</v>
      </c>
      <c r="T4029">
        <v>-0.14279639999999999</v>
      </c>
      <c r="U4029">
        <v>-6.7642209999999994E-2</v>
      </c>
      <c r="V4029">
        <v>1.3222579999999999E-2</v>
      </c>
      <c r="W4029">
        <v>-6.4796889999999996E-2</v>
      </c>
      <c r="X4029">
        <v>0.9978108</v>
      </c>
      <c r="Y4029">
        <v>2.1745460000000001E-2</v>
      </c>
      <c r="Z4029">
        <v>-6.4739210000000003E-4</v>
      </c>
      <c r="AA4029">
        <v>0.99976330000000002</v>
      </c>
      <c r="AB4029">
        <v>31</v>
      </c>
      <c r="AC4029">
        <v>23.203199999999999</v>
      </c>
      <c r="AD4029">
        <v>-1.120975109587</v>
      </c>
      <c r="AE4029">
        <v>-0.53090000000000204</v>
      </c>
      <c r="AF4029">
        <v>0.51154615616662502</v>
      </c>
      <c r="AG4029">
        <v>-1.120975109587</v>
      </c>
      <c r="AH4029">
        <v>23.149606083602599</v>
      </c>
      <c r="AI4029">
        <v>92.771596833298602</v>
      </c>
      <c r="AJ4029">
        <v>88.734118130834403</v>
      </c>
      <c r="AK4029">
        <v>23.182375341887901</v>
      </c>
      <c r="AL4029">
        <v>93.715191460810601</v>
      </c>
      <c r="AM4029">
        <v>89.240784237819099</v>
      </c>
      <c r="AN4029">
        <v>0.99999993308608204</v>
      </c>
    </row>
    <row r="4030" spans="1:40" x14ac:dyDescent="0.25">
      <c r="A4030" t="str">
        <f>"20190303154849492"</f>
        <v>20190303154849492</v>
      </c>
      <c r="B4030" t="str">
        <f>"1551599329484536"</f>
        <v>1551599329484536</v>
      </c>
      <c r="C4030" t="s">
        <v>40</v>
      </c>
      <c r="D4030">
        <v>4.9211369999999999</v>
      </c>
      <c r="E4030">
        <v>0.50209529999999902</v>
      </c>
      <c r="F4030" t="s">
        <v>47</v>
      </c>
      <c r="G4030">
        <v>-202.74449999999999</v>
      </c>
      <c r="H4030" s="1">
        <v>3.457716E-6</v>
      </c>
      <c r="I4030">
        <v>214.34559999999999</v>
      </c>
      <c r="J4030">
        <v>-226.63409999999999</v>
      </c>
      <c r="K4030">
        <v>1.1209830000000001</v>
      </c>
      <c r="L4030">
        <v>214.86680000000001</v>
      </c>
      <c r="M4030">
        <v>0.99989729999999999</v>
      </c>
      <c r="N4030">
        <v>-1.431906E-2</v>
      </c>
      <c r="O4030">
        <v>-6.0996450000000001E-4</v>
      </c>
      <c r="P4030">
        <v>0.99683489999999997</v>
      </c>
      <c r="Q4030">
        <v>-7.826052E-2</v>
      </c>
      <c r="R4030">
        <v>-1.3985610000000001E-2</v>
      </c>
      <c r="S4030">
        <v>2.9977870000000002</v>
      </c>
      <c r="T4030">
        <v>-0.13899349999999999</v>
      </c>
      <c r="U4030">
        <v>-6.4636230000000003E-2</v>
      </c>
      <c r="V4030">
        <v>1.339915E-2</v>
      </c>
      <c r="W4030">
        <v>-6.3974130000000004E-2</v>
      </c>
      <c r="X4030">
        <v>0.99786160000000002</v>
      </c>
      <c r="Y4030">
        <v>2.091732E-2</v>
      </c>
      <c r="Z4030">
        <v>-6.1495899999999999E-4</v>
      </c>
      <c r="AA4030">
        <v>0.99978100000000003</v>
      </c>
      <c r="AB4030">
        <v>31</v>
      </c>
      <c r="AC4030">
        <v>23.889600000000002</v>
      </c>
      <c r="AD4030">
        <v>-1.1209795422840001</v>
      </c>
      <c r="AE4030">
        <v>-0.52120000000002098</v>
      </c>
      <c r="AF4030">
        <v>0.50551409038819894</v>
      </c>
      <c r="AG4030">
        <v>-1.1209795422840001</v>
      </c>
      <c r="AH4030">
        <v>23.837453196981301</v>
      </c>
      <c r="AI4030">
        <v>92.691802190922701</v>
      </c>
      <c r="AJ4030">
        <v>88.785126796933497</v>
      </c>
      <c r="AK4030">
        <v>23.869149849713398</v>
      </c>
      <c r="AL4030">
        <v>93.667952520731703</v>
      </c>
      <c r="AM4030">
        <v>89.230686292097602</v>
      </c>
      <c r="AN4030">
        <v>0.99999999964226904</v>
      </c>
    </row>
    <row r="4031" spans="1:40" x14ac:dyDescent="0.25">
      <c r="A4031" t="str">
        <f>"20190303154849516"</f>
        <v>20190303154849516</v>
      </c>
      <c r="B4031" t="str">
        <f>"1551599329505031"</f>
        <v>1551599329505031</v>
      </c>
      <c r="C4031" t="s">
        <v>40</v>
      </c>
      <c r="D4031">
        <v>4.8985979999999998</v>
      </c>
      <c r="E4031">
        <v>0.50175049999999999</v>
      </c>
      <c r="F4031" t="s">
        <v>47</v>
      </c>
      <c r="G4031">
        <v>-203.2133</v>
      </c>
      <c r="H4031" s="1">
        <v>3.6616199999999999E-6</v>
      </c>
      <c r="I4031">
        <v>214.39150000000001</v>
      </c>
      <c r="J4031">
        <v>-226.3134</v>
      </c>
      <c r="K4031">
        <v>1.1209899999999999</v>
      </c>
      <c r="L4031">
        <v>214.86689999999999</v>
      </c>
      <c r="M4031">
        <v>0.99989749999999999</v>
      </c>
      <c r="N4031">
        <v>-1.4315720000000001E-2</v>
      </c>
      <c r="O4031">
        <v>-4.1731420000000002E-4</v>
      </c>
      <c r="P4031">
        <v>0.99693609999999999</v>
      </c>
      <c r="Q4031">
        <v>-7.702502E-2</v>
      </c>
      <c r="R4031">
        <v>-1.362962E-2</v>
      </c>
      <c r="S4031">
        <v>2.9974059999999998</v>
      </c>
      <c r="T4031">
        <v>-0.1434636</v>
      </c>
      <c r="U4031">
        <v>-6.0836790000000002E-2</v>
      </c>
      <c r="V4031">
        <v>1.3234620000000001E-2</v>
      </c>
      <c r="W4031">
        <v>-6.2740740000000003E-2</v>
      </c>
      <c r="X4031">
        <v>0.99794210000000005</v>
      </c>
      <c r="Y4031">
        <v>1.9845749999999999E-2</v>
      </c>
      <c r="Z4031">
        <v>-6.0280580000000004E-4</v>
      </c>
      <c r="AA4031">
        <v>0.99980290000000005</v>
      </c>
      <c r="AB4031">
        <v>31</v>
      </c>
      <c r="AC4031">
        <v>23.100100000000001</v>
      </c>
      <c r="AD4031">
        <v>-1.1209863383799901</v>
      </c>
      <c r="AE4031">
        <v>-0.47539999999997901</v>
      </c>
      <c r="AF4031">
        <v>0.46466519353922903</v>
      </c>
      <c r="AG4031">
        <v>-1.1209863383799901</v>
      </c>
      <c r="AH4031">
        <v>23.046048180614299</v>
      </c>
      <c r="AI4031">
        <v>92.784172954284202</v>
      </c>
      <c r="AJ4031">
        <v>88.844932221770094</v>
      </c>
      <c r="AK4031">
        <v>23.0779734997706</v>
      </c>
      <c r="AL4031">
        <v>93.597142225313405</v>
      </c>
      <c r="AM4031">
        <v>89.240192974432802</v>
      </c>
      <c r="AN4031">
        <v>0.99999999528735095</v>
      </c>
    </row>
    <row r="4032" spans="1:40" x14ac:dyDescent="0.25">
      <c r="A4032" t="str">
        <f>"20190303154849538"</f>
        <v>20190303154849538</v>
      </c>
      <c r="B4032" t="str">
        <f>"1551599329535287"</f>
        <v>1551599329535287</v>
      </c>
      <c r="C4032" t="s">
        <v>40</v>
      </c>
      <c r="D4032">
        <v>4.8968420000000004</v>
      </c>
      <c r="E4032">
        <v>0.50126789999999999</v>
      </c>
      <c r="F4032" t="s">
        <v>47</v>
      </c>
      <c r="G4032">
        <v>-203.00540000000001</v>
      </c>
      <c r="H4032" s="1">
        <v>3.5664650000000002E-6</v>
      </c>
      <c r="I4032">
        <v>214.42500000000001</v>
      </c>
      <c r="J4032">
        <v>-226.01480000000001</v>
      </c>
      <c r="K4032">
        <v>1.1209960000000001</v>
      </c>
      <c r="L4032">
        <v>214.86689999999999</v>
      </c>
      <c r="M4032">
        <v>0.9998977</v>
      </c>
      <c r="N4032">
        <v>-1.43126E-2</v>
      </c>
      <c r="O4032">
        <v>-2.380169E-4</v>
      </c>
      <c r="P4032">
        <v>0.99705869999999996</v>
      </c>
      <c r="Q4032">
        <v>-7.5503120000000007E-2</v>
      </c>
      <c r="R4032">
        <v>-1.317369E-2</v>
      </c>
      <c r="S4032">
        <v>2.9972989999999999</v>
      </c>
      <c r="T4032">
        <v>-0.14415320000000001</v>
      </c>
      <c r="U4032">
        <v>-5.6823730000000003E-2</v>
      </c>
      <c r="V4032">
        <v>1.29569E-2</v>
      </c>
      <c r="W4032">
        <v>-6.1220490000000002E-2</v>
      </c>
      <c r="X4032">
        <v>0.99804009999999999</v>
      </c>
      <c r="Y4032">
        <v>1.8689009999999999E-2</v>
      </c>
      <c r="Z4032">
        <v>-5.7494709999999995E-4</v>
      </c>
      <c r="AA4032">
        <v>0.99982519999999997</v>
      </c>
      <c r="AB4032">
        <v>31</v>
      </c>
      <c r="AC4032">
        <v>23.009399999999999</v>
      </c>
      <c r="AD4032">
        <v>-1.1209924335350001</v>
      </c>
      <c r="AE4032">
        <v>-0.44189999999997498</v>
      </c>
      <c r="AF4032">
        <v>0.43538977148143998</v>
      </c>
      <c r="AG4032">
        <v>-1.1209924335350001</v>
      </c>
      <c r="AH4032">
        <v>22.955040144558598</v>
      </c>
      <c r="AI4032">
        <v>92.795274093831694</v>
      </c>
      <c r="AJ4032">
        <v>88.913397432545096</v>
      </c>
      <c r="AK4032">
        <v>22.986519012835501</v>
      </c>
      <c r="AL4032">
        <v>93.509870725273501</v>
      </c>
      <c r="AM4032">
        <v>89.256208259755496</v>
      </c>
      <c r="AN4032">
        <v>0.99999993543072796</v>
      </c>
    </row>
    <row r="4033" spans="1:40" x14ac:dyDescent="0.25">
      <c r="A4033" t="str">
        <f>"20190303154849567"</f>
        <v>20190303154849567</v>
      </c>
      <c r="B4033" t="str">
        <f>"1551599329564568"</f>
        <v>1551599329564568</v>
      </c>
      <c r="C4033" t="s">
        <v>40</v>
      </c>
      <c r="D4033">
        <v>4.8984899999999998</v>
      </c>
      <c r="E4033">
        <v>0.50101759999999995</v>
      </c>
      <c r="F4033" t="s">
        <v>47</v>
      </c>
      <c r="G4033">
        <v>-203.14349999999999</v>
      </c>
      <c r="H4033" s="1">
        <v>3.6233300000000001E-6</v>
      </c>
      <c r="I4033">
        <v>214.4751</v>
      </c>
      <c r="J4033">
        <v>-225.79929999999999</v>
      </c>
      <c r="K4033">
        <v>1.1210020000000001</v>
      </c>
      <c r="L4033">
        <v>214.86699999999999</v>
      </c>
      <c r="M4033">
        <v>0.99989760000000005</v>
      </c>
      <c r="N4033">
        <v>-1.431032E-2</v>
      </c>
      <c r="O4033">
        <v>-1.0831129999999999E-4</v>
      </c>
      <c r="P4033">
        <v>0.9971449</v>
      </c>
      <c r="Q4033">
        <v>-7.4423690000000001E-2</v>
      </c>
      <c r="R4033">
        <v>-1.277968E-2</v>
      </c>
      <c r="S4033">
        <v>2.9970400000000001</v>
      </c>
      <c r="T4033">
        <v>-0.14689369999999999</v>
      </c>
      <c r="U4033">
        <v>-5.1345830000000002E-2</v>
      </c>
      <c r="V4033">
        <v>1.269173E-2</v>
      </c>
      <c r="W4033">
        <v>-6.0142340000000002E-2</v>
      </c>
      <c r="X4033">
        <v>0.99810909999999997</v>
      </c>
      <c r="Y4033">
        <v>1.6995059999999999E-2</v>
      </c>
      <c r="Z4033">
        <v>-5.3416480000000001E-4</v>
      </c>
      <c r="AA4033">
        <v>0.99985550000000001</v>
      </c>
      <c r="AB4033">
        <v>31</v>
      </c>
      <c r="AC4033">
        <v>22.655799999999999</v>
      </c>
      <c r="AD4033">
        <v>-1.12099837667</v>
      </c>
      <c r="AE4033">
        <v>-0.39190000000002101</v>
      </c>
      <c r="AF4033">
        <v>0.38849502889237603</v>
      </c>
      <c r="AG4033">
        <v>-1.12099837667</v>
      </c>
      <c r="AH4033">
        <v>22.600527714013499</v>
      </c>
      <c r="AI4033">
        <v>92.839155725515496</v>
      </c>
      <c r="AJ4033">
        <v>89.015202928734993</v>
      </c>
      <c r="AK4033">
        <v>22.631646398348199</v>
      </c>
      <c r="AL4033">
        <v>93.447983078391403</v>
      </c>
      <c r="AM4033">
        <v>89.271479065180898</v>
      </c>
      <c r="AN4033">
        <v>0.99999997828693898</v>
      </c>
    </row>
    <row r="4034" spans="1:40" x14ac:dyDescent="0.25">
      <c r="A4034" t="str">
        <f>"20190303154849583"</f>
        <v>20190303154849583</v>
      </c>
      <c r="B4034" t="str">
        <f>"1551599329575303"</f>
        <v>1551599329575303</v>
      </c>
      <c r="C4034" t="s">
        <v>40</v>
      </c>
      <c r="D4034">
        <v>4.8859709999999996</v>
      </c>
      <c r="E4034">
        <v>0.50097930000000002</v>
      </c>
      <c r="F4034" t="s">
        <v>47</v>
      </c>
      <c r="G4034">
        <v>-203.26730000000001</v>
      </c>
      <c r="H4034" s="1">
        <v>3.6754640000000001E-6</v>
      </c>
      <c r="I4034">
        <v>214.50700000000001</v>
      </c>
      <c r="J4034">
        <v>-225.39930000000001</v>
      </c>
      <c r="K4034">
        <v>1.121016</v>
      </c>
      <c r="L4034">
        <v>214.8673</v>
      </c>
      <c r="M4034">
        <v>0.9998977</v>
      </c>
      <c r="N4034">
        <v>-1.430611E-2</v>
      </c>
      <c r="O4034">
        <v>1.322614E-4</v>
      </c>
      <c r="P4034">
        <v>0.99734089999999997</v>
      </c>
      <c r="Q4034">
        <v>-7.1845259999999994E-2</v>
      </c>
      <c r="R4034">
        <v>-1.223053E-2</v>
      </c>
      <c r="S4034">
        <v>2.9968409999999999</v>
      </c>
      <c r="T4034">
        <v>-0.14909710000000001</v>
      </c>
      <c r="U4034">
        <v>-4.788208E-2</v>
      </c>
      <c r="V4034">
        <v>1.2381619999999999E-2</v>
      </c>
      <c r="W4034">
        <v>-5.7565760000000001E-2</v>
      </c>
      <c r="X4034">
        <v>0.99826490000000001</v>
      </c>
      <c r="Y4034">
        <v>1.6082039999999999E-2</v>
      </c>
      <c r="Z4034">
        <v>-5.196043E-4</v>
      </c>
      <c r="AA4034">
        <v>0.9998705</v>
      </c>
      <c r="AB4034">
        <v>31</v>
      </c>
      <c r="AC4034">
        <v>22.132000000000001</v>
      </c>
      <c r="AD4034">
        <v>-1.121012324536</v>
      </c>
      <c r="AE4034">
        <v>-0.36029999999999501</v>
      </c>
      <c r="AF4034">
        <v>0.36229825979216401</v>
      </c>
      <c r="AG4034">
        <v>-1.121012324536</v>
      </c>
      <c r="AH4034">
        <v>22.075331920222101</v>
      </c>
      <c r="AI4034">
        <v>92.906661803647793</v>
      </c>
      <c r="AJ4034">
        <v>89.059751497923401</v>
      </c>
      <c r="AK4034">
        <v>22.106745758903202</v>
      </c>
      <c r="AL4034">
        <v>93.300099573472906</v>
      </c>
      <c r="AM4034">
        <v>89.289388823938495</v>
      </c>
      <c r="AN4034">
        <v>0.99999996590510498</v>
      </c>
    </row>
    <row r="4035" spans="1:40" x14ac:dyDescent="0.25">
      <c r="A4035" t="str">
        <f>"20190303154849596"</f>
        <v>20190303154849596</v>
      </c>
      <c r="B4035" t="str">
        <f>"1551599329585063"</f>
        <v>1551599329585063</v>
      </c>
      <c r="C4035" t="s">
        <v>40</v>
      </c>
      <c r="D4035">
        <v>4.9478749999999998</v>
      </c>
      <c r="E4035">
        <v>0.50108949999999997</v>
      </c>
      <c r="F4035" t="s">
        <v>47</v>
      </c>
      <c r="G4035">
        <v>-201.96559999999999</v>
      </c>
      <c r="H4035" s="1">
        <v>3.0981090000000001E-6</v>
      </c>
      <c r="I4035">
        <v>214.50800000000001</v>
      </c>
      <c r="J4035">
        <v>-225.2022</v>
      </c>
      <c r="K4035">
        <v>1.121027</v>
      </c>
      <c r="L4035">
        <v>214.8674</v>
      </c>
      <c r="M4035">
        <v>0.99989779999999995</v>
      </c>
      <c r="N4035">
        <v>-1.430405E-2</v>
      </c>
      <c r="O4035">
        <v>2.51115E-4</v>
      </c>
      <c r="P4035">
        <v>0.99750099999999997</v>
      </c>
      <c r="Q4035">
        <v>-6.9686540000000005E-2</v>
      </c>
      <c r="R4035">
        <v>-1.16603E-2</v>
      </c>
      <c r="S4035">
        <v>2.9971009999999998</v>
      </c>
      <c r="T4035">
        <v>-0.14337420000000001</v>
      </c>
      <c r="U4035">
        <v>-4.5944209999999999E-2</v>
      </c>
      <c r="V4035">
        <v>1.1929149999999999E-2</v>
      </c>
      <c r="W4035">
        <v>-5.5407190000000002E-2</v>
      </c>
      <c r="X4035">
        <v>0.99839259999999996</v>
      </c>
      <c r="Y4035">
        <v>1.5555609999999999E-2</v>
      </c>
      <c r="Z4035">
        <v>-4.9160109999999996E-4</v>
      </c>
      <c r="AA4035">
        <v>0.99987890000000001</v>
      </c>
      <c r="AB4035">
        <v>31</v>
      </c>
      <c r="AC4035">
        <v>23.236599999999999</v>
      </c>
      <c r="AD4035">
        <v>-1.121023901891</v>
      </c>
      <c r="AE4035">
        <v>-0.35940000000002198</v>
      </c>
      <c r="AF4035">
        <v>0.36438774403803398</v>
      </c>
      <c r="AG4035">
        <v>-1.121023901891</v>
      </c>
      <c r="AH4035">
        <v>23.1825651264936</v>
      </c>
      <c r="AI4035">
        <v>92.768116038346704</v>
      </c>
      <c r="AJ4035">
        <v>89.099488749012494</v>
      </c>
      <c r="AK4035">
        <v>23.212513841907199</v>
      </c>
      <c r="AL4035">
        <v>93.176224631255707</v>
      </c>
      <c r="AM4035">
        <v>89.315442216593397</v>
      </c>
      <c r="AN4035">
        <v>1.0000000225290799</v>
      </c>
    </row>
    <row r="4036" spans="1:40" x14ac:dyDescent="0.25">
      <c r="A4036" t="str">
        <f>"20190303154849616"</f>
        <v>20190303154849616</v>
      </c>
      <c r="B4036" t="str">
        <f>"1551599329604583"</f>
        <v>1551599329604583</v>
      </c>
      <c r="C4036" t="s">
        <v>40</v>
      </c>
      <c r="D4036">
        <v>4.9257869999999997</v>
      </c>
      <c r="E4036">
        <v>0.50116459999999996</v>
      </c>
      <c r="F4036" t="s">
        <v>47</v>
      </c>
      <c r="G4036">
        <v>-200.6944</v>
      </c>
      <c r="H4036" s="1">
        <v>2.53519E-6</v>
      </c>
      <c r="I4036">
        <v>214.49889999999999</v>
      </c>
      <c r="J4036">
        <v>-224.9495</v>
      </c>
      <c r="K4036">
        <v>1.12104</v>
      </c>
      <c r="L4036">
        <v>214.86770000000001</v>
      </c>
      <c r="M4036">
        <v>0.9998977</v>
      </c>
      <c r="N4036">
        <v>-1.4301410000000001E-2</v>
      </c>
      <c r="O4036">
        <v>4.03469E-4</v>
      </c>
      <c r="P4036">
        <v>0.99767079999999997</v>
      </c>
      <c r="Q4036">
        <v>-6.7270700000000003E-2</v>
      </c>
      <c r="R4036">
        <v>-1.1310880000000001E-2</v>
      </c>
      <c r="S4036">
        <v>2.9974210000000001</v>
      </c>
      <c r="T4036">
        <v>-0.13710649999999999</v>
      </c>
      <c r="U4036">
        <v>-4.5074459999999997E-2</v>
      </c>
      <c r="V4036">
        <v>1.1730859999999999E-2</v>
      </c>
      <c r="W4036">
        <v>-5.2991879999999998E-2</v>
      </c>
      <c r="X4036">
        <v>0.99852600000000002</v>
      </c>
      <c r="Y4036">
        <v>1.541815E-2</v>
      </c>
      <c r="Z4036">
        <v>-4.754351E-4</v>
      </c>
      <c r="AA4036">
        <v>0.99988100000000002</v>
      </c>
      <c r="AB4036">
        <v>31</v>
      </c>
      <c r="AC4036">
        <v>24.255099999999999</v>
      </c>
      <c r="AD4036">
        <v>-1.1210374648100001</v>
      </c>
      <c r="AE4036">
        <v>-0.368800000000021</v>
      </c>
      <c r="AF4036">
        <v>0.37778033800830402</v>
      </c>
      <c r="AG4036">
        <v>-1.1210374648100001</v>
      </c>
      <c r="AH4036">
        <v>24.203259087277502</v>
      </c>
      <c r="AI4036">
        <v>92.651586559201206</v>
      </c>
      <c r="AJ4036">
        <v>89.105762520635196</v>
      </c>
      <c r="AK4036">
        <v>24.232152059344099</v>
      </c>
      <c r="AL4036">
        <v>93.037634002322093</v>
      </c>
      <c r="AM4036">
        <v>89.326910017073502</v>
      </c>
      <c r="AN4036">
        <v>0.99999996254913603</v>
      </c>
    </row>
    <row r="4037" spans="1:40" x14ac:dyDescent="0.25">
      <c r="A4037" t="str">
        <f>"20190303154849638"</f>
        <v>20190303154849638</v>
      </c>
      <c r="B4037" t="str">
        <f>"1551599329634840"</f>
        <v>1551599329634840</v>
      </c>
      <c r="C4037" t="s">
        <v>40</v>
      </c>
      <c r="D4037">
        <v>5.0039899999999999</v>
      </c>
      <c r="E4037">
        <v>0.50126870000000001</v>
      </c>
      <c r="F4037" t="s">
        <v>47</v>
      </c>
      <c r="G4037">
        <v>-199.5412</v>
      </c>
      <c r="H4037" s="1">
        <v>2.2832769999999998E-6</v>
      </c>
      <c r="I4037">
        <v>214.48910000000001</v>
      </c>
      <c r="J4037">
        <v>-224.6455</v>
      </c>
      <c r="K4037">
        <v>1.1210500000000001</v>
      </c>
      <c r="L4037">
        <v>214.86799999999999</v>
      </c>
      <c r="M4037">
        <v>0.9998977</v>
      </c>
      <c r="N4037">
        <v>-1.429822E-2</v>
      </c>
      <c r="O4037">
        <v>5.8687680000000001E-4</v>
      </c>
      <c r="P4037">
        <v>0.99784260000000002</v>
      </c>
      <c r="Q4037">
        <v>-6.4662629999999999E-2</v>
      </c>
      <c r="R4037">
        <v>-1.1372989999999999E-2</v>
      </c>
      <c r="S4037">
        <v>2.9975589999999999</v>
      </c>
      <c r="T4037">
        <v>-0.13225479999999901</v>
      </c>
      <c r="U4037">
        <v>-4.4662479999999997E-2</v>
      </c>
      <c r="V4037">
        <v>1.197517E-2</v>
      </c>
      <c r="W4037">
        <v>-5.0384789999999999E-2</v>
      </c>
      <c r="X4037">
        <v>0.99865809999999999</v>
      </c>
      <c r="Y4037">
        <v>1.546465E-2</v>
      </c>
      <c r="Z4037">
        <v>-4.6910449999999998E-4</v>
      </c>
      <c r="AA4037">
        <v>0.99988030000000006</v>
      </c>
      <c r="AB4037">
        <v>31</v>
      </c>
      <c r="AC4037">
        <v>25.104299999999899</v>
      </c>
      <c r="AD4037">
        <v>-1.121047716723</v>
      </c>
      <c r="AE4037">
        <v>-0.37889999999998702</v>
      </c>
      <c r="AF4037">
        <v>0.392851355254628</v>
      </c>
      <c r="AG4037">
        <v>-1.121047716723</v>
      </c>
      <c r="AH4037">
        <v>25.054123657262799</v>
      </c>
      <c r="AI4037">
        <v>92.561678467111605</v>
      </c>
      <c r="AJ4037">
        <v>89.1016696291709</v>
      </c>
      <c r="AK4037">
        <v>25.082268486002398</v>
      </c>
      <c r="AL4037">
        <v>92.888058602458301</v>
      </c>
      <c r="AM4037">
        <v>89.312984276943595</v>
      </c>
      <c r="AN4037">
        <v>1.00000001622774</v>
      </c>
    </row>
    <row r="4038" spans="1:40" x14ac:dyDescent="0.25">
      <c r="A4038" t="str">
        <f>"20190303154849663"</f>
        <v>20190303154849663</v>
      </c>
      <c r="B4038" t="str">
        <f>"1551599329655335"</f>
        <v>1551599329655335</v>
      </c>
      <c r="C4038" t="s">
        <v>40</v>
      </c>
      <c r="D4038">
        <v>4.8663249999999998</v>
      </c>
      <c r="E4038">
        <v>0.50147959999999903</v>
      </c>
      <c r="F4038" t="s">
        <v>47</v>
      </c>
      <c r="G4038">
        <v>-198.70249999999999</v>
      </c>
      <c r="H4038" s="1">
        <v>2.4334139999999998E-6</v>
      </c>
      <c r="I4038">
        <v>214.4735</v>
      </c>
      <c r="J4038">
        <v>-224.32220000000001</v>
      </c>
      <c r="K4038">
        <v>1.1210629999999999</v>
      </c>
      <c r="L4038">
        <v>214.86840000000001</v>
      </c>
      <c r="M4038">
        <v>0.99989749999999999</v>
      </c>
      <c r="N4038">
        <v>-1.429482E-2</v>
      </c>
      <c r="O4038">
        <v>7.8137349999999998E-4</v>
      </c>
      <c r="P4038">
        <v>0.99802749999999996</v>
      </c>
      <c r="Q4038">
        <v>-6.1713110000000002E-2</v>
      </c>
      <c r="R4038">
        <v>-1.1516780000000001E-2</v>
      </c>
      <c r="S4038">
        <v>2.9975740000000002</v>
      </c>
      <c r="T4038">
        <v>-0.1295307</v>
      </c>
      <c r="U4038">
        <v>-4.5578E-2</v>
      </c>
      <c r="V4038">
        <v>1.231236E-2</v>
      </c>
      <c r="W4038">
        <v>-4.7436260000000001E-2</v>
      </c>
      <c r="X4038">
        <v>0.99879839999999998</v>
      </c>
      <c r="Y4038">
        <v>1.5964409999999998E-2</v>
      </c>
      <c r="Z4038">
        <v>-4.8151329999999998E-4</v>
      </c>
      <c r="AA4038">
        <v>0.99987239999999999</v>
      </c>
      <c r="AB4038">
        <v>30</v>
      </c>
      <c r="AC4038">
        <v>25.619700000000002</v>
      </c>
      <c r="AD4038">
        <v>-1.1210605665859901</v>
      </c>
      <c r="AE4038">
        <v>-0.39490000000000602</v>
      </c>
      <c r="AF4038">
        <v>0.41412772103845502</v>
      </c>
      <c r="AG4038">
        <v>-1.1210605665859901</v>
      </c>
      <c r="AH4038">
        <v>25.570434447950099</v>
      </c>
      <c r="AI4038">
        <v>92.5100287769461</v>
      </c>
      <c r="AJ4038">
        <v>89.072143400625194</v>
      </c>
      <c r="AK4038">
        <v>25.598347532999099</v>
      </c>
      <c r="AL4038">
        <v>92.718917778915298</v>
      </c>
      <c r="AM4038">
        <v>89.293740824883201</v>
      </c>
      <c r="AN4038">
        <v>1.0000000184070501</v>
      </c>
    </row>
    <row r="4039" spans="1:40" x14ac:dyDescent="0.25">
      <c r="A4039" t="str">
        <f>"20190303154849684"</f>
        <v>20190303154849684</v>
      </c>
      <c r="B4039" t="str">
        <f>"1551599329674856"</f>
        <v>1551599329674856</v>
      </c>
      <c r="C4039" t="s">
        <v>40</v>
      </c>
      <c r="D4039">
        <v>4.8921989999999997</v>
      </c>
      <c r="E4039">
        <v>0.5016967</v>
      </c>
      <c r="F4039" t="s">
        <v>47</v>
      </c>
      <c r="G4039">
        <v>-196.8536</v>
      </c>
      <c r="H4039" s="1">
        <v>2.7650490000000001E-6</v>
      </c>
      <c r="I4039">
        <v>214.4314</v>
      </c>
      <c r="J4039">
        <v>-224.02070000000001</v>
      </c>
      <c r="K4039">
        <v>1.121075</v>
      </c>
      <c r="L4039">
        <v>214.86879999999999</v>
      </c>
      <c r="M4039">
        <v>0.99989749999999999</v>
      </c>
      <c r="N4039">
        <v>-1.429163E-2</v>
      </c>
      <c r="O4039">
        <v>9.6317289999999997E-4</v>
      </c>
      <c r="P4039">
        <v>0.99819449999999998</v>
      </c>
      <c r="Q4039">
        <v>-5.8934109999999998E-2</v>
      </c>
      <c r="R4039">
        <v>-1.161355E-2</v>
      </c>
      <c r="S4039">
        <v>2.9978180000000001</v>
      </c>
      <c r="T4039">
        <v>-0.1223485</v>
      </c>
      <c r="U4039">
        <v>-4.769897E-2</v>
      </c>
      <c r="V4039">
        <v>1.258973E-2</v>
      </c>
      <c r="W4039">
        <v>-4.4658299999999998E-2</v>
      </c>
      <c r="X4039">
        <v>0.99892300000000001</v>
      </c>
      <c r="Y4039">
        <v>1.6853079999999999E-2</v>
      </c>
      <c r="Z4039">
        <v>-4.8978339999999996E-4</v>
      </c>
      <c r="AA4039">
        <v>0.99985780000000002</v>
      </c>
      <c r="AB4039">
        <v>30</v>
      </c>
      <c r="AC4039">
        <v>27.167100000000001</v>
      </c>
      <c r="AD4039">
        <v>-1.1210722349510001</v>
      </c>
      <c r="AE4039">
        <v>-0.43739999999999601</v>
      </c>
      <c r="AF4039">
        <v>0.46278123129313598</v>
      </c>
      <c r="AG4039">
        <v>-1.1210722349510001</v>
      </c>
      <c r="AH4039">
        <v>27.120495443304499</v>
      </c>
      <c r="AI4039">
        <v>92.366727640544596</v>
      </c>
      <c r="AJ4039">
        <v>89.022405828038004</v>
      </c>
      <c r="AK4039">
        <v>27.147601045291601</v>
      </c>
      <c r="AL4039">
        <v>92.559583349531394</v>
      </c>
      <c r="AM4039">
        <v>89.277922117520404</v>
      </c>
      <c r="AN4039">
        <v>1.00000001249468</v>
      </c>
    </row>
    <row r="4040" spans="1:40" x14ac:dyDescent="0.25">
      <c r="A4040" t="str">
        <f>"20190303154849706"</f>
        <v>20190303154849706</v>
      </c>
      <c r="B4040" t="str">
        <f>"1551599329695353"</f>
        <v>1551599329695353</v>
      </c>
      <c r="C4040" t="s">
        <v>40</v>
      </c>
      <c r="D4040">
        <v>4.9383509999999999</v>
      </c>
      <c r="E4040">
        <v>0.50181220000000004</v>
      </c>
      <c r="F4040" t="s">
        <v>47</v>
      </c>
      <c r="G4040">
        <v>-195.03960000000001</v>
      </c>
      <c r="H4040" s="1">
        <v>3.0905279999999998E-6</v>
      </c>
      <c r="I4040">
        <v>214.38900000000001</v>
      </c>
      <c r="J4040">
        <v>-223.72819999999999</v>
      </c>
      <c r="K4040">
        <v>1.121086</v>
      </c>
      <c r="L4040">
        <v>214.86930000000001</v>
      </c>
      <c r="M4040">
        <v>0.99989740000000005</v>
      </c>
      <c r="N4040">
        <v>-1.4288500000000001E-2</v>
      </c>
      <c r="O4040">
        <v>1.139433E-3</v>
      </c>
      <c r="P4040">
        <v>0.99828470000000002</v>
      </c>
      <c r="Q4040">
        <v>-5.7306059999999999E-2</v>
      </c>
      <c r="R4040">
        <v>-1.2009290000000001E-2</v>
      </c>
      <c r="S4040">
        <v>2.9980159999999998</v>
      </c>
      <c r="T4040">
        <v>-0.11597200000000001</v>
      </c>
      <c r="U4040">
        <v>-4.9636840000000002E-2</v>
      </c>
      <c r="V4040">
        <v>1.316088E-2</v>
      </c>
      <c r="W4040">
        <v>-4.3032099999999997E-2</v>
      </c>
      <c r="X4040">
        <v>0.99898699999999996</v>
      </c>
      <c r="Y4040">
        <v>1.767523E-2</v>
      </c>
      <c r="Z4040">
        <v>-4.9585030000000004E-4</v>
      </c>
      <c r="AA4040">
        <v>0.9998437</v>
      </c>
      <c r="AB4040">
        <v>30</v>
      </c>
      <c r="AC4040">
        <v>28.688599999999902</v>
      </c>
      <c r="AD4040">
        <v>-1.1210829094720001</v>
      </c>
      <c r="AE4040">
        <v>-0.48029999999999901</v>
      </c>
      <c r="AF4040">
        <v>0.51220980159381602</v>
      </c>
      <c r="AG4040">
        <v>-1.1210829094720001</v>
      </c>
      <c r="AH4040">
        <v>28.644304666729301</v>
      </c>
      <c r="AI4040">
        <v>92.240944628147005</v>
      </c>
      <c r="AJ4040">
        <v>88.975561362526406</v>
      </c>
      <c r="AK4040">
        <v>28.6708105154209</v>
      </c>
      <c r="AL4040">
        <v>92.466319290139495</v>
      </c>
      <c r="AM4040">
        <v>89.245216145840899</v>
      </c>
      <c r="AN4040">
        <v>0.99999999828089203</v>
      </c>
    </row>
    <row r="4041" spans="1:40" x14ac:dyDescent="0.25">
      <c r="A4041" t="str">
        <f>"20190303154849727"</f>
        <v>20190303154849727</v>
      </c>
      <c r="B4041" t="str">
        <f>"1551599329724632"</f>
        <v>1551599329724632</v>
      </c>
      <c r="C4041" t="s">
        <v>40</v>
      </c>
      <c r="D4041">
        <v>4.9117300000000004</v>
      </c>
      <c r="E4041">
        <v>0.50178719999999999</v>
      </c>
      <c r="F4041" t="s">
        <v>47</v>
      </c>
      <c r="G4041">
        <v>-194.26740000000001</v>
      </c>
      <c r="H4041" s="1">
        <v>3.2298960000000001E-6</v>
      </c>
      <c r="I4041">
        <v>214.36160000000001</v>
      </c>
      <c r="J4041">
        <v>-223.43450000000001</v>
      </c>
      <c r="K4041">
        <v>1.1210960000000001</v>
      </c>
      <c r="L4041">
        <v>214.8698</v>
      </c>
      <c r="M4041">
        <v>0.99989720000000004</v>
      </c>
      <c r="N4041">
        <v>-1.428537E-2</v>
      </c>
      <c r="O4041">
        <v>1.3163459999999999E-3</v>
      </c>
      <c r="P4041">
        <v>0.99838170000000004</v>
      </c>
      <c r="Q4041">
        <v>-5.5486349999999997E-2</v>
      </c>
      <c r="R4041">
        <v>-1.2484729999999999E-2</v>
      </c>
      <c r="S4041">
        <v>2.9979710000000002</v>
      </c>
      <c r="T4041">
        <v>-0.11408310000000001</v>
      </c>
      <c r="U4041">
        <v>-5.1666259999999999E-2</v>
      </c>
      <c r="V4041">
        <v>1.381245E-2</v>
      </c>
      <c r="W4041">
        <v>-4.1214170000000001E-2</v>
      </c>
      <c r="X4041">
        <v>0.99905480000000002</v>
      </c>
      <c r="Y4041">
        <v>1.8528639999999999E-2</v>
      </c>
      <c r="Z4041">
        <v>-5.1608220000000002E-4</v>
      </c>
      <c r="AA4041">
        <v>0.99982819999999994</v>
      </c>
      <c r="AB4041">
        <v>30</v>
      </c>
      <c r="AC4041">
        <v>29.167100000000001</v>
      </c>
      <c r="AD4041">
        <v>-1.1210927701040001</v>
      </c>
      <c r="AE4041">
        <v>-0.50819999999998799</v>
      </c>
      <c r="AF4041">
        <v>0.54579136439662401</v>
      </c>
      <c r="AG4041">
        <v>-1.1210927701040001</v>
      </c>
      <c r="AH4041">
        <v>29.123391996608699</v>
      </c>
      <c r="AI4041">
        <v>92.204101918988897</v>
      </c>
      <c r="AJ4041">
        <v>88.926365394910903</v>
      </c>
      <c r="AK4041">
        <v>29.150072017076798</v>
      </c>
      <c r="AL4041">
        <v>92.362067159404603</v>
      </c>
      <c r="AM4041">
        <v>89.207906641563497</v>
      </c>
      <c r="AN4041">
        <v>0.99999994249341395</v>
      </c>
    </row>
    <row r="4042" spans="1:40" x14ac:dyDescent="0.25">
      <c r="A4042" t="str">
        <f>"20190303154849750"</f>
        <v>20190303154849750</v>
      </c>
      <c r="B4042" t="str">
        <f>"1551599329745131"</f>
        <v>1551599329745131</v>
      </c>
      <c r="C4042" t="s">
        <v>40</v>
      </c>
      <c r="D4042">
        <v>4.9901629999999999</v>
      </c>
      <c r="E4042">
        <v>0.50177459999999996</v>
      </c>
      <c r="F4042" t="s">
        <v>47</v>
      </c>
      <c r="G4042">
        <v>-193.91579999999999</v>
      </c>
      <c r="H4042" s="1">
        <v>3.2933650000000002E-6</v>
      </c>
      <c r="I4042">
        <v>214.34909999999999</v>
      </c>
      <c r="J4042">
        <v>-223.12870000000001</v>
      </c>
      <c r="K4042">
        <v>1.121105</v>
      </c>
      <c r="L4042">
        <v>214.87039999999999</v>
      </c>
      <c r="M4042">
        <v>0.99989689999999998</v>
      </c>
      <c r="N4042">
        <v>-1.4282120000000001E-2</v>
      </c>
      <c r="O4042">
        <v>1.5006520000000001E-3</v>
      </c>
      <c r="P4042">
        <v>0.99843340000000003</v>
      </c>
      <c r="Q4042">
        <v>-5.4375609999999998E-2</v>
      </c>
      <c r="R4042">
        <v>-1.31988E-2</v>
      </c>
      <c r="S4042">
        <v>2.9978790000000002</v>
      </c>
      <c r="T4042">
        <v>-0.11385670000000001</v>
      </c>
      <c r="U4042">
        <v>-5.2886959999999997E-2</v>
      </c>
      <c r="V4042">
        <v>1.4710350000000001E-2</v>
      </c>
      <c r="W4042">
        <v>-4.0105830000000002E-2</v>
      </c>
      <c r="X4042">
        <v>0.99908719999999995</v>
      </c>
      <c r="Y4042">
        <v>1.9119879999999999E-2</v>
      </c>
      <c r="Z4042">
        <v>-5.3508169999999999E-4</v>
      </c>
      <c r="AA4042">
        <v>0.99981710000000001</v>
      </c>
      <c r="AB4042">
        <v>30</v>
      </c>
      <c r="AC4042">
        <v>29.212900000000001</v>
      </c>
      <c r="AD4042">
        <v>-1.121101706635</v>
      </c>
      <c r="AE4042">
        <v>-0.52129999999999599</v>
      </c>
      <c r="AF4042">
        <v>0.56431143315976495</v>
      </c>
      <c r="AG4042">
        <v>-1.121101706635</v>
      </c>
      <c r="AH4042">
        <v>29.169138405132401</v>
      </c>
      <c r="AI4042">
        <v>92.200640775699696</v>
      </c>
      <c r="AJ4042">
        <v>88.891683732943605</v>
      </c>
      <c r="AK4042">
        <v>29.196129053831498</v>
      </c>
      <c r="AL4042">
        <v>92.298511136929307</v>
      </c>
      <c r="AM4042">
        <v>89.156449935914793</v>
      </c>
      <c r="AN4042">
        <v>1.00000005260047</v>
      </c>
    </row>
    <row r="4043" spans="1:40" x14ac:dyDescent="0.25">
      <c r="A4043" t="str">
        <f>"20190303154849766"</f>
        <v>20190303154849766</v>
      </c>
      <c r="B4043" t="str">
        <f>"1551599329754887"</f>
        <v>1551599329754887</v>
      </c>
      <c r="C4043" t="s">
        <v>40</v>
      </c>
      <c r="D4043">
        <v>4.9770849999999998</v>
      </c>
      <c r="E4043">
        <v>0.50177459999999996</v>
      </c>
      <c r="F4043" t="s">
        <v>47</v>
      </c>
      <c r="G4043">
        <v>-193.78710000000001</v>
      </c>
      <c r="H4043" s="1">
        <v>3.3174979999999999E-6</v>
      </c>
      <c r="I4043">
        <v>214.33410000000001</v>
      </c>
      <c r="J4043">
        <v>-222.90770000000001</v>
      </c>
      <c r="K4043">
        <v>1.1211059999999999</v>
      </c>
      <c r="L4043">
        <v>214.87090000000001</v>
      </c>
      <c r="M4043">
        <v>0.99989680000000003</v>
      </c>
      <c r="N4043">
        <v>-1.4279760000000001E-2</v>
      </c>
      <c r="O4043">
        <v>1.6335760000000001E-3</v>
      </c>
      <c r="P4043">
        <v>0.99846020000000002</v>
      </c>
      <c r="Q4043">
        <v>-5.3814750000000001E-2</v>
      </c>
      <c r="R4043">
        <v>-1.346675E-2</v>
      </c>
      <c r="S4043">
        <v>2.9977420000000001</v>
      </c>
      <c r="T4043">
        <v>-0.1145395</v>
      </c>
      <c r="U4043">
        <v>-5.4794309999999999E-2</v>
      </c>
      <c r="V4043">
        <v>1.511085E-2</v>
      </c>
      <c r="W4043">
        <v>-3.9546909999999998E-2</v>
      </c>
      <c r="X4043">
        <v>0.99910339999999997</v>
      </c>
      <c r="Y4043">
        <v>1.988852E-2</v>
      </c>
      <c r="Z4043">
        <v>-5.6094589999999996E-4</v>
      </c>
      <c r="AA4043">
        <v>0.99980210000000003</v>
      </c>
      <c r="AB4043">
        <v>30</v>
      </c>
      <c r="AC4043">
        <v>29.1206</v>
      </c>
      <c r="AD4043">
        <v>-1.1211026825019901</v>
      </c>
      <c r="AE4043">
        <v>-0.53679999999999894</v>
      </c>
      <c r="AF4043">
        <v>0.58351029119223696</v>
      </c>
      <c r="AG4043">
        <v>-1.1211026825019901</v>
      </c>
      <c r="AH4043">
        <v>29.076603095362199</v>
      </c>
      <c r="AI4043">
        <v>92.207607880396694</v>
      </c>
      <c r="AJ4043">
        <v>88.850340602287204</v>
      </c>
      <c r="AK4043">
        <v>29.1040581886765</v>
      </c>
      <c r="AL4043">
        <v>92.266462186705496</v>
      </c>
      <c r="AM4043">
        <v>89.133501173931293</v>
      </c>
      <c r="AN4043">
        <v>0.99999994988491303</v>
      </c>
    </row>
    <row r="4044" spans="1:40" x14ac:dyDescent="0.25">
      <c r="A4044" t="str">
        <f>"20190303154849783"</f>
        <v>20190303154849783</v>
      </c>
      <c r="B4044" t="str">
        <f>"1551599329775384"</f>
        <v>1551599329775384</v>
      </c>
      <c r="C4044" t="s">
        <v>40</v>
      </c>
      <c r="D4044">
        <v>5.0052120000000002</v>
      </c>
      <c r="E4044">
        <v>0.49913780000000002</v>
      </c>
      <c r="F4044" t="s">
        <v>47</v>
      </c>
      <c r="G4044">
        <v>-193.13069999999999</v>
      </c>
      <c r="H4044" s="1">
        <v>3.43518E-6</v>
      </c>
      <c r="I4044">
        <v>214.31979999999999</v>
      </c>
      <c r="J4044">
        <v>-222.68610000000001</v>
      </c>
      <c r="K4044">
        <v>1.1211100000000001</v>
      </c>
      <c r="L4044">
        <v>214.87139999999999</v>
      </c>
      <c r="M4044">
        <v>0.99989649999999997</v>
      </c>
      <c r="N4044">
        <v>-1.4277389999999999E-2</v>
      </c>
      <c r="O4044">
        <v>1.7675119999999999E-3</v>
      </c>
      <c r="P4044">
        <v>0.99847070000000004</v>
      </c>
      <c r="Q4044">
        <v>-5.332448E-2</v>
      </c>
      <c r="R4044">
        <v>-1.4598689999999999E-2</v>
      </c>
      <c r="S4044">
        <v>2.9978180000000001</v>
      </c>
      <c r="T4044">
        <v>-0.1128677</v>
      </c>
      <c r="U4044">
        <v>-5.5480960000000003E-2</v>
      </c>
      <c r="V4044">
        <v>1.6376109999999999E-2</v>
      </c>
      <c r="W4044">
        <v>-3.9058570000000001E-2</v>
      </c>
      <c r="X4044">
        <v>0.99910270000000001</v>
      </c>
      <c r="Y4044">
        <v>2.0251040000000001E-2</v>
      </c>
      <c r="Z4044">
        <v>-5.6700290000000003E-4</v>
      </c>
      <c r="AA4044">
        <v>0.99979479999999998</v>
      </c>
      <c r="AB4044">
        <v>30</v>
      </c>
      <c r="AC4044">
        <v>29.555399999999999</v>
      </c>
      <c r="AD4044">
        <v>-1.12110656482</v>
      </c>
      <c r="AE4044">
        <v>-0.55160000000000697</v>
      </c>
      <c r="AF4044">
        <v>0.60297668801030702</v>
      </c>
      <c r="AG4044">
        <v>-1.12110656482</v>
      </c>
      <c r="AH4044">
        <v>29.511929861411598</v>
      </c>
      <c r="AI4044">
        <v>92.175066777640495</v>
      </c>
      <c r="AJ4044">
        <v>88.829516966128693</v>
      </c>
      <c r="AK4044">
        <v>29.539371438147501</v>
      </c>
      <c r="AL4044">
        <v>92.2384606679489</v>
      </c>
      <c r="AM4044">
        <v>89.060959423441503</v>
      </c>
      <c r="AN4044">
        <v>0.99999997700823295</v>
      </c>
    </row>
    <row r="4045" spans="1:40" x14ac:dyDescent="0.25">
      <c r="A4045" t="str">
        <f>"20190303154849798"</f>
        <v>20190303154849798</v>
      </c>
      <c r="B4045" t="str">
        <f>"1551599329794904"</f>
        <v>1551599329794904</v>
      </c>
      <c r="C4045" t="s">
        <v>40</v>
      </c>
      <c r="D4045">
        <v>5.033766</v>
      </c>
      <c r="E4045">
        <v>0.49916270000000001</v>
      </c>
      <c r="F4045" t="s">
        <v>47</v>
      </c>
      <c r="G4045">
        <v>-207.9051</v>
      </c>
      <c r="H4045" s="1">
        <v>5.7155389999999998E-6</v>
      </c>
      <c r="I4045">
        <v>214.6968</v>
      </c>
      <c r="J4045">
        <v>-222.46279999999999</v>
      </c>
      <c r="K4045">
        <v>1.1211089999999999</v>
      </c>
      <c r="L4045">
        <v>214.87200000000001</v>
      </c>
      <c r="M4045">
        <v>0.99989640000000002</v>
      </c>
      <c r="N4045">
        <v>-1.4275009999999999E-2</v>
      </c>
      <c r="O4045">
        <v>1.9022220000000001E-3</v>
      </c>
      <c r="P4045">
        <v>0.99847680000000005</v>
      </c>
      <c r="Q4045">
        <v>-5.3084560000000003E-2</v>
      </c>
      <c r="R4045">
        <v>-1.504863E-2</v>
      </c>
      <c r="S4045">
        <v>2.991959</v>
      </c>
      <c r="T4045">
        <v>-0.22693340000000001</v>
      </c>
      <c r="U4045">
        <v>-3.5354610000000002E-2</v>
      </c>
      <c r="V4045">
        <v>1.6960570000000001E-2</v>
      </c>
      <c r="W4045">
        <v>-3.8820830000000001E-2</v>
      </c>
      <c r="X4045">
        <v>0.99910220000000005</v>
      </c>
      <c r="Y4045">
        <v>1.366772E-2</v>
      </c>
      <c r="Z4045">
        <v>-7.3224429999999897E-4</v>
      </c>
      <c r="AA4045">
        <v>0.99990630000000003</v>
      </c>
      <c r="AB4045">
        <v>30</v>
      </c>
      <c r="AC4045">
        <v>14.557699999999899</v>
      </c>
      <c r="AD4045">
        <v>-1.1211032844609901</v>
      </c>
      <c r="AE4045">
        <v>-0.17520000000001701</v>
      </c>
      <c r="AF4045">
        <v>0.20169844018371499</v>
      </c>
      <c r="AG4045">
        <v>-1.1211032844609901</v>
      </c>
      <c r="AH4045">
        <v>14.471526546698801</v>
      </c>
      <c r="AI4045">
        <v>94.429404483577002</v>
      </c>
      <c r="AJ4045">
        <v>89.201485683009395</v>
      </c>
      <c r="AK4045">
        <v>14.5162886244043</v>
      </c>
      <c r="AL4045">
        <v>92.224828863687605</v>
      </c>
      <c r="AM4045">
        <v>89.027451097862496</v>
      </c>
      <c r="AN4045">
        <v>0.99999996191072604</v>
      </c>
    </row>
    <row r="4046" spans="1:40" x14ac:dyDescent="0.25">
      <c r="A4046" t="str">
        <f>"20190303154849818"</f>
        <v>20190303154849818</v>
      </c>
      <c r="B4046" t="str">
        <f>"1551599329804664"</f>
        <v>1551599329804664</v>
      </c>
      <c r="C4046" t="s">
        <v>40</v>
      </c>
      <c r="D4046">
        <v>5.0342449999999896</v>
      </c>
      <c r="E4046">
        <v>0.49882870000000001</v>
      </c>
      <c r="F4046" t="s">
        <v>47</v>
      </c>
      <c r="G4046">
        <v>-207.66249999999999</v>
      </c>
      <c r="H4046" s="1">
        <v>5.608646E-6</v>
      </c>
      <c r="I4046">
        <v>214.6891</v>
      </c>
      <c r="J4046">
        <v>-222.21799999999999</v>
      </c>
      <c r="K4046">
        <v>1.1211089999999999</v>
      </c>
      <c r="L4046">
        <v>214.87260000000001</v>
      </c>
      <c r="M4046">
        <v>0.99989600000000001</v>
      </c>
      <c r="N4046">
        <v>-1.4272389999999999E-2</v>
      </c>
      <c r="O4046">
        <v>2.0501059999999999E-3</v>
      </c>
      <c r="P4046">
        <v>0.99845170000000005</v>
      </c>
      <c r="Q4046">
        <v>-5.3258149999999997E-2</v>
      </c>
      <c r="R4046">
        <v>-1.605148E-2</v>
      </c>
      <c r="S4046">
        <v>2.991959</v>
      </c>
      <c r="T4046">
        <v>-0.22663800000000001</v>
      </c>
      <c r="U4046">
        <v>-3.6972049999999999E-2</v>
      </c>
      <c r="V4046">
        <v>1.811128E-2</v>
      </c>
      <c r="W4046">
        <v>-3.89971E-2</v>
      </c>
      <c r="X4046">
        <v>0.99907520000000005</v>
      </c>
      <c r="Y4046">
        <v>1.4353579999999999E-2</v>
      </c>
      <c r="Z4046">
        <v>-7.7128949999999896E-4</v>
      </c>
      <c r="AA4046">
        <v>0.99989669999999997</v>
      </c>
      <c r="AB4046">
        <v>30</v>
      </c>
      <c r="AC4046">
        <v>14.555499999999901</v>
      </c>
      <c r="AD4046">
        <v>-1.1211033913539901</v>
      </c>
      <c r="AE4046">
        <v>-0.18350000000000899</v>
      </c>
      <c r="AF4046">
        <v>0.212084980907046</v>
      </c>
      <c r="AG4046">
        <v>-1.1211033913539901</v>
      </c>
      <c r="AH4046">
        <v>14.469268013828399</v>
      </c>
      <c r="AI4046">
        <v>94.430048131352805</v>
      </c>
      <c r="AJ4046">
        <v>89.160240575630596</v>
      </c>
      <c r="AK4046">
        <v>14.514185120399601</v>
      </c>
      <c r="AL4046">
        <v>92.234935906400693</v>
      </c>
      <c r="AM4046">
        <v>88.961453295746296</v>
      </c>
      <c r="AN4046">
        <v>1.00000002376334</v>
      </c>
    </row>
    <row r="4047" spans="1:40" x14ac:dyDescent="0.25">
      <c r="A4047" t="str">
        <f>"20190303154849839"</f>
        <v>20190303154849839</v>
      </c>
      <c r="B4047" t="str">
        <f>"1551599329834923"</f>
        <v>1551599329834923</v>
      </c>
      <c r="C4047" t="s">
        <v>40</v>
      </c>
      <c r="D4047">
        <v>4.9896430000000001</v>
      </c>
      <c r="E4047">
        <v>0.498664</v>
      </c>
      <c r="F4047" t="s">
        <v>47</v>
      </c>
      <c r="G4047">
        <v>-207.6696</v>
      </c>
      <c r="H4047" s="1">
        <v>5.6115600000000004E-6</v>
      </c>
      <c r="I4047">
        <v>214.69159999999999</v>
      </c>
      <c r="J4047">
        <v>-221.92789999999999</v>
      </c>
      <c r="K4047">
        <v>1.1211059999999999</v>
      </c>
      <c r="L4047">
        <v>214.8733</v>
      </c>
      <c r="M4047">
        <v>0.9998958</v>
      </c>
      <c r="N4047">
        <v>-1.4269220000000001E-2</v>
      </c>
      <c r="O4047">
        <v>2.2250529999999998E-3</v>
      </c>
      <c r="P4047">
        <v>0.99844100000000002</v>
      </c>
      <c r="Q4047">
        <v>-5.3288639999999998E-2</v>
      </c>
      <c r="R4047">
        <v>-1.6626430000000001E-2</v>
      </c>
      <c r="S4047">
        <v>2.9917449999999999</v>
      </c>
      <c r="T4047">
        <v>-0.23054459999999999</v>
      </c>
      <c r="U4047">
        <v>-3.7216190000000003E-2</v>
      </c>
      <c r="V4047">
        <v>1.886059E-2</v>
      </c>
      <c r="W4047">
        <v>-3.9030719999999998E-2</v>
      </c>
      <c r="X4047">
        <v>0.99905999999999995</v>
      </c>
      <c r="Y4047">
        <v>1.4608009999999999E-2</v>
      </c>
      <c r="Z4047">
        <v>-8.0589989999999999E-4</v>
      </c>
      <c r="AA4047">
        <v>0.99989300000000003</v>
      </c>
      <c r="AB4047">
        <v>30</v>
      </c>
      <c r="AC4047">
        <v>14.258299999999901</v>
      </c>
      <c r="AD4047">
        <v>-1.1211003884399999</v>
      </c>
      <c r="AE4047">
        <v>-0.181700000000006</v>
      </c>
      <c r="AF4047">
        <v>0.21211708201511201</v>
      </c>
      <c r="AG4047">
        <v>-1.1211003884399999</v>
      </c>
      <c r="AH4047">
        <v>14.170269041525801</v>
      </c>
      <c r="AI4047">
        <v>94.523107363911706</v>
      </c>
      <c r="AJ4047">
        <v>89.142394129126302</v>
      </c>
      <c r="AK4047">
        <v>14.216131134970199</v>
      </c>
      <c r="AL4047">
        <v>92.236863708441007</v>
      </c>
      <c r="AM4047">
        <v>88.918479513236093</v>
      </c>
      <c r="AN4047">
        <v>1.0000000012794299</v>
      </c>
    </row>
    <row r="4048" spans="1:40" x14ac:dyDescent="0.25">
      <c r="A4048" t="str">
        <f>"20190303154849862"</f>
        <v>20190303154849862</v>
      </c>
      <c r="B4048" t="str">
        <f>"1551599329854439"</f>
        <v>1551599329854439</v>
      </c>
      <c r="C4048" t="s">
        <v>40</v>
      </c>
      <c r="D4048">
        <v>5.2232629999999904</v>
      </c>
      <c r="E4048">
        <v>0.52192780000000005</v>
      </c>
      <c r="F4048" t="s">
        <v>47</v>
      </c>
      <c r="G4048">
        <v>-207.72319999999999</v>
      </c>
      <c r="H4048" s="1">
        <v>5.6350049999999998E-6</v>
      </c>
      <c r="I4048">
        <v>214.6953</v>
      </c>
      <c r="J4048">
        <v>-221.62559999999999</v>
      </c>
      <c r="K4048">
        <v>1.121105</v>
      </c>
      <c r="L4048">
        <v>214.8742</v>
      </c>
      <c r="M4048">
        <v>0.99989539999999999</v>
      </c>
      <c r="N4048">
        <v>-1.4265999999999999E-2</v>
      </c>
      <c r="O4048">
        <v>2.4074510000000001E-3</v>
      </c>
      <c r="P4048">
        <v>0.99841279999999999</v>
      </c>
      <c r="Q4048">
        <v>-5.3612880000000002E-2</v>
      </c>
      <c r="R4048">
        <v>-1.7249730000000001E-2</v>
      </c>
      <c r="S4048">
        <v>2.9914550000000002</v>
      </c>
      <c r="T4048">
        <v>-0.23609910000000001</v>
      </c>
      <c r="U4048">
        <v>-3.7490839999999998E-2</v>
      </c>
      <c r="V4048">
        <v>1.9666260000000001E-2</v>
      </c>
      <c r="W4048">
        <v>-3.9358400000000002E-2</v>
      </c>
      <c r="X4048">
        <v>0.99903160000000002</v>
      </c>
      <c r="Y4048">
        <v>1.4879450000000001E-2</v>
      </c>
      <c r="Z4048">
        <v>-8.4798539999999905E-4</v>
      </c>
      <c r="AA4048">
        <v>0.99988900000000003</v>
      </c>
      <c r="AB4048">
        <v>30</v>
      </c>
      <c r="AC4048">
        <v>13.9024</v>
      </c>
      <c r="AD4048">
        <v>-1.1210993649950001</v>
      </c>
      <c r="AE4048">
        <v>-0.17889999999999801</v>
      </c>
      <c r="AF4048">
        <v>0.21100034055446201</v>
      </c>
      <c r="AG4048">
        <v>-1.1210993649950001</v>
      </c>
      <c r="AH4048">
        <v>13.812124646306501</v>
      </c>
      <c r="AI4048">
        <v>94.639858890122298</v>
      </c>
      <c r="AJ4048">
        <v>89.124791515175204</v>
      </c>
      <c r="AK4048">
        <v>13.8591548145987</v>
      </c>
      <c r="AL4048">
        <v>92.255652848937601</v>
      </c>
      <c r="AM4048">
        <v>88.872259714343699</v>
      </c>
      <c r="AN4048">
        <v>0.99999999161575304</v>
      </c>
    </row>
    <row r="4049" spans="1:40" x14ac:dyDescent="0.25">
      <c r="A4049" t="str">
        <f>"20190303154849885"</f>
        <v>20190303154849885</v>
      </c>
      <c r="B4049" t="str">
        <f>"1551599329874936"</f>
        <v>1551599329874936</v>
      </c>
      <c r="C4049" t="s">
        <v>40</v>
      </c>
      <c r="D4049">
        <v>5.2890620000000004</v>
      </c>
      <c r="E4049">
        <v>0.53473190000000004</v>
      </c>
      <c r="F4049" t="s">
        <v>47</v>
      </c>
      <c r="G4049">
        <v>-201.458</v>
      </c>
      <c r="H4049" s="1">
        <v>2.974491E-6</v>
      </c>
      <c r="I4049">
        <v>213.34739999999999</v>
      </c>
      <c r="J4049">
        <v>-221.3184</v>
      </c>
      <c r="K4049">
        <v>1.1211009999999999</v>
      </c>
      <c r="L4049">
        <v>214.87520000000001</v>
      </c>
      <c r="M4049">
        <v>0.99989490000000003</v>
      </c>
      <c r="N4049">
        <v>-1.4262759999999999E-2</v>
      </c>
      <c r="O4049">
        <v>2.592652E-3</v>
      </c>
      <c r="P4049">
        <v>0.99836389999999997</v>
      </c>
      <c r="Q4049">
        <v>-5.444711E-2</v>
      </c>
      <c r="R4049">
        <v>-1.7467739999999999E-2</v>
      </c>
      <c r="S4049">
        <v>2.9919129999999998</v>
      </c>
      <c r="T4049">
        <v>-0.1663182</v>
      </c>
      <c r="U4049">
        <v>-0.22650149999999999</v>
      </c>
      <c r="V4049">
        <v>2.0069190000000001E-2</v>
      </c>
      <c r="W4049">
        <v>-4.01964E-2</v>
      </c>
      <c r="X4049">
        <v>0.99899020000000005</v>
      </c>
      <c r="Y4049">
        <v>7.7921110000000002E-2</v>
      </c>
      <c r="Z4049">
        <v>-2.8249820000000002E-3</v>
      </c>
      <c r="AA4049">
        <v>0.99695549999999999</v>
      </c>
      <c r="AB4049">
        <v>30</v>
      </c>
      <c r="AC4049">
        <v>19.860399999999998</v>
      </c>
      <c r="AD4049">
        <v>-1.121098025509</v>
      </c>
      <c r="AE4049">
        <v>-1.52780000000001</v>
      </c>
      <c r="AF4049">
        <v>1.57430423189258</v>
      </c>
      <c r="AG4049">
        <v>-1.121098025509</v>
      </c>
      <c r="AH4049">
        <v>19.7936706947708</v>
      </c>
      <c r="AI4049">
        <v>93.231541196707497</v>
      </c>
      <c r="AJ4049">
        <v>85.452510734658702</v>
      </c>
      <c r="AK4049">
        <v>19.8878026481154</v>
      </c>
      <c r="AL4049">
        <v>92.303704790650002</v>
      </c>
      <c r="AM4049">
        <v>88.849112603426605</v>
      </c>
      <c r="AN4049">
        <v>0.99999997132812701</v>
      </c>
    </row>
    <row r="4050" spans="1:40" x14ac:dyDescent="0.25">
      <c r="A4050" t="str">
        <f>"20190303154849907"</f>
        <v>20190303154849907</v>
      </c>
      <c r="B4050" t="str">
        <f>"1551599329895431"</f>
        <v>1551599329895431</v>
      </c>
      <c r="C4050" t="s">
        <v>40</v>
      </c>
      <c r="D4050">
        <v>5.2815139999999996</v>
      </c>
      <c r="E4050">
        <v>0.54207190000000005</v>
      </c>
      <c r="F4050" t="s">
        <v>47</v>
      </c>
      <c r="G4050">
        <v>-202.13820000000001</v>
      </c>
      <c r="H4050" s="1">
        <v>3.327258E-6</v>
      </c>
      <c r="I4050">
        <v>212.7627</v>
      </c>
      <c r="J4050">
        <v>-221.0265</v>
      </c>
      <c r="K4050">
        <v>1.1211009999999999</v>
      </c>
      <c r="L4050">
        <v>214.87610000000001</v>
      </c>
      <c r="M4050">
        <v>0.99989439999999996</v>
      </c>
      <c r="N4050">
        <v>-1.4259799999999901E-2</v>
      </c>
      <c r="O4050">
        <v>2.769086E-3</v>
      </c>
      <c r="P4050">
        <v>0.99834259999999997</v>
      </c>
      <c r="Q4050">
        <v>-5.4764340000000002E-2</v>
      </c>
      <c r="R4050">
        <v>-1.7686819999999999E-2</v>
      </c>
      <c r="S4050">
        <v>2.9896389999999999</v>
      </c>
      <c r="T4050">
        <v>-0.17474690000000001</v>
      </c>
      <c r="U4050">
        <v>-0.32926939999999999</v>
      </c>
      <c r="V4050">
        <v>2.046448E-2</v>
      </c>
      <c r="W4050">
        <v>-4.0516820000000002E-2</v>
      </c>
      <c r="X4050">
        <v>0.99896929999999995</v>
      </c>
      <c r="Y4050">
        <v>0.11198900000000001</v>
      </c>
      <c r="Z4050">
        <v>-4.1839540000000001E-3</v>
      </c>
      <c r="AA4050">
        <v>0.99370060000000004</v>
      </c>
      <c r="AB4050">
        <v>30</v>
      </c>
      <c r="AC4050">
        <v>18.888299999999902</v>
      </c>
      <c r="AD4050">
        <v>-1.1210976727419999</v>
      </c>
      <c r="AE4050">
        <v>-2.1134000000000102</v>
      </c>
      <c r="AF4050">
        <v>2.1581914468028001</v>
      </c>
      <c r="AG4050">
        <v>-1.1210976727419999</v>
      </c>
      <c r="AH4050">
        <v>18.816904227517199</v>
      </c>
      <c r="AI4050">
        <v>93.3874553553418</v>
      </c>
      <c r="AJ4050">
        <v>83.457091538219402</v>
      </c>
      <c r="AK4050">
        <v>18.973416535258799</v>
      </c>
      <c r="AL4050">
        <v>92.322078325311693</v>
      </c>
      <c r="AM4050">
        <v>88.826426043022096</v>
      </c>
      <c r="AN4050">
        <v>1.0000000349935301</v>
      </c>
    </row>
    <row r="4051" spans="1:40" x14ac:dyDescent="0.25">
      <c r="A4051" t="str">
        <f>"20190303154849929"</f>
        <v>20190303154849929</v>
      </c>
      <c r="B4051" t="str">
        <f>"1551599329924711"</f>
        <v>1551599329924711</v>
      </c>
      <c r="C4051" t="s">
        <v>40</v>
      </c>
      <c r="D4051">
        <v>5.1227739999999997</v>
      </c>
      <c r="E4051">
        <v>0.54761119999999996</v>
      </c>
      <c r="F4051" t="s">
        <v>47</v>
      </c>
      <c r="G4051">
        <v>-201.4496</v>
      </c>
      <c r="H4051" s="1">
        <v>3.0596049999999998E-6</v>
      </c>
      <c r="I4051">
        <v>212.33109999999999</v>
      </c>
      <c r="J4051">
        <v>-220.727</v>
      </c>
      <c r="K4051">
        <v>1.121095</v>
      </c>
      <c r="L4051">
        <v>214.87710000000001</v>
      </c>
      <c r="M4051">
        <v>0.99989399999999995</v>
      </c>
      <c r="N4051">
        <v>-1.4256929999999999E-2</v>
      </c>
      <c r="O4051">
        <v>2.9497500000000001E-3</v>
      </c>
      <c r="P4051">
        <v>0.9983822</v>
      </c>
      <c r="Q4051">
        <v>-5.3928230000000001E-2</v>
      </c>
      <c r="R4051">
        <v>-1.8026759999999999E-2</v>
      </c>
      <c r="S4051">
        <v>2.988693</v>
      </c>
      <c r="T4051">
        <v>-0.17115179999999999</v>
      </c>
      <c r="U4051">
        <v>-0.3885345</v>
      </c>
      <c r="V4051">
        <v>2.0984490000000001E-2</v>
      </c>
      <c r="W4051">
        <v>-3.9683030000000001E-2</v>
      </c>
      <c r="X4051">
        <v>0.99899199999999999</v>
      </c>
      <c r="Y4051">
        <v>0.1315733</v>
      </c>
      <c r="Z4051">
        <v>-4.8176209999999898E-3</v>
      </c>
      <c r="AA4051">
        <v>0.99129469999999997</v>
      </c>
      <c r="AB4051">
        <v>30</v>
      </c>
      <c r="AC4051">
        <v>19.2774</v>
      </c>
      <c r="AD4051">
        <v>-1.1210919403949999</v>
      </c>
      <c r="AE4051">
        <v>-2.5460000000000198</v>
      </c>
      <c r="AF4051">
        <v>2.5942346894127302</v>
      </c>
      <c r="AG4051">
        <v>-1.1210919403949999</v>
      </c>
      <c r="AH4051">
        <v>19.205962543813101</v>
      </c>
      <c r="AI4051">
        <v>93.310685310764697</v>
      </c>
      <c r="AJ4051">
        <v>82.307363355091496</v>
      </c>
      <c r="AK4051">
        <v>19.412776668908599</v>
      </c>
      <c r="AL4051">
        <v>92.2742671789361</v>
      </c>
      <c r="AM4051">
        <v>88.796641091970699</v>
      </c>
      <c r="AN4051">
        <v>1.00000005387726</v>
      </c>
    </row>
    <row r="4052" spans="1:40" x14ac:dyDescent="0.25">
      <c r="A4052" t="str">
        <f>"20190303154849951"</f>
        <v>20190303154849951</v>
      </c>
      <c r="B4052" t="str">
        <f>"1551599329945207"</f>
        <v>1551599329945207</v>
      </c>
      <c r="C4052" t="s">
        <v>40</v>
      </c>
      <c r="D4052">
        <v>5.1102809999999996</v>
      </c>
      <c r="E4052">
        <v>0.55027309999999996</v>
      </c>
      <c r="F4052" t="s">
        <v>47</v>
      </c>
      <c r="G4052">
        <v>-201.0472</v>
      </c>
      <c r="H4052" s="1">
        <v>2.9083830000000001E-6</v>
      </c>
      <c r="I4052">
        <v>212.01990000000001</v>
      </c>
      <c r="J4052">
        <v>-220.43119999999999</v>
      </c>
      <c r="K4052">
        <v>1.121097</v>
      </c>
      <c r="L4052">
        <v>214.87819999999999</v>
      </c>
      <c r="M4052">
        <v>0.9998937</v>
      </c>
      <c r="N4052">
        <v>-1.4253790000000001E-2</v>
      </c>
      <c r="O4052">
        <v>3.126172E-3</v>
      </c>
      <c r="P4052">
        <v>0.9984132</v>
      </c>
      <c r="Q4052">
        <v>-5.3378689999999999E-2</v>
      </c>
      <c r="R4052">
        <v>-1.794867E-2</v>
      </c>
      <c r="S4052">
        <v>2.9878390000000001</v>
      </c>
      <c r="T4052">
        <v>-0.1702079</v>
      </c>
      <c r="U4052">
        <v>-0.43379210000000001</v>
      </c>
      <c r="V4052">
        <v>2.1082279999999998E-2</v>
      </c>
      <c r="W4052">
        <v>-3.9136310000000001E-2</v>
      </c>
      <c r="X4052">
        <v>0.99901150000000005</v>
      </c>
      <c r="Y4052">
        <v>0.1464781</v>
      </c>
      <c r="Z4052">
        <v>-5.3303329999999996E-3</v>
      </c>
      <c r="AA4052">
        <v>0.98919950000000001</v>
      </c>
      <c r="AB4052">
        <v>30</v>
      </c>
      <c r="AC4052">
        <v>19.383999999999901</v>
      </c>
      <c r="AD4052">
        <v>-1.121094091617</v>
      </c>
      <c r="AE4052">
        <v>-2.8582999999999799</v>
      </c>
      <c r="AF4052">
        <v>2.9093651419733799</v>
      </c>
      <c r="AG4052">
        <v>-1.121094091617</v>
      </c>
      <c r="AH4052">
        <v>19.311745542864799</v>
      </c>
      <c r="AI4052">
        <v>93.285439533905901</v>
      </c>
      <c r="AJ4052">
        <v>81.432668109538596</v>
      </c>
      <c r="AK4052">
        <v>19.561819276436101</v>
      </c>
      <c r="AL4052">
        <v>92.242918097154799</v>
      </c>
      <c r="AM4052">
        <v>88.791058560535902</v>
      </c>
      <c r="AN4052">
        <v>1.00000004521133</v>
      </c>
    </row>
    <row r="4053" spans="1:40" x14ac:dyDescent="0.25">
      <c r="A4053" t="str">
        <f>"20190303154849967"</f>
        <v>20190303154849967</v>
      </c>
      <c r="B4053" t="str">
        <f>"1551599329954969"</f>
        <v>1551599329954969</v>
      </c>
      <c r="C4053" t="s">
        <v>40</v>
      </c>
      <c r="D4053">
        <v>5.089448</v>
      </c>
      <c r="E4053">
        <v>0.55138619999999905</v>
      </c>
      <c r="F4053" t="s">
        <v>47</v>
      </c>
      <c r="G4053">
        <v>-200.50890000000001</v>
      </c>
      <c r="H4053" s="1">
        <v>2.6848149999999999E-6</v>
      </c>
      <c r="I4053">
        <v>211.84639999999999</v>
      </c>
      <c r="J4053">
        <v>-220.214</v>
      </c>
      <c r="K4053">
        <v>1.1210960000000001</v>
      </c>
      <c r="L4053">
        <v>214.87899999999999</v>
      </c>
      <c r="M4053">
        <v>0.99989320000000004</v>
      </c>
      <c r="N4053">
        <v>-1.4251349999999999E-2</v>
      </c>
      <c r="O4053">
        <v>3.2530459999999999E-3</v>
      </c>
      <c r="P4053">
        <v>0.99842209999999998</v>
      </c>
      <c r="Q4053">
        <v>-5.3242970000000001E-2</v>
      </c>
      <c r="R4053">
        <v>-1.785306E-2</v>
      </c>
      <c r="S4053">
        <v>2.9876100000000001</v>
      </c>
      <c r="T4053">
        <v>-0.16812240000000001</v>
      </c>
      <c r="U4053">
        <v>-0.45465090000000002</v>
      </c>
      <c r="V4053">
        <v>2.1113440000000001E-2</v>
      </c>
      <c r="W4053">
        <v>-3.9003040000000003E-2</v>
      </c>
      <c r="X4053">
        <v>0.99901600000000002</v>
      </c>
      <c r="Y4053">
        <v>0.153361</v>
      </c>
      <c r="Z4053">
        <v>-5.5230160000000004E-3</v>
      </c>
      <c r="AA4053">
        <v>0.9881548</v>
      </c>
      <c r="AB4053">
        <v>30</v>
      </c>
      <c r="AC4053">
        <v>19.705100000000002</v>
      </c>
      <c r="AD4053">
        <v>-1.12109331518499</v>
      </c>
      <c r="AE4053">
        <v>-3.0326000000000302</v>
      </c>
      <c r="AF4053">
        <v>3.0869312224215801</v>
      </c>
      <c r="AG4053">
        <v>-1.12109331518499</v>
      </c>
      <c r="AH4053">
        <v>19.633050102213499</v>
      </c>
      <c r="AI4053">
        <v>93.228595550583293</v>
      </c>
      <c r="AJ4053">
        <v>81.064461174146103</v>
      </c>
      <c r="AK4053">
        <v>19.905844641947201</v>
      </c>
      <c r="AL4053">
        <v>92.235276574897298</v>
      </c>
      <c r="AM4053">
        <v>88.7892777062075</v>
      </c>
      <c r="AN4053">
        <v>0.99999999136693696</v>
      </c>
    </row>
    <row r="4054" spans="1:40" x14ac:dyDescent="0.25">
      <c r="A4054" t="str">
        <f>"20190303154849985"</f>
        <v>20190303154849985</v>
      </c>
      <c r="B4054" t="str">
        <f>"1551599329974488"</f>
        <v>1551599329974488</v>
      </c>
      <c r="C4054" t="s">
        <v>40</v>
      </c>
      <c r="D4054">
        <v>5.0505190000000004</v>
      </c>
      <c r="E4054">
        <v>0.55308419999999903</v>
      </c>
      <c r="F4054" t="s">
        <v>47</v>
      </c>
      <c r="G4054">
        <v>-200.26400000000001</v>
      </c>
      <c r="H4054" s="1">
        <v>2.5814879999999999E-6</v>
      </c>
      <c r="I4054">
        <v>211.7859</v>
      </c>
      <c r="J4054">
        <v>-219.989</v>
      </c>
      <c r="K4054">
        <v>1.121089</v>
      </c>
      <c r="L4054">
        <v>214.87989999999999</v>
      </c>
      <c r="M4054">
        <v>0.99989289999999997</v>
      </c>
      <c r="N4054">
        <v>-1.4248800000000001E-2</v>
      </c>
      <c r="O4054">
        <v>3.3805490000000001E-3</v>
      </c>
      <c r="P4054">
        <v>0.99845969999999995</v>
      </c>
      <c r="Q4054">
        <v>-5.2617070000000002E-2</v>
      </c>
      <c r="R4054">
        <v>-1.759981E-2</v>
      </c>
      <c r="S4054">
        <v>2.9875029999999998</v>
      </c>
      <c r="T4054">
        <v>-0.1678829</v>
      </c>
      <c r="U4054">
        <v>-0.46319579999999999</v>
      </c>
      <c r="V4054">
        <v>2.0987039999999998E-2</v>
      </c>
      <c r="W4054">
        <v>-3.8379480000000001E-2</v>
      </c>
      <c r="X4054">
        <v>0.99904280000000001</v>
      </c>
      <c r="Y4054">
        <v>0.1562479</v>
      </c>
      <c r="Z4054">
        <v>-5.6225040000000004E-3</v>
      </c>
      <c r="AA4054">
        <v>0.98770179999999996</v>
      </c>
      <c r="AB4054">
        <v>30</v>
      </c>
      <c r="AC4054">
        <v>19.724999999999898</v>
      </c>
      <c r="AD4054">
        <v>-1.121086418512</v>
      </c>
      <c r="AE4054">
        <v>-3.0939999999999901</v>
      </c>
      <c r="AF4054">
        <v>3.1507369543810801</v>
      </c>
      <c r="AG4054">
        <v>-1.121086418512</v>
      </c>
      <c r="AH4054">
        <v>19.652467676406399</v>
      </c>
      <c r="AI4054">
        <v>93.223851905437996</v>
      </c>
      <c r="AJ4054">
        <v>80.891695370651107</v>
      </c>
      <c r="AK4054">
        <v>19.934980910090498</v>
      </c>
      <c r="AL4054">
        <v>92.199522474294398</v>
      </c>
      <c r="AM4054">
        <v>88.796556083460999</v>
      </c>
      <c r="AN4054">
        <v>0.99999997828243503</v>
      </c>
    </row>
    <row r="4055" spans="1:40" x14ac:dyDescent="0.25">
      <c r="A4055" t="str">
        <f>"20190303154850007"</f>
        <v>20190303154850007</v>
      </c>
      <c r="B4055" t="str">
        <f>"1551599329994983"</f>
        <v>1551599329994983</v>
      </c>
      <c r="C4055" t="s">
        <v>40</v>
      </c>
      <c r="D4055">
        <v>5.0191280000000003</v>
      </c>
      <c r="E4055">
        <v>0.55423339999999999</v>
      </c>
      <c r="F4055" t="s">
        <v>47</v>
      </c>
      <c r="G4055">
        <v>-199.7456</v>
      </c>
      <c r="H4055" s="1">
        <v>2.494868E-6</v>
      </c>
      <c r="I4055">
        <v>211.654</v>
      </c>
      <c r="J4055">
        <v>-219.6815</v>
      </c>
      <c r="K4055">
        <v>1.1210789999999999</v>
      </c>
      <c r="L4055">
        <v>214.8811</v>
      </c>
      <c r="M4055">
        <v>0.99989220000000001</v>
      </c>
      <c r="N4055">
        <v>-1.424535E-2</v>
      </c>
      <c r="O4055">
        <v>3.5412880000000001E-3</v>
      </c>
      <c r="P4055">
        <v>0.9984381</v>
      </c>
      <c r="Q4055">
        <v>-5.3160230000000003E-2</v>
      </c>
      <c r="R4055">
        <v>-1.7178099999999901E-2</v>
      </c>
      <c r="S4055">
        <v>2.9875180000000001</v>
      </c>
      <c r="T4055">
        <v>-0.16545000000000001</v>
      </c>
      <c r="U4055">
        <v>-0.4760742</v>
      </c>
      <c r="V4055">
        <v>2.07251E-2</v>
      </c>
      <c r="W4055">
        <v>-3.89269E-2</v>
      </c>
      <c r="X4055">
        <v>0.99902709999999995</v>
      </c>
      <c r="Y4055">
        <v>0.16055939999999999</v>
      </c>
      <c r="Z4055">
        <v>-5.7113040000000004E-3</v>
      </c>
      <c r="AA4055">
        <v>0.98700960000000004</v>
      </c>
      <c r="AB4055">
        <v>30</v>
      </c>
      <c r="AC4055">
        <v>19.9359</v>
      </c>
      <c r="AD4055">
        <v>-1.121076505132</v>
      </c>
      <c r="AE4055">
        <v>-3.2270999999999699</v>
      </c>
      <c r="AF4055">
        <v>3.2875550149241302</v>
      </c>
      <c r="AG4055">
        <v>-1.121076505132</v>
      </c>
      <c r="AH4055">
        <v>19.8631369959636</v>
      </c>
      <c r="AI4055">
        <v>93.187082844733993</v>
      </c>
      <c r="AJ4055">
        <v>80.602150596567697</v>
      </c>
      <c r="AK4055">
        <v>20.164549135225698</v>
      </c>
      <c r="AL4055">
        <v>92.230910761926694</v>
      </c>
      <c r="AM4055">
        <v>88.811553304133298</v>
      </c>
      <c r="AN4055">
        <v>0.99999998992401395</v>
      </c>
    </row>
    <row r="4056" spans="1:40" x14ac:dyDescent="0.25">
      <c r="A4056" t="str">
        <f>"20190303154850029"</f>
        <v>20190303154850029</v>
      </c>
      <c r="B4056" t="str">
        <f>"1551599330025240"</f>
        <v>1551599330025240</v>
      </c>
      <c r="C4056" t="s">
        <v>40</v>
      </c>
      <c r="D4056">
        <v>4.9983009999999997</v>
      </c>
      <c r="E4056">
        <v>0.55574369999999995</v>
      </c>
      <c r="F4056" t="s">
        <v>47</v>
      </c>
      <c r="G4056">
        <v>-199.7587</v>
      </c>
      <c r="H4056" s="1">
        <v>2.4925069999999998E-6</v>
      </c>
      <c r="I4056">
        <v>211.65440000000001</v>
      </c>
      <c r="J4056">
        <v>-219.3939</v>
      </c>
      <c r="K4056">
        <v>1.1210719999999901</v>
      </c>
      <c r="L4056">
        <v>214.88229999999999</v>
      </c>
      <c r="M4056">
        <v>0.9998918</v>
      </c>
      <c r="N4056">
        <v>-1.424212E-2</v>
      </c>
      <c r="O4056">
        <v>3.6737060000000001E-3</v>
      </c>
      <c r="P4056">
        <v>0.99842500000000001</v>
      </c>
      <c r="Q4056">
        <v>-5.3536769999999997E-2</v>
      </c>
      <c r="R4056">
        <v>-1.6773449999999999E-2</v>
      </c>
      <c r="S4056">
        <v>2.9874109999999998</v>
      </c>
      <c r="T4056">
        <v>-0.168104799999999</v>
      </c>
      <c r="U4056">
        <v>-0.48384090000000002</v>
      </c>
      <c r="V4056">
        <v>2.045143E-2</v>
      </c>
      <c r="W4056">
        <v>-3.930753E-2</v>
      </c>
      <c r="X4056">
        <v>0.99901779999999996</v>
      </c>
      <c r="Y4056">
        <v>0.16318250000000001</v>
      </c>
      <c r="Z4056">
        <v>-5.8820000000000001E-3</v>
      </c>
      <c r="AA4056">
        <v>0.98657830000000002</v>
      </c>
      <c r="AB4056">
        <v>30</v>
      </c>
      <c r="AC4056">
        <v>19.635200000000001</v>
      </c>
      <c r="AD4056">
        <v>-1.1210695074929999</v>
      </c>
      <c r="AE4056">
        <v>-3.2278999999999698</v>
      </c>
      <c r="AF4056">
        <v>3.2895782095922299</v>
      </c>
      <c r="AG4056">
        <v>-1.1210695074929999</v>
      </c>
      <c r="AH4056">
        <v>19.561120006803701</v>
      </c>
      <c r="AI4056">
        <v>93.234772934612494</v>
      </c>
      <c r="AJ4056">
        <v>80.453935287522299</v>
      </c>
      <c r="AK4056">
        <v>19.867449196065198</v>
      </c>
      <c r="AL4056">
        <v>92.252736040608298</v>
      </c>
      <c r="AM4056">
        <v>88.827231132701797</v>
      </c>
      <c r="AN4056">
        <v>0.99999995381029105</v>
      </c>
    </row>
    <row r="4057" spans="1:40" x14ac:dyDescent="0.25">
      <c r="A4057" t="str">
        <f>"20190303154850051"</f>
        <v>20190303154850051</v>
      </c>
      <c r="B4057" t="str">
        <f>"1551599330044760"</f>
        <v>1551599330044760</v>
      </c>
      <c r="C4057" t="s">
        <v>40</v>
      </c>
      <c r="D4057">
        <v>4.9668650000000003</v>
      </c>
      <c r="E4057">
        <v>0.55634709999999998</v>
      </c>
      <c r="F4057" t="s">
        <v>47</v>
      </c>
      <c r="G4057">
        <v>-199.85140000000001</v>
      </c>
      <c r="H4057" s="1">
        <v>2.4767879999999998E-6</v>
      </c>
      <c r="I4057">
        <v>211.64609999999999</v>
      </c>
      <c r="J4057">
        <v>-219.09739999999999</v>
      </c>
      <c r="K4057">
        <v>1.1210549999999999</v>
      </c>
      <c r="L4057">
        <v>214.8835</v>
      </c>
      <c r="M4057">
        <v>0.99989150000000004</v>
      </c>
      <c r="N4057">
        <v>-1.4238829999999999E-2</v>
      </c>
      <c r="O4057">
        <v>3.7854680000000002E-3</v>
      </c>
      <c r="P4057">
        <v>0.99840799999999996</v>
      </c>
      <c r="Q4057">
        <v>-5.3950720000000001E-2</v>
      </c>
      <c r="R4057">
        <v>-1.6455230000000001E-2</v>
      </c>
      <c r="S4057">
        <v>2.987228</v>
      </c>
      <c r="T4057">
        <v>-0.17136479999999901</v>
      </c>
      <c r="U4057">
        <v>-0.49467470000000002</v>
      </c>
      <c r="V4057">
        <v>2.0243029999999999E-2</v>
      </c>
      <c r="W4057">
        <v>-3.972593E-2</v>
      </c>
      <c r="X4057">
        <v>0.99900560000000005</v>
      </c>
      <c r="Y4057">
        <v>0.16676740000000001</v>
      </c>
      <c r="Z4057">
        <v>-6.1057960000000001E-3</v>
      </c>
      <c r="AA4057">
        <v>0.9859774</v>
      </c>
      <c r="AB4057">
        <v>30</v>
      </c>
      <c r="AC4057">
        <v>19.245999999999899</v>
      </c>
      <c r="AD4057">
        <v>-1.1210525232120001</v>
      </c>
      <c r="AE4057">
        <v>-3.2374000000000001</v>
      </c>
      <c r="AF4057">
        <v>3.2993529586867099</v>
      </c>
      <c r="AG4057">
        <v>-1.1210525232120001</v>
      </c>
      <c r="AH4057">
        <v>19.170352447496199</v>
      </c>
      <c r="AI4057">
        <v>93.298372566353507</v>
      </c>
      <c r="AJ4057">
        <v>80.234661125923907</v>
      </c>
      <c r="AK4057">
        <v>19.484478480755399</v>
      </c>
      <c r="AL4057">
        <v>92.276727095118304</v>
      </c>
      <c r="AM4057">
        <v>88.839164184300202</v>
      </c>
      <c r="AN4057">
        <v>1.0000000593046501</v>
      </c>
    </row>
    <row r="4058" spans="1:40" x14ac:dyDescent="0.25">
      <c r="A4058" t="str">
        <f>"20190303154850074"</f>
        <v>20190303154850074</v>
      </c>
      <c r="B4058" t="str">
        <f>"1551599330065255"</f>
        <v>1551599330065255</v>
      </c>
      <c r="C4058" t="s">
        <v>40</v>
      </c>
      <c r="D4058">
        <v>4.9352519999999904</v>
      </c>
      <c r="E4058">
        <v>0.55721599999999905</v>
      </c>
      <c r="F4058" t="s">
        <v>47</v>
      </c>
      <c r="G4058">
        <v>-199.76830000000001</v>
      </c>
      <c r="H4058" s="1">
        <v>2.4905320000000002E-6</v>
      </c>
      <c r="I4058">
        <v>211.6575</v>
      </c>
      <c r="J4058">
        <v>-218.79990000000001</v>
      </c>
      <c r="K4058">
        <v>1.12103</v>
      </c>
      <c r="L4058">
        <v>214.88480000000001</v>
      </c>
      <c r="M4058">
        <v>0.99989119999999998</v>
      </c>
      <c r="N4058">
        <v>-1.423554E-2</v>
      </c>
      <c r="O4058">
        <v>3.8660370000000001E-3</v>
      </c>
      <c r="P4058">
        <v>0.99837909999999996</v>
      </c>
      <c r="Q4058">
        <v>-5.4473439999999998E-2</v>
      </c>
      <c r="R4058">
        <v>-1.648442E-2</v>
      </c>
      <c r="S4058">
        <v>2.9871979999999998</v>
      </c>
      <c r="T4058">
        <v>-0.1732522</v>
      </c>
      <c r="U4058">
        <v>-0.4985657</v>
      </c>
      <c r="V4058">
        <v>2.0350440000000001E-2</v>
      </c>
      <c r="W4058">
        <v>-4.0253450000000003E-2</v>
      </c>
      <c r="X4058">
        <v>0.99898229999999999</v>
      </c>
      <c r="Y4058">
        <v>0.1680886</v>
      </c>
      <c r="Z4058">
        <v>-6.2107730000000002E-3</v>
      </c>
      <c r="AA4058">
        <v>0.98575230000000003</v>
      </c>
      <c r="AB4058">
        <v>30</v>
      </c>
      <c r="AC4058">
        <v>19.031600000000001</v>
      </c>
      <c r="AD4058">
        <v>-1.121027509468</v>
      </c>
      <c r="AE4058">
        <v>-3.2273000000000098</v>
      </c>
      <c r="AF4058">
        <v>3.2897650203995501</v>
      </c>
      <c r="AG4058">
        <v>-1.121027509468</v>
      </c>
      <c r="AH4058">
        <v>18.955051117662499</v>
      </c>
      <c r="AI4058">
        <v>93.334869571142704</v>
      </c>
      <c r="AJ4058">
        <v>80.154044398970598</v>
      </c>
      <c r="AK4058">
        <v>19.271046142844099</v>
      </c>
      <c r="AL4058">
        <v>92.3069759621782</v>
      </c>
      <c r="AM4058">
        <v>88.832979249510899</v>
      </c>
      <c r="AN4058">
        <v>1.0000000581791899</v>
      </c>
    </row>
    <row r="4059" spans="1:40" x14ac:dyDescent="0.25">
      <c r="A4059" t="str">
        <f>"20190303154850096"</f>
        <v>20190303154850096</v>
      </c>
      <c r="B4059" t="str">
        <f>"1551599330084776"</f>
        <v>1551599330084776</v>
      </c>
      <c r="C4059" t="s">
        <v>40</v>
      </c>
      <c r="D4059">
        <v>4.9227990000000004</v>
      </c>
      <c r="E4059">
        <v>0.55770350000000002</v>
      </c>
      <c r="F4059" t="s">
        <v>47</v>
      </c>
      <c r="G4059">
        <v>-197.7919</v>
      </c>
      <c r="H4059" s="1">
        <v>2.869906E-6</v>
      </c>
      <c r="I4059">
        <v>211.32820000000001</v>
      </c>
      <c r="J4059">
        <v>-218.4983</v>
      </c>
      <c r="K4059">
        <v>1.1210039999999999</v>
      </c>
      <c r="L4059">
        <v>214.886</v>
      </c>
      <c r="M4059">
        <v>0.99989119999999998</v>
      </c>
      <c r="N4059">
        <v>-1.423234E-2</v>
      </c>
      <c r="O4059">
        <v>3.916297E-3</v>
      </c>
      <c r="P4059">
        <v>0.99835940000000001</v>
      </c>
      <c r="Q4059">
        <v>-5.4860230000000003E-2</v>
      </c>
      <c r="R4059">
        <v>-1.6403069999999999E-2</v>
      </c>
      <c r="S4059">
        <v>2.9878230000000001</v>
      </c>
      <c r="T4059">
        <v>-0.15943560000000001</v>
      </c>
      <c r="U4059">
        <v>-0.50582890000000003</v>
      </c>
      <c r="V4059">
        <v>2.0316810000000001E-2</v>
      </c>
      <c r="W4059">
        <v>-4.0644909999999999E-2</v>
      </c>
      <c r="X4059">
        <v>0.9989671</v>
      </c>
      <c r="Y4059">
        <v>0.17047880000000001</v>
      </c>
      <c r="Z4059">
        <v>-5.8881709999999898E-3</v>
      </c>
      <c r="AA4059">
        <v>0.98534379999999999</v>
      </c>
      <c r="AB4059">
        <v>30</v>
      </c>
      <c r="AC4059">
        <v>20.706399999999999</v>
      </c>
      <c r="AD4059">
        <v>-1.1210011300939999</v>
      </c>
      <c r="AE4059">
        <v>-3.5577999999999799</v>
      </c>
      <c r="AF4059">
        <v>3.62854334765774</v>
      </c>
      <c r="AG4059">
        <v>-1.1210011300939999</v>
      </c>
      <c r="AH4059">
        <v>20.633565368114802</v>
      </c>
      <c r="AI4059">
        <v>93.062857635135302</v>
      </c>
      <c r="AJ4059">
        <v>80.026154549393794</v>
      </c>
      <c r="AK4059">
        <v>20.9801570575573</v>
      </c>
      <c r="AL4059">
        <v>92.329423417104707</v>
      </c>
      <c r="AM4059">
        <v>88.834889547924604</v>
      </c>
      <c r="AN4059">
        <v>1.0000000241799401</v>
      </c>
    </row>
    <row r="4060" spans="1:40" x14ac:dyDescent="0.25">
      <c r="A4060" t="str">
        <f>"20190303154850119"</f>
        <v>20190303154850119</v>
      </c>
      <c r="B4060" t="str">
        <f>"1551599330115033"</f>
        <v>1551599330115033</v>
      </c>
      <c r="C4060" t="s">
        <v>40</v>
      </c>
      <c r="D4060">
        <v>4.8582020000000004</v>
      </c>
      <c r="E4060">
        <v>0.55816699999999997</v>
      </c>
      <c r="F4060" t="s">
        <v>47</v>
      </c>
      <c r="G4060">
        <v>-197.88310000000001</v>
      </c>
      <c r="H4060" s="1">
        <v>2.8499079999999998E-6</v>
      </c>
      <c r="I4060">
        <v>211.37200000000001</v>
      </c>
      <c r="J4060">
        <v>-218.19749999999999</v>
      </c>
      <c r="K4060">
        <v>1.120981</v>
      </c>
      <c r="L4060">
        <v>214.88720000000001</v>
      </c>
      <c r="M4060">
        <v>0.99989099999999997</v>
      </c>
      <c r="N4060">
        <v>-1.4229189999999999E-2</v>
      </c>
      <c r="O4060">
        <v>3.9419959999999997E-3</v>
      </c>
      <c r="P4060">
        <v>0.99832089999999996</v>
      </c>
      <c r="Q4060">
        <v>-5.5687170000000001E-2</v>
      </c>
      <c r="R4060">
        <v>-1.59458E-2</v>
      </c>
      <c r="S4060">
        <v>2.987625</v>
      </c>
      <c r="T4060">
        <v>-0.16245899999999999</v>
      </c>
      <c r="U4060">
        <v>-0.50926210000000005</v>
      </c>
      <c r="V4060">
        <v>1.9883040000000001E-2</v>
      </c>
      <c r="W4060">
        <v>-4.1476520000000003E-2</v>
      </c>
      <c r="X4060">
        <v>0.99894159999999999</v>
      </c>
      <c r="Y4060">
        <v>0.1716029</v>
      </c>
      <c r="Z4060">
        <v>-6.0167270000000004E-3</v>
      </c>
      <c r="AA4060">
        <v>0.98514780000000002</v>
      </c>
      <c r="AB4060">
        <v>30</v>
      </c>
      <c r="AC4060">
        <v>20.3143999999999</v>
      </c>
      <c r="AD4060">
        <v>-1.120978150092</v>
      </c>
      <c r="AE4060">
        <v>-3.5151999999999899</v>
      </c>
      <c r="AF4060">
        <v>3.5846621338876701</v>
      </c>
      <c r="AG4060">
        <v>-1.120978150092</v>
      </c>
      <c r="AH4060">
        <v>20.240543303240401</v>
      </c>
      <c r="AI4060">
        <v>93.121485647157201</v>
      </c>
      <c r="AJ4060">
        <v>79.956880537018804</v>
      </c>
      <c r="AK4060">
        <v>20.5860629513625</v>
      </c>
      <c r="AL4060">
        <v>92.377111486430906</v>
      </c>
      <c r="AM4060">
        <v>88.859729267969001</v>
      </c>
      <c r="AN4060">
        <v>0.99999997860075496</v>
      </c>
    </row>
    <row r="4061" spans="1:40" x14ac:dyDescent="0.25">
      <c r="A4061" t="str">
        <f>"20190303154850141"</f>
        <v>20190303154850141</v>
      </c>
      <c r="B4061" t="str">
        <f>"1551599330134552"</f>
        <v>1551599330134552</v>
      </c>
      <c r="C4061" t="s">
        <v>40</v>
      </c>
      <c r="D4061">
        <v>4.8394690000000002</v>
      </c>
      <c r="E4061">
        <v>0.55838750000000004</v>
      </c>
      <c r="F4061" t="s">
        <v>47</v>
      </c>
      <c r="G4061">
        <v>-198.2646</v>
      </c>
      <c r="H4061" s="1">
        <v>2.7734329999999998E-6</v>
      </c>
      <c r="I4061">
        <v>211.4727</v>
      </c>
      <c r="J4061">
        <v>-217.91220000000001</v>
      </c>
      <c r="K4061">
        <v>1.12096</v>
      </c>
      <c r="L4061">
        <v>214.88839999999999</v>
      </c>
      <c r="M4061">
        <v>0.99989099999999997</v>
      </c>
      <c r="N4061">
        <v>-1.422609E-2</v>
      </c>
      <c r="O4061">
        <v>3.9451419999999996E-3</v>
      </c>
      <c r="P4061">
        <v>0.99830640000000004</v>
      </c>
      <c r="Q4061">
        <v>-5.6010070000000002E-2</v>
      </c>
      <c r="R4061">
        <v>-1.5719319999999998E-2</v>
      </c>
      <c r="S4061">
        <v>2.9875029999999998</v>
      </c>
      <c r="T4061">
        <v>-0.16800950000000001</v>
      </c>
      <c r="U4061">
        <v>-0.51176449999999996</v>
      </c>
      <c r="V4061">
        <v>1.965801E-2</v>
      </c>
      <c r="W4061">
        <v>-4.1803449999999999E-2</v>
      </c>
      <c r="X4061">
        <v>0.99893240000000005</v>
      </c>
      <c r="Y4061">
        <v>0.1723932</v>
      </c>
      <c r="Z4061">
        <v>-6.2094910000000001E-3</v>
      </c>
      <c r="AA4061">
        <v>0.98500869999999996</v>
      </c>
      <c r="AB4061">
        <v>30</v>
      </c>
      <c r="AC4061">
        <v>19.647600000000001</v>
      </c>
      <c r="AD4061">
        <v>-1.120957226567</v>
      </c>
      <c r="AE4061">
        <v>-3.4156999999999802</v>
      </c>
      <c r="AF4061">
        <v>3.4821916095804801</v>
      </c>
      <c r="AG4061">
        <v>-1.120957226567</v>
      </c>
      <c r="AH4061">
        <v>19.572130800665001</v>
      </c>
      <c r="AI4061">
        <v>93.227355947329698</v>
      </c>
      <c r="AJ4061">
        <v>79.911735528949194</v>
      </c>
      <c r="AK4061">
        <v>19.9110649536374</v>
      </c>
      <c r="AL4061">
        <v>92.395859518508104</v>
      </c>
      <c r="AM4061">
        <v>88.872620763978901</v>
      </c>
      <c r="AN4061">
        <v>0.99999995277941001</v>
      </c>
    </row>
    <row r="4062" spans="1:40" x14ac:dyDescent="0.25">
      <c r="A4062" t="str">
        <f>"20190303154850163"</f>
        <v>20190303154850163</v>
      </c>
      <c r="B4062" t="str">
        <f>"1551599330155048"</f>
        <v>1551599330155048</v>
      </c>
      <c r="C4062" t="s">
        <v>40</v>
      </c>
      <c r="D4062">
        <v>4.8058610000000002</v>
      </c>
      <c r="E4062">
        <v>0.55869930000000001</v>
      </c>
      <c r="F4062" t="s">
        <v>47</v>
      </c>
      <c r="G4062">
        <v>-197.89680000000001</v>
      </c>
      <c r="H4062" s="1">
        <v>2.84037E-6</v>
      </c>
      <c r="I4062">
        <v>211.45320000000001</v>
      </c>
      <c r="J4062">
        <v>-217.61529999999999</v>
      </c>
      <c r="K4062">
        <v>1.1209389999999999</v>
      </c>
      <c r="L4062">
        <v>214.8895</v>
      </c>
      <c r="M4062">
        <v>0.99989130000000004</v>
      </c>
      <c r="N4062">
        <v>-1.422286E-2</v>
      </c>
      <c r="O4062">
        <v>3.9220089999999997E-3</v>
      </c>
      <c r="P4062">
        <v>0.99829429999999997</v>
      </c>
      <c r="Q4062">
        <v>-5.6268480000000003E-2</v>
      </c>
      <c r="R4062">
        <v>-1.557382E-2</v>
      </c>
      <c r="S4062">
        <v>2.9876559999999999</v>
      </c>
      <c r="T4062">
        <v>-0.1673229</v>
      </c>
      <c r="U4062">
        <v>-0.51275630000000005</v>
      </c>
      <c r="V4062">
        <v>1.9487640000000001E-2</v>
      </c>
      <c r="W4062">
        <v>-4.2065949999999998E-2</v>
      </c>
      <c r="X4062">
        <v>0.99892479999999995</v>
      </c>
      <c r="Y4062">
        <v>0.17268169999999999</v>
      </c>
      <c r="Z4062">
        <v>-6.1974600000000001E-3</v>
      </c>
      <c r="AA4062">
        <v>0.98495820000000001</v>
      </c>
      <c r="AB4062">
        <v>30</v>
      </c>
      <c r="AC4062">
        <v>19.718499999999899</v>
      </c>
      <c r="AD4062">
        <v>-1.12093615962999</v>
      </c>
      <c r="AE4062">
        <v>-3.4362999999999801</v>
      </c>
      <c r="AF4062">
        <v>3.5026321186053502</v>
      </c>
      <c r="AG4062">
        <v>-1.12093615962999</v>
      </c>
      <c r="AH4062">
        <v>19.643262090267999</v>
      </c>
      <c r="AI4062">
        <v>93.2154139090798</v>
      </c>
      <c r="AJ4062">
        <v>79.889725988622104</v>
      </c>
      <c r="AK4062">
        <v>19.984560920350699</v>
      </c>
      <c r="AL4062">
        <v>92.410912706727103</v>
      </c>
      <c r="AM4062">
        <v>88.882380427434299</v>
      </c>
      <c r="AN4062">
        <v>1.0000000341585999</v>
      </c>
    </row>
    <row r="4063" spans="1:40" x14ac:dyDescent="0.25">
      <c r="A4063" t="str">
        <f>"20190303154850185"</f>
        <v>20190303154850185</v>
      </c>
      <c r="B4063" t="str">
        <f>"1551599330174567"</f>
        <v>1551599330174567</v>
      </c>
      <c r="C4063" t="s">
        <v>40</v>
      </c>
      <c r="D4063">
        <v>4.7974889999999997</v>
      </c>
      <c r="E4063">
        <v>0.55895469999999903</v>
      </c>
      <c r="F4063" t="s">
        <v>47</v>
      </c>
      <c r="G4063">
        <v>-197.55670000000001</v>
      </c>
      <c r="H4063" s="1">
        <v>2.902563E-6</v>
      </c>
      <c r="I4063">
        <v>211.43190000000001</v>
      </c>
      <c r="J4063">
        <v>-217.32499999999999</v>
      </c>
      <c r="K4063">
        <v>1.1209279999999999</v>
      </c>
      <c r="L4063">
        <v>214.89060000000001</v>
      </c>
      <c r="M4063">
        <v>0.99989150000000004</v>
      </c>
      <c r="N4063">
        <v>-1.421974E-2</v>
      </c>
      <c r="O4063">
        <v>3.8810619999999998E-3</v>
      </c>
      <c r="P4063">
        <v>0.99829990000000002</v>
      </c>
      <c r="Q4063">
        <v>-5.6228029999999998E-2</v>
      </c>
      <c r="R4063">
        <v>-1.536321E-2</v>
      </c>
      <c r="S4063">
        <v>2.9877009999999999</v>
      </c>
      <c r="T4063">
        <v>-0.1669619</v>
      </c>
      <c r="U4063">
        <v>-0.51501459999999999</v>
      </c>
      <c r="V4063">
        <v>1.9234540000000001E-2</v>
      </c>
      <c r="W4063">
        <v>-4.2029209999999997E-2</v>
      </c>
      <c r="X4063">
        <v>0.99893120000000002</v>
      </c>
      <c r="Y4063">
        <v>0.17336209999999999</v>
      </c>
      <c r="Z4063">
        <v>-6.2081230000000003E-3</v>
      </c>
      <c r="AA4063">
        <v>0.98483860000000001</v>
      </c>
      <c r="AB4063">
        <v>30</v>
      </c>
      <c r="AC4063">
        <v>19.768299999999901</v>
      </c>
      <c r="AD4063">
        <v>-1.120925097437</v>
      </c>
      <c r="AE4063">
        <v>-3.4586999999999901</v>
      </c>
      <c r="AF4063">
        <v>3.52440842597239</v>
      </c>
      <c r="AG4063">
        <v>-1.120925097437</v>
      </c>
      <c r="AH4063">
        <v>19.6932882117197</v>
      </c>
      <c r="AI4063">
        <v>93.206869725683504</v>
      </c>
      <c r="AJ4063">
        <v>79.853479233481593</v>
      </c>
      <c r="AK4063">
        <v>20.037552954814299</v>
      </c>
      <c r="AL4063">
        <v>92.408805921813595</v>
      </c>
      <c r="AM4063">
        <v>88.896899212250403</v>
      </c>
      <c r="AN4063">
        <v>0.99999998217783703</v>
      </c>
    </row>
    <row r="4064" spans="1:40" x14ac:dyDescent="0.25">
      <c r="A4064" t="str">
        <f>"20190303154850208"</f>
        <v>20190303154850208</v>
      </c>
      <c r="B4064" t="str">
        <f>"1551599330204824"</f>
        <v>1551599330204824</v>
      </c>
      <c r="C4064" t="s">
        <v>40</v>
      </c>
      <c r="D4064">
        <v>4.744669</v>
      </c>
      <c r="E4064">
        <v>0.55925329999999995</v>
      </c>
      <c r="F4064" t="s">
        <v>47</v>
      </c>
      <c r="G4064">
        <v>-197.28219999999999</v>
      </c>
      <c r="H4064" s="1">
        <v>2.9517160000000001E-6</v>
      </c>
      <c r="I4064">
        <v>211.42660000000001</v>
      </c>
      <c r="J4064">
        <v>-217.02260000000001</v>
      </c>
      <c r="K4064">
        <v>1.120911</v>
      </c>
      <c r="L4064">
        <v>214.89179999999999</v>
      </c>
      <c r="M4064">
        <v>0.9998918</v>
      </c>
      <c r="N4064">
        <v>-1.421656E-2</v>
      </c>
      <c r="O4064">
        <v>3.8180179999999998E-3</v>
      </c>
      <c r="P4064">
        <v>0.99827779999999999</v>
      </c>
      <c r="Q4064">
        <v>-5.6600860000000003E-2</v>
      </c>
      <c r="R4064">
        <v>-1.542432E-2</v>
      </c>
      <c r="S4064">
        <v>2.9877470000000002</v>
      </c>
      <c r="T4064">
        <v>-0.16709389999999999</v>
      </c>
      <c r="U4064">
        <v>-0.51637270000000002</v>
      </c>
      <c r="V4064">
        <v>1.923093E-2</v>
      </c>
      <c r="W4064">
        <v>-4.2406310000000003E-2</v>
      </c>
      <c r="X4064">
        <v>0.99891540000000001</v>
      </c>
      <c r="Y4064">
        <v>0.173731</v>
      </c>
      <c r="Z4064">
        <v>-6.22187E-3</v>
      </c>
      <c r="AA4064">
        <v>0.98477349999999997</v>
      </c>
      <c r="AB4064">
        <v>29</v>
      </c>
      <c r="AC4064">
        <v>19.740400000000001</v>
      </c>
      <c r="AD4064">
        <v>-1.1209080482839999</v>
      </c>
      <c r="AE4064">
        <v>-3.4651999999999799</v>
      </c>
      <c r="AF4064">
        <v>3.5295117142479899</v>
      </c>
      <c r="AG4064">
        <v>-1.1209080482839999</v>
      </c>
      <c r="AH4064">
        <v>19.6655135058271</v>
      </c>
      <c r="AI4064">
        <v>93.211055707313193</v>
      </c>
      <c r="AJ4064">
        <v>79.825041927379999</v>
      </c>
      <c r="AK4064">
        <v>20.011154620400799</v>
      </c>
      <c r="AL4064">
        <v>92.430431276261004</v>
      </c>
      <c r="AM4064">
        <v>88.8970887542593</v>
      </c>
      <c r="AN4064">
        <v>1.00000005007681</v>
      </c>
    </row>
    <row r="4065" spans="1:40" x14ac:dyDescent="0.25">
      <c r="A4065" t="str">
        <f>"20190303154850230"</f>
        <v>20190303154850230</v>
      </c>
      <c r="B4065" t="str">
        <f>"1551599330225323"</f>
        <v>1551599330225323</v>
      </c>
      <c r="C4065" t="s">
        <v>40</v>
      </c>
      <c r="D4065">
        <v>4.76234</v>
      </c>
      <c r="E4065">
        <v>0.55952419999999903</v>
      </c>
      <c r="F4065" t="s">
        <v>47</v>
      </c>
      <c r="G4065">
        <v>-197.17779999999999</v>
      </c>
      <c r="H4065" s="1">
        <v>2.9686540000000001E-6</v>
      </c>
      <c r="I4065">
        <v>211.44470000000001</v>
      </c>
      <c r="J4065">
        <v>-216.73609999999999</v>
      </c>
      <c r="K4065">
        <v>1.1208940000000001</v>
      </c>
      <c r="L4065">
        <v>214.89279999999999</v>
      </c>
      <c r="M4065">
        <v>0.99989209999999995</v>
      </c>
      <c r="N4065">
        <v>-1.421357E-2</v>
      </c>
      <c r="O4065">
        <v>3.7372490000000002E-3</v>
      </c>
      <c r="P4065">
        <v>0.99825779999999997</v>
      </c>
      <c r="Q4065">
        <v>-5.6775249999999999E-2</v>
      </c>
      <c r="R4065">
        <v>-1.6067359999999999E-2</v>
      </c>
      <c r="S4065">
        <v>2.9876100000000001</v>
      </c>
      <c r="T4065">
        <v>-0.16875119999999999</v>
      </c>
      <c r="U4065">
        <v>-0.51895139999999995</v>
      </c>
      <c r="V4065">
        <v>1.9791349999999999E-2</v>
      </c>
      <c r="W4065">
        <v>-4.2584919999999998E-2</v>
      </c>
      <c r="X4065">
        <v>0.99889680000000003</v>
      </c>
      <c r="Y4065">
        <v>0.17447689999999999</v>
      </c>
      <c r="Z4065">
        <v>-6.2942639999999999E-3</v>
      </c>
      <c r="AA4065">
        <v>0.98464110000000005</v>
      </c>
      <c r="AB4065">
        <v>29</v>
      </c>
      <c r="AC4065">
        <v>19.558299999999999</v>
      </c>
      <c r="AD4065">
        <v>-1.1208910313459901</v>
      </c>
      <c r="AE4065">
        <v>-3.4480999999999802</v>
      </c>
      <c r="AF4065">
        <v>3.5099965868684002</v>
      </c>
      <c r="AG4065">
        <v>-1.1208910313459901</v>
      </c>
      <c r="AH4065">
        <v>19.483212744595601</v>
      </c>
      <c r="AI4065">
        <v>93.240606357162306</v>
      </c>
      <c r="AJ4065">
        <v>79.787428946150499</v>
      </c>
      <c r="AK4065">
        <v>19.828566554220501</v>
      </c>
      <c r="AL4065">
        <v>92.440674262296199</v>
      </c>
      <c r="AM4065">
        <v>88.864935319604797</v>
      </c>
      <c r="AN4065">
        <v>0.999999994998234</v>
      </c>
    </row>
    <row r="4066" spans="1:40" x14ac:dyDescent="0.25">
      <c r="A4066" t="str">
        <f>"20190303154850251"</f>
        <v>20190303154850251</v>
      </c>
      <c r="B4066" t="str">
        <f>"1551599330244840"</f>
        <v>1551599330244840</v>
      </c>
      <c r="C4066" t="s">
        <v>40</v>
      </c>
      <c r="D4066">
        <v>4.7608129999999997</v>
      </c>
      <c r="E4066">
        <v>0.55973189999999995</v>
      </c>
      <c r="F4066" t="s">
        <v>47</v>
      </c>
      <c r="G4066">
        <v>-196.9134</v>
      </c>
      <c r="H4066" s="1">
        <v>3.0175700000000001E-6</v>
      </c>
      <c r="I4066">
        <v>211.42160000000001</v>
      </c>
      <c r="J4066">
        <v>-216.4468</v>
      </c>
      <c r="K4066">
        <v>1.1208849999999999</v>
      </c>
      <c r="L4066">
        <v>214.8938</v>
      </c>
      <c r="M4066">
        <v>0.99989249999999996</v>
      </c>
      <c r="N4066">
        <v>-1.421057E-2</v>
      </c>
      <c r="O4066">
        <v>3.6326090000000002E-3</v>
      </c>
      <c r="P4066">
        <v>0.99828680000000003</v>
      </c>
      <c r="Q4066">
        <v>-5.619184E-2</v>
      </c>
      <c r="R4066">
        <v>-1.6318639999999999E-2</v>
      </c>
      <c r="S4066">
        <v>2.9872130000000001</v>
      </c>
      <c r="T4066">
        <v>-0.16891439999999999</v>
      </c>
      <c r="U4066">
        <v>-0.52310179999999995</v>
      </c>
      <c r="V4066">
        <v>1.9936059999999999E-2</v>
      </c>
      <c r="W4066">
        <v>-4.2005170000000001E-2</v>
      </c>
      <c r="X4066">
        <v>0.99891850000000004</v>
      </c>
      <c r="Y4066">
        <v>0.1757205</v>
      </c>
      <c r="Z4066">
        <v>-6.3385389999999998E-3</v>
      </c>
      <c r="AA4066">
        <v>0.98441970000000001</v>
      </c>
      <c r="AB4066">
        <v>29</v>
      </c>
      <c r="AC4066">
        <v>19.5334</v>
      </c>
      <c r="AD4066">
        <v>-1.12088198242999</v>
      </c>
      <c r="AE4066">
        <v>-3.47219999999998</v>
      </c>
      <c r="AF4066">
        <v>3.5318679648844298</v>
      </c>
      <c r="AG4066">
        <v>-1.12088198242999</v>
      </c>
      <c r="AH4066">
        <v>19.458546298511699</v>
      </c>
      <c r="AI4066">
        <v>93.243912740969904</v>
      </c>
      <c r="AJ4066">
        <v>79.7123973712078</v>
      </c>
      <c r="AK4066">
        <v>19.808217784324601</v>
      </c>
      <c r="AL4066">
        <v>92.407427210105396</v>
      </c>
      <c r="AM4066">
        <v>88.856663002567203</v>
      </c>
      <c r="AN4066">
        <v>1.0000000252186501</v>
      </c>
    </row>
    <row r="4067" spans="1:40" x14ac:dyDescent="0.25">
      <c r="A4067" t="str">
        <f>"20190303154850275"</f>
        <v>20190303154850275</v>
      </c>
      <c r="B4067" t="str">
        <f>"1551599330265337"</f>
        <v>1551599330265337</v>
      </c>
      <c r="C4067" t="s">
        <v>40</v>
      </c>
      <c r="D4067">
        <v>4.7075440000000004</v>
      </c>
      <c r="E4067">
        <v>0.55999989999999999</v>
      </c>
      <c r="F4067" t="s">
        <v>47</v>
      </c>
      <c r="G4067">
        <v>-196.4143</v>
      </c>
      <c r="H4067" s="1">
        <v>3.110604E-6</v>
      </c>
      <c r="I4067">
        <v>211.37020000000001</v>
      </c>
      <c r="J4067">
        <v>-216.1472</v>
      </c>
      <c r="K4067">
        <v>1.120873</v>
      </c>
      <c r="L4067">
        <v>214.8947</v>
      </c>
      <c r="M4067">
        <v>0.99989300000000003</v>
      </c>
      <c r="N4067">
        <v>-1.420746E-2</v>
      </c>
      <c r="O4067">
        <v>3.4979680000000002E-3</v>
      </c>
      <c r="P4067">
        <v>0.99833079999999996</v>
      </c>
      <c r="Q4067">
        <v>-5.528015E-2</v>
      </c>
      <c r="R4067">
        <v>-1.6729299999999999E-2</v>
      </c>
      <c r="S4067">
        <v>2.9871370000000002</v>
      </c>
      <c r="T4067">
        <v>-0.16713979999999901</v>
      </c>
      <c r="U4067">
        <v>-0.52542109999999997</v>
      </c>
      <c r="V4067">
        <v>2.0210700000000002E-2</v>
      </c>
      <c r="W4067">
        <v>-4.1097160000000001E-2</v>
      </c>
      <c r="X4067">
        <v>0.99895069999999997</v>
      </c>
      <c r="Y4067">
        <v>0.1763392</v>
      </c>
      <c r="Z4067">
        <v>-6.3003299999999998E-3</v>
      </c>
      <c r="AA4067">
        <v>0.98430930000000005</v>
      </c>
      <c r="AB4067">
        <v>29</v>
      </c>
      <c r="AC4067">
        <v>19.732900000000001</v>
      </c>
      <c r="AD4067">
        <v>-1.1208698893960001</v>
      </c>
      <c r="AE4067">
        <v>-3.5244999999999802</v>
      </c>
      <c r="AF4067">
        <v>3.58230953811535</v>
      </c>
      <c r="AG4067">
        <v>-1.1208698893960001</v>
      </c>
      <c r="AH4067">
        <v>19.658981109614501</v>
      </c>
      <c r="AI4067">
        <v>93.210470715527407</v>
      </c>
      <c r="AJ4067">
        <v>79.672728300013802</v>
      </c>
      <c r="AK4067">
        <v>20.014115748741101</v>
      </c>
      <c r="AL4067">
        <v>92.355357218308797</v>
      </c>
      <c r="AM4067">
        <v>88.840953963285003</v>
      </c>
      <c r="AN4067">
        <v>0.99999997499252202</v>
      </c>
    </row>
    <row r="4068" spans="1:40" x14ac:dyDescent="0.25">
      <c r="A4068" t="str">
        <f>"20190303154850297"</f>
        <v>20190303154850297</v>
      </c>
      <c r="B4068" t="str">
        <f>"1551599330284856"</f>
        <v>1551599330284856</v>
      </c>
      <c r="C4068" t="s">
        <v>40</v>
      </c>
      <c r="D4068">
        <v>4.707897</v>
      </c>
      <c r="E4068">
        <v>0.56016949999999999</v>
      </c>
      <c r="F4068" t="s">
        <v>47</v>
      </c>
      <c r="G4068">
        <v>-195.74850000000001</v>
      </c>
      <c r="H4068" s="1">
        <v>3.2361889999999999E-6</v>
      </c>
      <c r="I4068">
        <v>211.28450000000001</v>
      </c>
      <c r="J4068">
        <v>-215.8527</v>
      </c>
      <c r="K4068">
        <v>1.1208629999999999</v>
      </c>
      <c r="L4068">
        <v>214.8956</v>
      </c>
      <c r="M4068">
        <v>0.99989349999999999</v>
      </c>
      <c r="N4068">
        <v>-1.4204410000000001E-2</v>
      </c>
      <c r="O4068">
        <v>3.3398059999999999E-3</v>
      </c>
      <c r="P4068">
        <v>0.99838320000000003</v>
      </c>
      <c r="Q4068">
        <v>-5.4222819999999998E-2</v>
      </c>
      <c r="R4068">
        <v>-1.7054900000000001E-2</v>
      </c>
      <c r="S4068">
        <v>2.9870760000000001</v>
      </c>
      <c r="T4068">
        <v>-0.16413369999999999</v>
      </c>
      <c r="U4068">
        <v>-0.52865600000000001</v>
      </c>
      <c r="V4068">
        <v>2.037682E-2</v>
      </c>
      <c r="W4068">
        <v>-4.0043269999999999E-2</v>
      </c>
      <c r="X4068">
        <v>0.99899020000000005</v>
      </c>
      <c r="Y4068">
        <v>0.1772301</v>
      </c>
      <c r="Z4068">
        <v>-6.2327060000000002E-3</v>
      </c>
      <c r="AA4068">
        <v>0.98414970000000002</v>
      </c>
      <c r="AB4068">
        <v>29</v>
      </c>
      <c r="AC4068">
        <v>20.104199999999899</v>
      </c>
      <c r="AD4068">
        <v>-1.1208597638109901</v>
      </c>
      <c r="AE4068">
        <v>-3.6110999999999902</v>
      </c>
      <c r="AF4068">
        <v>3.6671881499516301</v>
      </c>
      <c r="AG4068">
        <v>-1.1208597638109901</v>
      </c>
      <c r="AH4068">
        <v>20.031706927595501</v>
      </c>
      <c r="AI4068">
        <v>93.150356734889499</v>
      </c>
      <c r="AJ4068">
        <v>79.625785614812003</v>
      </c>
      <c r="AK4068">
        <v>20.3954376753811</v>
      </c>
      <c r="AL4068">
        <v>92.294923839753295</v>
      </c>
      <c r="AM4068">
        <v>88.831476113671499</v>
      </c>
      <c r="AN4068">
        <v>1.0000000489808201</v>
      </c>
    </row>
    <row r="4069" spans="1:40" x14ac:dyDescent="0.25">
      <c r="A4069" t="str">
        <f>"20190303154850319"</f>
        <v>20190303154850319</v>
      </c>
      <c r="B4069" t="str">
        <f>"1551599330315116"</f>
        <v>1551599330315116</v>
      </c>
      <c r="C4069" t="s">
        <v>40</v>
      </c>
      <c r="D4069">
        <v>4.6836390000000003</v>
      </c>
      <c r="E4069">
        <v>0.52670830000000002</v>
      </c>
      <c r="F4069" t="s">
        <v>47</v>
      </c>
      <c r="G4069">
        <v>-195.06720000000001</v>
      </c>
      <c r="H4069" s="1">
        <v>3.3644860000000002E-6</v>
      </c>
      <c r="I4069">
        <v>211.1994</v>
      </c>
      <c r="J4069">
        <v>-215.56270000000001</v>
      </c>
      <c r="K4069">
        <v>1.120843</v>
      </c>
      <c r="L4069">
        <v>214.8964</v>
      </c>
      <c r="M4069">
        <v>0.99989430000000001</v>
      </c>
      <c r="N4069">
        <v>-1.4201419999999999E-2</v>
      </c>
      <c r="O4069">
        <v>3.1603930000000001E-3</v>
      </c>
      <c r="P4069">
        <v>0.99843249999999995</v>
      </c>
      <c r="Q4069">
        <v>-5.3363550000000003E-2</v>
      </c>
      <c r="R4069">
        <v>-1.6885819999999999E-2</v>
      </c>
      <c r="S4069">
        <v>2.9870450000000002</v>
      </c>
      <c r="T4069">
        <v>-0.16107679999999999</v>
      </c>
      <c r="U4069">
        <v>-0.53117369999999997</v>
      </c>
      <c r="V4069">
        <v>2.0027179999999999E-2</v>
      </c>
      <c r="W4069">
        <v>-3.9187109999999997E-2</v>
      </c>
      <c r="X4069">
        <v>0.99903120000000001</v>
      </c>
      <c r="Y4069">
        <v>0.17786950000000001</v>
      </c>
      <c r="Z4069">
        <v>-6.1536209999999997E-3</v>
      </c>
      <c r="AA4069">
        <v>0.98403479999999999</v>
      </c>
      <c r="AB4069">
        <v>29</v>
      </c>
      <c r="AC4069">
        <v>20.4955</v>
      </c>
      <c r="AD4069">
        <v>-1.120839635514</v>
      </c>
      <c r="AE4069">
        <v>-3.6970000000000001</v>
      </c>
      <c r="AF4069">
        <v>3.7508976510373699</v>
      </c>
      <c r="AG4069">
        <v>-1.120839635514</v>
      </c>
      <c r="AH4069">
        <v>20.424554029438202</v>
      </c>
      <c r="AI4069">
        <v>93.089509962837894</v>
      </c>
      <c r="AJ4069">
        <v>79.593784069479696</v>
      </c>
      <c r="AK4069">
        <v>20.7963439570165</v>
      </c>
      <c r="AL4069">
        <v>92.245830995676798</v>
      </c>
      <c r="AM4069">
        <v>88.851568182851395</v>
      </c>
      <c r="AN4069">
        <v>1.0000000280511701</v>
      </c>
    </row>
    <row r="4070" spans="1:40" x14ac:dyDescent="0.25">
      <c r="A4070" t="str">
        <f>"20190303154850341"</f>
        <v>20190303154850341</v>
      </c>
      <c r="B4070" t="str">
        <f>"1551599330334632"</f>
        <v>1551599330334632</v>
      </c>
      <c r="C4070" t="s">
        <v>40</v>
      </c>
      <c r="D4070">
        <v>4.7255830000000003</v>
      </c>
      <c r="E4070">
        <v>0.50902840000000005</v>
      </c>
      <c r="F4070" t="s">
        <v>47</v>
      </c>
      <c r="G4070">
        <v>-186.54130000000001</v>
      </c>
      <c r="H4070" s="1">
        <v>3.5659079999999998E-6</v>
      </c>
      <c r="I4070">
        <v>212.3304</v>
      </c>
      <c r="J4070">
        <v>-215.2758</v>
      </c>
      <c r="K4070">
        <v>1.120827</v>
      </c>
      <c r="L4070">
        <v>214.89709999999999</v>
      </c>
      <c r="M4070">
        <v>0.99989490000000003</v>
      </c>
      <c r="N4070">
        <v>-1.419844E-2</v>
      </c>
      <c r="O4070">
        <v>2.9606929999999999E-3</v>
      </c>
      <c r="P4070">
        <v>0.99842390000000003</v>
      </c>
      <c r="Q4070">
        <v>-5.3423430000000001E-2</v>
      </c>
      <c r="R4070">
        <v>-1.720056E-2</v>
      </c>
      <c r="S4070">
        <v>2.994049</v>
      </c>
      <c r="T4070">
        <v>-0.1156336</v>
      </c>
      <c r="U4070">
        <v>-0.26472469999999998</v>
      </c>
      <c r="V4070">
        <v>2.0140999999999999E-2</v>
      </c>
      <c r="W4070">
        <v>-3.9250880000000002E-2</v>
      </c>
      <c r="X4070">
        <v>0.99902639999999998</v>
      </c>
      <c r="Y4070">
        <v>9.0929410000000002E-2</v>
      </c>
      <c r="Z4070">
        <v>-2.4711139999999999E-3</v>
      </c>
      <c r="AA4070">
        <v>0.99585429999999997</v>
      </c>
      <c r="AB4070">
        <v>29</v>
      </c>
      <c r="AC4070">
        <v>28.734500000000001</v>
      </c>
      <c r="AD4070">
        <v>-1.120823434092</v>
      </c>
      <c r="AE4070">
        <v>-2.5666999999999902</v>
      </c>
      <c r="AF4070">
        <v>2.6477746951014902</v>
      </c>
      <c r="AG4070">
        <v>-1.120823434092</v>
      </c>
      <c r="AH4070">
        <v>28.683478087804399</v>
      </c>
      <c r="AI4070">
        <v>92.228263195085503</v>
      </c>
      <c r="AJ4070">
        <v>84.725967327952205</v>
      </c>
      <c r="AK4070">
        <v>28.8272244799943</v>
      </c>
      <c r="AL4070">
        <v>92.249487579493803</v>
      </c>
      <c r="AM4070">
        <v>88.845037542615202</v>
      </c>
      <c r="AN4070">
        <v>1.0000000196793599</v>
      </c>
    </row>
    <row r="4071" spans="1:40" x14ac:dyDescent="0.25">
      <c r="A4071" t="str">
        <f>"20190303154850363"</f>
        <v>20190303154850363</v>
      </c>
      <c r="B4071" t="str">
        <f>"1551599330355127"</f>
        <v>1551599330355127</v>
      </c>
      <c r="C4071" t="s">
        <v>40</v>
      </c>
      <c r="D4071">
        <v>4.6597790000000003</v>
      </c>
      <c r="E4071">
        <v>0.50257589999999996</v>
      </c>
      <c r="F4071" t="s">
        <v>47</v>
      </c>
      <c r="G4071">
        <v>-193.91489999999999</v>
      </c>
      <c r="H4071" s="1">
        <v>3.322769E-6</v>
      </c>
      <c r="I4071">
        <v>214.0146</v>
      </c>
      <c r="J4071">
        <v>-214.9847</v>
      </c>
      <c r="K4071">
        <v>1.120811</v>
      </c>
      <c r="L4071">
        <v>214.89769999999999</v>
      </c>
      <c r="M4071">
        <v>0.9998956</v>
      </c>
      <c r="N4071">
        <v>-1.419542E-2</v>
      </c>
      <c r="O4071">
        <v>2.740957E-3</v>
      </c>
      <c r="P4071">
        <v>0.99843099999999996</v>
      </c>
      <c r="Q4071">
        <v>-5.3318659999999997E-2</v>
      </c>
      <c r="R4071">
        <v>-1.710449E-2</v>
      </c>
      <c r="S4071">
        <v>2.994186</v>
      </c>
      <c r="T4071">
        <v>-0.157107</v>
      </c>
      <c r="U4071">
        <v>-0.12370299999999999</v>
      </c>
      <c r="V4071">
        <v>1.9824459999999999E-2</v>
      </c>
      <c r="W4071">
        <v>-3.9149530000000002E-2</v>
      </c>
      <c r="X4071">
        <v>0.9990367</v>
      </c>
      <c r="Y4071">
        <v>4.3939199999999998E-2</v>
      </c>
      <c r="Z4071">
        <v>-1.5685530000000001E-3</v>
      </c>
      <c r="AA4071">
        <v>0.99903299999999995</v>
      </c>
      <c r="AB4071">
        <v>29</v>
      </c>
      <c r="AC4071">
        <v>21.069800000000001</v>
      </c>
      <c r="AD4071">
        <v>-1.1208076772310001</v>
      </c>
      <c r="AE4071">
        <v>-0.88309999999998401</v>
      </c>
      <c r="AF4071">
        <v>0.93820372526541496</v>
      </c>
      <c r="AG4071">
        <v>-1.1208076772310001</v>
      </c>
      <c r="AH4071">
        <v>21.007957948888802</v>
      </c>
      <c r="AI4071">
        <v>93.050889631032803</v>
      </c>
      <c r="AJ4071">
        <v>87.442901445441393</v>
      </c>
      <c r="AK4071">
        <v>21.058744816862301</v>
      </c>
      <c r="AL4071">
        <v>92.243676204096502</v>
      </c>
      <c r="AM4071">
        <v>88.863196080411299</v>
      </c>
      <c r="AN4071">
        <v>1.0000000114301999</v>
      </c>
    </row>
    <row r="4072" spans="1:40" x14ac:dyDescent="0.25">
      <c r="A4072" t="str">
        <f>"20190303154850386"</f>
        <v>20190303154850386</v>
      </c>
      <c r="B4072" t="str">
        <f>"1551599330374648"</f>
        <v>1551599330374648</v>
      </c>
      <c r="C4072" t="s">
        <v>40</v>
      </c>
      <c r="D4072">
        <v>4.6415379999999997</v>
      </c>
      <c r="E4072">
        <v>0.49956430000000002</v>
      </c>
      <c r="F4072" t="s">
        <v>47</v>
      </c>
      <c r="G4072">
        <v>-195.24080000000001</v>
      </c>
      <c r="H4072" s="1">
        <v>3.0517380000000001E-6</v>
      </c>
      <c r="I4072">
        <v>214.42449999999999</v>
      </c>
      <c r="J4072">
        <v>-214.69309999999999</v>
      </c>
      <c r="K4072">
        <v>1.120789</v>
      </c>
      <c r="L4072">
        <v>214.89830000000001</v>
      </c>
      <c r="M4072">
        <v>0.99989620000000001</v>
      </c>
      <c r="N4072">
        <v>-1.4192369999999999E-2</v>
      </c>
      <c r="O4072">
        <v>2.511152E-3</v>
      </c>
      <c r="P4072">
        <v>0.99837209999999998</v>
      </c>
      <c r="Q4072">
        <v>-5.4554459999999999E-2</v>
      </c>
      <c r="R4072">
        <v>-1.6656239999999999E-2</v>
      </c>
      <c r="S4072">
        <v>2.9943849999999999</v>
      </c>
      <c r="T4072">
        <v>-0.1699831</v>
      </c>
      <c r="U4072">
        <v>-7.1762080000000006E-2</v>
      </c>
      <c r="V4072">
        <v>1.914472E-2</v>
      </c>
      <c r="W4072">
        <v>-4.0389179999999997E-2</v>
      </c>
      <c r="X4072">
        <v>0.99900060000000002</v>
      </c>
      <c r="Y4072">
        <v>2.6413860000000001E-2</v>
      </c>
      <c r="Z4072">
        <v>-1.0434769999999999E-3</v>
      </c>
      <c r="AA4072">
        <v>0.9996505</v>
      </c>
      <c r="AB4072">
        <v>29</v>
      </c>
      <c r="AC4072">
        <v>19.452299999999902</v>
      </c>
      <c r="AD4072">
        <v>-1.120785948262</v>
      </c>
      <c r="AE4072">
        <v>-0.47380000000001099</v>
      </c>
      <c r="AF4072">
        <v>0.52092280433066795</v>
      </c>
      <c r="AG4072">
        <v>-1.120785948262</v>
      </c>
      <c r="AH4072">
        <v>19.386728108346102</v>
      </c>
      <c r="AI4072">
        <v>93.307510841441697</v>
      </c>
      <c r="AJ4072">
        <v>88.460828564017305</v>
      </c>
      <c r="AK4072">
        <v>19.426084228604299</v>
      </c>
      <c r="AL4072">
        <v>92.314759176354997</v>
      </c>
      <c r="AM4072">
        <v>88.902125380296496</v>
      </c>
      <c r="AN4072">
        <v>1.0000000024826501</v>
      </c>
    </row>
    <row r="4073" spans="1:40" x14ac:dyDescent="0.25">
      <c r="A4073" t="str">
        <f>"20190303154850408"</f>
        <v>20190303154850408</v>
      </c>
      <c r="B4073" t="str">
        <f>"1551599330404905"</f>
        <v>1551599330404905</v>
      </c>
      <c r="C4073" t="s">
        <v>40</v>
      </c>
      <c r="D4073">
        <v>4.5747460000000002</v>
      </c>
      <c r="E4073">
        <v>0.4979481</v>
      </c>
      <c r="F4073" t="s">
        <v>47</v>
      </c>
      <c r="G4073">
        <v>-195.9034</v>
      </c>
      <c r="H4073" s="1">
        <v>2.9181640000000001E-6</v>
      </c>
      <c r="I4073">
        <v>214.608</v>
      </c>
      <c r="J4073">
        <v>-214.39869999999999</v>
      </c>
      <c r="K4073">
        <v>1.1207720000000001</v>
      </c>
      <c r="L4073">
        <v>214.89869999999999</v>
      </c>
      <c r="M4073">
        <v>0.99989689999999998</v>
      </c>
      <c r="N4073">
        <v>-1.418928E-2</v>
      </c>
      <c r="O4073">
        <v>2.2728319999999998E-3</v>
      </c>
      <c r="P4073">
        <v>0.99825200000000003</v>
      </c>
      <c r="Q4073">
        <v>-5.6592070000000001E-2</v>
      </c>
      <c r="R4073">
        <v>-1.70469E-2</v>
      </c>
      <c r="S4073">
        <v>2.994354</v>
      </c>
      <c r="T4073">
        <v>-0.17861070000000001</v>
      </c>
      <c r="U4073">
        <v>-4.6264649999999997E-2</v>
      </c>
      <c r="V4073">
        <v>1.9295739999999999E-2</v>
      </c>
      <c r="W4073">
        <v>-4.2431690000000001E-2</v>
      </c>
      <c r="X4073">
        <v>0.99891300000000005</v>
      </c>
      <c r="Y4073">
        <v>1.768028E-2</v>
      </c>
      <c r="Z4073">
        <v>-7.5561119999999996E-4</v>
      </c>
      <c r="AA4073">
        <v>0.99984340000000005</v>
      </c>
      <c r="AB4073">
        <v>29</v>
      </c>
      <c r="AC4073">
        <v>18.495299999999901</v>
      </c>
      <c r="AD4073">
        <v>-1.1207690818360001</v>
      </c>
      <c r="AE4073">
        <v>-0.29069999999998603</v>
      </c>
      <c r="AF4073">
        <v>0.33152311310705301</v>
      </c>
      <c r="AG4073">
        <v>-1.1207690818360001</v>
      </c>
      <c r="AH4073">
        <v>18.426943348904299</v>
      </c>
      <c r="AI4073">
        <v>93.480011595374705</v>
      </c>
      <c r="AJ4073">
        <v>88.969290468546603</v>
      </c>
      <c r="AK4073">
        <v>18.4639722728629</v>
      </c>
      <c r="AL4073">
        <v>92.431886929169593</v>
      </c>
      <c r="AM4073">
        <v>88.893370106705902</v>
      </c>
      <c r="AN4073">
        <v>0.99999997773370097</v>
      </c>
    </row>
    <row r="4074" spans="1:40" x14ac:dyDescent="0.25">
      <c r="A4074" t="str">
        <f>"20190303154850431"</f>
        <v>20190303154850431</v>
      </c>
      <c r="B4074" t="str">
        <f>"1551599330425408"</f>
        <v>1551599330425408</v>
      </c>
      <c r="C4074" t="s">
        <v>40</v>
      </c>
      <c r="D4074">
        <v>4.5895769999999896</v>
      </c>
      <c r="E4074">
        <v>0.49734630000000002</v>
      </c>
      <c r="F4074" t="s">
        <v>47</v>
      </c>
      <c r="G4074">
        <v>-196.46940000000001</v>
      </c>
      <c r="H4074" s="1">
        <v>2.8103520000000002E-6</v>
      </c>
      <c r="I4074">
        <v>214.69280000000001</v>
      </c>
      <c r="J4074">
        <v>-214.10919999999999</v>
      </c>
      <c r="K4074">
        <v>1.120762</v>
      </c>
      <c r="L4074">
        <v>214.89920000000001</v>
      </c>
      <c r="M4074">
        <v>0.99989740000000005</v>
      </c>
      <c r="N4074">
        <v>-1.4186259999999999E-2</v>
      </c>
      <c r="O4074">
        <v>2.0357019999999999E-3</v>
      </c>
      <c r="P4074">
        <v>0.99808660000000005</v>
      </c>
      <c r="Q4074">
        <v>-5.9125499999999998E-2</v>
      </c>
      <c r="R4074">
        <v>-1.8100310000000001E-2</v>
      </c>
      <c r="S4074">
        <v>2.994049</v>
      </c>
      <c r="T4074">
        <v>-0.18715970000000001</v>
      </c>
      <c r="U4074">
        <v>-3.4393310000000003E-2</v>
      </c>
      <c r="V4074">
        <v>2.0110360000000001E-2</v>
      </c>
      <c r="W4074">
        <v>-4.4970749999999997E-2</v>
      </c>
      <c r="X4074">
        <v>0.9987859</v>
      </c>
      <c r="Y4074">
        <v>1.3487529999999999E-2</v>
      </c>
      <c r="Z4074">
        <v>-6.1519020000000001E-4</v>
      </c>
      <c r="AA4074">
        <v>0.99990889999999999</v>
      </c>
      <c r="AB4074">
        <v>29</v>
      </c>
      <c r="AC4074">
        <v>17.639799999999902</v>
      </c>
      <c r="AD4074">
        <v>-1.120759189648</v>
      </c>
      <c r="AE4074">
        <v>-0.206400000000002</v>
      </c>
      <c r="AF4074">
        <v>0.24133845675882101</v>
      </c>
      <c r="AG4074">
        <v>-1.120759189648</v>
      </c>
      <c r="AH4074">
        <v>17.568432678854599</v>
      </c>
      <c r="AI4074">
        <v>93.649832649385004</v>
      </c>
      <c r="AJ4074">
        <v>89.212974454429101</v>
      </c>
      <c r="AK4074">
        <v>17.605799391204499</v>
      </c>
      <c r="AL4074">
        <v>92.577503362821901</v>
      </c>
      <c r="AM4074">
        <v>88.846516475156406</v>
      </c>
      <c r="AN4074">
        <v>1.00000003448685</v>
      </c>
    </row>
    <row r="4075" spans="1:40" x14ac:dyDescent="0.25">
      <c r="A4075" t="str">
        <f>"20190303154850453"</f>
        <v>20190303154850453</v>
      </c>
      <c r="B4075" t="str">
        <f>"1551599330444921"</f>
        <v>1551599330444921</v>
      </c>
      <c r="C4075" t="s">
        <v>40</v>
      </c>
      <c r="D4075">
        <v>4.6244310000000004</v>
      </c>
      <c r="E4075">
        <v>0.49675839999999999</v>
      </c>
      <c r="F4075" t="s">
        <v>47</v>
      </c>
      <c r="G4075">
        <v>-197.273</v>
      </c>
      <c r="H4075" s="1">
        <v>2.6657900000000001E-6</v>
      </c>
      <c r="I4075">
        <v>214.7158</v>
      </c>
      <c r="J4075">
        <v>-213.82550000000001</v>
      </c>
      <c r="K4075">
        <v>1.1207560000000001</v>
      </c>
      <c r="L4075">
        <v>214.89949999999999</v>
      </c>
      <c r="M4075">
        <v>0.99989790000000001</v>
      </c>
      <c r="N4075">
        <v>-1.4183299999999999E-2</v>
      </c>
      <c r="O4075">
        <v>1.8026019999999999E-3</v>
      </c>
      <c r="P4075">
        <v>0.99802979999999997</v>
      </c>
      <c r="Q4075">
        <v>-5.9822649999999998E-2</v>
      </c>
      <c r="R4075">
        <v>-1.8927599999999999E-2</v>
      </c>
      <c r="S4075">
        <v>2.9933619999999999</v>
      </c>
      <c r="T4075">
        <v>-0.19926360000000001</v>
      </c>
      <c r="U4075">
        <v>-3.259277E-2</v>
      </c>
      <c r="V4075">
        <v>2.0704569999999999E-2</v>
      </c>
      <c r="W4075">
        <v>-4.567189E-2</v>
      </c>
      <c r="X4075">
        <v>0.99874189999999996</v>
      </c>
      <c r="Y4075">
        <v>1.2653910000000001E-2</v>
      </c>
      <c r="Z4075">
        <v>-6.048777E-4</v>
      </c>
      <c r="AA4075">
        <v>0.99991980000000003</v>
      </c>
      <c r="AB4075">
        <v>29</v>
      </c>
      <c r="AC4075">
        <v>16.552499999999998</v>
      </c>
      <c r="AD4075">
        <v>-1.12075333420999</v>
      </c>
      <c r="AE4075">
        <v>-0.18369999999998701</v>
      </c>
      <c r="AF4075">
        <v>0.21256587902513699</v>
      </c>
      <c r="AG4075">
        <v>-1.12075333420999</v>
      </c>
      <c r="AH4075">
        <v>16.4766140380056</v>
      </c>
      <c r="AI4075">
        <v>93.890990871858094</v>
      </c>
      <c r="AJ4075">
        <v>89.260864393122802</v>
      </c>
      <c r="AK4075">
        <v>16.516055293152501</v>
      </c>
      <c r="AL4075">
        <v>92.617717158095104</v>
      </c>
      <c r="AM4075">
        <v>88.812391287205202</v>
      </c>
      <c r="AN4075">
        <v>0.99999999178533305</v>
      </c>
    </row>
    <row r="4076" spans="1:40" x14ac:dyDescent="0.25">
      <c r="A4076" t="str">
        <f>"20190303154850476"</f>
        <v>20190303154850476</v>
      </c>
      <c r="B4076" t="str">
        <f>"1551599330465417"</f>
        <v>1551599330465417</v>
      </c>
      <c r="C4076" t="s">
        <v>40</v>
      </c>
      <c r="D4076">
        <v>4.6226849999999997</v>
      </c>
      <c r="E4076">
        <v>0.49616880000000002</v>
      </c>
      <c r="F4076" t="s">
        <v>47</v>
      </c>
      <c r="G4076">
        <v>-197.3939</v>
      </c>
      <c r="H4076" s="1">
        <v>2.6429149999999999E-6</v>
      </c>
      <c r="I4076">
        <v>214.73220000000001</v>
      </c>
      <c r="J4076">
        <v>-213.5249</v>
      </c>
      <c r="K4076">
        <v>1.120768</v>
      </c>
      <c r="L4076">
        <v>214.8998</v>
      </c>
      <c r="M4076">
        <v>0.99989830000000002</v>
      </c>
      <c r="N4076">
        <v>-1.4180140000000001E-2</v>
      </c>
      <c r="O4076">
        <v>1.5570650000000001E-3</v>
      </c>
      <c r="P4076">
        <v>0.99803839999999999</v>
      </c>
      <c r="Q4076">
        <v>-5.953982E-2</v>
      </c>
      <c r="R4076">
        <v>-1.9355629999999999E-2</v>
      </c>
      <c r="S4076">
        <v>2.9931030000000001</v>
      </c>
      <c r="T4076">
        <v>-0.20415150000000001</v>
      </c>
      <c r="U4076">
        <v>-3.04718E-2</v>
      </c>
      <c r="V4076">
        <v>2.0887670000000001E-2</v>
      </c>
      <c r="W4076">
        <v>-4.5392160000000001E-2</v>
      </c>
      <c r="X4076">
        <v>0.9987509</v>
      </c>
      <c r="Y4076">
        <v>1.170215E-2</v>
      </c>
      <c r="Z4076">
        <v>-5.6572220000000002E-4</v>
      </c>
      <c r="AA4076">
        <v>0.99993140000000003</v>
      </c>
      <c r="AB4076">
        <v>29</v>
      </c>
      <c r="AC4076">
        <v>16.131</v>
      </c>
      <c r="AD4076">
        <v>-1.120765357085</v>
      </c>
      <c r="AE4076">
        <v>-0.167599999999993</v>
      </c>
      <c r="AF4076">
        <v>0.191793585884178</v>
      </c>
      <c r="AG4076">
        <v>-1.120765357085</v>
      </c>
      <c r="AH4076">
        <v>16.053233590930901</v>
      </c>
      <c r="AI4076">
        <v>93.993372145501894</v>
      </c>
      <c r="AJ4076">
        <v>89.315499887320101</v>
      </c>
      <c r="AK4076">
        <v>16.0934523483999</v>
      </c>
      <c r="AL4076">
        <v>92.601673014235899</v>
      </c>
      <c r="AM4076">
        <v>88.801902560410198</v>
      </c>
      <c r="AN4076">
        <v>1.0000000515991501</v>
      </c>
    </row>
    <row r="4077" spans="1:40" x14ac:dyDescent="0.25">
      <c r="A4077" t="str">
        <f>"20190303154850498"</f>
        <v>20190303154850498</v>
      </c>
      <c r="B4077" t="str">
        <f>"1551599330484936"</f>
        <v>1551599330484936</v>
      </c>
      <c r="C4077" t="s">
        <v>40</v>
      </c>
      <c r="D4077">
        <v>4.6028180000000001</v>
      </c>
      <c r="E4077">
        <v>0.4956545</v>
      </c>
      <c r="F4077" t="s">
        <v>47</v>
      </c>
      <c r="G4077">
        <v>-197.059</v>
      </c>
      <c r="H4077" s="1">
        <v>2.7006430000000002E-6</v>
      </c>
      <c r="I4077">
        <v>214.75139999999999</v>
      </c>
      <c r="J4077">
        <v>-213.23759999999999</v>
      </c>
      <c r="K4077">
        <v>1.1207780000000001</v>
      </c>
      <c r="L4077">
        <v>214.9</v>
      </c>
      <c r="M4077">
        <v>0.99989879999999998</v>
      </c>
      <c r="N4077">
        <v>-1.417711E-2</v>
      </c>
      <c r="O4077">
        <v>1.3237570000000001E-3</v>
      </c>
      <c r="P4077">
        <v>0.99804899999999996</v>
      </c>
      <c r="Q4077">
        <v>-5.9358969999999997E-2</v>
      </c>
      <c r="R4077">
        <v>-1.936862E-2</v>
      </c>
      <c r="S4077">
        <v>2.9932099999999999</v>
      </c>
      <c r="T4077">
        <v>-0.2037351</v>
      </c>
      <c r="U4077">
        <v>-2.6977540000000001E-2</v>
      </c>
      <c r="V4077">
        <v>2.066776E-2</v>
      </c>
      <c r="W4077">
        <v>-4.5213990000000003E-2</v>
      </c>
      <c r="X4077">
        <v>0.99876350000000003</v>
      </c>
      <c r="Y4077">
        <v>1.030564E-2</v>
      </c>
      <c r="Z4077">
        <v>-4.9472369999999999E-4</v>
      </c>
      <c r="AA4077">
        <v>0.99994680000000002</v>
      </c>
      <c r="AB4077">
        <v>29</v>
      </c>
      <c r="AC4077">
        <v>16.1785999999999</v>
      </c>
      <c r="AD4077">
        <v>-1.1207752993569999</v>
      </c>
      <c r="AE4077">
        <v>-0.148600000000016</v>
      </c>
      <c r="AF4077">
        <v>0.169206591276336</v>
      </c>
      <c r="AG4077">
        <v>-1.1207752993569999</v>
      </c>
      <c r="AH4077">
        <v>16.101125512370398</v>
      </c>
      <c r="AI4077">
        <v>93.981631631316901</v>
      </c>
      <c r="AJ4077">
        <v>89.397901304048304</v>
      </c>
      <c r="AK4077">
        <v>16.140973047102399</v>
      </c>
      <c r="AL4077">
        <v>92.591454280482594</v>
      </c>
      <c r="AM4077">
        <v>88.814527727207903</v>
      </c>
      <c r="AN4077">
        <v>0.99999999506369297</v>
      </c>
    </row>
    <row r="4078" spans="1:40" x14ac:dyDescent="0.25">
      <c r="A4078" t="str">
        <f>"20190303154850521"</f>
        <v>20190303154850521</v>
      </c>
      <c r="B4078" t="str">
        <f>"1551599330515193"</f>
        <v>1551599330515193</v>
      </c>
      <c r="C4078" t="s">
        <v>40</v>
      </c>
      <c r="D4078">
        <v>4.5135079999999999</v>
      </c>
      <c r="E4078">
        <v>0.49527880000000002</v>
      </c>
      <c r="F4078" t="s">
        <v>47</v>
      </c>
      <c r="G4078">
        <v>-196.75649999999999</v>
      </c>
      <c r="H4078" s="1">
        <v>2.75229E-6</v>
      </c>
      <c r="I4078">
        <v>214.77440000000001</v>
      </c>
      <c r="J4078">
        <v>-212.94640000000001</v>
      </c>
      <c r="K4078">
        <v>1.1207849999999999</v>
      </c>
      <c r="L4078">
        <v>214.90010000000001</v>
      </c>
      <c r="M4078">
        <v>0.99989899999999998</v>
      </c>
      <c r="N4078">
        <v>-1.4174050000000001E-2</v>
      </c>
      <c r="O4078">
        <v>1.0892600000000001E-3</v>
      </c>
      <c r="P4078">
        <v>0.9979941</v>
      </c>
      <c r="Q4078">
        <v>-6.0220610000000001E-2</v>
      </c>
      <c r="R4078">
        <v>-1.9535489999999999E-2</v>
      </c>
      <c r="S4078">
        <v>2.9933169999999998</v>
      </c>
      <c r="T4078">
        <v>-0.20355580000000001</v>
      </c>
      <c r="U4078">
        <v>-2.2796629999999998E-2</v>
      </c>
      <c r="V4078">
        <v>2.0600380000000001E-2</v>
      </c>
      <c r="W4078">
        <v>-4.6079259999999997E-2</v>
      </c>
      <c r="X4078">
        <v>0.99872539999999999</v>
      </c>
      <c r="Y4078">
        <v>8.6791490000000006E-3</v>
      </c>
      <c r="Z4078">
        <v>-4.1492169999999997E-4</v>
      </c>
      <c r="AA4078">
        <v>0.99996229999999997</v>
      </c>
      <c r="AB4078">
        <v>29</v>
      </c>
      <c r="AC4078">
        <v>16.189900000000002</v>
      </c>
      <c r="AD4078">
        <v>-1.12078224771</v>
      </c>
      <c r="AE4078">
        <v>-0.12569999999999401</v>
      </c>
      <c r="AF4078">
        <v>0.142653095529581</v>
      </c>
      <c r="AG4078">
        <v>-1.12078224771</v>
      </c>
      <c r="AH4078">
        <v>16.112540182051401</v>
      </c>
      <c r="AI4078">
        <v>93.978908117156607</v>
      </c>
      <c r="AJ4078">
        <v>89.492742505683495</v>
      </c>
      <c r="AK4078">
        <v>16.1521036979914</v>
      </c>
      <c r="AL4078">
        <v>92.641082188083303</v>
      </c>
      <c r="AM4078">
        <v>88.818346383286993</v>
      </c>
      <c r="AN4078">
        <v>1.00000004923172</v>
      </c>
    </row>
    <row r="4079" spans="1:40" x14ac:dyDescent="0.25">
      <c r="A4079" t="str">
        <f>"20190303154850542"</f>
        <v>20190303154850542</v>
      </c>
      <c r="B4079" t="str">
        <f>"1551599330534712"</f>
        <v>1551599330534712</v>
      </c>
      <c r="C4079" t="s">
        <v>40</v>
      </c>
      <c r="D4079">
        <v>4.5131050000000004</v>
      </c>
      <c r="E4079">
        <v>0.4951873</v>
      </c>
      <c r="F4079" t="s">
        <v>47</v>
      </c>
      <c r="G4079">
        <v>-196.78299999999999</v>
      </c>
      <c r="H4079" s="1">
        <v>2.746228E-6</v>
      </c>
      <c r="I4079">
        <v>214.7901</v>
      </c>
      <c r="J4079">
        <v>-212.66980000000001</v>
      </c>
      <c r="K4079">
        <v>1.120792</v>
      </c>
      <c r="L4079">
        <v>214.90010000000001</v>
      </c>
      <c r="M4079">
        <v>0.99989930000000005</v>
      </c>
      <c r="N4079">
        <v>-1.4171100000000001E-2</v>
      </c>
      <c r="O4079">
        <v>8.6739800000000002E-4</v>
      </c>
      <c r="P4079">
        <v>0.99796099999999999</v>
      </c>
      <c r="Q4079">
        <v>-6.0818459999999998E-2</v>
      </c>
      <c r="R4079">
        <v>-1.9369620000000001E-2</v>
      </c>
      <c r="S4079">
        <v>2.9931030000000001</v>
      </c>
      <c r="T4079">
        <v>-0.20754310000000001</v>
      </c>
      <c r="U4079">
        <v>-2.037048E-2</v>
      </c>
      <c r="V4079">
        <v>2.0212709999999998E-2</v>
      </c>
      <c r="W4079">
        <v>-4.668017E-2</v>
      </c>
      <c r="X4079">
        <v>0.99870539999999997</v>
      </c>
      <c r="Y4079">
        <v>7.6496619999999998E-3</v>
      </c>
      <c r="Z4079">
        <v>-3.669705E-4</v>
      </c>
      <c r="AA4079">
        <v>0.99997069999999999</v>
      </c>
      <c r="AB4079">
        <v>29</v>
      </c>
      <c r="AC4079">
        <v>15.886799999999999</v>
      </c>
      <c r="AD4079">
        <v>-1.1207892537719999</v>
      </c>
      <c r="AE4079">
        <v>-0.110000000000013</v>
      </c>
      <c r="AF4079">
        <v>0.12316852892226</v>
      </c>
      <c r="AG4079">
        <v>-1.1207892537719999</v>
      </c>
      <c r="AH4079">
        <v>15.808024488788501</v>
      </c>
      <c r="AI4079">
        <v>94.055362931003501</v>
      </c>
      <c r="AJ4079">
        <v>89.5535878578237</v>
      </c>
      <c r="AK4079">
        <v>15.848185299144699</v>
      </c>
      <c r="AL4079">
        <v>92.675548924914807</v>
      </c>
      <c r="AM4079">
        <v>88.840554091837504</v>
      </c>
      <c r="AN4079">
        <v>1.00000003395296</v>
      </c>
    </row>
    <row r="4080" spans="1:40" x14ac:dyDescent="0.25">
      <c r="A4080" t="str">
        <f>"20190303154850564"</f>
        <v>20190303154850564</v>
      </c>
      <c r="B4080" t="str">
        <f>"1551599330555208"</f>
        <v>1551599330555208</v>
      </c>
      <c r="C4080" t="s">
        <v>40</v>
      </c>
      <c r="D4080">
        <v>4.5169030000000001</v>
      </c>
      <c r="E4080">
        <v>0.49515350000000002</v>
      </c>
      <c r="F4080" t="s">
        <v>47</v>
      </c>
      <c r="G4080">
        <v>-196.70570000000001</v>
      </c>
      <c r="H4080" s="1">
        <v>2.7592050000000001E-6</v>
      </c>
      <c r="I4080">
        <v>214.79830000000001</v>
      </c>
      <c r="J4080">
        <v>-212.3801</v>
      </c>
      <c r="K4080">
        <v>1.120795</v>
      </c>
      <c r="L4080">
        <v>214.90010000000001</v>
      </c>
      <c r="M4080">
        <v>0.9998996</v>
      </c>
      <c r="N4080">
        <v>-1.416801E-2</v>
      </c>
      <c r="O4080">
        <v>6.3594080000000004E-4</v>
      </c>
      <c r="P4080">
        <v>0.99796680000000004</v>
      </c>
      <c r="Q4080">
        <v>-6.0638240000000003E-2</v>
      </c>
      <c r="R4080">
        <v>-1.963094E-2</v>
      </c>
      <c r="S4080">
        <v>2.992966</v>
      </c>
      <c r="T4080">
        <v>-0.2101276</v>
      </c>
      <c r="U4080">
        <v>-1.9088750000000002E-2</v>
      </c>
      <c r="V4080">
        <v>2.0243290000000001E-2</v>
      </c>
      <c r="W4080">
        <v>-4.6502880000000003E-2</v>
      </c>
      <c r="X4080">
        <v>0.99871299999999996</v>
      </c>
      <c r="Y4080">
        <v>6.9920399999999997E-3</v>
      </c>
      <c r="Z4080">
        <v>-3.3033999999999998E-4</v>
      </c>
      <c r="AA4080">
        <v>0.99997550000000002</v>
      </c>
      <c r="AB4080">
        <v>29</v>
      </c>
      <c r="AC4080">
        <v>15.674399999999901</v>
      </c>
      <c r="AD4080">
        <v>-1.1207922407949999</v>
      </c>
      <c r="AE4080">
        <v>-0.101799999999997</v>
      </c>
      <c r="AF4080">
        <v>0.111200434619752</v>
      </c>
      <c r="AG4080">
        <v>-1.1207922407949999</v>
      </c>
      <c r="AH4080">
        <v>15.5946016104959</v>
      </c>
      <c r="AI4080">
        <v>94.110705505496696</v>
      </c>
      <c r="AJ4080">
        <v>89.591447876709907</v>
      </c>
      <c r="AK4080">
        <v>15.635221142464401</v>
      </c>
      <c r="AL4080">
        <v>92.665380050438003</v>
      </c>
      <c r="AM4080">
        <v>88.838809269163207</v>
      </c>
      <c r="AN4080">
        <v>0.99999998250365896</v>
      </c>
    </row>
    <row r="4081" spans="1:40" x14ac:dyDescent="0.25">
      <c r="A4081" t="str">
        <f>"20190303154850587"</f>
        <v>20190303154850587</v>
      </c>
      <c r="B4081" t="str">
        <f>"1551599330574728"</f>
        <v>1551599330574728</v>
      </c>
      <c r="C4081" t="s">
        <v>40</v>
      </c>
      <c r="D4081">
        <v>4.5810579999999996</v>
      </c>
      <c r="E4081">
        <v>0.49488500000000002</v>
      </c>
      <c r="F4081" t="s">
        <v>47</v>
      </c>
      <c r="G4081">
        <v>-196.46010000000001</v>
      </c>
      <c r="H4081" s="1">
        <v>2.8030040000000002E-6</v>
      </c>
      <c r="I4081">
        <v>214.79570000000001</v>
      </c>
      <c r="J4081">
        <v>-212.08789999999999</v>
      </c>
      <c r="K4081">
        <v>1.1207940000000001</v>
      </c>
      <c r="L4081">
        <v>214.90010000000001</v>
      </c>
      <c r="M4081">
        <v>0.9998996</v>
      </c>
      <c r="N4081">
        <v>-1.4168719999999999E-2</v>
      </c>
      <c r="O4081">
        <v>4.0284719999999997E-4</v>
      </c>
      <c r="P4081">
        <v>0.99799340000000003</v>
      </c>
      <c r="Q4081">
        <v>-6.005514E-2</v>
      </c>
      <c r="R4081">
        <v>-2.0062670000000001E-2</v>
      </c>
      <c r="S4081">
        <v>2.9929199999999998</v>
      </c>
      <c r="T4081">
        <v>-0.21070530000000001</v>
      </c>
      <c r="U4081">
        <v>-1.9622799999999999E-2</v>
      </c>
      <c r="V4081">
        <v>2.0442809999999999E-2</v>
      </c>
      <c r="W4081">
        <v>-4.591874E-2</v>
      </c>
      <c r="X4081">
        <v>0.99873599999999996</v>
      </c>
      <c r="Y4081">
        <v>6.937871E-3</v>
      </c>
      <c r="Z4081">
        <v>-3.157624E-4</v>
      </c>
      <c r="AA4081">
        <v>0.99997590000000003</v>
      </c>
      <c r="AB4081">
        <v>29</v>
      </c>
      <c r="AC4081">
        <v>15.627799999999899</v>
      </c>
      <c r="AD4081">
        <v>-1.120791196996</v>
      </c>
      <c r="AE4081">
        <v>-0.10439999999999799</v>
      </c>
      <c r="AF4081">
        <v>0.110129817727804</v>
      </c>
      <c r="AG4081">
        <v>-1.120791196996</v>
      </c>
      <c r="AH4081">
        <v>15.5477910980674</v>
      </c>
      <c r="AI4081">
        <v>94.123036751653999</v>
      </c>
      <c r="AJ4081">
        <v>89.594163043030093</v>
      </c>
      <c r="AK4081">
        <v>15.588524930639201</v>
      </c>
      <c r="AL4081">
        <v>92.631875405526998</v>
      </c>
      <c r="AM4081">
        <v>88.827394628128502</v>
      </c>
      <c r="AN4081">
        <v>1.00000001842994</v>
      </c>
    </row>
    <row r="4082" spans="1:40" x14ac:dyDescent="0.25">
      <c r="A4082" t="str">
        <f>"20190303154850604"</f>
        <v>20190303154850604</v>
      </c>
      <c r="B4082" t="str">
        <f>"1551599330595225"</f>
        <v>1551599330595225</v>
      </c>
      <c r="C4082" t="s">
        <v>40</v>
      </c>
      <c r="D4082">
        <v>4.5930980000000003</v>
      </c>
      <c r="E4082">
        <v>0.4946584</v>
      </c>
      <c r="F4082" t="s">
        <v>47</v>
      </c>
      <c r="G4082">
        <v>-196.0865</v>
      </c>
      <c r="H4082" s="1">
        <v>2.868901E-6</v>
      </c>
      <c r="I4082">
        <v>214.8</v>
      </c>
      <c r="J4082">
        <v>-211.8698</v>
      </c>
      <c r="K4082">
        <v>1.1208070000000001</v>
      </c>
      <c r="L4082">
        <v>214.9</v>
      </c>
      <c r="M4082">
        <v>0.99989910000000004</v>
      </c>
      <c r="N4082">
        <v>-1.421745E-2</v>
      </c>
      <c r="O4082">
        <v>2.2942009999999999E-4</v>
      </c>
      <c r="P4082">
        <v>0.99796839999999998</v>
      </c>
      <c r="Q4082">
        <v>-6.0331349999999999E-2</v>
      </c>
      <c r="R4082">
        <v>-2.0483500000000002E-2</v>
      </c>
      <c r="S4082">
        <v>2.993042</v>
      </c>
      <c r="T4082">
        <v>-0.20964250000000001</v>
      </c>
      <c r="U4082">
        <v>-1.870728E-2</v>
      </c>
      <c r="V4082">
        <v>2.0690340000000002E-2</v>
      </c>
      <c r="W4082">
        <v>-4.6146649999999997E-2</v>
      </c>
      <c r="X4082">
        <v>0.99872039999999995</v>
      </c>
      <c r="Y4082">
        <v>6.4601659999999998E-3</v>
      </c>
      <c r="Z4082">
        <v>-2.847514E-4</v>
      </c>
      <c r="AA4082">
        <v>0.99997910000000001</v>
      </c>
      <c r="AB4082">
        <v>29</v>
      </c>
      <c r="AC4082">
        <v>15.783299999999899</v>
      </c>
      <c r="AD4082">
        <v>-1.12080413109899</v>
      </c>
      <c r="AE4082">
        <v>-9.9999999999994302E-2</v>
      </c>
      <c r="AF4082">
        <v>0.103101479146401</v>
      </c>
      <c r="AG4082">
        <v>-1.12080413109899</v>
      </c>
      <c r="AH4082">
        <v>15.704088684963001</v>
      </c>
      <c r="AI4082">
        <v>94.082202284380998</v>
      </c>
      <c r="AJ4082">
        <v>89.623843518453</v>
      </c>
      <c r="AK4082">
        <v>15.744371478102</v>
      </c>
      <c r="AL4082">
        <v>92.644947538474497</v>
      </c>
      <c r="AM4082">
        <v>88.813181741323106</v>
      </c>
      <c r="AN4082">
        <v>1.0000000204258399</v>
      </c>
    </row>
    <row r="4083" spans="1:40" x14ac:dyDescent="0.25">
      <c r="A4083" t="str">
        <f>"20190303154850621"</f>
        <v>20190303154850621</v>
      </c>
      <c r="B4083" t="str">
        <f>"1551599330614744"</f>
        <v>1551599330614744</v>
      </c>
      <c r="C4083" t="s">
        <v>40</v>
      </c>
      <c r="D4083">
        <v>4.5455579999999998</v>
      </c>
      <c r="E4083">
        <v>0.49471850000000001</v>
      </c>
      <c r="F4083" t="s">
        <v>47</v>
      </c>
      <c r="G4083">
        <v>-196.20099999999999</v>
      </c>
      <c r="H4083" s="1">
        <v>2.8480679999999999E-6</v>
      </c>
      <c r="I4083">
        <v>214.80590000000001</v>
      </c>
      <c r="J4083">
        <v>-211.65690000000001</v>
      </c>
      <c r="K4083">
        <v>1.1208549999999999</v>
      </c>
      <c r="L4083">
        <v>214.8998</v>
      </c>
      <c r="M4083">
        <v>0.99989629999999996</v>
      </c>
      <c r="N4083">
        <v>-1.4409299999999899E-2</v>
      </c>
      <c r="O4083" s="1">
        <v>6.1152749999999998E-5</v>
      </c>
      <c r="P4083">
        <v>0.99788860000000001</v>
      </c>
      <c r="Q4083">
        <v>-6.1257150000000003E-2</v>
      </c>
      <c r="R4083">
        <v>-2.1593390000000001E-2</v>
      </c>
      <c r="S4083">
        <v>2.9927830000000002</v>
      </c>
      <c r="T4083">
        <v>-0.21407699999999999</v>
      </c>
      <c r="U4083">
        <v>-1.7959590000000001E-2</v>
      </c>
      <c r="V4083">
        <v>2.163232E-2</v>
      </c>
      <c r="W4083">
        <v>-4.6882159999999999E-2</v>
      </c>
      <c r="X4083">
        <v>0.99866619999999995</v>
      </c>
      <c r="Y4083">
        <v>6.0433580000000004E-3</v>
      </c>
      <c r="Z4083">
        <v>-2.629644E-4</v>
      </c>
      <c r="AA4083">
        <v>0.99998169999999997</v>
      </c>
      <c r="AB4083">
        <v>29</v>
      </c>
      <c r="AC4083">
        <v>15.4559</v>
      </c>
      <c r="AD4083">
        <v>-1.1208521519319901</v>
      </c>
      <c r="AE4083">
        <v>-9.3899999999990699E-2</v>
      </c>
      <c r="AF4083">
        <v>9.4349099447559898E-2</v>
      </c>
      <c r="AG4083">
        <v>-1.1208521519319901</v>
      </c>
      <c r="AH4083">
        <v>15.375038972092501</v>
      </c>
      <c r="AI4083">
        <v>94.169452198996396</v>
      </c>
      <c r="AJ4083">
        <v>89.648408218314401</v>
      </c>
      <c r="AK4083">
        <v>15.416129043713299</v>
      </c>
      <c r="AL4083">
        <v>92.687134776542194</v>
      </c>
      <c r="AM4083">
        <v>88.759098045199806</v>
      </c>
      <c r="AN4083">
        <v>1.0000000366086399</v>
      </c>
    </row>
    <row r="4084" spans="1:40" x14ac:dyDescent="0.25">
      <c r="A4084" t="str">
        <f>"20190303154850644"</f>
        <v>20190303154850644</v>
      </c>
      <c r="B4084" t="str">
        <f>"1551599330635240"</f>
        <v>1551599330635240</v>
      </c>
      <c r="C4084" t="s">
        <v>40</v>
      </c>
      <c r="D4084">
        <v>4.5305119999999999</v>
      </c>
      <c r="E4084">
        <v>0.4947954</v>
      </c>
      <c r="F4084" t="s">
        <v>47</v>
      </c>
      <c r="G4084">
        <v>-196.2732</v>
      </c>
      <c r="H4084" s="1">
        <v>2.8368460000000001E-6</v>
      </c>
      <c r="I4084">
        <v>214.7878</v>
      </c>
      <c r="J4084">
        <v>-211.3759</v>
      </c>
      <c r="K4084">
        <v>1.1210260000000001</v>
      </c>
      <c r="L4084">
        <v>214.89959999999999</v>
      </c>
      <c r="M4084">
        <v>0.99988600000000005</v>
      </c>
      <c r="N4084">
        <v>-1.509951E-2</v>
      </c>
      <c r="O4084">
        <v>-1.5983189999999999E-4</v>
      </c>
      <c r="P4084">
        <v>0.99780670000000005</v>
      </c>
      <c r="Q4084">
        <v>-6.2159789999999999E-2</v>
      </c>
      <c r="R4084">
        <v>-2.2758919999999998E-2</v>
      </c>
      <c r="S4084">
        <v>2.9925079999999999</v>
      </c>
      <c r="T4084">
        <v>-0.21803359999999999</v>
      </c>
      <c r="U4084">
        <v>-2.1789550000000001E-2</v>
      </c>
      <c r="V4084">
        <v>2.2577860000000002E-2</v>
      </c>
      <c r="W4084">
        <v>-4.7096689999999997E-2</v>
      </c>
      <c r="X4084">
        <v>0.9986351</v>
      </c>
      <c r="Y4084">
        <v>7.0988680000000004E-3</v>
      </c>
      <c r="Z4084">
        <v>-3.0273069999999999E-4</v>
      </c>
      <c r="AA4084">
        <v>0.99997469999999999</v>
      </c>
      <c r="AB4084">
        <v>29</v>
      </c>
      <c r="AC4084">
        <v>15.1027</v>
      </c>
      <c r="AD4084">
        <v>-1.121023163154</v>
      </c>
      <c r="AE4084">
        <v>-0.11179999999998801</v>
      </c>
      <c r="AF4084">
        <v>0.108786493054606</v>
      </c>
      <c r="AG4084">
        <v>-1.121023163154</v>
      </c>
      <c r="AH4084">
        <v>15.0199682129302</v>
      </c>
      <c r="AI4084">
        <v>94.268274968416904</v>
      </c>
      <c r="AJ4084">
        <v>89.585025890553197</v>
      </c>
      <c r="AK4084">
        <v>15.0621370512564</v>
      </c>
      <c r="AL4084">
        <v>92.699440237947499</v>
      </c>
      <c r="AM4084">
        <v>88.704836487725004</v>
      </c>
      <c r="AN4084">
        <v>0.99999996046157202</v>
      </c>
    </row>
    <row r="4085" spans="1:40" x14ac:dyDescent="0.25">
      <c r="A4085" t="str">
        <f>"20190303154850666"</f>
        <v>20190303154850666</v>
      </c>
      <c r="B4085" t="str">
        <f>"1551599330654880"</f>
        <v>1551599330654880</v>
      </c>
      <c r="C4085" t="s">
        <v>40</v>
      </c>
      <c r="D4085">
        <v>4.5405309999999997</v>
      </c>
      <c r="E4085">
        <v>0.49488290000000001</v>
      </c>
      <c r="F4085" t="s">
        <v>47</v>
      </c>
      <c r="G4085">
        <v>-196.1883</v>
      </c>
      <c r="H4085" s="1">
        <v>2.853635E-6</v>
      </c>
      <c r="I4085">
        <v>214.7681</v>
      </c>
      <c r="J4085">
        <v>-211.09440000000001</v>
      </c>
      <c r="K4085">
        <v>1.1212819999999999</v>
      </c>
      <c r="L4085">
        <v>214.89930000000001</v>
      </c>
      <c r="M4085">
        <v>0.99986830000000004</v>
      </c>
      <c r="N4085">
        <v>-1.6224820000000001E-2</v>
      </c>
      <c r="O4085">
        <v>-3.7967360000000001E-4</v>
      </c>
      <c r="P4085">
        <v>0.99764260000000005</v>
      </c>
      <c r="Q4085">
        <v>-6.4357839999999999E-2</v>
      </c>
      <c r="R4085">
        <v>-2.3815949999999999E-2</v>
      </c>
      <c r="S4085">
        <v>2.992264</v>
      </c>
      <c r="T4085">
        <v>-0.2208637</v>
      </c>
      <c r="U4085">
        <v>-2.5909419999999999E-2</v>
      </c>
      <c r="V4085">
        <v>2.3415479999999999E-2</v>
      </c>
      <c r="W4085">
        <v>-4.8173199999999999E-2</v>
      </c>
      <c r="X4085">
        <v>0.99856449999999997</v>
      </c>
      <c r="Y4085">
        <v>8.2519999999999902E-3</v>
      </c>
      <c r="Z4085">
        <v>-3.4935560000000002E-4</v>
      </c>
      <c r="AA4085">
        <v>0.99996589999999996</v>
      </c>
      <c r="AB4085">
        <v>28</v>
      </c>
      <c r="AC4085">
        <v>14.9061</v>
      </c>
      <c r="AD4085">
        <v>-1.12127914636499</v>
      </c>
      <c r="AE4085">
        <v>-0.13120000000000601</v>
      </c>
      <c r="AF4085">
        <v>0.12483348039735</v>
      </c>
      <c r="AG4085">
        <v>-1.12127914636499</v>
      </c>
      <c r="AH4085">
        <v>14.8222837149334</v>
      </c>
      <c r="AI4085">
        <v>94.325930332804404</v>
      </c>
      <c r="AJ4085">
        <v>89.517465553529803</v>
      </c>
      <c r="AK4085">
        <v>14.865158756228601</v>
      </c>
      <c r="AL4085">
        <v>92.761189707607798</v>
      </c>
      <c r="AM4085">
        <v>88.656709345784193</v>
      </c>
      <c r="AN4085">
        <v>1.0000000012810599</v>
      </c>
    </row>
    <row r="4086" spans="1:40" x14ac:dyDescent="0.25">
      <c r="A4086" t="str">
        <f>"20190303154850689"</f>
        <v>20190303154850689</v>
      </c>
      <c r="B4086" t="str">
        <f>"1551599330675377"</f>
        <v>1551599330675377</v>
      </c>
      <c r="C4086" t="s">
        <v>40</v>
      </c>
      <c r="D4086">
        <v>4.5930730000000004</v>
      </c>
      <c r="E4086">
        <v>0.49490879999999998</v>
      </c>
      <c r="F4086" t="s">
        <v>47</v>
      </c>
      <c r="G4086">
        <v>-196.35210000000001</v>
      </c>
      <c r="H4086" s="1">
        <v>2.8258900000000001E-6</v>
      </c>
      <c r="I4086">
        <v>214.75299999999999</v>
      </c>
      <c r="J4086">
        <v>-210.8117</v>
      </c>
      <c r="K4086">
        <v>1.1215489999999999</v>
      </c>
      <c r="L4086">
        <v>214.8989</v>
      </c>
      <c r="M4086">
        <v>0.9998454</v>
      </c>
      <c r="N4086">
        <v>-1.7575980000000001E-2</v>
      </c>
      <c r="O4086">
        <v>-5.9687100000000001E-4</v>
      </c>
      <c r="P4086">
        <v>0.99742839999999999</v>
      </c>
      <c r="Q4086">
        <v>-6.7149680000000003E-2</v>
      </c>
      <c r="R4086">
        <v>-2.5059830000000002E-2</v>
      </c>
      <c r="S4086">
        <v>2.9916839999999998</v>
      </c>
      <c r="T4086">
        <v>-0.2275443</v>
      </c>
      <c r="U4086">
        <v>-2.9678340000000001E-2</v>
      </c>
      <c r="V4086">
        <v>2.4441979999999999E-2</v>
      </c>
      <c r="W4086">
        <v>-4.9619200000000002E-2</v>
      </c>
      <c r="X4086">
        <v>0.9984691</v>
      </c>
      <c r="Y4086">
        <v>9.2908230000000001E-3</v>
      </c>
      <c r="Z4086">
        <v>-3.9975669999999999E-4</v>
      </c>
      <c r="AA4086">
        <v>0.99995679999999998</v>
      </c>
      <c r="AB4086">
        <v>28</v>
      </c>
      <c r="AC4086">
        <v>14.459599999999901</v>
      </c>
      <c r="AD4086">
        <v>-1.1215461741099999</v>
      </c>
      <c r="AE4086">
        <v>-0.14590000000001099</v>
      </c>
      <c r="AF4086">
        <v>0.13644731533371299</v>
      </c>
      <c r="AG4086">
        <v>-1.1215461741099999</v>
      </c>
      <c r="AH4086">
        <v>14.373221250745001</v>
      </c>
      <c r="AI4086">
        <v>94.4615634597792</v>
      </c>
      <c r="AJ4086">
        <v>89.456098231416505</v>
      </c>
      <c r="AK4086">
        <v>14.417557796429699</v>
      </c>
      <c r="AL4086">
        <v>92.844138606571306</v>
      </c>
      <c r="AM4086">
        <v>88.597710569068198</v>
      </c>
      <c r="AN4086">
        <v>1.00000000952488</v>
      </c>
    </row>
    <row r="4087" spans="1:40" x14ac:dyDescent="0.25">
      <c r="A4087" t="str">
        <f>"20190303154850711"</f>
        <v>20190303154850711</v>
      </c>
      <c r="B4087" t="str">
        <f>"1551599330704657"</f>
        <v>1551599330704657</v>
      </c>
      <c r="C4087" t="s">
        <v>40</v>
      </c>
      <c r="D4087">
        <v>4.6055099999999998</v>
      </c>
      <c r="E4087">
        <v>0.49490780000000001</v>
      </c>
      <c r="F4087" t="s">
        <v>47</v>
      </c>
      <c r="G4087">
        <v>-196.56219999999999</v>
      </c>
      <c r="H4087" s="1">
        <v>2.7899479999999998E-6</v>
      </c>
      <c r="I4087">
        <v>214.73779999999999</v>
      </c>
      <c r="J4087">
        <v>-210.53899999999999</v>
      </c>
      <c r="K4087">
        <v>1.1217729999999999</v>
      </c>
      <c r="L4087">
        <v>214.89850000000001</v>
      </c>
      <c r="M4087">
        <v>0.99982079999999995</v>
      </c>
      <c r="N4087">
        <v>-1.891524E-2</v>
      </c>
      <c r="O4087">
        <v>-7.9650700000000001E-4</v>
      </c>
      <c r="P4087">
        <v>0.99715480000000001</v>
      </c>
      <c r="Q4087">
        <v>-7.0925730000000006E-2</v>
      </c>
      <c r="R4087">
        <v>-2.5533239999999999E-2</v>
      </c>
      <c r="S4087">
        <v>2.9910429999999999</v>
      </c>
      <c r="T4087">
        <v>-0.23541819999999999</v>
      </c>
      <c r="U4087">
        <v>-3.381348E-2</v>
      </c>
      <c r="V4087">
        <v>2.471489E-2</v>
      </c>
      <c r="W4087">
        <v>-5.2062570000000002E-2</v>
      </c>
      <c r="X4087">
        <v>0.9983379</v>
      </c>
      <c r="Y4087">
        <v>1.046883E-2</v>
      </c>
      <c r="Z4087">
        <v>-4.6300859999999998E-4</v>
      </c>
      <c r="AA4087">
        <v>0.99994510000000003</v>
      </c>
      <c r="AB4087">
        <v>28</v>
      </c>
      <c r="AC4087">
        <v>13.976800000000001</v>
      </c>
      <c r="AD4087">
        <v>-1.1217702100519999</v>
      </c>
      <c r="AE4087">
        <v>-0.16070000000001899</v>
      </c>
      <c r="AF4087">
        <v>0.14860819336512601</v>
      </c>
      <c r="AG4087">
        <v>-1.1217702100519999</v>
      </c>
      <c r="AH4087">
        <v>13.8874781300861</v>
      </c>
      <c r="AI4087">
        <v>94.617814706785495</v>
      </c>
      <c r="AJ4087">
        <v>89.386908319579007</v>
      </c>
      <c r="AK4087">
        <v>13.9335028479172</v>
      </c>
      <c r="AL4087">
        <v>92.984314888174794</v>
      </c>
      <c r="AM4087">
        <v>88.581873219616597</v>
      </c>
      <c r="AN4087">
        <v>0.99999994977956197</v>
      </c>
    </row>
    <row r="4088" spans="1:40" x14ac:dyDescent="0.25">
      <c r="A4088" t="str">
        <f>"20190303154850732"</f>
        <v>20190303154850732</v>
      </c>
      <c r="B4088" t="str">
        <f>"1551599330725153"</f>
        <v>1551599330725153</v>
      </c>
      <c r="C4088" t="s">
        <v>40</v>
      </c>
      <c r="D4088">
        <v>4.6051070000000003</v>
      </c>
      <c r="E4088">
        <v>0.49488290000000001</v>
      </c>
      <c r="F4088" t="s">
        <v>47</v>
      </c>
      <c r="G4088">
        <v>-196.9367</v>
      </c>
      <c r="H4088" s="1">
        <v>2.72343E-6</v>
      </c>
      <c r="I4088">
        <v>214.7389</v>
      </c>
      <c r="J4088">
        <v>-210.27860000000001</v>
      </c>
      <c r="K4088">
        <v>1.1219460000000001</v>
      </c>
      <c r="L4088">
        <v>214.898</v>
      </c>
      <c r="M4088">
        <v>0.99979629999999997</v>
      </c>
      <c r="N4088">
        <v>-2.016366E-2</v>
      </c>
      <c r="O4088">
        <v>-9.849647999999999E-4</v>
      </c>
      <c r="P4088">
        <v>0.99698629999999999</v>
      </c>
      <c r="Q4088">
        <v>-7.3141830000000005E-2</v>
      </c>
      <c r="R4088">
        <v>-2.5858280000000001E-2</v>
      </c>
      <c r="S4088">
        <v>2.9901279999999999</v>
      </c>
      <c r="T4088">
        <v>-0.24659249999999999</v>
      </c>
      <c r="U4088">
        <v>-3.507996E-2</v>
      </c>
      <c r="V4088">
        <v>2.485153E-2</v>
      </c>
      <c r="W4088">
        <v>-5.3035060000000002E-2</v>
      </c>
      <c r="X4088">
        <v>0.99828340000000004</v>
      </c>
      <c r="Y4088">
        <v>1.0702679999999999E-2</v>
      </c>
      <c r="Z4088">
        <v>-4.8744910000000002E-4</v>
      </c>
      <c r="AA4088">
        <v>0.99994260000000001</v>
      </c>
      <c r="AB4088">
        <v>27</v>
      </c>
      <c r="AC4088">
        <v>13.341900000000001</v>
      </c>
      <c r="AD4088">
        <v>-1.1219432765699999</v>
      </c>
      <c r="AE4088">
        <v>-0.159099999999995</v>
      </c>
      <c r="AF4088">
        <v>0.14493122647982701</v>
      </c>
      <c r="AG4088">
        <v>-1.1219432765699999</v>
      </c>
      <c r="AH4088">
        <v>13.2483787767673</v>
      </c>
      <c r="AI4088">
        <v>94.840274042805106</v>
      </c>
      <c r="AJ4088">
        <v>89.373235283642501</v>
      </c>
      <c r="AK4088">
        <v>13.296589863154599</v>
      </c>
      <c r="AL4088">
        <v>93.040111308479794</v>
      </c>
      <c r="AM4088">
        <v>88.573958303370603</v>
      </c>
      <c r="AN4088">
        <v>1.00000003142405</v>
      </c>
    </row>
    <row r="4089" spans="1:40" x14ac:dyDescent="0.25">
      <c r="A4089" t="str">
        <f>"20190303154850755"</f>
        <v>20190303154850755</v>
      </c>
      <c r="B4089" t="str">
        <f>"1551599330744672"</f>
        <v>1551599330744672</v>
      </c>
      <c r="C4089" t="s">
        <v>40</v>
      </c>
      <c r="D4089">
        <v>4.8853119999999999</v>
      </c>
      <c r="E4089">
        <v>0.51431450000000001</v>
      </c>
      <c r="F4089" t="s">
        <v>47</v>
      </c>
      <c r="G4089">
        <v>-197.0607</v>
      </c>
      <c r="H4089" s="1">
        <v>2.7014659999999998E-6</v>
      </c>
      <c r="I4089">
        <v>214.73859999999999</v>
      </c>
      <c r="J4089">
        <v>-210.01480000000001</v>
      </c>
      <c r="K4089">
        <v>1.122106</v>
      </c>
      <c r="L4089">
        <v>214.89750000000001</v>
      </c>
      <c r="M4089">
        <v>0.99977079999999996</v>
      </c>
      <c r="N4089">
        <v>-2.138379E-2</v>
      </c>
      <c r="O4089">
        <v>-1.18811E-3</v>
      </c>
      <c r="P4089">
        <v>0.99690719999999999</v>
      </c>
      <c r="Q4089">
        <v>-7.4188409999999996E-2</v>
      </c>
      <c r="R4089">
        <v>-2.5935509999999998E-2</v>
      </c>
      <c r="S4089">
        <v>2.9895170000000002</v>
      </c>
      <c r="T4089">
        <v>-0.25375150000000002</v>
      </c>
      <c r="U4089">
        <v>-3.6071779999999998E-2</v>
      </c>
      <c r="V4089">
        <v>2.47269E-2</v>
      </c>
      <c r="W4089">
        <v>-5.2864260000000003E-2</v>
      </c>
      <c r="X4089">
        <v>0.9982955</v>
      </c>
      <c r="Y4089">
        <v>1.083051E-2</v>
      </c>
      <c r="Z4089">
        <v>-4.9959569999999897E-4</v>
      </c>
      <c r="AA4089">
        <v>0.99994119999999997</v>
      </c>
      <c r="AB4089">
        <v>27</v>
      </c>
      <c r="AC4089">
        <v>12.9541</v>
      </c>
      <c r="AD4089">
        <v>-1.122103298534</v>
      </c>
      <c r="AE4089">
        <v>-0.158900000000016</v>
      </c>
      <c r="AF4089">
        <v>0.14243689133559201</v>
      </c>
      <c r="AG4089">
        <v>-1.122103298534</v>
      </c>
      <c r="AH4089">
        <v>12.857818381494999</v>
      </c>
      <c r="AI4089">
        <v>94.987268554786496</v>
      </c>
      <c r="AJ4089">
        <v>89.365312320791901</v>
      </c>
      <c r="AK4089">
        <v>12.9074744862078</v>
      </c>
      <c r="AL4089">
        <v>93.030311605941606</v>
      </c>
      <c r="AM4089">
        <v>88.581124138181195</v>
      </c>
      <c r="AN4089">
        <v>0.99999997744460301</v>
      </c>
    </row>
    <row r="4090" spans="1:40" x14ac:dyDescent="0.25">
      <c r="A4090" t="str">
        <f>"20190303154850777"</f>
        <v>20190303154850777</v>
      </c>
      <c r="B4090" t="str">
        <f>"1551599330774929"</f>
        <v>1551599330774929</v>
      </c>
      <c r="C4090" t="s">
        <v>40</v>
      </c>
      <c r="D4090">
        <v>4.9965250000000001</v>
      </c>
      <c r="E4090">
        <v>0.57191689999999995</v>
      </c>
      <c r="F4090" t="s">
        <v>47</v>
      </c>
      <c r="G4090">
        <v>-196.7713</v>
      </c>
      <c r="H4090" s="1">
        <v>2.8130150000000002E-6</v>
      </c>
      <c r="I4090">
        <v>214.0498</v>
      </c>
      <c r="J4090">
        <v>-209.74639999999999</v>
      </c>
      <c r="K4090">
        <v>1.1222449999999999</v>
      </c>
      <c r="L4090">
        <v>214.89689999999999</v>
      </c>
      <c r="M4090">
        <v>0.99974430000000003</v>
      </c>
      <c r="N4090">
        <v>-2.25693E-2</v>
      </c>
      <c r="O4090">
        <v>-1.4060520000000001E-3</v>
      </c>
      <c r="P4090">
        <v>0.99685279999999998</v>
      </c>
      <c r="Q4090">
        <v>-7.4770729999999994E-2</v>
      </c>
      <c r="R4090">
        <v>-2.6346370000000001E-2</v>
      </c>
      <c r="S4090">
        <v>2.985535</v>
      </c>
      <c r="T4090">
        <v>-0.25296079999999999</v>
      </c>
      <c r="U4090">
        <v>-0.19111629999999999</v>
      </c>
      <c r="V4090">
        <v>2.4921780000000001E-2</v>
      </c>
      <c r="W4090">
        <v>-5.2263299999999999E-2</v>
      </c>
      <c r="X4090">
        <v>0.9983223</v>
      </c>
      <c r="Y4090">
        <v>6.2200909999999998E-2</v>
      </c>
      <c r="Z4090">
        <v>-3.2448920000000001E-3</v>
      </c>
      <c r="AA4090">
        <v>0.99805840000000001</v>
      </c>
      <c r="AB4090">
        <v>27</v>
      </c>
      <c r="AC4090">
        <v>12.9750999999999</v>
      </c>
      <c r="AD4090">
        <v>-1.1222421869849999</v>
      </c>
      <c r="AE4090">
        <v>-0.84709999999998298</v>
      </c>
      <c r="AF4090">
        <v>0.82272229729261603</v>
      </c>
      <c r="AG4090">
        <v>-1.1222421869849999</v>
      </c>
      <c r="AH4090">
        <v>12.8803314897084</v>
      </c>
      <c r="AI4090">
        <v>94.969436141203602</v>
      </c>
      <c r="AJ4090">
        <v>86.345236563467793</v>
      </c>
      <c r="AK4090">
        <v>12.955278414201899</v>
      </c>
      <c r="AL4090">
        <v>92.995831455423101</v>
      </c>
      <c r="AM4090">
        <v>88.569984557941794</v>
      </c>
      <c r="AN4090">
        <v>0.99999998116127398</v>
      </c>
    </row>
    <row r="4091" spans="1:40" x14ac:dyDescent="0.25">
      <c r="A4091" t="str">
        <f>"20190303154850800"</f>
        <v>20190303154850800</v>
      </c>
      <c r="B4091" t="str">
        <f>"1551599330795424"</f>
        <v>1551599330795424</v>
      </c>
      <c r="C4091" t="s">
        <v>40</v>
      </c>
      <c r="D4091">
        <v>4.9862950000000001</v>
      </c>
      <c r="E4091">
        <v>0.58001159999999996</v>
      </c>
      <c r="F4091" t="s">
        <v>47</v>
      </c>
      <c r="G4091">
        <v>-197.3553</v>
      </c>
      <c r="H4091" s="1">
        <v>2.8727949999999999E-6</v>
      </c>
      <c r="I4091">
        <v>212.18100000000001</v>
      </c>
      <c r="J4091">
        <v>-209.48840000000001</v>
      </c>
      <c r="K4091">
        <v>1.1223529999999999</v>
      </c>
      <c r="L4091">
        <v>214.8963</v>
      </c>
      <c r="M4091">
        <v>0.99971960000000004</v>
      </c>
      <c r="N4091">
        <v>-2.3633520000000002E-2</v>
      </c>
      <c r="O4091">
        <v>-1.615685E-3</v>
      </c>
      <c r="P4091">
        <v>0.99677559999999998</v>
      </c>
      <c r="Q4091">
        <v>-7.5479359999999995E-2</v>
      </c>
      <c r="R4091">
        <v>-2.7231740000000001E-2</v>
      </c>
      <c r="S4091">
        <v>2.9720759999999999</v>
      </c>
      <c r="T4091">
        <v>-0.26917550000000001</v>
      </c>
      <c r="U4091">
        <v>-0.65142819999999901</v>
      </c>
      <c r="V4091">
        <v>2.5599239999999999E-2</v>
      </c>
      <c r="W4091">
        <v>-5.1910640000000001E-2</v>
      </c>
      <c r="X4091">
        <v>0.99832359999999998</v>
      </c>
      <c r="Y4091">
        <v>0.2114741</v>
      </c>
      <c r="Z4091">
        <v>-1.18736E-2</v>
      </c>
      <c r="AA4091">
        <v>0.9773115</v>
      </c>
      <c r="AB4091">
        <v>26</v>
      </c>
      <c r="AC4091">
        <v>12.133100000000001</v>
      </c>
      <c r="AD4091">
        <v>-1.122350127205</v>
      </c>
      <c r="AE4091">
        <v>-2.7153000000000098</v>
      </c>
      <c r="AF4091">
        <v>2.6738988574907001</v>
      </c>
      <c r="AG4091">
        <v>-1.122350127205</v>
      </c>
      <c r="AH4091">
        <v>12.0393670047916</v>
      </c>
      <c r="AI4091">
        <v>95.1999275522913</v>
      </c>
      <c r="AJ4091">
        <v>77.478067804551799</v>
      </c>
      <c r="AK4091">
        <v>12.383689385001301</v>
      </c>
      <c r="AL4091">
        <v>92.975597935024794</v>
      </c>
      <c r="AM4091">
        <v>88.531130519301399</v>
      </c>
      <c r="AN4091">
        <v>1.0000000229753701</v>
      </c>
    </row>
    <row r="4092" spans="1:40" x14ac:dyDescent="0.25">
      <c r="A4092" t="str">
        <f>"20190303154850822"</f>
        <v>20190303154850822</v>
      </c>
      <c r="B4092" t="str">
        <f>"1551599330814944"</f>
        <v>1551599330814944</v>
      </c>
      <c r="C4092" t="s">
        <v>40</v>
      </c>
      <c r="D4092">
        <v>4.9685810000000004</v>
      </c>
      <c r="E4092">
        <v>0.58402419999999899</v>
      </c>
      <c r="F4092" t="s">
        <v>47</v>
      </c>
      <c r="G4092">
        <v>-197.35210000000001</v>
      </c>
      <c r="H4092" s="1">
        <v>2.8926800000000001E-6</v>
      </c>
      <c r="I4092">
        <v>211.96010000000001</v>
      </c>
      <c r="J4092">
        <v>-209.2337</v>
      </c>
      <c r="K4092">
        <v>1.1224190000000001</v>
      </c>
      <c r="L4092">
        <v>214.8956</v>
      </c>
      <c r="M4092">
        <v>0.99969669999999999</v>
      </c>
      <c r="N4092">
        <v>-2.4561389999999999E-2</v>
      </c>
      <c r="O4092">
        <v>-1.8157869999999999E-3</v>
      </c>
      <c r="P4092">
        <v>0.99667810000000001</v>
      </c>
      <c r="Q4092">
        <v>-7.6367660000000004E-2</v>
      </c>
      <c r="R4092">
        <v>-2.8299689999999999E-2</v>
      </c>
      <c r="S4092">
        <v>2.969284</v>
      </c>
      <c r="T4092">
        <v>-0.2745957</v>
      </c>
      <c r="U4092">
        <v>-0.71838380000000002</v>
      </c>
      <c r="V4092">
        <v>2.6467879999999999E-2</v>
      </c>
      <c r="W4092">
        <v>-5.187452E-2</v>
      </c>
      <c r="X4092">
        <v>0.99830280000000005</v>
      </c>
      <c r="Y4092">
        <v>0.2321945</v>
      </c>
      <c r="Z4092">
        <v>-1.334084E-2</v>
      </c>
      <c r="AA4092">
        <v>0.9725779</v>
      </c>
      <c r="AB4092">
        <v>26</v>
      </c>
      <c r="AC4092">
        <v>11.881599999999899</v>
      </c>
      <c r="AD4092">
        <v>-1.1224161073200001</v>
      </c>
      <c r="AE4092">
        <v>-2.93549999999999</v>
      </c>
      <c r="AF4092">
        <v>2.8896108764384301</v>
      </c>
      <c r="AG4092">
        <v>-1.1224161073200001</v>
      </c>
      <c r="AH4092">
        <v>11.787770213857399</v>
      </c>
      <c r="AI4092">
        <v>95.283717136596195</v>
      </c>
      <c r="AJ4092">
        <v>76.2263300510444</v>
      </c>
      <c r="AK4092">
        <v>12.188568232155299</v>
      </c>
      <c r="AL4092">
        <v>92.973525695270794</v>
      </c>
      <c r="AM4092">
        <v>88.481279793576405</v>
      </c>
      <c r="AN4092">
        <v>0.999999997492382</v>
      </c>
    </row>
    <row r="4093" spans="1:40" x14ac:dyDescent="0.25">
      <c r="A4093" t="str">
        <f>"20190303154850844"</f>
        <v>20190303154850844</v>
      </c>
      <c r="B4093" t="str">
        <f>"1551599330834465"</f>
        <v>1551599330834465</v>
      </c>
      <c r="C4093" t="s">
        <v>40</v>
      </c>
      <c r="D4093">
        <v>4.9423440000000003</v>
      </c>
      <c r="E4093">
        <v>0.58646989999999999</v>
      </c>
      <c r="F4093" t="s">
        <v>47</v>
      </c>
      <c r="G4093">
        <v>-197.11019999999999</v>
      </c>
      <c r="H4093" s="1">
        <v>2.9481600000000002E-6</v>
      </c>
      <c r="I4093">
        <v>211.81620000000001</v>
      </c>
      <c r="J4093">
        <v>-208.9873</v>
      </c>
      <c r="K4093">
        <v>1.122447</v>
      </c>
      <c r="L4093">
        <v>214.89490000000001</v>
      </c>
      <c r="M4093">
        <v>0.99967779999999995</v>
      </c>
      <c r="N4093">
        <v>-2.5307690000000001E-2</v>
      </c>
      <c r="O4093">
        <v>-2.0086879999999998E-3</v>
      </c>
      <c r="P4093">
        <v>0.99658849999999999</v>
      </c>
      <c r="Q4093">
        <v>-7.701094E-2</v>
      </c>
      <c r="R4093">
        <v>-2.968283E-2</v>
      </c>
      <c r="S4093">
        <v>2.9675600000000002</v>
      </c>
      <c r="T4093">
        <v>-0.27474219999999999</v>
      </c>
      <c r="U4093">
        <v>-0.75376889999999996</v>
      </c>
      <c r="V4093">
        <v>2.765921E-2</v>
      </c>
      <c r="W4093">
        <v>-5.1774679999999997E-2</v>
      </c>
      <c r="X4093">
        <v>0.99827569999999999</v>
      </c>
      <c r="Y4093">
        <v>0.24298339999999999</v>
      </c>
      <c r="Z4093">
        <v>-1.4048089999999999E-2</v>
      </c>
      <c r="AA4093">
        <v>0.96992869999999998</v>
      </c>
      <c r="AB4093">
        <v>26</v>
      </c>
      <c r="AC4093">
        <v>11.8771</v>
      </c>
      <c r="AD4093">
        <v>-1.1224440518400001</v>
      </c>
      <c r="AE4093">
        <v>-3.0786999999999898</v>
      </c>
      <c r="AF4093">
        <v>3.0294755024237499</v>
      </c>
      <c r="AG4093">
        <v>-1.1224440518400001</v>
      </c>
      <c r="AH4093">
        <v>11.784638177308</v>
      </c>
      <c r="AI4093">
        <v>95.270451501921897</v>
      </c>
      <c r="AJ4093">
        <v>75.583148984318299</v>
      </c>
      <c r="AK4093">
        <v>12.219463958757</v>
      </c>
      <c r="AL4093">
        <v>92.967797546199193</v>
      </c>
      <c r="AM4093">
        <v>88.412912727988896</v>
      </c>
      <c r="AN4093">
        <v>1.0000000112987</v>
      </c>
    </row>
    <row r="4094" spans="1:40" x14ac:dyDescent="0.25">
      <c r="A4094" t="str">
        <f>"20190303154850866"</f>
        <v>20190303154850866</v>
      </c>
      <c r="B4094" t="str">
        <f>"1551599330854960"</f>
        <v>1551599330854960</v>
      </c>
      <c r="C4094" t="s">
        <v>40</v>
      </c>
      <c r="D4094">
        <v>4.989554</v>
      </c>
      <c r="E4094">
        <v>0.58811150000000001</v>
      </c>
      <c r="F4094" t="s">
        <v>47</v>
      </c>
      <c r="G4094">
        <v>-196.98689999999999</v>
      </c>
      <c r="H4094" s="1">
        <v>2.9758520000000001E-6</v>
      </c>
      <c r="I4094">
        <v>211.74969999999999</v>
      </c>
      <c r="J4094">
        <v>-208.73259999999999</v>
      </c>
      <c r="K4094">
        <v>1.122449</v>
      </c>
      <c r="L4094">
        <v>214.89420000000001</v>
      </c>
      <c r="M4094">
        <v>0.99966100000000002</v>
      </c>
      <c r="N4094">
        <v>-2.5945139999999998E-2</v>
      </c>
      <c r="O4094">
        <v>-2.2121480000000002E-3</v>
      </c>
      <c r="P4094">
        <v>0.99654410000000004</v>
      </c>
      <c r="Q4094">
        <v>-7.7129929999999999E-2</v>
      </c>
      <c r="R4094">
        <v>-3.0837150000000001E-2</v>
      </c>
      <c r="S4094">
        <v>2.9656980000000002</v>
      </c>
      <c r="T4094">
        <v>-0.27739249999999999</v>
      </c>
      <c r="U4094">
        <v>-0.77729799999999905</v>
      </c>
      <c r="V4094">
        <v>2.861172E-2</v>
      </c>
      <c r="W4094">
        <v>-5.1258020000000001E-2</v>
      </c>
      <c r="X4094">
        <v>0.99827549999999998</v>
      </c>
      <c r="Y4094">
        <v>0.25007420000000002</v>
      </c>
      <c r="Z4094">
        <v>-1.4637570000000001E-2</v>
      </c>
      <c r="AA4094">
        <v>0.96811599999999998</v>
      </c>
      <c r="AB4094">
        <v>25</v>
      </c>
      <c r="AC4094">
        <v>11.745699999999999</v>
      </c>
      <c r="AD4094">
        <v>-1.1224460241480001</v>
      </c>
      <c r="AE4094">
        <v>-3.1445000000000198</v>
      </c>
      <c r="AF4094">
        <v>3.0921508380410998</v>
      </c>
      <c r="AG4094">
        <v>-1.1224460241480001</v>
      </c>
      <c r="AH4094">
        <v>11.653326893704101</v>
      </c>
      <c r="AI4094">
        <v>95.318797875342796</v>
      </c>
      <c r="AJ4094">
        <v>75.139309981701402</v>
      </c>
      <c r="AK4094">
        <v>12.1087286522512</v>
      </c>
      <c r="AL4094">
        <v>92.938155798282807</v>
      </c>
      <c r="AM4094">
        <v>88.358286726004394</v>
      </c>
      <c r="AN4094">
        <v>0.99999999451796395</v>
      </c>
    </row>
    <row r="4095" spans="1:40" x14ac:dyDescent="0.25">
      <c r="A4095" t="str">
        <f>"20190303154850890"</f>
        <v>20190303154850890</v>
      </c>
      <c r="B4095" t="str">
        <f>"1551599330885216"</f>
        <v>1551599330885216</v>
      </c>
      <c r="C4095" t="s">
        <v>40</v>
      </c>
      <c r="D4095">
        <v>4.9615729999999996</v>
      </c>
      <c r="E4095">
        <v>0.59013369999999998</v>
      </c>
      <c r="F4095" t="s">
        <v>47</v>
      </c>
      <c r="G4095">
        <v>-196.8125</v>
      </c>
      <c r="H4095" s="1">
        <v>3.0109709999999999E-6</v>
      </c>
      <c r="I4095">
        <v>211.70179999999999</v>
      </c>
      <c r="J4095">
        <v>-208.48159999999999</v>
      </c>
      <c r="K4095">
        <v>1.122455</v>
      </c>
      <c r="L4095">
        <v>214.89340000000001</v>
      </c>
      <c r="M4095">
        <v>0.9996467</v>
      </c>
      <c r="N4095">
        <v>-2.6473790000000001E-2</v>
      </c>
      <c r="O4095">
        <v>-2.4151699999999999E-3</v>
      </c>
      <c r="P4095">
        <v>0.99658740000000001</v>
      </c>
      <c r="Q4095">
        <v>-7.6303780000000002E-2</v>
      </c>
      <c r="R4095">
        <v>-3.1492520000000003E-2</v>
      </c>
      <c r="S4095">
        <v>2.9642330000000001</v>
      </c>
      <c r="T4095">
        <v>-0.27912530000000002</v>
      </c>
      <c r="U4095">
        <v>-0.79386899999999905</v>
      </c>
      <c r="V4095">
        <v>2.9065560000000001E-2</v>
      </c>
      <c r="W4095">
        <v>-4.9902660000000001E-2</v>
      </c>
      <c r="X4095">
        <v>0.99833110000000003</v>
      </c>
      <c r="Y4095">
        <v>0.25500230000000002</v>
      </c>
      <c r="Z4095">
        <v>-1.5056770000000001E-2</v>
      </c>
      <c r="AA4095">
        <v>0.96682319999999999</v>
      </c>
      <c r="AB4095">
        <v>25</v>
      </c>
      <c r="AC4095">
        <v>11.669099999999901</v>
      </c>
      <c r="AD4095">
        <v>-1.1224519890289999</v>
      </c>
      <c r="AE4095">
        <v>-3.1916000000000202</v>
      </c>
      <c r="AF4095">
        <v>3.1363980860015799</v>
      </c>
      <c r="AG4095">
        <v>-1.1224519890289999</v>
      </c>
      <c r="AH4095">
        <v>11.577114653921001</v>
      </c>
      <c r="AI4095">
        <v>95.346227949313004</v>
      </c>
      <c r="AJ4095">
        <v>74.841646098481604</v>
      </c>
      <c r="AK4095">
        <v>12.046845028121799</v>
      </c>
      <c r="AL4095">
        <v>92.8603997438817</v>
      </c>
      <c r="AM4095">
        <v>88.3323532389999</v>
      </c>
      <c r="AN4095">
        <v>1.00000003374019</v>
      </c>
    </row>
    <row r="4096" spans="1:40" x14ac:dyDescent="0.25">
      <c r="A4096" t="str">
        <f>"20190303154850912"</f>
        <v>20190303154850912</v>
      </c>
      <c r="B4096" t="str">
        <f>"1551599330904736"</f>
        <v>1551599330904736</v>
      </c>
      <c r="C4096" t="s">
        <v>40</v>
      </c>
      <c r="D4096">
        <v>4.9322249999999999</v>
      </c>
      <c r="E4096">
        <v>0.59074859999999996</v>
      </c>
      <c r="F4096" t="s">
        <v>47</v>
      </c>
      <c r="G4096">
        <v>-196.34270000000001</v>
      </c>
      <c r="H4096" s="1">
        <v>3.1060270000000001E-6</v>
      </c>
      <c r="I4096">
        <v>211.5677</v>
      </c>
      <c r="J4096">
        <v>-208.24119999999999</v>
      </c>
      <c r="K4096">
        <v>1.122457</v>
      </c>
      <c r="L4096">
        <v>214.89250000000001</v>
      </c>
      <c r="M4096">
        <v>0.9996351</v>
      </c>
      <c r="N4096">
        <v>-2.6889860000000002E-2</v>
      </c>
      <c r="O4096">
        <v>-2.608497E-3</v>
      </c>
      <c r="P4096">
        <v>0.99666719999999998</v>
      </c>
      <c r="Q4096">
        <v>-7.5300019999999995E-2</v>
      </c>
      <c r="R4096">
        <v>-3.13849E-2</v>
      </c>
      <c r="S4096">
        <v>2.963638</v>
      </c>
      <c r="T4096">
        <v>-0.2740399</v>
      </c>
      <c r="U4096">
        <v>-0.81195069999999903</v>
      </c>
      <c r="V4096">
        <v>2.8765809999999999E-2</v>
      </c>
      <c r="W4096">
        <v>-4.8481070000000001E-2</v>
      </c>
      <c r="X4096">
        <v>0.99840980000000001</v>
      </c>
      <c r="Y4096">
        <v>0.26036769999999998</v>
      </c>
      <c r="Z4096">
        <v>-1.520232E-2</v>
      </c>
      <c r="AA4096">
        <v>0.96538979999999996</v>
      </c>
      <c r="AB4096">
        <v>25</v>
      </c>
      <c r="AC4096">
        <v>11.898499999999901</v>
      </c>
      <c r="AD4096">
        <v>-1.122453893973</v>
      </c>
      <c r="AE4096">
        <v>-3.32480000000001</v>
      </c>
      <c r="AF4096">
        <v>3.2667740269004399</v>
      </c>
      <c r="AG4096">
        <v>-1.122453893973</v>
      </c>
      <c r="AH4096">
        <v>11.8096502790131</v>
      </c>
      <c r="AI4096">
        <v>95.233991772779504</v>
      </c>
      <c r="AJ4096">
        <v>74.537542832523897</v>
      </c>
      <c r="AK4096">
        <v>12.304452649326601</v>
      </c>
      <c r="AL4096">
        <v>92.778849977364104</v>
      </c>
      <c r="AM4096">
        <v>88.349671965198397</v>
      </c>
      <c r="AN4096">
        <v>1.00000000735467</v>
      </c>
    </row>
    <row r="4097" spans="1:40" x14ac:dyDescent="0.25">
      <c r="A4097" t="str">
        <f>"20190303154850934"</f>
        <v>20190303154850934</v>
      </c>
      <c r="B4097" t="str">
        <f>"1551599330925232"</f>
        <v>1551599330925232</v>
      </c>
      <c r="C4097" t="s">
        <v>40</v>
      </c>
      <c r="D4097">
        <v>4.946752</v>
      </c>
      <c r="E4097">
        <v>0.59129109999999996</v>
      </c>
      <c r="F4097" t="s">
        <v>47</v>
      </c>
      <c r="G4097">
        <v>-196.24299999999999</v>
      </c>
      <c r="H4097" s="1">
        <v>3.1219920000000001E-6</v>
      </c>
      <c r="I4097">
        <v>211.5874</v>
      </c>
      <c r="J4097">
        <v>-208.0077</v>
      </c>
      <c r="K4097">
        <v>1.1224510000000001</v>
      </c>
      <c r="L4097">
        <v>214.89169999999999</v>
      </c>
      <c r="M4097">
        <v>0.99962620000000002</v>
      </c>
      <c r="N4097">
        <v>-2.7203149999999999E-2</v>
      </c>
      <c r="O4097">
        <v>-2.7932360000000002E-3</v>
      </c>
      <c r="P4097">
        <v>0.99672609999999995</v>
      </c>
      <c r="Q4097">
        <v>-7.4410299999999999E-2</v>
      </c>
      <c r="R4097">
        <v>-3.1628660000000003E-2</v>
      </c>
      <c r="S4097">
        <v>2.9633639999999999</v>
      </c>
      <c r="T4097">
        <v>-0.27722819999999998</v>
      </c>
      <c r="U4097">
        <v>-0.81631469999999995</v>
      </c>
      <c r="V4097">
        <v>2.8826149999999998E-2</v>
      </c>
      <c r="W4097">
        <v>-4.7276789999999999E-2</v>
      </c>
      <c r="X4097">
        <v>0.99846579999999996</v>
      </c>
      <c r="Y4097">
        <v>0.26149699999999998</v>
      </c>
      <c r="Z4097">
        <v>-1.5433840000000001E-2</v>
      </c>
      <c r="AA4097">
        <v>0.96508090000000002</v>
      </c>
      <c r="AB4097">
        <v>24</v>
      </c>
      <c r="AC4097">
        <v>11.764699999999999</v>
      </c>
      <c r="AD4097">
        <v>-1.1224478780080001</v>
      </c>
      <c r="AE4097">
        <v>-3.30429999999998</v>
      </c>
      <c r="AF4097">
        <v>3.2440429100596102</v>
      </c>
      <c r="AG4097">
        <v>-1.1224478780080001</v>
      </c>
      <c r="AH4097">
        <v>11.6753803488937</v>
      </c>
      <c r="AI4097">
        <v>95.292143437376495</v>
      </c>
      <c r="AJ4097">
        <v>74.471872162975799</v>
      </c>
      <c r="AK4097">
        <v>12.1695607945598</v>
      </c>
      <c r="AL4097">
        <v>92.709770614322494</v>
      </c>
      <c r="AM4097">
        <v>88.346304812433004</v>
      </c>
      <c r="AN4097">
        <v>0.99999999778308302</v>
      </c>
    </row>
    <row r="4098" spans="1:40" x14ac:dyDescent="0.25">
      <c r="A4098" t="str">
        <f>"20190303154850956"</f>
        <v>20190303154850956</v>
      </c>
      <c r="B4098" t="str">
        <f>"1551599330944752"</f>
        <v>1551599330944752</v>
      </c>
      <c r="C4098" t="s">
        <v>40</v>
      </c>
      <c r="D4098">
        <v>4.9299619999999997</v>
      </c>
      <c r="E4098">
        <v>0.59164229999999995</v>
      </c>
      <c r="F4098" t="s">
        <v>47</v>
      </c>
      <c r="G4098">
        <v>-196.1499</v>
      </c>
      <c r="H4098" s="1">
        <v>3.1369590000000001E-6</v>
      </c>
      <c r="I4098">
        <v>211.6052</v>
      </c>
      <c r="J4098">
        <v>-207.76669999999999</v>
      </c>
      <c r="K4098">
        <v>1.12246</v>
      </c>
      <c r="L4098">
        <v>214.89080000000001</v>
      </c>
      <c r="M4098">
        <v>0.99961920000000004</v>
      </c>
      <c r="N4098">
        <v>-2.743611E-2</v>
      </c>
      <c r="O4098">
        <v>-2.9757080000000001E-3</v>
      </c>
      <c r="P4098">
        <v>0.99667349999999999</v>
      </c>
      <c r="Q4098">
        <v>-7.4975040000000007E-2</v>
      </c>
      <c r="R4098">
        <v>-3.1956499999999999E-2</v>
      </c>
      <c r="S4098">
        <v>2.96286</v>
      </c>
      <c r="T4098">
        <v>-0.28046009999999999</v>
      </c>
      <c r="U4098">
        <v>-0.82118230000000003</v>
      </c>
      <c r="V4098">
        <v>2.8972939999999999E-2</v>
      </c>
      <c r="W4098">
        <v>-4.7609449999999998E-2</v>
      </c>
      <c r="X4098">
        <v>0.99844569999999999</v>
      </c>
      <c r="Y4098">
        <v>0.26279760000000002</v>
      </c>
      <c r="Z4098">
        <v>-1.5668620000000001E-2</v>
      </c>
      <c r="AA4098">
        <v>0.96472380000000002</v>
      </c>
      <c r="AB4098">
        <v>24</v>
      </c>
      <c r="AC4098">
        <v>11.6167999999999</v>
      </c>
      <c r="AD4098">
        <v>-1.1224568630409999</v>
      </c>
      <c r="AE4098">
        <v>-3.2856000000000098</v>
      </c>
      <c r="AF4098">
        <v>3.2231414454913399</v>
      </c>
      <c r="AG4098">
        <v>-1.1224568630409999</v>
      </c>
      <c r="AH4098">
        <v>11.526883866497201</v>
      </c>
      <c r="AI4098">
        <v>95.357534523397902</v>
      </c>
      <c r="AJ4098">
        <v>74.377971907662996</v>
      </c>
      <c r="AK4098">
        <v>12.0215473986815</v>
      </c>
      <c r="AL4098">
        <v>92.728852236524503</v>
      </c>
      <c r="AM4098">
        <v>88.337855050950097</v>
      </c>
      <c r="AN4098">
        <v>0.99999995341501702</v>
      </c>
    </row>
    <row r="4099" spans="1:40" x14ac:dyDescent="0.25">
      <c r="A4099" t="str">
        <f>"20190303154850978"</f>
        <v>20190303154850978</v>
      </c>
      <c r="B4099" t="str">
        <f>"1551599330975009"</f>
        <v>1551599330975009</v>
      </c>
      <c r="C4099" t="s">
        <v>40</v>
      </c>
      <c r="D4099">
        <v>4.9786449999999904</v>
      </c>
      <c r="E4099">
        <v>0.59204749999999995</v>
      </c>
      <c r="F4099" t="s">
        <v>47</v>
      </c>
      <c r="G4099">
        <v>-196.24250000000001</v>
      </c>
      <c r="H4099" s="1">
        <v>3.1138499999999998E-6</v>
      </c>
      <c r="I4099">
        <v>211.6815</v>
      </c>
      <c r="J4099">
        <v>-207.54</v>
      </c>
      <c r="K4099">
        <v>1.1224639999999999</v>
      </c>
      <c r="L4099">
        <v>214.88980000000001</v>
      </c>
      <c r="M4099">
        <v>0.99961489999999997</v>
      </c>
      <c r="N4099">
        <v>-2.7577560000000001E-2</v>
      </c>
      <c r="O4099">
        <v>-3.127796E-3</v>
      </c>
      <c r="P4099">
        <v>0.99665239999999999</v>
      </c>
      <c r="Q4099">
        <v>-7.4854749999999998E-2</v>
      </c>
      <c r="R4099">
        <v>-3.2878070000000002E-2</v>
      </c>
      <c r="S4099">
        <v>2.9618530000000001</v>
      </c>
      <c r="T4099">
        <v>-0.28848430000000003</v>
      </c>
      <c r="U4099">
        <v>-0.82481380000000004</v>
      </c>
      <c r="V4099">
        <v>2.9744820000000002E-2</v>
      </c>
      <c r="W4099">
        <v>-4.7347449999999999E-2</v>
      </c>
      <c r="X4099">
        <v>0.99843550000000003</v>
      </c>
      <c r="Y4099">
        <v>0.26375359999999998</v>
      </c>
      <c r="Z4099">
        <v>-1.6078990000000001E-2</v>
      </c>
      <c r="AA4099">
        <v>0.96445610000000004</v>
      </c>
      <c r="AB4099">
        <v>24</v>
      </c>
      <c r="AC4099">
        <v>11.2974999999999</v>
      </c>
      <c r="AD4099">
        <v>-1.1224608861499901</v>
      </c>
      <c r="AE4099">
        <v>-3.2082999999999999</v>
      </c>
      <c r="AF4099">
        <v>3.14421314744299</v>
      </c>
      <c r="AG4099">
        <v>-1.1224608861499901</v>
      </c>
      <c r="AH4099">
        <v>11.2051279815743</v>
      </c>
      <c r="AI4099">
        <v>95.509060824930302</v>
      </c>
      <c r="AJ4099">
        <v>74.325623211267498</v>
      </c>
      <c r="AK4099">
        <v>11.691915490669199</v>
      </c>
      <c r="AL4099">
        <v>92.713823689977502</v>
      </c>
      <c r="AM4099">
        <v>88.293581583032804</v>
      </c>
      <c r="AN4099">
        <v>0.99999999149929197</v>
      </c>
    </row>
    <row r="4100" spans="1:40" x14ac:dyDescent="0.25">
      <c r="A4100" t="str">
        <f>"20190303154851001"</f>
        <v>20190303154851001</v>
      </c>
      <c r="B4100" t="str">
        <f>"1551599330994529"</f>
        <v>1551599330994529</v>
      </c>
      <c r="C4100" t="s">
        <v>40</v>
      </c>
      <c r="D4100">
        <v>4.9336679999999999</v>
      </c>
      <c r="E4100">
        <v>0.59248690000000004</v>
      </c>
      <c r="F4100" t="s">
        <v>47</v>
      </c>
      <c r="G4100">
        <v>-196.3047</v>
      </c>
      <c r="H4100" s="1">
        <v>3.0978280000000001E-6</v>
      </c>
      <c r="I4100">
        <v>211.73869999999999</v>
      </c>
      <c r="J4100">
        <v>-207.30760000000001</v>
      </c>
      <c r="K4100">
        <v>1.122466</v>
      </c>
      <c r="L4100">
        <v>214.88890000000001</v>
      </c>
      <c r="M4100">
        <v>0.99961290000000003</v>
      </c>
      <c r="N4100">
        <v>-2.7633870000000001E-2</v>
      </c>
      <c r="O4100">
        <v>-3.2575659999999999E-3</v>
      </c>
      <c r="P4100">
        <v>0.99668190000000001</v>
      </c>
      <c r="Q4100">
        <v>-7.408845E-2</v>
      </c>
      <c r="R4100">
        <v>-3.3710280000000002E-2</v>
      </c>
      <c r="S4100">
        <v>2.960464</v>
      </c>
      <c r="T4100">
        <v>-0.29576269999999999</v>
      </c>
      <c r="U4100">
        <v>-0.83030700000000002</v>
      </c>
      <c r="V4100">
        <v>3.04503E-2</v>
      </c>
      <c r="W4100">
        <v>-4.6522639999999997E-2</v>
      </c>
      <c r="X4100">
        <v>0.99845300000000003</v>
      </c>
      <c r="Y4100">
        <v>0.26532709999999998</v>
      </c>
      <c r="Z4100">
        <v>-1.648906E-2</v>
      </c>
      <c r="AA4100">
        <v>0.96401749999999997</v>
      </c>
      <c r="AB4100">
        <v>24</v>
      </c>
      <c r="AC4100">
        <v>11.0029</v>
      </c>
      <c r="AD4100">
        <v>-1.1224629021720001</v>
      </c>
      <c r="AE4100">
        <v>-3.1502000000000101</v>
      </c>
      <c r="AF4100">
        <v>3.08465669126918</v>
      </c>
      <c r="AG4100">
        <v>-1.1224629021720001</v>
      </c>
      <c r="AH4100">
        <v>10.908185511266501</v>
      </c>
      <c r="AI4100">
        <v>95.654882536444504</v>
      </c>
      <c r="AJ4100">
        <v>74.209963498424699</v>
      </c>
      <c r="AK4100">
        <v>11.3913801191053</v>
      </c>
      <c r="AL4100">
        <v>92.666513435058206</v>
      </c>
      <c r="AM4100">
        <v>88.253164573853894</v>
      </c>
      <c r="AN4100">
        <v>0.99999998500582898</v>
      </c>
    </row>
    <row r="4101" spans="1:40" x14ac:dyDescent="0.25">
      <c r="A4101" t="str">
        <f>"20190303154851034"</f>
        <v>20190303154851034</v>
      </c>
      <c r="B4101" t="str">
        <f>"1551599331024785"</f>
        <v>1551599331024785</v>
      </c>
      <c r="C4101" t="s">
        <v>40</v>
      </c>
      <c r="D4101">
        <v>4.9388550000000002</v>
      </c>
      <c r="E4101">
        <v>0.5933041</v>
      </c>
      <c r="F4101" t="s">
        <v>47</v>
      </c>
      <c r="G4101">
        <v>-196.20910000000001</v>
      </c>
      <c r="H4101" s="1">
        <v>3.1135419999999998E-6</v>
      </c>
      <c r="I4101">
        <v>211.75280000000001</v>
      </c>
      <c r="J4101">
        <v>-206.97</v>
      </c>
      <c r="K4101">
        <v>1.1224270000000001</v>
      </c>
      <c r="L4101">
        <v>214.88759999999999</v>
      </c>
      <c r="M4101">
        <v>0.9996157</v>
      </c>
      <c r="N4101">
        <v>-2.7513679999999999E-2</v>
      </c>
      <c r="O4101">
        <v>-3.3930700000000002E-3</v>
      </c>
      <c r="P4101">
        <v>0.99632719999999997</v>
      </c>
      <c r="Q4101">
        <v>-7.7516130000000003E-2</v>
      </c>
      <c r="R4101">
        <v>-3.6378969999999997E-2</v>
      </c>
      <c r="S4101">
        <v>2.959457</v>
      </c>
      <c r="T4101">
        <v>-0.29931069999999999</v>
      </c>
      <c r="U4101">
        <v>-0.8362579</v>
      </c>
      <c r="V4101">
        <v>3.298889E-2</v>
      </c>
      <c r="W4101">
        <v>-5.0076240000000001E-2</v>
      </c>
      <c r="X4101">
        <v>0.99820039999999999</v>
      </c>
      <c r="Y4101">
        <v>0.26703529999999998</v>
      </c>
      <c r="Z4101">
        <v>-1.672421E-2</v>
      </c>
      <c r="AA4101">
        <v>0.9635416</v>
      </c>
      <c r="AB4101">
        <v>23</v>
      </c>
      <c r="AC4101">
        <v>10.7608999999999</v>
      </c>
      <c r="AD4101">
        <v>-1.1224238864579901</v>
      </c>
      <c r="AE4101">
        <v>-3.1347999999999798</v>
      </c>
      <c r="AF4101">
        <v>3.0674928914108399</v>
      </c>
      <c r="AG4101">
        <v>-1.1224238864579901</v>
      </c>
      <c r="AH4101">
        <v>10.664528079273399</v>
      </c>
      <c r="AI4101">
        <v>95.775671420679402</v>
      </c>
      <c r="AJ4101">
        <v>73.952905814143605</v>
      </c>
      <c r="AK4101">
        <v>11.153542359867499</v>
      </c>
      <c r="AL4101">
        <v>92.870357784763101</v>
      </c>
      <c r="AM4101">
        <v>88.107157149241402</v>
      </c>
      <c r="AN4101">
        <v>0.99999996761806398</v>
      </c>
    </row>
    <row r="4102" spans="1:40" x14ac:dyDescent="0.25">
      <c r="A4102" t="str">
        <f>"20190303154851056"</f>
        <v>20190303154851056</v>
      </c>
      <c r="B4102" t="str">
        <f>"1551599331045281"</f>
        <v>1551599331045281</v>
      </c>
      <c r="C4102" t="s">
        <v>40</v>
      </c>
      <c r="D4102">
        <v>5.0234870000000003</v>
      </c>
      <c r="E4102">
        <v>0.59296150000000003</v>
      </c>
      <c r="F4102" t="s">
        <v>47</v>
      </c>
      <c r="G4102">
        <v>-196.33420000000001</v>
      </c>
      <c r="H4102" s="1">
        <v>3.0847950000000002E-6</v>
      </c>
      <c r="I4102">
        <v>211.8279</v>
      </c>
      <c r="J4102">
        <v>-206.7433</v>
      </c>
      <c r="K4102">
        <v>1.12239</v>
      </c>
      <c r="L4102">
        <v>214.88669999999999</v>
      </c>
      <c r="M4102">
        <v>0.99962030000000002</v>
      </c>
      <c r="N4102">
        <v>-2.7337190000000001E-2</v>
      </c>
      <c r="O4102">
        <v>-3.457889E-3</v>
      </c>
      <c r="P4102">
        <v>0.99605580000000005</v>
      </c>
      <c r="Q4102">
        <v>-8.0153459999999996E-2</v>
      </c>
      <c r="R4102">
        <v>-3.8057819999999999E-2</v>
      </c>
      <c r="S4102">
        <v>2.9557190000000002</v>
      </c>
      <c r="T4102">
        <v>-0.31192399999999998</v>
      </c>
      <c r="U4102">
        <v>-0.85029599999999905</v>
      </c>
      <c r="V4102">
        <v>3.4605690000000001E-2</v>
      </c>
      <c r="W4102">
        <v>-5.2894839999999999E-2</v>
      </c>
      <c r="X4102">
        <v>0.99800029999999995</v>
      </c>
      <c r="Y4102">
        <v>0.27137060000000002</v>
      </c>
      <c r="Z4102">
        <v>-1.7529650000000001E-2</v>
      </c>
      <c r="AA4102">
        <v>0.96231529999999998</v>
      </c>
      <c r="AB4102">
        <v>23</v>
      </c>
      <c r="AC4102">
        <v>10.409099999999899</v>
      </c>
      <c r="AD4102">
        <v>-1.1223869152049999</v>
      </c>
      <c r="AE4102">
        <v>-3.05879999999999</v>
      </c>
      <c r="AF4102">
        <v>2.9907658558465799</v>
      </c>
      <c r="AG4102">
        <v>-1.1223869152049999</v>
      </c>
      <c r="AH4102">
        <v>10.3092828682499</v>
      </c>
      <c r="AI4102">
        <v>95.969180996998105</v>
      </c>
      <c r="AJ4102">
        <v>73.822336129546798</v>
      </c>
      <c r="AK4102">
        <v>10.7928562507573</v>
      </c>
      <c r="AL4102">
        <v>93.032066071964095</v>
      </c>
      <c r="AM4102">
        <v>88.014062826740101</v>
      </c>
      <c r="AN4102">
        <v>1.0000000083395399</v>
      </c>
    </row>
    <row r="4103" spans="1:40" x14ac:dyDescent="0.25">
      <c r="A4103" t="str">
        <f>"20190303154851078"</f>
        <v>20190303154851078</v>
      </c>
      <c r="B4103" t="str">
        <f>"1551599331074561"</f>
        <v>1551599331074561</v>
      </c>
      <c r="C4103" t="s">
        <v>40</v>
      </c>
      <c r="D4103">
        <v>4.7874230000000004</v>
      </c>
      <c r="E4103">
        <v>0.54530199999999995</v>
      </c>
      <c r="F4103" t="s">
        <v>47</v>
      </c>
      <c r="G4103">
        <v>-196.5025</v>
      </c>
      <c r="H4103" s="1">
        <v>3.045971E-6</v>
      </c>
      <c r="I4103">
        <v>211.93039999999999</v>
      </c>
      <c r="J4103">
        <v>-206.52619999999999</v>
      </c>
      <c r="K4103">
        <v>1.122358</v>
      </c>
      <c r="L4103">
        <v>214.88579999999999</v>
      </c>
      <c r="M4103">
        <v>0.99962609999999996</v>
      </c>
      <c r="N4103">
        <v>-2.7120040000000002E-2</v>
      </c>
      <c r="O4103">
        <v>-3.5163769999999998E-3</v>
      </c>
      <c r="P4103">
        <v>0.99605180000000004</v>
      </c>
      <c r="Q4103">
        <v>-7.9797859999999998E-2</v>
      </c>
      <c r="R4103">
        <v>-3.8897340000000002E-2</v>
      </c>
      <c r="S4103">
        <v>2.9532620000000001</v>
      </c>
      <c r="T4103">
        <v>-0.32367780000000002</v>
      </c>
      <c r="U4103">
        <v>-0.85253909999999999</v>
      </c>
      <c r="V4103">
        <v>3.5387830000000002E-2</v>
      </c>
      <c r="W4103">
        <v>-5.2755799999999999E-2</v>
      </c>
      <c r="X4103">
        <v>0.99798019999999998</v>
      </c>
      <c r="Y4103">
        <v>0.27207779999999998</v>
      </c>
      <c r="Z4103">
        <v>-1.8064E-2</v>
      </c>
      <c r="AA4103">
        <v>0.96210569999999895</v>
      </c>
      <c r="AB4103">
        <v>23</v>
      </c>
      <c r="AC4103">
        <v>10.0236999999999</v>
      </c>
      <c r="AD4103">
        <v>-1.1223549540290001</v>
      </c>
      <c r="AE4103">
        <v>-2.9553999999999898</v>
      </c>
      <c r="AF4103">
        <v>2.8868233132468899</v>
      </c>
      <c r="AG4103">
        <v>-1.1223549540290001</v>
      </c>
      <c r="AH4103">
        <v>9.9196153945306396</v>
      </c>
      <c r="AI4103">
        <v>96.200184467452004</v>
      </c>
      <c r="AJ4103">
        <v>73.773857995984898</v>
      </c>
      <c r="AK4103">
        <v>10.3919295157419</v>
      </c>
      <c r="AL4103">
        <v>93.024088625414194</v>
      </c>
      <c r="AM4103">
        <v>87.969173997058505</v>
      </c>
      <c r="AN4103">
        <v>0.99999997626889403</v>
      </c>
    </row>
    <row r="4104" spans="1:40" x14ac:dyDescent="0.25">
      <c r="A4104" t="str">
        <f>"20190303154851102"</f>
        <v>20190303154851102</v>
      </c>
      <c r="B4104" t="str">
        <f>"1551599331094638"</f>
        <v>1551599331094638</v>
      </c>
      <c r="C4104" t="s">
        <v>40</v>
      </c>
      <c r="D4104">
        <v>4.8281320000000001</v>
      </c>
      <c r="E4104">
        <v>0.54173280000000001</v>
      </c>
      <c r="F4104" t="s">
        <v>47</v>
      </c>
      <c r="G4104">
        <v>-194.30789999999999</v>
      </c>
      <c r="H4104" s="1">
        <v>3.348324E-6</v>
      </c>
      <c r="I4104">
        <v>212.9248</v>
      </c>
      <c r="J4104">
        <v>-206.2987</v>
      </c>
      <c r="K4104">
        <v>1.122301</v>
      </c>
      <c r="L4104">
        <v>214.88489999999999</v>
      </c>
      <c r="M4104">
        <v>0.99963369999999996</v>
      </c>
      <c r="N4104">
        <v>-2.681973E-2</v>
      </c>
      <c r="O4104">
        <v>-3.6023589999999999E-3</v>
      </c>
      <c r="P4104">
        <v>0.99614659999999999</v>
      </c>
      <c r="Q4104">
        <v>-7.8004690000000002E-2</v>
      </c>
      <c r="R4104">
        <v>-4.009182E-2</v>
      </c>
      <c r="S4104">
        <v>2.9714200000000002</v>
      </c>
      <c r="T4104">
        <v>-0.2729511</v>
      </c>
      <c r="U4104">
        <v>-0.47691349999999999</v>
      </c>
      <c r="V4104">
        <v>3.649463E-2</v>
      </c>
      <c r="W4104">
        <v>-5.1261550000000003E-2</v>
      </c>
      <c r="X4104">
        <v>0.99801819999999997</v>
      </c>
      <c r="Y4104">
        <v>0.15409829999999999</v>
      </c>
      <c r="Z4104">
        <v>-8.8713899999999998E-3</v>
      </c>
      <c r="AA4104">
        <v>0.98801570000000005</v>
      </c>
      <c r="AB4104">
        <v>22</v>
      </c>
      <c r="AC4104">
        <v>11.9908</v>
      </c>
      <c r="AD4104">
        <v>-1.1222976516759999</v>
      </c>
      <c r="AE4104">
        <v>-1.96009999999998</v>
      </c>
      <c r="AF4104">
        <v>1.9006595229191099</v>
      </c>
      <c r="AG4104">
        <v>-1.1222976516759999</v>
      </c>
      <c r="AH4104">
        <v>11.8962827716104</v>
      </c>
      <c r="AI4104">
        <v>95.322239095088307</v>
      </c>
      <c r="AJ4104">
        <v>80.922617602869707</v>
      </c>
      <c r="AK4104">
        <v>12.099322395206</v>
      </c>
      <c r="AL4104">
        <v>92.938358402411893</v>
      </c>
      <c r="AM4104">
        <v>87.905792669215003</v>
      </c>
      <c r="AN4104">
        <v>0.99999996602923902</v>
      </c>
    </row>
    <row r="4105" spans="1:40" x14ac:dyDescent="0.25">
      <c r="A4105" t="str">
        <f>"20190303154851124"</f>
        <v>20190303154851124</v>
      </c>
      <c r="B4105" t="str">
        <f>"1551599331115134"</f>
        <v>1551599331115134</v>
      </c>
      <c r="C4105" t="s">
        <v>40</v>
      </c>
      <c r="D4105">
        <v>4.9308690000000004</v>
      </c>
      <c r="E4105">
        <v>0.54056919999999897</v>
      </c>
      <c r="F4105" t="s">
        <v>47</v>
      </c>
      <c r="G4105">
        <v>-193.82679999999999</v>
      </c>
      <c r="H4105" s="1">
        <v>3.4280769999999998E-6</v>
      </c>
      <c r="I4105">
        <v>212.98869999999999</v>
      </c>
      <c r="J4105">
        <v>-206.07929999999999</v>
      </c>
      <c r="K4105">
        <v>1.122223</v>
      </c>
      <c r="L4105">
        <v>214.88390000000001</v>
      </c>
      <c r="M4105">
        <v>0.99964310000000001</v>
      </c>
      <c r="N4105">
        <v>-2.6453649999999999E-2</v>
      </c>
      <c r="O4105">
        <v>-3.7390169999999999E-3</v>
      </c>
      <c r="P4105">
        <v>0.99603529999999996</v>
      </c>
      <c r="Q4105">
        <v>-7.8412029999999994E-2</v>
      </c>
      <c r="R4105">
        <v>-4.2015129999999998E-2</v>
      </c>
      <c r="S4105">
        <v>2.9724729999999999</v>
      </c>
      <c r="T4105">
        <v>-0.26748169999999999</v>
      </c>
      <c r="U4105">
        <v>-0.45193480000000003</v>
      </c>
      <c r="V4105">
        <v>3.8278270000000003E-2</v>
      </c>
      <c r="W4105">
        <v>-5.2040030000000001E-2</v>
      </c>
      <c r="X4105">
        <v>0.99791110000000005</v>
      </c>
      <c r="Y4105">
        <v>0.14587159999999999</v>
      </c>
      <c r="Z4105">
        <v>-8.2229079999999993E-3</v>
      </c>
      <c r="AA4105">
        <v>0.98926939999999997</v>
      </c>
      <c r="AB4105">
        <v>22</v>
      </c>
      <c r="AC4105">
        <v>12.2524999999999</v>
      </c>
      <c r="AD4105">
        <v>-1.1222195719229999</v>
      </c>
      <c r="AE4105">
        <v>-1.89520000000001</v>
      </c>
      <c r="AF4105">
        <v>1.83432991133496</v>
      </c>
      <c r="AG4105">
        <v>-1.1222195719229999</v>
      </c>
      <c r="AH4105">
        <v>12.1598782348296</v>
      </c>
      <c r="AI4105">
        <v>95.214155649732703</v>
      </c>
      <c r="AJ4105">
        <v>81.421554023493698</v>
      </c>
      <c r="AK4105">
        <v>12.348553829380499</v>
      </c>
      <c r="AL4105">
        <v>92.9830216066524</v>
      </c>
      <c r="AM4105">
        <v>87.803302711255697</v>
      </c>
      <c r="AN4105">
        <v>0.99999997708990096</v>
      </c>
    </row>
    <row r="4106" spans="1:40" x14ac:dyDescent="0.25">
      <c r="A4106" t="str">
        <f>"20190303154851145"</f>
        <v>20190303154851145</v>
      </c>
      <c r="B4106" t="str">
        <f>"1551599331134654"</f>
        <v>1551599331134654</v>
      </c>
      <c r="C4106" t="s">
        <v>40</v>
      </c>
      <c r="D4106">
        <v>4.7597230000000001</v>
      </c>
      <c r="E4106">
        <v>0.53896169999999899</v>
      </c>
      <c r="F4106" t="s">
        <v>47</v>
      </c>
      <c r="G4106">
        <v>-193.66079999999999</v>
      </c>
      <c r="H4106" s="1">
        <v>3.4556250000000001E-6</v>
      </c>
      <c r="I4106">
        <v>213.01060000000001</v>
      </c>
      <c r="J4106">
        <v>-205.87440000000001</v>
      </c>
      <c r="K4106">
        <v>1.1221369999999999</v>
      </c>
      <c r="L4106">
        <v>214.88290000000001</v>
      </c>
      <c r="M4106">
        <v>0.99965199999999999</v>
      </c>
      <c r="N4106">
        <v>-2.6085210000000001E-2</v>
      </c>
      <c r="O4106">
        <v>-3.9168969999999999E-3</v>
      </c>
      <c r="P4106">
        <v>0.99590820000000002</v>
      </c>
      <c r="Q4106">
        <v>-7.9339190000000004E-2</v>
      </c>
      <c r="R4106">
        <v>-4.32653E-2</v>
      </c>
      <c r="S4106">
        <v>2.9718930000000001</v>
      </c>
      <c r="T4106">
        <v>-0.26855810000000002</v>
      </c>
      <c r="U4106">
        <v>-0.44831850000000001</v>
      </c>
      <c r="V4106">
        <v>3.9346550000000001E-2</v>
      </c>
      <c r="W4106">
        <v>-5.3341550000000001E-2</v>
      </c>
      <c r="X4106">
        <v>0.99780080000000004</v>
      </c>
      <c r="Y4106">
        <v>0.1445515</v>
      </c>
      <c r="Z4106">
        <v>-8.1329109999999996E-3</v>
      </c>
      <c r="AA4106">
        <v>0.98946389999999995</v>
      </c>
      <c r="AB4106">
        <v>22</v>
      </c>
      <c r="AC4106">
        <v>12.2136</v>
      </c>
      <c r="AD4106">
        <v>-1.122133544375</v>
      </c>
      <c r="AE4106">
        <v>-1.8722999999999901</v>
      </c>
      <c r="AF4106">
        <v>1.80950631208714</v>
      </c>
      <c r="AG4106">
        <v>-1.122133544375</v>
      </c>
      <c r="AH4106">
        <v>12.120877337529301</v>
      </c>
      <c r="AI4106">
        <v>95.231634371182395</v>
      </c>
      <c r="AJ4106">
        <v>81.509113381020001</v>
      </c>
      <c r="AK4106">
        <v>12.3064683892791</v>
      </c>
      <c r="AL4106">
        <v>93.057697019994194</v>
      </c>
      <c r="AM4106">
        <v>87.741809959353404</v>
      </c>
      <c r="AN4106">
        <v>0.99999995421697097</v>
      </c>
    </row>
    <row r="4107" spans="1:40" x14ac:dyDescent="0.25">
      <c r="A4107" t="str">
        <f>"20190303154851168"</f>
        <v>20190303154851168</v>
      </c>
      <c r="B4107" t="str">
        <f>"1551599331164910"</f>
        <v>1551599331164910</v>
      </c>
      <c r="C4107" t="s">
        <v>40</v>
      </c>
      <c r="D4107">
        <v>4.7895890000000003</v>
      </c>
      <c r="E4107">
        <v>0.53731219999999902</v>
      </c>
      <c r="F4107" t="s">
        <v>47</v>
      </c>
      <c r="G4107">
        <v>-193.68790000000001</v>
      </c>
      <c r="H4107" s="1">
        <v>3.4445880000000001E-6</v>
      </c>
      <c r="I4107">
        <v>213.08179999999999</v>
      </c>
      <c r="J4107">
        <v>-205.6591</v>
      </c>
      <c r="K4107">
        <v>1.122058</v>
      </c>
      <c r="L4107">
        <v>214.8818</v>
      </c>
      <c r="M4107">
        <v>0.99966080000000002</v>
      </c>
      <c r="N4107">
        <v>-2.5706619999999999E-2</v>
      </c>
      <c r="O4107">
        <v>-4.1724809999999996E-3</v>
      </c>
      <c r="P4107">
        <v>0.99581120000000001</v>
      </c>
      <c r="Q4107">
        <v>-8.0086539999999998E-2</v>
      </c>
      <c r="R4107">
        <v>-4.4118909999999997E-2</v>
      </c>
      <c r="S4107">
        <v>2.9714360000000002</v>
      </c>
      <c r="T4107">
        <v>-0.27361010000000002</v>
      </c>
      <c r="U4107">
        <v>-0.43917850000000003</v>
      </c>
      <c r="V4107">
        <v>3.9939500000000003E-2</v>
      </c>
      <c r="W4107">
        <v>-5.4473180000000003E-2</v>
      </c>
      <c r="X4107">
        <v>0.99771609999999999</v>
      </c>
      <c r="Y4107">
        <v>0.141338299999999</v>
      </c>
      <c r="Z4107">
        <v>-8.0154800000000002E-3</v>
      </c>
      <c r="AA4107">
        <v>0.9899289</v>
      </c>
      <c r="AB4107">
        <v>22</v>
      </c>
      <c r="AC4107">
        <v>11.9711999999999</v>
      </c>
      <c r="AD4107">
        <v>-1.1220545554120001</v>
      </c>
      <c r="AE4107">
        <v>-1.80000000000001</v>
      </c>
      <c r="AF4107">
        <v>1.73511187392278</v>
      </c>
      <c r="AG4107">
        <v>-1.1220545554120001</v>
      </c>
      <c r="AH4107">
        <v>11.876577115315101</v>
      </c>
      <c r="AI4107">
        <v>95.340709544163801</v>
      </c>
      <c r="AJ4107">
        <v>81.688159614627395</v>
      </c>
      <c r="AK4107">
        <v>12.054986670103601</v>
      </c>
      <c r="AL4107">
        <v>93.122629066405196</v>
      </c>
      <c r="AM4107">
        <v>87.707620824598095</v>
      </c>
      <c r="AN4107">
        <v>0.99999995359938498</v>
      </c>
    </row>
    <row r="4108" spans="1:40" x14ac:dyDescent="0.25">
      <c r="A4108" t="str">
        <f>"20190303154851191"</f>
        <v>20190303154851191</v>
      </c>
      <c r="B4108" t="str">
        <f>"1551599331185243"</f>
        <v>1551599331185243</v>
      </c>
      <c r="C4108" t="s">
        <v>40</v>
      </c>
      <c r="D4108">
        <v>4.7952519999999996</v>
      </c>
      <c r="E4108">
        <v>0.536516199999999</v>
      </c>
      <c r="F4108" t="s">
        <v>47</v>
      </c>
      <c r="G4108">
        <v>-193.76859999999999</v>
      </c>
      <c r="H4108" s="1">
        <v>3.4227829999999998E-6</v>
      </c>
      <c r="I4108">
        <v>213.16749999999999</v>
      </c>
      <c r="J4108">
        <v>-205.4427</v>
      </c>
      <c r="K4108">
        <v>1.1219950000000001</v>
      </c>
      <c r="L4108">
        <v>214.88050000000001</v>
      </c>
      <c r="M4108">
        <v>0.99966880000000002</v>
      </c>
      <c r="N4108">
        <v>-2.5337999999999999E-2</v>
      </c>
      <c r="O4108">
        <v>-4.5139259999999997E-3</v>
      </c>
      <c r="P4108">
        <v>0.99578540000000004</v>
      </c>
      <c r="Q4108">
        <v>-7.9640329999999995E-2</v>
      </c>
      <c r="R4108">
        <v>-4.5485419999999999E-2</v>
      </c>
      <c r="S4108">
        <v>2.9710999999999999</v>
      </c>
      <c r="T4108">
        <v>-0.28036879999999997</v>
      </c>
      <c r="U4108">
        <v>-0.42834470000000002</v>
      </c>
      <c r="V4108">
        <v>4.0959870000000002E-2</v>
      </c>
      <c r="W4108">
        <v>-5.440035E-2</v>
      </c>
      <c r="X4108">
        <v>0.99767879999999998</v>
      </c>
      <c r="Y4108">
        <v>0.1374726</v>
      </c>
      <c r="Z4108">
        <v>-7.8854089999999995E-3</v>
      </c>
      <c r="AA4108">
        <v>0.99047419999999997</v>
      </c>
      <c r="AB4108">
        <v>21</v>
      </c>
      <c r="AC4108">
        <v>11.674099999999999</v>
      </c>
      <c r="AD4108">
        <v>-1.1219915772169999</v>
      </c>
      <c r="AE4108">
        <v>-1.7130000000000201</v>
      </c>
      <c r="AF4108">
        <v>1.64539140664914</v>
      </c>
      <c r="AG4108">
        <v>-1.1219915772169999</v>
      </c>
      <c r="AH4108">
        <v>11.5770323860236</v>
      </c>
      <c r="AI4108">
        <v>95.480811799472903</v>
      </c>
      <c r="AJ4108">
        <v>81.910984026408997</v>
      </c>
      <c r="AK4108">
        <v>11.7470786516249</v>
      </c>
      <c r="AL4108">
        <v>93.118449721743303</v>
      </c>
      <c r="AM4108">
        <v>87.649032468848503</v>
      </c>
      <c r="AN4108">
        <v>1.00000004849998</v>
      </c>
    </row>
    <row r="4109" spans="1:40" x14ac:dyDescent="0.25">
      <c r="A4109" t="str">
        <f>"20190303154851212"</f>
        <v>20190303154851212</v>
      </c>
      <c r="B4109" t="str">
        <f>"1551599331204763"</f>
        <v>1551599331204763</v>
      </c>
      <c r="C4109" t="s">
        <v>40</v>
      </c>
      <c r="D4109">
        <v>4.8133269999999904</v>
      </c>
      <c r="E4109">
        <v>0.53577559999999902</v>
      </c>
      <c r="F4109" t="s">
        <v>47</v>
      </c>
      <c r="G4109">
        <v>-193.66829999999999</v>
      </c>
      <c r="H4109" s="1">
        <v>3.4383970000000001E-6</v>
      </c>
      <c r="I4109">
        <v>213.19229999999999</v>
      </c>
      <c r="J4109">
        <v>-205.24010000000001</v>
      </c>
      <c r="K4109">
        <v>1.1219410000000001</v>
      </c>
      <c r="L4109">
        <v>214.87909999999999</v>
      </c>
      <c r="M4109">
        <v>0.99967550000000005</v>
      </c>
      <c r="N4109">
        <v>-2.499461E-2</v>
      </c>
      <c r="O4109">
        <v>-4.9156640000000001E-3</v>
      </c>
      <c r="P4109">
        <v>0.99568409999999996</v>
      </c>
      <c r="Q4109">
        <v>-7.8972730000000005E-2</v>
      </c>
      <c r="R4109">
        <v>-4.8751450000000002E-2</v>
      </c>
      <c r="S4109">
        <v>2.970596</v>
      </c>
      <c r="T4109">
        <v>-0.28307009999999899</v>
      </c>
      <c r="U4109">
        <v>-0.42591859999999998</v>
      </c>
      <c r="V4109">
        <v>4.3819919999999998E-2</v>
      </c>
      <c r="W4109">
        <v>-5.4083979999999997E-2</v>
      </c>
      <c r="X4109">
        <v>0.99757439999999997</v>
      </c>
      <c r="Y4109">
        <v>0.13630239999999999</v>
      </c>
      <c r="Z4109">
        <v>-7.821003E-3</v>
      </c>
      <c r="AA4109">
        <v>0.99063639999999997</v>
      </c>
      <c r="AB4109">
        <v>21</v>
      </c>
      <c r="AC4109">
        <v>11.5718</v>
      </c>
      <c r="AD4109">
        <v>-1.1219375616030001</v>
      </c>
      <c r="AE4109">
        <v>-1.6868000000000001</v>
      </c>
      <c r="AF4109">
        <v>1.61501322514472</v>
      </c>
      <c r="AG4109">
        <v>-1.1219375616030001</v>
      </c>
      <c r="AH4109">
        <v>11.4743379281594</v>
      </c>
      <c r="AI4109">
        <v>95.530345568426299</v>
      </c>
      <c r="AJ4109">
        <v>81.988247383650005</v>
      </c>
      <c r="AK4109">
        <v>11.641625423416</v>
      </c>
      <c r="AL4109">
        <v>93.100296566131505</v>
      </c>
      <c r="AM4109">
        <v>87.484815652536696</v>
      </c>
      <c r="AN4109">
        <v>0.99999997290840303</v>
      </c>
    </row>
    <row r="4110" spans="1:40" x14ac:dyDescent="0.25">
      <c r="A4110" t="str">
        <f>"20190303154851235"</f>
        <v>20190303154851235</v>
      </c>
      <c r="B4110" t="str">
        <f>"1551599331225259"</f>
        <v>1551599331225259</v>
      </c>
      <c r="C4110" t="s">
        <v>40</v>
      </c>
      <c r="D4110">
        <v>4.8487410000000004</v>
      </c>
      <c r="E4110">
        <v>0.53495969999999904</v>
      </c>
      <c r="F4110" t="s">
        <v>47</v>
      </c>
      <c r="G4110">
        <v>-193.52889999999999</v>
      </c>
      <c r="H4110" s="1">
        <v>3.4637809999999999E-6</v>
      </c>
      <c r="I4110">
        <v>213.1848</v>
      </c>
      <c r="J4110">
        <v>-205.0309</v>
      </c>
      <c r="K4110">
        <v>1.1218889999999999</v>
      </c>
      <c r="L4110">
        <v>214.8775</v>
      </c>
      <c r="M4110">
        <v>0.99968179999999995</v>
      </c>
      <c r="N4110">
        <v>-2.464558E-2</v>
      </c>
      <c r="O4110">
        <v>-5.4066749999999997E-3</v>
      </c>
      <c r="P4110">
        <v>0.99557379999999995</v>
      </c>
      <c r="Q4110">
        <v>-7.8540159999999998E-2</v>
      </c>
      <c r="R4110">
        <v>-5.1618650000000002E-2</v>
      </c>
      <c r="S4110">
        <v>2.9694370000000001</v>
      </c>
      <c r="T4110">
        <v>-0.28447209999999901</v>
      </c>
      <c r="U4110">
        <v>-0.42959589999999998</v>
      </c>
      <c r="V4110">
        <v>4.6192240000000002E-2</v>
      </c>
      <c r="W4110">
        <v>-5.4008649999999998E-2</v>
      </c>
      <c r="X4110">
        <v>0.99747149999999996</v>
      </c>
      <c r="Y4110">
        <v>0.1370644</v>
      </c>
      <c r="Z4110">
        <v>-7.8378019999999996E-3</v>
      </c>
      <c r="AA4110">
        <v>0.9905311</v>
      </c>
      <c r="AB4110">
        <v>21</v>
      </c>
      <c r="AC4110">
        <v>11.502000000000001</v>
      </c>
      <c r="AD4110">
        <v>-1.1218855362189999</v>
      </c>
      <c r="AE4110">
        <v>-1.6927000000000001</v>
      </c>
      <c r="AF4110">
        <v>1.6154258697239501</v>
      </c>
      <c r="AG4110">
        <v>-1.1218855362189999</v>
      </c>
      <c r="AH4110">
        <v>11.4047846041457</v>
      </c>
      <c r="AI4110">
        <v>95.562920969345697</v>
      </c>
      <c r="AJ4110">
        <v>81.937994686678806</v>
      </c>
      <c r="AK4110">
        <v>11.5731300763411</v>
      </c>
      <c r="AL4110">
        <v>93.095973995041703</v>
      </c>
      <c r="AM4110">
        <v>87.348564957959795</v>
      </c>
      <c r="AN4110">
        <v>1.0000000253116399</v>
      </c>
    </row>
    <row r="4111" spans="1:40" x14ac:dyDescent="0.25">
      <c r="A4111" t="str">
        <f>"20190303154851257"</f>
        <v>20190303154851257</v>
      </c>
      <c r="B4111" t="str">
        <f>"1551599331254540"</f>
        <v>1551599331254540</v>
      </c>
      <c r="C4111" t="s">
        <v>40</v>
      </c>
      <c r="D4111">
        <v>4.8783820000000002</v>
      </c>
      <c r="E4111">
        <v>0.53405179999999997</v>
      </c>
      <c r="F4111" t="s">
        <v>47</v>
      </c>
      <c r="G4111">
        <v>-192.8306</v>
      </c>
      <c r="H4111" s="1">
        <v>3.5948599999999998E-6</v>
      </c>
      <c r="I4111">
        <v>213.10239999999999</v>
      </c>
      <c r="J4111">
        <v>-204.82490000000001</v>
      </c>
      <c r="K4111">
        <v>1.1218399999999999</v>
      </c>
      <c r="L4111">
        <v>214.8758</v>
      </c>
      <c r="M4111">
        <v>0.99968670000000004</v>
      </c>
      <c r="N4111">
        <v>-2.4317410000000001E-2</v>
      </c>
      <c r="O4111">
        <v>-5.9524769999999899E-3</v>
      </c>
      <c r="P4111">
        <v>0.99542679999999995</v>
      </c>
      <c r="Q4111">
        <v>-7.8297229999999995E-2</v>
      </c>
      <c r="R4111">
        <v>-5.4730059999999997E-2</v>
      </c>
      <c r="S4111">
        <v>2.9694060000000002</v>
      </c>
      <c r="T4111">
        <v>-0.27305309999999999</v>
      </c>
      <c r="U4111">
        <v>-0.43205260000000001</v>
      </c>
      <c r="V4111">
        <v>4.8755050000000001E-2</v>
      </c>
      <c r="W4111">
        <v>-5.4102690000000002E-2</v>
      </c>
      <c r="X4111">
        <v>0.99734440000000002</v>
      </c>
      <c r="Y4111">
        <v>0.1373828</v>
      </c>
      <c r="Z4111">
        <v>-7.5547209999999899E-3</v>
      </c>
      <c r="AA4111">
        <v>0.99048919999999996</v>
      </c>
      <c r="AB4111">
        <v>21</v>
      </c>
      <c r="AC4111">
        <v>11.994300000000001</v>
      </c>
      <c r="AD4111">
        <v>-1.12183640514</v>
      </c>
      <c r="AE4111">
        <v>-1.7734000000000001</v>
      </c>
      <c r="AF4111">
        <v>1.6875051585851599</v>
      </c>
      <c r="AG4111">
        <v>-1.12183640514</v>
      </c>
      <c r="AH4111">
        <v>11.902748820871899</v>
      </c>
      <c r="AI4111">
        <v>95.331232618785606</v>
      </c>
      <c r="AJ4111">
        <v>81.930702297635406</v>
      </c>
      <c r="AK4111">
        <v>12.074005966244901</v>
      </c>
      <c r="AL4111">
        <v>93.101370045239605</v>
      </c>
      <c r="AM4111">
        <v>87.201331279542998</v>
      </c>
      <c r="AN4111">
        <v>1.00000000408854</v>
      </c>
    </row>
    <row r="4112" spans="1:40" x14ac:dyDescent="0.25">
      <c r="A4112" t="str">
        <f>"20190303154851280"</f>
        <v>20190303154851280</v>
      </c>
      <c r="B4112" t="str">
        <f>"1551599331275038"</f>
        <v>1551599331275038</v>
      </c>
      <c r="C4112" t="s">
        <v>40</v>
      </c>
      <c r="D4112">
        <v>4.9050940000000001</v>
      </c>
      <c r="E4112">
        <v>0.53355609999999998</v>
      </c>
      <c r="F4112" t="s">
        <v>47</v>
      </c>
      <c r="G4112">
        <v>-192.9006</v>
      </c>
      <c r="H4112" s="1">
        <v>3.579724E-6</v>
      </c>
      <c r="I4112">
        <v>213.13339999999999</v>
      </c>
      <c r="J4112">
        <v>-204.61619999999999</v>
      </c>
      <c r="K4112">
        <v>1.1218109999999999</v>
      </c>
      <c r="L4112">
        <v>214.87379999999999</v>
      </c>
      <c r="M4112">
        <v>0.99969050000000004</v>
      </c>
      <c r="N4112">
        <v>-2.3998849999999999E-2</v>
      </c>
      <c r="O4112">
        <v>-6.5526389999999999E-3</v>
      </c>
      <c r="P4112">
        <v>0.99539109999999997</v>
      </c>
      <c r="Q4112">
        <v>-7.6520350000000001E-2</v>
      </c>
      <c r="R4112">
        <v>-5.7804559999999998E-2</v>
      </c>
      <c r="S4112">
        <v>2.9679410000000002</v>
      </c>
      <c r="T4112">
        <v>-0.27922449999999999</v>
      </c>
      <c r="U4112">
        <v>-0.4336853</v>
      </c>
      <c r="V4112">
        <v>5.1229539999999997E-2</v>
      </c>
      <c r="W4112">
        <v>-5.2649649999999999E-2</v>
      </c>
      <c r="X4112">
        <v>0.99729809999999997</v>
      </c>
      <c r="Y4112">
        <v>0.13736609999999999</v>
      </c>
      <c r="Z4112">
        <v>-7.6197979999999997E-3</v>
      </c>
      <c r="AA4112">
        <v>0.99049100000000001</v>
      </c>
      <c r="AB4112">
        <v>21</v>
      </c>
      <c r="AC4112">
        <v>11.715599999999901</v>
      </c>
      <c r="AD4112">
        <v>-1.121807420276</v>
      </c>
      <c r="AE4112">
        <v>-1.74039999999999</v>
      </c>
      <c r="AF4112">
        <v>1.64878162994856</v>
      </c>
      <c r="AG4112">
        <v>-1.121807420276</v>
      </c>
      <c r="AH4112">
        <v>11.622493620895799</v>
      </c>
      <c r="AI4112">
        <v>95.458812320689702</v>
      </c>
      <c r="AJ4112">
        <v>81.925823916526397</v>
      </c>
      <c r="AK4112">
        <v>11.7923403410521</v>
      </c>
      <c r="AL4112">
        <v>93.017998215395394</v>
      </c>
      <c r="AM4112">
        <v>87.059396015456201</v>
      </c>
      <c r="AN4112">
        <v>0.99999997583867095</v>
      </c>
    </row>
    <row r="4113" spans="1:40" x14ac:dyDescent="0.25">
      <c r="A4113" t="str">
        <f>"20190303154851303"</f>
        <v>20190303154851303</v>
      </c>
      <c r="B4113" t="str">
        <f>"1551599331295176"</f>
        <v>1551599331295176</v>
      </c>
      <c r="C4113" t="s">
        <v>40</v>
      </c>
      <c r="D4113">
        <v>4.9150179999999999</v>
      </c>
      <c r="E4113">
        <v>0.53303999999999996</v>
      </c>
      <c r="F4113" t="s">
        <v>47</v>
      </c>
      <c r="G4113">
        <v>-192.56489999999999</v>
      </c>
      <c r="H4113" s="1">
        <v>3.6429989999999999E-6</v>
      </c>
      <c r="I4113">
        <v>213.0908</v>
      </c>
      <c r="J4113">
        <v>-204.41319999999999</v>
      </c>
      <c r="K4113">
        <v>1.1217980000000001</v>
      </c>
      <c r="L4113">
        <v>214.87180000000001</v>
      </c>
      <c r="M4113">
        <v>0.99969359999999996</v>
      </c>
      <c r="N4113">
        <v>-2.3694179999999999E-2</v>
      </c>
      <c r="O4113">
        <v>-7.1697459999999899E-3</v>
      </c>
      <c r="P4113">
        <v>0.99510909999999997</v>
      </c>
      <c r="Q4113">
        <v>-7.5063069999999996E-2</v>
      </c>
      <c r="R4113">
        <v>-6.4214930000000003E-2</v>
      </c>
      <c r="S4113">
        <v>2.9671630000000002</v>
      </c>
      <c r="T4113">
        <v>-0.27620080000000002</v>
      </c>
      <c r="U4113">
        <v>-0.43899539999999998</v>
      </c>
      <c r="V4113">
        <v>5.7026609999999998E-2</v>
      </c>
      <c r="W4113">
        <v>-5.150859E-2</v>
      </c>
      <c r="X4113">
        <v>0.99704309999999996</v>
      </c>
      <c r="Y4113">
        <v>0.13853799999999999</v>
      </c>
      <c r="Z4113">
        <v>-7.5606609999999998E-3</v>
      </c>
      <c r="AA4113">
        <v>0.99032830000000005</v>
      </c>
      <c r="AB4113">
        <v>21</v>
      </c>
      <c r="AC4113">
        <v>11.848299999999901</v>
      </c>
      <c r="AD4113">
        <v>-1.1217943570009901</v>
      </c>
      <c r="AE4113">
        <v>-1.7809999999999999</v>
      </c>
      <c r="AF4113">
        <v>1.6812429563398501</v>
      </c>
      <c r="AG4113">
        <v>-1.1217943570009901</v>
      </c>
      <c r="AH4113">
        <v>11.757698028413801</v>
      </c>
      <c r="AI4113">
        <v>95.395504637473806</v>
      </c>
      <c r="AJ4113">
        <v>81.862391479860406</v>
      </c>
      <c r="AK4113">
        <v>11.930149344622899</v>
      </c>
      <c r="AL4113">
        <v>92.952531209748003</v>
      </c>
      <c r="AM4113">
        <v>86.726492436391396</v>
      </c>
      <c r="AN4113">
        <v>1.00000005617474</v>
      </c>
    </row>
    <row r="4114" spans="1:40" x14ac:dyDescent="0.25">
      <c r="A4114" t="str">
        <f>"20190303154851325"</f>
        <v>20190303154851325</v>
      </c>
      <c r="B4114" t="str">
        <f>"1551599331314696"</f>
        <v>1551599331314696</v>
      </c>
      <c r="C4114" t="s">
        <v>40</v>
      </c>
      <c r="D4114">
        <v>4.8634500000000003</v>
      </c>
      <c r="E4114">
        <v>0.53271679999999999</v>
      </c>
      <c r="F4114" t="s">
        <v>47</v>
      </c>
      <c r="G4114">
        <v>-192.21979999999999</v>
      </c>
      <c r="H4114" s="1">
        <v>3.7117840000000002E-6</v>
      </c>
      <c r="I4114">
        <v>213.0042</v>
      </c>
      <c r="J4114">
        <v>-204.21469999999999</v>
      </c>
      <c r="K4114">
        <v>1.1217969999999999</v>
      </c>
      <c r="L4114">
        <v>214.86959999999999</v>
      </c>
      <c r="M4114">
        <v>0.99969600000000003</v>
      </c>
      <c r="N4114">
        <v>-2.3390649999999999E-2</v>
      </c>
      <c r="O4114">
        <v>-7.7867329999999997E-3</v>
      </c>
      <c r="P4114">
        <v>0.99472959999999999</v>
      </c>
      <c r="Q4114">
        <v>-7.305325E-2</v>
      </c>
      <c r="R4114">
        <v>-7.1946670000000004E-2</v>
      </c>
      <c r="S4114">
        <v>2.9648590000000001</v>
      </c>
      <c r="T4114">
        <v>-0.27276739999999999</v>
      </c>
      <c r="U4114">
        <v>-0.45410159999999999</v>
      </c>
      <c r="V4114">
        <v>6.4148849999999993E-2</v>
      </c>
      <c r="W4114">
        <v>-4.9815169999999999E-2</v>
      </c>
      <c r="X4114">
        <v>0.99669620000000003</v>
      </c>
      <c r="Y4114">
        <v>0.1429667</v>
      </c>
      <c r="Z4114">
        <v>-7.6813350000000001E-3</v>
      </c>
      <c r="AA4114">
        <v>0.98969770000000001</v>
      </c>
      <c r="AB4114">
        <v>20</v>
      </c>
      <c r="AC4114">
        <v>11.994899999999999</v>
      </c>
      <c r="AD4114">
        <v>-1.121793288216</v>
      </c>
      <c r="AE4114">
        <v>-1.86539999999999</v>
      </c>
      <c r="AF4114">
        <v>1.75691286500573</v>
      </c>
      <c r="AG4114">
        <v>-1.121793288216</v>
      </c>
      <c r="AH4114">
        <v>11.9073774271621</v>
      </c>
      <c r="AI4114">
        <v>95.324635637560306</v>
      </c>
      <c r="AJ4114">
        <v>81.606666579025202</v>
      </c>
      <c r="AK4114">
        <v>12.0884573122297</v>
      </c>
      <c r="AL4114">
        <v>92.855380874381794</v>
      </c>
      <c r="AM4114">
        <v>86.317437682628196</v>
      </c>
      <c r="AN4114">
        <v>0.99999997060644497</v>
      </c>
    </row>
    <row r="4115" spans="1:40" x14ac:dyDescent="0.25">
      <c r="A4115" t="str">
        <f>"20190303154851347"</f>
        <v>20190303154851347</v>
      </c>
      <c r="B4115" t="str">
        <f>"1551599331335192"</f>
        <v>1551599331335192</v>
      </c>
      <c r="C4115" t="s">
        <v>40</v>
      </c>
      <c r="D4115">
        <v>4.8669599999999997</v>
      </c>
      <c r="E4115">
        <v>0.53258689999999997</v>
      </c>
      <c r="F4115" t="s">
        <v>47</v>
      </c>
      <c r="G4115">
        <v>-191.71510000000001</v>
      </c>
      <c r="H4115" s="1">
        <v>3.8132939999999998E-6</v>
      </c>
      <c r="I4115">
        <v>212.86699999999999</v>
      </c>
      <c r="J4115">
        <v>-204.0138</v>
      </c>
      <c r="K4115">
        <v>1.1218049999999999</v>
      </c>
      <c r="L4115">
        <v>214.8673</v>
      </c>
      <c r="M4115">
        <v>0.99969799999999998</v>
      </c>
      <c r="N4115">
        <v>-2.3091159999999999E-2</v>
      </c>
      <c r="O4115">
        <v>-8.4067450000000002E-3</v>
      </c>
      <c r="P4115">
        <v>0.99428870000000003</v>
      </c>
      <c r="Q4115">
        <v>-7.0825579999999999E-2</v>
      </c>
      <c r="R4115">
        <v>-7.9835009999999998E-2</v>
      </c>
      <c r="S4115">
        <v>2.9620359999999999</v>
      </c>
      <c r="T4115">
        <v>-0.26583240000000002</v>
      </c>
      <c r="U4115">
        <v>-0.47454829999999998</v>
      </c>
      <c r="V4115">
        <v>7.1426770000000001E-2</v>
      </c>
      <c r="W4115">
        <v>-4.7899209999999998E-2</v>
      </c>
      <c r="X4115">
        <v>0.99629509999999999</v>
      </c>
      <c r="Y4115">
        <v>0.14916370000000001</v>
      </c>
      <c r="Z4115">
        <v>-7.8201350000000006E-3</v>
      </c>
      <c r="AA4115">
        <v>0.98878160000000004</v>
      </c>
      <c r="AB4115">
        <v>20</v>
      </c>
      <c r="AC4115">
        <v>12.298699999999901</v>
      </c>
      <c r="AD4115">
        <v>-1.121801186706</v>
      </c>
      <c r="AE4115">
        <v>-2.0002999999999802</v>
      </c>
      <c r="AF4115">
        <v>1.8815588801671701</v>
      </c>
      <c r="AG4115">
        <v>-1.121801186706</v>
      </c>
      <c r="AH4115">
        <v>12.2160695476074</v>
      </c>
      <c r="AI4115">
        <v>95.185940451937697</v>
      </c>
      <c r="AJ4115">
        <v>81.243925078801894</v>
      </c>
      <c r="AK4115">
        <v>12.4109249016345</v>
      </c>
      <c r="AL4115">
        <v>92.745473036584301</v>
      </c>
      <c r="AM4115">
        <v>85.899344933756694</v>
      </c>
      <c r="AN4115">
        <v>1.0000000220376299</v>
      </c>
    </row>
    <row r="4116" spans="1:40" x14ac:dyDescent="0.25">
      <c r="A4116" t="str">
        <f>"20190303154851369"</f>
        <v>20190303154851369</v>
      </c>
      <c r="B4116" t="str">
        <f>"1551599331364472"</f>
        <v>1551599331364472</v>
      </c>
      <c r="C4116" t="s">
        <v>40</v>
      </c>
      <c r="D4116">
        <v>4.889837</v>
      </c>
      <c r="E4116">
        <v>0.532304</v>
      </c>
      <c r="F4116" t="s">
        <v>47</v>
      </c>
      <c r="G4116">
        <v>-191.14089999999999</v>
      </c>
      <c r="H4116" s="1">
        <v>3.9293889999999999E-6</v>
      </c>
      <c r="I4116">
        <v>212.70419999999999</v>
      </c>
      <c r="J4116">
        <v>-203.8218</v>
      </c>
      <c r="K4116">
        <v>1.12182</v>
      </c>
      <c r="L4116">
        <v>214.86500000000001</v>
      </c>
      <c r="M4116">
        <v>0.99969929999999996</v>
      </c>
      <c r="N4116">
        <v>-2.282124E-2</v>
      </c>
      <c r="O4116">
        <v>-8.9792699999999993E-3</v>
      </c>
      <c r="P4116">
        <v>0.99379419999999996</v>
      </c>
      <c r="Q4116">
        <v>-6.9277030000000003E-2</v>
      </c>
      <c r="R4116">
        <v>-8.7027740000000006E-2</v>
      </c>
      <c r="S4116">
        <v>2.9589539999999999</v>
      </c>
      <c r="T4116">
        <v>-0.25785570000000002</v>
      </c>
      <c r="U4116">
        <v>-0.49720760000000003</v>
      </c>
      <c r="V4116">
        <v>7.8057360000000006E-2</v>
      </c>
      <c r="W4116">
        <v>-4.6631310000000002E-2</v>
      </c>
      <c r="X4116">
        <v>0.99585769999999996</v>
      </c>
      <c r="Y4116">
        <v>0.15613550000000001</v>
      </c>
      <c r="Z4116">
        <v>-7.9695149999999999E-3</v>
      </c>
      <c r="AA4116">
        <v>0.98770349999999996</v>
      </c>
      <c r="AB4116">
        <v>20</v>
      </c>
      <c r="AC4116">
        <v>12.680899999999999</v>
      </c>
      <c r="AD4116">
        <v>-1.1218160706110001</v>
      </c>
      <c r="AE4116">
        <v>-2.16080000000002</v>
      </c>
      <c r="AF4116">
        <v>2.03136891868211</v>
      </c>
      <c r="AG4116">
        <v>-1.1218160706110001</v>
      </c>
      <c r="AH4116">
        <v>12.6039400061896</v>
      </c>
      <c r="AI4116">
        <v>95.021753554499398</v>
      </c>
      <c r="AJ4116">
        <v>80.844408115145498</v>
      </c>
      <c r="AK4116">
        <v>12.8157806886547</v>
      </c>
      <c r="AL4116">
        <v>92.672746506647798</v>
      </c>
      <c r="AM4116">
        <v>85.518203156929005</v>
      </c>
      <c r="AN4116">
        <v>0.99999999458588695</v>
      </c>
    </row>
    <row r="4117" spans="1:40" x14ac:dyDescent="0.25">
      <c r="A4117" t="str">
        <f>"20190303154851391"</f>
        <v>20190303154851391</v>
      </c>
      <c r="B4117" t="str">
        <f>"1551599331385282"</f>
        <v>1551599331385282</v>
      </c>
      <c r="C4117" t="s">
        <v>40</v>
      </c>
      <c r="D4117">
        <v>4.9362659999999998</v>
      </c>
      <c r="E4117">
        <v>0.5318505</v>
      </c>
      <c r="F4117" t="s">
        <v>47</v>
      </c>
      <c r="G4117">
        <v>-190.5882</v>
      </c>
      <c r="H4117" s="1">
        <v>4.0406319999999999E-6</v>
      </c>
      <c r="I4117">
        <v>212.5531</v>
      </c>
      <c r="J4117">
        <v>-203.62710000000001</v>
      </c>
      <c r="K4117">
        <v>1.1218410000000001</v>
      </c>
      <c r="L4117">
        <v>214.86250000000001</v>
      </c>
      <c r="M4117">
        <v>0.99970020000000004</v>
      </c>
      <c r="N4117">
        <v>-2.2555220000000001E-2</v>
      </c>
      <c r="O4117">
        <v>-9.5181169999999996E-3</v>
      </c>
      <c r="P4117">
        <v>0.99357410000000002</v>
      </c>
      <c r="Q4117">
        <v>-6.6107609999999997E-2</v>
      </c>
      <c r="R4117">
        <v>-9.1872010000000004E-2</v>
      </c>
      <c r="S4117">
        <v>2.9560240000000002</v>
      </c>
      <c r="T4117">
        <v>-0.25058390000000003</v>
      </c>
      <c r="U4117">
        <v>-0.51640319999999995</v>
      </c>
      <c r="V4117">
        <v>8.237303E-2</v>
      </c>
      <c r="W4117">
        <v>-4.3728410000000002E-2</v>
      </c>
      <c r="X4117">
        <v>0.99564180000000002</v>
      </c>
      <c r="Y4117">
        <v>0.16200249999999999</v>
      </c>
      <c r="Z4117">
        <v>-8.06166E-3</v>
      </c>
      <c r="AA4117">
        <v>0.98675740000000001</v>
      </c>
      <c r="AB4117">
        <v>20</v>
      </c>
      <c r="AC4117">
        <v>13.0389</v>
      </c>
      <c r="AD4117">
        <v>-1.121836959368</v>
      </c>
      <c r="AE4117">
        <v>-2.3094000000000099</v>
      </c>
      <c r="AF4117">
        <v>2.1695861277410602</v>
      </c>
      <c r="AG4117">
        <v>-1.121836959368</v>
      </c>
      <c r="AH4117">
        <v>12.9672257120019</v>
      </c>
      <c r="AI4117">
        <v>94.877074674435093</v>
      </c>
      <c r="AJ4117">
        <v>80.501647295000097</v>
      </c>
      <c r="AK4117">
        <v>13.1952478110528</v>
      </c>
      <c r="AL4117">
        <v>92.506252397624493</v>
      </c>
      <c r="AM4117">
        <v>85.2704852315441</v>
      </c>
      <c r="AN4117">
        <v>1.00000004190987</v>
      </c>
    </row>
    <row r="4118" spans="1:40" x14ac:dyDescent="0.25">
      <c r="A4118" t="str">
        <f>"20190303154851413"</f>
        <v>20190303154851413</v>
      </c>
      <c r="B4118" t="str">
        <f>"1551599331404799"</f>
        <v>1551599331404799</v>
      </c>
      <c r="C4118" t="s">
        <v>40</v>
      </c>
      <c r="D4118">
        <v>5.1342179999999997</v>
      </c>
      <c r="E4118">
        <v>0.53205809999999998</v>
      </c>
      <c r="F4118" t="s">
        <v>47</v>
      </c>
      <c r="G4118">
        <v>-189.8614</v>
      </c>
      <c r="H4118" s="1">
        <v>4.1481780000000002E-6</v>
      </c>
      <c r="I4118">
        <v>212.40649999999999</v>
      </c>
      <c r="J4118">
        <v>-203.4316</v>
      </c>
      <c r="K4118">
        <v>1.1218709999999901</v>
      </c>
      <c r="L4118">
        <v>214.86</v>
      </c>
      <c r="M4118">
        <v>0.99970139999999996</v>
      </c>
      <c r="N4118">
        <v>-2.229223E-2</v>
      </c>
      <c r="O4118">
        <v>-1.000358E-2</v>
      </c>
      <c r="P4118">
        <v>0.9935716</v>
      </c>
      <c r="Q4118">
        <v>-6.3892099999999993E-2</v>
      </c>
      <c r="R4118">
        <v>-9.345299E-2</v>
      </c>
      <c r="S4118">
        <v>2.9546199999999998</v>
      </c>
      <c r="T4118">
        <v>-0.2407868</v>
      </c>
      <c r="U4118">
        <v>-0.52714539999999999</v>
      </c>
      <c r="V4118">
        <v>8.3476960000000003E-2</v>
      </c>
      <c r="W4118">
        <v>-4.1766650000000002E-2</v>
      </c>
      <c r="X4118">
        <v>0.99563400000000002</v>
      </c>
      <c r="Y4118">
        <v>0.16511819999999999</v>
      </c>
      <c r="Z4118">
        <v>-7.9372409999999994E-3</v>
      </c>
      <c r="AA4118">
        <v>0.98624179999999995</v>
      </c>
      <c r="AB4118">
        <v>20</v>
      </c>
      <c r="AC4118">
        <v>13.5702</v>
      </c>
      <c r="AD4118">
        <v>-1.1218668518220001</v>
      </c>
      <c r="AE4118">
        <v>-2.45350000000002</v>
      </c>
      <c r="AF4118">
        <v>2.3023553674766002</v>
      </c>
      <c r="AG4118">
        <v>-1.1218668518220001</v>
      </c>
      <c r="AH4118">
        <v>13.504693615095</v>
      </c>
      <c r="AI4118">
        <v>94.681550810698198</v>
      </c>
      <c r="AJ4118">
        <v>80.324917277023999</v>
      </c>
      <c r="AK4118">
        <v>13.745405600016101</v>
      </c>
      <c r="AL4118">
        <v>92.393749175880799</v>
      </c>
      <c r="AM4118">
        <v>85.207358117967203</v>
      </c>
      <c r="AN4118">
        <v>0.99999995892953097</v>
      </c>
    </row>
    <row r="4119" spans="1:40" x14ac:dyDescent="0.25">
      <c r="A4119" t="str">
        <f>"20190303154851437"</f>
        <v>20190303154851437</v>
      </c>
      <c r="B4119" t="str">
        <f>"1551599331425294"</f>
        <v>1551599331425294</v>
      </c>
      <c r="C4119" t="s">
        <v>40</v>
      </c>
      <c r="D4119">
        <v>5.2369120000000002</v>
      </c>
      <c r="E4119">
        <v>0.58923760000000003</v>
      </c>
      <c r="F4119" t="s">
        <v>47</v>
      </c>
      <c r="G4119">
        <v>-189.20349999999999</v>
      </c>
      <c r="H4119" s="1">
        <v>4.0417639999999998E-6</v>
      </c>
      <c r="I4119">
        <v>212.28890000000001</v>
      </c>
      <c r="J4119">
        <v>-203.2363</v>
      </c>
      <c r="K4119">
        <v>1.1218680000000001</v>
      </c>
      <c r="L4119">
        <v>214.85749999999999</v>
      </c>
      <c r="M4119">
        <v>0.9997026</v>
      </c>
      <c r="N4119">
        <v>-2.2039110000000001E-2</v>
      </c>
      <c r="O4119">
        <v>-1.0442069999999999E-2</v>
      </c>
      <c r="P4119">
        <v>0.99321660000000001</v>
      </c>
      <c r="Q4119">
        <v>-6.6200789999999995E-2</v>
      </c>
      <c r="R4119">
        <v>-9.5596849999999997E-2</v>
      </c>
      <c r="S4119">
        <v>2.9542079999999999</v>
      </c>
      <c r="T4119">
        <v>-0.2329357</v>
      </c>
      <c r="U4119">
        <v>-0.53384399999999999</v>
      </c>
      <c r="V4119">
        <v>8.5191180000000005E-2</v>
      </c>
      <c r="W4119">
        <v>-4.4325459999999997E-2</v>
      </c>
      <c r="X4119">
        <v>0.99537819999999999</v>
      </c>
      <c r="Y4119">
        <v>0.16690869999999999</v>
      </c>
      <c r="Z4119">
        <v>-7.7881879999999997E-3</v>
      </c>
      <c r="AA4119">
        <v>0.98594159999999997</v>
      </c>
      <c r="AB4119">
        <v>20</v>
      </c>
      <c r="AC4119">
        <v>14.0328</v>
      </c>
      <c r="AD4119">
        <v>-1.1218639582359999</v>
      </c>
      <c r="AE4119">
        <v>-2.5685999999999698</v>
      </c>
      <c r="AF4119">
        <v>2.40700754436766</v>
      </c>
      <c r="AG4119">
        <v>-1.1218639582359999</v>
      </c>
      <c r="AH4119">
        <v>13.972454960677901</v>
      </c>
      <c r="AI4119">
        <v>94.524138089397596</v>
      </c>
      <c r="AJ4119">
        <v>80.225702667769596</v>
      </c>
      <c r="AK4119">
        <v>14.222579290958601</v>
      </c>
      <c r="AL4119">
        <v>92.540494094328693</v>
      </c>
      <c r="AM4119">
        <v>85.108161883425296</v>
      </c>
      <c r="AN4119">
        <v>1.0000000222946199</v>
      </c>
    </row>
    <row r="4120" spans="1:40" x14ac:dyDescent="0.25">
      <c r="A4120" t="str">
        <f>"20190303154851458"</f>
        <v>20190303154851458</v>
      </c>
      <c r="B4120" t="str">
        <f>"1551599331454574"</f>
        <v>1551599331454574</v>
      </c>
      <c r="C4120" t="s">
        <v>40</v>
      </c>
      <c r="D4120">
        <v>5.1769109999999996</v>
      </c>
      <c r="E4120">
        <v>0.6156874</v>
      </c>
      <c r="F4120" t="s">
        <v>47</v>
      </c>
      <c r="G4120">
        <v>-186.09700000000001</v>
      </c>
      <c r="H4120" s="1">
        <v>3.9427210000000003E-6</v>
      </c>
      <c r="I4120">
        <v>208.99860000000001</v>
      </c>
      <c r="J4120">
        <v>-203.0489</v>
      </c>
      <c r="K4120">
        <v>1.1218319999999999</v>
      </c>
      <c r="L4120">
        <v>214.85499999999999</v>
      </c>
      <c r="M4120">
        <v>0.99970329999999996</v>
      </c>
      <c r="N4120">
        <v>-2.1815129999999999E-2</v>
      </c>
      <c r="O4120">
        <v>-1.0846929999999999E-2</v>
      </c>
      <c r="P4120">
        <v>0.9921778</v>
      </c>
      <c r="Q4120">
        <v>-7.4140719999999993E-2</v>
      </c>
      <c r="R4120">
        <v>-0.10043240000000001</v>
      </c>
      <c r="S4120">
        <v>2.911972</v>
      </c>
      <c r="T4120">
        <v>-0.19060440000000001</v>
      </c>
      <c r="U4120">
        <v>-0.99542240000000004</v>
      </c>
      <c r="V4120">
        <v>8.9633840000000006E-2</v>
      </c>
      <c r="W4120">
        <v>-5.2503809999999998E-2</v>
      </c>
      <c r="X4120">
        <v>0.99458990000000003</v>
      </c>
      <c r="Y4120">
        <v>0.31236779999999997</v>
      </c>
      <c r="Z4120">
        <v>-1.2977829999999999E-2</v>
      </c>
      <c r="AA4120">
        <v>0.94987259999999996</v>
      </c>
      <c r="AB4120">
        <v>19</v>
      </c>
      <c r="AC4120">
        <v>16.951899999999899</v>
      </c>
      <c r="AD4120">
        <v>-1.121828057279</v>
      </c>
      <c r="AE4120">
        <v>-5.8563999999999696</v>
      </c>
      <c r="AF4120">
        <v>5.6500299819221604</v>
      </c>
      <c r="AG4120">
        <v>-1.121828057279</v>
      </c>
      <c r="AH4120">
        <v>16.9481324686565</v>
      </c>
      <c r="AI4120">
        <v>93.5931344220065</v>
      </c>
      <c r="AJ4120">
        <v>71.563065933894904</v>
      </c>
      <c r="AK4120">
        <v>17.9002941641149</v>
      </c>
      <c r="AL4120">
        <v>93.009630636161504</v>
      </c>
      <c r="AM4120">
        <v>84.8503353671924</v>
      </c>
      <c r="AN4120">
        <v>0.99999997225983495</v>
      </c>
    </row>
    <row r="4121" spans="1:40" x14ac:dyDescent="0.25">
      <c r="A4121" t="str">
        <f>"20190303154851481"</f>
        <v>20190303154851481</v>
      </c>
      <c r="B4121" t="str">
        <f>"1551599331475074"</f>
        <v>1551599331475074</v>
      </c>
      <c r="C4121" t="s">
        <v>40</v>
      </c>
      <c r="D4121">
        <v>5.2138200000000001</v>
      </c>
      <c r="E4121">
        <v>0.6209654</v>
      </c>
      <c r="F4121" t="s">
        <v>47</v>
      </c>
      <c r="G4121">
        <v>-187.40459999999999</v>
      </c>
      <c r="H4121" s="1">
        <v>4.4428309999999998E-6</v>
      </c>
      <c r="I4121">
        <v>208.24010000000001</v>
      </c>
      <c r="J4121">
        <v>-202.85509999999999</v>
      </c>
      <c r="K4121">
        <v>1.1217729999999999</v>
      </c>
      <c r="L4121">
        <v>214.85239999999999</v>
      </c>
      <c r="M4121">
        <v>0.99970289999999995</v>
      </c>
      <c r="N4121">
        <v>-2.1607250000000001E-2</v>
      </c>
      <c r="O4121">
        <v>-1.1296560000000001E-2</v>
      </c>
      <c r="P4121">
        <v>0.99069390000000002</v>
      </c>
      <c r="Q4121">
        <v>-8.2723630000000006E-2</v>
      </c>
      <c r="R4121">
        <v>-0.1080856</v>
      </c>
      <c r="S4121">
        <v>2.884735</v>
      </c>
      <c r="T4121">
        <v>-0.20685990000000001</v>
      </c>
      <c r="U4121">
        <v>-1.2197720000000001</v>
      </c>
      <c r="V4121">
        <v>9.6851229999999996E-2</v>
      </c>
      <c r="W4121">
        <v>-6.1326209999999999E-2</v>
      </c>
      <c r="X4121">
        <v>0.9934077</v>
      </c>
      <c r="Y4121">
        <v>0.37792520000000002</v>
      </c>
      <c r="Z4121">
        <v>-1.6694520000000001E-2</v>
      </c>
      <c r="AA4121">
        <v>0.9256856</v>
      </c>
      <c r="AB4121">
        <v>19</v>
      </c>
      <c r="AC4121">
        <v>15.4505</v>
      </c>
      <c r="AD4121">
        <v>-1.1217685571689999</v>
      </c>
      <c r="AE4121">
        <v>-6.6122999999999701</v>
      </c>
      <c r="AF4121">
        <v>6.4087465953669103</v>
      </c>
      <c r="AG4121">
        <v>-1.1217685571689999</v>
      </c>
      <c r="AH4121">
        <v>15.4553686188324</v>
      </c>
      <c r="AI4121">
        <v>93.835690834291199</v>
      </c>
      <c r="AJ4121">
        <v>67.478096252036394</v>
      </c>
      <c r="AK4121">
        <v>16.768983772532799</v>
      </c>
      <c r="AL4121">
        <v>93.515939346317893</v>
      </c>
      <c r="AM4121">
        <v>84.431606904997295</v>
      </c>
      <c r="AN4121">
        <v>0.99999996160238203</v>
      </c>
    </row>
    <row r="4122" spans="1:40" x14ac:dyDescent="0.25">
      <c r="A4122" t="str">
        <f>"20190303154851504"</f>
        <v>20190303154851504</v>
      </c>
      <c r="B4122" t="str">
        <f>"1551599331495421"</f>
        <v>1551599331495421</v>
      </c>
      <c r="C4122" t="s">
        <v>40</v>
      </c>
      <c r="D4122">
        <v>5.1859070000000003</v>
      </c>
      <c r="E4122">
        <v>0.62419269999999905</v>
      </c>
      <c r="F4122" t="s">
        <v>47</v>
      </c>
      <c r="G4122">
        <v>-189.1189</v>
      </c>
      <c r="H4122" s="1">
        <v>4.5827640000000003E-6</v>
      </c>
      <c r="I4122">
        <v>208.70439999999999</v>
      </c>
      <c r="J4122">
        <v>-202.66829999999999</v>
      </c>
      <c r="K4122">
        <v>1.121685</v>
      </c>
      <c r="L4122">
        <v>214.84960000000001</v>
      </c>
      <c r="M4122">
        <v>0.99970040000000004</v>
      </c>
      <c r="N4122">
        <v>-2.1428530000000001E-2</v>
      </c>
      <c r="O4122">
        <v>-1.1828989999999999E-2</v>
      </c>
      <c r="P4122">
        <v>0.98922239999999995</v>
      </c>
      <c r="Q4122">
        <v>-8.8501430000000006E-2</v>
      </c>
      <c r="R4122">
        <v>-0.1166478</v>
      </c>
      <c r="S4122">
        <v>2.868576</v>
      </c>
      <c r="T4122">
        <v>-0.23426259999999999</v>
      </c>
      <c r="U4122">
        <v>-1.2839050000000001</v>
      </c>
      <c r="V4122">
        <v>0.10488889999999999</v>
      </c>
      <c r="W4122">
        <v>-6.7327869999999998E-2</v>
      </c>
      <c r="X4122">
        <v>0.99220220000000003</v>
      </c>
      <c r="Y4122">
        <v>0.39627990000000002</v>
      </c>
      <c r="Z4122">
        <v>-1.9190260000000001E-2</v>
      </c>
      <c r="AA4122">
        <v>0.9179292</v>
      </c>
      <c r="AB4122">
        <v>19</v>
      </c>
      <c r="AC4122">
        <v>13.549399999999901</v>
      </c>
      <c r="AD4122">
        <v>-1.121680417236</v>
      </c>
      <c r="AE4122">
        <v>-6.1452000000000098</v>
      </c>
      <c r="AF4122">
        <v>5.9506335182818901</v>
      </c>
      <c r="AG4122">
        <v>-1.121680417236</v>
      </c>
      <c r="AH4122">
        <v>13.544173776354601</v>
      </c>
      <c r="AI4122">
        <v>94.335944160587701</v>
      </c>
      <c r="AJ4122">
        <v>66.281711875631999</v>
      </c>
      <c r="AK4122">
        <v>14.8362006427321</v>
      </c>
      <c r="AL4122">
        <v>93.860523338799197</v>
      </c>
      <c r="AM4122">
        <v>83.965490571209202</v>
      </c>
      <c r="AN4122">
        <v>0.99999996455339202</v>
      </c>
    </row>
    <row r="4123" spans="1:40" x14ac:dyDescent="0.25">
      <c r="A4123" t="str">
        <f>"20190303154851526"</f>
        <v>20190303154851526</v>
      </c>
      <c r="B4123" t="str">
        <f>"1551599331514941"</f>
        <v>1551599331514941</v>
      </c>
      <c r="C4123" t="s">
        <v>40</v>
      </c>
      <c r="D4123">
        <v>5.1114009999999999</v>
      </c>
      <c r="E4123">
        <v>0.62717889999999998</v>
      </c>
      <c r="F4123" t="s">
        <v>47</v>
      </c>
      <c r="G4123">
        <v>-189.8305</v>
      </c>
      <c r="H4123" s="1">
        <v>4.6591629999999998E-6</v>
      </c>
      <c r="I4123">
        <v>208.84530000000001</v>
      </c>
      <c r="J4123">
        <v>-202.47720000000001</v>
      </c>
      <c r="K4123">
        <v>1.1215869999999999</v>
      </c>
      <c r="L4123">
        <v>214.8466</v>
      </c>
      <c r="M4123">
        <v>0.99969580000000002</v>
      </c>
      <c r="N4123">
        <v>-2.1263919999999999E-2</v>
      </c>
      <c r="O4123">
        <v>-1.2501409999999999E-2</v>
      </c>
      <c r="P4123">
        <v>0.98867629999999995</v>
      </c>
      <c r="Q4123">
        <v>-8.7758989999999995E-2</v>
      </c>
      <c r="R4123">
        <v>-0.121729</v>
      </c>
      <c r="S4123">
        <v>2.8530579999999999</v>
      </c>
      <c r="T4123">
        <v>-0.24927959999999999</v>
      </c>
      <c r="U4123">
        <v>-1.334381</v>
      </c>
      <c r="V4123">
        <v>0.10929510000000001</v>
      </c>
      <c r="W4123">
        <v>-6.6786029999999996E-2</v>
      </c>
      <c r="X4123">
        <v>0.99176319999999996</v>
      </c>
      <c r="Y4123">
        <v>0.41066780000000003</v>
      </c>
      <c r="Z4123">
        <v>-2.0834200000000001E-2</v>
      </c>
      <c r="AA4123">
        <v>0.911547</v>
      </c>
      <c r="AB4123">
        <v>19</v>
      </c>
      <c r="AC4123">
        <v>12.646699999999999</v>
      </c>
      <c r="AD4123">
        <v>-1.121582340837</v>
      </c>
      <c r="AE4123">
        <v>-6.0012999999999801</v>
      </c>
      <c r="AF4123">
        <v>5.8054250779181</v>
      </c>
      <c r="AG4123">
        <v>-1.121582340837</v>
      </c>
      <c r="AH4123">
        <v>12.6396119054486</v>
      </c>
      <c r="AI4123">
        <v>94.610164892880803</v>
      </c>
      <c r="AJ4123">
        <v>65.330488970248595</v>
      </c>
      <c r="AK4123">
        <v>13.9542357871349</v>
      </c>
      <c r="AL4123">
        <v>93.829407948545906</v>
      </c>
      <c r="AM4123">
        <v>83.711220044038598</v>
      </c>
      <c r="AN4123">
        <v>1.0000000187807001</v>
      </c>
    </row>
    <row r="4124" spans="1:40" x14ac:dyDescent="0.25">
      <c r="A4124" t="str">
        <f>"20190303154851548"</f>
        <v>20190303154851548</v>
      </c>
      <c r="B4124" t="str">
        <f>"1551599331545198"</f>
        <v>1551599331545198</v>
      </c>
      <c r="C4124" t="s">
        <v>40</v>
      </c>
      <c r="D4124">
        <v>5.3322570000000002</v>
      </c>
      <c r="E4124">
        <v>0.62374269999999998</v>
      </c>
      <c r="F4124" t="s">
        <v>47</v>
      </c>
      <c r="G4124">
        <v>-188.88579999999999</v>
      </c>
      <c r="H4124" s="1">
        <v>4.6885629999999999E-6</v>
      </c>
      <c r="I4124">
        <v>208.28809999999999</v>
      </c>
      <c r="J4124">
        <v>-202.29580000000001</v>
      </c>
      <c r="K4124">
        <v>1.121451</v>
      </c>
      <c r="L4124">
        <v>214.8433</v>
      </c>
      <c r="M4124">
        <v>0.99968809999999997</v>
      </c>
      <c r="N4124">
        <v>-2.112429E-2</v>
      </c>
      <c r="O4124">
        <v>-1.3328690000000001E-2</v>
      </c>
      <c r="P4124">
        <v>0.98757320000000004</v>
      </c>
      <c r="Q4124">
        <v>-8.8118450000000001E-2</v>
      </c>
      <c r="R4124">
        <v>-0.130134</v>
      </c>
      <c r="S4124">
        <v>2.8445279999999999</v>
      </c>
      <c r="T4124">
        <v>-0.23473369999999999</v>
      </c>
      <c r="U4124">
        <v>-1.3726039999999999</v>
      </c>
      <c r="V4124">
        <v>0.11687450000000001</v>
      </c>
      <c r="W4124">
        <v>-6.7344200000000007E-2</v>
      </c>
      <c r="X4124">
        <v>0.99086079999999999</v>
      </c>
      <c r="Y4124">
        <v>0.42105290000000001</v>
      </c>
      <c r="Z4124">
        <v>-2.03558E-2</v>
      </c>
      <c r="AA4124">
        <v>0.90680760000000005</v>
      </c>
      <c r="AB4124">
        <v>19</v>
      </c>
      <c r="AC4124">
        <v>13.41</v>
      </c>
      <c r="AD4124">
        <v>-1.1214463114369999</v>
      </c>
      <c r="AE4124">
        <v>-6.5552000000000099</v>
      </c>
      <c r="AF4124">
        <v>6.3400518585379402</v>
      </c>
      <c r="AG4124">
        <v>-1.1214463114369999</v>
      </c>
      <c r="AH4124">
        <v>13.420444994239499</v>
      </c>
      <c r="AI4124">
        <v>94.320807923193399</v>
      </c>
      <c r="AJ4124">
        <v>64.713134166008004</v>
      </c>
      <c r="AK4124">
        <v>14.884967021857801</v>
      </c>
      <c r="AL4124">
        <v>93.861460941225801</v>
      </c>
      <c r="AM4124">
        <v>83.272902714245603</v>
      </c>
      <c r="AN4124">
        <v>1.00000000750026</v>
      </c>
    </row>
    <row r="4125" spans="1:40" x14ac:dyDescent="0.25">
      <c r="A4125" t="str">
        <f>"20190303154851570"</f>
        <v>20190303154851570</v>
      </c>
      <c r="B4125" t="str">
        <f>"1551599331564717"</f>
        <v>1551599331564717</v>
      </c>
      <c r="C4125" t="s">
        <v>40</v>
      </c>
      <c r="D4125">
        <v>5.3738479999999997</v>
      </c>
      <c r="E4125">
        <v>0.62213390000000002</v>
      </c>
      <c r="F4125" t="s">
        <v>47</v>
      </c>
      <c r="G4125">
        <v>-190.77510000000001</v>
      </c>
      <c r="H4125" s="1">
        <v>4.3540600000000001E-6</v>
      </c>
      <c r="I4125">
        <v>209.27709999999999</v>
      </c>
      <c r="J4125">
        <v>-202.1147</v>
      </c>
      <c r="K4125">
        <v>1.1212709999999999</v>
      </c>
      <c r="L4125">
        <v>214.83969999999999</v>
      </c>
      <c r="M4125">
        <v>0.99967550000000005</v>
      </c>
      <c r="N4125">
        <v>-2.099788E-2</v>
      </c>
      <c r="O4125">
        <v>-1.442944E-2</v>
      </c>
      <c r="P4125">
        <v>0.98620770000000002</v>
      </c>
      <c r="Q4125">
        <v>-8.9174580000000003E-2</v>
      </c>
      <c r="R4125">
        <v>-0.13943729999999999</v>
      </c>
      <c r="S4125">
        <v>2.8327939999999998</v>
      </c>
      <c r="T4125">
        <v>-0.27574729999999997</v>
      </c>
      <c r="U4125">
        <v>-1.368652</v>
      </c>
      <c r="V4125">
        <v>0.1250801</v>
      </c>
      <c r="W4125">
        <v>-6.8605630000000001E-2</v>
      </c>
      <c r="X4125">
        <v>0.98977179999999998</v>
      </c>
      <c r="Y4125">
        <v>0.42000510000000002</v>
      </c>
      <c r="Z4125">
        <v>-2.2943379999999999E-2</v>
      </c>
      <c r="AA4125">
        <v>0.90723169999999997</v>
      </c>
      <c r="AB4125">
        <v>19</v>
      </c>
      <c r="AC4125">
        <v>11.3395999999999</v>
      </c>
      <c r="AD4125">
        <v>-1.12126664593999</v>
      </c>
      <c r="AE4125">
        <v>-5.5625999999999998</v>
      </c>
      <c r="AF4125">
        <v>5.3561489900829704</v>
      </c>
      <c r="AG4125">
        <v>-1.12126664593999</v>
      </c>
      <c r="AH4125">
        <v>11.329415364920999</v>
      </c>
      <c r="AI4125">
        <v>95.112884094232697</v>
      </c>
      <c r="AJ4125">
        <v>64.696863147896195</v>
      </c>
      <c r="AK4125">
        <v>12.5817814082972</v>
      </c>
      <c r="AL4125">
        <v>93.933903186286997</v>
      </c>
      <c r="AM4125">
        <v>82.797558841468003</v>
      </c>
      <c r="AN4125">
        <v>0.99999998997947304</v>
      </c>
    </row>
    <row r="4126" spans="1:40" x14ac:dyDescent="0.25">
      <c r="A4126" t="str">
        <f>"20190303154851593"</f>
        <v>20190303154851593</v>
      </c>
      <c r="B4126" t="str">
        <f>"1551599331585214"</f>
        <v>1551599331585214</v>
      </c>
      <c r="C4126" t="s">
        <v>40</v>
      </c>
      <c r="D4126">
        <v>5.3164389999999999</v>
      </c>
      <c r="E4126">
        <v>0.62068400000000001</v>
      </c>
      <c r="F4126" t="s">
        <v>47</v>
      </c>
      <c r="G4126">
        <v>-191.3561</v>
      </c>
      <c r="H4126" s="1">
        <v>4.1743680000000002E-6</v>
      </c>
      <c r="I4126">
        <v>209.56639999999999</v>
      </c>
      <c r="J4126">
        <v>-201.93180000000001</v>
      </c>
      <c r="K4126">
        <v>1.121068</v>
      </c>
      <c r="L4126">
        <v>214.8355</v>
      </c>
      <c r="M4126">
        <v>0.99965590000000004</v>
      </c>
      <c r="N4126">
        <v>-2.087667E-2</v>
      </c>
      <c r="O4126">
        <v>-1.5886339999999999E-2</v>
      </c>
      <c r="P4126">
        <v>0.98465570000000002</v>
      </c>
      <c r="Q4126">
        <v>-9.0346339999999997E-2</v>
      </c>
      <c r="R4126">
        <v>-0.14930209999999999</v>
      </c>
      <c r="S4126">
        <v>2.8199619999999999</v>
      </c>
      <c r="T4126">
        <v>-0.293898299999999</v>
      </c>
      <c r="U4126">
        <v>-1.3821870000000001</v>
      </c>
      <c r="V4126">
        <v>0.1334929</v>
      </c>
      <c r="W4126">
        <v>-6.9998909999999998E-2</v>
      </c>
      <c r="X4126">
        <v>0.98857459999999997</v>
      </c>
      <c r="Y4126">
        <v>0.42355080000000001</v>
      </c>
      <c r="Z4126">
        <v>-2.4260049999999998E-2</v>
      </c>
      <c r="AA4126">
        <v>0.9055474</v>
      </c>
      <c r="AB4126">
        <v>18</v>
      </c>
      <c r="AC4126">
        <v>10.575699999999999</v>
      </c>
      <c r="AD4126">
        <v>-1.121063825632</v>
      </c>
      <c r="AE4126">
        <v>-5.2690999999999999</v>
      </c>
      <c r="AF4126">
        <v>5.0548840112939404</v>
      </c>
      <c r="AG4126">
        <v>-1.121063825632</v>
      </c>
      <c r="AH4126">
        <v>10.562999728486099</v>
      </c>
      <c r="AI4126">
        <v>95.468485698775595</v>
      </c>
      <c r="AJ4126">
        <v>64.4267285787883</v>
      </c>
      <c r="AK4126">
        <v>11.7637408902429</v>
      </c>
      <c r="AL4126">
        <v>94.013924729652103</v>
      </c>
      <c r="AM4126">
        <v>82.309541291936199</v>
      </c>
      <c r="AN4126">
        <v>0.99999997075837799</v>
      </c>
    </row>
    <row r="4127" spans="1:40" x14ac:dyDescent="0.25">
      <c r="A4127" t="str">
        <f>"20190303154851614"</f>
        <v>20190303154851614</v>
      </c>
      <c r="B4127" t="str">
        <f>"1551599331604733"</f>
        <v>1551599331604733</v>
      </c>
      <c r="C4127" t="s">
        <v>40</v>
      </c>
      <c r="D4127">
        <v>5.345936</v>
      </c>
      <c r="E4127">
        <v>0.61971899999999902</v>
      </c>
      <c r="F4127" t="s">
        <v>47</v>
      </c>
      <c r="G4127">
        <v>-191.72800000000001</v>
      </c>
      <c r="H4127" s="1">
        <v>4.0835309999999997E-6</v>
      </c>
      <c r="I4127">
        <v>209.74969999999999</v>
      </c>
      <c r="J4127">
        <v>-201.7527</v>
      </c>
      <c r="K4127">
        <v>1.1208419999999999</v>
      </c>
      <c r="L4127">
        <v>214.83070000000001</v>
      </c>
      <c r="M4127">
        <v>0.99962779999999996</v>
      </c>
      <c r="N4127">
        <v>-2.0766639999999999E-2</v>
      </c>
      <c r="O4127">
        <v>-1.768695E-2</v>
      </c>
      <c r="P4127">
        <v>0.9829601</v>
      </c>
      <c r="Q4127">
        <v>-8.8292079999999995E-2</v>
      </c>
      <c r="R4127">
        <v>-0.1612267</v>
      </c>
      <c r="S4127">
        <v>2.806381</v>
      </c>
      <c r="T4127">
        <v>-0.30833100000000002</v>
      </c>
      <c r="U4127">
        <v>-1.398773</v>
      </c>
      <c r="V4127">
        <v>0.14363489999999901</v>
      </c>
      <c r="W4127">
        <v>-6.8178680000000005E-2</v>
      </c>
      <c r="X4127">
        <v>0.98727940000000003</v>
      </c>
      <c r="Y4127">
        <v>0.42771379999999998</v>
      </c>
      <c r="Z4127">
        <v>-2.5356320000000002E-2</v>
      </c>
      <c r="AA4127">
        <v>0.90355859999999999</v>
      </c>
      <c r="AB4127">
        <v>18</v>
      </c>
      <c r="AC4127">
        <v>10.024699999999999</v>
      </c>
      <c r="AD4127">
        <v>-1.1208379164689899</v>
      </c>
      <c r="AE4127">
        <v>-5.0810000000000102</v>
      </c>
      <c r="AF4127">
        <v>4.8545771128858597</v>
      </c>
      <c r="AG4127">
        <v>-1.1208379164689899</v>
      </c>
      <c r="AH4127">
        <v>10.013425503297499</v>
      </c>
      <c r="AI4127">
        <v>95.751491621007204</v>
      </c>
      <c r="AJ4127">
        <v>64.135575450774198</v>
      </c>
      <c r="AK4127">
        <v>11.184448439240899</v>
      </c>
      <c r="AL4127">
        <v>93.909383436635494</v>
      </c>
      <c r="AM4127">
        <v>81.722366789782697</v>
      </c>
      <c r="AN4127">
        <v>0.99999996528445501</v>
      </c>
    </row>
    <row r="4128" spans="1:40" x14ac:dyDescent="0.25">
      <c r="A4128" t="str">
        <f>"20190303154851638"</f>
        <v>20190303154851638</v>
      </c>
      <c r="B4128" t="str">
        <f>"1551599331634990"</f>
        <v>1551599331634990</v>
      </c>
      <c r="C4128" t="s">
        <v>40</v>
      </c>
      <c r="D4128">
        <v>5.2861710000000004</v>
      </c>
      <c r="E4128">
        <v>0.61789949999999905</v>
      </c>
      <c r="F4128" t="s">
        <v>47</v>
      </c>
      <c r="G4128">
        <v>-191.57249999999999</v>
      </c>
      <c r="H4128" s="1">
        <v>4.121382E-6</v>
      </c>
      <c r="I4128">
        <v>209.63229999999999</v>
      </c>
      <c r="J4128">
        <v>-201.565</v>
      </c>
      <c r="K4128">
        <v>1.1205969999999901</v>
      </c>
      <c r="L4128">
        <v>214.82480000000001</v>
      </c>
      <c r="M4128">
        <v>0.99958659999999999</v>
      </c>
      <c r="N4128">
        <v>-2.066641E-2</v>
      </c>
      <c r="O4128">
        <v>-1.9987640000000001E-2</v>
      </c>
      <c r="P4128">
        <v>0.98093680000000005</v>
      </c>
      <c r="Q4128">
        <v>-8.4989369999999995E-2</v>
      </c>
      <c r="R4128">
        <v>-0.1747562</v>
      </c>
      <c r="S4128">
        <v>2.79068</v>
      </c>
      <c r="T4128">
        <v>-0.30725360000000002</v>
      </c>
      <c r="U4128">
        <v>-1.4250339999999999</v>
      </c>
      <c r="V4128">
        <v>0.15490129999999999</v>
      </c>
      <c r="W4128">
        <v>-6.5130289999999993E-2</v>
      </c>
      <c r="X4128">
        <v>0.98578069999999896</v>
      </c>
      <c r="Y4128">
        <v>0.43439549999999999</v>
      </c>
      <c r="Z4128">
        <v>-2.5558460000000002E-2</v>
      </c>
      <c r="AA4128">
        <v>0.90035959999999904</v>
      </c>
      <c r="AB4128">
        <v>18</v>
      </c>
      <c r="AC4128">
        <v>9.9924999999999997</v>
      </c>
      <c r="AD4128">
        <v>-1.1205928786179999</v>
      </c>
      <c r="AE4128">
        <v>-5.1925000000000203</v>
      </c>
      <c r="AF4128">
        <v>4.9427486203463102</v>
      </c>
      <c r="AG4128">
        <v>-1.1205928786179999</v>
      </c>
      <c r="AH4128">
        <v>9.9953343607417402</v>
      </c>
      <c r="AI4128">
        <v>95.738703675156799</v>
      </c>
      <c r="AJ4128">
        <v>63.6873475462247</v>
      </c>
      <c r="AK4128">
        <v>11.2068372570752</v>
      </c>
      <c r="AL4128">
        <v>93.734334143970798</v>
      </c>
      <c r="AM4128">
        <v>81.069812380021204</v>
      </c>
      <c r="AN4128">
        <v>0.99999997795483098</v>
      </c>
    </row>
    <row r="4129" spans="1:40" x14ac:dyDescent="0.25">
      <c r="A4129" t="str">
        <f>"20190303154851660"</f>
        <v>20190303154851660</v>
      </c>
      <c r="B4129" t="str">
        <f>"1551599331654510"</f>
        <v>1551599331654510</v>
      </c>
      <c r="C4129" t="s">
        <v>40</v>
      </c>
      <c r="D4129">
        <v>5.2185319999999997</v>
      </c>
      <c r="E4129">
        <v>0.61686219999999903</v>
      </c>
      <c r="F4129" t="s">
        <v>47</v>
      </c>
      <c r="G4129">
        <v>-191.41409999999999</v>
      </c>
      <c r="H4129" s="1">
        <v>4.1761870000000002E-6</v>
      </c>
      <c r="I4129">
        <v>209.52070000000001</v>
      </c>
      <c r="J4129">
        <v>-201.3897</v>
      </c>
      <c r="K4129">
        <v>1.1203799999999999</v>
      </c>
      <c r="L4129">
        <v>214.8184</v>
      </c>
      <c r="M4129">
        <v>0.99953380000000003</v>
      </c>
      <c r="N4129">
        <v>-2.0587680000000001E-2</v>
      </c>
      <c r="O4129">
        <v>-2.2543770000000001E-2</v>
      </c>
      <c r="P4129">
        <v>0.97806970000000004</v>
      </c>
      <c r="Q4129">
        <v>-8.1794249999999999E-2</v>
      </c>
      <c r="R4129">
        <v>-0.1915451</v>
      </c>
      <c r="S4129">
        <v>2.7735750000000001</v>
      </c>
      <c r="T4129">
        <v>-0.30618390000000001</v>
      </c>
      <c r="U4129">
        <v>-1.449265</v>
      </c>
      <c r="V4129">
        <v>0.16920729999999901</v>
      </c>
      <c r="W4129">
        <v>-6.2200230000000002E-2</v>
      </c>
      <c r="X4129">
        <v>0.98361580000000004</v>
      </c>
      <c r="Y4129">
        <v>0.4405078</v>
      </c>
      <c r="Z4129">
        <v>-2.5719570000000001E-2</v>
      </c>
      <c r="AA4129">
        <v>0.89738030000000002</v>
      </c>
      <c r="AB4129">
        <v>18</v>
      </c>
      <c r="AC4129">
        <v>9.9756000000000107</v>
      </c>
      <c r="AD4129">
        <v>-1.1203758238129999</v>
      </c>
      <c r="AE4129">
        <v>-5.2976999999999901</v>
      </c>
      <c r="AF4129">
        <v>5.0220062218744204</v>
      </c>
      <c r="AG4129">
        <v>-1.1203758238129999</v>
      </c>
      <c r="AH4129">
        <v>9.9941863604340906</v>
      </c>
      <c r="AI4129">
        <v>95.720104978130607</v>
      </c>
      <c r="AJ4129">
        <v>63.320803391007999</v>
      </c>
      <c r="AK4129">
        <v>11.2409763582269</v>
      </c>
      <c r="AL4129">
        <v>93.566112622138803</v>
      </c>
      <c r="AM4129">
        <v>80.239182693567798</v>
      </c>
      <c r="AN4129">
        <v>1.00000001049749</v>
      </c>
    </row>
    <row r="4130" spans="1:40" x14ac:dyDescent="0.25">
      <c r="A4130" t="str">
        <f>"20190303154851681"</f>
        <v>20190303154851681</v>
      </c>
      <c r="B4130" t="str">
        <f>"1551599331675007"</f>
        <v>1551599331675007</v>
      </c>
      <c r="C4130" t="s">
        <v>40</v>
      </c>
      <c r="D4130">
        <v>5.2028160000000003</v>
      </c>
      <c r="E4130">
        <v>0.61566200000000004</v>
      </c>
      <c r="F4130" t="s">
        <v>47</v>
      </c>
      <c r="G4130">
        <v>-191.0419</v>
      </c>
      <c r="H4130" s="1">
        <v>4.3222589999999996E-6</v>
      </c>
      <c r="I4130">
        <v>209.21850000000001</v>
      </c>
      <c r="J4130">
        <v>-201.21799999999999</v>
      </c>
      <c r="K4130">
        <v>1.1201760000000001</v>
      </c>
      <c r="L4130">
        <v>214.81120000000001</v>
      </c>
      <c r="M4130">
        <v>0.99946550000000001</v>
      </c>
      <c r="N4130">
        <v>-2.052141E-2</v>
      </c>
      <c r="O4130">
        <v>-2.5452200000000001E-2</v>
      </c>
      <c r="P4130">
        <v>0.97395869999999996</v>
      </c>
      <c r="Q4130">
        <v>-8.0344840000000001E-2</v>
      </c>
      <c r="R4130">
        <v>-0.21201320000000001</v>
      </c>
      <c r="S4130">
        <v>2.7508240000000002</v>
      </c>
      <c r="T4130">
        <v>-0.29783549999999998</v>
      </c>
      <c r="U4130">
        <v>-1.4886629999999901</v>
      </c>
      <c r="V4130">
        <v>0.186888</v>
      </c>
      <c r="W4130">
        <v>-6.1044349999999997E-2</v>
      </c>
      <c r="X4130">
        <v>0.98048279999999999</v>
      </c>
      <c r="Y4130">
        <v>0.45096779999999997</v>
      </c>
      <c r="Z4130">
        <v>-2.5650909999999999E-2</v>
      </c>
      <c r="AA4130">
        <v>0.89217159999999995</v>
      </c>
      <c r="AB4130">
        <v>18</v>
      </c>
      <c r="AC4130">
        <v>10.1760999999999</v>
      </c>
      <c r="AD4130">
        <v>-1.120171677741</v>
      </c>
      <c r="AE4130">
        <v>-5.5926999999999998</v>
      </c>
      <c r="AF4130">
        <v>5.28266653341813</v>
      </c>
      <c r="AG4130">
        <v>-1.120171677741</v>
      </c>
      <c r="AH4130">
        <v>10.2200671349855</v>
      </c>
      <c r="AI4130">
        <v>95.561193841101101</v>
      </c>
      <c r="AJ4130">
        <v>62.665938754461301</v>
      </c>
      <c r="AK4130">
        <v>11.5590277504001</v>
      </c>
      <c r="AL4130">
        <v>93.499759406643904</v>
      </c>
      <c r="AM4130">
        <v>79.208407005031205</v>
      </c>
      <c r="AN4130">
        <v>1.0000000291533799</v>
      </c>
    </row>
    <row r="4131" spans="1:40" x14ac:dyDescent="0.25">
      <c r="A4131" t="str">
        <f>"20190303154851705"</f>
        <v>20190303154851705</v>
      </c>
      <c r="B4131" t="str">
        <f>"1551599331694526"</f>
        <v>1551599331694526</v>
      </c>
      <c r="C4131" t="s">
        <v>40</v>
      </c>
      <c r="D4131">
        <v>5.0981040000000002</v>
      </c>
      <c r="E4131">
        <v>0.61470999999999998</v>
      </c>
      <c r="F4131" t="s">
        <v>47</v>
      </c>
      <c r="G4131">
        <v>-190.95419999999999</v>
      </c>
      <c r="H4131" s="1">
        <v>4.4007780000000001E-6</v>
      </c>
      <c r="I4131">
        <v>209.01519999999999</v>
      </c>
      <c r="J4131">
        <v>-201.04050000000001</v>
      </c>
      <c r="K4131">
        <v>1.119998</v>
      </c>
      <c r="L4131">
        <v>214.80269999999999</v>
      </c>
      <c r="M4131">
        <v>0.99937450000000005</v>
      </c>
      <c r="N4131">
        <v>-2.046096E-2</v>
      </c>
      <c r="O4131">
        <v>-2.8850489999999999E-2</v>
      </c>
      <c r="P4131">
        <v>0.968136</v>
      </c>
      <c r="Q4131">
        <v>-8.0107499999999998E-2</v>
      </c>
      <c r="R4131">
        <v>-0.2372676</v>
      </c>
      <c r="S4131">
        <v>2.721222</v>
      </c>
      <c r="T4131">
        <v>-0.29698770000000002</v>
      </c>
      <c r="U4131">
        <v>-1.5366820000000001</v>
      </c>
      <c r="V4131">
        <v>0.20894209999999999</v>
      </c>
      <c r="W4131">
        <v>-6.1148130000000002E-2</v>
      </c>
      <c r="X4131">
        <v>0.97601439999999995</v>
      </c>
      <c r="Y4131">
        <v>0.46389960000000002</v>
      </c>
      <c r="Z4131">
        <v>-2.6228060000000001E-2</v>
      </c>
      <c r="AA4131">
        <v>0.88549940000000005</v>
      </c>
      <c r="AB4131">
        <v>18</v>
      </c>
      <c r="AC4131">
        <v>10.0863</v>
      </c>
      <c r="AD4131">
        <v>-1.119993599222</v>
      </c>
      <c r="AE4131">
        <v>-5.7874999999999899</v>
      </c>
      <c r="AF4131">
        <v>5.4435398214885202</v>
      </c>
      <c r="AG4131">
        <v>-1.119993599222</v>
      </c>
      <c r="AH4131">
        <v>10.154909513692999</v>
      </c>
      <c r="AI4131">
        <v>95.552026747501202</v>
      </c>
      <c r="AJ4131">
        <v>61.8064637136751</v>
      </c>
      <c r="AK4131">
        <v>11.576212622517</v>
      </c>
      <c r="AL4131">
        <v>93.5057167867717</v>
      </c>
      <c r="AM4131">
        <v>77.9166844158283</v>
      </c>
      <c r="AN4131">
        <v>1.0000000019811299</v>
      </c>
    </row>
    <row r="4132" spans="1:40" x14ac:dyDescent="0.25">
      <c r="A4132" t="str">
        <f>"20190303154851727"</f>
        <v>20190303154851727</v>
      </c>
      <c r="B4132" t="str">
        <f>"1551599331724781"</f>
        <v>1551599331724781</v>
      </c>
      <c r="C4132" t="s">
        <v>40</v>
      </c>
      <c r="D4132">
        <v>5.1016219999999999</v>
      </c>
      <c r="E4132">
        <v>0.61322500000000002</v>
      </c>
      <c r="F4132" t="s">
        <v>47</v>
      </c>
      <c r="G4132">
        <v>-190.8304</v>
      </c>
      <c r="H4132" s="1">
        <v>4.534633E-6</v>
      </c>
      <c r="I4132">
        <v>208.71420000000001</v>
      </c>
      <c r="J4132">
        <v>-200.86199999999999</v>
      </c>
      <c r="K4132">
        <v>1.119872</v>
      </c>
      <c r="L4132">
        <v>214.79310000000001</v>
      </c>
      <c r="M4132">
        <v>0.99926110000000001</v>
      </c>
      <c r="N4132">
        <v>-2.0406609999999999E-2</v>
      </c>
      <c r="O4132">
        <v>-3.2571379999999997E-2</v>
      </c>
      <c r="P4132">
        <v>0.96159649999999997</v>
      </c>
      <c r="Q4132">
        <v>-7.8740599999999994E-2</v>
      </c>
      <c r="R4132">
        <v>-0.2629301</v>
      </c>
      <c r="S4132">
        <v>2.6823730000000001</v>
      </c>
      <c r="T4132">
        <v>-0.29424</v>
      </c>
      <c r="U4132">
        <v>-1.599548</v>
      </c>
      <c r="V4132">
        <v>0.2311599</v>
      </c>
      <c r="W4132">
        <v>-6.011648E-2</v>
      </c>
      <c r="X4132">
        <v>0.97105669999999999</v>
      </c>
      <c r="Y4132">
        <v>0.4813829</v>
      </c>
      <c r="Z4132">
        <v>-2.696757E-2</v>
      </c>
      <c r="AA4132">
        <v>0.87609550000000003</v>
      </c>
      <c r="AB4132">
        <v>17</v>
      </c>
      <c r="AC4132">
        <v>10.0315999999999</v>
      </c>
      <c r="AD4132">
        <v>-1.119867465367</v>
      </c>
      <c r="AE4132">
        <v>-6.0789</v>
      </c>
      <c r="AF4132">
        <v>5.6969343386812401</v>
      </c>
      <c r="AG4132">
        <v>-1.119867465367</v>
      </c>
      <c r="AH4132">
        <v>10.131961220468799</v>
      </c>
      <c r="AI4132">
        <v>95.503062601215007</v>
      </c>
      <c r="AJ4132">
        <v>60.652101211347301</v>
      </c>
      <c r="AK4132">
        <v>11.677576896442</v>
      </c>
      <c r="AL4132">
        <v>93.446498639883998</v>
      </c>
      <c r="AM4132">
        <v>76.609963402625496</v>
      </c>
      <c r="AN4132">
        <v>1.00000000257524</v>
      </c>
    </row>
    <row r="4133" spans="1:40" x14ac:dyDescent="0.25">
      <c r="A4133" t="str">
        <f>"20190303154851750"</f>
        <v>20190303154851750</v>
      </c>
      <c r="B4133" t="str">
        <f>"1551599331745278"</f>
        <v>1551599331745278</v>
      </c>
      <c r="C4133" t="s">
        <v>40</v>
      </c>
      <c r="D4133">
        <v>5.1317440000000003</v>
      </c>
      <c r="E4133">
        <v>0.58868229999999999</v>
      </c>
      <c r="F4133" t="s">
        <v>47</v>
      </c>
      <c r="G4133">
        <v>-190.60470000000001</v>
      </c>
      <c r="H4133" s="1">
        <v>4.7122749999999997E-6</v>
      </c>
      <c r="I4133">
        <v>208.35319999999999</v>
      </c>
      <c r="J4133">
        <v>-200.6909</v>
      </c>
      <c r="K4133">
        <v>1.119799</v>
      </c>
      <c r="L4133">
        <v>214.78299999999999</v>
      </c>
      <c r="M4133">
        <v>0.99913090000000004</v>
      </c>
      <c r="N4133">
        <v>-2.035971E-2</v>
      </c>
      <c r="O4133">
        <v>-3.6371510000000003E-2</v>
      </c>
      <c r="P4133">
        <v>0.95472219999999997</v>
      </c>
      <c r="Q4133">
        <v>-7.7173290000000005E-2</v>
      </c>
      <c r="R4133">
        <v>-0.28731469999999998</v>
      </c>
      <c r="S4133">
        <v>2.6425480000000001</v>
      </c>
      <c r="T4133">
        <v>-0.28850510000000001</v>
      </c>
      <c r="U4133">
        <v>-1.659073</v>
      </c>
      <c r="V4133">
        <v>0.25208459999999999</v>
      </c>
      <c r="W4133">
        <v>-5.8854539999999997E-2</v>
      </c>
      <c r="X4133">
        <v>0.96591380000000004</v>
      </c>
      <c r="Y4133">
        <v>0.49803199999999997</v>
      </c>
      <c r="Z4133">
        <v>-2.7437050000000001E-2</v>
      </c>
      <c r="AA4133">
        <v>0.86672450000000001</v>
      </c>
      <c r="AB4133">
        <v>17</v>
      </c>
      <c r="AC4133">
        <v>10.0861999999999</v>
      </c>
      <c r="AD4133">
        <v>-1.119794287725</v>
      </c>
      <c r="AE4133">
        <v>-6.4298000000000002</v>
      </c>
      <c r="AF4133">
        <v>6.0059793736908897</v>
      </c>
      <c r="AG4133">
        <v>-1.119794287725</v>
      </c>
      <c r="AH4133">
        <v>10.223829042797499</v>
      </c>
      <c r="AI4133">
        <v>95.394913061130495</v>
      </c>
      <c r="AJ4133">
        <v>59.567931486993501</v>
      </c>
      <c r="AK4133">
        <v>11.9101808458298</v>
      </c>
      <c r="AL4133">
        <v>93.374066591089701</v>
      </c>
      <c r="AM4133">
        <v>75.373178759930099</v>
      </c>
      <c r="AN4133">
        <v>0.999999985733105</v>
      </c>
    </row>
    <row r="4134" spans="1:40" x14ac:dyDescent="0.25">
      <c r="A4134" t="str">
        <f>"20190303154851771"</f>
        <v>20190303154851771</v>
      </c>
      <c r="B4134" t="str">
        <f>"1551599331764798"</f>
        <v>1551599331764798</v>
      </c>
      <c r="C4134" t="s">
        <v>40</v>
      </c>
      <c r="D4134">
        <v>4.809177</v>
      </c>
      <c r="E4134">
        <v>0.58797829999999995</v>
      </c>
      <c r="F4134" t="s">
        <v>47</v>
      </c>
      <c r="G4134">
        <v>-191.68389999999999</v>
      </c>
      <c r="H4134" s="1">
        <v>4.1171599999999999E-6</v>
      </c>
      <c r="I4134">
        <v>209.56290000000001</v>
      </c>
      <c r="J4134">
        <v>-200.52379999999999</v>
      </c>
      <c r="K4134">
        <v>1.1197410000000001</v>
      </c>
      <c r="L4134">
        <v>214.7722</v>
      </c>
      <c r="M4134">
        <v>0.99898209999999998</v>
      </c>
      <c r="N4134">
        <v>-2.0318180000000002E-2</v>
      </c>
      <c r="O4134">
        <v>-4.0275060000000001E-2</v>
      </c>
      <c r="P4134">
        <v>0.947882</v>
      </c>
      <c r="Q4134">
        <v>-7.6208010000000007E-2</v>
      </c>
      <c r="R4134">
        <v>-0.3093745</v>
      </c>
      <c r="S4134">
        <v>2.6529240000000001</v>
      </c>
      <c r="T4134">
        <v>-0.32982739999999999</v>
      </c>
      <c r="U4134">
        <v>-1.5375369999999999</v>
      </c>
      <c r="V4134">
        <v>0.27062900000000001</v>
      </c>
      <c r="W4134">
        <v>-5.8158519999999998E-2</v>
      </c>
      <c r="X4134">
        <v>0.96092529999999998</v>
      </c>
      <c r="Y4134">
        <v>0.46312930000000002</v>
      </c>
      <c r="Z4134">
        <v>-2.783066E-2</v>
      </c>
      <c r="AA4134">
        <v>0.88585369999999997</v>
      </c>
      <c r="AB4134">
        <v>17</v>
      </c>
      <c r="AC4134">
        <v>8.8399000000000001</v>
      </c>
      <c r="AD4134">
        <v>-1.1197368828399901</v>
      </c>
      <c r="AE4134">
        <v>-5.2092999999999803</v>
      </c>
      <c r="AF4134">
        <v>4.7919027563702796</v>
      </c>
      <c r="AG4134">
        <v>-1.1197368828399901</v>
      </c>
      <c r="AH4134">
        <v>8.9361501758817994</v>
      </c>
      <c r="AI4134">
        <v>96.301585453519493</v>
      </c>
      <c r="AJ4134">
        <v>61.798102319626103</v>
      </c>
      <c r="AK4134">
        <v>10.201515704992699</v>
      </c>
      <c r="AL4134">
        <v>93.334119269469397</v>
      </c>
      <c r="AM4134">
        <v>74.270988452576404</v>
      </c>
      <c r="AN4134">
        <v>0.99999995063483804</v>
      </c>
    </row>
    <row r="4135" spans="1:40" x14ac:dyDescent="0.25">
      <c r="A4135" t="str">
        <f>"20190303154851794"</f>
        <v>20190303154851794</v>
      </c>
      <c r="B4135" t="str">
        <f>"1551599331785294"</f>
        <v>1551599331785294</v>
      </c>
      <c r="C4135" t="s">
        <v>40</v>
      </c>
      <c r="D4135">
        <v>5.0785879999999999</v>
      </c>
      <c r="E4135">
        <v>0.5846441</v>
      </c>
      <c r="F4135" t="s">
        <v>47</v>
      </c>
      <c r="G4135">
        <v>-191.30240000000001</v>
      </c>
      <c r="H4135" s="1">
        <v>4.2912420000000004E-6</v>
      </c>
      <c r="I4135">
        <v>209.1611</v>
      </c>
      <c r="J4135">
        <v>-200.3554</v>
      </c>
      <c r="K4135">
        <v>1.1197029999999999</v>
      </c>
      <c r="L4135">
        <v>214.7604</v>
      </c>
      <c r="M4135">
        <v>0.99880880000000005</v>
      </c>
      <c r="N4135">
        <v>-2.02811E-2</v>
      </c>
      <c r="O4135">
        <v>-4.4383899999999997E-2</v>
      </c>
      <c r="P4135">
        <v>0.94045460000000003</v>
      </c>
      <c r="Q4135">
        <v>-7.6639739999999998E-2</v>
      </c>
      <c r="R4135">
        <v>-0.3311675</v>
      </c>
      <c r="S4135">
        <v>2.619186</v>
      </c>
      <c r="T4135">
        <v>-0.31804359999999998</v>
      </c>
      <c r="U4135">
        <v>-1.59375</v>
      </c>
      <c r="V4135">
        <v>0.288773</v>
      </c>
      <c r="W4135">
        <v>-5.8855299999999999E-2</v>
      </c>
      <c r="X4135">
        <v>0.95558690000000002</v>
      </c>
      <c r="Y4135">
        <v>0.47844429999999999</v>
      </c>
      <c r="Z4135">
        <v>-2.7833409999999999E-2</v>
      </c>
      <c r="AA4135">
        <v>0.87767669999999998</v>
      </c>
      <c r="AB4135">
        <v>17</v>
      </c>
      <c r="AC4135">
        <v>9.0529999999999902</v>
      </c>
      <c r="AD4135">
        <v>-1.1196987087579999</v>
      </c>
      <c r="AE4135">
        <v>-5.5993000000000004</v>
      </c>
      <c r="AF4135">
        <v>5.1350720163290902</v>
      </c>
      <c r="AG4135">
        <v>-1.1196987087579999</v>
      </c>
      <c r="AH4135">
        <v>9.1909501702047294</v>
      </c>
      <c r="AI4135">
        <v>96.070733246752397</v>
      </c>
      <c r="AJ4135">
        <v>60.807488846418501</v>
      </c>
      <c r="AK4135">
        <v>10.587551881453299</v>
      </c>
      <c r="AL4135">
        <v>93.3741099685287</v>
      </c>
      <c r="AM4135">
        <v>73.185477595227596</v>
      </c>
      <c r="AN4135">
        <v>1.00000005765934</v>
      </c>
    </row>
    <row r="4136" spans="1:40" x14ac:dyDescent="0.25">
      <c r="A4136" t="str">
        <f>"20190303154851817"</f>
        <v>20190303154851817</v>
      </c>
      <c r="B4136" t="str">
        <f>"1551599331804814"</f>
        <v>1551599331804814</v>
      </c>
      <c r="C4136" t="s">
        <v>40</v>
      </c>
      <c r="D4136">
        <v>5.1143769999999904</v>
      </c>
      <c r="E4136">
        <v>0.58086899999999997</v>
      </c>
      <c r="F4136" t="s">
        <v>47</v>
      </c>
      <c r="G4136">
        <v>-190.89619999999999</v>
      </c>
      <c r="H4136" s="1">
        <v>4.4845689999999996E-6</v>
      </c>
      <c r="I4136">
        <v>208.81450000000001</v>
      </c>
      <c r="J4136">
        <v>-200.17949999999999</v>
      </c>
      <c r="K4136">
        <v>1.119661</v>
      </c>
      <c r="L4136">
        <v>214.74719999999999</v>
      </c>
      <c r="M4136">
        <v>0.9986005</v>
      </c>
      <c r="N4136">
        <v>-2.024813E-2</v>
      </c>
      <c r="O4136">
        <v>-4.8858199999999997E-2</v>
      </c>
      <c r="P4136">
        <v>0.93201219999999996</v>
      </c>
      <c r="Q4136">
        <v>-7.737666E-2</v>
      </c>
      <c r="R4136">
        <v>-0.35407050000000001</v>
      </c>
      <c r="S4136">
        <v>2.59137</v>
      </c>
      <c r="T4136">
        <v>-0.30674230000000002</v>
      </c>
      <c r="U4136">
        <v>-1.6288910000000001</v>
      </c>
      <c r="V4136">
        <v>0.30777270000000001</v>
      </c>
      <c r="W4136">
        <v>-5.9878720000000003E-2</v>
      </c>
      <c r="X4136">
        <v>0.94957380000000002</v>
      </c>
      <c r="Y4136">
        <v>0.48736810000000003</v>
      </c>
      <c r="Z4136">
        <v>-2.7378179999999998E-2</v>
      </c>
      <c r="AA4136">
        <v>0.87276730000000002</v>
      </c>
      <c r="AB4136">
        <v>17</v>
      </c>
      <c r="AC4136">
        <v>9.2832999999999899</v>
      </c>
      <c r="AD4136">
        <v>-1.1196565154310001</v>
      </c>
      <c r="AE4136">
        <v>-5.9326999999999801</v>
      </c>
      <c r="AF4136">
        <v>5.4160145217734401</v>
      </c>
      <c r="AG4136">
        <v>-1.1196565154310001</v>
      </c>
      <c r="AH4136">
        <v>9.4643768674872195</v>
      </c>
      <c r="AI4136">
        <v>95.862505280861001</v>
      </c>
      <c r="AJ4136">
        <v>60.219538578507603</v>
      </c>
      <c r="AK4136">
        <v>10.961809773136601</v>
      </c>
      <c r="AL4136">
        <v>93.432851594944694</v>
      </c>
      <c r="AM4136">
        <v>72.041626154669501</v>
      </c>
      <c r="AN4136">
        <v>0.99999994881028298</v>
      </c>
    </row>
    <row r="4137" spans="1:40" x14ac:dyDescent="0.25">
      <c r="A4137" t="str">
        <f>"20190303154851838"</f>
        <v>20190303154851838</v>
      </c>
      <c r="B4137" t="str">
        <f>"1551599331835070"</f>
        <v>1551599331835070</v>
      </c>
      <c r="C4137" t="s">
        <v>40</v>
      </c>
      <c r="D4137">
        <v>4.9801089999999997</v>
      </c>
      <c r="E4137">
        <v>0.61937790000000004</v>
      </c>
      <c r="F4137" t="s">
        <v>47</v>
      </c>
      <c r="G4137">
        <v>-191.0949</v>
      </c>
      <c r="H4137" s="1">
        <v>4.4291359999999998E-6</v>
      </c>
      <c r="I4137">
        <v>208.8467</v>
      </c>
      <c r="J4137">
        <v>-200.0213</v>
      </c>
      <c r="K4137">
        <v>1.1196109999999999</v>
      </c>
      <c r="L4137">
        <v>214.73429999999999</v>
      </c>
      <c r="M4137">
        <v>0.9983862</v>
      </c>
      <c r="N4137">
        <v>-2.0223890000000001E-2</v>
      </c>
      <c r="O4137">
        <v>-5.3064430000000003E-2</v>
      </c>
      <c r="P4137">
        <v>0.92266680000000001</v>
      </c>
      <c r="Q4137">
        <v>-7.6517160000000001E-2</v>
      </c>
      <c r="R4137">
        <v>-0.37792979999999998</v>
      </c>
      <c r="S4137">
        <v>2.5607760000000002</v>
      </c>
      <c r="T4137">
        <v>-0.315608099999999</v>
      </c>
      <c r="U4137">
        <v>-1.6632229999999999</v>
      </c>
      <c r="V4137">
        <v>0.32809369999999999</v>
      </c>
      <c r="W4137">
        <v>-5.9332889999999999E-2</v>
      </c>
      <c r="X4137">
        <v>0.94277999999999995</v>
      </c>
      <c r="Y4137">
        <v>0.49641360000000001</v>
      </c>
      <c r="Z4137">
        <v>-2.836077E-2</v>
      </c>
      <c r="AA4137">
        <v>0.86762269999999897</v>
      </c>
      <c r="AB4137">
        <v>17</v>
      </c>
      <c r="AC4137">
        <v>8.9263999999999992</v>
      </c>
      <c r="AD4137">
        <v>-1.119606570864</v>
      </c>
      <c r="AE4137">
        <v>-5.8875999999999902</v>
      </c>
      <c r="AF4137">
        <v>5.3469138677243597</v>
      </c>
      <c r="AG4137">
        <v>-1.119606570864</v>
      </c>
      <c r="AH4137">
        <v>9.1262564237500605</v>
      </c>
      <c r="AI4137">
        <v>96.042288620972798</v>
      </c>
      <c r="AJ4137">
        <v>59.634709234849701</v>
      </c>
      <c r="AK4137">
        <v>10.636332220010001</v>
      </c>
      <c r="AL4137">
        <v>93.401521965738596</v>
      </c>
      <c r="AM4137">
        <v>70.811764051659296</v>
      </c>
      <c r="AN4137">
        <v>0.999999998107721</v>
      </c>
    </row>
    <row r="4138" spans="1:40" x14ac:dyDescent="0.25">
      <c r="A4138" t="str">
        <f>"20190303154851861"</f>
        <v>20190303154851861</v>
      </c>
      <c r="B4138" t="str">
        <f>"1551599331854590"</f>
        <v>1551599331854590</v>
      </c>
      <c r="C4138" t="s">
        <v>40</v>
      </c>
      <c r="D4138">
        <v>4.94034</v>
      </c>
      <c r="E4138">
        <v>0.63270459999999995</v>
      </c>
      <c r="F4138" t="s">
        <v>47</v>
      </c>
      <c r="G4138">
        <v>-187.3689</v>
      </c>
      <c r="H4138" s="1">
        <v>5.7685839999999997E-6</v>
      </c>
      <c r="I4138">
        <v>204.14689999999999</v>
      </c>
      <c r="J4138">
        <v>-199.85239999999999</v>
      </c>
      <c r="K4138">
        <v>1.119532</v>
      </c>
      <c r="L4138">
        <v>214.71950000000001</v>
      </c>
      <c r="M4138">
        <v>0.99812500000000004</v>
      </c>
      <c r="N4138">
        <v>-2.0203390000000002E-2</v>
      </c>
      <c r="O4138">
        <v>-5.7781510000000001E-2</v>
      </c>
      <c r="P4138">
        <v>0.91183259999999999</v>
      </c>
      <c r="Q4138">
        <v>-7.5982960000000002E-2</v>
      </c>
      <c r="R4138">
        <v>-0.4034701</v>
      </c>
      <c r="S4138">
        <v>2.4082949999999999</v>
      </c>
      <c r="T4138">
        <v>-0.21310879999999999</v>
      </c>
      <c r="U4138">
        <v>-2.015228</v>
      </c>
      <c r="V4138">
        <v>0.3497557</v>
      </c>
      <c r="W4138">
        <v>-5.9164769999999998E-2</v>
      </c>
      <c r="X4138">
        <v>0.93497090000000005</v>
      </c>
      <c r="Y4138">
        <v>0.59459969999999995</v>
      </c>
      <c r="Z4138">
        <v>-2.6228850000000001E-2</v>
      </c>
      <c r="AA4138">
        <v>0.80359389999999997</v>
      </c>
      <c r="AB4138">
        <v>17</v>
      </c>
      <c r="AC4138">
        <v>12.4834999999999</v>
      </c>
      <c r="AD4138">
        <v>-1.1195262314159999</v>
      </c>
      <c r="AE4138">
        <v>-10.5726</v>
      </c>
      <c r="AF4138">
        <v>9.7876274633738696</v>
      </c>
      <c r="AG4138">
        <v>-1.1195262314159999</v>
      </c>
      <c r="AH4138">
        <v>13.0127173843057</v>
      </c>
      <c r="AI4138">
        <v>93.933197732647699</v>
      </c>
      <c r="AJ4138">
        <v>53.051029497305002</v>
      </c>
      <c r="AK4138">
        <v>16.321207187840901</v>
      </c>
      <c r="AL4138">
        <v>93.391872265191395</v>
      </c>
      <c r="AM4138">
        <v>69.490086118225094</v>
      </c>
      <c r="AN4138">
        <v>1.00000005176922</v>
      </c>
    </row>
    <row r="4139" spans="1:40" x14ac:dyDescent="0.25">
      <c r="A4139" t="str">
        <f>"20190303154851882"</f>
        <v>20190303154851882</v>
      </c>
      <c r="B4139" t="str">
        <f>"1551599331875086"</f>
        <v>1551599331875086</v>
      </c>
      <c r="C4139" t="s">
        <v>40</v>
      </c>
      <c r="D4139">
        <v>5.0447800000000003</v>
      </c>
      <c r="E4139">
        <v>0.68857199999999996</v>
      </c>
      <c r="F4139" t="s">
        <v>47</v>
      </c>
      <c r="G4139">
        <v>-189.76589999999999</v>
      </c>
      <c r="H4139" s="1">
        <v>5.9389589999999997E-6</v>
      </c>
      <c r="I4139">
        <v>205.1926</v>
      </c>
      <c r="J4139">
        <v>-199.6934</v>
      </c>
      <c r="K4139">
        <v>1.119413</v>
      </c>
      <c r="L4139">
        <v>214.7045</v>
      </c>
      <c r="M4139">
        <v>0.99783949999999999</v>
      </c>
      <c r="N4139">
        <v>-2.017996E-2</v>
      </c>
      <c r="O4139">
        <v>-6.2523759999999998E-2</v>
      </c>
      <c r="P4139">
        <v>0.90017179999999997</v>
      </c>
      <c r="Q4139">
        <v>-7.7057840000000002E-2</v>
      </c>
      <c r="R4139">
        <v>-0.42866389999999999</v>
      </c>
      <c r="S4139">
        <v>2.3052980000000001</v>
      </c>
      <c r="T4139">
        <v>-0.25586989999999998</v>
      </c>
      <c r="U4139">
        <v>-2.1774140000000002</v>
      </c>
      <c r="V4139">
        <v>0.37116650000000001</v>
      </c>
      <c r="W4139">
        <v>-6.0647819999999998E-2</v>
      </c>
      <c r="X4139">
        <v>0.92658359999999995</v>
      </c>
      <c r="Y4139">
        <v>0.63731899999999997</v>
      </c>
      <c r="Z4139">
        <v>-3.2460620000000003E-2</v>
      </c>
      <c r="AA4139">
        <v>0.76991609999999999</v>
      </c>
      <c r="AB4139">
        <v>16</v>
      </c>
      <c r="AC4139">
        <v>9.9275000000000002</v>
      </c>
      <c r="AD4139">
        <v>-1.1194070610410001</v>
      </c>
      <c r="AE4139">
        <v>-9.51189999999999</v>
      </c>
      <c r="AF4139">
        <v>8.8140237940796897</v>
      </c>
      <c r="AG4139">
        <v>-1.1194070610410001</v>
      </c>
      <c r="AH4139">
        <v>10.4337452113315</v>
      </c>
      <c r="AI4139">
        <v>94.685364748351205</v>
      </c>
      <c r="AJ4139">
        <v>49.810171402559298</v>
      </c>
      <c r="AK4139">
        <v>13.7041280914144</v>
      </c>
      <c r="AL4139">
        <v>93.476998019491703</v>
      </c>
      <c r="AM4139">
        <v>68.170180597791003</v>
      </c>
      <c r="AN4139">
        <v>0.99999994829097905</v>
      </c>
    </row>
    <row r="4140" spans="1:40" x14ac:dyDescent="0.25">
      <c r="A4140" t="str">
        <f>"20190303154851907"</f>
        <v>20190303154851907</v>
      </c>
      <c r="B4140" t="str">
        <f>"1551599331895582"</f>
        <v>1551599331895582</v>
      </c>
      <c r="C4140" t="s">
        <v>40</v>
      </c>
      <c r="D4140">
        <v>5.011228</v>
      </c>
      <c r="E4140">
        <v>0.70344960000000001</v>
      </c>
      <c r="F4140" t="s">
        <v>47</v>
      </c>
      <c r="G4140">
        <v>-191.70609999999999</v>
      </c>
      <c r="H4140" s="1">
        <v>5.8436539999999996E-6</v>
      </c>
      <c r="I4140">
        <v>204.41</v>
      </c>
      <c r="J4140">
        <v>-199.5224</v>
      </c>
      <c r="K4140">
        <v>1.11927</v>
      </c>
      <c r="L4140">
        <v>214.68709999999999</v>
      </c>
      <c r="M4140">
        <v>0.99748709999999996</v>
      </c>
      <c r="N4140">
        <v>-2.012947E-2</v>
      </c>
      <c r="O4140">
        <v>-6.7929110000000001E-2</v>
      </c>
      <c r="P4140">
        <v>0.88770539999999998</v>
      </c>
      <c r="Q4140">
        <v>-8.0137040000000007E-2</v>
      </c>
      <c r="R4140">
        <v>-0.45338440000000002</v>
      </c>
      <c r="S4140">
        <v>2.0499269999999998</v>
      </c>
      <c r="T4140">
        <v>-0.28729629999999901</v>
      </c>
      <c r="U4140">
        <v>-2.6420750000000002</v>
      </c>
      <c r="V4140">
        <v>0.39162069999999999</v>
      </c>
      <c r="W4140">
        <v>-6.4179810000000004E-2</v>
      </c>
      <c r="X4140">
        <v>0.91788570000000003</v>
      </c>
      <c r="Y4140">
        <v>0.74327279999999996</v>
      </c>
      <c r="Z4140">
        <v>-4.2688879999999998E-2</v>
      </c>
      <c r="AA4140">
        <v>0.66762500000000002</v>
      </c>
      <c r="AB4140">
        <v>16</v>
      </c>
      <c r="AC4140">
        <v>7.8163000000000098</v>
      </c>
      <c r="AD4140">
        <v>-1.119264156346</v>
      </c>
      <c r="AE4140">
        <v>-10.2770999999999</v>
      </c>
      <c r="AF4140">
        <v>9.6497775447906609</v>
      </c>
      <c r="AG4140">
        <v>-1.119264156346</v>
      </c>
      <c r="AH4140">
        <v>8.4331239581805999</v>
      </c>
      <c r="AI4140">
        <v>94.991381119365002</v>
      </c>
      <c r="AJ4140">
        <v>41.150827207168398</v>
      </c>
      <c r="AK4140">
        <v>12.8642348629705</v>
      </c>
      <c r="AL4140">
        <v>93.679761421856597</v>
      </c>
      <c r="AM4140">
        <v>66.894229318531501</v>
      </c>
      <c r="AN4140">
        <v>0.99999998947230795</v>
      </c>
    </row>
    <row r="4141" spans="1:40" x14ac:dyDescent="0.25">
      <c r="A4141" t="str">
        <f>"20190303154851928"</f>
        <v>20190303154851928</v>
      </c>
      <c r="B4141" t="str">
        <f>"1551599331924862"</f>
        <v>1551599331924862</v>
      </c>
      <c r="C4141" t="s">
        <v>40</v>
      </c>
      <c r="D4141">
        <v>5.029515</v>
      </c>
      <c r="E4141">
        <v>0.70956949999999996</v>
      </c>
      <c r="F4141" t="s">
        <v>47</v>
      </c>
      <c r="G4141">
        <v>-191.6618</v>
      </c>
      <c r="H4141" s="1">
        <v>6.2151180000000001E-6</v>
      </c>
      <c r="I4141">
        <v>203.22499999999999</v>
      </c>
      <c r="J4141">
        <v>-199.3621</v>
      </c>
      <c r="K4141">
        <v>1.119127</v>
      </c>
      <c r="L4141">
        <v>214.6696</v>
      </c>
      <c r="M4141">
        <v>0.99710739999999998</v>
      </c>
      <c r="N4141">
        <v>-2.0061519999999999E-2</v>
      </c>
      <c r="O4141">
        <v>-7.3308650000000003E-2</v>
      </c>
      <c r="P4141">
        <v>0.87545910000000005</v>
      </c>
      <c r="Q4141">
        <v>-8.241619E-2</v>
      </c>
      <c r="R4141">
        <v>-0.47621289999999999</v>
      </c>
      <c r="S4141">
        <v>1.9227909999999999</v>
      </c>
      <c r="T4141">
        <v>-0.273783</v>
      </c>
      <c r="U4141">
        <v>-2.803741</v>
      </c>
      <c r="V4141">
        <v>0.4103038</v>
      </c>
      <c r="W4141">
        <v>-6.691221E-2</v>
      </c>
      <c r="X4141">
        <v>0.90949080000000004</v>
      </c>
      <c r="Y4141">
        <v>0.77788250000000003</v>
      </c>
      <c r="Z4141">
        <v>-4.3546710000000002E-2</v>
      </c>
      <c r="AA4141">
        <v>0.62689919999999899</v>
      </c>
      <c r="AB4141">
        <v>16</v>
      </c>
      <c r="AC4141">
        <v>7.7002999999999897</v>
      </c>
      <c r="AD4141">
        <v>-1.119120784882</v>
      </c>
      <c r="AE4141">
        <v>-11.444599999999999</v>
      </c>
      <c r="AF4141">
        <v>10.778236066326899</v>
      </c>
      <c r="AG4141">
        <v>-1.119120784882</v>
      </c>
      <c r="AH4141">
        <v>8.4630236987725702</v>
      </c>
      <c r="AI4141">
        <v>94.668711537700403</v>
      </c>
      <c r="AJ4141">
        <v>38.138847648301898</v>
      </c>
      <c r="AK4141">
        <v>13.7493845010826</v>
      </c>
      <c r="AL4141">
        <v>93.836653872754695</v>
      </c>
      <c r="AM4141">
        <v>65.718163102804397</v>
      </c>
      <c r="AN4141">
        <v>0.99999998371308196</v>
      </c>
    </row>
    <row r="4142" spans="1:40" x14ac:dyDescent="0.25">
      <c r="A4142" t="str">
        <f>"20190303154851952"</f>
        <v>20190303154851952</v>
      </c>
      <c r="B4142" t="str">
        <f>"1551599331945358"</f>
        <v>1551599331945358</v>
      </c>
      <c r="C4142" t="s">
        <v>40</v>
      </c>
      <c r="D4142">
        <v>5.0918769999999904</v>
      </c>
      <c r="E4142">
        <v>0.70866719999999905</v>
      </c>
      <c r="F4142" t="s">
        <v>47</v>
      </c>
      <c r="G4142">
        <v>-191.81360000000001</v>
      </c>
      <c r="H4142" s="1">
        <v>6.3609179999999996E-6</v>
      </c>
      <c r="I4142">
        <v>202.69829999999999</v>
      </c>
      <c r="J4142">
        <v>-199.19659999999999</v>
      </c>
      <c r="K4142">
        <v>1.1189830000000001</v>
      </c>
      <c r="L4142">
        <v>214.65020000000001</v>
      </c>
      <c r="M4142">
        <v>0.99665649999999995</v>
      </c>
      <c r="N4142">
        <v>-1.9958259999999999E-2</v>
      </c>
      <c r="O4142">
        <v>-7.9230239999999993E-2</v>
      </c>
      <c r="P4142">
        <v>0.86317239999999995</v>
      </c>
      <c r="Q4142">
        <v>-8.3811099999999999E-2</v>
      </c>
      <c r="R4142">
        <v>-0.49790519999999999</v>
      </c>
      <c r="S4142">
        <v>1.8260350000000001</v>
      </c>
      <c r="T4142">
        <v>-0.27072299999999999</v>
      </c>
      <c r="U4142">
        <v>-2.8959350000000001</v>
      </c>
      <c r="V4142">
        <v>0.4274695</v>
      </c>
      <c r="W4142">
        <v>-6.8798499999999999E-2</v>
      </c>
      <c r="X4142">
        <v>0.90140810000000005</v>
      </c>
      <c r="Y4142">
        <v>0.79785200000000001</v>
      </c>
      <c r="Z4142">
        <v>-4.4524880000000003E-2</v>
      </c>
      <c r="AA4142">
        <v>0.60120689999999999</v>
      </c>
      <c r="AB4142">
        <v>16</v>
      </c>
      <c r="AC4142">
        <v>7.3829999999999796</v>
      </c>
      <c r="AD4142">
        <v>-1.118976639082</v>
      </c>
      <c r="AE4142">
        <v>-11.9519</v>
      </c>
      <c r="AF4142">
        <v>11.2578148619492</v>
      </c>
      <c r="AG4142">
        <v>-1.118976639082</v>
      </c>
      <c r="AH4142">
        <v>8.2545515518813506</v>
      </c>
      <c r="AI4142">
        <v>94.582863248406099</v>
      </c>
      <c r="AJ4142">
        <v>36.249934381031402</v>
      </c>
      <c r="AK4142">
        <v>14.004575163402899</v>
      </c>
      <c r="AL4142">
        <v>93.944980015567296</v>
      </c>
      <c r="AM4142">
        <v>64.628561879322802</v>
      </c>
      <c r="AN4142">
        <v>0.99999998488905395</v>
      </c>
    </row>
    <row r="4143" spans="1:40" x14ac:dyDescent="0.25">
      <c r="A4143" t="str">
        <f>"20190303154851972"</f>
        <v>20190303154851972</v>
      </c>
      <c r="B4143" t="str">
        <f>"1551599331964878"</f>
        <v>1551599331964878</v>
      </c>
      <c r="C4143" t="s">
        <v>40</v>
      </c>
      <c r="D4143">
        <v>5.0803140000000004</v>
      </c>
      <c r="E4143">
        <v>0.70681959999999999</v>
      </c>
      <c r="F4143" t="s">
        <v>47</v>
      </c>
      <c r="G4143">
        <v>-192.1354</v>
      </c>
      <c r="H4143" s="1">
        <v>6.2215130000000002E-6</v>
      </c>
      <c r="I4143">
        <v>202.85040000000001</v>
      </c>
      <c r="J4143">
        <v>-199.05029999999999</v>
      </c>
      <c r="K4143">
        <v>1.118827</v>
      </c>
      <c r="L4143">
        <v>214.6319</v>
      </c>
      <c r="M4143">
        <v>0.99619930000000001</v>
      </c>
      <c r="N4143">
        <v>-1.9806879999999999E-2</v>
      </c>
      <c r="O4143">
        <v>-8.482075E-2</v>
      </c>
      <c r="P4143">
        <v>0.85113229999999995</v>
      </c>
      <c r="Q4143">
        <v>-8.3778130000000006E-2</v>
      </c>
      <c r="R4143">
        <v>-0.51822319999999999</v>
      </c>
      <c r="S4143">
        <v>1.75595099999999</v>
      </c>
      <c r="T4143">
        <v>-0.27826149999999999</v>
      </c>
      <c r="U4143">
        <v>-2.9343110000000001</v>
      </c>
      <c r="V4143">
        <v>0.44365650000000001</v>
      </c>
      <c r="W4143">
        <v>-6.9308930000000005E-2</v>
      </c>
      <c r="X4143">
        <v>0.8935128</v>
      </c>
      <c r="Y4143">
        <v>0.80815239999999999</v>
      </c>
      <c r="Z4143">
        <v>-4.6130659999999997E-2</v>
      </c>
      <c r="AA4143">
        <v>0.58716409999999997</v>
      </c>
      <c r="AB4143">
        <v>16</v>
      </c>
      <c r="AC4143">
        <v>6.9148999999999798</v>
      </c>
      <c r="AD4143">
        <v>-1.1188207784869999</v>
      </c>
      <c r="AE4143">
        <v>-11.7814999999999</v>
      </c>
      <c r="AF4143">
        <v>11.0780765961109</v>
      </c>
      <c r="AG4143">
        <v>-1.1188207784869999</v>
      </c>
      <c r="AH4143">
        <v>7.8369157609823601</v>
      </c>
      <c r="AI4143">
        <v>94.713317239713405</v>
      </c>
      <c r="AJ4143">
        <v>35.276568516405597</v>
      </c>
      <c r="AK4143">
        <v>13.615902087206999</v>
      </c>
      <c r="AL4143">
        <v>93.974295534963204</v>
      </c>
      <c r="AM4143">
        <v>63.594192248585699</v>
      </c>
      <c r="AN4143">
        <v>0.99999997076691705</v>
      </c>
    </row>
    <row r="4144" spans="1:40" x14ac:dyDescent="0.25">
      <c r="A4144" t="str">
        <f>"20190303154851995"</f>
        <v>20190303154851995</v>
      </c>
      <c r="B4144" t="str">
        <f>"1551599331985374"</f>
        <v>1551599331985374</v>
      </c>
      <c r="C4144" t="s">
        <v>40</v>
      </c>
      <c r="D4144">
        <v>5.0239180000000001</v>
      </c>
      <c r="E4144">
        <v>0.70461289999999999</v>
      </c>
      <c r="F4144" t="s">
        <v>42</v>
      </c>
      <c r="G4144">
        <v>-198.28200000000001</v>
      </c>
      <c r="H4144">
        <v>0.99267760000000005</v>
      </c>
      <c r="I4144">
        <v>213.2876</v>
      </c>
      <c r="J4144">
        <v>-198.88980000000001</v>
      </c>
      <c r="K4144">
        <v>1.118587</v>
      </c>
      <c r="L4144">
        <v>214.6104</v>
      </c>
      <c r="M4144">
        <v>0.99562689999999998</v>
      </c>
      <c r="N4144">
        <v>-1.950928E-2</v>
      </c>
      <c r="O4144">
        <v>-9.1360520000000001E-2</v>
      </c>
      <c r="P4144">
        <v>0.8383408</v>
      </c>
      <c r="Q4144">
        <v>-8.2854360000000002E-2</v>
      </c>
      <c r="R4144">
        <v>-0.53881440000000003</v>
      </c>
      <c r="S4144">
        <v>1.693481</v>
      </c>
      <c r="T4144">
        <v>-0.27802100000000002</v>
      </c>
      <c r="U4144">
        <v>-2.962631</v>
      </c>
      <c r="V4144">
        <v>0.45943699999999998</v>
      </c>
      <c r="W4144">
        <v>-6.9119559999999997E-2</v>
      </c>
      <c r="X4144">
        <v>0.88551689999999905</v>
      </c>
      <c r="Y4144">
        <v>0.81590549999999995</v>
      </c>
      <c r="Z4144">
        <v>-4.6409760000000001E-2</v>
      </c>
      <c r="AA4144">
        <v>0.57631980000000005</v>
      </c>
      <c r="AB4144">
        <v>16</v>
      </c>
      <c r="AC4144">
        <v>0.60779999999999701</v>
      </c>
      <c r="AD4144">
        <v>-0.1259094</v>
      </c>
      <c r="AE4144">
        <v>-1.3228</v>
      </c>
      <c r="AF4144">
        <v>1.2523578314871999</v>
      </c>
      <c r="AG4144">
        <v>-0.1259094</v>
      </c>
      <c r="AH4144">
        <v>0.72074020911821401</v>
      </c>
      <c r="AI4144">
        <v>94.980051281804293</v>
      </c>
      <c r="AJ4144">
        <v>29.9207113004509</v>
      </c>
      <c r="AK4144">
        <v>1.4504205473363401</v>
      </c>
      <c r="AL4144">
        <v>93.963419133056306</v>
      </c>
      <c r="AM4144">
        <v>62.578143802386002</v>
      </c>
      <c r="AN4144">
        <v>1.0000000253646</v>
      </c>
    </row>
    <row r="4145" spans="1:40" x14ac:dyDescent="0.25">
      <c r="A4145" t="str">
        <f>"20190303154852017"</f>
        <v>20190303154852017</v>
      </c>
      <c r="B4145" t="str">
        <f>"1551599332014654"</f>
        <v>1551599332014654</v>
      </c>
      <c r="C4145" t="s">
        <v>40</v>
      </c>
      <c r="D4145">
        <v>5.045147</v>
      </c>
      <c r="E4145">
        <v>0.7002602</v>
      </c>
      <c r="F4145" t="s">
        <v>42</v>
      </c>
      <c r="G4145">
        <v>-198.1568</v>
      </c>
      <c r="H4145">
        <v>0.99432549999999997</v>
      </c>
      <c r="I4145">
        <v>213.26660000000001</v>
      </c>
      <c r="J4145">
        <v>-198.7321</v>
      </c>
      <c r="K4145">
        <v>1.118279</v>
      </c>
      <c r="L4145">
        <v>214.58779999999999</v>
      </c>
      <c r="M4145">
        <v>0.99498299999999995</v>
      </c>
      <c r="N4145">
        <v>-1.9050959999999999E-2</v>
      </c>
      <c r="O4145">
        <v>-9.8212560000000004E-2</v>
      </c>
      <c r="P4145">
        <v>0.82594969999999901</v>
      </c>
      <c r="Q4145">
        <v>-8.1183829999999998E-2</v>
      </c>
      <c r="R4145">
        <v>-0.55786809999999998</v>
      </c>
      <c r="S4145">
        <v>1.630539</v>
      </c>
      <c r="T4145">
        <v>-0.27635729999999997</v>
      </c>
      <c r="U4145">
        <v>-2.9883730000000002</v>
      </c>
      <c r="V4145">
        <v>0.47349400000000003</v>
      </c>
      <c r="W4145">
        <v>-6.8336099999999997E-2</v>
      </c>
      <c r="X4145">
        <v>0.87814210000000004</v>
      </c>
      <c r="Y4145">
        <v>0.82327870000000003</v>
      </c>
      <c r="Z4145">
        <v>-4.6367980000000003E-2</v>
      </c>
      <c r="AA4145">
        <v>0.56574049999999998</v>
      </c>
      <c r="AB4145">
        <v>16</v>
      </c>
      <c r="AC4145">
        <v>0.57529999999999804</v>
      </c>
      <c r="AD4145">
        <v>-0.12395349999999999</v>
      </c>
      <c r="AE4145">
        <v>-1.32119999999997</v>
      </c>
      <c r="AF4145">
        <v>1.24905647139066</v>
      </c>
      <c r="AG4145">
        <v>-0.12395349999999999</v>
      </c>
      <c r="AH4145">
        <v>0.69714147471813703</v>
      </c>
      <c r="AI4145">
        <v>94.952555583556503</v>
      </c>
      <c r="AJ4145">
        <v>29.167392218749999</v>
      </c>
      <c r="AK4145">
        <v>1.43579691274822</v>
      </c>
      <c r="AL4145">
        <v>93.918424008177396</v>
      </c>
      <c r="AM4145">
        <v>61.666464962948098</v>
      </c>
      <c r="AN4145">
        <v>0.99999996919580902</v>
      </c>
    </row>
    <row r="4146" spans="1:40" x14ac:dyDescent="0.25">
      <c r="A4146" t="str">
        <f>"20190303154852040"</f>
        <v>20190303154852040</v>
      </c>
      <c r="B4146" t="str">
        <f>"1551599332035155"</f>
        <v>1551599332035155</v>
      </c>
      <c r="C4146" t="s">
        <v>40</v>
      </c>
      <c r="D4146">
        <v>5.1158219999999996</v>
      </c>
      <c r="E4146">
        <v>0.69757799999999903</v>
      </c>
      <c r="F4146" t="s">
        <v>42</v>
      </c>
      <c r="G4146">
        <v>-198.0215</v>
      </c>
      <c r="H4146">
        <v>0.99252589999999996</v>
      </c>
      <c r="I4146">
        <v>213.24100000000001</v>
      </c>
      <c r="J4146">
        <v>-198.5761</v>
      </c>
      <c r="K4146">
        <v>1.117972</v>
      </c>
      <c r="L4146">
        <v>214.56389999999999</v>
      </c>
      <c r="M4146">
        <v>0.99426179999999997</v>
      </c>
      <c r="N4146">
        <v>-1.8523700000000001E-2</v>
      </c>
      <c r="O4146">
        <v>-0.1053583</v>
      </c>
      <c r="P4146">
        <v>0.80911669999999902</v>
      </c>
      <c r="Q4146">
        <v>-8.0830349999999995E-2</v>
      </c>
      <c r="R4146">
        <v>-0.58206239999999998</v>
      </c>
      <c r="S4146">
        <v>1.5810390000000001</v>
      </c>
      <c r="T4146">
        <v>-0.27976329999999999</v>
      </c>
      <c r="U4146">
        <v>-2.9961090000000001</v>
      </c>
      <c r="V4146">
        <v>0.49298150000000002</v>
      </c>
      <c r="W4146">
        <v>-6.9041450000000004E-2</v>
      </c>
      <c r="X4146">
        <v>0.86729609999999902</v>
      </c>
      <c r="Y4146">
        <v>0.82699159999999905</v>
      </c>
      <c r="Z4146">
        <v>-4.6564179999999997E-2</v>
      </c>
      <c r="AA4146">
        <v>0.56028259999999996</v>
      </c>
      <c r="AB4146">
        <v>16</v>
      </c>
      <c r="AC4146">
        <v>0.55459999999999299</v>
      </c>
      <c r="AD4146">
        <v>-0.1254461</v>
      </c>
      <c r="AE4146">
        <v>-1.3229</v>
      </c>
      <c r="AF4146">
        <v>1.2475517109286001</v>
      </c>
      <c r="AG4146">
        <v>-0.1254461</v>
      </c>
      <c r="AH4146">
        <v>0.685670666998485</v>
      </c>
      <c r="AI4146">
        <v>95.035967770671306</v>
      </c>
      <c r="AJ4146">
        <v>28.793768191501499</v>
      </c>
      <c r="AK4146">
        <v>1.4290788148413101</v>
      </c>
      <c r="AL4146">
        <v>93.958933131173197</v>
      </c>
      <c r="AM4146">
        <v>60.385580910265404</v>
      </c>
      <c r="AN4146">
        <v>1.00000000311778</v>
      </c>
    </row>
    <row r="4147" spans="1:40" x14ac:dyDescent="0.25">
      <c r="A4147" t="str">
        <f>"20190303154852074"</f>
        <v>20190303154852074</v>
      </c>
      <c r="B4147" t="str">
        <f>"1551599332065406"</f>
        <v>1551599332065406</v>
      </c>
      <c r="C4147" t="s">
        <v>40</v>
      </c>
      <c r="D4147">
        <v>4.8352959999999996</v>
      </c>
      <c r="E4147">
        <v>0.69626650000000001</v>
      </c>
      <c r="F4147" t="s">
        <v>42</v>
      </c>
      <c r="G4147">
        <v>-197.9084</v>
      </c>
      <c r="H4147">
        <v>0.99533559999999999</v>
      </c>
      <c r="I4147">
        <v>213.221</v>
      </c>
      <c r="J4147">
        <v>-198.3398</v>
      </c>
      <c r="K4147">
        <v>1.1176189999999999</v>
      </c>
      <c r="L4147">
        <v>214.52440000000001</v>
      </c>
      <c r="M4147">
        <v>0.99297959999999996</v>
      </c>
      <c r="N4147">
        <v>-1.77999E-2</v>
      </c>
      <c r="O4147">
        <v>-0.11693870000000001</v>
      </c>
      <c r="P4147">
        <v>0.79147840000000003</v>
      </c>
      <c r="Q4147">
        <v>-7.9810770000000003E-2</v>
      </c>
      <c r="R4147">
        <v>-0.6059639</v>
      </c>
      <c r="S4147">
        <v>1.5045170000000001</v>
      </c>
      <c r="T4147">
        <v>-0.27622409999999997</v>
      </c>
      <c r="U4147">
        <v>-3.0243380000000002</v>
      </c>
      <c r="V4147">
        <v>0.50861820000000002</v>
      </c>
      <c r="W4147">
        <v>-6.9245189999999998E-2</v>
      </c>
      <c r="X4147">
        <v>0.85820319999999894</v>
      </c>
      <c r="Y4147">
        <v>0.83387699999999998</v>
      </c>
      <c r="Z4147">
        <v>-4.5741509999999999E-2</v>
      </c>
      <c r="AA4147">
        <v>0.55005170000000003</v>
      </c>
      <c r="AB4147">
        <v>16</v>
      </c>
      <c r="AC4147">
        <v>0.43139999999999601</v>
      </c>
      <c r="AD4147">
        <v>-0.1222834</v>
      </c>
      <c r="AE4147">
        <v>-1.3034000000000301</v>
      </c>
      <c r="AF4147">
        <v>1.23420846905715</v>
      </c>
      <c r="AG4147">
        <v>-0.1222834</v>
      </c>
      <c r="AH4147">
        <v>0.57630951456310697</v>
      </c>
      <c r="AI4147">
        <v>95.129893394500101</v>
      </c>
      <c r="AJ4147">
        <v>25.030065300451799</v>
      </c>
      <c r="AK4147">
        <v>1.3676097512024099</v>
      </c>
      <c r="AL4147">
        <v>93.970634387092403</v>
      </c>
      <c r="AM4147">
        <v>59.346696494497301</v>
      </c>
      <c r="AN4147">
        <v>1.0000000510997999</v>
      </c>
    </row>
    <row r="4148" spans="1:40" x14ac:dyDescent="0.25">
      <c r="A4148" t="str">
        <f>"20190303154852095"</f>
        <v>20190303154852095</v>
      </c>
      <c r="B4148" t="str">
        <f>"1551599332084926"</f>
        <v>1551599332084926</v>
      </c>
      <c r="C4148" t="s">
        <v>40</v>
      </c>
      <c r="D4148">
        <v>5.0207540000000002</v>
      </c>
      <c r="E4148">
        <v>0.69278019999999996</v>
      </c>
      <c r="F4148" t="s">
        <v>42</v>
      </c>
      <c r="G4148">
        <v>-197.7183</v>
      </c>
      <c r="H4148">
        <v>1.006351</v>
      </c>
      <c r="I4148">
        <v>213.1858</v>
      </c>
      <c r="J4148">
        <v>-198.18389999999999</v>
      </c>
      <c r="K4148">
        <v>1.117345</v>
      </c>
      <c r="L4148">
        <v>214.49629999999999</v>
      </c>
      <c r="M4148">
        <v>0.99199579999999998</v>
      </c>
      <c r="N4148">
        <v>-1.7154530000000001E-2</v>
      </c>
      <c r="O4148">
        <v>-0.1251012</v>
      </c>
      <c r="P4148">
        <v>0.77956579999999998</v>
      </c>
      <c r="Q4148">
        <v>-8.122973E-2</v>
      </c>
      <c r="R4148">
        <v>-0.621031</v>
      </c>
      <c r="S4148">
        <v>1.421799</v>
      </c>
      <c r="T4148">
        <v>-0.25442120000000001</v>
      </c>
      <c r="U4148">
        <v>-3.0602109999999998</v>
      </c>
      <c r="V4148">
        <v>0.51794819999999997</v>
      </c>
      <c r="W4148">
        <v>-7.1592619999999996E-2</v>
      </c>
      <c r="X4148">
        <v>0.85241080000000002</v>
      </c>
      <c r="Y4148">
        <v>0.84426080000000003</v>
      </c>
      <c r="Z4148">
        <v>-4.3267859999999998E-2</v>
      </c>
      <c r="AA4148">
        <v>0.53418310000000002</v>
      </c>
      <c r="AB4148">
        <v>16</v>
      </c>
      <c r="AC4148">
        <v>0.46559999999999402</v>
      </c>
      <c r="AD4148">
        <v>-0.110994</v>
      </c>
      <c r="AE4148">
        <v>-1.31049999999999</v>
      </c>
      <c r="AF4148">
        <v>1.2340855762540399</v>
      </c>
      <c r="AG4148">
        <v>-0.110994</v>
      </c>
      <c r="AH4148">
        <v>0.62194894322151895</v>
      </c>
      <c r="AI4148">
        <v>94.591962576399197</v>
      </c>
      <c r="AJ4148">
        <v>26.746986523964399</v>
      </c>
      <c r="AK4148">
        <v>1.3864008675446799</v>
      </c>
      <c r="AL4148">
        <v>94.105467147500605</v>
      </c>
      <c r="AM4148">
        <v>58.715985790120001</v>
      </c>
      <c r="AN4148">
        <v>1.0000000065391701</v>
      </c>
    </row>
    <row r="4149" spans="1:40" x14ac:dyDescent="0.25">
      <c r="A4149" t="str">
        <f>"20190303154852119"</f>
        <v>20190303154852119</v>
      </c>
      <c r="B4149" t="str">
        <f>"1551599332115182"</f>
        <v>1551599332115182</v>
      </c>
      <c r="C4149" t="s">
        <v>40</v>
      </c>
      <c r="D4149">
        <v>5.1584690000000002</v>
      </c>
      <c r="E4149">
        <v>0.68851479999999998</v>
      </c>
      <c r="F4149" t="s">
        <v>42</v>
      </c>
      <c r="G4149">
        <v>-197.5812</v>
      </c>
      <c r="H4149">
        <v>1.008235</v>
      </c>
      <c r="I4149">
        <v>213.15710000000001</v>
      </c>
      <c r="J4149">
        <v>-198.02160000000001</v>
      </c>
      <c r="K4149">
        <v>1.117041</v>
      </c>
      <c r="L4149">
        <v>214.46539999999999</v>
      </c>
      <c r="M4149">
        <v>0.99085060000000003</v>
      </c>
      <c r="N4149">
        <v>-1.6343799999999999E-2</v>
      </c>
      <c r="O4149">
        <v>-0.1339706</v>
      </c>
      <c r="P4149">
        <v>0.76669690000000001</v>
      </c>
      <c r="Q4149">
        <v>-8.3851229999999999E-2</v>
      </c>
      <c r="R4149">
        <v>-0.63651040000000003</v>
      </c>
      <c r="S4149">
        <v>1.3801730000000001</v>
      </c>
      <c r="T4149">
        <v>-0.24977530000000001</v>
      </c>
      <c r="U4149">
        <v>-3.0654750000000002</v>
      </c>
      <c r="V4149">
        <v>0.52731600000000001</v>
      </c>
      <c r="W4149">
        <v>-7.5301789999999993E-2</v>
      </c>
      <c r="X4149">
        <v>0.84632589999999996</v>
      </c>
      <c r="Y4149">
        <v>0.84595189999999998</v>
      </c>
      <c r="Z4149">
        <v>-4.1868629999999997E-2</v>
      </c>
      <c r="AA4149">
        <v>0.53161309999999995</v>
      </c>
      <c r="AB4149">
        <v>16</v>
      </c>
      <c r="AC4149">
        <v>0.44040000000001001</v>
      </c>
      <c r="AD4149">
        <v>-0.108805999999999</v>
      </c>
      <c r="AE4149">
        <v>-1.30829999999997</v>
      </c>
      <c r="AF4149">
        <v>1.22985378856673</v>
      </c>
      <c r="AG4149">
        <v>-0.108805999999999</v>
      </c>
      <c r="AH4149">
        <v>0.60794905392069298</v>
      </c>
      <c r="AI4149">
        <v>94.534622462647604</v>
      </c>
      <c r="AJ4149">
        <v>26.304397464548199</v>
      </c>
      <c r="AK4149">
        <v>1.37621987307661</v>
      </c>
      <c r="AL4149">
        <v>94.318562520027101</v>
      </c>
      <c r="AM4149">
        <v>58.0744132447767</v>
      </c>
      <c r="AN4149">
        <v>1.0000000262219999</v>
      </c>
    </row>
    <row r="4150" spans="1:40" x14ac:dyDescent="0.25">
      <c r="A4150" t="str">
        <f>"20190303154852142"</f>
        <v>20190303154852142</v>
      </c>
      <c r="B4150" t="str">
        <f>"1551599332134703"</f>
        <v>1551599332134703</v>
      </c>
      <c r="C4150" t="s">
        <v>40</v>
      </c>
      <c r="D4150">
        <v>5.175611</v>
      </c>
      <c r="E4150">
        <v>0.65018679999999995</v>
      </c>
      <c r="F4150" t="s">
        <v>42</v>
      </c>
      <c r="G4150">
        <v>-197.43389999999999</v>
      </c>
      <c r="H4150">
        <v>1.0032019999999999</v>
      </c>
      <c r="I4150">
        <v>213.11949999999999</v>
      </c>
      <c r="J4150">
        <v>-197.8605</v>
      </c>
      <c r="K4150">
        <v>1.1168640000000001</v>
      </c>
      <c r="L4150">
        <v>214.43289999999999</v>
      </c>
      <c r="M4150">
        <v>0.98959960000000002</v>
      </c>
      <c r="N4150">
        <v>-1.5754199999999999E-2</v>
      </c>
      <c r="O4150">
        <v>-0.142984</v>
      </c>
      <c r="P4150">
        <v>0.7549013</v>
      </c>
      <c r="Q4150">
        <v>-8.7577879999999997E-2</v>
      </c>
      <c r="R4150">
        <v>-0.64996500000000001</v>
      </c>
      <c r="S4150">
        <v>1.3391109999999999</v>
      </c>
      <c r="T4150">
        <v>-0.25934800000000002</v>
      </c>
      <c r="U4150">
        <v>-3.0659939999999999</v>
      </c>
      <c r="V4150">
        <v>0.5345415</v>
      </c>
      <c r="W4150">
        <v>-7.9822909999999997E-2</v>
      </c>
      <c r="X4150">
        <v>0.84136420000000001</v>
      </c>
      <c r="Y4150">
        <v>0.84694979999999997</v>
      </c>
      <c r="Z4150">
        <v>-4.2290220000000003E-2</v>
      </c>
      <c r="AA4150">
        <v>0.52998819999999902</v>
      </c>
      <c r="AB4150">
        <v>16</v>
      </c>
      <c r="AC4150">
        <v>0.42660000000000697</v>
      </c>
      <c r="AD4150">
        <v>-0.113661999999999</v>
      </c>
      <c r="AE4150">
        <v>-1.3133999999999999</v>
      </c>
      <c r="AF4150">
        <v>1.2305604500298699</v>
      </c>
      <c r="AG4150">
        <v>-0.113661999999999</v>
      </c>
      <c r="AH4150">
        <v>0.60592921002561995</v>
      </c>
      <c r="AI4150">
        <v>94.736994536080005</v>
      </c>
      <c r="AJ4150">
        <v>26.215681565533099</v>
      </c>
      <c r="AK4150">
        <v>1.3763532537048699</v>
      </c>
      <c r="AL4150">
        <v>94.578386606145799</v>
      </c>
      <c r="AM4150">
        <v>57.5710975591943</v>
      </c>
      <c r="AN4150">
        <v>1.00000001461237</v>
      </c>
    </row>
    <row r="4151" spans="1:40" x14ac:dyDescent="0.25">
      <c r="A4151" t="str">
        <f>"20190303154852163"</f>
        <v>20190303154852163</v>
      </c>
      <c r="B4151" t="str">
        <f>"1551599332155198"</f>
        <v>1551599332155198</v>
      </c>
      <c r="C4151" t="s">
        <v>40</v>
      </c>
      <c r="D4151">
        <v>5.1688619999999998</v>
      </c>
      <c r="E4151">
        <v>0.64647880000000002</v>
      </c>
      <c r="F4151" t="s">
        <v>47</v>
      </c>
      <c r="G4151">
        <v>-194.09899999999999</v>
      </c>
      <c r="H4151" s="1">
        <v>4.3659339999999997E-6</v>
      </c>
      <c r="I4151">
        <v>207.14109999999999</v>
      </c>
      <c r="J4151">
        <v>-197.7133</v>
      </c>
      <c r="K4151">
        <v>1.1168199999999999</v>
      </c>
      <c r="L4151">
        <v>214.4014</v>
      </c>
      <c r="M4151">
        <v>0.98834719999999998</v>
      </c>
      <c r="N4151">
        <v>-1.5445779999999999E-2</v>
      </c>
      <c r="O4151">
        <v>-0.1514308</v>
      </c>
      <c r="P4151">
        <v>0.7438323</v>
      </c>
      <c r="Q4151">
        <v>-8.8085620000000003E-2</v>
      </c>
      <c r="R4151">
        <v>-0.66253660000000003</v>
      </c>
      <c r="S4151">
        <v>1.46994</v>
      </c>
      <c r="T4151">
        <v>-0.43645970000000001</v>
      </c>
      <c r="U4151">
        <v>-2.849548</v>
      </c>
      <c r="V4151">
        <v>0.54143249999999998</v>
      </c>
      <c r="W4151">
        <v>-8.079103E-2</v>
      </c>
      <c r="X4151">
        <v>0.83685339999999997</v>
      </c>
      <c r="Y4151">
        <v>0.80209419999999898</v>
      </c>
      <c r="Z4151">
        <v>-5.7067850000000003E-2</v>
      </c>
      <c r="AA4151">
        <v>0.59446449999999995</v>
      </c>
      <c r="AB4151">
        <v>16</v>
      </c>
      <c r="AC4151">
        <v>3.6142999999999801</v>
      </c>
      <c r="AD4151">
        <v>-1.116815634066</v>
      </c>
      <c r="AE4151">
        <v>-7.2603</v>
      </c>
      <c r="AF4151">
        <v>6.5058035687439997</v>
      </c>
      <c r="AG4151">
        <v>-1.116815634066</v>
      </c>
      <c r="AH4151">
        <v>4.5852250940361099</v>
      </c>
      <c r="AI4151">
        <v>97.987399187628796</v>
      </c>
      <c r="AJ4151">
        <v>35.175797280960403</v>
      </c>
      <c r="AK4151">
        <v>8.0372287760492895</v>
      </c>
      <c r="AL4151">
        <v>94.634035704452302</v>
      </c>
      <c r="AM4151">
        <v>57.097695072389897</v>
      </c>
      <c r="AN4151">
        <v>0.99999997783813499</v>
      </c>
    </row>
    <row r="4152" spans="1:40" x14ac:dyDescent="0.25">
      <c r="A4152" t="str">
        <f>"20190303154852185"</f>
        <v>20190303154852185</v>
      </c>
      <c r="B4152" t="str">
        <f>"1551599332174718"</f>
        <v>1551599332174718</v>
      </c>
      <c r="C4152" t="s">
        <v>40</v>
      </c>
      <c r="D4152">
        <v>5.1969699999999897</v>
      </c>
      <c r="E4152">
        <v>0.64373979999999997</v>
      </c>
      <c r="F4152" t="s">
        <v>47</v>
      </c>
      <c r="G4152">
        <v>-193.9297</v>
      </c>
      <c r="H4152" s="1">
        <v>4.4816880000000003E-6</v>
      </c>
      <c r="I4152">
        <v>206.91990000000001</v>
      </c>
      <c r="J4152">
        <v>-197.55680000000001</v>
      </c>
      <c r="K4152">
        <v>1.1168020000000001</v>
      </c>
      <c r="L4152">
        <v>214.3663</v>
      </c>
      <c r="M4152">
        <v>0.98689039999999995</v>
      </c>
      <c r="N4152">
        <v>-1.516228E-2</v>
      </c>
      <c r="O4152">
        <v>-0.16067809999999999</v>
      </c>
      <c r="P4152">
        <v>0.73330810000000002</v>
      </c>
      <c r="Q4152">
        <v>-8.6861110000000005E-2</v>
      </c>
      <c r="R4152">
        <v>-0.67432530000000002</v>
      </c>
      <c r="S4152">
        <v>1.442383</v>
      </c>
      <c r="T4152">
        <v>-0.42575429999999997</v>
      </c>
      <c r="U4152">
        <v>-2.852112</v>
      </c>
      <c r="V4152">
        <v>0.54691659999999997</v>
      </c>
      <c r="W4152">
        <v>-7.9949389999999995E-2</v>
      </c>
      <c r="X4152">
        <v>0.83336089999999996</v>
      </c>
      <c r="Y4152">
        <v>0.80169409999999997</v>
      </c>
      <c r="Z4152">
        <v>-5.4605750000000002E-2</v>
      </c>
      <c r="AA4152">
        <v>0.59523499999999996</v>
      </c>
      <c r="AB4152">
        <v>16</v>
      </c>
      <c r="AC4152">
        <v>3.6271000000000102</v>
      </c>
      <c r="AD4152">
        <v>-1.116797518312</v>
      </c>
      <c r="AE4152">
        <v>-7.4463999999999801</v>
      </c>
      <c r="AF4152">
        <v>6.6459395293497598</v>
      </c>
      <c r="AG4152">
        <v>-1.116797518312</v>
      </c>
      <c r="AH4152">
        <v>4.69128489256103</v>
      </c>
      <c r="AI4152">
        <v>97.816966764522803</v>
      </c>
      <c r="AJ4152">
        <v>35.217785499838499</v>
      </c>
      <c r="AK4152">
        <v>8.21120593261751</v>
      </c>
      <c r="AL4152">
        <v>94.585656535984498</v>
      </c>
      <c r="AM4152">
        <v>56.723982252268002</v>
      </c>
      <c r="AN4152">
        <v>1.00000003098287</v>
      </c>
    </row>
    <row r="4153" spans="1:40" x14ac:dyDescent="0.25">
      <c r="A4153" t="str">
        <f>"20190303154852207"</f>
        <v>20190303154852207</v>
      </c>
      <c r="B4153" t="str">
        <f>"1551599332204974"</f>
        <v>1551599332204974</v>
      </c>
      <c r="C4153" t="s">
        <v>40</v>
      </c>
      <c r="D4153">
        <v>5.2339339999999996</v>
      </c>
      <c r="E4153">
        <v>0.64201869999999905</v>
      </c>
      <c r="F4153" t="s">
        <v>47</v>
      </c>
      <c r="G4153">
        <v>-193.755</v>
      </c>
      <c r="H4153" s="1">
        <v>4.607817E-6</v>
      </c>
      <c r="I4153">
        <v>206.67269999999999</v>
      </c>
      <c r="J4153">
        <v>-197.3982</v>
      </c>
      <c r="K4153">
        <v>1.1167400000000001</v>
      </c>
      <c r="L4153">
        <v>214.32900000000001</v>
      </c>
      <c r="M4153">
        <v>0.98528800000000005</v>
      </c>
      <c r="N4153">
        <v>-1.4833839999999999E-2</v>
      </c>
      <c r="O4153">
        <v>-0.170258399999999</v>
      </c>
      <c r="P4153">
        <v>0.72293079999999998</v>
      </c>
      <c r="Q4153">
        <v>-8.8188779999999994E-2</v>
      </c>
      <c r="R4153">
        <v>-0.68526949999999998</v>
      </c>
      <c r="S4153">
        <v>1.412811</v>
      </c>
      <c r="T4153">
        <v>-0.41502</v>
      </c>
      <c r="U4153">
        <v>-2.85907</v>
      </c>
      <c r="V4153">
        <v>0.55133219999999905</v>
      </c>
      <c r="W4153">
        <v>-8.1701570000000001E-2</v>
      </c>
      <c r="X4153">
        <v>0.83027569999999995</v>
      </c>
      <c r="Y4153">
        <v>0.8018111</v>
      </c>
      <c r="Z4153">
        <v>-5.214746E-2</v>
      </c>
      <c r="AA4153">
        <v>0.59529790000000005</v>
      </c>
      <c r="AB4153">
        <v>16</v>
      </c>
      <c r="AC4153">
        <v>3.6432000000000002</v>
      </c>
      <c r="AD4153">
        <v>-1.1167353921830001</v>
      </c>
      <c r="AE4153">
        <v>-7.6563000000000097</v>
      </c>
      <c r="AF4153">
        <v>6.8060715412894002</v>
      </c>
      <c r="AG4153">
        <v>-1.1167353921830001</v>
      </c>
      <c r="AH4153">
        <v>4.8102453948225801</v>
      </c>
      <c r="AI4153">
        <v>97.631731501361202</v>
      </c>
      <c r="AJ4153">
        <v>35.251064383480802</v>
      </c>
      <c r="AK4153">
        <v>8.4088149295673897</v>
      </c>
      <c r="AL4153">
        <v>94.6863785597793</v>
      </c>
      <c r="AM4153">
        <v>56.414444188886598</v>
      </c>
      <c r="AN4153">
        <v>1.0000000396538899</v>
      </c>
    </row>
    <row r="4154" spans="1:40" x14ac:dyDescent="0.25">
      <c r="A4154" t="str">
        <f>"20190303154852230"</f>
        <v>20190303154852230</v>
      </c>
      <c r="B4154" t="str">
        <f>"1551599332225470"</f>
        <v>1551599332225470</v>
      </c>
      <c r="C4154" t="s">
        <v>40</v>
      </c>
      <c r="D4154">
        <v>5.2019840000000004</v>
      </c>
      <c r="E4154">
        <v>0.64025180000000004</v>
      </c>
      <c r="F4154" t="s">
        <v>47</v>
      </c>
      <c r="G4154">
        <v>-193.46109999999999</v>
      </c>
      <c r="H4154" s="1">
        <v>4.8611169999999998E-6</v>
      </c>
      <c r="I4154">
        <v>206.1405</v>
      </c>
      <c r="J4154">
        <v>-197.24119999999999</v>
      </c>
      <c r="K4154">
        <v>1.116654</v>
      </c>
      <c r="L4154">
        <v>214.2902</v>
      </c>
      <c r="M4154">
        <v>0.98359200000000002</v>
      </c>
      <c r="N4154">
        <v>-1.4521539999999999E-2</v>
      </c>
      <c r="O4154">
        <v>-0.17982210000000001</v>
      </c>
      <c r="P4154">
        <v>0.71278240000000004</v>
      </c>
      <c r="Q4154">
        <v>-8.9162130000000006E-2</v>
      </c>
      <c r="R4154">
        <v>-0.69569499999999995</v>
      </c>
      <c r="S4154">
        <v>1.380447</v>
      </c>
      <c r="T4154">
        <v>-0.39156069999999998</v>
      </c>
      <c r="U4154">
        <v>-2.87114</v>
      </c>
      <c r="V4154">
        <v>0.555307</v>
      </c>
      <c r="W4154">
        <v>-8.3101750000000002E-2</v>
      </c>
      <c r="X4154">
        <v>0.82748310000000003</v>
      </c>
      <c r="Y4154">
        <v>0.80313650000000003</v>
      </c>
      <c r="Z4154">
        <v>-4.861882E-2</v>
      </c>
      <c r="AA4154">
        <v>0.59380809999999995</v>
      </c>
      <c r="AB4154">
        <v>16</v>
      </c>
      <c r="AC4154">
        <v>3.7801</v>
      </c>
      <c r="AD4154">
        <v>-1.116649138883</v>
      </c>
      <c r="AE4154">
        <v>-8.1496999999999904</v>
      </c>
      <c r="AF4154">
        <v>7.2253767305282404</v>
      </c>
      <c r="AG4154">
        <v>-1.116649138883</v>
      </c>
      <c r="AH4154">
        <v>5.1052435834775904</v>
      </c>
      <c r="AI4154">
        <v>97.193701215285202</v>
      </c>
      <c r="AJ4154">
        <v>35.243929343368002</v>
      </c>
      <c r="AK4154">
        <v>8.9172017047987797</v>
      </c>
      <c r="AL4154">
        <v>94.766876805831302</v>
      </c>
      <c r="AM4154">
        <v>56.135245359385799</v>
      </c>
      <c r="AN4154">
        <v>1.0000000229438299</v>
      </c>
    </row>
    <row r="4155" spans="1:40" x14ac:dyDescent="0.25">
      <c r="A4155" t="str">
        <f>"20190303154852251"</f>
        <v>20190303154852251</v>
      </c>
      <c r="B4155" t="str">
        <f>"1551599332244990"</f>
        <v>1551599332244990</v>
      </c>
      <c r="C4155" t="s">
        <v>40</v>
      </c>
      <c r="D4155">
        <v>5.3667879999999997</v>
      </c>
      <c r="E4155">
        <v>0.63807060000000004</v>
      </c>
      <c r="F4155" t="s">
        <v>47</v>
      </c>
      <c r="G4155">
        <v>-193.31280000000001</v>
      </c>
      <c r="H4155" s="1">
        <v>4.979895E-6</v>
      </c>
      <c r="I4155">
        <v>205.89750000000001</v>
      </c>
      <c r="J4155">
        <v>-197.08969999999999</v>
      </c>
      <c r="K4155">
        <v>1.116584</v>
      </c>
      <c r="L4155">
        <v>214.25110000000001</v>
      </c>
      <c r="M4155">
        <v>0.98185160000000005</v>
      </c>
      <c r="N4155">
        <v>-1.4286760000000001E-2</v>
      </c>
      <c r="O4155">
        <v>-0.18911230000000001</v>
      </c>
      <c r="P4155">
        <v>0.70225009999999999</v>
      </c>
      <c r="Q4155">
        <v>-8.7485899999999894E-2</v>
      </c>
      <c r="R4155">
        <v>-0.70653480000000002</v>
      </c>
      <c r="S4155">
        <v>1.348633</v>
      </c>
      <c r="T4155">
        <v>-0.3833548</v>
      </c>
      <c r="U4155">
        <v>-2.8813019999999998</v>
      </c>
      <c r="V4155">
        <v>0.56011060000000001</v>
      </c>
      <c r="W4155">
        <v>-8.1798880000000004E-2</v>
      </c>
      <c r="X4155">
        <v>0.82436949999999998</v>
      </c>
      <c r="Y4155">
        <v>0.80396789999999996</v>
      </c>
      <c r="Z4155">
        <v>-4.6706129999999998E-2</v>
      </c>
      <c r="AA4155">
        <v>0.59283569999999997</v>
      </c>
      <c r="AB4155">
        <v>16</v>
      </c>
      <c r="AC4155">
        <v>3.7768999999999799</v>
      </c>
      <c r="AD4155">
        <v>-1.1165790201050001</v>
      </c>
      <c r="AE4155">
        <v>-8.3536000000000001</v>
      </c>
      <c r="AF4155">
        <v>7.3790415290958702</v>
      </c>
      <c r="AG4155">
        <v>-1.1165790201050001</v>
      </c>
      <c r="AH4155">
        <v>5.2113587590480197</v>
      </c>
      <c r="AI4155">
        <v>97.046075081812404</v>
      </c>
      <c r="AJ4155">
        <v>35.2311870917558</v>
      </c>
      <c r="AK4155">
        <v>9.1024866224437098</v>
      </c>
      <c r="AL4155">
        <v>94.691972891074599</v>
      </c>
      <c r="AM4155">
        <v>55.806197048973601</v>
      </c>
      <c r="AN4155">
        <v>1.00000000676593</v>
      </c>
    </row>
    <row r="4156" spans="1:40" x14ac:dyDescent="0.25">
      <c r="A4156" t="str">
        <f>"20190303154852275"</f>
        <v>20190303154852275</v>
      </c>
      <c r="B4156" t="str">
        <f>"1551599332265486"</f>
        <v>1551599332265486</v>
      </c>
      <c r="C4156" t="s">
        <v>40</v>
      </c>
      <c r="D4156">
        <v>5.1450800000000001</v>
      </c>
      <c r="E4156">
        <v>0.63735640000000005</v>
      </c>
      <c r="F4156" t="s">
        <v>47</v>
      </c>
      <c r="G4156">
        <v>-193.27080000000001</v>
      </c>
      <c r="H4156" s="1">
        <v>4.9975029999999999E-6</v>
      </c>
      <c r="I4156">
        <v>205.874</v>
      </c>
      <c r="J4156">
        <v>-196.9348</v>
      </c>
      <c r="K4156">
        <v>1.116547</v>
      </c>
      <c r="L4156">
        <v>214.20920000000001</v>
      </c>
      <c r="M4156">
        <v>0.97995160000000003</v>
      </c>
      <c r="N4156">
        <v>-1.410747E-2</v>
      </c>
      <c r="O4156">
        <v>-0.1987361</v>
      </c>
      <c r="P4156">
        <v>0.69076530000000003</v>
      </c>
      <c r="Q4156">
        <v>-8.465404E-2</v>
      </c>
      <c r="R4156">
        <v>-0.71810699999999905</v>
      </c>
      <c r="S4156">
        <v>1.317123</v>
      </c>
      <c r="T4156">
        <v>-0.38511089999999998</v>
      </c>
      <c r="U4156">
        <v>-2.8892669999999998</v>
      </c>
      <c r="V4156">
        <v>0.56564969999999903</v>
      </c>
      <c r="W4156">
        <v>-7.9296480000000003E-2</v>
      </c>
      <c r="X4156">
        <v>0.8208242</v>
      </c>
      <c r="Y4156">
        <v>0.80413970000000001</v>
      </c>
      <c r="Z4156">
        <v>-4.568088E-2</v>
      </c>
      <c r="AA4156">
        <v>0.59268269999999901</v>
      </c>
      <c r="AB4156">
        <v>16</v>
      </c>
      <c r="AC4156">
        <v>3.6639999999999802</v>
      </c>
      <c r="AD4156">
        <v>-1.1165420024970001</v>
      </c>
      <c r="AE4156">
        <v>-8.3351999999999808</v>
      </c>
      <c r="AF4156">
        <v>7.3304274705395898</v>
      </c>
      <c r="AG4156">
        <v>-1.1165420024970001</v>
      </c>
      <c r="AH4156">
        <v>5.1698251097097696</v>
      </c>
      <c r="AI4156">
        <v>97.095345514349304</v>
      </c>
      <c r="AJ4156">
        <v>35.193618494181699</v>
      </c>
      <c r="AK4156">
        <v>9.0392989003111897</v>
      </c>
      <c r="AL4156">
        <v>94.548128809018493</v>
      </c>
      <c r="AM4156">
        <v>55.4283387997395</v>
      </c>
      <c r="AN4156">
        <v>0.99999994107805801</v>
      </c>
    </row>
    <row r="4157" spans="1:40" x14ac:dyDescent="0.25">
      <c r="A4157" t="str">
        <f>"20190303154852297"</f>
        <v>20190303154852297</v>
      </c>
      <c r="B4157" t="str">
        <f>"1551599332294766"</f>
        <v>1551599332294766</v>
      </c>
      <c r="C4157" t="s">
        <v>40</v>
      </c>
      <c r="D4157">
        <v>5.4054970000000004</v>
      </c>
      <c r="E4157">
        <v>0.67566719999999902</v>
      </c>
      <c r="F4157" t="s">
        <v>47</v>
      </c>
      <c r="G4157">
        <v>-193.1301</v>
      </c>
      <c r="H4157" s="1">
        <v>5.1492440000000001E-6</v>
      </c>
      <c r="I4157">
        <v>205.53299999999999</v>
      </c>
      <c r="J4157">
        <v>-196.7782</v>
      </c>
      <c r="K4157">
        <v>1.1165229999999999</v>
      </c>
      <c r="L4157">
        <v>214.16499999999999</v>
      </c>
      <c r="M4157">
        <v>0.97788489999999995</v>
      </c>
      <c r="N4157">
        <v>-1.395451E-2</v>
      </c>
      <c r="O4157">
        <v>-0.20867849999999999</v>
      </c>
      <c r="P4157">
        <v>0.67868419999999996</v>
      </c>
      <c r="Q4157">
        <v>-8.2997979999999999E-2</v>
      </c>
      <c r="R4157">
        <v>-0.72972579999999998</v>
      </c>
      <c r="S4157">
        <v>1.2748870000000001</v>
      </c>
      <c r="T4157">
        <v>-0.3741274</v>
      </c>
      <c r="U4157">
        <v>-2.9071959999999999</v>
      </c>
      <c r="V4157">
        <v>0.57118760000000002</v>
      </c>
      <c r="W4157">
        <v>-7.7939530000000007E-2</v>
      </c>
      <c r="X4157">
        <v>0.81711080000000003</v>
      </c>
      <c r="Y4157">
        <v>0.80697909999999995</v>
      </c>
      <c r="Z4157">
        <v>-4.3775990000000001E-2</v>
      </c>
      <c r="AA4157">
        <v>0.58895529999999996</v>
      </c>
      <c r="AB4157">
        <v>16</v>
      </c>
      <c r="AC4157">
        <v>3.6480999999999999</v>
      </c>
      <c r="AD4157">
        <v>-1.1165178507560001</v>
      </c>
      <c r="AE4157">
        <v>-8.6319999999999997</v>
      </c>
      <c r="AF4157">
        <v>7.5730687690556797</v>
      </c>
      <c r="AG4157">
        <v>-1.1165178507560001</v>
      </c>
      <c r="AH4157">
        <v>5.2941064228028702</v>
      </c>
      <c r="AI4157">
        <v>96.889893268426604</v>
      </c>
      <c r="AJ4157">
        <v>34.956249070107098</v>
      </c>
      <c r="AK4157">
        <v>9.3072845399646997</v>
      </c>
      <c r="AL4157">
        <v>94.4701398507638</v>
      </c>
      <c r="AM4157">
        <v>55.045172505090001</v>
      </c>
      <c r="AN4157">
        <v>0.999999952103509</v>
      </c>
    </row>
    <row r="4158" spans="1:40" x14ac:dyDescent="0.25">
      <c r="A4158" t="str">
        <f>"20190303154852319"</f>
        <v>20190303154852319</v>
      </c>
      <c r="B4158" t="str">
        <f>"1551599332315262"</f>
        <v>1551599332315262</v>
      </c>
      <c r="C4158" t="s">
        <v>40</v>
      </c>
      <c r="D4158">
        <v>5.3679199999999998</v>
      </c>
      <c r="E4158">
        <v>0.67831929999999996</v>
      </c>
      <c r="F4158" t="s">
        <v>42</v>
      </c>
      <c r="G4158">
        <v>-196.3246</v>
      </c>
      <c r="H4158">
        <v>0.96918419999999905</v>
      </c>
      <c r="I4158">
        <v>212.74789999999999</v>
      </c>
      <c r="J4158">
        <v>-196.6284</v>
      </c>
      <c r="K4158">
        <v>1.116484</v>
      </c>
      <c r="L4158">
        <v>214.12100000000001</v>
      </c>
      <c r="M4158">
        <v>0.97576399999999996</v>
      </c>
      <c r="N4158">
        <v>-1.3822879999999999E-2</v>
      </c>
      <c r="O4158">
        <v>-0.2183889</v>
      </c>
      <c r="P4158">
        <v>0.66679759999999999</v>
      </c>
      <c r="Q4158">
        <v>-8.1302780000000005E-2</v>
      </c>
      <c r="R4158">
        <v>-0.74079119999999998</v>
      </c>
      <c r="S4158">
        <v>1.0050509999999999</v>
      </c>
      <c r="T4158">
        <v>-0.32641029999999999</v>
      </c>
      <c r="U4158">
        <v>-3.1392669999999998</v>
      </c>
      <c r="V4158">
        <v>0.57645119999999905</v>
      </c>
      <c r="W4158">
        <v>-7.6515840000000002E-2</v>
      </c>
      <c r="X4158">
        <v>0.81354119999999996</v>
      </c>
      <c r="Y4158">
        <v>0.85902639999999997</v>
      </c>
      <c r="Z4158">
        <v>-4.4058489999999999E-2</v>
      </c>
      <c r="AA4158">
        <v>0.51003189999999998</v>
      </c>
      <c r="AB4158">
        <v>16</v>
      </c>
      <c r="AC4158">
        <v>0.30379999999999502</v>
      </c>
      <c r="AD4158">
        <v>-0.14729980000000001</v>
      </c>
      <c r="AE4158">
        <v>-1.37309999999999</v>
      </c>
      <c r="AF4158">
        <v>1.2597756356660299</v>
      </c>
      <c r="AG4158">
        <v>-0.14729980000000001</v>
      </c>
      <c r="AH4158">
        <v>0.58989215015009899</v>
      </c>
      <c r="AI4158">
        <v>96.044606869618804</v>
      </c>
      <c r="AJ4158">
        <v>25.091425623485701</v>
      </c>
      <c r="AK4158">
        <v>1.3988225877882099</v>
      </c>
      <c r="AL4158">
        <v>94.388323980036503</v>
      </c>
      <c r="AM4158">
        <v>54.679743393594102</v>
      </c>
      <c r="AN4158">
        <v>0.99999997192489198</v>
      </c>
    </row>
    <row r="4159" spans="1:40" x14ac:dyDescent="0.25">
      <c r="A4159" t="str">
        <f>"20190303154852344"</f>
        <v>20190303154852344</v>
      </c>
      <c r="B4159" t="str">
        <f>"1551599332334782"</f>
        <v>1551599332334782</v>
      </c>
      <c r="C4159" t="s">
        <v>40</v>
      </c>
      <c r="D4159">
        <v>5.3671410000000002</v>
      </c>
      <c r="E4159">
        <v>0.67874899999999905</v>
      </c>
      <c r="F4159" t="s">
        <v>47</v>
      </c>
      <c r="G4159">
        <v>-193.56290000000001</v>
      </c>
      <c r="H4159" s="1">
        <v>5.6065840000000002E-6</v>
      </c>
      <c r="I4159">
        <v>203.75059999999999</v>
      </c>
      <c r="J4159">
        <v>-196.46879999999999</v>
      </c>
      <c r="K4159">
        <v>1.1164350000000001</v>
      </c>
      <c r="L4159">
        <v>214.072</v>
      </c>
      <c r="M4159">
        <v>0.97334359999999998</v>
      </c>
      <c r="N4159">
        <v>-1.370618E-2</v>
      </c>
      <c r="O4159">
        <v>-0.22894239999999999</v>
      </c>
      <c r="P4159">
        <v>0.6548851</v>
      </c>
      <c r="Q4159">
        <v>-8.0135670000000006E-2</v>
      </c>
      <c r="R4159">
        <v>-0.75146789999999997</v>
      </c>
      <c r="S4159">
        <v>0.93679809999999997</v>
      </c>
      <c r="T4159">
        <v>-0.34118330000000002</v>
      </c>
      <c r="U4159">
        <v>-3.1690670000000001</v>
      </c>
      <c r="V4159">
        <v>0.5807426</v>
      </c>
      <c r="W4159">
        <v>-7.5602139999999998E-2</v>
      </c>
      <c r="X4159">
        <v>0.81056919999999899</v>
      </c>
      <c r="Y4159">
        <v>0.86459330000000001</v>
      </c>
      <c r="Z4159">
        <v>-4.5121109999999999E-2</v>
      </c>
      <c r="AA4159">
        <v>0.50044219999999995</v>
      </c>
      <c r="AB4159">
        <v>16</v>
      </c>
      <c r="AC4159">
        <v>2.9058999999999702</v>
      </c>
      <c r="AD4159">
        <v>-1.1164293934159999</v>
      </c>
      <c r="AE4159">
        <v>-10.321400000000001</v>
      </c>
      <c r="AF4159">
        <v>9.2812498639326595</v>
      </c>
      <c r="AG4159">
        <v>-1.1164293934159999</v>
      </c>
      <c r="AH4159">
        <v>5.1362517912927101</v>
      </c>
      <c r="AI4159">
        <v>96.008110923342997</v>
      </c>
      <c r="AJ4159">
        <v>28.960180223014898</v>
      </c>
      <c r="AK4159">
        <v>10.6662597048258</v>
      </c>
      <c r="AL4159">
        <v>94.335820444254196</v>
      </c>
      <c r="AM4159">
        <v>54.379814233508398</v>
      </c>
      <c r="AN4159">
        <v>1.00000003950798</v>
      </c>
    </row>
    <row r="4160" spans="1:40" x14ac:dyDescent="0.25">
      <c r="A4160" t="str">
        <f>"20190303154852364"</f>
        <v>20190303154852364</v>
      </c>
      <c r="B4160" t="str">
        <f>"1551599332355280"</f>
        <v>1551599332355280</v>
      </c>
      <c r="C4160" t="s">
        <v>40</v>
      </c>
      <c r="D4160">
        <v>5.371073</v>
      </c>
      <c r="E4160">
        <v>0.67902510000000005</v>
      </c>
      <c r="F4160" t="s">
        <v>47</v>
      </c>
      <c r="G4160">
        <v>-193.64269999999999</v>
      </c>
      <c r="H4160" s="1">
        <v>5.55499299999999E-6</v>
      </c>
      <c r="I4160">
        <v>203.8785</v>
      </c>
      <c r="J4160">
        <v>-196.32400000000001</v>
      </c>
      <c r="K4160">
        <v>1.116387</v>
      </c>
      <c r="L4160">
        <v>214.0256</v>
      </c>
      <c r="M4160">
        <v>0.97100149999999996</v>
      </c>
      <c r="N4160">
        <v>-1.3623339999999999E-2</v>
      </c>
      <c r="O4160">
        <v>-0.23868490000000001</v>
      </c>
      <c r="P4160">
        <v>0.64338209999999996</v>
      </c>
      <c r="Q4160">
        <v>-7.9902870000000001E-2</v>
      </c>
      <c r="R4160">
        <v>-0.76136419999999905</v>
      </c>
      <c r="S4160">
        <v>0.8831329</v>
      </c>
      <c r="T4160">
        <v>-0.34888239999999998</v>
      </c>
      <c r="U4160">
        <v>-3.185425</v>
      </c>
      <c r="V4160">
        <v>0.58494849999999998</v>
      </c>
      <c r="W4160">
        <v>-7.5598979999999996E-2</v>
      </c>
      <c r="X4160">
        <v>0.80753949999999997</v>
      </c>
      <c r="Y4160">
        <v>0.86791459999999998</v>
      </c>
      <c r="Z4160">
        <v>-4.5279350000000003E-2</v>
      </c>
      <c r="AA4160">
        <v>0.49464540000000001</v>
      </c>
      <c r="AB4160">
        <v>16</v>
      </c>
      <c r="AC4160">
        <v>2.6813000000000198</v>
      </c>
      <c r="AD4160">
        <v>-1.116381445007</v>
      </c>
      <c r="AE4160">
        <v>-10.147099999999901</v>
      </c>
      <c r="AF4160">
        <v>9.1106378296568096</v>
      </c>
      <c r="AG4160">
        <v>-1.116381445007</v>
      </c>
      <c r="AH4160">
        <v>4.9697430020182498</v>
      </c>
      <c r="AI4160">
        <v>96.139830373693002</v>
      </c>
      <c r="AJ4160">
        <v>28.611933988379</v>
      </c>
      <c r="AK4160">
        <v>10.4378338126279</v>
      </c>
      <c r="AL4160">
        <v>94.335639047038399</v>
      </c>
      <c r="AM4160">
        <v>54.081968827082598</v>
      </c>
      <c r="AN4160">
        <v>0.99999999874476997</v>
      </c>
    </row>
    <row r="4161" spans="1:40" x14ac:dyDescent="0.25">
      <c r="A4161" t="str">
        <f>"20190303154852386"</f>
        <v>20190303154852386</v>
      </c>
      <c r="B4161" t="str">
        <f>"1551599332374799"</f>
        <v>1551599332374799</v>
      </c>
      <c r="C4161" t="s">
        <v>40</v>
      </c>
      <c r="D4161">
        <v>5.4015420000000001</v>
      </c>
      <c r="E4161">
        <v>0.67880450000000003</v>
      </c>
      <c r="F4161" t="s">
        <v>47</v>
      </c>
      <c r="G4161">
        <v>-193.6754</v>
      </c>
      <c r="H4161" s="1">
        <v>5.5564639999999999E-6</v>
      </c>
      <c r="I4161">
        <v>203.84569999999999</v>
      </c>
      <c r="J4161">
        <v>-196.1677</v>
      </c>
      <c r="K4161">
        <v>1.1163259999999999</v>
      </c>
      <c r="L4161">
        <v>213.9736</v>
      </c>
      <c r="M4161">
        <v>0.96831500000000004</v>
      </c>
      <c r="N4161">
        <v>-1.3552730000000001E-2</v>
      </c>
      <c r="O4161">
        <v>-0.249364</v>
      </c>
      <c r="P4161">
        <v>0.63165519999999997</v>
      </c>
      <c r="Q4161">
        <v>-7.9525879999999993E-2</v>
      </c>
      <c r="R4161">
        <v>-0.77115990000000001</v>
      </c>
      <c r="S4161">
        <v>0.83255000000000001</v>
      </c>
      <c r="T4161">
        <v>-0.35091820000000001</v>
      </c>
      <c r="U4161">
        <v>-3.1999209999999998</v>
      </c>
      <c r="V4161">
        <v>0.58843519999999905</v>
      </c>
      <c r="W4161">
        <v>-7.5429330000000003E-2</v>
      </c>
      <c r="X4161">
        <v>0.80501840000000002</v>
      </c>
      <c r="Y4161">
        <v>0.87032860000000001</v>
      </c>
      <c r="Z4161">
        <v>-4.461598E-2</v>
      </c>
      <c r="AA4161">
        <v>0.4904463</v>
      </c>
      <c r="AB4161">
        <v>16</v>
      </c>
      <c r="AC4161">
        <v>2.4923000000000002</v>
      </c>
      <c r="AD4161">
        <v>-1.1163204435359999</v>
      </c>
      <c r="AE4161">
        <v>-10.1279</v>
      </c>
      <c r="AF4161">
        <v>9.0823109322993307</v>
      </c>
      <c r="AG4161">
        <v>-1.1163204435359999</v>
      </c>
      <c r="AH4161">
        <v>4.8833783346654203</v>
      </c>
      <c r="AI4161">
        <v>96.1785117050499</v>
      </c>
      <c r="AJ4161">
        <v>28.2660373732006</v>
      </c>
      <c r="AK4161">
        <v>10.372170802831</v>
      </c>
      <c r="AL4161">
        <v>94.325890561501197</v>
      </c>
      <c r="AM4161">
        <v>53.834738669348397</v>
      </c>
      <c r="AN4161">
        <v>1.0000000963809199</v>
      </c>
    </row>
    <row r="4162" spans="1:40" x14ac:dyDescent="0.25">
      <c r="A4162" t="str">
        <f>"20190303154852408"</f>
        <v>20190303154852408</v>
      </c>
      <c r="B4162" t="str">
        <f>"1551599332405054"</f>
        <v>1551599332405054</v>
      </c>
      <c r="C4162" t="s">
        <v>40</v>
      </c>
      <c r="D4162">
        <v>5.4720329999999997</v>
      </c>
      <c r="E4162">
        <v>0.67793210000000004</v>
      </c>
      <c r="F4162" t="s">
        <v>47</v>
      </c>
      <c r="G4162">
        <v>-193.696</v>
      </c>
      <c r="H4162" s="1">
        <v>5.5485100000000002E-6</v>
      </c>
      <c r="I4162">
        <v>203.85839999999999</v>
      </c>
      <c r="J4162">
        <v>-196.0197</v>
      </c>
      <c r="K4162">
        <v>1.1165889999999901</v>
      </c>
      <c r="L4162">
        <v>213.92250000000001</v>
      </c>
      <c r="M4162">
        <v>0.96570239999999996</v>
      </c>
      <c r="N4162">
        <v>-1.3884179999999999E-2</v>
      </c>
      <c r="O4162">
        <v>-0.25928010000000001</v>
      </c>
      <c r="P4162">
        <v>0.6204885</v>
      </c>
      <c r="Q4162">
        <v>-7.985254E-2</v>
      </c>
      <c r="R4162">
        <v>-0.78013969999999999</v>
      </c>
      <c r="S4162">
        <v>0.78465269999999898</v>
      </c>
      <c r="T4162">
        <v>-0.35437689999999999</v>
      </c>
      <c r="U4162">
        <v>-3.2110599999999998</v>
      </c>
      <c r="V4162">
        <v>0.59175440000000001</v>
      </c>
      <c r="W4162">
        <v>-7.5333929999999993E-2</v>
      </c>
      <c r="X4162">
        <v>0.80259049999999998</v>
      </c>
      <c r="Y4162">
        <v>0.87251809999999996</v>
      </c>
      <c r="Z4162">
        <v>-4.4469349999999998E-2</v>
      </c>
      <c r="AA4162">
        <v>0.48655399999999999</v>
      </c>
      <c r="AB4162">
        <v>16</v>
      </c>
      <c r="AC4162">
        <v>2.3237000000000001</v>
      </c>
      <c r="AD4162">
        <v>-1.1165834514899999</v>
      </c>
      <c r="AE4162">
        <v>-10.0641</v>
      </c>
      <c r="AF4162">
        <v>9.0119981580750803</v>
      </c>
      <c r="AG4162">
        <v>-1.1165834514899999</v>
      </c>
      <c r="AH4162">
        <v>4.7978225403810999</v>
      </c>
      <c r="AI4162">
        <v>96.241428047378804</v>
      </c>
      <c r="AJ4162">
        <v>28.0300184552612</v>
      </c>
      <c r="AK4162">
        <v>10.2704415939276</v>
      </c>
      <c r="AL4162">
        <v>94.320409405121097</v>
      </c>
      <c r="AM4162">
        <v>53.598443709387197</v>
      </c>
      <c r="AN4162">
        <v>0.99999999080942703</v>
      </c>
    </row>
    <row r="4163" spans="1:40" x14ac:dyDescent="0.25">
      <c r="A4163" t="str">
        <f>"20190303154852431"</f>
        <v>20190303154852431</v>
      </c>
      <c r="B4163" t="str">
        <f>"1551599332424574"</f>
        <v>1551599332424574</v>
      </c>
      <c r="C4163" t="s">
        <v>40</v>
      </c>
      <c r="D4163">
        <v>5.4520239999999998</v>
      </c>
      <c r="E4163">
        <v>0.67702580000000001</v>
      </c>
      <c r="F4163" t="s">
        <v>47</v>
      </c>
      <c r="G4163">
        <v>-193.77670000000001</v>
      </c>
      <c r="H4163" s="1">
        <v>5.4370499999999999E-6</v>
      </c>
      <c r="I4163">
        <v>204.21180000000001</v>
      </c>
      <c r="J4163">
        <v>-195.8741</v>
      </c>
      <c r="K4163">
        <v>1.1175569999999999</v>
      </c>
      <c r="L4163">
        <v>213.87100000000001</v>
      </c>
      <c r="M4163">
        <v>0.96322750000000001</v>
      </c>
      <c r="N4163">
        <v>-1.512032E-2</v>
      </c>
      <c r="O4163">
        <v>-0.26826119999999998</v>
      </c>
      <c r="P4163">
        <v>0.61073149999999998</v>
      </c>
      <c r="Q4163">
        <v>-8.1407530000000006E-2</v>
      </c>
      <c r="R4163">
        <v>-0.78764219999999996</v>
      </c>
      <c r="S4163">
        <v>0.742981</v>
      </c>
      <c r="T4163">
        <v>-0.36986219999999997</v>
      </c>
      <c r="U4163">
        <v>-3.2166290000000002</v>
      </c>
      <c r="V4163">
        <v>0.59421769999999996</v>
      </c>
      <c r="W4163">
        <v>-7.5019520000000006E-2</v>
      </c>
      <c r="X4163">
        <v>0.80079800000000001</v>
      </c>
      <c r="Y4163">
        <v>0.87375419999999904</v>
      </c>
      <c r="Z4163">
        <v>-4.6145329999999998E-2</v>
      </c>
      <c r="AA4163">
        <v>0.48417379999999999</v>
      </c>
      <c r="AB4163">
        <v>16</v>
      </c>
      <c r="AC4163">
        <v>2.0973999999999902</v>
      </c>
      <c r="AD4163">
        <v>-1.1175515629499999</v>
      </c>
      <c r="AE4163">
        <v>-9.65919999999997</v>
      </c>
      <c r="AF4163">
        <v>8.6320099937807502</v>
      </c>
      <c r="AG4163">
        <v>-1.1175515629499999</v>
      </c>
      <c r="AH4163">
        <v>4.55377694739974</v>
      </c>
      <c r="AI4163">
        <v>96.532413701242007</v>
      </c>
      <c r="AJ4163">
        <v>27.813680683713201</v>
      </c>
      <c r="AK4163">
        <v>9.8233091428119099</v>
      </c>
      <c r="AL4163">
        <v>94.302343791389902</v>
      </c>
      <c r="AM4163">
        <v>53.4234044597112</v>
      </c>
      <c r="AN4163">
        <v>1.0000000200891599</v>
      </c>
    </row>
    <row r="4164" spans="1:40" x14ac:dyDescent="0.25">
      <c r="A4164" t="str">
        <f>"20190303154852453"</f>
        <v>20190303154852453</v>
      </c>
      <c r="B4164" t="str">
        <f>"1551599332445071"</f>
        <v>1551599332445071</v>
      </c>
      <c r="C4164" t="s">
        <v>40</v>
      </c>
      <c r="D4164">
        <v>5.4846130000000004</v>
      </c>
      <c r="E4164">
        <v>0.67599949999999998</v>
      </c>
      <c r="F4164" t="s">
        <v>47</v>
      </c>
      <c r="G4164">
        <v>-193.80119999999999</v>
      </c>
      <c r="H4164" s="1">
        <v>5.3696929999999996E-6</v>
      </c>
      <c r="I4164">
        <v>204.44560000000001</v>
      </c>
      <c r="J4164">
        <v>-195.7346</v>
      </c>
      <c r="K4164">
        <v>1.1186799999999999</v>
      </c>
      <c r="L4164">
        <v>213.821</v>
      </c>
      <c r="M4164">
        <v>0.96093479999999998</v>
      </c>
      <c r="N4164">
        <v>-1.6710139999999998E-2</v>
      </c>
      <c r="O4164">
        <v>-0.27627059999999998</v>
      </c>
      <c r="P4164">
        <v>0.60226789999999997</v>
      </c>
      <c r="Q4164">
        <v>-8.3058800000000002E-2</v>
      </c>
      <c r="R4164">
        <v>-0.79396180000000005</v>
      </c>
      <c r="S4164">
        <v>0.70820620000000001</v>
      </c>
      <c r="T4164">
        <v>-0.38181890000000002</v>
      </c>
      <c r="U4164">
        <v>-3.2202449999999998</v>
      </c>
      <c r="V4164">
        <v>0.59608130000000004</v>
      </c>
      <c r="W4164">
        <v>-7.4331330000000001E-2</v>
      </c>
      <c r="X4164">
        <v>0.79947599999999996</v>
      </c>
      <c r="Y4164">
        <v>0.8744594</v>
      </c>
      <c r="Z4164">
        <v>-4.7770029999999998E-2</v>
      </c>
      <c r="AA4164">
        <v>0.48274089999999997</v>
      </c>
      <c r="AB4164">
        <v>15</v>
      </c>
      <c r="AC4164">
        <v>1.9334</v>
      </c>
      <c r="AD4164">
        <v>-1.1186746303070001</v>
      </c>
      <c r="AE4164">
        <v>-9.3753999999999795</v>
      </c>
      <c r="AF4164">
        <v>8.3619925979960499</v>
      </c>
      <c r="AG4164">
        <v>-1.1186746303070001</v>
      </c>
      <c r="AH4164">
        <v>4.3887045346250604</v>
      </c>
      <c r="AI4164">
        <v>96.755612014108195</v>
      </c>
      <c r="AJ4164">
        <v>27.692266134286601</v>
      </c>
      <c r="AK4164">
        <v>9.5097360967416904</v>
      </c>
      <c r="AL4164">
        <v>94.2628032262229</v>
      </c>
      <c r="AM4164">
        <v>53.292157066697897</v>
      </c>
      <c r="AN4164">
        <v>0.99999996870262897</v>
      </c>
    </row>
    <row r="4165" spans="1:40" x14ac:dyDescent="0.25">
      <c r="A4165" t="str">
        <f>"20190303154852476"</f>
        <v>20190303154852476</v>
      </c>
      <c r="B4165" t="str">
        <f>"1551599332464590"</f>
        <v>1551599332464590</v>
      </c>
      <c r="C4165" t="s">
        <v>40</v>
      </c>
      <c r="D4165">
        <v>5.5056260000000004</v>
      </c>
      <c r="E4165">
        <v>0.67580879999999999</v>
      </c>
      <c r="F4165" t="s">
        <v>47</v>
      </c>
      <c r="G4165">
        <v>-193.78899999999999</v>
      </c>
      <c r="H4165" s="1">
        <v>5.3311609999999999E-6</v>
      </c>
      <c r="I4165">
        <v>204.60140000000001</v>
      </c>
      <c r="J4165">
        <v>-195.59819999999999</v>
      </c>
      <c r="K4165">
        <v>1.1196269999999999</v>
      </c>
      <c r="L4165">
        <v>213.77160000000001</v>
      </c>
      <c r="M4165">
        <v>0.95879610000000004</v>
      </c>
      <c r="N4165">
        <v>-1.842939E-2</v>
      </c>
      <c r="O4165">
        <v>-0.28349679999999999</v>
      </c>
      <c r="P4165">
        <v>0.59486049999999902</v>
      </c>
      <c r="Q4165">
        <v>-8.485036E-2</v>
      </c>
      <c r="R4165">
        <v>-0.7993382</v>
      </c>
      <c r="S4165">
        <v>0.67991639999999998</v>
      </c>
      <c r="T4165">
        <v>-0.39093339999999999</v>
      </c>
      <c r="U4165">
        <v>-3.221924</v>
      </c>
      <c r="V4165">
        <v>0.59741350000000004</v>
      </c>
      <c r="W4165">
        <v>-7.3876020000000001E-2</v>
      </c>
      <c r="X4165">
        <v>0.79852339999999999</v>
      </c>
      <c r="Y4165">
        <v>0.87461409999999995</v>
      </c>
      <c r="Z4165">
        <v>-4.921793E-2</v>
      </c>
      <c r="AA4165">
        <v>0.4823152</v>
      </c>
      <c r="AB4165">
        <v>15</v>
      </c>
      <c r="AC4165">
        <v>1.8091999999999699</v>
      </c>
      <c r="AD4165">
        <v>-1.1196216688389999</v>
      </c>
      <c r="AE4165">
        <v>-9.1701999999999906</v>
      </c>
      <c r="AF4165">
        <v>8.1637200810081794</v>
      </c>
      <c r="AG4165">
        <v>-1.1196216688389999</v>
      </c>
      <c r="AH4165">
        <v>4.2737906840387003</v>
      </c>
      <c r="AI4165">
        <v>96.927663204457303</v>
      </c>
      <c r="AJ4165">
        <v>27.632515886723301</v>
      </c>
      <c r="AK4165">
        <v>9.2825193268511992</v>
      </c>
      <c r="AL4165">
        <v>94.2366434522757</v>
      </c>
      <c r="AM4165">
        <v>53.198082783243699</v>
      </c>
      <c r="AN4165">
        <v>1.0000000883304201</v>
      </c>
    </row>
    <row r="4166" spans="1:40" x14ac:dyDescent="0.25">
      <c r="A4166" t="str">
        <f>"20190303154852498"</f>
        <v>20190303154852498</v>
      </c>
      <c r="B4166" t="str">
        <f>"1551599332494847"</f>
        <v>1551599332494847</v>
      </c>
      <c r="C4166" t="s">
        <v>40</v>
      </c>
      <c r="D4166">
        <v>5.9830809999999897</v>
      </c>
      <c r="E4166">
        <v>0.67598150000000001</v>
      </c>
      <c r="F4166" t="s">
        <v>47</v>
      </c>
      <c r="G4166">
        <v>-193.73910000000001</v>
      </c>
      <c r="H4166" s="1">
        <v>5.3525050000000003E-6</v>
      </c>
      <c r="I4166">
        <v>204.5625</v>
      </c>
      <c r="J4166">
        <v>-195.46379999999999</v>
      </c>
      <c r="K4166">
        <v>1.1203209999999999</v>
      </c>
      <c r="L4166">
        <v>213.72219999999999</v>
      </c>
      <c r="M4166">
        <v>0.95672349999999995</v>
      </c>
      <c r="N4166">
        <v>-2.018259E-2</v>
      </c>
      <c r="O4166">
        <v>-0.2902979</v>
      </c>
      <c r="P4166">
        <v>0.58756200000000003</v>
      </c>
      <c r="Q4166">
        <v>-8.6340840000000002E-2</v>
      </c>
      <c r="R4166">
        <v>-0.80455969999999999</v>
      </c>
      <c r="S4166">
        <v>0.65139769999999997</v>
      </c>
      <c r="T4166">
        <v>-0.39230039999999999</v>
      </c>
      <c r="U4166">
        <v>-3.2267299999999999</v>
      </c>
      <c r="V4166">
        <v>0.59892069999999997</v>
      </c>
      <c r="W4166">
        <v>-7.3384019999999994E-2</v>
      </c>
      <c r="X4166">
        <v>0.79743889999999995</v>
      </c>
      <c r="Y4166">
        <v>0.87526479999999995</v>
      </c>
      <c r="Z4166">
        <v>-5.0130340000000002E-2</v>
      </c>
      <c r="AA4166">
        <v>0.48103899999999999</v>
      </c>
      <c r="AB4166">
        <v>14</v>
      </c>
      <c r="AC4166">
        <v>1.7246999999999799</v>
      </c>
      <c r="AD4166">
        <v>-1.120315647495</v>
      </c>
      <c r="AE4166">
        <v>-9.1596999999999795</v>
      </c>
      <c r="AF4166">
        <v>8.1466098048944708</v>
      </c>
      <c r="AG4166">
        <v>-1.120315647495</v>
      </c>
      <c r="AH4166">
        <v>4.2485995468615396</v>
      </c>
      <c r="AI4166">
        <v>96.951960573056894</v>
      </c>
      <c r="AJ4166">
        <v>27.542829065140801</v>
      </c>
      <c r="AK4166">
        <v>9.25596869986156</v>
      </c>
      <c r="AL4166">
        <v>94.208377539181001</v>
      </c>
      <c r="AM4166">
        <v>53.091425404483303</v>
      </c>
      <c r="AN4166">
        <v>1.00000000925653</v>
      </c>
    </row>
    <row r="4167" spans="1:40" x14ac:dyDescent="0.25">
      <c r="A4167" t="str">
        <f>"20190303154852522"</f>
        <v>20190303154852522</v>
      </c>
      <c r="B4167" t="str">
        <f>"1551599332515343"</f>
        <v>1551599332515343</v>
      </c>
      <c r="C4167" t="s">
        <v>40</v>
      </c>
      <c r="D4167">
        <v>5.5596430000000003</v>
      </c>
      <c r="E4167">
        <v>0.67583719999999903</v>
      </c>
      <c r="F4167" t="s">
        <v>47</v>
      </c>
      <c r="G4167">
        <v>-193.6557</v>
      </c>
      <c r="H4167" s="1">
        <v>5.4359480000000004E-6</v>
      </c>
      <c r="I4167">
        <v>204.31729999999999</v>
      </c>
      <c r="J4167">
        <v>-195.33459999999999</v>
      </c>
      <c r="K4167">
        <v>1.1206210000000001</v>
      </c>
      <c r="L4167">
        <v>213.6738</v>
      </c>
      <c r="M4167">
        <v>0.95456620000000003</v>
      </c>
      <c r="N4167">
        <v>-2.1805789999999999E-2</v>
      </c>
      <c r="O4167">
        <v>-0.29720020000000003</v>
      </c>
      <c r="P4167">
        <v>0.58019919999999903</v>
      </c>
      <c r="Q4167">
        <v>-8.647908E-2</v>
      </c>
      <c r="R4167">
        <v>-0.80987049999999905</v>
      </c>
      <c r="S4167">
        <v>0.6216431</v>
      </c>
      <c r="T4167">
        <v>-0.38516660000000003</v>
      </c>
      <c r="U4167">
        <v>-3.2334290000000001</v>
      </c>
      <c r="V4167">
        <v>0.60042850000000003</v>
      </c>
      <c r="W4167">
        <v>-7.2139220000000004E-2</v>
      </c>
      <c r="X4167">
        <v>0.79641790000000001</v>
      </c>
      <c r="Y4167">
        <v>0.87628289999999998</v>
      </c>
      <c r="Z4167">
        <v>-5.028258E-2</v>
      </c>
      <c r="AA4167">
        <v>0.47916589999999998</v>
      </c>
      <c r="AB4167">
        <v>14</v>
      </c>
      <c r="AC4167">
        <v>1.6788999999999901</v>
      </c>
      <c r="AD4167">
        <v>-1.1206155640519999</v>
      </c>
      <c r="AE4167">
        <v>-9.3565000000000094</v>
      </c>
      <c r="AF4167">
        <v>8.3188269602879998</v>
      </c>
      <c r="AG4167">
        <v>-1.1206155640519999</v>
      </c>
      <c r="AH4167">
        <v>4.3243217328654699</v>
      </c>
      <c r="AI4167">
        <v>96.815895136795305</v>
      </c>
      <c r="AJ4167">
        <v>27.4664707251153</v>
      </c>
      <c r="AK4167">
        <v>9.4423736256802897</v>
      </c>
      <c r="AL4167">
        <v>94.136866397749998</v>
      </c>
      <c r="AM4167">
        <v>52.986944692778501</v>
      </c>
      <c r="AN4167">
        <v>0.99999996105743305</v>
      </c>
    </row>
    <row r="4168" spans="1:40" x14ac:dyDescent="0.25">
      <c r="A4168" t="str">
        <f>"20190303154852544"</f>
        <v>20190303154852544</v>
      </c>
      <c r="B4168" t="str">
        <f>"1551599332534862"</f>
        <v>1551599332534862</v>
      </c>
      <c r="C4168" t="s">
        <v>40</v>
      </c>
      <c r="D4168">
        <v>5.4087160000000001</v>
      </c>
      <c r="E4168">
        <v>0.668844199999999</v>
      </c>
      <c r="F4168" t="s">
        <v>47</v>
      </c>
      <c r="G4168">
        <v>-193.57239999999999</v>
      </c>
      <c r="H4168" s="1">
        <v>5.5220450000000004E-6</v>
      </c>
      <c r="I4168">
        <v>204.06180000000001</v>
      </c>
      <c r="J4168">
        <v>-195.20750000000001</v>
      </c>
      <c r="K4168">
        <v>1.120131</v>
      </c>
      <c r="L4168">
        <v>213.62440000000001</v>
      </c>
      <c r="M4168">
        <v>0.95187259999999996</v>
      </c>
      <c r="N4168">
        <v>-2.2863270000000002E-2</v>
      </c>
      <c r="O4168">
        <v>-0.30564049999999998</v>
      </c>
      <c r="P4168">
        <v>0.5718896</v>
      </c>
      <c r="Q4168">
        <v>-8.3875080000000005E-2</v>
      </c>
      <c r="R4168">
        <v>-0.81603190000000003</v>
      </c>
      <c r="S4168">
        <v>0.59375</v>
      </c>
      <c r="T4168">
        <v>-0.37758330000000001</v>
      </c>
      <c r="U4168">
        <v>-3.238693</v>
      </c>
      <c r="V4168">
        <v>0.60169539999999999</v>
      </c>
      <c r="W4168">
        <v>-6.9506910000000005E-2</v>
      </c>
      <c r="X4168">
        <v>0.79569559999999995</v>
      </c>
      <c r="Y4168">
        <v>0.87630160000000001</v>
      </c>
      <c r="Z4168">
        <v>-4.9586669999999999E-2</v>
      </c>
      <c r="AA4168">
        <v>0.47920420000000002</v>
      </c>
      <c r="AB4168">
        <v>13</v>
      </c>
      <c r="AC4168">
        <v>1.63510000000002</v>
      </c>
      <c r="AD4168">
        <v>-1.1201254779550001</v>
      </c>
      <c r="AE4168">
        <v>-9.5625999999999998</v>
      </c>
      <c r="AF4168">
        <v>8.4916689355176498</v>
      </c>
      <c r="AG4168">
        <v>-1.1201254779550001</v>
      </c>
      <c r="AH4168">
        <v>4.4213537317332898</v>
      </c>
      <c r="AI4168">
        <v>96.673242768012003</v>
      </c>
      <c r="AJ4168">
        <v>27.504621975200401</v>
      </c>
      <c r="AK4168">
        <v>9.6390607020555308</v>
      </c>
      <c r="AL4168">
        <v>93.985666154042306</v>
      </c>
      <c r="AM4168">
        <v>52.903868837504099</v>
      </c>
      <c r="AN4168">
        <v>1.00000002638913</v>
      </c>
    </row>
    <row r="4169" spans="1:40" x14ac:dyDescent="0.25">
      <c r="A4169" t="str">
        <f>"20190303154852567"</f>
        <v>20190303154852567</v>
      </c>
      <c r="B4169" t="str">
        <f>"1551599332555358"</f>
        <v>1551599332555358</v>
      </c>
      <c r="C4169" t="s">
        <v>40</v>
      </c>
      <c r="D4169">
        <v>5.6008899999999997</v>
      </c>
      <c r="E4169">
        <v>0.66810740000000002</v>
      </c>
      <c r="F4169" t="s">
        <v>42</v>
      </c>
      <c r="G4169">
        <v>-194.90129999999999</v>
      </c>
      <c r="H4169">
        <v>1.033866</v>
      </c>
      <c r="I4169">
        <v>212.0239</v>
      </c>
      <c r="J4169">
        <v>-195.0797</v>
      </c>
      <c r="K4169">
        <v>1.118765</v>
      </c>
      <c r="L4169">
        <v>213.5718</v>
      </c>
      <c r="M4169">
        <v>0.94856479999999999</v>
      </c>
      <c r="N4169">
        <v>-2.283876E-2</v>
      </c>
      <c r="O4169">
        <v>-0.3157587</v>
      </c>
      <c r="P4169">
        <v>0.56275310000000001</v>
      </c>
      <c r="Q4169">
        <v>-8.017059E-2</v>
      </c>
      <c r="R4169">
        <v>-0.82272860000000003</v>
      </c>
      <c r="S4169">
        <v>0.61749270000000001</v>
      </c>
      <c r="T4169">
        <v>-0.17387810000000001</v>
      </c>
      <c r="U4169">
        <v>-3.2257229999999999</v>
      </c>
      <c r="V4169">
        <v>0.60228490000000001</v>
      </c>
      <c r="W4169">
        <v>-6.7502530000000005E-2</v>
      </c>
      <c r="X4169">
        <v>0.79542209999999902</v>
      </c>
      <c r="Y4169">
        <v>0.87088569999999998</v>
      </c>
      <c r="Z4169">
        <v>-3.2535130000000002E-2</v>
      </c>
      <c r="AA4169">
        <v>0.4904075</v>
      </c>
      <c r="AB4169">
        <v>13</v>
      </c>
      <c r="AC4169">
        <v>0.17840000000001</v>
      </c>
      <c r="AD4169">
        <v>-8.4899000000000002E-2</v>
      </c>
      <c r="AE4169">
        <v>-1.5478999999999901</v>
      </c>
      <c r="AF4169">
        <v>1.4081396875897101</v>
      </c>
      <c r="AG4169">
        <v>-8.4899000000000002E-2</v>
      </c>
      <c r="AH4169">
        <v>0.65621022064163204</v>
      </c>
      <c r="AI4169">
        <v>93.128041752469898</v>
      </c>
      <c r="AJ4169">
        <v>24.986091682725501</v>
      </c>
      <c r="AK4169">
        <v>1.55585252310133</v>
      </c>
      <c r="AL4169">
        <v>93.870553282612306</v>
      </c>
      <c r="AM4169">
        <v>52.867393514480398</v>
      </c>
      <c r="AN4169">
        <v>1.0000000047464099</v>
      </c>
    </row>
    <row r="4170" spans="1:40" x14ac:dyDescent="0.25">
      <c r="A4170" t="str">
        <f>"20190303154852588"</f>
        <v>20190303154852588</v>
      </c>
      <c r="B4170" t="str">
        <f>"1551599332584639"</f>
        <v>1551599332584639</v>
      </c>
      <c r="C4170" t="s">
        <v>40</v>
      </c>
      <c r="D4170">
        <v>5.8533540000000004</v>
      </c>
      <c r="E4170">
        <v>0.66737489999999999</v>
      </c>
      <c r="F4170" t="s">
        <v>42</v>
      </c>
      <c r="G4170">
        <v>-194.7946</v>
      </c>
      <c r="H4170">
        <v>1.002648</v>
      </c>
      <c r="I4170">
        <v>211.99080000000001</v>
      </c>
      <c r="J4170">
        <v>-194.96</v>
      </c>
      <c r="K4170">
        <v>1.1172850000000001</v>
      </c>
      <c r="L4170">
        <v>213.51920000000001</v>
      </c>
      <c r="M4170">
        <v>0.94520839999999995</v>
      </c>
      <c r="N4170">
        <v>-2.216953E-2</v>
      </c>
      <c r="O4170">
        <v>-0.32571409999999901</v>
      </c>
      <c r="P4170">
        <v>0.55247500000000005</v>
      </c>
      <c r="Q4170">
        <v>-7.6396729999999996E-2</v>
      </c>
      <c r="R4170">
        <v>-0.83002129999999996</v>
      </c>
      <c r="S4170">
        <v>0.58181759999999905</v>
      </c>
      <c r="T4170">
        <v>-0.23689940000000001</v>
      </c>
      <c r="U4170">
        <v>-3.2253419999999999</v>
      </c>
      <c r="V4170">
        <v>0.60400089999999995</v>
      </c>
      <c r="W4170">
        <v>-6.5987240000000003E-2</v>
      </c>
      <c r="X4170">
        <v>0.79424719999999904</v>
      </c>
      <c r="Y4170">
        <v>0.87017710000000004</v>
      </c>
      <c r="Z4170">
        <v>-3.5813480000000002E-2</v>
      </c>
      <c r="AA4170">
        <v>0.49143579999999998</v>
      </c>
      <c r="AB4170">
        <v>13</v>
      </c>
      <c r="AC4170">
        <v>0.16540000000000499</v>
      </c>
      <c r="AD4170">
        <v>-0.114637</v>
      </c>
      <c r="AE4170">
        <v>-1.5284</v>
      </c>
      <c r="AF4170">
        <v>1.3834325825637801</v>
      </c>
      <c r="AG4170">
        <v>-0.114637</v>
      </c>
      <c r="AH4170">
        <v>0.65070141905626699</v>
      </c>
      <c r="AI4170">
        <v>94.288233460860297</v>
      </c>
      <c r="AJ4170">
        <v>25.190079899568399</v>
      </c>
      <c r="AK4170">
        <v>1.5331143757169301</v>
      </c>
      <c r="AL4170">
        <v>93.783539502920902</v>
      </c>
      <c r="AM4170">
        <v>52.748112530809301</v>
      </c>
      <c r="AN4170">
        <v>1.0000000088757299</v>
      </c>
    </row>
    <row r="4171" spans="1:40" x14ac:dyDescent="0.25">
      <c r="A4171" t="str">
        <f>"20190303154852610"</f>
        <v>20190303154852610</v>
      </c>
      <c r="B4171" t="str">
        <f>"1551599332605282"</f>
        <v>1551599332605282</v>
      </c>
      <c r="C4171" t="s">
        <v>40</v>
      </c>
      <c r="D4171">
        <v>5.6973099999999999</v>
      </c>
      <c r="E4171">
        <v>0.66670629999999997</v>
      </c>
      <c r="F4171" t="s">
        <v>42</v>
      </c>
      <c r="G4171">
        <v>-194.6944</v>
      </c>
      <c r="H4171">
        <v>0.99705920000000003</v>
      </c>
      <c r="I4171">
        <v>211.94470000000001</v>
      </c>
      <c r="J4171">
        <v>-194.83609999999999</v>
      </c>
      <c r="K4171">
        <v>1.116247</v>
      </c>
      <c r="L4171">
        <v>213.46129999999999</v>
      </c>
      <c r="M4171">
        <v>0.94158730000000002</v>
      </c>
      <c r="N4171">
        <v>-2.1402709999999998E-2</v>
      </c>
      <c r="O4171">
        <v>-0.3360882</v>
      </c>
      <c r="P4171">
        <v>0.54131589999999996</v>
      </c>
      <c r="Q4171">
        <v>-7.3410439999999993E-2</v>
      </c>
      <c r="R4171">
        <v>-0.83760879999999904</v>
      </c>
      <c r="S4171">
        <v>0.54507450000000002</v>
      </c>
      <c r="T4171">
        <v>-0.24657680000000001</v>
      </c>
      <c r="U4171">
        <v>-3.228882</v>
      </c>
      <c r="V4171">
        <v>0.60606130000000003</v>
      </c>
      <c r="W4171">
        <v>-6.475612E-2</v>
      </c>
      <c r="X4171">
        <v>0.79277759999999997</v>
      </c>
      <c r="Y4171">
        <v>0.87023269999999997</v>
      </c>
      <c r="Z4171">
        <v>-3.5061450000000001E-2</v>
      </c>
      <c r="AA4171">
        <v>0.49139169999999999</v>
      </c>
      <c r="AB4171">
        <v>13</v>
      </c>
      <c r="AC4171">
        <v>0.141699999999985</v>
      </c>
      <c r="AD4171">
        <v>-0.1191878</v>
      </c>
      <c r="AE4171">
        <v>-1.51659999999998</v>
      </c>
      <c r="AF4171">
        <v>1.37230160947027</v>
      </c>
      <c r="AG4171">
        <v>-0.1191878</v>
      </c>
      <c r="AH4171">
        <v>0.63936695242205599</v>
      </c>
      <c r="AI4171">
        <v>94.501446702187707</v>
      </c>
      <c r="AJ4171">
        <v>24.981210690573199</v>
      </c>
      <c r="AK4171">
        <v>1.51862027474711</v>
      </c>
      <c r="AL4171">
        <v>93.712850388473896</v>
      </c>
      <c r="AM4171">
        <v>52.6028709783198</v>
      </c>
      <c r="AN4171">
        <v>0.99999998874845197</v>
      </c>
    </row>
    <row r="4172" spans="1:40" x14ac:dyDescent="0.25">
      <c r="A4172" t="str">
        <f>"20190303154852637"</f>
        <v>20190303154852637</v>
      </c>
      <c r="B4172" t="str">
        <f>"1551599332624802"</f>
        <v>1551599332624802</v>
      </c>
      <c r="C4172" t="s">
        <v>40</v>
      </c>
      <c r="D4172">
        <v>6.1502540000000003</v>
      </c>
      <c r="E4172">
        <v>0.66497830000000002</v>
      </c>
      <c r="F4172" t="s">
        <v>42</v>
      </c>
      <c r="G4172">
        <v>-194.59229999999999</v>
      </c>
      <c r="H4172">
        <v>0.99944500000000003</v>
      </c>
      <c r="I4172">
        <v>211.90170000000001</v>
      </c>
      <c r="J4172">
        <v>-194.69</v>
      </c>
      <c r="K4172">
        <v>1.115953</v>
      </c>
      <c r="L4172">
        <v>213.3896</v>
      </c>
      <c r="M4172">
        <v>0.93702949999999996</v>
      </c>
      <c r="N4172">
        <v>-2.0627389999999999E-2</v>
      </c>
      <c r="O4172">
        <v>-0.34864040000000002</v>
      </c>
      <c r="P4172">
        <v>0.5283234</v>
      </c>
      <c r="Q4172">
        <v>-7.2554800000000003E-2</v>
      </c>
      <c r="R4172">
        <v>-0.84593759999999996</v>
      </c>
      <c r="S4172">
        <v>0.50590519999999894</v>
      </c>
      <c r="T4172">
        <v>-0.2421681</v>
      </c>
      <c r="U4172">
        <v>-3.2334290000000001</v>
      </c>
      <c r="V4172">
        <v>0.60776529999999995</v>
      </c>
      <c r="W4172">
        <v>-6.4668660000000003E-2</v>
      </c>
      <c r="X4172">
        <v>0.7914793</v>
      </c>
      <c r="Y4172">
        <v>0.86973599999999995</v>
      </c>
      <c r="Z4172">
        <v>-3.3104990000000001E-2</v>
      </c>
      <c r="AA4172">
        <v>0.4924057</v>
      </c>
      <c r="AB4172">
        <v>13</v>
      </c>
      <c r="AC4172">
        <v>9.7700000000003201E-2</v>
      </c>
      <c r="AD4172">
        <v>-0.116507999999999</v>
      </c>
      <c r="AE4172">
        <v>-1.48789999999999</v>
      </c>
      <c r="AF4172">
        <v>1.3521783128614999</v>
      </c>
      <c r="AG4172">
        <v>-0.116507999999999</v>
      </c>
      <c r="AH4172">
        <v>0.60671565761069901</v>
      </c>
      <c r="AI4172">
        <v>94.494915268814594</v>
      </c>
      <c r="AJ4172">
        <v>24.165535678161302</v>
      </c>
      <c r="AK4172">
        <v>1.4866284650264701</v>
      </c>
      <c r="AL4172">
        <v>93.707828402155798</v>
      </c>
      <c r="AM4172">
        <v>52.479872194223603</v>
      </c>
      <c r="AN4172">
        <v>1.0000000888993801</v>
      </c>
    </row>
    <row r="4173" spans="1:40" x14ac:dyDescent="0.25">
      <c r="A4173" t="str">
        <f>"20190303154852657"</f>
        <v>20190303154852657</v>
      </c>
      <c r="B4173" t="str">
        <f>"1551599332655059"</f>
        <v>1551599332655059</v>
      </c>
      <c r="C4173" t="s">
        <v>40</v>
      </c>
      <c r="D4173">
        <v>5.8198249999999998</v>
      </c>
      <c r="E4173">
        <v>0.66252239999999996</v>
      </c>
      <c r="F4173" t="s">
        <v>42</v>
      </c>
      <c r="G4173">
        <v>-194.4736</v>
      </c>
      <c r="H4173">
        <v>0.98981459999999999</v>
      </c>
      <c r="I4173">
        <v>211.88550000000001</v>
      </c>
      <c r="J4173">
        <v>-194.5806</v>
      </c>
      <c r="K4173">
        <v>1.116271</v>
      </c>
      <c r="L4173">
        <v>213.33430000000001</v>
      </c>
      <c r="M4173">
        <v>0.93326629999999999</v>
      </c>
      <c r="N4173">
        <v>-2.0067000000000002E-2</v>
      </c>
      <c r="O4173">
        <v>-0.35862460000000002</v>
      </c>
      <c r="P4173">
        <v>0.51653979999999999</v>
      </c>
      <c r="Q4173">
        <v>-7.3123359999999998E-2</v>
      </c>
      <c r="R4173">
        <v>-0.85313549999999905</v>
      </c>
      <c r="S4173">
        <v>0.46574399999999999</v>
      </c>
      <c r="T4173">
        <v>-0.2710747</v>
      </c>
      <c r="U4173">
        <v>-3.2322540000000002</v>
      </c>
      <c r="V4173">
        <v>0.61030019999999996</v>
      </c>
      <c r="W4173">
        <v>-6.5090930000000005E-2</v>
      </c>
      <c r="X4173">
        <v>0.78949150000000001</v>
      </c>
      <c r="Y4173">
        <v>0.87008149999999995</v>
      </c>
      <c r="Z4173">
        <v>-3.3576469999999997E-2</v>
      </c>
      <c r="AA4173">
        <v>0.4917628</v>
      </c>
      <c r="AB4173">
        <v>13</v>
      </c>
      <c r="AC4173">
        <v>0.106999999999999</v>
      </c>
      <c r="AD4173">
        <v>-0.126456399999999</v>
      </c>
      <c r="AE4173">
        <v>-1.4488000000000001</v>
      </c>
      <c r="AF4173">
        <v>1.3041263141177899</v>
      </c>
      <c r="AG4173">
        <v>-0.126456399999999</v>
      </c>
      <c r="AH4173">
        <v>0.61490033128249</v>
      </c>
      <c r="AI4173">
        <v>95.012359429657295</v>
      </c>
      <c r="AJ4173">
        <v>25.244049165587199</v>
      </c>
      <c r="AK4173">
        <v>1.44735589323661</v>
      </c>
      <c r="AL4173">
        <v>93.732074119348198</v>
      </c>
      <c r="AM4173">
        <v>52.294919686147097</v>
      </c>
      <c r="AN4173">
        <v>0.999999995930277</v>
      </c>
    </row>
    <row r="4174" spans="1:40" x14ac:dyDescent="0.25">
      <c r="A4174" t="str">
        <f>"20190303154852679"</f>
        <v>20190303154852679</v>
      </c>
      <c r="B4174" t="str">
        <f>"1551599332675555"</f>
        <v>1551599332675555</v>
      </c>
      <c r="C4174" t="s">
        <v>40</v>
      </c>
      <c r="D4174">
        <v>6.314908</v>
      </c>
      <c r="E4174">
        <v>0.66120210000000001</v>
      </c>
      <c r="F4174" t="s">
        <v>42</v>
      </c>
      <c r="G4174">
        <v>-194.37809999999999</v>
      </c>
      <c r="H4174">
        <v>0.96837649999999997</v>
      </c>
      <c r="I4174">
        <v>211.83359999999999</v>
      </c>
      <c r="J4174">
        <v>-194.46469999999999</v>
      </c>
      <c r="K4174">
        <v>1.1168049999999901</v>
      </c>
      <c r="L4174">
        <v>213.2748</v>
      </c>
      <c r="M4174">
        <v>0.92897739999999995</v>
      </c>
      <c r="N4174">
        <v>-1.9474459999999999E-2</v>
      </c>
      <c r="O4174">
        <v>-0.36962390000000001</v>
      </c>
      <c r="P4174">
        <v>0.50420949999999998</v>
      </c>
      <c r="Q4174">
        <v>-7.392406E-2</v>
      </c>
      <c r="R4174">
        <v>-0.86041179999999995</v>
      </c>
      <c r="S4174">
        <v>0.43533329999999998</v>
      </c>
      <c r="T4174">
        <v>-0.31787670000000001</v>
      </c>
      <c r="U4174">
        <v>-3.225616</v>
      </c>
      <c r="V4174">
        <v>0.61235459999999997</v>
      </c>
      <c r="W4174">
        <v>-6.5473790000000004E-2</v>
      </c>
      <c r="X4174">
        <v>0.7878674</v>
      </c>
      <c r="Y4174">
        <v>0.86805279999999996</v>
      </c>
      <c r="Z4174">
        <v>-3.4313740000000002E-2</v>
      </c>
      <c r="AA4174">
        <v>0.49528460000000002</v>
      </c>
      <c r="AB4174">
        <v>13</v>
      </c>
      <c r="AC4174">
        <v>8.6600000000004201E-2</v>
      </c>
      <c r="AD4174">
        <v>-0.14842849999999899</v>
      </c>
      <c r="AE4174">
        <v>-1.4412</v>
      </c>
      <c r="AF4174">
        <v>1.2934109718433799</v>
      </c>
      <c r="AG4174">
        <v>-0.14842849999999899</v>
      </c>
      <c r="AH4174">
        <v>0.606854035504373</v>
      </c>
      <c r="AI4174">
        <v>95.931214829086599</v>
      </c>
      <c r="AJ4174">
        <v>25.135447127373101</v>
      </c>
      <c r="AK4174">
        <v>1.4363894952640901</v>
      </c>
      <c r="AL4174">
        <v>93.754057235192207</v>
      </c>
      <c r="AM4174">
        <v>52.144557958340499</v>
      </c>
      <c r="AN4174">
        <v>1.00000000665044</v>
      </c>
    </row>
    <row r="4175" spans="1:40" x14ac:dyDescent="0.25">
      <c r="A4175" t="str">
        <f>"20190303154852703"</f>
        <v>20190303154852703</v>
      </c>
      <c r="B4175" t="str">
        <f>"1551599332695075"</f>
        <v>1551599332695075</v>
      </c>
      <c r="C4175" t="s">
        <v>40</v>
      </c>
      <c r="D4175">
        <v>5.3591870000000004</v>
      </c>
      <c r="E4175">
        <v>0.66045750000000003</v>
      </c>
      <c r="F4175" t="s">
        <v>47</v>
      </c>
      <c r="G4175">
        <v>-193.2054</v>
      </c>
      <c r="H4175" s="1">
        <v>5.8750870000000002E-6</v>
      </c>
      <c r="I4175">
        <v>203.036</v>
      </c>
      <c r="J4175">
        <v>-194.3356</v>
      </c>
      <c r="K4175">
        <v>1.1172759999999999</v>
      </c>
      <c r="L4175">
        <v>213.2072</v>
      </c>
      <c r="M4175">
        <v>0.92401750000000005</v>
      </c>
      <c r="N4175">
        <v>-1.886202E-2</v>
      </c>
      <c r="O4175">
        <v>-0.38188460000000002</v>
      </c>
      <c r="P4175">
        <v>0.4907724</v>
      </c>
      <c r="Q4175">
        <v>-7.3201089999999996E-2</v>
      </c>
      <c r="R4175">
        <v>-0.86820750000000002</v>
      </c>
      <c r="S4175">
        <v>0.39654539999999999</v>
      </c>
      <c r="T4175">
        <v>-0.35166510000000001</v>
      </c>
      <c r="U4175">
        <v>-3.2240600000000001</v>
      </c>
      <c r="V4175">
        <v>0.61432069999999905</v>
      </c>
      <c r="W4175">
        <v>-6.4474729999999994E-2</v>
      </c>
      <c r="X4175">
        <v>0.7864179</v>
      </c>
      <c r="Y4175">
        <v>0.86689669999999897</v>
      </c>
      <c r="Z4175">
        <v>-3.3906829999999999E-2</v>
      </c>
      <c r="AA4175">
        <v>0.49733339999999998</v>
      </c>
      <c r="AB4175">
        <v>13</v>
      </c>
      <c r="AC4175">
        <v>1.1302000000000001</v>
      </c>
      <c r="AD4175">
        <v>-1.1172701249129999</v>
      </c>
      <c r="AE4175">
        <v>-10.171200000000001</v>
      </c>
      <c r="AF4175">
        <v>8.8627210568874606</v>
      </c>
      <c r="AG4175">
        <v>-1.1172701249129999</v>
      </c>
      <c r="AH4175">
        <v>4.8713641237329099</v>
      </c>
      <c r="AI4175">
        <v>96.304230924320606</v>
      </c>
      <c r="AJ4175">
        <v>28.795243834906401</v>
      </c>
      <c r="AK4175">
        <v>10.174787736862701</v>
      </c>
      <c r="AL4175">
        <v>93.696694075145302</v>
      </c>
      <c r="AM4175">
        <v>52.004357057331497</v>
      </c>
      <c r="AN4175">
        <v>1.0000000133487299</v>
      </c>
    </row>
    <row r="4176" spans="1:40" x14ac:dyDescent="0.25">
      <c r="A4176" t="str">
        <f>"20190303154852726"</f>
        <v>20190303154852726</v>
      </c>
      <c r="B4176" t="str">
        <f>"1551599332715570"</f>
        <v>1551599332715570</v>
      </c>
      <c r="C4176" t="s">
        <v>40</v>
      </c>
      <c r="D4176">
        <v>5.7770580000000002</v>
      </c>
      <c r="E4176">
        <v>0.65158959999999999</v>
      </c>
      <c r="F4176" t="s">
        <v>47</v>
      </c>
      <c r="G4176">
        <v>-193.2587</v>
      </c>
      <c r="H4176" s="1">
        <v>5.7888109999999996E-6</v>
      </c>
      <c r="I4176">
        <v>203.31720000000001</v>
      </c>
      <c r="J4176">
        <v>-194.20939999999999</v>
      </c>
      <c r="K4176">
        <v>1.1174470000000001</v>
      </c>
      <c r="L4176">
        <v>213.1395</v>
      </c>
      <c r="M4176">
        <v>0.91915349999999996</v>
      </c>
      <c r="N4176">
        <v>-1.83409E-2</v>
      </c>
      <c r="O4176">
        <v>-0.39347280000000001</v>
      </c>
      <c r="P4176">
        <v>0.4784331</v>
      </c>
      <c r="Q4176">
        <v>-6.9649749999999996E-2</v>
      </c>
      <c r="R4176">
        <v>-0.87535799999999997</v>
      </c>
      <c r="S4176">
        <v>0.35127259999999999</v>
      </c>
      <c r="T4176">
        <v>-0.36444900000000002</v>
      </c>
      <c r="U4176">
        <v>-3.226089</v>
      </c>
      <c r="V4176">
        <v>0.61589179999999999</v>
      </c>
      <c r="W4176">
        <v>-6.1075339999999999E-2</v>
      </c>
      <c r="X4176">
        <v>0.78545980000000004</v>
      </c>
      <c r="Y4176">
        <v>0.86746089999999998</v>
      </c>
      <c r="Z4176">
        <v>-3.2675709999999997E-2</v>
      </c>
      <c r="AA4176">
        <v>0.49643110000000001</v>
      </c>
      <c r="AB4176">
        <v>13</v>
      </c>
      <c r="AC4176">
        <v>0.950699999999983</v>
      </c>
      <c r="AD4176">
        <v>-1.11744121118899</v>
      </c>
      <c r="AE4176">
        <v>-9.8222999999999807</v>
      </c>
      <c r="AF4176">
        <v>8.5459998505086805</v>
      </c>
      <c r="AG4176">
        <v>-1.11744121118899</v>
      </c>
      <c r="AH4176">
        <v>4.6794411879712596</v>
      </c>
      <c r="AI4176">
        <v>96.542583121680593</v>
      </c>
      <c r="AJ4176">
        <v>28.703316330100499</v>
      </c>
      <c r="AK4176">
        <v>9.8071381216458793</v>
      </c>
      <c r="AL4176">
        <v>93.501538417473697</v>
      </c>
      <c r="AM4176">
        <v>51.899428721451997</v>
      </c>
      <c r="AN4176">
        <v>1.00000000193969</v>
      </c>
    </row>
    <row r="4177" spans="1:40" x14ac:dyDescent="0.25">
      <c r="A4177" t="str">
        <f>"20190303154852750"</f>
        <v>20190303154852750</v>
      </c>
      <c r="B4177" t="str">
        <f>"1551599332744850"</f>
        <v>1551599332744850</v>
      </c>
      <c r="C4177" t="s">
        <v>40</v>
      </c>
      <c r="D4177">
        <v>5.8105830000000003</v>
      </c>
      <c r="E4177">
        <v>0.64168890000000001</v>
      </c>
      <c r="F4177" t="s">
        <v>42</v>
      </c>
      <c r="G4177">
        <v>-194.0273</v>
      </c>
      <c r="H4177">
        <v>1.0203009999999999</v>
      </c>
      <c r="I4177">
        <v>211.58109999999999</v>
      </c>
      <c r="J4177">
        <v>-194.08690000000001</v>
      </c>
      <c r="K4177">
        <v>1.1173900000000001</v>
      </c>
      <c r="L4177">
        <v>213.07169999999999</v>
      </c>
      <c r="M4177">
        <v>0.91440589999999999</v>
      </c>
      <c r="N4177">
        <v>-1.7890099999999999E-2</v>
      </c>
      <c r="O4177">
        <v>-0.40440340000000002</v>
      </c>
      <c r="P4177">
        <v>0.4671498</v>
      </c>
      <c r="Q4177">
        <v>-6.6335350000000001E-2</v>
      </c>
      <c r="R4177">
        <v>-0.88168670000000005</v>
      </c>
      <c r="S4177">
        <v>0.37492370000000003</v>
      </c>
      <c r="T4177">
        <v>-0.19988139999999999</v>
      </c>
      <c r="U4177">
        <v>-3.2063600000000001</v>
      </c>
      <c r="V4177">
        <v>0.61687199999999998</v>
      </c>
      <c r="W4177">
        <v>-5.8211859999999997E-2</v>
      </c>
      <c r="X4177">
        <v>0.78490789999999999</v>
      </c>
      <c r="Y4177">
        <v>0.85986629999999997</v>
      </c>
      <c r="Z4177">
        <v>-2.3773200000000001E-2</v>
      </c>
      <c r="AA4177">
        <v>0.50996560000000002</v>
      </c>
      <c r="AB4177">
        <v>13</v>
      </c>
      <c r="AC4177">
        <v>5.9600000000017403E-2</v>
      </c>
      <c r="AD4177">
        <v>-9.7088999999999703E-2</v>
      </c>
      <c r="AE4177">
        <v>-1.4905999999999999</v>
      </c>
      <c r="AF4177">
        <v>1.3334769015827499</v>
      </c>
      <c r="AG4177">
        <v>-9.7088999999999703E-2</v>
      </c>
      <c r="AH4177">
        <v>0.65463457935820502</v>
      </c>
      <c r="AI4177">
        <v>93.739409901144697</v>
      </c>
      <c r="AJ4177">
        <v>26.1474868126882</v>
      </c>
      <c r="AK4177">
        <v>1.4886683154642699</v>
      </c>
      <c r="AL4177">
        <v>93.337180286861397</v>
      </c>
      <c r="AM4177">
        <v>51.835613657445101</v>
      </c>
      <c r="AN4177">
        <v>1.00000004825553</v>
      </c>
    </row>
    <row r="4178" spans="1:40" x14ac:dyDescent="0.25">
      <c r="A4178" t="str">
        <f>"20190303154852773"</f>
        <v>20190303154852773</v>
      </c>
      <c r="B4178" t="str">
        <f>"1551599332765346"</f>
        <v>1551599332765346</v>
      </c>
      <c r="C4178" t="s">
        <v>40</v>
      </c>
      <c r="D4178">
        <v>5.8326699999999896</v>
      </c>
      <c r="E4178">
        <v>0.63538090000000003</v>
      </c>
      <c r="F4178" t="s">
        <v>47</v>
      </c>
      <c r="G4178">
        <v>-192.9008</v>
      </c>
      <c r="H4178" s="1">
        <v>5.8002589999999997E-6</v>
      </c>
      <c r="I4178">
        <v>203.5735</v>
      </c>
      <c r="J4178">
        <v>-193.9639</v>
      </c>
      <c r="K4178">
        <v>1.1172059999999999</v>
      </c>
      <c r="L4178">
        <v>213.0016</v>
      </c>
      <c r="M4178">
        <v>0.90952089999999997</v>
      </c>
      <c r="N4178">
        <v>-1.7474610000000002E-2</v>
      </c>
      <c r="O4178">
        <v>-0.41529080000000002</v>
      </c>
      <c r="P4178">
        <v>0.45606649999999999</v>
      </c>
      <c r="Q4178">
        <v>-6.4363890000000007E-2</v>
      </c>
      <c r="R4178">
        <v>-0.88761520000000005</v>
      </c>
      <c r="S4178">
        <v>0.39523320000000001</v>
      </c>
      <c r="T4178">
        <v>-0.37235499999999999</v>
      </c>
      <c r="U4178">
        <v>-3.1651609999999999</v>
      </c>
      <c r="V4178">
        <v>0.61746199999999996</v>
      </c>
      <c r="W4178">
        <v>-5.6829869999999998E-2</v>
      </c>
      <c r="X4178">
        <v>0.7845451</v>
      </c>
      <c r="Y4178">
        <v>0.84741160000000004</v>
      </c>
      <c r="Z4178">
        <v>-2.6398959999999999E-2</v>
      </c>
      <c r="AA4178">
        <v>0.53027979999999997</v>
      </c>
      <c r="AB4178">
        <v>13</v>
      </c>
      <c r="AC4178">
        <v>1.0630999999999899</v>
      </c>
      <c r="AD4178">
        <v>-1.1172001997409999</v>
      </c>
      <c r="AE4178">
        <v>-9.4281000000000006</v>
      </c>
      <c r="AF4178">
        <v>8.0235518812015503</v>
      </c>
      <c r="AG4178">
        <v>-1.1172001997409999</v>
      </c>
      <c r="AH4178">
        <v>4.8162814977881396</v>
      </c>
      <c r="AI4178">
        <v>96.807937384917693</v>
      </c>
      <c r="AJ4178">
        <v>30.975046136112201</v>
      </c>
      <c r="AK4178">
        <v>9.4245471266565808</v>
      </c>
      <c r="AL4178">
        <v>93.257866978051993</v>
      </c>
      <c r="AM4178">
        <v>51.796126699237298</v>
      </c>
      <c r="AN4178">
        <v>0.99999998475111296</v>
      </c>
    </row>
    <row r="4179" spans="1:40" x14ac:dyDescent="0.25">
      <c r="A4179" t="str">
        <f>"20190303154852790"</f>
        <v>20190303154852790</v>
      </c>
      <c r="B4179" t="str">
        <f>"1551599332784867"</f>
        <v>1551599332784867</v>
      </c>
      <c r="C4179" t="s">
        <v>40</v>
      </c>
      <c r="D4179">
        <v>5.7842630000000002</v>
      </c>
      <c r="E4179">
        <v>0.63098959999999904</v>
      </c>
      <c r="F4179" t="s">
        <v>47</v>
      </c>
      <c r="G4179">
        <v>-192.80529999999999</v>
      </c>
      <c r="H4179" s="1">
        <v>5.7409039999999996E-6</v>
      </c>
      <c r="I4179">
        <v>203.8777</v>
      </c>
      <c r="J4179">
        <v>-193.87569999999999</v>
      </c>
      <c r="K4179">
        <v>1.117075</v>
      </c>
      <c r="L4179">
        <v>212.94980000000001</v>
      </c>
      <c r="M4179">
        <v>0.90587079999999998</v>
      </c>
      <c r="N4179">
        <v>-1.720228E-2</v>
      </c>
      <c r="O4179">
        <v>-0.42320479999999999</v>
      </c>
      <c r="P4179">
        <v>0.44769249999999999</v>
      </c>
      <c r="Q4179">
        <v>-6.4739809999999995E-2</v>
      </c>
      <c r="R4179">
        <v>-0.89184149999999995</v>
      </c>
      <c r="S4179">
        <v>0.3995667</v>
      </c>
      <c r="T4179">
        <v>-0.38529370000000002</v>
      </c>
      <c r="U4179">
        <v>-3.1465909999999999</v>
      </c>
      <c r="V4179">
        <v>0.61795869999999997</v>
      </c>
      <c r="W4179">
        <v>-5.7619469999999999E-2</v>
      </c>
      <c r="X4179">
        <v>0.78409640000000003</v>
      </c>
      <c r="Y4179">
        <v>0.84155650000000004</v>
      </c>
      <c r="Z4179">
        <v>-2.4560100000000001E-2</v>
      </c>
      <c r="AA4179">
        <v>0.53961049999999999</v>
      </c>
      <c r="AB4179">
        <v>13</v>
      </c>
      <c r="AC4179">
        <v>1.0704</v>
      </c>
      <c r="AD4179">
        <v>-1.1170692590960001</v>
      </c>
      <c r="AE4179">
        <v>-9.0721000000000007</v>
      </c>
      <c r="AF4179">
        <v>7.6518790414678302</v>
      </c>
      <c r="AG4179">
        <v>-1.1170692590960001</v>
      </c>
      <c r="AH4179">
        <v>4.7388497776101799</v>
      </c>
      <c r="AI4179">
        <v>97.0749553801909</v>
      </c>
      <c r="AJ4179">
        <v>31.7701554029323</v>
      </c>
      <c r="AK4179">
        <v>9.0694979910482392</v>
      </c>
      <c r="AL4179">
        <v>93.303181730626207</v>
      </c>
      <c r="AM4179">
        <v>51.757799868247297</v>
      </c>
      <c r="AN4179">
        <v>1.0000000613608599</v>
      </c>
    </row>
    <row r="4180" spans="1:40" x14ac:dyDescent="0.25">
      <c r="A4180" t="str">
        <f>"20190303154852813"</f>
        <v>20190303154852813</v>
      </c>
      <c r="B4180" t="str">
        <f>"1551599332805362"</f>
        <v>1551599332805362</v>
      </c>
      <c r="C4180" t="s">
        <v>40</v>
      </c>
      <c r="D4180">
        <v>5.807747</v>
      </c>
      <c r="E4180">
        <v>0.62863559999999996</v>
      </c>
      <c r="F4180" t="s">
        <v>47</v>
      </c>
      <c r="G4180">
        <v>-192.75479999999999</v>
      </c>
      <c r="H4180" s="1">
        <v>5.6718870000000001E-6</v>
      </c>
      <c r="I4180">
        <v>204.1806</v>
      </c>
      <c r="J4180">
        <v>-193.7621</v>
      </c>
      <c r="K4180">
        <v>1.116941</v>
      </c>
      <c r="L4180">
        <v>212.88120000000001</v>
      </c>
      <c r="M4180">
        <v>0.90094289999999999</v>
      </c>
      <c r="N4180">
        <v>-1.6893769999999999E-2</v>
      </c>
      <c r="O4180">
        <v>-0.43360890000000002</v>
      </c>
      <c r="P4180">
        <v>0.4370079</v>
      </c>
      <c r="Q4180">
        <v>-6.6657389999999997E-2</v>
      </c>
      <c r="R4180">
        <v>-0.89698449999999996</v>
      </c>
      <c r="S4180">
        <v>0.40057369999999998</v>
      </c>
      <c r="T4180">
        <v>-0.3992019</v>
      </c>
      <c r="U4180">
        <v>-3.1337890000000002</v>
      </c>
      <c r="V4180">
        <v>0.61812909999999999</v>
      </c>
      <c r="W4180">
        <v>-5.9972419999999999E-2</v>
      </c>
      <c r="X4180">
        <v>0.78378549999999902</v>
      </c>
      <c r="Y4180">
        <v>0.83478839999999999</v>
      </c>
      <c r="Z4180">
        <v>-2.2059559999999999E-2</v>
      </c>
      <c r="AA4180">
        <v>0.55012890000000003</v>
      </c>
      <c r="AB4180">
        <v>13</v>
      </c>
      <c r="AC4180">
        <v>1.0073000000000101</v>
      </c>
      <c r="AD4180">
        <v>-1.1169353281129999</v>
      </c>
      <c r="AE4180">
        <v>-8.7005999999999997</v>
      </c>
      <c r="AF4180">
        <v>7.28456342546054</v>
      </c>
      <c r="AG4180">
        <v>-1.1169353281129999</v>
      </c>
      <c r="AH4180">
        <v>4.6059428807857303</v>
      </c>
      <c r="AI4180">
        <v>97.384177206250101</v>
      </c>
      <c r="AJ4180">
        <v>32.304681105831797</v>
      </c>
      <c r="AK4180">
        <v>8.6906339612139405</v>
      </c>
      <c r="AL4180">
        <v>93.438229724200198</v>
      </c>
      <c r="AM4180">
        <v>51.7390719528265</v>
      </c>
      <c r="AN4180">
        <v>0.99999999271885798</v>
      </c>
    </row>
    <row r="4181" spans="1:40" x14ac:dyDescent="0.25">
      <c r="A4181" t="str">
        <f>"20190303154852839"</f>
        <v>20190303154852839</v>
      </c>
      <c r="B4181" t="str">
        <f>"1551599332834643"</f>
        <v>1551599332834643</v>
      </c>
      <c r="C4181" t="s">
        <v>40</v>
      </c>
      <c r="D4181">
        <v>5.7851710000000001</v>
      </c>
      <c r="E4181">
        <v>0.62503989999999998</v>
      </c>
      <c r="F4181" t="s">
        <v>47</v>
      </c>
      <c r="G4181">
        <v>-192.71260000000001</v>
      </c>
      <c r="H4181" s="1">
        <v>5.6655939999999999E-6</v>
      </c>
      <c r="I4181">
        <v>204.2397</v>
      </c>
      <c r="J4181">
        <v>-193.6293</v>
      </c>
      <c r="K4181">
        <v>1.116868</v>
      </c>
      <c r="L4181">
        <v>212.79839999999999</v>
      </c>
      <c r="M4181">
        <v>0.89483670000000004</v>
      </c>
      <c r="N4181">
        <v>-1.6600279999999999E-2</v>
      </c>
      <c r="O4181">
        <v>-0.44608490000000001</v>
      </c>
      <c r="P4181">
        <v>0.42503000000000002</v>
      </c>
      <c r="Q4181">
        <v>-6.7830950000000001E-2</v>
      </c>
      <c r="R4181">
        <v>-0.90263479999999996</v>
      </c>
      <c r="S4181">
        <v>0.38008120000000001</v>
      </c>
      <c r="T4181">
        <v>-0.40447149999999998</v>
      </c>
      <c r="U4181">
        <v>-3.1292879999999998</v>
      </c>
      <c r="V4181">
        <v>0.61756860000000002</v>
      </c>
      <c r="W4181">
        <v>-6.1488389999999997E-2</v>
      </c>
      <c r="X4181">
        <v>0.78410979999999997</v>
      </c>
      <c r="Y4181">
        <v>0.83065809999999995</v>
      </c>
      <c r="Z4181">
        <v>-1.9392779999999998E-2</v>
      </c>
      <c r="AA4181">
        <v>0.55644490000000002</v>
      </c>
      <c r="AB4181">
        <v>13</v>
      </c>
      <c r="AC4181">
        <v>0.91669999999999097</v>
      </c>
      <c r="AD4181">
        <v>-1.116862334406</v>
      </c>
      <c r="AE4181">
        <v>-8.5586999999999804</v>
      </c>
      <c r="AF4181">
        <v>7.1306625245640198</v>
      </c>
      <c r="AG4181">
        <v>-1.116862334406</v>
      </c>
      <c r="AH4181">
        <v>4.5620379176810602</v>
      </c>
      <c r="AI4181">
        <v>97.516006540355207</v>
      </c>
      <c r="AJ4181">
        <v>32.610200941217997</v>
      </c>
      <c r="AK4181">
        <v>8.5384963240371796</v>
      </c>
      <c r="AL4181">
        <v>93.525249052098701</v>
      </c>
      <c r="AM4181">
        <v>51.775863853012297</v>
      </c>
      <c r="AN4181">
        <v>0.99999998813339597</v>
      </c>
    </row>
    <row r="4182" spans="1:40" x14ac:dyDescent="0.25">
      <c r="A4182" t="str">
        <f>"20190303154852861"</f>
        <v>20190303154852861</v>
      </c>
      <c r="B4182" t="str">
        <f>"1551599332855139"</f>
        <v>1551599332855139</v>
      </c>
      <c r="C4182" t="s">
        <v>40</v>
      </c>
      <c r="D4182">
        <v>5.8149819999999997</v>
      </c>
      <c r="E4182">
        <v>0.62424840000000004</v>
      </c>
      <c r="F4182" t="s">
        <v>47</v>
      </c>
      <c r="G4182">
        <v>-192.66300000000001</v>
      </c>
      <c r="H4182" s="1">
        <v>5.603929E-6</v>
      </c>
      <c r="I4182">
        <v>204.51410000000001</v>
      </c>
      <c r="J4182">
        <v>-193.51820000000001</v>
      </c>
      <c r="K4182">
        <v>1.1168559999999901</v>
      </c>
      <c r="L4182">
        <v>212.7268</v>
      </c>
      <c r="M4182">
        <v>0.88942960000000004</v>
      </c>
      <c r="N4182">
        <v>-1.6406980000000002E-2</v>
      </c>
      <c r="O4182">
        <v>-0.45677760000000001</v>
      </c>
      <c r="P4182">
        <v>0.41448069999999998</v>
      </c>
      <c r="Q4182">
        <v>-6.6429870000000002E-2</v>
      </c>
      <c r="R4182">
        <v>-0.90763090000000002</v>
      </c>
      <c r="S4182">
        <v>0.3639984</v>
      </c>
      <c r="T4182">
        <v>-0.4207071</v>
      </c>
      <c r="U4182">
        <v>-3.12059</v>
      </c>
      <c r="V4182">
        <v>0.61741199999999996</v>
      </c>
      <c r="W4182">
        <v>-6.0285419999999999E-2</v>
      </c>
      <c r="X4182">
        <v>0.78432650000000004</v>
      </c>
      <c r="Y4182">
        <v>0.82649530000000004</v>
      </c>
      <c r="Z4182">
        <v>-1.7060550000000001E-2</v>
      </c>
      <c r="AA4182">
        <v>0.56268509999999905</v>
      </c>
      <c r="AB4182">
        <v>13</v>
      </c>
      <c r="AC4182">
        <v>0.85520000000002405</v>
      </c>
      <c r="AD4182">
        <v>-1.1168503960709999</v>
      </c>
      <c r="AE4182">
        <v>-8.2126999999999803</v>
      </c>
      <c r="AF4182">
        <v>6.7906771616716997</v>
      </c>
      <c r="AG4182">
        <v>-1.1168503960709999</v>
      </c>
      <c r="AH4182">
        <v>4.4315495166920202</v>
      </c>
      <c r="AI4182">
        <v>97.842227366067206</v>
      </c>
      <c r="AJ4182">
        <v>33.128192005487797</v>
      </c>
      <c r="AK4182">
        <v>8.1853089275938</v>
      </c>
      <c r="AL4182">
        <v>93.456195840684899</v>
      </c>
      <c r="AM4182">
        <v>51.790621738665799</v>
      </c>
      <c r="AN4182">
        <v>0.99999998410541302</v>
      </c>
    </row>
    <row r="4183" spans="1:40" x14ac:dyDescent="0.25">
      <c r="A4183" t="str">
        <f>"20190303154852879"</f>
        <v>20190303154852879</v>
      </c>
      <c r="B4183" t="str">
        <f>"1551599332874658"</f>
        <v>1551599332874658</v>
      </c>
      <c r="C4183" t="s">
        <v>40</v>
      </c>
      <c r="D4183">
        <v>5.7935559999999997</v>
      </c>
      <c r="E4183">
        <v>0.62221130000000002</v>
      </c>
      <c r="F4183" t="s">
        <v>47</v>
      </c>
      <c r="G4183">
        <v>-192.61340000000001</v>
      </c>
      <c r="H4183" s="1">
        <v>5.6818439999999999E-6</v>
      </c>
      <c r="I4183">
        <v>204.26140000000001</v>
      </c>
      <c r="J4183">
        <v>-193.4273</v>
      </c>
      <c r="K4183">
        <v>1.1168469999999999</v>
      </c>
      <c r="L4183">
        <v>212.66659999999999</v>
      </c>
      <c r="M4183">
        <v>0.88479069999999904</v>
      </c>
      <c r="N4183">
        <v>-1.6274230000000001E-2</v>
      </c>
      <c r="O4183">
        <v>-0.46570499999999998</v>
      </c>
      <c r="P4183">
        <v>0.40539819999999999</v>
      </c>
      <c r="Q4183">
        <v>-6.4005720000000002E-2</v>
      </c>
      <c r="R4183">
        <v>-0.91189730000000002</v>
      </c>
      <c r="S4183">
        <v>0.33378600000000003</v>
      </c>
      <c r="T4183">
        <v>-0.4119835</v>
      </c>
      <c r="U4183">
        <v>-3.1227109999999998</v>
      </c>
      <c r="V4183">
        <v>0.61752609999999997</v>
      </c>
      <c r="W4183">
        <v>-5.8006410000000001E-2</v>
      </c>
      <c r="X4183">
        <v>0.78440859999999901</v>
      </c>
      <c r="Y4183">
        <v>0.82647590000000004</v>
      </c>
      <c r="Z4183">
        <v>-1.550875E-2</v>
      </c>
      <c r="AA4183">
        <v>0.562758599999999</v>
      </c>
      <c r="AB4183">
        <v>13</v>
      </c>
      <c r="AC4183">
        <v>0.81389999999998897</v>
      </c>
      <c r="AD4183">
        <v>-1.116841318156</v>
      </c>
      <c r="AE4183">
        <v>-8.4051999999999794</v>
      </c>
      <c r="AF4183">
        <v>6.9373910552602904</v>
      </c>
      <c r="AG4183">
        <v>-1.116841318156</v>
      </c>
      <c r="AH4183">
        <v>4.5554052424960103</v>
      </c>
      <c r="AI4183">
        <v>97.664240621684002</v>
      </c>
      <c r="AJ4183">
        <v>33.290716307472401</v>
      </c>
      <c r="AK4183">
        <v>8.37415345613549</v>
      </c>
      <c r="AL4183">
        <v>93.325388973186605</v>
      </c>
      <c r="AM4183">
        <v>51.788390733013401</v>
      </c>
      <c r="AN4183">
        <v>1.0000000397681199</v>
      </c>
    </row>
    <row r="4184" spans="1:40" x14ac:dyDescent="0.25">
      <c r="A4184" t="str">
        <f>"20190303154852902"</f>
        <v>20190303154852902</v>
      </c>
      <c r="B4184" t="str">
        <f>"1551599332894794"</f>
        <v>1551599332894794</v>
      </c>
      <c r="C4184" t="s">
        <v>40</v>
      </c>
      <c r="D4184">
        <v>5.8089389999999996</v>
      </c>
      <c r="E4184">
        <v>0.62027349999999903</v>
      </c>
      <c r="F4184" t="s">
        <v>47</v>
      </c>
      <c r="G4184">
        <v>-192.5652</v>
      </c>
      <c r="H4184" s="1">
        <v>5.7090470000000001E-6</v>
      </c>
      <c r="I4184">
        <v>204.19900000000001</v>
      </c>
      <c r="J4184">
        <v>-193.31620000000001</v>
      </c>
      <c r="K4184">
        <v>1.1168229999999999</v>
      </c>
      <c r="L4184">
        <v>212.5909</v>
      </c>
      <c r="M4184">
        <v>0.87886580000000003</v>
      </c>
      <c r="N4184">
        <v>-1.6133669999999999E-2</v>
      </c>
      <c r="O4184">
        <v>-0.47679650000000001</v>
      </c>
      <c r="P4184">
        <v>0.3932792</v>
      </c>
      <c r="Q4184">
        <v>-6.3785170000000002E-2</v>
      </c>
      <c r="R4184">
        <v>-0.91720409999999997</v>
      </c>
      <c r="S4184">
        <v>0.31762699999999999</v>
      </c>
      <c r="T4184">
        <v>-0.41148790000000002</v>
      </c>
      <c r="U4184">
        <v>-3.1197659999999998</v>
      </c>
      <c r="V4184">
        <v>0.61806399999999995</v>
      </c>
      <c r="W4184">
        <v>-5.7962229999999997E-2</v>
      </c>
      <c r="X4184">
        <v>0.78398809999999997</v>
      </c>
      <c r="Y4184">
        <v>0.82236209999999899</v>
      </c>
      <c r="Z4184">
        <v>-1.303782E-2</v>
      </c>
      <c r="AA4184">
        <v>0.56881499999999996</v>
      </c>
      <c r="AB4184">
        <v>13</v>
      </c>
      <c r="AC4184">
        <v>0.751000000000004</v>
      </c>
      <c r="AD4184">
        <v>-1.1168172909530001</v>
      </c>
      <c r="AE4184">
        <v>-8.3918999999999908</v>
      </c>
      <c r="AF4184">
        <v>6.8970095813169099</v>
      </c>
      <c r="AG4184">
        <v>-1.1168172909530001</v>
      </c>
      <c r="AH4184">
        <v>4.5813668223301196</v>
      </c>
      <c r="AI4184">
        <v>97.681810038151397</v>
      </c>
      <c r="AJ4184">
        <v>33.594262920973698</v>
      </c>
      <c r="AK4184">
        <v>8.3549353071640304</v>
      </c>
      <c r="AL4184">
        <v>93.322853396881897</v>
      </c>
      <c r="AM4184">
        <v>51.749206005138198</v>
      </c>
      <c r="AN4184">
        <v>1.0000000345720901</v>
      </c>
    </row>
    <row r="4185" spans="1:40" x14ac:dyDescent="0.25">
      <c r="A4185" t="str">
        <f>"20190303154852925"</f>
        <v>20190303154852925</v>
      </c>
      <c r="B4185" t="str">
        <f>"1551599332915289"</f>
        <v>1551599332915289</v>
      </c>
      <c r="C4185" t="s">
        <v>40</v>
      </c>
      <c r="D4185">
        <v>5.8024839999999998</v>
      </c>
      <c r="E4185">
        <v>0.61879770000000001</v>
      </c>
      <c r="F4185" t="s">
        <v>47</v>
      </c>
      <c r="G4185">
        <v>-192.54060000000001</v>
      </c>
      <c r="H4185" s="1">
        <v>5.6973060000000002E-6</v>
      </c>
      <c r="I4185">
        <v>204.26400000000001</v>
      </c>
      <c r="J4185">
        <v>-193.2073</v>
      </c>
      <c r="K4185">
        <v>1.116768</v>
      </c>
      <c r="L4185">
        <v>212.51439999999999</v>
      </c>
      <c r="M4185">
        <v>0.87274909999999895</v>
      </c>
      <c r="N4185">
        <v>-1.602081E-2</v>
      </c>
      <c r="O4185">
        <v>-0.48790630000000001</v>
      </c>
      <c r="P4185">
        <v>0.38070110000000001</v>
      </c>
      <c r="Q4185">
        <v>-6.4435790000000007E-2</v>
      </c>
      <c r="R4185">
        <v>-0.92245080000000002</v>
      </c>
      <c r="S4185">
        <v>0.2903442</v>
      </c>
      <c r="T4185">
        <v>-0.41808210000000001</v>
      </c>
      <c r="U4185">
        <v>-3.1172029999999999</v>
      </c>
      <c r="V4185">
        <v>0.61878369999999905</v>
      </c>
      <c r="W4185">
        <v>-5.8795220000000002E-2</v>
      </c>
      <c r="X4185">
        <v>0.783358</v>
      </c>
      <c r="Y4185">
        <v>0.82004730000000003</v>
      </c>
      <c r="Z4185">
        <v>-1.077373E-2</v>
      </c>
      <c r="AA4185">
        <v>0.57219439999999999</v>
      </c>
      <c r="AB4185">
        <v>13</v>
      </c>
      <c r="AC4185">
        <v>0.66669999999999097</v>
      </c>
      <c r="AD4185">
        <v>-1.1167623026939999</v>
      </c>
      <c r="AE4185">
        <v>-8.2503999999999795</v>
      </c>
      <c r="AF4185">
        <v>6.7531948780592401</v>
      </c>
      <c r="AG4185">
        <v>-1.1167623026939999</v>
      </c>
      <c r="AH4185">
        <v>4.5254968852273203</v>
      </c>
      <c r="AI4185">
        <v>97.822031044251801</v>
      </c>
      <c r="AJ4185">
        <v>33.827099213703399</v>
      </c>
      <c r="AK4185">
        <v>8.2056639682579107</v>
      </c>
      <c r="AL4185">
        <v>93.370662027717998</v>
      </c>
      <c r="AM4185">
        <v>51.694377381170398</v>
      </c>
      <c r="AN4185">
        <v>0.99999995072226799</v>
      </c>
    </row>
    <row r="4186" spans="1:40" x14ac:dyDescent="0.25">
      <c r="A4186" t="str">
        <f>"20190303154852949"</f>
        <v>20190303154852949</v>
      </c>
      <c r="B4186" t="str">
        <f>"1551599332945546"</f>
        <v>1551599332945546</v>
      </c>
      <c r="C4186" t="s">
        <v>40</v>
      </c>
      <c r="D4186">
        <v>5.7967680000000001</v>
      </c>
      <c r="E4186">
        <v>0.61684349999999999</v>
      </c>
      <c r="F4186" t="s">
        <v>47</v>
      </c>
      <c r="G4186">
        <v>-192.51599999999999</v>
      </c>
      <c r="H4186" s="1">
        <v>5.7240029999999996E-6</v>
      </c>
      <c r="I4186">
        <v>204.18369999999999</v>
      </c>
      <c r="J4186">
        <v>-193.0915</v>
      </c>
      <c r="K4186">
        <v>1.1167199999999999</v>
      </c>
      <c r="L4186">
        <v>212.43029999999999</v>
      </c>
      <c r="M4186">
        <v>0.86589530000000003</v>
      </c>
      <c r="N4186">
        <v>-1.5925249999999998E-2</v>
      </c>
      <c r="O4186">
        <v>-0.49997190000000002</v>
      </c>
      <c r="P4186">
        <v>0.3676412</v>
      </c>
      <c r="Q4186">
        <v>-6.4953399999999994E-2</v>
      </c>
      <c r="R4186">
        <v>-0.92769669999999904</v>
      </c>
      <c r="S4186">
        <v>0.25859070000000001</v>
      </c>
      <c r="T4186">
        <v>-0.41775499999999999</v>
      </c>
      <c r="U4186">
        <v>-3.1163020000000001</v>
      </c>
      <c r="V4186">
        <v>0.61892429999999998</v>
      </c>
      <c r="W4186">
        <v>-5.9480159999999997E-2</v>
      </c>
      <c r="X4186">
        <v>0.78319530000000004</v>
      </c>
      <c r="Y4186">
        <v>0.81800030000000001</v>
      </c>
      <c r="Z4186">
        <v>-8.4362180000000005E-3</v>
      </c>
      <c r="AA4186">
        <v>0.575156</v>
      </c>
      <c r="AB4186">
        <v>13</v>
      </c>
      <c r="AC4186">
        <v>0.57550000000000501</v>
      </c>
      <c r="AD4186">
        <v>-1.1167142759969999</v>
      </c>
      <c r="AE4186">
        <v>-8.2466000000000008</v>
      </c>
      <c r="AF4186">
        <v>6.73099708652635</v>
      </c>
      <c r="AG4186">
        <v>-1.1167142759969999</v>
      </c>
      <c r="AH4186">
        <v>4.5391446820663104</v>
      </c>
      <c r="AI4186">
        <v>97.8319825671785</v>
      </c>
      <c r="AJ4186">
        <v>33.994323602092599</v>
      </c>
      <c r="AK4186">
        <v>8.19495009123135</v>
      </c>
      <c r="AL4186">
        <v>93.409974741153107</v>
      </c>
      <c r="AM4186">
        <v>51.682256107104898</v>
      </c>
      <c r="AN4186">
        <v>1.0000000282531001</v>
      </c>
    </row>
    <row r="4187" spans="1:40" x14ac:dyDescent="0.25">
      <c r="A4187" t="str">
        <f>"20190303154852972"</f>
        <v>20190303154852972</v>
      </c>
      <c r="B4187" t="str">
        <f>"1551599332965065"</f>
        <v>1551599332965065</v>
      </c>
      <c r="C4187" t="s">
        <v>40</v>
      </c>
      <c r="D4187">
        <v>5.7227610000000002</v>
      </c>
      <c r="E4187">
        <v>0.616124</v>
      </c>
      <c r="F4187" t="s">
        <v>47</v>
      </c>
      <c r="G4187">
        <v>-192.4794</v>
      </c>
      <c r="H4187" s="1">
        <v>5.7521740000000003E-6</v>
      </c>
      <c r="I4187">
        <v>204.108</v>
      </c>
      <c r="J4187">
        <v>-192.98339999999999</v>
      </c>
      <c r="K4187">
        <v>1.116673</v>
      </c>
      <c r="L4187">
        <v>212.34950000000001</v>
      </c>
      <c r="M4187">
        <v>0.85916800000000004</v>
      </c>
      <c r="N4187">
        <v>-1.5855899999999999E-2</v>
      </c>
      <c r="O4187">
        <v>-0.51144809999999996</v>
      </c>
      <c r="P4187">
        <v>0.35559390000000002</v>
      </c>
      <c r="Q4187">
        <v>-6.3734979999999997E-2</v>
      </c>
      <c r="R4187">
        <v>-0.93246519999999999</v>
      </c>
      <c r="S4187">
        <v>0.22901920000000001</v>
      </c>
      <c r="T4187">
        <v>-0.41781780000000002</v>
      </c>
      <c r="U4187">
        <v>-3.113785</v>
      </c>
      <c r="V4187">
        <v>0.61872720000000003</v>
      </c>
      <c r="W4187">
        <v>-5.8394479999999999E-2</v>
      </c>
      <c r="X4187">
        <v>0.78343269999999998</v>
      </c>
      <c r="Y4187">
        <v>0.81584619999999997</v>
      </c>
      <c r="Z4187">
        <v>-6.1808409999999899E-3</v>
      </c>
      <c r="AA4187">
        <v>0.57823599999999997</v>
      </c>
      <c r="AB4187">
        <v>13</v>
      </c>
      <c r="AC4187">
        <v>0.50399999999999001</v>
      </c>
      <c r="AD4187">
        <v>-1.116667247826</v>
      </c>
      <c r="AE4187">
        <v>-8.2415000000000003</v>
      </c>
      <c r="AF4187">
        <v>6.7013525408758099</v>
      </c>
      <c r="AG4187">
        <v>-1.116667247826</v>
      </c>
      <c r="AH4187">
        <v>4.5652064160896204</v>
      </c>
      <c r="AI4187">
        <v>97.841115861033998</v>
      </c>
      <c r="AJ4187">
        <v>34.264122183627997</v>
      </c>
      <c r="AK4187">
        <v>8.1851195007144408</v>
      </c>
      <c r="AL4187">
        <v>93.347661534210005</v>
      </c>
      <c r="AM4187">
        <v>51.699579528852901</v>
      </c>
      <c r="AN4187">
        <v>1.0000000293717899</v>
      </c>
    </row>
    <row r="4188" spans="1:40" x14ac:dyDescent="0.25">
      <c r="A4188" t="str">
        <f>"20190303154852992"</f>
        <v>20190303154852992</v>
      </c>
      <c r="B4188" t="str">
        <f>"1551599332984585"</f>
        <v>1551599332984585</v>
      </c>
      <c r="C4188" t="s">
        <v>40</v>
      </c>
      <c r="D4188">
        <v>5.7721080000000002</v>
      </c>
      <c r="E4188">
        <v>0.58603499999999997</v>
      </c>
      <c r="F4188" t="s">
        <v>47</v>
      </c>
      <c r="G4188">
        <v>-192.4513</v>
      </c>
      <c r="H4188" s="1">
        <v>5.8342620000000004E-6</v>
      </c>
      <c r="I4188">
        <v>203.82149999999999</v>
      </c>
      <c r="J4188">
        <v>-192.8877</v>
      </c>
      <c r="K4188">
        <v>1.1166370000000001</v>
      </c>
      <c r="L4188">
        <v>212.2757</v>
      </c>
      <c r="M4188">
        <v>0.85292119999999905</v>
      </c>
      <c r="N4188">
        <v>-1.5807950000000001E-2</v>
      </c>
      <c r="O4188">
        <v>-0.52180039999999905</v>
      </c>
      <c r="P4188">
        <v>0.3448215</v>
      </c>
      <c r="Q4188">
        <v>-6.312392E-2</v>
      </c>
      <c r="R4188">
        <v>-0.93654349999999997</v>
      </c>
      <c r="S4188">
        <v>0.19438169999999999</v>
      </c>
      <c r="T4188">
        <v>-0.40792109999999998</v>
      </c>
      <c r="U4188">
        <v>-3.115265</v>
      </c>
      <c r="V4188">
        <v>0.61831939999999996</v>
      </c>
      <c r="W4188">
        <v>-5.7888500000000002E-2</v>
      </c>
      <c r="X4188">
        <v>0.78379209999999999</v>
      </c>
      <c r="Y4188">
        <v>0.81549079999999996</v>
      </c>
      <c r="Z4188">
        <v>-4.635971E-3</v>
      </c>
      <c r="AA4188">
        <v>0.57875159999999903</v>
      </c>
      <c r="AB4188">
        <v>13</v>
      </c>
      <c r="AC4188">
        <v>0.43639999999999102</v>
      </c>
      <c r="AD4188">
        <v>-1.1166311657379999</v>
      </c>
      <c r="AE4188">
        <v>-8.4542000000000108</v>
      </c>
      <c r="AF4188">
        <v>6.8644911825982904</v>
      </c>
      <c r="AG4188">
        <v>-1.1166311657379999</v>
      </c>
      <c r="AH4188">
        <v>4.7024012219973397</v>
      </c>
      <c r="AI4188">
        <v>97.643393635941806</v>
      </c>
      <c r="AJ4188">
        <v>34.412420240375099</v>
      </c>
      <c r="AK4188">
        <v>8.3952773396064302</v>
      </c>
      <c r="AL4188">
        <v>93.318621964280297</v>
      </c>
      <c r="AM4188">
        <v>51.730730806893</v>
      </c>
      <c r="AN4188">
        <v>1.00000000743551</v>
      </c>
    </row>
    <row r="4189" spans="1:40" x14ac:dyDescent="0.25">
      <c r="A4189" t="str">
        <f>"20190303154853014"</f>
        <v>20190303154853014</v>
      </c>
      <c r="B4189" t="str">
        <f>"1551599333004680"</f>
        <v>1551599333004680</v>
      </c>
      <c r="C4189" t="s">
        <v>40</v>
      </c>
      <c r="D4189">
        <v>5.7756610000000004</v>
      </c>
      <c r="E4189">
        <v>0.58478669999999899</v>
      </c>
      <c r="F4189" t="s">
        <v>47</v>
      </c>
      <c r="G4189">
        <v>-191.86189999999999</v>
      </c>
      <c r="H4189" s="1">
        <v>5.8732480000000004E-6</v>
      </c>
      <c r="I4189">
        <v>204.1679</v>
      </c>
      <c r="J4189">
        <v>-192.792</v>
      </c>
      <c r="K4189">
        <v>1.1165830000000001</v>
      </c>
      <c r="L4189">
        <v>212.19970000000001</v>
      </c>
      <c r="M4189">
        <v>0.84638080000000004</v>
      </c>
      <c r="N4189">
        <v>-1.5771139999999999E-2</v>
      </c>
      <c r="O4189">
        <v>-0.53234479999999995</v>
      </c>
      <c r="P4189">
        <v>0.3333238</v>
      </c>
      <c r="Q4189">
        <v>-6.3044269999999999E-2</v>
      </c>
      <c r="R4189">
        <v>-0.94070260000000006</v>
      </c>
      <c r="S4189">
        <v>0.38386540000000002</v>
      </c>
      <c r="T4189">
        <v>-0.41782589999999997</v>
      </c>
      <c r="U4189">
        <v>-3.033798</v>
      </c>
      <c r="V4189">
        <v>0.6181915</v>
      </c>
      <c r="W4189">
        <v>-5.7917299999999998E-2</v>
      </c>
      <c r="X4189">
        <v>0.78389089999999995</v>
      </c>
      <c r="Y4189">
        <v>0.76965299999999903</v>
      </c>
      <c r="Z4189">
        <v>3.6801960000000002E-3</v>
      </c>
      <c r="AA4189">
        <v>0.63845180000000001</v>
      </c>
      <c r="AB4189">
        <v>12</v>
      </c>
      <c r="AC4189">
        <v>0.93010000000001003</v>
      </c>
      <c r="AD4189">
        <v>-1.1165771267519999</v>
      </c>
      <c r="AE4189">
        <v>-8.0318000000000005</v>
      </c>
      <c r="AF4189">
        <v>6.1856463067961096</v>
      </c>
      <c r="AG4189">
        <v>-1.1165771267519999</v>
      </c>
      <c r="AH4189">
        <v>4.9687770570073999</v>
      </c>
      <c r="AI4189">
        <v>98.010643477651101</v>
      </c>
      <c r="AJ4189">
        <v>38.774053855156303</v>
      </c>
      <c r="AK4189">
        <v>8.0123473561128904</v>
      </c>
      <c r="AL4189">
        <v>93.320274735340305</v>
      </c>
      <c r="AM4189">
        <v>51.740005830506703</v>
      </c>
      <c r="AN4189">
        <v>1.0000000437071701</v>
      </c>
    </row>
    <row r="4190" spans="1:40" x14ac:dyDescent="0.25">
      <c r="A4190" t="str">
        <f>"20190303154853035"</f>
        <v>20190303154853035</v>
      </c>
      <c r="B4190" t="str">
        <f>"1551599333025176"</f>
        <v>1551599333025176</v>
      </c>
      <c r="C4190" t="s">
        <v>40</v>
      </c>
      <c r="D4190">
        <v>5.753565</v>
      </c>
      <c r="E4190">
        <v>0.58261660000000004</v>
      </c>
      <c r="F4190" t="s">
        <v>47</v>
      </c>
      <c r="G4190">
        <v>-191.75919999999999</v>
      </c>
      <c r="H4190" s="1">
        <v>6.1195009999999998E-6</v>
      </c>
      <c r="I4190">
        <v>203.4222</v>
      </c>
      <c r="J4190">
        <v>-192.69560000000001</v>
      </c>
      <c r="K4190">
        <v>1.1165179999999999</v>
      </c>
      <c r="L4190">
        <v>212.1208</v>
      </c>
      <c r="M4190">
        <v>0.83947769999999999</v>
      </c>
      <c r="N4190">
        <v>-1.5745099999999901E-2</v>
      </c>
      <c r="O4190">
        <v>-0.54316589999999998</v>
      </c>
      <c r="P4190">
        <v>0.3212836</v>
      </c>
      <c r="Q4190">
        <v>-6.4883560000000007E-2</v>
      </c>
      <c r="R4190">
        <v>-0.94475770000000003</v>
      </c>
      <c r="S4190">
        <v>0.3573151</v>
      </c>
      <c r="T4190">
        <v>-0.38628829999999997</v>
      </c>
      <c r="U4190">
        <v>-3.0366360000000001</v>
      </c>
      <c r="V4190">
        <v>0.61800440000000001</v>
      </c>
      <c r="W4190">
        <v>-5.9861690000000002E-2</v>
      </c>
      <c r="X4190">
        <v>0.78389229999999999</v>
      </c>
      <c r="Y4190">
        <v>0.76750130000000005</v>
      </c>
      <c r="Z4190">
        <v>4.2265209999999996E-3</v>
      </c>
      <c r="AA4190">
        <v>0.64103350000000003</v>
      </c>
      <c r="AB4190">
        <v>12</v>
      </c>
      <c r="AC4190">
        <v>0.93640000000001999</v>
      </c>
      <c r="AD4190">
        <v>-1.116511880499</v>
      </c>
      <c r="AE4190">
        <v>-8.6985999999999901</v>
      </c>
      <c r="AF4190">
        <v>6.6856183190024403</v>
      </c>
      <c r="AG4190">
        <v>-1.116511880499</v>
      </c>
      <c r="AH4190">
        <v>5.4232286073090297</v>
      </c>
      <c r="AI4190">
        <v>97.389809614697299</v>
      </c>
      <c r="AJ4190">
        <v>39.048215030308</v>
      </c>
      <c r="AK4190">
        <v>8.6807545532523598</v>
      </c>
      <c r="AL4190">
        <v>93.4318739212504</v>
      </c>
      <c r="AM4190">
        <v>51.748488184563598</v>
      </c>
      <c r="AN4190">
        <v>0.99999999917415305</v>
      </c>
    </row>
    <row r="4191" spans="1:40" x14ac:dyDescent="0.25">
      <c r="A4191" t="str">
        <f>"20190303154853058"</f>
        <v>20190303154853058</v>
      </c>
      <c r="B4191" t="str">
        <f>"1551599333055432"</f>
        <v>1551599333055432</v>
      </c>
      <c r="C4191" t="s">
        <v>40</v>
      </c>
      <c r="D4191">
        <v>5.801469</v>
      </c>
      <c r="E4191">
        <v>0.58057190000000003</v>
      </c>
      <c r="F4191" t="s">
        <v>47</v>
      </c>
      <c r="G4191">
        <v>-191.7653</v>
      </c>
      <c r="H4191" s="1">
        <v>6.0253489999999996E-6</v>
      </c>
      <c r="I4191">
        <v>203.684</v>
      </c>
      <c r="J4191">
        <v>-192.5926</v>
      </c>
      <c r="K4191">
        <v>1.116447</v>
      </c>
      <c r="L4191">
        <v>212.03389999999999</v>
      </c>
      <c r="M4191">
        <v>0.83173069999999905</v>
      </c>
      <c r="N4191">
        <v>-1.5728869999999999E-2</v>
      </c>
      <c r="O4191">
        <v>-0.55495660000000002</v>
      </c>
      <c r="P4191">
        <v>0.30800029999999901</v>
      </c>
      <c r="Q4191">
        <v>-6.6195400000000001E-2</v>
      </c>
      <c r="R4191">
        <v>-0.9490807</v>
      </c>
      <c r="S4191">
        <v>0.33457949999999997</v>
      </c>
      <c r="T4191">
        <v>-0.40151910000000002</v>
      </c>
      <c r="U4191">
        <v>-3.0340579999999999</v>
      </c>
      <c r="V4191">
        <v>0.61783959999999905</v>
      </c>
      <c r="W4191">
        <v>-6.1275900000000001E-2</v>
      </c>
      <c r="X4191">
        <v>0.78391290000000002</v>
      </c>
      <c r="Y4191">
        <v>0.76305310000000004</v>
      </c>
      <c r="Z4191">
        <v>7.4222940000000003E-3</v>
      </c>
      <c r="AA4191">
        <v>0.64629320000000001</v>
      </c>
      <c r="AB4191">
        <v>12</v>
      </c>
      <c r="AC4191">
        <v>0.82730000000000803</v>
      </c>
      <c r="AD4191">
        <v>-1.116440974651</v>
      </c>
      <c r="AE4191">
        <v>-8.3498999999999608</v>
      </c>
      <c r="AF4191">
        <v>6.37371543888736</v>
      </c>
      <c r="AG4191">
        <v>-1.116440974651</v>
      </c>
      <c r="AH4191">
        <v>5.2299901813993701</v>
      </c>
      <c r="AI4191">
        <v>97.711585486213394</v>
      </c>
      <c r="AJ4191">
        <v>39.370794360139001</v>
      </c>
      <c r="AK4191">
        <v>8.3200652787898601</v>
      </c>
      <c r="AL4191">
        <v>93.513051331056303</v>
      </c>
      <c r="AM4191">
        <v>51.756649336196098</v>
      </c>
      <c r="AN4191">
        <v>0.999999971017689</v>
      </c>
    </row>
    <row r="4192" spans="1:40" x14ac:dyDescent="0.25">
      <c r="A4192" t="str">
        <f>"20190303154853080"</f>
        <v>20190303154853080</v>
      </c>
      <c r="B4192" t="str">
        <f>"1551599333074952"</f>
        <v>1551599333074952</v>
      </c>
      <c r="C4192" t="s">
        <v>40</v>
      </c>
      <c r="D4192">
        <v>5.8657589999999997</v>
      </c>
      <c r="E4192">
        <v>0.5790303</v>
      </c>
      <c r="F4192" t="s">
        <v>47</v>
      </c>
      <c r="G4192">
        <v>-191.77029999999999</v>
      </c>
      <c r="H4192" s="1">
        <v>5.9601969999999901E-6</v>
      </c>
      <c r="I4192">
        <v>203.9162</v>
      </c>
      <c r="J4192">
        <v>-192.49449999999999</v>
      </c>
      <c r="K4192">
        <v>1.1163909999999999</v>
      </c>
      <c r="L4192">
        <v>211.94839999999999</v>
      </c>
      <c r="M4192">
        <v>0.82397919999999902</v>
      </c>
      <c r="N4192">
        <v>-1.5723879999999999E-2</v>
      </c>
      <c r="O4192">
        <v>-0.56640199999999996</v>
      </c>
      <c r="P4192">
        <v>0.29529369999999999</v>
      </c>
      <c r="Q4192">
        <v>-6.7599859999999998E-2</v>
      </c>
      <c r="R4192">
        <v>-0.95301250000000004</v>
      </c>
      <c r="S4192">
        <v>0.30715940000000003</v>
      </c>
      <c r="T4192">
        <v>-0.41702509999999998</v>
      </c>
      <c r="U4192">
        <v>-3.0321959999999999</v>
      </c>
      <c r="V4192">
        <v>0.6173691</v>
      </c>
      <c r="W4192">
        <v>-6.275522E-2</v>
      </c>
      <c r="X4192">
        <v>0.78416649999999999</v>
      </c>
      <c r="Y4192">
        <v>0.75976750000000004</v>
      </c>
      <c r="Z4192">
        <v>1.062422E-2</v>
      </c>
      <c r="AA4192">
        <v>0.65010809999999997</v>
      </c>
      <c r="AB4192">
        <v>12</v>
      </c>
      <c r="AC4192">
        <v>0.72419999999999596</v>
      </c>
      <c r="AD4192">
        <v>-1.116385039803</v>
      </c>
      <c r="AE4192">
        <v>-8.03219999999998</v>
      </c>
      <c r="AF4192">
        <v>6.0922050570554003</v>
      </c>
      <c r="AG4192">
        <v>-1.116385039803</v>
      </c>
      <c r="AH4192">
        <v>5.0500462642218498</v>
      </c>
      <c r="AI4192">
        <v>98.030276777479202</v>
      </c>
      <c r="AJ4192">
        <v>39.656547983254903</v>
      </c>
      <c r="AK4192">
        <v>7.9915108261885299</v>
      </c>
      <c r="AL4192">
        <v>93.597973628060103</v>
      </c>
      <c r="AM4192">
        <v>51.7868754033329</v>
      </c>
      <c r="AN4192">
        <v>0.99999996149715298</v>
      </c>
    </row>
    <row r="4193" spans="1:40" x14ac:dyDescent="0.25">
      <c r="A4193" t="str">
        <f>"20190303154853114"</f>
        <v>20190303154853114</v>
      </c>
      <c r="B4193" t="str">
        <f>"1551599333105324"</f>
        <v>1551599333105324</v>
      </c>
      <c r="C4193" t="s">
        <v>40</v>
      </c>
      <c r="D4193">
        <v>5.651459</v>
      </c>
      <c r="E4193">
        <v>0.57818380000000003</v>
      </c>
      <c r="F4193" t="s">
        <v>47</v>
      </c>
      <c r="G4193">
        <v>-191.74930000000001</v>
      </c>
      <c r="H4193" s="1">
        <v>5.9858390000000004E-6</v>
      </c>
      <c r="I4193">
        <v>203.83699999999999</v>
      </c>
      <c r="J4193">
        <v>-192.3552</v>
      </c>
      <c r="K4193">
        <v>1.1163369999999999</v>
      </c>
      <c r="L4193">
        <v>211.8218</v>
      </c>
      <c r="M4193">
        <v>0.81225509999999901</v>
      </c>
      <c r="N4193">
        <v>-1.5729750000000001E-2</v>
      </c>
      <c r="O4193">
        <v>-0.58309049999999996</v>
      </c>
      <c r="P4193">
        <v>0.2774432</v>
      </c>
      <c r="Q4193">
        <v>-6.7344989999999993E-2</v>
      </c>
      <c r="R4193">
        <v>-0.95837919999999999</v>
      </c>
      <c r="S4193">
        <v>0.2785492</v>
      </c>
      <c r="T4193">
        <v>-0.41729739999999999</v>
      </c>
      <c r="U4193">
        <v>-3.0320130000000001</v>
      </c>
      <c r="V4193">
        <v>0.61603030000000003</v>
      </c>
      <c r="W4193">
        <v>-6.2547409999999998E-2</v>
      </c>
      <c r="X4193">
        <v>0.78523529999999997</v>
      </c>
      <c r="Y4193">
        <v>0.75270559999999997</v>
      </c>
      <c r="Z4193">
        <v>1.430035E-2</v>
      </c>
      <c r="AA4193">
        <v>0.65820199999999995</v>
      </c>
      <c r="AB4193">
        <v>12</v>
      </c>
      <c r="AC4193">
        <v>0.605899999999991</v>
      </c>
      <c r="AD4193">
        <v>-1.1163310141609999</v>
      </c>
      <c r="AE4193">
        <v>-7.9847999999999697</v>
      </c>
      <c r="AF4193">
        <v>6.0162376995193396</v>
      </c>
      <c r="AG4193">
        <v>-1.1163310141609999</v>
      </c>
      <c r="AH4193">
        <v>5.0504908642204098</v>
      </c>
      <c r="AI4193">
        <v>98.088453096965097</v>
      </c>
      <c r="AJ4193">
        <v>40.012672831389402</v>
      </c>
      <c r="AK4193">
        <v>7.9340260246528898</v>
      </c>
      <c r="AL4193">
        <v>93.586043442721703</v>
      </c>
      <c r="AM4193">
        <v>51.885219278933199</v>
      </c>
      <c r="AN4193">
        <v>0.99999999269094397</v>
      </c>
    </row>
    <row r="4194" spans="1:40" x14ac:dyDescent="0.25">
      <c r="A4194" t="str">
        <f>"20190303154853136"</f>
        <v>20190303154853136</v>
      </c>
      <c r="B4194" t="str">
        <f>"1551599333124841"</f>
        <v>1551599333124841</v>
      </c>
      <c r="C4194" t="s">
        <v>40</v>
      </c>
      <c r="D4194">
        <v>5.6485830000000004</v>
      </c>
      <c r="E4194">
        <v>0.57834039999999998</v>
      </c>
      <c r="F4194" t="s">
        <v>47</v>
      </c>
      <c r="G4194">
        <v>-191.6764</v>
      </c>
      <c r="H4194" s="1">
        <v>6.3521450000000003E-6</v>
      </c>
      <c r="I4194">
        <v>202.82640000000001</v>
      </c>
      <c r="J4194">
        <v>-192.26140000000001</v>
      </c>
      <c r="K4194">
        <v>1.1163179999999999</v>
      </c>
      <c r="L4194">
        <v>211.73339999999999</v>
      </c>
      <c r="M4194">
        <v>0.80391990000000002</v>
      </c>
      <c r="N4194">
        <v>-1.573573E-2</v>
      </c>
      <c r="O4194">
        <v>-0.59452959999999999</v>
      </c>
      <c r="P4194">
        <v>0.26539839999999998</v>
      </c>
      <c r="Q4194">
        <v>-6.7906499999999995E-2</v>
      </c>
      <c r="R4194">
        <v>-0.96174470000000001</v>
      </c>
      <c r="S4194">
        <v>0.22921749999999999</v>
      </c>
      <c r="T4194">
        <v>-0.37695070000000003</v>
      </c>
      <c r="U4194">
        <v>-3.0374599999999998</v>
      </c>
      <c r="V4194">
        <v>0.61472609999999905</v>
      </c>
      <c r="W4194">
        <v>-6.3094629999999999E-2</v>
      </c>
      <c r="X4194">
        <v>0.78621300000000005</v>
      </c>
      <c r="Y4194">
        <v>0.75456820000000002</v>
      </c>
      <c r="Z4194">
        <v>1.3038879999999999E-2</v>
      </c>
      <c r="AA4194">
        <v>0.65609200000000001</v>
      </c>
      <c r="AB4194">
        <v>12</v>
      </c>
      <c r="AC4194">
        <v>0.58500000000000696</v>
      </c>
      <c r="AD4194">
        <v>-1.1163116478549999</v>
      </c>
      <c r="AE4194">
        <v>-8.9069999999999805</v>
      </c>
      <c r="AF4194">
        <v>6.7086339604789798</v>
      </c>
      <c r="AG4194">
        <v>-1.1163116478549999</v>
      </c>
      <c r="AH4194">
        <v>5.6776821669574504</v>
      </c>
      <c r="AI4194">
        <v>97.238730883890995</v>
      </c>
      <c r="AJ4194">
        <v>40.242060297444603</v>
      </c>
      <c r="AK4194">
        <v>8.8593451281579103</v>
      </c>
      <c r="AL4194">
        <v>93.617458879836306</v>
      </c>
      <c r="AM4194">
        <v>51.978774208051298</v>
      </c>
      <c r="AN4194">
        <v>0.99999999586252297</v>
      </c>
    </row>
    <row r="4195" spans="1:40" x14ac:dyDescent="0.25">
      <c r="A4195" t="str">
        <f>"20190303154853162"</f>
        <v>20190303154853162</v>
      </c>
      <c r="B4195" t="str">
        <f>"1551599333155097"</f>
        <v>1551599333155097</v>
      </c>
      <c r="C4195" t="s">
        <v>40</v>
      </c>
      <c r="D4195">
        <v>5.6891049999999996</v>
      </c>
      <c r="E4195">
        <v>0.57769720000000002</v>
      </c>
      <c r="F4195" t="s">
        <v>47</v>
      </c>
      <c r="G4195">
        <v>-191.6841</v>
      </c>
      <c r="H4195" s="1">
        <v>6.4604279999999999E-6</v>
      </c>
      <c r="I4195">
        <v>202.51429999999999</v>
      </c>
      <c r="J4195">
        <v>-192.15469999999999</v>
      </c>
      <c r="K4195">
        <v>1.116296</v>
      </c>
      <c r="L4195">
        <v>211.6294</v>
      </c>
      <c r="M4195">
        <v>0.79396889999999998</v>
      </c>
      <c r="N4195">
        <v>-1.574391E-2</v>
      </c>
      <c r="O4195">
        <v>-0.60775440000000003</v>
      </c>
      <c r="P4195">
        <v>0.25098799999999999</v>
      </c>
      <c r="Q4195">
        <v>-6.9552669999999997E-2</v>
      </c>
      <c r="R4195">
        <v>-0.96548849999999997</v>
      </c>
      <c r="S4195">
        <v>0.19041440000000001</v>
      </c>
      <c r="T4195">
        <v>-0.36820520000000001</v>
      </c>
      <c r="U4195">
        <v>-3.0408170000000001</v>
      </c>
      <c r="V4195">
        <v>0.61335620000000002</v>
      </c>
      <c r="W4195">
        <v>-6.4705680000000002E-2</v>
      </c>
      <c r="X4195">
        <v>0.7871515</v>
      </c>
      <c r="Y4195">
        <v>0.7522529</v>
      </c>
      <c r="Z4195">
        <v>1.460646E-2</v>
      </c>
      <c r="AA4195">
        <v>0.65871259999999998</v>
      </c>
      <c r="AB4195">
        <v>12</v>
      </c>
      <c r="AC4195">
        <v>0.47059999999999003</v>
      </c>
      <c r="AD4195">
        <v>-1.1162895395720001</v>
      </c>
      <c r="AE4195">
        <v>-9.1151000000000106</v>
      </c>
      <c r="AF4195">
        <v>6.8495035457741302</v>
      </c>
      <c r="AG4195">
        <v>-1.1162895395720001</v>
      </c>
      <c r="AH4195">
        <v>5.82695734374194</v>
      </c>
      <c r="AI4195">
        <v>97.076071170853595</v>
      </c>
      <c r="AJ4195">
        <v>40.388223669019197</v>
      </c>
      <c r="AK4195">
        <v>9.0617455849035196</v>
      </c>
      <c r="AL4195">
        <v>93.709954019160094</v>
      </c>
      <c r="AM4195">
        <v>52.073927402806902</v>
      </c>
      <c r="AN4195">
        <v>1.0000000685274699</v>
      </c>
    </row>
    <row r="4196" spans="1:40" x14ac:dyDescent="0.25">
      <c r="A4196" t="str">
        <f>"20190303154853186"</f>
        <v>20190303154853186</v>
      </c>
      <c r="B4196" t="str">
        <f>"1551599333174617"</f>
        <v>1551599333174617</v>
      </c>
      <c r="C4196" t="s">
        <v>40</v>
      </c>
      <c r="D4196">
        <v>5.6277819999999998</v>
      </c>
      <c r="E4196">
        <v>0.57779259999999999</v>
      </c>
      <c r="F4196" t="s">
        <v>47</v>
      </c>
      <c r="G4196">
        <v>-191.6944</v>
      </c>
      <c r="H4196" s="1">
        <v>6.525576E-6</v>
      </c>
      <c r="I4196">
        <v>202.32220000000001</v>
      </c>
      <c r="J4196">
        <v>-192.05670000000001</v>
      </c>
      <c r="K4196">
        <v>1.116287</v>
      </c>
      <c r="L4196">
        <v>211.5301</v>
      </c>
      <c r="M4196">
        <v>0.78431309999999999</v>
      </c>
      <c r="N4196">
        <v>-1.5753260000000002E-2</v>
      </c>
      <c r="O4196">
        <v>-0.62016510000000002</v>
      </c>
      <c r="P4196">
        <v>0.23848130000000001</v>
      </c>
      <c r="Q4196">
        <v>-7.1568899999999894E-2</v>
      </c>
      <c r="R4196">
        <v>-0.9685066</v>
      </c>
      <c r="S4196">
        <v>0.1504364</v>
      </c>
      <c r="T4196">
        <v>-0.36483470000000001</v>
      </c>
      <c r="U4196">
        <v>-3.0418400000000001</v>
      </c>
      <c r="V4196">
        <v>0.61101810000000001</v>
      </c>
      <c r="W4196">
        <v>-6.6656309999999996E-2</v>
      </c>
      <c r="X4196">
        <v>0.78880530000000004</v>
      </c>
      <c r="Y4196">
        <v>0.75062859999999998</v>
      </c>
      <c r="Z4196">
        <v>1.6371420000000001E-2</v>
      </c>
      <c r="AA4196">
        <v>0.66052159999999904</v>
      </c>
      <c r="AB4196">
        <v>12</v>
      </c>
      <c r="AC4196">
        <v>0.36230000000000401</v>
      </c>
      <c r="AD4196">
        <v>-1.116280474424</v>
      </c>
      <c r="AE4196">
        <v>-9.2078999999999898</v>
      </c>
      <c r="AF4196">
        <v>6.8968537019017999</v>
      </c>
      <c r="AG4196">
        <v>-1.116280474424</v>
      </c>
      <c r="AH4196">
        <v>5.9086149185502803</v>
      </c>
      <c r="AI4196">
        <v>97.007339114292094</v>
      </c>
      <c r="AJ4196">
        <v>40.587049144421997</v>
      </c>
      <c r="AK4196">
        <v>9.1501040069898494</v>
      </c>
      <c r="AL4196">
        <v>93.821959044707896</v>
      </c>
      <c r="AM4196">
        <v>52.238204882220003</v>
      </c>
      <c r="AN4196">
        <v>0.99999999174925802</v>
      </c>
    </row>
    <row r="4197" spans="1:40" x14ac:dyDescent="0.25">
      <c r="A4197" t="str">
        <f>"20190303154853205"</f>
        <v>20190303154853205</v>
      </c>
      <c r="B4197" t="str">
        <f>"1551599333195114"</f>
        <v>1551599333195114</v>
      </c>
      <c r="C4197" t="s">
        <v>40</v>
      </c>
      <c r="D4197">
        <v>5.6321219999999999</v>
      </c>
      <c r="E4197">
        <v>0.57778409999999902</v>
      </c>
      <c r="F4197" t="s">
        <v>47</v>
      </c>
      <c r="G4197">
        <v>-191.71780000000001</v>
      </c>
      <c r="H4197" s="1">
        <v>6.5603940000000002E-6</v>
      </c>
      <c r="I4197">
        <v>202.20609999999999</v>
      </c>
      <c r="J4197">
        <v>-191.98169999999999</v>
      </c>
      <c r="K4197">
        <v>1.1162970000000001</v>
      </c>
      <c r="L4197">
        <v>211.452</v>
      </c>
      <c r="M4197">
        <v>0.77662619999999905</v>
      </c>
      <c r="N4197">
        <v>-1.5760550000000002E-2</v>
      </c>
      <c r="O4197">
        <v>-0.62976460000000001</v>
      </c>
      <c r="P4197">
        <v>0.22924349999999999</v>
      </c>
      <c r="Q4197">
        <v>-7.2417019999999999E-2</v>
      </c>
      <c r="R4197">
        <v>-0.97067199999999998</v>
      </c>
      <c r="S4197">
        <v>0.11059570000000001</v>
      </c>
      <c r="T4197">
        <v>-0.36435529999999999</v>
      </c>
      <c r="U4197">
        <v>-3.0433810000000001</v>
      </c>
      <c r="V4197">
        <v>0.6087745</v>
      </c>
      <c r="W4197">
        <v>-6.7433740000000006E-2</v>
      </c>
      <c r="X4197">
        <v>0.79047219999999996</v>
      </c>
      <c r="Y4197">
        <v>0.75118859999999998</v>
      </c>
      <c r="Z4197">
        <v>1.7732290000000001E-2</v>
      </c>
      <c r="AA4197">
        <v>0.65984949999999998</v>
      </c>
      <c r="AB4197">
        <v>12</v>
      </c>
      <c r="AC4197">
        <v>0.26389999999997799</v>
      </c>
      <c r="AD4197">
        <v>-1.1162904396059901</v>
      </c>
      <c r="AE4197">
        <v>-9.2459000000000007</v>
      </c>
      <c r="AF4197">
        <v>6.9145753789061102</v>
      </c>
      <c r="AG4197">
        <v>-1.1162904396059901</v>
      </c>
      <c r="AH4197">
        <v>5.9418984960630503</v>
      </c>
      <c r="AI4197">
        <v>96.980671802793907</v>
      </c>
      <c r="AJ4197">
        <v>40.673439498985999</v>
      </c>
      <c r="AK4197">
        <v>9.1849667802146495</v>
      </c>
      <c r="AL4197">
        <v>93.866602922903496</v>
      </c>
      <c r="AM4197">
        <v>52.398682552312501</v>
      </c>
      <c r="AN4197">
        <v>1.00000000005673</v>
      </c>
    </row>
    <row r="4198" spans="1:40" x14ac:dyDescent="0.25">
      <c r="A4198" t="str">
        <f>"20190303154853225"</f>
        <v>20190303154853225</v>
      </c>
      <c r="B4198" t="str">
        <f>"1551599333214633"</f>
        <v>1551599333214633</v>
      </c>
      <c r="C4198" t="s">
        <v>40</v>
      </c>
      <c r="D4198">
        <v>5.6712480000000003</v>
      </c>
      <c r="E4198">
        <v>0.57747499999999996</v>
      </c>
      <c r="F4198" t="s">
        <v>47</v>
      </c>
      <c r="G4198">
        <v>-191.72649999999999</v>
      </c>
      <c r="H4198" s="1">
        <v>6.6523749999999898E-6</v>
      </c>
      <c r="I4198">
        <v>201.9393</v>
      </c>
      <c r="J4198">
        <v>-191.90479999999999</v>
      </c>
      <c r="K4198">
        <v>1.1163110000000001</v>
      </c>
      <c r="L4198">
        <v>211.36969999999999</v>
      </c>
      <c r="M4198">
        <v>0.76844380000000001</v>
      </c>
      <c r="N4198">
        <v>-1.576779E-2</v>
      </c>
      <c r="O4198">
        <v>-0.63972320000000005</v>
      </c>
      <c r="P4198">
        <v>0.2194622</v>
      </c>
      <c r="Q4198">
        <v>-7.2231260000000005E-2</v>
      </c>
      <c r="R4198">
        <v>-0.97294369999999997</v>
      </c>
      <c r="S4198">
        <v>8.1680299999999997E-2</v>
      </c>
      <c r="T4198">
        <v>-0.35728700000000002</v>
      </c>
      <c r="U4198">
        <v>-3.0446930000000001</v>
      </c>
      <c r="V4198">
        <v>0.60655649999999905</v>
      </c>
      <c r="W4198">
        <v>-6.7170899999999895E-2</v>
      </c>
      <c r="X4198">
        <v>0.7921977</v>
      </c>
      <c r="Y4198">
        <v>0.74906249999999996</v>
      </c>
      <c r="Z4198">
        <v>1.8775610000000002E-2</v>
      </c>
      <c r="AA4198">
        <v>0.66223319999999997</v>
      </c>
      <c r="AB4198">
        <v>12</v>
      </c>
      <c r="AC4198">
        <v>0.17830000000000701</v>
      </c>
      <c r="AD4198">
        <v>-1.1163043476250001</v>
      </c>
      <c r="AE4198">
        <v>-9.4303999999999899</v>
      </c>
      <c r="AF4198">
        <v>7.0350151290831997</v>
      </c>
      <c r="AG4198">
        <v>-1.1163043476250001</v>
      </c>
      <c r="AH4198">
        <v>6.0853865677482801</v>
      </c>
      <c r="AI4198">
        <v>96.8433144087534</v>
      </c>
      <c r="AJ4198">
        <v>40.860264217655697</v>
      </c>
      <c r="AK4198">
        <v>9.3685379297885696</v>
      </c>
      <c r="AL4198">
        <v>93.851509244085705</v>
      </c>
      <c r="AM4198">
        <v>52.560054344977303</v>
      </c>
      <c r="AN4198">
        <v>0.99999995669217401</v>
      </c>
    </row>
    <row r="4199" spans="1:40" x14ac:dyDescent="0.25">
      <c r="A4199" t="str">
        <f>"20190303154853247"</f>
        <v>20190303154853247</v>
      </c>
      <c r="B4199" t="str">
        <f>"1551599333244889"</f>
        <v>1551599333244889</v>
      </c>
      <c r="C4199" t="s">
        <v>40</v>
      </c>
      <c r="D4199">
        <v>5.7348660000000002</v>
      </c>
      <c r="E4199">
        <v>0.57682</v>
      </c>
      <c r="F4199" t="s">
        <v>47</v>
      </c>
      <c r="G4199">
        <v>-191.7347</v>
      </c>
      <c r="H4199" s="1">
        <v>6.7409939999999998E-6</v>
      </c>
      <c r="I4199">
        <v>201.6825</v>
      </c>
      <c r="J4199">
        <v>-191.81950000000001</v>
      </c>
      <c r="K4199">
        <v>1.1163209999999999</v>
      </c>
      <c r="L4199">
        <v>211.27539999999999</v>
      </c>
      <c r="M4199">
        <v>0.75897369999999897</v>
      </c>
      <c r="N4199">
        <v>-1.5774759999999999E-2</v>
      </c>
      <c r="O4199">
        <v>-0.65093029999999996</v>
      </c>
      <c r="P4199">
        <v>0.20703389999999999</v>
      </c>
      <c r="Q4199">
        <v>-7.1648450000000002E-2</v>
      </c>
      <c r="R4199">
        <v>-0.97570699999999999</v>
      </c>
      <c r="S4199">
        <v>5.3482059999999998E-2</v>
      </c>
      <c r="T4199">
        <v>-0.35092849999999998</v>
      </c>
      <c r="U4199">
        <v>-3.045334</v>
      </c>
      <c r="V4199">
        <v>0.60508019999999996</v>
      </c>
      <c r="W4199">
        <v>-6.6524529999999998E-2</v>
      </c>
      <c r="X4199">
        <v>0.79338039999999999</v>
      </c>
      <c r="Y4199">
        <v>0.74558100000000005</v>
      </c>
      <c r="Z4199">
        <v>2.013937E-2</v>
      </c>
      <c r="AA4199">
        <v>0.66611069999999994</v>
      </c>
      <c r="AB4199">
        <v>12</v>
      </c>
      <c r="AC4199">
        <v>8.4800000000001305E-2</v>
      </c>
      <c r="AD4199">
        <v>-1.11631425900599</v>
      </c>
      <c r="AE4199">
        <v>-9.5928999999999807</v>
      </c>
      <c r="AF4199">
        <v>7.1299148585794896</v>
      </c>
      <c r="AG4199">
        <v>-1.11631425900599</v>
      </c>
      <c r="AH4199">
        <v>6.2251620953876197</v>
      </c>
      <c r="AI4199">
        <v>96.726385731430398</v>
      </c>
      <c r="AJ4199">
        <v>41.124363185079297</v>
      </c>
      <c r="AK4199">
        <v>9.5307128027920101</v>
      </c>
      <c r="AL4199">
        <v>93.814391739624398</v>
      </c>
      <c r="AM4199">
        <v>52.668650868852303</v>
      </c>
      <c r="AN4199">
        <v>1.0000000103139599</v>
      </c>
    </row>
    <row r="4200" spans="1:40" x14ac:dyDescent="0.25">
      <c r="A4200" t="str">
        <f>"20190303154853270"</f>
        <v>20190303154853270</v>
      </c>
      <c r="B4200" t="str">
        <f>"1551599333265385"</f>
        <v>1551599333265385</v>
      </c>
      <c r="C4200" t="s">
        <v>40</v>
      </c>
      <c r="D4200">
        <v>5.741994</v>
      </c>
      <c r="E4200">
        <v>0.57602569999999997</v>
      </c>
      <c r="F4200" t="s">
        <v>47</v>
      </c>
      <c r="G4200">
        <v>-191.75489999999999</v>
      </c>
      <c r="H4200" s="1">
        <v>6.8319590000000003E-6</v>
      </c>
      <c r="I4200">
        <v>201.40989999999999</v>
      </c>
      <c r="J4200">
        <v>-191.73570000000001</v>
      </c>
      <c r="K4200">
        <v>1.1163270000000001</v>
      </c>
      <c r="L4200">
        <v>211.18</v>
      </c>
      <c r="M4200">
        <v>0.74929489999999999</v>
      </c>
      <c r="N4200">
        <v>-1.578044E-2</v>
      </c>
      <c r="O4200">
        <v>-0.66204839999999998</v>
      </c>
      <c r="P4200">
        <v>0.19483529999999999</v>
      </c>
      <c r="Q4200">
        <v>-7.1988189999999994E-2</v>
      </c>
      <c r="R4200">
        <v>-0.97819120000000004</v>
      </c>
      <c r="S4200">
        <v>1.9912719999999998E-2</v>
      </c>
      <c r="T4200">
        <v>-0.34457300000000002</v>
      </c>
      <c r="U4200">
        <v>-3.045166</v>
      </c>
      <c r="V4200">
        <v>0.6032708</v>
      </c>
      <c r="W4200">
        <v>-6.6793790000000006E-2</v>
      </c>
      <c r="X4200">
        <v>0.79473450000000001</v>
      </c>
      <c r="Y4200">
        <v>0.74319650000000004</v>
      </c>
      <c r="Z4200">
        <v>2.133645E-2</v>
      </c>
      <c r="AA4200">
        <v>0.66873289999999996</v>
      </c>
      <c r="AB4200">
        <v>12</v>
      </c>
      <c r="AC4200">
        <v>-1.9199999999983602E-2</v>
      </c>
      <c r="AD4200">
        <v>-1.116320168041</v>
      </c>
      <c r="AE4200">
        <v>-9.77010000000001</v>
      </c>
      <c r="AF4200">
        <v>7.23979512631945</v>
      </c>
      <c r="AG4200">
        <v>-1.116320168041</v>
      </c>
      <c r="AH4200">
        <v>6.3715161634014903</v>
      </c>
      <c r="AI4200">
        <v>96.602618209791899</v>
      </c>
      <c r="AJ4200">
        <v>41.349991372207697</v>
      </c>
      <c r="AK4200">
        <v>9.7086055852084403</v>
      </c>
      <c r="AL4200">
        <v>93.829853642337994</v>
      </c>
      <c r="AM4200">
        <v>52.798422813728301</v>
      </c>
      <c r="AN4200">
        <v>0.99999999700272701</v>
      </c>
    </row>
    <row r="4201" spans="1:40" x14ac:dyDescent="0.25">
      <c r="A4201" t="str">
        <f>"20190303154853292"</f>
        <v>20190303154853292</v>
      </c>
      <c r="B4201" t="str">
        <f>"1551599333284905"</f>
        <v>1551599333284905</v>
      </c>
      <c r="C4201" t="s">
        <v>40</v>
      </c>
      <c r="D4201">
        <v>5.7693830000000004</v>
      </c>
      <c r="E4201">
        <v>0.57535069999999999</v>
      </c>
      <c r="F4201" t="s">
        <v>47</v>
      </c>
      <c r="G4201">
        <v>-191.77440000000001</v>
      </c>
      <c r="H4201" s="1">
        <v>6.8459650000000003E-6</v>
      </c>
      <c r="I4201">
        <v>201.35560000000001</v>
      </c>
      <c r="J4201">
        <v>-191.6533</v>
      </c>
      <c r="K4201">
        <v>1.1163240000000001</v>
      </c>
      <c r="L4201">
        <v>211.083</v>
      </c>
      <c r="M4201">
        <v>0.73934759999999999</v>
      </c>
      <c r="N4201">
        <v>-1.578568E-2</v>
      </c>
      <c r="O4201">
        <v>-0.67313889999999998</v>
      </c>
      <c r="P4201">
        <v>0.1824112</v>
      </c>
      <c r="Q4201">
        <v>-7.2352230000000003E-2</v>
      </c>
      <c r="R4201">
        <v>-0.98055680000000001</v>
      </c>
      <c r="S4201">
        <v>-1.1993409999999999E-2</v>
      </c>
      <c r="T4201">
        <v>-0.34586129999999998</v>
      </c>
      <c r="U4201">
        <v>-3.0438079999999998</v>
      </c>
      <c r="V4201">
        <v>0.60149039999999998</v>
      </c>
      <c r="W4201">
        <v>-6.7087450000000007E-2</v>
      </c>
      <c r="X4201">
        <v>0.79605809999999999</v>
      </c>
      <c r="Y4201">
        <v>0.74027109999999996</v>
      </c>
      <c r="Z4201">
        <v>2.3384869999999999E-2</v>
      </c>
      <c r="AA4201">
        <v>0.67190159999999999</v>
      </c>
      <c r="AB4201">
        <v>12</v>
      </c>
      <c r="AC4201">
        <v>-0.121100000000012</v>
      </c>
      <c r="AD4201">
        <v>-1.1163171540350001</v>
      </c>
      <c r="AE4201">
        <v>-9.7273999999999798</v>
      </c>
      <c r="AF4201">
        <v>7.1798106607752903</v>
      </c>
      <c r="AG4201">
        <v>-1.1163171540350001</v>
      </c>
      <c r="AH4201">
        <v>6.3752132839805498</v>
      </c>
      <c r="AI4201">
        <v>96.631561362999605</v>
      </c>
      <c r="AJ4201">
        <v>41.603030288722202</v>
      </c>
      <c r="AK4201">
        <v>9.6663948568852405</v>
      </c>
      <c r="AL4201">
        <v>93.846717077460198</v>
      </c>
      <c r="AM4201">
        <v>52.925814230035698</v>
      </c>
      <c r="AN4201">
        <v>0.99999996290763504</v>
      </c>
    </row>
    <row r="4202" spans="1:40" x14ac:dyDescent="0.25">
      <c r="A4202" t="str">
        <f>"20190303154853315"</f>
        <v>20190303154853315</v>
      </c>
      <c r="B4202" t="str">
        <f>"1551599333305401"</f>
        <v>1551599333305401</v>
      </c>
      <c r="C4202" t="s">
        <v>40</v>
      </c>
      <c r="D4202">
        <v>5.8025640000000003</v>
      </c>
      <c r="E4202">
        <v>0.57455219999999996</v>
      </c>
      <c r="F4202" t="s">
        <v>47</v>
      </c>
      <c r="G4202">
        <v>-191.80119999999999</v>
      </c>
      <c r="H4202" s="1">
        <v>6.9052560000000002E-6</v>
      </c>
      <c r="I4202">
        <v>201.1678</v>
      </c>
      <c r="J4202">
        <v>-191.5745</v>
      </c>
      <c r="K4202">
        <v>1.116336</v>
      </c>
      <c r="L4202">
        <v>210.98740000000001</v>
      </c>
      <c r="M4202">
        <v>0.72945000000000004</v>
      </c>
      <c r="N4202">
        <v>-1.5790780000000001E-2</v>
      </c>
      <c r="O4202">
        <v>-0.68385180000000001</v>
      </c>
      <c r="P4202">
        <v>0.17075460000000001</v>
      </c>
      <c r="Q4202">
        <v>-7.2977029999999998E-2</v>
      </c>
      <c r="R4202">
        <v>-0.98260769999999997</v>
      </c>
      <c r="S4202">
        <v>-4.5394900000000002E-2</v>
      </c>
      <c r="T4202">
        <v>-0.34256229999999999</v>
      </c>
      <c r="U4202">
        <v>-3.0426639999999998</v>
      </c>
      <c r="V4202">
        <v>0.59929379999999999</v>
      </c>
      <c r="W4202">
        <v>-6.7632810000000002E-2</v>
      </c>
      <c r="X4202">
        <v>0.79766709999999996</v>
      </c>
      <c r="Y4202">
        <v>0.73790749999999905</v>
      </c>
      <c r="Z4202">
        <v>2.4806120000000001E-2</v>
      </c>
      <c r="AA4202">
        <v>0.67444589999999904</v>
      </c>
      <c r="AB4202">
        <v>12</v>
      </c>
      <c r="AC4202">
        <v>-0.22669999999999299</v>
      </c>
      <c r="AD4202">
        <v>-1.1163290947439899</v>
      </c>
      <c r="AE4202">
        <v>-9.8195999999999994</v>
      </c>
      <c r="AF4202">
        <v>7.2255163720564299</v>
      </c>
      <c r="AG4202">
        <v>-1.1163290947439899</v>
      </c>
      <c r="AH4202">
        <v>6.4670659481612001</v>
      </c>
      <c r="AI4202">
        <v>96.567070030612797</v>
      </c>
      <c r="AJ4202">
        <v>41.829550118927898</v>
      </c>
      <c r="AK4202">
        <v>9.7610050439743894</v>
      </c>
      <c r="AL4202">
        <v>93.8780347800149</v>
      </c>
      <c r="AM4202">
        <v>53.082163211941896</v>
      </c>
      <c r="AN4202">
        <v>1.00000002906467</v>
      </c>
    </row>
    <row r="4203" spans="1:40" x14ac:dyDescent="0.25">
      <c r="A4203" t="str">
        <f>"20190303154853337"</f>
        <v>20190303154853337</v>
      </c>
      <c r="B4203" t="str">
        <f>"1551599333324921"</f>
        <v>1551599333324921</v>
      </c>
      <c r="C4203" t="s">
        <v>40</v>
      </c>
      <c r="D4203">
        <v>5.8234719999999998</v>
      </c>
      <c r="E4203">
        <v>0.57412180000000002</v>
      </c>
      <c r="F4203" t="s">
        <v>47</v>
      </c>
      <c r="G4203">
        <v>-191.82069999999999</v>
      </c>
      <c r="H4203" s="1">
        <v>6.9522269999999998E-6</v>
      </c>
      <c r="I4203">
        <v>201.02019999999999</v>
      </c>
      <c r="J4203">
        <v>-191.49619999999999</v>
      </c>
      <c r="K4203">
        <v>1.116349</v>
      </c>
      <c r="L4203">
        <v>210.88919999999999</v>
      </c>
      <c r="M4203">
        <v>0.71918230000000005</v>
      </c>
      <c r="N4203">
        <v>-1.5795880000000002E-2</v>
      </c>
      <c r="O4203">
        <v>-0.69464179999999998</v>
      </c>
      <c r="P4203">
        <v>0.158173799999999</v>
      </c>
      <c r="Q4203">
        <v>-7.2764930000000005E-2</v>
      </c>
      <c r="R4203">
        <v>-0.98472689999999996</v>
      </c>
      <c r="S4203">
        <v>-7.5119019999999995E-2</v>
      </c>
      <c r="T4203">
        <v>-0.34057700000000002</v>
      </c>
      <c r="U4203">
        <v>-3.0408629999999999</v>
      </c>
      <c r="V4203">
        <v>0.59763089999999996</v>
      </c>
      <c r="W4203">
        <v>-6.7352170000000003E-2</v>
      </c>
      <c r="X4203">
        <v>0.79893740000000002</v>
      </c>
      <c r="Y4203">
        <v>0.73450509999999902</v>
      </c>
      <c r="Z4203">
        <v>2.6464709999999999E-2</v>
      </c>
      <c r="AA4203">
        <v>0.67808690000000005</v>
      </c>
      <c r="AB4203">
        <v>12</v>
      </c>
      <c r="AC4203">
        <v>-0.32450000000000001</v>
      </c>
      <c r="AD4203">
        <v>-1.1163420477729999</v>
      </c>
      <c r="AE4203">
        <v>-9.8689999999999998</v>
      </c>
      <c r="AF4203">
        <v>7.2315065299869996</v>
      </c>
      <c r="AG4203">
        <v>-1.1163420477729999</v>
      </c>
      <c r="AH4203">
        <v>6.5392904230489597</v>
      </c>
      <c r="AI4203">
        <v>96.531916819350997</v>
      </c>
      <c r="AJ4203">
        <v>42.122337409512902</v>
      </c>
      <c r="AK4203">
        <v>9.81342068281241</v>
      </c>
      <c r="AL4203">
        <v>93.861918702091998</v>
      </c>
      <c r="AM4203">
        <v>53.202328428210897</v>
      </c>
      <c r="AN4203">
        <v>0.99999998827863901</v>
      </c>
    </row>
    <row r="4204" spans="1:40" x14ac:dyDescent="0.25">
      <c r="A4204" t="str">
        <f>"20190303154853362"</f>
        <v>20190303154853362</v>
      </c>
      <c r="B4204" t="str">
        <f>"1551599333355177"</f>
        <v>1551599333355177</v>
      </c>
      <c r="C4204" t="s">
        <v>40</v>
      </c>
      <c r="D4204">
        <v>5.8322909999999997</v>
      </c>
      <c r="E4204">
        <v>0.55383680000000002</v>
      </c>
      <c r="F4204" t="s">
        <v>47</v>
      </c>
      <c r="G4204">
        <v>-191.85990000000001</v>
      </c>
      <c r="H4204" s="1">
        <v>6.9863350000000003E-6</v>
      </c>
      <c r="I4204">
        <v>200.89420000000001</v>
      </c>
      <c r="J4204">
        <v>-191.416</v>
      </c>
      <c r="K4204">
        <v>1.1163650000000001</v>
      </c>
      <c r="L4204">
        <v>210.78550000000001</v>
      </c>
      <c r="M4204">
        <v>0.70823190000000003</v>
      </c>
      <c r="N4204">
        <v>-1.5800439999999999E-2</v>
      </c>
      <c r="O4204">
        <v>-0.70580310000000002</v>
      </c>
      <c r="P4204">
        <v>0.1452706</v>
      </c>
      <c r="Q4204">
        <v>-7.2857530000000004E-2</v>
      </c>
      <c r="R4204">
        <v>-0.98670610000000003</v>
      </c>
      <c r="S4204">
        <v>-0.110611</v>
      </c>
      <c r="T4204">
        <v>-0.33944580000000002</v>
      </c>
      <c r="U4204">
        <v>-3.0391849999999998</v>
      </c>
      <c r="V4204">
        <v>0.59559359999999995</v>
      </c>
      <c r="W4204">
        <v>-6.7365620000000001E-2</v>
      </c>
      <c r="X4204">
        <v>0.80045619999999995</v>
      </c>
      <c r="Y4204">
        <v>0.73186130000000005</v>
      </c>
      <c r="Z4204">
        <v>2.8207670000000001E-2</v>
      </c>
      <c r="AA4204">
        <v>0.68086959999999996</v>
      </c>
      <c r="AB4204">
        <v>12</v>
      </c>
      <c r="AC4204">
        <v>-0.44390000000001301</v>
      </c>
      <c r="AD4204">
        <v>-1.116358013665</v>
      </c>
      <c r="AE4204">
        <v>-9.8912999999999993</v>
      </c>
      <c r="AF4204">
        <v>7.2276727460754397</v>
      </c>
      <c r="AG4204">
        <v>-1.116358013665</v>
      </c>
      <c r="AH4204">
        <v>6.5840591368626198</v>
      </c>
      <c r="AI4204">
        <v>96.513961026764207</v>
      </c>
      <c r="AJ4204">
        <v>42.332001047932302</v>
      </c>
      <c r="AK4204">
        <v>9.8404950717298796</v>
      </c>
      <c r="AL4204">
        <v>93.862691056167094</v>
      </c>
      <c r="AM4204">
        <v>53.348255947263802</v>
      </c>
      <c r="AN4204">
        <v>0.99999999561869202</v>
      </c>
    </row>
    <row r="4205" spans="1:40" x14ac:dyDescent="0.25">
      <c r="A4205" t="str">
        <f>"20190303154853384"</f>
        <v>20190303154853384</v>
      </c>
      <c r="B4205" t="str">
        <f>"1551599333374696"</f>
        <v>1551599333374696</v>
      </c>
      <c r="C4205" t="s">
        <v>40</v>
      </c>
      <c r="D4205">
        <v>5.8691250000000004</v>
      </c>
      <c r="E4205">
        <v>0.55288749999999998</v>
      </c>
      <c r="F4205" t="s">
        <v>41</v>
      </c>
      <c r="G4205">
        <v>-191.3655</v>
      </c>
      <c r="H4205" s="1">
        <v>-3.39802E-6</v>
      </c>
      <c r="I4205">
        <v>196.66300000000001</v>
      </c>
      <c r="J4205">
        <v>-191.33959999999999</v>
      </c>
      <c r="K4205">
        <v>1.116387</v>
      </c>
      <c r="L4205">
        <v>210.68289999999999</v>
      </c>
      <c r="M4205">
        <v>0.69731299999999996</v>
      </c>
      <c r="N4205">
        <v>-1.5803290000000001E-2</v>
      </c>
      <c r="O4205">
        <v>-0.71659280000000003</v>
      </c>
      <c r="P4205">
        <v>0.13311619999999999</v>
      </c>
      <c r="Q4205">
        <v>-7.1790779999999998E-2</v>
      </c>
      <c r="R4205">
        <v>-0.98849759999999998</v>
      </c>
      <c r="S4205">
        <v>1.0803220000000001E-2</v>
      </c>
      <c r="T4205">
        <v>-0.2388246</v>
      </c>
      <c r="U4205">
        <v>-3.02121</v>
      </c>
      <c r="V4205">
        <v>0.59322750000000002</v>
      </c>
      <c r="W4205">
        <v>-6.6207799999999997E-2</v>
      </c>
      <c r="X4205">
        <v>0.80230769999999996</v>
      </c>
      <c r="Y4205">
        <v>0.69388640000000001</v>
      </c>
      <c r="Z4205">
        <v>1.8587099999999999E-2</v>
      </c>
      <c r="AA4205">
        <v>0.71984459999999995</v>
      </c>
      <c r="AB4205">
        <v>12</v>
      </c>
      <c r="AC4205">
        <v>-2.5900000000007101E-2</v>
      </c>
      <c r="AD4205">
        <v>-1.1163903980200001</v>
      </c>
      <c r="AE4205">
        <v>-14.0199</v>
      </c>
      <c r="AF4205">
        <v>9.7343167228585799</v>
      </c>
      <c r="AG4205">
        <v>-1.1163903980200001</v>
      </c>
      <c r="AH4205">
        <v>9.9665540095753808</v>
      </c>
      <c r="AI4205">
        <v>94.581536063324705</v>
      </c>
      <c r="AJ4205">
        <v>45.675381319840099</v>
      </c>
      <c r="AK4205">
        <v>13.9762458624445</v>
      </c>
      <c r="AL4205">
        <v>93.796204418097503</v>
      </c>
      <c r="AM4205">
        <v>53.5207238717677</v>
      </c>
      <c r="AN4205">
        <v>0.99999999250819005</v>
      </c>
    </row>
    <row r="4206" spans="1:40" x14ac:dyDescent="0.25">
      <c r="A4206" t="str">
        <f>"20190303154853403"</f>
        <v>20190303154853403</v>
      </c>
      <c r="B4206" t="str">
        <f>"1551599333395194"</f>
        <v>1551599333395194</v>
      </c>
      <c r="C4206" t="s">
        <v>40</v>
      </c>
      <c r="D4206">
        <v>5.8863820000000002</v>
      </c>
      <c r="E4206">
        <v>0.55179389999999995</v>
      </c>
      <c r="F4206" t="s">
        <v>41</v>
      </c>
      <c r="G4206">
        <v>-191.4237</v>
      </c>
      <c r="H4206" s="1">
        <v>-3.713673E-6</v>
      </c>
      <c r="I4206">
        <v>197.36279999999999</v>
      </c>
      <c r="J4206">
        <v>-191.2747</v>
      </c>
      <c r="K4206">
        <v>1.1164130000000001</v>
      </c>
      <c r="L4206">
        <v>210.59299999999999</v>
      </c>
      <c r="M4206">
        <v>0.68767829999999996</v>
      </c>
      <c r="N4206">
        <v>-1.580374E-2</v>
      </c>
      <c r="O4206">
        <v>-0.72584369999999998</v>
      </c>
      <c r="P4206">
        <v>0.12243130000000001</v>
      </c>
      <c r="Q4206">
        <v>-7.0680789999999993E-2</v>
      </c>
      <c r="R4206">
        <v>-0.98995710000000003</v>
      </c>
      <c r="S4206">
        <v>-1.9042969999999999E-2</v>
      </c>
      <c r="T4206">
        <v>-0.25304019999999999</v>
      </c>
      <c r="U4206">
        <v>-3.0191189999999999</v>
      </c>
      <c r="V4206">
        <v>0.59124900000000002</v>
      </c>
      <c r="W4206">
        <v>-6.5013829999999995E-2</v>
      </c>
      <c r="X4206">
        <v>0.80386420000000003</v>
      </c>
      <c r="Y4206">
        <v>0.69132490000000002</v>
      </c>
      <c r="Z4206">
        <v>2.180261E-2</v>
      </c>
      <c r="AA4206">
        <v>0.7222151</v>
      </c>
      <c r="AB4206">
        <v>12</v>
      </c>
      <c r="AC4206">
        <v>-0.14899999999999999</v>
      </c>
      <c r="AD4206">
        <v>-1.1164167136730001</v>
      </c>
      <c r="AE4206">
        <v>-13.2301999999999</v>
      </c>
      <c r="AF4206">
        <v>9.1423296522056692</v>
      </c>
      <c r="AG4206">
        <v>-1.1164167136730001</v>
      </c>
      <c r="AH4206">
        <v>9.4346065312203997</v>
      </c>
      <c r="AI4206">
        <v>94.857289225308307</v>
      </c>
      <c r="AJ4206">
        <v>45.901378455738303</v>
      </c>
      <c r="AK4206">
        <v>13.184854119295901</v>
      </c>
      <c r="AL4206">
        <v>93.727647539788606</v>
      </c>
      <c r="AM4206">
        <v>53.665199938008598</v>
      </c>
      <c r="AN4206">
        <v>0.99999991506694996</v>
      </c>
    </row>
    <row r="4207" spans="1:40" x14ac:dyDescent="0.25">
      <c r="A4207" t="str">
        <f>"20190303154853426"</f>
        <v>20190303154853426</v>
      </c>
      <c r="B4207" t="str">
        <f>"1551599333414713"</f>
        <v>1551599333414713</v>
      </c>
      <c r="C4207" t="s">
        <v>40</v>
      </c>
      <c r="D4207">
        <v>6.0084059999999999</v>
      </c>
      <c r="E4207">
        <v>0.55078629999999995</v>
      </c>
      <c r="F4207" t="s">
        <v>41</v>
      </c>
      <c r="G4207">
        <v>-191.4606</v>
      </c>
      <c r="H4207" s="1">
        <v>-3.8353219999999997E-6</v>
      </c>
      <c r="I4207">
        <v>197.6234</v>
      </c>
      <c r="J4207">
        <v>-191.20339999999999</v>
      </c>
      <c r="K4207">
        <v>1.116452</v>
      </c>
      <c r="L4207">
        <v>210.49100000000001</v>
      </c>
      <c r="M4207">
        <v>0.67667980000000005</v>
      </c>
      <c r="N4207">
        <v>-1.580119E-2</v>
      </c>
      <c r="O4207">
        <v>-0.73610790000000004</v>
      </c>
      <c r="P4207">
        <v>0.1094015</v>
      </c>
      <c r="Q4207">
        <v>-7.0526630000000007E-2</v>
      </c>
      <c r="R4207">
        <v>-0.99149259999999995</v>
      </c>
      <c r="S4207">
        <v>-4.3258669999999999E-2</v>
      </c>
      <c r="T4207">
        <v>-0.25972469999999998</v>
      </c>
      <c r="U4207">
        <v>-3.017258</v>
      </c>
      <c r="V4207">
        <v>0.58974219999999999</v>
      </c>
      <c r="W4207">
        <v>-6.4776189999999997E-2</v>
      </c>
      <c r="X4207">
        <v>0.80498959999999997</v>
      </c>
      <c r="Y4207">
        <v>0.686231699999999</v>
      </c>
      <c r="Z4207">
        <v>2.426273E-2</v>
      </c>
      <c r="AA4207">
        <v>0.72697829999999997</v>
      </c>
      <c r="AB4207">
        <v>12</v>
      </c>
      <c r="AC4207">
        <v>-0.25720000000001098</v>
      </c>
      <c r="AD4207">
        <v>-1.116455835322</v>
      </c>
      <c r="AE4207">
        <v>-12.8675999999999</v>
      </c>
      <c r="AF4207">
        <v>8.8312262779051505</v>
      </c>
      <c r="AG4207">
        <v>-1.116455835322</v>
      </c>
      <c r="AH4207">
        <v>9.2296065310190496</v>
      </c>
      <c r="AI4207">
        <v>94.994978132809905</v>
      </c>
      <c r="AJ4207">
        <v>46.263607642730797</v>
      </c>
      <c r="AK4207">
        <v>12.8227402656848</v>
      </c>
      <c r="AL4207">
        <v>93.714002555900294</v>
      </c>
      <c r="AM4207">
        <v>53.773179113167203</v>
      </c>
      <c r="AN4207">
        <v>1.00000003667995</v>
      </c>
    </row>
    <row r="4208" spans="1:40" x14ac:dyDescent="0.25">
      <c r="A4208" t="str">
        <f>"20190303154853449"</f>
        <v>20190303154853449</v>
      </c>
      <c r="B4208" t="str">
        <f>"1551599333444969"</f>
        <v>1551599333444969</v>
      </c>
      <c r="C4208" t="s">
        <v>40</v>
      </c>
      <c r="D4208">
        <v>5.9205370000000004</v>
      </c>
      <c r="E4208">
        <v>0.54863669999999998</v>
      </c>
      <c r="F4208" t="s">
        <v>41</v>
      </c>
      <c r="G4208">
        <v>-191.50729999999999</v>
      </c>
      <c r="H4208" s="1">
        <v>-4.1071769999999998E-6</v>
      </c>
      <c r="I4208">
        <v>198.27019999999999</v>
      </c>
      <c r="J4208">
        <v>-191.1326</v>
      </c>
      <c r="K4208">
        <v>1.1164860000000001</v>
      </c>
      <c r="L4208">
        <v>210.38640000000001</v>
      </c>
      <c r="M4208">
        <v>0.66532080000000005</v>
      </c>
      <c r="N4208">
        <v>-1.5795320000000002E-2</v>
      </c>
      <c r="O4208">
        <v>-0.74639060000000002</v>
      </c>
      <c r="P4208">
        <v>9.7036949999999997E-2</v>
      </c>
      <c r="Q4208">
        <v>-7.1172890000000003E-2</v>
      </c>
      <c r="R4208">
        <v>-0.99273319999999998</v>
      </c>
      <c r="S4208">
        <v>-7.4966430000000001E-2</v>
      </c>
      <c r="T4208">
        <v>-0.27538940000000001</v>
      </c>
      <c r="U4208">
        <v>-3.0144199999999999</v>
      </c>
      <c r="V4208">
        <v>0.58740780000000004</v>
      </c>
      <c r="W4208">
        <v>-6.5315120000000004E-2</v>
      </c>
      <c r="X4208">
        <v>0.80665109999999995</v>
      </c>
      <c r="Y4208">
        <v>0.68267630000000001</v>
      </c>
      <c r="Z4208">
        <v>2.8164370000000001E-2</v>
      </c>
      <c r="AA4208">
        <v>0.73017790000000005</v>
      </c>
      <c r="AB4208">
        <v>12</v>
      </c>
      <c r="AC4208">
        <v>-0.37469999999998999</v>
      </c>
      <c r="AD4208">
        <v>-1.1164901071769999</v>
      </c>
      <c r="AE4208">
        <v>-12.116199999999999</v>
      </c>
      <c r="AF4208">
        <v>8.2717015100004296</v>
      </c>
      <c r="AG4208">
        <v>-1.1164901071769999</v>
      </c>
      <c r="AH4208">
        <v>8.7212341801395894</v>
      </c>
      <c r="AI4208">
        <v>95.306740254169</v>
      </c>
      <c r="AJ4208">
        <v>46.515354350107103</v>
      </c>
      <c r="AK4208">
        <v>12.0717654738154</v>
      </c>
      <c r="AL4208">
        <v>93.744946664614304</v>
      </c>
      <c r="AM4208">
        <v>53.937685392107497</v>
      </c>
      <c r="AN4208">
        <v>0.999999992766332</v>
      </c>
    </row>
    <row r="4209" spans="1:40" x14ac:dyDescent="0.25">
      <c r="A4209" t="str">
        <f>"20190303154853471"</f>
        <v>20190303154853471</v>
      </c>
      <c r="B4209" t="str">
        <f>"1551599333465465"</f>
        <v>1551599333465465</v>
      </c>
      <c r="C4209" t="s">
        <v>40</v>
      </c>
      <c r="D4209">
        <v>5.8556010000000001</v>
      </c>
      <c r="E4209">
        <v>0.54867060000000001</v>
      </c>
      <c r="F4209" t="s">
        <v>41</v>
      </c>
      <c r="G4209">
        <v>-191.49170000000001</v>
      </c>
      <c r="H4209" s="1">
        <v>-4.3840809999999998E-6</v>
      </c>
      <c r="I4209">
        <v>199.09200000000001</v>
      </c>
      <c r="J4209">
        <v>-191.066</v>
      </c>
      <c r="K4209">
        <v>1.1165309999999999</v>
      </c>
      <c r="L4209">
        <v>210.28469999999999</v>
      </c>
      <c r="M4209">
        <v>0.65422250000000004</v>
      </c>
      <c r="N4209">
        <v>-1.5786729999999999E-2</v>
      </c>
      <c r="O4209">
        <v>-0.75613750000000002</v>
      </c>
      <c r="P4209">
        <v>8.6345710000000006E-2</v>
      </c>
      <c r="Q4209">
        <v>-7.0671650000000003E-2</v>
      </c>
      <c r="R4209">
        <v>-0.99375559999999996</v>
      </c>
      <c r="S4209">
        <v>-9.5718380000000006E-2</v>
      </c>
      <c r="T4209">
        <v>-0.29754890000000001</v>
      </c>
      <c r="U4209">
        <v>-3.009979</v>
      </c>
      <c r="V4209">
        <v>0.58421000000000001</v>
      </c>
      <c r="W4209">
        <v>-6.4685519999999996E-2</v>
      </c>
      <c r="X4209">
        <v>0.80902059999999998</v>
      </c>
      <c r="Y4209">
        <v>0.67683409999999999</v>
      </c>
      <c r="Z4209">
        <v>3.3408390000000003E-2</v>
      </c>
      <c r="AA4209">
        <v>0.73537710000000001</v>
      </c>
      <c r="AB4209">
        <v>12</v>
      </c>
      <c r="AC4209">
        <v>-0.425700000000034</v>
      </c>
      <c r="AD4209">
        <v>-1.1165353840809999</v>
      </c>
      <c r="AE4209">
        <v>-11.192699999999901</v>
      </c>
      <c r="AF4209">
        <v>7.5701327660868696</v>
      </c>
      <c r="AG4209">
        <v>-1.1165353840809999</v>
      </c>
      <c r="AH4209">
        <v>8.1051969792436704</v>
      </c>
      <c r="AI4209">
        <v>95.748833724695203</v>
      </c>
      <c r="AJ4209">
        <v>46.954984262085397</v>
      </c>
      <c r="AK4209">
        <v>11.1466487982903</v>
      </c>
      <c r="AL4209">
        <v>93.708797003933796</v>
      </c>
      <c r="AM4209">
        <v>54.166194329777497</v>
      </c>
      <c r="AN4209">
        <v>0.99999993591101299</v>
      </c>
    </row>
    <row r="4210" spans="1:40" x14ac:dyDescent="0.25">
      <c r="A4210" t="str">
        <f>"20190303154853493"</f>
        <v>20190303154853493</v>
      </c>
      <c r="B4210" t="str">
        <f>"1551599333484985"</f>
        <v>1551599333484985</v>
      </c>
      <c r="C4210" t="s">
        <v>40</v>
      </c>
      <c r="D4210">
        <v>5.8533559999999998</v>
      </c>
      <c r="E4210">
        <v>0.54917749999999999</v>
      </c>
      <c r="F4210" t="s">
        <v>41</v>
      </c>
      <c r="G4210">
        <v>-191.5454</v>
      </c>
      <c r="H4210" s="1">
        <v>-4.3797120000000001E-6</v>
      </c>
      <c r="I4210">
        <v>199.05119999999999</v>
      </c>
      <c r="J4210">
        <v>-191.00120000000001</v>
      </c>
      <c r="K4210">
        <v>1.116573</v>
      </c>
      <c r="L4210">
        <v>210.1823</v>
      </c>
      <c r="M4210">
        <v>0.6429861</v>
      </c>
      <c r="N4210">
        <v>-1.5775520000000001E-2</v>
      </c>
      <c r="O4210">
        <v>-0.76571540000000005</v>
      </c>
      <c r="P4210">
        <v>7.511922E-2</v>
      </c>
      <c r="Q4210">
        <v>-6.9850910000000002E-2</v>
      </c>
      <c r="R4210">
        <v>-0.99472530000000003</v>
      </c>
      <c r="S4210">
        <v>-0.12838749999999999</v>
      </c>
      <c r="T4210">
        <v>-0.29905300000000001</v>
      </c>
      <c r="U4210">
        <v>-3.0087739999999998</v>
      </c>
      <c r="V4210">
        <v>0.58145279999999999</v>
      </c>
      <c r="W4210">
        <v>-6.3747689999999996E-2</v>
      </c>
      <c r="X4210">
        <v>0.81107879999999999</v>
      </c>
      <c r="Y4210">
        <v>0.67396080000000003</v>
      </c>
      <c r="Z4210">
        <v>3.5130580000000002E-2</v>
      </c>
      <c r="AA4210">
        <v>0.73793140000000002</v>
      </c>
      <c r="AB4210">
        <v>12</v>
      </c>
      <c r="AC4210">
        <v>-0.54419999999998903</v>
      </c>
      <c r="AD4210">
        <v>-1.116577379712</v>
      </c>
      <c r="AE4210">
        <v>-11.1311</v>
      </c>
      <c r="AF4210">
        <v>7.4995042155446798</v>
      </c>
      <c r="AG4210">
        <v>-1.116577379712</v>
      </c>
      <c r="AH4210">
        <v>8.0931166410854694</v>
      </c>
      <c r="AI4210">
        <v>95.778523108439103</v>
      </c>
      <c r="AJ4210">
        <v>47.180202413067697</v>
      </c>
      <c r="AK4210">
        <v>11.0899885252452</v>
      </c>
      <c r="AL4210">
        <v>93.654952024434806</v>
      </c>
      <c r="AM4210">
        <v>54.363708711442698</v>
      </c>
      <c r="AN4210">
        <v>0.99999997320880696</v>
      </c>
    </row>
    <row r="4211" spans="1:40" x14ac:dyDescent="0.25">
      <c r="A4211" t="str">
        <f>"20190303154853517"</f>
        <v>20190303154853517</v>
      </c>
      <c r="B4211" t="str">
        <f>"1551599333505481"</f>
        <v>1551599333505481</v>
      </c>
      <c r="C4211" t="s">
        <v>40</v>
      </c>
      <c r="D4211">
        <v>5.9480279999999999</v>
      </c>
      <c r="E4211">
        <v>0.54956070000000001</v>
      </c>
      <c r="F4211" t="s">
        <v>41</v>
      </c>
      <c r="G4211">
        <v>-191.63130000000001</v>
      </c>
      <c r="H4211" s="1">
        <v>-4.3079680000000001E-6</v>
      </c>
      <c r="I4211">
        <v>198.79560000000001</v>
      </c>
      <c r="J4211">
        <v>-190.93690000000001</v>
      </c>
      <c r="K4211">
        <v>1.1166180000000001</v>
      </c>
      <c r="L4211">
        <v>210.07749999999999</v>
      </c>
      <c r="M4211">
        <v>0.63142529999999997</v>
      </c>
      <c r="N4211">
        <v>-1.5761899999999999E-2</v>
      </c>
      <c r="O4211">
        <v>-0.77527669999999904</v>
      </c>
      <c r="P4211">
        <v>6.2245139999999997E-2</v>
      </c>
      <c r="Q4211">
        <v>-6.8902000000000005E-2</v>
      </c>
      <c r="R4211">
        <v>-0.99568000000000001</v>
      </c>
      <c r="S4211">
        <v>-0.1664581</v>
      </c>
      <c r="T4211">
        <v>-0.29494169999999997</v>
      </c>
      <c r="U4211">
        <v>-3.0077820000000002</v>
      </c>
      <c r="V4211">
        <v>0.57983600000000002</v>
      </c>
      <c r="W4211">
        <v>-6.2709799999999996E-2</v>
      </c>
      <c r="X4211">
        <v>0.81231629999999999</v>
      </c>
      <c r="Y4211">
        <v>0.67224709999999999</v>
      </c>
      <c r="Z4211">
        <v>3.581525E-2</v>
      </c>
      <c r="AA4211">
        <v>0.73945989999999995</v>
      </c>
      <c r="AB4211">
        <v>12</v>
      </c>
      <c r="AC4211">
        <v>-0.69440000000000102</v>
      </c>
      <c r="AD4211">
        <v>-1.116622307968</v>
      </c>
      <c r="AE4211">
        <v>-11.281899999999901</v>
      </c>
      <c r="AF4211">
        <v>7.5889196226698097</v>
      </c>
      <c r="AG4211">
        <v>-1.116622307968</v>
      </c>
      <c r="AH4211">
        <v>8.2288578706215301</v>
      </c>
      <c r="AI4211">
        <v>95.696512349425205</v>
      </c>
      <c r="AJ4211">
        <v>47.316746207540099</v>
      </c>
      <c r="AK4211">
        <v>11.2495621369404</v>
      </c>
      <c r="AL4211">
        <v>93.5953658403388</v>
      </c>
      <c r="AM4211">
        <v>54.480537891905698</v>
      </c>
      <c r="AN4211">
        <v>1.0000000385788601</v>
      </c>
    </row>
    <row r="4212" spans="1:40" x14ac:dyDescent="0.25">
      <c r="A4212" t="str">
        <f>"20190303154853539"</f>
        <v>20190303154853539</v>
      </c>
      <c r="B4212" t="str">
        <f>"1551599333534761"</f>
        <v>1551599333534761</v>
      </c>
      <c r="C4212" t="s">
        <v>40</v>
      </c>
      <c r="D4212">
        <v>5.8214329999999999</v>
      </c>
      <c r="E4212">
        <v>0.54925979999999996</v>
      </c>
      <c r="F4212" t="s">
        <v>41</v>
      </c>
      <c r="G4212">
        <v>-191.73230000000001</v>
      </c>
      <c r="H4212" s="1">
        <v>-4.2590820000000004E-6</v>
      </c>
      <c r="I4212">
        <v>198.5993</v>
      </c>
      <c r="J4212">
        <v>-190.87370000000001</v>
      </c>
      <c r="K4212">
        <v>1.1166670000000001</v>
      </c>
      <c r="L4212">
        <v>209.9708</v>
      </c>
      <c r="M4212">
        <v>0.61960459999999995</v>
      </c>
      <c r="N4212">
        <v>-1.5746010000000001E-2</v>
      </c>
      <c r="O4212">
        <v>-0.78475609999999996</v>
      </c>
      <c r="P4212">
        <v>4.92854E-2</v>
      </c>
      <c r="Q4212">
        <v>-6.9180820000000004E-2</v>
      </c>
      <c r="R4212">
        <v>-0.9963862</v>
      </c>
      <c r="S4212">
        <v>-0.20828250000000001</v>
      </c>
      <c r="T4212">
        <v>-0.29241159999999999</v>
      </c>
      <c r="U4212">
        <v>-3.005798</v>
      </c>
      <c r="V4212">
        <v>0.57808740000000003</v>
      </c>
      <c r="W4212">
        <v>-6.2901810000000002E-2</v>
      </c>
      <c r="X4212">
        <v>0.81354669999999996</v>
      </c>
      <c r="Y4212">
        <v>0.67133609999999999</v>
      </c>
      <c r="Z4212">
        <v>3.6707579999999997E-2</v>
      </c>
      <c r="AA4212">
        <v>0.7402436</v>
      </c>
      <c r="AB4212">
        <v>11</v>
      </c>
      <c r="AC4212">
        <v>-0.85859999999999503</v>
      </c>
      <c r="AD4212">
        <v>-1.116671259082</v>
      </c>
      <c r="AE4212">
        <v>-11.3714999999999</v>
      </c>
      <c r="AF4212">
        <v>7.6472577259943204</v>
      </c>
      <c r="AG4212">
        <v>-1.116671259082</v>
      </c>
      <c r="AH4212">
        <v>8.3131920380673598</v>
      </c>
      <c r="AI4212">
        <v>95.645875375726604</v>
      </c>
      <c r="AJ4212">
        <v>47.389225101155098</v>
      </c>
      <c r="AK4212">
        <v>11.350624092552099</v>
      </c>
      <c r="AL4212">
        <v>93.606389261497498</v>
      </c>
      <c r="AM4212">
        <v>54.603282560393502</v>
      </c>
      <c r="AN4212">
        <v>0.99999995641046202</v>
      </c>
    </row>
    <row r="4213" spans="1:40" x14ac:dyDescent="0.25">
      <c r="A4213" t="str">
        <f>"20190303154853563"</f>
        <v>20190303154853563</v>
      </c>
      <c r="B4213" t="str">
        <f>"1551599333555256"</f>
        <v>1551599333555256</v>
      </c>
      <c r="C4213" t="s">
        <v>40</v>
      </c>
      <c r="D4213">
        <v>5.8525159999999996</v>
      </c>
      <c r="E4213">
        <v>0.54880569999999995</v>
      </c>
      <c r="F4213" t="s">
        <v>41</v>
      </c>
      <c r="G4213">
        <v>-191.81139999999999</v>
      </c>
      <c r="H4213" s="1">
        <v>-4.2309030000000003E-6</v>
      </c>
      <c r="I4213">
        <v>198.4753</v>
      </c>
      <c r="J4213">
        <v>-190.8115</v>
      </c>
      <c r="K4213">
        <v>1.116706</v>
      </c>
      <c r="L4213">
        <v>209.86189999999999</v>
      </c>
      <c r="M4213">
        <v>0.60750519999999997</v>
      </c>
      <c r="N4213">
        <v>-1.572811E-2</v>
      </c>
      <c r="O4213">
        <v>-0.79415999999999998</v>
      </c>
      <c r="P4213">
        <v>3.6856430000000003E-2</v>
      </c>
      <c r="Q4213">
        <v>-7.0200180000000001E-2</v>
      </c>
      <c r="R4213">
        <v>-0.99685190000000001</v>
      </c>
      <c r="S4213">
        <v>-0.24494930000000001</v>
      </c>
      <c r="T4213">
        <v>-0.29168509999999997</v>
      </c>
      <c r="U4213">
        <v>-3.0027309999999998</v>
      </c>
      <c r="V4213">
        <v>0.57571660000000002</v>
      </c>
      <c r="W4213">
        <v>-6.3825080000000006E-2</v>
      </c>
      <c r="X4213">
        <v>0.81515439999999995</v>
      </c>
      <c r="Y4213">
        <v>0.66903919999999995</v>
      </c>
      <c r="Z4213">
        <v>3.8003090000000003E-2</v>
      </c>
      <c r="AA4213">
        <v>0.74225490000000005</v>
      </c>
      <c r="AB4213">
        <v>11</v>
      </c>
      <c r="AC4213">
        <v>-0.99989999999999601</v>
      </c>
      <c r="AD4213">
        <v>-1.1167102309029999</v>
      </c>
      <c r="AE4213">
        <v>-11.3865999999999</v>
      </c>
      <c r="AF4213">
        <v>7.6395369401431799</v>
      </c>
      <c r="AG4213">
        <v>-1.1167102309029999</v>
      </c>
      <c r="AH4213">
        <v>8.3566207187442192</v>
      </c>
      <c r="AI4213">
        <v>95.6327981577667</v>
      </c>
      <c r="AJ4213">
        <v>47.566765475874902</v>
      </c>
      <c r="AK4213">
        <v>11.3772877363878</v>
      </c>
      <c r="AL4213">
        <v>93.659395204518006</v>
      </c>
      <c r="AM4213">
        <v>54.767702763923303</v>
      </c>
      <c r="AN4213">
        <v>0.99999997009596198</v>
      </c>
    </row>
    <row r="4214" spans="1:40" x14ac:dyDescent="0.25">
      <c r="A4214" t="str">
        <f>"20190303154853585"</f>
        <v>20190303154853585</v>
      </c>
      <c r="B4214" t="str">
        <f>"1551599333574777"</f>
        <v>1551599333574777</v>
      </c>
      <c r="C4214" t="s">
        <v>40</v>
      </c>
      <c r="D4214">
        <v>5.7180569999999999</v>
      </c>
      <c r="E4214">
        <v>0.54874209999999901</v>
      </c>
      <c r="F4214" t="s">
        <v>41</v>
      </c>
      <c r="G4214">
        <v>-191.86699999999999</v>
      </c>
      <c r="H4214" s="1">
        <v>-4.254795E-6</v>
      </c>
      <c r="I4214">
        <v>198.51650000000001</v>
      </c>
      <c r="J4214">
        <v>-190.7527</v>
      </c>
      <c r="K4214">
        <v>1.116741</v>
      </c>
      <c r="L4214">
        <v>209.7551</v>
      </c>
      <c r="M4214">
        <v>0.59558369999999905</v>
      </c>
      <c r="N4214">
        <v>-1.5709520000000001E-2</v>
      </c>
      <c r="O4214">
        <v>-0.80313959999999995</v>
      </c>
      <c r="P4214">
        <v>2.6056260000000001E-2</v>
      </c>
      <c r="Q4214">
        <v>-7.0222019999999996E-2</v>
      </c>
      <c r="R4214">
        <v>-0.99719100000000005</v>
      </c>
      <c r="S4214">
        <v>-0.27899170000000001</v>
      </c>
      <c r="T4214">
        <v>-0.29518529999999998</v>
      </c>
      <c r="U4214">
        <v>-2.9989780000000001</v>
      </c>
      <c r="V4214">
        <v>0.57238359999999899</v>
      </c>
      <c r="W4214">
        <v>-6.3733170000000006E-2</v>
      </c>
      <c r="X4214">
        <v>0.81750540000000005</v>
      </c>
      <c r="Y4214">
        <v>0.66637950000000001</v>
      </c>
      <c r="Z4214">
        <v>4.0072799999999999E-2</v>
      </c>
      <c r="AA4214">
        <v>0.74453510000000001</v>
      </c>
      <c r="AB4214">
        <v>11</v>
      </c>
      <c r="AC4214">
        <v>-1.1143000000000101</v>
      </c>
      <c r="AD4214">
        <v>-1.1167452547949901</v>
      </c>
      <c r="AE4214">
        <v>-11.2385999999999</v>
      </c>
      <c r="AF4214">
        <v>7.5159140549897003</v>
      </c>
      <c r="AG4214">
        <v>-1.1167452547949901</v>
      </c>
      <c r="AH4214">
        <v>8.2825540180940393</v>
      </c>
      <c r="AI4214">
        <v>95.7020228471835</v>
      </c>
      <c r="AJ4214">
        <v>47.778168391090603</v>
      </c>
      <c r="AK4214">
        <v>11.239963750330499</v>
      </c>
      <c r="AL4214">
        <v>93.654118330265703</v>
      </c>
      <c r="AM4214">
        <v>55.001873827617601</v>
      </c>
      <c r="AN4214">
        <v>0.99999999076818402</v>
      </c>
    </row>
    <row r="4215" spans="1:40" x14ac:dyDescent="0.25">
      <c r="A4215" t="str">
        <f>"20190303154853606"</f>
        <v>20190303154853606</v>
      </c>
      <c r="B4215" t="str">
        <f>"1551599333595273"</f>
        <v>1551599333595273</v>
      </c>
      <c r="C4215" t="s">
        <v>40</v>
      </c>
      <c r="D4215">
        <v>5.7183909999999996</v>
      </c>
      <c r="E4215">
        <v>0.54871800000000004</v>
      </c>
      <c r="F4215" t="s">
        <v>41</v>
      </c>
      <c r="G4215">
        <v>-191.9393</v>
      </c>
      <c r="H4215" s="1">
        <v>-4.2031660000000002E-6</v>
      </c>
      <c r="I4215">
        <v>198.3271</v>
      </c>
      <c r="J4215">
        <v>-190.70089999999999</v>
      </c>
      <c r="K4215">
        <v>1.116768</v>
      </c>
      <c r="L4215">
        <v>209.6576</v>
      </c>
      <c r="M4215">
        <v>0.58466819999999997</v>
      </c>
      <c r="N4215">
        <v>-1.5692330000000001E-2</v>
      </c>
      <c r="O4215">
        <v>-0.81112099999999998</v>
      </c>
      <c r="P4215">
        <v>1.5253060000000001E-2</v>
      </c>
      <c r="Q4215">
        <v>-7.0001949999999993E-2</v>
      </c>
      <c r="R4215">
        <v>-0.9974305</v>
      </c>
      <c r="S4215">
        <v>-0.3110657</v>
      </c>
      <c r="T4215">
        <v>-0.29276659999999999</v>
      </c>
      <c r="U4215">
        <v>-2.9959560000000001</v>
      </c>
      <c r="V4215">
        <v>0.5702007</v>
      </c>
      <c r="W4215">
        <v>-6.3431050000000003E-2</v>
      </c>
      <c r="X4215">
        <v>0.81905289999999997</v>
      </c>
      <c r="Y4215">
        <v>0.66428719999999997</v>
      </c>
      <c r="Z4215">
        <v>4.0850909999999997E-2</v>
      </c>
      <c r="AA4215">
        <v>0.74636029999999998</v>
      </c>
      <c r="AB4215">
        <v>11</v>
      </c>
      <c r="AC4215">
        <v>-1.2384000000000099</v>
      </c>
      <c r="AD4215">
        <v>-1.1167722031659999</v>
      </c>
      <c r="AE4215">
        <v>-11.330500000000001</v>
      </c>
      <c r="AF4215">
        <v>7.5574611094005499</v>
      </c>
      <c r="AG4215">
        <v>-1.1167722031659999</v>
      </c>
      <c r="AH4215">
        <v>8.3868796797473397</v>
      </c>
      <c r="AI4215">
        <v>95.649346998738096</v>
      </c>
      <c r="AJ4215">
        <v>47.977820655174099</v>
      </c>
      <c r="AK4215">
        <v>11.3446969697927</v>
      </c>
      <c r="AL4215">
        <v>93.636773018553299</v>
      </c>
      <c r="AM4215">
        <v>55.155491745437303</v>
      </c>
      <c r="AN4215">
        <v>0.99999999469150103</v>
      </c>
    </row>
    <row r="4216" spans="1:40" x14ac:dyDescent="0.25">
      <c r="A4216" t="str">
        <f>"20190303154853630"</f>
        <v>20190303154853630</v>
      </c>
      <c r="B4216" t="str">
        <f>"1551599333625529"</f>
        <v>1551599333625529</v>
      </c>
      <c r="C4216" t="s">
        <v>40</v>
      </c>
      <c r="D4216">
        <v>5.6957709999999997</v>
      </c>
      <c r="E4216">
        <v>0.54803380000000002</v>
      </c>
      <c r="F4216" t="s">
        <v>41</v>
      </c>
      <c r="G4216">
        <v>-192.04159999999999</v>
      </c>
      <c r="H4216" s="1">
        <v>-4.0975500000000003E-6</v>
      </c>
      <c r="I4216">
        <v>197.96340000000001</v>
      </c>
      <c r="J4216">
        <v>-190.64230000000001</v>
      </c>
      <c r="K4216">
        <v>1.1168070000000001</v>
      </c>
      <c r="L4216">
        <v>209.54339999999999</v>
      </c>
      <c r="M4216">
        <v>0.57183549999999905</v>
      </c>
      <c r="N4216">
        <v>-1.567205E-2</v>
      </c>
      <c r="O4216">
        <v>-0.82021889999999997</v>
      </c>
      <c r="P4216">
        <v>4.856511E-3</v>
      </c>
      <c r="Q4216">
        <v>-6.9447899999999896E-2</v>
      </c>
      <c r="R4216">
        <v>-0.99757439999999997</v>
      </c>
      <c r="S4216">
        <v>-0.34313959999999999</v>
      </c>
      <c r="T4216">
        <v>-0.28582000000000002</v>
      </c>
      <c r="U4216">
        <v>-2.9929350000000001</v>
      </c>
      <c r="V4216">
        <v>0.56588369999999999</v>
      </c>
      <c r="W4216">
        <v>-6.2745880000000004E-2</v>
      </c>
      <c r="X4216">
        <v>0.82209409999999905</v>
      </c>
      <c r="Y4216">
        <v>0.66056019999999904</v>
      </c>
      <c r="Z4216">
        <v>4.0950760000000003E-2</v>
      </c>
      <c r="AA4216">
        <v>0.74965539999999997</v>
      </c>
      <c r="AB4216">
        <v>11</v>
      </c>
      <c r="AC4216">
        <v>-1.39929999999998</v>
      </c>
      <c r="AD4216">
        <v>-1.1168110975500001</v>
      </c>
      <c r="AE4216">
        <v>-11.579999999999901</v>
      </c>
      <c r="AF4216">
        <v>7.69995118075754</v>
      </c>
      <c r="AG4216">
        <v>-1.1168110975500001</v>
      </c>
      <c r="AH4216">
        <v>8.6200084885464801</v>
      </c>
      <c r="AI4216">
        <v>95.519034192218797</v>
      </c>
      <c r="AJ4216">
        <v>48.226702758053101</v>
      </c>
      <c r="AK4216">
        <v>11.6121084027093</v>
      </c>
      <c r="AL4216">
        <v>93.597437079971897</v>
      </c>
      <c r="AM4216">
        <v>55.458645421565301</v>
      </c>
      <c r="AN4216">
        <v>1.0000000583187301</v>
      </c>
    </row>
    <row r="4217" spans="1:40" x14ac:dyDescent="0.25">
      <c r="A4217" t="str">
        <f>"20190303154853652"</f>
        <v>20190303154853652</v>
      </c>
      <c r="B4217" t="str">
        <f>"1551599333645050"</f>
        <v>1551599333645050</v>
      </c>
      <c r="C4217" t="s">
        <v>40</v>
      </c>
      <c r="D4217">
        <v>5.6798390000000003</v>
      </c>
      <c r="E4217">
        <v>0.5476512</v>
      </c>
      <c r="F4217" t="s">
        <v>41</v>
      </c>
      <c r="G4217">
        <v>-192.1174</v>
      </c>
      <c r="H4217" s="1">
        <v>-3.9838270000000004E-6</v>
      </c>
      <c r="I4217">
        <v>197.58969999999999</v>
      </c>
      <c r="J4217">
        <v>-190.5874</v>
      </c>
      <c r="K4217">
        <v>1.1168419999999999</v>
      </c>
      <c r="L4217">
        <v>209.4323</v>
      </c>
      <c r="M4217">
        <v>0.5593013</v>
      </c>
      <c r="N4217">
        <v>-1.565267E-2</v>
      </c>
      <c r="O4217">
        <v>-0.82881669999999996</v>
      </c>
      <c r="P4217">
        <v>-4.0812640000000002E-3</v>
      </c>
      <c r="Q4217">
        <v>-6.9489809999999999E-2</v>
      </c>
      <c r="R4217">
        <v>-0.99757439999999997</v>
      </c>
      <c r="S4217">
        <v>-0.3689423</v>
      </c>
      <c r="T4217">
        <v>-0.27931699999999998</v>
      </c>
      <c r="U4217">
        <v>-2.9896389999999999</v>
      </c>
      <c r="V4217">
        <v>0.56075079999999999</v>
      </c>
      <c r="W4217">
        <v>-6.2645580000000006E-2</v>
      </c>
      <c r="X4217">
        <v>0.82561130000000005</v>
      </c>
      <c r="Y4217">
        <v>0.65566340000000001</v>
      </c>
      <c r="Z4217">
        <v>4.1075819999999999E-2</v>
      </c>
      <c r="AA4217">
        <v>0.75393529999999997</v>
      </c>
      <c r="AB4217">
        <v>11</v>
      </c>
      <c r="AC4217">
        <v>-1.53</v>
      </c>
      <c r="AD4217">
        <v>-1.116845983827</v>
      </c>
      <c r="AE4217">
        <v>-11.842599999999999</v>
      </c>
      <c r="AF4217">
        <v>7.8241925869679498</v>
      </c>
      <c r="AG4217">
        <v>-1.116845983827</v>
      </c>
      <c r="AH4217">
        <v>8.8830035713563493</v>
      </c>
      <c r="AI4217">
        <v>95.389807569164304</v>
      </c>
      <c r="AJ4217">
        <v>48.6262445119077</v>
      </c>
      <c r="AK4217">
        <v>11.8900415070042</v>
      </c>
      <c r="AL4217">
        <v>93.591679290544207</v>
      </c>
      <c r="AM4217">
        <v>55.815861670472799</v>
      </c>
      <c r="AN4217">
        <v>0.99999997354093295</v>
      </c>
    </row>
    <row r="4218" spans="1:40" x14ac:dyDescent="0.25">
      <c r="A4218" t="str">
        <f>"20190303154853674"</f>
        <v>20190303154853674</v>
      </c>
      <c r="B4218" t="str">
        <f>"1551599333664569"</f>
        <v>1551599333664569</v>
      </c>
      <c r="C4218" t="s">
        <v>40</v>
      </c>
      <c r="D4218">
        <v>5.7054229999999997</v>
      </c>
      <c r="E4218">
        <v>0.54729709999999998</v>
      </c>
      <c r="F4218" t="s">
        <v>41</v>
      </c>
      <c r="G4218">
        <v>-192.18459999999999</v>
      </c>
      <c r="H4218" s="1">
        <v>-3.8807809999999999E-6</v>
      </c>
      <c r="I4218">
        <v>197.28039999999999</v>
      </c>
      <c r="J4218">
        <v>-190.53829999999999</v>
      </c>
      <c r="K4218">
        <v>1.1168670000000001</v>
      </c>
      <c r="L4218">
        <v>209.32929999999999</v>
      </c>
      <c r="M4218">
        <v>0.54764449999999998</v>
      </c>
      <c r="N4218">
        <v>-1.563525E-2</v>
      </c>
      <c r="O4218">
        <v>-0.836565</v>
      </c>
      <c r="P4218">
        <v>-1.012033E-2</v>
      </c>
      <c r="Q4218">
        <v>-7.0263930000000002E-2</v>
      </c>
      <c r="R4218">
        <v>-0.99747719999999995</v>
      </c>
      <c r="S4218">
        <v>-0.3925476</v>
      </c>
      <c r="T4218">
        <v>-0.27448790000000001</v>
      </c>
      <c r="U4218">
        <v>-2.9865879999999998</v>
      </c>
      <c r="V4218">
        <v>0.55414909999999995</v>
      </c>
      <c r="W4218">
        <v>-6.3254329999999998E-2</v>
      </c>
      <c r="X4218">
        <v>0.83001069999999999</v>
      </c>
      <c r="Y4218">
        <v>0.65108319999999997</v>
      </c>
      <c r="Z4218">
        <v>4.1355379999999997E-2</v>
      </c>
      <c r="AA4218">
        <v>0.75787879999999996</v>
      </c>
      <c r="AB4218">
        <v>11</v>
      </c>
      <c r="AC4218">
        <v>-1.6462999999999901</v>
      </c>
      <c r="AD4218">
        <v>-1.1168708807809999</v>
      </c>
      <c r="AE4218">
        <v>-12.0489</v>
      </c>
      <c r="AF4218">
        <v>7.9100061848606202</v>
      </c>
      <c r="AG4218">
        <v>-1.1168708807809999</v>
      </c>
      <c r="AH4218">
        <v>9.1024452535673692</v>
      </c>
      <c r="AI4218">
        <v>95.291421061606499</v>
      </c>
      <c r="AJ4218">
        <v>49.009426199394198</v>
      </c>
      <c r="AK4218">
        <v>12.1107434950568</v>
      </c>
      <c r="AL4218">
        <v>93.626627137979497</v>
      </c>
      <c r="AM4218">
        <v>56.271305166665201</v>
      </c>
      <c r="AN4218">
        <v>1.00000004870452</v>
      </c>
    </row>
    <row r="4219" spans="1:40" x14ac:dyDescent="0.25">
      <c r="A4219" t="str">
        <f>"20190303154853695"</f>
        <v>20190303154853695</v>
      </c>
      <c r="B4219" t="str">
        <f>"1551599333685065"</f>
        <v>1551599333685065</v>
      </c>
      <c r="C4219" t="s">
        <v>40</v>
      </c>
      <c r="D4219">
        <v>5.6621269999999999</v>
      </c>
      <c r="E4219">
        <v>0.54664990000000002</v>
      </c>
      <c r="F4219" t="s">
        <v>41</v>
      </c>
      <c r="G4219">
        <v>-192.20849999999999</v>
      </c>
      <c r="H4219" s="1">
        <v>-3.812665E-6</v>
      </c>
      <c r="I4219">
        <v>197.10669999999999</v>
      </c>
      <c r="J4219">
        <v>-190.4907</v>
      </c>
      <c r="K4219">
        <v>1.1169</v>
      </c>
      <c r="L4219">
        <v>209.22550000000001</v>
      </c>
      <c r="M4219">
        <v>0.5358446</v>
      </c>
      <c r="N4219">
        <v>-1.5618430000000001E-2</v>
      </c>
      <c r="O4219">
        <v>-0.84417199999999903</v>
      </c>
      <c r="P4219">
        <v>-1.4868340000000001E-2</v>
      </c>
      <c r="Q4219">
        <v>-7.071653E-2</v>
      </c>
      <c r="R4219">
        <v>-0.99738570000000004</v>
      </c>
      <c r="S4219">
        <v>-0.40779110000000002</v>
      </c>
      <c r="T4219">
        <v>-0.27269349999999998</v>
      </c>
      <c r="U4219">
        <v>-2.9842529999999998</v>
      </c>
      <c r="V4219">
        <v>0.54641459999999997</v>
      </c>
      <c r="W4219">
        <v>-6.3521900000000006E-2</v>
      </c>
      <c r="X4219">
        <v>0.83510239999999902</v>
      </c>
      <c r="Y4219">
        <v>0.64431169999999904</v>
      </c>
      <c r="Z4219">
        <v>4.2318700000000001E-2</v>
      </c>
      <c r="AA4219">
        <v>0.76359119999999903</v>
      </c>
      <c r="AB4219">
        <v>11</v>
      </c>
      <c r="AC4219">
        <v>-1.71779999999998</v>
      </c>
      <c r="AD4219">
        <v>-1.1169038126649999</v>
      </c>
      <c r="AE4219">
        <v>-12.1188</v>
      </c>
      <c r="AF4219">
        <v>7.8792739757409196</v>
      </c>
      <c r="AG4219">
        <v>-1.1169038126649999</v>
      </c>
      <c r="AH4219">
        <v>9.2341249323397605</v>
      </c>
      <c r="AI4219">
        <v>95.257015510022597</v>
      </c>
      <c r="AJ4219">
        <v>49.526609062989898</v>
      </c>
      <c r="AK4219">
        <v>12.190139284585401</v>
      </c>
      <c r="AL4219">
        <v>93.641988902560996</v>
      </c>
      <c r="AM4219">
        <v>56.802935143375798</v>
      </c>
      <c r="AN4219">
        <v>0.99999998267926404</v>
      </c>
    </row>
    <row r="4220" spans="1:40" x14ac:dyDescent="0.25">
      <c r="A4220" t="str">
        <f>"20190303154853718"</f>
        <v>20190303154853718</v>
      </c>
      <c r="B4220" t="str">
        <f>"1551599333715321"</f>
        <v>1551599333715321</v>
      </c>
      <c r="C4220" t="s">
        <v>40</v>
      </c>
      <c r="D4220">
        <v>5.6525600000000003</v>
      </c>
      <c r="E4220">
        <v>0.54593219999999898</v>
      </c>
      <c r="F4220" t="s">
        <v>41</v>
      </c>
      <c r="G4220">
        <v>-192.2013</v>
      </c>
      <c r="H4220" s="1">
        <v>-3.759126E-6</v>
      </c>
      <c r="I4220">
        <v>196.9864</v>
      </c>
      <c r="J4220">
        <v>-190.44319999999999</v>
      </c>
      <c r="K4220">
        <v>1.116932</v>
      </c>
      <c r="L4220">
        <v>209.11799999999999</v>
      </c>
      <c r="M4220">
        <v>0.52358919999999998</v>
      </c>
      <c r="N4220">
        <v>-1.5601820000000001E-2</v>
      </c>
      <c r="O4220">
        <v>-0.85182800000000003</v>
      </c>
      <c r="P4220">
        <v>-1.9474869999999998E-2</v>
      </c>
      <c r="Q4220">
        <v>-6.9452840000000002E-2</v>
      </c>
      <c r="R4220">
        <v>-0.99739540000000004</v>
      </c>
      <c r="S4220">
        <v>-0.41683959999999998</v>
      </c>
      <c r="T4220">
        <v>-0.27215980000000001</v>
      </c>
      <c r="U4220">
        <v>-2.9823460000000002</v>
      </c>
      <c r="V4220">
        <v>0.53825140000000005</v>
      </c>
      <c r="W4220">
        <v>-6.2066000000000003E-2</v>
      </c>
      <c r="X4220">
        <v>0.84049589999999996</v>
      </c>
      <c r="Y4220">
        <v>0.63558499999999996</v>
      </c>
      <c r="Z4220">
        <v>4.3631440000000001E-2</v>
      </c>
      <c r="AA4220">
        <v>0.77079699999999995</v>
      </c>
      <c r="AB4220">
        <v>11</v>
      </c>
      <c r="AC4220">
        <v>-1.75810000000001</v>
      </c>
      <c r="AD4220">
        <v>-1.1169357591259901</v>
      </c>
      <c r="AE4220">
        <v>-12.131599999999899</v>
      </c>
      <c r="AF4220">
        <v>7.7858889421841502</v>
      </c>
      <c r="AG4220">
        <v>-1.1169357591259901</v>
      </c>
      <c r="AH4220">
        <v>9.3371413349932197</v>
      </c>
      <c r="AI4220">
        <v>95.249196216569899</v>
      </c>
      <c r="AJ4220">
        <v>50.176551501056601</v>
      </c>
      <c r="AK4220">
        <v>12.208596169080099</v>
      </c>
      <c r="AL4220">
        <v>93.5584067522976</v>
      </c>
      <c r="AM4220">
        <v>57.364606262385799</v>
      </c>
      <c r="AN4220">
        <v>1.00000005793738</v>
      </c>
    </row>
    <row r="4221" spans="1:40" x14ac:dyDescent="0.25">
      <c r="A4221" t="str">
        <f>"20190303154853740"</f>
        <v>20190303154853740</v>
      </c>
      <c r="B4221" t="str">
        <f>"1551599333734841"</f>
        <v>1551599333734841</v>
      </c>
      <c r="C4221" t="s">
        <v>40</v>
      </c>
      <c r="D4221">
        <v>5.6480360000000003</v>
      </c>
      <c r="E4221">
        <v>0.54552009999999995</v>
      </c>
      <c r="F4221" t="s">
        <v>41</v>
      </c>
      <c r="G4221">
        <v>-192.24770000000001</v>
      </c>
      <c r="H4221" s="1">
        <v>-3.543252E-6</v>
      </c>
      <c r="I4221">
        <v>196.45439999999999</v>
      </c>
      <c r="J4221">
        <v>-190.3964</v>
      </c>
      <c r="K4221">
        <v>1.1169629999999999</v>
      </c>
      <c r="L4221">
        <v>209.00800000000001</v>
      </c>
      <c r="M4221">
        <v>0.51100129999999999</v>
      </c>
      <c r="N4221">
        <v>-1.558554E-2</v>
      </c>
      <c r="O4221">
        <v>-0.85943860000000005</v>
      </c>
      <c r="P4221">
        <v>-2.421299E-2</v>
      </c>
      <c r="Q4221">
        <v>-6.8327100000000002E-2</v>
      </c>
      <c r="R4221">
        <v>-0.99736939999999996</v>
      </c>
      <c r="S4221">
        <v>-0.42481989999999997</v>
      </c>
      <c r="T4221">
        <v>-0.26294590000000001</v>
      </c>
      <c r="U4221">
        <v>-2.9812319999999999</v>
      </c>
      <c r="V4221">
        <v>0.52991929999999998</v>
      </c>
      <c r="W4221">
        <v>-6.074765E-2</v>
      </c>
      <c r="X4221">
        <v>0.84586949999999905</v>
      </c>
      <c r="Y4221">
        <v>0.62631599999999998</v>
      </c>
      <c r="Z4221">
        <v>4.2992540000000003E-2</v>
      </c>
      <c r="AA4221">
        <v>0.77838289999999999</v>
      </c>
      <c r="AB4221">
        <v>11</v>
      </c>
      <c r="AC4221">
        <v>-1.8512999999999999</v>
      </c>
      <c r="AD4221">
        <v>-1.116966543252</v>
      </c>
      <c r="AE4221">
        <v>-12.5535999999999</v>
      </c>
      <c r="AF4221">
        <v>7.9453949670407003</v>
      </c>
      <c r="AG4221">
        <v>-1.116966543252</v>
      </c>
      <c r="AH4221">
        <v>9.7685392186497104</v>
      </c>
      <c r="AI4221">
        <v>95.069199852693103</v>
      </c>
      <c r="AJ4221">
        <v>50.876275684677402</v>
      </c>
      <c r="AK4221">
        <v>12.6412528614579</v>
      </c>
      <c r="AL4221">
        <v>93.482728325685898</v>
      </c>
      <c r="AM4221">
        <v>57.933729017948501</v>
      </c>
      <c r="AN4221">
        <v>0.99999997626162995</v>
      </c>
    </row>
    <row r="4222" spans="1:40" x14ac:dyDescent="0.25">
      <c r="A4222" t="str">
        <f>"20190303154853764"</f>
        <v>20190303154853764</v>
      </c>
      <c r="B4222" t="str">
        <f>"1551599333755337"</f>
        <v>1551599333755337</v>
      </c>
      <c r="C4222" t="s">
        <v>40</v>
      </c>
      <c r="D4222">
        <v>5.6659350000000002</v>
      </c>
      <c r="E4222">
        <v>0.54515080000000005</v>
      </c>
      <c r="F4222" t="s">
        <v>41</v>
      </c>
      <c r="G4222">
        <v>-192.29560000000001</v>
      </c>
      <c r="H4222" s="1">
        <v>-3.3682580000000001E-6</v>
      </c>
      <c r="I4222">
        <v>196.01679999999999</v>
      </c>
      <c r="J4222">
        <v>-190.35079999999999</v>
      </c>
      <c r="K4222">
        <v>1.1170059999999999</v>
      </c>
      <c r="L4222">
        <v>208.8954</v>
      </c>
      <c r="M4222">
        <v>0.49807639999999997</v>
      </c>
      <c r="N4222">
        <v>-1.5569090000000001E-2</v>
      </c>
      <c r="O4222">
        <v>-0.86699349999999997</v>
      </c>
      <c r="P4222">
        <v>-2.8870699999999999E-2</v>
      </c>
      <c r="Q4222">
        <v>-6.7522689999999996E-2</v>
      </c>
      <c r="R4222">
        <v>-0.99730030000000003</v>
      </c>
      <c r="S4222">
        <v>-0.43560789999999999</v>
      </c>
      <c r="T4222">
        <v>-0.25619629999999999</v>
      </c>
      <c r="U4222">
        <v>-2.9797669999999998</v>
      </c>
      <c r="V4222">
        <v>0.52122760000000001</v>
      </c>
      <c r="W4222">
        <v>-5.9745149999999997E-2</v>
      </c>
      <c r="X4222">
        <v>0.85132379999999996</v>
      </c>
      <c r="Y4222">
        <v>0.6174733</v>
      </c>
      <c r="Z4222">
        <v>4.2792299999999998E-2</v>
      </c>
      <c r="AA4222">
        <v>0.78542699999999999</v>
      </c>
      <c r="AB4222">
        <v>11</v>
      </c>
      <c r="AC4222">
        <v>-1.9448000000000101</v>
      </c>
      <c r="AD4222">
        <v>-1.117009368258</v>
      </c>
      <c r="AE4222">
        <v>-12.8786</v>
      </c>
      <c r="AF4222">
        <v>8.0424840998601592</v>
      </c>
      <c r="AG4222">
        <v>-1.117009368258</v>
      </c>
      <c r="AH4222">
        <v>10.1237778479931</v>
      </c>
      <c r="AI4222">
        <v>94.9376480715854</v>
      </c>
      <c r="AJ4222">
        <v>51.535833270989698</v>
      </c>
      <c r="AK4222">
        <v>12.977678464995</v>
      </c>
      <c r="AL4222">
        <v>93.425184856213605</v>
      </c>
      <c r="AM4222">
        <v>58.522722677831403</v>
      </c>
      <c r="AN4222">
        <v>0.99999995319835999</v>
      </c>
    </row>
    <row r="4223" spans="1:40" x14ac:dyDescent="0.25">
      <c r="A4223" t="str">
        <f>"20190303154853786"</f>
        <v>20190303154853786</v>
      </c>
      <c r="B4223" t="str">
        <f>"1551599333774857"</f>
        <v>1551599333774857</v>
      </c>
      <c r="C4223" t="s">
        <v>40</v>
      </c>
      <c r="D4223">
        <v>5.6721009999999996</v>
      </c>
      <c r="E4223">
        <v>0.54469619999999996</v>
      </c>
      <c r="F4223" t="s">
        <v>41</v>
      </c>
      <c r="G4223">
        <v>-192.3416</v>
      </c>
      <c r="H4223" s="1">
        <v>-3.2089139999999999E-6</v>
      </c>
      <c r="I4223">
        <v>195.61689999999999</v>
      </c>
      <c r="J4223">
        <v>-190.30840000000001</v>
      </c>
      <c r="K4223">
        <v>1.117032</v>
      </c>
      <c r="L4223">
        <v>208.78639999999999</v>
      </c>
      <c r="M4223">
        <v>0.48552840000000003</v>
      </c>
      <c r="N4223">
        <v>-1.555283E-2</v>
      </c>
      <c r="O4223">
        <v>-0.87408269999999899</v>
      </c>
      <c r="P4223">
        <v>-3.106946E-2</v>
      </c>
      <c r="Q4223">
        <v>-6.8043240000000005E-2</v>
      </c>
      <c r="R4223">
        <v>-0.9971989</v>
      </c>
      <c r="S4223">
        <v>-0.44651790000000002</v>
      </c>
      <c r="T4223">
        <v>-0.25053379999999997</v>
      </c>
      <c r="U4223">
        <v>-2.9782410000000001</v>
      </c>
      <c r="V4223">
        <v>0.51078950000000001</v>
      </c>
      <c r="W4223">
        <v>-6.0036689999999997E-2</v>
      </c>
      <c r="X4223">
        <v>0.85760689999999995</v>
      </c>
      <c r="Y4223">
        <v>0.60902009999999995</v>
      </c>
      <c r="Z4223">
        <v>4.2701040000000003E-2</v>
      </c>
      <c r="AA4223">
        <v>0.79200459999999995</v>
      </c>
      <c r="AB4223">
        <v>11</v>
      </c>
      <c r="AC4223">
        <v>-2.0331999999999901</v>
      </c>
      <c r="AD4223">
        <v>-1.1170352089139901</v>
      </c>
      <c r="AE4223">
        <v>-13.169499999999999</v>
      </c>
      <c r="AF4223">
        <v>8.1153128567554091</v>
      </c>
      <c r="AG4223">
        <v>-1.1170352089139901</v>
      </c>
      <c r="AH4223">
        <v>10.4518827970013</v>
      </c>
      <c r="AI4223">
        <v>94.825227579945206</v>
      </c>
      <c r="AJ4223">
        <v>52.172624369260902</v>
      </c>
      <c r="AK4223">
        <v>13.279605582366701</v>
      </c>
      <c r="AL4223">
        <v>93.441918897132794</v>
      </c>
      <c r="AM4223">
        <v>59.222029729804497</v>
      </c>
      <c r="AN4223">
        <v>0.99999995619200699</v>
      </c>
    </row>
    <row r="4224" spans="1:40" x14ac:dyDescent="0.25">
      <c r="A4224" t="str">
        <f>"20190303154853807"</f>
        <v>20190303154853807</v>
      </c>
      <c r="B4224" t="str">
        <f>"1551599333795353"</f>
        <v>1551599333795353</v>
      </c>
      <c r="C4224" t="s">
        <v>40</v>
      </c>
      <c r="D4224">
        <v>5.6185479999999997</v>
      </c>
      <c r="E4224">
        <v>0.54444680000000001</v>
      </c>
      <c r="F4224" t="s">
        <v>41</v>
      </c>
      <c r="G4224">
        <v>-192.32390000000001</v>
      </c>
      <c r="H4224" s="1">
        <v>-3.1261539999999998E-6</v>
      </c>
      <c r="I4224">
        <v>195.4349</v>
      </c>
      <c r="J4224">
        <v>-190.27</v>
      </c>
      <c r="K4224">
        <v>1.1170610000000001</v>
      </c>
      <c r="L4224">
        <v>208.68369999999999</v>
      </c>
      <c r="M4224">
        <v>0.47366350000000002</v>
      </c>
      <c r="N4224">
        <v>-1.553713E-2</v>
      </c>
      <c r="O4224">
        <v>-0.88056900000000005</v>
      </c>
      <c r="P4224">
        <v>-3.1300330000000001E-2</v>
      </c>
      <c r="Q4224">
        <v>-7.0386649999999995E-2</v>
      </c>
      <c r="R4224">
        <v>-0.9970289</v>
      </c>
      <c r="S4224">
        <v>-0.44947809999999999</v>
      </c>
      <c r="T4224">
        <v>-0.2491032</v>
      </c>
      <c r="U4224">
        <v>-2.9774479999999999</v>
      </c>
      <c r="V4224">
        <v>0.49926209999999999</v>
      </c>
      <c r="W4224">
        <v>-6.2136400000000001E-2</v>
      </c>
      <c r="X4224">
        <v>0.86422009999999905</v>
      </c>
      <c r="Y4224">
        <v>0.59907449999999995</v>
      </c>
      <c r="Z4224">
        <v>4.3540330000000002E-2</v>
      </c>
      <c r="AA4224">
        <v>0.79950859999999901</v>
      </c>
      <c r="AB4224">
        <v>11</v>
      </c>
      <c r="AC4224">
        <v>-2.0538999999999898</v>
      </c>
      <c r="AD4224">
        <v>-1.117064126154</v>
      </c>
      <c r="AE4224">
        <v>-13.2487999999999</v>
      </c>
      <c r="AF4224">
        <v>8.0293084086394799</v>
      </c>
      <c r="AG4224">
        <v>-1.117064126154</v>
      </c>
      <c r="AH4224">
        <v>10.6211815614898</v>
      </c>
      <c r="AI4224">
        <v>94.795742528891793</v>
      </c>
      <c r="AJ4224">
        <v>52.911765913135802</v>
      </c>
      <c r="AK4224">
        <v>13.361404250493999</v>
      </c>
      <c r="AL4224">
        <v>93.562448457133897</v>
      </c>
      <c r="AM4224">
        <v>59.9848669168288</v>
      </c>
      <c r="AN4224">
        <v>0.999999978972689</v>
      </c>
    </row>
    <row r="4225" spans="1:40" x14ac:dyDescent="0.25">
      <c r="A4225" t="str">
        <f>"20190303154853830"</f>
        <v>20190303154853830</v>
      </c>
      <c r="B4225" t="str">
        <f>"1551599333824634"</f>
        <v>1551599333824634</v>
      </c>
      <c r="C4225" t="s">
        <v>40</v>
      </c>
      <c r="D4225">
        <v>5.588679</v>
      </c>
      <c r="E4225">
        <v>0.50011949999999905</v>
      </c>
      <c r="F4225" t="s">
        <v>41</v>
      </c>
      <c r="G4225">
        <v>-192.2364</v>
      </c>
      <c r="H4225" s="1">
        <v>-3.1832350000000002E-6</v>
      </c>
      <c r="I4225">
        <v>195.62219999999999</v>
      </c>
      <c r="J4225">
        <v>-190.22929999999999</v>
      </c>
      <c r="K4225">
        <v>1.1170899999999999</v>
      </c>
      <c r="L4225">
        <v>208.56960000000001</v>
      </c>
      <c r="M4225">
        <v>0.46045160000000002</v>
      </c>
      <c r="N4225">
        <v>-1.551919E-2</v>
      </c>
      <c r="O4225">
        <v>-0.88754929999999999</v>
      </c>
      <c r="P4225">
        <v>-3.1745339999999997E-2</v>
      </c>
      <c r="Q4225">
        <v>-7.3174980000000001E-2</v>
      </c>
      <c r="R4225">
        <v>-0.99681410000000004</v>
      </c>
      <c r="S4225">
        <v>-0.44816590000000001</v>
      </c>
      <c r="T4225">
        <v>-0.25459379999999998</v>
      </c>
      <c r="U4225">
        <v>-2.9768829999999999</v>
      </c>
      <c r="V4225">
        <v>0.48658030000000002</v>
      </c>
      <c r="W4225">
        <v>-6.4661339999999998E-2</v>
      </c>
      <c r="X4225">
        <v>0.87123969999999995</v>
      </c>
      <c r="Y4225">
        <v>0.58671439999999997</v>
      </c>
      <c r="Z4225">
        <v>4.619053E-2</v>
      </c>
      <c r="AA4225">
        <v>0.80847539999999996</v>
      </c>
      <c r="AB4225">
        <v>11</v>
      </c>
      <c r="AC4225">
        <v>-2.0070999999999999</v>
      </c>
      <c r="AD4225">
        <v>-1.117093183235</v>
      </c>
      <c r="AE4225">
        <v>-12.9474</v>
      </c>
      <c r="AF4225">
        <v>7.68809467425225</v>
      </c>
      <c r="AG4225">
        <v>-1.117093183235</v>
      </c>
      <c r="AH4225">
        <v>10.492281744321801</v>
      </c>
      <c r="AI4225">
        <v>94.908561565150805</v>
      </c>
      <c r="AJ4225">
        <v>53.768345948439702</v>
      </c>
      <c r="AK4225">
        <v>13.0553695122936</v>
      </c>
      <c r="AL4225">
        <v>93.707408276535304</v>
      </c>
      <c r="AM4225">
        <v>60.816996083091702</v>
      </c>
      <c r="AN4225">
        <v>1.0000000460473799</v>
      </c>
    </row>
    <row r="4226" spans="1:40" x14ac:dyDescent="0.25">
      <c r="A4226" t="str">
        <f>"20190303154853851"</f>
        <v>20190303154853851</v>
      </c>
      <c r="B4226" t="str">
        <f>"1551599333845129"</f>
        <v>1551599333845129</v>
      </c>
      <c r="C4226" t="s">
        <v>40</v>
      </c>
      <c r="D4226">
        <v>5.6484180000000004</v>
      </c>
      <c r="E4226">
        <v>0.49446309999999899</v>
      </c>
      <c r="F4226" t="s">
        <v>41</v>
      </c>
      <c r="G4226">
        <v>-190.6249</v>
      </c>
      <c r="H4226" s="1">
        <v>-3.0463209999999999E-6</v>
      </c>
      <c r="I4226">
        <v>196.30260000000001</v>
      </c>
      <c r="J4226">
        <v>-190.1927</v>
      </c>
      <c r="K4226">
        <v>1.1171180000000001</v>
      </c>
      <c r="L4226">
        <v>208.4624</v>
      </c>
      <c r="M4226">
        <v>0.44800250000000003</v>
      </c>
      <c r="N4226">
        <v>-1.5501890000000001E-2</v>
      </c>
      <c r="O4226">
        <v>-0.89389789999999902</v>
      </c>
      <c r="P4226">
        <v>-3.0949730000000002E-2</v>
      </c>
      <c r="Q4226">
        <v>-7.3894840000000003E-2</v>
      </c>
      <c r="R4226">
        <v>-0.99678580000000006</v>
      </c>
      <c r="S4226">
        <v>-9.6313480000000007E-2</v>
      </c>
      <c r="T4226">
        <v>-0.2719705</v>
      </c>
      <c r="U4226">
        <v>-2.9865569999999999</v>
      </c>
      <c r="V4226">
        <v>0.47364640000000002</v>
      </c>
      <c r="W4226">
        <v>-6.5117170000000002E-2</v>
      </c>
      <c r="X4226">
        <v>0.87830450000000004</v>
      </c>
      <c r="Y4226">
        <v>0.47605690000000001</v>
      </c>
      <c r="Z4226">
        <v>5.5200159999999998E-2</v>
      </c>
      <c r="AA4226">
        <v>0.87768040000000003</v>
      </c>
      <c r="AB4226">
        <v>11</v>
      </c>
      <c r="AC4226">
        <v>-0.43219999999999398</v>
      </c>
      <c r="AD4226">
        <v>-1.117121046321</v>
      </c>
      <c r="AE4226">
        <v>-12.159799999999899</v>
      </c>
      <c r="AF4226">
        <v>5.7858926626891396</v>
      </c>
      <c r="AG4226">
        <v>-1.117121046321</v>
      </c>
      <c r="AH4226">
        <v>10.5880247427047</v>
      </c>
      <c r="AI4226">
        <v>95.289704819519102</v>
      </c>
      <c r="AJ4226">
        <v>61.345324269780299</v>
      </c>
      <c r="AK4226">
        <v>12.1173751814665</v>
      </c>
      <c r="AL4226">
        <v>93.733580830024096</v>
      </c>
      <c r="AM4226">
        <v>61.663188319857703</v>
      </c>
      <c r="AN4226">
        <v>0.99999997639100902</v>
      </c>
    </row>
    <row r="4227" spans="1:40" x14ac:dyDescent="0.25">
      <c r="A4227" t="str">
        <f>"20190303154853875"</f>
        <v>20190303154853875</v>
      </c>
      <c r="B4227" t="str">
        <f>"1551599333864649"</f>
        <v>1551599333864649</v>
      </c>
      <c r="C4227" t="s">
        <v>40</v>
      </c>
      <c r="D4227">
        <v>5.590802</v>
      </c>
      <c r="E4227">
        <v>0.4924443</v>
      </c>
      <c r="F4227" t="s">
        <v>41</v>
      </c>
      <c r="G4227">
        <v>-190.38290000000001</v>
      </c>
      <c r="H4227" s="1">
        <v>-3.1979030000000002E-6</v>
      </c>
      <c r="I4227">
        <v>196.80600000000001</v>
      </c>
      <c r="J4227">
        <v>-190.15729999999999</v>
      </c>
      <c r="K4227">
        <v>1.1171629999999999</v>
      </c>
      <c r="L4227">
        <v>208.3536</v>
      </c>
      <c r="M4227">
        <v>0.4353456</v>
      </c>
      <c r="N4227">
        <v>-1.5483739999999999E-2</v>
      </c>
      <c r="O4227">
        <v>-0.90013029999999905</v>
      </c>
      <c r="P4227">
        <v>-3.0746010000000001E-2</v>
      </c>
      <c r="Q4227">
        <v>-7.3694880000000004E-2</v>
      </c>
      <c r="R4227">
        <v>-0.996807</v>
      </c>
      <c r="S4227">
        <v>-4.873657E-2</v>
      </c>
      <c r="T4227">
        <v>-0.28626020000000002</v>
      </c>
      <c r="U4227">
        <v>-2.986923</v>
      </c>
      <c r="V4227">
        <v>0.46105600000000002</v>
      </c>
      <c r="W4227">
        <v>-6.4663399999999996E-2</v>
      </c>
      <c r="X4227">
        <v>0.88501189999999996</v>
      </c>
      <c r="Y4227">
        <v>0.44947809999999999</v>
      </c>
      <c r="Z4227">
        <v>6.0551059999999997E-2</v>
      </c>
      <c r="AA4227">
        <v>0.89123680000000005</v>
      </c>
      <c r="AB4227">
        <v>11</v>
      </c>
      <c r="AC4227">
        <v>-0.22560000000001401</v>
      </c>
      <c r="AD4227">
        <v>-1.1171661979030001</v>
      </c>
      <c r="AE4227">
        <v>-11.547599999999999</v>
      </c>
      <c r="AF4227">
        <v>5.1824069084143201</v>
      </c>
      <c r="AG4227">
        <v>-1.1171661979030001</v>
      </c>
      <c r="AH4227">
        <v>10.201916361299</v>
      </c>
      <c r="AI4227">
        <v>95.576169329820004</v>
      </c>
      <c r="AJ4227">
        <v>63.070174212498301</v>
      </c>
      <c r="AK4227">
        <v>11.4971517829877</v>
      </c>
      <c r="AL4227">
        <v>93.707526624867796</v>
      </c>
      <c r="AM4227">
        <v>62.4822786163</v>
      </c>
      <c r="AN4227">
        <v>1.00000002678858</v>
      </c>
    </row>
    <row r="4228" spans="1:40" x14ac:dyDescent="0.25">
      <c r="A4228" t="str">
        <f>"20190303154853896"</f>
        <v>20190303154853896</v>
      </c>
      <c r="B4228" t="str">
        <f>"1551599333885145"</f>
        <v>1551599333885145</v>
      </c>
      <c r="C4228" t="s">
        <v>40</v>
      </c>
      <c r="D4228">
        <v>5.6432260000000003</v>
      </c>
      <c r="E4228">
        <v>0.4910486</v>
      </c>
      <c r="F4228" t="s">
        <v>41</v>
      </c>
      <c r="G4228">
        <v>-190.28200000000001</v>
      </c>
      <c r="H4228" s="1">
        <v>-3.100936E-6</v>
      </c>
      <c r="I4228">
        <v>196.64259999999999</v>
      </c>
      <c r="J4228">
        <v>-190.1232</v>
      </c>
      <c r="K4228">
        <v>1.11721</v>
      </c>
      <c r="L4228">
        <v>208.24379999999999</v>
      </c>
      <c r="M4228">
        <v>0.42254989999999998</v>
      </c>
      <c r="N4228">
        <v>-1.546411E-2</v>
      </c>
      <c r="O4228">
        <v>-0.90620800000000001</v>
      </c>
      <c r="P4228">
        <v>-3.1161649999999999E-2</v>
      </c>
      <c r="Q4228">
        <v>-7.1735820000000006E-2</v>
      </c>
      <c r="R4228">
        <v>-0.99693719999999997</v>
      </c>
      <c r="S4228">
        <v>-3.1814580000000002E-2</v>
      </c>
      <c r="T4228">
        <v>-0.28499560000000002</v>
      </c>
      <c r="U4228">
        <v>-2.987549</v>
      </c>
      <c r="V4228">
        <v>0.44894469999999997</v>
      </c>
      <c r="W4228">
        <v>-6.2460740000000001E-2</v>
      </c>
      <c r="X4228">
        <v>0.89137379999999999</v>
      </c>
      <c r="Y4228">
        <v>0.43172169999999999</v>
      </c>
      <c r="Z4228">
        <v>6.1531130000000003E-2</v>
      </c>
      <c r="AA4228">
        <v>0.89990569999999903</v>
      </c>
      <c r="AB4228">
        <v>11</v>
      </c>
      <c r="AC4228">
        <v>-0.15880000000001299</v>
      </c>
      <c r="AD4228">
        <v>-1.117213100936</v>
      </c>
      <c r="AE4228">
        <v>-11.6012</v>
      </c>
      <c r="AF4228">
        <v>5.0002305753193603</v>
      </c>
      <c r="AG4228">
        <v>-1.117213100936</v>
      </c>
      <c r="AH4228">
        <v>10.3512665119116</v>
      </c>
      <c r="AI4228">
        <v>95.550877550186001</v>
      </c>
      <c r="AJ4228">
        <v>64.216904374871405</v>
      </c>
      <c r="AK4228">
        <v>11.549856679625201</v>
      </c>
      <c r="AL4228">
        <v>93.581067971926402</v>
      </c>
      <c r="AM4228">
        <v>63.267669794225903</v>
      </c>
      <c r="AN4228">
        <v>0.99999996951293801</v>
      </c>
    </row>
    <row r="4229" spans="1:40" x14ac:dyDescent="0.25">
      <c r="A4229" t="str">
        <f>"20190303154853919"</f>
        <v>20190303154853919</v>
      </c>
      <c r="B4229" t="str">
        <f>"1551599333915402"</f>
        <v>1551599333915402</v>
      </c>
      <c r="C4229" t="s">
        <v>40</v>
      </c>
      <c r="D4229">
        <v>5.6439459999999997</v>
      </c>
      <c r="E4229">
        <v>0.4904443</v>
      </c>
      <c r="F4229" t="s">
        <v>41</v>
      </c>
      <c r="G4229">
        <v>-190.21029999999999</v>
      </c>
      <c r="H4229" s="1">
        <v>-3.0122449999999999E-6</v>
      </c>
      <c r="I4229">
        <v>196.4803</v>
      </c>
      <c r="J4229">
        <v>-190.0907</v>
      </c>
      <c r="K4229">
        <v>1.117256</v>
      </c>
      <c r="L4229">
        <v>208.13380000000001</v>
      </c>
      <c r="M4229">
        <v>0.40971950000000001</v>
      </c>
      <c r="N4229">
        <v>-1.5441939999999999E-2</v>
      </c>
      <c r="O4229">
        <v>-0.91208089999999997</v>
      </c>
      <c r="P4229">
        <v>-3.2476070000000003E-2</v>
      </c>
      <c r="Q4229">
        <v>-7.0951070000000005E-2</v>
      </c>
      <c r="R4229">
        <v>-0.99695120000000004</v>
      </c>
      <c r="S4229">
        <v>-2.2125240000000001E-2</v>
      </c>
      <c r="T4229">
        <v>-0.28379199999999999</v>
      </c>
      <c r="U4229">
        <v>-2.9881440000000001</v>
      </c>
      <c r="V4229">
        <v>0.43755539999999998</v>
      </c>
      <c r="W4229">
        <v>-6.1447479999999999E-2</v>
      </c>
      <c r="X4229">
        <v>0.89708949999999998</v>
      </c>
      <c r="Y4229">
        <v>0.41604000000000002</v>
      </c>
      <c r="Z4229">
        <v>6.2411019999999998E-2</v>
      </c>
      <c r="AA4229">
        <v>0.90720210000000001</v>
      </c>
      <c r="AB4229">
        <v>11</v>
      </c>
      <c r="AC4229">
        <v>-0.11959999999999101</v>
      </c>
      <c r="AD4229">
        <v>-1.1172590122449999</v>
      </c>
      <c r="AE4229">
        <v>-11.653499999999999</v>
      </c>
      <c r="AF4229">
        <v>4.8398515370713104</v>
      </c>
      <c r="AG4229">
        <v>-1.1172590122449999</v>
      </c>
      <c r="AH4229">
        <v>10.4848304017058</v>
      </c>
      <c r="AI4229">
        <v>95.526127457064604</v>
      </c>
      <c r="AJ4229">
        <v>65.221710323231903</v>
      </c>
      <c r="AK4229">
        <v>11.6019006698846</v>
      </c>
      <c r="AL4229">
        <v>93.522900437123099</v>
      </c>
      <c r="AM4229">
        <v>63.999194299247399</v>
      </c>
      <c r="AN4229">
        <v>1.00000004593887</v>
      </c>
    </row>
    <row r="4230" spans="1:40" x14ac:dyDescent="0.25">
      <c r="A4230" t="str">
        <f>"20190303154853941"</f>
        <v>20190303154853941</v>
      </c>
      <c r="B4230" t="str">
        <f>"1551599333934921"</f>
        <v>1551599333934921</v>
      </c>
      <c r="C4230" t="s">
        <v>40</v>
      </c>
      <c r="D4230">
        <v>5.6620679999999997</v>
      </c>
      <c r="E4230">
        <v>0.49027910000000002</v>
      </c>
      <c r="F4230" t="s">
        <v>41</v>
      </c>
      <c r="G4230">
        <v>-190.17410000000001</v>
      </c>
      <c r="H4230" s="1">
        <v>-2.990592E-6</v>
      </c>
      <c r="I4230">
        <v>196.4522</v>
      </c>
      <c r="J4230">
        <v>-190.06</v>
      </c>
      <c r="K4230">
        <v>1.1173109999999999</v>
      </c>
      <c r="L4230">
        <v>208.0239</v>
      </c>
      <c r="M4230">
        <v>0.3969164</v>
      </c>
      <c r="N4230">
        <v>-1.541551E-2</v>
      </c>
      <c r="O4230">
        <v>-0.91772549999999997</v>
      </c>
      <c r="P4230">
        <v>-3.4671710000000001E-2</v>
      </c>
      <c r="Q4230">
        <v>-7.1339199999999894E-2</v>
      </c>
      <c r="R4230">
        <v>-0.99684950000000005</v>
      </c>
      <c r="S4230">
        <v>-2.133179E-2</v>
      </c>
      <c r="T4230">
        <v>-0.28579599999999999</v>
      </c>
      <c r="U4230">
        <v>-2.9881440000000001</v>
      </c>
      <c r="V4230">
        <v>0.42695319999999998</v>
      </c>
      <c r="W4230">
        <v>-6.1619939999999998E-2</v>
      </c>
      <c r="X4230">
        <v>0.90217190000000003</v>
      </c>
      <c r="Y4230">
        <v>0.40305239999999998</v>
      </c>
      <c r="Z4230">
        <v>6.4068269999999997E-2</v>
      </c>
      <c r="AA4230">
        <v>0.91293159999999896</v>
      </c>
      <c r="AB4230">
        <v>11</v>
      </c>
      <c r="AC4230">
        <v>-0.114100000000007</v>
      </c>
      <c r="AD4230">
        <v>-1.117313990592</v>
      </c>
      <c r="AE4230">
        <v>-11.5716999999999</v>
      </c>
      <c r="AF4230">
        <v>4.6548741974037604</v>
      </c>
      <c r="AG4230">
        <v>-1.117313990592</v>
      </c>
      <c r="AH4230">
        <v>10.477934373199099</v>
      </c>
      <c r="AI4230">
        <v>95.565961663775596</v>
      </c>
      <c r="AJ4230">
        <v>66.046578073708801</v>
      </c>
      <c r="AK4230">
        <v>11.519694139876</v>
      </c>
      <c r="AL4230">
        <v>93.532800255207206</v>
      </c>
      <c r="AM4230">
        <v>64.674128658539402</v>
      </c>
      <c r="AN4230">
        <v>1.0000000945727201</v>
      </c>
    </row>
    <row r="4231" spans="1:40" x14ac:dyDescent="0.25">
      <c r="A4231" t="str">
        <f>"20190303154853966"</f>
        <v>20190303154853966</v>
      </c>
      <c r="B4231" t="str">
        <f>"1551599333955417"</f>
        <v>1551599333955417</v>
      </c>
      <c r="C4231" t="s">
        <v>40</v>
      </c>
      <c r="D4231">
        <v>5.6954989999999999</v>
      </c>
      <c r="E4231">
        <v>0.49023319999999998</v>
      </c>
      <c r="F4231" t="s">
        <v>41</v>
      </c>
      <c r="G4231">
        <v>-190.16220000000001</v>
      </c>
      <c r="H4231" s="1">
        <v>-3.0258880000000002E-6</v>
      </c>
      <c r="I4231">
        <v>196.5419</v>
      </c>
      <c r="J4231">
        <v>-190.02869999999999</v>
      </c>
      <c r="K4231">
        <v>1.1173789999999999</v>
      </c>
      <c r="L4231">
        <v>207.90559999999999</v>
      </c>
      <c r="M4231">
        <v>0.38317469999999998</v>
      </c>
      <c r="N4231">
        <v>-1.5380039999999999E-2</v>
      </c>
      <c r="O4231">
        <v>-0.92354769999999997</v>
      </c>
      <c r="P4231">
        <v>-3.7547610000000002E-2</v>
      </c>
      <c r="Q4231">
        <v>-7.1959770000000006E-2</v>
      </c>
      <c r="R4231">
        <v>-0.99670029999999998</v>
      </c>
      <c r="S4231">
        <v>-2.6611329999999999E-2</v>
      </c>
      <c r="T4231">
        <v>-0.29073670000000001</v>
      </c>
      <c r="U4231">
        <v>-2.9877319999999998</v>
      </c>
      <c r="V4231">
        <v>0.41606019999999999</v>
      </c>
      <c r="W4231">
        <v>-6.2013869999999999E-2</v>
      </c>
      <c r="X4231">
        <v>0.90722009999999997</v>
      </c>
      <c r="Y4231">
        <v>0.39098559999999999</v>
      </c>
      <c r="Z4231">
        <v>6.6569799999999998E-2</v>
      </c>
      <c r="AA4231">
        <v>0.91798630000000003</v>
      </c>
      <c r="AB4231">
        <v>11</v>
      </c>
      <c r="AC4231">
        <v>-0.13350000000002599</v>
      </c>
      <c r="AD4231">
        <v>-1.1173820258880001</v>
      </c>
      <c r="AE4231">
        <v>-11.3636999999999</v>
      </c>
      <c r="AF4231">
        <v>4.43522961645695</v>
      </c>
      <c r="AG4231">
        <v>-1.1173820258880001</v>
      </c>
      <c r="AH4231">
        <v>10.344994047617799</v>
      </c>
      <c r="AI4231">
        <v>95.669336709819703</v>
      </c>
      <c r="AJ4231">
        <v>66.793639207786498</v>
      </c>
      <c r="AK4231">
        <v>11.310999345226801</v>
      </c>
      <c r="AL4231">
        <v>93.555414151519003</v>
      </c>
      <c r="AM4231">
        <v>65.363337175632495</v>
      </c>
      <c r="AN4231">
        <v>1.0000000599702099</v>
      </c>
    </row>
    <row r="4232" spans="1:40" x14ac:dyDescent="0.25">
      <c r="A4232" t="str">
        <f>"20190303154853987"</f>
        <v>20190303154853987</v>
      </c>
      <c r="B4232" t="str">
        <f>"1551599333974937"</f>
        <v>1551599333974937</v>
      </c>
      <c r="C4232" t="s">
        <v>40</v>
      </c>
      <c r="D4232">
        <v>5.6492940000000003</v>
      </c>
      <c r="E4232">
        <v>0.49000670000000002</v>
      </c>
      <c r="F4232" t="s">
        <v>41</v>
      </c>
      <c r="G4232">
        <v>-190.16059999999999</v>
      </c>
      <c r="H4232" s="1">
        <v>-3.0595000000000001E-6</v>
      </c>
      <c r="I4232">
        <v>196.62129999999999</v>
      </c>
      <c r="J4232">
        <v>-190.0017</v>
      </c>
      <c r="K4232">
        <v>1.11744</v>
      </c>
      <c r="L4232">
        <v>207.79750000000001</v>
      </c>
      <c r="M4232">
        <v>0.37064190000000002</v>
      </c>
      <c r="N4232">
        <v>-1.5343010000000001E-2</v>
      </c>
      <c r="O4232">
        <v>-0.92864910000000001</v>
      </c>
      <c r="P4232">
        <v>-3.9013430000000002E-2</v>
      </c>
      <c r="Q4232">
        <v>-7.272178E-2</v>
      </c>
      <c r="R4232">
        <v>-0.99658919999999995</v>
      </c>
      <c r="S4232">
        <v>-3.489685E-2</v>
      </c>
      <c r="T4232">
        <v>-0.29580089999999998</v>
      </c>
      <c r="U4232">
        <v>-2.9872589999999999</v>
      </c>
      <c r="V4232">
        <v>0.40508329999999998</v>
      </c>
      <c r="W4232">
        <v>-6.2556580000000001E-2</v>
      </c>
      <c r="X4232">
        <v>0.91213719999999998</v>
      </c>
      <c r="Y4232">
        <v>0.38106420000000002</v>
      </c>
      <c r="Z4232">
        <v>6.8983639999999999E-2</v>
      </c>
      <c r="AA4232">
        <v>0.9219714</v>
      </c>
      <c r="AB4232">
        <v>11</v>
      </c>
      <c r="AC4232">
        <v>-0.158899999999988</v>
      </c>
      <c r="AD4232">
        <v>-1.1174430595</v>
      </c>
      <c r="AE4232">
        <v>-11.1762</v>
      </c>
      <c r="AF4232">
        <v>4.2479776807149703</v>
      </c>
      <c r="AG4232">
        <v>-1.1174430595</v>
      </c>
      <c r="AH4232">
        <v>10.2189515821689</v>
      </c>
      <c r="AI4232">
        <v>95.765800860453098</v>
      </c>
      <c r="AJ4232">
        <v>67.427537559540895</v>
      </c>
      <c r="AK4232">
        <v>11.1229926191556</v>
      </c>
      <c r="AL4232">
        <v>93.586569710948098</v>
      </c>
      <c r="AM4232">
        <v>66.053826758941298</v>
      </c>
      <c r="AN4232">
        <v>1.00000003863201</v>
      </c>
    </row>
    <row r="4233" spans="1:40" x14ac:dyDescent="0.25">
      <c r="A4233" t="str">
        <f>"20190303154854009"</f>
        <v>20190303154854009</v>
      </c>
      <c r="B4233" t="str">
        <f>"1551599334005166"</f>
        <v>1551599334005166</v>
      </c>
      <c r="C4233" t="s">
        <v>40</v>
      </c>
      <c r="D4233">
        <v>5.7062229999999996</v>
      </c>
      <c r="E4233">
        <v>0.48996200000000001</v>
      </c>
      <c r="F4233" t="s">
        <v>41</v>
      </c>
      <c r="G4233">
        <v>-190.1404</v>
      </c>
      <c r="H4233" s="1">
        <v>-3.1024109999999998E-6</v>
      </c>
      <c r="I4233">
        <v>196.7338</v>
      </c>
      <c r="J4233">
        <v>-189.97659999999999</v>
      </c>
      <c r="K4233">
        <v>1.117507</v>
      </c>
      <c r="L4233">
        <v>207.69139999999999</v>
      </c>
      <c r="M4233">
        <v>0.35839130000000002</v>
      </c>
      <c r="N4233">
        <v>-1.5302420000000001E-2</v>
      </c>
      <c r="O4233">
        <v>-0.9334462</v>
      </c>
      <c r="P4233">
        <v>-4.0322499999999997E-2</v>
      </c>
      <c r="Q4233">
        <v>-7.3623229999999998E-2</v>
      </c>
      <c r="R4233">
        <v>-0.99647070000000004</v>
      </c>
      <c r="S4233">
        <v>-3.7445069999999997E-2</v>
      </c>
      <c r="T4233">
        <v>-0.30166789999999999</v>
      </c>
      <c r="U4233">
        <v>-2.9867710000000001</v>
      </c>
      <c r="V4233">
        <v>0.39424350000000002</v>
      </c>
      <c r="W4233">
        <v>-6.3248250000000006E-2</v>
      </c>
      <c r="X4233">
        <v>0.91682699999999995</v>
      </c>
      <c r="Y4233">
        <v>0.36966890000000002</v>
      </c>
      <c r="Z4233">
        <v>7.1649130000000005E-2</v>
      </c>
      <c r="AA4233">
        <v>0.92639700000000003</v>
      </c>
      <c r="AB4233">
        <v>11</v>
      </c>
      <c r="AC4233">
        <v>-0.16380000000000899</v>
      </c>
      <c r="AD4233">
        <v>-1.1175101024109999</v>
      </c>
      <c r="AE4233">
        <v>-10.9575999999999</v>
      </c>
      <c r="AF4233">
        <v>4.0384895223358299</v>
      </c>
      <c r="AG4233">
        <v>-1.1175101024109999</v>
      </c>
      <c r="AH4233">
        <v>10.0661411639003</v>
      </c>
      <c r="AI4233">
        <v>95.882650798511904</v>
      </c>
      <c r="AJ4233">
        <v>68.139570615355893</v>
      </c>
      <c r="AK4233">
        <v>10.903459285134</v>
      </c>
      <c r="AL4233">
        <v>93.626278209729605</v>
      </c>
      <c r="AM4233">
        <v>66.731879059790799</v>
      </c>
      <c r="AN4233">
        <v>1.00000001317465</v>
      </c>
    </row>
    <row r="4234" spans="1:40" x14ac:dyDescent="0.25">
      <c r="A4234" t="str">
        <f>"20190303154854032"</f>
        <v>20190303154854032</v>
      </c>
      <c r="B4234" t="str">
        <f>"1551599334024686"</f>
        <v>1551599334024686</v>
      </c>
      <c r="C4234" t="s">
        <v>40</v>
      </c>
      <c r="D4234">
        <v>5.643173</v>
      </c>
      <c r="E4234">
        <v>0.48984519999999998</v>
      </c>
      <c r="F4234" t="s">
        <v>41</v>
      </c>
      <c r="G4234">
        <v>-190.12520000000001</v>
      </c>
      <c r="H4234" s="1">
        <v>-3.1704140000000001E-6</v>
      </c>
      <c r="I4234">
        <v>196.90180000000001</v>
      </c>
      <c r="J4234">
        <v>-189.95089999999999</v>
      </c>
      <c r="K4234">
        <v>1.1175850000000001</v>
      </c>
      <c r="L4234">
        <v>207.57669999999999</v>
      </c>
      <c r="M4234">
        <v>0.34522009999999997</v>
      </c>
      <c r="N4234">
        <v>-1.525376E-2</v>
      </c>
      <c r="O4234">
        <v>-0.93839790000000001</v>
      </c>
      <c r="P4234">
        <v>-4.2992210000000003E-2</v>
      </c>
      <c r="Q4234">
        <v>-7.4050399999999905E-2</v>
      </c>
      <c r="R4234">
        <v>-0.99632779999999999</v>
      </c>
      <c r="S4234">
        <v>-4.1122440000000003E-2</v>
      </c>
      <c r="T4234">
        <v>-0.30927919999999998</v>
      </c>
      <c r="U4234">
        <v>-2.9860989999999998</v>
      </c>
      <c r="V4234">
        <v>0.38378299999999999</v>
      </c>
      <c r="W4234">
        <v>-6.3474539999999996E-2</v>
      </c>
      <c r="X4234">
        <v>0.92123909999999998</v>
      </c>
      <c r="Y4234">
        <v>0.35771429999999999</v>
      </c>
      <c r="Z4234">
        <v>7.4893899999999999E-2</v>
      </c>
      <c r="AA4234">
        <v>0.93082299999999996</v>
      </c>
      <c r="AB4234">
        <v>11</v>
      </c>
      <c r="AC4234">
        <v>-0.174300000000016</v>
      </c>
      <c r="AD4234">
        <v>-1.117588170414</v>
      </c>
      <c r="AE4234">
        <v>-10.6748999999999</v>
      </c>
      <c r="AF4234">
        <v>3.8074789379013199</v>
      </c>
      <c r="AG4234">
        <v>-1.117588170414</v>
      </c>
      <c r="AH4234">
        <v>9.8503520199019992</v>
      </c>
      <c r="AI4234">
        <v>96.040908930795396</v>
      </c>
      <c r="AJ4234">
        <v>68.866874251299507</v>
      </c>
      <c r="AK4234">
        <v>10.619573159840201</v>
      </c>
      <c r="AL4234">
        <v>93.639270028817904</v>
      </c>
      <c r="AM4234">
        <v>67.383665862627893</v>
      </c>
      <c r="AN4234">
        <v>0.99999994384300905</v>
      </c>
    </row>
    <row r="4235" spans="1:40" x14ac:dyDescent="0.25">
      <c r="A4235" t="str">
        <f>"20190303154854052"</f>
        <v>20190303154854052</v>
      </c>
      <c r="B4235" t="str">
        <f>"1551599334045186"</f>
        <v>1551599334045186</v>
      </c>
      <c r="C4235" t="s">
        <v>40</v>
      </c>
      <c r="D4235">
        <v>5.6910689999999997</v>
      </c>
      <c r="E4235">
        <v>0.48983169999999998</v>
      </c>
      <c r="F4235" t="s">
        <v>41</v>
      </c>
      <c r="G4235">
        <v>-190.1232</v>
      </c>
      <c r="H4235" s="1">
        <v>-3.1737440000000002E-6</v>
      </c>
      <c r="I4235">
        <v>196.91079999999999</v>
      </c>
      <c r="J4235">
        <v>-189.92930000000001</v>
      </c>
      <c r="K4235">
        <v>1.1176569999999999</v>
      </c>
      <c r="L4235">
        <v>207.47499999999999</v>
      </c>
      <c r="M4235">
        <v>0.33361970000000002</v>
      </c>
      <c r="N4235">
        <v>-1.520614E-2</v>
      </c>
      <c r="O4235">
        <v>-0.94258529999999996</v>
      </c>
      <c r="P4235">
        <v>-4.4083379999999998E-2</v>
      </c>
      <c r="Q4235">
        <v>-7.4522959999999999E-2</v>
      </c>
      <c r="R4235">
        <v>-0.99624500000000005</v>
      </c>
      <c r="S4235">
        <v>-4.8248289999999999E-2</v>
      </c>
      <c r="T4235">
        <v>-0.31284580000000001</v>
      </c>
      <c r="U4235">
        <v>-2.9857179999999999</v>
      </c>
      <c r="V4235">
        <v>0.37341360000000001</v>
      </c>
      <c r="W4235">
        <v>-6.3758480000000006E-2</v>
      </c>
      <c r="X4235">
        <v>0.9254713</v>
      </c>
      <c r="Y4235">
        <v>0.34841169999999999</v>
      </c>
      <c r="Z4235">
        <v>7.6812329999999998E-2</v>
      </c>
      <c r="AA4235">
        <v>0.93418900000000005</v>
      </c>
      <c r="AB4235">
        <v>11</v>
      </c>
      <c r="AC4235">
        <v>-0.193899999999985</v>
      </c>
      <c r="AD4235">
        <v>-1.117660173744</v>
      </c>
      <c r="AE4235">
        <v>-10.5642</v>
      </c>
      <c r="AF4235">
        <v>3.6665941475369501</v>
      </c>
      <c r="AG4235">
        <v>-1.117660173744</v>
      </c>
      <c r="AH4235">
        <v>9.7846304110465692</v>
      </c>
      <c r="AI4235">
        <v>96.105299620132897</v>
      </c>
      <c r="AJ4235">
        <v>69.457520688282699</v>
      </c>
      <c r="AK4235">
        <v>10.5086663848227</v>
      </c>
      <c r="AL4235">
        <v>93.655571430819506</v>
      </c>
      <c r="AM4235">
        <v>68.026673318066699</v>
      </c>
      <c r="AN4235">
        <v>0.99999999378028004</v>
      </c>
    </row>
    <row r="4236" spans="1:40" x14ac:dyDescent="0.25">
      <c r="A4236" t="str">
        <f>"20190303154854074"</f>
        <v>20190303154854074</v>
      </c>
      <c r="B4236" t="str">
        <f>"1551599334064702"</f>
        <v>1551599334064702</v>
      </c>
      <c r="C4236" t="s">
        <v>40</v>
      </c>
      <c r="D4236">
        <v>5.7244650000000004</v>
      </c>
      <c r="E4236">
        <v>0.48983599999999999</v>
      </c>
      <c r="F4236" t="s">
        <v>41</v>
      </c>
      <c r="G4236">
        <v>-190.11080000000001</v>
      </c>
      <c r="H4236" s="1">
        <v>-3.1961600000000002E-6</v>
      </c>
      <c r="I4236">
        <v>196.97069999999999</v>
      </c>
      <c r="J4236">
        <v>-189.90780000000001</v>
      </c>
      <c r="K4236">
        <v>1.11774</v>
      </c>
      <c r="L4236">
        <v>207.3674</v>
      </c>
      <c r="M4236">
        <v>0.32143080000000002</v>
      </c>
      <c r="N4236">
        <v>-1.5151100000000001E-2</v>
      </c>
      <c r="O4236">
        <v>-0.94681190000000004</v>
      </c>
      <c r="P4236">
        <v>-4.6786979999999999E-2</v>
      </c>
      <c r="Q4236">
        <v>-7.4907699999999994E-2</v>
      </c>
      <c r="R4236">
        <v>-0.99609250000000005</v>
      </c>
      <c r="S4236">
        <v>-5.155945E-2</v>
      </c>
      <c r="T4236">
        <v>-0.31763239999999998</v>
      </c>
      <c r="U4236">
        <v>-2.9852599999999998</v>
      </c>
      <c r="V4236">
        <v>0.36397760000000001</v>
      </c>
      <c r="W4236">
        <v>-6.3973680000000005E-2</v>
      </c>
      <c r="X4236">
        <v>0.92920809999999998</v>
      </c>
      <c r="Y4236">
        <v>0.33734309999999901</v>
      </c>
      <c r="Z4236">
        <v>7.9157699999999998E-2</v>
      </c>
      <c r="AA4236">
        <v>0.93804779999999999</v>
      </c>
      <c r="AB4236">
        <v>11</v>
      </c>
      <c r="AC4236">
        <v>-0.20300000000000201</v>
      </c>
      <c r="AD4236">
        <v>-1.11774319616</v>
      </c>
      <c r="AE4236">
        <v>-10.396699999999999</v>
      </c>
      <c r="AF4236">
        <v>3.4940580590860302</v>
      </c>
      <c r="AG4236">
        <v>-1.11774319616</v>
      </c>
      <c r="AH4236">
        <v>9.6678893940280197</v>
      </c>
      <c r="AI4236">
        <v>96.205440829940699</v>
      </c>
      <c r="AJ4236">
        <v>70.129710107144305</v>
      </c>
      <c r="AK4236">
        <v>10.340496937187501</v>
      </c>
      <c r="AL4236">
        <v>93.667926650079906</v>
      </c>
      <c r="AM4236">
        <v>68.6093585072921</v>
      </c>
      <c r="AN4236">
        <v>1.00000000907005</v>
      </c>
    </row>
    <row r="4237" spans="1:40" x14ac:dyDescent="0.25">
      <c r="A4237" t="str">
        <f>"20190303154854090"</f>
        <v>20190303154854090</v>
      </c>
      <c r="B4237" t="str">
        <f>"1551599334085198"</f>
        <v>1551599334085198</v>
      </c>
      <c r="C4237" t="s">
        <v>40</v>
      </c>
      <c r="D4237">
        <v>5.6980009999999996</v>
      </c>
      <c r="E4237">
        <v>0.48984090000000002</v>
      </c>
      <c r="F4237" t="s">
        <v>41</v>
      </c>
      <c r="G4237">
        <v>-190.11590000000001</v>
      </c>
      <c r="H4237" s="1">
        <v>-3.208465E-6</v>
      </c>
      <c r="I4237">
        <v>196.99619999999999</v>
      </c>
      <c r="J4237">
        <v>-189.89340000000001</v>
      </c>
      <c r="K4237">
        <v>1.117802</v>
      </c>
      <c r="L4237">
        <v>207.29140000000001</v>
      </c>
      <c r="M4237">
        <v>0.31288769999999999</v>
      </c>
      <c r="N4237">
        <v>-1.510972E-2</v>
      </c>
      <c r="O4237">
        <v>-0.94967009999999996</v>
      </c>
      <c r="P4237">
        <v>-5.1287979999999997E-2</v>
      </c>
      <c r="Q4237">
        <v>-7.5561639999999999E-2</v>
      </c>
      <c r="R4237">
        <v>-0.99582179999999998</v>
      </c>
      <c r="S4237">
        <v>-5.9875490000000003E-2</v>
      </c>
      <c r="T4237">
        <v>-0.32168390000000002</v>
      </c>
      <c r="U4237">
        <v>-2.9847869999999999</v>
      </c>
      <c r="V4237">
        <v>0.35979519999999998</v>
      </c>
      <c r="W4237">
        <v>-6.4548789999999995E-2</v>
      </c>
      <c r="X4237">
        <v>0.93079579999999995</v>
      </c>
      <c r="Y4237">
        <v>0.33147379999999999</v>
      </c>
      <c r="Z4237">
        <v>8.0966620000000003E-2</v>
      </c>
      <c r="AA4237">
        <v>0.93998380000000004</v>
      </c>
      <c r="AB4237">
        <v>11</v>
      </c>
      <c r="AC4237">
        <v>-0.22249999999999601</v>
      </c>
      <c r="AD4237">
        <v>-1.1178052084650001</v>
      </c>
      <c r="AE4237">
        <v>-10.295199999999999</v>
      </c>
      <c r="AF4237">
        <v>3.3929548477654001</v>
      </c>
      <c r="AG4237">
        <v>-1.1178052084650001</v>
      </c>
      <c r="AH4237">
        <v>9.5954684331882394</v>
      </c>
      <c r="AI4237">
        <v>96.267622663007202</v>
      </c>
      <c r="AJ4237">
        <v>70.526420411770999</v>
      </c>
      <c r="AK4237">
        <v>10.2388791151843</v>
      </c>
      <c r="AL4237">
        <v>93.700946393624093</v>
      </c>
      <c r="AM4237">
        <v>68.866200249620505</v>
      </c>
      <c r="AN4237">
        <v>0.99999997676557095</v>
      </c>
    </row>
    <row r="4238" spans="1:40" x14ac:dyDescent="0.25">
      <c r="A4238" t="str">
        <f>"20190303154854109"</f>
        <v>20190303154854109</v>
      </c>
      <c r="B4238" t="str">
        <f>"1551599334104719"</f>
        <v>1551599334104719</v>
      </c>
      <c r="C4238" t="s">
        <v>40</v>
      </c>
      <c r="D4238">
        <v>5.6900190000000004</v>
      </c>
      <c r="E4238">
        <v>0.48985980000000001</v>
      </c>
      <c r="F4238" t="s">
        <v>41</v>
      </c>
      <c r="G4238">
        <v>-190.14490000000001</v>
      </c>
      <c r="H4238" s="1">
        <v>-3.247007E-6</v>
      </c>
      <c r="I4238">
        <v>197.06809999999999</v>
      </c>
      <c r="J4238">
        <v>-189.87610000000001</v>
      </c>
      <c r="K4238">
        <v>1.117875</v>
      </c>
      <c r="L4238">
        <v>207.1951</v>
      </c>
      <c r="M4238">
        <v>0.30214020000000003</v>
      </c>
      <c r="N4238">
        <v>-1.505562E-2</v>
      </c>
      <c r="O4238">
        <v>-0.95314460000000001</v>
      </c>
      <c r="P4238">
        <v>-5.2399099999999997E-2</v>
      </c>
      <c r="Q4238">
        <v>-7.6907240000000002E-2</v>
      </c>
      <c r="R4238">
        <v>-0.9956604</v>
      </c>
      <c r="S4238">
        <v>-7.3410030000000001E-2</v>
      </c>
      <c r="T4238">
        <v>-0.32627650000000002</v>
      </c>
      <c r="U4238">
        <v>-2.9840849999999999</v>
      </c>
      <c r="V4238">
        <v>0.35028199999999998</v>
      </c>
      <c r="W4238">
        <v>-6.5741289999999994E-2</v>
      </c>
      <c r="X4238">
        <v>0.93433429999999995</v>
      </c>
      <c r="Y4238">
        <v>0.32507750000000002</v>
      </c>
      <c r="Z4238">
        <v>8.3072649999999998E-2</v>
      </c>
      <c r="AA4238">
        <v>0.94203159999999997</v>
      </c>
      <c r="AB4238">
        <v>11</v>
      </c>
      <c r="AC4238">
        <v>-0.26879999999999798</v>
      </c>
      <c r="AD4238">
        <v>-1.1178782470069999</v>
      </c>
      <c r="AE4238">
        <v>-10.127000000000001</v>
      </c>
      <c r="AF4238">
        <v>3.2764592370403798</v>
      </c>
      <c r="AG4238">
        <v>-1.1178782470069999</v>
      </c>
      <c r="AH4238">
        <v>9.4572095675535603</v>
      </c>
      <c r="AI4238">
        <v>96.372992517664997</v>
      </c>
      <c r="AJ4238">
        <v>70.891308071820006</v>
      </c>
      <c r="AK4238">
        <v>10.070930925775601</v>
      </c>
      <c r="AL4238">
        <v>93.769417009761497</v>
      </c>
      <c r="AM4238">
        <v>69.448974323576394</v>
      </c>
      <c r="AN4238">
        <v>0.999999990445677</v>
      </c>
    </row>
    <row r="4239" spans="1:40" x14ac:dyDescent="0.25">
      <c r="A4239" t="str">
        <f>"20190303154854132"</f>
        <v>20190303154854132</v>
      </c>
      <c r="B4239" t="str">
        <f>"1551599334125214"</f>
        <v>1551599334125214</v>
      </c>
      <c r="C4239" t="s">
        <v>40</v>
      </c>
      <c r="D4239">
        <v>5.6374040000000001</v>
      </c>
      <c r="E4239">
        <v>0.48972949999999998</v>
      </c>
      <c r="F4239" t="s">
        <v>41</v>
      </c>
      <c r="G4239">
        <v>-190.13409999999999</v>
      </c>
      <c r="H4239" s="1">
        <v>-3.2898989999999998E-6</v>
      </c>
      <c r="I4239">
        <v>197.1748</v>
      </c>
      <c r="J4239">
        <v>-189.857</v>
      </c>
      <c r="K4239">
        <v>1.1179589999999999</v>
      </c>
      <c r="L4239">
        <v>207.083</v>
      </c>
      <c r="M4239">
        <v>0.28973860000000001</v>
      </c>
      <c r="N4239">
        <v>-1.4991859999999999E-2</v>
      </c>
      <c r="O4239">
        <v>-0.95698859999999997</v>
      </c>
      <c r="P4239">
        <v>-4.9045190000000002E-2</v>
      </c>
      <c r="Q4239">
        <v>-7.8683980000000001E-2</v>
      </c>
      <c r="R4239">
        <v>-0.99569260000000004</v>
      </c>
      <c r="S4239">
        <v>-7.6827999999999994E-2</v>
      </c>
      <c r="T4239">
        <v>-0.33282399999999901</v>
      </c>
      <c r="U4239">
        <v>-2.9833219999999998</v>
      </c>
      <c r="V4239">
        <v>0.334933799999999</v>
      </c>
      <c r="W4239">
        <v>-6.7295880000000002E-2</v>
      </c>
      <c r="X4239">
        <v>0.93983539999999999</v>
      </c>
      <c r="Y4239">
        <v>0.31386619999999998</v>
      </c>
      <c r="Z4239">
        <v>8.5956950000000004E-2</v>
      </c>
      <c r="AA4239">
        <v>0.94556830000000003</v>
      </c>
      <c r="AB4239">
        <v>11</v>
      </c>
      <c r="AC4239">
        <v>-0.27709999999999002</v>
      </c>
      <c r="AD4239">
        <v>-1.11796228989899</v>
      </c>
      <c r="AE4239">
        <v>-9.9081999999999901</v>
      </c>
      <c r="AF4239">
        <v>3.0969250499750398</v>
      </c>
      <c r="AG4239">
        <v>-1.11796228989899</v>
      </c>
      <c r="AH4239">
        <v>9.2846911220366799</v>
      </c>
      <c r="AI4239">
        <v>96.516238734813896</v>
      </c>
      <c r="AJ4239">
        <v>71.553788564115607</v>
      </c>
      <c r="AK4239">
        <v>9.8512067117904802</v>
      </c>
      <c r="AL4239">
        <v>93.858686211028299</v>
      </c>
      <c r="AM4239">
        <v>70.385205794779495</v>
      </c>
      <c r="AN4239">
        <v>0.99999998247028699</v>
      </c>
    </row>
    <row r="4240" spans="1:40" x14ac:dyDescent="0.25">
      <c r="A4240" t="str">
        <f>"20190303154854153"</f>
        <v>20190303154854153</v>
      </c>
      <c r="B4240" t="str">
        <f>"1551599334144734"</f>
        <v>1551599334144734</v>
      </c>
      <c r="C4240" t="s">
        <v>40</v>
      </c>
      <c r="D4240">
        <v>5.762346</v>
      </c>
      <c r="E4240">
        <v>0.48966349999999997</v>
      </c>
      <c r="F4240" t="s">
        <v>41</v>
      </c>
      <c r="G4240">
        <v>-190.07380000000001</v>
      </c>
      <c r="H4240" s="1">
        <v>-3.2945750000000001E-6</v>
      </c>
      <c r="I4240">
        <v>197.22309999999999</v>
      </c>
      <c r="J4240">
        <v>-189.8409</v>
      </c>
      <c r="K4240">
        <v>1.118034</v>
      </c>
      <c r="L4240">
        <v>206.98150000000001</v>
      </c>
      <c r="M4240">
        <v>0.27861200000000003</v>
      </c>
      <c r="N4240">
        <v>-1.493535E-2</v>
      </c>
      <c r="O4240">
        <v>-0.96028760000000002</v>
      </c>
      <c r="P4240">
        <v>-4.9009900000000002E-2</v>
      </c>
      <c r="Q4240">
        <v>-7.8340530000000005E-2</v>
      </c>
      <c r="R4240">
        <v>-0.99572119999999997</v>
      </c>
      <c r="S4240">
        <v>-6.5597530000000001E-2</v>
      </c>
      <c r="T4240">
        <v>-0.33822750000000001</v>
      </c>
      <c r="U4240">
        <v>-2.9830169999999998</v>
      </c>
      <c r="V4240">
        <v>0.32400420000000002</v>
      </c>
      <c r="W4240">
        <v>-6.6804390000000005E-2</v>
      </c>
      <c r="X4240">
        <v>0.94369409999999998</v>
      </c>
      <c r="Y4240">
        <v>0.29926760000000002</v>
      </c>
      <c r="Z4240">
        <v>8.8483179999999995E-2</v>
      </c>
      <c r="AA4240">
        <v>0.9500577</v>
      </c>
      <c r="AB4240">
        <v>11</v>
      </c>
      <c r="AC4240">
        <v>-0.2329</v>
      </c>
      <c r="AD4240">
        <v>-1.1180372945749999</v>
      </c>
      <c r="AE4240">
        <v>-9.7584000000000195</v>
      </c>
      <c r="AF4240">
        <v>2.9046794469217101</v>
      </c>
      <c r="AG4240">
        <v>-1.1180372945749999</v>
      </c>
      <c r="AH4240">
        <v>9.1865002141220202</v>
      </c>
      <c r="AI4240">
        <v>96.619102824856796</v>
      </c>
      <c r="AJ4240">
        <v>72.453566845098806</v>
      </c>
      <c r="AK4240">
        <v>9.6994307186295199</v>
      </c>
      <c r="AL4240">
        <v>93.830462129022806</v>
      </c>
      <c r="AM4240">
        <v>71.050806333380294</v>
      </c>
      <c r="AN4240">
        <v>1.00000005125785</v>
      </c>
    </row>
    <row r="4241" spans="1:40" x14ac:dyDescent="0.25">
      <c r="A4241" t="str">
        <f>"20190303154854177"</f>
        <v>20190303154854177</v>
      </c>
      <c r="B4241" t="str">
        <f>"1551599334165229"</f>
        <v>1551599334165229</v>
      </c>
      <c r="C4241" t="s">
        <v>40</v>
      </c>
      <c r="D4241">
        <v>5.7516129999999999</v>
      </c>
      <c r="E4241">
        <v>0.48961260000000001</v>
      </c>
      <c r="F4241" t="s">
        <v>41</v>
      </c>
      <c r="G4241">
        <v>-190.05510000000001</v>
      </c>
      <c r="H4241" s="1">
        <v>-3.2504790000000001E-6</v>
      </c>
      <c r="I4241">
        <v>197.1319</v>
      </c>
      <c r="J4241">
        <v>-189.8236</v>
      </c>
      <c r="K4241">
        <v>1.118112</v>
      </c>
      <c r="L4241">
        <v>206.86410000000001</v>
      </c>
      <c r="M4241">
        <v>0.26583079999999998</v>
      </c>
      <c r="N4241">
        <v>-1.487282E-2</v>
      </c>
      <c r="O4241">
        <v>-0.96390500000000001</v>
      </c>
      <c r="P4241">
        <v>-5.1164759999999997E-2</v>
      </c>
      <c r="Q4241">
        <v>-7.6052800000000004E-2</v>
      </c>
      <c r="R4241">
        <v>-0.99579010000000001</v>
      </c>
      <c r="S4241">
        <v>-6.4880370000000007E-2</v>
      </c>
      <c r="T4241">
        <v>-0.33861049999999998</v>
      </c>
      <c r="U4241">
        <v>-2.9830930000000002</v>
      </c>
      <c r="V4241">
        <v>0.31357780000000002</v>
      </c>
      <c r="W4241">
        <v>-6.4386659999999998E-2</v>
      </c>
      <c r="X4241">
        <v>0.94737709999999997</v>
      </c>
      <c r="Y4241">
        <v>0.28635509999999997</v>
      </c>
      <c r="Z4241">
        <v>8.9496259999999994E-2</v>
      </c>
      <c r="AA4241">
        <v>0.95393459999999997</v>
      </c>
      <c r="AB4241">
        <v>11</v>
      </c>
      <c r="AC4241">
        <v>-0.231500000000011</v>
      </c>
      <c r="AD4241">
        <v>-1.118115250479</v>
      </c>
      <c r="AE4241">
        <v>-9.7322000000000006</v>
      </c>
      <c r="AF4241">
        <v>2.7739794001315801</v>
      </c>
      <c r="AG4241">
        <v>-1.118115250479</v>
      </c>
      <c r="AH4241">
        <v>9.1990545397298202</v>
      </c>
      <c r="AI4241">
        <v>96.637705927746197</v>
      </c>
      <c r="AJ4241">
        <v>73.219289201467902</v>
      </c>
      <c r="AK4241">
        <v>9.6730423265191998</v>
      </c>
      <c r="AL4241">
        <v>93.691637489513695</v>
      </c>
      <c r="AM4241">
        <v>71.685675542601004</v>
      </c>
      <c r="AN4241">
        <v>1.0000000241216001</v>
      </c>
    </row>
    <row r="4242" spans="1:40" x14ac:dyDescent="0.25">
      <c r="A4242" t="str">
        <f>"20190303154854199"</f>
        <v>20190303154854199</v>
      </c>
      <c r="B4242" t="str">
        <f>"1551599334195487"</f>
        <v>1551599334195487</v>
      </c>
      <c r="C4242" t="s">
        <v>40</v>
      </c>
      <c r="D4242">
        <v>5.7444620000000004</v>
      </c>
      <c r="E4242">
        <v>0.48949939999999997</v>
      </c>
      <c r="F4242" t="s">
        <v>41</v>
      </c>
      <c r="G4242">
        <v>-190.06120000000001</v>
      </c>
      <c r="H4242" s="1">
        <v>-3.141359E-6</v>
      </c>
      <c r="I4242">
        <v>196.87370000000001</v>
      </c>
      <c r="J4242">
        <v>-189.809</v>
      </c>
      <c r="K4242">
        <v>1.1181669999999999</v>
      </c>
      <c r="L4242">
        <v>206.75720000000001</v>
      </c>
      <c r="M4242">
        <v>0.25429580000000002</v>
      </c>
      <c r="N4242">
        <v>-1.4819479999999999E-2</v>
      </c>
      <c r="O4242">
        <v>-0.96701309999999996</v>
      </c>
      <c r="P4242">
        <v>-5.3765100000000003E-2</v>
      </c>
      <c r="Q4242">
        <v>-7.4934009999999995E-2</v>
      </c>
      <c r="R4242">
        <v>-0.99573800000000001</v>
      </c>
      <c r="S4242">
        <v>-7.0968630000000005E-2</v>
      </c>
      <c r="T4242">
        <v>-0.33391399999999999</v>
      </c>
      <c r="U4242">
        <v>-2.9835210000000001</v>
      </c>
      <c r="V4242">
        <v>0.30476700000000001</v>
      </c>
      <c r="W4242">
        <v>-6.3169589999999998E-2</v>
      </c>
      <c r="X4242">
        <v>0.9503298</v>
      </c>
      <c r="Y4242">
        <v>0.2768584</v>
      </c>
      <c r="Z4242">
        <v>8.8771390000000006E-2</v>
      </c>
      <c r="AA4242">
        <v>0.95680149999999997</v>
      </c>
      <c r="AB4242">
        <v>10</v>
      </c>
      <c r="AC4242">
        <v>-0.25219999999998699</v>
      </c>
      <c r="AD4242">
        <v>-1.1181701413589999</v>
      </c>
      <c r="AE4242">
        <v>-9.8834999999999908</v>
      </c>
      <c r="AF4242">
        <v>2.7226891527746999</v>
      </c>
      <c r="AG4242">
        <v>-1.1181701413589999</v>
      </c>
      <c r="AH4242">
        <v>9.3744709323606301</v>
      </c>
      <c r="AI4242">
        <v>96.534459276601794</v>
      </c>
      <c r="AJ4242">
        <v>73.804770685720001</v>
      </c>
      <c r="AK4242">
        <v>9.8256829762280695</v>
      </c>
      <c r="AL4242">
        <v>93.621762250197804</v>
      </c>
      <c r="AM4242">
        <v>72.219160124769701</v>
      </c>
      <c r="AN4242">
        <v>1.0000000250789001</v>
      </c>
    </row>
    <row r="4243" spans="1:40" x14ac:dyDescent="0.25">
      <c r="A4243" t="str">
        <f>"20190303154854220"</f>
        <v>20190303154854220</v>
      </c>
      <c r="B4243" t="str">
        <f>"1551599334215006"</f>
        <v>1551599334215006</v>
      </c>
      <c r="C4243" t="s">
        <v>40</v>
      </c>
      <c r="D4243">
        <v>5.7232019999999997</v>
      </c>
      <c r="E4243">
        <v>0.48947390000000002</v>
      </c>
      <c r="F4243" t="s">
        <v>41</v>
      </c>
      <c r="G4243">
        <v>-190.07040000000001</v>
      </c>
      <c r="H4243" s="1">
        <v>-3.1007670000000002E-6</v>
      </c>
      <c r="I4243">
        <v>196.77340000000001</v>
      </c>
      <c r="J4243">
        <v>-189.79570000000001</v>
      </c>
      <c r="K4243">
        <v>1.1182099999999999</v>
      </c>
      <c r="L4243">
        <v>206.65090000000001</v>
      </c>
      <c r="M4243">
        <v>0.24291080000000001</v>
      </c>
      <c r="N4243">
        <v>-1.476971E-2</v>
      </c>
      <c r="O4243">
        <v>-0.96993629999999997</v>
      </c>
      <c r="P4243">
        <v>-5.6516530000000002E-2</v>
      </c>
      <c r="Q4243">
        <v>-7.4778849999999994E-2</v>
      </c>
      <c r="R4243">
        <v>-0.99559739999999997</v>
      </c>
      <c r="S4243">
        <v>-7.8109739999999997E-2</v>
      </c>
      <c r="T4243">
        <v>-0.33414329999999998</v>
      </c>
      <c r="U4243">
        <v>-2.9834589999999999</v>
      </c>
      <c r="V4243">
        <v>0.29622890000000002</v>
      </c>
      <c r="W4243">
        <v>-6.292623E-2</v>
      </c>
      <c r="X4243">
        <v>0.9530419</v>
      </c>
      <c r="Y4243">
        <v>0.26785209999999998</v>
      </c>
      <c r="Z4243">
        <v>8.951713E-2</v>
      </c>
      <c r="AA4243">
        <v>0.95929240000000005</v>
      </c>
      <c r="AB4243">
        <v>10</v>
      </c>
      <c r="AC4243">
        <v>-0.274699999999995</v>
      </c>
      <c r="AD4243">
        <v>-1.118213100767</v>
      </c>
      <c r="AE4243">
        <v>-9.8774999999999906</v>
      </c>
      <c r="AF4243">
        <v>2.6323728198546998</v>
      </c>
      <c r="AG4243">
        <v>-1.118213100767</v>
      </c>
      <c r="AH4243">
        <v>9.3945468123293399</v>
      </c>
      <c r="AI4243">
        <v>96.538342913819804</v>
      </c>
      <c r="AJ4243">
        <v>74.347010384619594</v>
      </c>
      <c r="AK4243">
        <v>9.8202493354539708</v>
      </c>
      <c r="AL4243">
        <v>93.607790800899195</v>
      </c>
      <c r="AM4243">
        <v>72.733468254712506</v>
      </c>
      <c r="AN4243">
        <v>1.00000006738641</v>
      </c>
    </row>
    <row r="4244" spans="1:40" x14ac:dyDescent="0.25">
      <c r="A4244" t="str">
        <f>"20190303154854243"</f>
        <v>20190303154854243</v>
      </c>
      <c r="B4244" t="str">
        <f>"1551599334234526"</f>
        <v>1551599334234526</v>
      </c>
      <c r="C4244" t="s">
        <v>40</v>
      </c>
      <c r="D4244">
        <v>5.780621</v>
      </c>
      <c r="E4244">
        <v>0.48942829999999898</v>
      </c>
      <c r="F4244" t="s">
        <v>41</v>
      </c>
      <c r="G4244">
        <v>-190.08369999999999</v>
      </c>
      <c r="H4244" s="1">
        <v>-3.0727729999999999E-6</v>
      </c>
      <c r="I4244">
        <v>196.69990000000001</v>
      </c>
      <c r="J4244">
        <v>-189.7833</v>
      </c>
      <c r="K4244">
        <v>1.1182510000000001</v>
      </c>
      <c r="L4244">
        <v>206.54230000000001</v>
      </c>
      <c r="M4244">
        <v>0.23137469999999999</v>
      </c>
      <c r="N4244">
        <v>-1.4721959999999999E-2</v>
      </c>
      <c r="O4244">
        <v>-0.97275339999999999</v>
      </c>
      <c r="P4244">
        <v>-5.8767029999999998E-2</v>
      </c>
      <c r="Q4244">
        <v>-7.609399E-2</v>
      </c>
      <c r="R4244">
        <v>-0.99536760000000002</v>
      </c>
      <c r="S4244">
        <v>-8.6349490000000001E-2</v>
      </c>
      <c r="T4244">
        <v>-0.33522570000000002</v>
      </c>
      <c r="U4244">
        <v>-2.9831850000000002</v>
      </c>
      <c r="V4244">
        <v>0.28703430000000002</v>
      </c>
      <c r="W4244">
        <v>-6.4149600000000001E-2</v>
      </c>
      <c r="X4244">
        <v>0.95577000000000001</v>
      </c>
      <c r="Y4244">
        <v>0.25905909999999999</v>
      </c>
      <c r="Z4244">
        <v>9.0507110000000002E-2</v>
      </c>
      <c r="AA4244">
        <v>0.96161160000000001</v>
      </c>
      <c r="AB4244">
        <v>10</v>
      </c>
      <c r="AC4244">
        <v>-0.300399999999996</v>
      </c>
      <c r="AD4244">
        <v>-1.1182540727729999</v>
      </c>
      <c r="AE4244">
        <v>-9.8423999999999907</v>
      </c>
      <c r="AF4244">
        <v>2.5370564002264002</v>
      </c>
      <c r="AG4244">
        <v>-1.1182540727729999</v>
      </c>
      <c r="AH4244">
        <v>9.3847216735561005</v>
      </c>
      <c r="AI4244">
        <v>96.561762191436102</v>
      </c>
      <c r="AJ4244">
        <v>74.872322173443393</v>
      </c>
      <c r="AK4244">
        <v>9.7857114324568499</v>
      </c>
      <c r="AL4244">
        <v>93.678026620763603</v>
      </c>
      <c r="AM4244">
        <v>73.284076489507697</v>
      </c>
      <c r="AN4244">
        <v>1.0000000767283199</v>
      </c>
    </row>
    <row r="4245" spans="1:40" x14ac:dyDescent="0.25">
      <c r="A4245" t="str">
        <f>"20190303154854264"</f>
        <v>20190303154854264</v>
      </c>
      <c r="B4245" t="str">
        <f>"1551599334255022"</f>
        <v>1551599334255022</v>
      </c>
      <c r="C4245" t="s">
        <v>40</v>
      </c>
      <c r="D4245">
        <v>5.7287309999999998</v>
      </c>
      <c r="E4245">
        <v>0.48945909999999898</v>
      </c>
      <c r="F4245" t="s">
        <v>41</v>
      </c>
      <c r="G4245">
        <v>-190.08750000000001</v>
      </c>
      <c r="H4245" s="1">
        <v>-3.0915969999999999E-6</v>
      </c>
      <c r="I4245">
        <v>196.7414</v>
      </c>
      <c r="J4245">
        <v>-189.7724</v>
      </c>
      <c r="K4245">
        <v>1.11829</v>
      </c>
      <c r="L4245">
        <v>206.43700000000001</v>
      </c>
      <c r="M4245">
        <v>0.22026229999999999</v>
      </c>
      <c r="N4245">
        <v>-1.467795E-2</v>
      </c>
      <c r="O4245">
        <v>-0.97533029999999998</v>
      </c>
      <c r="P4245">
        <v>-5.973842E-2</v>
      </c>
      <c r="Q4245">
        <v>-7.7549229999999997E-2</v>
      </c>
      <c r="R4245">
        <v>-0.9951972</v>
      </c>
      <c r="S4245">
        <v>-9.2559810000000006E-2</v>
      </c>
      <c r="T4245">
        <v>-0.34029169999999997</v>
      </c>
      <c r="U4245">
        <v>-2.9824679999999999</v>
      </c>
      <c r="V4245">
        <v>0.27702939999999998</v>
      </c>
      <c r="W4245">
        <v>-6.5504270000000003E-2</v>
      </c>
      <c r="X4245">
        <v>0.95862599999999998</v>
      </c>
      <c r="Y4245">
        <v>0.25003969999999998</v>
      </c>
      <c r="Z4245">
        <v>9.2716560000000003E-2</v>
      </c>
      <c r="AA4245">
        <v>0.96378620000000004</v>
      </c>
      <c r="AB4245">
        <v>10</v>
      </c>
      <c r="AC4245">
        <v>-0.31510000000000099</v>
      </c>
      <c r="AD4245">
        <v>-1.118293091597</v>
      </c>
      <c r="AE4245">
        <v>-9.6956000000000095</v>
      </c>
      <c r="AF4245">
        <v>2.4111225552806901</v>
      </c>
      <c r="AG4245">
        <v>-1.118293091597</v>
      </c>
      <c r="AH4245">
        <v>9.2648942599621709</v>
      </c>
      <c r="AI4245">
        <v>96.662605655141405</v>
      </c>
      <c r="AJ4245">
        <v>75.412750944949707</v>
      </c>
      <c r="AK4245">
        <v>9.6385868810514292</v>
      </c>
      <c r="AL4245">
        <v>93.755807569868296</v>
      </c>
      <c r="AM4245">
        <v>73.881451575769901</v>
      </c>
      <c r="AN4245">
        <v>0.99999995286429499</v>
      </c>
    </row>
    <row r="4246" spans="1:40" x14ac:dyDescent="0.25">
      <c r="A4246" t="str">
        <f>"20190303154854288"</f>
        <v>20190303154854288</v>
      </c>
      <c r="B4246" t="str">
        <f>"1551599334285278"</f>
        <v>1551599334285278</v>
      </c>
      <c r="C4246" t="s">
        <v>40</v>
      </c>
      <c r="D4246">
        <v>5.7115030000000004</v>
      </c>
      <c r="E4246">
        <v>0.48952030000000002</v>
      </c>
      <c r="F4246" t="s">
        <v>41</v>
      </c>
      <c r="G4246">
        <v>-190.08189999999999</v>
      </c>
      <c r="H4246" s="1">
        <v>-3.1084370000000001E-6</v>
      </c>
      <c r="I4246">
        <v>196.7841</v>
      </c>
      <c r="J4246">
        <v>-189.76179999999999</v>
      </c>
      <c r="K4246">
        <v>1.118323</v>
      </c>
      <c r="L4246">
        <v>206.3228</v>
      </c>
      <c r="M4246">
        <v>0.20828150000000001</v>
      </c>
      <c r="N4246">
        <v>-1.4630550000000001E-2</v>
      </c>
      <c r="O4246">
        <v>-0.97795969999999999</v>
      </c>
      <c r="P4246">
        <v>-6.3329380000000005E-2</v>
      </c>
      <c r="Q4246">
        <v>-7.7566839999999998E-2</v>
      </c>
      <c r="R4246">
        <v>-0.99497420000000003</v>
      </c>
      <c r="S4246">
        <v>-9.5611570000000007E-2</v>
      </c>
      <c r="T4246">
        <v>-0.34544730000000001</v>
      </c>
      <c r="U4246">
        <v>-2.981827</v>
      </c>
      <c r="V4246">
        <v>0.26873320000000001</v>
      </c>
      <c r="W4246">
        <v>-6.5448660000000006E-2</v>
      </c>
      <c r="X4246">
        <v>0.96098850000000002</v>
      </c>
      <c r="Y4246">
        <v>0.23914369999999999</v>
      </c>
      <c r="Z4246">
        <v>9.5006080000000007E-2</v>
      </c>
      <c r="AA4246">
        <v>0.96632499999999999</v>
      </c>
      <c r="AB4246">
        <v>10</v>
      </c>
      <c r="AC4246">
        <v>-0.320099999999996</v>
      </c>
      <c r="AD4246">
        <v>-1.118326108437</v>
      </c>
      <c r="AE4246">
        <v>-9.5387000000000004</v>
      </c>
      <c r="AF4246">
        <v>2.2688737679899602</v>
      </c>
      <c r="AG4246">
        <v>-1.118326108437</v>
      </c>
      <c r="AH4246">
        <v>9.1373275162519505</v>
      </c>
      <c r="AI4246">
        <v>96.774068803694902</v>
      </c>
      <c r="AJ4246">
        <v>76.055021365943503</v>
      </c>
      <c r="AK4246">
        <v>9.4809912772420493</v>
      </c>
      <c r="AL4246">
        <v>93.752614403094796</v>
      </c>
      <c r="AM4246">
        <v>74.376750880341604</v>
      </c>
      <c r="AN4246">
        <v>0.999999978505142</v>
      </c>
    </row>
    <row r="4247" spans="1:40" x14ac:dyDescent="0.25">
      <c r="A4247" t="str">
        <f>"20190303154854310"</f>
        <v>20190303154854310</v>
      </c>
      <c r="B4247" t="str">
        <f>"1551599334304798"</f>
        <v>1551599334304798</v>
      </c>
      <c r="C4247" t="s">
        <v>40</v>
      </c>
      <c r="D4247">
        <v>5.7303989999999896</v>
      </c>
      <c r="E4247">
        <v>0.48956319999999998</v>
      </c>
      <c r="F4247" t="s">
        <v>42</v>
      </c>
      <c r="G4247">
        <v>-189.79079999999999</v>
      </c>
      <c r="H4247">
        <v>1.0245500000000001</v>
      </c>
      <c r="I4247">
        <v>205.51519999999999</v>
      </c>
      <c r="J4247">
        <v>-189.75309999999999</v>
      </c>
      <c r="K4247">
        <v>1.1183559999999999</v>
      </c>
      <c r="L4247">
        <v>206.21549999999999</v>
      </c>
      <c r="M4247">
        <v>0.197075</v>
      </c>
      <c r="N4247">
        <v>-1.456957E-2</v>
      </c>
      <c r="O4247">
        <v>-0.98028029999999999</v>
      </c>
      <c r="P4247">
        <v>-6.6471939999999993E-2</v>
      </c>
      <c r="Q4247">
        <v>-7.5637280000000001E-2</v>
      </c>
      <c r="R4247">
        <v>-0.99491759999999996</v>
      </c>
      <c r="S4247">
        <v>-0.10696410000000001</v>
      </c>
      <c r="T4247">
        <v>-0.34607660000000001</v>
      </c>
      <c r="U4247">
        <v>-2.9813689999999999</v>
      </c>
      <c r="V4247">
        <v>0.26081559999999998</v>
      </c>
      <c r="W4247">
        <v>-6.3472799999999996E-2</v>
      </c>
      <c r="X4247">
        <v>0.96329980000000004</v>
      </c>
      <c r="Y4247">
        <v>0.23171230000000001</v>
      </c>
      <c r="Z4247">
        <v>9.577534E-2</v>
      </c>
      <c r="AA4247">
        <v>0.96805810000000003</v>
      </c>
      <c r="AB4247">
        <v>10</v>
      </c>
      <c r="AC4247">
        <v>-3.7700000000000899E-2</v>
      </c>
      <c r="AD4247">
        <v>-9.3805999999999806E-2</v>
      </c>
      <c r="AE4247">
        <v>-0.70029999999999804</v>
      </c>
      <c r="AF4247">
        <v>0.17191106555918101</v>
      </c>
      <c r="AG4247">
        <v>-9.3805999999999806E-2</v>
      </c>
      <c r="AH4247">
        <v>0.66719570973715203</v>
      </c>
      <c r="AI4247">
        <v>97.753179380064907</v>
      </c>
      <c r="AJ4247">
        <v>75.551323669306001</v>
      </c>
      <c r="AK4247">
        <v>0.69534386830499495</v>
      </c>
      <c r="AL4247">
        <v>93.639169785551104</v>
      </c>
      <c r="AM4247">
        <v>74.850259640918395</v>
      </c>
      <c r="AN4247">
        <v>1.00000003911161</v>
      </c>
    </row>
    <row r="4248" spans="1:40" x14ac:dyDescent="0.25">
      <c r="A4248" t="str">
        <f>"20190303154854332"</f>
        <v>20190303154854332</v>
      </c>
      <c r="B4248" t="str">
        <f>"1551599334325298"</f>
        <v>1551599334325298</v>
      </c>
      <c r="C4248" t="s">
        <v>40</v>
      </c>
      <c r="D4248">
        <v>5.74756</v>
      </c>
      <c r="E4248">
        <v>0.48962860000000002</v>
      </c>
      <c r="F4248" t="s">
        <v>42</v>
      </c>
      <c r="G4248">
        <v>-189.7842</v>
      </c>
      <c r="H4248">
        <v>1.0273859999999999</v>
      </c>
      <c r="I4248">
        <v>205.41990000000001</v>
      </c>
      <c r="J4248">
        <v>-189.74549999999999</v>
      </c>
      <c r="K4248">
        <v>1.118368</v>
      </c>
      <c r="L4248">
        <v>206.10939999999999</v>
      </c>
      <c r="M4248">
        <v>0.1860562</v>
      </c>
      <c r="N4248">
        <v>-1.4479250000000001E-2</v>
      </c>
      <c r="O4248">
        <v>-0.98243239999999998</v>
      </c>
      <c r="P4248">
        <v>-6.8269300000000005E-2</v>
      </c>
      <c r="Q4248">
        <v>-7.2783570000000006E-2</v>
      </c>
      <c r="R4248">
        <v>-0.99500849999999996</v>
      </c>
      <c r="S4248">
        <v>-0.1170807</v>
      </c>
      <c r="T4248">
        <v>-0.34072419999999998</v>
      </c>
      <c r="U4248">
        <v>-2.9815830000000001</v>
      </c>
      <c r="V4248">
        <v>0.2517993</v>
      </c>
      <c r="W4248">
        <v>-6.059705E-2</v>
      </c>
      <c r="X4248">
        <v>0.96588050000000003</v>
      </c>
      <c r="Y4248">
        <v>0.22408040000000001</v>
      </c>
      <c r="Z4248">
        <v>9.4629530000000003E-2</v>
      </c>
      <c r="AA4248">
        <v>0.96996559999999998</v>
      </c>
      <c r="AB4248">
        <v>10</v>
      </c>
      <c r="AC4248">
        <v>-3.8700000000005702E-2</v>
      </c>
      <c r="AD4248">
        <v>-9.0981999999999896E-2</v>
      </c>
      <c r="AE4248">
        <v>-0.68949999999998102</v>
      </c>
      <c r="AF4248">
        <v>0.163485688705622</v>
      </c>
      <c r="AG4248">
        <v>-9.0981999999999896E-2</v>
      </c>
      <c r="AH4248">
        <v>0.65882181871247902</v>
      </c>
      <c r="AI4248">
        <v>97.634025248967603</v>
      </c>
      <c r="AJ4248">
        <v>76.063639405505199</v>
      </c>
      <c r="AK4248">
        <v>0.68487333394370797</v>
      </c>
      <c r="AL4248">
        <v>93.474083520167795</v>
      </c>
      <c r="AM4248">
        <v>75.388541906441901</v>
      </c>
      <c r="AN4248">
        <v>1.0000000151147199</v>
      </c>
    </row>
    <row r="4249" spans="1:40" x14ac:dyDescent="0.25">
      <c r="A4249" t="str">
        <f>"20190303154854353"</f>
        <v>20190303154854353</v>
      </c>
      <c r="B4249" t="str">
        <f>"1551599334344814"</f>
        <v>1551599334344814</v>
      </c>
      <c r="C4249" t="s">
        <v>40</v>
      </c>
      <c r="D4249">
        <v>5.7014570000000004</v>
      </c>
      <c r="E4249">
        <v>0.48964659999999899</v>
      </c>
      <c r="F4249" t="s">
        <v>42</v>
      </c>
      <c r="G4249">
        <v>-189.77799999999999</v>
      </c>
      <c r="H4249">
        <v>1.0306770000000001</v>
      </c>
      <c r="I4249">
        <v>205.32419999999999</v>
      </c>
      <c r="J4249">
        <v>-189.73910000000001</v>
      </c>
      <c r="K4249">
        <v>1.1183749999999999</v>
      </c>
      <c r="L4249">
        <v>206.00450000000001</v>
      </c>
      <c r="M4249">
        <v>0.1752232</v>
      </c>
      <c r="N4249">
        <v>-1.436521E-2</v>
      </c>
      <c r="O4249">
        <v>-0.98442399999999997</v>
      </c>
      <c r="P4249">
        <v>-6.9110619999999998E-2</v>
      </c>
      <c r="Q4249">
        <v>-7.1099679999999998E-2</v>
      </c>
      <c r="R4249">
        <v>-0.99507250000000003</v>
      </c>
      <c r="S4249">
        <v>-0.1234283</v>
      </c>
      <c r="T4249">
        <v>-0.33305050000000003</v>
      </c>
      <c r="U4249">
        <v>-2.982224</v>
      </c>
      <c r="V4249">
        <v>0.24200769999999999</v>
      </c>
      <c r="W4249">
        <v>-5.8908530000000001E-2</v>
      </c>
      <c r="X4249">
        <v>0.96848440000000002</v>
      </c>
      <c r="Y4249">
        <v>0.21541460000000001</v>
      </c>
      <c r="Z4249">
        <v>9.2725710000000003E-2</v>
      </c>
      <c r="AA4249">
        <v>0.97211029999999998</v>
      </c>
      <c r="AB4249">
        <v>10</v>
      </c>
      <c r="AC4249">
        <v>-3.8899999999983899E-2</v>
      </c>
      <c r="AD4249">
        <v>-8.7697999999999804E-2</v>
      </c>
      <c r="AE4249">
        <v>-0.680300000000016</v>
      </c>
      <c r="AF4249">
        <v>0.154948143854854</v>
      </c>
      <c r="AG4249">
        <v>-8.7697999999999804E-2</v>
      </c>
      <c r="AH4249">
        <v>0.652153662515225</v>
      </c>
      <c r="AI4249">
        <v>97.453802951243205</v>
      </c>
      <c r="AJ4249">
        <v>76.634654611031806</v>
      </c>
      <c r="AK4249">
        <v>0.67602090649630597</v>
      </c>
      <c r="AL4249">
        <v>93.377165361064598</v>
      </c>
      <c r="AM4249">
        <v>75.970070844725299</v>
      </c>
      <c r="AN4249">
        <v>0.99999998740470497</v>
      </c>
    </row>
    <row r="4250" spans="1:40" x14ac:dyDescent="0.25">
      <c r="A4250" t="str">
        <f>"20190303154854377"</f>
        <v>20190303154854377</v>
      </c>
      <c r="B4250" t="str">
        <f>"1551599334365310"</f>
        <v>1551599334365310</v>
      </c>
      <c r="C4250" t="s">
        <v>40</v>
      </c>
      <c r="D4250">
        <v>5.6980529999999998</v>
      </c>
      <c r="E4250">
        <v>0.48972250000000001</v>
      </c>
      <c r="F4250" t="s">
        <v>42</v>
      </c>
      <c r="G4250">
        <v>-189.77189999999999</v>
      </c>
      <c r="H4250">
        <v>1.0330440000000001</v>
      </c>
      <c r="I4250">
        <v>205.2295</v>
      </c>
      <c r="J4250">
        <v>-189.73339999999999</v>
      </c>
      <c r="K4250">
        <v>1.1183860000000001</v>
      </c>
      <c r="L4250">
        <v>205.8922</v>
      </c>
      <c r="M4250">
        <v>0.1637304</v>
      </c>
      <c r="N4250">
        <v>-1.423293E-2</v>
      </c>
      <c r="O4250">
        <v>-0.98640249999999996</v>
      </c>
      <c r="P4250">
        <v>-6.9416140000000001E-2</v>
      </c>
      <c r="Q4250">
        <v>-7.1528699999999903E-2</v>
      </c>
      <c r="R4250">
        <v>-0.99502029999999997</v>
      </c>
      <c r="S4250">
        <v>-0.12625120000000001</v>
      </c>
      <c r="T4250">
        <v>-0.3281908</v>
      </c>
      <c r="U4250">
        <v>-2.982666</v>
      </c>
      <c r="V4250">
        <v>0.2310006</v>
      </c>
      <c r="W4250">
        <v>-5.933252E-2</v>
      </c>
      <c r="X4250">
        <v>0.97114279999999997</v>
      </c>
      <c r="Y4250">
        <v>0.20494699999999999</v>
      </c>
      <c r="Z4250">
        <v>9.17438E-2</v>
      </c>
      <c r="AA4250">
        <v>0.97446390000000005</v>
      </c>
      <c r="AB4250">
        <v>10</v>
      </c>
      <c r="AC4250">
        <v>-3.8499999999999E-2</v>
      </c>
      <c r="AD4250">
        <v>-8.5342000000000001E-2</v>
      </c>
      <c r="AE4250">
        <v>-0.66270000000000095</v>
      </c>
      <c r="AF4250">
        <v>0.144113510776917</v>
      </c>
      <c r="AG4250">
        <v>-8.5342000000000001E-2</v>
      </c>
      <c r="AH4250">
        <v>0.63692359379251895</v>
      </c>
      <c r="AI4250">
        <v>97.445638336294806</v>
      </c>
      <c r="AJ4250">
        <v>77.250649044907505</v>
      </c>
      <c r="AK4250">
        <v>0.65857696989951497</v>
      </c>
      <c r="AL4250">
        <v>93.401500785236706</v>
      </c>
      <c r="AM4250">
        <v>76.620002610582603</v>
      </c>
      <c r="AN4250">
        <v>0.999999981560874</v>
      </c>
    </row>
    <row r="4251" spans="1:40" x14ac:dyDescent="0.25">
      <c r="A4251" t="str">
        <f>"20190303154854400"</f>
        <v>20190303154854400</v>
      </c>
      <c r="B4251" t="str">
        <f>"1551599334395568"</f>
        <v>1551599334395568</v>
      </c>
      <c r="C4251" t="s">
        <v>40</v>
      </c>
      <c r="D4251">
        <v>5.6895100000000003</v>
      </c>
      <c r="E4251">
        <v>0.48982949999999997</v>
      </c>
      <c r="F4251" t="s">
        <v>42</v>
      </c>
      <c r="G4251">
        <v>-189.76570000000001</v>
      </c>
      <c r="H4251">
        <v>1.034529</v>
      </c>
      <c r="I4251">
        <v>205.13499999999999</v>
      </c>
      <c r="J4251">
        <v>-189.72880000000001</v>
      </c>
      <c r="K4251">
        <v>1.118428</v>
      </c>
      <c r="L4251">
        <v>205.78100000000001</v>
      </c>
      <c r="M4251">
        <v>0.15247529999999901</v>
      </c>
      <c r="N4251">
        <v>-1.410343E-2</v>
      </c>
      <c r="O4251">
        <v>-0.98820669999999999</v>
      </c>
      <c r="P4251">
        <v>-6.8873160000000003E-2</v>
      </c>
      <c r="Q4251">
        <v>-7.3013389999999997E-2</v>
      </c>
      <c r="R4251">
        <v>-0.99495</v>
      </c>
      <c r="S4251">
        <v>-0.12767029999999999</v>
      </c>
      <c r="T4251">
        <v>-0.33011699999999999</v>
      </c>
      <c r="U4251">
        <v>-2.9823759999999999</v>
      </c>
      <c r="V4251">
        <v>0.21937599999999999</v>
      </c>
      <c r="W4251">
        <v>-6.0793510000000002E-2</v>
      </c>
      <c r="X4251">
        <v>0.97374450000000001</v>
      </c>
      <c r="Y4251">
        <v>0.19425239999999999</v>
      </c>
      <c r="Z4251">
        <v>9.2917570000000005E-2</v>
      </c>
      <c r="AA4251">
        <v>0.97654099999999999</v>
      </c>
      <c r="AB4251">
        <v>10</v>
      </c>
      <c r="AC4251">
        <v>-3.6900000000002799E-2</v>
      </c>
      <c r="AD4251">
        <v>-8.3898999999999904E-2</v>
      </c>
      <c r="AE4251">
        <v>-0.64599999999998603</v>
      </c>
      <c r="AF4251">
        <v>0.13274549694771801</v>
      </c>
      <c r="AG4251">
        <v>-8.3898999999999904E-2</v>
      </c>
      <c r="AH4251">
        <v>0.62235471947162102</v>
      </c>
      <c r="AI4251">
        <v>97.510741439321905</v>
      </c>
      <c r="AJ4251">
        <v>77.959495044324598</v>
      </c>
      <c r="AK4251">
        <v>0.64186120463032903</v>
      </c>
      <c r="AL4251">
        <v>93.485360637769304</v>
      </c>
      <c r="AM4251">
        <v>77.303740668293401</v>
      </c>
      <c r="AN4251">
        <v>1.00000001575718</v>
      </c>
    </row>
    <row r="4252" spans="1:40" x14ac:dyDescent="0.25">
      <c r="A4252" t="str">
        <f>"20190303154854421"</f>
        <v>20190303154854421</v>
      </c>
      <c r="B4252" t="str">
        <f>"1551599334415086"</f>
        <v>1551599334415086</v>
      </c>
      <c r="C4252" t="s">
        <v>40</v>
      </c>
      <c r="D4252">
        <v>5.6994699999999998</v>
      </c>
      <c r="E4252">
        <v>0.4899097</v>
      </c>
      <c r="F4252" t="s">
        <v>42</v>
      </c>
      <c r="G4252">
        <v>-189.7603</v>
      </c>
      <c r="H4252">
        <v>1.0354219999999901</v>
      </c>
      <c r="I4252">
        <v>205.04</v>
      </c>
      <c r="J4252">
        <v>-189.72559999999999</v>
      </c>
      <c r="K4252">
        <v>1.1184889999999901</v>
      </c>
      <c r="L4252">
        <v>205.67769999999999</v>
      </c>
      <c r="M4252">
        <v>0.14217630000000001</v>
      </c>
      <c r="N4252">
        <v>-1.398576E-2</v>
      </c>
      <c r="O4252">
        <v>-0.98974249999999997</v>
      </c>
      <c r="P4252">
        <v>-6.717534E-2</v>
      </c>
      <c r="Q4252">
        <v>-7.4041250000000003E-2</v>
      </c>
      <c r="R4252">
        <v>-0.99499029999999999</v>
      </c>
      <c r="S4252">
        <v>-0.12670899999999999</v>
      </c>
      <c r="T4252">
        <v>-0.33393299999999998</v>
      </c>
      <c r="U4252">
        <v>-2.9819490000000002</v>
      </c>
      <c r="V4252">
        <v>0.20756350000000001</v>
      </c>
      <c r="W4252">
        <v>-6.1778060000000003E-2</v>
      </c>
      <c r="X4252">
        <v>0.97626880000000005</v>
      </c>
      <c r="Y4252">
        <v>0.1837221</v>
      </c>
      <c r="Z4252">
        <v>9.4646729999999998E-2</v>
      </c>
      <c r="AA4252">
        <v>0.97841109999999998</v>
      </c>
      <c r="AB4252">
        <v>10</v>
      </c>
      <c r="AC4252">
        <v>-3.4700000000014997E-2</v>
      </c>
      <c r="AD4252">
        <v>-8.3067000000000002E-2</v>
      </c>
      <c r="AE4252">
        <v>-0.63769999999999505</v>
      </c>
      <c r="AF4252">
        <v>0.12294222979568301</v>
      </c>
      <c r="AG4252">
        <v>-8.3067000000000002E-2</v>
      </c>
      <c r="AH4252">
        <v>0.61586751930309902</v>
      </c>
      <c r="AI4252">
        <v>97.534681061349403</v>
      </c>
      <c r="AJ4252">
        <v>78.710757515572197</v>
      </c>
      <c r="AK4252">
        <v>0.63348853161575702</v>
      </c>
      <c r="AL4252">
        <v>93.5418776600077</v>
      </c>
      <c r="AM4252">
        <v>77.997127281548103</v>
      </c>
      <c r="AN4252">
        <v>0.99999995254152496</v>
      </c>
    </row>
    <row r="4253" spans="1:40" x14ac:dyDescent="0.25">
      <c r="A4253" t="str">
        <f>"20190303154854443"</f>
        <v>20190303154854443</v>
      </c>
      <c r="B4253" t="str">
        <f>"1551599334435582"</f>
        <v>1551599334435582</v>
      </c>
      <c r="C4253" t="s">
        <v>40</v>
      </c>
      <c r="D4253">
        <v>5.6810169999999998</v>
      </c>
      <c r="E4253">
        <v>0.49001869999999997</v>
      </c>
      <c r="F4253" t="s">
        <v>42</v>
      </c>
      <c r="G4253">
        <v>-189.75919999999999</v>
      </c>
      <c r="H4253">
        <v>1.025404</v>
      </c>
      <c r="I4253">
        <v>204.8545</v>
      </c>
      <c r="J4253">
        <v>-189.72309999999999</v>
      </c>
      <c r="K4253">
        <v>1.118582</v>
      </c>
      <c r="L4253">
        <v>205.57</v>
      </c>
      <c r="M4253">
        <v>0.13161419999999999</v>
      </c>
      <c r="N4253">
        <v>-1.386275E-2</v>
      </c>
      <c r="O4253">
        <v>-0.99120419999999998</v>
      </c>
      <c r="P4253">
        <v>-6.6305660000000002E-2</v>
      </c>
      <c r="Q4253">
        <v>-7.5266459999999993E-2</v>
      </c>
      <c r="R4253">
        <v>-0.99495659999999997</v>
      </c>
      <c r="S4253">
        <v>-0.1220551</v>
      </c>
      <c r="T4253">
        <v>-0.33688869999999999</v>
      </c>
      <c r="U4253">
        <v>-2.9817960000000001</v>
      </c>
      <c r="V4253">
        <v>0.19629260000000001</v>
      </c>
      <c r="W4253">
        <v>-6.2965579999999993E-2</v>
      </c>
      <c r="X4253">
        <v>0.97852159999999999</v>
      </c>
      <c r="Y4253">
        <v>0.17171159999999999</v>
      </c>
      <c r="Z4253">
        <v>9.6101190000000003E-2</v>
      </c>
      <c r="AA4253">
        <v>0.98044869999999995</v>
      </c>
      <c r="AB4253">
        <v>10</v>
      </c>
      <c r="AC4253">
        <v>-3.6100000000004601E-2</v>
      </c>
      <c r="AD4253">
        <v>-9.31779999999999E-2</v>
      </c>
      <c r="AE4253">
        <v>-0.71549999999999103</v>
      </c>
      <c r="AF4253">
        <v>0.12780296169097899</v>
      </c>
      <c r="AG4253">
        <v>-9.31779999999999E-2</v>
      </c>
      <c r="AH4253">
        <v>0.69280333332991295</v>
      </c>
      <c r="AI4253">
        <v>97.534354445662402</v>
      </c>
      <c r="AJ4253">
        <v>79.548024058686906</v>
      </c>
      <c r="AK4253">
        <v>0.71062802884070397</v>
      </c>
      <c r="AL4253">
        <v>93.610050166003603</v>
      </c>
      <c r="AM4253">
        <v>78.656950395122095</v>
      </c>
      <c r="AN4253">
        <v>0.99999998537302803</v>
      </c>
    </row>
    <row r="4254" spans="1:40" x14ac:dyDescent="0.25">
      <c r="A4254" t="str">
        <f>"20190303154854465"</f>
        <v>20190303154854465</v>
      </c>
      <c r="B4254" t="str">
        <f>"1551599334455102"</f>
        <v>1551599334455102</v>
      </c>
      <c r="C4254" t="s">
        <v>40</v>
      </c>
      <c r="D4254">
        <v>5.6952499999999997</v>
      </c>
      <c r="E4254">
        <v>0.49010720000000002</v>
      </c>
      <c r="F4254" t="s">
        <v>42</v>
      </c>
      <c r="G4254">
        <v>-189.75579999999999</v>
      </c>
      <c r="H4254">
        <v>1.026044</v>
      </c>
      <c r="I4254">
        <v>204.7595</v>
      </c>
      <c r="J4254">
        <v>-189.72149999999999</v>
      </c>
      <c r="K4254">
        <v>1.1186659999999999</v>
      </c>
      <c r="L4254">
        <v>205.46440000000001</v>
      </c>
      <c r="M4254">
        <v>0.1214263</v>
      </c>
      <c r="N4254">
        <v>-1.374528E-2</v>
      </c>
      <c r="O4254">
        <v>-0.99250519999999998</v>
      </c>
      <c r="P4254">
        <v>-6.6210130000000006E-2</v>
      </c>
      <c r="Q4254">
        <v>-7.5640789999999999E-2</v>
      </c>
      <c r="R4254">
        <v>-0.9949346</v>
      </c>
      <c r="S4254">
        <v>-0.1204071</v>
      </c>
      <c r="T4254">
        <v>-0.34029949999999998</v>
      </c>
      <c r="U4254">
        <v>-2.9814150000000001</v>
      </c>
      <c r="V4254">
        <v>0.18615670000000001</v>
      </c>
      <c r="W4254">
        <v>-6.3316380000000005E-2</v>
      </c>
      <c r="X4254">
        <v>0.98047779999999995</v>
      </c>
      <c r="Y4254">
        <v>0.16105220000000001</v>
      </c>
      <c r="Z4254">
        <v>9.7660230000000001E-2</v>
      </c>
      <c r="AA4254">
        <v>0.98210220000000004</v>
      </c>
      <c r="AB4254">
        <v>10</v>
      </c>
      <c r="AC4254">
        <v>-3.4300000000001697E-2</v>
      </c>
      <c r="AD4254">
        <v>-9.2621999999999899E-2</v>
      </c>
      <c r="AE4254">
        <v>-0.70490000000000896</v>
      </c>
      <c r="AF4254">
        <v>0.11762166688559</v>
      </c>
      <c r="AG4254">
        <v>-9.2621999999999899E-2</v>
      </c>
      <c r="AH4254">
        <v>0.68374067137799599</v>
      </c>
      <c r="AI4254">
        <v>97.604175227065994</v>
      </c>
      <c r="AJ4254">
        <v>80.239131634555505</v>
      </c>
      <c r="AK4254">
        <v>0.69993928101041603</v>
      </c>
      <c r="AL4254">
        <v>93.630189663828801</v>
      </c>
      <c r="AM4254">
        <v>79.249595397231104</v>
      </c>
      <c r="AN4254">
        <v>0.99999999861201705</v>
      </c>
    </row>
    <row r="4255" spans="1:40" x14ac:dyDescent="0.25">
      <c r="A4255" t="str">
        <f>"20190303154854488"</f>
        <v>20190303154854488</v>
      </c>
      <c r="B4255" t="str">
        <f>"1551599334485358"</f>
        <v>1551599334485358</v>
      </c>
      <c r="C4255" t="s">
        <v>40</v>
      </c>
      <c r="D4255">
        <v>5.6564730000000001</v>
      </c>
      <c r="E4255">
        <v>0.49020710000000001</v>
      </c>
      <c r="F4255" t="s">
        <v>42</v>
      </c>
      <c r="G4255">
        <v>-189.75380000000001</v>
      </c>
      <c r="H4255">
        <v>1.0269299999999999</v>
      </c>
      <c r="I4255">
        <v>204.6643</v>
      </c>
      <c r="J4255">
        <v>-189.72069999999999</v>
      </c>
      <c r="K4255">
        <v>1.1187419999999999</v>
      </c>
      <c r="L4255">
        <v>205.35640000000001</v>
      </c>
      <c r="M4255">
        <v>0.1112147</v>
      </c>
      <c r="N4255">
        <v>-1.363026E-2</v>
      </c>
      <c r="O4255">
        <v>-0.99370289999999994</v>
      </c>
      <c r="P4255">
        <v>-6.7120330000000006E-2</v>
      </c>
      <c r="Q4255">
        <v>-7.7211630000000003E-2</v>
      </c>
      <c r="R4255">
        <v>-0.99475279999999999</v>
      </c>
      <c r="S4255">
        <v>-0.1206512</v>
      </c>
      <c r="T4255">
        <v>-0.34169480000000002</v>
      </c>
      <c r="U4255">
        <v>-2.981277</v>
      </c>
      <c r="V4255">
        <v>0.17696479999999901</v>
      </c>
      <c r="W4255">
        <v>-6.4878790000000006E-2</v>
      </c>
      <c r="X4255">
        <v>0.98207650000000002</v>
      </c>
      <c r="Y4255">
        <v>0.15098549999999999</v>
      </c>
      <c r="Z4255">
        <v>9.8528569999999996E-2</v>
      </c>
      <c r="AA4255">
        <v>0.98361350000000003</v>
      </c>
      <c r="AB4255">
        <v>10</v>
      </c>
      <c r="AC4255">
        <v>-3.3100000000018698E-2</v>
      </c>
      <c r="AD4255">
        <v>-9.1812000000000005E-2</v>
      </c>
      <c r="AE4255">
        <v>-0.69210000000001004</v>
      </c>
      <c r="AF4255">
        <v>0.107977624945148</v>
      </c>
      <c r="AG4255">
        <v>-9.1812000000000005E-2</v>
      </c>
      <c r="AH4255">
        <v>0.67231971650472899</v>
      </c>
      <c r="AI4255">
        <v>97.679004331862799</v>
      </c>
      <c r="AJ4255">
        <v>80.875951094374599</v>
      </c>
      <c r="AK4255">
        <v>0.68709709068936897</v>
      </c>
      <c r="AL4255">
        <v>93.719893538435997</v>
      </c>
      <c r="AM4255">
        <v>79.785231439511605</v>
      </c>
      <c r="AN4255">
        <v>1.0000000248415699</v>
      </c>
    </row>
    <row r="4256" spans="1:40" x14ac:dyDescent="0.25">
      <c r="A4256" t="str">
        <f>"20190303154854510"</f>
        <v>20190303154854510</v>
      </c>
      <c r="B4256" t="str">
        <f>"1551599334504878"</f>
        <v>1551599334504878</v>
      </c>
      <c r="C4256" t="s">
        <v>40</v>
      </c>
      <c r="D4256">
        <v>5.6871239999999998</v>
      </c>
      <c r="E4256">
        <v>0.49028519999999998</v>
      </c>
      <c r="F4256" t="s">
        <v>42</v>
      </c>
      <c r="G4256">
        <v>-189.7535</v>
      </c>
      <c r="H4256">
        <v>1.0271079999999999</v>
      </c>
      <c r="I4256">
        <v>204.5693</v>
      </c>
      <c r="J4256">
        <v>-189.7208</v>
      </c>
      <c r="K4256">
        <v>1.118811</v>
      </c>
      <c r="L4256">
        <v>205.24870000000001</v>
      </c>
      <c r="M4256">
        <v>0.10126549999999999</v>
      </c>
      <c r="N4256">
        <v>-1.352013E-2</v>
      </c>
      <c r="O4256">
        <v>-0.99476759999999997</v>
      </c>
      <c r="P4256">
        <v>-6.8018759999999998E-2</v>
      </c>
      <c r="Q4256">
        <v>-8.133986E-2</v>
      </c>
      <c r="R4256">
        <v>-0.994363</v>
      </c>
      <c r="S4256">
        <v>-0.1239166</v>
      </c>
      <c r="T4256">
        <v>-0.34682729999999901</v>
      </c>
      <c r="U4256">
        <v>-2.9805600000000001</v>
      </c>
      <c r="V4256">
        <v>0.16798479999999999</v>
      </c>
      <c r="W4256">
        <v>-6.9003199999999904E-2</v>
      </c>
      <c r="X4256">
        <v>0.98337160000000001</v>
      </c>
      <c r="Y4256">
        <v>0.14217279999999999</v>
      </c>
      <c r="Z4256">
        <v>0.1005886</v>
      </c>
      <c r="AA4256">
        <v>0.98471770000000003</v>
      </c>
      <c r="AB4256">
        <v>10</v>
      </c>
      <c r="AC4256">
        <v>-3.2700000000005502E-2</v>
      </c>
      <c r="AD4256">
        <v>-9.1703000000000007E-2</v>
      </c>
      <c r="AE4256">
        <v>-0.67940000000001499</v>
      </c>
      <c r="AF4256">
        <v>9.9528850283228498E-2</v>
      </c>
      <c r="AG4256">
        <v>-9.1703000000000007E-2</v>
      </c>
      <c r="AH4256">
        <v>0.66058797646183198</v>
      </c>
      <c r="AI4256">
        <v>97.816195883010295</v>
      </c>
      <c r="AJ4256">
        <v>81.431859181400498</v>
      </c>
      <c r="AK4256">
        <v>0.67430846568439196</v>
      </c>
      <c r="AL4256">
        <v>93.956736264901394</v>
      </c>
      <c r="AM4256">
        <v>80.306000028755406</v>
      </c>
      <c r="AN4256">
        <v>1.00000001916391</v>
      </c>
    </row>
    <row r="4257" spans="1:40" x14ac:dyDescent="0.25">
      <c r="A4257" t="str">
        <f>"20190303154854533"</f>
        <v>20190303154854533</v>
      </c>
      <c r="B4257" t="str">
        <f>"1551599334525378"</f>
        <v>1551599334525378</v>
      </c>
      <c r="C4257" t="s">
        <v>40</v>
      </c>
      <c r="D4257">
        <v>5.6283719999999997</v>
      </c>
      <c r="E4257">
        <v>0.4903439</v>
      </c>
      <c r="F4257" t="s">
        <v>42</v>
      </c>
      <c r="G4257">
        <v>-189.75380000000001</v>
      </c>
      <c r="H4257">
        <v>1.0254080000000001</v>
      </c>
      <c r="I4257">
        <v>204.4752</v>
      </c>
      <c r="J4257">
        <v>-189.7216</v>
      </c>
      <c r="K4257">
        <v>1.1188800000000001</v>
      </c>
      <c r="L4257">
        <v>205.14109999999999</v>
      </c>
      <c r="M4257">
        <v>9.160944E-2</v>
      </c>
      <c r="N4257">
        <v>-1.341206E-2</v>
      </c>
      <c r="O4257">
        <v>-0.9957047</v>
      </c>
      <c r="P4257">
        <v>-6.9471340000000006E-2</v>
      </c>
      <c r="Q4257">
        <v>-8.6303019999999994E-2</v>
      </c>
      <c r="R4257">
        <v>-0.9938439</v>
      </c>
      <c r="S4257">
        <v>-0.12724299999999999</v>
      </c>
      <c r="T4257">
        <v>-0.35937419999999998</v>
      </c>
      <c r="U4257">
        <v>-2.9789279999999998</v>
      </c>
      <c r="V4257">
        <v>0.15983710000000001</v>
      </c>
      <c r="W4257">
        <v>-7.3968400000000004E-2</v>
      </c>
      <c r="X4257">
        <v>0.98436820000000003</v>
      </c>
      <c r="Y4257">
        <v>0.13366989999999901</v>
      </c>
      <c r="Z4257">
        <v>0.1050725</v>
      </c>
      <c r="AA4257">
        <v>0.98544010000000004</v>
      </c>
      <c r="AB4257">
        <v>10</v>
      </c>
      <c r="AC4257">
        <v>-3.2200000000017298E-2</v>
      </c>
      <c r="AD4257">
        <v>-9.3471999999999694E-2</v>
      </c>
      <c r="AE4257">
        <v>-0.66589999999999305</v>
      </c>
      <c r="AF4257">
        <v>9.1278471234768302E-2</v>
      </c>
      <c r="AG4257">
        <v>-9.3471999999999694E-2</v>
      </c>
      <c r="AH4257">
        <v>0.64742252596418204</v>
      </c>
      <c r="AI4257">
        <v>98.135973629801597</v>
      </c>
      <c r="AJ4257">
        <v>81.974906259875993</v>
      </c>
      <c r="AK4257">
        <v>0.66047308894518897</v>
      </c>
      <c r="AL4257">
        <v>94.241951383771394</v>
      </c>
      <c r="AM4257">
        <v>80.777073831288803</v>
      </c>
      <c r="AN4257">
        <v>0.99999998795310496</v>
      </c>
    </row>
    <row r="4258" spans="1:40" x14ac:dyDescent="0.25">
      <c r="A4258" t="str">
        <f>"20190303154854554"</f>
        <v>20190303154854554</v>
      </c>
      <c r="B4258" t="str">
        <f>"1551599334544894"</f>
        <v>1551599334544894</v>
      </c>
      <c r="C4258" t="s">
        <v>40</v>
      </c>
      <c r="D4258">
        <v>5.6672390000000004</v>
      </c>
      <c r="E4258">
        <v>0.49042910000000001</v>
      </c>
      <c r="F4258" t="s">
        <v>42</v>
      </c>
      <c r="G4258">
        <v>-189.7552</v>
      </c>
      <c r="H4258">
        <v>1.0233319999999999</v>
      </c>
      <c r="I4258">
        <v>204.38130000000001</v>
      </c>
      <c r="J4258">
        <v>-189.72290000000001</v>
      </c>
      <c r="K4258">
        <v>1.1189830000000001</v>
      </c>
      <c r="L4258">
        <v>205.03899999999999</v>
      </c>
      <c r="M4258">
        <v>8.2742209999999997E-2</v>
      </c>
      <c r="N4258">
        <v>-1.3309140000000001E-2</v>
      </c>
      <c r="O4258">
        <v>-0.99648199999999998</v>
      </c>
      <c r="P4258">
        <v>-7.0395139999999995E-2</v>
      </c>
      <c r="Q4258">
        <v>-8.9257810000000007E-2</v>
      </c>
      <c r="R4258">
        <v>-0.99351769999999995</v>
      </c>
      <c r="S4258">
        <v>-0.1317902</v>
      </c>
      <c r="T4258">
        <v>-0.37446800000000002</v>
      </c>
      <c r="U4258">
        <v>-2.9768370000000002</v>
      </c>
      <c r="V4258">
        <v>0.15197939999999999</v>
      </c>
      <c r="W4258">
        <v>-7.6920370000000002E-2</v>
      </c>
      <c r="X4258">
        <v>0.98538599999999998</v>
      </c>
      <c r="Y4258">
        <v>0.12635479999999999</v>
      </c>
      <c r="Z4258">
        <v>0.1103687</v>
      </c>
      <c r="AA4258">
        <v>0.98582610000000004</v>
      </c>
      <c r="AB4258">
        <v>10</v>
      </c>
      <c r="AC4258">
        <v>-3.2299999999992203E-2</v>
      </c>
      <c r="AD4258">
        <v>-9.5651000000000097E-2</v>
      </c>
      <c r="AE4258">
        <v>-0.65770000000000495</v>
      </c>
      <c r="AF4258">
        <v>8.4823839753985303E-2</v>
      </c>
      <c r="AG4258">
        <v>-9.5651000000000097E-2</v>
      </c>
      <c r="AH4258">
        <v>0.63928282225515198</v>
      </c>
      <c r="AI4258">
        <v>98.436738262040294</v>
      </c>
      <c r="AJ4258">
        <v>82.441804927519797</v>
      </c>
      <c r="AK4258">
        <v>0.65194073689417598</v>
      </c>
      <c r="AL4258">
        <v>94.411570118348394</v>
      </c>
      <c r="AM4258">
        <v>81.232166316462198</v>
      </c>
      <c r="AN4258">
        <v>1.00000002517064</v>
      </c>
    </row>
    <row r="4259" spans="1:40" x14ac:dyDescent="0.25">
      <c r="A4259" t="str">
        <f>"20190303154854579"</f>
        <v>20190303154854579</v>
      </c>
      <c r="B4259" t="str">
        <f>"1551599334575151"</f>
        <v>1551599334575151</v>
      </c>
      <c r="C4259" t="s">
        <v>40</v>
      </c>
      <c r="D4259">
        <v>5.6116080000000004</v>
      </c>
      <c r="E4259">
        <v>0.49043989999999998</v>
      </c>
      <c r="F4259" t="s">
        <v>42</v>
      </c>
      <c r="G4259">
        <v>-189.75710000000001</v>
      </c>
      <c r="H4259">
        <v>1.0219929999999999</v>
      </c>
      <c r="I4259">
        <v>204.28710000000001</v>
      </c>
      <c r="J4259">
        <v>-189.7251</v>
      </c>
      <c r="K4259">
        <v>1.119151</v>
      </c>
      <c r="L4259">
        <v>204.9229</v>
      </c>
      <c r="M4259">
        <v>7.30098E-2</v>
      </c>
      <c r="N4259">
        <v>-1.319149E-2</v>
      </c>
      <c r="O4259">
        <v>-0.99724409999999997</v>
      </c>
      <c r="P4259">
        <v>-7.2639770000000006E-2</v>
      </c>
      <c r="Q4259">
        <v>-8.7381E-2</v>
      </c>
      <c r="R4259">
        <v>-0.99352339999999995</v>
      </c>
      <c r="S4259">
        <v>-0.1352081</v>
      </c>
      <c r="T4259">
        <v>-0.38350010000000001</v>
      </c>
      <c r="U4259">
        <v>-2.9755099999999999</v>
      </c>
      <c r="V4259">
        <v>0.14464250000000001</v>
      </c>
      <c r="W4259">
        <v>-7.5044139999999995E-2</v>
      </c>
      <c r="X4259">
        <v>0.98663409999999996</v>
      </c>
      <c r="Y4259">
        <v>0.1178057</v>
      </c>
      <c r="Z4259">
        <v>0.1136914</v>
      </c>
      <c r="AA4259">
        <v>0.98650700000000002</v>
      </c>
      <c r="AB4259">
        <v>10</v>
      </c>
      <c r="AC4259">
        <v>-3.2000000000010603E-2</v>
      </c>
      <c r="AD4259">
        <v>-9.7157999999999994E-2</v>
      </c>
      <c r="AE4259">
        <v>-0.63579999999998904</v>
      </c>
      <c r="AF4259">
        <v>7.6555084501393894E-2</v>
      </c>
      <c r="AG4259">
        <v>-9.7157999999999994E-2</v>
      </c>
      <c r="AH4259">
        <v>0.61738587812226797</v>
      </c>
      <c r="AI4259">
        <v>98.876403567797297</v>
      </c>
      <c r="AJ4259">
        <v>82.931474746716503</v>
      </c>
      <c r="AK4259">
        <v>0.62965520757936999</v>
      </c>
      <c r="AL4259">
        <v>94.303758653588901</v>
      </c>
      <c r="AM4259">
        <v>81.659737391538698</v>
      </c>
      <c r="AN4259">
        <v>0.99999996151869897</v>
      </c>
    </row>
    <row r="4260" spans="1:40" x14ac:dyDescent="0.25">
      <c r="A4260" t="str">
        <f>"20190303154854602"</f>
        <v>20190303154854602</v>
      </c>
      <c r="B4260" t="str">
        <f>"1551599334594671"</f>
        <v>1551599334594671</v>
      </c>
      <c r="C4260" t="s">
        <v>40</v>
      </c>
      <c r="D4260">
        <v>5.602061</v>
      </c>
      <c r="E4260">
        <v>0.49045859999999902</v>
      </c>
      <c r="F4260" t="s">
        <v>42</v>
      </c>
      <c r="G4260">
        <v>-189.76</v>
      </c>
      <c r="H4260">
        <v>1.0259849999999999</v>
      </c>
      <c r="I4260">
        <v>204.1902</v>
      </c>
      <c r="J4260">
        <v>-189.7277</v>
      </c>
      <c r="K4260">
        <v>1.1193340000000001</v>
      </c>
      <c r="L4260">
        <v>204.81180000000001</v>
      </c>
      <c r="M4260">
        <v>6.4119350000000006E-2</v>
      </c>
      <c r="N4260">
        <v>-1.3080090000000001E-2</v>
      </c>
      <c r="O4260">
        <v>-0.99785659999999998</v>
      </c>
      <c r="P4260">
        <v>-7.364453E-2</v>
      </c>
      <c r="Q4260">
        <v>-8.4078520000000004E-2</v>
      </c>
      <c r="R4260">
        <v>-0.99373420000000001</v>
      </c>
      <c r="S4260">
        <v>-0.14199829999999999</v>
      </c>
      <c r="T4260">
        <v>-0.37840059999999998</v>
      </c>
      <c r="U4260">
        <v>-2.9759060000000002</v>
      </c>
      <c r="V4260">
        <v>0.1369165</v>
      </c>
      <c r="W4260">
        <v>-7.1736220000000003E-2</v>
      </c>
      <c r="X4260">
        <v>0.98798169999999996</v>
      </c>
      <c r="Y4260">
        <v>0.11121010000000001</v>
      </c>
      <c r="Z4260">
        <v>0.1122823</v>
      </c>
      <c r="AA4260">
        <v>0.98743360000000002</v>
      </c>
      <c r="AB4260">
        <v>10</v>
      </c>
      <c r="AC4260">
        <v>-3.2299999999992203E-2</v>
      </c>
      <c r="AD4260">
        <v>-9.3348999999999904E-2</v>
      </c>
      <c r="AE4260">
        <v>-0.62160000000000004</v>
      </c>
      <c r="AF4260">
        <v>7.0507665535965505E-2</v>
      </c>
      <c r="AG4260">
        <v>-9.3348999999999904E-2</v>
      </c>
      <c r="AH4260">
        <v>0.604649719103448</v>
      </c>
      <c r="AI4260">
        <v>98.718177060543496</v>
      </c>
      <c r="AJ4260">
        <v>83.348828452859706</v>
      </c>
      <c r="AK4260">
        <v>0.61586252484804604</v>
      </c>
      <c r="AL4260">
        <v>94.113715949146993</v>
      </c>
      <c r="AM4260">
        <v>82.110087547587497</v>
      </c>
      <c r="AN4260">
        <v>1.00000002638351</v>
      </c>
    </row>
    <row r="4261" spans="1:40" x14ac:dyDescent="0.25">
      <c r="A4261" t="str">
        <f>"20190303154854622"</f>
        <v>20190303154854622</v>
      </c>
      <c r="B4261" t="str">
        <f>"1551599334615029"</f>
        <v>1551599334615029</v>
      </c>
      <c r="C4261" t="s">
        <v>40</v>
      </c>
      <c r="D4261">
        <v>5.5287860000000002</v>
      </c>
      <c r="E4261">
        <v>0.49053370000000002</v>
      </c>
      <c r="F4261" t="s">
        <v>42</v>
      </c>
      <c r="G4261">
        <v>-189.767</v>
      </c>
      <c r="H4261">
        <v>1.0192600000000001</v>
      </c>
      <c r="I4261">
        <v>204.00409999999999</v>
      </c>
      <c r="J4261">
        <v>-189.7303</v>
      </c>
      <c r="K4261">
        <v>1.1194999999999999</v>
      </c>
      <c r="L4261">
        <v>204.71340000000001</v>
      </c>
      <c r="M4261">
        <v>5.6599299999999998E-2</v>
      </c>
      <c r="N4261">
        <v>-1.298435E-2</v>
      </c>
      <c r="O4261">
        <v>-0.99831270000000005</v>
      </c>
      <c r="P4261">
        <v>-7.339379E-2</v>
      </c>
      <c r="Q4261">
        <v>-8.1771079999999996E-2</v>
      </c>
      <c r="R4261">
        <v>-0.99394530000000003</v>
      </c>
      <c r="S4261">
        <v>-0.144928</v>
      </c>
      <c r="T4261">
        <v>-0.36869190000000002</v>
      </c>
      <c r="U4261">
        <v>-2.976944</v>
      </c>
      <c r="V4261">
        <v>0.12927549999999999</v>
      </c>
      <c r="W4261">
        <v>-6.9423230000000002E-2</v>
      </c>
      <c r="X4261">
        <v>0.98917560000000004</v>
      </c>
      <c r="Y4261">
        <v>0.10469920000000001</v>
      </c>
      <c r="Z4261">
        <v>0.1092916</v>
      </c>
      <c r="AA4261">
        <v>0.98848040000000004</v>
      </c>
      <c r="AB4261">
        <v>10</v>
      </c>
      <c r="AC4261">
        <v>-3.6699999999996097E-2</v>
      </c>
      <c r="AD4261">
        <v>-0.100239999999999</v>
      </c>
      <c r="AE4261">
        <v>-0.70930000000001303</v>
      </c>
      <c r="AF4261">
        <v>7.52907269894523E-2</v>
      </c>
      <c r="AG4261">
        <v>-0.100239999999999</v>
      </c>
      <c r="AH4261">
        <v>0.69229577883619398</v>
      </c>
      <c r="AI4261">
        <v>98.191166982522802</v>
      </c>
      <c r="AJ4261">
        <v>83.793183301651197</v>
      </c>
      <c r="AK4261">
        <v>0.70355539694114499</v>
      </c>
      <c r="AL4261">
        <v>93.980859924704504</v>
      </c>
      <c r="AM4261">
        <v>82.554206220408304</v>
      </c>
      <c r="AN4261">
        <v>1.0000000536996201</v>
      </c>
    </row>
    <row r="4262" spans="1:40" x14ac:dyDescent="0.25">
      <c r="A4262" t="str">
        <f>"20190303154854645"</f>
        <v>20190303154854645</v>
      </c>
      <c r="B4262" t="str">
        <f>"1551599334635522"</f>
        <v>1551599334635522</v>
      </c>
      <c r="C4262" t="s">
        <v>40</v>
      </c>
      <c r="D4262">
        <v>5.6106920000000002</v>
      </c>
      <c r="E4262">
        <v>0.49055690000000002</v>
      </c>
      <c r="F4262" t="s">
        <v>42</v>
      </c>
      <c r="G4262">
        <v>-189.76949999999999</v>
      </c>
      <c r="H4262">
        <v>1.021703</v>
      </c>
      <c r="I4262">
        <v>203.9083</v>
      </c>
      <c r="J4262">
        <v>-189.7336</v>
      </c>
      <c r="K4262">
        <v>1.1196379999999999</v>
      </c>
      <c r="L4262">
        <v>204.60839999999999</v>
      </c>
      <c r="M4262">
        <v>4.8898480000000001E-2</v>
      </c>
      <c r="N4262">
        <v>-1.288974E-2</v>
      </c>
      <c r="O4262">
        <v>-0.99872079999999996</v>
      </c>
      <c r="P4262">
        <v>-7.7613409999999994E-2</v>
      </c>
      <c r="Q4262">
        <v>-8.1106739999999997E-2</v>
      </c>
      <c r="R4262">
        <v>-0.99367930000000004</v>
      </c>
      <c r="S4262">
        <v>-0.14474489999999901</v>
      </c>
      <c r="T4262">
        <v>-0.36141770000000001</v>
      </c>
      <c r="U4262">
        <v>-2.977875</v>
      </c>
      <c r="V4262">
        <v>0.12587780000000001</v>
      </c>
      <c r="W4262">
        <v>-6.878985E-2</v>
      </c>
      <c r="X4262">
        <v>0.98965789999999998</v>
      </c>
      <c r="Y4262">
        <v>9.6972059999999999E-2</v>
      </c>
      <c r="Z4262">
        <v>0.1070926</v>
      </c>
      <c r="AA4262">
        <v>0.98950870000000002</v>
      </c>
      <c r="AB4262">
        <v>10</v>
      </c>
      <c r="AC4262">
        <v>-3.5899999999998003E-2</v>
      </c>
      <c r="AD4262">
        <v>-9.79349999999998E-2</v>
      </c>
      <c r="AE4262">
        <v>-0.70009999999999195</v>
      </c>
      <c r="AF4262">
        <v>6.8751873137486902E-2</v>
      </c>
      <c r="AG4262">
        <v>-9.79349999999998E-2</v>
      </c>
      <c r="AH4262">
        <v>0.684154066614448</v>
      </c>
      <c r="AI4262">
        <v>98.106128983223897</v>
      </c>
      <c r="AJ4262">
        <v>84.261509190452699</v>
      </c>
      <c r="AK4262">
        <v>0.69453932296882903</v>
      </c>
      <c r="AL4262">
        <v>93.944483124931494</v>
      </c>
      <c r="AM4262">
        <v>82.751286824495494</v>
      </c>
      <c r="AN4262">
        <v>1.0000000115141301</v>
      </c>
    </row>
    <row r="4263" spans="1:40" x14ac:dyDescent="0.25">
      <c r="A4263" t="str">
        <f>"20190303154854667"</f>
        <v>20190303154854667</v>
      </c>
      <c r="B4263" t="str">
        <f>"1551599334664802"</f>
        <v>1551599334664802</v>
      </c>
      <c r="C4263" t="s">
        <v>40</v>
      </c>
      <c r="D4263">
        <v>5.603262</v>
      </c>
      <c r="E4263">
        <v>0.49061379999999999</v>
      </c>
      <c r="F4263" t="s">
        <v>42</v>
      </c>
      <c r="G4263">
        <v>-189.7757</v>
      </c>
      <c r="H4263">
        <v>1.0235430000000001</v>
      </c>
      <c r="I4263">
        <v>203.81280000000001</v>
      </c>
      <c r="J4263">
        <v>-189.7373</v>
      </c>
      <c r="K4263">
        <v>1.1197459999999999</v>
      </c>
      <c r="L4263">
        <v>204.501</v>
      </c>
      <c r="M4263">
        <v>4.1348830000000003E-2</v>
      </c>
      <c r="N4263">
        <v>-1.279894E-2</v>
      </c>
      <c r="O4263">
        <v>-0.99906289999999998</v>
      </c>
      <c r="P4263">
        <v>-7.7467739999999993E-2</v>
      </c>
      <c r="Q4263">
        <v>-8.0924650000000001E-2</v>
      </c>
      <c r="R4263">
        <v>-0.99370530000000001</v>
      </c>
      <c r="S4263">
        <v>-0.15740970000000001</v>
      </c>
      <c r="T4263">
        <v>-0.35959550000000001</v>
      </c>
      <c r="U4263">
        <v>-2.9774319999999999</v>
      </c>
      <c r="V4263">
        <v>0.11827500000000001</v>
      </c>
      <c r="W4263">
        <v>-6.8629319999999994E-2</v>
      </c>
      <c r="X4263">
        <v>0.9906064</v>
      </c>
      <c r="Y4263">
        <v>9.3661140000000004E-2</v>
      </c>
      <c r="Z4263">
        <v>0.1066725</v>
      </c>
      <c r="AA4263">
        <v>0.989873</v>
      </c>
      <c r="AB4263">
        <v>10</v>
      </c>
      <c r="AC4263">
        <v>-3.8399999999995701E-2</v>
      </c>
      <c r="AD4263">
        <v>-9.6202999999999803E-2</v>
      </c>
      <c r="AE4263">
        <v>-0.68819999999996595</v>
      </c>
      <c r="AF4263">
        <v>6.5548829200271497E-2</v>
      </c>
      <c r="AG4263">
        <v>-9.6202999999999803E-2</v>
      </c>
      <c r="AH4263">
        <v>0.67291476173082698</v>
      </c>
      <c r="AI4263">
        <v>98.098318039539294</v>
      </c>
      <c r="AJ4263">
        <v>84.4363539683618</v>
      </c>
      <c r="AK4263">
        <v>0.68290990824103703</v>
      </c>
      <c r="AL4263">
        <v>93.935263692713207</v>
      </c>
      <c r="AM4263">
        <v>83.191312574569494</v>
      </c>
      <c r="AN4263">
        <v>0.99999999945481099</v>
      </c>
    </row>
    <row r="4264" spans="1:40" x14ac:dyDescent="0.25">
      <c r="A4264" t="str">
        <f>"20190303154854690"</f>
        <v>20190303154854690</v>
      </c>
      <c r="B4264" t="str">
        <f>"1551599334685297"</f>
        <v>1551599334685297</v>
      </c>
      <c r="C4264" t="s">
        <v>40</v>
      </c>
      <c r="D4264">
        <v>5.5452269999999997</v>
      </c>
      <c r="E4264">
        <v>0.49061759999999899</v>
      </c>
      <c r="F4264" t="s">
        <v>42</v>
      </c>
      <c r="G4264">
        <v>-189.77879999999999</v>
      </c>
      <c r="H4264">
        <v>1.025223</v>
      </c>
      <c r="I4264">
        <v>203.7176</v>
      </c>
      <c r="J4264">
        <v>-189.7415</v>
      </c>
      <c r="K4264">
        <v>1.1198220000000001</v>
      </c>
      <c r="L4264">
        <v>204.39169999999999</v>
      </c>
      <c r="M4264">
        <v>3.4004699999999999E-2</v>
      </c>
      <c r="N4264">
        <v>-1.271192E-2</v>
      </c>
      <c r="O4264">
        <v>-0.99934100000000003</v>
      </c>
      <c r="P4264">
        <v>-7.6611470000000001E-2</v>
      </c>
      <c r="Q4264">
        <v>-8.0507410000000001E-2</v>
      </c>
      <c r="R4264">
        <v>-0.99380570000000001</v>
      </c>
      <c r="S4264">
        <v>-0.1573639</v>
      </c>
      <c r="T4264">
        <v>-0.35902479999999998</v>
      </c>
      <c r="U4264">
        <v>-2.9774780000000001</v>
      </c>
      <c r="V4264">
        <v>0.1101591</v>
      </c>
      <c r="W4264">
        <v>-6.8239919999999996E-2</v>
      </c>
      <c r="X4264">
        <v>0.99156860000000002</v>
      </c>
      <c r="Y4264">
        <v>8.6332500000000006E-2</v>
      </c>
      <c r="Z4264">
        <v>0.10666200000000001</v>
      </c>
      <c r="AA4264">
        <v>0.99054019999999998</v>
      </c>
      <c r="AB4264">
        <v>10</v>
      </c>
      <c r="AC4264">
        <v>-3.72999999999876E-2</v>
      </c>
      <c r="AD4264">
        <v>-9.4598999999999794E-2</v>
      </c>
      <c r="AE4264">
        <v>-0.67409999999998105</v>
      </c>
      <c r="AF4264">
        <v>5.9043611315211603E-2</v>
      </c>
      <c r="AG4264">
        <v>-9.4598999999999794E-2</v>
      </c>
      <c r="AH4264">
        <v>0.65949347271757597</v>
      </c>
      <c r="AI4264">
        <v>98.130850458242506</v>
      </c>
      <c r="AJ4264">
        <v>84.884021542080404</v>
      </c>
      <c r="AK4264">
        <v>0.66885481189509999</v>
      </c>
      <c r="AL4264">
        <v>93.912900280285001</v>
      </c>
      <c r="AM4264">
        <v>83.660675211511503</v>
      </c>
      <c r="AN4264">
        <v>1.00000000125018</v>
      </c>
    </row>
    <row r="4265" spans="1:40" x14ac:dyDescent="0.25">
      <c r="A4265" t="str">
        <f>"20190303154854712"</f>
        <v>20190303154854712</v>
      </c>
      <c r="B4265" t="str">
        <f>"1551599334704938"</f>
        <v>1551599334704938</v>
      </c>
      <c r="C4265" t="s">
        <v>40</v>
      </c>
      <c r="D4265">
        <v>5.5858990000000004</v>
      </c>
      <c r="E4265">
        <v>0.49061250000000001</v>
      </c>
      <c r="F4265" t="s">
        <v>42</v>
      </c>
      <c r="G4265">
        <v>-189.78149999999999</v>
      </c>
      <c r="H4265">
        <v>1.0274190000000001</v>
      </c>
      <c r="I4265">
        <v>203.62219999999999</v>
      </c>
      <c r="J4265">
        <v>-189.74590000000001</v>
      </c>
      <c r="K4265">
        <v>1.119885</v>
      </c>
      <c r="L4265">
        <v>204.28809999999999</v>
      </c>
      <c r="M4265">
        <v>2.7357490000000002E-2</v>
      </c>
      <c r="N4265">
        <v>-1.263536E-2</v>
      </c>
      <c r="O4265">
        <v>-0.99954589999999999</v>
      </c>
      <c r="P4265">
        <v>-7.4981580000000006E-2</v>
      </c>
      <c r="Q4265">
        <v>-7.9278219999999996E-2</v>
      </c>
      <c r="R4265">
        <v>-0.99402869999999999</v>
      </c>
      <c r="S4265">
        <v>-0.15461730000000001</v>
      </c>
      <c r="T4265">
        <v>-0.35755879999999901</v>
      </c>
      <c r="U4265">
        <v>-2.9777979999999999</v>
      </c>
      <c r="V4265">
        <v>0.1019587</v>
      </c>
      <c r="W4265">
        <v>-6.703423E-2</v>
      </c>
      <c r="X4265">
        <v>0.99252750000000001</v>
      </c>
      <c r="Y4265">
        <v>7.8796630000000006E-2</v>
      </c>
      <c r="Z4265">
        <v>0.1063235</v>
      </c>
      <c r="AA4265">
        <v>0.99120450000000004</v>
      </c>
      <c r="AB4265">
        <v>10</v>
      </c>
      <c r="AC4265">
        <v>-3.5599999999988002E-2</v>
      </c>
      <c r="AD4265">
        <v>-9.2465999999999895E-2</v>
      </c>
      <c r="AE4265">
        <v>-0.66589999999999305</v>
      </c>
      <c r="AF4265">
        <v>5.2790488212397797E-2</v>
      </c>
      <c r="AG4265">
        <v>-9.2465999999999895E-2</v>
      </c>
      <c r="AH4265">
        <v>0.652138199412852</v>
      </c>
      <c r="AI4265">
        <v>98.044148292323598</v>
      </c>
      <c r="AJ4265">
        <v>85.372006636621506</v>
      </c>
      <c r="AK4265">
        <v>0.660773053275586</v>
      </c>
      <c r="AL4265">
        <v>93.843660768114901</v>
      </c>
      <c r="AM4265">
        <v>84.1347888064562</v>
      </c>
      <c r="AN4265">
        <v>1.00000000137681</v>
      </c>
    </row>
    <row r="4266" spans="1:40" x14ac:dyDescent="0.25">
      <c r="A4266" t="str">
        <f>"20190303154854725"</f>
        <v>20190303154854725</v>
      </c>
      <c r="B4266" t="str">
        <f>"1551599334715674"</f>
        <v>1551599334715674</v>
      </c>
      <c r="C4266" t="s">
        <v>40</v>
      </c>
      <c r="D4266">
        <v>5.5514599999999996</v>
      </c>
      <c r="E4266">
        <v>0.49061559999999999</v>
      </c>
      <c r="F4266" t="s">
        <v>42</v>
      </c>
      <c r="G4266">
        <v>-189.7842</v>
      </c>
      <c r="H4266">
        <v>1.029409</v>
      </c>
      <c r="I4266">
        <v>203.52699999999999</v>
      </c>
      <c r="J4266">
        <v>-189.74860000000001</v>
      </c>
      <c r="K4266">
        <v>1.1199269999999999</v>
      </c>
      <c r="L4266">
        <v>204.2286</v>
      </c>
      <c r="M4266">
        <v>2.3672169999999999E-2</v>
      </c>
      <c r="N4266">
        <v>-1.259417E-2</v>
      </c>
      <c r="O4266">
        <v>-0.99964039999999998</v>
      </c>
      <c r="P4266">
        <v>-7.4511090000000002E-2</v>
      </c>
      <c r="Q4266">
        <v>-7.8439949999999994E-2</v>
      </c>
      <c r="R4266">
        <v>-0.99413070000000003</v>
      </c>
      <c r="S4266">
        <v>-0.14968870000000001</v>
      </c>
      <c r="T4266">
        <v>-0.35378680000000001</v>
      </c>
      <c r="U4266">
        <v>-2.9785460000000001</v>
      </c>
      <c r="V4266">
        <v>9.7842680000000001E-2</v>
      </c>
      <c r="W4266">
        <v>-6.6209879999999999E-2</v>
      </c>
      <c r="X4266">
        <v>0.99299700000000002</v>
      </c>
      <c r="Y4266">
        <v>7.3483160000000006E-2</v>
      </c>
      <c r="Z4266">
        <v>0.1051438</v>
      </c>
      <c r="AA4266">
        <v>0.99173840000000002</v>
      </c>
      <c r="AB4266">
        <v>10</v>
      </c>
      <c r="AC4266">
        <v>-3.5599999999988002E-2</v>
      </c>
      <c r="AD4266">
        <v>-9.0518000000000098E-2</v>
      </c>
      <c r="AE4266">
        <v>-0.70159999999998401</v>
      </c>
      <c r="AF4266">
        <v>5.1347241299298199E-2</v>
      </c>
      <c r="AG4266">
        <v>-9.0518000000000098E-2</v>
      </c>
      <c r="AH4266">
        <v>0.68911944732730102</v>
      </c>
      <c r="AI4266">
        <v>97.462685971230798</v>
      </c>
      <c r="AJ4266">
        <v>85.738686927117897</v>
      </c>
      <c r="AK4266">
        <v>0.69693303853220601</v>
      </c>
      <c r="AL4266">
        <v>93.796323864454607</v>
      </c>
      <c r="AM4266">
        <v>84.372656361252695</v>
      </c>
      <c r="AN4266">
        <v>0.99999999012409801</v>
      </c>
    </row>
    <row r="4267" spans="1:40" x14ac:dyDescent="0.25">
      <c r="A4267" t="str">
        <f>"20190303154854737"</f>
        <v>20190303154854737</v>
      </c>
      <c r="B4267" t="str">
        <f>"1551599334725435"</f>
        <v>1551599334725435</v>
      </c>
      <c r="C4267" t="s">
        <v>40</v>
      </c>
      <c r="D4267">
        <v>5.5678710000000002</v>
      </c>
      <c r="E4267">
        <v>0.4906179</v>
      </c>
      <c r="F4267" t="s">
        <v>42</v>
      </c>
      <c r="G4267">
        <v>-189.78809999999999</v>
      </c>
      <c r="H4267">
        <v>1.026303</v>
      </c>
      <c r="I4267">
        <v>203.43430000000001</v>
      </c>
      <c r="J4267">
        <v>-189.75149999999999</v>
      </c>
      <c r="K4267">
        <v>1.1199749999999999</v>
      </c>
      <c r="L4267">
        <v>204.16569999999999</v>
      </c>
      <c r="M4267">
        <v>1.9889239999999999E-2</v>
      </c>
      <c r="N4267">
        <v>-1.255304E-2</v>
      </c>
      <c r="O4267">
        <v>-0.99972349999999999</v>
      </c>
      <c r="P4267">
        <v>-7.4108289999999993E-2</v>
      </c>
      <c r="Q4267">
        <v>-7.7410300000000001E-2</v>
      </c>
      <c r="R4267">
        <v>-0.99424140000000005</v>
      </c>
      <c r="S4267">
        <v>-0.1482849</v>
      </c>
      <c r="T4267">
        <v>-0.35113539999999999</v>
      </c>
      <c r="U4267">
        <v>-2.9788969999999999</v>
      </c>
      <c r="V4267">
        <v>9.3697290000000003E-2</v>
      </c>
      <c r="W4267">
        <v>-6.5193169999999995E-2</v>
      </c>
      <c r="X4267">
        <v>0.99346400000000001</v>
      </c>
      <c r="Y4267">
        <v>6.9245059999999997E-2</v>
      </c>
      <c r="Z4267">
        <v>0.104335</v>
      </c>
      <c r="AA4267">
        <v>0.99212869999999997</v>
      </c>
      <c r="AB4267">
        <v>10</v>
      </c>
      <c r="AC4267">
        <v>-3.6599999999992798E-2</v>
      </c>
      <c r="AD4267">
        <v>-9.3671999999999894E-2</v>
      </c>
      <c r="AE4267">
        <v>-0.73139999999997896</v>
      </c>
      <c r="AF4267">
        <v>5.0317621177273397E-2</v>
      </c>
      <c r="AG4267">
        <v>-9.3671999999999894E-2</v>
      </c>
      <c r="AH4267">
        <v>0.71876717524775102</v>
      </c>
      <c r="AI4267">
        <v>97.407192392932203</v>
      </c>
      <c r="AJ4267">
        <v>85.995516190826194</v>
      </c>
      <c r="AK4267">
        <v>0.72658967705202904</v>
      </c>
      <c r="AL4267">
        <v>93.737944398140598</v>
      </c>
      <c r="AM4267">
        <v>84.612159007851901</v>
      </c>
      <c r="AN4267">
        <v>1.0000000254319901</v>
      </c>
    </row>
    <row r="4268" spans="1:40" x14ac:dyDescent="0.25">
      <c r="A4268" t="str">
        <f>"20190303154854757"</f>
        <v>20190303154854757</v>
      </c>
      <c r="B4268" t="str">
        <f>"1551599334744955"</f>
        <v>1551599334744955</v>
      </c>
      <c r="C4268" t="s">
        <v>40</v>
      </c>
      <c r="D4268">
        <v>5.5413079999999999</v>
      </c>
      <c r="E4268">
        <v>0.4906179</v>
      </c>
      <c r="F4268" t="s">
        <v>42</v>
      </c>
      <c r="G4268">
        <v>-189.7878</v>
      </c>
      <c r="H4268">
        <v>1.034114</v>
      </c>
      <c r="I4268">
        <v>203.43049999999999</v>
      </c>
      <c r="J4268">
        <v>-189.75579999999999</v>
      </c>
      <c r="K4268">
        <v>1.1200540000000001</v>
      </c>
      <c r="L4268">
        <v>204.0771</v>
      </c>
      <c r="M4268">
        <v>1.4760840000000001E-2</v>
      </c>
      <c r="N4268">
        <v>-1.249926E-2</v>
      </c>
      <c r="O4268">
        <v>-0.99981299999999995</v>
      </c>
      <c r="P4268">
        <v>-7.1393360000000003E-2</v>
      </c>
      <c r="Q4268">
        <v>-7.6574390000000006E-2</v>
      </c>
      <c r="R4268">
        <v>-0.99450470000000002</v>
      </c>
      <c r="S4268">
        <v>-0.14703369999999999</v>
      </c>
      <c r="T4268">
        <v>-0.34795140000000002</v>
      </c>
      <c r="U4268">
        <v>-2.9793090000000002</v>
      </c>
      <c r="V4268">
        <v>8.590768E-2</v>
      </c>
      <c r="W4268">
        <v>-6.4364870000000005E-2</v>
      </c>
      <c r="X4268">
        <v>0.99422180000000004</v>
      </c>
      <c r="Y4268">
        <v>6.3714670000000001E-2</v>
      </c>
      <c r="Z4268">
        <v>0.103366</v>
      </c>
      <c r="AA4268">
        <v>0.99260060000000006</v>
      </c>
      <c r="AB4268">
        <v>10</v>
      </c>
      <c r="AC4268">
        <v>-3.2000000000010603E-2</v>
      </c>
      <c r="AD4268">
        <v>-8.59400000000001E-2</v>
      </c>
      <c r="AE4268">
        <v>-0.64660000000000595</v>
      </c>
      <c r="AF4268">
        <v>4.0822244791054098E-2</v>
      </c>
      <c r="AG4268">
        <v>-8.59400000000001E-2</v>
      </c>
      <c r="AH4268">
        <v>0.63486944641996801</v>
      </c>
      <c r="AI4268">
        <v>97.693368029407296</v>
      </c>
      <c r="AJ4268">
        <v>86.320933608764093</v>
      </c>
      <c r="AK4268">
        <v>0.64195899656237998</v>
      </c>
      <c r="AL4268">
        <v>93.6903865943856</v>
      </c>
      <c r="AM4268">
        <v>85.061512203848196</v>
      </c>
      <c r="AN4268">
        <v>0.99999997678416896</v>
      </c>
    </row>
    <row r="4269" spans="1:40" x14ac:dyDescent="0.25">
      <c r="A4269" t="str">
        <f>"20190303154854770"</f>
        <v>20190303154854770</v>
      </c>
      <c r="B4269" t="str">
        <f>"1551599334765450"</f>
        <v>1551599334765450</v>
      </c>
      <c r="C4269" t="s">
        <v>40</v>
      </c>
      <c r="D4269">
        <v>5.5054460000000001</v>
      </c>
      <c r="E4269">
        <v>0.49064089999999999</v>
      </c>
      <c r="F4269" t="s">
        <v>42</v>
      </c>
      <c r="G4269">
        <v>-189.79040000000001</v>
      </c>
      <c r="H4269">
        <v>1.034154</v>
      </c>
      <c r="I4269">
        <v>203.3364</v>
      </c>
      <c r="J4269">
        <v>-189.75890000000001</v>
      </c>
      <c r="K4269">
        <v>1.120109</v>
      </c>
      <c r="L4269">
        <v>204.0153</v>
      </c>
      <c r="M4269">
        <v>1.1319330000000001E-2</v>
      </c>
      <c r="N4269">
        <v>-1.2462910000000001E-2</v>
      </c>
      <c r="O4269">
        <v>-0.99985840000000004</v>
      </c>
      <c r="P4269">
        <v>-7.0874770000000004E-2</v>
      </c>
      <c r="Q4269">
        <v>-7.6316729999999999E-2</v>
      </c>
      <c r="R4269">
        <v>-0.99456169999999999</v>
      </c>
      <c r="S4269">
        <v>-0.139022799999999</v>
      </c>
      <c r="T4269">
        <v>-0.34533009999999997</v>
      </c>
      <c r="U4269">
        <v>-2.9799959999999999</v>
      </c>
      <c r="V4269">
        <v>8.1979510000000005E-2</v>
      </c>
      <c r="W4269">
        <v>-6.4117889999999997E-2</v>
      </c>
      <c r="X4269">
        <v>0.99456940000000005</v>
      </c>
      <c r="Y4269">
        <v>5.7614400000000003E-2</v>
      </c>
      <c r="Z4269">
        <v>0.1025517</v>
      </c>
      <c r="AA4269">
        <v>0.99305779999999999</v>
      </c>
      <c r="AB4269">
        <v>10</v>
      </c>
      <c r="AC4269">
        <v>-3.1499999999993998E-2</v>
      </c>
      <c r="AD4269">
        <v>-8.5954999999999906E-2</v>
      </c>
      <c r="AE4269">
        <v>-0.67889999999999795</v>
      </c>
      <c r="AF4269">
        <v>3.8566383572045698E-2</v>
      </c>
      <c r="AG4269">
        <v>-8.5954999999999906E-2</v>
      </c>
      <c r="AH4269">
        <v>0.66781785914212799</v>
      </c>
      <c r="AI4269">
        <v>97.322163766545202</v>
      </c>
      <c r="AJ4269">
        <v>86.694848138726002</v>
      </c>
      <c r="AK4269">
        <v>0.67443036775934195</v>
      </c>
      <c r="AL4269">
        <v>93.676206241187501</v>
      </c>
      <c r="AM4269">
        <v>85.287925206962697</v>
      </c>
      <c r="AN4269">
        <v>1.00000001764712</v>
      </c>
    </row>
    <row r="4270" spans="1:40" x14ac:dyDescent="0.25">
      <c r="A4270" t="str">
        <f>"20190303154854783"</f>
        <v>20190303154854783</v>
      </c>
      <c r="B4270" t="str">
        <f>"1551599334775211"</f>
        <v>1551599334775211</v>
      </c>
      <c r="C4270" t="s">
        <v>40</v>
      </c>
      <c r="D4270">
        <v>5.5347299999999997</v>
      </c>
      <c r="E4270">
        <v>0.49066470000000001</v>
      </c>
      <c r="F4270" t="s">
        <v>42</v>
      </c>
      <c r="G4270">
        <v>-189.7946</v>
      </c>
      <c r="H4270">
        <v>1.0309790000000001</v>
      </c>
      <c r="I4270">
        <v>203.244</v>
      </c>
      <c r="J4270">
        <v>-189.76220000000001</v>
      </c>
      <c r="K4270">
        <v>1.1201669999999999</v>
      </c>
      <c r="L4270">
        <v>203.9511</v>
      </c>
      <c r="M4270">
        <v>7.8267790000000007E-3</v>
      </c>
      <c r="N4270">
        <v>-1.242528E-2</v>
      </c>
      <c r="O4270">
        <v>-0.99989209999999995</v>
      </c>
      <c r="P4270">
        <v>-7.0478789999999999E-2</v>
      </c>
      <c r="Q4270">
        <v>-7.6309150000000006E-2</v>
      </c>
      <c r="R4270">
        <v>-0.99459019999999998</v>
      </c>
      <c r="S4270">
        <v>-0.13769529999999999</v>
      </c>
      <c r="T4270">
        <v>-0.34439930000000002</v>
      </c>
      <c r="U4270">
        <v>-2.9801639999999998</v>
      </c>
      <c r="V4270">
        <v>7.8121540000000003E-2</v>
      </c>
      <c r="W4270">
        <v>-6.4123529999999998E-2</v>
      </c>
      <c r="X4270">
        <v>0.99487950000000003</v>
      </c>
      <c r="Y4270">
        <v>5.3687440000000003E-2</v>
      </c>
      <c r="Z4270">
        <v>0.1022971</v>
      </c>
      <c r="AA4270">
        <v>0.99330410000000002</v>
      </c>
      <c r="AB4270">
        <v>10</v>
      </c>
      <c r="AC4270">
        <v>-3.2399999999995502E-2</v>
      </c>
      <c r="AD4270">
        <v>-8.9187999999999795E-2</v>
      </c>
      <c r="AE4270">
        <v>-0.70709999999996798</v>
      </c>
      <c r="AF4270">
        <v>3.7340927048235599E-2</v>
      </c>
      <c r="AG4270">
        <v>-8.9187999999999795E-2</v>
      </c>
      <c r="AH4270">
        <v>0.69577857055725501</v>
      </c>
      <c r="AI4270">
        <v>97.294210771484998</v>
      </c>
      <c r="AJ4270">
        <v>86.928006855876504</v>
      </c>
      <c r="AK4270">
        <v>0.70246470617641599</v>
      </c>
      <c r="AL4270">
        <v>93.676530080889606</v>
      </c>
      <c r="AM4270">
        <v>85.510140941590706</v>
      </c>
      <c r="AN4270">
        <v>1.0000000108159399</v>
      </c>
    </row>
    <row r="4271" spans="1:40" x14ac:dyDescent="0.25">
      <c r="A4271" t="str">
        <f>"20190303154854803"</f>
        <v>20190303154854803</v>
      </c>
      <c r="B4271" t="str">
        <f>"1551599334795707"</f>
        <v>1551599334795707</v>
      </c>
      <c r="C4271" t="s">
        <v>40</v>
      </c>
      <c r="D4271">
        <v>5.6331259999999999</v>
      </c>
      <c r="E4271">
        <v>0.49066670000000001</v>
      </c>
      <c r="F4271" t="s">
        <v>42</v>
      </c>
      <c r="G4271">
        <v>-189.79900000000001</v>
      </c>
      <c r="H4271">
        <v>1.0276609999999999</v>
      </c>
      <c r="I4271">
        <v>203.1516</v>
      </c>
      <c r="J4271">
        <v>-189.767</v>
      </c>
      <c r="K4271">
        <v>1.1202299999999901</v>
      </c>
      <c r="L4271">
        <v>203.86160000000001</v>
      </c>
      <c r="M4271">
        <v>3.1466409999999999E-3</v>
      </c>
      <c r="N4271">
        <v>-1.237044E-2</v>
      </c>
      <c r="O4271">
        <v>-0.99991859999999999</v>
      </c>
      <c r="P4271">
        <v>-6.7500859999999996E-2</v>
      </c>
      <c r="Q4271">
        <v>-7.7000769999999996E-2</v>
      </c>
      <c r="R4271">
        <v>-0.99474359999999995</v>
      </c>
      <c r="S4271">
        <v>-0.13667299999999999</v>
      </c>
      <c r="T4271">
        <v>-0.34435939999999998</v>
      </c>
      <c r="U4271">
        <v>-2.9801790000000001</v>
      </c>
      <c r="V4271">
        <v>7.0500989999999999E-2</v>
      </c>
      <c r="W4271">
        <v>-6.4833669999999996E-2</v>
      </c>
      <c r="X4271">
        <v>0.99540249999999997</v>
      </c>
      <c r="Y4271">
        <v>4.8676669999999998E-2</v>
      </c>
      <c r="Z4271">
        <v>0.1023594</v>
      </c>
      <c r="AA4271">
        <v>0.99355579999999999</v>
      </c>
      <c r="AB4271">
        <v>10</v>
      </c>
      <c r="AC4271">
        <v>-3.2000000000010603E-2</v>
      </c>
      <c r="AD4271">
        <v>-9.2568999999999596E-2</v>
      </c>
      <c r="AE4271">
        <v>-0.71000000000000696</v>
      </c>
      <c r="AF4271">
        <v>3.3663060894819699E-2</v>
      </c>
      <c r="AG4271">
        <v>-9.2568999999999596E-2</v>
      </c>
      <c r="AH4271">
        <v>0.69805386551202697</v>
      </c>
      <c r="AI4271">
        <v>97.545258464823505</v>
      </c>
      <c r="AJ4271">
        <v>87.239098092105493</v>
      </c>
      <c r="AK4271">
        <v>0.70496909193672597</v>
      </c>
      <c r="AL4271">
        <v>93.7173031188685</v>
      </c>
      <c r="AM4271">
        <v>85.948699152037193</v>
      </c>
      <c r="AN4271">
        <v>0.999999965681448</v>
      </c>
    </row>
    <row r="4272" spans="1:40" x14ac:dyDescent="0.25">
      <c r="A4272" t="str">
        <f>"20190303154854824"</f>
        <v>20190303154854824</v>
      </c>
      <c r="B4272" t="str">
        <f>"1551599334815226"</f>
        <v>1551599334815226</v>
      </c>
      <c r="C4272" t="s">
        <v>40</v>
      </c>
      <c r="D4272">
        <v>5.5155519999999996</v>
      </c>
      <c r="E4272">
        <v>0.49072379999999999</v>
      </c>
      <c r="F4272" t="s">
        <v>42</v>
      </c>
      <c r="G4272">
        <v>-189.8015</v>
      </c>
      <c r="H4272">
        <v>1.0267729999999999</v>
      </c>
      <c r="I4272">
        <v>203.05799999999999</v>
      </c>
      <c r="J4272">
        <v>-189.77279999999999</v>
      </c>
      <c r="K4272">
        <v>1.1202749999999999</v>
      </c>
      <c r="L4272">
        <v>203.75729999999999</v>
      </c>
      <c r="M4272">
        <v>-2.0710939999999999E-3</v>
      </c>
      <c r="N4272">
        <v>-1.229719E-2</v>
      </c>
      <c r="O4272">
        <v>-0.99992230000000004</v>
      </c>
      <c r="P4272">
        <v>-6.492589E-2</v>
      </c>
      <c r="Q4272">
        <v>-7.7533899999999906E-2</v>
      </c>
      <c r="R4272">
        <v>-0.99487349999999997</v>
      </c>
      <c r="S4272">
        <v>-0.12788389999999999</v>
      </c>
      <c r="T4272">
        <v>-0.34626630000000003</v>
      </c>
      <c r="U4272">
        <v>-2.9803920000000002</v>
      </c>
      <c r="V4272">
        <v>6.2743229999999997E-2</v>
      </c>
      <c r="W4272">
        <v>-6.5409419999999996E-2</v>
      </c>
      <c r="X4272">
        <v>0.99588399999999999</v>
      </c>
      <c r="Y4272">
        <v>4.053909E-2</v>
      </c>
      <c r="Z4272">
        <v>0.1030818</v>
      </c>
      <c r="AA4272">
        <v>0.99384640000000002</v>
      </c>
      <c r="AB4272">
        <v>10</v>
      </c>
      <c r="AC4272">
        <v>-2.87000000000148E-2</v>
      </c>
      <c r="AD4272">
        <v>-9.3501999999999905E-2</v>
      </c>
      <c r="AE4272">
        <v>-0.69929999999999304</v>
      </c>
      <c r="AF4272">
        <v>2.6773662912768701E-2</v>
      </c>
      <c r="AG4272">
        <v>-9.3501999999999905E-2</v>
      </c>
      <c r="AH4272">
        <v>0.68709483740057098</v>
      </c>
      <c r="AI4272">
        <v>97.743580417154106</v>
      </c>
      <c r="AJ4272">
        <v>87.768514476238195</v>
      </c>
      <c r="AK4272">
        <v>0.69394435555906298</v>
      </c>
      <c r="AL4272">
        <v>93.750361120518605</v>
      </c>
      <c r="AM4272">
        <v>86.3949846558383</v>
      </c>
      <c r="AN4272">
        <v>1.00000002329578</v>
      </c>
    </row>
    <row r="4273" spans="1:40" x14ac:dyDescent="0.25">
      <c r="A4273" t="str">
        <f>"20190303154854845"</f>
        <v>20190303154854845</v>
      </c>
      <c r="B4273" t="str">
        <f>"1551599334834747"</f>
        <v>1551599334834747</v>
      </c>
      <c r="C4273" t="s">
        <v>40</v>
      </c>
      <c r="D4273">
        <v>5.5402149999999999</v>
      </c>
      <c r="E4273">
        <v>0.49078549999999899</v>
      </c>
      <c r="F4273" t="s">
        <v>42</v>
      </c>
      <c r="G4273">
        <v>-189.8049</v>
      </c>
      <c r="H4273">
        <v>1.0274939999999999</v>
      </c>
      <c r="I4273">
        <v>202.96350000000001</v>
      </c>
      <c r="J4273">
        <v>-189.7784</v>
      </c>
      <c r="K4273">
        <v>1.1202840000000001</v>
      </c>
      <c r="L4273">
        <v>203.66059999999999</v>
      </c>
      <c r="M4273">
        <v>-6.7158869999999898E-3</v>
      </c>
      <c r="N4273">
        <v>-1.22167E-2</v>
      </c>
      <c r="O4273">
        <v>-0.99990290000000004</v>
      </c>
      <c r="P4273">
        <v>-6.3009109999999993E-2</v>
      </c>
      <c r="Q4273">
        <v>-7.8124739999999998E-2</v>
      </c>
      <c r="R4273">
        <v>-0.99495069999999997</v>
      </c>
      <c r="S4273">
        <v>-0.1206055</v>
      </c>
      <c r="T4273">
        <v>-0.34800910000000002</v>
      </c>
      <c r="U4273">
        <v>-2.9804840000000001</v>
      </c>
      <c r="V4273">
        <v>5.6205110000000003E-2</v>
      </c>
      <c r="W4273">
        <v>-6.6061369999999994E-2</v>
      </c>
      <c r="X4273">
        <v>0.99623130000000004</v>
      </c>
      <c r="Y4273">
        <v>3.3475530000000003E-2</v>
      </c>
      <c r="Z4273">
        <v>0.1037503</v>
      </c>
      <c r="AA4273">
        <v>0.99403989999999998</v>
      </c>
      <c r="AB4273">
        <v>10</v>
      </c>
      <c r="AC4273">
        <v>-2.6499999999998601E-2</v>
      </c>
      <c r="AD4273">
        <v>-9.27899999999999E-2</v>
      </c>
      <c r="AE4273">
        <v>-0.69709999999997696</v>
      </c>
      <c r="AF4273">
        <v>2.1438118171113098E-2</v>
      </c>
      <c r="AG4273">
        <v>-9.27899999999999E-2</v>
      </c>
      <c r="AH4273">
        <v>0.68514052868328301</v>
      </c>
      <c r="AI4273">
        <v>97.709031544145404</v>
      </c>
      <c r="AJ4273">
        <v>88.207793865315097</v>
      </c>
      <c r="AK4273">
        <v>0.69172763502344403</v>
      </c>
      <c r="AL4273">
        <v>93.787796308334805</v>
      </c>
      <c r="AM4273">
        <v>86.770925197729596</v>
      </c>
      <c r="AN4273">
        <v>0.99999996104803801</v>
      </c>
    </row>
    <row r="4274" spans="1:40" x14ac:dyDescent="0.25">
      <c r="A4274" t="str">
        <f>"20190303154854858"</f>
        <v>20190303154854858</v>
      </c>
      <c r="B4274" t="str">
        <f>"1551599334855243"</f>
        <v>1551599334855243</v>
      </c>
      <c r="C4274" t="s">
        <v>40</v>
      </c>
      <c r="D4274">
        <v>5.6593849999999897</v>
      </c>
      <c r="E4274">
        <v>0.49079400000000001</v>
      </c>
      <c r="F4274" t="s">
        <v>42</v>
      </c>
      <c r="G4274">
        <v>-189.809</v>
      </c>
      <c r="H4274">
        <v>1.0274129999999999</v>
      </c>
      <c r="I4274">
        <v>202.86940000000001</v>
      </c>
      <c r="J4274">
        <v>-189.78219999999999</v>
      </c>
      <c r="K4274">
        <v>1.1202730000000001</v>
      </c>
      <c r="L4274">
        <v>203.59630000000001</v>
      </c>
      <c r="M4274">
        <v>-9.7248130000000006E-3</v>
      </c>
      <c r="N4274">
        <v>-1.215488E-2</v>
      </c>
      <c r="O4274">
        <v>-0.99987879999999996</v>
      </c>
      <c r="P4274">
        <v>-6.2554319999999997E-2</v>
      </c>
      <c r="Q4274">
        <v>-7.7821520000000005E-2</v>
      </c>
      <c r="R4274">
        <v>-0.99500270000000002</v>
      </c>
      <c r="S4274">
        <v>-0.1154785</v>
      </c>
      <c r="T4274">
        <v>-0.34976400000000002</v>
      </c>
      <c r="U4274">
        <v>-2.9804689999999998</v>
      </c>
      <c r="V4274">
        <v>5.275432E-2</v>
      </c>
      <c r="W4274">
        <v>-6.5811289999999995E-2</v>
      </c>
      <c r="X4274">
        <v>0.99643660000000001</v>
      </c>
      <c r="Y4274">
        <v>2.8761689999999999E-2</v>
      </c>
      <c r="Z4274">
        <v>0.1043984</v>
      </c>
      <c r="AA4274">
        <v>0.99411959999999999</v>
      </c>
      <c r="AB4274">
        <v>10</v>
      </c>
      <c r="AC4274">
        <v>-2.6800000000036999E-2</v>
      </c>
      <c r="AD4274">
        <v>-9.2859999999999901E-2</v>
      </c>
      <c r="AE4274">
        <v>-0.72689999999999999</v>
      </c>
      <c r="AF4274">
        <v>1.9412864409728298E-2</v>
      </c>
      <c r="AG4274">
        <v>-9.2859999999999901E-2</v>
      </c>
      <c r="AH4274">
        <v>0.71546603659691799</v>
      </c>
      <c r="AI4274">
        <v>97.392362576014307</v>
      </c>
      <c r="AJ4274">
        <v>88.445764988347094</v>
      </c>
      <c r="AK4274">
        <v>0.72172812639406903</v>
      </c>
      <c r="AL4274">
        <v>93.773436303377096</v>
      </c>
      <c r="AM4274">
        <v>86.969420279502799</v>
      </c>
      <c r="AN4274">
        <v>1.0000000209948401</v>
      </c>
    </row>
    <row r="4275" spans="1:40" x14ac:dyDescent="0.25">
      <c r="A4275" t="str">
        <f>"20190303154854871"</f>
        <v>20190303154854871</v>
      </c>
      <c r="B4275" t="str">
        <f>"1551599334865003"</f>
        <v>1551599334865003</v>
      </c>
      <c r="C4275" t="s">
        <v>40</v>
      </c>
      <c r="D4275">
        <v>5.5423530000000003</v>
      </c>
      <c r="E4275">
        <v>0.49082110000000001</v>
      </c>
      <c r="F4275" t="s">
        <v>42</v>
      </c>
      <c r="G4275">
        <v>-189.81020000000001</v>
      </c>
      <c r="H4275">
        <v>1.0348389999999901</v>
      </c>
      <c r="I4275">
        <v>202.86580000000001</v>
      </c>
      <c r="J4275">
        <v>-189.786</v>
      </c>
      <c r="K4275">
        <v>1.1202510000000001</v>
      </c>
      <c r="L4275">
        <v>203.53479999999999</v>
      </c>
      <c r="M4275">
        <v>-1.251853E-2</v>
      </c>
      <c r="N4275">
        <v>-1.208236E-2</v>
      </c>
      <c r="O4275">
        <v>-0.99984879999999998</v>
      </c>
      <c r="P4275">
        <v>-6.2385999999999997E-2</v>
      </c>
      <c r="Q4275">
        <v>-7.7518829999999997E-2</v>
      </c>
      <c r="R4275">
        <v>-0.99503730000000001</v>
      </c>
      <c r="S4275">
        <v>-0.1139984</v>
      </c>
      <c r="T4275">
        <v>-0.34850350000000002</v>
      </c>
      <c r="U4275">
        <v>-2.9806520000000001</v>
      </c>
      <c r="V4275">
        <v>4.9802359999999997E-2</v>
      </c>
      <c r="W4275">
        <v>-6.5574709999999994E-2</v>
      </c>
      <c r="X4275">
        <v>0.99660409999999999</v>
      </c>
      <c r="Y4275">
        <v>2.5477509999999998E-2</v>
      </c>
      <c r="Z4275">
        <v>0.1040503</v>
      </c>
      <c r="AA4275">
        <v>0.99424559999999995</v>
      </c>
      <c r="AB4275">
        <v>10</v>
      </c>
      <c r="AC4275">
        <v>-2.4200000000035901E-2</v>
      </c>
      <c r="AD4275">
        <v>-8.5412000000000196E-2</v>
      </c>
      <c r="AE4275">
        <v>-0.66899999999998205</v>
      </c>
      <c r="AF4275">
        <v>1.5569152472140701E-2</v>
      </c>
      <c r="AG4275">
        <v>-8.5412000000000196E-2</v>
      </c>
      <c r="AH4275">
        <v>0.65853056989492098</v>
      </c>
      <c r="AI4275">
        <v>97.388016787952196</v>
      </c>
      <c r="AJ4275">
        <v>88.645650454792303</v>
      </c>
      <c r="AK4275">
        <v>0.66422896635033202</v>
      </c>
      <c r="AL4275">
        <v>93.759851909564205</v>
      </c>
      <c r="AM4275">
        <v>87.139191621263905</v>
      </c>
      <c r="AN4275">
        <v>1.0000000248949801</v>
      </c>
    </row>
    <row r="4276" spans="1:40" x14ac:dyDescent="0.25">
      <c r="A4276" t="str">
        <f>"20190303154854891"</f>
        <v>20190303154854891</v>
      </c>
      <c r="B4276" t="str">
        <f>"1551599334885499"</f>
        <v>1551599334885499</v>
      </c>
      <c r="C4276" t="s">
        <v>40</v>
      </c>
      <c r="D4276">
        <v>5.4737130000000001</v>
      </c>
      <c r="E4276">
        <v>0.49085909999999999</v>
      </c>
      <c r="F4276" t="s">
        <v>42</v>
      </c>
      <c r="G4276">
        <v>-189.8152</v>
      </c>
      <c r="H4276">
        <v>1.031379</v>
      </c>
      <c r="I4276">
        <v>202.77340000000001</v>
      </c>
      <c r="J4276">
        <v>-189.79169999999999</v>
      </c>
      <c r="K4276">
        <v>1.120223</v>
      </c>
      <c r="L4276">
        <v>203.44499999999999</v>
      </c>
      <c r="M4276">
        <v>-1.6484220000000001E-2</v>
      </c>
      <c r="N4276">
        <v>-1.1954670000000001E-2</v>
      </c>
      <c r="O4276">
        <v>-0.99979280000000004</v>
      </c>
      <c r="P4276">
        <v>-6.018635E-2</v>
      </c>
      <c r="Q4276">
        <v>-7.6849009999999995E-2</v>
      </c>
      <c r="R4276">
        <v>-0.99522480000000002</v>
      </c>
      <c r="S4276">
        <v>-0.1137543</v>
      </c>
      <c r="T4276">
        <v>-0.34760750000000001</v>
      </c>
      <c r="U4276">
        <v>-2.9807739999999998</v>
      </c>
      <c r="V4276">
        <v>4.3649199999999999E-2</v>
      </c>
      <c r="W4276">
        <v>-6.501796E-2</v>
      </c>
      <c r="X4276">
        <v>0.99692899999999995</v>
      </c>
      <c r="Y4276">
        <v>2.1433440000000002E-2</v>
      </c>
      <c r="Z4276">
        <v>0.10387440000000001</v>
      </c>
      <c r="AA4276">
        <v>0.9943594</v>
      </c>
      <c r="AB4276">
        <v>10</v>
      </c>
      <c r="AC4276">
        <v>-2.3500000000012702E-2</v>
      </c>
      <c r="AD4276">
        <v>-8.8843999999999895E-2</v>
      </c>
      <c r="AE4276">
        <v>-0.67159999999998299</v>
      </c>
      <c r="AF4276">
        <v>1.2211771681402601E-2</v>
      </c>
      <c r="AG4276">
        <v>-8.8843999999999895E-2</v>
      </c>
      <c r="AH4276">
        <v>0.66035416030963501</v>
      </c>
      <c r="AI4276">
        <v>97.661263389099901</v>
      </c>
      <c r="AJ4276">
        <v>88.940563599924701</v>
      </c>
      <c r="AK4276">
        <v>0.66641578668414103</v>
      </c>
      <c r="AL4276">
        <v>93.727884320893097</v>
      </c>
      <c r="AM4276">
        <v>87.492982265818597</v>
      </c>
      <c r="AN4276">
        <v>1.0000000094121</v>
      </c>
    </row>
    <row r="4277" spans="1:40" x14ac:dyDescent="0.25">
      <c r="A4277" t="str">
        <f>"20190303154854905"</f>
        <v>20190303154854905</v>
      </c>
      <c r="B4277" t="str">
        <f>"1551599334895259"</f>
        <v>1551599334895259</v>
      </c>
      <c r="C4277" t="s">
        <v>40</v>
      </c>
      <c r="D4277">
        <v>5.5420769999999999</v>
      </c>
      <c r="E4277">
        <v>0.49088399999999999</v>
      </c>
      <c r="F4277" t="s">
        <v>42</v>
      </c>
      <c r="G4277">
        <v>-189.8194</v>
      </c>
      <c r="H4277">
        <v>1.0313969999999999</v>
      </c>
      <c r="I4277">
        <v>202.6788</v>
      </c>
      <c r="J4277">
        <v>-189.79589999999999</v>
      </c>
      <c r="K4277">
        <v>1.120207</v>
      </c>
      <c r="L4277">
        <v>203.38200000000001</v>
      </c>
      <c r="M4277">
        <v>-1.918798E-2</v>
      </c>
      <c r="N4277">
        <v>-1.1846829999999999E-2</v>
      </c>
      <c r="O4277">
        <v>-0.99974569999999996</v>
      </c>
      <c r="P4277">
        <v>-6.0069009999999999E-2</v>
      </c>
      <c r="Q4277">
        <v>-7.6457360000000002E-2</v>
      </c>
      <c r="R4277">
        <v>-0.99526179999999997</v>
      </c>
      <c r="S4277">
        <v>-0.1077576</v>
      </c>
      <c r="T4277">
        <v>-0.345647599999999</v>
      </c>
      <c r="U4277">
        <v>-2.9811709999999998</v>
      </c>
      <c r="V4277">
        <v>4.0837529999999997E-2</v>
      </c>
      <c r="W4277">
        <v>-6.4726939999999997E-2</v>
      </c>
      <c r="X4277">
        <v>0.99706700000000004</v>
      </c>
      <c r="Y4277">
        <v>1.673289E-2</v>
      </c>
      <c r="Z4277">
        <v>0.1033232</v>
      </c>
      <c r="AA4277">
        <v>0.99450709999999998</v>
      </c>
      <c r="AB4277">
        <v>10</v>
      </c>
      <c r="AC4277">
        <v>-2.3500000000012702E-2</v>
      </c>
      <c r="AD4277">
        <v>-8.881E-2</v>
      </c>
      <c r="AE4277">
        <v>-0.70320000000000904</v>
      </c>
      <c r="AF4277">
        <v>9.8448856655171599E-3</v>
      </c>
      <c r="AG4277">
        <v>-8.881E-2</v>
      </c>
      <c r="AH4277">
        <v>0.69248846273014097</v>
      </c>
      <c r="AI4277">
        <v>97.307424531596595</v>
      </c>
      <c r="AJ4277">
        <v>89.185499208689393</v>
      </c>
      <c r="AK4277">
        <v>0.69822948153749698</v>
      </c>
      <c r="AL4277">
        <v>93.711175158112496</v>
      </c>
      <c r="AM4277">
        <v>87.654609912360598</v>
      </c>
      <c r="AN4277">
        <v>0.99999994155363003</v>
      </c>
    </row>
    <row r="4278" spans="1:40" x14ac:dyDescent="0.25">
      <c r="A4278" t="str">
        <f>"20190303154854919"</f>
        <v>20190303154854919</v>
      </c>
      <c r="B4278" t="str">
        <f>"1551599334914778"</f>
        <v>1551599334914778</v>
      </c>
      <c r="C4278" t="s">
        <v>40</v>
      </c>
      <c r="D4278">
        <v>5.4336880000000001</v>
      </c>
      <c r="E4278">
        <v>0.49097990000000002</v>
      </c>
      <c r="F4278" t="s">
        <v>42</v>
      </c>
      <c r="G4278">
        <v>-189.82470000000001</v>
      </c>
      <c r="H4278">
        <v>1.028092</v>
      </c>
      <c r="I4278">
        <v>202.5857</v>
      </c>
      <c r="J4278">
        <v>-189.80080000000001</v>
      </c>
      <c r="K4278">
        <v>1.1201890000000001</v>
      </c>
      <c r="L4278">
        <v>203.30869999999999</v>
      </c>
      <c r="M4278">
        <v>-2.2244460000000001E-2</v>
      </c>
      <c r="N4278">
        <v>-1.1700189999999999E-2</v>
      </c>
      <c r="O4278">
        <v>-0.99968420000000002</v>
      </c>
      <c r="P4278">
        <v>-6.0239290000000001E-2</v>
      </c>
      <c r="Q4278">
        <v>-7.5828530000000005E-2</v>
      </c>
      <c r="R4278">
        <v>-0.99529999999999996</v>
      </c>
      <c r="S4278">
        <v>-0.10768129999999999</v>
      </c>
      <c r="T4278">
        <v>-0.34465129999999999</v>
      </c>
      <c r="U4278">
        <v>-2.9813230000000002</v>
      </c>
      <c r="V4278">
        <v>3.7963080000000003E-2</v>
      </c>
      <c r="W4278">
        <v>-6.4236340000000003E-2</v>
      </c>
      <c r="X4278">
        <v>0.9972124</v>
      </c>
      <c r="Y4278">
        <v>1.36519E-2</v>
      </c>
      <c r="Z4278">
        <v>0.103128</v>
      </c>
      <c r="AA4278">
        <v>0.99457439999999997</v>
      </c>
      <c r="AB4278">
        <v>10</v>
      </c>
      <c r="AC4278">
        <v>-2.38999999999975E-2</v>
      </c>
      <c r="AD4278">
        <v>-9.2096999999999804E-2</v>
      </c>
      <c r="AE4278">
        <v>-0.72299999999998399</v>
      </c>
      <c r="AF4278">
        <v>7.6856692111645798E-3</v>
      </c>
      <c r="AG4278">
        <v>-9.2096999999999804E-2</v>
      </c>
      <c r="AH4278">
        <v>0.71181537043726995</v>
      </c>
      <c r="AI4278">
        <v>97.371735636352497</v>
      </c>
      <c r="AJ4278">
        <v>89.381385517106196</v>
      </c>
      <c r="AK4278">
        <v>0.71778969657621206</v>
      </c>
      <c r="AL4278">
        <v>93.6830068751281</v>
      </c>
      <c r="AM4278">
        <v>87.819848211304603</v>
      </c>
      <c r="AN4278">
        <v>1.0000000367667199</v>
      </c>
    </row>
    <row r="4279" spans="1:40" x14ac:dyDescent="0.25">
      <c r="A4279" t="str">
        <f>"20190303154854934"</f>
        <v>20190303154854934</v>
      </c>
      <c r="B4279" t="str">
        <f>"1551599334925514"</f>
        <v>1551599334925514</v>
      </c>
      <c r="C4279" t="s">
        <v>40</v>
      </c>
      <c r="D4279">
        <v>5.5025149999999998</v>
      </c>
      <c r="E4279">
        <v>0.4910043</v>
      </c>
      <c r="F4279" t="s">
        <v>42</v>
      </c>
      <c r="G4279">
        <v>-189.82749999999999</v>
      </c>
      <c r="H4279">
        <v>1.036608</v>
      </c>
      <c r="I4279">
        <v>202.58170000000001</v>
      </c>
      <c r="J4279">
        <v>-189.8056</v>
      </c>
      <c r="K4279">
        <v>1.120188</v>
      </c>
      <c r="L4279">
        <v>203.2388</v>
      </c>
      <c r="M4279">
        <v>-2.5053010000000001E-2</v>
      </c>
      <c r="N4279">
        <v>-1.154003E-2</v>
      </c>
      <c r="O4279">
        <v>-0.99961949999999999</v>
      </c>
      <c r="P4279">
        <v>-5.7222750000000003E-2</v>
      </c>
      <c r="Q4279">
        <v>-7.6516790000000001E-2</v>
      </c>
      <c r="R4279">
        <v>-0.99542489999999995</v>
      </c>
      <c r="S4279">
        <v>-0.1091461</v>
      </c>
      <c r="T4279">
        <v>-0.34257890000000002</v>
      </c>
      <c r="U4279">
        <v>-2.9814759999999998</v>
      </c>
      <c r="V4279">
        <v>3.2146279999999999E-2</v>
      </c>
      <c r="W4279">
        <v>-6.5070169999999997E-2</v>
      </c>
      <c r="X4279">
        <v>0.99736279999999999</v>
      </c>
      <c r="Y4279">
        <v>1.1332729999999999E-2</v>
      </c>
      <c r="Z4279">
        <v>0.1025895</v>
      </c>
      <c r="AA4279">
        <v>0.99465919999999997</v>
      </c>
      <c r="AB4279">
        <v>10</v>
      </c>
      <c r="AC4279">
        <v>-2.1899999999987999E-2</v>
      </c>
      <c r="AD4279">
        <v>-8.3579999999999904E-2</v>
      </c>
      <c r="AE4279">
        <v>-0.65709999999998503</v>
      </c>
      <c r="AF4279">
        <v>5.3433437389863898E-3</v>
      </c>
      <c r="AG4279">
        <v>-8.3579999999999904E-2</v>
      </c>
      <c r="AH4279">
        <v>0.64698667666616305</v>
      </c>
      <c r="AI4279">
        <v>97.360654246401893</v>
      </c>
      <c r="AJ4279">
        <v>89.526815473326295</v>
      </c>
      <c r="AK4279">
        <v>0.65238480017995404</v>
      </c>
      <c r="AL4279">
        <v>93.730881995024205</v>
      </c>
      <c r="AM4279">
        <v>88.153922760768396</v>
      </c>
      <c r="AN4279">
        <v>1.0000000325827501</v>
      </c>
    </row>
    <row r="4280" spans="1:40" x14ac:dyDescent="0.25">
      <c r="A4280" t="str">
        <f>"20190303154854946"</f>
        <v>20190303154854946</v>
      </c>
      <c r="B4280" t="str">
        <f>"1551599334935276"</f>
        <v>1551599334935276</v>
      </c>
      <c r="C4280" t="s">
        <v>40</v>
      </c>
      <c r="D4280">
        <v>5.5088229999999996</v>
      </c>
      <c r="E4280">
        <v>0.49101280000000003</v>
      </c>
      <c r="F4280" t="s">
        <v>42</v>
      </c>
      <c r="G4280">
        <v>-189.83099999999999</v>
      </c>
      <c r="H4280">
        <v>1.0333289999999999</v>
      </c>
      <c r="I4280">
        <v>202.48820000000001</v>
      </c>
      <c r="J4280">
        <v>-189.8098</v>
      </c>
      <c r="K4280">
        <v>1.1201890000000001</v>
      </c>
      <c r="L4280">
        <v>203.1788</v>
      </c>
      <c r="M4280">
        <v>-2.7404189999999998E-2</v>
      </c>
      <c r="N4280">
        <v>-1.139511E-2</v>
      </c>
      <c r="O4280">
        <v>-0.99955950000000005</v>
      </c>
      <c r="P4280">
        <v>-5.7166229999999998E-2</v>
      </c>
      <c r="Q4280">
        <v>-7.6422749999999998E-2</v>
      </c>
      <c r="R4280">
        <v>-0.99543550000000003</v>
      </c>
      <c r="S4280">
        <v>-0.100647</v>
      </c>
      <c r="T4280">
        <v>-0.34487760000000001</v>
      </c>
      <c r="U4280">
        <v>-2.981506</v>
      </c>
      <c r="V4280">
        <v>2.9749060000000001E-2</v>
      </c>
      <c r="W4280">
        <v>-6.5113690000000002E-2</v>
      </c>
      <c r="X4280">
        <v>0.9974343</v>
      </c>
      <c r="Y4280">
        <v>6.1490499999999997E-3</v>
      </c>
      <c r="Z4280">
        <v>0.10348640000000001</v>
      </c>
      <c r="AA4280">
        <v>0.99461189999999999</v>
      </c>
      <c r="AB4280">
        <v>10</v>
      </c>
      <c r="AC4280">
        <v>-2.11999999999932E-2</v>
      </c>
      <c r="AD4280">
        <v>-8.6859999999999701E-2</v>
      </c>
      <c r="AE4280">
        <v>-0.690599999999989</v>
      </c>
      <c r="AF4280">
        <v>2.2302274786142801E-3</v>
      </c>
      <c r="AG4280">
        <v>-8.6859999999999701E-2</v>
      </c>
      <c r="AH4280">
        <v>0.68017191285169498</v>
      </c>
      <c r="AI4280">
        <v>97.277414959624807</v>
      </c>
      <c r="AJ4280">
        <v>89.812132548368695</v>
      </c>
      <c r="AK4280">
        <v>0.68569925225782502</v>
      </c>
      <c r="AL4280">
        <v>93.733380962008297</v>
      </c>
      <c r="AM4280">
        <v>88.291626393881899</v>
      </c>
      <c r="AN4280">
        <v>0.99999999100639403</v>
      </c>
    </row>
    <row r="4281" spans="1:40" x14ac:dyDescent="0.25">
      <c r="A4281" t="str">
        <f>"20190303154854959"</f>
        <v>20190303154854959</v>
      </c>
      <c r="B4281" t="str">
        <f>"1551599334954794"</f>
        <v>1551599334954794</v>
      </c>
      <c r="C4281" t="s">
        <v>40</v>
      </c>
      <c r="D4281">
        <v>5.4422839999999999</v>
      </c>
      <c r="E4281">
        <v>0.4911412</v>
      </c>
      <c r="F4281" t="s">
        <v>42</v>
      </c>
      <c r="G4281">
        <v>-189.8364</v>
      </c>
      <c r="H4281">
        <v>1.0294620000000001</v>
      </c>
      <c r="I4281">
        <v>202.39449999999999</v>
      </c>
      <c r="J4281">
        <v>-189.8142</v>
      </c>
      <c r="K4281">
        <v>1.1201939999999999</v>
      </c>
      <c r="L4281">
        <v>203.11779999999999</v>
      </c>
      <c r="M4281">
        <v>-2.9738819999999999E-2</v>
      </c>
      <c r="N4281">
        <v>-1.124198E-2</v>
      </c>
      <c r="O4281">
        <v>-0.99949449999999995</v>
      </c>
      <c r="P4281">
        <v>-5.6871390000000001E-2</v>
      </c>
      <c r="Q4281">
        <v>-7.664145E-2</v>
      </c>
      <c r="R4281">
        <v>-0.99543530000000002</v>
      </c>
      <c r="S4281">
        <v>-0.1006775</v>
      </c>
      <c r="T4281">
        <v>-0.34469749999999999</v>
      </c>
      <c r="U4281">
        <v>-2.981506</v>
      </c>
      <c r="V4281">
        <v>2.7130620000000001E-2</v>
      </c>
      <c r="W4281">
        <v>-6.5477839999999995E-2</v>
      </c>
      <c r="X4281">
        <v>0.99748510000000001</v>
      </c>
      <c r="Y4281">
        <v>3.8249920000000001E-3</v>
      </c>
      <c r="Z4281">
        <v>0.10356899999999999</v>
      </c>
      <c r="AA4281">
        <v>0.99461489999999997</v>
      </c>
      <c r="AB4281">
        <v>10</v>
      </c>
      <c r="AC4281">
        <v>-2.2199999999997999E-2</v>
      </c>
      <c r="AD4281">
        <v>-9.0731999999999993E-2</v>
      </c>
      <c r="AE4281">
        <v>-0.72329999999999395</v>
      </c>
      <c r="AF4281">
        <v>6.6822719590320303E-4</v>
      </c>
      <c r="AG4281">
        <v>-9.0731999999999993E-2</v>
      </c>
      <c r="AH4281">
        <v>0.71244014890985097</v>
      </c>
      <c r="AI4281">
        <v>97.257765635876396</v>
      </c>
      <c r="AJ4281">
        <v>89.946259925254907</v>
      </c>
      <c r="AK4281">
        <v>0.71819475640683705</v>
      </c>
      <c r="AL4281">
        <v>93.754289914647103</v>
      </c>
      <c r="AM4281">
        <v>88.441994906849999</v>
      </c>
      <c r="AN4281">
        <v>0.99999997139732899</v>
      </c>
    </row>
    <row r="4282" spans="1:40" x14ac:dyDescent="0.25">
      <c r="A4282" t="str">
        <f>"20190303154854973"</f>
        <v>20190303154854973</v>
      </c>
      <c r="B4282" t="str">
        <f>"1551599334965531"</f>
        <v>1551599334965531</v>
      </c>
      <c r="C4282" t="s">
        <v>40</v>
      </c>
      <c r="D4282">
        <v>5.5075229999999999</v>
      </c>
      <c r="E4282">
        <v>0.49117169999999999</v>
      </c>
      <c r="F4282" t="s">
        <v>42</v>
      </c>
      <c r="G4282">
        <v>-189.8389</v>
      </c>
      <c r="H4282">
        <v>1.0361629999999999</v>
      </c>
      <c r="I4282">
        <v>202.3914</v>
      </c>
      <c r="J4282">
        <v>-189.8186</v>
      </c>
      <c r="K4282">
        <v>1.1202049999999999</v>
      </c>
      <c r="L4282">
        <v>203.0558</v>
      </c>
      <c r="M4282">
        <v>-3.2006550000000002E-2</v>
      </c>
      <c r="N4282">
        <v>-1.1080899999999999E-2</v>
      </c>
      <c r="O4282">
        <v>-0.99942640000000005</v>
      </c>
      <c r="P4282">
        <v>-5.6754730000000003E-2</v>
      </c>
      <c r="Q4282">
        <v>-7.6552259999999997E-2</v>
      </c>
      <c r="R4282">
        <v>-0.99544920000000003</v>
      </c>
      <c r="S4282">
        <v>-0.10122680000000001</v>
      </c>
      <c r="T4282">
        <v>-0.34468470000000001</v>
      </c>
      <c r="U4282">
        <v>-2.9814449999999999</v>
      </c>
      <c r="V4282">
        <v>2.475774E-2</v>
      </c>
      <c r="W4282">
        <v>-6.5542379999999997E-2</v>
      </c>
      <c r="X4282">
        <v>0.99754259999999995</v>
      </c>
      <c r="Y4282">
        <v>1.7408020000000001E-3</v>
      </c>
      <c r="Z4282">
        <v>0.10371569999999999</v>
      </c>
      <c r="AA4282">
        <v>0.99460550000000003</v>
      </c>
      <c r="AB4282">
        <v>10</v>
      </c>
      <c r="AC4282">
        <v>-2.02999999999917E-2</v>
      </c>
      <c r="AD4282">
        <v>-8.4041999999999895E-2</v>
      </c>
      <c r="AE4282">
        <v>-0.66439999999999999</v>
      </c>
      <c r="AF4282">
        <v>-9.6148580698766201E-4</v>
      </c>
      <c r="AG4282">
        <v>-8.4041999999999895E-2</v>
      </c>
      <c r="AH4282">
        <v>0.654250757086697</v>
      </c>
      <c r="AI4282">
        <v>97.319855226752495</v>
      </c>
      <c r="AJ4282">
        <v>90.084201720130196</v>
      </c>
      <c r="AK4282">
        <v>0.65962719422979599</v>
      </c>
      <c r="AL4282">
        <v>93.757995659622196</v>
      </c>
      <c r="AM4282">
        <v>88.5782834074802</v>
      </c>
      <c r="AN4282">
        <v>0.99999999404036599</v>
      </c>
    </row>
    <row r="4283" spans="1:40" x14ac:dyDescent="0.25">
      <c r="A4283" t="str">
        <f>"20190303154854992"</f>
        <v>20190303154854992</v>
      </c>
      <c r="B4283" t="str">
        <f>"1551599334985051"</f>
        <v>1551599334985051</v>
      </c>
      <c r="C4283" t="s">
        <v>40</v>
      </c>
      <c r="D4283">
        <v>5.5467599999999999</v>
      </c>
      <c r="E4283">
        <v>0.49129109999999998</v>
      </c>
      <c r="F4283" t="s">
        <v>42</v>
      </c>
      <c r="G4283">
        <v>-189.84440000000001</v>
      </c>
      <c r="H4283">
        <v>1.032521</v>
      </c>
      <c r="I4283">
        <v>202.29730000000001</v>
      </c>
      <c r="J4283">
        <v>-189.82550000000001</v>
      </c>
      <c r="K4283">
        <v>1.1202219999999901</v>
      </c>
      <c r="L4283">
        <v>202.9615</v>
      </c>
      <c r="M4283">
        <v>-3.5327440000000002E-2</v>
      </c>
      <c r="N4283">
        <v>-1.0836139999999999E-2</v>
      </c>
      <c r="O4283">
        <v>-0.99931700000000001</v>
      </c>
      <c r="P4283">
        <v>-5.5266629999999997E-2</v>
      </c>
      <c r="Q4283">
        <v>-7.7161779999999999E-2</v>
      </c>
      <c r="R4283">
        <v>-0.99548579999999998</v>
      </c>
      <c r="S4283">
        <v>-0.1010132</v>
      </c>
      <c r="T4283">
        <v>-0.34451989999999999</v>
      </c>
      <c r="U4283">
        <v>-2.9814609999999999</v>
      </c>
      <c r="V4283">
        <v>1.9965070000000001E-2</v>
      </c>
      <c r="W4283">
        <v>-6.6384890000000002E-2</v>
      </c>
      <c r="X4283">
        <v>0.99759439999999999</v>
      </c>
      <c r="Y4283">
        <v>-1.6517159999999999E-3</v>
      </c>
      <c r="Z4283">
        <v>0.1038858</v>
      </c>
      <c r="AA4283">
        <v>0.99458780000000002</v>
      </c>
      <c r="AB4283">
        <v>11</v>
      </c>
      <c r="AC4283">
        <v>-1.8900000000002099E-2</v>
      </c>
      <c r="AD4283">
        <v>-8.7700999999999807E-2</v>
      </c>
      <c r="AE4283">
        <v>-0.66419999999999302</v>
      </c>
      <c r="AF4283">
        <v>-4.4992836748046503E-3</v>
      </c>
      <c r="AG4283">
        <v>-8.7700999999999807E-2</v>
      </c>
      <c r="AH4283">
        <v>0.65307618620682095</v>
      </c>
      <c r="AI4283">
        <v>97.648260982169006</v>
      </c>
      <c r="AJ4283">
        <v>90.394725596228497</v>
      </c>
      <c r="AK4283">
        <v>0.65895387846573406</v>
      </c>
      <c r="AL4283">
        <v>93.806372995478597</v>
      </c>
      <c r="AM4283">
        <v>88.853480370509999</v>
      </c>
      <c r="AN4283">
        <v>1.0000000722758799</v>
      </c>
    </row>
    <row r="4284" spans="1:40" x14ac:dyDescent="0.25">
      <c r="A4284" t="str">
        <f>"20190303154855017"</f>
        <v>20190303154855017</v>
      </c>
      <c r="B4284" t="str">
        <f>"1551599335005546"</f>
        <v>1551599335005546</v>
      </c>
      <c r="C4284" t="s">
        <v>40</v>
      </c>
      <c r="D4284">
        <v>5.469417</v>
      </c>
      <c r="E4284">
        <v>0.49139450000000001</v>
      </c>
      <c r="F4284" t="s">
        <v>42</v>
      </c>
      <c r="G4284">
        <v>-189.85059999999999</v>
      </c>
      <c r="H4284">
        <v>1.0318969999999901</v>
      </c>
      <c r="I4284">
        <v>202.2012</v>
      </c>
      <c r="J4284">
        <v>-189.8338</v>
      </c>
      <c r="K4284">
        <v>1.1202430000000001</v>
      </c>
      <c r="L4284">
        <v>202.84870000000001</v>
      </c>
      <c r="M4284">
        <v>-3.9065830000000003E-2</v>
      </c>
      <c r="N4284">
        <v>-1.0549040000000001E-2</v>
      </c>
      <c r="O4284">
        <v>-0.99918099999999999</v>
      </c>
      <c r="P4284">
        <v>-5.4169809999999999E-2</v>
      </c>
      <c r="Q4284">
        <v>-7.741982E-2</v>
      </c>
      <c r="R4284">
        <v>-0.99552589999999996</v>
      </c>
      <c r="S4284">
        <v>-9.783936E-2</v>
      </c>
      <c r="T4284">
        <v>-0.34604000000000001</v>
      </c>
      <c r="U4284">
        <v>-2.9813540000000001</v>
      </c>
      <c r="V4284">
        <v>1.5148200000000001E-2</v>
      </c>
      <c r="W4284">
        <v>-6.6919119999999999E-2</v>
      </c>
      <c r="X4284">
        <v>0.99764339999999996</v>
      </c>
      <c r="Y4284">
        <v>-6.4486559999999997E-3</v>
      </c>
      <c r="Z4284">
        <v>0.10465240000000001</v>
      </c>
      <c r="AA4284">
        <v>0.99448789999999998</v>
      </c>
      <c r="AB4284">
        <v>11</v>
      </c>
      <c r="AC4284">
        <v>-1.6799999999989199E-2</v>
      </c>
      <c r="AD4284">
        <v>-8.8346000000000202E-2</v>
      </c>
      <c r="AE4284">
        <v>-0.64750000000000696</v>
      </c>
      <c r="AF4284">
        <v>-8.3539420390473101E-3</v>
      </c>
      <c r="AG4284">
        <v>-8.8346000000000202E-2</v>
      </c>
      <c r="AH4284">
        <v>0.635833091186217</v>
      </c>
      <c r="AI4284">
        <v>97.909657875552497</v>
      </c>
      <c r="AJ4284">
        <v>90.752741700613001</v>
      </c>
      <c r="AK4284">
        <v>0.64199573511902097</v>
      </c>
      <c r="AL4284">
        <v>93.8370506323201</v>
      </c>
      <c r="AM4284">
        <v>89.130088731883703</v>
      </c>
      <c r="AN4284">
        <v>0.99999999507418702</v>
      </c>
    </row>
    <row r="4285" spans="1:40" x14ac:dyDescent="0.25">
      <c r="A4285" t="str">
        <f>"20190303154855036"</f>
        <v>20190303154855036</v>
      </c>
      <c r="B4285" t="str">
        <f>"1551599335025067"</f>
        <v>1551599335025067</v>
      </c>
      <c r="C4285" t="s">
        <v>40</v>
      </c>
      <c r="D4285">
        <v>5.4663320000000004</v>
      </c>
      <c r="E4285">
        <v>0.49146800000000002</v>
      </c>
      <c r="F4285" t="s">
        <v>42</v>
      </c>
      <c r="G4285">
        <v>-189.85769999999999</v>
      </c>
      <c r="H4285">
        <v>1.0335179999999999</v>
      </c>
      <c r="I4285">
        <v>202.1037</v>
      </c>
      <c r="J4285">
        <v>-189.84119999999999</v>
      </c>
      <c r="K4285">
        <v>1.1202490000000001</v>
      </c>
      <c r="L4285">
        <v>202.7492</v>
      </c>
      <c r="M4285">
        <v>-4.2154669999999998E-2</v>
      </c>
      <c r="N4285">
        <v>-1.0305999999999999E-2</v>
      </c>
      <c r="O4285">
        <v>-0.99905809999999995</v>
      </c>
      <c r="P4285">
        <v>-5.3106529999999999E-2</v>
      </c>
      <c r="Q4285">
        <v>-7.8962039999999997E-2</v>
      </c>
      <c r="R4285">
        <v>-0.99546239999999997</v>
      </c>
      <c r="S4285">
        <v>-9.5611570000000007E-2</v>
      </c>
      <c r="T4285">
        <v>-0.34699370000000002</v>
      </c>
      <c r="U4285">
        <v>-2.9813079999999998</v>
      </c>
      <c r="V4285">
        <v>1.1012050000000001E-2</v>
      </c>
      <c r="W4285">
        <v>-6.8697800000000003E-2</v>
      </c>
      <c r="X4285">
        <v>0.99757669999999998</v>
      </c>
      <c r="Y4285">
        <v>-1.028126E-2</v>
      </c>
      <c r="Z4285">
        <v>0.1051873</v>
      </c>
      <c r="AA4285">
        <v>0.99439929999999999</v>
      </c>
      <c r="AB4285">
        <v>11</v>
      </c>
      <c r="AC4285">
        <v>-1.6500000000007699E-2</v>
      </c>
      <c r="AD4285">
        <v>-8.67310000000001E-2</v>
      </c>
      <c r="AE4285">
        <v>-0.64549999999999796</v>
      </c>
      <c r="AF4285">
        <v>-1.0536848319194001E-2</v>
      </c>
      <c r="AG4285">
        <v>-8.67310000000001E-2</v>
      </c>
      <c r="AH4285">
        <v>0.63418018200302395</v>
      </c>
      <c r="AI4285">
        <v>97.7864446969037</v>
      </c>
      <c r="AJ4285">
        <v>90.951876787226396</v>
      </c>
      <c r="AK4285">
        <v>0.64017012955845598</v>
      </c>
      <c r="AL4285">
        <v>93.939196734941106</v>
      </c>
      <c r="AM4285">
        <v>89.367549018793497</v>
      </c>
      <c r="AN4285">
        <v>0.99999996267646496</v>
      </c>
    </row>
    <row r="4286" spans="1:40" x14ac:dyDescent="0.25">
      <c r="A4286" t="str">
        <f>"20190303154855058"</f>
        <v>20190303154855058</v>
      </c>
      <c r="B4286" t="str">
        <f>"1551599335055322"</f>
        <v>1551599335055322</v>
      </c>
      <c r="C4286" t="s">
        <v>40</v>
      </c>
      <c r="D4286">
        <v>5.4166860000000003</v>
      </c>
      <c r="E4286">
        <v>0.49160340000000002</v>
      </c>
      <c r="F4286" t="s">
        <v>42</v>
      </c>
      <c r="G4286">
        <v>-189.8646</v>
      </c>
      <c r="H4286">
        <v>1.032629</v>
      </c>
      <c r="I4286">
        <v>202.0069</v>
      </c>
      <c r="J4286">
        <v>-189.8494</v>
      </c>
      <c r="K4286">
        <v>1.1202460000000001</v>
      </c>
      <c r="L4286">
        <v>202.6413</v>
      </c>
      <c r="M4286">
        <v>-4.5299100000000002E-2</v>
      </c>
      <c r="N4286">
        <v>-1.00546E-2</v>
      </c>
      <c r="O4286">
        <v>-0.9989228</v>
      </c>
      <c r="P4286">
        <v>-5.2602940000000001E-2</v>
      </c>
      <c r="Q4286">
        <v>-8.0720349999999996E-2</v>
      </c>
      <c r="R4286">
        <v>-0.99534789999999995</v>
      </c>
      <c r="S4286">
        <v>-9.3383789999999994E-2</v>
      </c>
      <c r="T4286">
        <v>-0.35173320000000002</v>
      </c>
      <c r="U4286">
        <v>-2.980804</v>
      </c>
      <c r="V4286">
        <v>7.3808490000000001E-3</v>
      </c>
      <c r="W4286">
        <v>-7.0702899999999999E-2</v>
      </c>
      <c r="X4286">
        <v>0.99747010000000003</v>
      </c>
      <c r="Y4286">
        <v>-1.416922E-2</v>
      </c>
      <c r="Z4286">
        <v>0.10698829999999999</v>
      </c>
      <c r="AA4286">
        <v>0.99415929999999997</v>
      </c>
      <c r="AB4286">
        <v>11</v>
      </c>
      <c r="AC4286">
        <v>-1.51999999999929E-2</v>
      </c>
      <c r="AD4286">
        <v>-8.7616999999999806E-2</v>
      </c>
      <c r="AE4286">
        <v>-0.63439999999999896</v>
      </c>
      <c r="AF4286">
        <v>-1.3301241228809201E-2</v>
      </c>
      <c r="AG4286">
        <v>-8.7616999999999806E-2</v>
      </c>
      <c r="AH4286">
        <v>0.62256898031824304</v>
      </c>
      <c r="AI4286">
        <v>98.009082922856393</v>
      </c>
      <c r="AJ4286">
        <v>91.2239431805029</v>
      </c>
      <c r="AK4286">
        <v>0.628844811508947</v>
      </c>
      <c r="AL4286">
        <v>94.054360502322396</v>
      </c>
      <c r="AM4286">
        <v>89.576043653943799</v>
      </c>
      <c r="AN4286">
        <v>0.99999998869718998</v>
      </c>
    </row>
    <row r="4287" spans="1:40" x14ac:dyDescent="0.25">
      <c r="A4287" t="str">
        <f>"20190303154855071"</f>
        <v>20190303154855071</v>
      </c>
      <c r="B4287" t="str">
        <f>"1551599335065083"</f>
        <v>1551599335065083</v>
      </c>
      <c r="C4287" t="s">
        <v>40</v>
      </c>
      <c r="D4287">
        <v>5.4792160000000001</v>
      </c>
      <c r="E4287">
        <v>0.4916372</v>
      </c>
      <c r="F4287" t="s">
        <v>42</v>
      </c>
      <c r="G4287">
        <v>-189.8723</v>
      </c>
      <c r="H4287">
        <v>1.0325930000000001</v>
      </c>
      <c r="I4287">
        <v>201.90899999999999</v>
      </c>
      <c r="J4287">
        <v>-189.8545</v>
      </c>
      <c r="K4287">
        <v>1.120241</v>
      </c>
      <c r="L4287">
        <v>202.5744</v>
      </c>
      <c r="M4287">
        <v>-4.7127780000000001E-2</v>
      </c>
      <c r="N4287">
        <v>-9.9045829999999998E-3</v>
      </c>
      <c r="O4287">
        <v>-0.9988399</v>
      </c>
      <c r="P4287">
        <v>-5.278161E-2</v>
      </c>
      <c r="Q4287">
        <v>-8.1156220000000001E-2</v>
      </c>
      <c r="R4287">
        <v>-0.99530300000000005</v>
      </c>
      <c r="S4287">
        <v>-9.2941280000000001E-2</v>
      </c>
      <c r="T4287">
        <v>-0.35664279999999998</v>
      </c>
      <c r="U4287">
        <v>-2.980194</v>
      </c>
      <c r="V4287">
        <v>5.7392550000000004E-3</v>
      </c>
      <c r="W4287">
        <v>-7.1286569999999994E-2</v>
      </c>
      <c r="X4287">
        <v>0.99743939999999998</v>
      </c>
      <c r="Y4287">
        <v>-1.6145530000000002E-2</v>
      </c>
      <c r="Z4287">
        <v>0.1087567</v>
      </c>
      <c r="AA4287">
        <v>0.99393730000000002</v>
      </c>
      <c r="AB4287">
        <v>11</v>
      </c>
      <c r="AC4287">
        <v>-1.7799999999994001E-2</v>
      </c>
      <c r="AD4287">
        <v>-8.7647999999999907E-2</v>
      </c>
      <c r="AE4287">
        <v>-0.66539999999997601</v>
      </c>
      <c r="AF4287">
        <v>-1.33486945249394E-2</v>
      </c>
      <c r="AG4287">
        <v>-8.7647999999999907E-2</v>
      </c>
      <c r="AH4287">
        <v>0.65415748532592</v>
      </c>
      <c r="AI4287">
        <v>97.629817172479406</v>
      </c>
      <c r="AJ4287">
        <v>91.169011658291495</v>
      </c>
      <c r="AK4287">
        <v>0.66013814853972097</v>
      </c>
      <c r="AL4287">
        <v>94.087886737167693</v>
      </c>
      <c r="AM4287">
        <v>89.670324372533102</v>
      </c>
      <c r="AN4287">
        <v>1.0000000353913301</v>
      </c>
    </row>
    <row r="4288" spans="1:40" x14ac:dyDescent="0.25">
      <c r="A4288" t="str">
        <f>"20190303154855084"</f>
        <v>20190303154855084</v>
      </c>
      <c r="B4288" t="str">
        <f>"1551599335074843"</f>
        <v>1551599335074843</v>
      </c>
      <c r="C4288" t="s">
        <v>40</v>
      </c>
      <c r="D4288">
        <v>5.4264869999999998</v>
      </c>
      <c r="E4288">
        <v>0.49171860000000001</v>
      </c>
      <c r="F4288" t="s">
        <v>42</v>
      </c>
      <c r="G4288">
        <v>-189.87860000000001</v>
      </c>
      <c r="H4288">
        <v>1.0286649999999999</v>
      </c>
      <c r="I4288">
        <v>201.8126</v>
      </c>
      <c r="J4288">
        <v>-189.85919999999999</v>
      </c>
      <c r="K4288">
        <v>1.1202379999999901</v>
      </c>
      <c r="L4288">
        <v>202.51320000000001</v>
      </c>
      <c r="M4288">
        <v>-4.87526E-2</v>
      </c>
      <c r="N4288">
        <v>-9.7688199999999992E-3</v>
      </c>
      <c r="O4288">
        <v>-0.99876339999999997</v>
      </c>
      <c r="P4288">
        <v>-5.2818990000000003E-2</v>
      </c>
      <c r="Q4288">
        <v>-8.1854930000000006E-2</v>
      </c>
      <c r="R4288">
        <v>-0.99524409999999996</v>
      </c>
      <c r="S4288">
        <v>-9.3795779999999995E-2</v>
      </c>
      <c r="T4288">
        <v>-0.35800799999999999</v>
      </c>
      <c r="U4288">
        <v>-2.9800110000000002</v>
      </c>
      <c r="V4288">
        <v>4.1598520000000003E-3</v>
      </c>
      <c r="W4288">
        <v>-7.2119340000000004E-2</v>
      </c>
      <c r="X4288">
        <v>0.99738729999999998</v>
      </c>
      <c r="Y4288">
        <v>-1.7486649999999999E-2</v>
      </c>
      <c r="Z4288">
        <v>0.10933130000000001</v>
      </c>
      <c r="AA4288">
        <v>0.9938515</v>
      </c>
      <c r="AB4288">
        <v>11</v>
      </c>
      <c r="AC4288">
        <v>-1.9400000000018701E-2</v>
      </c>
      <c r="AD4288">
        <v>-9.1572999999999904E-2</v>
      </c>
      <c r="AE4288">
        <v>-0.70060000000000799</v>
      </c>
      <c r="AF4288">
        <v>-1.4532673767195799E-2</v>
      </c>
      <c r="AG4288">
        <v>-9.1572999999999904E-2</v>
      </c>
      <c r="AH4288">
        <v>0.68895150577887798</v>
      </c>
      <c r="AI4288">
        <v>97.569510281540303</v>
      </c>
      <c r="AJ4288">
        <v>91.208412202706498</v>
      </c>
      <c r="AK4288">
        <v>0.69516256390200404</v>
      </c>
      <c r="AL4288">
        <v>94.135724367131402</v>
      </c>
      <c r="AM4288">
        <v>89.761035075325594</v>
      </c>
      <c r="AN4288">
        <v>0.99999996488599296</v>
      </c>
    </row>
    <row r="4289" spans="1:40" x14ac:dyDescent="0.25">
      <c r="A4289" t="str">
        <f>"20190303154855103"</f>
        <v>20190303154855103</v>
      </c>
      <c r="B4289" t="str">
        <f>"1551599335095339"</f>
        <v>1551599335095339</v>
      </c>
      <c r="C4289" t="s">
        <v>40</v>
      </c>
      <c r="D4289">
        <v>5.4197499999999996</v>
      </c>
      <c r="E4289">
        <v>0.4917395</v>
      </c>
      <c r="F4289" t="s">
        <v>42</v>
      </c>
      <c r="G4289">
        <v>-189.88460000000001</v>
      </c>
      <c r="H4289">
        <v>1.023984</v>
      </c>
      <c r="I4289">
        <v>201.7158</v>
      </c>
      <c r="J4289">
        <v>-189.8663</v>
      </c>
      <c r="K4289">
        <v>1.120234</v>
      </c>
      <c r="L4289">
        <v>202.42189999999999</v>
      </c>
      <c r="M4289">
        <v>-5.1056919999999999E-2</v>
      </c>
      <c r="N4289">
        <v>-9.5688909999999995E-3</v>
      </c>
      <c r="O4289">
        <v>-0.99865009999999999</v>
      </c>
      <c r="P4289">
        <v>-5.2160079999999998E-2</v>
      </c>
      <c r="Q4289">
        <v>-8.2105979999999995E-2</v>
      </c>
      <c r="R4289">
        <v>-0.99525790000000003</v>
      </c>
      <c r="S4289">
        <v>-9.4589229999999996E-2</v>
      </c>
      <c r="T4289">
        <v>-0.35958970000000001</v>
      </c>
      <c r="U4289">
        <v>-2.979752</v>
      </c>
      <c r="V4289">
        <v>1.204435E-3</v>
      </c>
      <c r="W4289">
        <v>-7.2566859999999997E-2</v>
      </c>
      <c r="X4289">
        <v>0.99736290000000005</v>
      </c>
      <c r="Y4289">
        <v>-1.9527780000000002E-2</v>
      </c>
      <c r="Z4289">
        <v>0.1100361</v>
      </c>
      <c r="AA4289">
        <v>0.9937357</v>
      </c>
      <c r="AB4289">
        <v>11</v>
      </c>
      <c r="AC4289">
        <v>-1.8300000000010599E-2</v>
      </c>
      <c r="AD4289">
        <v>-9.6249999999999905E-2</v>
      </c>
      <c r="AE4289">
        <v>-0.70609999999999196</v>
      </c>
      <c r="AF4289">
        <v>-1.7452733207155999E-2</v>
      </c>
      <c r="AG4289">
        <v>-9.6249999999999905E-2</v>
      </c>
      <c r="AH4289">
        <v>0.69324090367371605</v>
      </c>
      <c r="AI4289">
        <v>97.901977540978393</v>
      </c>
      <c r="AJ4289">
        <v>91.442149137161493</v>
      </c>
      <c r="AK4289">
        <v>0.70010828514076995</v>
      </c>
      <c r="AL4289">
        <v>94.161432268788801</v>
      </c>
      <c r="AM4289">
        <v>89.930808526513701</v>
      </c>
      <c r="AN4289">
        <v>1.00000007706516</v>
      </c>
    </row>
    <row r="4290" spans="1:40" x14ac:dyDescent="0.25">
      <c r="A4290" t="str">
        <f>"20190303154855124"</f>
        <v>20190303154855124</v>
      </c>
      <c r="B4290" t="str">
        <f>"1551599335114859"</f>
        <v>1551599335114859</v>
      </c>
      <c r="C4290" t="s">
        <v>40</v>
      </c>
      <c r="D4290">
        <v>5.4569559999999999</v>
      </c>
      <c r="E4290">
        <v>0.4918323</v>
      </c>
      <c r="F4290" t="s">
        <v>42</v>
      </c>
      <c r="G4290">
        <v>-189.89150000000001</v>
      </c>
      <c r="H4290">
        <v>1.0228740000000001</v>
      </c>
      <c r="I4290">
        <v>201.61670000000001</v>
      </c>
      <c r="J4290">
        <v>-189.87479999999999</v>
      </c>
      <c r="K4290">
        <v>1.12022</v>
      </c>
      <c r="L4290">
        <v>202.31460000000001</v>
      </c>
      <c r="M4290">
        <v>-5.3609410000000003E-2</v>
      </c>
      <c r="N4290">
        <v>-9.3381869999999995E-3</v>
      </c>
      <c r="O4290">
        <v>-0.99851849999999998</v>
      </c>
      <c r="P4290">
        <v>-5.1945400000000003E-2</v>
      </c>
      <c r="Q4290">
        <v>-8.2387920000000003E-2</v>
      </c>
      <c r="R4290">
        <v>-0.99524610000000002</v>
      </c>
      <c r="S4290">
        <v>-9.2987059999999996E-2</v>
      </c>
      <c r="T4290">
        <v>-0.36020960000000002</v>
      </c>
      <c r="U4290">
        <v>-2.9797210000000001</v>
      </c>
      <c r="V4290">
        <v>-1.5549139999999999E-3</v>
      </c>
      <c r="W4290">
        <v>-7.3076470000000004E-2</v>
      </c>
      <c r="X4290">
        <v>0.99732509999999996</v>
      </c>
      <c r="Y4290">
        <v>-2.2616509999999999E-2</v>
      </c>
      <c r="Z4290">
        <v>0.1104431</v>
      </c>
      <c r="AA4290">
        <v>0.99362510000000004</v>
      </c>
      <c r="AB4290">
        <v>11</v>
      </c>
      <c r="AC4290">
        <v>-1.6700000000014301E-2</v>
      </c>
      <c r="AD4290">
        <v>-9.7345999999999905E-2</v>
      </c>
      <c r="AE4290">
        <v>-0.69790000000000396</v>
      </c>
      <c r="AF4290">
        <v>-2.0344064576366699E-2</v>
      </c>
      <c r="AG4290">
        <v>-9.7345999999999905E-2</v>
      </c>
      <c r="AH4290">
        <v>0.68448208770368701</v>
      </c>
      <c r="AI4290">
        <v>98.090712655653206</v>
      </c>
      <c r="AJ4290">
        <v>91.702434595513495</v>
      </c>
      <c r="AK4290">
        <v>0.69166888976350904</v>
      </c>
      <c r="AL4290">
        <v>94.190708940602093</v>
      </c>
      <c r="AM4290">
        <v>90.089328883350902</v>
      </c>
      <c r="AN4290">
        <v>0.99999997165760801</v>
      </c>
    </row>
    <row r="4291" spans="1:40" x14ac:dyDescent="0.25">
      <c r="A4291" t="str">
        <f>"20190303154855136"</f>
        <v>20190303154855136</v>
      </c>
      <c r="B4291" t="str">
        <f>"1551599335125596"</f>
        <v>1551599335125596</v>
      </c>
      <c r="C4291" t="s">
        <v>40</v>
      </c>
      <c r="D4291">
        <v>5.4599099999999998</v>
      </c>
      <c r="E4291">
        <v>0.4918804</v>
      </c>
      <c r="F4291" t="s">
        <v>42</v>
      </c>
      <c r="G4291">
        <v>-189.8998</v>
      </c>
      <c r="H4291">
        <v>1.02346</v>
      </c>
      <c r="I4291">
        <v>201.5163</v>
      </c>
      <c r="J4291">
        <v>-189.87979999999999</v>
      </c>
      <c r="K4291">
        <v>1.120207</v>
      </c>
      <c r="L4291">
        <v>202.25210000000001</v>
      </c>
      <c r="M4291">
        <v>-5.5036300000000003E-2</v>
      </c>
      <c r="N4291">
        <v>-9.2069439999999999E-3</v>
      </c>
      <c r="O4291">
        <v>-0.9984421</v>
      </c>
      <c r="P4291">
        <v>-5.2586099999999997E-2</v>
      </c>
      <c r="Q4291">
        <v>-8.2962419999999995E-2</v>
      </c>
      <c r="R4291">
        <v>-0.9951643</v>
      </c>
      <c r="S4291">
        <v>-9.3124390000000001E-2</v>
      </c>
      <c r="T4291">
        <v>-0.36111080000000001</v>
      </c>
      <c r="U4291">
        <v>-2.9795989999999999</v>
      </c>
      <c r="V4291">
        <v>-2.3351880000000002E-3</v>
      </c>
      <c r="W4291">
        <v>-7.3781589999999994E-2</v>
      </c>
      <c r="X4291">
        <v>0.99727169999999998</v>
      </c>
      <c r="Y4291">
        <v>-2.39989E-2</v>
      </c>
      <c r="Z4291">
        <v>0.110858</v>
      </c>
      <c r="AA4291">
        <v>0.99354640000000005</v>
      </c>
      <c r="AB4291">
        <v>11</v>
      </c>
      <c r="AC4291">
        <v>-2.0000000000010201E-2</v>
      </c>
      <c r="AD4291">
        <v>-9.6746999999999903E-2</v>
      </c>
      <c r="AE4291">
        <v>-0.735800000000011</v>
      </c>
      <c r="AF4291">
        <v>-2.0179125851416201E-2</v>
      </c>
      <c r="AG4291">
        <v>-9.6746999999999903E-2</v>
      </c>
      <c r="AH4291">
        <v>0.72329014995400298</v>
      </c>
      <c r="AI4291">
        <v>97.615710112126493</v>
      </c>
      <c r="AJ4291">
        <v>91.598084685431701</v>
      </c>
      <c r="AK4291">
        <v>0.73001083563849301</v>
      </c>
      <c r="AL4291">
        <v>94.231218538991897</v>
      </c>
      <c r="AM4291">
        <v>90.134162206985295</v>
      </c>
      <c r="AN4291">
        <v>1.0000000098734001</v>
      </c>
    </row>
    <row r="4292" spans="1:40" x14ac:dyDescent="0.25">
      <c r="A4292" t="str">
        <f>"20190303154855149"</f>
        <v>20190303154855149</v>
      </c>
      <c r="B4292" t="str">
        <f>"1551599335145116"</f>
        <v>1551599335145116</v>
      </c>
      <c r="C4292" t="s">
        <v>40</v>
      </c>
      <c r="D4292">
        <v>5.4595589999999996</v>
      </c>
      <c r="E4292">
        <v>0.49195889999999998</v>
      </c>
      <c r="F4292" t="s">
        <v>42</v>
      </c>
      <c r="G4292">
        <v>-189.90350000000001</v>
      </c>
      <c r="H4292">
        <v>1.0301480000000001</v>
      </c>
      <c r="I4292">
        <v>201.51249999999999</v>
      </c>
      <c r="J4292">
        <v>-189.88460000000001</v>
      </c>
      <c r="K4292">
        <v>1.12019</v>
      </c>
      <c r="L4292">
        <v>202.19210000000001</v>
      </c>
      <c r="M4292">
        <v>-5.6363589999999998E-2</v>
      </c>
      <c r="N4292">
        <v>-9.0845309999999999E-3</v>
      </c>
      <c r="O4292">
        <v>-0.99836910000000001</v>
      </c>
      <c r="P4292">
        <v>-5.3195569999999998E-2</v>
      </c>
      <c r="Q4292">
        <v>-8.3289379999999996E-2</v>
      </c>
      <c r="R4292">
        <v>-0.99510449999999995</v>
      </c>
      <c r="S4292">
        <v>-9.5382690000000006E-2</v>
      </c>
      <c r="T4292">
        <v>-0.36274899999999999</v>
      </c>
      <c r="U4292">
        <v>-2.979279</v>
      </c>
      <c r="V4292">
        <v>-3.0483900000000002E-3</v>
      </c>
      <c r="W4292">
        <v>-7.4230180000000007E-2</v>
      </c>
      <c r="X4292">
        <v>0.99723649999999997</v>
      </c>
      <c r="Y4292">
        <v>-2.4574349999999998E-2</v>
      </c>
      <c r="Z4292">
        <v>0.1115141</v>
      </c>
      <c r="AA4292">
        <v>0.99345890000000003</v>
      </c>
      <c r="AB4292">
        <v>11</v>
      </c>
      <c r="AC4292">
        <v>-1.8900000000002099E-2</v>
      </c>
      <c r="AD4292">
        <v>-9.00419999999999E-2</v>
      </c>
      <c r="AE4292">
        <v>-0.67960000000002097</v>
      </c>
      <c r="AF4292">
        <v>-1.9101269176589601E-2</v>
      </c>
      <c r="AG4292">
        <v>-9.00419999999999E-2</v>
      </c>
      <c r="AH4292">
        <v>0.66786994389108501</v>
      </c>
      <c r="AI4292">
        <v>97.675198864318702</v>
      </c>
      <c r="AJ4292">
        <v>91.638228909389497</v>
      </c>
      <c r="AK4292">
        <v>0.67418297382923997</v>
      </c>
      <c r="AL4292">
        <v>94.256991464371893</v>
      </c>
      <c r="AM4292">
        <v>90.175143345927196</v>
      </c>
      <c r="AN4292">
        <v>1.00000002461833</v>
      </c>
    </row>
    <row r="4293" spans="1:40" x14ac:dyDescent="0.25">
      <c r="A4293" t="str">
        <f>"20190303154855160"</f>
        <v>20190303154855160</v>
      </c>
      <c r="B4293" t="str">
        <f>"1551599335154875"</f>
        <v>1551599335154875</v>
      </c>
      <c r="C4293" t="s">
        <v>40</v>
      </c>
      <c r="D4293">
        <v>5.4478229999999996</v>
      </c>
      <c r="E4293">
        <v>0.49200749999999999</v>
      </c>
      <c r="F4293" t="s">
        <v>42</v>
      </c>
      <c r="G4293">
        <v>-189.9101</v>
      </c>
      <c r="H4293">
        <v>1.0252939999999999</v>
      </c>
      <c r="I4293">
        <v>201.41470000000001</v>
      </c>
      <c r="J4293">
        <v>-189.8896</v>
      </c>
      <c r="K4293">
        <v>1.1201669999999999</v>
      </c>
      <c r="L4293">
        <v>202.13</v>
      </c>
      <c r="M4293">
        <v>-5.7716870000000003E-2</v>
      </c>
      <c r="N4293">
        <v>-8.9595219999999993E-3</v>
      </c>
      <c r="O4293">
        <v>-0.99829299999999999</v>
      </c>
      <c r="P4293">
        <v>-5.3775419999999997E-2</v>
      </c>
      <c r="Q4293">
        <v>-8.3925189999999997E-2</v>
      </c>
      <c r="R4293">
        <v>-0.99502060000000003</v>
      </c>
      <c r="S4293">
        <v>-9.7717289999999998E-2</v>
      </c>
      <c r="T4293">
        <v>-0.36359580000000002</v>
      </c>
      <c r="U4293">
        <v>-2.979095</v>
      </c>
      <c r="V4293">
        <v>-3.8166110000000001E-3</v>
      </c>
      <c r="W4293">
        <v>-7.4990399999999999E-2</v>
      </c>
      <c r="X4293">
        <v>0.99717690000000003</v>
      </c>
      <c r="Y4293">
        <v>-2.515104E-2</v>
      </c>
      <c r="Z4293">
        <v>0.1119071</v>
      </c>
      <c r="AA4293">
        <v>0.99340030000000001</v>
      </c>
      <c r="AB4293">
        <v>11</v>
      </c>
      <c r="AC4293">
        <v>-2.0499999999998401E-2</v>
      </c>
      <c r="AD4293">
        <v>-9.4872999999999694E-2</v>
      </c>
      <c r="AE4293">
        <v>-0.71529999999998495</v>
      </c>
      <c r="AF4293">
        <v>-2.0461051765991001E-2</v>
      </c>
      <c r="AG4293">
        <v>-9.4872999999999694E-2</v>
      </c>
      <c r="AH4293">
        <v>0.70293503445786198</v>
      </c>
      <c r="AI4293">
        <v>97.683372832326597</v>
      </c>
      <c r="AJ4293">
        <v>91.667296300010506</v>
      </c>
      <c r="AK4293">
        <v>0.70960355370914496</v>
      </c>
      <c r="AL4293">
        <v>94.300670934810796</v>
      </c>
      <c r="AM4293">
        <v>90.219293722659202</v>
      </c>
      <c r="AN4293">
        <v>0.99999994825264604</v>
      </c>
    </row>
    <row r="4294" spans="1:40" x14ac:dyDescent="0.25">
      <c r="A4294" t="str">
        <f>"20190303154855173"</f>
        <v>20190303154855173</v>
      </c>
      <c r="B4294" t="str">
        <f>"1551599335165611"</f>
        <v>1551599335165611</v>
      </c>
      <c r="C4294" t="s">
        <v>40</v>
      </c>
      <c r="D4294">
        <v>5.4535539999999996</v>
      </c>
      <c r="E4294">
        <v>0.4920504</v>
      </c>
      <c r="F4294" t="s">
        <v>42</v>
      </c>
      <c r="G4294">
        <v>-189.917</v>
      </c>
      <c r="H4294">
        <v>1.020265</v>
      </c>
      <c r="I4294">
        <v>201.31559999999999</v>
      </c>
      <c r="J4294">
        <v>-189.8948</v>
      </c>
      <c r="K4294">
        <v>1.1201509999999999</v>
      </c>
      <c r="L4294">
        <v>202.06659999999999</v>
      </c>
      <c r="M4294">
        <v>-5.9034160000000002E-2</v>
      </c>
      <c r="N4294">
        <v>-8.8371209999999999E-3</v>
      </c>
      <c r="O4294">
        <v>-0.99821700000000002</v>
      </c>
      <c r="P4294">
        <v>-5.4839850000000002E-2</v>
      </c>
      <c r="Q4294">
        <v>-8.4731390000000004E-2</v>
      </c>
      <c r="R4294">
        <v>-0.99489380000000005</v>
      </c>
      <c r="S4294">
        <v>-9.9929809999999994E-2</v>
      </c>
      <c r="T4294">
        <v>-0.36533729999999998</v>
      </c>
      <c r="U4294">
        <v>-2.9788209999999999</v>
      </c>
      <c r="V4294">
        <v>-4.0631039999999997E-3</v>
      </c>
      <c r="W4294">
        <v>-7.5918979999999997E-2</v>
      </c>
      <c r="X4294">
        <v>0.99710569999999998</v>
      </c>
      <c r="Y4294">
        <v>-2.573257E-2</v>
      </c>
      <c r="Z4294">
        <v>0.11259429999999999</v>
      </c>
      <c r="AA4294">
        <v>0.99330779999999996</v>
      </c>
      <c r="AB4294">
        <v>11</v>
      </c>
      <c r="AC4294">
        <v>-2.2199999999997999E-2</v>
      </c>
      <c r="AD4294">
        <v>-9.98860000000001E-2</v>
      </c>
      <c r="AE4294">
        <v>-0.751000000000004</v>
      </c>
      <c r="AF4294">
        <v>-2.1789969870562701E-2</v>
      </c>
      <c r="AG4294">
        <v>-9.98860000000001E-2</v>
      </c>
      <c r="AH4294">
        <v>0.73795761667825799</v>
      </c>
      <c r="AI4294">
        <v>97.705085656540007</v>
      </c>
      <c r="AJ4294">
        <v>91.691303994163803</v>
      </c>
      <c r="AK4294">
        <v>0.74500567769407999</v>
      </c>
      <c r="AL4294">
        <v>94.354026583329102</v>
      </c>
      <c r="AM4294">
        <v>90.233473163788602</v>
      </c>
      <c r="AN4294">
        <v>0.99999998865542195</v>
      </c>
    </row>
    <row r="4295" spans="1:40" x14ac:dyDescent="0.25">
      <c r="A4295" t="str">
        <f>"20190303154855192"</f>
        <v>20190303154855192</v>
      </c>
      <c r="B4295" t="str">
        <f>"1551599335185146"</f>
        <v>1551599335185146</v>
      </c>
      <c r="C4295" t="s">
        <v>40</v>
      </c>
      <c r="D4295">
        <v>5.4554999999999998</v>
      </c>
      <c r="E4295">
        <v>0.49212909999999999</v>
      </c>
      <c r="F4295" t="s">
        <v>42</v>
      </c>
      <c r="G4295">
        <v>-189.9211</v>
      </c>
      <c r="H4295">
        <v>1.027045</v>
      </c>
      <c r="I4295">
        <v>201.3124</v>
      </c>
      <c r="J4295">
        <v>-189.90280000000001</v>
      </c>
      <c r="K4295">
        <v>1.1201289999999999</v>
      </c>
      <c r="L4295">
        <v>201.96899999999999</v>
      </c>
      <c r="M4295">
        <v>-6.1003019999999998E-2</v>
      </c>
      <c r="N4295">
        <v>-8.653549E-3</v>
      </c>
      <c r="O4295">
        <v>-0.99809999999999999</v>
      </c>
      <c r="P4295">
        <v>-5.5821589999999997E-2</v>
      </c>
      <c r="Q4295">
        <v>-8.4596340000000006E-2</v>
      </c>
      <c r="R4295">
        <v>-0.99485029999999997</v>
      </c>
      <c r="S4295">
        <v>-0.1035461</v>
      </c>
      <c r="T4295">
        <v>-0.36762109999999998</v>
      </c>
      <c r="U4295">
        <v>-2.9783940000000002</v>
      </c>
      <c r="V4295">
        <v>-5.0458539999999998E-3</v>
      </c>
      <c r="W4295">
        <v>-7.5965959999999999E-2</v>
      </c>
      <c r="X4295">
        <v>0.99709769999999998</v>
      </c>
      <c r="Y4295">
        <v>-2.649837E-2</v>
      </c>
      <c r="Z4295">
        <v>0.1135171</v>
      </c>
      <c r="AA4295">
        <v>0.99318260000000003</v>
      </c>
      <c r="AB4295">
        <v>11</v>
      </c>
      <c r="AC4295">
        <v>-1.8299999999982199E-2</v>
      </c>
      <c r="AD4295">
        <v>-9.3084000000000097E-2</v>
      </c>
      <c r="AE4295">
        <v>-0.65660000000002505</v>
      </c>
      <c r="AF4295">
        <v>-2.13611907972573E-2</v>
      </c>
      <c r="AG4295">
        <v>-9.3084000000000097E-2</v>
      </c>
      <c r="AH4295">
        <v>0.64356916238390904</v>
      </c>
      <c r="AI4295">
        <v>98.225555948960306</v>
      </c>
      <c r="AJ4295">
        <v>91.901049631190602</v>
      </c>
      <c r="AK4295">
        <v>0.65061678298350301</v>
      </c>
      <c r="AL4295">
        <v>94.356725842912496</v>
      </c>
      <c r="AM4295">
        <v>90.289945178254101</v>
      </c>
      <c r="AN4295">
        <v>1.00000005553329</v>
      </c>
    </row>
    <row r="4296" spans="1:40" x14ac:dyDescent="0.25">
      <c r="A4296" t="str">
        <f>"20190303154855209"</f>
        <v>20190303154855209</v>
      </c>
      <c r="B4296" t="str">
        <f>"1551599335205627"</f>
        <v>1551599335205627</v>
      </c>
      <c r="C4296" t="s">
        <v>40</v>
      </c>
      <c r="D4296">
        <v>5.4432299999999998</v>
      </c>
      <c r="E4296">
        <v>0.49221029999999999</v>
      </c>
      <c r="F4296" t="s">
        <v>42</v>
      </c>
      <c r="G4296">
        <v>-189.93020000000001</v>
      </c>
      <c r="H4296">
        <v>1.0266959999999901</v>
      </c>
      <c r="I4296">
        <v>201.21039999999999</v>
      </c>
      <c r="J4296">
        <v>-189.90950000000001</v>
      </c>
      <c r="K4296">
        <v>1.120115</v>
      </c>
      <c r="L4296">
        <v>201.8896</v>
      </c>
      <c r="M4296">
        <v>-6.2543080000000001E-2</v>
      </c>
      <c r="N4296">
        <v>-8.5070419999999994E-3</v>
      </c>
      <c r="O4296">
        <v>-0.99800610000000001</v>
      </c>
      <c r="P4296">
        <v>-5.7129920000000001E-2</v>
      </c>
      <c r="Q4296">
        <v>-8.4075380000000005E-2</v>
      </c>
      <c r="R4296">
        <v>-0.9948207</v>
      </c>
      <c r="S4296">
        <v>-0.1070251</v>
      </c>
      <c r="T4296">
        <v>-0.36677860000000001</v>
      </c>
      <c r="U4296">
        <v>-2.9783330000000001</v>
      </c>
      <c r="V4296">
        <v>-5.2761240000000001E-3</v>
      </c>
      <c r="W4296">
        <v>-7.5590489999999996E-2</v>
      </c>
      <c r="X4296">
        <v>0.99712500000000004</v>
      </c>
      <c r="Y4296">
        <v>-2.6880919999999999E-2</v>
      </c>
      <c r="Z4296">
        <v>0.1133691</v>
      </c>
      <c r="AA4296">
        <v>0.99318919999999999</v>
      </c>
      <c r="AB4296">
        <v>11</v>
      </c>
      <c r="AC4296">
        <v>-2.0700000000004999E-2</v>
      </c>
      <c r="AD4296">
        <v>-9.3419000000000099E-2</v>
      </c>
      <c r="AE4296">
        <v>-0.67920000000000802</v>
      </c>
      <c r="AF4296">
        <v>-2.1416539321766199E-2</v>
      </c>
      <c r="AG4296">
        <v>-9.3419000000000099E-2</v>
      </c>
      <c r="AH4296">
        <v>0.66656650017514096</v>
      </c>
      <c r="AI4296">
        <v>97.973952726068006</v>
      </c>
      <c r="AJ4296">
        <v>91.8402594986227</v>
      </c>
      <c r="AK4296">
        <v>0.67342161895298303</v>
      </c>
      <c r="AL4296">
        <v>94.335151149614305</v>
      </c>
      <c r="AM4296">
        <v>90.303168425371794</v>
      </c>
      <c r="AN4296">
        <v>1.0000000126439501</v>
      </c>
    </row>
    <row r="4297" spans="1:40" x14ac:dyDescent="0.25">
      <c r="A4297" t="str">
        <f>"20190303154855228"</f>
        <v>20190303154855228</v>
      </c>
      <c r="B4297" t="str">
        <f>"1551599335215388"</f>
        <v>1551599335215388</v>
      </c>
      <c r="C4297" t="s">
        <v>40</v>
      </c>
      <c r="D4297">
        <v>5.4343629999999896</v>
      </c>
      <c r="E4297">
        <v>0.49225200000000002</v>
      </c>
      <c r="F4297" t="s">
        <v>42</v>
      </c>
      <c r="G4297">
        <v>-189.93879999999999</v>
      </c>
      <c r="H4297">
        <v>1.02447</v>
      </c>
      <c r="I4297">
        <v>201.10890000000001</v>
      </c>
      <c r="J4297">
        <v>-189.9177</v>
      </c>
      <c r="K4297">
        <v>1.1201099999999999</v>
      </c>
      <c r="L4297">
        <v>201.79150000000001</v>
      </c>
      <c r="M4297">
        <v>-6.4378539999999998E-2</v>
      </c>
      <c r="N4297">
        <v>-8.3254820000000004E-3</v>
      </c>
      <c r="O4297">
        <v>-0.99789079999999997</v>
      </c>
      <c r="P4297">
        <v>-5.8355990000000003E-2</v>
      </c>
      <c r="Q4297">
        <v>-8.2009910000000005E-2</v>
      </c>
      <c r="R4297">
        <v>-0.99492170000000002</v>
      </c>
      <c r="S4297">
        <v>-0.111557</v>
      </c>
      <c r="T4297">
        <v>-0.36474230000000002</v>
      </c>
      <c r="U4297">
        <v>-2.9783780000000002</v>
      </c>
      <c r="V4297">
        <v>-5.8903069999999896E-3</v>
      </c>
      <c r="W4297">
        <v>-7.370409E-2</v>
      </c>
      <c r="X4297">
        <v>0.9972628</v>
      </c>
      <c r="Y4297">
        <v>-2.7208840000000001E-2</v>
      </c>
      <c r="Z4297">
        <v>0.1128562</v>
      </c>
      <c r="AA4297">
        <v>0.99323870000000003</v>
      </c>
      <c r="AB4297">
        <v>11</v>
      </c>
      <c r="AC4297">
        <v>-2.1099999999989901E-2</v>
      </c>
      <c r="AD4297">
        <v>-9.5639999999999906E-2</v>
      </c>
      <c r="AE4297">
        <v>-0.68260000000000698</v>
      </c>
      <c r="AF4297">
        <v>-2.2449793901847301E-2</v>
      </c>
      <c r="AG4297">
        <v>-9.5639999999999906E-2</v>
      </c>
      <c r="AH4297">
        <v>0.66941347973755205</v>
      </c>
      <c r="AI4297">
        <v>98.126391938316999</v>
      </c>
      <c r="AJ4297">
        <v>91.920780774188501</v>
      </c>
      <c r="AK4297">
        <v>0.67658363097297403</v>
      </c>
      <c r="AL4297">
        <v>94.226765863735295</v>
      </c>
      <c r="AM4297">
        <v>90.338412108236298</v>
      </c>
      <c r="AN4297">
        <v>1.0000000404315601</v>
      </c>
    </row>
    <row r="4298" spans="1:40" x14ac:dyDescent="0.25">
      <c r="A4298" t="str">
        <f>"20190303154855247"</f>
        <v>20190303154855247</v>
      </c>
      <c r="B4298" t="str">
        <f>"1551599335245644"</f>
        <v>1551599335245644</v>
      </c>
      <c r="C4298" t="s">
        <v>40</v>
      </c>
      <c r="D4298">
        <v>5.4383509999999999</v>
      </c>
      <c r="E4298">
        <v>0.4923632</v>
      </c>
      <c r="F4298" t="s">
        <v>42</v>
      </c>
      <c r="G4298">
        <v>-189.94839999999999</v>
      </c>
      <c r="H4298">
        <v>1.025415</v>
      </c>
      <c r="I4298">
        <v>201.00470000000001</v>
      </c>
      <c r="J4298">
        <v>-189.92660000000001</v>
      </c>
      <c r="K4298">
        <v>1.1200939999999999</v>
      </c>
      <c r="L4298">
        <v>201.68719999999999</v>
      </c>
      <c r="M4298">
        <v>-6.6262909999999994E-2</v>
      </c>
      <c r="N4298">
        <v>-8.1282090000000008E-3</v>
      </c>
      <c r="O4298">
        <v>-0.99776920000000002</v>
      </c>
      <c r="P4298">
        <v>-5.929152E-2</v>
      </c>
      <c r="Q4298">
        <v>-7.9370380000000004E-2</v>
      </c>
      <c r="R4298">
        <v>-0.99508050000000003</v>
      </c>
      <c r="S4298">
        <v>-0.1156769</v>
      </c>
      <c r="T4298">
        <v>-0.3584234</v>
      </c>
      <c r="U4298">
        <v>-2.9790040000000002</v>
      </c>
      <c r="V4298">
        <v>-6.8482959999999898E-3</v>
      </c>
      <c r="W4298">
        <v>-7.1258660000000001E-2</v>
      </c>
      <c r="X4298">
        <v>0.99743440000000005</v>
      </c>
      <c r="Y4298">
        <v>-2.7724599999999999E-2</v>
      </c>
      <c r="Z4298">
        <v>0.110932</v>
      </c>
      <c r="AA4298">
        <v>0.99344120000000002</v>
      </c>
      <c r="AB4298">
        <v>11</v>
      </c>
      <c r="AC4298">
        <v>-2.17999999999847E-2</v>
      </c>
      <c r="AD4298">
        <v>-9.4679000000000096E-2</v>
      </c>
      <c r="AE4298">
        <v>-0.68249999999997601</v>
      </c>
      <c r="AF4298">
        <v>-2.3031075324245E-2</v>
      </c>
      <c r="AG4298">
        <v>-9.4679000000000096E-2</v>
      </c>
      <c r="AH4298">
        <v>0.66957216883847703</v>
      </c>
      <c r="AI4298">
        <v>98.043698125856906</v>
      </c>
      <c r="AJ4298">
        <v>91.970009253544802</v>
      </c>
      <c r="AK4298">
        <v>0.67662503113220196</v>
      </c>
      <c r="AL4298">
        <v>94.086283519923995</v>
      </c>
      <c r="AM4298">
        <v>90.393381551870306</v>
      </c>
      <c r="AN4298">
        <v>1.00000003904322</v>
      </c>
    </row>
    <row r="4299" spans="1:40" x14ac:dyDescent="0.25">
      <c r="A4299" t="str">
        <f>"20190303154855260"</f>
        <v>20190303154855260</v>
      </c>
      <c r="B4299" t="str">
        <f>"1551599335255403"</f>
        <v>1551599335255403</v>
      </c>
      <c r="C4299" t="s">
        <v>40</v>
      </c>
      <c r="D4299">
        <v>5.4609040000000002</v>
      </c>
      <c r="E4299">
        <v>0.49239159999999998</v>
      </c>
      <c r="F4299" t="s">
        <v>42</v>
      </c>
      <c r="G4299">
        <v>-189.95830000000001</v>
      </c>
      <c r="H4299">
        <v>1.0273920000000001</v>
      </c>
      <c r="I4299">
        <v>200.89850000000001</v>
      </c>
      <c r="J4299">
        <v>-189.9324</v>
      </c>
      <c r="K4299">
        <v>1.120074</v>
      </c>
      <c r="L4299">
        <v>201.62029999999999</v>
      </c>
      <c r="M4299">
        <v>-6.7448170000000002E-2</v>
      </c>
      <c r="N4299">
        <v>-7.9993549999999997E-3</v>
      </c>
      <c r="O4299">
        <v>-0.99769090000000005</v>
      </c>
      <c r="P4299">
        <v>-6.0288880000000003E-2</v>
      </c>
      <c r="Q4299">
        <v>-7.7616009999999999E-2</v>
      </c>
      <c r="R4299">
        <v>-0.99515909999999996</v>
      </c>
      <c r="S4299">
        <v>-0.1193848</v>
      </c>
      <c r="T4299">
        <v>-0.350246</v>
      </c>
      <c r="U4299">
        <v>-2.9797669999999998</v>
      </c>
      <c r="V4299">
        <v>-7.0417309999999999E-3</v>
      </c>
      <c r="W4299">
        <v>-6.9631509999999994E-2</v>
      </c>
      <c r="X4299">
        <v>0.99754790000000004</v>
      </c>
      <c r="Y4299">
        <v>-2.767673E-2</v>
      </c>
      <c r="Z4299">
        <v>0.1083345</v>
      </c>
      <c r="AA4299">
        <v>0.99372919999999998</v>
      </c>
      <c r="AB4299">
        <v>12</v>
      </c>
      <c r="AC4299">
        <v>-2.5900000000007101E-2</v>
      </c>
      <c r="AD4299">
        <v>-9.2681999999999903E-2</v>
      </c>
      <c r="AE4299">
        <v>-0.72179999999997302</v>
      </c>
      <c r="AF4299">
        <v>-2.2474546904977299E-2</v>
      </c>
      <c r="AG4299">
        <v>-9.2681999999999903E-2</v>
      </c>
      <c r="AH4299">
        <v>0.71020859367896705</v>
      </c>
      <c r="AI4299">
        <v>97.431386169583305</v>
      </c>
      <c r="AJ4299">
        <v>91.812519755569795</v>
      </c>
      <c r="AK4299">
        <v>0.71658307607564897</v>
      </c>
      <c r="AL4299">
        <v>93.992822760623397</v>
      </c>
      <c r="AM4299">
        <v>90.404446508748805</v>
      </c>
      <c r="AN4299">
        <v>0.99999997297738297</v>
      </c>
    </row>
    <row r="4300" spans="1:40" x14ac:dyDescent="0.25">
      <c r="A4300" t="str">
        <f>"20190303154855271"</f>
        <v>20190303154855271</v>
      </c>
      <c r="B4300" t="str">
        <f>"1551599335265163"</f>
        <v>1551599335265163</v>
      </c>
      <c r="C4300" t="s">
        <v>40</v>
      </c>
      <c r="D4300">
        <v>5.5440750000000003</v>
      </c>
      <c r="E4300">
        <v>0.49238850000000001</v>
      </c>
      <c r="F4300" t="s">
        <v>42</v>
      </c>
      <c r="G4300">
        <v>-189.9624</v>
      </c>
      <c r="H4300">
        <v>1.035849</v>
      </c>
      <c r="I4300">
        <v>200.89269999999999</v>
      </c>
      <c r="J4300">
        <v>-189.93799999999999</v>
      </c>
      <c r="K4300">
        <v>1.1200479999999999</v>
      </c>
      <c r="L4300">
        <v>201.55680000000001</v>
      </c>
      <c r="M4300">
        <v>-6.8546140000000005E-2</v>
      </c>
      <c r="N4300">
        <v>-7.8728240000000005E-3</v>
      </c>
      <c r="O4300">
        <v>-0.99761710000000003</v>
      </c>
      <c r="P4300">
        <v>-6.102871E-2</v>
      </c>
      <c r="Q4300">
        <v>-7.586938E-2</v>
      </c>
      <c r="R4300">
        <v>-0.99524860000000004</v>
      </c>
      <c r="S4300">
        <v>-0.1226501</v>
      </c>
      <c r="T4300">
        <v>-0.34498859999999998</v>
      </c>
      <c r="U4300">
        <v>-2.98027</v>
      </c>
      <c r="V4300">
        <v>-7.4069230000000002E-3</v>
      </c>
      <c r="W4300">
        <v>-6.8009559999999997E-2</v>
      </c>
      <c r="X4300">
        <v>0.99765720000000002</v>
      </c>
      <c r="Y4300">
        <v>-2.768967E-2</v>
      </c>
      <c r="Z4300">
        <v>0.1067024</v>
      </c>
      <c r="AA4300">
        <v>0.99390540000000005</v>
      </c>
      <c r="AB4300">
        <v>12</v>
      </c>
      <c r="AC4300">
        <v>-2.4400000000014101E-2</v>
      </c>
      <c r="AD4300">
        <v>-8.4198999999999899E-2</v>
      </c>
      <c r="AE4300">
        <v>-0.66410000000001901</v>
      </c>
      <c r="AF4300">
        <v>-2.0845647256271801E-2</v>
      </c>
      <c r="AG4300">
        <v>-8.4198999999999899E-2</v>
      </c>
      <c r="AH4300">
        <v>0.65371625906214403</v>
      </c>
      <c r="AI4300">
        <v>97.335631327686798</v>
      </c>
      <c r="AJ4300">
        <v>91.826423945765498</v>
      </c>
      <c r="AK4300">
        <v>0.65944594924279998</v>
      </c>
      <c r="AL4300">
        <v>93.899670794499997</v>
      </c>
      <c r="AM4300">
        <v>90.425374196561293</v>
      </c>
      <c r="AN4300">
        <v>1.00000002573578</v>
      </c>
    </row>
    <row r="4301" spans="1:40" x14ac:dyDescent="0.25">
      <c r="A4301" t="str">
        <f>"20190303154855286"</f>
        <v>20190303154855286</v>
      </c>
      <c r="B4301" t="str">
        <f>"1551599335274923"</f>
        <v>1551599335274923</v>
      </c>
      <c r="C4301" t="s">
        <v>40</v>
      </c>
      <c r="D4301">
        <v>5.4629430000000001</v>
      </c>
      <c r="E4301">
        <v>0.49240859999999897</v>
      </c>
      <c r="F4301" t="s">
        <v>42</v>
      </c>
      <c r="G4301">
        <v>-189.97020000000001</v>
      </c>
      <c r="H4301">
        <v>1.0325879999999901</v>
      </c>
      <c r="I4301">
        <v>200.7894</v>
      </c>
      <c r="J4301">
        <v>-189.94460000000001</v>
      </c>
      <c r="K4301">
        <v>1.120012</v>
      </c>
      <c r="L4301">
        <v>201.4813</v>
      </c>
      <c r="M4301">
        <v>-6.9835220000000003E-2</v>
      </c>
      <c r="N4301">
        <v>-7.7177519999999996E-3</v>
      </c>
      <c r="O4301">
        <v>-0.99752890000000005</v>
      </c>
      <c r="P4301">
        <v>-6.2132479999999997E-2</v>
      </c>
      <c r="Q4301">
        <v>-7.4171329999999994E-2</v>
      </c>
      <c r="R4301">
        <v>-0.99530850000000004</v>
      </c>
      <c r="S4301">
        <v>-0.12493899999999999</v>
      </c>
      <c r="T4301">
        <v>-0.339667</v>
      </c>
      <c r="U4301">
        <v>-2.9807589999999999</v>
      </c>
      <c r="V4301">
        <v>-7.5994299999999999E-3</v>
      </c>
      <c r="W4301">
        <v>-6.6464860000000001E-2</v>
      </c>
      <c r="X4301">
        <v>0.99775979999999997</v>
      </c>
      <c r="Y4301">
        <v>-2.82191E-2</v>
      </c>
      <c r="Z4301">
        <v>0.10507560000000001</v>
      </c>
      <c r="AA4301">
        <v>0.99406380000000005</v>
      </c>
      <c r="AB4301">
        <v>12</v>
      </c>
      <c r="AC4301">
        <v>-2.5599999999997101E-2</v>
      </c>
      <c r="AD4301">
        <v>-8.7424000000000099E-2</v>
      </c>
      <c r="AE4301">
        <v>-0.69190000000000396</v>
      </c>
      <c r="AF4301">
        <v>-2.2425385949018301E-2</v>
      </c>
      <c r="AG4301">
        <v>-8.7424000000000099E-2</v>
      </c>
      <c r="AH4301">
        <v>0.6811388295759</v>
      </c>
      <c r="AI4301">
        <v>97.309993854211598</v>
      </c>
      <c r="AJ4301">
        <v>91.885689035674702</v>
      </c>
      <c r="AK4301">
        <v>0.68709239470903005</v>
      </c>
      <c r="AL4301">
        <v>93.810965456714598</v>
      </c>
      <c r="AM4301">
        <v>90.436384434790099</v>
      </c>
      <c r="AN4301">
        <v>0.99999997372359095</v>
      </c>
    </row>
    <row r="4302" spans="1:40" x14ac:dyDescent="0.25">
      <c r="A4302" t="str">
        <f>"20190303154855303"</f>
        <v>20190303154855303</v>
      </c>
      <c r="B4302" t="str">
        <f>"1551599335295419"</f>
        <v>1551599335295419</v>
      </c>
      <c r="C4302" t="s">
        <v>40</v>
      </c>
      <c r="D4302">
        <v>5.4777589999999998</v>
      </c>
      <c r="E4302">
        <v>0.49245159999999999</v>
      </c>
      <c r="F4302" t="s">
        <v>42</v>
      </c>
      <c r="G4302">
        <v>-189.97909999999999</v>
      </c>
      <c r="H4302">
        <v>1.0305679999999999</v>
      </c>
      <c r="I4302">
        <v>200.68440000000001</v>
      </c>
      <c r="J4302">
        <v>-189.95259999999999</v>
      </c>
      <c r="K4302">
        <v>1.1199680000000001</v>
      </c>
      <c r="L4302">
        <v>201.39150000000001</v>
      </c>
      <c r="M4302">
        <v>-7.133921E-2</v>
      </c>
      <c r="N4302">
        <v>-7.5237239999999999E-3</v>
      </c>
      <c r="O4302">
        <v>-0.99742359999999997</v>
      </c>
      <c r="P4302">
        <v>-6.3617049999999994E-2</v>
      </c>
      <c r="Q4302">
        <v>-7.3829839999999994E-2</v>
      </c>
      <c r="R4302">
        <v>-0.99523969999999995</v>
      </c>
      <c r="S4302">
        <v>-0.12849430000000001</v>
      </c>
      <c r="T4302">
        <v>-0.33453189999999999</v>
      </c>
      <c r="U4302">
        <v>-2.981201</v>
      </c>
      <c r="V4302">
        <v>-7.6194890000000001E-3</v>
      </c>
      <c r="W4302">
        <v>-6.6316470000000002E-2</v>
      </c>
      <c r="X4302">
        <v>0.99776949999999998</v>
      </c>
      <c r="Y4302">
        <v>-2.854253E-2</v>
      </c>
      <c r="Z4302">
        <v>0.1035471</v>
      </c>
      <c r="AA4302">
        <v>0.99421499999999996</v>
      </c>
      <c r="AB4302">
        <v>12</v>
      </c>
      <c r="AC4302">
        <v>-2.6499999999998601E-2</v>
      </c>
      <c r="AD4302">
        <v>-8.9400000000000104E-2</v>
      </c>
      <c r="AE4302">
        <v>-0.70709999999999695</v>
      </c>
      <c r="AF4302">
        <v>-2.3635626706514701E-2</v>
      </c>
      <c r="AG4302">
        <v>-8.9400000000000104E-2</v>
      </c>
      <c r="AH4302">
        <v>0.69607761590395401</v>
      </c>
      <c r="AI4302">
        <v>97.314488066299702</v>
      </c>
      <c r="AJ4302">
        <v>91.944756626544603</v>
      </c>
      <c r="AK4302">
        <v>0.70219302916814996</v>
      </c>
      <c r="AL4302">
        <v>93.802444615141496</v>
      </c>
      <c r="AM4302">
        <v>90.437531990847106</v>
      </c>
      <c r="AN4302">
        <v>0.99999995296806399</v>
      </c>
    </row>
    <row r="4303" spans="1:40" x14ac:dyDescent="0.25">
      <c r="A4303" t="str">
        <f>"20190303154855315"</f>
        <v>20190303154855315</v>
      </c>
      <c r="B4303" t="str">
        <f>"1551599335305180"</f>
        <v>1551599335305180</v>
      </c>
      <c r="C4303" t="s">
        <v>40</v>
      </c>
      <c r="D4303">
        <v>5.4614799999999999</v>
      </c>
      <c r="E4303">
        <v>0.4924712</v>
      </c>
      <c r="F4303" t="s">
        <v>42</v>
      </c>
      <c r="G4303">
        <v>-189.989</v>
      </c>
      <c r="H4303">
        <v>1.0289629999999901</v>
      </c>
      <c r="I4303">
        <v>200.57820000000001</v>
      </c>
      <c r="J4303">
        <v>-189.95849999999999</v>
      </c>
      <c r="K4303">
        <v>1.1199269999999999</v>
      </c>
      <c r="L4303">
        <v>201.32550000000001</v>
      </c>
      <c r="M4303">
        <v>-7.2422230000000004E-2</v>
      </c>
      <c r="N4303">
        <v>-7.373709E-3</v>
      </c>
      <c r="O4303">
        <v>-0.99734690000000004</v>
      </c>
      <c r="P4303">
        <v>-6.4717520000000001E-2</v>
      </c>
      <c r="Q4303">
        <v>-7.3954480000000003E-2</v>
      </c>
      <c r="R4303">
        <v>-0.99515949999999997</v>
      </c>
      <c r="S4303">
        <v>-0.13314819999999999</v>
      </c>
      <c r="T4303">
        <v>-0.33355800000000002</v>
      </c>
      <c r="U4303">
        <v>-2.9811100000000001</v>
      </c>
      <c r="V4303">
        <v>-7.6012689999999999E-3</v>
      </c>
      <c r="W4303">
        <v>-6.6590640000000006E-2</v>
      </c>
      <c r="X4303">
        <v>0.99775139999999995</v>
      </c>
      <c r="Y4303">
        <v>-2.8077089999999999E-2</v>
      </c>
      <c r="Z4303">
        <v>0.1033647</v>
      </c>
      <c r="AA4303">
        <v>0.99424710000000005</v>
      </c>
      <c r="AB4303">
        <v>12</v>
      </c>
      <c r="AC4303">
        <v>-3.05000000000177E-2</v>
      </c>
      <c r="AD4303">
        <v>-9.0964000000000197E-2</v>
      </c>
      <c r="AE4303">
        <v>-0.74729999999999497</v>
      </c>
      <c r="AF4303">
        <v>-2.3357195002364401E-2</v>
      </c>
      <c r="AG4303">
        <v>-9.0964000000000197E-2</v>
      </c>
      <c r="AH4303">
        <v>0.73664995689548296</v>
      </c>
      <c r="AI4303">
        <v>97.035938890432902</v>
      </c>
      <c r="AJ4303">
        <v>91.816087104537701</v>
      </c>
      <c r="AK4303">
        <v>0.74261239341159302</v>
      </c>
      <c r="AL4303">
        <v>93.818188118687203</v>
      </c>
      <c r="AM4303">
        <v>90.436493706811504</v>
      </c>
      <c r="AN4303">
        <v>0.99999997441398902</v>
      </c>
    </row>
    <row r="4304" spans="1:40" x14ac:dyDescent="0.25">
      <c r="A4304" t="str">
        <f>"20190303154855327"</f>
        <v>20190303154855327</v>
      </c>
      <c r="B4304" t="str">
        <f>"1551599335314940"</f>
        <v>1551599335314940</v>
      </c>
      <c r="C4304" t="s">
        <v>40</v>
      </c>
      <c r="D4304">
        <v>5.4732519999999996</v>
      </c>
      <c r="E4304">
        <v>0.4924848</v>
      </c>
      <c r="F4304" t="s">
        <v>42</v>
      </c>
      <c r="G4304">
        <v>-189.9931</v>
      </c>
      <c r="H4304">
        <v>1.035712</v>
      </c>
      <c r="I4304">
        <v>200.57390000000001</v>
      </c>
      <c r="J4304">
        <v>-189.964</v>
      </c>
      <c r="K4304">
        <v>1.119882</v>
      </c>
      <c r="L4304">
        <v>201.26509999999999</v>
      </c>
      <c r="M4304">
        <v>-7.3398959999999999E-2</v>
      </c>
      <c r="N4304">
        <v>-7.2339650000000002E-3</v>
      </c>
      <c r="O4304">
        <v>-0.99727650000000001</v>
      </c>
      <c r="P4304">
        <v>-6.6097569999999994E-2</v>
      </c>
      <c r="Q4304">
        <v>-7.4273359999999997E-2</v>
      </c>
      <c r="R4304">
        <v>-0.99504510000000002</v>
      </c>
      <c r="S4304">
        <v>-0.1365662</v>
      </c>
      <c r="T4304">
        <v>-0.33395979999999997</v>
      </c>
      <c r="U4304">
        <v>-2.9808810000000001</v>
      </c>
      <c r="V4304">
        <v>-7.1956959999999997E-3</v>
      </c>
      <c r="W4304">
        <v>-6.7049339999999999E-2</v>
      </c>
      <c r="X4304">
        <v>0.99772369999999999</v>
      </c>
      <c r="Y4304">
        <v>-2.791648E-2</v>
      </c>
      <c r="Z4304">
        <v>0.1036296</v>
      </c>
      <c r="AA4304">
        <v>0.99422410000000006</v>
      </c>
      <c r="AB4304">
        <v>12</v>
      </c>
      <c r="AC4304">
        <v>-2.9099999999971201E-2</v>
      </c>
      <c r="AD4304">
        <v>-8.4169999999999801E-2</v>
      </c>
      <c r="AE4304">
        <v>-0.69119999999998005</v>
      </c>
      <c r="AF4304">
        <v>-2.13964581698819E-2</v>
      </c>
      <c r="AG4304">
        <v>-8.4169999999999801E-2</v>
      </c>
      <c r="AH4304">
        <v>0.68138519086334204</v>
      </c>
      <c r="AI4304">
        <v>97.038512609921</v>
      </c>
      <c r="AJ4304">
        <v>91.798577461221896</v>
      </c>
      <c r="AK4304">
        <v>0.68689750010470196</v>
      </c>
      <c r="AL4304">
        <v>93.844528515670902</v>
      </c>
      <c r="AM4304">
        <v>90.413216468086901</v>
      </c>
      <c r="AN4304">
        <v>0.99999998678852497</v>
      </c>
    </row>
    <row r="4305" spans="1:40" x14ac:dyDescent="0.25">
      <c r="A4305" t="str">
        <f>"20190303154855349"</f>
        <v>20190303154855349</v>
      </c>
      <c r="B4305" t="str">
        <f>"1551599335345196"</f>
        <v>1551599335345196</v>
      </c>
      <c r="C4305" t="s">
        <v>40</v>
      </c>
      <c r="D4305">
        <v>5.4395850000000001</v>
      </c>
      <c r="E4305">
        <v>0.49251430000000002</v>
      </c>
      <c r="F4305" t="s">
        <v>42</v>
      </c>
      <c r="G4305">
        <v>-190.0016</v>
      </c>
      <c r="H4305">
        <v>1.030427</v>
      </c>
      <c r="I4305">
        <v>200.4692</v>
      </c>
      <c r="J4305">
        <v>-189.97489999999999</v>
      </c>
      <c r="K4305">
        <v>1.119812</v>
      </c>
      <c r="L4305">
        <v>201.1464</v>
      </c>
      <c r="M4305">
        <v>-7.5277510000000006E-2</v>
      </c>
      <c r="N4305">
        <v>-6.9530779999999997E-3</v>
      </c>
      <c r="O4305">
        <v>-0.99713859999999999</v>
      </c>
      <c r="P4305">
        <v>-6.8700720000000007E-2</v>
      </c>
      <c r="Q4305">
        <v>-7.5484720000000005E-2</v>
      </c>
      <c r="R4305">
        <v>-0.99477789999999999</v>
      </c>
      <c r="S4305">
        <v>-0.14073179999999999</v>
      </c>
      <c r="T4305">
        <v>-0.33498040000000001</v>
      </c>
      <c r="U4305">
        <v>-2.9806059999999999</v>
      </c>
      <c r="V4305">
        <v>-6.4628539999999996E-3</v>
      </c>
      <c r="W4305">
        <v>-6.854209E-2</v>
      </c>
      <c r="X4305">
        <v>0.99762729999999999</v>
      </c>
      <c r="Y4305">
        <v>-2.841194E-2</v>
      </c>
      <c r="Z4305">
        <v>0.10422629999999999</v>
      </c>
      <c r="AA4305">
        <v>0.99414769999999997</v>
      </c>
      <c r="AB4305">
        <v>12</v>
      </c>
      <c r="AC4305">
        <v>-2.6700000000005199E-2</v>
      </c>
      <c r="AD4305">
        <v>-8.9385000000000006E-2</v>
      </c>
      <c r="AE4305">
        <v>-0.67719999999999902</v>
      </c>
      <c r="AF4305">
        <v>-2.3938505736931699E-2</v>
      </c>
      <c r="AG4305">
        <v>-8.9385000000000006E-2</v>
      </c>
      <c r="AH4305">
        <v>0.66570849118231401</v>
      </c>
      <c r="AI4305">
        <v>97.642512483255601</v>
      </c>
      <c r="AJ4305">
        <v>92.059436880810296</v>
      </c>
      <c r="AK4305">
        <v>0.67210901311777604</v>
      </c>
      <c r="AL4305">
        <v>93.930253950937399</v>
      </c>
      <c r="AM4305">
        <v>90.371169752315495</v>
      </c>
      <c r="AN4305">
        <v>1.0000000081443401</v>
      </c>
    </row>
    <row r="4306" spans="1:40" x14ac:dyDescent="0.25">
      <c r="A4306" t="str">
        <f>"20190303154855362"</f>
        <v>20190303154855362</v>
      </c>
      <c r="B4306" t="str">
        <f>"1551599335354955"</f>
        <v>1551599335354955</v>
      </c>
      <c r="C4306" t="s">
        <v>40</v>
      </c>
      <c r="D4306">
        <v>5.3781559999999997</v>
      </c>
      <c r="E4306">
        <v>0.49251430000000002</v>
      </c>
      <c r="F4306" t="s">
        <v>42</v>
      </c>
      <c r="G4306">
        <v>-190.01419999999999</v>
      </c>
      <c r="H4306">
        <v>1.030389</v>
      </c>
      <c r="I4306">
        <v>200.3604</v>
      </c>
      <c r="J4306">
        <v>-189.98169999999999</v>
      </c>
      <c r="K4306">
        <v>1.11978</v>
      </c>
      <c r="L4306">
        <v>201.0736</v>
      </c>
      <c r="M4306">
        <v>-7.6401960000000005E-2</v>
      </c>
      <c r="N4306">
        <v>-6.7785769999999896E-3</v>
      </c>
      <c r="O4306">
        <v>-0.9970542</v>
      </c>
      <c r="P4306">
        <v>-7.0216920000000002E-2</v>
      </c>
      <c r="Q4306">
        <v>-7.5737440000000003E-2</v>
      </c>
      <c r="R4306">
        <v>-0.99465269999999995</v>
      </c>
      <c r="S4306">
        <v>-0.148452799999999</v>
      </c>
      <c r="T4306">
        <v>-0.3389548</v>
      </c>
      <c r="U4306">
        <v>-2.9797669999999998</v>
      </c>
      <c r="V4306">
        <v>-6.0668889999999998E-3</v>
      </c>
      <c r="W4306">
        <v>-6.8969429999999998E-2</v>
      </c>
      <c r="X4306">
        <v>0.9976003</v>
      </c>
      <c r="Y4306">
        <v>-2.6964660000000001E-2</v>
      </c>
      <c r="Z4306">
        <v>0.1057153</v>
      </c>
      <c r="AA4306">
        <v>0.99403079999999999</v>
      </c>
      <c r="AB4306">
        <v>12</v>
      </c>
      <c r="AC4306">
        <v>-3.2499999999998801E-2</v>
      </c>
      <c r="AD4306">
        <v>-8.9390999999999998E-2</v>
      </c>
      <c r="AE4306">
        <v>-0.71319999999999995</v>
      </c>
      <c r="AF4306">
        <v>-2.17452199875856E-2</v>
      </c>
      <c r="AG4306">
        <v>-8.9390999999999998E-2</v>
      </c>
      <c r="AH4306">
        <v>0.702583975857624</v>
      </c>
      <c r="AI4306">
        <v>97.247451604522794</v>
      </c>
      <c r="AJ4306">
        <v>91.772758520379597</v>
      </c>
      <c r="AK4306">
        <v>0.70858157512400399</v>
      </c>
      <c r="AL4306">
        <v>93.9547969447583</v>
      </c>
      <c r="AM4306">
        <v>90.348438998282703</v>
      </c>
      <c r="AN4306">
        <v>0.99999997398837603</v>
      </c>
    </row>
    <row r="4307" spans="1:40" x14ac:dyDescent="0.25">
      <c r="A4307" t="str">
        <f>"20190303154855374"</f>
        <v>20190303154855374</v>
      </c>
      <c r="B4307" t="str">
        <f>"1551599335365691"</f>
        <v>1551599335365691</v>
      </c>
      <c r="C4307" t="s">
        <v>40</v>
      </c>
      <c r="D4307">
        <v>5.3835670000000002</v>
      </c>
      <c r="E4307">
        <v>0.50460340000000004</v>
      </c>
      <c r="F4307" t="s">
        <v>42</v>
      </c>
      <c r="G4307">
        <v>-190.02379999999999</v>
      </c>
      <c r="H4307">
        <v>1.026205</v>
      </c>
      <c r="I4307">
        <v>200.2527</v>
      </c>
      <c r="J4307">
        <v>-189.98830000000001</v>
      </c>
      <c r="K4307">
        <v>1.11975</v>
      </c>
      <c r="L4307">
        <v>201.0033</v>
      </c>
      <c r="M4307">
        <v>-7.7456430000000007E-2</v>
      </c>
      <c r="N4307">
        <v>-6.6091269999999898E-3</v>
      </c>
      <c r="O4307">
        <v>-0.99697380000000002</v>
      </c>
      <c r="P4307">
        <v>-7.1822360000000002E-2</v>
      </c>
      <c r="Q4307">
        <v>-7.6175179999999995E-2</v>
      </c>
      <c r="R4307">
        <v>-0.99450430000000001</v>
      </c>
      <c r="S4307">
        <v>-0.15269469999999999</v>
      </c>
      <c r="T4307">
        <v>-0.33962199999999998</v>
      </c>
      <c r="U4307">
        <v>-2.9795229999999999</v>
      </c>
      <c r="V4307">
        <v>-5.5105700000000002E-3</v>
      </c>
      <c r="W4307">
        <v>-6.9577079999999999E-2</v>
      </c>
      <c r="X4307">
        <v>0.99756129999999998</v>
      </c>
      <c r="Y4307">
        <v>-2.6608710000000001E-2</v>
      </c>
      <c r="Z4307">
        <v>0.1060946</v>
      </c>
      <c r="AA4307">
        <v>0.99399999999999999</v>
      </c>
      <c r="AB4307">
        <v>12</v>
      </c>
      <c r="AC4307">
        <v>-3.5499999999984697E-2</v>
      </c>
      <c r="AD4307">
        <v>-9.3545000000000003E-2</v>
      </c>
      <c r="AE4307">
        <v>-0.75059999999999105</v>
      </c>
      <c r="AF4307">
        <v>-2.2399592665465599E-2</v>
      </c>
      <c r="AG4307">
        <v>-9.3545000000000003E-2</v>
      </c>
      <c r="AH4307">
        <v>0.73963242263315399</v>
      </c>
      <c r="AI4307">
        <v>97.204942903272595</v>
      </c>
      <c r="AJ4307">
        <v>91.734658912214002</v>
      </c>
      <c r="AK4307">
        <v>0.74586093166673295</v>
      </c>
      <c r="AL4307">
        <v>93.989696693633306</v>
      </c>
      <c r="AM4307">
        <v>90.316501043336203</v>
      </c>
      <c r="AN4307">
        <v>0.999999941850369</v>
      </c>
    </row>
    <row r="4308" spans="1:40" x14ac:dyDescent="0.25">
      <c r="A4308" t="str">
        <f>"20190303154855393"</f>
        <v>20190303154855393</v>
      </c>
      <c r="B4308" t="str">
        <f>"1551599335385215"</f>
        <v>1551599335385215</v>
      </c>
      <c r="C4308" t="s">
        <v>40</v>
      </c>
      <c r="D4308">
        <v>5.4207299999999998</v>
      </c>
      <c r="E4308">
        <v>0.50239829999999996</v>
      </c>
      <c r="F4308" t="s">
        <v>42</v>
      </c>
      <c r="G4308">
        <v>-190.0539</v>
      </c>
      <c r="H4308">
        <v>1.0492349999999999</v>
      </c>
      <c r="I4308">
        <v>200.23060000000001</v>
      </c>
      <c r="J4308">
        <v>-189.9983</v>
      </c>
      <c r="K4308">
        <v>1.1197060000000001</v>
      </c>
      <c r="L4308">
        <v>200.8982</v>
      </c>
      <c r="M4308">
        <v>-7.898869E-2</v>
      </c>
      <c r="N4308">
        <v>-6.3583140000000003E-3</v>
      </c>
      <c r="O4308">
        <v>-0.99685539999999995</v>
      </c>
      <c r="P4308">
        <v>-7.4123800000000004E-2</v>
      </c>
      <c r="Q4308">
        <v>-7.6955679999999999E-2</v>
      </c>
      <c r="R4308">
        <v>-0.99427589999999999</v>
      </c>
      <c r="S4308">
        <v>-0.25265500000000002</v>
      </c>
      <c r="T4308">
        <v>-0.2717117</v>
      </c>
      <c r="U4308">
        <v>-2.9775239999999998</v>
      </c>
      <c r="V4308">
        <v>-4.7301180000000002E-3</v>
      </c>
      <c r="W4308">
        <v>-7.0609119999999997E-2</v>
      </c>
      <c r="X4308">
        <v>0.99749279999999996</v>
      </c>
      <c r="Y4308">
        <v>5.277286E-3</v>
      </c>
      <c r="Z4308">
        <v>8.3978059999999993E-2</v>
      </c>
      <c r="AA4308">
        <v>0.99645360000000005</v>
      </c>
      <c r="AB4308">
        <v>12</v>
      </c>
      <c r="AC4308">
        <v>-5.5599999999998297E-2</v>
      </c>
      <c r="AD4308">
        <v>-7.0470999999999701E-2</v>
      </c>
      <c r="AE4308">
        <v>-0.66759999999999298</v>
      </c>
      <c r="AF4308">
        <v>2.6628974499186601E-3</v>
      </c>
      <c r="AG4308">
        <v>-7.0470999999999701E-2</v>
      </c>
      <c r="AH4308">
        <v>0.66257389850327097</v>
      </c>
      <c r="AI4308">
        <v>96.0710751191356</v>
      </c>
      <c r="AJ4308">
        <v>89.769728381949704</v>
      </c>
      <c r="AK4308">
        <v>0.66631630915178097</v>
      </c>
      <c r="AL4308">
        <v>94.048973982330395</v>
      </c>
      <c r="AM4308">
        <v>90.271694960219705</v>
      </c>
      <c r="AN4308">
        <v>0.99999995394765295</v>
      </c>
    </row>
    <row r="4309" spans="1:40" x14ac:dyDescent="0.25">
      <c r="A4309" t="str">
        <f>"20190303154855407"</f>
        <v>20190303154855407</v>
      </c>
      <c r="B4309" t="str">
        <f>"1551599335404731"</f>
        <v>1551599335404731</v>
      </c>
      <c r="C4309" t="s">
        <v>40</v>
      </c>
      <c r="D4309">
        <v>5.4920929999999997</v>
      </c>
      <c r="E4309">
        <v>0.5004518</v>
      </c>
      <c r="F4309" t="s">
        <v>41</v>
      </c>
      <c r="G4309">
        <v>-191.08449999999999</v>
      </c>
      <c r="H4309" s="1">
        <v>-3.6824730000000002E-6</v>
      </c>
      <c r="I4309">
        <v>187.50040000000001</v>
      </c>
      <c r="J4309">
        <v>-190.00579999999999</v>
      </c>
      <c r="K4309">
        <v>1.119691</v>
      </c>
      <c r="L4309">
        <v>200.8193</v>
      </c>
      <c r="M4309">
        <v>-8.00979E-2</v>
      </c>
      <c r="N4309">
        <v>-6.1744199999999999E-3</v>
      </c>
      <c r="O4309">
        <v>-0.99676810000000005</v>
      </c>
      <c r="P4309">
        <v>-7.5784749999999998E-2</v>
      </c>
      <c r="Q4309">
        <v>-7.7107969999999998E-2</v>
      </c>
      <c r="R4309">
        <v>-0.99413850000000004</v>
      </c>
      <c r="S4309">
        <v>-0.24160770000000001</v>
      </c>
      <c r="T4309">
        <v>-0.24904799999999999</v>
      </c>
      <c r="U4309">
        <v>-2.979965</v>
      </c>
      <c r="V4309">
        <v>-4.1716139999999997E-3</v>
      </c>
      <c r="W4309">
        <v>-7.09457E-2</v>
      </c>
      <c r="X4309">
        <v>0.99747149999999996</v>
      </c>
      <c r="Y4309">
        <v>4.7658310000000002E-4</v>
      </c>
      <c r="Z4309">
        <v>7.6614180000000004E-2</v>
      </c>
      <c r="AA4309">
        <v>0.99706070000000002</v>
      </c>
      <c r="AB4309">
        <v>12</v>
      </c>
      <c r="AC4309">
        <v>-1.07869999999999</v>
      </c>
      <c r="AD4309">
        <v>-1.1196946824730001</v>
      </c>
      <c r="AE4309">
        <v>-13.3188999999999</v>
      </c>
      <c r="AF4309">
        <v>8.3394329726478294E-3</v>
      </c>
      <c r="AG4309">
        <v>-1.1196946824730001</v>
      </c>
      <c r="AH4309">
        <v>13.2693388079604</v>
      </c>
      <c r="AI4309">
        <v>94.823311067957107</v>
      </c>
      <c r="AJ4309">
        <v>89.963991103334394</v>
      </c>
      <c r="AK4309">
        <v>13.3164987188278</v>
      </c>
      <c r="AL4309">
        <v>94.068306714571904</v>
      </c>
      <c r="AM4309">
        <v>90.239620362540506</v>
      </c>
      <c r="AN4309">
        <v>1.00000004401205</v>
      </c>
    </row>
    <row r="4310" spans="1:40" x14ac:dyDescent="0.25">
      <c r="A4310" t="str">
        <f>"20190303154855428"</f>
        <v>20190303154855428</v>
      </c>
      <c r="B4310" t="str">
        <f>"1551599335415467"</f>
        <v>1551599335415467</v>
      </c>
      <c r="C4310" t="s">
        <v>40</v>
      </c>
      <c r="D4310">
        <v>5.3827680000000004</v>
      </c>
      <c r="E4310">
        <v>0.49936229999999998</v>
      </c>
      <c r="F4310" t="s">
        <v>41</v>
      </c>
      <c r="G4310">
        <v>-191.18350000000001</v>
      </c>
      <c r="H4310" s="1">
        <v>-2.8912599999999999E-6</v>
      </c>
      <c r="I4310">
        <v>185.59469999999999</v>
      </c>
      <c r="J4310">
        <v>-190.0164</v>
      </c>
      <c r="K4310">
        <v>1.119688</v>
      </c>
      <c r="L4310">
        <v>200.70959999999999</v>
      </c>
      <c r="M4310">
        <v>-8.1576109999999993E-2</v>
      </c>
      <c r="N4310">
        <v>-5.9292879999999996E-3</v>
      </c>
      <c r="O4310">
        <v>-0.99664960000000002</v>
      </c>
      <c r="P4310">
        <v>-7.7143619999999996E-2</v>
      </c>
      <c r="Q4310">
        <v>-7.6197219999999996E-2</v>
      </c>
      <c r="R4310">
        <v>-0.99410410000000005</v>
      </c>
      <c r="S4310">
        <v>-0.23075870000000001</v>
      </c>
      <c r="T4310">
        <v>-0.21939130000000001</v>
      </c>
      <c r="U4310">
        <v>-2.9830930000000002</v>
      </c>
      <c r="V4310">
        <v>-4.288821E-3</v>
      </c>
      <c r="W4310">
        <v>-7.0279149999999999E-2</v>
      </c>
      <c r="X4310">
        <v>0.99751809999999996</v>
      </c>
      <c r="Y4310">
        <v>-4.6392279999999996E-3</v>
      </c>
      <c r="Z4310">
        <v>6.6976430000000003E-2</v>
      </c>
      <c r="AA4310">
        <v>0.99774379999999996</v>
      </c>
      <c r="AB4310">
        <v>12</v>
      </c>
      <c r="AC4310">
        <v>-1.1671</v>
      </c>
      <c r="AD4310">
        <v>-1.1196908912600001</v>
      </c>
      <c r="AE4310">
        <v>-15.1149</v>
      </c>
      <c r="AF4310">
        <v>-6.9447372266341303E-2</v>
      </c>
      <c r="AG4310">
        <v>-1.1196908912600001</v>
      </c>
      <c r="AH4310">
        <v>15.077481727512801</v>
      </c>
      <c r="AI4310">
        <v>94.247084608435301</v>
      </c>
      <c r="AJ4310">
        <v>90.263904361632697</v>
      </c>
      <c r="AK4310">
        <v>15.119159562388701</v>
      </c>
      <c r="AL4310">
        <v>94.030020998850304</v>
      </c>
      <c r="AM4310">
        <v>90.2463412225177</v>
      </c>
      <c r="AN4310">
        <v>0.99999995636895</v>
      </c>
    </row>
    <row r="4311" spans="1:40" x14ac:dyDescent="0.25">
      <c r="A4311" t="str">
        <f>"20190303154855450"</f>
        <v>20190303154855450</v>
      </c>
      <c r="B4311" t="str">
        <f>"1551599335444747"</f>
        <v>1551599335444747</v>
      </c>
      <c r="C4311" t="s">
        <v>40</v>
      </c>
      <c r="D4311">
        <v>5.9647269999999999</v>
      </c>
      <c r="E4311">
        <v>0.49376930000000002</v>
      </c>
      <c r="F4311" t="s">
        <v>41</v>
      </c>
      <c r="G4311">
        <v>-191.25219999999999</v>
      </c>
      <c r="H4311" s="1">
        <v>-2.3972149999999999E-6</v>
      </c>
      <c r="I4311">
        <v>184.40049999999999</v>
      </c>
      <c r="J4311">
        <v>-190.0291</v>
      </c>
      <c r="K4311">
        <v>1.1196919999999999</v>
      </c>
      <c r="L4311">
        <v>200.57740000000001</v>
      </c>
      <c r="M4311">
        <v>-8.3255689999999993E-2</v>
      </c>
      <c r="N4311">
        <v>-5.6568790000000001E-3</v>
      </c>
      <c r="O4311">
        <v>-0.99651210000000001</v>
      </c>
      <c r="P4311">
        <v>-7.8615870000000004E-2</v>
      </c>
      <c r="Q4311">
        <v>-7.5260229999999997E-2</v>
      </c>
      <c r="R4311">
        <v>-0.99405980000000005</v>
      </c>
      <c r="S4311">
        <v>-0.2261505</v>
      </c>
      <c r="T4311">
        <v>-0.20490120000000001</v>
      </c>
      <c r="U4311">
        <v>-2.9845429999999999</v>
      </c>
      <c r="V4311">
        <v>-4.4921359999999999E-3</v>
      </c>
      <c r="W4311">
        <v>-6.9613629999999996E-2</v>
      </c>
      <c r="X4311">
        <v>0.99756389999999995</v>
      </c>
      <c r="Y4311">
        <v>-7.8702440000000002E-3</v>
      </c>
      <c r="Z4311">
        <v>6.2412000000000002E-2</v>
      </c>
      <c r="AA4311">
        <v>0.99801949999999995</v>
      </c>
      <c r="AB4311">
        <v>13</v>
      </c>
      <c r="AC4311">
        <v>-1.2230999999999801</v>
      </c>
      <c r="AD4311">
        <v>-1.119694397215</v>
      </c>
      <c r="AE4311">
        <v>-16.1769</v>
      </c>
      <c r="AF4311">
        <v>-0.127380292527906</v>
      </c>
      <c r="AG4311">
        <v>-1.119694397215</v>
      </c>
      <c r="AH4311">
        <v>16.145656188872</v>
      </c>
      <c r="AI4311">
        <v>93.966963320232693</v>
      </c>
      <c r="AJ4311">
        <v>90.4520226152829</v>
      </c>
      <c r="AK4311">
        <v>16.1849360533596</v>
      </c>
      <c r="AL4311">
        <v>93.991795769318699</v>
      </c>
      <c r="AM4311">
        <v>90.258007225504898</v>
      </c>
      <c r="AN4311">
        <v>0.99999998567541404</v>
      </c>
    </row>
    <row r="4312" spans="1:40" x14ac:dyDescent="0.25">
      <c r="A4312" t="str">
        <f>"20190303154855463"</f>
        <v>20190303154855463</v>
      </c>
      <c r="B4312" t="str">
        <f>"1551599335455484"</f>
        <v>1551599335455484</v>
      </c>
      <c r="C4312" t="s">
        <v>40</v>
      </c>
      <c r="D4312">
        <v>5.487209</v>
      </c>
      <c r="E4312">
        <v>0.49252899999999999</v>
      </c>
      <c r="F4312" t="s">
        <v>41</v>
      </c>
      <c r="G4312">
        <v>-192.0754</v>
      </c>
      <c r="H4312" s="1">
        <v>-4.272411E-6</v>
      </c>
      <c r="I4312">
        <v>167.4616</v>
      </c>
      <c r="J4312">
        <v>-190.03639999999999</v>
      </c>
      <c r="K4312">
        <v>1.119691</v>
      </c>
      <c r="L4312">
        <v>200.5027</v>
      </c>
      <c r="M4312">
        <v>-8.4166770000000002E-2</v>
      </c>
      <c r="N4312">
        <v>-5.5133309999999998E-3</v>
      </c>
      <c r="O4312">
        <v>-0.99643680000000001</v>
      </c>
      <c r="P4312">
        <v>-7.9160969999999997E-2</v>
      </c>
      <c r="Q4312">
        <v>-7.4923980000000001E-2</v>
      </c>
      <c r="R4312">
        <v>-0.99404250000000005</v>
      </c>
      <c r="S4312">
        <v>-0.1851044</v>
      </c>
      <c r="T4312">
        <v>-0.1012864</v>
      </c>
      <c r="U4312">
        <v>-2.9956209999999999</v>
      </c>
      <c r="V4312">
        <v>-4.856094E-3</v>
      </c>
      <c r="W4312">
        <v>-6.9420229999999999E-2</v>
      </c>
      <c r="X4312">
        <v>0.99757569999999995</v>
      </c>
      <c r="Y4312">
        <v>-2.257456E-2</v>
      </c>
      <c r="Z4312">
        <v>2.8079860000000002E-2</v>
      </c>
      <c r="AA4312">
        <v>0.99935070000000004</v>
      </c>
      <c r="AB4312">
        <v>13</v>
      </c>
      <c r="AC4312">
        <v>-2.0390000000000099</v>
      </c>
      <c r="AD4312">
        <v>-1.1196952724110001</v>
      </c>
      <c r="AE4312">
        <v>-33.0411</v>
      </c>
      <c r="AF4312">
        <v>-0.74838296222981904</v>
      </c>
      <c r="AG4312">
        <v>-1.1196952724110001</v>
      </c>
      <c r="AH4312">
        <v>33.057655610883998</v>
      </c>
      <c r="AI4312">
        <v>91.939426167659093</v>
      </c>
      <c r="AJ4312">
        <v>91.296881502791507</v>
      </c>
      <c r="AK4312">
        <v>33.085078042057397</v>
      </c>
      <c r="AL4312">
        <v>93.980687781533305</v>
      </c>
      <c r="AM4312">
        <v>90.278907649251394</v>
      </c>
      <c r="AN4312">
        <v>1.0000000136063301</v>
      </c>
    </row>
    <row r="4313" spans="1:40" x14ac:dyDescent="0.25">
      <c r="A4313" t="str">
        <f>"20190303154855476"</f>
        <v>20190303154855476</v>
      </c>
      <c r="B4313" t="str">
        <f>"1551599335465243"</f>
        <v>1551599335465243</v>
      </c>
      <c r="C4313" t="s">
        <v>40</v>
      </c>
      <c r="D4313">
        <v>5.413913</v>
      </c>
      <c r="E4313">
        <v>0.49261650000000001</v>
      </c>
      <c r="F4313" t="s">
        <v>41</v>
      </c>
      <c r="G4313">
        <v>-192.12260000000001</v>
      </c>
      <c r="H4313" s="1">
        <v>-3.1848009999999998E-6</v>
      </c>
      <c r="I4313">
        <v>165.13419999999999</v>
      </c>
      <c r="J4313">
        <v>-190.04429999999999</v>
      </c>
      <c r="K4313">
        <v>1.1196919999999999</v>
      </c>
      <c r="L4313">
        <v>200.4222</v>
      </c>
      <c r="M4313">
        <v>-8.5106730000000005E-2</v>
      </c>
      <c r="N4313">
        <v>-5.3709259999999998E-3</v>
      </c>
      <c r="O4313">
        <v>-0.99635739999999995</v>
      </c>
      <c r="P4313">
        <v>-7.9880859999999998E-2</v>
      </c>
      <c r="Q4313">
        <v>-7.4773030000000004E-2</v>
      </c>
      <c r="R4313">
        <v>-0.9939962</v>
      </c>
      <c r="S4313">
        <v>-0.17675779999999999</v>
      </c>
      <c r="T4313">
        <v>-9.4871639999999993E-2</v>
      </c>
      <c r="U4313">
        <v>-2.9967649999999999</v>
      </c>
      <c r="V4313">
        <v>-5.073007E-3</v>
      </c>
      <c r="W4313">
        <v>-6.941129E-2</v>
      </c>
      <c r="X4313">
        <v>0.9975752</v>
      </c>
      <c r="Y4313">
        <v>-2.631087E-2</v>
      </c>
      <c r="Z4313">
        <v>2.6082149999999998E-2</v>
      </c>
      <c r="AA4313">
        <v>0.99931349999999997</v>
      </c>
      <c r="AB4313">
        <v>13</v>
      </c>
      <c r="AC4313">
        <v>-2.0783000000000098</v>
      </c>
      <c r="AD4313">
        <v>-1.1196951848009999</v>
      </c>
      <c r="AE4313">
        <v>-35.287999999999997</v>
      </c>
      <c r="AF4313">
        <v>-0.93159542798796202</v>
      </c>
      <c r="AG4313">
        <v>-1.1196951848009999</v>
      </c>
      <c r="AH4313">
        <v>35.301426867073403</v>
      </c>
      <c r="AI4313">
        <v>91.816073980229106</v>
      </c>
      <c r="AJ4313">
        <v>91.511669792439704</v>
      </c>
      <c r="AK4313">
        <v>35.331463686063799</v>
      </c>
      <c r="AL4313">
        <v>93.980174488091606</v>
      </c>
      <c r="AM4313">
        <v>90.2913658890172</v>
      </c>
      <c r="AN4313">
        <v>0.99999997111726202</v>
      </c>
    </row>
    <row r="4314" spans="1:40" x14ac:dyDescent="0.25">
      <c r="A4314" t="str">
        <f>"20190303154855494"</f>
        <v>20190303154855494</v>
      </c>
      <c r="B4314" t="str">
        <f>"1551599335484763"</f>
        <v>1551599335484763</v>
      </c>
      <c r="C4314" t="s">
        <v>40</v>
      </c>
      <c r="D4314">
        <v>5.4068529999999999</v>
      </c>
      <c r="E4314">
        <v>0.49119649999999998</v>
      </c>
      <c r="F4314" t="s">
        <v>41</v>
      </c>
      <c r="G4314">
        <v>-192.3922</v>
      </c>
      <c r="H4314" s="1">
        <v>-1.4256749999999999E-6</v>
      </c>
      <c r="I4314">
        <v>161.2611</v>
      </c>
      <c r="J4314">
        <v>-190.054</v>
      </c>
      <c r="K4314">
        <v>1.1196950000000001</v>
      </c>
      <c r="L4314">
        <v>200.32380000000001</v>
      </c>
      <c r="M4314">
        <v>-8.6210079999999994E-2</v>
      </c>
      <c r="N4314">
        <v>-5.2090249999999999E-3</v>
      </c>
      <c r="O4314">
        <v>-0.99626360000000003</v>
      </c>
      <c r="P4314">
        <v>-8.048835E-2</v>
      </c>
      <c r="Q4314">
        <v>-7.4491660000000001E-2</v>
      </c>
      <c r="R4314">
        <v>-0.99396830000000003</v>
      </c>
      <c r="S4314">
        <v>-0.179702799999999</v>
      </c>
      <c r="T4314">
        <v>-8.5697410000000002E-2</v>
      </c>
      <c r="U4314">
        <v>-2.9972530000000002</v>
      </c>
      <c r="V4314">
        <v>-5.566334E-3</v>
      </c>
      <c r="W4314">
        <v>-6.9291069999999996E-2</v>
      </c>
      <c r="X4314">
        <v>0.99758089999999999</v>
      </c>
      <c r="Y4314">
        <v>-2.6445010000000001E-2</v>
      </c>
      <c r="Z4314">
        <v>2.3196560000000001E-2</v>
      </c>
      <c r="AA4314">
        <v>0.99938110000000002</v>
      </c>
      <c r="AB4314">
        <v>13</v>
      </c>
      <c r="AC4314">
        <v>-2.3382000000000001</v>
      </c>
      <c r="AD4314">
        <v>-1.1196964256749999</v>
      </c>
      <c r="AE4314">
        <v>-39.0627</v>
      </c>
      <c r="AF4314">
        <v>-1.0372995486015699</v>
      </c>
      <c r="AG4314">
        <v>-1.1196964256749999</v>
      </c>
      <c r="AH4314">
        <v>39.086843769931903</v>
      </c>
      <c r="AI4314">
        <v>91.640290507695696</v>
      </c>
      <c r="AJ4314">
        <v>91.5201774782754</v>
      </c>
      <c r="AK4314">
        <v>39.116634138614998</v>
      </c>
      <c r="AL4314">
        <v>93.973269871751199</v>
      </c>
      <c r="AM4314">
        <v>90.319697515997902</v>
      </c>
      <c r="AN4314">
        <v>0.99999994425037497</v>
      </c>
    </row>
    <row r="4315" spans="1:40" x14ac:dyDescent="0.25">
      <c r="A4315" t="str">
        <f>"20190303154855507"</f>
        <v>20190303154855507</v>
      </c>
      <c r="B4315" t="str">
        <f>"1551599335505260"</f>
        <v>1551599335505260</v>
      </c>
      <c r="C4315" t="s">
        <v>40</v>
      </c>
      <c r="D4315">
        <v>5.4235300000000004</v>
      </c>
      <c r="E4315">
        <v>0.490315</v>
      </c>
      <c r="F4315" t="s">
        <v>41</v>
      </c>
      <c r="G4315">
        <v>-192.15969999999999</v>
      </c>
      <c r="H4315" s="1">
        <v>-2.3246580000000001E-6</v>
      </c>
      <c r="I4315">
        <v>163.2937</v>
      </c>
      <c r="J4315">
        <v>-190.06200000000001</v>
      </c>
      <c r="K4315">
        <v>1.1196919999999999</v>
      </c>
      <c r="L4315">
        <v>200.2431</v>
      </c>
      <c r="M4315">
        <v>-8.7080550000000007E-2</v>
      </c>
      <c r="N4315">
        <v>-5.0846520000000003E-3</v>
      </c>
      <c r="O4315">
        <v>-0.99618850000000003</v>
      </c>
      <c r="P4315">
        <v>-8.1221059999999998E-2</v>
      </c>
      <c r="Q4315">
        <v>-7.4146809999999994E-2</v>
      </c>
      <c r="R4315">
        <v>-0.99393480000000001</v>
      </c>
      <c r="S4315">
        <v>-0.17045589999999999</v>
      </c>
      <c r="T4315">
        <v>-9.0639709999999998E-2</v>
      </c>
      <c r="U4315">
        <v>-2.9975890000000001</v>
      </c>
      <c r="V4315">
        <v>-5.7029439999999997E-3</v>
      </c>
      <c r="W4315">
        <v>-6.9070179999999995E-2</v>
      </c>
      <c r="X4315">
        <v>0.99759549999999997</v>
      </c>
      <c r="Y4315">
        <v>-3.0399260000000001E-2</v>
      </c>
      <c r="Z4315">
        <v>2.495033E-2</v>
      </c>
      <c r="AA4315">
        <v>0.99922639999999996</v>
      </c>
      <c r="AB4315">
        <v>13</v>
      </c>
      <c r="AC4315">
        <v>-2.0976999999999699</v>
      </c>
      <c r="AD4315">
        <v>-1.119694324658</v>
      </c>
      <c r="AE4315">
        <v>-36.949399999999997</v>
      </c>
      <c r="AF4315">
        <v>-1.1268523472551599</v>
      </c>
      <c r="AG4315">
        <v>-1.119694324658</v>
      </c>
      <c r="AH4315">
        <v>36.957877607352998</v>
      </c>
      <c r="AI4315">
        <v>91.734525179635298</v>
      </c>
      <c r="AJ4315">
        <v>91.746417588570907</v>
      </c>
      <c r="AK4315">
        <v>36.992002227958302</v>
      </c>
      <c r="AL4315">
        <v>93.960583200281604</v>
      </c>
      <c r="AM4315">
        <v>90.327538629197093</v>
      </c>
      <c r="AN4315">
        <v>0.99999999747787405</v>
      </c>
    </row>
    <row r="4316" spans="1:40" x14ac:dyDescent="0.25">
      <c r="A4316" t="str">
        <f>"20190303154855520"</f>
        <v>20190303154855520</v>
      </c>
      <c r="B4316" t="str">
        <f>"1551599335515020"</f>
        <v>1551599335515020</v>
      </c>
      <c r="C4316" t="s">
        <v>40</v>
      </c>
      <c r="D4316">
        <v>5.4406270000000001</v>
      </c>
      <c r="E4316">
        <v>0.48950890000000002</v>
      </c>
      <c r="F4316" t="s">
        <v>41</v>
      </c>
      <c r="G4316">
        <v>-191.82740000000001</v>
      </c>
      <c r="H4316" s="1">
        <v>-4.5823119999999996E-6</v>
      </c>
      <c r="I4316">
        <v>168.37459999999999</v>
      </c>
      <c r="J4316">
        <v>-190.06979999999999</v>
      </c>
      <c r="K4316">
        <v>1.1196900000000001</v>
      </c>
      <c r="L4316">
        <v>200.16419999999999</v>
      </c>
      <c r="M4316">
        <v>-8.7909829999999994E-2</v>
      </c>
      <c r="N4316">
        <v>-4.9683490000000004E-3</v>
      </c>
      <c r="O4316">
        <v>-0.99611620000000001</v>
      </c>
      <c r="P4316">
        <v>-8.186504E-2</v>
      </c>
      <c r="Q4316">
        <v>-7.3860759999999998E-2</v>
      </c>
      <c r="R4316">
        <v>-0.99390290000000003</v>
      </c>
      <c r="S4316">
        <v>-0.16601560000000001</v>
      </c>
      <c r="T4316">
        <v>-0.10529579999999999</v>
      </c>
      <c r="U4316">
        <v>-2.996902</v>
      </c>
      <c r="V4316">
        <v>-5.8875799999999999E-3</v>
      </c>
      <c r="W4316">
        <v>-6.8900020000000006E-2</v>
      </c>
      <c r="X4316">
        <v>0.9976062</v>
      </c>
      <c r="Y4316">
        <v>-3.270112E-2</v>
      </c>
      <c r="Z4316">
        <v>2.9919790000000002E-2</v>
      </c>
      <c r="AA4316">
        <v>0.99901719999999905</v>
      </c>
      <c r="AB4316">
        <v>13</v>
      </c>
      <c r="AC4316">
        <v>-1.75760000000002</v>
      </c>
      <c r="AD4316">
        <v>-1.1196945823119999</v>
      </c>
      <c r="AE4316">
        <v>-31.7896</v>
      </c>
      <c r="AF4316">
        <v>-1.0425677625125001</v>
      </c>
      <c r="AG4316">
        <v>-1.1196945823119999</v>
      </c>
      <c r="AH4316">
        <v>31.781725734083999</v>
      </c>
      <c r="AI4316">
        <v>92.0166558619825</v>
      </c>
      <c r="AJ4316">
        <v>91.8788570537005</v>
      </c>
      <c r="AK4316">
        <v>31.8185284721595</v>
      </c>
      <c r="AL4316">
        <v>93.950810445626303</v>
      </c>
      <c r="AM4316">
        <v>90.338139006321995</v>
      </c>
      <c r="AN4316">
        <v>1.0000000033163401</v>
      </c>
    </row>
    <row r="4317" spans="1:40" x14ac:dyDescent="0.25">
      <c r="A4317" t="str">
        <f>"20190303154855538"</f>
        <v>20190303154855538</v>
      </c>
      <c r="B4317" t="str">
        <f>"1551599335535515"</f>
        <v>1551599335535515</v>
      </c>
      <c r="C4317" t="s">
        <v>40</v>
      </c>
      <c r="D4317">
        <v>5.4404059999999896</v>
      </c>
      <c r="E4317">
        <v>0.48885010000000001</v>
      </c>
      <c r="F4317" t="s">
        <v>41</v>
      </c>
      <c r="G4317">
        <v>-191.6662</v>
      </c>
      <c r="H4317" s="1">
        <v>-8.6562079999999998E-7</v>
      </c>
      <c r="I4317">
        <v>170.5735</v>
      </c>
      <c r="J4317">
        <v>-190.0805</v>
      </c>
      <c r="K4317">
        <v>1.11968</v>
      </c>
      <c r="L4317">
        <v>200.05680000000001</v>
      </c>
      <c r="M4317">
        <v>-8.8982069999999996E-2</v>
      </c>
      <c r="N4317">
        <v>-4.821845E-3</v>
      </c>
      <c r="O4317">
        <v>-0.99602159999999995</v>
      </c>
      <c r="P4317">
        <v>-8.2195270000000001E-2</v>
      </c>
      <c r="Q4317">
        <v>-7.3656860000000005E-2</v>
      </c>
      <c r="R4317">
        <v>-0.99389070000000002</v>
      </c>
      <c r="S4317">
        <v>-0.161666899999999</v>
      </c>
      <c r="T4317">
        <v>-0.11339009999999999</v>
      </c>
      <c r="U4317">
        <v>-2.9966279999999998</v>
      </c>
      <c r="V4317">
        <v>-6.6296899999999997E-3</v>
      </c>
      <c r="W4317">
        <v>-6.8841699999999895E-2</v>
      </c>
      <c r="X4317">
        <v>0.99760559999999998</v>
      </c>
      <c r="Y4317">
        <v>-3.522169E-2</v>
      </c>
      <c r="Z4317">
        <v>3.2741180000000002E-2</v>
      </c>
      <c r="AA4317">
        <v>0.99884309999999998</v>
      </c>
      <c r="AB4317">
        <v>13</v>
      </c>
      <c r="AC4317">
        <v>-1.5857000000000001</v>
      </c>
      <c r="AD4317">
        <v>-1.1196808656207999</v>
      </c>
      <c r="AE4317">
        <v>-29.4833</v>
      </c>
      <c r="AF4317">
        <v>-1.04260635858864</v>
      </c>
      <c r="AG4317">
        <v>-1.1196808656207999</v>
      </c>
      <c r="AH4317">
        <v>29.4650712405703</v>
      </c>
      <c r="AI4317">
        <v>92.174848603868796</v>
      </c>
      <c r="AJ4317">
        <v>92.026536125376197</v>
      </c>
      <c r="AK4317">
        <v>29.5047646401677</v>
      </c>
      <c r="AL4317">
        <v>93.9474608862335</v>
      </c>
      <c r="AM4317">
        <v>90.380759354877497</v>
      </c>
      <c r="AN4317">
        <v>1.0000000327998699</v>
      </c>
    </row>
    <row r="4318" spans="1:40" x14ac:dyDescent="0.25">
      <c r="A4318" t="str">
        <f>"20190303154855551"</f>
        <v>20190303154855551</v>
      </c>
      <c r="B4318" t="str">
        <f>"1551599335545276"</f>
        <v>1551599335545276</v>
      </c>
      <c r="C4318" t="s">
        <v>40</v>
      </c>
      <c r="D4318">
        <v>5.4318850000000003</v>
      </c>
      <c r="E4318">
        <v>0.48851640000000002</v>
      </c>
      <c r="F4318" t="s">
        <v>41</v>
      </c>
      <c r="G4318">
        <v>-191.5307</v>
      </c>
      <c r="H4318" s="1">
        <v>-1.647173E-6</v>
      </c>
      <c r="I4318">
        <v>172.4794</v>
      </c>
      <c r="J4318">
        <v>-190.08840000000001</v>
      </c>
      <c r="K4318">
        <v>1.1196710000000001</v>
      </c>
      <c r="L4318">
        <v>199.97800000000001</v>
      </c>
      <c r="M4318">
        <v>-8.974008E-2</v>
      </c>
      <c r="N4318">
        <v>-4.7210079999999996E-3</v>
      </c>
      <c r="O4318">
        <v>-0.99595409999999995</v>
      </c>
      <c r="P4318">
        <v>-8.2855760000000001E-2</v>
      </c>
      <c r="Q4318">
        <v>-7.3653739999999995E-2</v>
      </c>
      <c r="R4318">
        <v>-0.99383619999999995</v>
      </c>
      <c r="S4318">
        <v>-0.15756229999999999</v>
      </c>
      <c r="T4318">
        <v>-0.1216578</v>
      </c>
      <c r="U4318">
        <v>-2.9963989999999998</v>
      </c>
      <c r="V4318">
        <v>-6.7252600000000003E-3</v>
      </c>
      <c r="W4318">
        <v>-6.8939109999999998E-2</v>
      </c>
      <c r="X4318">
        <v>0.99759819999999999</v>
      </c>
      <c r="Y4318">
        <v>-3.7347169999999999E-2</v>
      </c>
      <c r="Z4318">
        <v>3.5574309999999998E-2</v>
      </c>
      <c r="AA4318">
        <v>0.99866900000000003</v>
      </c>
      <c r="AB4318">
        <v>13</v>
      </c>
      <c r="AC4318">
        <v>-1.4422999999999799</v>
      </c>
      <c r="AD4318">
        <v>-1.1196726471730001</v>
      </c>
      <c r="AE4318">
        <v>-27.4985999999999</v>
      </c>
      <c r="AF4318">
        <v>-1.0295711327631201</v>
      </c>
      <c r="AG4318">
        <v>-1.1196726471730001</v>
      </c>
      <c r="AH4318">
        <v>27.471659678170202</v>
      </c>
      <c r="AI4318">
        <v>92.332298059841094</v>
      </c>
      <c r="AJ4318">
        <v>92.146302262859805</v>
      </c>
      <c r="AK4318">
        <v>27.513737823629999</v>
      </c>
      <c r="AL4318">
        <v>93.953055491625804</v>
      </c>
      <c r="AM4318">
        <v>90.386250874265997</v>
      </c>
      <c r="AN4318">
        <v>0.99999999932644901</v>
      </c>
    </row>
    <row r="4319" spans="1:40" x14ac:dyDescent="0.25">
      <c r="A4319" t="str">
        <f>"20190303154855564"</f>
        <v>20190303154855564</v>
      </c>
      <c r="B4319" t="str">
        <f>"1551599335555036"</f>
        <v>1551599335555036</v>
      </c>
      <c r="C4319" t="s">
        <v>40</v>
      </c>
      <c r="D4319">
        <v>5.4351599999999998</v>
      </c>
      <c r="E4319">
        <v>0.48819370000000001</v>
      </c>
      <c r="F4319" t="s">
        <v>41</v>
      </c>
      <c r="G4319">
        <v>-191.50110000000001</v>
      </c>
      <c r="H4319" s="1">
        <v>-1.86482E-6</v>
      </c>
      <c r="I4319">
        <v>173.0051</v>
      </c>
      <c r="J4319">
        <v>-190.09630000000001</v>
      </c>
      <c r="K4319">
        <v>1.1196630000000001</v>
      </c>
      <c r="L4319">
        <v>199.90039999999999</v>
      </c>
      <c r="M4319">
        <v>-9.0471140000000005E-2</v>
      </c>
      <c r="N4319">
        <v>-4.6253099999999997E-3</v>
      </c>
      <c r="O4319">
        <v>-0.99588840000000001</v>
      </c>
      <c r="P4319">
        <v>-8.3117209999999997E-2</v>
      </c>
      <c r="Q4319">
        <v>-7.3750830000000003E-2</v>
      </c>
      <c r="R4319">
        <v>-0.99380740000000001</v>
      </c>
      <c r="S4319">
        <v>-0.15692139999999999</v>
      </c>
      <c r="T4319">
        <v>-0.1243798</v>
      </c>
      <c r="U4319">
        <v>-2.9963069999999998</v>
      </c>
      <c r="V4319">
        <v>-7.1946700000000002E-3</v>
      </c>
      <c r="W4319">
        <v>-6.9131319999999996E-2</v>
      </c>
      <c r="X4319">
        <v>0.99758159999999896</v>
      </c>
      <c r="Y4319">
        <v>-3.8293870000000001E-2</v>
      </c>
      <c r="Z4319">
        <v>3.6566260000000003E-2</v>
      </c>
      <c r="AA4319">
        <v>0.99859730000000002</v>
      </c>
      <c r="AB4319">
        <v>13</v>
      </c>
      <c r="AC4319">
        <v>-1.4047999999999901</v>
      </c>
      <c r="AD4319">
        <v>-1.1196648648199901</v>
      </c>
      <c r="AE4319">
        <v>-26.895299999999899</v>
      </c>
      <c r="AF4319">
        <v>-1.0324509541320199</v>
      </c>
      <c r="AG4319">
        <v>-1.1196648648199901</v>
      </c>
      <c r="AH4319">
        <v>26.865663154869299</v>
      </c>
      <c r="AI4319">
        <v>92.384744019857607</v>
      </c>
      <c r="AJ4319">
        <v>92.2008013020167</v>
      </c>
      <c r="AK4319">
        <v>26.908798953745599</v>
      </c>
      <c r="AL4319">
        <v>93.964094744321898</v>
      </c>
      <c r="AM4319">
        <v>90.413216401537795</v>
      </c>
      <c r="AN4319">
        <v>0.99999997566995502</v>
      </c>
    </row>
    <row r="4320" spans="1:40" x14ac:dyDescent="0.25">
      <c r="A4320" t="str">
        <f>"20190303154855576"</f>
        <v>20190303154855576</v>
      </c>
      <c r="B4320" t="str">
        <f>"1551599335564795"</f>
        <v>1551599335564795</v>
      </c>
      <c r="C4320" t="s">
        <v>40</v>
      </c>
      <c r="D4320">
        <v>5.4738519999999999</v>
      </c>
      <c r="E4320">
        <v>0.48785620000000002</v>
      </c>
      <c r="F4320" t="s">
        <v>41</v>
      </c>
      <c r="G4320">
        <v>-191.49619999999999</v>
      </c>
      <c r="H4320" s="1">
        <v>-1.819503E-6</v>
      </c>
      <c r="I4320">
        <v>172.9024</v>
      </c>
      <c r="J4320">
        <v>-190.10390000000001</v>
      </c>
      <c r="K4320">
        <v>1.1196549999999901</v>
      </c>
      <c r="L4320">
        <v>199.82470000000001</v>
      </c>
      <c r="M4320">
        <v>-9.1161829999999999E-2</v>
      </c>
      <c r="N4320">
        <v>-4.5373849999999997E-3</v>
      </c>
      <c r="O4320">
        <v>-0.99582590000000004</v>
      </c>
      <c r="P4320">
        <v>-8.3594139999999997E-2</v>
      </c>
      <c r="Q4320">
        <v>-7.4021879999999998E-2</v>
      </c>
      <c r="R4320">
        <v>-0.99374739999999995</v>
      </c>
      <c r="S4320">
        <v>-0.1553802</v>
      </c>
      <c r="T4320">
        <v>-0.124269699999999</v>
      </c>
      <c r="U4320">
        <v>-2.9964599999999999</v>
      </c>
      <c r="V4320">
        <v>-7.4056900000000004E-3</v>
      </c>
      <c r="W4320">
        <v>-6.949002E-2</v>
      </c>
      <c r="X4320">
        <v>0.99755510000000003</v>
      </c>
      <c r="Y4320">
        <v>-3.9501759999999997E-2</v>
      </c>
      <c r="Z4320">
        <v>3.6611110000000002E-2</v>
      </c>
      <c r="AA4320">
        <v>0.99854860000000001</v>
      </c>
      <c r="AB4320">
        <v>14</v>
      </c>
      <c r="AC4320">
        <v>-1.3922999999999699</v>
      </c>
      <c r="AD4320">
        <v>-1.1196568195029999</v>
      </c>
      <c r="AE4320">
        <v>-26.9223</v>
      </c>
      <c r="AF4320">
        <v>-1.0659697893320099</v>
      </c>
      <c r="AG4320">
        <v>-1.1196568195029999</v>
      </c>
      <c r="AH4320">
        <v>26.890735482729099</v>
      </c>
      <c r="AI4320">
        <v>92.3823937111204</v>
      </c>
      <c r="AJ4320">
        <v>92.270060964755402</v>
      </c>
      <c r="AK4320">
        <v>26.935136490972798</v>
      </c>
      <c r="AL4320">
        <v>93.984696418267603</v>
      </c>
      <c r="AM4320">
        <v>90.425346917173101</v>
      </c>
      <c r="AN4320">
        <v>0.99999994232999101</v>
      </c>
    </row>
    <row r="4321" spans="1:40" x14ac:dyDescent="0.25">
      <c r="A4321" t="str">
        <f>"20190303154855594"</f>
        <v>20190303154855594</v>
      </c>
      <c r="B4321" t="str">
        <f>"1551599335585294"</f>
        <v>1551599335585294</v>
      </c>
      <c r="C4321" t="s">
        <v>40</v>
      </c>
      <c r="D4321">
        <v>5.4648120000000002</v>
      </c>
      <c r="E4321">
        <v>0.48742809999999998</v>
      </c>
      <c r="F4321" t="s">
        <v>41</v>
      </c>
      <c r="G4321">
        <v>-191.47730000000001</v>
      </c>
      <c r="H4321" s="1">
        <v>-1.914829E-6</v>
      </c>
      <c r="I4321">
        <v>173.13630000000001</v>
      </c>
      <c r="J4321">
        <v>-190.11490000000001</v>
      </c>
      <c r="K4321">
        <v>1.1196349999999999</v>
      </c>
      <c r="L4321">
        <v>199.71729999999999</v>
      </c>
      <c r="M4321">
        <v>-9.2107980000000006E-2</v>
      </c>
      <c r="N4321">
        <v>-4.4214129999999999E-3</v>
      </c>
      <c r="O4321">
        <v>-0.99573929999999999</v>
      </c>
      <c r="P4321">
        <v>-8.4375199999999997E-2</v>
      </c>
      <c r="Q4321">
        <v>-7.4724349999999995E-2</v>
      </c>
      <c r="R4321">
        <v>-0.99362839999999997</v>
      </c>
      <c r="S4321">
        <v>-0.15420529999999999</v>
      </c>
      <c r="T4321">
        <v>-0.12571450000000001</v>
      </c>
      <c r="U4321">
        <v>-2.9965519999999999</v>
      </c>
      <c r="V4321">
        <v>-7.5646050000000003E-3</v>
      </c>
      <c r="W4321">
        <v>-7.0308339999999997E-2</v>
      </c>
      <c r="X4321">
        <v>0.99749659999999996</v>
      </c>
      <c r="Y4321">
        <v>-4.0844209999999999E-2</v>
      </c>
      <c r="Z4321">
        <v>3.7196809999999997E-2</v>
      </c>
      <c r="AA4321">
        <v>0.9984729</v>
      </c>
      <c r="AB4321">
        <v>14</v>
      </c>
      <c r="AC4321">
        <v>-1.3624000000000001</v>
      </c>
      <c r="AD4321">
        <v>-1.119636914829</v>
      </c>
      <c r="AE4321">
        <v>-26.5809999999999</v>
      </c>
      <c r="AF4321">
        <v>-1.0898090517047401</v>
      </c>
      <c r="AG4321">
        <v>-1.119636914829</v>
      </c>
      <c r="AH4321">
        <v>26.546515339701902</v>
      </c>
      <c r="AI4321">
        <v>92.413069213432706</v>
      </c>
      <c r="AJ4321">
        <v>92.350832700490201</v>
      </c>
      <c r="AK4321">
        <v>26.592456585867598</v>
      </c>
      <c r="AL4321">
        <v>94.031697528938807</v>
      </c>
      <c r="AM4321">
        <v>90.434499357380801</v>
      </c>
      <c r="AN4321">
        <v>0.99999997646696004</v>
      </c>
    </row>
    <row r="4322" spans="1:40" x14ac:dyDescent="0.25">
      <c r="A4322" t="str">
        <f>"20190303154855609"</f>
        <v>20190303154855609</v>
      </c>
      <c r="B4322" t="str">
        <f>"1551599335604811"</f>
        <v>1551599335604811</v>
      </c>
      <c r="C4322" t="s">
        <v>40</v>
      </c>
      <c r="D4322">
        <v>5.5144599999999997</v>
      </c>
      <c r="E4322">
        <v>0.48548000000000002</v>
      </c>
      <c r="F4322" t="s">
        <v>41</v>
      </c>
      <c r="G4322">
        <v>-191.4357</v>
      </c>
      <c r="H4322" s="1">
        <v>-2.2128790000000001E-6</v>
      </c>
      <c r="I4322">
        <v>173.8569</v>
      </c>
      <c r="J4322">
        <v>-190.1241</v>
      </c>
      <c r="K4322">
        <v>1.119624</v>
      </c>
      <c r="L4322">
        <v>199.62739999999999</v>
      </c>
      <c r="M4322">
        <v>-9.2870110000000006E-2</v>
      </c>
      <c r="N4322">
        <v>-4.3314570000000004E-3</v>
      </c>
      <c r="O4322">
        <v>-0.99566880000000002</v>
      </c>
      <c r="P4322">
        <v>-8.5090689999999997E-2</v>
      </c>
      <c r="Q4322">
        <v>-7.5218770000000004E-2</v>
      </c>
      <c r="R4322">
        <v>-0.99353000000000002</v>
      </c>
      <c r="S4322">
        <v>-0.15304570000000001</v>
      </c>
      <c r="T4322">
        <v>-0.1297354</v>
      </c>
      <c r="U4322">
        <v>-2.9965060000000001</v>
      </c>
      <c r="V4322">
        <v>-7.60662199999999E-3</v>
      </c>
      <c r="W4322">
        <v>-7.089268E-2</v>
      </c>
      <c r="X4322">
        <v>0.99745490000000003</v>
      </c>
      <c r="Y4322">
        <v>-4.1996140000000001E-2</v>
      </c>
      <c r="Z4322">
        <v>3.8610400000000003E-2</v>
      </c>
      <c r="AA4322">
        <v>0.99837149999999997</v>
      </c>
      <c r="AB4322">
        <v>14</v>
      </c>
      <c r="AC4322">
        <v>-1.3115999999999901</v>
      </c>
      <c r="AD4322">
        <v>-1.119626212879</v>
      </c>
      <c r="AE4322">
        <v>-25.770499999999998</v>
      </c>
      <c r="AF4322">
        <v>-1.08535680281865</v>
      </c>
      <c r="AG4322">
        <v>-1.119626212879</v>
      </c>
      <c r="AH4322">
        <v>25.7324872905027</v>
      </c>
      <c r="AI4322">
        <v>92.489170279712894</v>
      </c>
      <c r="AJ4322">
        <v>92.415216441798293</v>
      </c>
      <c r="AK4322">
        <v>25.7796909291378</v>
      </c>
      <c r="AL4322">
        <v>94.065261585961693</v>
      </c>
      <c r="AM4322">
        <v>90.436930921425301</v>
      </c>
      <c r="AN4322">
        <v>0.99999995515492002</v>
      </c>
    </row>
    <row r="4323" spans="1:40" x14ac:dyDescent="0.25">
      <c r="A4323" t="str">
        <f>"20190303154855631"</f>
        <v>20190303154855631</v>
      </c>
      <c r="B4323" t="str">
        <f>"1551599335625307"</f>
        <v>1551599335625307</v>
      </c>
      <c r="C4323" t="s">
        <v>40</v>
      </c>
      <c r="D4323">
        <v>5.4497309999999999</v>
      </c>
      <c r="E4323">
        <v>0.48454360000000002</v>
      </c>
      <c r="F4323" t="s">
        <v>41</v>
      </c>
      <c r="G4323">
        <v>-191.20529999999999</v>
      </c>
      <c r="H4323" s="1">
        <v>-3.2686579999999998E-6</v>
      </c>
      <c r="I4323">
        <v>176.46080000000001</v>
      </c>
      <c r="J4323">
        <v>-190.1379</v>
      </c>
      <c r="K4323">
        <v>1.1195999999999999</v>
      </c>
      <c r="L4323">
        <v>199.4924</v>
      </c>
      <c r="M4323">
        <v>-9.3962760000000006E-2</v>
      </c>
      <c r="N4323">
        <v>-4.2081210000000004E-3</v>
      </c>
      <c r="O4323">
        <v>-0.99556710000000004</v>
      </c>
      <c r="P4323">
        <v>-8.6074719999999993E-2</v>
      </c>
      <c r="Q4323">
        <v>-7.658906E-2</v>
      </c>
      <c r="R4323">
        <v>-0.99334069999999997</v>
      </c>
      <c r="S4323">
        <v>-0.13986209999999999</v>
      </c>
      <c r="T4323">
        <v>-0.14482300000000001</v>
      </c>
      <c r="U4323">
        <v>-2.9965820000000001</v>
      </c>
      <c r="V4323">
        <v>-7.70282E-3</v>
      </c>
      <c r="W4323">
        <v>-7.2386530000000004E-2</v>
      </c>
      <c r="X4323">
        <v>0.99734690000000004</v>
      </c>
      <c r="Y4323">
        <v>-4.7483999999999998E-2</v>
      </c>
      <c r="Z4323">
        <v>4.3705420000000002E-2</v>
      </c>
      <c r="AA4323">
        <v>0.99791540000000001</v>
      </c>
      <c r="AB4323">
        <v>14</v>
      </c>
      <c r="AC4323">
        <v>-1.0673999999999899</v>
      </c>
      <c r="AD4323">
        <v>-1.119603268658</v>
      </c>
      <c r="AE4323">
        <v>-23.031600000000001</v>
      </c>
      <c r="AF4323">
        <v>-1.0988626802032</v>
      </c>
      <c r="AG4323">
        <v>-1.119603268658</v>
      </c>
      <c r="AH4323">
        <v>22.975819001855999</v>
      </c>
      <c r="AI4323">
        <v>92.786615388956506</v>
      </c>
      <c r="AJ4323">
        <v>92.738194197197799</v>
      </c>
      <c r="AK4323">
        <v>23.029313265383799</v>
      </c>
      <c r="AL4323">
        <v>94.151073235235401</v>
      </c>
      <c r="AM4323">
        <v>90.442504309624297</v>
      </c>
      <c r="AN4323">
        <v>0.99999999105050097</v>
      </c>
    </row>
    <row r="4324" spans="1:40" x14ac:dyDescent="0.25">
      <c r="A4324" t="str">
        <f>"20190303154855651"</f>
        <v>20190303154855651</v>
      </c>
      <c r="B4324" t="str">
        <f>"1551599335644827"</f>
        <v>1551599335644827</v>
      </c>
      <c r="C4324" t="s">
        <v>40</v>
      </c>
      <c r="D4324">
        <v>5.3959869999999999</v>
      </c>
      <c r="E4324">
        <v>0.48422999999999999</v>
      </c>
      <c r="F4324" t="s">
        <v>41</v>
      </c>
      <c r="G4324">
        <v>-191.10570000000001</v>
      </c>
      <c r="H4324" s="1">
        <v>-3.9253109999999996E-6</v>
      </c>
      <c r="I4324">
        <v>178.05330000000001</v>
      </c>
      <c r="J4324">
        <v>-190.15180000000001</v>
      </c>
      <c r="K4324">
        <v>1.119591</v>
      </c>
      <c r="L4324">
        <v>199.3586</v>
      </c>
      <c r="M4324">
        <v>-9.4982079999999997E-2</v>
      </c>
      <c r="N4324">
        <v>-4.099325E-3</v>
      </c>
      <c r="O4324">
        <v>-0.99547050000000004</v>
      </c>
      <c r="P4324">
        <v>-8.6963269999999995E-2</v>
      </c>
      <c r="Q4324">
        <v>-7.8096609999999997E-2</v>
      </c>
      <c r="R4324">
        <v>-0.99314550000000001</v>
      </c>
      <c r="S4324">
        <v>-0.13525390000000001</v>
      </c>
      <c r="T4324">
        <v>-0.1564757</v>
      </c>
      <c r="U4324">
        <v>-2.9963229999999998</v>
      </c>
      <c r="V4324">
        <v>-7.8193559999999995E-3</v>
      </c>
      <c r="W4324">
        <v>-7.4003239999999998E-2</v>
      </c>
      <c r="X4324">
        <v>0.99722739999999999</v>
      </c>
      <c r="Y4324">
        <v>-5.0041719999999998E-2</v>
      </c>
      <c r="Z4324">
        <v>4.7653969999999997E-2</v>
      </c>
      <c r="AA4324">
        <v>0.99760959999999999</v>
      </c>
      <c r="AB4324">
        <v>14</v>
      </c>
      <c r="AC4324">
        <v>-0.95390000000000397</v>
      </c>
      <c r="AD4324">
        <v>-1.119594925311</v>
      </c>
      <c r="AE4324">
        <v>-21.3052999999999</v>
      </c>
      <c r="AF4324">
        <v>-1.0710995344505101</v>
      </c>
      <c r="AG4324">
        <v>-1.119594925311</v>
      </c>
      <c r="AH4324">
        <v>21.2410409199341</v>
      </c>
      <c r="AI4324">
        <v>93.013391863778295</v>
      </c>
      <c r="AJ4324">
        <v>92.886748626424193</v>
      </c>
      <c r="AK4324">
        <v>21.2974779345301</v>
      </c>
      <c r="AL4324">
        <v>94.2439527714468</v>
      </c>
      <c r="AM4324">
        <v>90.449252513407799</v>
      </c>
      <c r="AN4324">
        <v>1.0000000545847501</v>
      </c>
    </row>
    <row r="4325" spans="1:40" x14ac:dyDescent="0.25">
      <c r="A4325" t="str">
        <f>"20190303154855706"</f>
        <v>20190303154855706</v>
      </c>
      <c r="B4325" t="str">
        <f>"1551599335695580"</f>
        <v>1551599335695580</v>
      </c>
      <c r="C4325" t="s">
        <v>40</v>
      </c>
      <c r="D4325">
        <v>5.3124659999999997</v>
      </c>
      <c r="E4325">
        <v>0.4842687</v>
      </c>
      <c r="F4325" t="s">
        <v>41</v>
      </c>
      <c r="G4325">
        <v>-191.0849</v>
      </c>
      <c r="H4325" s="1">
        <v>-4.1974010000000001E-6</v>
      </c>
      <c r="I4325">
        <v>178.75550000000001</v>
      </c>
      <c r="J4325">
        <v>-190.18860000000001</v>
      </c>
      <c r="K4325">
        <v>1.119602</v>
      </c>
      <c r="L4325">
        <v>199.00460000000001</v>
      </c>
      <c r="M4325">
        <v>-9.7372349999999996E-2</v>
      </c>
      <c r="N4325">
        <v>-3.8675390000000001E-3</v>
      </c>
      <c r="O4325">
        <v>-0.99524060000000003</v>
      </c>
      <c r="P4325">
        <v>-8.8959780000000002E-2</v>
      </c>
      <c r="Q4325">
        <v>-8.1239969999999995E-2</v>
      </c>
      <c r="R4325">
        <v>-0.99271670000000001</v>
      </c>
      <c r="S4325">
        <v>-0.13569639999999999</v>
      </c>
      <c r="T4325">
        <v>-0.16280600000000001</v>
      </c>
      <c r="U4325">
        <v>-2.9960019999999998</v>
      </c>
      <c r="V4325">
        <v>-8.1762669999999992E-3</v>
      </c>
      <c r="W4325">
        <v>-7.7379519999999993E-2</v>
      </c>
      <c r="X4325">
        <v>0.99696819999999997</v>
      </c>
      <c r="Y4325">
        <v>-5.2293050000000001E-2</v>
      </c>
      <c r="Z4325">
        <v>4.9956460000000001E-2</v>
      </c>
      <c r="AA4325">
        <v>0.99738139999999997</v>
      </c>
      <c r="AB4325">
        <v>14</v>
      </c>
      <c r="AC4325">
        <v>-0.89629999999999599</v>
      </c>
      <c r="AD4325">
        <v>-1.1196061974009901</v>
      </c>
      <c r="AE4325">
        <v>-20.249099999999999</v>
      </c>
      <c r="AF4325">
        <v>-1.07639200285193</v>
      </c>
      <c r="AG4325">
        <v>-1.1196061974009901</v>
      </c>
      <c r="AH4325">
        <v>20.178582119155699</v>
      </c>
      <c r="AI4325">
        <v>93.171293583229897</v>
      </c>
      <c r="AJ4325">
        <v>93.053451499028697</v>
      </c>
      <c r="AK4325">
        <v>20.238263614267201</v>
      </c>
      <c r="AL4325">
        <v>94.437956156480993</v>
      </c>
      <c r="AM4325">
        <v>90.469879670107105</v>
      </c>
      <c r="AN4325">
        <v>1.0000000166343599</v>
      </c>
    </row>
    <row r="4326" spans="1:40" x14ac:dyDescent="0.25">
      <c r="A4326" t="str">
        <f>"20190303154855820"</f>
        <v>20190303154855820</v>
      </c>
      <c r="B4326" t="str">
        <f>"1551599335815628"</f>
        <v>1551599335815628</v>
      </c>
      <c r="C4326" t="s">
        <v>40</v>
      </c>
      <c r="D4326">
        <v>5.5465039999999997</v>
      </c>
      <c r="E4326">
        <v>0.48406900000000003</v>
      </c>
      <c r="F4326" t="s">
        <v>41</v>
      </c>
      <c r="G4326">
        <v>-191.10980000000001</v>
      </c>
      <c r="H4326" s="1">
        <v>-4.4830330000000004E-6</v>
      </c>
      <c r="I4326">
        <v>179.58189999999999</v>
      </c>
      <c r="J4326">
        <v>-190.2689</v>
      </c>
      <c r="K4326">
        <v>1.1196680000000001</v>
      </c>
      <c r="L4326">
        <v>198.24109999999999</v>
      </c>
      <c r="M4326">
        <v>-0.1009666</v>
      </c>
      <c r="N4326">
        <v>-3.6073530000000002E-3</v>
      </c>
      <c r="O4326">
        <v>-0.99488339999999997</v>
      </c>
      <c r="P4326">
        <v>-9.1338249999999996E-2</v>
      </c>
      <c r="Q4326">
        <v>-8.2498100000000005E-2</v>
      </c>
      <c r="R4326">
        <v>-0.99239699999999997</v>
      </c>
      <c r="S4326">
        <v>-0.14204410000000001</v>
      </c>
      <c r="T4326">
        <v>-0.17265269999999999</v>
      </c>
      <c r="U4326">
        <v>-2.9951479999999999</v>
      </c>
      <c r="V4326">
        <v>-9.3522129999999998E-3</v>
      </c>
      <c r="W4326">
        <v>-7.8899800000000006E-2</v>
      </c>
      <c r="X4326">
        <v>0.99683869999999997</v>
      </c>
      <c r="Y4326">
        <v>-5.3786489999999999E-2</v>
      </c>
      <c r="Z4326">
        <v>5.3441450000000001E-2</v>
      </c>
      <c r="AA4326">
        <v>0.99712140000000005</v>
      </c>
      <c r="AB4326">
        <v>15</v>
      </c>
      <c r="AC4326">
        <v>-0.84090000000000398</v>
      </c>
      <c r="AD4326">
        <v>-1.119672483033</v>
      </c>
      <c r="AE4326">
        <v>-18.659199999999998</v>
      </c>
      <c r="AF4326">
        <v>-1.0436150108803</v>
      </c>
      <c r="AG4326">
        <v>-1.119672483033</v>
      </c>
      <c r="AH4326">
        <v>18.581976289377401</v>
      </c>
      <c r="AI4326">
        <v>93.442823364512904</v>
      </c>
      <c r="AJ4326">
        <v>93.214511958259095</v>
      </c>
      <c r="AK4326">
        <v>18.644909267121101</v>
      </c>
      <c r="AL4326">
        <v>94.525328933842403</v>
      </c>
      <c r="AM4326">
        <v>90.537525893917604</v>
      </c>
      <c r="AN4326">
        <v>1.0000000180728601</v>
      </c>
    </row>
    <row r="4327" spans="1:40" x14ac:dyDescent="0.25">
      <c r="A4327" t="str">
        <f>"20190303154855841"</f>
        <v>20190303154855841</v>
      </c>
      <c r="B4327" t="str">
        <f>"1551599335835147"</f>
        <v>1551599335835147</v>
      </c>
      <c r="C4327" t="s">
        <v>40</v>
      </c>
      <c r="D4327">
        <v>5.4776930000000004</v>
      </c>
      <c r="E4327">
        <v>0.48018309999999997</v>
      </c>
      <c r="F4327" t="s">
        <v>41</v>
      </c>
      <c r="G4327">
        <v>-191.25190000000001</v>
      </c>
      <c r="H4327" s="1">
        <v>-4.0805680000000003E-6</v>
      </c>
      <c r="I4327">
        <v>178.32509999999999</v>
      </c>
      <c r="J4327">
        <v>-190.28469999999999</v>
      </c>
      <c r="K4327">
        <v>1.119685</v>
      </c>
      <c r="L4327">
        <v>198.0907</v>
      </c>
      <c r="M4327">
        <v>-0.10144839999999999</v>
      </c>
      <c r="N4327">
        <v>-3.5846210000000001E-3</v>
      </c>
      <c r="O4327">
        <v>-0.99483440000000001</v>
      </c>
      <c r="P4327">
        <v>-9.1389919999999999E-2</v>
      </c>
      <c r="Q4327">
        <v>-8.2167370000000003E-2</v>
      </c>
      <c r="R4327">
        <v>-0.99241970000000002</v>
      </c>
      <c r="S4327">
        <v>-0.14785770000000001</v>
      </c>
      <c r="T4327">
        <v>-0.168401</v>
      </c>
      <c r="U4327">
        <v>-2.9954070000000002</v>
      </c>
      <c r="V4327">
        <v>-9.7816740000000006E-3</v>
      </c>
      <c r="W4327">
        <v>-7.8592019999999999E-2</v>
      </c>
      <c r="X4327">
        <v>0.99685889999999999</v>
      </c>
      <c r="Y4327">
        <v>-5.2340100000000001E-2</v>
      </c>
      <c r="Z4327">
        <v>5.2054799999999998E-2</v>
      </c>
      <c r="AA4327">
        <v>0.99727169999999998</v>
      </c>
      <c r="AB4327">
        <v>15</v>
      </c>
      <c r="AC4327">
        <v>-0.96720000000001904</v>
      </c>
      <c r="AD4327">
        <v>-1.119689080568</v>
      </c>
      <c r="AE4327">
        <v>-19.765599999999999</v>
      </c>
      <c r="AF4327">
        <v>-1.0396629581486301</v>
      </c>
      <c r="AG4327">
        <v>-1.119689080568</v>
      </c>
      <c r="AH4327">
        <v>19.698682757620599</v>
      </c>
      <c r="AI4327">
        <v>93.248726025804402</v>
      </c>
      <c r="AJ4327">
        <v>93.021170627153893</v>
      </c>
      <c r="AK4327">
        <v>19.757851732642099</v>
      </c>
      <c r="AL4327">
        <v>94.507639469785204</v>
      </c>
      <c r="AM4327">
        <v>90.562196565831201</v>
      </c>
      <c r="AN4327">
        <v>1.0000000266315601</v>
      </c>
    </row>
    <row r="4328" spans="1:40" x14ac:dyDescent="0.25">
      <c r="A4328" t="str">
        <f>"20190303154855863"</f>
        <v>20190303154855863</v>
      </c>
      <c r="B4328" t="str">
        <f>"1551599335855644"</f>
        <v>1551599335855644</v>
      </c>
      <c r="C4328" t="s">
        <v>40</v>
      </c>
      <c r="D4328">
        <v>5.4359169999999999</v>
      </c>
      <c r="E4328">
        <v>0.48177589999999998</v>
      </c>
      <c r="F4328" t="s">
        <v>58</v>
      </c>
      <c r="G4328">
        <v>-201.2543</v>
      </c>
      <c r="H4328">
        <v>5.0595379999999999</v>
      </c>
      <c r="I4328">
        <v>-81.816839999999999</v>
      </c>
      <c r="J4328">
        <v>-190.3006</v>
      </c>
      <c r="K4328">
        <v>1.1196969999999999</v>
      </c>
      <c r="L4328">
        <v>197.93979999999999</v>
      </c>
      <c r="M4328">
        <v>-0.1018645</v>
      </c>
      <c r="N4328">
        <v>-3.5712059999999999E-3</v>
      </c>
      <c r="O4328">
        <v>-0.99479200000000001</v>
      </c>
      <c r="P4328">
        <v>-9.1041150000000001E-2</v>
      </c>
      <c r="Q4328">
        <v>-8.2159629999999997E-2</v>
      </c>
      <c r="R4328">
        <v>-0.99245240000000001</v>
      </c>
      <c r="S4328">
        <v>-0.1181793</v>
      </c>
      <c r="T4328">
        <v>4.2445539999999997E-2</v>
      </c>
      <c r="U4328">
        <v>-3.015549</v>
      </c>
      <c r="V4328">
        <v>-1.054506E-2</v>
      </c>
      <c r="W4328">
        <v>-7.8597990000000006E-2</v>
      </c>
      <c r="X4328">
        <v>0.99685060000000003</v>
      </c>
      <c r="Y4328">
        <v>-6.2837939999999995E-2</v>
      </c>
      <c r="Z4328">
        <v>-1.7508799999999901E-2</v>
      </c>
      <c r="AA4328">
        <v>0.99787009999999998</v>
      </c>
      <c r="AB4328">
        <v>16</v>
      </c>
      <c r="AC4328">
        <v>-10.9536999999999</v>
      </c>
      <c r="AD4328">
        <v>3.9398409999999999</v>
      </c>
      <c r="AE4328">
        <v>-279.75664</v>
      </c>
      <c r="AF4328">
        <v>-17.5972423487299</v>
      </c>
      <c r="AG4328">
        <v>3.9398409999999999</v>
      </c>
      <c r="AH4328">
        <v>279.36188493517199</v>
      </c>
      <c r="AI4328">
        <v>89.193609140154194</v>
      </c>
      <c r="AJ4328">
        <v>93.604347670386005</v>
      </c>
      <c r="AK4328">
        <v>279.94329432925798</v>
      </c>
      <c r="AL4328">
        <v>94.507982795262606</v>
      </c>
      <c r="AM4328">
        <v>90.606073666029104</v>
      </c>
      <c r="AN4328">
        <v>0.99999998052140104</v>
      </c>
    </row>
    <row r="4329" spans="1:40" x14ac:dyDescent="0.25">
      <c r="A4329" t="str">
        <f>"20190303154855876"</f>
        <v>20190303154855876</v>
      </c>
      <c r="B4329" t="str">
        <f>"1551599335865404"</f>
        <v>1551599335865404</v>
      </c>
      <c r="C4329" t="s">
        <v>40</v>
      </c>
      <c r="D4329">
        <v>5.425554</v>
      </c>
      <c r="E4329">
        <v>0.480485</v>
      </c>
      <c r="F4329" t="s">
        <v>58</v>
      </c>
      <c r="G4329">
        <v>-202.34110000000001</v>
      </c>
      <c r="H4329">
        <v>1.243476</v>
      </c>
      <c r="I4329">
        <v>-81.815569999999994</v>
      </c>
      <c r="J4329">
        <v>-190.31030000000001</v>
      </c>
      <c r="K4329">
        <v>1.119704</v>
      </c>
      <c r="L4329">
        <v>197.8476</v>
      </c>
      <c r="M4329">
        <v>-0.1020933</v>
      </c>
      <c r="N4329">
        <v>-3.5667849999999998E-3</v>
      </c>
      <c r="O4329">
        <v>-0.99476849999999994</v>
      </c>
      <c r="P4329">
        <v>-9.1046470000000004E-2</v>
      </c>
      <c r="Q4329">
        <v>-8.2552239999999999E-2</v>
      </c>
      <c r="R4329">
        <v>-0.99241919999999995</v>
      </c>
      <c r="S4329">
        <v>-0.12959289999999901</v>
      </c>
      <c r="T4329">
        <v>1.3322830000000001E-3</v>
      </c>
      <c r="U4329">
        <v>-3.0110320000000002</v>
      </c>
      <c r="V4329">
        <v>-1.0764330000000001E-2</v>
      </c>
      <c r="W4329">
        <v>-7.8995319999999994E-2</v>
      </c>
      <c r="X4329">
        <v>0.99681690000000001</v>
      </c>
      <c r="Y4329">
        <v>-5.9224690000000003E-2</v>
      </c>
      <c r="Z4329">
        <v>-3.9973489999999999E-3</v>
      </c>
      <c r="AA4329">
        <v>0.99823669999999998</v>
      </c>
      <c r="AB4329">
        <v>16</v>
      </c>
      <c r="AC4329">
        <v>-12.030799999999999</v>
      </c>
      <c r="AD4329">
        <v>0.12377199999999999</v>
      </c>
      <c r="AE4329">
        <v>-279.66316999999998</v>
      </c>
      <c r="AF4329">
        <v>-16.583976193967299</v>
      </c>
      <c r="AG4329">
        <v>0.12377199999999999</v>
      </c>
      <c r="AH4329">
        <v>279.43008051689702</v>
      </c>
      <c r="AI4329">
        <v>89.974665733495698</v>
      </c>
      <c r="AJ4329">
        <v>93.396479581980998</v>
      </c>
      <c r="AK4329">
        <v>279.92179887173802</v>
      </c>
      <c r="AL4329">
        <v>94.530818900127599</v>
      </c>
      <c r="AM4329">
        <v>90.618696077940101</v>
      </c>
      <c r="AN4329">
        <v>1.0000000317539299</v>
      </c>
    </row>
    <row r="4330" spans="1:40" x14ac:dyDescent="0.25">
      <c r="A4330" t="str">
        <f>"20190303154855895"</f>
        <v>20190303154855895</v>
      </c>
      <c r="B4330" t="str">
        <f>"1551599335884924"</f>
        <v>1551599335884924</v>
      </c>
      <c r="C4330" t="s">
        <v>40</v>
      </c>
      <c r="D4330">
        <v>5.4930450000000004</v>
      </c>
      <c r="E4330">
        <v>0.4779969</v>
      </c>
      <c r="F4330" t="s">
        <v>41</v>
      </c>
      <c r="G4330">
        <v>-195.5772</v>
      </c>
      <c r="H4330" s="1">
        <v>-3.6563620000000001E-6</v>
      </c>
      <c r="I4330">
        <v>64.824039999999997</v>
      </c>
      <c r="J4330">
        <v>-190.3245</v>
      </c>
      <c r="K4330">
        <v>1.119715</v>
      </c>
      <c r="L4330">
        <v>197.71289999999999</v>
      </c>
      <c r="M4330">
        <v>-0.1024017</v>
      </c>
      <c r="N4330">
        <v>-3.563442E-3</v>
      </c>
      <c r="O4330">
        <v>-0.99473679999999998</v>
      </c>
      <c r="P4330">
        <v>-9.0577039999999998E-2</v>
      </c>
      <c r="Q4330">
        <v>-8.3276630000000004E-2</v>
      </c>
      <c r="R4330">
        <v>-0.99240170000000005</v>
      </c>
      <c r="S4330">
        <v>-0.1191711</v>
      </c>
      <c r="T4330">
        <v>-2.5335070000000001E-2</v>
      </c>
      <c r="U4330">
        <v>-3.0098569999999998</v>
      </c>
      <c r="V4330">
        <v>-1.153652E-2</v>
      </c>
      <c r="W4330">
        <v>-7.9723399999999903E-2</v>
      </c>
      <c r="X4330">
        <v>0.99675020000000003</v>
      </c>
      <c r="Y4330">
        <v>-6.2966610000000006E-2</v>
      </c>
      <c r="Z4330">
        <v>4.7829880000000002E-3</v>
      </c>
      <c r="AA4330">
        <v>0.99800420000000001</v>
      </c>
      <c r="AB4330">
        <v>16</v>
      </c>
      <c r="AC4330">
        <v>-5.2526999999999999</v>
      </c>
      <c r="AD4330">
        <v>-1.1197186563619901</v>
      </c>
      <c r="AE4330">
        <v>-132.88885999999999</v>
      </c>
      <c r="AF4330">
        <v>-8.38244975814413</v>
      </c>
      <c r="AG4330">
        <v>-1.1197186563619901</v>
      </c>
      <c r="AH4330">
        <v>132.71875237623101</v>
      </c>
      <c r="AI4330">
        <v>90.482419094973906</v>
      </c>
      <c r="AJ4330">
        <v>93.613972239876006</v>
      </c>
      <c r="AK4330">
        <v>132.987918496833</v>
      </c>
      <c r="AL4330">
        <v>94.572667232611806</v>
      </c>
      <c r="AM4330">
        <v>90.663119398354496</v>
      </c>
      <c r="AN4330">
        <v>0.999999936500653</v>
      </c>
    </row>
    <row r="4331" spans="1:40" x14ac:dyDescent="0.25">
      <c r="A4331" t="str">
        <f>"20190303154855908"</f>
        <v>20190303154855908</v>
      </c>
      <c r="B4331" t="str">
        <f>"1551599335905420"</f>
        <v>1551599335905420</v>
      </c>
      <c r="C4331" t="s">
        <v>40</v>
      </c>
      <c r="D4331">
        <v>5.4399240000000004</v>
      </c>
      <c r="E4331">
        <v>0.4772343</v>
      </c>
      <c r="F4331" t="s">
        <v>59</v>
      </c>
      <c r="G4331">
        <v>-191.85290000000001</v>
      </c>
      <c r="H4331" s="1">
        <v>-1.1494929999999999E-5</v>
      </c>
      <c r="I4331">
        <v>150.7148</v>
      </c>
      <c r="J4331">
        <v>-190.33430000000001</v>
      </c>
      <c r="K4331">
        <v>1.1197170000000001</v>
      </c>
      <c r="L4331">
        <v>197.62049999999999</v>
      </c>
      <c r="M4331">
        <v>-0.1025939</v>
      </c>
      <c r="N4331">
        <v>-3.5627240000000002E-3</v>
      </c>
      <c r="O4331">
        <v>-0.99471699999999996</v>
      </c>
      <c r="P4331">
        <v>-9.0632009999999999E-2</v>
      </c>
      <c r="Q4331">
        <v>-8.3160609999999996E-2</v>
      </c>
      <c r="R4331">
        <v>-0.99240649999999997</v>
      </c>
      <c r="S4331">
        <v>-9.7824099999999997E-2</v>
      </c>
      <c r="T4331">
        <v>-7.1666359999999998E-2</v>
      </c>
      <c r="U4331">
        <v>-3.008041</v>
      </c>
      <c r="V4331">
        <v>-1.167351E-2</v>
      </c>
      <c r="W4331">
        <v>-7.9608209999999999E-2</v>
      </c>
      <c r="X4331">
        <v>0.99675789999999997</v>
      </c>
      <c r="Y4331">
        <v>-7.0211289999999996E-2</v>
      </c>
      <c r="Z4331">
        <v>2.0038239999999999E-2</v>
      </c>
      <c r="AA4331">
        <v>0.99733079999999996</v>
      </c>
      <c r="AB4331">
        <v>16</v>
      </c>
      <c r="AC4331">
        <v>-1.51859999999999</v>
      </c>
      <c r="AD4331">
        <v>-1.1197284949299999</v>
      </c>
      <c r="AE4331">
        <v>-46.905700000000003</v>
      </c>
      <c r="AF4331">
        <v>-3.2998037459636298</v>
      </c>
      <c r="AG4331">
        <v>-1.1197284949299999</v>
      </c>
      <c r="AH4331">
        <v>46.787356085830297</v>
      </c>
      <c r="AI4331">
        <v>91.3675616961484</v>
      </c>
      <c r="AJ4331">
        <v>94.034258328325294</v>
      </c>
      <c r="AK4331">
        <v>46.9169392241919</v>
      </c>
      <c r="AL4331">
        <v>94.566045884523106</v>
      </c>
      <c r="AM4331">
        <v>90.670987687583306</v>
      </c>
      <c r="AN4331">
        <v>1.0000000245737599</v>
      </c>
    </row>
    <row r="4332" spans="1:40" x14ac:dyDescent="0.25">
      <c r="A4332" t="str">
        <f>"20190303154855922"</f>
        <v>20190303154855922</v>
      </c>
      <c r="B4332" t="str">
        <f>"1551599335915180"</f>
        <v>1551599335915180</v>
      </c>
      <c r="C4332" t="s">
        <v>40</v>
      </c>
      <c r="D4332">
        <v>5.5116239999999896</v>
      </c>
      <c r="E4332">
        <v>0.47678189999999998</v>
      </c>
      <c r="F4332" t="s">
        <v>41</v>
      </c>
      <c r="G4332">
        <v>-191.4503</v>
      </c>
      <c r="H4332" s="1">
        <v>-1.0939049999999999E-6</v>
      </c>
      <c r="I4332">
        <v>161.08940000000001</v>
      </c>
      <c r="J4332">
        <v>-190.3449</v>
      </c>
      <c r="K4332">
        <v>1.119721</v>
      </c>
      <c r="L4332">
        <v>197.5197</v>
      </c>
      <c r="M4332">
        <v>-0.1027902</v>
      </c>
      <c r="N4332">
        <v>-3.5628259999999998E-3</v>
      </c>
      <c r="O4332">
        <v>-0.99469689999999999</v>
      </c>
      <c r="P4332">
        <v>-9.0156879999999995E-2</v>
      </c>
      <c r="Q4332">
        <v>-8.3159650000000002E-2</v>
      </c>
      <c r="R4332">
        <v>-0.99244980000000005</v>
      </c>
      <c r="S4332">
        <v>-9.1857910000000001E-2</v>
      </c>
      <c r="T4332">
        <v>-9.2163320000000007E-2</v>
      </c>
      <c r="U4332">
        <v>-3.0068510000000002</v>
      </c>
      <c r="V4332">
        <v>-1.2346050000000001E-2</v>
      </c>
      <c r="W4332">
        <v>-7.9607230000000001E-2</v>
      </c>
      <c r="X4332">
        <v>0.99674989999999997</v>
      </c>
      <c r="Y4332">
        <v>-7.2375919999999996E-2</v>
      </c>
      <c r="Z4332">
        <v>2.6790479999999998E-2</v>
      </c>
      <c r="AA4332">
        <v>0.99701759999999995</v>
      </c>
      <c r="AB4332">
        <v>16</v>
      </c>
      <c r="AC4332">
        <v>-1.1053999999999999</v>
      </c>
      <c r="AD4332">
        <v>-1.1197220939050001</v>
      </c>
      <c r="AE4332">
        <v>-36.430299999999903</v>
      </c>
      <c r="AF4332">
        <v>-2.6426618415007801</v>
      </c>
      <c r="AG4332">
        <v>-1.1197220939050001</v>
      </c>
      <c r="AH4332">
        <v>36.316676556581697</v>
      </c>
      <c r="AI4332">
        <v>91.761339892556805</v>
      </c>
      <c r="AJ4332">
        <v>94.1619163066498</v>
      </c>
      <c r="AK4332">
        <v>36.429911272078002</v>
      </c>
      <c r="AL4332">
        <v>94.565989441447798</v>
      </c>
      <c r="AM4332">
        <v>90.709646809705902</v>
      </c>
      <c r="AN4332">
        <v>1.0000000495844401</v>
      </c>
    </row>
    <row r="4333" spans="1:40" x14ac:dyDescent="0.25">
      <c r="A4333" t="str">
        <f>"20190303154855934"</f>
        <v>20190303154855934</v>
      </c>
      <c r="B4333" t="str">
        <f>"1551599335924939"</f>
        <v>1551599335924939</v>
      </c>
      <c r="C4333" t="s">
        <v>40</v>
      </c>
      <c r="D4333">
        <v>5.4587690000000002</v>
      </c>
      <c r="E4333">
        <v>0.47664459999999997</v>
      </c>
      <c r="F4333" t="s">
        <v>41</v>
      </c>
      <c r="G4333">
        <v>-191.2937</v>
      </c>
      <c r="H4333" s="1">
        <v>-2.7319780000000001E-6</v>
      </c>
      <c r="I4333">
        <v>164.6429</v>
      </c>
      <c r="J4333">
        <v>-190.35480000000001</v>
      </c>
      <c r="K4333">
        <v>1.1197189999999999</v>
      </c>
      <c r="L4333">
        <v>197.42599999999999</v>
      </c>
      <c r="M4333">
        <v>-0.1029529</v>
      </c>
      <c r="N4333">
        <v>-3.5640670000000002E-3</v>
      </c>
      <c r="O4333">
        <v>-0.99467989999999995</v>
      </c>
      <c r="P4333">
        <v>-9.0024889999999996E-2</v>
      </c>
      <c r="Q4333">
        <v>-8.2825720000000005E-2</v>
      </c>
      <c r="R4333">
        <v>-0.99248950000000002</v>
      </c>
      <c r="S4333">
        <v>-8.6761469999999993E-2</v>
      </c>
      <c r="T4333">
        <v>-0.1023906</v>
      </c>
      <c r="U4333">
        <v>-3.006348</v>
      </c>
      <c r="V4333">
        <v>-1.264391E-2</v>
      </c>
      <c r="W4333">
        <v>-7.9272040000000002E-2</v>
      </c>
      <c r="X4333">
        <v>0.99677280000000001</v>
      </c>
      <c r="Y4333">
        <v>-7.4224699999999894E-2</v>
      </c>
      <c r="Z4333">
        <v>3.0156430000000001E-2</v>
      </c>
      <c r="AA4333">
        <v>0.99678549999999999</v>
      </c>
      <c r="AB4333">
        <v>16</v>
      </c>
      <c r="AC4333">
        <v>-0.93889999999998897</v>
      </c>
      <c r="AD4333">
        <v>-1.119721731978</v>
      </c>
      <c r="AE4333">
        <v>-32.783099999999898</v>
      </c>
      <c r="AF4333">
        <v>-2.4383833589503001</v>
      </c>
      <c r="AG4333">
        <v>-1.119721731978</v>
      </c>
      <c r="AH4333">
        <v>32.667480610693602</v>
      </c>
      <c r="AI4333">
        <v>91.957679380143801</v>
      </c>
      <c r="AJ4333">
        <v>94.268785754281694</v>
      </c>
      <c r="AK4333">
        <v>32.777488915600401</v>
      </c>
      <c r="AL4333">
        <v>94.546723947180297</v>
      </c>
      <c r="AM4333">
        <v>90.726749192725606</v>
      </c>
      <c r="AN4333">
        <v>0.999999969802844</v>
      </c>
    </row>
    <row r="4334" spans="1:40" x14ac:dyDescent="0.25">
      <c r="A4334" t="str">
        <f>"20190303154855951"</f>
        <v>20190303154855951</v>
      </c>
      <c r="B4334" t="str">
        <f>"1551599335945436"</f>
        <v>1551599335945436</v>
      </c>
      <c r="C4334" t="s">
        <v>40</v>
      </c>
      <c r="D4334">
        <v>5.4367080000000003</v>
      </c>
      <c r="E4334">
        <v>0.47610799999999998</v>
      </c>
      <c r="F4334" t="s">
        <v>41</v>
      </c>
      <c r="G4334">
        <v>-191.2578</v>
      </c>
      <c r="H4334" s="1">
        <v>-3.1527100000000002E-6</v>
      </c>
      <c r="I4334">
        <v>165.5531</v>
      </c>
      <c r="J4334">
        <v>-190.36709999999999</v>
      </c>
      <c r="K4334">
        <v>1.1197250000000001</v>
      </c>
      <c r="L4334">
        <v>197.3092</v>
      </c>
      <c r="M4334">
        <v>-0.1031417</v>
      </c>
      <c r="N4334">
        <v>-3.5665050000000002E-3</v>
      </c>
      <c r="O4334">
        <v>-0.9946604</v>
      </c>
      <c r="P4334">
        <v>-8.8918720000000007E-2</v>
      </c>
      <c r="Q4334">
        <v>-8.1587980000000004E-2</v>
      </c>
      <c r="R4334">
        <v>-0.99269200000000002</v>
      </c>
      <c r="S4334">
        <v>-8.5174559999999996E-2</v>
      </c>
      <c r="T4334">
        <v>-0.1056092</v>
      </c>
      <c r="U4334">
        <v>-3.0061650000000002</v>
      </c>
      <c r="V4334">
        <v>-1.3953299999999899E-2</v>
      </c>
      <c r="W4334">
        <v>-7.8031519999999993E-2</v>
      </c>
      <c r="X4334">
        <v>0.99685319999999999</v>
      </c>
      <c r="Y4334">
        <v>-7.4938679999999994E-2</v>
      </c>
      <c r="Z4334">
        <v>3.121291E-2</v>
      </c>
      <c r="AA4334">
        <v>0.99669949999999996</v>
      </c>
      <c r="AB4334">
        <v>16</v>
      </c>
      <c r="AC4334">
        <v>-0.89070000000000904</v>
      </c>
      <c r="AD4334">
        <v>-1.11972815271</v>
      </c>
      <c r="AE4334">
        <v>-31.7561</v>
      </c>
      <c r="AF4334">
        <v>-2.38648428040913</v>
      </c>
      <c r="AG4334">
        <v>-1.11972815271</v>
      </c>
      <c r="AH4334">
        <v>31.639295334510201</v>
      </c>
      <c r="AI4334">
        <v>92.021139580598799</v>
      </c>
      <c r="AJ4334">
        <v>94.313529893075398</v>
      </c>
      <c r="AK4334">
        <v>31.748922936392201</v>
      </c>
      <c r="AL4334">
        <v>94.475426566287894</v>
      </c>
      <c r="AM4334">
        <v>90.801936528352797</v>
      </c>
      <c r="AN4334">
        <v>0.99999995752231896</v>
      </c>
    </row>
    <row r="4335" spans="1:40" x14ac:dyDescent="0.25">
      <c r="A4335" t="str">
        <f>"20190303154855963"</f>
        <v>20190303154855963</v>
      </c>
      <c r="B4335" t="str">
        <f>"1551599335955197"</f>
        <v>1551599335955197</v>
      </c>
      <c r="C4335" t="s">
        <v>40</v>
      </c>
      <c r="D4335">
        <v>5.4411889999999996</v>
      </c>
      <c r="E4335">
        <v>0.4759234</v>
      </c>
      <c r="F4335" t="s">
        <v>41</v>
      </c>
      <c r="G4335">
        <v>-191.1763</v>
      </c>
      <c r="H4335" s="1">
        <v>-3.3209080000000001E-6</v>
      </c>
      <c r="I4335">
        <v>165.95480000000001</v>
      </c>
      <c r="J4335">
        <v>-190.37649999999999</v>
      </c>
      <c r="K4335">
        <v>1.1197280000000001</v>
      </c>
      <c r="L4335">
        <v>197.22030000000001</v>
      </c>
      <c r="M4335">
        <v>-0.1032767</v>
      </c>
      <c r="N4335">
        <v>-3.568903E-3</v>
      </c>
      <c r="O4335">
        <v>-0.99464629999999998</v>
      </c>
      <c r="P4335">
        <v>-8.8451790000000002E-2</v>
      </c>
      <c r="Q4335">
        <v>-8.1176159999999997E-2</v>
      </c>
      <c r="R4335">
        <v>-0.99276750000000002</v>
      </c>
      <c r="S4335">
        <v>-7.7590939999999997E-2</v>
      </c>
      <c r="T4335">
        <v>-0.10736229999999999</v>
      </c>
      <c r="U4335">
        <v>-3.006332</v>
      </c>
      <c r="V4335">
        <v>-1.4560770000000001E-2</v>
      </c>
      <c r="W4335">
        <v>-7.7617229999999995E-2</v>
      </c>
      <c r="X4335">
        <v>0.99687689999999995</v>
      </c>
      <c r="Y4335">
        <v>-7.7587929999999999E-2</v>
      </c>
      <c r="Z4335">
        <v>3.1781469999999999E-2</v>
      </c>
      <c r="AA4335">
        <v>0.99647889999999995</v>
      </c>
      <c r="AB4335">
        <v>16</v>
      </c>
      <c r="AC4335">
        <v>-0.79980000000000395</v>
      </c>
      <c r="AD4335">
        <v>-1.119731320908</v>
      </c>
      <c r="AE4335">
        <v>-31.265499999999999</v>
      </c>
      <c r="AF4335">
        <v>-2.4303797514013099</v>
      </c>
      <c r="AG4335">
        <v>-1.119731320908</v>
      </c>
      <c r="AH4335">
        <v>31.1409961487768</v>
      </c>
      <c r="AI4335">
        <v>92.053049465469698</v>
      </c>
      <c r="AJ4335">
        <v>94.4625678954623</v>
      </c>
      <c r="AK4335">
        <v>31.255754431867</v>
      </c>
      <c r="AL4335">
        <v>94.451617086281004</v>
      </c>
      <c r="AM4335">
        <v>90.836824833101602</v>
      </c>
      <c r="AN4335">
        <v>1.0000000020847299</v>
      </c>
    </row>
    <row r="4336" spans="1:40" x14ac:dyDescent="0.25">
      <c r="A4336" t="str">
        <f>"20190303154855975"</f>
        <v>20190303154855975</v>
      </c>
      <c r="B4336" t="str">
        <f>"1551599335964956"</f>
        <v>1551599335964956</v>
      </c>
      <c r="C4336" t="s">
        <v>40</v>
      </c>
      <c r="D4336">
        <v>5.4623549999999996</v>
      </c>
      <c r="E4336">
        <v>0.47574470000000002</v>
      </c>
      <c r="F4336" t="s">
        <v>41</v>
      </c>
      <c r="G4336">
        <v>-191.14789999999999</v>
      </c>
      <c r="H4336" s="1">
        <v>-3.4006399999999999E-6</v>
      </c>
      <c r="I4336">
        <v>166.1395</v>
      </c>
      <c r="J4336">
        <v>-190.38640000000001</v>
      </c>
      <c r="K4336">
        <v>1.119726</v>
      </c>
      <c r="L4336">
        <v>197.12649999999999</v>
      </c>
      <c r="M4336">
        <v>-0.103408399999999</v>
      </c>
      <c r="N4336">
        <v>-3.5721350000000002E-3</v>
      </c>
      <c r="O4336">
        <v>-0.99463270000000004</v>
      </c>
      <c r="P4336">
        <v>-8.8129319999999997E-2</v>
      </c>
      <c r="Q4336">
        <v>-8.1360360000000007E-2</v>
      </c>
      <c r="R4336">
        <v>-0.99278100000000002</v>
      </c>
      <c r="S4336">
        <v>-7.4615479999999998E-2</v>
      </c>
      <c r="T4336">
        <v>-0.1083086</v>
      </c>
      <c r="U4336">
        <v>-3.0063629999999999</v>
      </c>
      <c r="V4336">
        <v>-1.501451E-2</v>
      </c>
      <c r="W4336">
        <v>-7.7798249999999999E-2</v>
      </c>
      <c r="X4336">
        <v>0.99685599999999996</v>
      </c>
      <c r="Y4336">
        <v>-7.8705869999999997E-2</v>
      </c>
      <c r="Z4336">
        <v>3.2086980000000001E-2</v>
      </c>
      <c r="AA4336">
        <v>0.99638130000000003</v>
      </c>
      <c r="AB4336">
        <v>16</v>
      </c>
      <c r="AC4336">
        <v>-0.76149999999998297</v>
      </c>
      <c r="AD4336">
        <v>-1.11972940064</v>
      </c>
      <c r="AE4336">
        <v>-30.986999999999899</v>
      </c>
      <c r="AF4336">
        <v>-2.44372955095595</v>
      </c>
      <c r="AG4336">
        <v>-1.11972940064</v>
      </c>
      <c r="AH4336">
        <v>30.859351083317001</v>
      </c>
      <c r="AI4336">
        <v>92.071582135748301</v>
      </c>
      <c r="AJ4336">
        <v>94.527762408026305</v>
      </c>
      <c r="AK4336">
        <v>30.9762030812734</v>
      </c>
      <c r="AL4336">
        <v>94.462020485295696</v>
      </c>
      <c r="AM4336">
        <v>90.8629160178684</v>
      </c>
      <c r="AN4336">
        <v>0.99999994397479897</v>
      </c>
    </row>
    <row r="4337" spans="1:40" x14ac:dyDescent="0.25">
      <c r="A4337" t="str">
        <f>"20190303154855990"</f>
        <v>20190303154855990</v>
      </c>
      <c r="B4337" t="str">
        <f>"1551599335985451"</f>
        <v>1551599335985451</v>
      </c>
      <c r="C4337" t="s">
        <v>40</v>
      </c>
      <c r="D4337">
        <v>5.4996330000000002</v>
      </c>
      <c r="E4337">
        <v>0.47526259999999998</v>
      </c>
      <c r="F4337" t="s">
        <v>41</v>
      </c>
      <c r="G4337">
        <v>-191.11420000000001</v>
      </c>
      <c r="H4337" s="1">
        <v>-3.6935910000000001E-6</v>
      </c>
      <c r="I4337">
        <v>166.7782</v>
      </c>
      <c r="J4337">
        <v>-190.39779999999999</v>
      </c>
      <c r="K4337">
        <v>1.119723</v>
      </c>
      <c r="L4337">
        <v>197.018</v>
      </c>
      <c r="M4337">
        <v>-0.10355259999999999</v>
      </c>
      <c r="N4337">
        <v>-3.576507E-3</v>
      </c>
      <c r="O4337">
        <v>-0.99461770000000005</v>
      </c>
      <c r="P4337">
        <v>-8.8019109999999998E-2</v>
      </c>
      <c r="Q4337">
        <v>-8.1458320000000001E-2</v>
      </c>
      <c r="R4337">
        <v>-0.99278279999999997</v>
      </c>
      <c r="S4337">
        <v>-7.209778E-2</v>
      </c>
      <c r="T4337">
        <v>-0.1109216</v>
      </c>
      <c r="U4337">
        <v>-3.006332</v>
      </c>
      <c r="V4337">
        <v>-1.526871E-2</v>
      </c>
      <c r="W4337">
        <v>-7.7891879999999997E-2</v>
      </c>
      <c r="X4337">
        <v>0.99684490000000003</v>
      </c>
      <c r="Y4337">
        <v>-7.9684519999999995E-2</v>
      </c>
      <c r="Z4337">
        <v>3.2940049999999998E-2</v>
      </c>
      <c r="AA4337">
        <v>0.99627569999999999</v>
      </c>
      <c r="AB4337">
        <v>16</v>
      </c>
      <c r="AC4337">
        <v>-0.71640000000002102</v>
      </c>
      <c r="AD4337">
        <v>-1.119726693591</v>
      </c>
      <c r="AE4337">
        <v>-30.239799999999999</v>
      </c>
      <c r="AF4337">
        <v>-2.4155707897786098</v>
      </c>
      <c r="AG4337">
        <v>-1.119726693591</v>
      </c>
      <c r="AH4337">
        <v>30.110153103231699</v>
      </c>
      <c r="AI4337">
        <v>92.122901414429705</v>
      </c>
      <c r="AJ4337">
        <v>94.586699889167093</v>
      </c>
      <c r="AK4337">
        <v>30.227637850298901</v>
      </c>
      <c r="AL4337">
        <v>94.467401093093997</v>
      </c>
      <c r="AM4337">
        <v>90.877532940117703</v>
      </c>
      <c r="AN4337">
        <v>1.0000000165655001</v>
      </c>
    </row>
    <row r="4338" spans="1:40" x14ac:dyDescent="0.25">
      <c r="A4338" t="str">
        <f>"20190303154856007"</f>
        <v>20190303154856007</v>
      </c>
      <c r="B4338" t="str">
        <f>"1551599335995212"</f>
        <v>1551599335995212</v>
      </c>
      <c r="C4338" t="s">
        <v>40</v>
      </c>
      <c r="D4338">
        <v>5.5237230000000004</v>
      </c>
      <c r="E4338">
        <v>0.47501450000000001</v>
      </c>
      <c r="F4338" t="s">
        <v>41</v>
      </c>
      <c r="G4338">
        <v>-191.03100000000001</v>
      </c>
      <c r="H4338" s="1">
        <v>-4.6877929999999901E-6</v>
      </c>
      <c r="I4338">
        <v>169.0172</v>
      </c>
      <c r="J4338">
        <v>-190.41120000000001</v>
      </c>
      <c r="K4338">
        <v>1.119715</v>
      </c>
      <c r="L4338">
        <v>196.89109999999999</v>
      </c>
      <c r="M4338">
        <v>-0.10371320000000001</v>
      </c>
      <c r="N4338">
        <v>-3.5822900000000001E-3</v>
      </c>
      <c r="O4338">
        <v>-0.99460110000000002</v>
      </c>
      <c r="P4338">
        <v>-8.7395180000000003E-2</v>
      </c>
      <c r="Q4338">
        <v>-8.1709950000000003E-2</v>
      </c>
      <c r="R4338">
        <v>-0.99281719999999896</v>
      </c>
      <c r="S4338">
        <v>-6.7977910000000002E-2</v>
      </c>
      <c r="T4338">
        <v>-0.1202037</v>
      </c>
      <c r="U4338">
        <v>-3.0059200000000001</v>
      </c>
      <c r="V4338">
        <v>-1.6054120000000002E-2</v>
      </c>
      <c r="W4338">
        <v>-7.8137709999999999E-2</v>
      </c>
      <c r="X4338">
        <v>0.99681330000000001</v>
      </c>
      <c r="Y4338">
        <v>-8.1208530000000001E-2</v>
      </c>
      <c r="Z4338">
        <v>3.598755E-2</v>
      </c>
      <c r="AA4338">
        <v>0.99604720000000002</v>
      </c>
      <c r="AB4338">
        <v>17</v>
      </c>
      <c r="AC4338">
        <v>-0.61979999999996904</v>
      </c>
      <c r="AD4338">
        <v>-1.119719687793</v>
      </c>
      <c r="AE4338">
        <v>-27.8738999999999</v>
      </c>
      <c r="AF4338">
        <v>-2.2707889410064701</v>
      </c>
      <c r="AG4338">
        <v>-1.119719687793</v>
      </c>
      <c r="AH4338">
        <v>27.743115904644601</v>
      </c>
      <c r="AI4338">
        <v>92.303523782008796</v>
      </c>
      <c r="AJ4338">
        <v>94.679259354718695</v>
      </c>
      <c r="AK4338">
        <v>27.858405099581201</v>
      </c>
      <c r="AL4338">
        <v>94.481529267282994</v>
      </c>
      <c r="AM4338">
        <v>90.9226941512091</v>
      </c>
      <c r="AN4338">
        <v>0.99999999577495402</v>
      </c>
    </row>
    <row r="4339" spans="1:40" x14ac:dyDescent="0.25">
      <c r="A4339" t="str">
        <f>"20190303154856024"</f>
        <v>20190303154856024</v>
      </c>
      <c r="B4339" t="str">
        <f>"1551599336015708"</f>
        <v>1551599336015708</v>
      </c>
      <c r="C4339" t="s">
        <v>40</v>
      </c>
      <c r="D4339">
        <v>5.5258949999999896</v>
      </c>
      <c r="E4339">
        <v>0.47464899999999999</v>
      </c>
      <c r="F4339" t="s">
        <v>41</v>
      </c>
      <c r="G4339">
        <v>-190.9787</v>
      </c>
      <c r="H4339" s="1">
        <v>-5.6604080000000005E-7</v>
      </c>
      <c r="I4339">
        <v>170.3015</v>
      </c>
      <c r="J4339">
        <v>-190.4237</v>
      </c>
      <c r="K4339">
        <v>1.1197090000000001</v>
      </c>
      <c r="L4339">
        <v>196.77260000000001</v>
      </c>
      <c r="M4339">
        <v>-0.1038562</v>
      </c>
      <c r="N4339">
        <v>-3.588225E-3</v>
      </c>
      <c r="O4339">
        <v>-0.99458610000000003</v>
      </c>
      <c r="P4339">
        <v>-8.7156709999999998E-2</v>
      </c>
      <c r="Q4339">
        <v>-8.2177940000000005E-2</v>
      </c>
      <c r="R4339">
        <v>-0.99279949999999995</v>
      </c>
      <c r="S4339">
        <v>-6.4147949999999995E-2</v>
      </c>
      <c r="T4339">
        <v>-0.12657119999999999</v>
      </c>
      <c r="U4339">
        <v>-3.005646</v>
      </c>
      <c r="V4339">
        <v>-1.643329E-2</v>
      </c>
      <c r="W4339">
        <v>-7.8599799999999997E-2</v>
      </c>
      <c r="X4339">
        <v>0.99677079999999996</v>
      </c>
      <c r="Y4339">
        <v>-8.2619579999999998E-2</v>
      </c>
      <c r="Z4339">
        <v>3.8074820000000002E-2</v>
      </c>
      <c r="AA4339">
        <v>0.99585349999999995</v>
      </c>
      <c r="AB4339">
        <v>17</v>
      </c>
      <c r="AC4339">
        <v>-0.55500000000000604</v>
      </c>
      <c r="AD4339">
        <v>-1.1197095660408001</v>
      </c>
      <c r="AE4339">
        <v>-26.4711</v>
      </c>
      <c r="AF4339">
        <v>-2.19328360022392</v>
      </c>
      <c r="AG4339">
        <v>-1.1197095660408001</v>
      </c>
      <c r="AH4339">
        <v>26.338486650166399</v>
      </c>
      <c r="AI4339">
        <v>92.425922867374595</v>
      </c>
      <c r="AJ4339">
        <v>94.760206079113303</v>
      </c>
      <c r="AK4339">
        <v>26.453357470920199</v>
      </c>
      <c r="AL4339">
        <v>94.508086713424206</v>
      </c>
      <c r="AM4339">
        <v>90.944522920908398</v>
      </c>
      <c r="AN4339">
        <v>1.0000000046564499</v>
      </c>
    </row>
    <row r="4340" spans="1:40" x14ac:dyDescent="0.25">
      <c r="A4340" t="str">
        <f>"20190303154856043"</f>
        <v>20190303154856043</v>
      </c>
      <c r="B4340" t="str">
        <f>"1551599336035228"</f>
        <v>1551599336035228</v>
      </c>
      <c r="C4340" t="s">
        <v>40</v>
      </c>
      <c r="D4340">
        <v>5.4613699999999996</v>
      </c>
      <c r="E4340">
        <v>0.4742191</v>
      </c>
      <c r="F4340" t="s">
        <v>41</v>
      </c>
      <c r="G4340">
        <v>-190.92590000000001</v>
      </c>
      <c r="H4340" s="1">
        <v>-1.181092E-6</v>
      </c>
      <c r="I4340">
        <v>171.768</v>
      </c>
      <c r="J4340">
        <v>-190.43870000000001</v>
      </c>
      <c r="K4340">
        <v>1.119699</v>
      </c>
      <c r="L4340">
        <v>196.63050000000001</v>
      </c>
      <c r="M4340">
        <v>-0.1040209</v>
      </c>
      <c r="N4340">
        <v>-3.5959669999999998E-3</v>
      </c>
      <c r="O4340">
        <v>-0.99456889999999998</v>
      </c>
      <c r="P4340">
        <v>-8.6322700000000002E-2</v>
      </c>
      <c r="Q4340">
        <v>-8.1708459999999997E-2</v>
      </c>
      <c r="R4340">
        <v>-0.99291149999999995</v>
      </c>
      <c r="S4340">
        <v>-6.0363769999999997E-2</v>
      </c>
      <c r="T4340">
        <v>-0.134578</v>
      </c>
      <c r="U4340">
        <v>-3.0053100000000001</v>
      </c>
      <c r="V4340">
        <v>-1.7440150000000001E-2</v>
      </c>
      <c r="W4340">
        <v>-7.8122220000000006E-2</v>
      </c>
      <c r="X4340">
        <v>0.99679119999999999</v>
      </c>
      <c r="Y4340">
        <v>-8.4037130000000002E-2</v>
      </c>
      <c r="Z4340">
        <v>4.0699010000000001E-2</v>
      </c>
      <c r="AA4340">
        <v>0.99563120000000005</v>
      </c>
      <c r="AB4340">
        <v>17</v>
      </c>
      <c r="AC4340">
        <v>-0.48720000000000102</v>
      </c>
      <c r="AD4340">
        <v>-1.119700181092</v>
      </c>
      <c r="AE4340">
        <v>-24.862500000000001</v>
      </c>
      <c r="AF4340">
        <v>-2.09742624423837</v>
      </c>
      <c r="AG4340">
        <v>-1.119700181092</v>
      </c>
      <c r="AH4340">
        <v>24.728166556588299</v>
      </c>
      <c r="AI4340">
        <v>92.583338980735604</v>
      </c>
      <c r="AJ4340">
        <v>94.8481847548546</v>
      </c>
      <c r="AK4340">
        <v>24.8422049463394</v>
      </c>
      <c r="AL4340">
        <v>94.480639157984896</v>
      </c>
      <c r="AM4340">
        <v>91.0023614218875</v>
      </c>
      <c r="AN4340">
        <v>0.99999996824359405</v>
      </c>
    </row>
    <row r="4341" spans="1:40" x14ac:dyDescent="0.25">
      <c r="A4341" t="str">
        <f>"20190303154856064"</f>
        <v>20190303154856064</v>
      </c>
      <c r="B4341" t="str">
        <f>"1551599336054748"</f>
        <v>1551599336054748</v>
      </c>
      <c r="C4341" t="s">
        <v>40</v>
      </c>
      <c r="D4341">
        <v>5.5266029999999997</v>
      </c>
      <c r="E4341">
        <v>0.47403699999999999</v>
      </c>
      <c r="F4341" t="s">
        <v>41</v>
      </c>
      <c r="G4341">
        <v>-190.87270000000001</v>
      </c>
      <c r="H4341" s="1">
        <v>-1.555093E-6</v>
      </c>
      <c r="I4341">
        <v>172.6728</v>
      </c>
      <c r="J4341">
        <v>-190.4562</v>
      </c>
      <c r="K4341">
        <v>1.1196839999999999</v>
      </c>
      <c r="L4341">
        <v>196.4659</v>
      </c>
      <c r="M4341">
        <v>-0.10420690000000001</v>
      </c>
      <c r="N4341">
        <v>-3.6059289999999999E-3</v>
      </c>
      <c r="O4341">
        <v>-0.99454940000000003</v>
      </c>
      <c r="P4341">
        <v>-8.6156819999999995E-2</v>
      </c>
      <c r="Q4341">
        <v>-8.1399570000000004E-2</v>
      </c>
      <c r="R4341">
        <v>-0.99295100000000003</v>
      </c>
      <c r="S4341">
        <v>-5.4428099999999903E-2</v>
      </c>
      <c r="T4341">
        <v>-0.1404493</v>
      </c>
      <c r="U4341">
        <v>-3.0051269999999999</v>
      </c>
      <c r="V4341">
        <v>-1.7797070000000002E-2</v>
      </c>
      <c r="W4341">
        <v>-7.7802940000000001E-2</v>
      </c>
      <c r="X4341">
        <v>0.99680990000000003</v>
      </c>
      <c r="Y4341">
        <v>-8.6188790000000001E-2</v>
      </c>
      <c r="Z4341">
        <v>4.2615069999999998E-2</v>
      </c>
      <c r="AA4341">
        <v>0.995367</v>
      </c>
      <c r="AB4341">
        <v>17</v>
      </c>
      <c r="AC4341">
        <v>-0.41650000000001303</v>
      </c>
      <c r="AD4341">
        <v>-1.1196855550929901</v>
      </c>
      <c r="AE4341">
        <v>-23.793099999999999</v>
      </c>
      <c r="AF4341">
        <v>-2.0606261747566901</v>
      </c>
      <c r="AG4341">
        <v>-1.1196855550929901</v>
      </c>
      <c r="AH4341">
        <v>23.654593851607501</v>
      </c>
      <c r="AI4341">
        <v>92.699852032197796</v>
      </c>
      <c r="AJ4341">
        <v>94.978647379475902</v>
      </c>
      <c r="AK4341">
        <v>23.770563440080299</v>
      </c>
      <c r="AL4341">
        <v>94.462289746825505</v>
      </c>
      <c r="AM4341">
        <v>91.022851670200794</v>
      </c>
      <c r="AN4341">
        <v>1.0000000049556099</v>
      </c>
    </row>
    <row r="4342" spans="1:40" x14ac:dyDescent="0.25">
      <c r="A4342" t="str">
        <f>"20190303154856077"</f>
        <v>20190303154856077</v>
      </c>
      <c r="B4342" t="str">
        <f>"1551599336065484"</f>
        <v>1551599336065484</v>
      </c>
      <c r="C4342" t="s">
        <v>40</v>
      </c>
      <c r="D4342">
        <v>5.4561549999999999</v>
      </c>
      <c r="E4342">
        <v>0.47401480000000001</v>
      </c>
      <c r="F4342" t="s">
        <v>41</v>
      </c>
      <c r="G4342">
        <v>-190.8691</v>
      </c>
      <c r="H4342" s="1">
        <v>-1.6580559999999999E-6</v>
      </c>
      <c r="I4342">
        <v>172.91499999999999</v>
      </c>
      <c r="J4342">
        <v>-190.46700000000001</v>
      </c>
      <c r="K4342">
        <v>1.119678</v>
      </c>
      <c r="L4342">
        <v>196.36340000000001</v>
      </c>
      <c r="M4342">
        <v>-0.1043215</v>
      </c>
      <c r="N4342">
        <v>-3.6124920000000001E-3</v>
      </c>
      <c r="O4342">
        <v>-0.99453720000000001</v>
      </c>
      <c r="P4342">
        <v>-8.6146319999999998E-2</v>
      </c>
      <c r="Q4342">
        <v>-8.1124619999999995E-2</v>
      </c>
      <c r="R4342">
        <v>-0.99297449999999998</v>
      </c>
      <c r="S4342">
        <v>-5.2688600000000002E-2</v>
      </c>
      <c r="T4342">
        <v>-0.14287030000000001</v>
      </c>
      <c r="U4342">
        <v>-3.0050509999999999</v>
      </c>
      <c r="V4342">
        <v>-1.7926279999999999E-2</v>
      </c>
      <c r="W4342">
        <v>-7.7521140000000002E-2</v>
      </c>
      <c r="X4342">
        <v>0.99682950000000003</v>
      </c>
      <c r="Y4342">
        <v>-8.6879520000000002E-2</v>
      </c>
      <c r="Z4342">
        <v>4.3402549999999998E-2</v>
      </c>
      <c r="AA4342">
        <v>0.99527290000000002</v>
      </c>
      <c r="AB4342">
        <v>17</v>
      </c>
      <c r="AC4342">
        <v>-0.40209999999999002</v>
      </c>
      <c r="AD4342">
        <v>-1.119679658056</v>
      </c>
      <c r="AE4342">
        <v>-23.448399999999999</v>
      </c>
      <c r="AF4342">
        <v>-2.0416281053011498</v>
      </c>
      <c r="AG4342">
        <v>-1.119679658056</v>
      </c>
      <c r="AH4342">
        <v>23.309270339947901</v>
      </c>
      <c r="AI4342">
        <v>92.739662278442694</v>
      </c>
      <c r="AJ4342">
        <v>95.0056866608533</v>
      </c>
      <c r="AK4342">
        <v>23.425285732255102</v>
      </c>
      <c r="AL4342">
        <v>94.446095059905701</v>
      </c>
      <c r="AM4342">
        <v>91.030255913185798</v>
      </c>
      <c r="AN4342">
        <v>0.99999996536589297</v>
      </c>
    </row>
    <row r="4343" spans="1:40" x14ac:dyDescent="0.25">
      <c r="A4343" t="str">
        <f>"20190303154856097"</f>
        <v>20190303154856097</v>
      </c>
      <c r="B4343" t="str">
        <f>"1551599336085004"</f>
        <v>1551599336085004</v>
      </c>
      <c r="C4343" t="s">
        <v>40</v>
      </c>
      <c r="D4343">
        <v>5.5237439999999998</v>
      </c>
      <c r="E4343">
        <v>0.47351470000000001</v>
      </c>
      <c r="F4343" t="s">
        <v>41</v>
      </c>
      <c r="G4343">
        <v>-190.87880000000001</v>
      </c>
      <c r="H4343" s="1">
        <v>-1.614524E-6</v>
      </c>
      <c r="I4343">
        <v>172.8075</v>
      </c>
      <c r="J4343">
        <v>-190.48269999999999</v>
      </c>
      <c r="K4343">
        <v>1.1196660000000001</v>
      </c>
      <c r="L4343">
        <v>196.21610000000001</v>
      </c>
      <c r="M4343">
        <v>-0.10448739999999999</v>
      </c>
      <c r="N4343">
        <v>-3.6225099999999998E-3</v>
      </c>
      <c r="O4343">
        <v>-0.99451970000000001</v>
      </c>
      <c r="P4343">
        <v>-8.6348030000000006E-2</v>
      </c>
      <c r="Q4343">
        <v>-8.0638009999999996E-2</v>
      </c>
      <c r="R4343">
        <v>-0.99299649999999995</v>
      </c>
      <c r="S4343">
        <v>-5.2536010000000001E-2</v>
      </c>
      <c r="T4343">
        <v>-0.1428374</v>
      </c>
      <c r="U4343">
        <v>-3.00502</v>
      </c>
      <c r="V4343">
        <v>-1.78955999999999E-2</v>
      </c>
      <c r="W4343">
        <v>-7.7024040000000002E-2</v>
      </c>
      <c r="X4343">
        <v>0.99686859999999999</v>
      </c>
      <c r="Y4343">
        <v>-8.7095919999999993E-2</v>
      </c>
      <c r="Z4343">
        <v>4.3380549999999997E-2</v>
      </c>
      <c r="AA4343">
        <v>0.99525490000000005</v>
      </c>
      <c r="AB4343">
        <v>17</v>
      </c>
      <c r="AC4343">
        <v>-0.39610000000001799</v>
      </c>
      <c r="AD4343">
        <v>-1.1196676145240001</v>
      </c>
      <c r="AE4343">
        <v>-23.4086</v>
      </c>
      <c r="AF4343">
        <v>-2.0473052003124201</v>
      </c>
      <c r="AG4343">
        <v>-1.1196676145240001</v>
      </c>
      <c r="AH4343">
        <v>23.268632434150199</v>
      </c>
      <c r="AI4343">
        <v>92.7443154684794</v>
      </c>
      <c r="AJ4343">
        <v>95.028256362979107</v>
      </c>
      <c r="AK4343">
        <v>23.385345186800802</v>
      </c>
      <c r="AL4343">
        <v>94.417527844164198</v>
      </c>
      <c r="AM4343">
        <v>91.028452725124893</v>
      </c>
      <c r="AN4343">
        <v>0.99999998045161997</v>
      </c>
    </row>
    <row r="4344" spans="1:40" x14ac:dyDescent="0.25">
      <c r="A4344" t="str">
        <f>"20190303154856110"</f>
        <v>20190303154856110</v>
      </c>
      <c r="B4344" t="str">
        <f>"1551599336105500"</f>
        <v>1551599336105500</v>
      </c>
      <c r="C4344" t="s">
        <v>40</v>
      </c>
      <c r="D4344">
        <v>5.4748489999999999</v>
      </c>
      <c r="E4344">
        <v>0.47326699999999999</v>
      </c>
      <c r="F4344" t="s">
        <v>41</v>
      </c>
      <c r="G4344">
        <v>-190.85329999999999</v>
      </c>
      <c r="H4344" s="1">
        <v>-1.8924019999999999E-6</v>
      </c>
      <c r="I4344">
        <v>173.47110000000001</v>
      </c>
      <c r="J4344">
        <v>-190.49340000000001</v>
      </c>
      <c r="K4344">
        <v>1.119658</v>
      </c>
      <c r="L4344">
        <v>196.11539999999999</v>
      </c>
      <c r="M4344">
        <v>-0.104602</v>
      </c>
      <c r="N4344">
        <v>-3.629686E-3</v>
      </c>
      <c r="O4344">
        <v>-0.99450780000000005</v>
      </c>
      <c r="P4344">
        <v>-8.6545559999999994E-2</v>
      </c>
      <c r="Q4344">
        <v>-8.0695290000000003E-2</v>
      </c>
      <c r="R4344">
        <v>-0.99297469999999999</v>
      </c>
      <c r="S4344">
        <v>-4.8965450000000001E-2</v>
      </c>
      <c r="T4344">
        <v>-0.147922</v>
      </c>
      <c r="U4344">
        <v>-3.0048979999999998</v>
      </c>
      <c r="V4344">
        <v>-1.7812339999999999E-2</v>
      </c>
      <c r="W4344">
        <v>-7.7073920000000004E-2</v>
      </c>
      <c r="X4344">
        <v>0.99686620000000004</v>
      </c>
      <c r="Y4344">
        <v>-8.8392970000000001E-2</v>
      </c>
      <c r="Z4344">
        <v>4.5041169999999998E-2</v>
      </c>
      <c r="AA4344">
        <v>0.99506680000000003</v>
      </c>
      <c r="AB4344">
        <v>17</v>
      </c>
      <c r="AC4344">
        <v>-0.35989999999998101</v>
      </c>
      <c r="AD4344">
        <v>-1.119659892402</v>
      </c>
      <c r="AE4344">
        <v>-22.644299999999902</v>
      </c>
      <c r="AF4344">
        <v>-2.0058257070207599</v>
      </c>
      <c r="AG4344">
        <v>-1.119659892402</v>
      </c>
      <c r="AH4344">
        <v>22.502719833699601</v>
      </c>
      <c r="AI4344">
        <v>92.837265911295802</v>
      </c>
      <c r="AJ4344">
        <v>95.093713772507499</v>
      </c>
      <c r="AK4344">
        <v>22.619667878984799</v>
      </c>
      <c r="AL4344">
        <v>94.420394437292998</v>
      </c>
      <c r="AM4344">
        <v>91.023671291959403</v>
      </c>
      <c r="AN4344">
        <v>0.99999994465143904</v>
      </c>
    </row>
    <row r="4345" spans="1:40" x14ac:dyDescent="0.25">
      <c r="A4345" t="str">
        <f>"20190303154856123"</f>
        <v>20190303154856123</v>
      </c>
      <c r="B4345" t="str">
        <f>"1551599336115260"</f>
        <v>1551599336115260</v>
      </c>
      <c r="C4345" t="s">
        <v>40</v>
      </c>
      <c r="D4345">
        <v>5.4404669999999999</v>
      </c>
      <c r="E4345">
        <v>0.47323779999999999</v>
      </c>
      <c r="F4345" t="s">
        <v>41</v>
      </c>
      <c r="G4345">
        <v>-190.84870000000001</v>
      </c>
      <c r="H4345" s="1">
        <v>-1.9763489999999999E-6</v>
      </c>
      <c r="I4345">
        <v>173.6696</v>
      </c>
      <c r="J4345">
        <v>-190.50389999999999</v>
      </c>
      <c r="K4345">
        <v>1.119653</v>
      </c>
      <c r="L4345">
        <v>196.017</v>
      </c>
      <c r="M4345">
        <v>-0.1047148</v>
      </c>
      <c r="N4345">
        <v>-3.6368609999999999E-3</v>
      </c>
      <c r="O4345">
        <v>-0.99449589999999999</v>
      </c>
      <c r="P4345">
        <v>-8.6747480000000002E-2</v>
      </c>
      <c r="Q4345">
        <v>-8.0827739999999995E-2</v>
      </c>
      <c r="R4345">
        <v>-0.99294640000000001</v>
      </c>
      <c r="S4345">
        <v>-4.7576899999999998E-2</v>
      </c>
      <c r="T4345">
        <v>-0.14989379999999999</v>
      </c>
      <c r="U4345">
        <v>-3.0049130000000002</v>
      </c>
      <c r="V4345">
        <v>-1.7723280000000001E-2</v>
      </c>
      <c r="W4345">
        <v>-7.7199009999999998E-2</v>
      </c>
      <c r="X4345">
        <v>0.99685820000000003</v>
      </c>
      <c r="Y4345">
        <v>-8.8966030000000001E-2</v>
      </c>
      <c r="Z4345">
        <v>4.5678879999999998E-2</v>
      </c>
      <c r="AA4345">
        <v>0.9949867</v>
      </c>
      <c r="AB4345">
        <v>17</v>
      </c>
      <c r="AC4345">
        <v>-0.34480000000001998</v>
      </c>
      <c r="AD4345">
        <v>-1.119654976349</v>
      </c>
      <c r="AE4345">
        <v>-22.3474</v>
      </c>
      <c r="AF4345">
        <v>-1.99221429673588</v>
      </c>
      <c r="AG4345">
        <v>-1.119654976349</v>
      </c>
      <c r="AH4345">
        <v>22.2049185639336</v>
      </c>
      <c r="AI4345">
        <v>92.875093541866207</v>
      </c>
      <c r="AJ4345">
        <v>95.126822096206993</v>
      </c>
      <c r="AK4345">
        <v>22.322207630543701</v>
      </c>
      <c r="AL4345">
        <v>94.427582577887904</v>
      </c>
      <c r="AM4345">
        <v>91.018562286566194</v>
      </c>
      <c r="AN4345">
        <v>1.0000000363530801</v>
      </c>
    </row>
    <row r="4346" spans="1:40" x14ac:dyDescent="0.25">
      <c r="A4346" t="str">
        <f>"20190303154856135"</f>
        <v>20190303154856135</v>
      </c>
      <c r="B4346" t="str">
        <f>"1551599336125020"</f>
        <v>1551599336125020</v>
      </c>
      <c r="C4346" t="s">
        <v>40</v>
      </c>
      <c r="D4346">
        <v>5.4836460000000002</v>
      </c>
      <c r="E4346">
        <v>0.47317619999999999</v>
      </c>
      <c r="F4346" t="s">
        <v>41</v>
      </c>
      <c r="G4346">
        <v>-190.8603</v>
      </c>
      <c r="H4346" s="1">
        <v>-2.0122739999999999E-6</v>
      </c>
      <c r="I4346">
        <v>173.74619999999999</v>
      </c>
      <c r="J4346">
        <v>-190.51480000000001</v>
      </c>
      <c r="K4346">
        <v>1.1196429999999999</v>
      </c>
      <c r="L4346">
        <v>195.91470000000001</v>
      </c>
      <c r="M4346">
        <v>-0.104834</v>
      </c>
      <c r="N4346">
        <v>-3.6446450000000002E-3</v>
      </c>
      <c r="O4346">
        <v>-0.99448320000000001</v>
      </c>
      <c r="P4346">
        <v>-8.707637E-2</v>
      </c>
      <c r="Q4346">
        <v>-8.0826620000000002E-2</v>
      </c>
      <c r="R4346">
        <v>-0.99291739999999995</v>
      </c>
      <c r="S4346">
        <v>-4.8095699999999998E-2</v>
      </c>
      <c r="T4346">
        <v>-0.15106549999999999</v>
      </c>
      <c r="U4346">
        <v>-3.004807</v>
      </c>
      <c r="V4346">
        <v>-1.7513669999999999E-2</v>
      </c>
      <c r="W4346">
        <v>-7.7189919999999995E-2</v>
      </c>
      <c r="X4346">
        <v>0.99686260000000004</v>
      </c>
      <c r="Y4346">
        <v>-8.8913249999999999E-2</v>
      </c>
      <c r="Z4346">
        <v>4.6056560000000003E-2</v>
      </c>
      <c r="AA4346">
        <v>0.99497400000000003</v>
      </c>
      <c r="AB4346">
        <v>17</v>
      </c>
      <c r="AC4346">
        <v>-0.34549999999998698</v>
      </c>
      <c r="AD4346">
        <v>-1.119645012274</v>
      </c>
      <c r="AE4346">
        <v>-22.168500000000002</v>
      </c>
      <c r="AF4346">
        <v>-1.9753937075643799</v>
      </c>
      <c r="AG4346">
        <v>-1.119645012274</v>
      </c>
      <c r="AH4346">
        <v>22.0263916881295</v>
      </c>
      <c r="AI4346">
        <v>92.898340628678199</v>
      </c>
      <c r="AJ4346">
        <v>95.1247493433887</v>
      </c>
      <c r="AK4346">
        <v>22.143118932352301</v>
      </c>
      <c r="AL4346">
        <v>94.4270602383219</v>
      </c>
      <c r="AM4346">
        <v>91.0065139874946</v>
      </c>
      <c r="AN4346">
        <v>1.00000002783261</v>
      </c>
    </row>
    <row r="4347" spans="1:40" x14ac:dyDescent="0.25">
      <c r="A4347" t="str">
        <f>"20190303154856153"</f>
        <v>20190303154856153</v>
      </c>
      <c r="B4347" t="str">
        <f>"1551599336145516"</f>
        <v>1551599336145516</v>
      </c>
      <c r="C4347" t="s">
        <v>40</v>
      </c>
      <c r="D4347">
        <v>5.4374820000000001</v>
      </c>
      <c r="E4347">
        <v>0.47301569999999998</v>
      </c>
      <c r="F4347" t="s">
        <v>41</v>
      </c>
      <c r="G4347">
        <v>-190.8725</v>
      </c>
      <c r="H4347" s="1">
        <v>-2.0411190000000001E-6</v>
      </c>
      <c r="I4347">
        <v>173.80590000000001</v>
      </c>
      <c r="J4347">
        <v>-190.52930000000001</v>
      </c>
      <c r="K4347">
        <v>1.1196349999999999</v>
      </c>
      <c r="L4347">
        <v>195.7782</v>
      </c>
      <c r="M4347">
        <v>-0.10499459999999999</v>
      </c>
      <c r="N4347">
        <v>-3.655335E-3</v>
      </c>
      <c r="O4347">
        <v>-0.99446630000000003</v>
      </c>
      <c r="P4347">
        <v>-8.7686449999999999E-2</v>
      </c>
      <c r="Q4347">
        <v>-8.1276810000000005E-2</v>
      </c>
      <c r="R4347">
        <v>-0.99282700000000002</v>
      </c>
      <c r="S4347">
        <v>-4.8614499999999998E-2</v>
      </c>
      <c r="T4347">
        <v>-0.15216669999999999</v>
      </c>
      <c r="U4347">
        <v>-3.0047299999999999</v>
      </c>
      <c r="V4347">
        <v>-1.7059609999999999E-2</v>
      </c>
      <c r="W4347">
        <v>-7.7629370000000003E-2</v>
      </c>
      <c r="X4347">
        <v>0.99683630000000001</v>
      </c>
      <c r="Y4347">
        <v>-8.8902190000000006E-2</v>
      </c>
      <c r="Z4347">
        <v>4.640727E-2</v>
      </c>
      <c r="AA4347">
        <v>0.99495869999999997</v>
      </c>
      <c r="AB4347">
        <v>17</v>
      </c>
      <c r="AC4347">
        <v>-0.34319999999999501</v>
      </c>
      <c r="AD4347">
        <v>-1.119637041119</v>
      </c>
      <c r="AE4347">
        <v>-21.972299999999901</v>
      </c>
      <c r="AF4347">
        <v>-1.9605950850789899</v>
      </c>
      <c r="AG4347">
        <v>-1.119637041119</v>
      </c>
      <c r="AH4347">
        <v>21.8302170242949</v>
      </c>
      <c r="AI4347">
        <v>92.924287157427599</v>
      </c>
      <c r="AJ4347">
        <v>95.132026295208803</v>
      </c>
      <c r="AK4347">
        <v>21.946660236111001</v>
      </c>
      <c r="AL4347">
        <v>94.452314864243903</v>
      </c>
      <c r="AM4347">
        <v>90.980450095130706</v>
      </c>
      <c r="AN4347">
        <v>0.999999979188819</v>
      </c>
    </row>
    <row r="4348" spans="1:40" x14ac:dyDescent="0.25">
      <c r="A4348" t="str">
        <f>"20190303154856166"</f>
        <v>20190303154856166</v>
      </c>
      <c r="B4348" t="str">
        <f>"1551599336155276"</f>
        <v>1551599336155276</v>
      </c>
      <c r="C4348" t="s">
        <v>40</v>
      </c>
      <c r="D4348">
        <v>5.4438139999999997</v>
      </c>
      <c r="E4348">
        <v>0.4728965</v>
      </c>
      <c r="F4348" t="s">
        <v>41</v>
      </c>
      <c r="G4348">
        <v>-190.88409999999999</v>
      </c>
      <c r="H4348" s="1">
        <v>-2.178065E-6</v>
      </c>
      <c r="I4348">
        <v>174.11789999999999</v>
      </c>
      <c r="J4348">
        <v>-190.53989999999999</v>
      </c>
      <c r="K4348">
        <v>1.1196280000000001</v>
      </c>
      <c r="L4348">
        <v>195.67939999999999</v>
      </c>
      <c r="M4348">
        <v>-0.1051115</v>
      </c>
      <c r="N4348">
        <v>-3.6632399999999999E-3</v>
      </c>
      <c r="O4348">
        <v>-0.9944537</v>
      </c>
      <c r="P4348">
        <v>-8.8071280000000002E-2</v>
      </c>
      <c r="Q4348">
        <v>-8.1332150000000006E-2</v>
      </c>
      <c r="R4348">
        <v>-0.99278829999999996</v>
      </c>
      <c r="S4348">
        <v>-4.9209589999999998E-2</v>
      </c>
      <c r="T4348">
        <v>-0.15531149999999999</v>
      </c>
      <c r="U4348">
        <v>-3.004623</v>
      </c>
      <c r="V4348">
        <v>-1.6790510000000002E-2</v>
      </c>
      <c r="W4348">
        <v>-7.7676739999999994E-2</v>
      </c>
      <c r="X4348">
        <v>0.99683719999999998</v>
      </c>
      <c r="Y4348">
        <v>-8.8822310000000002E-2</v>
      </c>
      <c r="Z4348">
        <v>4.7432330000000002E-2</v>
      </c>
      <c r="AA4348">
        <v>0.99491750000000001</v>
      </c>
      <c r="AB4348">
        <v>18</v>
      </c>
      <c r="AC4348">
        <v>-0.34420000000000001</v>
      </c>
      <c r="AD4348">
        <v>-1.119630178065</v>
      </c>
      <c r="AE4348">
        <v>-21.561499999999899</v>
      </c>
      <c r="AF4348">
        <v>-1.91891063086157</v>
      </c>
      <c r="AG4348">
        <v>-1.119630178065</v>
      </c>
      <c r="AH4348">
        <v>21.420492432793299</v>
      </c>
      <c r="AI4348">
        <v>92.9801642898301</v>
      </c>
      <c r="AJ4348">
        <v>95.119059746794505</v>
      </c>
      <c r="AK4348">
        <v>21.535396114495299</v>
      </c>
      <c r="AL4348">
        <v>94.455037091637806</v>
      </c>
      <c r="AM4348">
        <v>90.964986453798304</v>
      </c>
      <c r="AN4348">
        <v>1.0000000002334599</v>
      </c>
    </row>
    <row r="4349" spans="1:40" x14ac:dyDescent="0.25">
      <c r="A4349" t="str">
        <f>"20190303154856178"</f>
        <v>20190303154856178</v>
      </c>
      <c r="B4349" t="str">
        <f>"1551599336174796"</f>
        <v>1551599336174796</v>
      </c>
      <c r="C4349" t="s">
        <v>40</v>
      </c>
      <c r="D4349">
        <v>5.4385570000000003</v>
      </c>
      <c r="E4349">
        <v>0.4726591</v>
      </c>
      <c r="F4349" t="s">
        <v>41</v>
      </c>
      <c r="G4349">
        <v>-190.8938</v>
      </c>
      <c r="H4349" s="1">
        <v>-2.2093900000000001E-6</v>
      </c>
      <c r="I4349">
        <v>174.1849</v>
      </c>
      <c r="J4349">
        <v>-190.55109999999999</v>
      </c>
      <c r="K4349">
        <v>1.119621</v>
      </c>
      <c r="L4349">
        <v>195.57470000000001</v>
      </c>
      <c r="M4349">
        <v>-0.1052361</v>
      </c>
      <c r="N4349">
        <v>-3.6717949999999998E-3</v>
      </c>
      <c r="O4349">
        <v>-0.99444060000000001</v>
      </c>
      <c r="P4349">
        <v>-8.8632009999999997E-2</v>
      </c>
      <c r="Q4349">
        <v>-8.1140219999999999E-2</v>
      </c>
      <c r="R4349">
        <v>-0.99275409999999997</v>
      </c>
      <c r="S4349">
        <v>-4.9468989999999997E-2</v>
      </c>
      <c r="T4349">
        <v>-0.15650559999999999</v>
      </c>
      <c r="U4349">
        <v>-3.004578</v>
      </c>
      <c r="V4349">
        <v>-1.6354879999999999E-2</v>
      </c>
      <c r="W4349">
        <v>-7.7476169999999997E-2</v>
      </c>
      <c r="X4349">
        <v>0.99685999999999997</v>
      </c>
      <c r="Y4349">
        <v>-8.886115E-2</v>
      </c>
      <c r="Z4349">
        <v>4.7815240000000002E-2</v>
      </c>
      <c r="AA4349">
        <v>0.99489570000000005</v>
      </c>
      <c r="AB4349">
        <v>18</v>
      </c>
      <c r="AC4349">
        <v>-0.342700000000007</v>
      </c>
      <c r="AD4349">
        <v>-1.11962320939</v>
      </c>
      <c r="AE4349">
        <v>-21.389800000000001</v>
      </c>
      <c r="AF4349">
        <v>-1.90497893952264</v>
      </c>
      <c r="AG4349">
        <v>-1.11962320939</v>
      </c>
      <c r="AH4349">
        <v>21.248886886651299</v>
      </c>
      <c r="AI4349">
        <v>93.004151374328501</v>
      </c>
      <c r="AJ4349">
        <v>95.122914956874197</v>
      </c>
      <c r="AK4349">
        <v>21.363466357609902</v>
      </c>
      <c r="AL4349">
        <v>94.443510767517495</v>
      </c>
      <c r="AM4349">
        <v>90.939932924806001</v>
      </c>
      <c r="AN4349">
        <v>0.99999994930883995</v>
      </c>
    </row>
    <row r="4350" spans="1:40" x14ac:dyDescent="0.25">
      <c r="A4350" t="str">
        <f>"20190303154856191"</f>
        <v>20190303154856191</v>
      </c>
      <c r="B4350" t="str">
        <f>"1551599336185531"</f>
        <v>1551599336185531</v>
      </c>
      <c r="C4350" t="s">
        <v>40</v>
      </c>
      <c r="D4350">
        <v>5.3958979999999999</v>
      </c>
      <c r="E4350">
        <v>0.47300029999999998</v>
      </c>
      <c r="F4350" t="s">
        <v>41</v>
      </c>
      <c r="G4350">
        <v>-190.89840000000001</v>
      </c>
      <c r="H4350" s="1">
        <v>-2.3005050000000002E-6</v>
      </c>
      <c r="I4350">
        <v>174.39439999999999</v>
      </c>
      <c r="J4350">
        <v>-190.56219999999999</v>
      </c>
      <c r="K4350">
        <v>1.119618</v>
      </c>
      <c r="L4350">
        <v>195.4708</v>
      </c>
      <c r="M4350">
        <v>-0.10535940000000001</v>
      </c>
      <c r="N4350">
        <v>-3.6804960000000001E-3</v>
      </c>
      <c r="O4350">
        <v>-0.99442759999999997</v>
      </c>
      <c r="P4350">
        <v>-8.892485E-2</v>
      </c>
      <c r="Q4350">
        <v>-8.1461249999999999E-2</v>
      </c>
      <c r="R4350">
        <v>-0.99270179999999997</v>
      </c>
      <c r="S4350">
        <v>-4.9270630000000003E-2</v>
      </c>
      <c r="T4350">
        <v>-0.1588233</v>
      </c>
      <c r="U4350">
        <v>-3.0045169999999999</v>
      </c>
      <c r="V4350">
        <v>-1.6181950000000001E-2</v>
      </c>
      <c r="W4350">
        <v>-7.7788549999999998E-2</v>
      </c>
      <c r="X4350">
        <v>0.99683860000000002</v>
      </c>
      <c r="Y4350">
        <v>-8.9050459999999998E-2</v>
      </c>
      <c r="Z4350">
        <v>4.856655E-2</v>
      </c>
      <c r="AA4350">
        <v>0.99484240000000002</v>
      </c>
      <c r="AB4350">
        <v>18</v>
      </c>
      <c r="AC4350">
        <v>-0.33620000000001898</v>
      </c>
      <c r="AD4350">
        <v>-1.1196203005050001</v>
      </c>
      <c r="AE4350">
        <v>-21.0764</v>
      </c>
      <c r="AF4350">
        <v>-1.88097603476192</v>
      </c>
      <c r="AG4350">
        <v>-1.1196203005050001</v>
      </c>
      <c r="AH4350">
        <v>20.935450011885901</v>
      </c>
      <c r="AI4350">
        <v>93.048983111369694</v>
      </c>
      <c r="AJ4350">
        <v>95.134037827769603</v>
      </c>
      <c r="AK4350">
        <v>21.049576899805501</v>
      </c>
      <c r="AL4350">
        <v>94.461462533914599</v>
      </c>
      <c r="AM4350">
        <v>90.930016164051096</v>
      </c>
      <c r="AN4350">
        <v>1.00000005423343</v>
      </c>
    </row>
    <row r="4351" spans="1:40" x14ac:dyDescent="0.25">
      <c r="A4351" t="str">
        <f>"20190303154856208"</f>
        <v>20190303154856208</v>
      </c>
      <c r="B4351" t="str">
        <f>"1551599336205052"</f>
        <v>1551599336205052</v>
      </c>
      <c r="C4351" t="s">
        <v>40</v>
      </c>
      <c r="D4351">
        <v>5.3655920000000004</v>
      </c>
      <c r="E4351">
        <v>0.51289070000000003</v>
      </c>
      <c r="F4351" t="s">
        <v>41</v>
      </c>
      <c r="G4351">
        <v>-190.93520000000001</v>
      </c>
      <c r="H4351" s="1">
        <v>-2.2839310000000001E-6</v>
      </c>
      <c r="I4351">
        <v>174.333</v>
      </c>
      <c r="J4351">
        <v>-190.577</v>
      </c>
      <c r="K4351">
        <v>1.1196159999999999</v>
      </c>
      <c r="L4351">
        <v>195.3338</v>
      </c>
      <c r="M4351">
        <v>-0.10551969999999999</v>
      </c>
      <c r="N4351">
        <v>-3.6923619999999998E-3</v>
      </c>
      <c r="O4351">
        <v>-0.99441040000000003</v>
      </c>
      <c r="P4351">
        <v>-8.9441519999999997E-2</v>
      </c>
      <c r="Q4351">
        <v>-8.1595849999999998E-2</v>
      </c>
      <c r="R4351">
        <v>-0.99264439999999998</v>
      </c>
      <c r="S4351">
        <v>-5.3009029999999999E-2</v>
      </c>
      <c r="T4351">
        <v>-0.159129399999999</v>
      </c>
      <c r="U4351">
        <v>-3.0042719999999998</v>
      </c>
      <c r="V4351">
        <v>-1.582339E-2</v>
      </c>
      <c r="W4351">
        <v>-7.7911369999999994E-2</v>
      </c>
      <c r="X4351">
        <v>0.99683469999999996</v>
      </c>
      <c r="Y4351">
        <v>-8.7972170000000002E-2</v>
      </c>
      <c r="Z4351">
        <v>4.8660259999999997E-2</v>
      </c>
      <c r="AA4351">
        <v>0.99493370000000003</v>
      </c>
      <c r="AB4351">
        <v>18</v>
      </c>
      <c r="AC4351">
        <v>-0.35820000000001001</v>
      </c>
      <c r="AD4351">
        <v>-1.1196182839309901</v>
      </c>
      <c r="AE4351">
        <v>-21.000800000000002</v>
      </c>
      <c r="AF4351">
        <v>-1.8545432945098099</v>
      </c>
      <c r="AG4351">
        <v>-1.1196182839309901</v>
      </c>
      <c r="AH4351">
        <v>20.862074015052698</v>
      </c>
      <c r="AI4351">
        <v>93.059938652748599</v>
      </c>
      <c r="AJ4351">
        <v>95.0799803926637</v>
      </c>
      <c r="AK4351">
        <v>20.974246306898799</v>
      </c>
      <c r="AL4351">
        <v>94.468521309861401</v>
      </c>
      <c r="AM4351">
        <v>90.909415903103096</v>
      </c>
      <c r="AN4351">
        <v>0.999999990185229</v>
      </c>
    </row>
    <row r="4352" spans="1:40" x14ac:dyDescent="0.25">
      <c r="A4352" t="str">
        <f>"20190303154856223"</f>
        <v>20190303154856223</v>
      </c>
      <c r="B4352" t="str">
        <f>"1551599336215543"</f>
        <v>1551599336215543</v>
      </c>
      <c r="C4352" t="s">
        <v>40</v>
      </c>
      <c r="D4352">
        <v>5.4139249999999999</v>
      </c>
      <c r="E4352">
        <v>0.51423289999999999</v>
      </c>
      <c r="F4352" t="s">
        <v>41</v>
      </c>
      <c r="G4352">
        <v>-194.5026</v>
      </c>
      <c r="H4352" s="1">
        <v>-3.2158210000000001E-6</v>
      </c>
      <c r="I4352">
        <v>163.86019999999999</v>
      </c>
      <c r="J4352">
        <v>-190.58959999999999</v>
      </c>
      <c r="K4352">
        <v>1.1196159999999999</v>
      </c>
      <c r="L4352">
        <v>195.2159</v>
      </c>
      <c r="M4352">
        <v>-0.1056542</v>
      </c>
      <c r="N4352">
        <v>-3.7030800000000001E-3</v>
      </c>
      <c r="O4352">
        <v>-0.99439610000000001</v>
      </c>
      <c r="P4352">
        <v>-8.9625979999999994E-2</v>
      </c>
      <c r="Q4352">
        <v>-8.181252E-2</v>
      </c>
      <c r="R4352">
        <v>-0.99260990000000004</v>
      </c>
      <c r="S4352">
        <v>-0.37168879999999999</v>
      </c>
      <c r="T4352">
        <v>-0.1060083</v>
      </c>
      <c r="U4352">
        <v>-2.9799959999999999</v>
      </c>
      <c r="V4352">
        <v>-1.577133E-2</v>
      </c>
      <c r="W4352">
        <v>-7.8117450000000005E-2</v>
      </c>
      <c r="X4352">
        <v>0.99681940000000002</v>
      </c>
      <c r="Y4352">
        <v>1.817086E-2</v>
      </c>
      <c r="Z4352">
        <v>3.1437600000000003E-2</v>
      </c>
      <c r="AA4352">
        <v>0.99934049999999996</v>
      </c>
      <c r="AB4352">
        <v>18</v>
      </c>
      <c r="AC4352">
        <v>-3.91300000000001</v>
      </c>
      <c r="AD4352">
        <v>-1.1196192158210001</v>
      </c>
      <c r="AE4352">
        <v>-31.355699999999999</v>
      </c>
      <c r="AF4352">
        <v>0.57748946430982195</v>
      </c>
      <c r="AG4352">
        <v>-1.1196192158210001</v>
      </c>
      <c r="AH4352">
        <v>31.554011098508902</v>
      </c>
      <c r="AI4352">
        <v>92.031812275614499</v>
      </c>
      <c r="AJ4352">
        <v>88.951511570970197</v>
      </c>
      <c r="AK4352">
        <v>31.5791490967481</v>
      </c>
      <c r="AL4352">
        <v>94.480364905807903</v>
      </c>
      <c r="AM4352">
        <v>90.906438274856001</v>
      </c>
      <c r="AN4352">
        <v>0.99999999353041502</v>
      </c>
    </row>
    <row r="4353" spans="1:40" x14ac:dyDescent="0.25">
      <c r="A4353" t="str">
        <f>"20190303154856244"</f>
        <v>20190303154856244</v>
      </c>
      <c r="B4353" t="str">
        <f>"1551599336235063"</f>
        <v>1551599336235063</v>
      </c>
      <c r="C4353" t="s">
        <v>40</v>
      </c>
      <c r="D4353">
        <v>5.288456</v>
      </c>
      <c r="E4353">
        <v>0.51485599999999998</v>
      </c>
      <c r="F4353" t="s">
        <v>41</v>
      </c>
      <c r="G4353">
        <v>-193.67689999999999</v>
      </c>
      <c r="H4353" s="1">
        <v>-1.6731680000000001E-6</v>
      </c>
      <c r="I4353">
        <v>171.2088</v>
      </c>
      <c r="J4353">
        <v>-190.60759999999999</v>
      </c>
      <c r="K4353">
        <v>1.1196200000000001</v>
      </c>
      <c r="L4353">
        <v>195.0487</v>
      </c>
      <c r="M4353">
        <v>-0.1058352</v>
      </c>
      <c r="N4353">
        <v>-3.7196379999999999E-3</v>
      </c>
      <c r="O4353">
        <v>-0.99437699999999996</v>
      </c>
      <c r="P4353">
        <v>-8.979529E-2</v>
      </c>
      <c r="Q4353">
        <v>-8.1270289999999995E-2</v>
      </c>
      <c r="R4353">
        <v>-0.99263920000000005</v>
      </c>
      <c r="S4353">
        <v>-0.38275150000000002</v>
      </c>
      <c r="T4353">
        <v>-0.13880709999999999</v>
      </c>
      <c r="U4353">
        <v>-2.976334</v>
      </c>
      <c r="V4353">
        <v>-1.578628E-2</v>
      </c>
      <c r="W4353">
        <v>-7.7558699999999994E-2</v>
      </c>
      <c r="X4353">
        <v>0.99686280000000005</v>
      </c>
      <c r="Y4353">
        <v>2.174326E-2</v>
      </c>
      <c r="Z4353">
        <v>4.2309720000000002E-2</v>
      </c>
      <c r="AA4353">
        <v>0.99886790000000003</v>
      </c>
      <c r="AB4353">
        <v>18</v>
      </c>
      <c r="AC4353">
        <v>-3.0692999999999899</v>
      </c>
      <c r="AD4353">
        <v>-1.119621673168</v>
      </c>
      <c r="AE4353">
        <v>-23.8399</v>
      </c>
      <c r="AF4353">
        <v>0.52779910624132798</v>
      </c>
      <c r="AG4353">
        <v>-1.119621673168</v>
      </c>
      <c r="AH4353">
        <v>23.9788217616032</v>
      </c>
      <c r="AI4353">
        <v>92.672672537189001</v>
      </c>
      <c r="AJ4353">
        <v>88.739063194675296</v>
      </c>
      <c r="AK4353">
        <v>24.010747961325801</v>
      </c>
      <c r="AL4353">
        <v>94.448253432531104</v>
      </c>
      <c r="AM4353">
        <v>90.907257870585596</v>
      </c>
      <c r="AN4353">
        <v>1.0000000003028799</v>
      </c>
    </row>
    <row r="4354" spans="1:40" x14ac:dyDescent="0.25">
      <c r="A4354" t="str">
        <f>"20190303154856264"</f>
        <v>20190303154856264</v>
      </c>
      <c r="B4354" t="str">
        <f>"1551599336254583"</f>
        <v>1551599336254583</v>
      </c>
      <c r="C4354" t="s">
        <v>40</v>
      </c>
      <c r="D4354">
        <v>5.3352500000000003</v>
      </c>
      <c r="E4354">
        <v>0.51564100000000002</v>
      </c>
      <c r="F4354" t="s">
        <v>41</v>
      </c>
      <c r="G4354">
        <v>-193.76730000000001</v>
      </c>
      <c r="H4354" s="1">
        <v>-1.5403300000000001E-6</v>
      </c>
      <c r="I4354">
        <v>170.84299999999999</v>
      </c>
      <c r="J4354">
        <v>-190.62549999999999</v>
      </c>
      <c r="K4354">
        <v>1.1196349999999999</v>
      </c>
      <c r="L4354">
        <v>194.8827</v>
      </c>
      <c r="M4354">
        <v>-0.1060014</v>
      </c>
      <c r="N4354">
        <v>-3.7374830000000002E-3</v>
      </c>
      <c r="O4354">
        <v>-0.99435910000000005</v>
      </c>
      <c r="P4354">
        <v>-9.0059699999999895E-2</v>
      </c>
      <c r="Q4354">
        <v>-8.0332200000000006E-2</v>
      </c>
      <c r="R4354">
        <v>-0.99269149999999995</v>
      </c>
      <c r="S4354">
        <v>-0.38845829999999998</v>
      </c>
      <c r="T4354">
        <v>-0.13764560000000001</v>
      </c>
      <c r="U4354">
        <v>-2.9758300000000002</v>
      </c>
      <c r="V4354">
        <v>-1.56937999999999E-2</v>
      </c>
      <c r="W4354">
        <v>-7.6602859999999995E-2</v>
      </c>
      <c r="X4354">
        <v>0.9969382</v>
      </c>
      <c r="Y4354">
        <v>2.3483449999999999E-2</v>
      </c>
      <c r="Z4354">
        <v>4.1908210000000001E-2</v>
      </c>
      <c r="AA4354">
        <v>0.99884550000000005</v>
      </c>
      <c r="AB4354">
        <v>18</v>
      </c>
      <c r="AC4354">
        <v>-3.1418000000000101</v>
      </c>
      <c r="AD4354">
        <v>-1.1196365403299999</v>
      </c>
      <c r="AE4354">
        <v>-24.0397</v>
      </c>
      <c r="AF4354">
        <v>0.57461399432699001</v>
      </c>
      <c r="AG4354">
        <v>-1.1196365403299999</v>
      </c>
      <c r="AH4354">
        <v>24.185713306535298</v>
      </c>
      <c r="AI4354">
        <v>92.649771837889404</v>
      </c>
      <c r="AJ4354">
        <v>88.638999651586104</v>
      </c>
      <c r="AK4354">
        <v>24.218432966871202</v>
      </c>
      <c r="AL4354">
        <v>94.393324261857202</v>
      </c>
      <c r="AM4354">
        <v>90.901875602157006</v>
      </c>
      <c r="AN4354">
        <v>1.0000000340689199</v>
      </c>
    </row>
    <row r="4355" spans="1:40" x14ac:dyDescent="0.25">
      <c r="A4355" t="str">
        <f>"20190303154856277"</f>
        <v>20190303154856277</v>
      </c>
      <c r="B4355" t="str">
        <f>"1551599336265319"</f>
        <v>1551599336265319</v>
      </c>
      <c r="C4355" t="s">
        <v>40</v>
      </c>
      <c r="D4355">
        <v>5.306</v>
      </c>
      <c r="E4355">
        <v>0.51562739999999996</v>
      </c>
      <c r="F4355" t="s">
        <v>41</v>
      </c>
      <c r="G4355">
        <v>-193.8706</v>
      </c>
      <c r="H4355" s="1">
        <v>-1.4041029999999999E-6</v>
      </c>
      <c r="I4355">
        <v>170.4615</v>
      </c>
      <c r="J4355">
        <v>-190.637</v>
      </c>
      <c r="K4355">
        <v>1.1196459999999999</v>
      </c>
      <c r="L4355">
        <v>194.77590000000001</v>
      </c>
      <c r="M4355">
        <v>-0.10609970000000001</v>
      </c>
      <c r="N4355">
        <v>-3.7494759999999999E-3</v>
      </c>
      <c r="O4355">
        <v>-0.99434849999999997</v>
      </c>
      <c r="P4355">
        <v>-9.0283740000000001E-2</v>
      </c>
      <c r="Q4355">
        <v>-8.0165539999999993E-2</v>
      </c>
      <c r="R4355">
        <v>-0.99268440000000002</v>
      </c>
      <c r="S4355">
        <v>-0.39534000000000002</v>
      </c>
      <c r="T4355">
        <v>-0.13640279999999999</v>
      </c>
      <c r="U4355">
        <v>-2.9751889999999999</v>
      </c>
      <c r="V4355">
        <v>-1.5567559999999999E-2</v>
      </c>
      <c r="W4355">
        <v>-7.6424489999999998E-2</v>
      </c>
      <c r="X4355">
        <v>0.9969538</v>
      </c>
      <c r="Y4355">
        <v>2.5685240000000002E-2</v>
      </c>
      <c r="Z4355">
        <v>4.148665E-2</v>
      </c>
      <c r="AA4355">
        <v>0.9988089</v>
      </c>
      <c r="AB4355">
        <v>18</v>
      </c>
      <c r="AC4355">
        <v>-3.2335999999999898</v>
      </c>
      <c r="AD4355">
        <v>-1.119647404103</v>
      </c>
      <c r="AE4355">
        <v>-24.314399999999999</v>
      </c>
      <c r="AF4355">
        <v>0.63425762518693796</v>
      </c>
      <c r="AG4355">
        <v>-1.119647404103</v>
      </c>
      <c r="AH4355">
        <v>24.469256781643399</v>
      </c>
      <c r="AI4355">
        <v>92.618994963689701</v>
      </c>
      <c r="AJ4355">
        <v>88.515191944091001</v>
      </c>
      <c r="AK4355">
        <v>24.503069613634601</v>
      </c>
      <c r="AL4355">
        <v>94.383074668045396</v>
      </c>
      <c r="AM4355">
        <v>90.894608155465804</v>
      </c>
      <c r="AN4355">
        <v>0.99999996546527603</v>
      </c>
    </row>
    <row r="4356" spans="1:40" x14ac:dyDescent="0.25">
      <c r="A4356" t="str">
        <f>"20190303154856290"</f>
        <v>20190303154856290</v>
      </c>
      <c r="B4356" t="str">
        <f>"1551599336284840"</f>
        <v>1551599336284840</v>
      </c>
      <c r="C4356" t="s">
        <v>40</v>
      </c>
      <c r="D4356">
        <v>5.2121459999999997</v>
      </c>
      <c r="E4356">
        <v>0.51644279999999998</v>
      </c>
      <c r="F4356" t="s">
        <v>41</v>
      </c>
      <c r="G4356">
        <v>-193.7885</v>
      </c>
      <c r="H4356" s="1">
        <v>-1.6574420000000001E-6</v>
      </c>
      <c r="I4356">
        <v>171.10290000000001</v>
      </c>
      <c r="J4356">
        <v>-190.649</v>
      </c>
      <c r="K4356">
        <v>1.119658</v>
      </c>
      <c r="L4356">
        <v>194.66390000000001</v>
      </c>
      <c r="M4356">
        <v>-0.10619190000000001</v>
      </c>
      <c r="N4356">
        <v>-3.7623859999999999E-3</v>
      </c>
      <c r="O4356">
        <v>-0.99433879999999997</v>
      </c>
      <c r="P4356">
        <v>-9.0690170000000001E-2</v>
      </c>
      <c r="Q4356">
        <v>-8.0019629999999994E-2</v>
      </c>
      <c r="R4356">
        <v>-0.99265939999999997</v>
      </c>
      <c r="S4356">
        <v>-0.39601140000000001</v>
      </c>
      <c r="T4356">
        <v>-0.14069379999999901</v>
      </c>
      <c r="U4356">
        <v>-2.9747159999999999</v>
      </c>
      <c r="V4356">
        <v>-1.525162E-2</v>
      </c>
      <c r="W4356">
        <v>-7.6266029999999999E-2</v>
      </c>
      <c r="X4356">
        <v>0.99697080000000005</v>
      </c>
      <c r="Y4356">
        <v>2.58268E-2</v>
      </c>
      <c r="Z4356">
        <v>4.2899029999999998E-2</v>
      </c>
      <c r="AA4356">
        <v>0.99874560000000001</v>
      </c>
      <c r="AB4356">
        <v>18</v>
      </c>
      <c r="AC4356">
        <v>-3.1394999999999902</v>
      </c>
      <c r="AD4356">
        <v>-1.1196596574419999</v>
      </c>
      <c r="AE4356">
        <v>-23.561</v>
      </c>
      <c r="AF4356">
        <v>0.61837141548629904</v>
      </c>
      <c r="AG4356">
        <v>-1.1196596574419999</v>
      </c>
      <c r="AH4356">
        <v>23.708560544249799</v>
      </c>
      <c r="AI4356">
        <v>92.702921718671703</v>
      </c>
      <c r="AJ4356">
        <v>88.505938757703902</v>
      </c>
      <c r="AK4356">
        <v>23.743038222526501</v>
      </c>
      <c r="AL4356">
        <v>94.373969081165399</v>
      </c>
      <c r="AM4356">
        <v>90.876440210384501</v>
      </c>
      <c r="AN4356">
        <v>0.999999947648611</v>
      </c>
    </row>
    <row r="4357" spans="1:40" x14ac:dyDescent="0.25">
      <c r="A4357" t="str">
        <f>"20190303154856311"</f>
        <v>20190303154856311</v>
      </c>
      <c r="B4357" t="str">
        <f>"1551599336305336"</f>
        <v>1551599336305336</v>
      </c>
      <c r="C4357" t="s">
        <v>40</v>
      </c>
      <c r="D4357">
        <v>5.2355929999999997</v>
      </c>
      <c r="E4357">
        <v>0.51682879999999998</v>
      </c>
      <c r="F4357" t="s">
        <v>41</v>
      </c>
      <c r="G4357">
        <v>-193.83680000000001</v>
      </c>
      <c r="H4357" s="1">
        <v>-1.7080019999999901E-6</v>
      </c>
      <c r="I4357">
        <v>171.1908</v>
      </c>
      <c r="J4357">
        <v>-190.6669</v>
      </c>
      <c r="K4357">
        <v>1.1196740000000001</v>
      </c>
      <c r="L4357">
        <v>194.49760000000001</v>
      </c>
      <c r="M4357">
        <v>-0.1063079</v>
      </c>
      <c r="N4357">
        <v>-3.781881E-3</v>
      </c>
      <c r="O4357">
        <v>-0.99432609999999999</v>
      </c>
      <c r="P4357">
        <v>-9.1921719999999998E-2</v>
      </c>
      <c r="Q4357">
        <v>-8.0346959999999995E-2</v>
      </c>
      <c r="R4357">
        <v>-0.99251929999999999</v>
      </c>
      <c r="S4357">
        <v>-0.4038544</v>
      </c>
      <c r="T4357">
        <v>-0.141849799999999</v>
      </c>
      <c r="U4357">
        <v>-2.9738009999999999</v>
      </c>
      <c r="V4357">
        <v>-1.4125540000000001E-2</v>
      </c>
      <c r="W4357">
        <v>-7.6574809999999993E-2</v>
      </c>
      <c r="X4357">
        <v>0.99696379999999996</v>
      </c>
      <c r="Y4357">
        <v>2.8335099999999998E-2</v>
      </c>
      <c r="Z4357">
        <v>4.3266230000000003E-2</v>
      </c>
      <c r="AA4357">
        <v>0.99866169999999999</v>
      </c>
      <c r="AB4357">
        <v>19</v>
      </c>
      <c r="AC4357">
        <v>-3.1699000000000099</v>
      </c>
      <c r="AD4357">
        <v>-1.1196757080019999</v>
      </c>
      <c r="AE4357">
        <v>-23.306799999999999</v>
      </c>
      <c r="AF4357">
        <v>0.672697810116474</v>
      </c>
      <c r="AG4357">
        <v>-1.1196757080019999</v>
      </c>
      <c r="AH4357">
        <v>23.458555354154701</v>
      </c>
      <c r="AI4357">
        <v>92.731529750619003</v>
      </c>
      <c r="AJ4357">
        <v>88.357435686333403</v>
      </c>
      <c r="AK4357">
        <v>23.494893388537999</v>
      </c>
      <c r="AL4357">
        <v>94.391712418706007</v>
      </c>
      <c r="AM4357">
        <v>90.811744292490005</v>
      </c>
      <c r="AN4357">
        <v>1.0000000254586301</v>
      </c>
    </row>
    <row r="4358" spans="1:40" x14ac:dyDescent="0.25">
      <c r="A4358" t="str">
        <f>"20190303154856332"</f>
        <v>20190303154856332</v>
      </c>
      <c r="B4358" t="str">
        <f>"1551599336325175"</f>
        <v>1551599336325175</v>
      </c>
      <c r="C4358" t="s">
        <v>40</v>
      </c>
      <c r="D4358">
        <v>5.1721339999999998</v>
      </c>
      <c r="E4358">
        <v>0.51746170000000002</v>
      </c>
      <c r="F4358" t="s">
        <v>41</v>
      </c>
      <c r="G4358">
        <v>-193.85220000000001</v>
      </c>
      <c r="H4358" s="1">
        <v>-1.8235739999999999E-6</v>
      </c>
      <c r="I4358">
        <v>171.45060000000001</v>
      </c>
      <c r="J4358">
        <v>-190.68620000000001</v>
      </c>
      <c r="K4358">
        <v>1.1196919999999999</v>
      </c>
      <c r="L4358">
        <v>194.31890000000001</v>
      </c>
      <c r="M4358">
        <v>-0.1063969</v>
      </c>
      <c r="N4358">
        <v>-3.8030009999999999E-3</v>
      </c>
      <c r="O4358">
        <v>-0.99431659999999999</v>
      </c>
      <c r="P4358">
        <v>-9.2650969999999999E-2</v>
      </c>
      <c r="Q4358">
        <v>-8.0164490000000005E-2</v>
      </c>
      <c r="R4358">
        <v>-0.99246639999999997</v>
      </c>
      <c r="S4358">
        <v>-0.4108734</v>
      </c>
      <c r="T4358">
        <v>-0.14442829999999901</v>
      </c>
      <c r="U4358">
        <v>-2.972855</v>
      </c>
      <c r="V4358">
        <v>-1.347922E-2</v>
      </c>
      <c r="W4358">
        <v>-7.6372029999999994E-2</v>
      </c>
      <c r="X4358">
        <v>0.99698830000000005</v>
      </c>
      <c r="Y4358">
        <v>3.059711E-2</v>
      </c>
      <c r="Z4358">
        <v>4.4103789999999997E-2</v>
      </c>
      <c r="AA4358">
        <v>0.99855830000000001</v>
      </c>
      <c r="AB4358">
        <v>19</v>
      </c>
      <c r="AC4358">
        <v>-3.1659999999999902</v>
      </c>
      <c r="AD4358">
        <v>-1.1196938235739999</v>
      </c>
      <c r="AE4358">
        <v>-22.868300000000001</v>
      </c>
      <c r="AF4358">
        <v>0.71321752905521596</v>
      </c>
      <c r="AG4358">
        <v>-1.1196938235739999</v>
      </c>
      <c r="AH4358">
        <v>23.0211948571521</v>
      </c>
      <c r="AI4358">
        <v>92.783197040427893</v>
      </c>
      <c r="AJ4358">
        <v>88.225492292175801</v>
      </c>
      <c r="AK4358">
        <v>23.0594407164022</v>
      </c>
      <c r="AL4358">
        <v>94.380059866999304</v>
      </c>
      <c r="AM4358">
        <v>90.774588193493102</v>
      </c>
      <c r="AN4358">
        <v>1.0000000233374999</v>
      </c>
    </row>
    <row r="4359" spans="1:40" x14ac:dyDescent="0.25">
      <c r="A4359" t="str">
        <f>"20190303154856344"</f>
        <v>20190303154856344</v>
      </c>
      <c r="B4359" t="str">
        <f>"1551599336334935"</f>
        <v>1551599336334935</v>
      </c>
      <c r="C4359" t="s">
        <v>40</v>
      </c>
      <c r="D4359">
        <v>5.1375659999999996</v>
      </c>
      <c r="E4359">
        <v>0.51774929999999997</v>
      </c>
      <c r="F4359" t="s">
        <v>41</v>
      </c>
      <c r="G4359">
        <v>-194.05799999999999</v>
      </c>
      <c r="H4359" s="1">
        <v>-1.4100959999999999E-6</v>
      </c>
      <c r="I4359">
        <v>170.35919999999999</v>
      </c>
      <c r="J4359">
        <v>-190.69739999999999</v>
      </c>
      <c r="K4359">
        <v>1.119704</v>
      </c>
      <c r="L4359">
        <v>194.21469999999999</v>
      </c>
      <c r="M4359">
        <v>-0.106433</v>
      </c>
      <c r="N4359">
        <v>-3.8152849999999999E-3</v>
      </c>
      <c r="O4359">
        <v>-0.9943128</v>
      </c>
      <c r="P4359">
        <v>-9.2891509999999997E-2</v>
      </c>
      <c r="Q4359">
        <v>-7.9849799999999999E-2</v>
      </c>
      <c r="R4359">
        <v>-0.99246939999999995</v>
      </c>
      <c r="S4359">
        <v>-0.41831970000000002</v>
      </c>
      <c r="T4359">
        <v>-0.1389118</v>
      </c>
      <c r="U4359">
        <v>-2.9725039999999998</v>
      </c>
      <c r="V4359">
        <v>-1.327418E-2</v>
      </c>
      <c r="W4359">
        <v>-7.6045489999999993E-2</v>
      </c>
      <c r="X4359">
        <v>0.99701600000000001</v>
      </c>
      <c r="Y4359">
        <v>3.3041429999999997E-2</v>
      </c>
      <c r="Z4359">
        <v>4.2262639999999997E-2</v>
      </c>
      <c r="AA4359">
        <v>0.99856</v>
      </c>
      <c r="AB4359">
        <v>19</v>
      </c>
      <c r="AC4359">
        <v>-3.3605999999999998</v>
      </c>
      <c r="AD4359">
        <v>-1.119705410096</v>
      </c>
      <c r="AE4359">
        <v>-23.855499999999999</v>
      </c>
      <c r="AF4359">
        <v>0.80075101918374403</v>
      </c>
      <c r="AG4359">
        <v>-1.119705410096</v>
      </c>
      <c r="AH4359">
        <v>24.025776401529701</v>
      </c>
      <c r="AI4359">
        <v>92.666822570671002</v>
      </c>
      <c r="AJ4359">
        <v>88.091105298186704</v>
      </c>
      <c r="AK4359">
        <v>24.0651797021428</v>
      </c>
      <c r="AL4359">
        <v>94.3612959839204</v>
      </c>
      <c r="AM4359">
        <v>90.762785709160497</v>
      </c>
      <c r="AN4359">
        <v>1.0000000123299999</v>
      </c>
    </row>
    <row r="4360" spans="1:40" x14ac:dyDescent="0.25">
      <c r="A4360" t="str">
        <f>"20190303154856357"</f>
        <v>20190303154856357</v>
      </c>
      <c r="B4360" t="str">
        <f>"1551599336344696"</f>
        <v>1551599336344696</v>
      </c>
      <c r="C4360" t="s">
        <v>40</v>
      </c>
      <c r="D4360">
        <v>5.1244759999999996</v>
      </c>
      <c r="E4360">
        <v>0.51793219999999995</v>
      </c>
      <c r="F4360" t="s">
        <v>41</v>
      </c>
      <c r="G4360">
        <v>-194.1833</v>
      </c>
      <c r="H4360" s="1">
        <v>-1.128842E-6</v>
      </c>
      <c r="I4360">
        <v>169.6259</v>
      </c>
      <c r="J4360">
        <v>-190.70859999999999</v>
      </c>
      <c r="K4360">
        <v>1.119718</v>
      </c>
      <c r="L4360">
        <v>194.10990000000001</v>
      </c>
      <c r="M4360">
        <v>-0.1064562</v>
      </c>
      <c r="N4360">
        <v>-3.8276220000000001E-3</v>
      </c>
      <c r="O4360">
        <v>-0.99431040000000004</v>
      </c>
      <c r="P4360">
        <v>-9.2855649999999998E-2</v>
      </c>
      <c r="Q4360">
        <v>-7.9423980000000005E-2</v>
      </c>
      <c r="R4360">
        <v>-0.99250720000000003</v>
      </c>
      <c r="S4360">
        <v>-0.4213867</v>
      </c>
      <c r="T4360">
        <v>-0.1353558</v>
      </c>
      <c r="U4360">
        <v>-2.9724270000000002</v>
      </c>
      <c r="V4360">
        <v>-1.333405E-2</v>
      </c>
      <c r="W4360">
        <v>-7.5607679999999997E-2</v>
      </c>
      <c r="X4360">
        <v>0.9970485</v>
      </c>
      <c r="Y4360">
        <v>3.4038829999999999E-2</v>
      </c>
      <c r="Z4360">
        <v>4.1071129999999997E-2</v>
      </c>
      <c r="AA4360">
        <v>0.99857620000000002</v>
      </c>
      <c r="AB4360">
        <v>19</v>
      </c>
      <c r="AC4360">
        <v>-3.4747000000000101</v>
      </c>
      <c r="AD4360">
        <v>-1.1197191288420001</v>
      </c>
      <c r="AE4360">
        <v>-24.484000000000002</v>
      </c>
      <c r="AF4360">
        <v>0.84672669738272599</v>
      </c>
      <c r="AG4360">
        <v>-1.1197191288420001</v>
      </c>
      <c r="AH4360">
        <v>24.6642048017688</v>
      </c>
      <c r="AI4360">
        <v>92.597832188806507</v>
      </c>
      <c r="AJ4360">
        <v>88.033797515163201</v>
      </c>
      <c r="AK4360">
        <v>24.704123451989801</v>
      </c>
      <c r="AL4360">
        <v>94.336138881489902</v>
      </c>
      <c r="AM4360">
        <v>90.766200688531697</v>
      </c>
      <c r="AN4360">
        <v>1.0000000147583099</v>
      </c>
    </row>
    <row r="4361" spans="1:40" x14ac:dyDescent="0.25">
      <c r="A4361" t="str">
        <f>"20190303154856375"</f>
        <v>20190303154856375</v>
      </c>
      <c r="B4361" t="str">
        <f>"1551599336365191"</f>
        <v>1551599336365191</v>
      </c>
      <c r="C4361" t="s">
        <v>40</v>
      </c>
      <c r="D4361">
        <v>5.1493440000000001</v>
      </c>
      <c r="E4361">
        <v>0.51832709999999904</v>
      </c>
      <c r="F4361" t="s">
        <v>41</v>
      </c>
      <c r="G4361">
        <v>-194.29990000000001</v>
      </c>
      <c r="H4361" s="1">
        <v>-5.2044230000000001E-6</v>
      </c>
      <c r="I4361">
        <v>168.8526</v>
      </c>
      <c r="J4361">
        <v>-190.7259</v>
      </c>
      <c r="K4361">
        <v>1.119734</v>
      </c>
      <c r="L4361">
        <v>193.9495</v>
      </c>
      <c r="M4361">
        <v>-0.106474</v>
      </c>
      <c r="N4361">
        <v>-3.846365E-3</v>
      </c>
      <c r="O4361">
        <v>-0.99430799999999997</v>
      </c>
      <c r="P4361">
        <v>-9.2640210000000001E-2</v>
      </c>
      <c r="Q4361">
        <v>-7.8872020000000001E-2</v>
      </c>
      <c r="R4361">
        <v>-0.99257119999999999</v>
      </c>
      <c r="S4361">
        <v>-0.42265320000000001</v>
      </c>
      <c r="T4361">
        <v>-0.1317815</v>
      </c>
      <c r="U4361">
        <v>-2.9725649999999999</v>
      </c>
      <c r="V4361">
        <v>-1.3569970000000001E-2</v>
      </c>
      <c r="W4361">
        <v>-7.5037489999999998E-2</v>
      </c>
      <c r="X4361">
        <v>0.99708839999999999</v>
      </c>
      <c r="Y4361">
        <v>3.4438419999999997E-2</v>
      </c>
      <c r="Z4361">
        <v>3.9866239999999997E-2</v>
      </c>
      <c r="AA4361">
        <v>0.99861140000000004</v>
      </c>
      <c r="AB4361">
        <v>19</v>
      </c>
      <c r="AC4361">
        <v>-3.5740000000000101</v>
      </c>
      <c r="AD4361">
        <v>-1.1197392044229999</v>
      </c>
      <c r="AE4361">
        <v>-25.096900000000002</v>
      </c>
      <c r="AF4361">
        <v>0.87977950669270999</v>
      </c>
      <c r="AG4361">
        <v>-1.1197392044229999</v>
      </c>
      <c r="AH4361">
        <v>25.285441298963701</v>
      </c>
      <c r="AI4361">
        <v>92.534095313403199</v>
      </c>
      <c r="AJ4361">
        <v>88.007259380753098</v>
      </c>
      <c r="AK4361">
        <v>25.325508278209401</v>
      </c>
      <c r="AL4361">
        <v>94.303376293360799</v>
      </c>
      <c r="AM4361">
        <v>90.779724256340003</v>
      </c>
      <c r="AN4361">
        <v>1.00000002320293</v>
      </c>
    </row>
    <row r="4362" spans="1:40" x14ac:dyDescent="0.25">
      <c r="A4362" t="str">
        <f>"20190303154856399"</f>
        <v>20190303154856399</v>
      </c>
      <c r="B4362" t="str">
        <f>"1551599336395447"</f>
        <v>1551599336395447</v>
      </c>
      <c r="C4362" t="s">
        <v>40</v>
      </c>
      <c r="D4362">
        <v>5.1303519999999896</v>
      </c>
      <c r="E4362">
        <v>0.51885809999999999</v>
      </c>
      <c r="F4362" t="s">
        <v>41</v>
      </c>
      <c r="G4362">
        <v>-194.51410000000001</v>
      </c>
      <c r="H4362" s="1">
        <v>-4.7133490000000001E-6</v>
      </c>
      <c r="I4362">
        <v>167.47479999999999</v>
      </c>
      <c r="J4362">
        <v>-190.74690000000001</v>
      </c>
      <c r="K4362">
        <v>1.1197469999999901</v>
      </c>
      <c r="L4362">
        <v>193.7534</v>
      </c>
      <c r="M4362">
        <v>-0.1064727</v>
      </c>
      <c r="N4362">
        <v>-3.8690339999999999E-3</v>
      </c>
      <c r="O4362">
        <v>-0.99430810000000003</v>
      </c>
      <c r="P4362">
        <v>-9.2667159999999998E-2</v>
      </c>
      <c r="Q4362">
        <v>-7.8827419999999995E-2</v>
      </c>
      <c r="R4362">
        <v>-0.99257200000000001</v>
      </c>
      <c r="S4362">
        <v>-0.42536930000000001</v>
      </c>
      <c r="T4362">
        <v>-0.12573290000000001</v>
      </c>
      <c r="U4362">
        <v>-2.9727779999999999</v>
      </c>
      <c r="V4362">
        <v>-1.3538659999999999E-2</v>
      </c>
      <c r="W4362">
        <v>-7.4970839999999997E-2</v>
      </c>
      <c r="X4362">
        <v>0.99709380000000003</v>
      </c>
      <c r="Y4362">
        <v>3.5335159999999997E-2</v>
      </c>
      <c r="Z4362">
        <v>3.7836090000000003E-2</v>
      </c>
      <c r="AA4362">
        <v>0.99865899999999996</v>
      </c>
      <c r="AB4362">
        <v>19</v>
      </c>
      <c r="AC4362">
        <v>-3.7671999999999999</v>
      </c>
      <c r="AD4362">
        <v>-1.11975171334899</v>
      </c>
      <c r="AE4362">
        <v>-26.278600000000001</v>
      </c>
      <c r="AF4362">
        <v>0.94612780151345099</v>
      </c>
      <c r="AG4362">
        <v>-1.11975171334899</v>
      </c>
      <c r="AH4362">
        <v>26.4832106162816</v>
      </c>
      <c r="AI4362">
        <v>92.419571669929894</v>
      </c>
      <c r="AJ4362">
        <v>87.953945778317703</v>
      </c>
      <c r="AK4362">
        <v>26.523752492109299</v>
      </c>
      <c r="AL4362">
        <v>94.299546911265097</v>
      </c>
      <c r="AM4362">
        <v>90.777921206913007</v>
      </c>
      <c r="AN4362">
        <v>0.99999998408167001</v>
      </c>
    </row>
    <row r="4363" spans="1:40" x14ac:dyDescent="0.25">
      <c r="A4363" t="str">
        <f>"20190303154856411"</f>
        <v>20190303154856411</v>
      </c>
      <c r="B4363" t="str">
        <f>"1551599336405206"</f>
        <v>1551599336405206</v>
      </c>
      <c r="C4363" t="s">
        <v>40</v>
      </c>
      <c r="D4363">
        <v>5.0942239999999996</v>
      </c>
      <c r="E4363">
        <v>0.51895990000000003</v>
      </c>
      <c r="F4363" t="s">
        <v>41</v>
      </c>
      <c r="G4363">
        <v>-194.73859999999999</v>
      </c>
      <c r="H4363" s="1">
        <v>-4.2409310000000001E-6</v>
      </c>
      <c r="I4363">
        <v>166.14089999999999</v>
      </c>
      <c r="J4363">
        <v>-190.7586</v>
      </c>
      <c r="K4363">
        <v>1.1197509999999999</v>
      </c>
      <c r="L4363">
        <v>193.64400000000001</v>
      </c>
      <c r="M4363">
        <v>-0.106459</v>
      </c>
      <c r="N4363">
        <v>-3.8815730000000001E-3</v>
      </c>
      <c r="O4363">
        <v>-0.99430969999999996</v>
      </c>
      <c r="P4363">
        <v>-9.3047749999999999E-2</v>
      </c>
      <c r="Q4363">
        <v>-7.8634899999999994E-2</v>
      </c>
      <c r="R4363">
        <v>-0.99255170000000004</v>
      </c>
      <c r="S4363">
        <v>-0.42974849999999998</v>
      </c>
      <c r="T4363">
        <v>-0.1205522</v>
      </c>
      <c r="U4363">
        <v>-2.972763</v>
      </c>
      <c r="V4363">
        <v>-1.314329E-2</v>
      </c>
      <c r="W4363">
        <v>-7.4765910000000005E-2</v>
      </c>
      <c r="X4363">
        <v>0.99711450000000001</v>
      </c>
      <c r="Y4363">
        <v>3.6800159999999998E-2</v>
      </c>
      <c r="Z4363">
        <v>3.6104509999999999E-2</v>
      </c>
      <c r="AA4363">
        <v>0.99867019999999995</v>
      </c>
      <c r="AB4363">
        <v>19</v>
      </c>
      <c r="AC4363">
        <v>-3.97999999999998</v>
      </c>
      <c r="AD4363">
        <v>-1.1197552409310001</v>
      </c>
      <c r="AE4363">
        <v>-27.5031</v>
      </c>
      <c r="AF4363">
        <v>1.02773900120094</v>
      </c>
      <c r="AG4363">
        <v>-1.1197552409310001</v>
      </c>
      <c r="AH4363">
        <v>27.725494633404399</v>
      </c>
      <c r="AI4363">
        <v>92.311173900225398</v>
      </c>
      <c r="AJ4363">
        <v>87.877110595866895</v>
      </c>
      <c r="AK4363">
        <v>27.767123580254299</v>
      </c>
      <c r="AL4363">
        <v>94.287772143124798</v>
      </c>
      <c r="AM4363">
        <v>90.755190538997198</v>
      </c>
      <c r="AN4363">
        <v>1.0000000067402</v>
      </c>
    </row>
    <row r="4364" spans="1:40" x14ac:dyDescent="0.25">
      <c r="A4364" t="str">
        <f>"20190303154856425"</f>
        <v>20190303154856425</v>
      </c>
      <c r="B4364" t="str">
        <f>"1551599336414967"</f>
        <v>1551599336414967</v>
      </c>
      <c r="C4364" t="s">
        <v>40</v>
      </c>
      <c r="D4364">
        <v>5.1173650000000004</v>
      </c>
      <c r="E4364">
        <v>0.51899790000000001</v>
      </c>
      <c r="F4364" t="s">
        <v>41</v>
      </c>
      <c r="G4364">
        <v>-194.8409</v>
      </c>
      <c r="H4364" s="1">
        <v>-4.0240339999999996E-6</v>
      </c>
      <c r="I4364">
        <v>165.52879999999999</v>
      </c>
      <c r="J4364">
        <v>-190.77119999999999</v>
      </c>
      <c r="K4364">
        <v>1.1197509999999999</v>
      </c>
      <c r="L4364">
        <v>193.52549999999999</v>
      </c>
      <c r="M4364">
        <v>-0.1064379</v>
      </c>
      <c r="N4364">
        <v>-3.895099E-3</v>
      </c>
      <c r="O4364">
        <v>-0.99431190000000003</v>
      </c>
      <c r="P4364">
        <v>-9.3010700000000002E-2</v>
      </c>
      <c r="Q4364">
        <v>-7.8770309999999996E-2</v>
      </c>
      <c r="R4364">
        <v>-0.9925448</v>
      </c>
      <c r="S4364">
        <v>-0.43162539999999999</v>
      </c>
      <c r="T4364">
        <v>-0.1183932</v>
      </c>
      <c r="U4364">
        <v>-2.9726560000000002</v>
      </c>
      <c r="V4364">
        <v>-1.3157429999999999E-2</v>
      </c>
      <c r="W4364">
        <v>-7.4888040000000003E-2</v>
      </c>
      <c r="X4364">
        <v>0.99710509999999997</v>
      </c>
      <c r="Y4364">
        <v>3.744782E-2</v>
      </c>
      <c r="Z4364">
        <v>3.5375990000000003E-2</v>
      </c>
      <c r="AA4364">
        <v>0.99867220000000001</v>
      </c>
      <c r="AB4364">
        <v>19</v>
      </c>
      <c r="AC4364">
        <v>-4.0697000000000099</v>
      </c>
      <c r="AD4364">
        <v>-1.119755024034</v>
      </c>
      <c r="AE4364">
        <v>-27.996700000000001</v>
      </c>
      <c r="AF4364">
        <v>1.06498071612306</v>
      </c>
      <c r="AG4364">
        <v>-1.119755024034</v>
      </c>
      <c r="AH4364">
        <v>28.2266126713224</v>
      </c>
      <c r="AI4364">
        <v>92.270129601146493</v>
      </c>
      <c r="AJ4364">
        <v>87.839274174420495</v>
      </c>
      <c r="AK4364">
        <v>28.268882152225601</v>
      </c>
      <c r="AL4364">
        <v>94.294789556833095</v>
      </c>
      <c r="AM4364">
        <v>90.756010030741905</v>
      </c>
      <c r="AN4364">
        <v>0.99999995847262702</v>
      </c>
    </row>
    <row r="4365" spans="1:40" x14ac:dyDescent="0.25">
      <c r="A4365" t="str">
        <f>"20190303154856446"</f>
        <v>20190303154856446</v>
      </c>
      <c r="B4365" t="str">
        <f>"1551599336435463"</f>
        <v>1551599336435463</v>
      </c>
      <c r="C4365" t="s">
        <v>40</v>
      </c>
      <c r="D4365">
        <v>5.1204080000000003</v>
      </c>
      <c r="E4365">
        <v>0.51919119999999996</v>
      </c>
      <c r="F4365" t="s">
        <v>41</v>
      </c>
      <c r="G4365">
        <v>-194.84450000000001</v>
      </c>
      <c r="H4365" s="1">
        <v>-4.0060229999999998E-6</v>
      </c>
      <c r="I4365">
        <v>165.4802</v>
      </c>
      <c r="J4365">
        <v>-190.78980000000001</v>
      </c>
      <c r="K4365">
        <v>1.1197569999999999</v>
      </c>
      <c r="L4365">
        <v>193.35210000000001</v>
      </c>
      <c r="M4365">
        <v>-0.1063902</v>
      </c>
      <c r="N4365">
        <v>-3.9147670000000004E-3</v>
      </c>
      <c r="O4365">
        <v>-0.99431709999999995</v>
      </c>
      <c r="P4365">
        <v>-9.2934409999999995E-2</v>
      </c>
      <c r="Q4365">
        <v>-7.9427559999999994E-2</v>
      </c>
      <c r="R4365">
        <v>-0.99249960000000004</v>
      </c>
      <c r="S4365">
        <v>-0.4317474</v>
      </c>
      <c r="T4365">
        <v>-0.118688</v>
      </c>
      <c r="U4365">
        <v>-2.9726409999999999</v>
      </c>
      <c r="V4365">
        <v>-1.3179140000000001E-2</v>
      </c>
      <c r="W4365">
        <v>-7.5526070000000001E-2</v>
      </c>
      <c r="X4365">
        <v>0.99705670000000002</v>
      </c>
      <c r="Y4365">
        <v>3.7536199999999999E-2</v>
      </c>
      <c r="Z4365">
        <v>3.5454359999999997E-2</v>
      </c>
      <c r="AA4365">
        <v>0.9986661</v>
      </c>
      <c r="AB4365">
        <v>19</v>
      </c>
      <c r="AC4365">
        <v>-4.0546999999999898</v>
      </c>
      <c r="AD4365">
        <v>-1.1197610060230001</v>
      </c>
      <c r="AE4365">
        <v>-27.8719</v>
      </c>
      <c r="AF4365">
        <v>1.0646854873207601</v>
      </c>
      <c r="AG4365">
        <v>-1.1197610060230001</v>
      </c>
      <c r="AH4365">
        <v>28.100677041073599</v>
      </c>
      <c r="AI4365">
        <v>92.280291199446296</v>
      </c>
      <c r="AJ4365">
        <v>87.830201026389403</v>
      </c>
      <c r="AK4365">
        <v>28.1431247388104</v>
      </c>
      <c r="AL4365">
        <v>94.331449759246098</v>
      </c>
      <c r="AM4365">
        <v>90.757294071136499</v>
      </c>
      <c r="AN4365">
        <v>0.99999996999783602</v>
      </c>
    </row>
    <row r="4366" spans="1:40" x14ac:dyDescent="0.25">
      <c r="A4366" t="str">
        <f>"20190303154856464"</f>
        <v>20190303154856464</v>
      </c>
      <c r="B4366" t="str">
        <f>"1551599336454983"</f>
        <v>1551599336454983</v>
      </c>
      <c r="C4366" t="s">
        <v>40</v>
      </c>
      <c r="D4366">
        <v>5.0861720000000004</v>
      </c>
      <c r="E4366">
        <v>0.51932959999999995</v>
      </c>
      <c r="F4366" t="s">
        <v>41</v>
      </c>
      <c r="G4366">
        <v>-194.87559999999999</v>
      </c>
      <c r="H4366" s="1">
        <v>-3.9510970000000003E-6</v>
      </c>
      <c r="I4366">
        <v>165.3229</v>
      </c>
      <c r="J4366">
        <v>-190.8081</v>
      </c>
      <c r="K4366">
        <v>1.119761</v>
      </c>
      <c r="L4366">
        <v>193.18029999999999</v>
      </c>
      <c r="M4366">
        <v>-0.10632750000000001</v>
      </c>
      <c r="N4366">
        <v>-3.9342589999999998E-3</v>
      </c>
      <c r="O4366">
        <v>-0.99432359999999997</v>
      </c>
      <c r="P4366">
        <v>-9.3017249999999996E-2</v>
      </c>
      <c r="Q4366">
        <v>-7.9406980000000002E-2</v>
      </c>
      <c r="R4366">
        <v>-0.99249339999999997</v>
      </c>
      <c r="S4366">
        <v>-0.43331910000000001</v>
      </c>
      <c r="T4366">
        <v>-0.11875520000000001</v>
      </c>
      <c r="U4366">
        <v>-2.97261</v>
      </c>
      <c r="V4366">
        <v>-1.3032749999999999E-2</v>
      </c>
      <c r="W4366">
        <v>-7.5486230000000001E-2</v>
      </c>
      <c r="X4366">
        <v>0.99706170000000005</v>
      </c>
      <c r="Y4366">
        <v>3.8117610000000003E-2</v>
      </c>
      <c r="Z4366">
        <v>3.5456260000000003E-2</v>
      </c>
      <c r="AA4366">
        <v>0.99864410000000003</v>
      </c>
      <c r="AB4366">
        <v>20</v>
      </c>
      <c r="AC4366">
        <v>-4.0674999999999901</v>
      </c>
      <c r="AD4366">
        <v>-1.119764951097</v>
      </c>
      <c r="AE4366">
        <v>-27.857399999999899</v>
      </c>
      <c r="AF4366">
        <v>1.0807019964997799</v>
      </c>
      <c r="AG4366">
        <v>-1.119764951097</v>
      </c>
      <c r="AH4366">
        <v>28.0875339880795</v>
      </c>
      <c r="AI4366">
        <v>92.281314035292993</v>
      </c>
      <c r="AJ4366">
        <v>87.796562177191205</v>
      </c>
      <c r="AK4366">
        <v>28.1306124334765</v>
      </c>
      <c r="AL4366">
        <v>94.3291603064649</v>
      </c>
      <c r="AM4366">
        <v>90.748879480311103</v>
      </c>
      <c r="AN4366">
        <v>1.0000000285495301</v>
      </c>
    </row>
    <row r="4367" spans="1:40" x14ac:dyDescent="0.25">
      <c r="A4367" t="str">
        <f>"20190303154856476"</f>
        <v>20190303154856476</v>
      </c>
      <c r="B4367" t="str">
        <f>"1551599336464743"</f>
        <v>1551599336464743</v>
      </c>
      <c r="C4367" t="s">
        <v>40</v>
      </c>
      <c r="D4367">
        <v>5.1282990000000002</v>
      </c>
      <c r="E4367">
        <v>0.51944429999999997</v>
      </c>
      <c r="F4367" t="s">
        <v>41</v>
      </c>
      <c r="G4367">
        <v>-194.947</v>
      </c>
      <c r="H4367" s="1">
        <v>-3.7903450000000001E-6</v>
      </c>
      <c r="I4367">
        <v>164.87129999999999</v>
      </c>
      <c r="J4367">
        <v>-190.81970000000001</v>
      </c>
      <c r="K4367">
        <v>1.1197649999999999</v>
      </c>
      <c r="L4367">
        <v>193.07089999999999</v>
      </c>
      <c r="M4367">
        <v>-0.106281</v>
      </c>
      <c r="N4367">
        <v>-3.9466520000000001E-3</v>
      </c>
      <c r="O4367">
        <v>-0.99432860000000001</v>
      </c>
      <c r="P4367">
        <v>-9.3246880000000004E-2</v>
      </c>
      <c r="Q4367">
        <v>-7.9117320000000005E-2</v>
      </c>
      <c r="R4367">
        <v>-0.99249509999999996</v>
      </c>
      <c r="S4367">
        <v>-0.43460080000000001</v>
      </c>
      <c r="T4367">
        <v>-0.1175793</v>
      </c>
      <c r="U4367">
        <v>-2.9725489999999999</v>
      </c>
      <c r="V4367">
        <v>-1.2757289999999999E-2</v>
      </c>
      <c r="W4367">
        <v>-7.5184169999999995E-2</v>
      </c>
      <c r="X4367">
        <v>0.99708810000000003</v>
      </c>
      <c r="Y4367">
        <v>3.8590869999999999E-2</v>
      </c>
      <c r="Z4367">
        <v>3.5054399999999999E-2</v>
      </c>
      <c r="AA4367">
        <v>0.99864010000000003</v>
      </c>
      <c r="AB4367">
        <v>20</v>
      </c>
      <c r="AC4367">
        <v>-4.1272999999999902</v>
      </c>
      <c r="AD4367">
        <v>-1.119768790345</v>
      </c>
      <c r="AE4367">
        <v>-28.1996</v>
      </c>
      <c r="AF4367">
        <v>1.1051130608276001</v>
      </c>
      <c r="AG4367">
        <v>-1.119768790345</v>
      </c>
      <c r="AH4367">
        <v>28.4346408672526</v>
      </c>
      <c r="AI4367">
        <v>92.253468425398296</v>
      </c>
      <c r="AJ4367">
        <v>87.7743182035573</v>
      </c>
      <c r="AK4367">
        <v>28.478131228552801</v>
      </c>
      <c r="AL4367">
        <v>94.3118041577154</v>
      </c>
      <c r="AM4367">
        <v>90.733033514231593</v>
      </c>
      <c r="AN4367">
        <v>1.00000004351417</v>
      </c>
    </row>
    <row r="4368" spans="1:40" x14ac:dyDescent="0.25">
      <c r="A4368" t="str">
        <f>"20190303154856490"</f>
        <v>20190303154856490</v>
      </c>
      <c r="B4368" t="str">
        <f>"1551599336485239"</f>
        <v>1551599336485239</v>
      </c>
      <c r="C4368" t="s">
        <v>40</v>
      </c>
      <c r="D4368">
        <v>5.0923280000000002</v>
      </c>
      <c r="E4368">
        <v>0.51962159999999902</v>
      </c>
      <c r="F4368" t="s">
        <v>41</v>
      </c>
      <c r="G4368">
        <v>-195.03229999999999</v>
      </c>
      <c r="H4368" s="1">
        <v>-3.6021760000000002E-6</v>
      </c>
      <c r="I4368">
        <v>164.3794</v>
      </c>
      <c r="J4368">
        <v>-190.83240000000001</v>
      </c>
      <c r="K4368">
        <v>1.11978</v>
      </c>
      <c r="L4368">
        <v>192.95179999999999</v>
      </c>
      <c r="M4368">
        <v>-0.1062251</v>
      </c>
      <c r="N4368">
        <v>-3.9600909999999998E-3</v>
      </c>
      <c r="O4368">
        <v>-0.99433450000000001</v>
      </c>
      <c r="P4368">
        <v>-9.3137910000000004E-2</v>
      </c>
      <c r="Q4368">
        <v>-7.8669989999999995E-2</v>
      </c>
      <c r="R4368">
        <v>-0.99254050000000005</v>
      </c>
      <c r="S4368">
        <v>-0.43641659999999999</v>
      </c>
      <c r="T4368">
        <v>-0.116008</v>
      </c>
      <c r="U4368">
        <v>-2.9724430000000002</v>
      </c>
      <c r="V4368">
        <v>-1.2813359999999999E-2</v>
      </c>
      <c r="W4368">
        <v>-7.4723449999999997E-2</v>
      </c>
      <c r="X4368">
        <v>0.99712199999999995</v>
      </c>
      <c r="Y4368">
        <v>3.9252139999999998E-2</v>
      </c>
      <c r="Z4368">
        <v>3.4520660000000002E-2</v>
      </c>
      <c r="AA4368">
        <v>0.99863279999999999</v>
      </c>
      <c r="AB4368">
        <v>20</v>
      </c>
      <c r="AC4368">
        <v>-4.19989999999998</v>
      </c>
      <c r="AD4368">
        <v>-1.1197836021759999</v>
      </c>
      <c r="AE4368">
        <v>-28.572399999999899</v>
      </c>
      <c r="AF4368">
        <v>1.1392951694954601</v>
      </c>
      <c r="AG4368">
        <v>-1.1197836021759999</v>
      </c>
      <c r="AH4368">
        <v>28.813556218626399</v>
      </c>
      <c r="AI4368">
        <v>92.223834600585505</v>
      </c>
      <c r="AJ4368">
        <v>87.735690186457106</v>
      </c>
      <c r="AK4368">
        <v>28.8578053698281</v>
      </c>
      <c r="AL4368">
        <v>94.285332442210006</v>
      </c>
      <c r="AM4368">
        <v>90.736229912606902</v>
      </c>
      <c r="AN4368">
        <v>1.00000002952919</v>
      </c>
    </row>
    <row r="4369" spans="1:40" x14ac:dyDescent="0.25">
      <c r="A4369" t="str">
        <f>"20190303154856503"</f>
        <v>20190303154856503</v>
      </c>
      <c r="B4369" t="str">
        <f>"1551599336495000"</f>
        <v>1551599336495000</v>
      </c>
      <c r="C4369" t="s">
        <v>40</v>
      </c>
      <c r="D4369">
        <v>5.1117309999999998</v>
      </c>
      <c r="E4369">
        <v>0.51968630000000005</v>
      </c>
      <c r="F4369" t="s">
        <v>41</v>
      </c>
      <c r="G4369">
        <v>-195.12540000000001</v>
      </c>
      <c r="H4369" s="1">
        <v>-3.3424700000000002E-6</v>
      </c>
      <c r="I4369">
        <v>163.77760000000001</v>
      </c>
      <c r="J4369">
        <v>-190.84469999999999</v>
      </c>
      <c r="K4369">
        <v>1.119788</v>
      </c>
      <c r="L4369">
        <v>192.83690000000001</v>
      </c>
      <c r="M4369">
        <v>-0.10616730000000001</v>
      </c>
      <c r="N4369">
        <v>-3.9730379999999999E-3</v>
      </c>
      <c r="O4369">
        <v>-0.99434020000000001</v>
      </c>
      <c r="P4369">
        <v>-9.3316300000000005E-2</v>
      </c>
      <c r="Q4369">
        <v>-7.8194680000000003E-2</v>
      </c>
      <c r="R4369">
        <v>-0.99256109999999997</v>
      </c>
      <c r="S4369">
        <v>-0.43739319999999998</v>
      </c>
      <c r="T4369">
        <v>-0.1140907</v>
      </c>
      <c r="U4369">
        <v>-2.972458</v>
      </c>
      <c r="V4369">
        <v>-1.257989E-2</v>
      </c>
      <c r="W4369">
        <v>-7.4235209999999996E-2</v>
      </c>
      <c r="X4369">
        <v>0.99716139999999998</v>
      </c>
      <c r="Y4369">
        <v>3.9633839999999997E-2</v>
      </c>
      <c r="Z4369">
        <v>3.3872230000000003E-2</v>
      </c>
      <c r="AA4369">
        <v>0.99863999999999997</v>
      </c>
      <c r="AB4369">
        <v>20</v>
      </c>
      <c r="AC4369">
        <v>-4.2807000000000199</v>
      </c>
      <c r="AD4369">
        <v>-1.1197913424699999</v>
      </c>
      <c r="AE4369">
        <v>-29.0593</v>
      </c>
      <c r="AF4369">
        <v>1.16963415740893</v>
      </c>
      <c r="AG4369">
        <v>-1.1197913424699999</v>
      </c>
      <c r="AH4369">
        <v>29.306942119227301</v>
      </c>
      <c r="AI4369">
        <v>92.186415805695802</v>
      </c>
      <c r="AJ4369">
        <v>87.714549879910606</v>
      </c>
      <c r="AK4369">
        <v>29.351641063023902</v>
      </c>
      <c r="AL4369">
        <v>94.257280612074794</v>
      </c>
      <c r="AM4369">
        <v>90.722788075107303</v>
      </c>
      <c r="AN4369">
        <v>0.99999998884305796</v>
      </c>
    </row>
    <row r="4370" spans="1:40" x14ac:dyDescent="0.25">
      <c r="A4370" t="str">
        <f>"20190303154856521"</f>
        <v>20190303154856521</v>
      </c>
      <c r="B4370" t="str">
        <f>"1551599336515026"</f>
        <v>1551599336515026</v>
      </c>
      <c r="C4370" t="s">
        <v>40</v>
      </c>
      <c r="D4370">
        <v>5.1970489999999998</v>
      </c>
      <c r="E4370">
        <v>0.51968380000000003</v>
      </c>
      <c r="F4370" t="s">
        <v>41</v>
      </c>
      <c r="G4370">
        <v>-195.2422</v>
      </c>
      <c r="H4370" s="1">
        <v>-3.021492E-6</v>
      </c>
      <c r="I4370">
        <v>163.03280000000001</v>
      </c>
      <c r="J4370">
        <v>-190.86179999999999</v>
      </c>
      <c r="K4370">
        <v>1.1198079999999999</v>
      </c>
      <c r="L4370">
        <v>192.67590000000001</v>
      </c>
      <c r="M4370">
        <v>-0.1060764</v>
      </c>
      <c r="N4370">
        <v>-3.9912460000000004E-3</v>
      </c>
      <c r="O4370">
        <v>-0.99435030000000002</v>
      </c>
      <c r="P4370">
        <v>-9.3547169999999999E-2</v>
      </c>
      <c r="Q4370">
        <v>-7.6695659999999999E-2</v>
      </c>
      <c r="R4370">
        <v>-0.9926566</v>
      </c>
      <c r="S4370">
        <v>-0.43858340000000001</v>
      </c>
      <c r="T4370">
        <v>-0.11168069999999999</v>
      </c>
      <c r="U4370">
        <v>-2.9724729999999999</v>
      </c>
      <c r="V4370">
        <v>-1.226792E-2</v>
      </c>
      <c r="W4370">
        <v>-7.2717710000000005E-2</v>
      </c>
      <c r="X4370">
        <v>0.99727710000000003</v>
      </c>
      <c r="Y4370">
        <v>4.0119849999999999E-2</v>
      </c>
      <c r="Z4370">
        <v>3.3055460000000002E-2</v>
      </c>
      <c r="AA4370">
        <v>0.99864790000000003</v>
      </c>
      <c r="AB4370">
        <v>20</v>
      </c>
      <c r="AC4370">
        <v>-4.3803999999999998</v>
      </c>
      <c r="AD4370">
        <v>-1.1198110214919901</v>
      </c>
      <c r="AE4370">
        <v>-29.6431</v>
      </c>
      <c r="AF4370">
        <v>1.2095387755692699</v>
      </c>
      <c r="AG4370">
        <v>-1.1198110214919901</v>
      </c>
      <c r="AH4370">
        <v>29.898755631020698</v>
      </c>
      <c r="AI4370">
        <v>92.143169675828304</v>
      </c>
      <c r="AJ4370">
        <v>87.683391928723296</v>
      </c>
      <c r="AK4370">
        <v>29.944157177268401</v>
      </c>
      <c r="AL4370">
        <v>94.170098592229294</v>
      </c>
      <c r="AM4370">
        <v>90.704783642595103</v>
      </c>
      <c r="AN4370">
        <v>0.99999999069658996</v>
      </c>
    </row>
    <row r="4371" spans="1:40" x14ac:dyDescent="0.25">
      <c r="A4371" t="str">
        <f>"20190303154856534"</f>
        <v>20190303154856534</v>
      </c>
      <c r="B4371" t="str">
        <f>"1551599336525763"</f>
        <v>1551599336525763</v>
      </c>
      <c r="C4371" t="s">
        <v>40</v>
      </c>
      <c r="D4371">
        <v>5.2131290000000003</v>
      </c>
      <c r="E4371">
        <v>0.51955129999999905</v>
      </c>
      <c r="F4371" t="s">
        <v>41</v>
      </c>
      <c r="G4371">
        <v>-195.38030000000001</v>
      </c>
      <c r="H4371" s="1">
        <v>-2.6105709999999999E-6</v>
      </c>
      <c r="I4371">
        <v>162.08580000000001</v>
      </c>
      <c r="J4371">
        <v>-190.87440000000001</v>
      </c>
      <c r="K4371">
        <v>1.1198159999999999</v>
      </c>
      <c r="L4371">
        <v>192.55629999999999</v>
      </c>
      <c r="M4371">
        <v>-0.106001</v>
      </c>
      <c r="N4371">
        <v>-4.0047599999999996E-3</v>
      </c>
      <c r="O4371">
        <v>-0.99435799999999996</v>
      </c>
      <c r="P4371">
        <v>-9.3406050000000004E-2</v>
      </c>
      <c r="Q4371">
        <v>-7.6299720000000001E-2</v>
      </c>
      <c r="R4371">
        <v>-0.99270029999999998</v>
      </c>
      <c r="S4371">
        <v>-0.43905640000000001</v>
      </c>
      <c r="T4371">
        <v>-0.1088103</v>
      </c>
      <c r="U4371">
        <v>-2.972397</v>
      </c>
      <c r="V4371">
        <v>-1.233629E-2</v>
      </c>
      <c r="W4371">
        <v>-7.2308410000000004E-2</v>
      </c>
      <c r="X4371">
        <v>0.99730600000000003</v>
      </c>
      <c r="Y4371">
        <v>4.0359520000000003E-2</v>
      </c>
      <c r="Z4371">
        <v>3.2092639999999999E-2</v>
      </c>
      <c r="AA4371">
        <v>0.99866969999999999</v>
      </c>
      <c r="AB4371">
        <v>20</v>
      </c>
      <c r="AC4371">
        <v>-4.5058999999999898</v>
      </c>
      <c r="AD4371">
        <v>-1.119818610571</v>
      </c>
      <c r="AE4371">
        <v>-30.470499999999902</v>
      </c>
      <c r="AF4371">
        <v>1.24893347066269</v>
      </c>
      <c r="AG4371">
        <v>-1.119818610571</v>
      </c>
      <c r="AH4371">
        <v>30.735836516445101</v>
      </c>
      <c r="AI4371">
        <v>92.0848522928828</v>
      </c>
      <c r="AJ4371">
        <v>87.673098279141996</v>
      </c>
      <c r="AK4371">
        <v>30.781576874818501</v>
      </c>
      <c r="AL4371">
        <v>94.146585599960702</v>
      </c>
      <c r="AM4371">
        <v>90.708690517998804</v>
      </c>
      <c r="AN4371">
        <v>0.99999997392184503</v>
      </c>
    </row>
    <row r="4372" spans="1:40" x14ac:dyDescent="0.25">
      <c r="A4372" t="str">
        <f>"20190303154856547"</f>
        <v>20190303154856547</v>
      </c>
      <c r="B4372" t="str">
        <f>"1551599336535523"</f>
        <v>1551599336535523</v>
      </c>
      <c r="C4372" t="s">
        <v>40</v>
      </c>
      <c r="D4372">
        <v>5.0938980000000003</v>
      </c>
      <c r="E4372">
        <v>0.5195727</v>
      </c>
      <c r="F4372" t="s">
        <v>41</v>
      </c>
      <c r="G4372">
        <v>-195.3442</v>
      </c>
      <c r="H4372" s="1">
        <v>-2.6503740000000002E-6</v>
      </c>
      <c r="I4372">
        <v>162.19030000000001</v>
      </c>
      <c r="J4372">
        <v>-190.8861</v>
      </c>
      <c r="K4372">
        <v>1.119823</v>
      </c>
      <c r="L4372">
        <v>192.44640000000001</v>
      </c>
      <c r="M4372">
        <v>-0.1059277</v>
      </c>
      <c r="N4372">
        <v>-4.0180789999999999E-3</v>
      </c>
      <c r="O4372">
        <v>-0.99436590000000002</v>
      </c>
      <c r="P4372">
        <v>-9.3644699999999997E-2</v>
      </c>
      <c r="Q4372">
        <v>-7.5765410000000005E-2</v>
      </c>
      <c r="R4372">
        <v>-0.99271880000000001</v>
      </c>
      <c r="S4372">
        <v>-0.43753049999999999</v>
      </c>
      <c r="T4372">
        <v>-0.1096152</v>
      </c>
      <c r="U4372">
        <v>-2.9724270000000002</v>
      </c>
      <c r="V4372">
        <v>-1.2026230000000001E-2</v>
      </c>
      <c r="W4372">
        <v>-7.1760729999999995E-2</v>
      </c>
      <c r="X4372">
        <v>0.99734940000000005</v>
      </c>
      <c r="Y4372">
        <v>3.9928749999999999E-2</v>
      </c>
      <c r="Z4372">
        <v>3.234749E-2</v>
      </c>
      <c r="AA4372">
        <v>0.99867879999999998</v>
      </c>
      <c r="AB4372">
        <v>20</v>
      </c>
      <c r="AC4372">
        <v>-4.4581</v>
      </c>
      <c r="AD4372">
        <v>-1.1198256503740001</v>
      </c>
      <c r="AE4372">
        <v>-30.2561</v>
      </c>
      <c r="AF4372">
        <v>1.2263889457169901</v>
      </c>
      <c r="AG4372">
        <v>-1.1198256503740001</v>
      </c>
      <c r="AH4372">
        <v>30.517195626855401</v>
      </c>
      <c r="AI4372">
        <v>92.099826999526897</v>
      </c>
      <c r="AJ4372">
        <v>87.698703329630604</v>
      </c>
      <c r="AK4372">
        <v>30.562350502884701</v>
      </c>
      <c r="AL4372">
        <v>94.115123885971599</v>
      </c>
      <c r="AM4372">
        <v>90.690849996306994</v>
      </c>
      <c r="AN4372">
        <v>1.0000000291292499</v>
      </c>
    </row>
    <row r="4373" spans="1:40" x14ac:dyDescent="0.25">
      <c r="A4373" t="str">
        <f>"20190303154856565"</f>
        <v>20190303154856565</v>
      </c>
      <c r="B4373" t="str">
        <f>"1551599336555043"</f>
        <v>1551599336555043</v>
      </c>
      <c r="C4373" t="s">
        <v>40</v>
      </c>
      <c r="D4373">
        <v>5.2749009999999998</v>
      </c>
      <c r="E4373">
        <v>0.51959279999999997</v>
      </c>
      <c r="F4373" t="s">
        <v>41</v>
      </c>
      <c r="G4373">
        <v>-195.43940000000001</v>
      </c>
      <c r="H4373" s="1">
        <v>-2.3879259999999999E-6</v>
      </c>
      <c r="I4373">
        <v>161.58150000000001</v>
      </c>
      <c r="J4373">
        <v>-190.9041</v>
      </c>
      <c r="K4373">
        <v>1.1198360000000001</v>
      </c>
      <c r="L4373">
        <v>192.27600000000001</v>
      </c>
      <c r="M4373">
        <v>-0.10580489999999999</v>
      </c>
      <c r="N4373">
        <v>-4.0409280000000001E-3</v>
      </c>
      <c r="O4373">
        <v>-0.99437900000000001</v>
      </c>
      <c r="P4373">
        <v>-9.3549919999999995E-2</v>
      </c>
      <c r="Q4373">
        <v>-7.5272309999999995E-2</v>
      </c>
      <c r="R4373">
        <v>-0.99276549999999997</v>
      </c>
      <c r="S4373">
        <v>-0.43850709999999998</v>
      </c>
      <c r="T4373">
        <v>-0.1078441</v>
      </c>
      <c r="U4373">
        <v>-2.9724270000000002</v>
      </c>
      <c r="V4373">
        <v>-1.200147E-2</v>
      </c>
      <c r="W4373">
        <v>-7.1244950000000001E-2</v>
      </c>
      <c r="X4373">
        <v>0.99738660000000001</v>
      </c>
      <c r="Y4373">
        <v>4.0376120000000001E-2</v>
      </c>
      <c r="Z4373">
        <v>3.1738040000000002E-2</v>
      </c>
      <c r="AA4373">
        <v>0.99868040000000002</v>
      </c>
      <c r="AB4373">
        <v>20</v>
      </c>
      <c r="AC4373">
        <v>-4.5353000000000003</v>
      </c>
      <c r="AD4373">
        <v>-1.1198383879260001</v>
      </c>
      <c r="AE4373">
        <v>-30.694499999999898</v>
      </c>
      <c r="AF4373">
        <v>1.2605465168885801</v>
      </c>
      <c r="AG4373">
        <v>-1.1198383879260001</v>
      </c>
      <c r="AH4373">
        <v>30.961736301609001</v>
      </c>
      <c r="AI4373">
        <v>92.069684208909294</v>
      </c>
      <c r="AJ4373">
        <v>87.668602005159997</v>
      </c>
      <c r="AK4373">
        <v>31.007614070525999</v>
      </c>
      <c r="AL4373">
        <v>94.085496341155903</v>
      </c>
      <c r="AM4373">
        <v>90.689402077487202</v>
      </c>
      <c r="AN4373">
        <v>0.99999995402110997</v>
      </c>
    </row>
    <row r="4374" spans="1:40" x14ac:dyDescent="0.25">
      <c r="A4374" t="str">
        <f>"20190303154856577"</f>
        <v>20190303154856577</v>
      </c>
      <c r="B4374" t="str">
        <f>"1551599336564804"</f>
        <v>1551599336564804</v>
      </c>
      <c r="C4374" t="s">
        <v>40</v>
      </c>
      <c r="D4374">
        <v>5.0959519999999996</v>
      </c>
      <c r="E4374">
        <v>0.51966210000000002</v>
      </c>
      <c r="F4374" t="s">
        <v>41</v>
      </c>
      <c r="G4374">
        <v>-195.47839999999999</v>
      </c>
      <c r="H4374" s="1">
        <v>-2.247765E-6</v>
      </c>
      <c r="I4374">
        <v>161.26310000000001</v>
      </c>
      <c r="J4374">
        <v>-190.91540000000001</v>
      </c>
      <c r="K4374">
        <v>1.1198410000000001</v>
      </c>
      <c r="L4374">
        <v>192.16900000000001</v>
      </c>
      <c r="M4374">
        <v>-0.105722</v>
      </c>
      <c r="N4374">
        <v>-4.0568030000000003E-3</v>
      </c>
      <c r="O4374">
        <v>-0.99438760000000004</v>
      </c>
      <c r="P4374">
        <v>-9.3278959999999994E-2</v>
      </c>
      <c r="Q4374">
        <v>-7.5341749999999999E-2</v>
      </c>
      <c r="R4374">
        <v>-0.99278560000000005</v>
      </c>
      <c r="S4374">
        <v>-0.43841550000000001</v>
      </c>
      <c r="T4374">
        <v>-0.1073302</v>
      </c>
      <c r="U4374">
        <v>-2.9724119999999998</v>
      </c>
      <c r="V4374">
        <v>-1.21888E-2</v>
      </c>
      <c r="W4374">
        <v>-7.1298790000000001E-2</v>
      </c>
      <c r="X4374">
        <v>0.99738059999999995</v>
      </c>
      <c r="Y4374">
        <v>4.043091E-2</v>
      </c>
      <c r="Z4374">
        <v>3.1552820000000002E-2</v>
      </c>
      <c r="AA4374">
        <v>0.99868400000000002</v>
      </c>
      <c r="AB4374">
        <v>20</v>
      </c>
      <c r="AC4374">
        <v>-4.5629999999999802</v>
      </c>
      <c r="AD4374">
        <v>-1.119843247765</v>
      </c>
      <c r="AE4374">
        <v>-30.905899999999999</v>
      </c>
      <c r="AF4374">
        <v>1.26833764337466</v>
      </c>
      <c r="AG4374">
        <v>-1.119843247765</v>
      </c>
      <c r="AH4374">
        <v>31.1750488582937</v>
      </c>
      <c r="AI4374">
        <v>92.0555460695455</v>
      </c>
      <c r="AJ4374">
        <v>87.670241386777207</v>
      </c>
      <c r="AK4374">
        <v>31.220928887433299</v>
      </c>
      <c r="AL4374">
        <v>94.088588524577403</v>
      </c>
      <c r="AM4374">
        <v>90.700166048778101</v>
      </c>
      <c r="AN4374">
        <v>1.00000007277862</v>
      </c>
    </row>
    <row r="4375" spans="1:40" x14ac:dyDescent="0.25">
      <c r="A4375" t="str">
        <f>"20190303154856590"</f>
        <v>20190303154856590</v>
      </c>
      <c r="B4375" t="str">
        <f>"1551599336585299"</f>
        <v>1551599336585299</v>
      </c>
      <c r="C4375" t="s">
        <v>40</v>
      </c>
      <c r="D4375">
        <v>5.1009849999999997</v>
      </c>
      <c r="E4375">
        <v>0.51970430000000001</v>
      </c>
      <c r="F4375" t="s">
        <v>41</v>
      </c>
      <c r="G4375">
        <v>-195.5205</v>
      </c>
      <c r="H4375" s="1">
        <v>-2.0948869999999999E-6</v>
      </c>
      <c r="I4375">
        <v>160.916</v>
      </c>
      <c r="J4375">
        <v>-190.92769999999999</v>
      </c>
      <c r="K4375">
        <v>1.1198410000000001</v>
      </c>
      <c r="L4375">
        <v>192.05199999999999</v>
      </c>
      <c r="M4375">
        <v>-0.1056247</v>
      </c>
      <c r="N4375">
        <v>-4.0754679999999996E-3</v>
      </c>
      <c r="O4375">
        <v>-0.99439789999999995</v>
      </c>
      <c r="P4375">
        <v>-9.3025269999999993E-2</v>
      </c>
      <c r="Q4375">
        <v>-7.5047550000000005E-2</v>
      </c>
      <c r="R4375">
        <v>-0.99283169999999998</v>
      </c>
      <c r="S4375">
        <v>-0.43800349999999999</v>
      </c>
      <c r="T4375">
        <v>-0.1065115</v>
      </c>
      <c r="U4375">
        <v>-2.9725649999999999</v>
      </c>
      <c r="V4375">
        <v>-1.2347449999999999E-2</v>
      </c>
      <c r="W4375">
        <v>-7.0986090000000002E-2</v>
      </c>
      <c r="X4375">
        <v>0.99740090000000003</v>
      </c>
      <c r="Y4375">
        <v>4.038709E-2</v>
      </c>
      <c r="Z4375">
        <v>3.1262320000000003E-2</v>
      </c>
      <c r="AA4375">
        <v>0.99869490000000005</v>
      </c>
      <c r="AB4375">
        <v>20</v>
      </c>
      <c r="AC4375">
        <v>-4.5928000000000102</v>
      </c>
      <c r="AD4375">
        <v>-1.119843094887</v>
      </c>
      <c r="AE4375">
        <v>-31.135999999999999</v>
      </c>
      <c r="AF4375">
        <v>1.2767340253094199</v>
      </c>
      <c r="AG4375">
        <v>-1.119843094887</v>
      </c>
      <c r="AH4375">
        <v>31.407179368375999</v>
      </c>
      <c r="AI4375">
        <v>92.040368897022802</v>
      </c>
      <c r="AJ4375">
        <v>87.672149547466006</v>
      </c>
      <c r="AK4375">
        <v>31.453060490290799</v>
      </c>
      <c r="AL4375">
        <v>94.070626838671103</v>
      </c>
      <c r="AM4375">
        <v>90.709264083890503</v>
      </c>
      <c r="AN4375">
        <v>1.0000000199079</v>
      </c>
    </row>
    <row r="4376" spans="1:40" x14ac:dyDescent="0.25">
      <c r="A4376" t="str">
        <f>"20190303154856602"</f>
        <v>20190303154856602</v>
      </c>
      <c r="B4376" t="str">
        <f>"1551599336595059"</f>
        <v>1551599336595059</v>
      </c>
      <c r="C4376" t="s">
        <v>40</v>
      </c>
      <c r="D4376">
        <v>5.1419949999999996</v>
      </c>
      <c r="E4376">
        <v>0.51975890000000002</v>
      </c>
      <c r="F4376" t="s">
        <v>41</v>
      </c>
      <c r="G4376">
        <v>-195.60230000000001</v>
      </c>
      <c r="H4376" s="1">
        <v>-1.825656E-6</v>
      </c>
      <c r="I4376">
        <v>160.3004</v>
      </c>
      <c r="J4376">
        <v>-190.93969999999999</v>
      </c>
      <c r="K4376">
        <v>1.119847</v>
      </c>
      <c r="L4376">
        <v>191.9384</v>
      </c>
      <c r="M4376">
        <v>-0.10552640000000001</v>
      </c>
      <c r="N4376">
        <v>-4.0941220000000004E-3</v>
      </c>
      <c r="O4376">
        <v>-0.99440839999999997</v>
      </c>
      <c r="P4376">
        <v>-9.2450569999999996E-2</v>
      </c>
      <c r="Q4376">
        <v>-7.5363949999999999E-2</v>
      </c>
      <c r="R4376">
        <v>-0.99286160000000001</v>
      </c>
      <c r="S4376">
        <v>-0.4376526</v>
      </c>
      <c r="T4376">
        <v>-0.1048452</v>
      </c>
      <c r="U4376">
        <v>-2.9727480000000002</v>
      </c>
      <c r="V4376">
        <v>-1.2822299999999899E-2</v>
      </c>
      <c r="W4376">
        <v>-7.1284319999999998E-2</v>
      </c>
      <c r="X4376">
        <v>0.99737359999999997</v>
      </c>
      <c r="Y4376">
        <v>4.0364270000000001E-2</v>
      </c>
      <c r="Z4376">
        <v>3.0690800000000001E-2</v>
      </c>
      <c r="AA4376">
        <v>0.99871359999999998</v>
      </c>
      <c r="AB4376">
        <v>20</v>
      </c>
      <c r="AC4376">
        <v>-4.6626000000000198</v>
      </c>
      <c r="AD4376">
        <v>-1.119848825656</v>
      </c>
      <c r="AE4376">
        <v>-31.638000000000002</v>
      </c>
      <c r="AF4376">
        <v>1.2963052603027001</v>
      </c>
      <c r="AG4376">
        <v>-1.119848825656</v>
      </c>
      <c r="AH4376">
        <v>31.914243816699599</v>
      </c>
      <c r="AI4376">
        <v>92.007990491393898</v>
      </c>
      <c r="AJ4376">
        <v>87.674016192939604</v>
      </c>
      <c r="AK4376">
        <v>31.960185029376198</v>
      </c>
      <c r="AL4376">
        <v>94.087757712240403</v>
      </c>
      <c r="AM4376">
        <v>90.736557698120507</v>
      </c>
      <c r="AN4376">
        <v>0.99999998181605598</v>
      </c>
    </row>
    <row r="4377" spans="1:40" x14ac:dyDescent="0.25">
      <c r="A4377" t="str">
        <f>"20190303154856616"</f>
        <v>20190303154856616</v>
      </c>
      <c r="B4377" t="str">
        <f>"1551599336604819"</f>
        <v>1551599336604819</v>
      </c>
      <c r="C4377" t="s">
        <v>40</v>
      </c>
      <c r="D4377">
        <v>5.1019199999999998</v>
      </c>
      <c r="E4377">
        <v>0.51981529999999998</v>
      </c>
      <c r="F4377" t="s">
        <v>41</v>
      </c>
      <c r="G4377">
        <v>-195.5838</v>
      </c>
      <c r="H4377" s="1">
        <v>-1.808763E-6</v>
      </c>
      <c r="I4377">
        <v>160.27500000000001</v>
      </c>
      <c r="J4377">
        <v>-190.95359999999999</v>
      </c>
      <c r="K4377">
        <v>1.119853</v>
      </c>
      <c r="L4377">
        <v>191.80619999999999</v>
      </c>
      <c r="M4377">
        <v>-0.1054022</v>
      </c>
      <c r="N4377">
        <v>-4.1165120000000001E-3</v>
      </c>
      <c r="O4377">
        <v>-0.99442120000000001</v>
      </c>
      <c r="P4377">
        <v>-9.1680239999999996E-2</v>
      </c>
      <c r="Q4377">
        <v>-7.5292590000000006E-2</v>
      </c>
      <c r="R4377">
        <v>-0.99293819999999999</v>
      </c>
      <c r="S4377">
        <v>-0.4360504</v>
      </c>
      <c r="T4377">
        <v>-0.1051463</v>
      </c>
      <c r="U4377">
        <v>-2.9729770000000002</v>
      </c>
      <c r="V4377">
        <v>-1.3470609999999999E-2</v>
      </c>
      <c r="W4377">
        <v>-7.1191039999999997E-2</v>
      </c>
      <c r="X4377">
        <v>0.99737169999999997</v>
      </c>
      <c r="Y4377">
        <v>3.9950680000000002E-2</v>
      </c>
      <c r="Z4377">
        <v>3.0767820000000001E-2</v>
      </c>
      <c r="AA4377">
        <v>0.9987279</v>
      </c>
      <c r="AB4377">
        <v>21</v>
      </c>
      <c r="AC4377">
        <v>-4.6302000000000003</v>
      </c>
      <c r="AD4377">
        <v>-1.119854808763</v>
      </c>
      <c r="AE4377">
        <v>-31.531199999999899</v>
      </c>
      <c r="AF4377">
        <v>1.2793423246234401</v>
      </c>
      <c r="AG4377">
        <v>-1.119854808763</v>
      </c>
      <c r="AH4377">
        <v>31.804325128207001</v>
      </c>
      <c r="AI4377">
        <v>92.014967266458996</v>
      </c>
      <c r="AJ4377">
        <v>87.696495111657597</v>
      </c>
      <c r="AK4377">
        <v>31.8497392208631</v>
      </c>
      <c r="AL4377">
        <v>94.082399618559805</v>
      </c>
      <c r="AM4377">
        <v>90.773795943639996</v>
      </c>
      <c r="AN4377">
        <v>0.99999996473547104</v>
      </c>
    </row>
    <row r="4378" spans="1:40" x14ac:dyDescent="0.25">
      <c r="A4378" t="str">
        <f>"20190303154856636"</f>
        <v>20190303154856636</v>
      </c>
      <c r="B4378" t="str">
        <f>"1551599336625316"</f>
        <v>1551599336625316</v>
      </c>
      <c r="C4378" t="s">
        <v>40</v>
      </c>
      <c r="D4378">
        <v>5.1489510000000003</v>
      </c>
      <c r="E4378">
        <v>0.51985939999999997</v>
      </c>
      <c r="F4378" t="s">
        <v>41</v>
      </c>
      <c r="G4378">
        <v>-195.61789999999999</v>
      </c>
      <c r="H4378" s="1">
        <v>-1.62564E-6</v>
      </c>
      <c r="I4378">
        <v>159.86850000000001</v>
      </c>
      <c r="J4378">
        <v>-190.971</v>
      </c>
      <c r="K4378">
        <v>1.119864</v>
      </c>
      <c r="L4378">
        <v>191.6405</v>
      </c>
      <c r="M4378">
        <v>-0.1052346</v>
      </c>
      <c r="N4378">
        <v>-4.1445049999999997E-3</v>
      </c>
      <c r="O4378">
        <v>-0.99443899999999996</v>
      </c>
      <c r="P4378">
        <v>-9.0348209999999998E-2</v>
      </c>
      <c r="Q4378">
        <v>-7.5550640000000002E-2</v>
      </c>
      <c r="R4378">
        <v>-0.9930409</v>
      </c>
      <c r="S4378">
        <v>-0.43423460000000003</v>
      </c>
      <c r="T4378">
        <v>-0.10425570000000001</v>
      </c>
      <c r="U4378">
        <v>-2.973328</v>
      </c>
      <c r="V4378">
        <v>-1.463601E-2</v>
      </c>
      <c r="W4378">
        <v>-7.1421960000000007E-2</v>
      </c>
      <c r="X4378">
        <v>0.99733879999999997</v>
      </c>
      <c r="Y4378">
        <v>3.9506569999999998E-2</v>
      </c>
      <c r="Z4378">
        <v>3.0443709999999999E-2</v>
      </c>
      <c r="AA4378">
        <v>0.99875550000000002</v>
      </c>
      <c r="AB4378">
        <v>21</v>
      </c>
      <c r="AC4378">
        <v>-4.6469000000000102</v>
      </c>
      <c r="AD4378">
        <v>-1.1198656256399999</v>
      </c>
      <c r="AE4378">
        <v>-31.771999999999899</v>
      </c>
      <c r="AF4378">
        <v>1.27600354186744</v>
      </c>
      <c r="AG4378">
        <v>-1.1198656256399999</v>
      </c>
      <c r="AH4378">
        <v>32.045621374965201</v>
      </c>
      <c r="AI4378">
        <v>91.999859190426704</v>
      </c>
      <c r="AJ4378">
        <v>87.719781588584794</v>
      </c>
      <c r="AK4378">
        <v>32.090561437375499</v>
      </c>
      <c r="AL4378">
        <v>94.095663999396706</v>
      </c>
      <c r="AM4378">
        <v>90.840758838836294</v>
      </c>
      <c r="AN4378">
        <v>0.99999999557219998</v>
      </c>
    </row>
    <row r="4379" spans="1:40" x14ac:dyDescent="0.25">
      <c r="A4379" t="str">
        <f>"20190303154856658"</f>
        <v>20190303154856658</v>
      </c>
      <c r="B4379" t="str">
        <f>"1551599336644835"</f>
        <v>1551599336644835</v>
      </c>
      <c r="C4379" t="s">
        <v>40</v>
      </c>
      <c r="D4379">
        <v>5.2413730000000003</v>
      </c>
      <c r="E4379">
        <v>0.51959449999999996</v>
      </c>
      <c r="F4379" t="s">
        <v>59</v>
      </c>
      <c r="G4379">
        <v>-195.60980000000001</v>
      </c>
      <c r="H4379" s="1">
        <v>-1.497193E-5</v>
      </c>
      <c r="I4379">
        <v>159.5942</v>
      </c>
      <c r="J4379">
        <v>-190.99350000000001</v>
      </c>
      <c r="K4379">
        <v>1.119882</v>
      </c>
      <c r="L4379">
        <v>191.4256</v>
      </c>
      <c r="M4379">
        <v>-0.1049969</v>
      </c>
      <c r="N4379">
        <v>-4.182786E-3</v>
      </c>
      <c r="O4379">
        <v>-0.9944636</v>
      </c>
      <c r="P4379">
        <v>-8.9067670000000002E-2</v>
      </c>
      <c r="Q4379">
        <v>-7.5648699999999999E-2</v>
      </c>
      <c r="R4379">
        <v>-0.99314860000000005</v>
      </c>
      <c r="S4379">
        <v>-0.4304962</v>
      </c>
      <c r="T4379">
        <v>-0.10392750000000001</v>
      </c>
      <c r="U4379">
        <v>-2.9739689999999999</v>
      </c>
      <c r="V4379">
        <v>-1.568029E-2</v>
      </c>
      <c r="W4379">
        <v>-7.1482790000000004E-2</v>
      </c>
      <c r="X4379">
        <v>0.99731860000000006</v>
      </c>
      <c r="Y4379">
        <v>3.8485730000000003E-2</v>
      </c>
      <c r="Z4379">
        <v>3.029449E-2</v>
      </c>
      <c r="AA4379">
        <v>0.99879980000000002</v>
      </c>
      <c r="AB4379">
        <v>21</v>
      </c>
      <c r="AC4379">
        <v>-4.6162999999999901</v>
      </c>
      <c r="AD4379">
        <v>-1.11989697192999</v>
      </c>
      <c r="AE4379">
        <v>-31.831399999999999</v>
      </c>
      <c r="AF4379">
        <v>1.24704333153529</v>
      </c>
      <c r="AG4379">
        <v>-1.11989697192999</v>
      </c>
      <c r="AH4379">
        <v>32.101235957526299</v>
      </c>
      <c r="AI4379">
        <v>91.996529208518893</v>
      </c>
      <c r="AJ4379">
        <v>87.775337673952507</v>
      </c>
      <c r="AK4379">
        <v>32.144962844888298</v>
      </c>
      <c r="AL4379">
        <v>94.099158110693494</v>
      </c>
      <c r="AM4379">
        <v>90.9007557079089</v>
      </c>
      <c r="AN4379">
        <v>1.0000000253333099</v>
      </c>
    </row>
    <row r="4380" spans="1:40" x14ac:dyDescent="0.25">
      <c r="A4380" t="str">
        <f>"20190303154856679"</f>
        <v>20190303154856679</v>
      </c>
      <c r="B4380" t="str">
        <f>"1551599336675091"</f>
        <v>1551599336675091</v>
      </c>
      <c r="C4380" t="s">
        <v>40</v>
      </c>
      <c r="D4380">
        <v>5.1503959999999998</v>
      </c>
      <c r="E4380">
        <v>0.47838589999999998</v>
      </c>
      <c r="F4380" t="s">
        <v>59</v>
      </c>
      <c r="G4380">
        <v>-195.56360000000001</v>
      </c>
      <c r="H4380" s="1">
        <v>-1.492757E-5</v>
      </c>
      <c r="I4380">
        <v>159.4179</v>
      </c>
      <c r="J4380">
        <v>-191.01410000000001</v>
      </c>
      <c r="K4380">
        <v>1.119904</v>
      </c>
      <c r="L4380">
        <v>191.2278</v>
      </c>
      <c r="M4380">
        <v>-0.1047539</v>
      </c>
      <c r="N4380">
        <v>-4.2215569999999999E-3</v>
      </c>
      <c r="O4380">
        <v>-0.99448939999999997</v>
      </c>
      <c r="P4380">
        <v>-8.7481420000000004E-2</v>
      </c>
      <c r="Q4380">
        <v>-7.6093579999999994E-2</v>
      </c>
      <c r="R4380">
        <v>-0.99325580000000002</v>
      </c>
      <c r="S4380">
        <v>-0.42472840000000001</v>
      </c>
      <c r="T4380">
        <v>-0.1040789</v>
      </c>
      <c r="U4380">
        <v>-2.9746700000000001</v>
      </c>
      <c r="V4380">
        <v>-1.702275E-2</v>
      </c>
      <c r="W4380">
        <v>-7.1890270000000006E-2</v>
      </c>
      <c r="X4380">
        <v>0.99726720000000002</v>
      </c>
      <c r="Y4380">
        <v>3.6799129999999999E-2</v>
      </c>
      <c r="Z4380">
        <v>3.030476E-2</v>
      </c>
      <c r="AA4380">
        <v>0.9988631</v>
      </c>
      <c r="AB4380">
        <v>21</v>
      </c>
      <c r="AC4380">
        <v>-4.5494999999999903</v>
      </c>
      <c r="AD4380">
        <v>-1.1199189275699999</v>
      </c>
      <c r="AE4380">
        <v>-31.809899999999999</v>
      </c>
      <c r="AF4380">
        <v>1.1907824506439</v>
      </c>
      <c r="AG4380">
        <v>-1.1199189275699999</v>
      </c>
      <c r="AH4380">
        <v>32.072509280717803</v>
      </c>
      <c r="AI4380">
        <v>91.998485387328898</v>
      </c>
      <c r="AJ4380">
        <v>87.873709088649704</v>
      </c>
      <c r="AK4380">
        <v>32.114140698620901</v>
      </c>
      <c r="AL4380">
        <v>94.122565623915506</v>
      </c>
      <c r="AM4380">
        <v>90.977909452591703</v>
      </c>
      <c r="AN4380">
        <v>0.99999992656703496</v>
      </c>
    </row>
    <row r="4381" spans="1:40" x14ac:dyDescent="0.25">
      <c r="A4381" t="str">
        <f>"20190303154856703"</f>
        <v>20190303154856703</v>
      </c>
      <c r="B4381" t="str">
        <f>"1551599336695587"</f>
        <v>1551599336695587</v>
      </c>
      <c r="C4381" t="s">
        <v>40</v>
      </c>
      <c r="D4381">
        <v>5.2059930000000003</v>
      </c>
      <c r="E4381">
        <v>0.47711019999999998</v>
      </c>
      <c r="F4381" t="s">
        <v>41</v>
      </c>
      <c r="G4381">
        <v>-191.71860000000001</v>
      </c>
      <c r="H4381" s="1">
        <v>-4.4973860000000004E-6</v>
      </c>
      <c r="I4381">
        <v>168.2037</v>
      </c>
      <c r="J4381">
        <v>-191.0369</v>
      </c>
      <c r="K4381">
        <v>1.119928</v>
      </c>
      <c r="L4381">
        <v>191.00829999999999</v>
      </c>
      <c r="M4381">
        <v>-0.1044506</v>
      </c>
      <c r="N4381">
        <v>-4.2708449999999997E-3</v>
      </c>
      <c r="O4381">
        <v>-0.99452079999999998</v>
      </c>
      <c r="P4381">
        <v>-8.5873179999999993E-2</v>
      </c>
      <c r="Q4381">
        <v>-7.5624529999999995E-2</v>
      </c>
      <c r="R4381">
        <v>-0.99343170000000003</v>
      </c>
      <c r="S4381">
        <v>-9.1827389999999995E-2</v>
      </c>
      <c r="T4381">
        <v>-0.14597460000000001</v>
      </c>
      <c r="U4381">
        <v>-3.0010829999999999</v>
      </c>
      <c r="V4381">
        <v>-1.8332560000000001E-2</v>
      </c>
      <c r="W4381">
        <v>-7.1373430000000002E-2</v>
      </c>
      <c r="X4381">
        <v>0.99728119999999998</v>
      </c>
      <c r="Y4381">
        <v>-7.4007210000000004E-2</v>
      </c>
      <c r="Z4381">
        <v>4.384772E-2</v>
      </c>
      <c r="AA4381">
        <v>0.99629330000000005</v>
      </c>
      <c r="AB4381">
        <v>21</v>
      </c>
      <c r="AC4381">
        <v>-0.68170000000000597</v>
      </c>
      <c r="AD4381">
        <v>-1.1199324973860001</v>
      </c>
      <c r="AE4381">
        <v>-22.804599999999901</v>
      </c>
      <c r="AF4381">
        <v>-1.6999088871690899</v>
      </c>
      <c r="AG4381">
        <v>-1.1199324973860001</v>
      </c>
      <c r="AH4381">
        <v>22.696372970635299</v>
      </c>
      <c r="AI4381">
        <v>92.817040885796601</v>
      </c>
      <c r="AJ4381">
        <v>94.283331623697293</v>
      </c>
      <c r="AK4381">
        <v>22.7874808841513</v>
      </c>
      <c r="AL4381">
        <v>94.092876218361596</v>
      </c>
      <c r="AM4381">
        <v>91.053123257349696</v>
      </c>
      <c r="AN4381">
        <v>1.0000000205697701</v>
      </c>
    </row>
    <row r="4382" spans="1:40" x14ac:dyDescent="0.25">
      <c r="A4382" t="str">
        <f>"20190303154856723"</f>
        <v>20190303154856723</v>
      </c>
      <c r="B4382" t="str">
        <f>"1551599336715107"</f>
        <v>1551599336715107</v>
      </c>
      <c r="C4382" t="s">
        <v>40</v>
      </c>
      <c r="D4382">
        <v>5.1440809999999999</v>
      </c>
      <c r="E4382">
        <v>0.47610350000000001</v>
      </c>
      <c r="F4382" t="s">
        <v>41</v>
      </c>
      <c r="G4382">
        <v>-191.61150000000001</v>
      </c>
      <c r="H4382" s="1">
        <v>-4.6179140000000003E-6</v>
      </c>
      <c r="I4382">
        <v>168.56700000000001</v>
      </c>
      <c r="J4382">
        <v>-191.05719999999999</v>
      </c>
      <c r="K4382">
        <v>1.1199600000000001</v>
      </c>
      <c r="L4382">
        <v>190.8115</v>
      </c>
      <c r="M4382">
        <v>-0.104146</v>
      </c>
      <c r="N4382">
        <v>-4.3220969999999996E-3</v>
      </c>
      <c r="O4382">
        <v>-0.99455300000000002</v>
      </c>
      <c r="P4382">
        <v>-8.4683469999999997E-2</v>
      </c>
      <c r="Q4382">
        <v>-7.5545070000000006E-2</v>
      </c>
      <c r="R4382">
        <v>-0.99354030000000004</v>
      </c>
      <c r="S4382">
        <v>-7.685852E-2</v>
      </c>
      <c r="T4382">
        <v>-0.14980289999999999</v>
      </c>
      <c r="U4382">
        <v>-3.0017550000000002</v>
      </c>
      <c r="V4382">
        <v>-1.921819E-2</v>
      </c>
      <c r="W4382">
        <v>-7.1244310000000005E-2</v>
      </c>
      <c r="X4382">
        <v>0.99727370000000004</v>
      </c>
      <c r="Y4382">
        <v>-7.8672510000000001E-2</v>
      </c>
      <c r="Z4382">
        <v>4.5040160000000003E-2</v>
      </c>
      <c r="AA4382">
        <v>0.9958825</v>
      </c>
      <c r="AB4382">
        <v>21</v>
      </c>
      <c r="AC4382">
        <v>-0.55430000000001201</v>
      </c>
      <c r="AD4382">
        <v>-1.1199646179139999</v>
      </c>
      <c r="AE4382">
        <v>-22.244499999999899</v>
      </c>
      <c r="AF4382">
        <v>-1.76094971881002</v>
      </c>
      <c r="AG4382">
        <v>-1.1199646179139999</v>
      </c>
      <c r="AH4382">
        <v>22.125210600281701</v>
      </c>
      <c r="AI4382">
        <v>92.888684602058206</v>
      </c>
      <c r="AJ4382">
        <v>94.550589445140901</v>
      </c>
      <c r="AK4382">
        <v>22.223415776256701</v>
      </c>
      <c r="AL4382">
        <v>94.085459547326707</v>
      </c>
      <c r="AM4382">
        <v>91.103994723589693</v>
      </c>
      <c r="AN4382">
        <v>0.99999996162297</v>
      </c>
    </row>
    <row r="4383" spans="1:40" x14ac:dyDescent="0.25">
      <c r="A4383" t="str">
        <f>"20190303154856745"</f>
        <v>20190303154856745</v>
      </c>
      <c r="B4383" t="str">
        <f>"1551599336735603"</f>
        <v>1551599336735603</v>
      </c>
      <c r="C4383" t="s">
        <v>40</v>
      </c>
      <c r="D4383">
        <v>5.1431769999999997</v>
      </c>
      <c r="E4383">
        <v>0.4756301</v>
      </c>
      <c r="F4383" t="s">
        <v>41</v>
      </c>
      <c r="G4383">
        <v>-191.53630000000001</v>
      </c>
      <c r="H4383" s="1">
        <v>-4.6726090000000004E-6</v>
      </c>
      <c r="I4383">
        <v>168.74420000000001</v>
      </c>
      <c r="J4383">
        <v>-191.07830000000001</v>
      </c>
      <c r="K4383">
        <v>1.119993</v>
      </c>
      <c r="L4383">
        <v>190.6069</v>
      </c>
      <c r="M4383">
        <v>-0.1037988</v>
      </c>
      <c r="N4383">
        <v>-4.3815479999999999E-3</v>
      </c>
      <c r="O4383">
        <v>-0.99458880000000005</v>
      </c>
      <c r="P4383">
        <v>-8.4189970000000003E-2</v>
      </c>
      <c r="Q4383">
        <v>-7.5346750000000004E-2</v>
      </c>
      <c r="R4383">
        <v>-0.99359699999999995</v>
      </c>
      <c r="S4383">
        <v>-6.5185549999999995E-2</v>
      </c>
      <c r="T4383">
        <v>-0.1523767</v>
      </c>
      <c r="U4383">
        <v>-3.0023650000000002</v>
      </c>
      <c r="V4383">
        <v>-1.9363100000000001E-2</v>
      </c>
      <c r="W4383">
        <v>-7.0987809999999998E-2</v>
      </c>
      <c r="X4383">
        <v>0.99728919999999999</v>
      </c>
      <c r="Y4383">
        <v>-8.2199069999999999E-2</v>
      </c>
      <c r="Z4383">
        <v>4.58135E-2</v>
      </c>
      <c r="AA4383">
        <v>0.99556239999999996</v>
      </c>
      <c r="AB4383">
        <v>21</v>
      </c>
      <c r="AC4383">
        <v>-0.45799999999999802</v>
      </c>
      <c r="AD4383">
        <v>-1.119997672609</v>
      </c>
      <c r="AE4383">
        <v>-21.862699999999901</v>
      </c>
      <c r="AF4383">
        <v>-1.8090719117058001</v>
      </c>
      <c r="AG4383">
        <v>-1.119997672609</v>
      </c>
      <c r="AH4383">
        <v>21.735126450337301</v>
      </c>
      <c r="AI4383">
        <v>92.939660201330398</v>
      </c>
      <c r="AJ4383">
        <v>94.757912014417201</v>
      </c>
      <c r="AK4383">
        <v>21.839021447412101</v>
      </c>
      <c r="AL4383">
        <v>94.070725825382098</v>
      </c>
      <c r="AM4383">
        <v>91.112299755236407</v>
      </c>
      <c r="AN4383">
        <v>0.99999997362342197</v>
      </c>
    </row>
    <row r="4384" spans="1:40" x14ac:dyDescent="0.25">
      <c r="A4384" t="str">
        <f>"20190303154856760"</f>
        <v>20190303154856760</v>
      </c>
      <c r="B4384" t="str">
        <f>"1551599336755123"</f>
        <v>1551599336755123</v>
      </c>
      <c r="C4384" t="s">
        <v>40</v>
      </c>
      <c r="D4384">
        <v>5.1909359999999998</v>
      </c>
      <c r="E4384">
        <v>0.47528429999999999</v>
      </c>
      <c r="F4384" t="s">
        <v>41</v>
      </c>
      <c r="G4384">
        <v>-191.5121</v>
      </c>
      <c r="H4384" s="1">
        <v>-4.6997269999999998E-6</v>
      </c>
      <c r="I4384">
        <v>168.82599999999999</v>
      </c>
      <c r="J4384">
        <v>-191.09370000000001</v>
      </c>
      <c r="K4384">
        <v>1.1200190000000001</v>
      </c>
      <c r="L4384">
        <v>190.45599999999999</v>
      </c>
      <c r="M4384">
        <v>-0.1035242</v>
      </c>
      <c r="N4384">
        <v>-4.4286630000000002E-3</v>
      </c>
      <c r="O4384">
        <v>-0.99461730000000004</v>
      </c>
      <c r="P4384">
        <v>-8.384395E-2</v>
      </c>
      <c r="Q4384">
        <v>-7.5363390000000002E-2</v>
      </c>
      <c r="R4384">
        <v>-0.99362499999999998</v>
      </c>
      <c r="S4384">
        <v>-5.9799190000000002E-2</v>
      </c>
      <c r="T4384">
        <v>-0.15439629999999999</v>
      </c>
      <c r="U4384">
        <v>-3.0025789999999999</v>
      </c>
      <c r="V4384">
        <v>-1.943162E-2</v>
      </c>
      <c r="W4384">
        <v>-7.0958350000000003E-2</v>
      </c>
      <c r="X4384">
        <v>0.99729000000000001</v>
      </c>
      <c r="Y4384">
        <v>-8.3710660000000006E-2</v>
      </c>
      <c r="Z4384">
        <v>4.6425950000000001E-2</v>
      </c>
      <c r="AA4384">
        <v>0.99540810000000002</v>
      </c>
      <c r="AB4384">
        <v>21</v>
      </c>
      <c r="AC4384">
        <v>-0.418399999999991</v>
      </c>
      <c r="AD4384">
        <v>-1.1200236997269899</v>
      </c>
      <c r="AE4384">
        <v>-21.6299999999999</v>
      </c>
      <c r="AF4384">
        <v>-1.8182247017386299</v>
      </c>
      <c r="AG4384">
        <v>-1.1200236997269899</v>
      </c>
      <c r="AH4384">
        <v>21.499468882247999</v>
      </c>
      <c r="AI4384">
        <v>92.971562872655795</v>
      </c>
      <c r="AJ4384">
        <v>94.834040255580405</v>
      </c>
      <c r="AK4384">
        <v>21.605266866500699</v>
      </c>
      <c r="AL4384">
        <v>94.069033477308395</v>
      </c>
      <c r="AM4384">
        <v>91.116233949467897</v>
      </c>
      <c r="AN4384">
        <v>1.0000000096952699</v>
      </c>
    </row>
    <row r="4385" spans="1:40" x14ac:dyDescent="0.25">
      <c r="A4385" t="str">
        <f>"20190303154856778"</f>
        <v>20190303154856778</v>
      </c>
      <c r="B4385" t="str">
        <f>"1551599336764883"</f>
        <v>1551599336764883</v>
      </c>
      <c r="C4385" t="s">
        <v>40</v>
      </c>
      <c r="D4385">
        <v>5.1878539999999997</v>
      </c>
      <c r="E4385">
        <v>0.47519610000000001</v>
      </c>
      <c r="F4385" t="s">
        <v>41</v>
      </c>
      <c r="G4385">
        <v>-191.4957</v>
      </c>
      <c r="H4385" s="1">
        <v>-4.7199039999999996E-6</v>
      </c>
      <c r="I4385">
        <v>168.8861</v>
      </c>
      <c r="J4385">
        <v>-191.1112</v>
      </c>
      <c r="K4385">
        <v>1.1200509999999999</v>
      </c>
      <c r="L4385">
        <v>190.285</v>
      </c>
      <c r="M4385">
        <v>-0.10318090000000001</v>
      </c>
      <c r="N4385">
        <v>-4.4875280000000002E-3</v>
      </c>
      <c r="O4385">
        <v>-0.9946526</v>
      </c>
      <c r="P4385">
        <v>-8.4021879999999993E-2</v>
      </c>
      <c r="Q4385">
        <v>-7.5114349999999996E-2</v>
      </c>
      <c r="R4385">
        <v>-0.99362899999999998</v>
      </c>
      <c r="S4385">
        <v>-5.595398E-2</v>
      </c>
      <c r="T4385">
        <v>-0.155915</v>
      </c>
      <c r="U4385">
        <v>-3.0026700000000002</v>
      </c>
      <c r="V4385">
        <v>-1.8907509999999999E-2</v>
      </c>
      <c r="W4385">
        <v>-7.0651259999999994E-2</v>
      </c>
      <c r="X4385">
        <v>0.99732180000000004</v>
      </c>
      <c r="Y4385">
        <v>-8.4641569999999999E-2</v>
      </c>
      <c r="Z4385">
        <v>4.6865589999999999E-2</v>
      </c>
      <c r="AA4385">
        <v>0.99530870000000005</v>
      </c>
      <c r="AB4385">
        <v>22</v>
      </c>
      <c r="AC4385">
        <v>-0.38450000000000201</v>
      </c>
      <c r="AD4385">
        <v>-1.120055719904</v>
      </c>
      <c r="AE4385">
        <v>-21.398900000000001</v>
      </c>
      <c r="AF4385">
        <v>-1.8205459434601099</v>
      </c>
      <c r="AG4385">
        <v>-1.120055719904</v>
      </c>
      <c r="AH4385">
        <v>21.266113757895599</v>
      </c>
      <c r="AI4385">
        <v>93.003933719542104</v>
      </c>
      <c r="AJ4385">
        <v>94.893037667747805</v>
      </c>
      <c r="AK4385">
        <v>21.373266168550199</v>
      </c>
      <c r="AL4385">
        <v>94.051394554109393</v>
      </c>
      <c r="AM4385">
        <v>91.086099556144404</v>
      </c>
      <c r="AN4385">
        <v>0.99999993361461104</v>
      </c>
    </row>
    <row r="4386" spans="1:40" x14ac:dyDescent="0.25">
      <c r="A4386" t="str">
        <f>"20190303154856800"</f>
        <v>20190303154856800</v>
      </c>
      <c r="B4386" t="str">
        <f>"1551599336795139"</f>
        <v>1551599336795139</v>
      </c>
      <c r="C4386" t="s">
        <v>40</v>
      </c>
      <c r="D4386">
        <v>5.1720899999999999</v>
      </c>
      <c r="E4386">
        <v>0.47490710000000003</v>
      </c>
      <c r="F4386" t="s">
        <v>41</v>
      </c>
      <c r="G4386">
        <v>-191.51179999999999</v>
      </c>
      <c r="H4386" s="1">
        <v>-4.6910379999999901E-6</v>
      </c>
      <c r="I4386">
        <v>168.80350000000001</v>
      </c>
      <c r="J4386">
        <v>-191.1327</v>
      </c>
      <c r="K4386">
        <v>1.120096</v>
      </c>
      <c r="L4386">
        <v>190.0727</v>
      </c>
      <c r="M4386">
        <v>-0.1027101</v>
      </c>
      <c r="N4386">
        <v>-4.5650059999999999E-3</v>
      </c>
      <c r="O4386">
        <v>-0.99470099999999995</v>
      </c>
      <c r="P4386">
        <v>-8.4088579999999996E-2</v>
      </c>
      <c r="Q4386">
        <v>-7.4770119999999995E-2</v>
      </c>
      <c r="R4386">
        <v>-0.99364949999999996</v>
      </c>
      <c r="S4386">
        <v>-5.5999760000000003E-2</v>
      </c>
      <c r="T4386">
        <v>-0.1565619</v>
      </c>
      <c r="U4386">
        <v>-3.0026860000000002</v>
      </c>
      <c r="V4386">
        <v>-1.8365909999999999E-2</v>
      </c>
      <c r="W4386">
        <v>-7.023074E-2</v>
      </c>
      <c r="X4386">
        <v>0.99736170000000002</v>
      </c>
      <c r="Y4386">
        <v>-8.4154859999999998E-2</v>
      </c>
      <c r="Z4386">
        <v>4.7005329999999998E-2</v>
      </c>
      <c r="AA4386">
        <v>0.99534339999999999</v>
      </c>
      <c r="AB4386">
        <v>22</v>
      </c>
      <c r="AC4386">
        <v>-0.379099999999993</v>
      </c>
      <c r="AD4386">
        <v>-1.120100691038</v>
      </c>
      <c r="AE4386">
        <v>-21.269199999999898</v>
      </c>
      <c r="AF4386">
        <v>-1.80249165249562</v>
      </c>
      <c r="AG4386">
        <v>-1.120100691038</v>
      </c>
      <c r="AH4386">
        <v>21.1370469824219</v>
      </c>
      <c r="AI4386">
        <v>93.022448328490597</v>
      </c>
      <c r="AJ4386">
        <v>94.874186527488902</v>
      </c>
      <c r="AK4386">
        <v>21.243313226813001</v>
      </c>
      <c r="AL4386">
        <v>94.027240214823493</v>
      </c>
      <c r="AM4386">
        <v>91.054953496434393</v>
      </c>
      <c r="AN4386">
        <v>1.00000001205898</v>
      </c>
    </row>
    <row r="4387" spans="1:40" x14ac:dyDescent="0.25">
      <c r="A4387" t="str">
        <f>"20190303154856813"</f>
        <v>20190303154856813</v>
      </c>
      <c r="B4387" t="str">
        <f>"1551599336804900"</f>
        <v>1551599336804900</v>
      </c>
      <c r="C4387" t="s">
        <v>40</v>
      </c>
      <c r="D4387">
        <v>5.1690639999999997</v>
      </c>
      <c r="E4387">
        <v>0.47480820000000001</v>
      </c>
      <c r="F4387" t="s">
        <v>41</v>
      </c>
      <c r="G4387">
        <v>-191.51499999999999</v>
      </c>
      <c r="H4387" s="1">
        <v>-4.6824280000000002E-6</v>
      </c>
      <c r="I4387">
        <v>168.77959999999999</v>
      </c>
      <c r="J4387">
        <v>-191.14590000000001</v>
      </c>
      <c r="K4387">
        <v>1.1201289999999999</v>
      </c>
      <c r="L4387">
        <v>189.94120000000001</v>
      </c>
      <c r="M4387">
        <v>-0.1023753</v>
      </c>
      <c r="N4387">
        <v>-4.6139650000000003E-3</v>
      </c>
      <c r="O4387">
        <v>-0.99473540000000005</v>
      </c>
      <c r="P4387">
        <v>-8.4330849999999999E-2</v>
      </c>
      <c r="Q4387">
        <v>-7.4369530000000003E-2</v>
      </c>
      <c r="R4387">
        <v>-0.99365879999999995</v>
      </c>
      <c r="S4387">
        <v>-5.39093E-2</v>
      </c>
      <c r="T4387">
        <v>-0.1579555</v>
      </c>
      <c r="U4387">
        <v>-3.0027309999999998</v>
      </c>
      <c r="V4387">
        <v>-1.778627E-2</v>
      </c>
      <c r="W4387">
        <v>-6.9781940000000001E-2</v>
      </c>
      <c r="X4387">
        <v>0.9974037</v>
      </c>
      <c r="Y4387">
        <v>-8.4512580000000004E-2</v>
      </c>
      <c r="Z4387">
        <v>4.7415590000000001E-2</v>
      </c>
      <c r="AA4387">
        <v>0.9952936</v>
      </c>
      <c r="AB4387">
        <v>22</v>
      </c>
      <c r="AC4387">
        <v>-0.369099999999974</v>
      </c>
      <c r="AD4387">
        <v>-1.1201336824279999</v>
      </c>
      <c r="AE4387">
        <v>-21.1616</v>
      </c>
      <c r="AF4387">
        <v>-1.79426131176213</v>
      </c>
      <c r="AG4387">
        <v>-1.1201336824279999</v>
      </c>
      <c r="AH4387">
        <v>21.029295773358601</v>
      </c>
      <c r="AI4387">
        <v>93.037983611015804</v>
      </c>
      <c r="AJ4387">
        <v>94.876778612824495</v>
      </c>
      <c r="AK4387">
        <v>21.135405220737798</v>
      </c>
      <c r="AL4387">
        <v>94.001462650588806</v>
      </c>
      <c r="AM4387">
        <v>91.021622641288104</v>
      </c>
      <c r="AN4387">
        <v>1.0000000056621801</v>
      </c>
    </row>
    <row r="4388" spans="1:40" x14ac:dyDescent="0.25">
      <c r="A4388" t="str">
        <f>"20190303154856837"</f>
        <v>20190303154856837</v>
      </c>
      <c r="B4388" t="str">
        <f>"1551599336825395"</f>
        <v>1551599336825395</v>
      </c>
      <c r="C4388" t="s">
        <v>40</v>
      </c>
      <c r="D4388">
        <v>5.2653910000000002</v>
      </c>
      <c r="E4388">
        <v>0.47473789999999999</v>
      </c>
      <c r="F4388" t="s">
        <v>41</v>
      </c>
      <c r="G4388">
        <v>-191.52809999999999</v>
      </c>
      <c r="H4388" s="1">
        <v>-4.6066309999999999E-6</v>
      </c>
      <c r="I4388">
        <v>168.5762</v>
      </c>
      <c r="J4388">
        <v>-191.1671</v>
      </c>
      <c r="K4388">
        <v>1.1201859999999999</v>
      </c>
      <c r="L4388">
        <v>189.7294</v>
      </c>
      <c r="M4388">
        <v>-0.1017943</v>
      </c>
      <c r="N4388">
        <v>-4.6912940000000004E-3</v>
      </c>
      <c r="O4388">
        <v>-0.99479470000000003</v>
      </c>
      <c r="P4388">
        <v>-8.4886399999999904E-2</v>
      </c>
      <c r="Q4388">
        <v>-7.4150350000000004E-2</v>
      </c>
      <c r="R4388">
        <v>-0.99362819999999996</v>
      </c>
      <c r="S4388">
        <v>-5.3710939999999999E-2</v>
      </c>
      <c r="T4388">
        <v>-0.15743219999999999</v>
      </c>
      <c r="U4388">
        <v>-3.0028079999999999</v>
      </c>
      <c r="V4388">
        <v>-1.6639930000000001E-2</v>
      </c>
      <c r="W4388">
        <v>-6.9486480000000003E-2</v>
      </c>
      <c r="X4388">
        <v>0.99744409999999994</v>
      </c>
      <c r="Y4388">
        <v>-8.3996429999999997E-2</v>
      </c>
      <c r="Z4388">
        <v>4.7170999999999998E-2</v>
      </c>
      <c r="AA4388">
        <v>0.99534889999999998</v>
      </c>
      <c r="AB4388">
        <v>22</v>
      </c>
      <c r="AC4388">
        <v>-0.36099999999999</v>
      </c>
      <c r="AD4388">
        <v>-1.1201906066309999</v>
      </c>
      <c r="AE4388">
        <v>-21.153199999999998</v>
      </c>
      <c r="AF4388">
        <v>-1.7891575633543</v>
      </c>
      <c r="AG4388">
        <v>-1.1201906066309999</v>
      </c>
      <c r="AH4388">
        <v>21.0211314392504</v>
      </c>
      <c r="AI4388">
        <v>93.0393692792709</v>
      </c>
      <c r="AJ4388">
        <v>94.864852962850193</v>
      </c>
      <c r="AK4388">
        <v>21.126852078999701</v>
      </c>
      <c r="AL4388">
        <v>93.984492887934096</v>
      </c>
      <c r="AM4388">
        <v>90.955752135934702</v>
      </c>
      <c r="AN4388">
        <v>0.99999999539900197</v>
      </c>
    </row>
    <row r="4389" spans="1:40" x14ac:dyDescent="0.25">
      <c r="A4389" t="str">
        <f>"20190303154856857"</f>
        <v>20190303154856857</v>
      </c>
      <c r="B4389" t="str">
        <f>"1551599336844915"</f>
        <v>1551599336844915</v>
      </c>
      <c r="C4389" t="s">
        <v>40</v>
      </c>
      <c r="D4389">
        <v>5.2039739999999997</v>
      </c>
      <c r="E4389">
        <v>0.47462530000000003</v>
      </c>
      <c r="F4389" t="s">
        <v>41</v>
      </c>
      <c r="G4389">
        <v>-191.55240000000001</v>
      </c>
      <c r="H4389" s="1">
        <v>-4.630341E-6</v>
      </c>
      <c r="I4389">
        <v>168.6267</v>
      </c>
      <c r="J4389">
        <v>-191.18790000000001</v>
      </c>
      <c r="K4389">
        <v>1.1202379999999901</v>
      </c>
      <c r="L4389">
        <v>189.52029999999999</v>
      </c>
      <c r="M4389">
        <v>-0.1011494</v>
      </c>
      <c r="N4389">
        <v>-4.764272E-3</v>
      </c>
      <c r="O4389">
        <v>-0.99485999999999997</v>
      </c>
      <c r="P4389">
        <v>-8.528782E-2</v>
      </c>
      <c r="Q4389">
        <v>-7.4070479999999994E-2</v>
      </c>
      <c r="R4389">
        <v>-0.99359940000000002</v>
      </c>
      <c r="S4389">
        <v>-5.4824829999999998E-2</v>
      </c>
      <c r="T4389">
        <v>-0.15938820000000001</v>
      </c>
      <c r="U4389">
        <v>-3.00264</v>
      </c>
      <c r="V4389">
        <v>-1.5582779999999999E-2</v>
      </c>
      <c r="W4389">
        <v>-6.9334789999999993E-2</v>
      </c>
      <c r="X4389">
        <v>0.99747169999999996</v>
      </c>
      <c r="Y4389">
        <v>-8.2980730000000003E-2</v>
      </c>
      <c r="Z4389">
        <v>4.7751050000000003E-2</v>
      </c>
      <c r="AA4389">
        <v>0.99540640000000002</v>
      </c>
      <c r="AB4389">
        <v>22</v>
      </c>
      <c r="AC4389">
        <v>-0.364499999999992</v>
      </c>
      <c r="AD4389">
        <v>-1.12024263034099</v>
      </c>
      <c r="AE4389">
        <v>-20.8935999999999</v>
      </c>
      <c r="AF4389">
        <v>-1.7457511813654301</v>
      </c>
      <c r="AG4389">
        <v>-1.12024263034099</v>
      </c>
      <c r="AH4389">
        <v>20.76363708997</v>
      </c>
      <c r="AI4389">
        <v>93.077398798173903</v>
      </c>
      <c r="AJ4389">
        <v>94.805972997945901</v>
      </c>
      <c r="AK4389">
        <v>20.8669886649236</v>
      </c>
      <c r="AL4389">
        <v>93.975780802918095</v>
      </c>
      <c r="AM4389">
        <v>90.895017777987803</v>
      </c>
      <c r="AN4389">
        <v>0.99999996421888004</v>
      </c>
    </row>
    <row r="4390" spans="1:40" x14ac:dyDescent="0.25">
      <c r="A4390" t="str">
        <f>"20190303154856880"</f>
        <v>20190303154856880</v>
      </c>
      <c r="B4390" t="str">
        <f>"1551599336875171"</f>
        <v>1551599336875171</v>
      </c>
      <c r="C4390" t="s">
        <v>40</v>
      </c>
      <c r="D4390">
        <v>5.1907489999999896</v>
      </c>
      <c r="E4390">
        <v>0.47445850000000001</v>
      </c>
      <c r="F4390" t="s">
        <v>41</v>
      </c>
      <c r="G4390">
        <v>-191.5735</v>
      </c>
      <c r="H4390" s="1">
        <v>-4.6069730000000004E-6</v>
      </c>
      <c r="I4390">
        <v>168.55609999999999</v>
      </c>
      <c r="J4390">
        <v>-191.20949999999999</v>
      </c>
      <c r="K4390">
        <v>1.120301</v>
      </c>
      <c r="L4390">
        <v>189.29949999999999</v>
      </c>
      <c r="M4390">
        <v>-0.10038329999999999</v>
      </c>
      <c r="N4390">
        <v>-4.8395909999999999E-3</v>
      </c>
      <c r="O4390">
        <v>-0.99493730000000002</v>
      </c>
      <c r="P4390">
        <v>-8.5495139999999997E-2</v>
      </c>
      <c r="Q4390">
        <v>-7.4203740000000004E-2</v>
      </c>
      <c r="R4390">
        <v>-0.99357189999999995</v>
      </c>
      <c r="S4390">
        <v>-5.5236819999999999E-2</v>
      </c>
      <c r="T4390">
        <v>-0.16044839999999999</v>
      </c>
      <c r="U4390">
        <v>-3.0026250000000001</v>
      </c>
      <c r="V4390">
        <v>-1.4595779999999999E-2</v>
      </c>
      <c r="W4390">
        <v>-6.9394120000000004E-2</v>
      </c>
      <c r="X4390">
        <v>0.99748250000000005</v>
      </c>
      <c r="Y4390">
        <v>-8.207681E-2</v>
      </c>
      <c r="Z4390">
        <v>4.8032650000000003E-2</v>
      </c>
      <c r="AA4390">
        <v>0.99546780000000001</v>
      </c>
      <c r="AB4390">
        <v>22</v>
      </c>
      <c r="AC4390">
        <v>-0.36400000000000399</v>
      </c>
      <c r="AD4390">
        <v>-1.120305606973</v>
      </c>
      <c r="AE4390">
        <v>-20.743400000000001</v>
      </c>
      <c r="AF4390">
        <v>-1.7151522266566099</v>
      </c>
      <c r="AG4390">
        <v>-1.120305606973</v>
      </c>
      <c r="AH4390">
        <v>20.615046927856199</v>
      </c>
      <c r="AI4390">
        <v>93.099936721490195</v>
      </c>
      <c r="AJ4390">
        <v>94.756000540826903</v>
      </c>
      <c r="AK4390">
        <v>20.716587355337602</v>
      </c>
      <c r="AL4390">
        <v>93.979188388975501</v>
      </c>
      <c r="AM4390">
        <v>90.838327403570901</v>
      </c>
      <c r="AN4390">
        <v>0.99999995924531504</v>
      </c>
    </row>
    <row r="4391" spans="1:40" x14ac:dyDescent="0.25">
      <c r="A4391" t="str">
        <f>"20190303154856893"</f>
        <v>20190303154856893</v>
      </c>
      <c r="B4391" t="str">
        <f>"1551599336884932"</f>
        <v>1551599336884932</v>
      </c>
      <c r="C4391" t="s">
        <v>40</v>
      </c>
      <c r="D4391">
        <v>5.214461</v>
      </c>
      <c r="E4391">
        <v>0.47439999999999999</v>
      </c>
      <c r="F4391" t="s">
        <v>41</v>
      </c>
      <c r="G4391">
        <v>-191.5796</v>
      </c>
      <c r="H4391" s="1">
        <v>-4.7164460000000003E-6</v>
      </c>
      <c r="I4391">
        <v>168.83840000000001</v>
      </c>
      <c r="J4391">
        <v>-191.2227</v>
      </c>
      <c r="K4391">
        <v>1.1203529999999999</v>
      </c>
      <c r="L4391">
        <v>189.16329999999999</v>
      </c>
      <c r="M4391">
        <v>-9.9853280000000003E-2</v>
      </c>
      <c r="N4391">
        <v>-4.8858909999999998E-3</v>
      </c>
      <c r="O4391">
        <v>-0.9949905</v>
      </c>
      <c r="P4391">
        <v>-8.5164390000000006E-2</v>
      </c>
      <c r="Q4391">
        <v>-7.4649590000000002E-2</v>
      </c>
      <c r="R4391">
        <v>-0.99356730000000004</v>
      </c>
      <c r="S4391">
        <v>-5.4306029999999998E-2</v>
      </c>
      <c r="T4391">
        <v>-0.1643934</v>
      </c>
      <c r="U4391">
        <v>-3.0024570000000002</v>
      </c>
      <c r="V4391">
        <v>-1.438562E-2</v>
      </c>
      <c r="W4391">
        <v>-6.9795109999999994E-2</v>
      </c>
      <c r="X4391">
        <v>0.99745760000000006</v>
      </c>
      <c r="Y4391">
        <v>-8.1854140000000006E-2</v>
      </c>
      <c r="Z4391">
        <v>4.929062E-2</v>
      </c>
      <c r="AA4391">
        <v>0.99542470000000005</v>
      </c>
      <c r="AB4391">
        <v>22</v>
      </c>
      <c r="AC4391">
        <v>-0.356899999999996</v>
      </c>
      <c r="AD4391">
        <v>-1.1203577164459999</v>
      </c>
      <c r="AE4391">
        <v>-20.3248999999999</v>
      </c>
      <c r="AF4391">
        <v>-1.6693445585853599</v>
      </c>
      <c r="AG4391">
        <v>-1.1203577164459999</v>
      </c>
      <c r="AH4391">
        <v>20.197604203979399</v>
      </c>
      <c r="AI4391">
        <v>93.164166643197603</v>
      </c>
      <c r="AJ4391">
        <v>94.7247928156456</v>
      </c>
      <c r="AK4391">
        <v>20.297416787578801</v>
      </c>
      <c r="AL4391">
        <v>94.002219168681705</v>
      </c>
      <c r="AM4391">
        <v>90.826278902659695</v>
      </c>
      <c r="AN4391">
        <v>0.99999998362022802</v>
      </c>
    </row>
    <row r="4392" spans="1:40" x14ac:dyDescent="0.25">
      <c r="A4392" t="str">
        <f>"20190303154856906"</f>
        <v>20190303154856906</v>
      </c>
      <c r="B4392" t="str">
        <f>"1551599336895668"</f>
        <v>1551599336895668</v>
      </c>
      <c r="C4392" t="s">
        <v>40</v>
      </c>
      <c r="D4392">
        <v>5.2430379999999897</v>
      </c>
      <c r="E4392">
        <v>0.47425980000000001</v>
      </c>
      <c r="F4392" t="s">
        <v>41</v>
      </c>
      <c r="G4392">
        <v>-191.57730000000001</v>
      </c>
      <c r="H4392" s="1">
        <v>-4.7888270000000003E-6</v>
      </c>
      <c r="I4392">
        <v>169.02789999999999</v>
      </c>
      <c r="J4392">
        <v>-191.23490000000001</v>
      </c>
      <c r="K4392">
        <v>1.1203920000000001</v>
      </c>
      <c r="L4392">
        <v>189.036</v>
      </c>
      <c r="M4392">
        <v>-9.9332119999999996E-2</v>
      </c>
      <c r="N4392">
        <v>-4.9287230000000003E-3</v>
      </c>
      <c r="O4392">
        <v>-0.99504239999999999</v>
      </c>
      <c r="P4392">
        <v>-8.4912509999999997E-2</v>
      </c>
      <c r="Q4392">
        <v>-7.4807869999999999E-2</v>
      </c>
      <c r="R4392">
        <v>-0.99357649999999997</v>
      </c>
      <c r="S4392">
        <v>-5.2871700000000001E-2</v>
      </c>
      <c r="T4392">
        <v>-0.1670547</v>
      </c>
      <c r="U4392">
        <v>-3.0023499999999999</v>
      </c>
      <c r="V4392">
        <v>-1.4107740000000001E-2</v>
      </c>
      <c r="W4392">
        <v>-6.9911689999999999E-2</v>
      </c>
      <c r="X4392">
        <v>0.99745340000000005</v>
      </c>
      <c r="Y4392">
        <v>-8.1807389999999994E-2</v>
      </c>
      <c r="Z4392">
        <v>5.0128760000000001E-2</v>
      </c>
      <c r="AA4392">
        <v>0.99538669999999996</v>
      </c>
      <c r="AB4392">
        <v>22</v>
      </c>
      <c r="AC4392">
        <v>-0.34239999999999698</v>
      </c>
      <c r="AD4392">
        <v>-1.1203967888269999</v>
      </c>
      <c r="AE4392">
        <v>-20.008099999999899</v>
      </c>
      <c r="AF4392">
        <v>-1.6416179448483099</v>
      </c>
      <c r="AG4392">
        <v>-1.1203967888269999</v>
      </c>
      <c r="AH4392">
        <v>19.880834286294998</v>
      </c>
      <c r="AI4392">
        <v>93.214610107048102</v>
      </c>
      <c r="AJ4392">
        <v>94.720369272562294</v>
      </c>
      <c r="AK4392">
        <v>19.979934193094401</v>
      </c>
      <c r="AL4392">
        <v>94.008915085814706</v>
      </c>
      <c r="AM4392">
        <v>90.810323637145004</v>
      </c>
      <c r="AN4392">
        <v>0.99999997894906101</v>
      </c>
    </row>
    <row r="4393" spans="1:40" x14ac:dyDescent="0.25">
      <c r="A4393" t="str">
        <f>"20190303154856924"</f>
        <v>20190303154856924</v>
      </c>
      <c r="B4393" t="str">
        <f>"1551599336915425"</f>
        <v>1551599336915425</v>
      </c>
      <c r="C4393" t="s">
        <v>40</v>
      </c>
      <c r="D4393">
        <v>5.218547</v>
      </c>
      <c r="E4393">
        <v>0.4742132</v>
      </c>
      <c r="F4393" t="s">
        <v>41</v>
      </c>
      <c r="G4393">
        <v>-191.57419999999999</v>
      </c>
      <c r="H4393" s="1">
        <v>-4.8086750000000002E-6</v>
      </c>
      <c r="I4393">
        <v>169.08099999999999</v>
      </c>
      <c r="J4393">
        <v>-191.25200000000001</v>
      </c>
      <c r="K4393">
        <v>1.1204499999999999</v>
      </c>
      <c r="L4393">
        <v>188.8562</v>
      </c>
      <c r="M4393">
        <v>-9.8543359999999997E-2</v>
      </c>
      <c r="N4393">
        <v>-4.987844E-3</v>
      </c>
      <c r="O4393">
        <v>-0.99512049999999996</v>
      </c>
      <c r="P4393">
        <v>-8.4431539999999999E-2</v>
      </c>
      <c r="Q4393">
        <v>-7.5133749999999999E-2</v>
      </c>
      <c r="R4393">
        <v>-0.9935929</v>
      </c>
      <c r="S4393">
        <v>-5.104065E-2</v>
      </c>
      <c r="T4393">
        <v>-0.1685702</v>
      </c>
      <c r="U4393">
        <v>-3.002335</v>
      </c>
      <c r="V4393">
        <v>-1.378834E-2</v>
      </c>
      <c r="W4393">
        <v>-7.0180099999999995E-2</v>
      </c>
      <c r="X4393">
        <v>0.99743899999999996</v>
      </c>
      <c r="Y4393">
        <v>-8.1624340000000004E-2</v>
      </c>
      <c r="Z4393">
        <v>5.0575099999999998E-2</v>
      </c>
      <c r="AA4393">
        <v>0.99537909999999996</v>
      </c>
      <c r="AB4393">
        <v>22</v>
      </c>
      <c r="AC4393">
        <v>-0.32219999999998</v>
      </c>
      <c r="AD4393">
        <v>-1.1204548086749999</v>
      </c>
      <c r="AE4393">
        <v>-19.775200000000002</v>
      </c>
      <c r="AF4393">
        <v>-1.62289806532863</v>
      </c>
      <c r="AG4393">
        <v>-1.1204548086749999</v>
      </c>
      <c r="AH4393">
        <v>19.647639754315499</v>
      </c>
      <c r="AI4393">
        <v>93.252843149965301</v>
      </c>
      <c r="AJ4393">
        <v>94.721920784167907</v>
      </c>
      <c r="AK4393">
        <v>19.7463658687894</v>
      </c>
      <c r="AL4393">
        <v>94.024331782527696</v>
      </c>
      <c r="AM4393">
        <v>90.791991662125497</v>
      </c>
      <c r="AN4393">
        <v>0.99999996173848105</v>
      </c>
    </row>
    <row r="4394" spans="1:40" x14ac:dyDescent="0.25">
      <c r="A4394" t="str">
        <f>"20190303154856944"</f>
        <v>20190303154856944</v>
      </c>
      <c r="B4394" t="str">
        <f>"1551599336934945"</f>
        <v>1551599336934945</v>
      </c>
      <c r="C4394" t="s">
        <v>40</v>
      </c>
      <c r="D4394">
        <v>5.3250209999999996</v>
      </c>
      <c r="E4394">
        <v>0.4739951</v>
      </c>
      <c r="F4394" t="s">
        <v>41</v>
      </c>
      <c r="G4394">
        <v>-191.57550000000001</v>
      </c>
      <c r="H4394" s="1">
        <v>-4.8369899999999997E-6</v>
      </c>
      <c r="I4394">
        <v>169.1542</v>
      </c>
      <c r="J4394">
        <v>-191.27099999999999</v>
      </c>
      <c r="K4394">
        <v>1.120509</v>
      </c>
      <c r="L4394">
        <v>188.65440000000001</v>
      </c>
      <c r="M4394">
        <v>-9.75882E-2</v>
      </c>
      <c r="N4394">
        <v>-5.0509029999999998E-3</v>
      </c>
      <c r="O4394">
        <v>-0.9952143</v>
      </c>
      <c r="P4394">
        <v>-8.3723279999999997E-2</v>
      </c>
      <c r="Q4394">
        <v>-7.5706869999999996E-2</v>
      </c>
      <c r="R4394">
        <v>-0.99360919999999997</v>
      </c>
      <c r="S4394">
        <v>-4.9285889999999999E-2</v>
      </c>
      <c r="T4394">
        <v>-0.17073749999999999</v>
      </c>
      <c r="U4394">
        <v>-3.002243</v>
      </c>
      <c r="V4394">
        <v>-1.352721E-2</v>
      </c>
      <c r="W4394">
        <v>-7.0692050000000006E-2</v>
      </c>
      <c r="X4394">
        <v>0.99740649999999997</v>
      </c>
      <c r="Y4394">
        <v>-8.1249160000000001E-2</v>
      </c>
      <c r="Z4394">
        <v>5.1235000000000003E-2</v>
      </c>
      <c r="AA4394">
        <v>0.99537609999999999</v>
      </c>
      <c r="AB4394">
        <v>22</v>
      </c>
      <c r="AC4394">
        <v>-0.30450000000001798</v>
      </c>
      <c r="AD4394">
        <v>-1.1205138369900001</v>
      </c>
      <c r="AE4394">
        <v>-19.5002</v>
      </c>
      <c r="AF4394">
        <v>-1.5947025227073801</v>
      </c>
      <c r="AG4394">
        <v>-1.1205138369900001</v>
      </c>
      <c r="AH4394">
        <v>19.372886233075299</v>
      </c>
      <c r="AI4394">
        <v>93.299124973084204</v>
      </c>
      <c r="AJ4394">
        <v>94.705761730330906</v>
      </c>
      <c r="AK4394">
        <v>19.470679197051499</v>
      </c>
      <c r="AL4394">
        <v>94.0537370802775</v>
      </c>
      <c r="AM4394">
        <v>90.7770197269178</v>
      </c>
      <c r="AN4394">
        <v>1.00000003879291</v>
      </c>
    </row>
    <row r="4395" spans="1:40" x14ac:dyDescent="0.25">
      <c r="A4395" t="str">
        <f>"20190303154856957"</f>
        <v>20190303154856957</v>
      </c>
      <c r="B4395" t="str">
        <f>"1551599336945681"</f>
        <v>1551599336945681</v>
      </c>
      <c r="C4395" t="s">
        <v>40</v>
      </c>
      <c r="D4395">
        <v>5.2664350000000004</v>
      </c>
      <c r="E4395">
        <v>0.47391929999999999</v>
      </c>
      <c r="F4395" t="s">
        <v>41</v>
      </c>
      <c r="G4395">
        <v>-191.55940000000001</v>
      </c>
      <c r="H4395" s="1">
        <v>-4.9662500000000001E-6</v>
      </c>
      <c r="I4395">
        <v>169.4982</v>
      </c>
      <c r="J4395">
        <v>-191.28299999999999</v>
      </c>
      <c r="K4395">
        <v>1.120541</v>
      </c>
      <c r="L4395">
        <v>188.52500000000001</v>
      </c>
      <c r="M4395">
        <v>-9.6942860000000006E-2</v>
      </c>
      <c r="N4395">
        <v>-5.0893889999999997E-3</v>
      </c>
      <c r="O4395">
        <v>-0.99527699999999997</v>
      </c>
      <c r="P4395">
        <v>-8.3126340000000007E-2</v>
      </c>
      <c r="Q4395">
        <v>-7.5998979999999994E-2</v>
      </c>
      <c r="R4395">
        <v>-0.99363699999999999</v>
      </c>
      <c r="S4395">
        <v>-4.5211790000000002E-2</v>
      </c>
      <c r="T4395">
        <v>-0.17560329999999999</v>
      </c>
      <c r="U4395">
        <v>-3.0021059999999999</v>
      </c>
      <c r="V4395">
        <v>-1.3471800000000001E-2</v>
      </c>
      <c r="W4395">
        <v>-7.0946880000000004E-2</v>
      </c>
      <c r="X4395">
        <v>0.99738910000000003</v>
      </c>
      <c r="Y4395">
        <v>-8.195326E-2</v>
      </c>
      <c r="Z4395">
        <v>5.2802130000000003E-2</v>
      </c>
      <c r="AA4395">
        <v>0.99523649999999997</v>
      </c>
      <c r="AB4395">
        <v>22</v>
      </c>
      <c r="AC4395">
        <v>-0.27640000000002302</v>
      </c>
      <c r="AD4395">
        <v>-1.1205459662499999</v>
      </c>
      <c r="AE4395">
        <v>-19.026800000000001</v>
      </c>
      <c r="AF4395">
        <v>-1.56401460512158</v>
      </c>
      <c r="AG4395">
        <v>-1.1205459662499999</v>
      </c>
      <c r="AH4395">
        <v>18.8984425038574</v>
      </c>
      <c r="AI4395">
        <v>93.381733629512098</v>
      </c>
      <c r="AJ4395">
        <v>94.730955396842404</v>
      </c>
      <c r="AK4395">
        <v>18.996128395520898</v>
      </c>
      <c r="AL4395">
        <v>94.0683747430718</v>
      </c>
      <c r="AM4395">
        <v>90.773850793978198</v>
      </c>
      <c r="AN4395">
        <v>0.99999998298789206</v>
      </c>
    </row>
    <row r="4396" spans="1:40" x14ac:dyDescent="0.25">
      <c r="A4396" t="str">
        <f>"20190303154856970"</f>
        <v>20190303154856970</v>
      </c>
      <c r="B4396" t="str">
        <f>"1551599336965202"</f>
        <v>1551599336965202</v>
      </c>
      <c r="C4396" t="s">
        <v>40</v>
      </c>
      <c r="D4396">
        <v>5.2880500000000001</v>
      </c>
      <c r="E4396">
        <v>0.47382479999999899</v>
      </c>
      <c r="F4396" t="s">
        <v>41</v>
      </c>
      <c r="G4396">
        <v>-191.554</v>
      </c>
      <c r="H4396" s="1">
        <v>-4.9843489999999997E-6</v>
      </c>
      <c r="I4396">
        <v>169.5478</v>
      </c>
      <c r="J4396">
        <v>-191.2945</v>
      </c>
      <c r="K4396">
        <v>1.1205700000000001</v>
      </c>
      <c r="L4396">
        <v>188.39959999999999</v>
      </c>
      <c r="M4396">
        <v>-9.6290849999999997E-2</v>
      </c>
      <c r="N4396">
        <v>-5.1261930000000002E-3</v>
      </c>
      <c r="O4396">
        <v>-0.99534009999999995</v>
      </c>
      <c r="P4396">
        <v>-8.2181889999999994E-2</v>
      </c>
      <c r="Q4396">
        <v>-7.6242950000000004E-2</v>
      </c>
      <c r="R4396">
        <v>-0.99369689999999999</v>
      </c>
      <c r="S4396">
        <v>-4.2877199999999997E-2</v>
      </c>
      <c r="T4396">
        <v>-0.17726149999999999</v>
      </c>
      <c r="U4396">
        <v>-3.0020449999999999</v>
      </c>
      <c r="V4396">
        <v>-1.375932E-2</v>
      </c>
      <c r="W4396">
        <v>-7.1155689999999994E-2</v>
      </c>
      <c r="X4396">
        <v>0.99737030000000004</v>
      </c>
      <c r="Y4396">
        <v>-8.2074060000000004E-2</v>
      </c>
      <c r="Z4396">
        <v>5.3316820000000001E-2</v>
      </c>
      <c r="AA4396">
        <v>0.9951991</v>
      </c>
      <c r="AB4396">
        <v>22</v>
      </c>
      <c r="AC4396">
        <v>-0.25950000000000201</v>
      </c>
      <c r="AD4396">
        <v>-1.120574984349</v>
      </c>
      <c r="AE4396">
        <v>-18.851800000000001</v>
      </c>
      <c r="AF4396">
        <v>-1.55150461539256</v>
      </c>
      <c r="AG4396">
        <v>-1.120574984349</v>
      </c>
      <c r="AH4396">
        <v>18.723044769465801</v>
      </c>
      <c r="AI4396">
        <v>93.413397378190197</v>
      </c>
      <c r="AJ4396">
        <v>94.737051493688199</v>
      </c>
      <c r="AK4396">
        <v>18.8206073309698</v>
      </c>
      <c r="AL4396">
        <v>94.080368987585302</v>
      </c>
      <c r="AM4396">
        <v>90.790379418838398</v>
      </c>
      <c r="AN4396">
        <v>0.99999998321416395</v>
      </c>
    </row>
    <row r="4397" spans="1:40" x14ac:dyDescent="0.25">
      <c r="A4397" t="str">
        <f>"20190303154856981"</f>
        <v>20190303154856981</v>
      </c>
      <c r="B4397" t="str">
        <f>"1551599336974961"</f>
        <v>1551599336974961</v>
      </c>
      <c r="C4397" t="s">
        <v>40</v>
      </c>
      <c r="D4397">
        <v>5.2884510000000002</v>
      </c>
      <c r="E4397">
        <v>0.47382479999999899</v>
      </c>
      <c r="F4397" t="s">
        <v>41</v>
      </c>
      <c r="G4397">
        <v>-191.53809999999999</v>
      </c>
      <c r="H4397" s="1">
        <v>-4.7834570000000001E-7</v>
      </c>
      <c r="I4397">
        <v>169.75020000000001</v>
      </c>
      <c r="J4397">
        <v>-191.30590000000001</v>
      </c>
      <c r="K4397">
        <v>1.1205969999999901</v>
      </c>
      <c r="L4397">
        <v>188.27520000000001</v>
      </c>
      <c r="M4397">
        <v>-9.5630499999999993E-2</v>
      </c>
      <c r="N4397">
        <v>-5.1635320000000002E-3</v>
      </c>
      <c r="O4397">
        <v>-0.9954035</v>
      </c>
      <c r="P4397">
        <v>-8.1411399999999995E-2</v>
      </c>
      <c r="Q4397">
        <v>-7.6442670000000004E-2</v>
      </c>
      <c r="R4397">
        <v>-0.99374510000000005</v>
      </c>
      <c r="S4397">
        <v>-3.9215090000000001E-2</v>
      </c>
      <c r="T4397">
        <v>-0.18037520000000001</v>
      </c>
      <c r="U4397">
        <v>-3.0019529999999999</v>
      </c>
      <c r="V4397">
        <v>-1.386426E-2</v>
      </c>
      <c r="W4397">
        <v>-7.1319339999999995E-2</v>
      </c>
      <c r="X4397">
        <v>0.99735720000000005</v>
      </c>
      <c r="Y4397">
        <v>-8.2626550000000007E-2</v>
      </c>
      <c r="Z4397">
        <v>5.430894E-2</v>
      </c>
      <c r="AA4397">
        <v>0.99509970000000003</v>
      </c>
      <c r="AB4397">
        <v>23</v>
      </c>
      <c r="AC4397">
        <v>-0.23219999999997701</v>
      </c>
      <c r="AD4397">
        <v>-1.12059747834569</v>
      </c>
      <c r="AE4397">
        <v>-18.524999999999999</v>
      </c>
      <c r="AF4397">
        <v>-1.5348275530900199</v>
      </c>
      <c r="AG4397">
        <v>-1.12059747834569</v>
      </c>
      <c r="AH4397">
        <v>18.395001620131399</v>
      </c>
      <c r="AI4397">
        <v>93.474027752024895</v>
      </c>
      <c r="AJ4397">
        <v>94.769552102599803</v>
      </c>
      <c r="AK4397">
        <v>18.4929045563653</v>
      </c>
      <c r="AL4397">
        <v>94.089769152835103</v>
      </c>
      <c r="AM4397">
        <v>90.796417194358796</v>
      </c>
      <c r="AN4397">
        <v>1.00000002517761</v>
      </c>
    </row>
    <row r="4398" spans="1:40" x14ac:dyDescent="0.25">
      <c r="A4398" t="str">
        <f>"20190303154856994"</f>
        <v>20190303154856994</v>
      </c>
      <c r="B4398" t="str">
        <f>"1551599336985697"</f>
        <v>1551599336985697</v>
      </c>
      <c r="C4398" t="s">
        <v>40</v>
      </c>
      <c r="D4398">
        <v>5.3174039999999998</v>
      </c>
      <c r="E4398">
        <v>0.46001120000000001</v>
      </c>
      <c r="F4398" t="s">
        <v>41</v>
      </c>
      <c r="G4398">
        <v>-191.53399999999999</v>
      </c>
      <c r="H4398" s="1">
        <v>-4.5098150000000002E-7</v>
      </c>
      <c r="I4398">
        <v>169.68889999999999</v>
      </c>
      <c r="J4398">
        <v>-191.3175</v>
      </c>
      <c r="K4398">
        <v>1.1206259999999999</v>
      </c>
      <c r="L4398">
        <v>188.14619999999999</v>
      </c>
      <c r="M4398">
        <v>-9.491339E-2</v>
      </c>
      <c r="N4398">
        <v>-5.2086989999999998E-3</v>
      </c>
      <c r="O4398">
        <v>-0.99547209999999997</v>
      </c>
      <c r="P4398">
        <v>-8.0367149999999998E-2</v>
      </c>
      <c r="Q4398">
        <v>-7.6638360000000003E-2</v>
      </c>
      <c r="R4398">
        <v>-0.9938148</v>
      </c>
      <c r="S4398">
        <v>-3.6849979999999997E-2</v>
      </c>
      <c r="T4398">
        <v>-0.1809925</v>
      </c>
      <c r="U4398">
        <v>-3.0019529999999999</v>
      </c>
      <c r="V4398">
        <v>-1.41875E-2</v>
      </c>
      <c r="W4398">
        <v>-7.1471560000000003E-2</v>
      </c>
      <c r="X4398">
        <v>0.99734179999999995</v>
      </c>
      <c r="Y4398">
        <v>-8.2692409999999994E-2</v>
      </c>
      <c r="Z4398">
        <v>5.4472760000000002E-2</v>
      </c>
      <c r="AA4398">
        <v>0.9950852</v>
      </c>
      <c r="AB4398">
        <v>23</v>
      </c>
      <c r="AC4398">
        <v>-0.21650000000002401</v>
      </c>
      <c r="AD4398">
        <v>-1.1206264509815</v>
      </c>
      <c r="AE4398">
        <v>-18.4573</v>
      </c>
      <c r="AF4398">
        <v>-1.5307039605194701</v>
      </c>
      <c r="AG4398">
        <v>-1.1206264509815</v>
      </c>
      <c r="AH4398">
        <v>18.326973330080101</v>
      </c>
      <c r="AI4398">
        <v>93.486956815580498</v>
      </c>
      <c r="AJ4398">
        <v>94.774372100882999</v>
      </c>
      <c r="AK4398">
        <v>18.424896463721499</v>
      </c>
      <c r="AL4398">
        <v>94.098512855874802</v>
      </c>
      <c r="AM4398">
        <v>90.814995467845904</v>
      </c>
      <c r="AN4398">
        <v>1.00000006753615</v>
      </c>
    </row>
    <row r="4399" spans="1:40" x14ac:dyDescent="0.25">
      <c r="A4399" t="str">
        <f>"20190303154857012"</f>
        <v>20190303154857012</v>
      </c>
      <c r="B4399" t="str">
        <f>"1551599337005217"</f>
        <v>1551599337005217</v>
      </c>
      <c r="C4399" t="s">
        <v>40</v>
      </c>
      <c r="D4399">
        <v>3.931794</v>
      </c>
      <c r="E4399">
        <v>0.45878020000000003</v>
      </c>
      <c r="F4399" t="s">
        <v>41</v>
      </c>
      <c r="G4399">
        <v>-190.95169999999999</v>
      </c>
      <c r="H4399" s="1">
        <v>-2.076095E-6</v>
      </c>
      <c r="I4399">
        <v>173.8382</v>
      </c>
      <c r="J4399">
        <v>-191.33320000000001</v>
      </c>
      <c r="K4399">
        <v>1.1206670000000001</v>
      </c>
      <c r="L4399">
        <v>187.96899999999999</v>
      </c>
      <c r="M4399">
        <v>-9.3897250000000002E-2</v>
      </c>
      <c r="N4399">
        <v>-5.2862719999999998E-3</v>
      </c>
      <c r="O4399">
        <v>-0.99556800000000001</v>
      </c>
      <c r="P4399">
        <v>-7.8930070000000005E-2</v>
      </c>
      <c r="Q4399">
        <v>-7.6933440000000006E-2</v>
      </c>
      <c r="R4399">
        <v>-0.9939074</v>
      </c>
      <c r="S4399">
        <v>7.685852E-2</v>
      </c>
      <c r="T4399">
        <v>-0.2354937</v>
      </c>
      <c r="U4399">
        <v>-3.0067439999999999</v>
      </c>
      <c r="V4399">
        <v>-1.460292E-2</v>
      </c>
      <c r="W4399">
        <v>-7.1691450000000004E-2</v>
      </c>
      <c r="X4399">
        <v>0.99731990000000004</v>
      </c>
      <c r="Y4399">
        <v>-0.11921470000000001</v>
      </c>
      <c r="Z4399">
        <v>7.1996879999999999E-2</v>
      </c>
      <c r="AA4399">
        <v>0.99025469999999904</v>
      </c>
      <c r="AB4399">
        <v>23</v>
      </c>
      <c r="AC4399">
        <v>0.38150000000001599</v>
      </c>
      <c r="AD4399">
        <v>-1.120669076095</v>
      </c>
      <c r="AE4399">
        <v>-14.130800000000001</v>
      </c>
      <c r="AF4399">
        <v>-1.6960166054377801</v>
      </c>
      <c r="AG4399">
        <v>-1.120669076095</v>
      </c>
      <c r="AH4399">
        <v>13.944900977505901</v>
      </c>
      <c r="AI4399">
        <v>94.561180541850703</v>
      </c>
      <c r="AJ4399">
        <v>96.934410181214204</v>
      </c>
      <c r="AK4399">
        <v>14.092289905351899</v>
      </c>
      <c r="AL4399">
        <v>94.111144526139697</v>
      </c>
      <c r="AM4399">
        <v>90.838874165746404</v>
      </c>
      <c r="AN4399">
        <v>0.99999994610581799</v>
      </c>
    </row>
    <row r="4400" spans="1:40" x14ac:dyDescent="0.25">
      <c r="A4400" t="str">
        <f>"20190303154857024"</f>
        <v>20190303154857024</v>
      </c>
      <c r="B4400" t="str">
        <f>"1551599337014978"</f>
        <v>1551599337014978</v>
      </c>
      <c r="C4400" t="s">
        <v>40</v>
      </c>
      <c r="D4400">
        <v>5.280843</v>
      </c>
      <c r="E4400">
        <v>0.45848559999999999</v>
      </c>
      <c r="F4400" t="s">
        <v>41</v>
      </c>
      <c r="G4400">
        <v>-190.92330000000001</v>
      </c>
      <c r="H4400" s="1">
        <v>-2.3316420000000001E-6</v>
      </c>
      <c r="I4400">
        <v>174.45160000000001</v>
      </c>
      <c r="J4400">
        <v>-191.34389999999999</v>
      </c>
      <c r="K4400">
        <v>1.120698</v>
      </c>
      <c r="L4400">
        <v>187.84819999999999</v>
      </c>
      <c r="M4400">
        <v>-9.3186149999999995E-2</v>
      </c>
      <c r="N4400">
        <v>-5.3530169999999998E-3</v>
      </c>
      <c r="O4400">
        <v>-0.99563429999999997</v>
      </c>
      <c r="P4400">
        <v>-7.7898179999999997E-2</v>
      </c>
      <c r="Q4400">
        <v>-7.7325679999999994E-2</v>
      </c>
      <c r="R4400">
        <v>-0.99395809999999996</v>
      </c>
      <c r="S4400">
        <v>9.1171260000000004E-2</v>
      </c>
      <c r="T4400">
        <v>-0.24924080000000001</v>
      </c>
      <c r="U4400">
        <v>-3.006332</v>
      </c>
      <c r="V4400">
        <v>-1.491833E-2</v>
      </c>
      <c r="W4400">
        <v>-7.2018769999999996E-2</v>
      </c>
      <c r="X4400">
        <v>0.9972917</v>
      </c>
      <c r="Y4400">
        <v>-0.12320589999999999</v>
      </c>
      <c r="Z4400">
        <v>7.6405879999999995E-2</v>
      </c>
      <c r="AA4400">
        <v>0.98943539999999996</v>
      </c>
      <c r="AB4400">
        <v>23</v>
      </c>
      <c r="AC4400">
        <v>0.42059999999997899</v>
      </c>
      <c r="AD4400">
        <v>-1.1207003316419999</v>
      </c>
      <c r="AE4400">
        <v>-13.3965999999999</v>
      </c>
      <c r="AF4400">
        <v>-1.65559043660955</v>
      </c>
      <c r="AG4400">
        <v>-1.1207003316419999</v>
      </c>
      <c r="AH4400">
        <v>13.2067776971034</v>
      </c>
      <c r="AI4400">
        <v>94.812892751336406</v>
      </c>
      <c r="AJ4400">
        <v>97.145276694313395</v>
      </c>
      <c r="AK4400">
        <v>13.3572424574776</v>
      </c>
      <c r="AL4400">
        <v>94.129946973163101</v>
      </c>
      <c r="AM4400">
        <v>90.857014652233005</v>
      </c>
      <c r="AN4400">
        <v>0.99999999734559497</v>
      </c>
    </row>
    <row r="4401" spans="1:40" x14ac:dyDescent="0.25">
      <c r="A4401" t="str">
        <f>"20190303154857039"</f>
        <v>20190303154857039</v>
      </c>
      <c r="B4401" t="str">
        <f>"1551599337035473"</f>
        <v>1551599337035473</v>
      </c>
      <c r="C4401" t="s">
        <v>40</v>
      </c>
      <c r="D4401">
        <v>5.3702040000000002</v>
      </c>
      <c r="E4401">
        <v>0.45790029999999998</v>
      </c>
      <c r="F4401" t="s">
        <v>41</v>
      </c>
      <c r="G4401">
        <v>-190.92490000000001</v>
      </c>
      <c r="H4401" s="1">
        <v>-2.4990379999999999E-6</v>
      </c>
      <c r="I4401">
        <v>174.8408</v>
      </c>
      <c r="J4401">
        <v>-191.357</v>
      </c>
      <c r="K4401">
        <v>1.1207419999999999</v>
      </c>
      <c r="L4401">
        <v>187.6978</v>
      </c>
      <c r="M4401">
        <v>-9.2278410000000005E-2</v>
      </c>
      <c r="N4401">
        <v>-5.459813E-3</v>
      </c>
      <c r="O4401">
        <v>-0.99571829999999995</v>
      </c>
      <c r="P4401">
        <v>-7.6830519999999999E-2</v>
      </c>
      <c r="Q4401">
        <v>-7.7807730000000005E-2</v>
      </c>
      <c r="R4401">
        <v>-0.99400370000000005</v>
      </c>
      <c r="S4401">
        <v>9.6817020000000004E-2</v>
      </c>
      <c r="T4401">
        <v>-0.2589649</v>
      </c>
      <c r="U4401">
        <v>-3.0056919999999998</v>
      </c>
      <c r="V4401">
        <v>-1.5071050000000001E-2</v>
      </c>
      <c r="W4401">
        <v>-7.2395860000000006E-2</v>
      </c>
      <c r="X4401">
        <v>0.99726210000000004</v>
      </c>
      <c r="Y4401">
        <v>-0.124154399999999</v>
      </c>
      <c r="Z4401">
        <v>7.9487989999999994E-2</v>
      </c>
      <c r="AA4401">
        <v>0.98907400000000001</v>
      </c>
      <c r="AB4401">
        <v>23</v>
      </c>
      <c r="AC4401">
        <v>0.43209999999999099</v>
      </c>
      <c r="AD4401">
        <v>-1.120744499038</v>
      </c>
      <c r="AE4401">
        <v>-12.856999999999999</v>
      </c>
      <c r="AF4401">
        <v>-1.60451909971791</v>
      </c>
      <c r="AG4401">
        <v>-1.120744499038</v>
      </c>
      <c r="AH4401">
        <v>12.666130248954801</v>
      </c>
      <c r="AI4401">
        <v>95.016681519932504</v>
      </c>
      <c r="AJ4401">
        <v>97.219655701751407</v>
      </c>
      <c r="AK4401">
        <v>12.8164505717055</v>
      </c>
      <c r="AL4401">
        <v>94.151609188036403</v>
      </c>
      <c r="AM4401">
        <v>90.865812336919802</v>
      </c>
      <c r="AN4401">
        <v>0.99999999659482597</v>
      </c>
    </row>
    <row r="4402" spans="1:40" x14ac:dyDescent="0.25">
      <c r="A4402" t="str">
        <f>"20190303154857058"</f>
        <v>20190303154857058</v>
      </c>
      <c r="B4402" t="str">
        <f>"1551599337054993"</f>
        <v>1551599337054993</v>
      </c>
      <c r="C4402" t="s">
        <v>40</v>
      </c>
      <c r="D4402">
        <v>5.284643</v>
      </c>
      <c r="E4402">
        <v>0.45791320000000002</v>
      </c>
      <c r="F4402" t="s">
        <v>41</v>
      </c>
      <c r="G4402">
        <v>-190.91849999999999</v>
      </c>
      <c r="H4402" s="1">
        <v>-2.6171170000000002E-6</v>
      </c>
      <c r="I4402">
        <v>175.1199</v>
      </c>
      <c r="J4402">
        <v>-191.37379999999999</v>
      </c>
      <c r="K4402">
        <v>1.120817</v>
      </c>
      <c r="L4402">
        <v>187.5027</v>
      </c>
      <c r="M4402">
        <v>-9.1067659999999995E-2</v>
      </c>
      <c r="N4402">
        <v>-5.6575920000000003E-3</v>
      </c>
      <c r="O4402">
        <v>-0.99582870000000001</v>
      </c>
      <c r="P4402">
        <v>-7.555858E-2</v>
      </c>
      <c r="Q4402">
        <v>-7.8909679999999996E-2</v>
      </c>
      <c r="R4402">
        <v>-0.99401430000000002</v>
      </c>
      <c r="S4402">
        <v>0.10476679999999999</v>
      </c>
      <c r="T4402">
        <v>-0.26777879999999998</v>
      </c>
      <c r="U4402">
        <v>-3.0052189999999999</v>
      </c>
      <c r="V4402">
        <v>-1.511902E-2</v>
      </c>
      <c r="W4402">
        <v>-7.3302389999999995E-2</v>
      </c>
      <c r="X4402">
        <v>0.9971951</v>
      </c>
      <c r="Y4402">
        <v>-0.1255561</v>
      </c>
      <c r="Z4402">
        <v>8.2176669999999993E-2</v>
      </c>
      <c r="AA4402">
        <v>0.98867720000000003</v>
      </c>
      <c r="AB4402">
        <v>23</v>
      </c>
      <c r="AC4402">
        <v>0.45529999999999399</v>
      </c>
      <c r="AD4402">
        <v>-1.120819617117</v>
      </c>
      <c r="AE4402">
        <v>-12.3828</v>
      </c>
      <c r="AF4402">
        <v>-1.5682674363247799</v>
      </c>
      <c r="AG4402">
        <v>-1.120819617117</v>
      </c>
      <c r="AH4402">
        <v>12.190143546224901</v>
      </c>
      <c r="AI4402">
        <v>95.210571833323797</v>
      </c>
      <c r="AJ4402">
        <v>97.330860507070099</v>
      </c>
      <c r="AK4402">
        <v>12.3416084463703</v>
      </c>
      <c r="AL4402">
        <v>94.203688119401903</v>
      </c>
      <c r="AM4402">
        <v>90.868626078669493</v>
      </c>
      <c r="AN4402">
        <v>0.99999994630473898</v>
      </c>
    </row>
    <row r="4403" spans="1:40" x14ac:dyDescent="0.25">
      <c r="A4403" t="str">
        <f>"20190303154857081"</f>
        <v>20190303154857081</v>
      </c>
      <c r="B4403" t="str">
        <f>"1551599337075489"</f>
        <v>1551599337075489</v>
      </c>
      <c r="C4403" t="s">
        <v>40</v>
      </c>
      <c r="D4403">
        <v>5.304583</v>
      </c>
      <c r="E4403">
        <v>0.4578914</v>
      </c>
      <c r="F4403" t="s">
        <v>41</v>
      </c>
      <c r="G4403">
        <v>-190.92570000000001</v>
      </c>
      <c r="H4403" s="1">
        <v>-2.6176990000000001E-6</v>
      </c>
      <c r="I4403">
        <v>175.11689999999999</v>
      </c>
      <c r="J4403">
        <v>-191.3931</v>
      </c>
      <c r="K4403">
        <v>1.1209180000000001</v>
      </c>
      <c r="L4403">
        <v>187.27359999999999</v>
      </c>
      <c r="M4403">
        <v>-8.9609670000000002E-2</v>
      </c>
      <c r="N4403">
        <v>-5.9935939999999997E-3</v>
      </c>
      <c r="O4403">
        <v>-0.99595900000000004</v>
      </c>
      <c r="P4403">
        <v>-7.4028099999999999E-2</v>
      </c>
      <c r="Q4403">
        <v>-7.980508E-2</v>
      </c>
      <c r="R4403">
        <v>-0.99405809999999994</v>
      </c>
      <c r="S4403">
        <v>0.1087036</v>
      </c>
      <c r="T4403">
        <v>-0.2719067</v>
      </c>
      <c r="U4403">
        <v>-3.0047450000000002</v>
      </c>
      <c r="V4403">
        <v>-1.518068E-2</v>
      </c>
      <c r="W4403">
        <v>-7.3864650000000004E-2</v>
      </c>
      <c r="X4403">
        <v>0.9971527</v>
      </c>
      <c r="Y4403">
        <v>-0.12539729999999999</v>
      </c>
      <c r="Z4403">
        <v>8.3215380000000005E-2</v>
      </c>
      <c r="AA4403">
        <v>0.98861049999999995</v>
      </c>
      <c r="AB4403">
        <v>23</v>
      </c>
      <c r="AC4403">
        <v>0.46739999999999698</v>
      </c>
      <c r="AD4403">
        <v>-1.1209206176989901</v>
      </c>
      <c r="AE4403">
        <v>-12.156700000000001</v>
      </c>
      <c r="AF4403">
        <v>-1.54180790915368</v>
      </c>
      <c r="AG4403">
        <v>-1.1209206176989901</v>
      </c>
      <c r="AH4403">
        <v>11.964337064312801</v>
      </c>
      <c r="AI4403">
        <v>95.308686731023798</v>
      </c>
      <c r="AJ4403">
        <v>97.343064153570694</v>
      </c>
      <c r="AK4403">
        <v>12.115238175471401</v>
      </c>
      <c r="AL4403">
        <v>94.2359907025632</v>
      </c>
      <c r="AM4403">
        <v>90.872205135881799</v>
      </c>
      <c r="AN4403">
        <v>0.99999997334108703</v>
      </c>
    </row>
    <row r="4404" spans="1:40" x14ac:dyDescent="0.25">
      <c r="A4404" t="str">
        <f>"20190303154857093"</f>
        <v>20190303154857093</v>
      </c>
      <c r="B4404" t="str">
        <f>"1551599337085249"</f>
        <v>1551599337085249</v>
      </c>
      <c r="C4404" t="s">
        <v>40</v>
      </c>
      <c r="D4404">
        <v>5.354501</v>
      </c>
      <c r="E4404">
        <v>0.45844220000000002</v>
      </c>
      <c r="F4404" t="s">
        <v>41</v>
      </c>
      <c r="G4404">
        <v>-190.93459999999999</v>
      </c>
      <c r="H4404" s="1">
        <v>-2.6190089999999999E-6</v>
      </c>
      <c r="I4404">
        <v>175.11439999999999</v>
      </c>
      <c r="J4404">
        <v>-191.4041</v>
      </c>
      <c r="K4404">
        <v>1.120995</v>
      </c>
      <c r="L4404">
        <v>187.14060000000001</v>
      </c>
      <c r="M4404">
        <v>-8.8742109999999999E-2</v>
      </c>
      <c r="N4404">
        <v>-6.2724850000000004E-3</v>
      </c>
      <c r="O4404">
        <v>-0.996035</v>
      </c>
      <c r="P4404">
        <v>-7.3375029999999994E-2</v>
      </c>
      <c r="Q4404">
        <v>-8.0163150000000002E-2</v>
      </c>
      <c r="R4404">
        <v>-0.99407769999999995</v>
      </c>
      <c r="S4404">
        <v>0.1132813</v>
      </c>
      <c r="T4404">
        <v>-0.27694200000000002</v>
      </c>
      <c r="U4404">
        <v>-3.0041199999999999</v>
      </c>
      <c r="V4404">
        <v>-1.4960920000000001E-2</v>
      </c>
      <c r="W4404">
        <v>-7.3944979999999993E-2</v>
      </c>
      <c r="X4404">
        <v>0.99715010000000004</v>
      </c>
      <c r="Y4404">
        <v>-0.12603800000000001</v>
      </c>
      <c r="Z4404">
        <v>8.4598759999999995E-2</v>
      </c>
      <c r="AA4404">
        <v>0.98841159999999995</v>
      </c>
      <c r="AB4404">
        <v>23</v>
      </c>
      <c r="AC4404">
        <v>0.46950000000001002</v>
      </c>
      <c r="AD4404">
        <v>-1.1209976190090001</v>
      </c>
      <c r="AE4404">
        <v>-12.026199999999999</v>
      </c>
      <c r="AF4404">
        <v>-1.5216974329267701</v>
      </c>
      <c r="AG4404">
        <v>-1.1209976190090001</v>
      </c>
      <c r="AH4404">
        <v>11.834416487903299</v>
      </c>
      <c r="AI4404">
        <v>95.367186901814506</v>
      </c>
      <c r="AJ4404">
        <v>97.327023902343299</v>
      </c>
      <c r="AK4404">
        <v>11.9843903619816</v>
      </c>
      <c r="AL4404">
        <v>94.240605756933107</v>
      </c>
      <c r="AM4404">
        <v>90.859582986514297</v>
      </c>
      <c r="AN4404">
        <v>1.00000000556222</v>
      </c>
    </row>
    <row r="4405" spans="1:40" x14ac:dyDescent="0.25">
      <c r="A4405" t="str">
        <f>"20190303154857105"</f>
        <v>20190303154857105</v>
      </c>
      <c r="B4405" t="str">
        <f>"1551599337095010"</f>
        <v>1551599337095010</v>
      </c>
      <c r="C4405" t="s">
        <v>40</v>
      </c>
      <c r="D4405">
        <v>5.2955110000000003</v>
      </c>
      <c r="E4405">
        <v>0.45882729999999999</v>
      </c>
      <c r="F4405" t="s">
        <v>41</v>
      </c>
      <c r="G4405">
        <v>-190.9641</v>
      </c>
      <c r="H4405" s="1">
        <v>-2.6818840000000001E-6</v>
      </c>
      <c r="I4405">
        <v>175.24270000000001</v>
      </c>
      <c r="J4405">
        <v>-191.41390000000001</v>
      </c>
      <c r="K4405">
        <v>1.1210639999999901</v>
      </c>
      <c r="L4405">
        <v>187.02029999999999</v>
      </c>
      <c r="M4405">
        <v>-8.7952879999999997E-2</v>
      </c>
      <c r="N4405">
        <v>-6.5445549999999996E-3</v>
      </c>
      <c r="O4405">
        <v>-0.99610319999999997</v>
      </c>
      <c r="P4405">
        <v>-7.2590070000000007E-2</v>
      </c>
      <c r="Q4405">
        <v>-8.0464999999999995E-2</v>
      </c>
      <c r="R4405">
        <v>-0.99411079999999996</v>
      </c>
      <c r="S4405">
        <v>0.1110535</v>
      </c>
      <c r="T4405">
        <v>-0.28296090000000002</v>
      </c>
      <c r="U4405">
        <v>-3.0032649999999999</v>
      </c>
      <c r="V4405">
        <v>-1.495375E-2</v>
      </c>
      <c r="W4405">
        <v>-7.3976230000000004E-2</v>
      </c>
      <c r="X4405">
        <v>0.99714789999999998</v>
      </c>
      <c r="Y4405">
        <v>-0.1245227</v>
      </c>
      <c r="Z4405">
        <v>8.6332439999999996E-2</v>
      </c>
      <c r="AA4405">
        <v>0.98845369999999999</v>
      </c>
      <c r="AB4405">
        <v>23</v>
      </c>
      <c r="AC4405">
        <v>0.44980000000001003</v>
      </c>
      <c r="AD4405">
        <v>-1.1210666818839901</v>
      </c>
      <c r="AE4405">
        <v>-11.7775999999999</v>
      </c>
      <c r="AF4405">
        <v>-1.4706474396148199</v>
      </c>
      <c r="AG4405">
        <v>-1.1210666818839901</v>
      </c>
      <c r="AH4405">
        <v>11.587558046727899</v>
      </c>
      <c r="AI4405">
        <v>95.482315820807997</v>
      </c>
      <c r="AJ4405">
        <v>97.2330850371482</v>
      </c>
      <c r="AK4405">
        <v>11.7341849262385</v>
      </c>
      <c r="AL4405">
        <v>94.242401123603898</v>
      </c>
      <c r="AM4405">
        <v>90.859172989634999</v>
      </c>
      <c r="AN4405">
        <v>1.0000000158592399</v>
      </c>
    </row>
    <row r="4406" spans="1:40" x14ac:dyDescent="0.25">
      <c r="A4406" t="str">
        <f>"20190303154857118"</f>
        <v>20190303154857118</v>
      </c>
      <c r="B4406" t="str">
        <f>"1551599337105746"</f>
        <v>1551599337105746</v>
      </c>
      <c r="C4406" t="s">
        <v>40</v>
      </c>
      <c r="D4406">
        <v>5.2229809999999999</v>
      </c>
      <c r="E4406">
        <v>0.45943970000000001</v>
      </c>
      <c r="F4406" t="s">
        <v>41</v>
      </c>
      <c r="G4406">
        <v>-190.9753</v>
      </c>
      <c r="H4406" s="1">
        <v>-2.6104579999999999E-6</v>
      </c>
      <c r="I4406">
        <v>175.0692</v>
      </c>
      <c r="J4406">
        <v>-191.4248</v>
      </c>
      <c r="K4406">
        <v>1.121143</v>
      </c>
      <c r="L4406">
        <v>186.886</v>
      </c>
      <c r="M4406">
        <v>-8.7064660000000002E-2</v>
      </c>
      <c r="N4406">
        <v>-6.8805489999999997E-3</v>
      </c>
      <c r="O4406">
        <v>-0.99617900000000004</v>
      </c>
      <c r="P4406">
        <v>-7.1696129999999997E-2</v>
      </c>
      <c r="Q4406">
        <v>-8.1032270000000003E-2</v>
      </c>
      <c r="R4406">
        <v>-0.99412979999999995</v>
      </c>
      <c r="S4406">
        <v>0.1102142</v>
      </c>
      <c r="T4406">
        <v>-0.28169630000000001</v>
      </c>
      <c r="U4406">
        <v>-3.0030060000000001</v>
      </c>
      <c r="V4406">
        <v>-1.495397E-2</v>
      </c>
      <c r="W4406">
        <v>-7.4209319999999995E-2</v>
      </c>
      <c r="X4406">
        <v>0.99713059999999998</v>
      </c>
      <c r="Y4406">
        <v>-0.12336610000000001</v>
      </c>
      <c r="Z4406">
        <v>8.5611809999999997E-2</v>
      </c>
      <c r="AA4406">
        <v>0.98866140000000002</v>
      </c>
      <c r="AB4406">
        <v>23</v>
      </c>
      <c r="AC4406">
        <v>0.44950000000000001</v>
      </c>
      <c r="AD4406">
        <v>-1.121145610458</v>
      </c>
      <c r="AE4406">
        <v>-11.816800000000001</v>
      </c>
      <c r="AF4406">
        <v>-1.4634881050978199</v>
      </c>
      <c r="AG4406">
        <v>-1.121145610458</v>
      </c>
      <c r="AH4406">
        <v>11.628266158116499</v>
      </c>
      <c r="AI4406">
        <v>95.464338149421906</v>
      </c>
      <c r="AJ4406">
        <v>97.173306938379199</v>
      </c>
      <c r="AK4406">
        <v>11.7735015504144</v>
      </c>
      <c r="AL4406">
        <v>94.255792907884995</v>
      </c>
      <c r="AM4406">
        <v>90.859200532367794</v>
      </c>
      <c r="AN4406">
        <v>1.0000000389249899</v>
      </c>
    </row>
    <row r="4407" spans="1:40" x14ac:dyDescent="0.25">
      <c r="A4407" t="str">
        <f>"20190303154857135"</f>
        <v>20190303154857135</v>
      </c>
      <c r="B4407" t="str">
        <f>"1551599337125265"</f>
        <v>1551599337125265</v>
      </c>
      <c r="C4407" t="s">
        <v>40</v>
      </c>
      <c r="D4407">
        <v>4.7560099999999998</v>
      </c>
      <c r="E4407">
        <v>0.45340370000000002</v>
      </c>
      <c r="F4407" t="s">
        <v>41</v>
      </c>
      <c r="G4407">
        <v>-190.9871</v>
      </c>
      <c r="H4407" s="1">
        <v>-2.4634399999999998E-6</v>
      </c>
      <c r="I4407">
        <v>174.7192</v>
      </c>
      <c r="J4407">
        <v>-191.43809999999999</v>
      </c>
      <c r="K4407">
        <v>1.121237</v>
      </c>
      <c r="L4407">
        <v>186.71860000000001</v>
      </c>
      <c r="M4407">
        <v>-8.5946330000000001E-2</v>
      </c>
      <c r="N4407">
        <v>-7.3553809999999898E-3</v>
      </c>
      <c r="O4407">
        <v>-0.99627290000000002</v>
      </c>
      <c r="P4407">
        <v>-7.0887259999999994E-2</v>
      </c>
      <c r="Q4407">
        <v>-8.1579280000000004E-2</v>
      </c>
      <c r="R4407">
        <v>-0.994143</v>
      </c>
      <c r="S4407">
        <v>0.10803219999999999</v>
      </c>
      <c r="T4407">
        <v>-0.2767174</v>
      </c>
      <c r="U4407">
        <v>-3.0029599999999999</v>
      </c>
      <c r="V4407">
        <v>-1.464055E-2</v>
      </c>
      <c r="W4407">
        <v>-7.428266E-2</v>
      </c>
      <c r="X4407">
        <v>0.99712970000000001</v>
      </c>
      <c r="Y4407">
        <v>-0.12154</v>
      </c>
      <c r="Z4407">
        <v>8.3542909999999998E-2</v>
      </c>
      <c r="AA4407">
        <v>0.98906450000000001</v>
      </c>
      <c r="AB4407">
        <v>23</v>
      </c>
      <c r="AC4407">
        <v>0.45099999999999302</v>
      </c>
      <c r="AD4407">
        <v>-1.12123946344</v>
      </c>
      <c r="AE4407">
        <v>-11.9994</v>
      </c>
      <c r="AF4407">
        <v>-1.4678648529331499</v>
      </c>
      <c r="AG4407">
        <v>-1.12123946344</v>
      </c>
      <c r="AH4407">
        <v>11.81323511792</v>
      </c>
      <c r="AI4407">
        <v>95.380786120964899</v>
      </c>
      <c r="AJ4407">
        <v>97.083037929189601</v>
      </c>
      <c r="AK4407">
        <v>11.956769175329599</v>
      </c>
      <c r="AL4407">
        <v>94.260006994183499</v>
      </c>
      <c r="AM4407">
        <v>90.841195937661496</v>
      </c>
      <c r="AN4407">
        <v>0.99999994895153199</v>
      </c>
    </row>
    <row r="4408" spans="1:40" x14ac:dyDescent="0.25">
      <c r="A4408" t="str">
        <f>"20190303154857149"</f>
        <v>20190303154857149</v>
      </c>
      <c r="B4408" t="str">
        <f>"1551599337145762"</f>
        <v>1551599337145762</v>
      </c>
      <c r="C4408" t="s">
        <v>40</v>
      </c>
      <c r="D4408">
        <v>5.2873250000000001</v>
      </c>
      <c r="E4408">
        <v>0.45194329999999999</v>
      </c>
      <c r="F4408" t="s">
        <v>41</v>
      </c>
      <c r="G4408">
        <v>-190.7647</v>
      </c>
      <c r="H4408" s="1">
        <v>-2.056772E-6</v>
      </c>
      <c r="I4408">
        <v>173.9092</v>
      </c>
      <c r="J4408">
        <v>-191.45</v>
      </c>
      <c r="K4408">
        <v>1.1213169999999999</v>
      </c>
      <c r="L4408">
        <v>186.56739999999999</v>
      </c>
      <c r="M4408">
        <v>-8.4925979999999998E-2</v>
      </c>
      <c r="N4408">
        <v>-7.8159819999999904E-3</v>
      </c>
      <c r="O4408">
        <v>-0.99635700000000005</v>
      </c>
      <c r="P4408">
        <v>-6.9943169999999999E-2</v>
      </c>
      <c r="Q4408">
        <v>-8.2286360000000003E-2</v>
      </c>
      <c r="R4408">
        <v>-0.99415180000000003</v>
      </c>
      <c r="S4408">
        <v>0.1580963</v>
      </c>
      <c r="T4408">
        <v>-0.26324160000000002</v>
      </c>
      <c r="U4408">
        <v>-3.0073699999999999</v>
      </c>
      <c r="V4408">
        <v>-1.456088E-2</v>
      </c>
      <c r="W4408">
        <v>-7.453071E-2</v>
      </c>
      <c r="X4408">
        <v>0.99711240000000001</v>
      </c>
      <c r="Y4408">
        <v>-0.136904</v>
      </c>
      <c r="Z4408">
        <v>7.8450259999999994E-2</v>
      </c>
      <c r="AA4408">
        <v>0.98747300000000005</v>
      </c>
      <c r="AB4408">
        <v>23</v>
      </c>
      <c r="AC4408">
        <v>0.68529999999998303</v>
      </c>
      <c r="AD4408">
        <v>-1.1213190567719999</v>
      </c>
      <c r="AE4408">
        <v>-12.6581999999999</v>
      </c>
      <c r="AF4408">
        <v>-1.74421926804636</v>
      </c>
      <c r="AG4408">
        <v>-1.1213190567719999</v>
      </c>
      <c r="AH4408">
        <v>12.4567996840803</v>
      </c>
      <c r="AI4408">
        <v>95.094277895032405</v>
      </c>
      <c r="AJ4408">
        <v>97.970816273919198</v>
      </c>
      <c r="AK4408">
        <v>12.6282031838028</v>
      </c>
      <c r="AL4408">
        <v>94.274258534360897</v>
      </c>
      <c r="AM4408">
        <v>90.836633537675496</v>
      </c>
      <c r="AN4408">
        <v>0.99999999209661905</v>
      </c>
    </row>
    <row r="4409" spans="1:40" x14ac:dyDescent="0.25">
      <c r="A4409" t="str">
        <f>"20190303154857164"</f>
        <v>20190303154857164</v>
      </c>
      <c r="B4409" t="str">
        <f>"1551599337155521"</f>
        <v>1551599337155521</v>
      </c>
      <c r="C4409" t="s">
        <v>40</v>
      </c>
      <c r="D4409">
        <v>5.238842</v>
      </c>
      <c r="E4409">
        <v>0.45276939999999999</v>
      </c>
      <c r="F4409" t="s">
        <v>41</v>
      </c>
      <c r="G4409">
        <v>-190.69929999999999</v>
      </c>
      <c r="H4409" s="1">
        <v>-1.8569970000000001E-6</v>
      </c>
      <c r="I4409">
        <v>173.48410000000001</v>
      </c>
      <c r="J4409">
        <v>-191.4615</v>
      </c>
      <c r="K4409">
        <v>1.121391</v>
      </c>
      <c r="L4409">
        <v>186.41929999999999</v>
      </c>
      <c r="M4409">
        <v>-8.3918119999999999E-2</v>
      </c>
      <c r="N4409">
        <v>-8.2838449999999998E-3</v>
      </c>
      <c r="O4409">
        <v>-0.99643839999999995</v>
      </c>
      <c r="P4409">
        <v>-6.9082009999999999E-2</v>
      </c>
      <c r="Q4409">
        <v>-8.2957569999999994E-2</v>
      </c>
      <c r="R4409">
        <v>-0.99415620000000005</v>
      </c>
      <c r="S4409">
        <v>0.17262269999999999</v>
      </c>
      <c r="T4409">
        <v>-0.2578434</v>
      </c>
      <c r="U4409">
        <v>-3.0084689999999998</v>
      </c>
      <c r="V4409">
        <v>-1.4412309999999999E-2</v>
      </c>
      <c r="W4409">
        <v>-7.4735339999999997E-2</v>
      </c>
      <c r="X4409">
        <v>0.99709930000000002</v>
      </c>
      <c r="Y4409">
        <v>-0.14064260000000001</v>
      </c>
      <c r="Z4409">
        <v>7.6171119999999995E-2</v>
      </c>
      <c r="AA4409">
        <v>0.9871259</v>
      </c>
      <c r="AB4409">
        <v>23</v>
      </c>
      <c r="AC4409">
        <v>0.76220000000000698</v>
      </c>
      <c r="AD4409">
        <v>-1.121392856997</v>
      </c>
      <c r="AE4409">
        <v>-12.935199999999901</v>
      </c>
      <c r="AF4409">
        <v>-1.83132989325075</v>
      </c>
      <c r="AG4409">
        <v>-1.121392856997</v>
      </c>
      <c r="AH4409">
        <v>12.730259645137799</v>
      </c>
      <c r="AI4409">
        <v>94.9830849849874</v>
      </c>
      <c r="AJ4409">
        <v>98.186205152425899</v>
      </c>
      <c r="AK4409">
        <v>12.9101046374637</v>
      </c>
      <c r="AL4409">
        <v>94.286015511777507</v>
      </c>
      <c r="AM4409">
        <v>90.828109131787699</v>
      </c>
      <c r="AN4409">
        <v>1.0000000498924599</v>
      </c>
    </row>
    <row r="4410" spans="1:40" x14ac:dyDescent="0.25">
      <c r="A4410" t="str">
        <f>"20190303154857181"</f>
        <v>20190303154857181</v>
      </c>
      <c r="B4410" t="str">
        <f>"1551599337175042"</f>
        <v>1551599337175042</v>
      </c>
      <c r="C4410" t="s">
        <v>40</v>
      </c>
      <c r="D4410">
        <v>5.2618109999999998</v>
      </c>
      <c r="E4410">
        <v>0.4542909</v>
      </c>
      <c r="F4410" t="s">
        <v>41</v>
      </c>
      <c r="G4410">
        <v>-190.72919999999999</v>
      </c>
      <c r="H4410" s="1">
        <v>-1.812086E-6</v>
      </c>
      <c r="I4410">
        <v>173.36080000000001</v>
      </c>
      <c r="J4410">
        <v>-191.4752</v>
      </c>
      <c r="K4410">
        <v>1.1214710000000001</v>
      </c>
      <c r="L4410">
        <v>186.24010000000001</v>
      </c>
      <c r="M4410">
        <v>-8.2688349999999994E-2</v>
      </c>
      <c r="N4410">
        <v>-8.8540449999999996E-3</v>
      </c>
      <c r="O4410">
        <v>-0.99653639999999999</v>
      </c>
      <c r="P4410">
        <v>-6.8228789999999997E-2</v>
      </c>
      <c r="Q4410">
        <v>-8.3293619999999999E-2</v>
      </c>
      <c r="R4410">
        <v>-0.99418680000000004</v>
      </c>
      <c r="S4410">
        <v>0.16867070000000001</v>
      </c>
      <c r="T4410">
        <v>-0.2582952</v>
      </c>
      <c r="U4410">
        <v>-3.0078130000000001</v>
      </c>
      <c r="V4410">
        <v>-1.403743E-2</v>
      </c>
      <c r="W4410">
        <v>-7.4501849999999994E-2</v>
      </c>
      <c r="X4410">
        <v>0.99712199999999995</v>
      </c>
      <c r="Y4410">
        <v>-0.1381387</v>
      </c>
      <c r="Z4410">
        <v>7.5798699999999997E-2</v>
      </c>
      <c r="AA4410">
        <v>0.9875081</v>
      </c>
      <c r="AB4410">
        <v>23</v>
      </c>
      <c r="AC4410">
        <v>0.74600000000000899</v>
      </c>
      <c r="AD4410">
        <v>-1.12147281208599</v>
      </c>
      <c r="AE4410">
        <v>-12.879300000000001</v>
      </c>
      <c r="AF4410">
        <v>-1.7948909617384801</v>
      </c>
      <c r="AG4410">
        <v>-1.12147281208599</v>
      </c>
      <c r="AH4410">
        <v>12.6776999653544</v>
      </c>
      <c r="AI4410">
        <v>95.005580750933305</v>
      </c>
      <c r="AJ4410">
        <v>98.058299307787607</v>
      </c>
      <c r="AK4410">
        <v>12.853147911866801</v>
      </c>
      <c r="AL4410">
        <v>94.272600638246203</v>
      </c>
      <c r="AM4410">
        <v>90.806553628472301</v>
      </c>
      <c r="AN4410">
        <v>0.99999992898921097</v>
      </c>
    </row>
    <row r="4411" spans="1:40" x14ac:dyDescent="0.25">
      <c r="A4411" t="str">
        <f>"20190303154857203"</f>
        <v>20190303154857203</v>
      </c>
      <c r="B4411" t="str">
        <f>"1551599337195537"</f>
        <v>1551599337195537</v>
      </c>
      <c r="C4411" t="s">
        <v>40</v>
      </c>
      <c r="D4411">
        <v>5.20425</v>
      </c>
      <c r="E4411">
        <v>0.45558729999999997</v>
      </c>
      <c r="F4411" t="s">
        <v>41</v>
      </c>
      <c r="G4411">
        <v>-190.77940000000001</v>
      </c>
      <c r="H4411" s="1">
        <v>-1.7071119999999901E-6</v>
      </c>
      <c r="I4411">
        <v>173.08510000000001</v>
      </c>
      <c r="J4411">
        <v>-191.49090000000001</v>
      </c>
      <c r="K4411">
        <v>1.1215550000000001</v>
      </c>
      <c r="L4411">
        <v>186.03059999999999</v>
      </c>
      <c r="M4411">
        <v>-8.1246070000000004E-2</v>
      </c>
      <c r="N4411">
        <v>-9.4888579999999993E-3</v>
      </c>
      <c r="O4411">
        <v>-0.99664900000000001</v>
      </c>
      <c r="P4411">
        <v>-6.7729579999999998E-2</v>
      </c>
      <c r="Q4411">
        <v>-8.3073530000000007E-2</v>
      </c>
      <c r="R4411">
        <v>-0.9942394</v>
      </c>
      <c r="S4411">
        <v>0.15905759999999999</v>
      </c>
      <c r="T4411">
        <v>-0.25634610000000002</v>
      </c>
      <c r="U4411">
        <v>-3.0069729999999999</v>
      </c>
      <c r="V4411">
        <v>-1.310064E-2</v>
      </c>
      <c r="W4411">
        <v>-7.3645950000000002E-2</v>
      </c>
      <c r="X4411">
        <v>0.99719840000000004</v>
      </c>
      <c r="Y4411">
        <v>-0.1335751</v>
      </c>
      <c r="Z4411">
        <v>7.4603470000000005E-2</v>
      </c>
      <c r="AA4411">
        <v>0.98822670000000001</v>
      </c>
      <c r="AB4411">
        <v>23</v>
      </c>
      <c r="AC4411">
        <v>0.71150000000000002</v>
      </c>
      <c r="AD4411">
        <v>-1.1215567071119901</v>
      </c>
      <c r="AE4411">
        <v>-12.9454999999999</v>
      </c>
      <c r="AF4411">
        <v>-1.7478858661278001</v>
      </c>
      <c r="AG4411">
        <v>-1.1215567071119901</v>
      </c>
      <c r="AH4411">
        <v>12.7494815210026</v>
      </c>
      <c r="AI4411">
        <v>94.980947446875305</v>
      </c>
      <c r="AJ4411">
        <v>97.806282070017403</v>
      </c>
      <c r="AK4411">
        <v>12.917518086020401</v>
      </c>
      <c r="AL4411">
        <v>94.223425776960099</v>
      </c>
      <c r="AM4411">
        <v>90.752676901705101</v>
      </c>
      <c r="AN4411">
        <v>1.00000000084118</v>
      </c>
    </row>
    <row r="4412" spans="1:40" x14ac:dyDescent="0.25">
      <c r="A4412" t="str">
        <f>"20190303154857214"</f>
        <v>20190303154857214</v>
      </c>
      <c r="B4412" t="str">
        <f>"1551599337205297"</f>
        <v>1551599337205297</v>
      </c>
      <c r="C4412" t="s">
        <v>40</v>
      </c>
      <c r="D4412">
        <v>5.1915050000000003</v>
      </c>
      <c r="E4412">
        <v>0.45612989999999998</v>
      </c>
      <c r="F4412" t="s">
        <v>41</v>
      </c>
      <c r="G4412">
        <v>-190.822</v>
      </c>
      <c r="H4412" s="1">
        <v>-1.527118E-6</v>
      </c>
      <c r="I4412">
        <v>172.63910000000001</v>
      </c>
      <c r="J4412">
        <v>-191.5</v>
      </c>
      <c r="K4412">
        <v>1.12159599999999</v>
      </c>
      <c r="L4412">
        <v>185.90700000000001</v>
      </c>
      <c r="M4412">
        <v>-8.0397969999999999E-2</v>
      </c>
      <c r="N4412">
        <v>-9.8374659999999996E-3</v>
      </c>
      <c r="O4412">
        <v>-0.99671449999999995</v>
      </c>
      <c r="P4412">
        <v>-6.7805359999999995E-2</v>
      </c>
      <c r="Q4412">
        <v>-8.2363660000000005E-2</v>
      </c>
      <c r="R4412">
        <v>-0.99429319999999999</v>
      </c>
      <c r="S4412">
        <v>0.150192299999999</v>
      </c>
      <c r="T4412">
        <v>-0.25180459999999999</v>
      </c>
      <c r="U4412">
        <v>-3.0065770000000001</v>
      </c>
      <c r="V4412">
        <v>-1.2184820000000001E-2</v>
      </c>
      <c r="W4412">
        <v>-7.2585499999999997E-2</v>
      </c>
      <c r="X4412">
        <v>0.99728779999999995</v>
      </c>
      <c r="Y4412">
        <v>-0.1298388</v>
      </c>
      <c r="Z4412">
        <v>7.282247E-2</v>
      </c>
      <c r="AA4412">
        <v>0.98885730000000005</v>
      </c>
      <c r="AB4412">
        <v>23</v>
      </c>
      <c r="AC4412">
        <v>0.67799999999999705</v>
      </c>
      <c r="AD4412">
        <v>-1.1215975271180001</v>
      </c>
      <c r="AE4412">
        <v>-13.2678999999999</v>
      </c>
      <c r="AF4412">
        <v>-1.73023636990007</v>
      </c>
      <c r="AG4412">
        <v>-1.1215975271180001</v>
      </c>
      <c r="AH4412">
        <v>13.0772252366876</v>
      </c>
      <c r="AI4412">
        <v>94.859955994873701</v>
      </c>
      <c r="AJ4412">
        <v>97.536978472126506</v>
      </c>
      <c r="AK4412">
        <v>13.2387884188706</v>
      </c>
      <c r="AL4412">
        <v>94.162503239061493</v>
      </c>
      <c r="AM4412">
        <v>90.7000025711787</v>
      </c>
      <c r="AN4412">
        <v>1.0000000403387601</v>
      </c>
    </row>
    <row r="4413" spans="1:40" x14ac:dyDescent="0.25">
      <c r="A4413" t="str">
        <f>"20190303154857226"</f>
        <v>20190303154857226</v>
      </c>
      <c r="B4413" t="str">
        <f>"1551599337215058"</f>
        <v>1551599337215058</v>
      </c>
      <c r="C4413" t="s">
        <v>40</v>
      </c>
      <c r="D4413">
        <v>5.2319120000000003</v>
      </c>
      <c r="E4413">
        <v>0.45656049999999998</v>
      </c>
      <c r="F4413" t="s">
        <v>41</v>
      </c>
      <c r="G4413">
        <v>-190.8434</v>
      </c>
      <c r="H4413" s="1">
        <v>-1.4131559999999999E-6</v>
      </c>
      <c r="I4413">
        <v>172.36009999999999</v>
      </c>
      <c r="J4413">
        <v>-191.50880000000001</v>
      </c>
      <c r="K4413">
        <v>1.1216390000000001</v>
      </c>
      <c r="L4413">
        <v>185.78649999999999</v>
      </c>
      <c r="M4413">
        <v>-7.9574259999999994E-2</v>
      </c>
      <c r="N4413">
        <v>-1.016188E-2</v>
      </c>
      <c r="O4413">
        <v>-0.99677740000000004</v>
      </c>
      <c r="P4413">
        <v>-6.8505679999999999E-2</v>
      </c>
      <c r="Q4413">
        <v>-8.1648189999999995E-2</v>
      </c>
      <c r="R4413">
        <v>-0.99430439999999998</v>
      </c>
      <c r="S4413">
        <v>0.1457214</v>
      </c>
      <c r="T4413">
        <v>-0.24892349999999999</v>
      </c>
      <c r="U4413">
        <v>-3.0065460000000002</v>
      </c>
      <c r="V4413">
        <v>-1.06672E-2</v>
      </c>
      <c r="W4413">
        <v>-7.1542079999999994E-2</v>
      </c>
      <c r="X4413">
        <v>0.99738059999999995</v>
      </c>
      <c r="Y4413">
        <v>-0.1275569</v>
      </c>
      <c r="Z4413">
        <v>7.1583350000000004E-2</v>
      </c>
      <c r="AA4413">
        <v>0.98924469999999998</v>
      </c>
      <c r="AB4413">
        <v>23</v>
      </c>
      <c r="AC4413">
        <v>0.66540000000000499</v>
      </c>
      <c r="AD4413">
        <v>-1.1216404131559901</v>
      </c>
      <c r="AE4413">
        <v>-13.426399999999999</v>
      </c>
      <c r="AF4413">
        <v>-1.7197677853876501</v>
      </c>
      <c r="AG4413">
        <v>-1.1216404131559901</v>
      </c>
      <c r="AH4413">
        <v>13.2387028131912</v>
      </c>
      <c r="AI4413">
        <v>94.802620010429806</v>
      </c>
      <c r="AJ4413">
        <v>97.401534298048006</v>
      </c>
      <c r="AK4413">
        <v>13.3969746819227</v>
      </c>
      <c r="AL4413">
        <v>94.102563755490806</v>
      </c>
      <c r="AM4413">
        <v>90.612767319517204</v>
      </c>
      <c r="AN4413">
        <v>1.00000005981146</v>
      </c>
    </row>
    <row r="4414" spans="1:40" x14ac:dyDescent="0.25">
      <c r="A4414" t="str">
        <f>"20190303154857248"</f>
        <v>20190303154857248</v>
      </c>
      <c r="B4414" t="str">
        <f>"1551599337235553"</f>
        <v>1551599337235553</v>
      </c>
      <c r="C4414" t="s">
        <v>40</v>
      </c>
      <c r="D4414">
        <v>5.1432690000000001</v>
      </c>
      <c r="E4414">
        <v>0.45728210000000002</v>
      </c>
      <c r="F4414" t="s">
        <v>41</v>
      </c>
      <c r="G4414">
        <v>-190.8766</v>
      </c>
      <c r="H4414" s="1">
        <v>-1.361331E-6</v>
      </c>
      <c r="I4414">
        <v>172.21870000000001</v>
      </c>
      <c r="J4414">
        <v>-191.524</v>
      </c>
      <c r="K4414">
        <v>1.121691</v>
      </c>
      <c r="L4414">
        <v>185.5745</v>
      </c>
      <c r="M4414">
        <v>-7.8132839999999995E-2</v>
      </c>
      <c r="N4414">
        <v>-1.068945E-2</v>
      </c>
      <c r="O4414">
        <v>-0.99688580000000004</v>
      </c>
      <c r="P4414">
        <v>-7.1276140000000002E-2</v>
      </c>
      <c r="Q4414">
        <v>-7.9994540000000003E-2</v>
      </c>
      <c r="R4414">
        <v>-0.99424400000000002</v>
      </c>
      <c r="S4414">
        <v>0.1400757</v>
      </c>
      <c r="T4414">
        <v>-0.2485405</v>
      </c>
      <c r="U4414">
        <v>-3.0064389999999999</v>
      </c>
      <c r="V4414">
        <v>-6.4653469999999998E-3</v>
      </c>
      <c r="W4414">
        <v>-6.9350460000000003E-2</v>
      </c>
      <c r="X4414">
        <v>0.9975714</v>
      </c>
      <c r="Y4414">
        <v>-0.12427100000000001</v>
      </c>
      <c r="Z4414">
        <v>7.097001E-2</v>
      </c>
      <c r="AA4414">
        <v>0.989707</v>
      </c>
      <c r="AB4414">
        <v>23</v>
      </c>
      <c r="AC4414">
        <v>0.64740000000000397</v>
      </c>
      <c r="AD4414">
        <v>-1.1216923613309999</v>
      </c>
      <c r="AE4414">
        <v>-13.355799999999901</v>
      </c>
      <c r="AF4414">
        <v>-1.6772041840386001</v>
      </c>
      <c r="AG4414">
        <v>-1.1216923613309999</v>
      </c>
      <c r="AH4414">
        <v>13.171690618714001</v>
      </c>
      <c r="AI4414">
        <v>94.828723948698197</v>
      </c>
      <c r="AJ4414">
        <v>97.256649854191593</v>
      </c>
      <c r="AK4414">
        <v>13.325338321541601</v>
      </c>
      <c r="AL4414">
        <v>93.976680681312502</v>
      </c>
      <c r="AM4414">
        <v>90.371333730743203</v>
      </c>
      <c r="AN4414">
        <v>0.99999999255600103</v>
      </c>
    </row>
    <row r="4415" spans="1:40" x14ac:dyDescent="0.25">
      <c r="A4415" t="str">
        <f>"20190303154857270"</f>
        <v>20190303154857270</v>
      </c>
      <c r="B4415" t="str">
        <f>"1551599337264833"</f>
        <v>1551599337264833</v>
      </c>
      <c r="C4415" t="s">
        <v>40</v>
      </c>
      <c r="D4415">
        <v>5.2373659999999997</v>
      </c>
      <c r="E4415">
        <v>0.47913139999999999</v>
      </c>
      <c r="F4415" t="s">
        <v>41</v>
      </c>
      <c r="G4415">
        <v>-190.9444</v>
      </c>
      <c r="H4415" s="1">
        <v>-1.1767990000000001E-6</v>
      </c>
      <c r="I4415">
        <v>171.7465</v>
      </c>
      <c r="J4415">
        <v>-191.54</v>
      </c>
      <c r="K4415">
        <v>1.121726</v>
      </c>
      <c r="L4415">
        <v>185.34739999999999</v>
      </c>
      <c r="M4415">
        <v>-7.6594460000000003E-2</v>
      </c>
      <c r="N4415">
        <v>-1.1196299999999999E-2</v>
      </c>
      <c r="O4415">
        <v>-0.99699970000000004</v>
      </c>
      <c r="P4415">
        <v>-7.3831250000000001E-2</v>
      </c>
      <c r="Q4415">
        <v>-7.8703800000000004E-2</v>
      </c>
      <c r="R4415">
        <v>-0.99416070000000001</v>
      </c>
      <c r="S4415">
        <v>0.1260376</v>
      </c>
      <c r="T4415">
        <v>-0.2439057</v>
      </c>
      <c r="U4415">
        <v>-3.006821</v>
      </c>
      <c r="V4415">
        <v>-2.3790399999999998E-3</v>
      </c>
      <c r="W4415">
        <v>-6.7543099999999995E-2</v>
      </c>
      <c r="X4415">
        <v>0.99771350000000003</v>
      </c>
      <c r="Y4415">
        <v>-0.1181275</v>
      </c>
      <c r="Z4415">
        <v>6.8994979999999997E-2</v>
      </c>
      <c r="AA4415">
        <v>0.9905986</v>
      </c>
      <c r="AB4415">
        <v>23</v>
      </c>
      <c r="AC4415">
        <v>0.59559999999999003</v>
      </c>
      <c r="AD4415">
        <v>-1.121727176799</v>
      </c>
      <c r="AE4415">
        <v>-13.6008999999999</v>
      </c>
      <c r="AF4415">
        <v>-1.6246390437239899</v>
      </c>
      <c r="AG4415">
        <v>-1.121727176799</v>
      </c>
      <c r="AH4415">
        <v>13.4241804854222</v>
      </c>
      <c r="AI4415">
        <v>94.742107953168997</v>
      </c>
      <c r="AJ4415">
        <v>96.900566643755795</v>
      </c>
      <c r="AK4415">
        <v>13.5685793503502</v>
      </c>
      <c r="AL4415">
        <v>93.872883188963101</v>
      </c>
      <c r="AM4415">
        <v>90.136621077044396</v>
      </c>
      <c r="AN4415">
        <v>0.99999997913559002</v>
      </c>
    </row>
    <row r="4416" spans="1:40" x14ac:dyDescent="0.25">
      <c r="A4416" t="str">
        <f>"20190303154857284"</f>
        <v>20190303154857284</v>
      </c>
      <c r="B4416" t="str">
        <f>"1551599337275570"</f>
        <v>1551599337275570</v>
      </c>
      <c r="C4416" t="s">
        <v>40</v>
      </c>
      <c r="D4416">
        <v>5.1879369999999998</v>
      </c>
      <c r="E4416">
        <v>0.4881568</v>
      </c>
      <c r="F4416" t="s">
        <v>41</v>
      </c>
      <c r="G4416">
        <v>-191.834</v>
      </c>
      <c r="H4416" s="1">
        <v>-5.017193E-6</v>
      </c>
      <c r="I4416">
        <v>169.50399999999999</v>
      </c>
      <c r="J4416">
        <v>-191.5497</v>
      </c>
      <c r="K4416">
        <v>1.121739</v>
      </c>
      <c r="L4416">
        <v>185.2063</v>
      </c>
      <c r="M4416">
        <v>-7.5638159999999996E-2</v>
      </c>
      <c r="N4416">
        <v>-1.14847E-2</v>
      </c>
      <c r="O4416">
        <v>-0.99706950000000005</v>
      </c>
      <c r="P4416">
        <v>-7.441209E-2</v>
      </c>
      <c r="Q4416">
        <v>-7.8436699999999998E-2</v>
      </c>
      <c r="R4416">
        <v>-0.99413859999999998</v>
      </c>
      <c r="S4416">
        <v>-5.5603029999999998E-2</v>
      </c>
      <c r="T4416">
        <v>-0.2121692</v>
      </c>
      <c r="U4416">
        <v>-2.9966889999999999</v>
      </c>
      <c r="V4416">
        <v>-8.4431049999999998E-4</v>
      </c>
      <c r="W4416">
        <v>-6.6984360000000007E-2</v>
      </c>
      <c r="X4416">
        <v>0.99775369999999997</v>
      </c>
      <c r="Y4416">
        <v>-5.7136699999999999E-2</v>
      </c>
      <c r="Z4416">
        <v>5.8804950000000002E-2</v>
      </c>
      <c r="AA4416">
        <v>0.99663299999999999</v>
      </c>
      <c r="AB4416">
        <v>23</v>
      </c>
      <c r="AC4416">
        <v>-0.284300000000001</v>
      </c>
      <c r="AD4416">
        <v>-1.121744017193</v>
      </c>
      <c r="AE4416">
        <v>-15.7022999999999</v>
      </c>
      <c r="AF4416">
        <v>-0.89969556439431597</v>
      </c>
      <c r="AG4416">
        <v>-1.121744017193</v>
      </c>
      <c r="AH4416">
        <v>15.599234242019</v>
      </c>
      <c r="AI4416">
        <v>94.106270272979501</v>
      </c>
      <c r="AJ4416">
        <v>93.300912923206994</v>
      </c>
      <c r="AK4416">
        <v>15.665371705965899</v>
      </c>
      <c r="AL4416">
        <v>93.8407968745571</v>
      </c>
      <c r="AM4416">
        <v>90.0484843270456</v>
      </c>
      <c r="AN4416">
        <v>1.0000000316042501</v>
      </c>
    </row>
    <row r="4417" spans="1:40" x14ac:dyDescent="0.25">
      <c r="A4417" t="str">
        <f>"20190303154857297"</f>
        <v>20190303154857297</v>
      </c>
      <c r="B4417" t="str">
        <f>"1551599337285330"</f>
        <v>1551599337285330</v>
      </c>
      <c r="C4417" t="s">
        <v>40</v>
      </c>
      <c r="D4417">
        <v>5.1287570000000002</v>
      </c>
      <c r="E4417">
        <v>0.49383779999999999</v>
      </c>
      <c r="F4417" t="s">
        <v>41</v>
      </c>
      <c r="G4417">
        <v>-192.25370000000001</v>
      </c>
      <c r="H4417" s="1">
        <v>-4.8530040000000001E-6</v>
      </c>
      <c r="I4417">
        <v>168.8826</v>
      </c>
      <c r="J4417">
        <v>-191.55869999999999</v>
      </c>
      <c r="K4417">
        <v>1.1217459999999999</v>
      </c>
      <c r="L4417">
        <v>185.07490000000001</v>
      </c>
      <c r="M4417">
        <v>-7.4746419999999994E-2</v>
      </c>
      <c r="N4417">
        <v>-1.1731739999999999E-2</v>
      </c>
      <c r="O4417">
        <v>-0.99713359999999995</v>
      </c>
      <c r="P4417">
        <v>-7.4875949999999997E-2</v>
      </c>
      <c r="Q4417">
        <v>-7.8284899999999893E-2</v>
      </c>
      <c r="R4417">
        <v>-0.99411530000000004</v>
      </c>
      <c r="S4417">
        <v>-0.12902830000000001</v>
      </c>
      <c r="T4417">
        <v>-0.2055931</v>
      </c>
      <c r="U4417">
        <v>-2.991806</v>
      </c>
      <c r="V4417">
        <v>5.0905959999999995E-4</v>
      </c>
      <c r="W4417">
        <v>-6.6582779999999994E-2</v>
      </c>
      <c r="X4417">
        <v>0.99778080000000002</v>
      </c>
      <c r="Y4417">
        <v>-3.1769599999999898E-2</v>
      </c>
      <c r="Z4417">
        <v>5.6530940000000002E-2</v>
      </c>
      <c r="AA4417">
        <v>0.99789519999999998</v>
      </c>
      <c r="AB4417">
        <v>23</v>
      </c>
      <c r="AC4417">
        <v>-0.69500000000002105</v>
      </c>
      <c r="AD4417">
        <v>-1.1217508530039999</v>
      </c>
      <c r="AE4417">
        <v>-16.192299999999999</v>
      </c>
      <c r="AF4417">
        <v>-0.51487769155788898</v>
      </c>
      <c r="AG4417">
        <v>-1.1217508530039999</v>
      </c>
      <c r="AH4417">
        <v>16.1217190247622</v>
      </c>
      <c r="AI4417">
        <v>93.978209382327407</v>
      </c>
      <c r="AJ4417">
        <v>91.829227702795194</v>
      </c>
      <c r="AK4417">
        <v>16.168897560651999</v>
      </c>
      <c r="AL4417">
        <v>93.817736577624601</v>
      </c>
      <c r="AM4417">
        <v>89.970768164641001</v>
      </c>
      <c r="AN4417">
        <v>1.0000000252914201</v>
      </c>
    </row>
    <row r="4418" spans="1:40" x14ac:dyDescent="0.25">
      <c r="A4418" t="str">
        <f>"20190303154857313"</f>
        <v>20190303154857313</v>
      </c>
      <c r="B4418" t="str">
        <f>"1551599337304849"</f>
        <v>1551599337304849</v>
      </c>
      <c r="C4418" t="s">
        <v>40</v>
      </c>
      <c r="D4418">
        <v>5.099888</v>
      </c>
      <c r="E4418">
        <v>0.4988805</v>
      </c>
      <c r="F4418" t="s">
        <v>41</v>
      </c>
      <c r="G4418">
        <v>-192.5103</v>
      </c>
      <c r="H4418" s="1">
        <v>-4.8948780000000002E-6</v>
      </c>
      <c r="I4418">
        <v>168.87309999999999</v>
      </c>
      <c r="J4418">
        <v>-191.56989999999999</v>
      </c>
      <c r="K4418">
        <v>1.121748</v>
      </c>
      <c r="L4418">
        <v>184.9075</v>
      </c>
      <c r="M4418">
        <v>-7.3608530000000005E-2</v>
      </c>
      <c r="N4418">
        <v>-1.201837E-2</v>
      </c>
      <c r="O4418">
        <v>-0.99721470000000001</v>
      </c>
      <c r="P4418">
        <v>-7.5581670000000004E-2</v>
      </c>
      <c r="Q4418">
        <v>-7.7994419999999995E-2</v>
      </c>
      <c r="R4418">
        <v>-0.994085</v>
      </c>
      <c r="S4418">
        <v>-0.17552190000000001</v>
      </c>
      <c r="T4418">
        <v>-0.2068951</v>
      </c>
      <c r="U4418">
        <v>-2.988251</v>
      </c>
      <c r="V4418">
        <v>2.3495819999999998E-3</v>
      </c>
      <c r="W4418">
        <v>-6.6001820000000003E-2</v>
      </c>
      <c r="X4418">
        <v>0.9978167</v>
      </c>
      <c r="Y4418">
        <v>-1.509749E-2</v>
      </c>
      <c r="Z4418">
        <v>5.6758620000000003E-2</v>
      </c>
      <c r="AA4418">
        <v>0.99827379999999999</v>
      </c>
      <c r="AB4418">
        <v>23</v>
      </c>
      <c r="AC4418">
        <v>-0.940400000000011</v>
      </c>
      <c r="AD4418">
        <v>-1.121752894878</v>
      </c>
      <c r="AE4418">
        <v>-16.034400000000002</v>
      </c>
      <c r="AF4418">
        <v>-0.24132836629834301</v>
      </c>
      <c r="AG4418">
        <v>-1.121752894878</v>
      </c>
      <c r="AH4418">
        <v>15.9821691435512</v>
      </c>
      <c r="AI4418">
        <v>94.0144229330011</v>
      </c>
      <c r="AJ4418">
        <v>90.865091965964098</v>
      </c>
      <c r="AK4418">
        <v>16.023304886028502</v>
      </c>
      <c r="AL4418">
        <v>93.7843768713564</v>
      </c>
      <c r="AM4418">
        <v>89.865084555701898</v>
      </c>
      <c r="AN4418">
        <v>0.999999963788887</v>
      </c>
    </row>
    <row r="4419" spans="1:40" x14ac:dyDescent="0.25">
      <c r="A4419" t="str">
        <f>"20190303154857327"</f>
        <v>20190303154857327</v>
      </c>
      <c r="B4419" t="str">
        <f>"1551599337315585"</f>
        <v>1551599337315585</v>
      </c>
      <c r="C4419" t="s">
        <v>40</v>
      </c>
      <c r="D4419">
        <v>5.1722910000000004</v>
      </c>
      <c r="E4419">
        <v>0.50063590000000002</v>
      </c>
      <c r="F4419" t="s">
        <v>41</v>
      </c>
      <c r="G4419">
        <v>-192.75219999999999</v>
      </c>
      <c r="H4419" s="1">
        <v>-4.8711300000000002E-6</v>
      </c>
      <c r="I4419">
        <v>168.6995</v>
      </c>
      <c r="J4419">
        <v>-191.57849999999999</v>
      </c>
      <c r="K4419">
        <v>1.1217490000000001</v>
      </c>
      <c r="L4419">
        <v>184.77670000000001</v>
      </c>
      <c r="M4419">
        <v>-7.2718690000000002E-2</v>
      </c>
      <c r="N4419">
        <v>-1.22247E-2</v>
      </c>
      <c r="O4419">
        <v>-0.99727759999999999</v>
      </c>
      <c r="P4419">
        <v>-7.501265E-2</v>
      </c>
      <c r="Q4419">
        <v>-7.8328300000000003E-2</v>
      </c>
      <c r="R4419">
        <v>-0.99410169999999998</v>
      </c>
      <c r="S4419">
        <v>-0.21774289999999999</v>
      </c>
      <c r="T4419">
        <v>-0.20659720000000001</v>
      </c>
      <c r="U4419">
        <v>-2.985077</v>
      </c>
      <c r="V4419">
        <v>2.6693279999999999E-3</v>
      </c>
      <c r="W4419">
        <v>-6.6129439999999998E-2</v>
      </c>
      <c r="X4419">
        <v>0.99780749999999996</v>
      </c>
      <c r="Y4419" s="1">
        <v>-9.009872E-5</v>
      </c>
      <c r="Z4419">
        <v>5.651196E-2</v>
      </c>
      <c r="AA4419">
        <v>0.99840189999999995</v>
      </c>
      <c r="AB4419">
        <v>23</v>
      </c>
      <c r="AC4419">
        <v>-1.17369999999999</v>
      </c>
      <c r="AD4419">
        <v>-1.1217538711299999</v>
      </c>
      <c r="AE4419">
        <v>-16.077200000000001</v>
      </c>
      <c r="AF4419">
        <v>1.38519248096824E-3</v>
      </c>
      <c r="AG4419">
        <v>-1.1217538711299999</v>
      </c>
      <c r="AH4419">
        <v>16.042301239352799</v>
      </c>
      <c r="AI4419">
        <v>93.999882303972697</v>
      </c>
      <c r="AJ4419">
        <v>89.995052724569106</v>
      </c>
      <c r="AK4419">
        <v>16.0814726539672</v>
      </c>
      <c r="AL4419">
        <v>93.791704764511906</v>
      </c>
      <c r="AM4419">
        <v>89.846723076657298</v>
      </c>
      <c r="AN4419">
        <v>1.0000000176014601</v>
      </c>
    </row>
    <row r="4420" spans="1:40" x14ac:dyDescent="0.25">
      <c r="A4420" t="str">
        <f>"20190303154857339"</f>
        <v>20190303154857339</v>
      </c>
      <c r="B4420" t="str">
        <f>"1551599337335107"</f>
        <v>1551599337335107</v>
      </c>
      <c r="C4420" t="s">
        <v>40</v>
      </c>
      <c r="D4420">
        <v>5.0628479999999998</v>
      </c>
      <c r="E4420">
        <v>0.50280769999999997</v>
      </c>
      <c r="F4420" t="s">
        <v>41</v>
      </c>
      <c r="G4420">
        <v>-192.8313</v>
      </c>
      <c r="H4420" s="1">
        <v>-4.8204309999999901E-6</v>
      </c>
      <c r="I4420">
        <v>168.53099999999901</v>
      </c>
      <c r="J4420">
        <v>-191.5866</v>
      </c>
      <c r="K4420">
        <v>1.1217490000000001</v>
      </c>
      <c r="L4420">
        <v>184.65270000000001</v>
      </c>
      <c r="M4420">
        <v>-7.1874419999999994E-2</v>
      </c>
      <c r="N4420">
        <v>-1.240847E-2</v>
      </c>
      <c r="O4420">
        <v>-0.99733660000000002</v>
      </c>
      <c r="P4420">
        <v>-7.4557150000000003E-2</v>
      </c>
      <c r="Q4420">
        <v>-7.8282619999999997E-2</v>
      </c>
      <c r="R4420">
        <v>-0.99413949999999995</v>
      </c>
      <c r="S4420">
        <v>-0.23011780000000001</v>
      </c>
      <c r="T4420">
        <v>-0.2060565</v>
      </c>
      <c r="U4420">
        <v>-2.9842070000000001</v>
      </c>
      <c r="V4420">
        <v>3.054415E-3</v>
      </c>
      <c r="W4420">
        <v>-6.5899529999999998E-2</v>
      </c>
      <c r="X4420">
        <v>0.99782159999999998</v>
      </c>
      <c r="Y4420">
        <v>4.8933559999999997E-3</v>
      </c>
      <c r="Z4420">
        <v>5.6166559999999997E-2</v>
      </c>
      <c r="AA4420">
        <v>0.99840949999999995</v>
      </c>
      <c r="AB4420">
        <v>23</v>
      </c>
      <c r="AC4420">
        <v>-1.2446999999999899</v>
      </c>
      <c r="AD4420">
        <v>-1.12175382043099</v>
      </c>
      <c r="AE4420">
        <v>-16.121700000000001</v>
      </c>
      <c r="AF4420">
        <v>8.2257500390483004E-2</v>
      </c>
      <c r="AG4420">
        <v>-1.12175382043099</v>
      </c>
      <c r="AH4420">
        <v>16.092020121694301</v>
      </c>
      <c r="AI4420">
        <v>93.987511861330404</v>
      </c>
      <c r="AJ4420">
        <v>89.707123995540798</v>
      </c>
      <c r="AK4420">
        <v>16.1312804676826</v>
      </c>
      <c r="AL4420">
        <v>93.778503117997104</v>
      </c>
      <c r="AM4420">
        <v>89.824613396050097</v>
      </c>
      <c r="AN4420">
        <v>1.00000001146588</v>
      </c>
    </row>
    <row r="4421" spans="1:40" x14ac:dyDescent="0.25">
      <c r="A4421" t="str">
        <f>"20190303154857351"</f>
        <v>20190303154857351</v>
      </c>
      <c r="B4421" t="str">
        <f>"1551599337344866"</f>
        <v>1551599337344866</v>
      </c>
      <c r="C4421" t="s">
        <v>40</v>
      </c>
      <c r="D4421">
        <v>5.0600290000000001</v>
      </c>
      <c r="E4421">
        <v>0.50357559999999901</v>
      </c>
      <c r="F4421" t="s">
        <v>41</v>
      </c>
      <c r="G4421">
        <v>-192.9117</v>
      </c>
      <c r="H4421" s="1">
        <v>-4.8547240000000001E-6</v>
      </c>
      <c r="I4421">
        <v>168.5831</v>
      </c>
      <c r="J4421">
        <v>-191.5941</v>
      </c>
      <c r="K4421">
        <v>1.12175</v>
      </c>
      <c r="L4421">
        <v>184.5352</v>
      </c>
      <c r="M4421">
        <v>-7.1075360000000004E-2</v>
      </c>
      <c r="N4421">
        <v>-1.256444E-2</v>
      </c>
      <c r="O4421">
        <v>-0.9973919</v>
      </c>
      <c r="P4421">
        <v>-7.3655890000000002E-2</v>
      </c>
      <c r="Q4421">
        <v>-7.8478240000000005E-2</v>
      </c>
      <c r="R4421">
        <v>-0.99419120000000005</v>
      </c>
      <c r="S4421">
        <v>-0.24595639999999999</v>
      </c>
      <c r="T4421">
        <v>-0.20822080000000001</v>
      </c>
      <c r="U4421">
        <v>-2.9828489999999999</v>
      </c>
      <c r="V4421">
        <v>2.9495419999999999E-3</v>
      </c>
      <c r="W4421">
        <v>-6.5939960000000006E-2</v>
      </c>
      <c r="X4421">
        <v>0.99781920000000002</v>
      </c>
      <c r="Y4421">
        <v>1.099106E-2</v>
      </c>
      <c r="Z4421">
        <v>5.6751089999999997E-2</v>
      </c>
      <c r="AA4421">
        <v>0.99832790000000005</v>
      </c>
      <c r="AB4421">
        <v>23</v>
      </c>
      <c r="AC4421">
        <v>-1.3175999999999899</v>
      </c>
      <c r="AD4421">
        <v>-1.1217548547239999</v>
      </c>
      <c r="AE4421">
        <v>-15.9521</v>
      </c>
      <c r="AF4421">
        <v>0.17949496389300601</v>
      </c>
      <c r="AG4421">
        <v>-1.1217548547239999</v>
      </c>
      <c r="AH4421">
        <v>15.9271810995547</v>
      </c>
      <c r="AI4421">
        <v>94.028446779423206</v>
      </c>
      <c r="AJ4421">
        <v>89.354319609231695</v>
      </c>
      <c r="AK4421">
        <v>15.9676438516824</v>
      </c>
      <c r="AL4421">
        <v>93.780824804144899</v>
      </c>
      <c r="AM4421">
        <v>89.830634832566105</v>
      </c>
      <c r="AN4421">
        <v>0.99999996700572502</v>
      </c>
    </row>
    <row r="4422" spans="1:40" x14ac:dyDescent="0.25">
      <c r="A4422" t="str">
        <f>"20190303154857364"</f>
        <v>20190303154857364</v>
      </c>
      <c r="B4422" t="str">
        <f>"1551599337355601"</f>
        <v>1551599337355601</v>
      </c>
      <c r="C4422" t="s">
        <v>40</v>
      </c>
      <c r="D4422">
        <v>5.0641449999999999</v>
      </c>
      <c r="E4422">
        <v>0.50422349999999905</v>
      </c>
      <c r="F4422" t="s">
        <v>41</v>
      </c>
      <c r="G4422">
        <v>-192.9348</v>
      </c>
      <c r="H4422" s="1">
        <v>-4.8270520000000003E-6</v>
      </c>
      <c r="I4422">
        <v>168.50040000000001</v>
      </c>
      <c r="J4422">
        <v>-191.60210000000001</v>
      </c>
      <c r="K4422">
        <v>1.1217520000000001</v>
      </c>
      <c r="L4422">
        <v>184.40969999999999</v>
      </c>
      <c r="M4422">
        <v>-7.0222969999999996E-2</v>
      </c>
      <c r="N4422">
        <v>-1.2723969999999999E-2</v>
      </c>
      <c r="O4422">
        <v>-0.99745050000000002</v>
      </c>
      <c r="P4422">
        <v>-7.2363399999999994E-2</v>
      </c>
      <c r="Q4422">
        <v>-7.9024839999999999E-2</v>
      </c>
      <c r="R4422">
        <v>-0.99424319999999999</v>
      </c>
      <c r="S4422">
        <v>-0.2493744</v>
      </c>
      <c r="T4422">
        <v>-0.20865349999999999</v>
      </c>
      <c r="U4422">
        <v>-2.9825740000000001</v>
      </c>
      <c r="V4422">
        <v>2.5084069999999998E-3</v>
      </c>
      <c r="W4422">
        <v>-6.6328880000000007E-2</v>
      </c>
      <c r="X4422">
        <v>0.99779470000000003</v>
      </c>
      <c r="Y4422">
        <v>1.2988110000000001E-2</v>
      </c>
      <c r="Z4422">
        <v>5.6744179999999998E-2</v>
      </c>
      <c r="AA4422">
        <v>0.99830419999999997</v>
      </c>
      <c r="AB4422">
        <v>22</v>
      </c>
      <c r="AC4422">
        <v>-1.33269999999998</v>
      </c>
      <c r="AD4422">
        <v>-1.121756827052</v>
      </c>
      <c r="AE4422">
        <v>-15.909299999999901</v>
      </c>
      <c r="AF4422">
        <v>0.21107900031125401</v>
      </c>
      <c r="AG4422">
        <v>-1.121756827052</v>
      </c>
      <c r="AH4422">
        <v>15.8851880630276</v>
      </c>
      <c r="AI4422">
        <v>94.038968256272497</v>
      </c>
      <c r="AJ4422">
        <v>89.2387106718963</v>
      </c>
      <c r="AK4422">
        <v>15.9261449359587</v>
      </c>
      <c r="AL4422">
        <v>93.803156901364602</v>
      </c>
      <c r="AM4422">
        <v>89.855961520308597</v>
      </c>
      <c r="AN4422">
        <v>1.0000000378879099</v>
      </c>
    </row>
    <row r="4423" spans="1:40" x14ac:dyDescent="0.25">
      <c r="A4423" t="str">
        <f>"20190303154857380"</f>
        <v>20190303154857380</v>
      </c>
      <c r="B4423" t="str">
        <f>"1551599337375121"</f>
        <v>1551599337375121</v>
      </c>
      <c r="C4423" t="s">
        <v>40</v>
      </c>
      <c r="D4423">
        <v>5.0462749999999996</v>
      </c>
      <c r="E4423">
        <v>0.50518350000000001</v>
      </c>
      <c r="F4423" t="s">
        <v>41</v>
      </c>
      <c r="G4423">
        <v>-192.93770000000001</v>
      </c>
      <c r="H4423" s="1">
        <v>-4.8328849999999997E-6</v>
      </c>
      <c r="I4423">
        <v>168.51419999999999</v>
      </c>
      <c r="J4423">
        <v>-191.61269999999999</v>
      </c>
      <c r="K4423">
        <v>1.1217469999999901</v>
      </c>
      <c r="L4423">
        <v>184.23990000000001</v>
      </c>
      <c r="M4423">
        <v>-6.9071980000000005E-2</v>
      </c>
      <c r="N4423">
        <v>-1.292011E-2</v>
      </c>
      <c r="O4423">
        <v>-0.99752830000000003</v>
      </c>
      <c r="P4423">
        <v>-7.0165259999999993E-2</v>
      </c>
      <c r="Q4423">
        <v>-7.9450850000000003E-2</v>
      </c>
      <c r="R4423">
        <v>-0.99436659999999999</v>
      </c>
      <c r="S4423">
        <v>-0.25059510000000002</v>
      </c>
      <c r="T4423">
        <v>-0.21047089999999999</v>
      </c>
      <c r="U4423">
        <v>-2.9824069999999998</v>
      </c>
      <c r="V4423">
        <v>1.4565960000000001E-3</v>
      </c>
      <c r="W4423">
        <v>-6.6561899999999993E-2</v>
      </c>
      <c r="X4423">
        <v>0.99778120000000003</v>
      </c>
      <c r="Y4423">
        <v>1.454912E-2</v>
      </c>
      <c r="Z4423">
        <v>5.716098E-2</v>
      </c>
      <c r="AA4423">
        <v>0.99825889999999995</v>
      </c>
      <c r="AB4423">
        <v>22</v>
      </c>
      <c r="AC4423">
        <v>-1.3250000000000099</v>
      </c>
      <c r="AD4423">
        <v>-1.12175183288499</v>
      </c>
      <c r="AE4423">
        <v>-15.7257</v>
      </c>
      <c r="AF4423">
        <v>0.23435528719091001</v>
      </c>
      <c r="AG4423">
        <v>-1.12175183288499</v>
      </c>
      <c r="AH4423">
        <v>15.7003386567227</v>
      </c>
      <c r="AI4423">
        <v>94.086248993190296</v>
      </c>
      <c r="AJ4423">
        <v>89.144822794507704</v>
      </c>
      <c r="AK4423">
        <v>15.7421054345026</v>
      </c>
      <c r="AL4423">
        <v>93.816537809933095</v>
      </c>
      <c r="AM4423">
        <v>89.916357670428795</v>
      </c>
      <c r="AN4423">
        <v>0.99999996563847804</v>
      </c>
    </row>
    <row r="4424" spans="1:40" x14ac:dyDescent="0.25">
      <c r="A4424" t="str">
        <f>"20190303154857393"</f>
        <v>20190303154857393</v>
      </c>
      <c r="B4424" t="str">
        <f>"1551599337384882"</f>
        <v>1551599337384882</v>
      </c>
      <c r="C4424" t="s">
        <v>40</v>
      </c>
      <c r="D4424">
        <v>5.0667679999999997</v>
      </c>
      <c r="E4424">
        <v>0.50566699999999998</v>
      </c>
      <c r="F4424" t="s">
        <v>41</v>
      </c>
      <c r="G4424">
        <v>-192.94749999999999</v>
      </c>
      <c r="H4424" s="1">
        <v>-4.8012669999999998E-6</v>
      </c>
      <c r="I4424">
        <v>168.42740000000001</v>
      </c>
      <c r="J4424">
        <v>-191.62049999999999</v>
      </c>
      <c r="K4424">
        <v>1.1217490000000001</v>
      </c>
      <c r="L4424">
        <v>184.1129</v>
      </c>
      <c r="M4424">
        <v>-6.8214849999999994E-2</v>
      </c>
      <c r="N4424">
        <v>-1.304952E-2</v>
      </c>
      <c r="O4424">
        <v>-0.99758519999999995</v>
      </c>
      <c r="P4424">
        <v>-6.8619970000000002E-2</v>
      </c>
      <c r="Q4424">
        <v>-8.0410350000000005E-2</v>
      </c>
      <c r="R4424">
        <v>-0.99439690000000003</v>
      </c>
      <c r="S4424">
        <v>-0.2517395</v>
      </c>
      <c r="T4424">
        <v>-0.21156910000000001</v>
      </c>
      <c r="U4424">
        <v>-2.9823300000000001</v>
      </c>
      <c r="V4424">
        <v>7.7036979999999997E-4</v>
      </c>
      <c r="W4424">
        <v>-6.7394700000000002E-2</v>
      </c>
      <c r="X4424">
        <v>0.99772609999999995</v>
      </c>
      <c r="Y4424">
        <v>1.5788650000000001E-2</v>
      </c>
      <c r="Z4424">
        <v>5.7401899999999999E-2</v>
      </c>
      <c r="AA4424">
        <v>0.99822630000000001</v>
      </c>
      <c r="AB4424">
        <v>22</v>
      </c>
      <c r="AC4424">
        <v>-1.32699999999999</v>
      </c>
      <c r="AD4424">
        <v>-1.1217538012670001</v>
      </c>
      <c r="AE4424">
        <v>-15.6854999999999</v>
      </c>
      <c r="AF4424">
        <v>0.25255069409340603</v>
      </c>
      <c r="AG4424">
        <v>-1.1217538012670001</v>
      </c>
      <c r="AH4424">
        <v>15.6599628043503</v>
      </c>
      <c r="AI4424">
        <v>94.096679769231798</v>
      </c>
      <c r="AJ4424">
        <v>89.076062007572503</v>
      </c>
      <c r="AK4424">
        <v>15.702119235230001</v>
      </c>
      <c r="AL4424">
        <v>93.864360976941597</v>
      </c>
      <c r="AM4424">
        <v>89.955760474309699</v>
      </c>
      <c r="AN4424">
        <v>1.0000000048394599</v>
      </c>
    </row>
    <row r="4425" spans="1:40" x14ac:dyDescent="0.25">
      <c r="A4425" t="str">
        <f>"20190303154857414"</f>
        <v>20190303154857414</v>
      </c>
      <c r="B4425" t="str">
        <f>"1551599337405377"</f>
        <v>1551599337405377</v>
      </c>
      <c r="C4425" t="s">
        <v>40</v>
      </c>
      <c r="D4425">
        <v>5.022926</v>
      </c>
      <c r="E4425">
        <v>0.50639209999999901</v>
      </c>
      <c r="F4425" t="s">
        <v>41</v>
      </c>
      <c r="G4425">
        <v>-192.9365</v>
      </c>
      <c r="H4425" s="1">
        <v>-4.8189050000000001E-6</v>
      </c>
      <c r="I4425">
        <v>168.47839999999999</v>
      </c>
      <c r="J4425">
        <v>-191.6328</v>
      </c>
      <c r="K4425">
        <v>1.1217459999999999</v>
      </c>
      <c r="L4425">
        <v>183.91</v>
      </c>
      <c r="M4425">
        <v>-6.6849439999999996E-2</v>
      </c>
      <c r="N4425">
        <v>-1.323979E-2</v>
      </c>
      <c r="O4425">
        <v>-0.99767530000000004</v>
      </c>
      <c r="P4425">
        <v>-6.6366320000000006E-2</v>
      </c>
      <c r="Q4425">
        <v>-8.1324740000000006E-2</v>
      </c>
      <c r="R4425">
        <v>-0.99447580000000002</v>
      </c>
      <c r="S4425">
        <v>-0.25102229999999998</v>
      </c>
      <c r="T4425">
        <v>-0.2139751</v>
      </c>
      <c r="U4425">
        <v>-2.9822850000000001</v>
      </c>
      <c r="V4425">
        <v>-1.192337E-4</v>
      </c>
      <c r="W4425">
        <v>-6.8122100000000005E-2</v>
      </c>
      <c r="X4425">
        <v>0.99767700000000004</v>
      </c>
      <c r="Y4425">
        <v>1.691604E-2</v>
      </c>
      <c r="Z4425">
        <v>5.8019710000000002E-2</v>
      </c>
      <c r="AA4425">
        <v>0.99817210000000001</v>
      </c>
      <c r="AB4425">
        <v>22</v>
      </c>
      <c r="AC4425">
        <v>-1.3036999999999901</v>
      </c>
      <c r="AD4425">
        <v>-1.1217508189049901</v>
      </c>
      <c r="AE4425">
        <v>-15.4316</v>
      </c>
      <c r="AF4425">
        <v>0.26769453755136102</v>
      </c>
      <c r="AG4425">
        <v>-1.1217508189049901</v>
      </c>
      <c r="AH4425">
        <v>15.4034174912751</v>
      </c>
      <c r="AI4425">
        <v>94.164574187136907</v>
      </c>
      <c r="AJ4425">
        <v>89.004362288291304</v>
      </c>
      <c r="AK4425">
        <v>15.4465289199764</v>
      </c>
      <c r="AL4425">
        <v>93.906133890213098</v>
      </c>
      <c r="AM4425">
        <v>90.006847494482898</v>
      </c>
      <c r="AN4425">
        <v>1.0000000155270401</v>
      </c>
    </row>
    <row r="4426" spans="1:40" x14ac:dyDescent="0.25">
      <c r="A4426" t="str">
        <f>"20190303154857426"</f>
        <v>20190303154857426</v>
      </c>
      <c r="B4426" t="str">
        <f>"1551599337415138"</f>
        <v>1551599337415138</v>
      </c>
      <c r="C4426" t="s">
        <v>40</v>
      </c>
      <c r="D4426">
        <v>5.0191589999999904</v>
      </c>
      <c r="E4426">
        <v>0.5065904</v>
      </c>
      <c r="F4426" t="s">
        <v>41</v>
      </c>
      <c r="G4426">
        <v>-192.9256</v>
      </c>
      <c r="H4426" s="1">
        <v>-4.8206379999999998E-6</v>
      </c>
      <c r="I4426">
        <v>168.4879</v>
      </c>
      <c r="J4426">
        <v>-191.6403</v>
      </c>
      <c r="K4426">
        <v>1.121739</v>
      </c>
      <c r="L4426">
        <v>183.78290000000001</v>
      </c>
      <c r="M4426">
        <v>-6.5998550000000003E-2</v>
      </c>
      <c r="N4426">
        <v>-1.3346810000000001E-2</v>
      </c>
      <c r="O4426">
        <v>-0.99773040000000002</v>
      </c>
      <c r="P4426">
        <v>-6.5361119999999995E-2</v>
      </c>
      <c r="Q4426">
        <v>-8.2412460000000007E-2</v>
      </c>
      <c r="R4426">
        <v>-0.99445300000000003</v>
      </c>
      <c r="S4426">
        <v>-0.25</v>
      </c>
      <c r="T4426">
        <v>-0.21691679999999999</v>
      </c>
      <c r="U4426">
        <v>-2.982224</v>
      </c>
      <c r="V4426">
        <v>-2.6954589999999998E-4</v>
      </c>
      <c r="W4426">
        <v>-6.9104460000000006E-2</v>
      </c>
      <c r="X4426">
        <v>0.99760939999999998</v>
      </c>
      <c r="Y4426">
        <v>1.742581E-2</v>
      </c>
      <c r="Z4426">
        <v>5.8895389999999999E-2</v>
      </c>
      <c r="AA4426">
        <v>0.99811209999999995</v>
      </c>
      <c r="AB4426">
        <v>22</v>
      </c>
      <c r="AC4426">
        <v>-1.2853000000000001</v>
      </c>
      <c r="AD4426">
        <v>-1.1217438206379999</v>
      </c>
      <c r="AE4426">
        <v>-15.295</v>
      </c>
      <c r="AF4426">
        <v>0.27150922482491502</v>
      </c>
      <c r="AG4426">
        <v>-1.1217438206379999</v>
      </c>
      <c r="AH4426">
        <v>15.2649502174056</v>
      </c>
      <c r="AI4426">
        <v>94.202159906268406</v>
      </c>
      <c r="AJ4426">
        <v>88.981019111365498</v>
      </c>
      <c r="AK4426">
        <v>15.308518269191699</v>
      </c>
      <c r="AL4426">
        <v>93.962551966012597</v>
      </c>
      <c r="AM4426">
        <v>90.015480850600596</v>
      </c>
      <c r="AN4426">
        <v>1.00000000700762</v>
      </c>
    </row>
    <row r="4427" spans="1:40" x14ac:dyDescent="0.25">
      <c r="A4427" t="str">
        <f>"20190303154857439"</f>
        <v>20190303154857439</v>
      </c>
      <c r="B4427" t="str">
        <f>"1551599337435635"</f>
        <v>1551599337435635</v>
      </c>
      <c r="C4427" t="s">
        <v>40</v>
      </c>
      <c r="D4427">
        <v>5.0406690000000003</v>
      </c>
      <c r="E4427">
        <v>0.5069785</v>
      </c>
      <c r="F4427" t="s">
        <v>41</v>
      </c>
      <c r="G4427">
        <v>-192.90539999999999</v>
      </c>
      <c r="H4427" s="1">
        <v>-4.8591559999999996E-6</v>
      </c>
      <c r="I4427">
        <v>168.5976</v>
      </c>
      <c r="J4427">
        <v>-191.6474</v>
      </c>
      <c r="K4427">
        <v>1.1217330000000001</v>
      </c>
      <c r="L4427">
        <v>183.66159999999999</v>
      </c>
      <c r="M4427">
        <v>-6.519113E-2</v>
      </c>
      <c r="N4427">
        <v>-1.344191E-2</v>
      </c>
      <c r="O4427">
        <v>-0.99778259999999996</v>
      </c>
      <c r="P4427">
        <v>-6.4363619999999996E-2</v>
      </c>
      <c r="Q4427">
        <v>-8.326393E-2</v>
      </c>
      <c r="R4427">
        <v>-0.99444739999999998</v>
      </c>
      <c r="S4427">
        <v>-0.24844359999999999</v>
      </c>
      <c r="T4427">
        <v>-0.22029380000000001</v>
      </c>
      <c r="U4427">
        <v>-2.9821620000000002</v>
      </c>
      <c r="V4427">
        <v>-4.5742210000000001E-4</v>
      </c>
      <c r="W4427">
        <v>-6.9862309999999997E-2</v>
      </c>
      <c r="X4427">
        <v>0.99755660000000002</v>
      </c>
      <c r="Y4427">
        <v>1.771375E-2</v>
      </c>
      <c r="Z4427">
        <v>5.9927399999999999E-2</v>
      </c>
      <c r="AA4427">
        <v>0.99804559999999998</v>
      </c>
      <c r="AB4427">
        <v>22</v>
      </c>
      <c r="AC4427">
        <v>-1.25799999999998</v>
      </c>
      <c r="AD4427">
        <v>-1.1217378591560001</v>
      </c>
      <c r="AE4427">
        <v>-15.063999999999901</v>
      </c>
      <c r="AF4427">
        <v>0.27169977395440997</v>
      </c>
      <c r="AG4427">
        <v>-1.1217378591560001</v>
      </c>
      <c r="AH4427">
        <v>15.031196985608601</v>
      </c>
      <c r="AI4427">
        <v>94.267224365997393</v>
      </c>
      <c r="AJ4427">
        <v>88.9644500533919</v>
      </c>
      <c r="AK4427">
        <v>15.0754435892282</v>
      </c>
      <c r="AL4427">
        <v>94.006078556577407</v>
      </c>
      <c r="AM4427">
        <v>90.026272548293605</v>
      </c>
      <c r="AN4427">
        <v>1.00000006089853</v>
      </c>
    </row>
    <row r="4428" spans="1:40" x14ac:dyDescent="0.25">
      <c r="A4428" t="str">
        <f>"20190303154857462"</f>
        <v>20190303154857462</v>
      </c>
      <c r="B4428" t="str">
        <f>"1551599337455154"</f>
        <v>1551599337455154</v>
      </c>
      <c r="C4428" t="s">
        <v>40</v>
      </c>
      <c r="D4428">
        <v>5.0490000000000004</v>
      </c>
      <c r="E4428">
        <v>0.50735909999999995</v>
      </c>
      <c r="F4428" t="s">
        <v>41</v>
      </c>
      <c r="G4428">
        <v>-192.89680000000001</v>
      </c>
      <c r="H4428" s="1">
        <v>-4.8892830000000001E-6</v>
      </c>
      <c r="I4428">
        <v>168.68</v>
      </c>
      <c r="J4428">
        <v>-191.6602</v>
      </c>
      <c r="K4428">
        <v>1.1217189999999999</v>
      </c>
      <c r="L4428">
        <v>183.43950000000001</v>
      </c>
      <c r="M4428">
        <v>-6.373115E-2</v>
      </c>
      <c r="N4428">
        <v>-1.3595070000000001E-2</v>
      </c>
      <c r="O4428">
        <v>-0.9978745</v>
      </c>
      <c r="P4428">
        <v>-6.216269E-2</v>
      </c>
      <c r="Q4428">
        <v>-8.4905659999999994E-2</v>
      </c>
      <c r="R4428">
        <v>-0.9944482</v>
      </c>
      <c r="S4428">
        <v>-0.24868770000000001</v>
      </c>
      <c r="T4428">
        <v>-0.22327449999999999</v>
      </c>
      <c r="U4428">
        <v>-2.981995</v>
      </c>
      <c r="V4428">
        <v>-1.196489E-3</v>
      </c>
      <c r="W4428">
        <v>-7.1354550000000003E-2</v>
      </c>
      <c r="X4428">
        <v>0.99745030000000001</v>
      </c>
      <c r="Y4428">
        <v>1.9256869999999999E-2</v>
      </c>
      <c r="Z4428">
        <v>6.0774750000000002E-2</v>
      </c>
      <c r="AA4428">
        <v>0.99796580000000001</v>
      </c>
      <c r="AB4428">
        <v>22</v>
      </c>
      <c r="AC4428">
        <v>-1.2366000000000099</v>
      </c>
      <c r="AD4428">
        <v>-1.1217238892829999</v>
      </c>
      <c r="AE4428">
        <v>-14.759499999999999</v>
      </c>
      <c r="AF4428">
        <v>0.29168577067275397</v>
      </c>
      <c r="AG4428">
        <v>-1.1217238892829999</v>
      </c>
      <c r="AH4428">
        <v>14.7238546972787</v>
      </c>
      <c r="AI4428">
        <v>94.355761490864197</v>
      </c>
      <c r="AJ4428">
        <v>88.8650948959733</v>
      </c>
      <c r="AK4428">
        <v>14.7694022295819</v>
      </c>
      <c r="AL4428">
        <v>94.091791784308299</v>
      </c>
      <c r="AM4428">
        <v>90.068728975321207</v>
      </c>
      <c r="AN4428">
        <v>1.0000000021808599</v>
      </c>
    </row>
    <row r="4429" spans="1:40" x14ac:dyDescent="0.25">
      <c r="A4429" t="str">
        <f>"20190303154857483"</f>
        <v>20190303154857483</v>
      </c>
      <c r="B4429" t="str">
        <f>"1551599337475649"</f>
        <v>1551599337475649</v>
      </c>
      <c r="C4429" t="s">
        <v>40</v>
      </c>
      <c r="D4429">
        <v>5.0561970000000001</v>
      </c>
      <c r="E4429">
        <v>0.50775150000000002</v>
      </c>
      <c r="F4429" t="s">
        <v>41</v>
      </c>
      <c r="G4429">
        <v>-192.86670000000001</v>
      </c>
      <c r="H4429" s="1">
        <v>-4.9142219999999997E-6</v>
      </c>
      <c r="I4429">
        <v>168.75890000000001</v>
      </c>
      <c r="J4429">
        <v>-191.67240000000001</v>
      </c>
      <c r="K4429">
        <v>1.12169599999999</v>
      </c>
      <c r="L4429">
        <v>183.2217</v>
      </c>
      <c r="M4429">
        <v>-6.2328349999999998E-2</v>
      </c>
      <c r="N4429">
        <v>-1.372351E-2</v>
      </c>
      <c r="O4429">
        <v>-0.99796149999999995</v>
      </c>
      <c r="P4429">
        <v>-5.9984910000000002E-2</v>
      </c>
      <c r="Q4429">
        <v>-8.5483169999999997E-2</v>
      </c>
      <c r="R4429">
        <v>-0.99453270000000005</v>
      </c>
      <c r="S4429">
        <v>-0.24507139999999999</v>
      </c>
      <c r="T4429">
        <v>-0.22784689999999999</v>
      </c>
      <c r="U4429">
        <v>-2.9819640000000001</v>
      </c>
      <c r="V4429">
        <v>-1.9783470000000001E-3</v>
      </c>
      <c r="W4429">
        <v>-7.180607E-2</v>
      </c>
      <c r="X4429">
        <v>0.99741670000000004</v>
      </c>
      <c r="Y4429">
        <v>1.9453539999999998E-2</v>
      </c>
      <c r="Z4429">
        <v>6.2174390000000003E-2</v>
      </c>
      <c r="AA4429">
        <v>0.99787570000000003</v>
      </c>
      <c r="AB4429">
        <v>22</v>
      </c>
      <c r="AC4429">
        <v>-1.1942999999999899</v>
      </c>
      <c r="AD4429">
        <v>-1.12170091422199</v>
      </c>
      <c r="AE4429">
        <v>-14.4627999999999</v>
      </c>
      <c r="AF4429">
        <v>0.28872529078646197</v>
      </c>
      <c r="AG4429">
        <v>-1.12170091422199</v>
      </c>
      <c r="AH4429">
        <v>14.422951197200099</v>
      </c>
      <c r="AI4429">
        <v>94.446165243161701</v>
      </c>
      <c r="AJ4429">
        <v>88.853179828931502</v>
      </c>
      <c r="AK4429">
        <v>14.4693847993383</v>
      </c>
      <c r="AL4429">
        <v>94.117728311543502</v>
      </c>
      <c r="AM4429">
        <v>90.113644362347102</v>
      </c>
      <c r="AN4429">
        <v>1.00000004949229</v>
      </c>
    </row>
    <row r="4430" spans="1:40" x14ac:dyDescent="0.25">
      <c r="A4430" t="str">
        <f>"20190303154857503"</f>
        <v>20190303154857503</v>
      </c>
      <c r="B4430" t="str">
        <f>"1551599337495170"</f>
        <v>1551599337495170</v>
      </c>
      <c r="C4430" t="s">
        <v>40</v>
      </c>
      <c r="D4430">
        <v>5.0361029999999998</v>
      </c>
      <c r="E4430">
        <v>0.50819789999999998</v>
      </c>
      <c r="F4430" t="s">
        <v>41</v>
      </c>
      <c r="G4430">
        <v>-192.85599999999999</v>
      </c>
      <c r="H4430" s="1">
        <v>-4.8584120000000003E-6</v>
      </c>
      <c r="I4430">
        <v>168.61850000000001</v>
      </c>
      <c r="J4430">
        <v>-191.6832</v>
      </c>
      <c r="K4430">
        <v>1.121675</v>
      </c>
      <c r="L4430">
        <v>183.0256</v>
      </c>
      <c r="M4430">
        <v>-6.1086969999999997E-2</v>
      </c>
      <c r="N4430">
        <v>-1.3824110000000001E-2</v>
      </c>
      <c r="O4430">
        <v>-0.9980369</v>
      </c>
      <c r="P4430">
        <v>-5.8173969999999998E-2</v>
      </c>
      <c r="Q4430">
        <v>-8.5349720000000004E-2</v>
      </c>
      <c r="R4430">
        <v>-0.99465139999999996</v>
      </c>
      <c r="S4430">
        <v>-0.2417145</v>
      </c>
      <c r="T4430">
        <v>-0.22906850000000001</v>
      </c>
      <c r="U4430">
        <v>-2.982208</v>
      </c>
      <c r="V4430">
        <v>-2.5586269999999999E-3</v>
      </c>
      <c r="W4430">
        <v>-7.1573189999999995E-2</v>
      </c>
      <c r="X4430">
        <v>0.99743210000000004</v>
      </c>
      <c r="Y4430">
        <v>1.9572800000000001E-2</v>
      </c>
      <c r="Z4430">
        <v>6.2483629999999998E-2</v>
      </c>
      <c r="AA4430">
        <v>0.99785409999999997</v>
      </c>
      <c r="AB4430">
        <v>22</v>
      </c>
      <c r="AC4430">
        <v>-1.1727999999999901</v>
      </c>
      <c r="AD4430">
        <v>-1.121679858412</v>
      </c>
      <c r="AE4430">
        <v>-14.4070999999999</v>
      </c>
      <c r="AF4430">
        <v>0.28870083123731599</v>
      </c>
      <c r="AG4430">
        <v>-1.121679858412</v>
      </c>
      <c r="AH4430">
        <v>14.365335300243</v>
      </c>
      <c r="AI4430">
        <v>94.463835348485901</v>
      </c>
      <c r="AJ4430">
        <v>88.848678962390096</v>
      </c>
      <c r="AK4430">
        <v>14.4119524063581</v>
      </c>
      <c r="AL4430">
        <v>94.104350926278599</v>
      </c>
      <c r="AM4430">
        <v>90.146975625603204</v>
      </c>
      <c r="AN4430">
        <v>1.00000003110465</v>
      </c>
    </row>
    <row r="4431" spans="1:40" x14ac:dyDescent="0.25">
      <c r="A4431" t="str">
        <f>"20190303154857515"</f>
        <v>20190303154857515</v>
      </c>
      <c r="B4431" t="str">
        <f>"1551599337504931"</f>
        <v>1551599337504931</v>
      </c>
      <c r="C4431" t="s">
        <v>40</v>
      </c>
      <c r="D4431">
        <v>5.018364</v>
      </c>
      <c r="E4431">
        <v>0.50839209999999901</v>
      </c>
      <c r="F4431" t="s">
        <v>41</v>
      </c>
      <c r="G4431">
        <v>-192.86789999999999</v>
      </c>
      <c r="H4431" s="1">
        <v>-4.7331670000000004E-6</v>
      </c>
      <c r="I4431">
        <v>168.2868</v>
      </c>
      <c r="J4431">
        <v>-191.68960000000001</v>
      </c>
      <c r="K4431">
        <v>1.1216660000000001</v>
      </c>
      <c r="L4431">
        <v>182.90620000000001</v>
      </c>
      <c r="M4431">
        <v>-6.0343399999999998E-2</v>
      </c>
      <c r="N4431">
        <v>-1.387847E-2</v>
      </c>
      <c r="O4431">
        <v>-0.99808140000000001</v>
      </c>
      <c r="P4431">
        <v>-5.7393199999999998E-2</v>
      </c>
      <c r="Q4431">
        <v>-8.5097859999999997E-2</v>
      </c>
      <c r="R4431">
        <v>-0.9947184</v>
      </c>
      <c r="S4431">
        <v>-0.23974609999999999</v>
      </c>
      <c r="T4431">
        <v>-0.2269912</v>
      </c>
      <c r="U4431">
        <v>-2.9826510000000002</v>
      </c>
      <c r="V4431">
        <v>-2.6029170000000002E-3</v>
      </c>
      <c r="W4431">
        <v>-7.1266819999999995E-2</v>
      </c>
      <c r="X4431">
        <v>0.9974539</v>
      </c>
      <c r="Y4431">
        <v>1.965517E-2</v>
      </c>
      <c r="Z4431">
        <v>6.173667E-2</v>
      </c>
      <c r="AA4431">
        <v>0.99789890000000003</v>
      </c>
      <c r="AB4431">
        <v>22</v>
      </c>
      <c r="AC4431">
        <v>-1.1782999999999699</v>
      </c>
      <c r="AD4431">
        <v>-1.1216707331669999</v>
      </c>
      <c r="AE4431">
        <v>-14.619400000000001</v>
      </c>
      <c r="AF4431">
        <v>0.29217441275554601</v>
      </c>
      <c r="AG4431">
        <v>-1.1216707331669999</v>
      </c>
      <c r="AH4431">
        <v>14.5785971735292</v>
      </c>
      <c r="AI4431">
        <v>94.398763909424801</v>
      </c>
      <c r="AJ4431">
        <v>88.851870328012396</v>
      </c>
      <c r="AK4431">
        <v>14.6246027867134</v>
      </c>
      <c r="AL4431">
        <v>94.086752369307604</v>
      </c>
      <c r="AM4431">
        <v>90.149516503965302</v>
      </c>
      <c r="AN4431">
        <v>1.00000000871751</v>
      </c>
    </row>
    <row r="4432" spans="1:40" x14ac:dyDescent="0.25">
      <c r="A4432" t="str">
        <f>"20190303154857538"</f>
        <v>20190303154857538</v>
      </c>
      <c r="B4432" t="str">
        <f>"1551599337535186"</f>
        <v>1551599337535186</v>
      </c>
      <c r="C4432" t="s">
        <v>40</v>
      </c>
      <c r="D4432">
        <v>5.0764310000000004</v>
      </c>
      <c r="E4432">
        <v>0.50880150000000002</v>
      </c>
      <c r="F4432" t="s">
        <v>41</v>
      </c>
      <c r="G4432">
        <v>-192.87629999999999</v>
      </c>
      <c r="H4432" s="1">
        <v>-4.663732E-6</v>
      </c>
      <c r="I4432">
        <v>168.10210000000001</v>
      </c>
      <c r="J4432">
        <v>-191.7012</v>
      </c>
      <c r="K4432">
        <v>1.121659</v>
      </c>
      <c r="L4432">
        <v>182.68799999999999</v>
      </c>
      <c r="M4432">
        <v>-5.9009430000000002E-2</v>
      </c>
      <c r="N4432">
        <v>-1.3967769999999999E-2</v>
      </c>
      <c r="O4432">
        <v>-0.99815989999999999</v>
      </c>
      <c r="P4432">
        <v>-5.6309890000000001E-2</v>
      </c>
      <c r="Q4432">
        <v>-8.5242090000000006E-2</v>
      </c>
      <c r="R4432">
        <v>-0.99476810000000004</v>
      </c>
      <c r="S4432">
        <v>-0.23910519999999999</v>
      </c>
      <c r="T4432">
        <v>-0.2259997</v>
      </c>
      <c r="U4432">
        <v>-2.9828030000000001</v>
      </c>
      <c r="V4432">
        <v>-2.3598640000000001E-3</v>
      </c>
      <c r="W4432">
        <v>-7.1321490000000001E-2</v>
      </c>
      <c r="X4432">
        <v>0.99745059999999997</v>
      </c>
      <c r="Y4432">
        <v>2.0775490000000001E-2</v>
      </c>
      <c r="Z4432">
        <v>6.1323460000000003E-2</v>
      </c>
      <c r="AA4432">
        <v>0.9979017</v>
      </c>
      <c r="AB4432">
        <v>22</v>
      </c>
      <c r="AC4432">
        <v>-1.17509999999998</v>
      </c>
      <c r="AD4432">
        <v>-1.1216636637320001</v>
      </c>
      <c r="AE4432">
        <v>-14.585899999999899</v>
      </c>
      <c r="AF4432">
        <v>0.31043845468862402</v>
      </c>
      <c r="AG4432">
        <v>-1.1216636637320001</v>
      </c>
      <c r="AH4432">
        <v>14.544370464447701</v>
      </c>
      <c r="AI4432">
        <v>94.408928552575205</v>
      </c>
      <c r="AJ4432">
        <v>88.777251105507105</v>
      </c>
      <c r="AK4432">
        <v>14.5908606194351</v>
      </c>
      <c r="AL4432">
        <v>94.089892708607593</v>
      </c>
      <c r="AM4432">
        <v>90.135555580544604</v>
      </c>
      <c r="AN4432">
        <v>1.0000000116671299</v>
      </c>
    </row>
    <row r="4433" spans="1:40" x14ac:dyDescent="0.25">
      <c r="A4433" t="str">
        <f>"20190303154857550"</f>
        <v>20190303154857550</v>
      </c>
      <c r="B4433" t="str">
        <f>"1551599337544946"</f>
        <v>1551599337544946</v>
      </c>
      <c r="C4433" t="s">
        <v>40</v>
      </c>
      <c r="D4433">
        <v>5.0676880000000004</v>
      </c>
      <c r="E4433">
        <v>0.50901269999999998</v>
      </c>
      <c r="F4433" t="s">
        <v>41</v>
      </c>
      <c r="G4433">
        <v>-192.88679999999999</v>
      </c>
      <c r="H4433" s="1">
        <v>-4.5822540000000002E-6</v>
      </c>
      <c r="I4433">
        <v>167.88509999999999</v>
      </c>
      <c r="J4433">
        <v>-191.70769999999999</v>
      </c>
      <c r="K4433">
        <v>1.1216489999999999</v>
      </c>
      <c r="L4433">
        <v>182.5642</v>
      </c>
      <c r="M4433">
        <v>-5.8272409999999997E-2</v>
      </c>
      <c r="N4433">
        <v>-1.401177E-2</v>
      </c>
      <c r="O4433">
        <v>-0.99820240000000005</v>
      </c>
      <c r="P4433">
        <v>-5.5586709999999998E-2</v>
      </c>
      <c r="Q4433">
        <v>-8.5197869999999995E-2</v>
      </c>
      <c r="R4433">
        <v>-0.99481240000000004</v>
      </c>
      <c r="S4433">
        <v>-0.23890690000000001</v>
      </c>
      <c r="T4433">
        <v>-0.22602520000000001</v>
      </c>
      <c r="U4433">
        <v>-2.9829249999999998</v>
      </c>
      <c r="V4433">
        <v>-2.3513179999999998E-3</v>
      </c>
      <c r="W4433">
        <v>-7.123322E-2</v>
      </c>
      <c r="X4433">
        <v>0.99745689999999998</v>
      </c>
      <c r="Y4433">
        <v>2.1444169999999999E-2</v>
      </c>
      <c r="Z4433">
        <v>6.1289139999999999E-2</v>
      </c>
      <c r="AA4433">
        <v>0.99788969999999999</v>
      </c>
      <c r="AB4433">
        <v>22</v>
      </c>
      <c r="AC4433">
        <v>-1.1791</v>
      </c>
      <c r="AD4433">
        <v>-1.1216535822539999</v>
      </c>
      <c r="AE4433">
        <v>-14.6791</v>
      </c>
      <c r="AF4433">
        <v>0.31977039962687998</v>
      </c>
      <c r="AG4433">
        <v>-1.1216535822539999</v>
      </c>
      <c r="AH4433">
        <v>14.6379477667172</v>
      </c>
      <c r="AI4433">
        <v>94.380766861573903</v>
      </c>
      <c r="AJ4433">
        <v>88.748555399048399</v>
      </c>
      <c r="AK4433">
        <v>14.684341139057</v>
      </c>
      <c r="AL4433">
        <v>94.084822427685197</v>
      </c>
      <c r="AM4433">
        <v>90.135063828973401</v>
      </c>
      <c r="AN4433">
        <v>0.99999998384275701</v>
      </c>
    </row>
    <row r="4434" spans="1:40" x14ac:dyDescent="0.25">
      <c r="A4434" t="str">
        <f>"20190303154857563"</f>
        <v>20190303154857563</v>
      </c>
      <c r="B4434" t="str">
        <f>"1551599337555682"</f>
        <v>1551599337555682</v>
      </c>
      <c r="C4434" t="s">
        <v>40</v>
      </c>
      <c r="D4434">
        <v>5.0469889999999999</v>
      </c>
      <c r="E4434">
        <v>0.50917290000000004</v>
      </c>
      <c r="F4434" t="s">
        <v>41</v>
      </c>
      <c r="G4434">
        <v>-192.89660000000001</v>
      </c>
      <c r="H4434" s="1">
        <v>-4.5103060000000004E-6</v>
      </c>
      <c r="I4434">
        <v>167.69319999999999</v>
      </c>
      <c r="J4434">
        <v>-191.71420000000001</v>
      </c>
      <c r="K4434">
        <v>1.121642</v>
      </c>
      <c r="L4434">
        <v>182.4376</v>
      </c>
      <c r="M4434">
        <v>-5.7528379999999997E-2</v>
      </c>
      <c r="N4434">
        <v>-1.405404E-2</v>
      </c>
      <c r="O4434">
        <v>-0.99824489999999999</v>
      </c>
      <c r="P4434">
        <v>-5.508776E-2</v>
      </c>
      <c r="Q4434">
        <v>-8.5228799999999993E-2</v>
      </c>
      <c r="R4434">
        <v>-0.99483759999999999</v>
      </c>
      <c r="S4434">
        <v>-0.23849490000000001</v>
      </c>
      <c r="T4434">
        <v>-0.2249987</v>
      </c>
      <c r="U4434">
        <v>-2.983047</v>
      </c>
      <c r="V4434">
        <v>-2.1111289999999998E-3</v>
      </c>
      <c r="W4434">
        <v>-7.122146E-2</v>
      </c>
      <c r="X4434">
        <v>0.99745830000000002</v>
      </c>
      <c r="Y4434">
        <v>2.2050609999999998E-2</v>
      </c>
      <c r="Z4434">
        <v>6.0908209999999997E-2</v>
      </c>
      <c r="AA4434">
        <v>0.9978998</v>
      </c>
      <c r="AB4434">
        <v>22</v>
      </c>
      <c r="AC4434">
        <v>-1.1823999999999999</v>
      </c>
      <c r="AD4434">
        <v>-1.121646510306</v>
      </c>
      <c r="AE4434">
        <v>-14.744400000000001</v>
      </c>
      <c r="AF4434">
        <v>0.33023725084926298</v>
      </c>
      <c r="AG4434">
        <v>-1.121646510306</v>
      </c>
      <c r="AH4434">
        <v>14.703458771922</v>
      </c>
      <c r="AI4434">
        <v>94.361237400896101</v>
      </c>
      <c r="AJ4434">
        <v>88.713362590080493</v>
      </c>
      <c r="AK4434">
        <v>14.7498761823121</v>
      </c>
      <c r="AL4434">
        <v>94.084146819921799</v>
      </c>
      <c r="AM4434">
        <v>90.121266824981205</v>
      </c>
      <c r="AN4434">
        <v>1.00000000673453</v>
      </c>
    </row>
    <row r="4435" spans="1:40" x14ac:dyDescent="0.25">
      <c r="A4435" t="str">
        <f>"20190303154857575"</f>
        <v>20190303154857575</v>
      </c>
      <c r="B4435" t="str">
        <f>"1551599337565442"</f>
        <v>1551599337565442</v>
      </c>
      <c r="C4435" t="s">
        <v>40</v>
      </c>
      <c r="D4435">
        <v>5.0612089999999998</v>
      </c>
      <c r="E4435">
        <v>0.50934489999999999</v>
      </c>
      <c r="F4435" t="s">
        <v>41</v>
      </c>
      <c r="G4435">
        <v>-192.90559999999999</v>
      </c>
      <c r="H4435" s="1">
        <v>-4.4486500000000002E-6</v>
      </c>
      <c r="I4435">
        <v>167.52850000000001</v>
      </c>
      <c r="J4435">
        <v>-191.72</v>
      </c>
      <c r="K4435">
        <v>1.1216349999999999</v>
      </c>
      <c r="L4435">
        <v>182.32390000000001</v>
      </c>
      <c r="M4435">
        <v>-5.6874199999999903E-2</v>
      </c>
      <c r="N4435">
        <v>-1.408791E-2</v>
      </c>
      <c r="O4435">
        <v>-0.99828209999999995</v>
      </c>
      <c r="P4435">
        <v>-5.4785340000000002E-2</v>
      </c>
      <c r="Q4435">
        <v>-8.5569430000000002E-2</v>
      </c>
      <c r="R4435">
        <v>-0.99482519999999997</v>
      </c>
      <c r="S4435">
        <v>-0.2383728</v>
      </c>
      <c r="T4435">
        <v>-0.2244273</v>
      </c>
      <c r="U4435">
        <v>-2.9831240000000001</v>
      </c>
      <c r="V4435">
        <v>-1.76103E-3</v>
      </c>
      <c r="W4435">
        <v>-7.1527969999999996E-2</v>
      </c>
      <c r="X4435">
        <v>0.99743709999999997</v>
      </c>
      <c r="Y4435">
        <v>2.2663829999999999E-2</v>
      </c>
      <c r="Z4435">
        <v>6.0686700000000003E-2</v>
      </c>
      <c r="AA4435">
        <v>0.99789950000000005</v>
      </c>
      <c r="AB4435">
        <v>22</v>
      </c>
      <c r="AC4435">
        <v>-1.18559999999999</v>
      </c>
      <c r="AD4435">
        <v>-1.1216394486500001</v>
      </c>
      <c r="AE4435">
        <v>-14.795400000000001</v>
      </c>
      <c r="AF4435">
        <v>0.340178037514627</v>
      </c>
      <c r="AG4435">
        <v>-1.1216394486500001</v>
      </c>
      <c r="AH4435">
        <v>14.754627309785</v>
      </c>
      <c r="AI4435">
        <v>94.346084895741399</v>
      </c>
      <c r="AJ4435">
        <v>88.679240553435605</v>
      </c>
      <c r="AK4435">
        <v>14.8011088503743</v>
      </c>
      <c r="AL4435">
        <v>94.101753234475197</v>
      </c>
      <c r="AM4435">
        <v>90.101158741493805</v>
      </c>
      <c r="AN4435">
        <v>1.0000000600876899</v>
      </c>
    </row>
    <row r="4436" spans="1:40" x14ac:dyDescent="0.25">
      <c r="A4436" t="str">
        <f>"20190303154857592"</f>
        <v>20190303154857592</v>
      </c>
      <c r="B4436" t="str">
        <f>"1551599337584961"</f>
        <v>1551599337584961</v>
      </c>
      <c r="C4436" t="s">
        <v>40</v>
      </c>
      <c r="D4436">
        <v>5.0497430000000003</v>
      </c>
      <c r="E4436">
        <v>0.5096735</v>
      </c>
      <c r="F4436" t="s">
        <v>41</v>
      </c>
      <c r="G4436">
        <v>-192.91319999999999</v>
      </c>
      <c r="H4436" s="1">
        <v>-4.4062939999999999E-6</v>
      </c>
      <c r="I4436">
        <v>167.41470000000001</v>
      </c>
      <c r="J4436">
        <v>-191.72890000000001</v>
      </c>
      <c r="K4436">
        <v>1.121624</v>
      </c>
      <c r="L4436">
        <v>182.14750000000001</v>
      </c>
      <c r="M4436">
        <v>-5.5876210000000003E-2</v>
      </c>
      <c r="N4436">
        <v>-1.4135490000000001E-2</v>
      </c>
      <c r="O4436">
        <v>-0.99833769999999999</v>
      </c>
      <c r="P4436">
        <v>-5.4535590000000002E-2</v>
      </c>
      <c r="Q4436">
        <v>-8.5220370000000004E-2</v>
      </c>
      <c r="R4436">
        <v>-0.99486870000000005</v>
      </c>
      <c r="S4436">
        <v>-0.23873900000000001</v>
      </c>
      <c r="T4436">
        <v>-0.2244273</v>
      </c>
      <c r="U4436">
        <v>-2.9831539999999999</v>
      </c>
      <c r="V4436">
        <v>-1.021002E-3</v>
      </c>
      <c r="W4436">
        <v>-7.1129700000000004E-2</v>
      </c>
      <c r="X4436">
        <v>0.99746659999999998</v>
      </c>
      <c r="Y4436">
        <v>2.378357E-2</v>
      </c>
      <c r="Z4436">
        <v>6.0643009999999997E-2</v>
      </c>
      <c r="AA4436">
        <v>0.99787610000000004</v>
      </c>
      <c r="AB4436">
        <v>22</v>
      </c>
      <c r="AC4436">
        <v>-1.1842999999999699</v>
      </c>
      <c r="AD4436">
        <v>-1.1216284062939901</v>
      </c>
      <c r="AE4436">
        <v>-14.7327999999999</v>
      </c>
      <c r="AF4436">
        <v>0.35709772671713202</v>
      </c>
      <c r="AG4436">
        <v>-1.1216284062939901</v>
      </c>
      <c r="AH4436">
        <v>14.6913550012831</v>
      </c>
      <c r="AI4436">
        <v>94.364558781480696</v>
      </c>
      <c r="AJ4436">
        <v>88.607605312506493</v>
      </c>
      <c r="AK4436">
        <v>14.7384354950571</v>
      </c>
      <c r="AL4436">
        <v>94.078875825249099</v>
      </c>
      <c r="AM4436">
        <v>90.058647663033199</v>
      </c>
      <c r="AN4436">
        <v>1.0000000473913599</v>
      </c>
    </row>
    <row r="4437" spans="1:40" x14ac:dyDescent="0.25">
      <c r="A4437" t="str">
        <f>"20190303154857604"</f>
        <v>20190303154857604</v>
      </c>
      <c r="B4437" t="str">
        <f>"1551599337595697"</f>
        <v>1551599337595697</v>
      </c>
      <c r="C4437" t="s">
        <v>40</v>
      </c>
      <c r="D4437">
        <v>5.0904889999999998</v>
      </c>
      <c r="E4437">
        <v>0.50986699999999996</v>
      </c>
      <c r="F4437" t="s">
        <v>41</v>
      </c>
      <c r="G4437">
        <v>-192.94120000000001</v>
      </c>
      <c r="H4437" s="1">
        <v>-4.2979409999999996E-6</v>
      </c>
      <c r="I4437">
        <v>167.11959999999999</v>
      </c>
      <c r="J4437">
        <v>-191.73419999999999</v>
      </c>
      <c r="K4437">
        <v>1.121618</v>
      </c>
      <c r="L4437">
        <v>182.03970000000001</v>
      </c>
      <c r="M4437">
        <v>-5.5274230000000001E-2</v>
      </c>
      <c r="N4437">
        <v>-1.4162040000000001E-2</v>
      </c>
      <c r="O4437">
        <v>-0.9983708</v>
      </c>
      <c r="P4437">
        <v>-5.42348E-2</v>
      </c>
      <c r="Q4437">
        <v>-8.4570599999999996E-2</v>
      </c>
      <c r="R4437">
        <v>-0.99494050000000001</v>
      </c>
      <c r="S4437">
        <v>-0.2406616</v>
      </c>
      <c r="T4437">
        <v>-0.22265650000000001</v>
      </c>
      <c r="U4437">
        <v>-2.983215</v>
      </c>
      <c r="V4437">
        <v>-7.2804929999999905E-4</v>
      </c>
      <c r="W4437">
        <v>-7.0452180000000003E-2</v>
      </c>
      <c r="X4437">
        <v>0.99751489999999998</v>
      </c>
      <c r="Y4437">
        <v>2.5025970000000002E-2</v>
      </c>
      <c r="Z4437">
        <v>6.0028829999999998E-2</v>
      </c>
      <c r="AA4437">
        <v>0.99788290000000002</v>
      </c>
      <c r="AB4437">
        <v>22</v>
      </c>
      <c r="AC4437">
        <v>-1.2070000000000201</v>
      </c>
      <c r="AD4437">
        <v>-1.121622297941</v>
      </c>
      <c r="AE4437">
        <v>-14.9201</v>
      </c>
      <c r="AF4437">
        <v>0.37825093395360299</v>
      </c>
      <c r="AG4437">
        <v>-1.121622297941</v>
      </c>
      <c r="AH4437">
        <v>14.8804609665959</v>
      </c>
      <c r="AI4437">
        <v>94.309160689338796</v>
      </c>
      <c r="AJ4437">
        <v>88.543894829024893</v>
      </c>
      <c r="AK4437">
        <v>14.9274655895319</v>
      </c>
      <c r="AL4437">
        <v>94.039959315189293</v>
      </c>
      <c r="AM4437">
        <v>90.041818066838303</v>
      </c>
      <c r="AN4437">
        <v>1.0000000077222699</v>
      </c>
    </row>
    <row r="4438" spans="1:40" x14ac:dyDescent="0.25">
      <c r="A4438" t="str">
        <f>"20190303154857627"</f>
        <v>20190303154857627</v>
      </c>
      <c r="B4438" t="str">
        <f>"1551599337615218"</f>
        <v>1551599337615218</v>
      </c>
      <c r="C4438" t="s">
        <v>40</v>
      </c>
      <c r="D4438">
        <v>5.0888720000000003</v>
      </c>
      <c r="E4438">
        <v>0.51000939999999995</v>
      </c>
      <c r="F4438" t="s">
        <v>41</v>
      </c>
      <c r="G4438">
        <v>-192.96299999999999</v>
      </c>
      <c r="H4438" s="1">
        <v>-4.1983250000000002E-6</v>
      </c>
      <c r="I4438">
        <v>166.8501</v>
      </c>
      <c r="J4438">
        <v>-191.74520000000001</v>
      </c>
      <c r="K4438">
        <v>1.1216109999999999</v>
      </c>
      <c r="L4438">
        <v>181.81489999999999</v>
      </c>
      <c r="M4438">
        <v>-5.404225E-2</v>
      </c>
      <c r="N4438">
        <v>-1.421006E-2</v>
      </c>
      <c r="O4438">
        <v>-0.99843769999999998</v>
      </c>
      <c r="P4438">
        <v>-5.3269289999999997E-2</v>
      </c>
      <c r="Q4438">
        <v>-8.3401580000000003E-2</v>
      </c>
      <c r="R4438">
        <v>-0.99509130000000001</v>
      </c>
      <c r="S4438">
        <v>-0.24134829999999999</v>
      </c>
      <c r="T4438">
        <v>-0.22029689999999999</v>
      </c>
      <c r="U4438">
        <v>-2.983368</v>
      </c>
      <c r="V4438">
        <v>-4.7647E-4</v>
      </c>
      <c r="W4438">
        <v>-6.9233509999999998E-2</v>
      </c>
      <c r="X4438">
        <v>0.99760040000000005</v>
      </c>
      <c r="Y4438">
        <v>2.6486740000000002E-2</v>
      </c>
      <c r="Z4438">
        <v>5.9199969999999998E-2</v>
      </c>
      <c r="AA4438">
        <v>0.99789470000000002</v>
      </c>
      <c r="AB4438">
        <v>22</v>
      </c>
      <c r="AC4438">
        <v>-1.21779999999998</v>
      </c>
      <c r="AD4438">
        <v>-1.121615198325</v>
      </c>
      <c r="AE4438">
        <v>-14.964799999999901</v>
      </c>
      <c r="AF4438">
        <v>0.40494717532987801</v>
      </c>
      <c r="AG4438">
        <v>-1.121615198325</v>
      </c>
      <c r="AH4438">
        <v>14.9254533662508</v>
      </c>
      <c r="AI4438">
        <v>94.296000052547598</v>
      </c>
      <c r="AJ4438">
        <v>88.445871424289606</v>
      </c>
      <c r="AK4438">
        <v>14.9730144278314</v>
      </c>
      <c r="AL4438">
        <v>93.969963638420097</v>
      </c>
      <c r="AM4438">
        <v>90.027365383964096</v>
      </c>
      <c r="AN4438">
        <v>1.0000000320053699</v>
      </c>
    </row>
    <row r="4439" spans="1:40" x14ac:dyDescent="0.25">
      <c r="A4439" t="str">
        <f>"20190303154857640"</f>
        <v>20190303154857640</v>
      </c>
      <c r="B4439" t="str">
        <f>"1551599337635713"</f>
        <v>1551599337635713</v>
      </c>
      <c r="C4439" t="s">
        <v>40</v>
      </c>
      <c r="D4439">
        <v>5.1498790000000003</v>
      </c>
      <c r="E4439">
        <v>0.49164550000000001</v>
      </c>
      <c r="F4439" t="s">
        <v>41</v>
      </c>
      <c r="G4439">
        <v>-192.98939999999999</v>
      </c>
      <c r="H4439" s="1">
        <v>-3.9748009999999999E-6</v>
      </c>
      <c r="I4439">
        <v>166.3176</v>
      </c>
      <c r="J4439">
        <v>-191.7516</v>
      </c>
      <c r="K4439">
        <v>1.12161</v>
      </c>
      <c r="L4439">
        <v>181.68209999999999</v>
      </c>
      <c r="M4439">
        <v>-5.3323089999999997E-2</v>
      </c>
      <c r="N4439">
        <v>-1.423549E-2</v>
      </c>
      <c r="O4439">
        <v>-0.99847589999999997</v>
      </c>
      <c r="P4439">
        <v>-5.2540360000000001E-2</v>
      </c>
      <c r="Q4439">
        <v>-8.3082589999999998E-2</v>
      </c>
      <c r="R4439">
        <v>-0.99515699999999996</v>
      </c>
      <c r="S4439">
        <v>-0.239563</v>
      </c>
      <c r="T4439">
        <v>-0.21595610000000001</v>
      </c>
      <c r="U4439">
        <v>-2.9838710000000002</v>
      </c>
      <c r="V4439">
        <v>-4.9265530000000004E-4</v>
      </c>
      <c r="W4439">
        <v>-6.8888779999999997E-2</v>
      </c>
      <c r="X4439">
        <v>0.99762419999999996</v>
      </c>
      <c r="Y4439">
        <v>2.660709E-2</v>
      </c>
      <c r="Z4439">
        <v>5.7728679999999997E-2</v>
      </c>
      <c r="AA4439">
        <v>0.99797769999999997</v>
      </c>
      <c r="AB4439">
        <v>22</v>
      </c>
      <c r="AC4439">
        <v>-1.23779999999999</v>
      </c>
      <c r="AD4439">
        <v>-1.1216139748009999</v>
      </c>
      <c r="AE4439">
        <v>-15.3644999999999</v>
      </c>
      <c r="AF4439">
        <v>0.414478513847305</v>
      </c>
      <c r="AG4439">
        <v>-1.1216139748009999</v>
      </c>
      <c r="AH4439">
        <v>15.327492395415099</v>
      </c>
      <c r="AI4439">
        <v>94.183727339048502</v>
      </c>
      <c r="AJ4439">
        <v>88.451013187350497</v>
      </c>
      <c r="AK4439">
        <v>15.3740636618435</v>
      </c>
      <c r="AL4439">
        <v>93.950165017007606</v>
      </c>
      <c r="AM4439">
        <v>90.028294288721298</v>
      </c>
      <c r="AN4439">
        <v>0.99999997557238596</v>
      </c>
    </row>
    <row r="4440" spans="1:40" x14ac:dyDescent="0.25">
      <c r="A4440" t="str">
        <f>"20190303154857663"</f>
        <v>20190303154857663</v>
      </c>
      <c r="B4440" t="str">
        <f>"1551599337655234"</f>
        <v>1551599337655234</v>
      </c>
      <c r="C4440" t="s">
        <v>40</v>
      </c>
      <c r="D4440">
        <v>5.1699390000000003</v>
      </c>
      <c r="E4440">
        <v>0.49063079999999998</v>
      </c>
      <c r="F4440" t="s">
        <v>41</v>
      </c>
      <c r="G4440">
        <v>-192.18049999999999</v>
      </c>
      <c r="H4440" s="1">
        <v>-4.3435199999999997E-6</v>
      </c>
      <c r="I4440">
        <v>167.58969999999999</v>
      </c>
      <c r="J4440">
        <v>-191.76159999999999</v>
      </c>
      <c r="K4440">
        <v>1.121607</v>
      </c>
      <c r="L4440">
        <v>181.46950000000001</v>
      </c>
      <c r="M4440">
        <v>-5.2186530000000002E-2</v>
      </c>
      <c r="N4440">
        <v>-1.427023E-2</v>
      </c>
      <c r="O4440">
        <v>-0.99853539999999996</v>
      </c>
      <c r="P4440">
        <v>-5.1991950000000002E-2</v>
      </c>
      <c r="Q4440">
        <v>-8.2570270000000001E-2</v>
      </c>
      <c r="R4440">
        <v>-0.99522840000000001</v>
      </c>
      <c r="S4440">
        <v>-9.1003420000000002E-2</v>
      </c>
      <c r="T4440">
        <v>-0.2379674</v>
      </c>
      <c r="U4440">
        <v>-2.9899290000000001</v>
      </c>
      <c r="V4440" s="1">
        <v>8.7297659999999898E-5</v>
      </c>
      <c r="W4440">
        <v>-6.8340319999999996E-2</v>
      </c>
      <c r="X4440">
        <v>0.9976621</v>
      </c>
      <c r="Y4440">
        <v>-2.183628E-2</v>
      </c>
      <c r="Z4440">
        <v>6.4927120000000005E-2</v>
      </c>
      <c r="AA4440">
        <v>0.99765099999999995</v>
      </c>
      <c r="AB4440">
        <v>22</v>
      </c>
      <c r="AC4440">
        <v>-0.41890000000000699</v>
      </c>
      <c r="AD4440">
        <v>-1.1216113435199999</v>
      </c>
      <c r="AE4440">
        <v>-13.879799999999999</v>
      </c>
      <c r="AF4440">
        <v>-0.30409929911600198</v>
      </c>
      <c r="AG4440">
        <v>-1.1216113435199999</v>
      </c>
      <c r="AH4440">
        <v>13.792760228603999</v>
      </c>
      <c r="AI4440">
        <v>94.647872528852702</v>
      </c>
      <c r="AJ4440">
        <v>91.263038268129506</v>
      </c>
      <c r="AK4440">
        <v>13.8416300742866</v>
      </c>
      <c r="AL4440">
        <v>93.918666099313896</v>
      </c>
      <c r="AM4440">
        <v>89.994986491451698</v>
      </c>
      <c r="AN4440">
        <v>1.0000000363674899</v>
      </c>
    </row>
    <row r="4441" spans="1:40" x14ac:dyDescent="0.25">
      <c r="A4441" t="str">
        <f>"20190303154857684"</f>
        <v>20190303154857684</v>
      </c>
      <c r="B4441" t="str">
        <f>"1551599337675730"</f>
        <v>1551599337675730</v>
      </c>
      <c r="C4441" t="s">
        <v>40</v>
      </c>
      <c r="D4441">
        <v>5.165686</v>
      </c>
      <c r="E4441">
        <v>0.4904887</v>
      </c>
      <c r="F4441" t="s">
        <v>41</v>
      </c>
      <c r="G4441">
        <v>-192.1557</v>
      </c>
      <c r="H4441" s="1">
        <v>-4.0617049999999999E-6</v>
      </c>
      <c r="I4441">
        <v>166.97069999999999</v>
      </c>
      <c r="J4441">
        <v>-191.77109999999999</v>
      </c>
      <c r="K4441">
        <v>1.1216090000000001</v>
      </c>
      <c r="L4441">
        <v>181.2611</v>
      </c>
      <c r="M4441">
        <v>-5.1081969999999997E-2</v>
      </c>
      <c r="N4441">
        <v>-1.429909E-2</v>
      </c>
      <c r="O4441">
        <v>-0.99859209999999998</v>
      </c>
      <c r="P4441">
        <v>-5.0946739999999997E-2</v>
      </c>
      <c r="Q4441">
        <v>-8.2404019999999994E-2</v>
      </c>
      <c r="R4441">
        <v>-0.99529590000000001</v>
      </c>
      <c r="S4441">
        <v>-8.1298830000000002E-2</v>
      </c>
      <c r="T4441">
        <v>-0.23137659999999999</v>
      </c>
      <c r="U4441">
        <v>-2.9909520000000001</v>
      </c>
      <c r="V4441">
        <v>1.4093530000000001E-4</v>
      </c>
      <c r="W4441">
        <v>-6.8145010000000006E-2</v>
      </c>
      <c r="X4441">
        <v>0.99767539999999999</v>
      </c>
      <c r="Y4441">
        <v>-2.3970109999999999E-2</v>
      </c>
      <c r="Z4441">
        <v>6.2697920000000004E-2</v>
      </c>
      <c r="AA4441">
        <v>0.99774470000000004</v>
      </c>
      <c r="AB4441">
        <v>22</v>
      </c>
      <c r="AC4441">
        <v>-0.38460000000000599</v>
      </c>
      <c r="AD4441">
        <v>-1.121613061705</v>
      </c>
      <c r="AE4441">
        <v>-14.2904</v>
      </c>
      <c r="AF4441">
        <v>-0.34384201505029299</v>
      </c>
      <c r="AG4441">
        <v>-1.121613061705</v>
      </c>
      <c r="AH4441">
        <v>14.20395132482</v>
      </c>
      <c r="AI4441">
        <v>94.513667728185794</v>
      </c>
      <c r="AJ4441">
        <v>91.386716200584601</v>
      </c>
      <c r="AK4441">
        <v>14.2523147744272</v>
      </c>
      <c r="AL4441">
        <v>93.9074497211855</v>
      </c>
      <c r="AM4441">
        <v>89.991906187302305</v>
      </c>
      <c r="AN4441">
        <v>0.99999998300790904</v>
      </c>
    </row>
    <row r="4442" spans="1:40" x14ac:dyDescent="0.25">
      <c r="A4442" t="str">
        <f>"20190303154857705"</f>
        <v>20190303154857705</v>
      </c>
      <c r="B4442" t="str">
        <f>"1551599337695250"</f>
        <v>1551599337695250</v>
      </c>
      <c r="C4442" t="s">
        <v>40</v>
      </c>
      <c r="D4442">
        <v>5.0762999999999998</v>
      </c>
      <c r="E4442">
        <v>0.4904945</v>
      </c>
      <c r="F4442" t="s">
        <v>41</v>
      </c>
      <c r="G4442">
        <v>-192.1413</v>
      </c>
      <c r="H4442" s="1">
        <v>-4.0250740000000004E-6</v>
      </c>
      <c r="I4442">
        <v>166.90129999999999</v>
      </c>
      <c r="J4442">
        <v>-191.7801</v>
      </c>
      <c r="K4442">
        <v>1.1216189999999999</v>
      </c>
      <c r="L4442">
        <v>181.06229999999999</v>
      </c>
      <c r="M4442">
        <v>-5.0031930000000002E-2</v>
      </c>
      <c r="N4442">
        <v>-1.432256E-2</v>
      </c>
      <c r="O4442">
        <v>-0.998645</v>
      </c>
      <c r="P4442">
        <v>-4.9906440000000003E-2</v>
      </c>
      <c r="Q4442">
        <v>-8.2020490000000001E-2</v>
      </c>
      <c r="R4442">
        <v>-0.99538040000000005</v>
      </c>
      <c r="S4442">
        <v>-7.7102660000000003E-2</v>
      </c>
      <c r="T4442">
        <v>-0.23361019999999999</v>
      </c>
      <c r="U4442">
        <v>-2.990875</v>
      </c>
      <c r="V4442">
        <v>1.4460219999999901E-4</v>
      </c>
      <c r="W4442">
        <v>-6.7737619999999998E-2</v>
      </c>
      <c r="X4442">
        <v>0.99770309999999995</v>
      </c>
      <c r="Y4442">
        <v>-2.431786E-2</v>
      </c>
      <c r="Z4442">
        <v>6.342217E-2</v>
      </c>
      <c r="AA4442">
        <v>0.99769039999999998</v>
      </c>
      <c r="AB4442">
        <v>22</v>
      </c>
      <c r="AC4442">
        <v>-0.36119999999999602</v>
      </c>
      <c r="AD4442">
        <v>-1.121623025074</v>
      </c>
      <c r="AE4442">
        <v>-14.161</v>
      </c>
      <c r="AF4442">
        <v>-0.34566016599854399</v>
      </c>
      <c r="AG4442">
        <v>-1.121623025074</v>
      </c>
      <c r="AH4442">
        <v>14.0731053474255</v>
      </c>
      <c r="AI4442">
        <v>94.555459269056598</v>
      </c>
      <c r="AJ4442">
        <v>91.407002007292704</v>
      </c>
      <c r="AK4442">
        <v>14.121962090321199</v>
      </c>
      <c r="AL4442">
        <v>93.884054096564896</v>
      </c>
      <c r="AM4442">
        <v>89.991695830442595</v>
      </c>
      <c r="AN4442">
        <v>0.99999994091133304</v>
      </c>
    </row>
    <row r="4443" spans="1:40" x14ac:dyDescent="0.25">
      <c r="A4443" t="str">
        <f>"20190303154857717"</f>
        <v>20190303154857717</v>
      </c>
      <c r="B4443" t="str">
        <f>"1551599337705010"</f>
        <v>1551599337705010</v>
      </c>
      <c r="C4443" t="s">
        <v>40</v>
      </c>
      <c r="D4443">
        <v>5.2064059999999897</v>
      </c>
      <c r="E4443">
        <v>0.49046479999999998</v>
      </c>
      <c r="F4443" t="s">
        <v>41</v>
      </c>
      <c r="G4443">
        <v>-192.13740000000001</v>
      </c>
      <c r="H4443" s="1">
        <v>-3.8908829999999996E-6</v>
      </c>
      <c r="I4443">
        <v>166.61959999999999</v>
      </c>
      <c r="J4443">
        <v>-191.78550000000001</v>
      </c>
      <c r="K4443">
        <v>1.121624</v>
      </c>
      <c r="L4443">
        <v>180.93870000000001</v>
      </c>
      <c r="M4443">
        <v>-4.9379939999999997E-2</v>
      </c>
      <c r="N4443">
        <v>-1.433539E-2</v>
      </c>
      <c r="O4443">
        <v>-0.99867720000000004</v>
      </c>
      <c r="P4443">
        <v>-4.9222700000000001E-2</v>
      </c>
      <c r="Q4443">
        <v>-8.1833329999999996E-2</v>
      </c>
      <c r="R4443">
        <v>-0.99543000000000004</v>
      </c>
      <c r="S4443">
        <v>-7.4005130000000002E-2</v>
      </c>
      <c r="T4443">
        <v>-0.23228750000000001</v>
      </c>
      <c r="U4443">
        <v>-2.9910739999999998</v>
      </c>
      <c r="V4443">
        <v>1.0958179999999999E-4</v>
      </c>
      <c r="W4443">
        <v>-6.7537520000000004E-2</v>
      </c>
      <c r="X4443">
        <v>0.99771670000000001</v>
      </c>
      <c r="Y4443">
        <v>-2.469855E-2</v>
      </c>
      <c r="Z4443">
        <v>6.2970479999999995E-2</v>
      </c>
      <c r="AA4443">
        <v>0.99770979999999998</v>
      </c>
      <c r="AB4443">
        <v>22</v>
      </c>
      <c r="AC4443">
        <v>-0.35189999999999999</v>
      </c>
      <c r="AD4443">
        <v>-1.121627890883</v>
      </c>
      <c r="AE4443">
        <v>-14.319100000000001</v>
      </c>
      <c r="AF4443">
        <v>-0.353510599027898</v>
      </c>
      <c r="AG4443">
        <v>-1.121627890883</v>
      </c>
      <c r="AH4443">
        <v>14.231737273182601</v>
      </c>
      <c r="AI4443">
        <v>94.504881394375303</v>
      </c>
      <c r="AJ4443">
        <v>91.422911394688199</v>
      </c>
      <c r="AK4443">
        <v>14.2802438593368</v>
      </c>
      <c r="AL4443">
        <v>93.872562778200404</v>
      </c>
      <c r="AM4443">
        <v>89.993707056696294</v>
      </c>
      <c r="AN4443">
        <v>0.99999997103740501</v>
      </c>
    </row>
    <row r="4444" spans="1:40" x14ac:dyDescent="0.25">
      <c r="A4444" t="str">
        <f>"20190303154857730"</f>
        <v>20190303154857730</v>
      </c>
      <c r="B4444" t="str">
        <f>"1551599337725506"</f>
        <v>1551599337725506</v>
      </c>
      <c r="C4444" t="s">
        <v>40</v>
      </c>
      <c r="D4444">
        <v>5.2015609999999999</v>
      </c>
      <c r="E4444">
        <v>0.49056689999999997</v>
      </c>
      <c r="F4444" t="s">
        <v>41</v>
      </c>
      <c r="G4444">
        <v>-192.13140000000001</v>
      </c>
      <c r="H4444" s="1">
        <v>-3.844294E-6</v>
      </c>
      <c r="I4444">
        <v>166.52440000000001</v>
      </c>
      <c r="J4444">
        <v>-191.79060000000001</v>
      </c>
      <c r="K4444">
        <v>1.121624</v>
      </c>
      <c r="L4444">
        <v>180.82140000000001</v>
      </c>
      <c r="M4444">
        <v>-4.8759619999999997E-2</v>
      </c>
      <c r="N4444">
        <v>-1.434613E-2</v>
      </c>
      <c r="O4444">
        <v>-0.99870769999999998</v>
      </c>
      <c r="P4444">
        <v>-4.8354179999999997E-2</v>
      </c>
      <c r="Q4444">
        <v>-8.2233470000000003E-2</v>
      </c>
      <c r="R4444">
        <v>-0.99543950000000003</v>
      </c>
      <c r="S4444">
        <v>-7.1777339999999995E-2</v>
      </c>
      <c r="T4444">
        <v>-0.23274590000000001</v>
      </c>
      <c r="U4444">
        <v>-2.9910739999999998</v>
      </c>
      <c r="V4444">
        <v>-1.3874039999999999E-4</v>
      </c>
      <c r="W4444">
        <v>-6.7927779999999993E-2</v>
      </c>
      <c r="X4444">
        <v>0.99769030000000003</v>
      </c>
      <c r="Y4444">
        <v>-2.482036E-2</v>
      </c>
      <c r="Z4444">
        <v>6.311522E-2</v>
      </c>
      <c r="AA4444">
        <v>0.99769750000000001</v>
      </c>
      <c r="AB4444">
        <v>22</v>
      </c>
      <c r="AC4444">
        <v>-0.34080000000000099</v>
      </c>
      <c r="AD4444">
        <v>-1.121627844294</v>
      </c>
      <c r="AE4444">
        <v>-14.296999999999899</v>
      </c>
      <c r="AF4444">
        <v>-0.35461205716877298</v>
      </c>
      <c r="AG4444">
        <v>-1.121627844294</v>
      </c>
      <c r="AH4444">
        <v>14.209205907827</v>
      </c>
      <c r="AI4444">
        <v>94.511981999931393</v>
      </c>
      <c r="AJ4444">
        <v>91.429605411822493</v>
      </c>
      <c r="AK4444">
        <v>14.2578164970381</v>
      </c>
      <c r="AL4444">
        <v>93.894974117559002</v>
      </c>
      <c r="AM4444">
        <v>90.007967642179807</v>
      </c>
      <c r="AN4444">
        <v>1.00000006862935</v>
      </c>
    </row>
    <row r="4445" spans="1:40" x14ac:dyDescent="0.25">
      <c r="A4445" t="str">
        <f>"20190303154857742"</f>
        <v>20190303154857742</v>
      </c>
      <c r="B4445" t="str">
        <f>"1551599337735267"</f>
        <v>1551599337735267</v>
      </c>
      <c r="C4445" t="s">
        <v>40</v>
      </c>
      <c r="D4445">
        <v>5.2015169999999999</v>
      </c>
      <c r="E4445">
        <v>0.49056749999999999</v>
      </c>
      <c r="F4445" t="s">
        <v>41</v>
      </c>
      <c r="G4445">
        <v>-192.12430000000001</v>
      </c>
      <c r="H4445" s="1">
        <v>-3.8640830000000002E-6</v>
      </c>
      <c r="I4445">
        <v>166.5703</v>
      </c>
      <c r="J4445">
        <v>-191.79580000000001</v>
      </c>
      <c r="K4445">
        <v>1.1216280000000001</v>
      </c>
      <c r="L4445">
        <v>180.70070000000001</v>
      </c>
      <c r="M4445">
        <v>-4.8120349999999999E-2</v>
      </c>
      <c r="N4445">
        <v>-1.435647E-2</v>
      </c>
      <c r="O4445">
        <v>-0.99873869999999998</v>
      </c>
      <c r="P4445">
        <v>-4.7635139999999999E-2</v>
      </c>
      <c r="Q4445">
        <v>-8.2356799999999994E-2</v>
      </c>
      <c r="R4445">
        <v>-0.99546429999999997</v>
      </c>
      <c r="S4445">
        <v>-7.0037840000000004E-2</v>
      </c>
      <c r="T4445">
        <v>-0.23539640000000001</v>
      </c>
      <c r="U4445">
        <v>-2.990891</v>
      </c>
      <c r="V4445">
        <v>-2.2008950000000001E-4</v>
      </c>
      <c r="W4445">
        <v>-6.8041039999999997E-2</v>
      </c>
      <c r="X4445">
        <v>0.99768250000000003</v>
      </c>
      <c r="Y4445">
        <v>-2.4760109999999998E-2</v>
      </c>
      <c r="Z4445">
        <v>6.3990729999999996E-2</v>
      </c>
      <c r="AA4445">
        <v>0.99764330000000001</v>
      </c>
      <c r="AB4445">
        <v>22</v>
      </c>
      <c r="AC4445">
        <v>-0.32849999999999102</v>
      </c>
      <c r="AD4445">
        <v>-1.1216318640830001</v>
      </c>
      <c r="AE4445">
        <v>-14.1304</v>
      </c>
      <c r="AF4445">
        <v>-0.34970805061628002</v>
      </c>
      <c r="AG4445">
        <v>-1.1216318640830001</v>
      </c>
      <c r="AH4445">
        <v>14.0414128159046</v>
      </c>
      <c r="AI4445">
        <v>94.565695063301803</v>
      </c>
      <c r="AJ4445">
        <v>91.426683649305005</v>
      </c>
      <c r="AK4445">
        <v>14.0904800353232</v>
      </c>
      <c r="AL4445">
        <v>93.901478749256</v>
      </c>
      <c r="AM4445">
        <v>90.012639491281604</v>
      </c>
      <c r="AN4445">
        <v>1.0000000011849499</v>
      </c>
    </row>
    <row r="4446" spans="1:40" x14ac:dyDescent="0.25">
      <c r="A4446" t="str">
        <f>"20190303154857761"</f>
        <v>20190303154857761</v>
      </c>
      <c r="B4446" t="str">
        <f>"1551599337754785"</f>
        <v>1551599337754785</v>
      </c>
      <c r="C4446" t="s">
        <v>40</v>
      </c>
      <c r="D4446">
        <v>5.2244250000000001</v>
      </c>
      <c r="E4446">
        <v>0.49077520000000002</v>
      </c>
      <c r="F4446" t="s">
        <v>41</v>
      </c>
      <c r="G4446">
        <v>-192.11779999999999</v>
      </c>
      <c r="H4446" s="1">
        <v>-3.8369350000000004E-6</v>
      </c>
      <c r="I4446">
        <v>166.51650000000001</v>
      </c>
      <c r="J4446">
        <v>-191.80350000000001</v>
      </c>
      <c r="K4446">
        <v>1.121642</v>
      </c>
      <c r="L4446">
        <v>180.51599999999999</v>
      </c>
      <c r="M4446">
        <v>-4.7138659999999999E-2</v>
      </c>
      <c r="N4446">
        <v>-1.4370040000000001E-2</v>
      </c>
      <c r="O4446">
        <v>-0.99878520000000004</v>
      </c>
      <c r="P4446">
        <v>-4.6973719999999997E-2</v>
      </c>
      <c r="Q4446">
        <v>-8.2592230000000003E-2</v>
      </c>
      <c r="R4446">
        <v>-0.99547580000000002</v>
      </c>
      <c r="S4446">
        <v>-6.7901610000000001E-2</v>
      </c>
      <c r="T4446">
        <v>-0.23650479999999999</v>
      </c>
      <c r="U4446">
        <v>-2.9908450000000002</v>
      </c>
      <c r="V4446" s="1">
        <v>9.8978929999999997E-5</v>
      </c>
      <c r="W4446">
        <v>-6.8262680000000006E-2</v>
      </c>
      <c r="X4446">
        <v>0.99766739999999998</v>
      </c>
      <c r="Y4446">
        <v>-2.4489980000000001E-2</v>
      </c>
      <c r="Z4446">
        <v>6.4351199999999997E-2</v>
      </c>
      <c r="AA4446">
        <v>0.99762680000000004</v>
      </c>
      <c r="AB4446">
        <v>22</v>
      </c>
      <c r="AC4446">
        <v>-0.31429999999997399</v>
      </c>
      <c r="AD4446">
        <v>-1.121645836935</v>
      </c>
      <c r="AE4446">
        <v>-13.9994999999999</v>
      </c>
      <c r="AF4446">
        <v>-0.34382911396358501</v>
      </c>
      <c r="AG4446">
        <v>-1.121645836935</v>
      </c>
      <c r="AH4446">
        <v>13.9095074638609</v>
      </c>
      <c r="AI4446">
        <v>94.608884772202501</v>
      </c>
      <c r="AJ4446">
        <v>91.416006009604402</v>
      </c>
      <c r="AK4446">
        <v>13.958893427859</v>
      </c>
      <c r="AL4446">
        <v>93.914207298236803</v>
      </c>
      <c r="AM4446">
        <v>89.994315665790893</v>
      </c>
      <c r="AN4446">
        <v>1.0000000221501799</v>
      </c>
    </row>
    <row r="4447" spans="1:40" x14ac:dyDescent="0.25">
      <c r="A4447" t="str">
        <f>"20190303154857773"</f>
        <v>20190303154857773</v>
      </c>
      <c r="B4447" t="str">
        <f>"1551599337765522"</f>
        <v>1551599337765522</v>
      </c>
      <c r="C4447" t="s">
        <v>40</v>
      </c>
      <c r="D4447">
        <v>5.217638</v>
      </c>
      <c r="E4447">
        <v>0.49089630000000001</v>
      </c>
      <c r="F4447" t="s">
        <v>41</v>
      </c>
      <c r="G4447">
        <v>-192.12289999999999</v>
      </c>
      <c r="H4447" s="1">
        <v>-3.767587E-6</v>
      </c>
      <c r="I4447">
        <v>166.36689999999999</v>
      </c>
      <c r="J4447">
        <v>-191.80850000000001</v>
      </c>
      <c r="K4447">
        <v>1.1216459999999999</v>
      </c>
      <c r="L4447">
        <v>180.39420000000001</v>
      </c>
      <c r="M4447">
        <v>-4.6488540000000002E-2</v>
      </c>
      <c r="N4447">
        <v>-1.437773E-2</v>
      </c>
      <c r="O4447">
        <v>-0.99881560000000003</v>
      </c>
      <c r="P4447">
        <v>-4.6275869999999997E-2</v>
      </c>
      <c r="Q4447">
        <v>-8.2727250000000002E-2</v>
      </c>
      <c r="R4447">
        <v>-0.99549759999999998</v>
      </c>
      <c r="S4447">
        <v>-6.7520140000000006E-2</v>
      </c>
      <c r="T4447">
        <v>-0.23708979999999999</v>
      </c>
      <c r="U4447">
        <v>-2.9907840000000001</v>
      </c>
      <c r="V4447" s="1">
        <v>4.9852650000000001E-5</v>
      </c>
      <c r="W4447">
        <v>-6.8390270000000003E-2</v>
      </c>
      <c r="X4447">
        <v>0.99765870000000001</v>
      </c>
      <c r="Y4447">
        <v>-2.3966580000000001E-2</v>
      </c>
      <c r="Z4447">
        <v>6.4542790000000003E-2</v>
      </c>
      <c r="AA4447">
        <v>0.99762709999999999</v>
      </c>
      <c r="AB4447">
        <v>22</v>
      </c>
      <c r="AC4447">
        <v>-0.31439999999997698</v>
      </c>
      <c r="AD4447">
        <v>-1.1216497675870001</v>
      </c>
      <c r="AE4447">
        <v>-14.0273</v>
      </c>
      <c r="AF4447">
        <v>-0.33596886090648698</v>
      </c>
      <c r="AG4447">
        <v>-1.1216497675870001</v>
      </c>
      <c r="AH4447">
        <v>13.937676910022599</v>
      </c>
      <c r="AI4447">
        <v>94.599694410291093</v>
      </c>
      <c r="AJ4447">
        <v>91.380852120674803</v>
      </c>
      <c r="AK4447">
        <v>13.9867727129886</v>
      </c>
      <c r="AL4447">
        <v>93.921534655512005</v>
      </c>
      <c r="AM4447">
        <v>89.997136950301496</v>
      </c>
      <c r="AN4447">
        <v>1.00000005660082</v>
      </c>
    </row>
    <row r="4448" spans="1:40" x14ac:dyDescent="0.25">
      <c r="A4448" t="str">
        <f>"20190303154857793"</f>
        <v>20190303154857793</v>
      </c>
      <c r="B4448" t="str">
        <f>"1551599337785042"</f>
        <v>1551599337785042</v>
      </c>
      <c r="C4448" t="s">
        <v>40</v>
      </c>
      <c r="D4448">
        <v>5.2257829999999998</v>
      </c>
      <c r="E4448">
        <v>0.49094840000000001</v>
      </c>
      <c r="F4448" t="s">
        <v>41</v>
      </c>
      <c r="G4448">
        <v>-192.12049999999999</v>
      </c>
      <c r="H4448" s="1">
        <v>-3.738943E-6</v>
      </c>
      <c r="I4448">
        <v>166.30770000000001</v>
      </c>
      <c r="J4448">
        <v>-191.81610000000001</v>
      </c>
      <c r="K4448">
        <v>1.1216539999999999</v>
      </c>
      <c r="L4448">
        <v>180.20509999999999</v>
      </c>
      <c r="M4448">
        <v>-4.5476570000000001E-2</v>
      </c>
      <c r="N4448">
        <v>-1.438828E-2</v>
      </c>
      <c r="O4448">
        <v>-0.99886209999999997</v>
      </c>
      <c r="P4448">
        <v>-4.5285400000000003E-2</v>
      </c>
      <c r="Q4448">
        <v>-8.256136E-2</v>
      </c>
      <c r="R4448">
        <v>-0.99555700000000003</v>
      </c>
      <c r="S4448">
        <v>-6.6238399999999906E-2</v>
      </c>
      <c r="T4448">
        <v>-0.23813880000000001</v>
      </c>
      <c r="U4448">
        <v>-2.990723</v>
      </c>
      <c r="V4448" s="1">
        <v>6.7159739999999996E-5</v>
      </c>
      <c r="W4448">
        <v>-6.8213629999999997E-2</v>
      </c>
      <c r="X4448">
        <v>0.99767070000000002</v>
      </c>
      <c r="Y4448">
        <v>-2.3381430000000002E-2</v>
      </c>
      <c r="Z4448">
        <v>6.4887230000000004E-2</v>
      </c>
      <c r="AA4448">
        <v>0.99761860000000002</v>
      </c>
      <c r="AB4448">
        <v>22</v>
      </c>
      <c r="AC4448">
        <v>-0.30439999999998602</v>
      </c>
      <c r="AD4448">
        <v>-1.121657738943</v>
      </c>
      <c r="AE4448">
        <v>-13.8973999999999</v>
      </c>
      <c r="AF4448">
        <v>-0.32586461566699698</v>
      </c>
      <c r="AG4448">
        <v>-1.121657738943</v>
      </c>
      <c r="AH4448">
        <v>13.806966692015299</v>
      </c>
      <c r="AI4448">
        <v>94.643138458990705</v>
      </c>
      <c r="AJ4448">
        <v>91.352013229518704</v>
      </c>
      <c r="AK4448">
        <v>13.856284966234499</v>
      </c>
      <c r="AL4448">
        <v>93.911390599163596</v>
      </c>
      <c r="AM4448">
        <v>89.996143046348493</v>
      </c>
      <c r="AN4448">
        <v>0.99999996473334796</v>
      </c>
    </row>
    <row r="4449" spans="1:40" x14ac:dyDescent="0.25">
      <c r="A4449" t="str">
        <f>"20190303154857805"</f>
        <v>20190303154857805</v>
      </c>
      <c r="B4449" t="str">
        <f>"1551599337795778"</f>
        <v>1551599337795778</v>
      </c>
      <c r="C4449" t="s">
        <v>40</v>
      </c>
      <c r="D4449">
        <v>5.2049349999999999</v>
      </c>
      <c r="E4449">
        <v>0.4910197</v>
      </c>
      <c r="F4449" t="s">
        <v>41</v>
      </c>
      <c r="G4449">
        <v>-192.11709999999999</v>
      </c>
      <c r="H4449" s="1">
        <v>-3.6391450000000002E-6</v>
      </c>
      <c r="I4449">
        <v>166.0985</v>
      </c>
      <c r="J4449">
        <v>-191.82040000000001</v>
      </c>
      <c r="K4449">
        <v>1.1216569999999999</v>
      </c>
      <c r="L4449">
        <v>180.09599999999901</v>
      </c>
      <c r="M4449">
        <v>-4.4891019999999997E-2</v>
      </c>
      <c r="N4449">
        <v>-1.439357E-2</v>
      </c>
      <c r="O4449">
        <v>-0.99888829999999995</v>
      </c>
      <c r="P4449">
        <v>-4.4869260000000001E-2</v>
      </c>
      <c r="Q4449">
        <v>-8.2144670000000003E-2</v>
      </c>
      <c r="R4449">
        <v>-0.99561010000000005</v>
      </c>
      <c r="S4449">
        <v>-6.3812259999999996E-2</v>
      </c>
      <c r="T4449">
        <v>-0.2378024</v>
      </c>
      <c r="U4449">
        <v>-2.9907530000000002</v>
      </c>
      <c r="V4449">
        <v>2.3260039999999999E-4</v>
      </c>
      <c r="W4449">
        <v>-6.7790959999999997E-2</v>
      </c>
      <c r="X4449">
        <v>0.99769949999999996</v>
      </c>
      <c r="Y4449">
        <v>-2.360421E-2</v>
      </c>
      <c r="Z4449">
        <v>6.4773070000000002E-2</v>
      </c>
      <c r="AA4449">
        <v>0.99762079999999997</v>
      </c>
      <c r="AB4449">
        <v>22</v>
      </c>
      <c r="AC4449">
        <v>-0.29669999999998697</v>
      </c>
      <c r="AD4449">
        <v>-1.1216606391449999</v>
      </c>
      <c r="AE4449">
        <v>-13.997499999999899</v>
      </c>
      <c r="AF4449">
        <v>-0.329908766634391</v>
      </c>
      <c r="AG4449">
        <v>-1.1216606391449999</v>
      </c>
      <c r="AH4449">
        <v>13.9074430399605</v>
      </c>
      <c r="AI4449">
        <v>94.609737334935204</v>
      </c>
      <c r="AJ4449">
        <v>91.3589008062836</v>
      </c>
      <c r="AK4449">
        <v>13.956501506232</v>
      </c>
      <c r="AL4449">
        <v>93.887117141357905</v>
      </c>
      <c r="AM4449">
        <v>89.986642249503305</v>
      </c>
      <c r="AN4449">
        <v>0.999999980330458</v>
      </c>
    </row>
    <row r="4450" spans="1:40" x14ac:dyDescent="0.25">
      <c r="A4450" t="str">
        <f>"20190303154857820"</f>
        <v>20190303154857820</v>
      </c>
      <c r="B4450" t="str">
        <f>"1551599337815298"</f>
        <v>1551599337815298</v>
      </c>
      <c r="C4450" t="s">
        <v>40</v>
      </c>
      <c r="D4450">
        <v>5.2274229999999999</v>
      </c>
      <c r="E4450">
        <v>0.49112729999999999</v>
      </c>
      <c r="F4450" t="s">
        <v>41</v>
      </c>
      <c r="G4450">
        <v>-192.11850000000001</v>
      </c>
      <c r="H4450" s="1">
        <v>-3.5660350000000002E-6</v>
      </c>
      <c r="I4450">
        <v>165.94299999999899</v>
      </c>
      <c r="J4450">
        <v>-191.8261</v>
      </c>
      <c r="K4450">
        <v>1.121661</v>
      </c>
      <c r="L4450">
        <v>179.95009999999999</v>
      </c>
      <c r="M4450">
        <v>-4.4106899999999997E-2</v>
      </c>
      <c r="N4450">
        <v>-1.439986E-2</v>
      </c>
      <c r="O4450">
        <v>-0.99892309999999995</v>
      </c>
      <c r="P4450">
        <v>-4.4132629999999999E-2</v>
      </c>
      <c r="Q4450">
        <v>-8.194912E-2</v>
      </c>
      <c r="R4450">
        <v>-0.99565890000000001</v>
      </c>
      <c r="S4450">
        <v>-6.2988279999999994E-2</v>
      </c>
      <c r="T4450">
        <v>-0.23703340000000001</v>
      </c>
      <c r="U4450">
        <v>-2.9908600000000001</v>
      </c>
      <c r="V4450">
        <v>2.7651539999999999E-4</v>
      </c>
      <c r="W4450">
        <v>-6.7588850000000006E-2</v>
      </c>
      <c r="X4450">
        <v>0.99771319999999997</v>
      </c>
      <c r="Y4450">
        <v>-2.3094960000000001E-2</v>
      </c>
      <c r="Z4450">
        <v>6.4514080000000001E-2</v>
      </c>
      <c r="AA4450">
        <v>0.99764949999999997</v>
      </c>
      <c r="AB4450">
        <v>21</v>
      </c>
      <c r="AC4450">
        <v>-0.29240000000001398</v>
      </c>
      <c r="AD4450">
        <v>-1.121664566035</v>
      </c>
      <c r="AE4450">
        <v>-14.007099999999999</v>
      </c>
      <c r="AF4450">
        <v>-0.32368367061998299</v>
      </c>
      <c r="AG4450">
        <v>-1.121664566035</v>
      </c>
      <c r="AH4450">
        <v>13.9171585468701</v>
      </c>
      <c r="AI4450">
        <v>94.606599159285494</v>
      </c>
      <c r="AJ4450">
        <v>91.3323384421128</v>
      </c>
      <c r="AK4450">
        <v>13.9660375388313</v>
      </c>
      <c r="AL4450">
        <v>93.875510474223105</v>
      </c>
      <c r="AM4450">
        <v>89.984120521824593</v>
      </c>
      <c r="AN4450">
        <v>0.999999979279664</v>
      </c>
    </row>
    <row r="4451" spans="1:40" x14ac:dyDescent="0.25">
      <c r="A4451" t="str">
        <f>"20190303154857839"</f>
        <v>20190303154857839</v>
      </c>
      <c r="B4451" t="str">
        <f>"1551599337834818"</f>
        <v>1551599337834818</v>
      </c>
      <c r="C4451" t="s">
        <v>40</v>
      </c>
      <c r="D4451">
        <v>5.1706859999999999</v>
      </c>
      <c r="E4451">
        <v>0.49122519999999997</v>
      </c>
      <c r="F4451" t="s">
        <v>41</v>
      </c>
      <c r="G4451">
        <v>-192.11779999999999</v>
      </c>
      <c r="H4451" s="1">
        <v>-3.5098529999999998E-6</v>
      </c>
      <c r="I4451">
        <v>165.8246</v>
      </c>
      <c r="J4451">
        <v>-191.83279999999999</v>
      </c>
      <c r="K4451">
        <v>1.1216680000000001</v>
      </c>
      <c r="L4451">
        <v>179.77379999999999</v>
      </c>
      <c r="M4451">
        <v>-4.3157719999999997E-2</v>
      </c>
      <c r="N4451">
        <v>-1.440607E-2</v>
      </c>
      <c r="O4451">
        <v>-0.99896450000000003</v>
      </c>
      <c r="P4451">
        <v>-4.3262509999999997E-2</v>
      </c>
      <c r="Q4451">
        <v>-8.2361390000000007E-2</v>
      </c>
      <c r="R4451">
        <v>-0.99566350000000003</v>
      </c>
      <c r="S4451">
        <v>-6.1752319999999999E-2</v>
      </c>
      <c r="T4451">
        <v>-0.23748739999999999</v>
      </c>
      <c r="U4451">
        <v>-2.9907680000000001</v>
      </c>
      <c r="V4451">
        <v>3.5457819999999999E-4</v>
      </c>
      <c r="W4451">
        <v>-6.7995239999999998E-2</v>
      </c>
      <c r="X4451">
        <v>0.99768559999999995</v>
      </c>
      <c r="Y4451">
        <v>-2.2557020000000001E-2</v>
      </c>
      <c r="Z4451">
        <v>6.4666059999999997E-2</v>
      </c>
      <c r="AA4451">
        <v>0.99765199999999998</v>
      </c>
      <c r="AB4451">
        <v>21</v>
      </c>
      <c r="AC4451">
        <v>-0.28499999999999598</v>
      </c>
      <c r="AD4451">
        <v>-1.1216715098529999</v>
      </c>
      <c r="AE4451">
        <v>-13.9491999999999</v>
      </c>
      <c r="AF4451">
        <v>-0.315305783113004</v>
      </c>
      <c r="AG4451">
        <v>-1.1216715098529999</v>
      </c>
      <c r="AH4451">
        <v>13.858927829881599</v>
      </c>
      <c r="AI4451">
        <v>94.625952948352094</v>
      </c>
      <c r="AJ4451">
        <v>91.303316880628799</v>
      </c>
      <c r="AK4451">
        <v>13.907819574136999</v>
      </c>
      <c r="AL4451">
        <v>93.898848447760699</v>
      </c>
      <c r="AM4451">
        <v>89.979637038449795</v>
      </c>
      <c r="AN4451">
        <v>1.0000000174178501</v>
      </c>
    </row>
    <row r="4452" spans="1:40" x14ac:dyDescent="0.25">
      <c r="A4452" t="str">
        <f>"20190303154857853"</f>
        <v>20190303154857853</v>
      </c>
      <c r="B4452" t="str">
        <f>"1551599337845554"</f>
        <v>1551599337845554</v>
      </c>
      <c r="C4452" t="s">
        <v>40</v>
      </c>
      <c r="D4452">
        <v>5.138496</v>
      </c>
      <c r="E4452">
        <v>0.50759359999999998</v>
      </c>
      <c r="F4452" t="s">
        <v>41</v>
      </c>
      <c r="G4452">
        <v>-192.11279999999999</v>
      </c>
      <c r="H4452" s="1">
        <v>-3.4788410000000001E-6</v>
      </c>
      <c r="I4452">
        <v>165.76179999999999</v>
      </c>
      <c r="J4452">
        <v>-191.83779999999999</v>
      </c>
      <c r="K4452">
        <v>1.121669</v>
      </c>
      <c r="L4452">
        <v>179.6379</v>
      </c>
      <c r="M4452">
        <v>-4.2424980000000001E-2</v>
      </c>
      <c r="N4452">
        <v>-1.440991E-2</v>
      </c>
      <c r="O4452">
        <v>-0.99899579999999999</v>
      </c>
      <c r="P4452">
        <v>-4.2826089999999997E-2</v>
      </c>
      <c r="Q4452">
        <v>-8.2649260000000002E-2</v>
      </c>
      <c r="R4452">
        <v>-0.99565820000000005</v>
      </c>
      <c r="S4452">
        <v>-5.9768679999999998E-2</v>
      </c>
      <c r="T4452">
        <v>-0.2394037</v>
      </c>
      <c r="U4452">
        <v>-2.9906619999999999</v>
      </c>
      <c r="V4452">
        <v>6.5011870000000001E-4</v>
      </c>
      <c r="W4452">
        <v>-6.8279140000000002E-2</v>
      </c>
      <c r="X4452">
        <v>0.9976661</v>
      </c>
      <c r="Y4452">
        <v>-2.2485209999999999E-2</v>
      </c>
      <c r="Z4452">
        <v>6.5303410000000006E-2</v>
      </c>
      <c r="AA4452">
        <v>0.9976121</v>
      </c>
      <c r="AB4452">
        <v>21</v>
      </c>
      <c r="AC4452">
        <v>-0.27500000000000502</v>
      </c>
      <c r="AD4452">
        <v>-1.121672478841</v>
      </c>
      <c r="AE4452">
        <v>-13.876099999999999</v>
      </c>
      <c r="AF4452">
        <v>-0.31196434145383001</v>
      </c>
      <c r="AG4452">
        <v>-1.121672478841</v>
      </c>
      <c r="AH4452">
        <v>13.785231110881799</v>
      </c>
      <c r="AI4452">
        <v>94.650592075906005</v>
      </c>
      <c r="AJ4452">
        <v>91.296401169823596</v>
      </c>
      <c r="AK4452">
        <v>13.8343076328579</v>
      </c>
      <c r="AL4452">
        <v>93.915152462098007</v>
      </c>
      <c r="AM4452">
        <v>89.962663808642802</v>
      </c>
      <c r="AN4452">
        <v>1.00000005535133</v>
      </c>
    </row>
    <row r="4453" spans="1:40" x14ac:dyDescent="0.25">
      <c r="A4453" t="str">
        <f>"20190303154858011"</f>
        <v>20190303154858011</v>
      </c>
      <c r="B4453" t="str">
        <f>"1551599338005618"</f>
        <v>1551599338005618</v>
      </c>
      <c r="C4453" t="s">
        <v>40</v>
      </c>
      <c r="D4453">
        <v>5.1703739999999998</v>
      </c>
      <c r="E4453">
        <v>0.50759359999999998</v>
      </c>
      <c r="F4453" t="s">
        <v>59</v>
      </c>
      <c r="G4453">
        <v>-193.1772</v>
      </c>
      <c r="H4453" s="1">
        <v>-1.4686790000000001E-5</v>
      </c>
      <c r="I4453">
        <v>158.46090000000001</v>
      </c>
      <c r="J4453">
        <v>-191.88659999999999</v>
      </c>
      <c r="K4453">
        <v>1.1216680000000001</v>
      </c>
      <c r="L4453">
        <v>178.14160000000001</v>
      </c>
      <c r="M4453">
        <v>-3.4370489999999997E-2</v>
      </c>
      <c r="N4453">
        <v>-1.44216E-2</v>
      </c>
      <c r="O4453">
        <v>-0.999305</v>
      </c>
      <c r="P4453">
        <v>-3.8974300000000003E-2</v>
      </c>
      <c r="Q4453">
        <v>-8.4663020000000005E-2</v>
      </c>
      <c r="R4453">
        <v>-0.99564680000000005</v>
      </c>
      <c r="S4453">
        <v>-0.18922420000000001</v>
      </c>
      <c r="T4453">
        <v>-0.15846689999999999</v>
      </c>
      <c r="U4453">
        <v>-2.9917910000000001</v>
      </c>
      <c r="V4453">
        <v>4.8342690000000004E-3</v>
      </c>
      <c r="W4453">
        <v>-7.0277259999999994E-2</v>
      </c>
      <c r="X4453">
        <v>0.99751579999999995</v>
      </c>
      <c r="Y4453">
        <v>2.8718380000000002E-2</v>
      </c>
      <c r="Z4453">
        <v>3.839149E-2</v>
      </c>
      <c r="AA4453">
        <v>0.99885000000000002</v>
      </c>
      <c r="AB4453">
        <v>21</v>
      </c>
      <c r="AC4453">
        <v>-1.29060000000001</v>
      </c>
      <c r="AD4453">
        <v>-1.1216826867899901</v>
      </c>
      <c r="AE4453">
        <v>-19.680700000000002</v>
      </c>
      <c r="AF4453">
        <v>0.61135420602761203</v>
      </c>
      <c r="AG4453">
        <v>-1.1216826867899901</v>
      </c>
      <c r="AH4453">
        <v>19.6498768110255</v>
      </c>
      <c r="AI4453">
        <v>93.265518324240901</v>
      </c>
      <c r="AJ4453">
        <v>88.217967442952798</v>
      </c>
      <c r="AK4453">
        <v>19.691358122373199</v>
      </c>
      <c r="AL4453">
        <v>94.029912195293505</v>
      </c>
      <c r="AM4453">
        <v>89.722329167831404</v>
      </c>
      <c r="AN4453">
        <v>1.0000000173397501</v>
      </c>
    </row>
    <row r="4454" spans="1:40" x14ac:dyDescent="0.25">
      <c r="A4454" t="str">
        <f>"20190303154858029"</f>
        <v>20190303154858029</v>
      </c>
      <c r="B4454" t="str">
        <f>"1551599338025138"</f>
        <v>1551599338025138</v>
      </c>
      <c r="C4454" t="s">
        <v>40</v>
      </c>
      <c r="D4454">
        <v>5.1154699999999904</v>
      </c>
      <c r="E4454">
        <v>0.524343</v>
      </c>
      <c r="F4454" t="s">
        <v>59</v>
      </c>
      <c r="G4454">
        <v>-193.0986</v>
      </c>
      <c r="H4454" s="1">
        <v>-1.44689799999999E-5</v>
      </c>
      <c r="I4454">
        <v>157.7816</v>
      </c>
      <c r="J4454">
        <v>-191.89109999999999</v>
      </c>
      <c r="K4454">
        <v>1.1216649999999999</v>
      </c>
      <c r="L4454">
        <v>177.97929999999999</v>
      </c>
      <c r="M4454">
        <v>-3.3504190000000003E-2</v>
      </c>
      <c r="N4454">
        <v>-1.442038E-2</v>
      </c>
      <c r="O4454">
        <v>-0.99933470000000002</v>
      </c>
      <c r="P4454">
        <v>-3.8666159999999998E-2</v>
      </c>
      <c r="Q4454">
        <v>-8.4441699999999995E-2</v>
      </c>
      <c r="R4454">
        <v>-0.99567850000000002</v>
      </c>
      <c r="S4454">
        <v>-0.17813109999999999</v>
      </c>
      <c r="T4454">
        <v>-0.16484370000000001</v>
      </c>
      <c r="U4454">
        <v>-2.9921259999999998</v>
      </c>
      <c r="V4454">
        <v>5.3879180000000002E-3</v>
      </c>
      <c r="W4454">
        <v>-7.0056129999999994E-2</v>
      </c>
      <c r="X4454">
        <v>0.99752850000000004</v>
      </c>
      <c r="Y4454">
        <v>2.5884460000000001E-2</v>
      </c>
      <c r="Z4454">
        <v>4.0515179999999998E-2</v>
      </c>
      <c r="AA4454">
        <v>0.99884360000000005</v>
      </c>
      <c r="AB4454">
        <v>21</v>
      </c>
      <c r="AC4454">
        <v>-1.20750000000001</v>
      </c>
      <c r="AD4454">
        <v>-1.12167946897999</v>
      </c>
      <c r="AE4454">
        <v>-20.197700000000001</v>
      </c>
      <c r="AF4454">
        <v>0.52842018405626801</v>
      </c>
      <c r="AG4454">
        <v>-1.12167946897999</v>
      </c>
      <c r="AH4454">
        <v>20.164849025960301</v>
      </c>
      <c r="AI4454">
        <v>93.182733969197599</v>
      </c>
      <c r="AJ4454">
        <v>88.498906740660303</v>
      </c>
      <c r="AK4454">
        <v>20.202933672163098</v>
      </c>
      <c r="AL4454">
        <v>94.017211146193006</v>
      </c>
      <c r="AM4454">
        <v>89.690533192992007</v>
      </c>
      <c r="AN4454">
        <v>0.99999999966160003</v>
      </c>
    </row>
    <row r="4455" spans="1:40" x14ac:dyDescent="0.25">
      <c r="A4455" t="str">
        <f>"20190303154858051"</f>
        <v>20190303154858051</v>
      </c>
      <c r="B4455" t="str">
        <f>"1551599338045635"</f>
        <v>1551599338045635</v>
      </c>
      <c r="C4455" t="s">
        <v>40</v>
      </c>
      <c r="D4455">
        <v>5.166207</v>
      </c>
      <c r="E4455">
        <v>0.52671380000000001</v>
      </c>
      <c r="F4455" t="s">
        <v>60</v>
      </c>
      <c r="G4455">
        <v>-211.07</v>
      </c>
      <c r="H4455">
        <v>1.6758059999999999</v>
      </c>
      <c r="I4455">
        <v>-6.5303940000000003</v>
      </c>
      <c r="J4455">
        <v>-191.89689999999999</v>
      </c>
      <c r="K4455">
        <v>1.1216619999999999</v>
      </c>
      <c r="L4455">
        <v>177.76849999999999</v>
      </c>
      <c r="M4455">
        <v>-3.2381350000000003E-2</v>
      </c>
      <c r="N4455">
        <v>-1.441839E-2</v>
      </c>
      <c r="O4455">
        <v>-0.99937160000000003</v>
      </c>
      <c r="P4455">
        <v>-3.8133889999999997E-2</v>
      </c>
      <c r="Q4455">
        <v>-8.4329749999999995E-2</v>
      </c>
      <c r="R4455">
        <v>-0.99570809999999998</v>
      </c>
      <c r="S4455">
        <v>-0.3120117</v>
      </c>
      <c r="T4455">
        <v>9.0149640000000003E-3</v>
      </c>
      <c r="U4455">
        <v>-3.0016940000000001</v>
      </c>
      <c r="V4455">
        <v>5.9733579999999998E-3</v>
      </c>
      <c r="W4455">
        <v>-6.9945300000000002E-2</v>
      </c>
      <c r="X4455">
        <v>0.997533</v>
      </c>
      <c r="Y4455">
        <v>7.1101319999999996E-2</v>
      </c>
      <c r="Z4455">
        <v>-1.7382890000000002E-2</v>
      </c>
      <c r="AA4455">
        <v>0.99731760000000003</v>
      </c>
      <c r="AB4455">
        <v>21</v>
      </c>
      <c r="AC4455">
        <v>-19.173100000000002</v>
      </c>
      <c r="AD4455">
        <v>0.55414399999999997</v>
      </c>
      <c r="AE4455">
        <v>-184.29889399999999</v>
      </c>
      <c r="AF4455">
        <v>13.194457962651001</v>
      </c>
      <c r="AG4455">
        <v>0.55414399999999997</v>
      </c>
      <c r="AH4455">
        <v>184.82148746668699</v>
      </c>
      <c r="AI4455">
        <v>89.828648616308598</v>
      </c>
      <c r="AJ4455">
        <v>85.916565957883293</v>
      </c>
      <c r="AK4455">
        <v>185.29269555462699</v>
      </c>
      <c r="AL4455">
        <v>94.010845212982304</v>
      </c>
      <c r="AM4455">
        <v>89.656909483432401</v>
      </c>
      <c r="AN4455">
        <v>1.0000000560434401</v>
      </c>
    </row>
    <row r="4456" spans="1:40" x14ac:dyDescent="0.25">
      <c r="A4456" t="str">
        <f>"20190303154858068"</f>
        <v>20190303154858068</v>
      </c>
      <c r="B4456" t="str">
        <f>"1551599338065155"</f>
        <v>1551599338065155</v>
      </c>
      <c r="C4456" t="s">
        <v>40</v>
      </c>
      <c r="D4456">
        <v>5.219436</v>
      </c>
      <c r="E4456">
        <v>0.52394079999999998</v>
      </c>
      <c r="F4456" t="s">
        <v>59</v>
      </c>
      <c r="G4456">
        <v>-194.5882</v>
      </c>
      <c r="H4456" s="1">
        <v>-1.289535E-5</v>
      </c>
      <c r="I4456">
        <v>153.2338</v>
      </c>
      <c r="J4456">
        <v>-191.90090000000001</v>
      </c>
      <c r="K4456">
        <v>1.121653</v>
      </c>
      <c r="L4456">
        <v>177.6147</v>
      </c>
      <c r="M4456">
        <v>-3.1563720000000003E-2</v>
      </c>
      <c r="N4456">
        <v>-1.4416730000000001E-2</v>
      </c>
      <c r="O4456">
        <v>-0.99939809999999996</v>
      </c>
      <c r="P4456">
        <v>-3.7537019999999997E-2</v>
      </c>
      <c r="Q4456">
        <v>-8.4554379999999998E-2</v>
      </c>
      <c r="R4456">
        <v>-0.99571200000000004</v>
      </c>
      <c r="S4456">
        <v>-0.32786559999999998</v>
      </c>
      <c r="T4456">
        <v>-0.136642299999999</v>
      </c>
      <c r="U4456">
        <v>-2.9888150000000002</v>
      </c>
      <c r="V4456">
        <v>6.1916150000000001E-3</v>
      </c>
      <c r="W4456">
        <v>-7.0171600000000001E-2</v>
      </c>
      <c r="X4456">
        <v>0.99751570000000001</v>
      </c>
      <c r="Y4456">
        <v>7.7524350000000006E-2</v>
      </c>
      <c r="Z4456">
        <v>3.1049759999999999E-2</v>
      </c>
      <c r="AA4456">
        <v>0.99650689999999997</v>
      </c>
      <c r="AB4456">
        <v>21</v>
      </c>
      <c r="AC4456">
        <v>-2.6872999999999898</v>
      </c>
      <c r="AD4456">
        <v>-1.1216658953500001</v>
      </c>
      <c r="AE4456">
        <v>-24.3809</v>
      </c>
      <c r="AF4456">
        <v>1.9123301747311301</v>
      </c>
      <c r="AG4456">
        <v>-1.1216658953500001</v>
      </c>
      <c r="AH4456">
        <v>24.402550307275799</v>
      </c>
      <c r="AI4456">
        <v>92.6237215549681</v>
      </c>
      <c r="AJ4456">
        <v>85.5191168735074</v>
      </c>
      <c r="AK4456">
        <v>24.503052923607399</v>
      </c>
      <c r="AL4456">
        <v>94.023843488547698</v>
      </c>
      <c r="AM4456">
        <v>89.644367650474095</v>
      </c>
      <c r="AN4456">
        <v>0.99999998064467799</v>
      </c>
    </row>
    <row r="4457" spans="1:40" x14ac:dyDescent="0.25">
      <c r="A4457" t="str">
        <f>"20190303154858086"</f>
        <v>20190303154858086</v>
      </c>
      <c r="B4457" t="str">
        <f>"1551599338074916"</f>
        <v>1551599338074916</v>
      </c>
      <c r="C4457" t="s">
        <v>40</v>
      </c>
      <c r="D4457">
        <v>5.2321080000000002</v>
      </c>
      <c r="E4457">
        <v>0.52249970000000001</v>
      </c>
      <c r="F4457" t="s">
        <v>59</v>
      </c>
      <c r="G4457">
        <v>-194.48859999999999</v>
      </c>
      <c r="H4457" s="1">
        <v>-1.25856399999999E-5</v>
      </c>
      <c r="I4457">
        <v>152.16739999999999</v>
      </c>
      <c r="J4457">
        <v>-191.9051</v>
      </c>
      <c r="K4457">
        <v>1.1216520000000001</v>
      </c>
      <c r="L4457">
        <v>177.44820000000001</v>
      </c>
      <c r="M4457">
        <v>-3.0679950000000001E-2</v>
      </c>
      <c r="N4457">
        <v>-1.4414700000000001E-2</v>
      </c>
      <c r="O4457">
        <v>-0.99942540000000002</v>
      </c>
      <c r="P4457">
        <v>-3.7675439999999998E-2</v>
      </c>
      <c r="Q4457">
        <v>-8.4235370000000004E-2</v>
      </c>
      <c r="R4457">
        <v>-0.9957336</v>
      </c>
      <c r="S4457">
        <v>-0.30407709999999999</v>
      </c>
      <c r="T4457">
        <v>-0.13180539999999999</v>
      </c>
      <c r="U4457">
        <v>-2.9902799999999998</v>
      </c>
      <c r="V4457">
        <v>7.2093719999999899E-3</v>
      </c>
      <c r="W4457">
        <v>-6.9852860000000003E-2</v>
      </c>
      <c r="X4457">
        <v>0.99753119999999995</v>
      </c>
      <c r="Y4457">
        <v>7.0520009999999994E-2</v>
      </c>
      <c r="Z4457">
        <v>2.9453569999999998E-2</v>
      </c>
      <c r="AA4457">
        <v>0.99707539999999995</v>
      </c>
      <c r="AB4457">
        <v>21</v>
      </c>
      <c r="AC4457">
        <v>-2.5834999999999799</v>
      </c>
      <c r="AD4457">
        <v>-1.12166458564</v>
      </c>
      <c r="AE4457">
        <v>-25.280799999999999</v>
      </c>
      <c r="AF4457">
        <v>1.80307663890128</v>
      </c>
      <c r="AG4457">
        <v>-1.12166458564</v>
      </c>
      <c r="AH4457">
        <v>25.2988795570358</v>
      </c>
      <c r="AI4457">
        <v>92.532218881993302</v>
      </c>
      <c r="AJ4457">
        <v>85.923365232928205</v>
      </c>
      <c r="AK4457">
        <v>25.387842043975201</v>
      </c>
      <c r="AL4457">
        <v>94.005536246335197</v>
      </c>
      <c r="AM4457">
        <v>89.585918318230298</v>
      </c>
      <c r="AN4457">
        <v>0.99999994603412501</v>
      </c>
    </row>
    <row r="4458" spans="1:40" x14ac:dyDescent="0.25">
      <c r="A4458" t="str">
        <f>"20190303154858107"</f>
        <v>20190303154858107</v>
      </c>
      <c r="B4458" t="str">
        <f>"1551599338095412"</f>
        <v>1551599338095412</v>
      </c>
      <c r="C4458" t="s">
        <v>40</v>
      </c>
      <c r="D4458">
        <v>5.2160019999999996</v>
      </c>
      <c r="E4458">
        <v>0.52111229999999997</v>
      </c>
      <c r="F4458" t="s">
        <v>59</v>
      </c>
      <c r="G4458">
        <v>-194.31389999999999</v>
      </c>
      <c r="H4458" s="1">
        <v>-1.2774060000000001E-5</v>
      </c>
      <c r="I4458">
        <v>152.8485</v>
      </c>
      <c r="J4458">
        <v>-191.90989999999999</v>
      </c>
      <c r="K4458">
        <v>1.1216520000000001</v>
      </c>
      <c r="L4458">
        <v>177.25280000000001</v>
      </c>
      <c r="M4458">
        <v>-2.9647030000000001E-2</v>
      </c>
      <c r="N4458">
        <v>-1.44119E-2</v>
      </c>
      <c r="O4458">
        <v>-0.99945660000000003</v>
      </c>
      <c r="P4458">
        <v>-3.823733E-2</v>
      </c>
      <c r="Q4458">
        <v>-8.3735760000000006E-2</v>
      </c>
      <c r="R4458">
        <v>-0.99575429999999998</v>
      </c>
      <c r="S4458">
        <v>-0.29280089999999998</v>
      </c>
      <c r="T4458">
        <v>-0.1363442</v>
      </c>
      <c r="U4458">
        <v>-2.9902190000000002</v>
      </c>
      <c r="V4458">
        <v>8.7987389999999999E-3</v>
      </c>
      <c r="W4458">
        <v>-6.9353399999999996E-2</v>
      </c>
      <c r="X4458">
        <v>0.99755329999999998</v>
      </c>
      <c r="Y4458">
        <v>6.7825699999999906E-2</v>
      </c>
      <c r="Z4458">
        <v>3.0977830000000001E-2</v>
      </c>
      <c r="AA4458">
        <v>0.9972162</v>
      </c>
      <c r="AB4458">
        <v>21</v>
      </c>
      <c r="AC4458">
        <v>-2.4039999999999901</v>
      </c>
      <c r="AD4458">
        <v>-1.1216647740600001</v>
      </c>
      <c r="AE4458">
        <v>-24.404299999999999</v>
      </c>
      <c r="AF4458">
        <v>1.6758467661866301</v>
      </c>
      <c r="AG4458">
        <v>-1.1216647740600001</v>
      </c>
      <c r="AH4458">
        <v>24.413771177923</v>
      </c>
      <c r="AI4458">
        <v>92.624376846254407</v>
      </c>
      <c r="AJ4458">
        <v>86.073176916439806</v>
      </c>
      <c r="AK4458">
        <v>24.4969144460499</v>
      </c>
      <c r="AL4458">
        <v>93.976849710483407</v>
      </c>
      <c r="AM4458">
        <v>89.494646013511499</v>
      </c>
      <c r="AN4458">
        <v>0.99999994912021795</v>
      </c>
    </row>
    <row r="4459" spans="1:40" x14ac:dyDescent="0.25">
      <c r="A4459" t="str">
        <f>"20190303154858130"</f>
        <v>20190303154858130</v>
      </c>
      <c r="B4459" t="str">
        <f>"1551599338125322"</f>
        <v>1551599338125322</v>
      </c>
      <c r="C4459" t="s">
        <v>40</v>
      </c>
      <c r="D4459">
        <v>5.2366449999999896</v>
      </c>
      <c r="E4459">
        <v>0.52003900000000003</v>
      </c>
      <c r="F4459" t="s">
        <v>59</v>
      </c>
      <c r="G4459">
        <v>-194.23830000000001</v>
      </c>
      <c r="H4459" s="1">
        <v>-1.272596E-5</v>
      </c>
      <c r="I4459">
        <v>152.684</v>
      </c>
      <c r="J4459">
        <v>-191.91480000000001</v>
      </c>
      <c r="K4459">
        <v>1.1216489999999999</v>
      </c>
      <c r="L4459">
        <v>177.04220000000001</v>
      </c>
      <c r="M4459">
        <v>-2.854019E-2</v>
      </c>
      <c r="N4459">
        <v>-1.4408529999999999E-2</v>
      </c>
      <c r="O4459">
        <v>-0.99948879999999996</v>
      </c>
      <c r="P4459">
        <v>-3.8558500000000002E-2</v>
      </c>
      <c r="Q4459">
        <v>-8.3237800000000001E-2</v>
      </c>
      <c r="R4459">
        <v>-0.99578359999999999</v>
      </c>
      <c r="S4459">
        <v>-0.28340149999999997</v>
      </c>
      <c r="T4459">
        <v>-0.13652529999999999</v>
      </c>
      <c r="U4459">
        <v>-2.9904329999999999</v>
      </c>
      <c r="V4459">
        <v>1.0220740000000001E-2</v>
      </c>
      <c r="W4459">
        <v>-6.8856509999999996E-2</v>
      </c>
      <c r="X4459">
        <v>0.99757419999999997</v>
      </c>
      <c r="Y4459">
        <v>6.5818570000000007E-2</v>
      </c>
      <c r="Z4459">
        <v>3.1048780000000002E-2</v>
      </c>
      <c r="AA4459">
        <v>0.99734840000000002</v>
      </c>
      <c r="AB4459">
        <v>21</v>
      </c>
      <c r="AC4459">
        <v>-2.3234999999999899</v>
      </c>
      <c r="AD4459">
        <v>-1.1216617259599999</v>
      </c>
      <c r="AE4459">
        <v>-24.3582</v>
      </c>
      <c r="AF4459">
        <v>1.62388113716848</v>
      </c>
      <c r="AG4459">
        <v>-1.1216617259599999</v>
      </c>
      <c r="AH4459">
        <v>24.363399365221099</v>
      </c>
      <c r="AI4459">
        <v>92.630140168016197</v>
      </c>
      <c r="AJ4459">
        <v>86.186734058886302</v>
      </c>
      <c r="AK4459">
        <v>24.443206491874001</v>
      </c>
      <c r="AL4459">
        <v>93.9483116499853</v>
      </c>
      <c r="AM4459">
        <v>89.412991258158996</v>
      </c>
      <c r="AN4459">
        <v>0.99999998350058295</v>
      </c>
    </row>
    <row r="4460" spans="1:40" x14ac:dyDescent="0.25">
      <c r="A4460" t="str">
        <f>"20190303154858141"</f>
        <v>20190303154858141</v>
      </c>
      <c r="B4460" t="str">
        <f>"1551599338135081"</f>
        <v>1551599338135081</v>
      </c>
      <c r="C4460" t="s">
        <v>40</v>
      </c>
      <c r="D4460">
        <v>5.2542720000000003</v>
      </c>
      <c r="E4460">
        <v>0.51959750000000005</v>
      </c>
      <c r="F4460" t="s">
        <v>59</v>
      </c>
      <c r="G4460">
        <v>-194.09719999999999</v>
      </c>
      <c r="H4460" s="1">
        <v>-1.2887369999999999E-5</v>
      </c>
      <c r="I4460">
        <v>153.37520000000001</v>
      </c>
      <c r="J4460">
        <v>-191.91730000000001</v>
      </c>
      <c r="K4460">
        <v>1.1216469999999901</v>
      </c>
      <c r="L4460">
        <v>176.93020000000001</v>
      </c>
      <c r="M4460">
        <v>-2.795485E-2</v>
      </c>
      <c r="N4460">
        <v>-1.440663E-2</v>
      </c>
      <c r="O4460">
        <v>-0.99950550000000005</v>
      </c>
      <c r="P4460">
        <v>-3.8511980000000001E-2</v>
      </c>
      <c r="Q4460">
        <v>-8.3221939999999994E-2</v>
      </c>
      <c r="R4460">
        <v>-0.99578679999999997</v>
      </c>
      <c r="S4460">
        <v>-0.27574159999999998</v>
      </c>
      <c r="T4460">
        <v>-0.14171489999999901</v>
      </c>
      <c r="U4460">
        <v>-2.990173</v>
      </c>
      <c r="V4460">
        <v>1.0757040000000001E-2</v>
      </c>
      <c r="W4460">
        <v>-6.8841920000000001E-2</v>
      </c>
      <c r="X4460">
        <v>0.99756959999999995</v>
      </c>
      <c r="Y4460">
        <v>6.3873120000000005E-2</v>
      </c>
      <c r="Z4460">
        <v>3.27876E-2</v>
      </c>
      <c r="AA4460">
        <v>0.99741930000000001</v>
      </c>
      <c r="AB4460">
        <v>21</v>
      </c>
      <c r="AC4460">
        <v>-2.1798999999999702</v>
      </c>
      <c r="AD4460">
        <v>-1.1216598873700001</v>
      </c>
      <c r="AE4460">
        <v>-23.555</v>
      </c>
      <c r="AF4460">
        <v>1.5170922779220499</v>
      </c>
      <c r="AG4460">
        <v>-1.1216598873700001</v>
      </c>
      <c r="AH4460">
        <v>23.553781834804798</v>
      </c>
      <c r="AI4460">
        <v>92.7208058852638</v>
      </c>
      <c r="AJ4460">
        <v>86.314686092658405</v>
      </c>
      <c r="AK4460">
        <v>23.629226153309499</v>
      </c>
      <c r="AL4460">
        <v>93.947473590266299</v>
      </c>
      <c r="AM4460">
        <v>89.382189368064203</v>
      </c>
      <c r="AN4460">
        <v>1.0000000153515001</v>
      </c>
    </row>
    <row r="4461" spans="1:40" x14ac:dyDescent="0.25">
      <c r="A4461" t="str">
        <f>"20190303154858153"</f>
        <v>20190303154858153</v>
      </c>
      <c r="B4461" t="str">
        <f>"1551599338144842"</f>
        <v>1551599338144842</v>
      </c>
      <c r="C4461" t="s">
        <v>40</v>
      </c>
      <c r="D4461">
        <v>5.2759150000000004</v>
      </c>
      <c r="E4461">
        <v>0.51914450000000001</v>
      </c>
      <c r="F4461" t="s">
        <v>59</v>
      </c>
      <c r="G4461">
        <v>-194.048</v>
      </c>
      <c r="H4461" s="1">
        <v>-1.291664E-5</v>
      </c>
      <c r="I4461">
        <v>153.50890000000001</v>
      </c>
      <c r="J4461">
        <v>-191.91990000000001</v>
      </c>
      <c r="K4461">
        <v>1.1216429999999999</v>
      </c>
      <c r="L4461">
        <v>176.81139999999999</v>
      </c>
      <c r="M4461">
        <v>-2.733901E-2</v>
      </c>
      <c r="N4461">
        <v>-1.4404470000000001E-2</v>
      </c>
      <c r="O4461">
        <v>-0.99952260000000004</v>
      </c>
      <c r="P4461">
        <v>-3.8670169999999997E-2</v>
      </c>
      <c r="Q4461">
        <v>-8.3188209999999999E-2</v>
      </c>
      <c r="R4461">
        <v>-0.99578359999999999</v>
      </c>
      <c r="S4461">
        <v>-0.27203369999999999</v>
      </c>
      <c r="T4461">
        <v>-0.1432023</v>
      </c>
      <c r="U4461">
        <v>-2.9902039999999999</v>
      </c>
      <c r="V4461">
        <v>1.152822E-2</v>
      </c>
      <c r="W4461">
        <v>-6.8809460000000003E-2</v>
      </c>
      <c r="X4461">
        <v>0.99756319999999998</v>
      </c>
      <c r="Y4461">
        <v>6.3259090000000004E-2</v>
      </c>
      <c r="Z4461">
        <v>3.328764E-2</v>
      </c>
      <c r="AA4461">
        <v>0.99744180000000005</v>
      </c>
      <c r="AB4461">
        <v>21</v>
      </c>
      <c r="AC4461">
        <v>-2.1280999999999799</v>
      </c>
      <c r="AD4461">
        <v>-1.12165591664</v>
      </c>
      <c r="AE4461">
        <v>-23.302499999999899</v>
      </c>
      <c r="AF4461">
        <v>1.4867548918643601</v>
      </c>
      <c r="AG4461">
        <v>-1.12165591664</v>
      </c>
      <c r="AH4461">
        <v>23.298439815469301</v>
      </c>
      <c r="AI4461">
        <v>92.750674161827405</v>
      </c>
      <c r="AJ4461">
        <v>86.348706862124303</v>
      </c>
      <c r="AK4461">
        <v>23.3727587147701</v>
      </c>
      <c r="AL4461">
        <v>93.945609449521498</v>
      </c>
      <c r="AM4461">
        <v>89.337897639373693</v>
      </c>
      <c r="AN4461">
        <v>0.99999998981804905</v>
      </c>
    </row>
    <row r="4462" spans="1:40" x14ac:dyDescent="0.25">
      <c r="A4462" t="str">
        <f>"20190303154858166"</f>
        <v>20190303154858166</v>
      </c>
      <c r="B4462" t="str">
        <f>"1551599338155578"</f>
        <v>1551599338155578</v>
      </c>
      <c r="C4462" t="s">
        <v>40</v>
      </c>
      <c r="D4462">
        <v>5.2419890000000002</v>
      </c>
      <c r="E4462">
        <v>0.51859440000000001</v>
      </c>
      <c r="F4462" t="s">
        <v>59</v>
      </c>
      <c r="G4462">
        <v>-194.0129</v>
      </c>
      <c r="H4462" s="1">
        <v>-1.291618E-5</v>
      </c>
      <c r="I4462">
        <v>153.51939999999999</v>
      </c>
      <c r="J4462">
        <v>-191.922</v>
      </c>
      <c r="K4462">
        <v>1.121642</v>
      </c>
      <c r="L4462">
        <v>176.71090000000001</v>
      </c>
      <c r="M4462">
        <v>-2.6821319999999999E-2</v>
      </c>
      <c r="N4462">
        <v>-1.440259E-2</v>
      </c>
      <c r="O4462">
        <v>-0.99953639999999999</v>
      </c>
      <c r="P4462">
        <v>-3.8796259999999999E-2</v>
      </c>
      <c r="Q4462">
        <v>-8.3348399999999906E-2</v>
      </c>
      <c r="R4462">
        <v>-0.99576500000000001</v>
      </c>
      <c r="S4462">
        <v>-0.26870729999999998</v>
      </c>
      <c r="T4462">
        <v>-0.1439985</v>
      </c>
      <c r="U4462">
        <v>-2.9902340000000001</v>
      </c>
      <c r="V4462">
        <v>1.2170129999999999E-2</v>
      </c>
      <c r="W4462">
        <v>-6.8971080000000004E-2</v>
      </c>
      <c r="X4462">
        <v>0.9975444</v>
      </c>
      <c r="Y4462">
        <v>6.2673809999999996E-2</v>
      </c>
      <c r="Z4462">
        <v>3.355731E-2</v>
      </c>
      <c r="AA4462">
        <v>0.99746970000000001</v>
      </c>
      <c r="AB4462">
        <v>21</v>
      </c>
      <c r="AC4462">
        <v>-2.0909</v>
      </c>
      <c r="AD4462">
        <v>-1.12165491617999</v>
      </c>
      <c r="AE4462">
        <v>-23.191500000000001</v>
      </c>
      <c r="AF4462">
        <v>1.4646579571637099</v>
      </c>
      <c r="AG4462">
        <v>-1.12165491617999</v>
      </c>
      <c r="AH4462">
        <v>23.185444209764299</v>
      </c>
      <c r="AI4462">
        <v>92.764168585148596</v>
      </c>
      <c r="AJ4462">
        <v>86.385346099501405</v>
      </c>
      <c r="AK4462">
        <v>23.2587221464672</v>
      </c>
      <c r="AL4462">
        <v>93.954891700662202</v>
      </c>
      <c r="AM4462">
        <v>89.301021094920699</v>
      </c>
      <c r="AN4462">
        <v>0.99999997595597101</v>
      </c>
    </row>
    <row r="4463" spans="1:40" x14ac:dyDescent="0.25">
      <c r="A4463" t="str">
        <f>"20190303154858178"</f>
        <v>20190303154858178</v>
      </c>
      <c r="B4463" t="str">
        <f>"1551599338175098"</f>
        <v>1551599338175098</v>
      </c>
      <c r="C4463" t="s">
        <v>40</v>
      </c>
      <c r="D4463">
        <v>5.2493220000000003</v>
      </c>
      <c r="E4463">
        <v>0.51776350000000004</v>
      </c>
      <c r="F4463" t="s">
        <v>59</v>
      </c>
      <c r="G4463">
        <v>-193.94900000000001</v>
      </c>
      <c r="H4463" s="1">
        <v>-1.2988350000000001E-5</v>
      </c>
      <c r="I4463">
        <v>153.8288</v>
      </c>
      <c r="J4463">
        <v>-191.9246</v>
      </c>
      <c r="K4463">
        <v>1.121637</v>
      </c>
      <c r="L4463">
        <v>176.58869999999999</v>
      </c>
      <c r="M4463">
        <v>-2.619674E-2</v>
      </c>
      <c r="N4463">
        <v>-1.440023E-2</v>
      </c>
      <c r="O4463">
        <v>-0.99955329999999998</v>
      </c>
      <c r="P4463">
        <v>-3.8876319999999999E-2</v>
      </c>
      <c r="Q4463">
        <v>-8.3325159999999995E-2</v>
      </c>
      <c r="R4463">
        <v>-0.99576430000000005</v>
      </c>
      <c r="S4463">
        <v>-0.26487729999999998</v>
      </c>
      <c r="T4463">
        <v>-0.1465755</v>
      </c>
      <c r="U4463">
        <v>-2.990189</v>
      </c>
      <c r="V4463">
        <v>1.287141E-2</v>
      </c>
      <c r="W4463">
        <v>-6.8949510000000006E-2</v>
      </c>
      <c r="X4463">
        <v>0.99753709999999995</v>
      </c>
      <c r="Y4463">
        <v>6.2028609999999998E-2</v>
      </c>
      <c r="Z4463">
        <v>3.4420979999999997E-2</v>
      </c>
      <c r="AA4463">
        <v>0.99748060000000005</v>
      </c>
      <c r="AB4463">
        <v>21</v>
      </c>
      <c r="AC4463">
        <v>-2.0244000000000102</v>
      </c>
      <c r="AD4463">
        <v>-1.12164998835</v>
      </c>
      <c r="AE4463">
        <v>-22.759899999999899</v>
      </c>
      <c r="AF4463">
        <v>1.4239769452553599</v>
      </c>
      <c r="AG4463">
        <v>-1.12164998835</v>
      </c>
      <c r="AH4463">
        <v>22.750305518585201</v>
      </c>
      <c r="AI4463">
        <v>92.817043494794405</v>
      </c>
      <c r="AJ4463">
        <v>86.418440486210301</v>
      </c>
      <c r="AK4463">
        <v>22.8224058816321</v>
      </c>
      <c r="AL4463">
        <v>93.953652837806104</v>
      </c>
      <c r="AM4463">
        <v>89.260742737923707</v>
      </c>
      <c r="AN4463">
        <v>0.99999998700051895</v>
      </c>
    </row>
    <row r="4464" spans="1:40" x14ac:dyDescent="0.25">
      <c r="A4464" t="str">
        <f>"20190303154858196"</f>
        <v>20190303154858196</v>
      </c>
      <c r="B4464" t="str">
        <f>"1551599338184857"</f>
        <v>1551599338184857</v>
      </c>
      <c r="C4464" t="s">
        <v>40</v>
      </c>
      <c r="D4464">
        <v>5.2432049999999997</v>
      </c>
      <c r="E4464">
        <v>0.51745050000000004</v>
      </c>
      <c r="F4464" t="s">
        <v>59</v>
      </c>
      <c r="G4464">
        <v>-193.8486</v>
      </c>
      <c r="H4464" s="1">
        <v>-1.3107689999999999E-5</v>
      </c>
      <c r="I4464">
        <v>154.33850000000001</v>
      </c>
      <c r="J4464">
        <v>-191.92789999999999</v>
      </c>
      <c r="K4464">
        <v>1.121629</v>
      </c>
      <c r="L4464">
        <v>176.42570000000001</v>
      </c>
      <c r="M4464">
        <v>-2.5379499999999999E-2</v>
      </c>
      <c r="N4464">
        <v>-1.4396890000000001E-2</v>
      </c>
      <c r="O4464">
        <v>-0.99957419999999997</v>
      </c>
      <c r="P4464">
        <v>-3.8890979999999999E-2</v>
      </c>
      <c r="Q4464">
        <v>-8.3132150000000002E-2</v>
      </c>
      <c r="R4464">
        <v>-0.99577950000000004</v>
      </c>
      <c r="S4464">
        <v>-0.25856020000000002</v>
      </c>
      <c r="T4464">
        <v>-0.15073120000000001</v>
      </c>
      <c r="U4464">
        <v>-2.9900669999999998</v>
      </c>
      <c r="V4464">
        <v>1.3697590000000001E-2</v>
      </c>
      <c r="W4464">
        <v>-6.8759139999999996E-2</v>
      </c>
      <c r="X4464">
        <v>0.99753919999999996</v>
      </c>
      <c r="Y4464">
        <v>6.0752540000000001E-2</v>
      </c>
      <c r="Z4464">
        <v>3.5814390000000002E-2</v>
      </c>
      <c r="AA4464">
        <v>0.99751009999999996</v>
      </c>
      <c r="AB4464">
        <v>21</v>
      </c>
      <c r="AC4464">
        <v>-1.9207000000000101</v>
      </c>
      <c r="AD4464">
        <v>-1.1216421076899901</v>
      </c>
      <c r="AE4464">
        <v>-22.087199999999999</v>
      </c>
      <c r="AF4464">
        <v>1.3559903286267301</v>
      </c>
      <c r="AG4464">
        <v>-1.1216421076899901</v>
      </c>
      <c r="AH4464">
        <v>22.072341240666599</v>
      </c>
      <c r="AI4464">
        <v>92.903611625675794</v>
      </c>
      <c r="AJ4464">
        <v>86.484514156103501</v>
      </c>
      <c r="AK4464">
        <v>22.142381051583101</v>
      </c>
      <c r="AL4464">
        <v>93.942719640662403</v>
      </c>
      <c r="AM4464">
        <v>89.213299310639201</v>
      </c>
      <c r="AN4464">
        <v>0.99999994942099202</v>
      </c>
    </row>
    <row r="4465" spans="1:40" x14ac:dyDescent="0.25">
      <c r="A4465" t="str">
        <f>"20190303154858209"</f>
        <v>20190303154858209</v>
      </c>
      <c r="B4465" t="str">
        <f>"1551599338205354"</f>
        <v>1551599338205354</v>
      </c>
      <c r="C4465" t="s">
        <v>40</v>
      </c>
      <c r="D4465">
        <v>5.2339460000000004</v>
      </c>
      <c r="E4465">
        <v>0.51682669999999997</v>
      </c>
      <c r="F4465" t="s">
        <v>59</v>
      </c>
      <c r="G4465">
        <v>-193.82589999999999</v>
      </c>
      <c r="H4465" s="1">
        <v>-1.308172E-5</v>
      </c>
      <c r="I4465">
        <v>154.2433</v>
      </c>
      <c r="J4465">
        <v>-191.93020000000001</v>
      </c>
      <c r="K4465">
        <v>1.121618</v>
      </c>
      <c r="L4465">
        <v>176.30940000000001</v>
      </c>
      <c r="M4465">
        <v>-2.4808750000000001E-2</v>
      </c>
      <c r="N4465">
        <v>-1.439445E-2</v>
      </c>
      <c r="O4465">
        <v>-0.9995887</v>
      </c>
      <c r="P4465">
        <v>-3.835011E-2</v>
      </c>
      <c r="Q4465">
        <v>-8.2983070000000006E-2</v>
      </c>
      <c r="R4465">
        <v>-0.9958129</v>
      </c>
      <c r="S4465">
        <v>-0.25584410000000002</v>
      </c>
      <c r="T4465">
        <v>-0.1511931</v>
      </c>
      <c r="U4465">
        <v>-2.9901119999999999</v>
      </c>
      <c r="V4465">
        <v>1.3722669999999999E-2</v>
      </c>
      <c r="W4465">
        <v>-6.8612729999999997E-2</v>
      </c>
      <c r="X4465">
        <v>0.99754900000000002</v>
      </c>
      <c r="Y4465">
        <v>6.0421330000000002E-2</v>
      </c>
      <c r="Z4465">
        <v>3.5972579999999997E-2</v>
      </c>
      <c r="AA4465">
        <v>0.99752459999999998</v>
      </c>
      <c r="AB4465">
        <v>21</v>
      </c>
      <c r="AC4465">
        <v>-1.89569999999997</v>
      </c>
      <c r="AD4465">
        <v>-1.1216310817199999</v>
      </c>
      <c r="AE4465">
        <v>-22.066099999999999</v>
      </c>
      <c r="AF4465">
        <v>1.3441798306469299</v>
      </c>
      <c r="AG4465">
        <v>-1.1216310817199999</v>
      </c>
      <c r="AH4465">
        <v>22.049788269910199</v>
      </c>
      <c r="AI4465">
        <v>92.906631526344697</v>
      </c>
      <c r="AJ4465">
        <v>86.511502112921605</v>
      </c>
      <c r="AK4465">
        <v>22.119178069007599</v>
      </c>
      <c r="AL4465">
        <v>93.934310856867</v>
      </c>
      <c r="AM4465">
        <v>89.211866801490103</v>
      </c>
      <c r="AN4465">
        <v>1.00000001289549</v>
      </c>
    </row>
    <row r="4466" spans="1:40" x14ac:dyDescent="0.25">
      <c r="A4466" t="str">
        <f>"20190303154858220"</f>
        <v>20190303154858220</v>
      </c>
      <c r="B4466" t="str">
        <f>"1551599338215114"</f>
        <v>1551599338215114</v>
      </c>
      <c r="C4466" t="s">
        <v>40</v>
      </c>
      <c r="D4466">
        <v>5.2463170000000003</v>
      </c>
      <c r="E4466">
        <v>0.51654359999999999</v>
      </c>
      <c r="F4466" t="s">
        <v>59</v>
      </c>
      <c r="G4466">
        <v>-193.7517</v>
      </c>
      <c r="H4466" s="1">
        <v>-1.312921E-5</v>
      </c>
      <c r="I4466">
        <v>154.4581</v>
      </c>
      <c r="J4466">
        <v>-191.9324</v>
      </c>
      <c r="K4466">
        <v>1.121604</v>
      </c>
      <c r="L4466">
        <v>176.19290000000001</v>
      </c>
      <c r="M4466">
        <v>-2.4244640000000001E-2</v>
      </c>
      <c r="N4466">
        <v>-1.439197E-2</v>
      </c>
      <c r="O4466">
        <v>-0.9996024</v>
      </c>
      <c r="P4466">
        <v>-3.7877679999999997E-2</v>
      </c>
      <c r="Q4466">
        <v>-8.2791470000000006E-2</v>
      </c>
      <c r="R4466">
        <v>-0.99584689999999998</v>
      </c>
      <c r="S4466">
        <v>-0.24926760000000001</v>
      </c>
      <c r="T4466">
        <v>-0.15348879999999901</v>
      </c>
      <c r="U4466">
        <v>-2.9902190000000002</v>
      </c>
      <c r="V4466">
        <v>1.380931E-2</v>
      </c>
      <c r="W4466">
        <v>-6.842376E-2</v>
      </c>
      <c r="X4466">
        <v>0.99756080000000003</v>
      </c>
      <c r="Y4466">
        <v>5.8801279999999997E-2</v>
      </c>
      <c r="Z4466">
        <v>3.6743570000000003E-2</v>
      </c>
      <c r="AA4466">
        <v>0.99759330000000002</v>
      </c>
      <c r="AB4466">
        <v>21</v>
      </c>
      <c r="AC4466">
        <v>-1.8192999999999899</v>
      </c>
      <c r="AD4466">
        <v>-1.1216171292099999</v>
      </c>
      <c r="AE4466">
        <v>-21.7348</v>
      </c>
      <c r="AF4466">
        <v>1.28835104212996</v>
      </c>
      <c r="AG4466">
        <v>-1.1216171292099999</v>
      </c>
      <c r="AH4466">
        <v>21.715096837638999</v>
      </c>
      <c r="AI4466">
        <v>92.951603779413503</v>
      </c>
      <c r="AJ4466">
        <v>86.604636498560893</v>
      </c>
      <c r="AK4466">
        <v>21.782178588477699</v>
      </c>
      <c r="AL4466">
        <v>93.923458105596794</v>
      </c>
      <c r="AM4466">
        <v>89.206900826084095</v>
      </c>
      <c r="AN4466">
        <v>1.0000000288359201</v>
      </c>
    </row>
    <row r="4467" spans="1:40" x14ac:dyDescent="0.25">
      <c r="A4467" t="str">
        <f>"20190303154858232"</f>
        <v>20190303154858232</v>
      </c>
      <c r="B4467" t="str">
        <f>"1551599338225138"</f>
        <v>1551599338225138</v>
      </c>
      <c r="C4467" t="s">
        <v>40</v>
      </c>
      <c r="D4467">
        <v>5.2552899999999996</v>
      </c>
      <c r="E4467">
        <v>0.5163219</v>
      </c>
      <c r="F4467" t="s">
        <v>59</v>
      </c>
      <c r="G4467">
        <v>-193.71510000000001</v>
      </c>
      <c r="H4467" s="1">
        <v>-1.313233E-5</v>
      </c>
      <c r="I4467">
        <v>154.48349999999999</v>
      </c>
      <c r="J4467">
        <v>-191.93450000000001</v>
      </c>
      <c r="K4467">
        <v>1.1215949999999999</v>
      </c>
      <c r="L4467">
        <v>176.0812</v>
      </c>
      <c r="M4467">
        <v>-2.372177E-2</v>
      </c>
      <c r="N4467">
        <v>-1.438943E-2</v>
      </c>
      <c r="O4467">
        <v>-0.99961500000000003</v>
      </c>
      <c r="P4467">
        <v>-3.689796E-2</v>
      </c>
      <c r="Q4467">
        <v>-8.2750660000000004E-2</v>
      </c>
      <c r="R4467">
        <v>-0.99588710000000003</v>
      </c>
      <c r="S4467">
        <v>-0.2455444</v>
      </c>
      <c r="T4467">
        <v>-0.1544944</v>
      </c>
      <c r="U4467">
        <v>-2.9903110000000002</v>
      </c>
      <c r="V4467">
        <v>1.334749E-2</v>
      </c>
      <c r="W4467">
        <v>-6.8386440000000007E-2</v>
      </c>
      <c r="X4467">
        <v>0.99756959999999995</v>
      </c>
      <c r="Y4467">
        <v>5.8086449999999998E-2</v>
      </c>
      <c r="Z4467">
        <v>3.7082869999999997E-2</v>
      </c>
      <c r="AA4467">
        <v>0.99762260000000003</v>
      </c>
      <c r="AB4467">
        <v>21</v>
      </c>
      <c r="AC4467">
        <v>-1.78059999999999</v>
      </c>
      <c r="AD4467">
        <v>-1.12160813233</v>
      </c>
      <c r="AE4467">
        <v>-21.5977</v>
      </c>
      <c r="AF4467">
        <v>1.2643233408422301</v>
      </c>
      <c r="AG4467">
        <v>-1.12160813233</v>
      </c>
      <c r="AH4467">
        <v>21.576068502642901</v>
      </c>
      <c r="AI4467">
        <v>92.970692526077002</v>
      </c>
      <c r="AJ4467">
        <v>86.646393334846394</v>
      </c>
      <c r="AK4467">
        <v>21.6421637167693</v>
      </c>
      <c r="AL4467">
        <v>93.921314983817894</v>
      </c>
      <c r="AM4467">
        <v>89.233427710364893</v>
      </c>
      <c r="AN4467">
        <v>0.99999998375466603</v>
      </c>
    </row>
    <row r="4468" spans="1:40" x14ac:dyDescent="0.25">
      <c r="A4468" t="str">
        <f>"20190303154858245"</f>
        <v>20190303154858245</v>
      </c>
      <c r="B4468" t="str">
        <f>"1551599338234897"</f>
        <v>1551599338234897</v>
      </c>
      <c r="C4468" t="s">
        <v>40</v>
      </c>
      <c r="D4468">
        <v>5.2869359999999999</v>
      </c>
      <c r="E4468">
        <v>0.51608229999999999</v>
      </c>
      <c r="F4468" t="s">
        <v>59</v>
      </c>
      <c r="G4468">
        <v>-193.6686</v>
      </c>
      <c r="H4468" s="1">
        <v>-1.3144889999999999E-5</v>
      </c>
      <c r="I4468">
        <v>154.5498</v>
      </c>
      <c r="J4468">
        <v>-191.9365</v>
      </c>
      <c r="K4468">
        <v>1.12158</v>
      </c>
      <c r="L4468">
        <v>175.97399999999999</v>
      </c>
      <c r="M4468">
        <v>-2.322712E-2</v>
      </c>
      <c r="N4468">
        <v>-1.4386950000000001E-2</v>
      </c>
      <c r="O4468">
        <v>-0.99962689999999998</v>
      </c>
      <c r="P4468">
        <v>-3.6388740000000003E-2</v>
      </c>
      <c r="Q4468">
        <v>-8.2589709999999997E-2</v>
      </c>
      <c r="R4468">
        <v>-0.99591940000000001</v>
      </c>
      <c r="S4468">
        <v>-0.24084469999999999</v>
      </c>
      <c r="T4468">
        <v>-0.15578110000000001</v>
      </c>
      <c r="U4468">
        <v>-2.9905240000000002</v>
      </c>
      <c r="V4468">
        <v>1.332798E-2</v>
      </c>
      <c r="W4468">
        <v>-6.822831E-2</v>
      </c>
      <c r="X4468">
        <v>0.99758069999999999</v>
      </c>
      <c r="Y4468">
        <v>5.7016160000000003E-2</v>
      </c>
      <c r="Z4468">
        <v>3.7514499999999999E-2</v>
      </c>
      <c r="AA4468">
        <v>0.99766820000000001</v>
      </c>
      <c r="AB4468">
        <v>21</v>
      </c>
      <c r="AC4468">
        <v>-1.7321</v>
      </c>
      <c r="AD4468">
        <v>-1.1215931448899901</v>
      </c>
      <c r="AE4468">
        <v>-21.424199999999999</v>
      </c>
      <c r="AF4468">
        <v>1.23060791546307</v>
      </c>
      <c r="AG4468">
        <v>-1.1215931448899901</v>
      </c>
      <c r="AH4468">
        <v>21.4003835633515</v>
      </c>
      <c r="AI4468">
        <v>92.995185344371905</v>
      </c>
      <c r="AJ4468">
        <v>86.708887194868595</v>
      </c>
      <c r="AK4468">
        <v>21.465059601194401</v>
      </c>
      <c r="AL4468">
        <v>93.912233546104204</v>
      </c>
      <c r="AM4468">
        <v>89.234556590270998</v>
      </c>
      <c r="AN4468">
        <v>0.99999999517441296</v>
      </c>
    </row>
    <row r="4469" spans="1:40" x14ac:dyDescent="0.25">
      <c r="A4469" t="str">
        <f>"20190303154858265"</f>
        <v>20190303154858265</v>
      </c>
      <c r="B4469" t="str">
        <f>"1551599338255393"</f>
        <v>1551599338255393</v>
      </c>
      <c r="C4469" t="s">
        <v>40</v>
      </c>
      <c r="D4469">
        <v>5.2914059999999896</v>
      </c>
      <c r="E4469">
        <v>0.51585170000000002</v>
      </c>
      <c r="F4469" t="s">
        <v>59</v>
      </c>
      <c r="G4469">
        <v>-193.63200000000001</v>
      </c>
      <c r="H4469" s="1">
        <v>-1.3159680000000001E-5</v>
      </c>
      <c r="I4469">
        <v>154.61930000000001</v>
      </c>
      <c r="J4469">
        <v>-191.93969999999999</v>
      </c>
      <c r="K4469">
        <v>1.1215569999999999</v>
      </c>
      <c r="L4469">
        <v>175.79499999999999</v>
      </c>
      <c r="M4469">
        <v>-2.2428480000000001E-2</v>
      </c>
      <c r="N4469">
        <v>-1.438268E-2</v>
      </c>
      <c r="O4469">
        <v>-0.99964520000000001</v>
      </c>
      <c r="P4469">
        <v>-3.507805E-2</v>
      </c>
      <c r="Q4469">
        <v>-8.2721050000000004E-2</v>
      </c>
      <c r="R4469">
        <v>-0.99595560000000005</v>
      </c>
      <c r="S4469">
        <v>-0.23744199999999999</v>
      </c>
      <c r="T4469">
        <v>-0.1570714</v>
      </c>
      <c r="U4469">
        <v>-2.99057</v>
      </c>
      <c r="V4469">
        <v>1.280864E-2</v>
      </c>
      <c r="W4469">
        <v>-6.8365419999999996E-2</v>
      </c>
      <c r="X4469">
        <v>0.99757810000000002</v>
      </c>
      <c r="Y4469">
        <v>5.6683310000000001E-2</v>
      </c>
      <c r="Z4469">
        <v>3.7950329999999997E-2</v>
      </c>
      <c r="AA4469">
        <v>0.99767070000000002</v>
      </c>
      <c r="AB4469">
        <v>21</v>
      </c>
      <c r="AC4469">
        <v>-1.6923000000000099</v>
      </c>
      <c r="AD4469">
        <v>-1.1215701596799901</v>
      </c>
      <c r="AE4469">
        <v>-21.1756999999999</v>
      </c>
      <c r="AF4469">
        <v>1.2135037971181899</v>
      </c>
      <c r="AG4469">
        <v>-1.1215701596799901</v>
      </c>
      <c r="AH4469">
        <v>21.149378227296001</v>
      </c>
      <c r="AI4469">
        <v>93.030626836145501</v>
      </c>
      <c r="AJ4469">
        <v>86.716097526381503</v>
      </c>
      <c r="AK4469">
        <v>21.213832998539601</v>
      </c>
      <c r="AL4469">
        <v>93.920107820885704</v>
      </c>
      <c r="AM4469">
        <v>89.264377708002797</v>
      </c>
      <c r="AN4469">
        <v>0.999999978755017</v>
      </c>
    </row>
    <row r="4470" spans="1:40" x14ac:dyDescent="0.25">
      <c r="A4470" t="str">
        <f>"20190303154858287"</f>
        <v>20190303154858287</v>
      </c>
      <c r="B4470" t="str">
        <f>"1551599338274913"</f>
        <v>1551599338274913</v>
      </c>
      <c r="C4470" t="s">
        <v>40</v>
      </c>
      <c r="D4470">
        <v>5.3148689999999998</v>
      </c>
      <c r="E4470">
        <v>0.51572659999999904</v>
      </c>
      <c r="F4470" t="s">
        <v>59</v>
      </c>
      <c r="G4470">
        <v>-193.56880000000001</v>
      </c>
      <c r="H4470" s="1">
        <v>-1.320505E-5</v>
      </c>
      <c r="I4470">
        <v>154.73820000000001</v>
      </c>
      <c r="J4470">
        <v>-191.94319999999999</v>
      </c>
      <c r="K4470">
        <v>1.1215250000000001</v>
      </c>
      <c r="L4470">
        <v>175.5932</v>
      </c>
      <c r="M4470">
        <v>-2.1572210000000001E-2</v>
      </c>
      <c r="N4470">
        <v>-1.4377849999999999E-2</v>
      </c>
      <c r="O4470">
        <v>-0.99966410000000006</v>
      </c>
      <c r="P4470">
        <v>-3.3645870000000001E-2</v>
      </c>
      <c r="Q4470">
        <v>-8.2930799999999999E-2</v>
      </c>
      <c r="R4470">
        <v>-0.99598759999999997</v>
      </c>
      <c r="S4470">
        <v>-0.23138429999999999</v>
      </c>
      <c r="T4470">
        <v>-0.1593012</v>
      </c>
      <c r="U4470">
        <v>-2.9907840000000001</v>
      </c>
      <c r="V4470">
        <v>1.222467E-2</v>
      </c>
      <c r="W4470">
        <v>-6.8581740000000002E-2</v>
      </c>
      <c r="X4470">
        <v>0.99757059999999997</v>
      </c>
      <c r="Y4470">
        <v>5.5522460000000003E-2</v>
      </c>
      <c r="Z4470">
        <v>3.8698950000000003E-2</v>
      </c>
      <c r="AA4470">
        <v>0.99770720000000002</v>
      </c>
      <c r="AB4470">
        <v>21</v>
      </c>
      <c r="AC4470">
        <v>-1.6256000000000199</v>
      </c>
      <c r="AD4470">
        <v>-1.12153820505</v>
      </c>
      <c r="AE4470">
        <v>-20.854999999999901</v>
      </c>
      <c r="AF4470">
        <v>1.1719179819044101</v>
      </c>
      <c r="AG4470">
        <v>-1.12153820505</v>
      </c>
      <c r="AH4470">
        <v>20.8253527870536</v>
      </c>
      <c r="AI4470">
        <v>93.077795542958896</v>
      </c>
      <c r="AJ4470">
        <v>86.779156066872204</v>
      </c>
      <c r="AK4470">
        <v>20.888431209809301</v>
      </c>
      <c r="AL4470">
        <v>93.932531119850395</v>
      </c>
      <c r="AM4470">
        <v>89.2979073972311</v>
      </c>
      <c r="AN4470">
        <v>0.99999999980119803</v>
      </c>
    </row>
    <row r="4471" spans="1:40" x14ac:dyDescent="0.25">
      <c r="A4471" t="str">
        <f>"20190303154858308"</f>
        <v>20190303154858308</v>
      </c>
      <c r="B4471" t="str">
        <f>"1551599338305169"</f>
        <v>1551599338305169</v>
      </c>
      <c r="C4471" t="s">
        <v>40</v>
      </c>
      <c r="D4471">
        <v>5.3140839999999896</v>
      </c>
      <c r="E4471">
        <v>0.51572099999999998</v>
      </c>
      <c r="F4471" t="s">
        <v>59</v>
      </c>
      <c r="G4471">
        <v>-193.50800000000001</v>
      </c>
      <c r="H4471" s="1">
        <v>-1.32754E-5</v>
      </c>
      <c r="I4471">
        <v>154.91470000000001</v>
      </c>
      <c r="J4471">
        <v>-191.94630000000001</v>
      </c>
      <c r="K4471">
        <v>1.1214959999999901</v>
      </c>
      <c r="L4471">
        <v>175.40369999999999</v>
      </c>
      <c r="M4471">
        <v>-2.0809000000000001E-2</v>
      </c>
      <c r="N4471">
        <v>-1.437313E-2</v>
      </c>
      <c r="O4471">
        <v>-0.99968049999999997</v>
      </c>
      <c r="P4471">
        <v>-3.2415279999999998E-2</v>
      </c>
      <c r="Q4471">
        <v>-8.3037260000000002E-2</v>
      </c>
      <c r="R4471">
        <v>-0.99601969999999995</v>
      </c>
      <c r="S4471">
        <v>-0.2263336</v>
      </c>
      <c r="T4471">
        <v>-0.16222</v>
      </c>
      <c r="U4471">
        <v>-2.9909520000000001</v>
      </c>
      <c r="V4471">
        <v>1.174978E-2</v>
      </c>
      <c r="W4471">
        <v>-6.8694259999999993E-2</v>
      </c>
      <c r="X4471">
        <v>0.99756849999999997</v>
      </c>
      <c r="Y4471">
        <v>5.4602640000000001E-2</v>
      </c>
      <c r="Z4471">
        <v>3.9675990000000001E-2</v>
      </c>
      <c r="AA4471">
        <v>0.99771960000000004</v>
      </c>
      <c r="AB4471">
        <v>21</v>
      </c>
      <c r="AC4471">
        <v>-1.5616999999999699</v>
      </c>
      <c r="AD4471">
        <v>-1.12150927539999</v>
      </c>
      <c r="AE4471">
        <v>-20.488999999999901</v>
      </c>
      <c r="AF4471">
        <v>1.1315914375401099</v>
      </c>
      <c r="AG4471">
        <v>-1.12150927539999</v>
      </c>
      <c r="AH4471">
        <v>20.456127648103902</v>
      </c>
      <c r="AI4471">
        <v>93.133324403190301</v>
      </c>
      <c r="AJ4471">
        <v>86.833740873288505</v>
      </c>
      <c r="AK4471">
        <v>20.5180759476088</v>
      </c>
      <c r="AL4471">
        <v>93.938993535043394</v>
      </c>
      <c r="AM4471">
        <v>89.325177494142906</v>
      </c>
      <c r="AN4471">
        <v>0.99999993543961996</v>
      </c>
    </row>
    <row r="4472" spans="1:40" x14ac:dyDescent="0.25">
      <c r="A4472" t="str">
        <f>"20190303154858330"</f>
        <v>20190303154858330</v>
      </c>
      <c r="B4472" t="str">
        <f>"1551599338325665"</f>
        <v>1551599338325665</v>
      </c>
      <c r="C4472" t="s">
        <v>40</v>
      </c>
      <c r="D4472">
        <v>5.2864279999999999</v>
      </c>
      <c r="E4472">
        <v>0.51584459999999999</v>
      </c>
      <c r="F4472" t="s">
        <v>59</v>
      </c>
      <c r="G4472">
        <v>-193.4554</v>
      </c>
      <c r="H4472" s="1">
        <v>-1.336171E-5</v>
      </c>
      <c r="I4472">
        <v>155.1268</v>
      </c>
      <c r="J4472">
        <v>-191.94970000000001</v>
      </c>
      <c r="K4472">
        <v>1.121459</v>
      </c>
      <c r="L4472">
        <v>175.19749999999999</v>
      </c>
      <c r="M4472">
        <v>-2.0026019999999999E-2</v>
      </c>
      <c r="N4472">
        <v>-1.4367960000000001E-2</v>
      </c>
      <c r="O4472">
        <v>-0.99969640000000004</v>
      </c>
      <c r="P4472">
        <v>-3.140449E-2</v>
      </c>
      <c r="Q4472">
        <v>-8.3184220000000003E-2</v>
      </c>
      <c r="R4472">
        <v>-0.99603960000000002</v>
      </c>
      <c r="S4472">
        <v>-0.22259519999999999</v>
      </c>
      <c r="T4472">
        <v>-0.1654282</v>
      </c>
      <c r="U4472">
        <v>-2.9909520000000001</v>
      </c>
      <c r="V4472">
        <v>1.151436E-2</v>
      </c>
      <c r="W4472">
        <v>-6.8847580000000005E-2</v>
      </c>
      <c r="X4472">
        <v>0.99756069999999997</v>
      </c>
      <c r="Y4472">
        <v>5.4141219999999997E-2</v>
      </c>
      <c r="Z4472">
        <v>4.0751009999999997E-2</v>
      </c>
      <c r="AA4472">
        <v>0.99770139999999996</v>
      </c>
      <c r="AB4472">
        <v>20</v>
      </c>
      <c r="AC4472">
        <v>-1.50569999999999</v>
      </c>
      <c r="AD4472">
        <v>-1.12147236171</v>
      </c>
      <c r="AE4472">
        <v>-20.070699999999899</v>
      </c>
      <c r="AF4472">
        <v>1.10000517688762</v>
      </c>
      <c r="AG4472">
        <v>-1.12147236171</v>
      </c>
      <c r="AH4472">
        <v>20.0346296443185</v>
      </c>
      <c r="AI4472">
        <v>93.199076572871405</v>
      </c>
      <c r="AJ4472">
        <v>86.857319673903206</v>
      </c>
      <c r="AK4472">
        <v>20.096121432561599</v>
      </c>
      <c r="AL4472">
        <v>93.9477988746048</v>
      </c>
      <c r="AM4472">
        <v>89.338691935381902</v>
      </c>
      <c r="AN4472">
        <v>0.999999959971277</v>
      </c>
    </row>
    <row r="4473" spans="1:40" x14ac:dyDescent="0.25">
      <c r="A4473" t="str">
        <f>"20190303154858342"</f>
        <v>20190303154858342</v>
      </c>
      <c r="B4473" t="str">
        <f>"1551599338335425"</f>
        <v>1551599338335425</v>
      </c>
      <c r="C4473" t="s">
        <v>40</v>
      </c>
      <c r="D4473">
        <v>5.3017079999999996</v>
      </c>
      <c r="E4473">
        <v>0.51587919999999998</v>
      </c>
      <c r="F4473" t="s">
        <v>59</v>
      </c>
      <c r="G4473">
        <v>-193.42869999999999</v>
      </c>
      <c r="H4473" s="1">
        <v>-1.3363580000000001E-5</v>
      </c>
      <c r="I4473">
        <v>155.13659999999999</v>
      </c>
      <c r="J4473">
        <v>-191.95140000000001</v>
      </c>
      <c r="K4473">
        <v>1.1214409999999999</v>
      </c>
      <c r="L4473">
        <v>175.08510000000001</v>
      </c>
      <c r="M4473">
        <v>-1.961721E-2</v>
      </c>
      <c r="N4473">
        <v>-1.436509E-2</v>
      </c>
      <c r="O4473">
        <v>-0.99970440000000005</v>
      </c>
      <c r="P4473">
        <v>-3.1303360000000002E-2</v>
      </c>
      <c r="Q4473">
        <v>-8.3290980000000001E-2</v>
      </c>
      <c r="R4473">
        <v>-0.99603370000000002</v>
      </c>
      <c r="S4473">
        <v>-0.22051999999999999</v>
      </c>
      <c r="T4473">
        <v>-0.1672071</v>
      </c>
      <c r="U4473">
        <v>-2.9909970000000001</v>
      </c>
      <c r="V4473">
        <v>1.1818169999999999E-2</v>
      </c>
      <c r="W4473">
        <v>-6.8957589999999999E-2</v>
      </c>
      <c r="X4473">
        <v>0.99754960000000004</v>
      </c>
      <c r="Y4473">
        <v>5.3858099999999999E-2</v>
      </c>
      <c r="Z4473">
        <v>4.1346260000000003E-2</v>
      </c>
      <c r="AA4473">
        <v>0.99769220000000003</v>
      </c>
      <c r="AB4473">
        <v>20</v>
      </c>
      <c r="AC4473">
        <v>-1.4772999999999801</v>
      </c>
      <c r="AD4473">
        <v>-1.1214543635799901</v>
      </c>
      <c r="AE4473">
        <v>-19.948499999999999</v>
      </c>
      <c r="AF4473">
        <v>1.0822397139040301</v>
      </c>
      <c r="AG4473">
        <v>-1.1214543635799901</v>
      </c>
      <c r="AH4473">
        <v>19.9110601064286</v>
      </c>
      <c r="AI4473">
        <v>93.218933598590596</v>
      </c>
      <c r="AJ4473">
        <v>86.888823999074404</v>
      </c>
      <c r="AK4473">
        <v>19.971960776292299</v>
      </c>
      <c r="AL4473">
        <v>93.954116795546497</v>
      </c>
      <c r="AM4473">
        <v>89.321237174183096</v>
      </c>
      <c r="AN4473">
        <v>1.0000000114104499</v>
      </c>
    </row>
    <row r="4474" spans="1:40" x14ac:dyDescent="0.25">
      <c r="A4474" t="str">
        <f>"20190303154858354"</f>
        <v>20190303154858354</v>
      </c>
      <c r="B4474" t="str">
        <f>"1551599338345185"</f>
        <v>1551599338345185</v>
      </c>
      <c r="C4474" t="s">
        <v>40</v>
      </c>
      <c r="D4474">
        <v>5.2834059999999896</v>
      </c>
      <c r="E4474">
        <v>0.51587190000000005</v>
      </c>
      <c r="F4474" t="s">
        <v>59</v>
      </c>
      <c r="G4474">
        <v>-193.42349999999999</v>
      </c>
      <c r="H4474" s="1">
        <v>-1.336033E-5</v>
      </c>
      <c r="I4474">
        <v>155.1302</v>
      </c>
      <c r="J4474">
        <v>-191.95310000000001</v>
      </c>
      <c r="K4474">
        <v>1.121424</v>
      </c>
      <c r="L4474">
        <v>174.9743</v>
      </c>
      <c r="M4474">
        <v>-1.923507E-2</v>
      </c>
      <c r="N4474">
        <v>-1.43623E-2</v>
      </c>
      <c r="O4474">
        <v>-0.99971200000000005</v>
      </c>
      <c r="P4474">
        <v>-3.109512E-2</v>
      </c>
      <c r="Q4474">
        <v>-8.3128750000000001E-2</v>
      </c>
      <c r="R4474">
        <v>-0.99605390000000005</v>
      </c>
      <c r="S4474">
        <v>-0.22064210000000001</v>
      </c>
      <c r="T4474">
        <v>-0.16809060000000001</v>
      </c>
      <c r="U4474">
        <v>-2.9909669999999999</v>
      </c>
      <c r="V4474">
        <v>1.198753E-2</v>
      </c>
      <c r="W4474">
        <v>-6.8798300000000007E-2</v>
      </c>
      <c r="X4474">
        <v>0.99755859999999996</v>
      </c>
      <c r="Y4474">
        <v>5.4279790000000001E-2</v>
      </c>
      <c r="Z4474">
        <v>4.1642819999999997E-2</v>
      </c>
      <c r="AA4474">
        <v>0.99765709999999996</v>
      </c>
      <c r="AB4474">
        <v>20</v>
      </c>
      <c r="AC4474">
        <v>-1.4703999999999799</v>
      </c>
      <c r="AD4474">
        <v>-1.1214373603299901</v>
      </c>
      <c r="AE4474">
        <v>-19.844100000000001</v>
      </c>
      <c r="AF4474">
        <v>1.0849399455376301</v>
      </c>
      <c r="AG4474">
        <v>-1.1214373603299901</v>
      </c>
      <c r="AH4474">
        <v>19.805806614326301</v>
      </c>
      <c r="AI4474">
        <v>93.235879982970701</v>
      </c>
      <c r="AJ4474">
        <v>86.864534966977203</v>
      </c>
      <c r="AK4474">
        <v>19.867176248341401</v>
      </c>
      <c r="AL4474">
        <v>93.944968336347898</v>
      </c>
      <c r="AM4474">
        <v>89.311517320559005</v>
      </c>
      <c r="AN4474">
        <v>1.0000000336961701</v>
      </c>
    </row>
    <row r="4475" spans="1:40" x14ac:dyDescent="0.25">
      <c r="A4475" t="str">
        <f>"20190303154858367"</f>
        <v>20190303154858367</v>
      </c>
      <c r="B4475" t="str">
        <f>"1551599338354946"</f>
        <v>1551599338354946</v>
      </c>
      <c r="C4475" t="s">
        <v>40</v>
      </c>
      <c r="D4475">
        <v>5.2880149999999997</v>
      </c>
      <c r="E4475">
        <v>0.51588400000000001</v>
      </c>
      <c r="F4475" t="s">
        <v>59</v>
      </c>
      <c r="G4475">
        <v>-193.41990000000001</v>
      </c>
      <c r="H4475" s="1">
        <v>-1.331379E-5</v>
      </c>
      <c r="I4475">
        <v>155.0224</v>
      </c>
      <c r="J4475">
        <v>-191.95480000000001</v>
      </c>
      <c r="K4475">
        <v>1.1214059999999999</v>
      </c>
      <c r="L4475">
        <v>174.86510000000001</v>
      </c>
      <c r="M4475">
        <v>-1.8870890000000001E-2</v>
      </c>
      <c r="N4475">
        <v>-1.4359480000000001E-2</v>
      </c>
      <c r="O4475">
        <v>-0.99971889999999997</v>
      </c>
      <c r="P4475">
        <v>-3.1070609999999999E-2</v>
      </c>
      <c r="Q4475">
        <v>-8.3131049999999998E-2</v>
      </c>
      <c r="R4475">
        <v>-0.99605440000000001</v>
      </c>
      <c r="S4475">
        <v>-0.2198792</v>
      </c>
      <c r="T4475">
        <v>-0.16811599999999999</v>
      </c>
      <c r="U4475">
        <v>-2.9910130000000001</v>
      </c>
      <c r="V4475">
        <v>1.2323239999999999E-2</v>
      </c>
      <c r="W4475">
        <v>-6.8803680000000006E-2</v>
      </c>
      <c r="X4475">
        <v>0.9975541</v>
      </c>
      <c r="Y4475">
        <v>5.4389229999999997E-2</v>
      </c>
      <c r="Z4475">
        <v>4.1653929999999999E-2</v>
      </c>
      <c r="AA4475">
        <v>0.99765060000000005</v>
      </c>
      <c r="AB4475">
        <v>20</v>
      </c>
      <c r="AC4475">
        <v>-1.4651000000000001</v>
      </c>
      <c r="AD4475">
        <v>-1.1214193137899999</v>
      </c>
      <c r="AE4475">
        <v>-19.842700000000001</v>
      </c>
      <c r="AF4475">
        <v>1.0868983420752001</v>
      </c>
      <c r="AG4475">
        <v>-1.1214193137899999</v>
      </c>
      <c r="AH4475">
        <v>19.803905800957502</v>
      </c>
      <c r="AI4475">
        <v>93.236119555782807</v>
      </c>
      <c r="AJ4475">
        <v>86.858585659241996</v>
      </c>
      <c r="AK4475">
        <v>19.8653873422228</v>
      </c>
      <c r="AL4475">
        <v>93.945277470626493</v>
      </c>
      <c r="AM4475">
        <v>89.292235149996799</v>
      </c>
      <c r="AN4475">
        <v>0.99999999552622498</v>
      </c>
    </row>
    <row r="4476" spans="1:40" x14ac:dyDescent="0.25">
      <c r="A4476" t="str">
        <f>"20190303154858379"</f>
        <v>20190303154858379</v>
      </c>
      <c r="B4476" t="str">
        <f>"1551599338375442"</f>
        <v>1551599338375442</v>
      </c>
      <c r="C4476" t="s">
        <v>40</v>
      </c>
      <c r="D4476">
        <v>5.2955740000000002</v>
      </c>
      <c r="E4476">
        <v>0.51599759999999995</v>
      </c>
      <c r="F4476" t="s">
        <v>59</v>
      </c>
      <c r="G4476">
        <v>-193.4196</v>
      </c>
      <c r="H4476" s="1">
        <v>-1.3279840000000001E-5</v>
      </c>
      <c r="I4476">
        <v>154.94329999999999</v>
      </c>
      <c r="J4476">
        <v>-191.95650000000001</v>
      </c>
      <c r="K4476">
        <v>1.1213919999999999</v>
      </c>
      <c r="L4476">
        <v>174.75409999999999</v>
      </c>
      <c r="M4476">
        <v>-1.8512540000000001E-2</v>
      </c>
      <c r="N4476">
        <v>-1.4356560000000001E-2</v>
      </c>
      <c r="O4476">
        <v>-0.9997258</v>
      </c>
      <c r="P4476">
        <v>-3.128326E-2</v>
      </c>
      <c r="Q4476">
        <v>-8.3379449999999994E-2</v>
      </c>
      <c r="R4476">
        <v>-0.99602710000000005</v>
      </c>
      <c r="S4476">
        <v>-0.21990970000000001</v>
      </c>
      <c r="T4476">
        <v>-0.16836509999999999</v>
      </c>
      <c r="U4476">
        <v>-2.9909669999999999</v>
      </c>
      <c r="V4476">
        <v>1.2890840000000001E-2</v>
      </c>
      <c r="W4476">
        <v>-6.9055450000000004E-2</v>
      </c>
      <c r="X4476">
        <v>0.99752949999999996</v>
      </c>
      <c r="Y4476">
        <v>5.475791E-2</v>
      </c>
      <c r="Z4476">
        <v>4.1740260000000001E-2</v>
      </c>
      <c r="AA4476">
        <v>0.99762680000000004</v>
      </c>
      <c r="AB4476">
        <v>20</v>
      </c>
      <c r="AC4476">
        <v>-1.4630999999999901</v>
      </c>
      <c r="AD4476">
        <v>-1.12140527984</v>
      </c>
      <c r="AE4476">
        <v>-19.8108</v>
      </c>
      <c r="AF4476">
        <v>1.0925814070429201</v>
      </c>
      <c r="AG4476">
        <v>-1.12140527984</v>
      </c>
      <c r="AH4476">
        <v>19.771484426365401</v>
      </c>
      <c r="AI4476">
        <v>93.241307348277402</v>
      </c>
      <c r="AJ4476">
        <v>86.837025622143997</v>
      </c>
      <c r="AK4476">
        <v>19.833377936062199</v>
      </c>
      <c r="AL4476">
        <v>93.959737337742098</v>
      </c>
      <c r="AM4476">
        <v>89.259621278230398</v>
      </c>
      <c r="AN4476">
        <v>0.99999996615042797</v>
      </c>
    </row>
    <row r="4477" spans="1:40" x14ac:dyDescent="0.25">
      <c r="A4477" t="str">
        <f>"20190303154858397"</f>
        <v>20190303154858397</v>
      </c>
      <c r="B4477" t="str">
        <f>"1551599338394962"</f>
        <v>1551599338394962</v>
      </c>
      <c r="C4477" t="s">
        <v>40</v>
      </c>
      <c r="D4477">
        <v>5.2464899999999997</v>
      </c>
      <c r="E4477">
        <v>0.5160941</v>
      </c>
      <c r="F4477" t="s">
        <v>59</v>
      </c>
      <c r="G4477">
        <v>-193.41669999999999</v>
      </c>
      <c r="H4477" s="1">
        <v>-1.331681E-5</v>
      </c>
      <c r="I4477">
        <v>155.0301</v>
      </c>
      <c r="J4477">
        <v>-191.95910000000001</v>
      </c>
      <c r="K4477">
        <v>1.1213649999999999</v>
      </c>
      <c r="L4477">
        <v>174.5805</v>
      </c>
      <c r="M4477">
        <v>-1.7986889999999998E-2</v>
      </c>
      <c r="N4477">
        <v>-1.435205E-2</v>
      </c>
      <c r="O4477">
        <v>-0.9997355</v>
      </c>
      <c r="P4477">
        <v>-3.1891059999999999E-2</v>
      </c>
      <c r="Q4477">
        <v>-8.3490099999999998E-2</v>
      </c>
      <c r="R4477">
        <v>-0.99599839999999995</v>
      </c>
      <c r="S4477">
        <v>-0.22142029999999999</v>
      </c>
      <c r="T4477">
        <v>-0.17004069999999999</v>
      </c>
      <c r="U4477">
        <v>-2.9907840000000001</v>
      </c>
      <c r="V4477">
        <v>1.401838E-2</v>
      </c>
      <c r="W4477">
        <v>-6.9170999999999996E-2</v>
      </c>
      <c r="X4477">
        <v>0.99750629999999996</v>
      </c>
      <c r="Y4477">
        <v>5.5786040000000002E-2</v>
      </c>
      <c r="Z4477">
        <v>4.230279E-2</v>
      </c>
      <c r="AA4477">
        <v>0.99754620000000005</v>
      </c>
      <c r="AB4477">
        <v>20</v>
      </c>
      <c r="AC4477">
        <v>-1.45759999999998</v>
      </c>
      <c r="AD4477">
        <v>-1.12137831681</v>
      </c>
      <c r="AE4477">
        <v>-19.5504</v>
      </c>
      <c r="AF4477">
        <v>1.10207138256987</v>
      </c>
      <c r="AG4477">
        <v>-1.12137831681</v>
      </c>
      <c r="AH4477">
        <v>19.5096254970057</v>
      </c>
      <c r="AI4477">
        <v>93.284414665969607</v>
      </c>
      <c r="AJ4477">
        <v>86.766877772821204</v>
      </c>
      <c r="AK4477">
        <v>19.572877603845299</v>
      </c>
      <c r="AL4477">
        <v>93.966373677570203</v>
      </c>
      <c r="AM4477">
        <v>89.194851060820397</v>
      </c>
      <c r="AN4477">
        <v>0.99999998037925597</v>
      </c>
    </row>
    <row r="4478" spans="1:40" x14ac:dyDescent="0.25">
      <c r="A4478" t="str">
        <f>"20190303154858410"</f>
        <v>20190303154858410</v>
      </c>
      <c r="B4478" t="str">
        <f>"1551599338405698"</f>
        <v>1551599338405698</v>
      </c>
      <c r="C4478" t="s">
        <v>40</v>
      </c>
      <c r="D4478">
        <v>5.2716940000000001</v>
      </c>
      <c r="E4478">
        <v>0.51618419999999998</v>
      </c>
      <c r="F4478" t="s">
        <v>59</v>
      </c>
      <c r="G4478">
        <v>-193.4289</v>
      </c>
      <c r="H4478" s="1">
        <v>-1.3291660000000001E-5</v>
      </c>
      <c r="I4478">
        <v>154.96899999999999</v>
      </c>
      <c r="J4478">
        <v>-191.9606</v>
      </c>
      <c r="K4478">
        <v>1.1213489999999999</v>
      </c>
      <c r="L4478">
        <v>174.47219999999999</v>
      </c>
      <c r="M4478">
        <v>-1.7679670000000001E-2</v>
      </c>
      <c r="N4478">
        <v>-1.4349229999999999E-2</v>
      </c>
      <c r="O4478">
        <v>-0.99974090000000004</v>
      </c>
      <c r="P4478">
        <v>-3.2314780000000001E-2</v>
      </c>
      <c r="Q4478">
        <v>-8.3843219999999996E-2</v>
      </c>
      <c r="R4478">
        <v>-0.99595520000000004</v>
      </c>
      <c r="S4478">
        <v>-0.22413640000000001</v>
      </c>
      <c r="T4478">
        <v>-0.170995799999999</v>
      </c>
      <c r="U4478">
        <v>-2.9905089999999999</v>
      </c>
      <c r="V4478">
        <v>1.474631E-2</v>
      </c>
      <c r="W4478">
        <v>-6.952759E-2</v>
      </c>
      <c r="X4478">
        <v>0.997471</v>
      </c>
      <c r="Y4478">
        <v>5.6998809999999997E-2</v>
      </c>
      <c r="Z4478">
        <v>4.2624629999999997E-2</v>
      </c>
      <c r="AA4478">
        <v>0.99746389999999996</v>
      </c>
      <c r="AB4478">
        <v>20</v>
      </c>
      <c r="AC4478">
        <v>-1.4682999999999899</v>
      </c>
      <c r="AD4478">
        <v>-1.1213622916599999</v>
      </c>
      <c r="AE4478">
        <v>-19.5032</v>
      </c>
      <c r="AF4478">
        <v>1.1195447129484899</v>
      </c>
      <c r="AG4478">
        <v>-1.1213622916599999</v>
      </c>
      <c r="AH4478">
        <v>19.4621369419236</v>
      </c>
      <c r="AI4478">
        <v>93.292170925906802</v>
      </c>
      <c r="AJ4478">
        <v>86.707731818183305</v>
      </c>
      <c r="AK4478">
        <v>19.526535998472301</v>
      </c>
      <c r="AL4478">
        <v>93.986854138817606</v>
      </c>
      <c r="AM4478">
        <v>89.153018201807697</v>
      </c>
      <c r="AN4478">
        <v>0.99999996763541099</v>
      </c>
    </row>
    <row r="4479" spans="1:40" x14ac:dyDescent="0.25">
      <c r="A4479" t="str">
        <f>"20190303154858423"</f>
        <v>20190303154858423</v>
      </c>
      <c r="B4479" t="str">
        <f>"1551599338415457"</f>
        <v>1551599338415457</v>
      </c>
      <c r="C4479" t="s">
        <v>40</v>
      </c>
      <c r="D4479">
        <v>5.3871039999999999</v>
      </c>
      <c r="E4479">
        <v>0.51618419999999998</v>
      </c>
      <c r="F4479" t="s">
        <v>59</v>
      </c>
      <c r="G4479">
        <v>-193.4298</v>
      </c>
      <c r="H4479" s="1">
        <v>-1.332335E-5</v>
      </c>
      <c r="I4479">
        <v>155.04259999999999</v>
      </c>
      <c r="J4479">
        <v>-191.9623</v>
      </c>
      <c r="K4479">
        <v>1.121337</v>
      </c>
      <c r="L4479">
        <v>174.35679999999999</v>
      </c>
      <c r="M4479">
        <v>-1.7361809999999998E-2</v>
      </c>
      <c r="N4479">
        <v>-1.434624E-2</v>
      </c>
      <c r="O4479">
        <v>-0.99974640000000004</v>
      </c>
      <c r="P4479">
        <v>-3.2674519999999999E-2</v>
      </c>
      <c r="Q4479">
        <v>-8.4056809999999996E-2</v>
      </c>
      <c r="R4479">
        <v>-0.99592539999999996</v>
      </c>
      <c r="S4479">
        <v>-0.22611999999999999</v>
      </c>
      <c r="T4479">
        <v>-0.17258370000000001</v>
      </c>
      <c r="U4479">
        <v>-2.9903110000000002</v>
      </c>
      <c r="V4479">
        <v>1.5420339999999999E-2</v>
      </c>
      <c r="W4479">
        <v>-6.9744769999999998E-2</v>
      </c>
      <c r="X4479">
        <v>0.99744569999999999</v>
      </c>
      <c r="Y4479">
        <v>5.7976640000000003E-2</v>
      </c>
      <c r="Z4479">
        <v>4.315621E-2</v>
      </c>
      <c r="AA4479">
        <v>0.99738470000000001</v>
      </c>
      <c r="AB4479">
        <v>20</v>
      </c>
      <c r="AC4479">
        <v>-1.4675</v>
      </c>
      <c r="AD4479">
        <v>-1.12135032335</v>
      </c>
      <c r="AE4479">
        <v>-19.3142</v>
      </c>
      <c r="AF4479">
        <v>1.1281339429378301</v>
      </c>
      <c r="AG4479">
        <v>-1.12135032335</v>
      </c>
      <c r="AH4479">
        <v>19.272180075089199</v>
      </c>
      <c r="AI4479">
        <v>93.324318211126496</v>
      </c>
      <c r="AJ4479">
        <v>86.649904851403704</v>
      </c>
      <c r="AK4479">
        <v>19.337710246757499</v>
      </c>
      <c r="AL4479">
        <v>93.999327698974398</v>
      </c>
      <c r="AM4479">
        <v>89.114287603060106</v>
      </c>
      <c r="AN4479">
        <v>1.0000000221382701</v>
      </c>
    </row>
    <row r="4480" spans="1:40" x14ac:dyDescent="0.25">
      <c r="A4480" t="str">
        <f>"20190303154858434"</f>
        <v>20190303154858434</v>
      </c>
      <c r="B4480" t="str">
        <f>"1551599338425218"</f>
        <v>1551599338425218</v>
      </c>
      <c r="C4480" t="s">
        <v>40</v>
      </c>
      <c r="D4480">
        <v>5.5592579999999998</v>
      </c>
      <c r="E4480">
        <v>0.51732049999999996</v>
      </c>
      <c r="F4480" t="s">
        <v>59</v>
      </c>
      <c r="G4480">
        <v>-193.43289999999999</v>
      </c>
      <c r="H4480" s="1">
        <v>-1.3305680000000001E-5</v>
      </c>
      <c r="I4480">
        <v>155.0008</v>
      </c>
      <c r="J4480">
        <v>-191.96379999999999</v>
      </c>
      <c r="K4480">
        <v>1.1213219999999999</v>
      </c>
      <c r="L4480">
        <v>174.24889999999999</v>
      </c>
      <c r="M4480">
        <v>-1.708202E-2</v>
      </c>
      <c r="N4480">
        <v>-1.4343379999999999E-2</v>
      </c>
      <c r="O4480">
        <v>-0.99975159999999996</v>
      </c>
      <c r="P4480">
        <v>-3.2941829999999998E-2</v>
      </c>
      <c r="Q4480">
        <v>-8.4005930000000006E-2</v>
      </c>
      <c r="R4480">
        <v>-0.9959211</v>
      </c>
      <c r="S4480">
        <v>-0.2271881</v>
      </c>
      <c r="T4480">
        <v>-0.173231</v>
      </c>
      <c r="U4480">
        <v>-2.9902039999999999</v>
      </c>
      <c r="V4480">
        <v>1.5963749999999999E-2</v>
      </c>
      <c r="W4480">
        <v>-6.969707E-2</v>
      </c>
      <c r="X4480">
        <v>0.99744049999999995</v>
      </c>
      <c r="Y4480">
        <v>5.8611799999999999E-2</v>
      </c>
      <c r="Z4480">
        <v>4.3374589999999998E-2</v>
      </c>
      <c r="AA4480">
        <v>0.99733810000000001</v>
      </c>
      <c r="AB4480">
        <v>20</v>
      </c>
      <c r="AC4480">
        <v>-1.4690999999999901</v>
      </c>
      <c r="AD4480">
        <v>-1.1213353056799999</v>
      </c>
      <c r="AE4480">
        <v>-19.248099999999901</v>
      </c>
      <c r="AF4480">
        <v>1.13622162034218</v>
      </c>
      <c r="AG4480">
        <v>-1.1213353056799999</v>
      </c>
      <c r="AH4480">
        <v>19.205584974948401</v>
      </c>
      <c r="AI4480">
        <v>93.3356528665323</v>
      </c>
      <c r="AJ4480">
        <v>86.614270729978202</v>
      </c>
      <c r="AK4480">
        <v>19.271815863282399</v>
      </c>
      <c r="AL4480">
        <v>93.996587964115406</v>
      </c>
      <c r="AM4480">
        <v>89.083075716695802</v>
      </c>
      <c r="AN4480">
        <v>1.00000003696044</v>
      </c>
    </row>
    <row r="4481" spans="1:40" x14ac:dyDescent="0.25">
      <c r="A4481" t="str">
        <f>"20190303154858453"</f>
        <v>20190303154858453</v>
      </c>
      <c r="B4481" t="str">
        <f>"1551599338445713"</f>
        <v>1551599338445713</v>
      </c>
      <c r="C4481" t="s">
        <v>40</v>
      </c>
      <c r="D4481">
        <v>5.4853389999999997</v>
      </c>
      <c r="E4481">
        <v>0.51860479999999998</v>
      </c>
      <c r="F4481" t="s">
        <v>59</v>
      </c>
      <c r="G4481">
        <v>-193.48390000000001</v>
      </c>
      <c r="H4481" s="1">
        <v>-1.334636E-5</v>
      </c>
      <c r="I4481">
        <v>155.08510000000001</v>
      </c>
      <c r="J4481">
        <v>-191.96610000000001</v>
      </c>
      <c r="K4481">
        <v>1.121305</v>
      </c>
      <c r="L4481">
        <v>174.08709999999999</v>
      </c>
      <c r="M4481">
        <v>-1.6682740000000001E-2</v>
      </c>
      <c r="N4481">
        <v>-1.433916E-2</v>
      </c>
      <c r="O4481">
        <v>-0.99975800000000004</v>
      </c>
      <c r="P4481">
        <v>-3.3395660000000001E-2</v>
      </c>
      <c r="Q4481">
        <v>-8.3161849999999995E-2</v>
      </c>
      <c r="R4481">
        <v>-0.99597630000000004</v>
      </c>
      <c r="S4481">
        <v>-0.23713680000000001</v>
      </c>
      <c r="T4481">
        <v>-0.17493649999999999</v>
      </c>
      <c r="U4481">
        <v>-2.9896850000000001</v>
      </c>
      <c r="V4481">
        <v>1.6810350000000002E-2</v>
      </c>
      <c r="W4481">
        <v>-6.8856890000000004E-2</v>
      </c>
      <c r="X4481">
        <v>0.99748490000000001</v>
      </c>
      <c r="Y4481">
        <v>6.2317959999999999E-2</v>
      </c>
      <c r="Z4481">
        <v>4.394207E-2</v>
      </c>
      <c r="AA4481">
        <v>0.99708859999999999</v>
      </c>
      <c r="AB4481">
        <v>20</v>
      </c>
      <c r="AC4481">
        <v>-1.51779999999999</v>
      </c>
      <c r="AD4481">
        <v>-1.1213183463600001</v>
      </c>
      <c r="AE4481">
        <v>-19.001999999999899</v>
      </c>
      <c r="AF4481">
        <v>1.1964109238240701</v>
      </c>
      <c r="AG4481">
        <v>-1.1213183463600001</v>
      </c>
      <c r="AH4481">
        <v>18.959077089703001</v>
      </c>
      <c r="AI4481">
        <v>93.378062897314194</v>
      </c>
      <c r="AJ4481">
        <v>86.389142786518207</v>
      </c>
      <c r="AK4481">
        <v>19.0298543879303</v>
      </c>
      <c r="AL4481">
        <v>93.948333438797604</v>
      </c>
      <c r="AM4481">
        <v>89.034500734195902</v>
      </c>
      <c r="AN4481">
        <v>0.99999999244780202</v>
      </c>
    </row>
    <row r="4482" spans="1:40" x14ac:dyDescent="0.25">
      <c r="A4482" t="str">
        <f>"20190303154858475"</f>
        <v>20190303154858475</v>
      </c>
      <c r="B4482" t="str">
        <f>"1551599338465233"</f>
        <v>1551599338465233</v>
      </c>
      <c r="C4482" t="s">
        <v>40</v>
      </c>
      <c r="D4482">
        <v>5.6015220000000001</v>
      </c>
      <c r="E4482">
        <v>0.59807589999999999</v>
      </c>
      <c r="F4482" t="s">
        <v>59</v>
      </c>
      <c r="G4482">
        <v>-193.59289999999999</v>
      </c>
      <c r="H4482" s="1">
        <v>-1.3131590000000001E-5</v>
      </c>
      <c r="I4482">
        <v>154.52359999999999</v>
      </c>
      <c r="J4482">
        <v>-191.96889999999999</v>
      </c>
      <c r="K4482">
        <v>1.1212899999999999</v>
      </c>
      <c r="L4482">
        <v>173.88310000000001</v>
      </c>
      <c r="M4482">
        <v>-1.6213290000000002E-2</v>
      </c>
      <c r="N4482">
        <v>-1.43339E-2</v>
      </c>
      <c r="O4482">
        <v>-0.99976609999999999</v>
      </c>
      <c r="P4482">
        <v>-3.3022450000000002E-2</v>
      </c>
      <c r="Q4482">
        <v>-8.20105E-2</v>
      </c>
      <c r="R4482">
        <v>-0.99608470000000005</v>
      </c>
      <c r="S4482">
        <v>-0.24858089999999999</v>
      </c>
      <c r="T4482">
        <v>-0.17134649999999901</v>
      </c>
      <c r="U4482">
        <v>-2.9894560000000001</v>
      </c>
      <c r="V4482">
        <v>1.6898880000000002E-2</v>
      </c>
      <c r="W4482">
        <v>-6.7710469999999995E-2</v>
      </c>
      <c r="X4482">
        <v>0.9975619</v>
      </c>
      <c r="Y4482">
        <v>6.6586709999999993E-2</v>
      </c>
      <c r="Z4482">
        <v>4.2743459999999997E-2</v>
      </c>
      <c r="AA4482">
        <v>0.99686470000000005</v>
      </c>
      <c r="AB4482">
        <v>20</v>
      </c>
      <c r="AC4482">
        <v>-1.6239999999999899</v>
      </c>
      <c r="AD4482">
        <v>-1.1213031315899999</v>
      </c>
      <c r="AE4482">
        <v>-19.359500000000001</v>
      </c>
      <c r="AF4482">
        <v>1.30552406651793</v>
      </c>
      <c r="AG4482">
        <v>-1.1213031315899999</v>
      </c>
      <c r="AH4482">
        <v>19.3189309138323</v>
      </c>
      <c r="AI4482">
        <v>93.314274067450199</v>
      </c>
      <c r="AJ4482">
        <v>86.133975245196197</v>
      </c>
      <c r="AK4482">
        <v>19.395432592612998</v>
      </c>
      <c r="AL4482">
        <v>93.882494659508197</v>
      </c>
      <c r="AM4482">
        <v>89.029491903776702</v>
      </c>
      <c r="AN4482">
        <v>1.0000000121122401</v>
      </c>
    </row>
    <row r="4483" spans="1:40" x14ac:dyDescent="0.25">
      <c r="A4483" t="str">
        <f>"20190303154858498"</f>
        <v>20190303154858498</v>
      </c>
      <c r="B4483" t="str">
        <f>"1551599338495490"</f>
        <v>1551599338495490</v>
      </c>
      <c r="C4483" t="s">
        <v>40</v>
      </c>
      <c r="D4483">
        <v>5.5220699999999896</v>
      </c>
      <c r="E4483">
        <v>0.59953959999999995</v>
      </c>
      <c r="F4483" t="s">
        <v>41</v>
      </c>
      <c r="G4483">
        <v>-194.9836</v>
      </c>
      <c r="H4483" s="1">
        <v>-3.299019E-6</v>
      </c>
      <c r="I4483">
        <v>163.7654</v>
      </c>
      <c r="J4483">
        <v>-191.9717</v>
      </c>
      <c r="K4483">
        <v>1.121273</v>
      </c>
      <c r="L4483">
        <v>173.6824</v>
      </c>
      <c r="M4483">
        <v>-1.578661E-2</v>
      </c>
      <c r="N4483">
        <v>-1.432874E-2</v>
      </c>
      <c r="O4483">
        <v>-0.99977269999999896</v>
      </c>
      <c r="P4483">
        <v>-3.2854080000000001E-2</v>
      </c>
      <c r="Q4483">
        <v>-8.1568489999999994E-2</v>
      </c>
      <c r="R4483">
        <v>-0.99612650000000003</v>
      </c>
      <c r="S4483">
        <v>-0.88067629999999997</v>
      </c>
      <c r="T4483">
        <v>-0.32755889999999999</v>
      </c>
      <c r="U4483">
        <v>-2.9556269999999998</v>
      </c>
      <c r="V4483">
        <v>1.715202E-2</v>
      </c>
      <c r="W4483">
        <v>-6.7273810000000003E-2</v>
      </c>
      <c r="X4483">
        <v>0.99758709999999995</v>
      </c>
      <c r="Y4483">
        <v>0.26896530000000002</v>
      </c>
      <c r="Z4483">
        <v>9.1607880000000003E-2</v>
      </c>
      <c r="AA4483">
        <v>0.95878339999999995</v>
      </c>
      <c r="AB4483">
        <v>20</v>
      </c>
      <c r="AC4483">
        <v>-3.01189999999999</v>
      </c>
      <c r="AD4483">
        <v>-1.1212762990189999</v>
      </c>
      <c r="AE4483">
        <v>-9.9169999999999998</v>
      </c>
      <c r="AF4483">
        <v>2.8219239806596499</v>
      </c>
      <c r="AG4483">
        <v>-1.1212762990189999</v>
      </c>
      <c r="AH4483">
        <v>9.8480516729761494</v>
      </c>
      <c r="AI4483">
        <v>96.246318835686907</v>
      </c>
      <c r="AJ4483">
        <v>74.010534175170903</v>
      </c>
      <c r="AK4483">
        <v>10.3055634123017</v>
      </c>
      <c r="AL4483">
        <v>93.857418793093899</v>
      </c>
      <c r="AM4483">
        <v>89.014981714023406</v>
      </c>
      <c r="AN4483">
        <v>0.99999998969420301</v>
      </c>
    </row>
    <row r="4484" spans="1:40" x14ac:dyDescent="0.25">
      <c r="A4484" t="str">
        <f>"20190303154858510"</f>
        <v>20190303154858510</v>
      </c>
      <c r="B4484" t="str">
        <f>"1551599338505250"</f>
        <v>1551599338505250</v>
      </c>
      <c r="C4484" t="s">
        <v>40</v>
      </c>
      <c r="D4484">
        <v>5.4773360000000002</v>
      </c>
      <c r="E4484">
        <v>0.60030030000000001</v>
      </c>
      <c r="F4484" t="s">
        <v>41</v>
      </c>
      <c r="G4484">
        <v>-195.01429999999999</v>
      </c>
      <c r="H4484" s="1">
        <v>-3.229379E-6</v>
      </c>
      <c r="I4484">
        <v>163.60079999999999</v>
      </c>
      <c r="J4484">
        <v>-191.97309999999999</v>
      </c>
      <c r="K4484">
        <v>1.121267</v>
      </c>
      <c r="L4484">
        <v>173.572</v>
      </c>
      <c r="M4484">
        <v>-1.556829E-2</v>
      </c>
      <c r="N4484">
        <v>-1.4325910000000001E-2</v>
      </c>
      <c r="O4484">
        <v>-0.99977649999999996</v>
      </c>
      <c r="P4484">
        <v>-3.2752499999999997E-2</v>
      </c>
      <c r="Q4484">
        <v>-8.1746940000000004E-2</v>
      </c>
      <c r="R4484">
        <v>-0.99611530000000004</v>
      </c>
      <c r="S4484">
        <v>-0.89193729999999904</v>
      </c>
      <c r="T4484">
        <v>-0.32869419999999999</v>
      </c>
      <c r="U4484">
        <v>-2.9553379999999998</v>
      </c>
      <c r="V4484">
        <v>1.7266940000000001E-2</v>
      </c>
      <c r="W4484">
        <v>-6.7455600000000004E-2</v>
      </c>
      <c r="X4484">
        <v>0.99757280000000004</v>
      </c>
      <c r="Y4484">
        <v>0.27254070000000002</v>
      </c>
      <c r="Z4484">
        <v>9.1873529999999995E-2</v>
      </c>
      <c r="AA4484">
        <v>0.95774780000000004</v>
      </c>
      <c r="AB4484">
        <v>20</v>
      </c>
      <c r="AC4484">
        <v>-3.0411999999999999</v>
      </c>
      <c r="AD4484">
        <v>-1.121270229379</v>
      </c>
      <c r="AE4484">
        <v>-9.9712000000000103</v>
      </c>
      <c r="AF4484">
        <v>2.85257943072172</v>
      </c>
      <c r="AG4484">
        <v>-1.121270229379</v>
      </c>
      <c r="AH4484">
        <v>9.9027771568031504</v>
      </c>
      <c r="AI4484">
        <v>96.209564250017294</v>
      </c>
      <c r="AJ4484">
        <v>73.930502841282404</v>
      </c>
      <c r="AK4484">
        <v>10.366265082138799</v>
      </c>
      <c r="AL4484">
        <v>93.867858467751304</v>
      </c>
      <c r="AM4484">
        <v>89.008369108951797</v>
      </c>
      <c r="AN4484">
        <v>0.99999994824408001</v>
      </c>
    </row>
    <row r="4485" spans="1:40" x14ac:dyDescent="0.25">
      <c r="A4485" t="str">
        <f>"20190303154858523"</f>
        <v>20190303154858523</v>
      </c>
      <c r="B4485" t="str">
        <f>"1551599338515009"</f>
        <v>1551599338515009</v>
      </c>
      <c r="C4485" t="s">
        <v>40</v>
      </c>
      <c r="D4485">
        <v>5.4531749999999999</v>
      </c>
      <c r="E4485">
        <v>0.60083769999999903</v>
      </c>
      <c r="F4485" t="s">
        <v>41</v>
      </c>
      <c r="G4485">
        <v>-195.0299</v>
      </c>
      <c r="H4485" s="1">
        <v>-3.1895009999999999E-6</v>
      </c>
      <c r="I4485">
        <v>163.5077</v>
      </c>
      <c r="J4485">
        <v>-191.97470000000001</v>
      </c>
      <c r="K4485">
        <v>1.121259</v>
      </c>
      <c r="L4485">
        <v>173.4554</v>
      </c>
      <c r="M4485">
        <v>-1.534432E-2</v>
      </c>
      <c r="N4485">
        <v>-1.4322949999999999E-2</v>
      </c>
      <c r="O4485">
        <v>-0.9997798</v>
      </c>
      <c r="P4485">
        <v>-3.2727529999999998E-2</v>
      </c>
      <c r="Q4485">
        <v>-8.1565260000000001E-2</v>
      </c>
      <c r="R4485">
        <v>-0.99613090000000004</v>
      </c>
      <c r="S4485">
        <v>-0.89755249999999998</v>
      </c>
      <c r="T4485">
        <v>-0.32923530000000001</v>
      </c>
      <c r="U4485">
        <v>-2.9551539999999998</v>
      </c>
      <c r="V4485">
        <v>1.746352E-2</v>
      </c>
      <c r="W4485">
        <v>-6.7277009999999998E-2</v>
      </c>
      <c r="X4485">
        <v>0.99758150000000001</v>
      </c>
      <c r="Y4485">
        <v>0.27443390000000001</v>
      </c>
      <c r="Z4485">
        <v>9.1998410000000003E-2</v>
      </c>
      <c r="AA4485">
        <v>0.95719500000000002</v>
      </c>
      <c r="AB4485">
        <v>20</v>
      </c>
      <c r="AC4485">
        <v>-3.0551999999999802</v>
      </c>
      <c r="AD4485">
        <v>-1.121262189501</v>
      </c>
      <c r="AE4485">
        <v>-9.9476999999999904</v>
      </c>
      <c r="AF4485">
        <v>2.8688770186182602</v>
      </c>
      <c r="AG4485">
        <v>-1.121262189501</v>
      </c>
      <c r="AH4485">
        <v>9.8787240734944799</v>
      </c>
      <c r="AI4485">
        <v>96.220646463890205</v>
      </c>
      <c r="AJ4485">
        <v>73.806191775434399</v>
      </c>
      <c r="AK4485">
        <v>10.347795589679899</v>
      </c>
      <c r="AL4485">
        <v>93.857602477952696</v>
      </c>
      <c r="AM4485">
        <v>88.997090665088507</v>
      </c>
      <c r="AN4485">
        <v>1.00000000987379</v>
      </c>
    </row>
    <row r="4486" spans="1:40" x14ac:dyDescent="0.25">
      <c r="A4486" t="str">
        <f>"20190303154858534"</f>
        <v>20190303154858534</v>
      </c>
      <c r="B4486" t="str">
        <f>"1551599338525745"</f>
        <v>1551599338525745</v>
      </c>
      <c r="C4486" t="s">
        <v>40</v>
      </c>
      <c r="D4486">
        <v>5.4443060000000001</v>
      </c>
      <c r="E4486">
        <v>0.60132209999999997</v>
      </c>
      <c r="F4486" t="s">
        <v>41</v>
      </c>
      <c r="G4486">
        <v>-195.0453</v>
      </c>
      <c r="H4486" s="1">
        <v>-3.1391569999999998E-6</v>
      </c>
      <c r="I4486">
        <v>163.39250000000001</v>
      </c>
      <c r="J4486">
        <v>-191.9761</v>
      </c>
      <c r="K4486">
        <v>1.1212519999999999</v>
      </c>
      <c r="L4486">
        <v>173.35</v>
      </c>
      <c r="M4486">
        <v>-1.51527E-2</v>
      </c>
      <c r="N4486">
        <v>-1.4320309999999999E-2</v>
      </c>
      <c r="O4486">
        <v>-0.99978270000000002</v>
      </c>
      <c r="P4486">
        <v>-3.2705320000000003E-2</v>
      </c>
      <c r="Q4486">
        <v>-8.1407930000000003E-2</v>
      </c>
      <c r="R4486">
        <v>-0.99614429999999998</v>
      </c>
      <c r="S4486">
        <v>-0.90171809999999997</v>
      </c>
      <c r="T4486">
        <v>-0.32926850000000002</v>
      </c>
      <c r="U4486">
        <v>-2.9550480000000001</v>
      </c>
      <c r="V4486">
        <v>1.7630839999999998E-2</v>
      </c>
      <c r="W4486">
        <v>-6.712245E-2</v>
      </c>
      <c r="X4486">
        <v>0.9975889</v>
      </c>
      <c r="Y4486">
        <v>0.27586179999999999</v>
      </c>
      <c r="Z4486">
        <v>9.1972219999999993E-2</v>
      </c>
      <c r="AA4486">
        <v>0.95678700000000005</v>
      </c>
      <c r="AB4486">
        <v>20</v>
      </c>
      <c r="AC4486">
        <v>-3.0691999999999902</v>
      </c>
      <c r="AD4486">
        <v>-1.121255139157</v>
      </c>
      <c r="AE4486">
        <v>-9.95749999999998</v>
      </c>
      <c r="AF4486">
        <v>2.8845473078572601</v>
      </c>
      <c r="AG4486">
        <v>-1.121255139157</v>
      </c>
      <c r="AH4486">
        <v>9.8883651215210193</v>
      </c>
      <c r="AI4486">
        <v>96.212437019396901</v>
      </c>
      <c r="AJ4486">
        <v>73.737441376244504</v>
      </c>
      <c r="AK4486">
        <v>10.3613508306043</v>
      </c>
      <c r="AL4486">
        <v>93.848727042349097</v>
      </c>
      <c r="AM4486">
        <v>88.987491175122102</v>
      </c>
      <c r="AN4486">
        <v>0.99999994160815697</v>
      </c>
    </row>
    <row r="4487" spans="1:40" x14ac:dyDescent="0.25">
      <c r="A4487" t="str">
        <f>"20190303154858553"</f>
        <v>20190303154858553</v>
      </c>
      <c r="B4487" t="str">
        <f>"1551599338545266"</f>
        <v>1551599338545266</v>
      </c>
      <c r="C4487" t="s">
        <v>40</v>
      </c>
      <c r="D4487">
        <v>5.4278079999999997</v>
      </c>
      <c r="E4487">
        <v>0.602159</v>
      </c>
      <c r="F4487" t="s">
        <v>41</v>
      </c>
      <c r="G4487">
        <v>-195.0727</v>
      </c>
      <c r="H4487" s="1">
        <v>-3.0757029999999999E-6</v>
      </c>
      <c r="I4487">
        <v>163.24289999999999</v>
      </c>
      <c r="J4487">
        <v>-191.97810000000001</v>
      </c>
      <c r="K4487">
        <v>1.121243</v>
      </c>
      <c r="L4487">
        <v>173.19149999999999</v>
      </c>
      <c r="M4487">
        <v>-1.48764E-2</v>
      </c>
      <c r="N4487">
        <v>-1.4316260000000001E-2</v>
      </c>
      <c r="O4487">
        <v>-0.99978719999999999</v>
      </c>
      <c r="P4487">
        <v>-3.2965260000000003E-2</v>
      </c>
      <c r="Q4487">
        <v>-8.1112959999999998E-2</v>
      </c>
      <c r="R4487">
        <v>-0.99616009999999999</v>
      </c>
      <c r="S4487">
        <v>-0.90538019999999997</v>
      </c>
      <c r="T4487">
        <v>-0.32783089999999998</v>
      </c>
      <c r="U4487">
        <v>-2.9550930000000002</v>
      </c>
      <c r="V4487">
        <v>1.8164050000000001E-2</v>
      </c>
      <c r="W4487">
        <v>-6.6831600000000005E-2</v>
      </c>
      <c r="X4487">
        <v>0.99759889999999996</v>
      </c>
      <c r="Y4487">
        <v>0.27722049999999998</v>
      </c>
      <c r="Z4487">
        <v>9.1476399999999999E-2</v>
      </c>
      <c r="AA4487">
        <v>0.95644180000000001</v>
      </c>
      <c r="AB4487">
        <v>20</v>
      </c>
      <c r="AC4487">
        <v>-3.0945999999999798</v>
      </c>
      <c r="AD4487">
        <v>-1.1212460757030001</v>
      </c>
      <c r="AE4487">
        <v>-9.9486000000000008</v>
      </c>
      <c r="AF4487">
        <v>2.9125115683772602</v>
      </c>
      <c r="AG4487">
        <v>-1.1212460757030001</v>
      </c>
      <c r="AH4487">
        <v>9.8791243463303502</v>
      </c>
      <c r="AI4487">
        <v>96.212984386210394</v>
      </c>
      <c r="AJ4487">
        <v>73.573705602775505</v>
      </c>
      <c r="AK4487">
        <v>10.360357824345</v>
      </c>
      <c r="AL4487">
        <v>93.832024911057303</v>
      </c>
      <c r="AM4487">
        <v>88.956886962409101</v>
      </c>
      <c r="AN4487">
        <v>0.99999998037608595</v>
      </c>
    </row>
    <row r="4488" spans="1:40" x14ac:dyDescent="0.25">
      <c r="A4488" t="str">
        <f>"20190303154858566"</f>
        <v>20190303154858566</v>
      </c>
      <c r="B4488" t="str">
        <f>"1551599338555025"</f>
        <v>1551599338555025</v>
      </c>
      <c r="C4488" t="s">
        <v>40</v>
      </c>
      <c r="D4488">
        <v>5.4474010000000002</v>
      </c>
      <c r="E4488">
        <v>0.60267469999999901</v>
      </c>
      <c r="F4488" t="s">
        <v>41</v>
      </c>
      <c r="G4488">
        <v>-195.11170000000001</v>
      </c>
      <c r="H4488" s="1">
        <v>-2.9938559999999999E-6</v>
      </c>
      <c r="I4488">
        <v>163.0478</v>
      </c>
      <c r="J4488">
        <v>-191.97970000000001</v>
      </c>
      <c r="K4488">
        <v>1.121237</v>
      </c>
      <c r="L4488">
        <v>173.07509999999999</v>
      </c>
      <c r="M4488">
        <v>-1.468238E-2</v>
      </c>
      <c r="N4488">
        <v>-1.4313269999999999E-2</v>
      </c>
      <c r="O4488">
        <v>-0.99978979999999995</v>
      </c>
      <c r="P4488">
        <v>-3.3009730000000001E-2</v>
      </c>
      <c r="Q4488">
        <v>-8.1123899999999999E-2</v>
      </c>
      <c r="R4488">
        <v>-0.99615750000000003</v>
      </c>
      <c r="S4488">
        <v>-0.91278079999999995</v>
      </c>
      <c r="T4488">
        <v>-0.32661069999999998</v>
      </c>
      <c r="U4488">
        <v>-2.9547880000000002</v>
      </c>
      <c r="V4488">
        <v>1.8400670000000001E-2</v>
      </c>
      <c r="W4488">
        <v>-6.6845890000000005E-2</v>
      </c>
      <c r="X4488">
        <v>0.99759359999999997</v>
      </c>
      <c r="Y4488">
        <v>0.27963300000000002</v>
      </c>
      <c r="Z4488">
        <v>9.1025460000000002E-2</v>
      </c>
      <c r="AA4488">
        <v>0.95578229999999997</v>
      </c>
      <c r="AB4488">
        <v>20</v>
      </c>
      <c r="AC4488">
        <v>-3.1320000000000001</v>
      </c>
      <c r="AD4488">
        <v>-1.121239993856</v>
      </c>
      <c r="AE4488">
        <v>-10.027299999999901</v>
      </c>
      <c r="AF4488">
        <v>2.9508069834817601</v>
      </c>
      <c r="AG4488">
        <v>-1.121239993856</v>
      </c>
      <c r="AH4488">
        <v>9.9587585144735797</v>
      </c>
      <c r="AI4488">
        <v>96.161180488074393</v>
      </c>
      <c r="AJ4488">
        <v>73.495301605494205</v>
      </c>
      <c r="AK4488">
        <v>10.4470719403662</v>
      </c>
      <c r="AL4488">
        <v>93.832845526432394</v>
      </c>
      <c r="AM4488">
        <v>88.943295954268507</v>
      </c>
      <c r="AN4488">
        <v>0.99999997421364994</v>
      </c>
    </row>
    <row r="4489" spans="1:40" x14ac:dyDescent="0.25">
      <c r="A4489" t="str">
        <f>"20190303154858579"</f>
        <v>20190303154858579</v>
      </c>
      <c r="B4489" t="str">
        <f>"1551599338575521"</f>
        <v>1551599338575521</v>
      </c>
      <c r="C4489" t="s">
        <v>40</v>
      </c>
      <c r="D4489">
        <v>5.4427699999999897</v>
      </c>
      <c r="E4489">
        <v>0.60341099999999903</v>
      </c>
      <c r="F4489" t="s">
        <v>41</v>
      </c>
      <c r="G4489">
        <v>-195.12280000000001</v>
      </c>
      <c r="H4489" s="1">
        <v>-2.9495069999999999E-6</v>
      </c>
      <c r="I4489">
        <v>162.9477</v>
      </c>
      <c r="J4489">
        <v>-191.9812</v>
      </c>
      <c r="K4489">
        <v>1.121232</v>
      </c>
      <c r="L4489">
        <v>172.9546</v>
      </c>
      <c r="M4489">
        <v>-1.448906E-2</v>
      </c>
      <c r="N4489">
        <v>-1.431022E-2</v>
      </c>
      <c r="O4489">
        <v>-0.99979289999999998</v>
      </c>
      <c r="P4489">
        <v>-3.3035910000000002E-2</v>
      </c>
      <c r="Q4489">
        <v>-8.1127350000000001E-2</v>
      </c>
      <c r="R4489">
        <v>-0.99615659999999895</v>
      </c>
      <c r="S4489">
        <v>-0.91699219999999904</v>
      </c>
      <c r="T4489">
        <v>-0.3271115</v>
      </c>
      <c r="U4489">
        <v>-2.9545590000000002</v>
      </c>
      <c r="V4489">
        <v>1.8618160000000002E-2</v>
      </c>
      <c r="W4489">
        <v>-6.6852739999999994E-2</v>
      </c>
      <c r="X4489">
        <v>0.99758910000000001</v>
      </c>
      <c r="Y4489">
        <v>0.28107749999999998</v>
      </c>
      <c r="Z4489">
        <v>9.1151979999999994E-2</v>
      </c>
      <c r="AA4489">
        <v>0.95534640000000004</v>
      </c>
      <c r="AB4489">
        <v>20</v>
      </c>
      <c r="AC4489">
        <v>-3.1416000000000102</v>
      </c>
      <c r="AD4489">
        <v>-1.121234949507</v>
      </c>
      <c r="AE4489">
        <v>-10.0069</v>
      </c>
      <c r="AF4489">
        <v>2.9624103496168201</v>
      </c>
      <c r="AG4489">
        <v>-1.121234949507</v>
      </c>
      <c r="AH4489">
        <v>9.9378036163208296</v>
      </c>
      <c r="AI4489">
        <v>96.171046287050899</v>
      </c>
      <c r="AJ4489">
        <v>73.400940262577393</v>
      </c>
      <c r="AK4489">
        <v>10.430387509966801</v>
      </c>
      <c r="AL4489">
        <v>93.833238904052806</v>
      </c>
      <c r="AM4489">
        <v>88.930804112952799</v>
      </c>
      <c r="AN4489">
        <v>0.99999996858305096</v>
      </c>
    </row>
    <row r="4490" spans="1:40" x14ac:dyDescent="0.25">
      <c r="A4490" t="str">
        <f>"20190303154858591"</f>
        <v>20190303154858591</v>
      </c>
      <c r="B4490" t="str">
        <f>"1551599338585281"</f>
        <v>1551599338585281</v>
      </c>
      <c r="C4490" t="s">
        <v>40</v>
      </c>
      <c r="D4490">
        <v>5.3981409999999999</v>
      </c>
      <c r="E4490">
        <v>0.60375889999999999</v>
      </c>
      <c r="F4490" t="s">
        <v>41</v>
      </c>
      <c r="G4490">
        <v>-195.1514</v>
      </c>
      <c r="H4490" s="1">
        <v>-2.8908470000000002E-6</v>
      </c>
      <c r="I4490">
        <v>162.8075</v>
      </c>
      <c r="J4490">
        <v>-191.98249999999999</v>
      </c>
      <c r="K4490">
        <v>1.1212260000000001</v>
      </c>
      <c r="L4490">
        <v>172.85550000000001</v>
      </c>
      <c r="M4490">
        <v>-1.434012E-2</v>
      </c>
      <c r="N4490">
        <v>-1.430771E-2</v>
      </c>
      <c r="O4490">
        <v>-0.99979479999999998</v>
      </c>
      <c r="P4490">
        <v>-3.3370469999999999E-2</v>
      </c>
      <c r="Q4490">
        <v>-8.0804819999999999E-2</v>
      </c>
      <c r="R4490">
        <v>-0.99617129999999998</v>
      </c>
      <c r="S4490">
        <v>-0.92303469999999999</v>
      </c>
      <c r="T4490">
        <v>-0.32645420000000003</v>
      </c>
      <c r="U4490">
        <v>-2.9543759999999999</v>
      </c>
      <c r="V4490">
        <v>1.9099729999999999E-2</v>
      </c>
      <c r="W4490">
        <v>-6.6532679999999997E-2</v>
      </c>
      <c r="X4490">
        <v>0.99760139999999997</v>
      </c>
      <c r="Y4490">
        <v>0.28302379999999999</v>
      </c>
      <c r="Z4490">
        <v>9.0889659999999997E-2</v>
      </c>
      <c r="AA4490">
        <v>0.9547966</v>
      </c>
      <c r="AB4490">
        <v>20</v>
      </c>
      <c r="AC4490">
        <v>-3.1688999999999998</v>
      </c>
      <c r="AD4490">
        <v>-1.1212288908470001</v>
      </c>
      <c r="AE4490">
        <v>-10.048</v>
      </c>
      <c r="AF4490">
        <v>2.9906004215672399</v>
      </c>
      <c r="AG4490">
        <v>-1.1212288908470001</v>
      </c>
      <c r="AH4490">
        <v>9.9793942092404802</v>
      </c>
      <c r="AI4490">
        <v>96.142844459144499</v>
      </c>
      <c r="AJ4490">
        <v>73.317706757110201</v>
      </c>
      <c r="AK4490">
        <v>10.478031966479699</v>
      </c>
      <c r="AL4490">
        <v>93.814859871070297</v>
      </c>
      <c r="AM4490">
        <v>88.903168904256205</v>
      </c>
      <c r="AN4490">
        <v>0.99999997523800699</v>
      </c>
    </row>
    <row r="4491" spans="1:40" x14ac:dyDescent="0.25">
      <c r="A4491" t="str">
        <f>"20190303154858602"</f>
        <v>20190303154858602</v>
      </c>
      <c r="B4491" t="str">
        <f>"1551599338595042"</f>
        <v>1551599338595042</v>
      </c>
      <c r="C4491" t="s">
        <v>40</v>
      </c>
      <c r="D4491">
        <v>5.41777</v>
      </c>
      <c r="E4491">
        <v>0.60394269999999906</v>
      </c>
      <c r="F4491" t="s">
        <v>41</v>
      </c>
      <c r="G4491">
        <v>-195.18119999999999</v>
      </c>
      <c r="H4491" s="1">
        <v>-2.8285399999999999E-6</v>
      </c>
      <c r="I4491">
        <v>162.65889999999999</v>
      </c>
      <c r="J4491">
        <v>-191.9838</v>
      </c>
      <c r="K4491">
        <v>1.1212200000000001</v>
      </c>
      <c r="L4491">
        <v>172.7475</v>
      </c>
      <c r="M4491">
        <v>-1.4181300000000001E-2</v>
      </c>
      <c r="N4491">
        <v>-1.430498E-2</v>
      </c>
      <c r="O4491">
        <v>-0.99979720000000005</v>
      </c>
      <c r="P4491">
        <v>-3.3554E-2</v>
      </c>
      <c r="Q4491">
        <v>-8.0631430000000004E-2</v>
      </c>
      <c r="R4491">
        <v>-0.99617940000000005</v>
      </c>
      <c r="S4491">
        <v>-0.92674259999999997</v>
      </c>
      <c r="T4491">
        <v>-0.32484079999999999</v>
      </c>
      <c r="U4491">
        <v>-2.954132</v>
      </c>
      <c r="V4491">
        <v>1.944017E-2</v>
      </c>
      <c r="W4491">
        <v>-6.6362180000000007E-2</v>
      </c>
      <c r="X4491">
        <v>0.9976062</v>
      </c>
      <c r="Y4491">
        <v>0.28430450000000002</v>
      </c>
      <c r="Z4491">
        <v>9.0347280000000002E-2</v>
      </c>
      <c r="AA4491">
        <v>0.95446750000000002</v>
      </c>
      <c r="AB4491">
        <v>20</v>
      </c>
      <c r="AC4491">
        <v>-3.19739999999998</v>
      </c>
      <c r="AD4491">
        <v>-1.1212228285400001</v>
      </c>
      <c r="AE4491">
        <v>-10.0886</v>
      </c>
      <c r="AF4491">
        <v>3.0200963074316398</v>
      </c>
      <c r="AG4491">
        <v>-1.1212228285400001</v>
      </c>
      <c r="AH4491">
        <v>10.020462065765001</v>
      </c>
      <c r="AI4491">
        <v>96.114957067416796</v>
      </c>
      <c r="AJ4491">
        <v>73.227565190443002</v>
      </c>
      <c r="AK4491">
        <v>10.525577530417801</v>
      </c>
      <c r="AL4491">
        <v>93.805069228334204</v>
      </c>
      <c r="AM4491">
        <v>88.883628893077898</v>
      </c>
      <c r="AN4491">
        <v>0.99999999471121004</v>
      </c>
    </row>
    <row r="4492" spans="1:40" x14ac:dyDescent="0.25">
      <c r="A4492" t="str">
        <f>"20190303154858620"</f>
        <v>20190303154858620</v>
      </c>
      <c r="B4492" t="str">
        <f>"1551599338615538"</f>
        <v>1551599338615538</v>
      </c>
      <c r="C4492" t="s">
        <v>40</v>
      </c>
      <c r="D4492">
        <v>5.3869619999999996</v>
      </c>
      <c r="E4492">
        <v>0.60433190000000003</v>
      </c>
      <c r="F4492" t="s">
        <v>41</v>
      </c>
      <c r="G4492">
        <v>-195.1917</v>
      </c>
      <c r="H4492" s="1">
        <v>-2.7765699999999998E-6</v>
      </c>
      <c r="I4492">
        <v>162.54310000000001</v>
      </c>
      <c r="J4492">
        <v>-191.98580000000001</v>
      </c>
      <c r="K4492">
        <v>1.1212120000000001</v>
      </c>
      <c r="L4492">
        <v>172.59129999999999</v>
      </c>
      <c r="M4492">
        <v>-1.3966630000000001E-2</v>
      </c>
      <c r="N4492">
        <v>-1.4301029999999999E-2</v>
      </c>
      <c r="O4492">
        <v>-0.99980029999999998</v>
      </c>
      <c r="P4492">
        <v>-3.4572029999999997E-2</v>
      </c>
      <c r="Q4492">
        <v>-8.1494529999999996E-2</v>
      </c>
      <c r="R4492">
        <v>-0.99607440000000003</v>
      </c>
      <c r="S4492">
        <v>-0.92860410000000004</v>
      </c>
      <c r="T4492">
        <v>-0.32457239999999998</v>
      </c>
      <c r="U4492">
        <v>-2.953964</v>
      </c>
      <c r="V4492">
        <v>2.0671910000000002E-2</v>
      </c>
      <c r="W4492">
        <v>-6.7230719999999994E-2</v>
      </c>
      <c r="X4492">
        <v>0.9975233</v>
      </c>
      <c r="Y4492">
        <v>0.28507539999999998</v>
      </c>
      <c r="Z4492">
        <v>9.0249629999999997E-2</v>
      </c>
      <c r="AA4492">
        <v>0.95424679999999995</v>
      </c>
      <c r="AB4492">
        <v>20</v>
      </c>
      <c r="AC4492">
        <v>-3.2058999999999802</v>
      </c>
      <c r="AD4492">
        <v>-1.12121477657</v>
      </c>
      <c r="AE4492">
        <v>-10.0481999999999</v>
      </c>
      <c r="AF4492">
        <v>3.0309815729668199</v>
      </c>
      <c r="AG4492">
        <v>-1.12121477657</v>
      </c>
      <c r="AH4492">
        <v>9.9792288793506394</v>
      </c>
      <c r="AI4492">
        <v>96.136042835835596</v>
      </c>
      <c r="AJ4492">
        <v>73.104940937091499</v>
      </c>
      <c r="AK4492">
        <v>10.489470000783101</v>
      </c>
      <c r="AL4492">
        <v>93.854944214898495</v>
      </c>
      <c r="AM4492">
        <v>88.812816009990698</v>
      </c>
      <c r="AN4492">
        <v>1.00000001580882</v>
      </c>
    </row>
    <row r="4493" spans="1:40" x14ac:dyDescent="0.25">
      <c r="A4493" t="str">
        <f>"20190303154858633"</f>
        <v>20190303154858633</v>
      </c>
      <c r="B4493" t="str">
        <f>"1551599338625297"</f>
        <v>1551599338625297</v>
      </c>
      <c r="C4493" t="s">
        <v>40</v>
      </c>
      <c r="D4493">
        <v>5.4224930000000002</v>
      </c>
      <c r="E4493">
        <v>0.60448809999999997</v>
      </c>
      <c r="F4493" t="s">
        <v>41</v>
      </c>
      <c r="G4493">
        <v>-195.19399999999999</v>
      </c>
      <c r="H4493" s="1">
        <v>-2.735863E-6</v>
      </c>
      <c r="I4493">
        <v>162.45570000000001</v>
      </c>
      <c r="J4493">
        <v>-191.9872</v>
      </c>
      <c r="K4493">
        <v>1.1212040000000001</v>
      </c>
      <c r="L4493">
        <v>172.4768</v>
      </c>
      <c r="M4493">
        <v>-1.3822640000000001E-2</v>
      </c>
      <c r="N4493">
        <v>-1.4298160000000001E-2</v>
      </c>
      <c r="O4493">
        <v>-0.99980219999999997</v>
      </c>
      <c r="P4493">
        <v>-3.5080550000000002E-2</v>
      </c>
      <c r="Q4493">
        <v>-8.1587729999999997E-2</v>
      </c>
      <c r="R4493">
        <v>-0.99604859999999995</v>
      </c>
      <c r="S4493">
        <v>-0.93460080000000001</v>
      </c>
      <c r="T4493">
        <v>-0.32662799999999997</v>
      </c>
      <c r="U4493">
        <v>-2.9526669999999999</v>
      </c>
      <c r="V4493">
        <v>2.1322919999999999E-2</v>
      </c>
      <c r="W4493">
        <v>-6.7327369999999997E-2</v>
      </c>
      <c r="X4493">
        <v>0.99750300000000003</v>
      </c>
      <c r="Y4493">
        <v>0.28707470000000002</v>
      </c>
      <c r="Z4493">
        <v>9.0888049999999998E-2</v>
      </c>
      <c r="AA4493">
        <v>0.95358659999999995</v>
      </c>
      <c r="AB4493">
        <v>20</v>
      </c>
      <c r="AC4493">
        <v>-3.2068000000000101</v>
      </c>
      <c r="AD4493">
        <v>-1.121206735863</v>
      </c>
      <c r="AE4493">
        <v>-10.021099999999899</v>
      </c>
      <c r="AF4493">
        <v>3.0335147500958199</v>
      </c>
      <c r="AG4493">
        <v>-1.121206735863</v>
      </c>
      <c r="AH4493">
        <v>9.9514710405854601</v>
      </c>
      <c r="AI4493">
        <v>96.151110158371907</v>
      </c>
      <c r="AJ4493">
        <v>73.047164581009994</v>
      </c>
      <c r="AK4493">
        <v>10.463799126283099</v>
      </c>
      <c r="AL4493">
        <v>93.860494727111302</v>
      </c>
      <c r="AM4493">
        <v>88.775414922860406</v>
      </c>
      <c r="AN4493">
        <v>0.99999993833871903</v>
      </c>
    </row>
    <row r="4494" spans="1:40" x14ac:dyDescent="0.25">
      <c r="A4494" t="str">
        <f>"20190303154858647"</f>
        <v>20190303154858647</v>
      </c>
      <c r="B4494" t="str">
        <f>"1551599338644818"</f>
        <v>1551599338644818</v>
      </c>
      <c r="C4494" t="s">
        <v>40</v>
      </c>
      <c r="D4494">
        <v>5.3987720000000001</v>
      </c>
      <c r="E4494">
        <v>0.60465329999999995</v>
      </c>
      <c r="F4494" t="s">
        <v>41</v>
      </c>
      <c r="G4494">
        <v>-195.1875</v>
      </c>
      <c r="H4494" s="1">
        <v>-2.707166E-6</v>
      </c>
      <c r="I4494">
        <v>162.39859999999999</v>
      </c>
      <c r="J4494">
        <v>-191.9888</v>
      </c>
      <c r="K4494">
        <v>1.1211960000000001</v>
      </c>
      <c r="L4494">
        <v>172.35409999999999</v>
      </c>
      <c r="M4494">
        <v>-1.367466E-2</v>
      </c>
      <c r="N4494">
        <v>-1.429509E-2</v>
      </c>
      <c r="O4494">
        <v>-0.99980460000000004</v>
      </c>
      <c r="P4494">
        <v>-3.5401439999999999E-2</v>
      </c>
      <c r="Q4494">
        <v>-8.1894899999999896E-2</v>
      </c>
      <c r="R4494">
        <v>-0.99601229999999996</v>
      </c>
      <c r="S4494">
        <v>-0.93739320000000004</v>
      </c>
      <c r="T4494">
        <v>-0.32840930000000002</v>
      </c>
      <c r="U4494">
        <v>-2.951965</v>
      </c>
      <c r="V4494">
        <v>2.1790469999999999E-2</v>
      </c>
      <c r="W4494">
        <v>-6.7638390000000007E-2</v>
      </c>
      <c r="X4494">
        <v>0.99747189999999997</v>
      </c>
      <c r="Y4494">
        <v>0.2880836</v>
      </c>
      <c r="Z4494">
        <v>9.1451290000000005E-2</v>
      </c>
      <c r="AA4494">
        <v>0.95322850000000003</v>
      </c>
      <c r="AB4494">
        <v>20</v>
      </c>
      <c r="AC4494">
        <v>-3.1987000000000001</v>
      </c>
      <c r="AD4494">
        <v>-1.1211987071659999</v>
      </c>
      <c r="AE4494">
        <v>-9.9555000000000007</v>
      </c>
      <c r="AF4494">
        <v>3.0274434249523301</v>
      </c>
      <c r="AG4494">
        <v>-1.1211987071659999</v>
      </c>
      <c r="AH4494">
        <v>9.88467383643769</v>
      </c>
      <c r="AI4494">
        <v>96.189829448933693</v>
      </c>
      <c r="AJ4494">
        <v>72.971403900983404</v>
      </c>
      <c r="AK4494">
        <v>10.3985228318734</v>
      </c>
      <c r="AL4494">
        <v>93.878355399920295</v>
      </c>
      <c r="AM4494">
        <v>88.748532753611698</v>
      </c>
      <c r="AN4494">
        <v>0.99999998383711097</v>
      </c>
    </row>
    <row r="4495" spans="1:40" x14ac:dyDescent="0.25">
      <c r="A4495" t="str">
        <f>"20190303154858662"</f>
        <v>20190303154858662</v>
      </c>
      <c r="B4495" t="str">
        <f>"1551599338655554"</f>
        <v>1551599338655554</v>
      </c>
      <c r="C4495" t="s">
        <v>40</v>
      </c>
      <c r="D4495">
        <v>5.4036980000000003</v>
      </c>
      <c r="E4495">
        <v>0.60469919999999899</v>
      </c>
      <c r="F4495" t="s">
        <v>41</v>
      </c>
      <c r="G4495">
        <v>-195.17869999999999</v>
      </c>
      <c r="H4495" s="1">
        <v>-2.6743360000000001E-6</v>
      </c>
      <c r="I4495">
        <v>162.33410000000001</v>
      </c>
      <c r="J4495">
        <v>-191.99029999999999</v>
      </c>
      <c r="K4495">
        <v>1.1211880000000001</v>
      </c>
      <c r="L4495">
        <v>172.2278</v>
      </c>
      <c r="M4495">
        <v>-1.353004E-2</v>
      </c>
      <c r="N4495">
        <v>-1.429193E-2</v>
      </c>
      <c r="O4495">
        <v>-0.99980650000000004</v>
      </c>
      <c r="P4495">
        <v>-3.570665E-2</v>
      </c>
      <c r="Q4495">
        <v>-8.2515539999999998E-2</v>
      </c>
      <c r="R4495">
        <v>-0.99595029999999996</v>
      </c>
      <c r="S4495">
        <v>-0.93963620000000003</v>
      </c>
      <c r="T4495">
        <v>-0.33025870000000002</v>
      </c>
      <c r="U4495">
        <v>-2.9514619999999998</v>
      </c>
      <c r="V4495">
        <v>2.2239439999999999E-2</v>
      </c>
      <c r="W4495">
        <v>-6.8263320000000002E-2</v>
      </c>
      <c r="X4495">
        <v>0.99741939999999996</v>
      </c>
      <c r="Y4495">
        <v>0.28890860000000002</v>
      </c>
      <c r="Z4495">
        <v>9.203509E-2</v>
      </c>
      <c r="AA4495">
        <v>0.95292250000000001</v>
      </c>
      <c r="AB4495">
        <v>20</v>
      </c>
      <c r="AC4495">
        <v>-3.1884000000000001</v>
      </c>
      <c r="AD4495">
        <v>-1.1211906743359901</v>
      </c>
      <c r="AE4495">
        <v>-9.8936999999999902</v>
      </c>
      <c r="AF4495">
        <v>3.01910795552552</v>
      </c>
      <c r="AG4495">
        <v>-1.1211906743359901</v>
      </c>
      <c r="AH4495">
        <v>9.8216723508840804</v>
      </c>
      <c r="AI4495">
        <v>96.227245130283706</v>
      </c>
      <c r="AJ4495">
        <v>72.912966893836298</v>
      </c>
      <c r="AK4495">
        <v>10.336214449374401</v>
      </c>
      <c r="AL4495">
        <v>93.914244271350299</v>
      </c>
      <c r="AM4495">
        <v>88.722688819812106</v>
      </c>
      <c r="AN4495">
        <v>0.999999966522647</v>
      </c>
    </row>
    <row r="4496" spans="1:40" x14ac:dyDescent="0.25">
      <c r="A4496" t="str">
        <f>"20190303154858677"</f>
        <v>20190303154858677</v>
      </c>
      <c r="B4496" t="str">
        <f>"1551599338665314"</f>
        <v>1551599338665314</v>
      </c>
      <c r="C4496" t="s">
        <v>40</v>
      </c>
      <c r="D4496">
        <v>5.4203440000000001</v>
      </c>
      <c r="E4496">
        <v>0.60472609999999904</v>
      </c>
      <c r="F4496" t="s">
        <v>41</v>
      </c>
      <c r="G4496">
        <v>-195.1611</v>
      </c>
      <c r="H4496" s="1">
        <v>-2.6460129999999999E-6</v>
      </c>
      <c r="I4496">
        <v>162.2841</v>
      </c>
      <c r="J4496">
        <v>-191.99199999999999</v>
      </c>
      <c r="K4496">
        <v>1.1211819999999999</v>
      </c>
      <c r="L4496">
        <v>172.09129999999999</v>
      </c>
      <c r="M4496">
        <v>-1.338722E-2</v>
      </c>
      <c r="N4496">
        <v>-1.4288510000000001E-2</v>
      </c>
      <c r="O4496">
        <v>-0.99980860000000005</v>
      </c>
      <c r="P4496">
        <v>-3.627648E-2</v>
      </c>
      <c r="Q4496">
        <v>-8.2958850000000001E-2</v>
      </c>
      <c r="R4496">
        <v>-0.99589320000000003</v>
      </c>
      <c r="S4496">
        <v>-0.94096369999999896</v>
      </c>
      <c r="T4496">
        <v>-0.33272590000000002</v>
      </c>
      <c r="U4496">
        <v>-2.950882</v>
      </c>
      <c r="V4496">
        <v>2.295107E-2</v>
      </c>
      <c r="W4496">
        <v>-6.8711060000000004E-2</v>
      </c>
      <c r="X4496">
        <v>0.99737260000000005</v>
      </c>
      <c r="Y4496">
        <v>0.289464099999999</v>
      </c>
      <c r="Z4496">
        <v>9.2827389999999996E-2</v>
      </c>
      <c r="AA4496">
        <v>0.95267710000000005</v>
      </c>
      <c r="AB4496">
        <v>20</v>
      </c>
      <c r="AC4496">
        <v>-3.1690999999999798</v>
      </c>
      <c r="AD4496">
        <v>-1.1211846460129999</v>
      </c>
      <c r="AE4496">
        <v>-9.8071999999999893</v>
      </c>
      <c r="AF4496">
        <v>3.0019860563504999</v>
      </c>
      <c r="AG4496">
        <v>-1.1211846460129999</v>
      </c>
      <c r="AH4496">
        <v>9.7335641093929794</v>
      </c>
      <c r="AI4496">
        <v>96.281338002460799</v>
      </c>
      <c r="AJ4496">
        <v>72.859404924960103</v>
      </c>
      <c r="AK4496">
        <v>10.247499478635801</v>
      </c>
      <c r="AL4496">
        <v>93.939958001714601</v>
      </c>
      <c r="AM4496">
        <v>88.681769070816401</v>
      </c>
      <c r="AN4496">
        <v>1.00000003230561</v>
      </c>
    </row>
    <row r="4497" spans="1:40" x14ac:dyDescent="0.25">
      <c r="A4497" t="str">
        <f>"20190303154858702"</f>
        <v>20190303154858702</v>
      </c>
      <c r="B4497" t="str">
        <f>"1551599338695571"</f>
        <v>1551599338695571</v>
      </c>
      <c r="C4497" t="s">
        <v>40</v>
      </c>
      <c r="D4497">
        <v>5.375515</v>
      </c>
      <c r="E4497">
        <v>0.60492250000000003</v>
      </c>
      <c r="F4497" t="s">
        <v>41</v>
      </c>
      <c r="G4497">
        <v>-195.1508</v>
      </c>
      <c r="H4497" s="1">
        <v>-2.6067789999999998E-6</v>
      </c>
      <c r="I4497">
        <v>162.20689999999999</v>
      </c>
      <c r="J4497">
        <v>-191.99449999999999</v>
      </c>
      <c r="K4497">
        <v>1.1211679999999999</v>
      </c>
      <c r="L4497">
        <v>171.88419999999999</v>
      </c>
      <c r="M4497">
        <v>-1.319118E-2</v>
      </c>
      <c r="N4497">
        <v>-1.428333E-2</v>
      </c>
      <c r="O4497">
        <v>-0.99981120000000001</v>
      </c>
      <c r="P4497">
        <v>-3.6432270000000003E-2</v>
      </c>
      <c r="Q4497">
        <v>-8.3010899999999999E-2</v>
      </c>
      <c r="R4497">
        <v>-0.99588299999999996</v>
      </c>
      <c r="S4497">
        <v>-0.94281009999999998</v>
      </c>
      <c r="T4497">
        <v>-0.33463470000000001</v>
      </c>
      <c r="U4497">
        <v>-2.9501499999999998</v>
      </c>
      <c r="V4497">
        <v>2.330028E-2</v>
      </c>
      <c r="W4497">
        <v>-6.8769120000000003E-2</v>
      </c>
      <c r="X4497">
        <v>0.99736049999999998</v>
      </c>
      <c r="Y4497">
        <v>0.29024179999999999</v>
      </c>
      <c r="Z4497">
        <v>9.3442349999999993E-2</v>
      </c>
      <c r="AA4497">
        <v>0.95238029999999996</v>
      </c>
      <c r="AB4497">
        <v>20</v>
      </c>
      <c r="AC4497">
        <v>-3.1563000000000101</v>
      </c>
      <c r="AD4497">
        <v>-1.1211706067789999</v>
      </c>
      <c r="AE4497">
        <v>-9.6773000000000007</v>
      </c>
      <c r="AF4497">
        <v>2.99205772613819</v>
      </c>
      <c r="AG4497">
        <v>-1.1211706067789999</v>
      </c>
      <c r="AH4497">
        <v>9.6016108051357101</v>
      </c>
      <c r="AI4497">
        <v>96.361157523933599</v>
      </c>
      <c r="AJ4497">
        <v>72.691900870890095</v>
      </c>
      <c r="AK4497">
        <v>10.1193064495224</v>
      </c>
      <c r="AL4497">
        <v>93.943292487342504</v>
      </c>
      <c r="AM4497">
        <v>88.6617026528656</v>
      </c>
      <c r="AN4497">
        <v>1.0000000309369499</v>
      </c>
    </row>
    <row r="4498" spans="1:40" x14ac:dyDescent="0.25">
      <c r="A4498" t="str">
        <f>"20190303154858721"</f>
        <v>20190303154858721</v>
      </c>
      <c r="B4498" t="str">
        <f>"1551599338715089"</f>
        <v>1551599338715089</v>
      </c>
      <c r="C4498" t="s">
        <v>40</v>
      </c>
      <c r="D4498">
        <v>5.3752339999999998</v>
      </c>
      <c r="E4498">
        <v>0.60504559999999996</v>
      </c>
      <c r="F4498" t="s">
        <v>41</v>
      </c>
      <c r="G4498">
        <v>-195.16319999999999</v>
      </c>
      <c r="H4498" s="1">
        <v>-2.5081109999999998E-6</v>
      </c>
      <c r="I4498">
        <v>161.99119999999999</v>
      </c>
      <c r="J4498">
        <v>-191.9967</v>
      </c>
      <c r="K4498">
        <v>1.121149</v>
      </c>
      <c r="L4498">
        <v>171.7073</v>
      </c>
      <c r="M4498">
        <v>-1.305254E-2</v>
      </c>
      <c r="N4498">
        <v>-1.4278910000000001E-2</v>
      </c>
      <c r="O4498">
        <v>-0.99981279999999995</v>
      </c>
      <c r="P4498">
        <v>-3.6801849999999997E-2</v>
      </c>
      <c r="Q4498">
        <v>-8.2288529999999999E-2</v>
      </c>
      <c r="R4498">
        <v>-0.99592890000000001</v>
      </c>
      <c r="S4498">
        <v>-0.94485469999999905</v>
      </c>
      <c r="T4498">
        <v>-0.33432020000000001</v>
      </c>
      <c r="U4498">
        <v>-2.9499819999999999</v>
      </c>
      <c r="V4498">
        <v>2.380504E-2</v>
      </c>
      <c r="W4498">
        <v>-6.8051239999999999E-2</v>
      </c>
      <c r="X4498">
        <v>0.9973978</v>
      </c>
      <c r="Y4498">
        <v>0.29099180000000002</v>
      </c>
      <c r="Z4498">
        <v>9.3329019999999999E-2</v>
      </c>
      <c r="AA4498">
        <v>0.95216250000000002</v>
      </c>
      <c r="AB4498">
        <v>20</v>
      </c>
      <c r="AC4498">
        <v>-3.1664999999999801</v>
      </c>
      <c r="AD4498">
        <v>-1.121151508111</v>
      </c>
      <c r="AE4498">
        <v>-9.7161000000000097</v>
      </c>
      <c r="AF4498">
        <v>3.0032483826900398</v>
      </c>
      <c r="AG4498">
        <v>-1.121151508111</v>
      </c>
      <c r="AH4498">
        <v>9.6405669501675195</v>
      </c>
      <c r="AI4498">
        <v>96.335731054102297</v>
      </c>
      <c r="AJ4498">
        <v>72.697041201266799</v>
      </c>
      <c r="AK4498">
        <v>10.1595773865319</v>
      </c>
      <c r="AL4498">
        <v>93.902064484321002</v>
      </c>
      <c r="AM4498">
        <v>88.632772772721594</v>
      </c>
      <c r="AN4498">
        <v>1.0000000113198799</v>
      </c>
    </row>
    <row r="4499" spans="1:40" x14ac:dyDescent="0.25">
      <c r="A4499" t="str">
        <f>"20190303154858735"</f>
        <v>20190303154858735</v>
      </c>
      <c r="B4499" t="str">
        <f>"1551599338725826"</f>
        <v>1551599338725826</v>
      </c>
      <c r="C4499" t="s">
        <v>40</v>
      </c>
      <c r="D4499">
        <v>5.3766970000000001</v>
      </c>
      <c r="E4499">
        <v>0.60517019999999899</v>
      </c>
      <c r="F4499" t="s">
        <v>41</v>
      </c>
      <c r="G4499">
        <v>-195.18690000000001</v>
      </c>
      <c r="H4499" s="1">
        <v>-2.4093789999999998E-6</v>
      </c>
      <c r="I4499">
        <v>161.76900000000001</v>
      </c>
      <c r="J4499">
        <v>-191.9982</v>
      </c>
      <c r="K4499">
        <v>1.1211390000000001</v>
      </c>
      <c r="L4499">
        <v>171.5839</v>
      </c>
      <c r="M4499">
        <v>-1.2971659999999999E-2</v>
      </c>
      <c r="N4499">
        <v>-1.427582E-2</v>
      </c>
      <c r="O4499">
        <v>-0.99981379999999997</v>
      </c>
      <c r="P4499">
        <v>-3.7227499999999997E-2</v>
      </c>
      <c r="Q4499">
        <v>-8.211533E-2</v>
      </c>
      <c r="R4499">
        <v>-0.99592729999999996</v>
      </c>
      <c r="S4499">
        <v>-0.94689939999999995</v>
      </c>
      <c r="T4499">
        <v>-0.3327695</v>
      </c>
      <c r="U4499">
        <v>-2.949783</v>
      </c>
      <c r="V4499">
        <v>2.4309589999999999E-2</v>
      </c>
      <c r="W4499">
        <v>-6.7881670000000005E-2</v>
      </c>
      <c r="X4499">
        <v>0.99739719999999998</v>
      </c>
      <c r="Y4499">
        <v>0.29170109999999999</v>
      </c>
      <c r="Z4499">
        <v>9.2822790000000002E-2</v>
      </c>
      <c r="AA4499">
        <v>0.95199500000000004</v>
      </c>
      <c r="AB4499">
        <v>20</v>
      </c>
      <c r="AC4499">
        <v>-3.1887000000000101</v>
      </c>
      <c r="AD4499">
        <v>-1.121141409379</v>
      </c>
      <c r="AE4499">
        <v>-9.8148999999999909</v>
      </c>
      <c r="AF4499">
        <v>3.0253961400206801</v>
      </c>
      <c r="AG4499">
        <v>-1.121141409379</v>
      </c>
      <c r="AH4499">
        <v>9.7404798149679106</v>
      </c>
      <c r="AI4499">
        <v>96.272833200640605</v>
      </c>
      <c r="AJ4499">
        <v>72.745189010757599</v>
      </c>
      <c r="AK4499">
        <v>10.260941812995201</v>
      </c>
      <c r="AL4499">
        <v>93.892326263678399</v>
      </c>
      <c r="AM4499">
        <v>88.603804778490499</v>
      </c>
      <c r="AN4499">
        <v>1.0000000259278901</v>
      </c>
    </row>
    <row r="4500" spans="1:40" x14ac:dyDescent="0.25">
      <c r="A4500" t="str">
        <f>"20190303154858749"</f>
        <v>20190303154858749</v>
      </c>
      <c r="B4500" t="str">
        <f>"1551599338745346"</f>
        <v>1551599338745346</v>
      </c>
      <c r="C4500" t="s">
        <v>40</v>
      </c>
      <c r="D4500">
        <v>5.3648610000000003</v>
      </c>
      <c r="E4500">
        <v>0.60541489999999998</v>
      </c>
      <c r="F4500" t="s">
        <v>41</v>
      </c>
      <c r="G4500">
        <v>-195.19820000000001</v>
      </c>
      <c r="H4500" s="1">
        <v>-2.3517560000000001E-6</v>
      </c>
      <c r="I4500">
        <v>161.64080000000001</v>
      </c>
      <c r="J4500">
        <v>-191.99969999999999</v>
      </c>
      <c r="K4500">
        <v>1.1211279999999999</v>
      </c>
      <c r="L4500">
        <v>171.4657</v>
      </c>
      <c r="M4500">
        <v>-1.2903100000000001E-2</v>
      </c>
      <c r="N4500">
        <v>-1.427286E-2</v>
      </c>
      <c r="O4500">
        <v>-0.99981520000000002</v>
      </c>
      <c r="P4500">
        <v>-3.7903470000000002E-2</v>
      </c>
      <c r="Q4500">
        <v>-8.1960759999999994E-2</v>
      </c>
      <c r="R4500">
        <v>-0.99591540000000001</v>
      </c>
      <c r="S4500">
        <v>-0.94918820000000004</v>
      </c>
      <c r="T4500">
        <v>-0.33255659999999998</v>
      </c>
      <c r="U4500">
        <v>-2.9493559999999999</v>
      </c>
      <c r="V4500">
        <v>2.5052319999999999E-2</v>
      </c>
      <c r="W4500">
        <v>-6.7730680000000001E-2</v>
      </c>
      <c r="X4500">
        <v>0.99738910000000003</v>
      </c>
      <c r="Y4500">
        <v>0.29247800000000002</v>
      </c>
      <c r="Z4500">
        <v>9.2747430000000006E-2</v>
      </c>
      <c r="AA4500">
        <v>0.9517639</v>
      </c>
      <c r="AB4500">
        <v>20</v>
      </c>
      <c r="AC4500">
        <v>-3.1985000000000201</v>
      </c>
      <c r="AD4500">
        <v>-1.1211303517560001</v>
      </c>
      <c r="AE4500">
        <v>-9.82489999999998</v>
      </c>
      <c r="AF4500">
        <v>3.03570807060099</v>
      </c>
      <c r="AG4500">
        <v>-1.1211303517560001</v>
      </c>
      <c r="AH4500">
        <v>9.7505579906744995</v>
      </c>
      <c r="AI4500">
        <v>96.265041748016998</v>
      </c>
      <c r="AJ4500">
        <v>72.706709572633898</v>
      </c>
      <c r="AK4500">
        <v>10.273550403100501</v>
      </c>
      <c r="AL4500">
        <v>93.883655162042899</v>
      </c>
      <c r="AM4500">
        <v>88.561152864029097</v>
      </c>
      <c r="AN4500">
        <v>1.00000004027472</v>
      </c>
    </row>
    <row r="4501" spans="1:40" x14ac:dyDescent="0.25">
      <c r="A4501" t="str">
        <f>"20190303154858765"</f>
        <v>20190303154858765</v>
      </c>
      <c r="B4501" t="str">
        <f>"1551599338755106"</f>
        <v>1551599338755106</v>
      </c>
      <c r="C4501" t="s">
        <v>40</v>
      </c>
      <c r="D4501">
        <v>5.3492189999999997</v>
      </c>
      <c r="E4501">
        <v>0.60553040000000002</v>
      </c>
      <c r="F4501" t="s">
        <v>41</v>
      </c>
      <c r="G4501">
        <v>-195.2081</v>
      </c>
      <c r="H4501" s="1">
        <v>-2.3066110000000002E-6</v>
      </c>
      <c r="I4501">
        <v>161.53970000000001</v>
      </c>
      <c r="J4501">
        <v>-192.00139999999999</v>
      </c>
      <c r="K4501">
        <v>1.121119</v>
      </c>
      <c r="L4501">
        <v>171.31989999999999</v>
      </c>
      <c r="M4501">
        <v>-1.283319E-2</v>
      </c>
      <c r="N4501">
        <v>-1.4269209999999999E-2</v>
      </c>
      <c r="O4501">
        <v>-0.99981620000000004</v>
      </c>
      <c r="P4501">
        <v>-3.9499350000000003E-2</v>
      </c>
      <c r="Q4501">
        <v>-8.1595009999999996E-2</v>
      </c>
      <c r="R4501">
        <v>-0.99588319999999997</v>
      </c>
      <c r="S4501">
        <v>-0.95309449999999996</v>
      </c>
      <c r="T4501">
        <v>-0.333042</v>
      </c>
      <c r="U4501">
        <v>-2.9486240000000001</v>
      </c>
      <c r="V4501">
        <v>2.6715900000000001E-2</v>
      </c>
      <c r="W4501">
        <v>-6.7369579999999998E-2</v>
      </c>
      <c r="X4501">
        <v>0.99737039999999999</v>
      </c>
      <c r="Y4501">
        <v>0.29375010000000001</v>
      </c>
      <c r="Z4501">
        <v>9.2888280000000004E-2</v>
      </c>
      <c r="AA4501">
        <v>0.95135829999999999</v>
      </c>
      <c r="AB4501">
        <v>20</v>
      </c>
      <c r="AC4501">
        <v>-3.2067000000000099</v>
      </c>
      <c r="AD4501">
        <v>-1.121121306611</v>
      </c>
      <c r="AE4501">
        <v>-9.7801999999999794</v>
      </c>
      <c r="AF4501">
        <v>3.0447858434662098</v>
      </c>
      <c r="AG4501">
        <v>-1.121121306611</v>
      </c>
      <c r="AH4501">
        <v>9.7053970663799891</v>
      </c>
      <c r="AI4501">
        <v>96.289673804017596</v>
      </c>
      <c r="AJ4501">
        <v>72.582268958494694</v>
      </c>
      <c r="AK4501">
        <v>10.2333946485419</v>
      </c>
      <c r="AL4501">
        <v>93.8629182257949</v>
      </c>
      <c r="AM4501">
        <v>88.465622826785804</v>
      </c>
      <c r="AN4501">
        <v>1.0000000572091701</v>
      </c>
    </row>
    <row r="4502" spans="1:40" x14ac:dyDescent="0.25">
      <c r="A4502" t="str">
        <f>"20190303154858777"</f>
        <v>20190303154858777</v>
      </c>
      <c r="B4502" t="str">
        <f>"1551599338775602"</f>
        <v>1551599338775602</v>
      </c>
      <c r="C4502" t="s">
        <v>40</v>
      </c>
      <c r="D4502">
        <v>5.3637639999999998</v>
      </c>
      <c r="E4502">
        <v>0.60569039999999996</v>
      </c>
      <c r="F4502" t="s">
        <v>41</v>
      </c>
      <c r="G4502">
        <v>-195.2285</v>
      </c>
      <c r="H4502" s="1">
        <v>-2.2462849999999998E-6</v>
      </c>
      <c r="I4502">
        <v>161.4006</v>
      </c>
      <c r="J4502">
        <v>-192.00280000000001</v>
      </c>
      <c r="K4502">
        <v>1.1211040000000001</v>
      </c>
      <c r="L4502">
        <v>171.21</v>
      </c>
      <c r="M4502">
        <v>-1.279427E-2</v>
      </c>
      <c r="N4502">
        <v>-1.426646E-2</v>
      </c>
      <c r="O4502">
        <v>-0.9998167</v>
      </c>
      <c r="P4502">
        <v>-4.0472689999999999E-2</v>
      </c>
      <c r="Q4502">
        <v>-8.1875760000000006E-2</v>
      </c>
      <c r="R4502">
        <v>-0.99582119999999996</v>
      </c>
      <c r="S4502">
        <v>-0.95877080000000003</v>
      </c>
      <c r="T4502">
        <v>-0.33309260000000002</v>
      </c>
      <c r="U4502">
        <v>-2.947098</v>
      </c>
      <c r="V4502">
        <v>2.7726839999999999E-2</v>
      </c>
      <c r="W4502">
        <v>-6.7654530000000004E-2</v>
      </c>
      <c r="X4502">
        <v>0.99732350000000003</v>
      </c>
      <c r="Y4502">
        <v>0.29558699999999999</v>
      </c>
      <c r="Z4502">
        <v>9.2897759999999996E-2</v>
      </c>
      <c r="AA4502">
        <v>0.95078830000000003</v>
      </c>
      <c r="AB4502">
        <v>20</v>
      </c>
      <c r="AC4502">
        <v>-3.2256999999999798</v>
      </c>
      <c r="AD4502">
        <v>-1.1211062462849899</v>
      </c>
      <c r="AE4502">
        <v>-9.8094000000000001</v>
      </c>
      <c r="AF4502">
        <v>3.0638049270869598</v>
      </c>
      <c r="AG4502">
        <v>-1.1211062462849899</v>
      </c>
      <c r="AH4502">
        <v>9.7351202993440094</v>
      </c>
      <c r="AI4502">
        <v>96.268768567778906</v>
      </c>
      <c r="AJ4502">
        <v>72.530340587572198</v>
      </c>
      <c r="AK4502">
        <v>10.2672463245702</v>
      </c>
      <c r="AL4502">
        <v>93.8792820650945</v>
      </c>
      <c r="AM4502">
        <v>88.4075159046929</v>
      </c>
      <c r="AN4502">
        <v>1.0000000383690699</v>
      </c>
    </row>
    <row r="4503" spans="1:40" x14ac:dyDescent="0.25">
      <c r="A4503" t="str">
        <f>"20190303154858789"</f>
        <v>20190303154858789</v>
      </c>
      <c r="B4503" t="str">
        <f>"1551599338785362"</f>
        <v>1551599338785362</v>
      </c>
      <c r="C4503" t="s">
        <v>40</v>
      </c>
      <c r="D4503">
        <v>5.3633940000000004</v>
      </c>
      <c r="E4503">
        <v>0.60573239999999995</v>
      </c>
      <c r="F4503" t="s">
        <v>41</v>
      </c>
      <c r="G4503">
        <v>-195.22790000000001</v>
      </c>
      <c r="H4503" s="1">
        <v>-2.2186350000000001E-6</v>
      </c>
      <c r="I4503">
        <v>161.3424</v>
      </c>
      <c r="J4503">
        <v>-192.00409999999999</v>
      </c>
      <c r="K4503">
        <v>1.1210850000000001</v>
      </c>
      <c r="L4503">
        <v>171.10890000000001</v>
      </c>
      <c r="M4503">
        <v>-1.277153E-2</v>
      </c>
      <c r="N4503">
        <v>-1.4263970000000001E-2</v>
      </c>
      <c r="O4503">
        <v>-0.99981690000000001</v>
      </c>
      <c r="P4503">
        <v>-4.1209259999999998E-2</v>
      </c>
      <c r="Q4503">
        <v>-8.2354419999999998E-2</v>
      </c>
      <c r="R4503">
        <v>-0.99575130000000001</v>
      </c>
      <c r="S4503">
        <v>-0.96284479999999995</v>
      </c>
      <c r="T4503">
        <v>-0.33470299999999997</v>
      </c>
      <c r="U4503">
        <v>-2.9459379999999999</v>
      </c>
      <c r="V4503">
        <v>2.848504E-2</v>
      </c>
      <c r="W4503">
        <v>-6.8137279999999995E-2</v>
      </c>
      <c r="X4503">
        <v>0.99726919999999997</v>
      </c>
      <c r="Y4503">
        <v>0.29689009999999999</v>
      </c>
      <c r="Z4503">
        <v>9.3407879999999999E-2</v>
      </c>
      <c r="AA4503">
        <v>0.95033219999999996</v>
      </c>
      <c r="AB4503">
        <v>20</v>
      </c>
      <c r="AC4503">
        <v>-3.22380000000001</v>
      </c>
      <c r="AD4503">
        <v>-1.121087218635</v>
      </c>
      <c r="AE4503">
        <v>-9.7665000000000006</v>
      </c>
      <c r="AF4503">
        <v>3.0624040249790299</v>
      </c>
      <c r="AG4503">
        <v>-1.121087218635</v>
      </c>
      <c r="AH4503">
        <v>9.6917242339214003</v>
      </c>
      <c r="AI4503">
        <v>96.294241699644303</v>
      </c>
      <c r="AJ4503">
        <v>72.4644358264555</v>
      </c>
      <c r="AK4503">
        <v>10.2256869495586</v>
      </c>
      <c r="AL4503">
        <v>93.907005836641105</v>
      </c>
      <c r="AM4503">
        <v>88.363903199097905</v>
      </c>
      <c r="AN4503">
        <v>0.99999997184911904</v>
      </c>
    </row>
    <row r="4504" spans="1:40" x14ac:dyDescent="0.25">
      <c r="A4504" t="str">
        <f>"20190303154858801"</f>
        <v>20190303154858801</v>
      </c>
      <c r="B4504" t="str">
        <f>"1551599338795122"</f>
        <v>1551599338795122</v>
      </c>
      <c r="C4504" t="s">
        <v>40</v>
      </c>
      <c r="D4504">
        <v>5.3300260000000002</v>
      </c>
      <c r="E4504">
        <v>0.60579539999999998</v>
      </c>
      <c r="F4504" t="s">
        <v>41</v>
      </c>
      <c r="G4504">
        <v>-195.22030000000001</v>
      </c>
      <c r="H4504" s="1">
        <v>-2.1944519999999999E-6</v>
      </c>
      <c r="I4504">
        <v>161.2955</v>
      </c>
      <c r="J4504">
        <v>-192.00540000000001</v>
      </c>
      <c r="K4504">
        <v>1.1210719999999901</v>
      </c>
      <c r="L4504">
        <v>171.00319999999999</v>
      </c>
      <c r="M4504">
        <v>-1.275332E-2</v>
      </c>
      <c r="N4504">
        <v>-1.4261350000000001E-2</v>
      </c>
      <c r="O4504">
        <v>-0.99981710000000001</v>
      </c>
      <c r="P4504">
        <v>-4.202057E-2</v>
      </c>
      <c r="Q4504">
        <v>-8.298403E-2</v>
      </c>
      <c r="R4504">
        <v>-0.99566509999999997</v>
      </c>
      <c r="S4504">
        <v>-0.96521000000000001</v>
      </c>
      <c r="T4504">
        <v>-0.33644400000000002</v>
      </c>
      <c r="U4504">
        <v>-2.9450379999999998</v>
      </c>
      <c r="V4504">
        <v>2.9313530000000001E-2</v>
      </c>
      <c r="W4504">
        <v>-6.8771399999999996E-2</v>
      </c>
      <c r="X4504">
        <v>0.99720169999999997</v>
      </c>
      <c r="Y4504">
        <v>0.29766419999999999</v>
      </c>
      <c r="Z4504">
        <v>9.396881E-2</v>
      </c>
      <c r="AA4504">
        <v>0.95003470000000001</v>
      </c>
      <c r="AB4504">
        <v>20</v>
      </c>
      <c r="AC4504">
        <v>-3.2149000000000001</v>
      </c>
      <c r="AD4504">
        <v>-1.12107419445199</v>
      </c>
      <c r="AE4504">
        <v>-9.7076999999999796</v>
      </c>
      <c r="AF4504">
        <v>3.0541154270982398</v>
      </c>
      <c r="AG4504">
        <v>-1.12107419445199</v>
      </c>
      <c r="AH4504">
        <v>9.6321536539635009</v>
      </c>
      <c r="AI4504">
        <v>96.330804331780996</v>
      </c>
      <c r="AJ4504">
        <v>72.407478542213198</v>
      </c>
      <c r="AK4504">
        <v>10.1667503365169</v>
      </c>
      <c r="AL4504">
        <v>93.943423516427899</v>
      </c>
      <c r="AM4504">
        <v>88.316230275760404</v>
      </c>
      <c r="AN4504">
        <v>1.00000000949095</v>
      </c>
    </row>
    <row r="4505" spans="1:40" x14ac:dyDescent="0.25">
      <c r="A4505" t="str">
        <f>"20190303154858815"</f>
        <v>20190303154858815</v>
      </c>
      <c r="B4505" t="str">
        <f>"1551599338804882"</f>
        <v>1551599338804882</v>
      </c>
      <c r="C4505" t="s">
        <v>40</v>
      </c>
      <c r="D4505">
        <v>5.3981459999999997</v>
      </c>
      <c r="E4505">
        <v>0.60575809999999997</v>
      </c>
      <c r="F4505" t="s">
        <v>41</v>
      </c>
      <c r="G4505">
        <v>-195.20949999999999</v>
      </c>
      <c r="H4505" s="1">
        <v>-2.1750739999999999E-6</v>
      </c>
      <c r="I4505">
        <v>161.26060000000001</v>
      </c>
      <c r="J4505">
        <v>-192.00700000000001</v>
      </c>
      <c r="K4505">
        <v>1.121054</v>
      </c>
      <c r="L4505">
        <v>170.87899999999999</v>
      </c>
      <c r="M4505">
        <v>-1.274993E-2</v>
      </c>
      <c r="N4505">
        <v>-1.425826E-2</v>
      </c>
      <c r="O4505">
        <v>-0.99981710000000001</v>
      </c>
      <c r="P4505">
        <v>-4.2648390000000001E-2</v>
      </c>
      <c r="Q4505">
        <v>-8.3767350000000004E-2</v>
      </c>
      <c r="R4505">
        <v>-0.99557260000000003</v>
      </c>
      <c r="S4505">
        <v>-0.96820070000000003</v>
      </c>
      <c r="T4505">
        <v>-0.33876060000000002</v>
      </c>
      <c r="U4505">
        <v>-2.9439700000000002</v>
      </c>
      <c r="V4505">
        <v>2.9943569999999999E-2</v>
      </c>
      <c r="W4505">
        <v>-6.9559949999999995E-2</v>
      </c>
      <c r="X4505">
        <v>0.99712820000000002</v>
      </c>
      <c r="Y4505">
        <v>0.298616099999999</v>
      </c>
      <c r="Z4505">
        <v>9.4712320000000003E-2</v>
      </c>
      <c r="AA4505">
        <v>0.94966200000000001</v>
      </c>
      <c r="AB4505">
        <v>19</v>
      </c>
      <c r="AC4505">
        <v>-3.2024999999999801</v>
      </c>
      <c r="AD4505">
        <v>-1.121056175074</v>
      </c>
      <c r="AE4505">
        <v>-9.6183999999999994</v>
      </c>
      <c r="AF4505">
        <v>3.0423879678486001</v>
      </c>
      <c r="AG4505">
        <v>-1.121056175074</v>
      </c>
      <c r="AH4505">
        <v>9.5417678033552296</v>
      </c>
      <c r="AI4505">
        <v>96.386931691007803</v>
      </c>
      <c r="AJ4505">
        <v>72.315143635891303</v>
      </c>
      <c r="AK4505">
        <v>10.077610049398</v>
      </c>
      <c r="AL4505">
        <v>93.988712897947906</v>
      </c>
      <c r="AM4505">
        <v>88.279935570972498</v>
      </c>
      <c r="AN4505">
        <v>0.99999992563178997</v>
      </c>
    </row>
    <row r="4506" spans="1:40" x14ac:dyDescent="0.25">
      <c r="A4506" t="str">
        <f>"20190303154858830"</f>
        <v>20190303154858830</v>
      </c>
      <c r="B4506" t="str">
        <f>"1551599338825378"</f>
        <v>1551599338825378</v>
      </c>
      <c r="C4506" t="s">
        <v>40</v>
      </c>
      <c r="D4506">
        <v>5.4974109999999996</v>
      </c>
      <c r="E4506">
        <v>0.60535439999999996</v>
      </c>
      <c r="F4506" t="s">
        <v>41</v>
      </c>
      <c r="G4506">
        <v>-195.18510000000001</v>
      </c>
      <c r="H4506" s="1">
        <v>-2.1554140000000001E-6</v>
      </c>
      <c r="I4506">
        <v>161.2328</v>
      </c>
      <c r="J4506">
        <v>-192.0085</v>
      </c>
      <c r="K4506">
        <v>1.1210420000000001</v>
      </c>
      <c r="L4506">
        <v>170.75960000000001</v>
      </c>
      <c r="M4506">
        <v>-1.2758240000000001E-2</v>
      </c>
      <c r="N4506">
        <v>-1.425528E-2</v>
      </c>
      <c r="O4506">
        <v>-0.99981710000000001</v>
      </c>
      <c r="P4506">
        <v>-4.3025300000000002E-2</v>
      </c>
      <c r="Q4506">
        <v>-8.4446549999999995E-2</v>
      </c>
      <c r="R4506">
        <v>-0.99549920000000003</v>
      </c>
      <c r="S4506">
        <v>-0.96963500000000002</v>
      </c>
      <c r="T4506">
        <v>-0.3420281</v>
      </c>
      <c r="U4506">
        <v>-2.9430239999999999</v>
      </c>
      <c r="V4506">
        <v>3.0311029999999999E-2</v>
      </c>
      <c r="W4506">
        <v>-7.0243920000000001E-2</v>
      </c>
      <c r="X4506">
        <v>0.99706919999999999</v>
      </c>
      <c r="Y4506">
        <v>0.29908210000000002</v>
      </c>
      <c r="Z4506">
        <v>9.5770709999999995E-2</v>
      </c>
      <c r="AA4506">
        <v>0.94940919999999895</v>
      </c>
      <c r="AB4506">
        <v>19</v>
      </c>
      <c r="AC4506">
        <v>-3.1766000000000001</v>
      </c>
      <c r="AD4506">
        <v>-1.121044155414</v>
      </c>
      <c r="AE4506">
        <v>-9.5267999999999997</v>
      </c>
      <c r="AF4506">
        <v>3.0171855395893998</v>
      </c>
      <c r="AG4506">
        <v>-1.121044155414</v>
      </c>
      <c r="AH4506">
        <v>9.4488110769546196</v>
      </c>
      <c r="AI4506">
        <v>96.448300920362897</v>
      </c>
      <c r="AJ4506">
        <v>72.290725945316495</v>
      </c>
      <c r="AK4506">
        <v>9.9819927542888696</v>
      </c>
      <c r="AL4506">
        <v>94.027997379371598</v>
      </c>
      <c r="AM4506">
        <v>88.258737318038797</v>
      </c>
      <c r="AN4506">
        <v>0.99999997821263298</v>
      </c>
    </row>
    <row r="4507" spans="1:40" x14ac:dyDescent="0.25">
      <c r="A4507" t="str">
        <f>"20190303154858844"</f>
        <v>20190303154858844</v>
      </c>
      <c r="B4507" t="str">
        <f>"1551599338835138"</f>
        <v>1551599338835138</v>
      </c>
      <c r="C4507" t="s">
        <v>40</v>
      </c>
      <c r="D4507">
        <v>5.2364059999999997</v>
      </c>
      <c r="E4507">
        <v>0.60535439999999996</v>
      </c>
      <c r="F4507" t="s">
        <v>41</v>
      </c>
      <c r="G4507">
        <v>-195.23599999999999</v>
      </c>
      <c r="H4507" s="1">
        <v>-2.0325820000000002E-6</v>
      </c>
      <c r="I4507">
        <v>160.9443</v>
      </c>
      <c r="J4507">
        <v>-192.01009999999999</v>
      </c>
      <c r="K4507">
        <v>1.1210279999999999</v>
      </c>
      <c r="L4507">
        <v>170.63550000000001</v>
      </c>
      <c r="M4507">
        <v>-1.277882E-2</v>
      </c>
      <c r="N4507">
        <v>-1.425219E-2</v>
      </c>
      <c r="O4507">
        <v>-0.99981710000000001</v>
      </c>
      <c r="P4507">
        <v>-4.4240799999999997E-2</v>
      </c>
      <c r="Q4507">
        <v>-8.4727259999999999E-2</v>
      </c>
      <c r="R4507">
        <v>-0.99542209999999998</v>
      </c>
      <c r="S4507">
        <v>-0.967804</v>
      </c>
      <c r="T4507">
        <v>-0.33615509999999998</v>
      </c>
      <c r="U4507">
        <v>-2.943222</v>
      </c>
      <c r="V4507">
        <v>3.1504789999999998E-2</v>
      </c>
      <c r="W4507">
        <v>-7.0529610000000006E-2</v>
      </c>
      <c r="X4507">
        <v>0.99701200000000001</v>
      </c>
      <c r="Y4507">
        <v>0.29857</v>
      </c>
      <c r="Z4507">
        <v>9.3918840000000003E-2</v>
      </c>
      <c r="AA4507">
        <v>0.94975529999999997</v>
      </c>
      <c r="AB4507">
        <v>19</v>
      </c>
      <c r="AC4507">
        <v>-3.22589999999999</v>
      </c>
      <c r="AD4507">
        <v>-1.121030032582</v>
      </c>
      <c r="AE4507">
        <v>-9.6912000000000091</v>
      </c>
      <c r="AF4507">
        <v>3.06486257337823</v>
      </c>
      <c r="AG4507">
        <v>-1.121030032582</v>
      </c>
      <c r="AH4507">
        <v>9.6158039348127193</v>
      </c>
      <c r="AI4507">
        <v>96.338225261922204</v>
      </c>
      <c r="AJ4507">
        <v>72.321265218686904</v>
      </c>
      <c r="AK4507">
        <v>10.154495371036599</v>
      </c>
      <c r="AL4507">
        <v>94.044407012847003</v>
      </c>
      <c r="AM4507">
        <v>88.190100961161804</v>
      </c>
      <c r="AN4507">
        <v>0.99999995291184696</v>
      </c>
    </row>
    <row r="4508" spans="1:40" x14ac:dyDescent="0.25">
      <c r="A4508" t="str">
        <f>"20190303154858859"</f>
        <v>20190303154858859</v>
      </c>
      <c r="B4508" t="str">
        <f>"1551599338855634"</f>
        <v>1551599338855634</v>
      </c>
      <c r="C4508" t="s">
        <v>40</v>
      </c>
      <c r="D4508">
        <v>5.0970309999999897</v>
      </c>
      <c r="E4508">
        <v>0.54336430000000002</v>
      </c>
      <c r="F4508" t="s">
        <v>41</v>
      </c>
      <c r="G4508">
        <v>-195.24029999999999</v>
      </c>
      <c r="H4508" s="1">
        <v>-1.9899729999999999E-6</v>
      </c>
      <c r="I4508">
        <v>160.85169999999999</v>
      </c>
      <c r="J4508">
        <v>-192.0119</v>
      </c>
      <c r="K4508">
        <v>1.121016</v>
      </c>
      <c r="L4508">
        <v>170.4984</v>
      </c>
      <c r="M4508">
        <v>-1.2821859999999999E-2</v>
      </c>
      <c r="N4508">
        <v>-1.424884E-2</v>
      </c>
      <c r="O4508">
        <v>-0.99981620000000004</v>
      </c>
      <c r="P4508">
        <v>-4.4713200000000002E-2</v>
      </c>
      <c r="Q4508">
        <v>-8.4815989999999994E-2</v>
      </c>
      <c r="R4508">
        <v>-0.99539290000000002</v>
      </c>
      <c r="S4508">
        <v>-0.9712982</v>
      </c>
      <c r="T4508">
        <v>-0.33709070000000002</v>
      </c>
      <c r="U4508">
        <v>-2.9419400000000002</v>
      </c>
      <c r="V4508">
        <v>3.1932240000000001E-2</v>
      </c>
      <c r="W4508">
        <v>-7.0623140000000001E-2</v>
      </c>
      <c r="X4508">
        <v>0.99699179999999998</v>
      </c>
      <c r="Y4508">
        <v>0.29965839999999999</v>
      </c>
      <c r="Z4508">
        <v>9.422585E-2</v>
      </c>
      <c r="AA4508">
        <v>0.94938210000000001</v>
      </c>
      <c r="AB4508">
        <v>19</v>
      </c>
      <c r="AC4508">
        <v>-3.2283999999999899</v>
      </c>
      <c r="AD4508">
        <v>-1.121017989973</v>
      </c>
      <c r="AE4508">
        <v>-9.6467000000000098</v>
      </c>
      <c r="AF4508">
        <v>3.06718535836275</v>
      </c>
      <c r="AG4508">
        <v>-1.121017989973</v>
      </c>
      <c r="AH4508">
        <v>9.5710737150740908</v>
      </c>
      <c r="AI4508">
        <v>96.364364733779794</v>
      </c>
      <c r="AJ4508">
        <v>72.2312115427344</v>
      </c>
      <c r="AK4508">
        <v>10.1128512011094</v>
      </c>
      <c r="AL4508">
        <v>94.049779204062602</v>
      </c>
      <c r="AM4508">
        <v>88.165524176502998</v>
      </c>
      <c r="AN4508">
        <v>0.99999997256105799</v>
      </c>
    </row>
    <row r="4509" spans="1:40" x14ac:dyDescent="0.25">
      <c r="A4509" t="str">
        <f>"20190303154858873"</f>
        <v>20190303154858873</v>
      </c>
      <c r="B4509" t="str">
        <f>"1551599338865394"</f>
        <v>1551599338865394</v>
      </c>
      <c r="C4509" t="s">
        <v>40</v>
      </c>
      <c r="D4509">
        <v>5.0353570000000003</v>
      </c>
      <c r="E4509">
        <v>0.54297189999999995</v>
      </c>
      <c r="F4509" t="s">
        <v>59</v>
      </c>
      <c r="G4509">
        <v>-194.77420000000001</v>
      </c>
      <c r="H4509" s="1">
        <v>-1.2949509999999999E-5</v>
      </c>
      <c r="I4509">
        <v>153.3835</v>
      </c>
      <c r="J4509">
        <v>-192.01349999999999</v>
      </c>
      <c r="K4509">
        <v>1.121003</v>
      </c>
      <c r="L4509">
        <v>170.38140000000001</v>
      </c>
      <c r="M4509">
        <v>-1.2882350000000001E-2</v>
      </c>
      <c r="N4509">
        <v>-1.4246119999999999E-2</v>
      </c>
      <c r="O4509">
        <v>-0.99981569999999997</v>
      </c>
      <c r="P4509">
        <v>-4.52889E-2</v>
      </c>
      <c r="Q4509">
        <v>-8.460231E-2</v>
      </c>
      <c r="R4509">
        <v>-0.99538530000000003</v>
      </c>
      <c r="S4509">
        <v>-0.48027039999999999</v>
      </c>
      <c r="T4509">
        <v>-0.19491059999999999</v>
      </c>
      <c r="U4509">
        <v>-2.9757229999999999</v>
      </c>
      <c r="V4509">
        <v>3.2445420000000003E-2</v>
      </c>
      <c r="W4509">
        <v>-7.0413359999999994E-2</v>
      </c>
      <c r="X4509">
        <v>0.99699009999999999</v>
      </c>
      <c r="Y4509">
        <v>0.146318</v>
      </c>
      <c r="Z4509">
        <v>5.0376490000000003E-2</v>
      </c>
      <c r="AA4509">
        <v>0.98795409999999995</v>
      </c>
      <c r="AB4509">
        <v>19</v>
      </c>
      <c r="AC4509">
        <v>-2.7607000000000101</v>
      </c>
      <c r="AD4509">
        <v>-1.1210159495100001</v>
      </c>
      <c r="AE4509">
        <v>-16.997900000000001</v>
      </c>
      <c r="AF4509">
        <v>2.5307513345641102</v>
      </c>
      <c r="AG4509">
        <v>-1.1210159495100001</v>
      </c>
      <c r="AH4509">
        <v>16.960185711192398</v>
      </c>
      <c r="AI4509">
        <v>93.740282282589007</v>
      </c>
      <c r="AJ4509">
        <v>81.513103904396203</v>
      </c>
      <c r="AK4509">
        <v>17.184565122067799</v>
      </c>
      <c r="AL4509">
        <v>94.037729574512397</v>
      </c>
      <c r="AM4509">
        <v>88.136059945569997</v>
      </c>
      <c r="AN4509">
        <v>1.00000000302173</v>
      </c>
    </row>
    <row r="4510" spans="1:40" x14ac:dyDescent="0.25">
      <c r="A4510" t="str">
        <f>"20190303154858891"</f>
        <v>20190303154858891</v>
      </c>
      <c r="B4510" t="str">
        <f>"1551599338884914"</f>
        <v>1551599338884914</v>
      </c>
      <c r="C4510" t="s">
        <v>40</v>
      </c>
      <c r="D4510">
        <v>5.0307040000000001</v>
      </c>
      <c r="E4510">
        <v>0.54273130000000003</v>
      </c>
      <c r="F4510" t="s">
        <v>59</v>
      </c>
      <c r="G4510">
        <v>-194.87219999999999</v>
      </c>
      <c r="H4510" s="1">
        <v>-1.27638E-5</v>
      </c>
      <c r="I4510">
        <v>152.61089999999999</v>
      </c>
      <c r="J4510">
        <v>-192.0155</v>
      </c>
      <c r="K4510">
        <v>1.1209789999999999</v>
      </c>
      <c r="L4510">
        <v>170.22929999999999</v>
      </c>
      <c r="M4510">
        <v>-1.298492E-2</v>
      </c>
      <c r="N4510">
        <v>-1.4242640000000001E-2</v>
      </c>
      <c r="O4510">
        <v>-0.99981430000000004</v>
      </c>
      <c r="P4510">
        <v>-4.6265689999999998E-2</v>
      </c>
      <c r="Q4510">
        <v>-8.4755339999999998E-2</v>
      </c>
      <c r="R4510">
        <v>-0.99532719999999997</v>
      </c>
      <c r="S4510">
        <v>-0.47877500000000001</v>
      </c>
      <c r="T4510">
        <v>-0.18774640000000001</v>
      </c>
      <c r="U4510">
        <v>-2.976181</v>
      </c>
      <c r="V4510">
        <v>3.3317159999999998E-2</v>
      </c>
      <c r="W4510">
        <v>-7.0572289999999996E-2</v>
      </c>
      <c r="X4510">
        <v>0.99695009999999995</v>
      </c>
      <c r="Y4510">
        <v>0.1457302</v>
      </c>
      <c r="Z4510">
        <v>4.8009299999999998E-2</v>
      </c>
      <c r="AA4510">
        <v>0.9881588</v>
      </c>
      <c r="AB4510">
        <v>19</v>
      </c>
      <c r="AC4510">
        <v>-2.85669999999998</v>
      </c>
      <c r="AD4510">
        <v>-1.1209917638</v>
      </c>
      <c r="AE4510">
        <v>-17.618400000000001</v>
      </c>
      <c r="AF4510">
        <v>2.6173380779372599</v>
      </c>
      <c r="AG4510">
        <v>-1.1209917638</v>
      </c>
      <c r="AH4510">
        <v>17.584647921259499</v>
      </c>
      <c r="AI4510">
        <v>93.607934517599404</v>
      </c>
      <c r="AJ4510">
        <v>81.534121437963805</v>
      </c>
      <c r="AK4510">
        <v>17.813672380039598</v>
      </c>
      <c r="AL4510">
        <v>94.046858348780205</v>
      </c>
      <c r="AM4510">
        <v>88.085939833119298</v>
      </c>
      <c r="AN4510">
        <v>0.999999991578159</v>
      </c>
    </row>
    <row r="4511" spans="1:40" x14ac:dyDescent="0.25">
      <c r="A4511" t="str">
        <f>"20190303154858912"</f>
        <v>20190303154858912</v>
      </c>
      <c r="B4511" t="str">
        <f>"1551599338905410"</f>
        <v>1551599338905410</v>
      </c>
      <c r="C4511" t="s">
        <v>40</v>
      </c>
      <c r="D4511">
        <v>5.0411780000000004</v>
      </c>
      <c r="E4511">
        <v>0.54217380000000004</v>
      </c>
      <c r="F4511" t="s">
        <v>59</v>
      </c>
      <c r="G4511">
        <v>-195.00380000000001</v>
      </c>
      <c r="H4511" s="1">
        <v>-1.2474479999999999E-5</v>
      </c>
      <c r="I4511">
        <v>151.6953</v>
      </c>
      <c r="J4511">
        <v>-192.0181</v>
      </c>
      <c r="K4511">
        <v>1.120951</v>
      </c>
      <c r="L4511">
        <v>170.0438</v>
      </c>
      <c r="M4511">
        <v>-1.315331E-2</v>
      </c>
      <c r="N4511">
        <v>-1.423847E-2</v>
      </c>
      <c r="O4511">
        <v>-0.99981240000000005</v>
      </c>
      <c r="P4511">
        <v>-4.7021800000000002E-2</v>
      </c>
      <c r="Q4511">
        <v>-8.5644799999999993E-2</v>
      </c>
      <c r="R4511">
        <v>-0.99521610000000005</v>
      </c>
      <c r="S4511">
        <v>-0.47988890000000001</v>
      </c>
      <c r="T4511">
        <v>-0.1800244</v>
      </c>
      <c r="U4511">
        <v>-2.9764560000000002</v>
      </c>
      <c r="V4511">
        <v>3.3901599999999997E-2</v>
      </c>
      <c r="W4511">
        <v>-7.1469759999999993E-2</v>
      </c>
      <c r="X4511">
        <v>0.99686649999999999</v>
      </c>
      <c r="Y4511">
        <v>0.14593130000000001</v>
      </c>
      <c r="Z4511">
        <v>4.545391E-2</v>
      </c>
      <c r="AA4511">
        <v>0.98824999999999996</v>
      </c>
      <c r="AB4511">
        <v>19</v>
      </c>
      <c r="AC4511">
        <v>-2.9857</v>
      </c>
      <c r="AD4511">
        <v>-1.1209634744799899</v>
      </c>
      <c r="AE4511">
        <v>-18.348500000000001</v>
      </c>
      <c r="AF4511">
        <v>2.7341322619405402</v>
      </c>
      <c r="AG4511">
        <v>-1.1209634744799899</v>
      </c>
      <c r="AH4511">
        <v>18.319576958646799</v>
      </c>
      <c r="AI4511">
        <v>93.463263355248401</v>
      </c>
      <c r="AJ4511">
        <v>81.511462887122804</v>
      </c>
      <c r="AK4511">
        <v>18.556371905108101</v>
      </c>
      <c r="AL4511">
        <v>94.098409605159702</v>
      </c>
      <c r="AM4511">
        <v>88.052226371527794</v>
      </c>
      <c r="AN4511">
        <v>1.0000000319496301</v>
      </c>
    </row>
    <row r="4512" spans="1:40" x14ac:dyDescent="0.25">
      <c r="A4512" t="str">
        <f>"20190303154858925"</f>
        <v>20190303154858925</v>
      </c>
      <c r="B4512" t="str">
        <f>"1551599338915170"</f>
        <v>1551599338915170</v>
      </c>
      <c r="C4512" t="s">
        <v>40</v>
      </c>
      <c r="D4512">
        <v>5.2622589999999896</v>
      </c>
      <c r="E4512">
        <v>0.54142219999999996</v>
      </c>
      <c r="F4512" t="s">
        <v>59</v>
      </c>
      <c r="G4512">
        <v>-194.98390000000001</v>
      </c>
      <c r="H4512" s="1">
        <v>-1.241463E-5</v>
      </c>
      <c r="I4512">
        <v>151.56399999999999</v>
      </c>
      <c r="J4512">
        <v>-192.0198</v>
      </c>
      <c r="K4512">
        <v>1.1209249999999999</v>
      </c>
      <c r="L4512">
        <v>169.9298</v>
      </c>
      <c r="M4512">
        <v>-1.327893E-2</v>
      </c>
      <c r="N4512">
        <v>-1.4235930000000001E-2</v>
      </c>
      <c r="O4512">
        <v>-0.99981050000000005</v>
      </c>
      <c r="P4512">
        <v>-4.7184190000000001E-2</v>
      </c>
      <c r="Q4512">
        <v>-8.5713890000000001E-2</v>
      </c>
      <c r="R4512">
        <v>-0.99520200000000003</v>
      </c>
      <c r="S4512">
        <v>-0.47766110000000001</v>
      </c>
      <c r="T4512">
        <v>-0.18053839999999999</v>
      </c>
      <c r="U4512">
        <v>-2.9763030000000001</v>
      </c>
      <c r="V4512">
        <v>3.3935699999999999E-2</v>
      </c>
      <c r="W4512">
        <v>-7.1543099999999998E-2</v>
      </c>
      <c r="X4512">
        <v>0.99685999999999997</v>
      </c>
      <c r="Y4512">
        <v>0.14509279999999999</v>
      </c>
      <c r="Z4512">
        <v>4.5636469999999998E-2</v>
      </c>
      <c r="AA4512">
        <v>0.98836500000000005</v>
      </c>
      <c r="AB4512">
        <v>19</v>
      </c>
      <c r="AC4512">
        <v>-2.9641000000000002</v>
      </c>
      <c r="AD4512">
        <v>-1.12093741463</v>
      </c>
      <c r="AE4512">
        <v>-18.3658</v>
      </c>
      <c r="AF4512">
        <v>2.7100965082372599</v>
      </c>
      <c r="AG4512">
        <v>-1.12093741463</v>
      </c>
      <c r="AH4512">
        <v>18.336970674211599</v>
      </c>
      <c r="AI4512">
        <v>93.460634494368406</v>
      </c>
      <c r="AJ4512">
        <v>81.592880483170404</v>
      </c>
      <c r="AK4512">
        <v>18.570019312816399</v>
      </c>
      <c r="AL4512">
        <v>94.102622785267698</v>
      </c>
      <c r="AM4512">
        <v>88.050256007074495</v>
      </c>
      <c r="AN4512">
        <v>0.99999995324604796</v>
      </c>
    </row>
    <row r="4513" spans="1:40" x14ac:dyDescent="0.25">
      <c r="A4513" t="str">
        <f>"20190303154858941"</f>
        <v>20190303154858941</v>
      </c>
      <c r="B4513" t="str">
        <f>"1551599338935667"</f>
        <v>1551599338935667</v>
      </c>
      <c r="C4513" t="s">
        <v>40</v>
      </c>
      <c r="D4513">
        <v>5.045064</v>
      </c>
      <c r="E4513">
        <v>0.54140819999999901</v>
      </c>
      <c r="F4513" t="s">
        <v>59</v>
      </c>
      <c r="G4513">
        <v>-194.8185</v>
      </c>
      <c r="H4513" s="1">
        <v>-1.267876E-5</v>
      </c>
      <c r="I4513">
        <v>152.2919</v>
      </c>
      <c r="J4513">
        <v>-192.02170000000001</v>
      </c>
      <c r="K4513">
        <v>1.1209</v>
      </c>
      <c r="L4513">
        <v>169.79839999999999</v>
      </c>
      <c r="M4513">
        <v>-1.344273E-2</v>
      </c>
      <c r="N4513">
        <v>-1.4233000000000001E-2</v>
      </c>
      <c r="O4513">
        <v>-0.99980840000000004</v>
      </c>
      <c r="P4513">
        <v>-4.7071549999999997E-2</v>
      </c>
      <c r="Q4513">
        <v>-8.5917489999999999E-2</v>
      </c>
      <c r="R4513">
        <v>-0.99518980000000001</v>
      </c>
      <c r="S4513">
        <v>-0.47218320000000003</v>
      </c>
      <c r="T4513">
        <v>-0.18911990000000001</v>
      </c>
      <c r="U4513">
        <v>-2.9758</v>
      </c>
      <c r="V4513">
        <v>3.3656070000000003E-2</v>
      </c>
      <c r="W4513">
        <v>-7.1751449999999994E-2</v>
      </c>
      <c r="X4513">
        <v>0.99685449999999998</v>
      </c>
      <c r="Y4513">
        <v>0.14315929999999999</v>
      </c>
      <c r="Z4513">
        <v>4.8502959999999998E-2</v>
      </c>
      <c r="AA4513">
        <v>0.98851040000000001</v>
      </c>
      <c r="AB4513">
        <v>19</v>
      </c>
      <c r="AC4513">
        <v>-2.79679999999999</v>
      </c>
      <c r="AD4513">
        <v>-1.1209126787599999</v>
      </c>
      <c r="AE4513">
        <v>-17.5064999999999</v>
      </c>
      <c r="AF4513">
        <v>2.5509904102836498</v>
      </c>
      <c r="AG4513">
        <v>-1.1209126787599999</v>
      </c>
      <c r="AH4513">
        <v>17.472669468107998</v>
      </c>
      <c r="AI4513">
        <v>93.632225650199302</v>
      </c>
      <c r="AJ4513">
        <v>81.693566885276596</v>
      </c>
      <c r="AK4513">
        <v>17.693450077599799</v>
      </c>
      <c r="AL4513">
        <v>94.114591141798002</v>
      </c>
      <c r="AM4513">
        <v>88.066298979844603</v>
      </c>
      <c r="AN4513">
        <v>0.99999994789759705</v>
      </c>
    </row>
    <row r="4514" spans="1:40" x14ac:dyDescent="0.25">
      <c r="A4514" t="str">
        <f>"20190303154858954"</f>
        <v>20190303154858954</v>
      </c>
      <c r="B4514" t="str">
        <f>"1551599338945426"</f>
        <v>1551599338945426</v>
      </c>
      <c r="C4514" t="s">
        <v>40</v>
      </c>
      <c r="D4514">
        <v>5.044333</v>
      </c>
      <c r="E4514">
        <v>0.54117749999999998</v>
      </c>
      <c r="F4514" t="s">
        <v>59</v>
      </c>
      <c r="G4514">
        <v>-194.84229999999999</v>
      </c>
      <c r="H4514" s="1">
        <v>-1.2577859999999999E-5</v>
      </c>
      <c r="I4514">
        <v>152.00299999999999</v>
      </c>
      <c r="J4514">
        <v>-192.02350000000001</v>
      </c>
      <c r="K4514">
        <v>1.120881</v>
      </c>
      <c r="L4514">
        <v>169.67939999999999</v>
      </c>
      <c r="M4514">
        <v>-1.3618679999999999E-2</v>
      </c>
      <c r="N4514">
        <v>-1.4230339999999999E-2</v>
      </c>
      <c r="O4514">
        <v>-0.99980599999999997</v>
      </c>
      <c r="P4514">
        <v>-4.6979649999999998E-2</v>
      </c>
      <c r="Q4514">
        <v>-8.6008059999999997E-2</v>
      </c>
      <c r="R4514">
        <v>-0.99518640000000003</v>
      </c>
      <c r="S4514">
        <v>-0.47171020000000002</v>
      </c>
      <c r="T4514">
        <v>-0.1874565</v>
      </c>
      <c r="U4514">
        <v>-2.976013</v>
      </c>
      <c r="V4514">
        <v>3.3385529999999997E-2</v>
      </c>
      <c r="W4514">
        <v>-7.1846110000000005E-2</v>
      </c>
      <c r="X4514">
        <v>0.99685679999999999</v>
      </c>
      <c r="Y4514">
        <v>0.142825799999999</v>
      </c>
      <c r="Z4514">
        <v>4.7953700000000002E-2</v>
      </c>
      <c r="AA4514">
        <v>0.98858550000000001</v>
      </c>
      <c r="AB4514">
        <v>19</v>
      </c>
      <c r="AC4514">
        <v>-2.81879999999998</v>
      </c>
      <c r="AD4514">
        <v>-1.12089357786</v>
      </c>
      <c r="AE4514">
        <v>-17.676400000000001</v>
      </c>
      <c r="AF4514">
        <v>2.5677160191085999</v>
      </c>
      <c r="AG4514">
        <v>-1.12089357786</v>
      </c>
      <c r="AH4514">
        <v>17.643964505917602</v>
      </c>
      <c r="AI4514">
        <v>93.597234777547797</v>
      </c>
      <c r="AJ4514">
        <v>81.719905793494505</v>
      </c>
      <c r="AK4514">
        <v>17.8650231305128</v>
      </c>
      <c r="AL4514">
        <v>94.120028709705807</v>
      </c>
      <c r="AM4514">
        <v>88.081835551029997</v>
      </c>
      <c r="AN4514">
        <v>0.99999996842087602</v>
      </c>
    </row>
    <row r="4515" spans="1:40" x14ac:dyDescent="0.25">
      <c r="A4515" t="str">
        <f>"20190303154858966"</f>
        <v>20190303154858966</v>
      </c>
      <c r="B4515" t="str">
        <f>"1551599338955186"</f>
        <v>1551599338955186</v>
      </c>
      <c r="C4515" t="s">
        <v>40</v>
      </c>
      <c r="D4515">
        <v>5.0681820000000002</v>
      </c>
      <c r="E4515">
        <v>0.54109700000000005</v>
      </c>
      <c r="F4515" t="s">
        <v>59</v>
      </c>
      <c r="G4515">
        <v>-194.8374</v>
      </c>
      <c r="H4515" s="1">
        <v>-1.250716E-5</v>
      </c>
      <c r="I4515">
        <v>151.84020000000001</v>
      </c>
      <c r="J4515">
        <v>-192.02510000000001</v>
      </c>
      <c r="K4515">
        <v>1.120865</v>
      </c>
      <c r="L4515">
        <v>169.57550000000001</v>
      </c>
      <c r="M4515">
        <v>-1.3785220000000001E-2</v>
      </c>
      <c r="N4515">
        <v>-1.4228029999999999E-2</v>
      </c>
      <c r="O4515">
        <v>-0.99980389999999997</v>
      </c>
      <c r="P4515">
        <v>-4.6952790000000001E-2</v>
      </c>
      <c r="Q4515">
        <v>-8.59983E-2</v>
      </c>
      <c r="R4515">
        <v>-0.99518870000000004</v>
      </c>
      <c r="S4515">
        <v>-0.46946719999999997</v>
      </c>
      <c r="T4515">
        <v>-0.18700369999999999</v>
      </c>
      <c r="U4515">
        <v>-2.976181</v>
      </c>
      <c r="V4515">
        <v>3.3189990000000003E-2</v>
      </c>
      <c r="W4515">
        <v>-7.1839739999999999E-2</v>
      </c>
      <c r="X4515">
        <v>0.99686379999999997</v>
      </c>
      <c r="Y4515">
        <v>0.1419271</v>
      </c>
      <c r="Z4515">
        <v>4.7810470000000001E-2</v>
      </c>
      <c r="AA4515">
        <v>0.98872179999999998</v>
      </c>
      <c r="AB4515">
        <v>19</v>
      </c>
      <c r="AC4515">
        <v>-2.8122999999999898</v>
      </c>
      <c r="AD4515">
        <v>-1.1208775071599999</v>
      </c>
      <c r="AE4515">
        <v>-17.735299999999899</v>
      </c>
      <c r="AF4515">
        <v>2.55755794308272</v>
      </c>
      <c r="AG4515">
        <v>-1.1208775071599999</v>
      </c>
      <c r="AH4515">
        <v>17.703408475497099</v>
      </c>
      <c r="AI4515">
        <v>93.5856759371881</v>
      </c>
      <c r="AJ4515">
        <v>81.779525999817494</v>
      </c>
      <c r="AK4515">
        <v>17.922280565502401</v>
      </c>
      <c r="AL4515">
        <v>94.1196627434189</v>
      </c>
      <c r="AM4515">
        <v>88.093075356349601</v>
      </c>
      <c r="AN4515">
        <v>0.99999997971495302</v>
      </c>
    </row>
    <row r="4516" spans="1:40" x14ac:dyDescent="0.25">
      <c r="A4516" t="str">
        <f>"20190303154858978"</f>
        <v>20190303154858978</v>
      </c>
      <c r="B4516" t="str">
        <f>"1551599338975682"</f>
        <v>1551599338975682</v>
      </c>
      <c r="C4516" t="s">
        <v>40</v>
      </c>
      <c r="D4516">
        <v>5.0746140000000004</v>
      </c>
      <c r="E4516">
        <v>0.54074140000000004</v>
      </c>
      <c r="F4516" t="s">
        <v>59</v>
      </c>
      <c r="G4516">
        <v>-194.83860000000001</v>
      </c>
      <c r="H4516" s="1">
        <v>-1.245037E-5</v>
      </c>
      <c r="I4516">
        <v>151.70740000000001</v>
      </c>
      <c r="J4516">
        <v>-192.02670000000001</v>
      </c>
      <c r="K4516">
        <v>1.120849</v>
      </c>
      <c r="L4516">
        <v>169.47559999999999</v>
      </c>
      <c r="M4516">
        <v>-1.3956339999999999E-2</v>
      </c>
      <c r="N4516">
        <v>-1.42258E-2</v>
      </c>
      <c r="O4516">
        <v>-0.99980150000000001</v>
      </c>
      <c r="P4516">
        <v>-4.6393709999999998E-2</v>
      </c>
      <c r="Q4516">
        <v>-8.5820380000000002E-2</v>
      </c>
      <c r="R4516">
        <v>-0.99523019999999995</v>
      </c>
      <c r="S4516">
        <v>-0.46864319999999998</v>
      </c>
      <c r="T4516">
        <v>-0.1867007</v>
      </c>
      <c r="U4516">
        <v>-2.9762420000000001</v>
      </c>
      <c r="V4516">
        <v>3.245754E-2</v>
      </c>
      <c r="W4516">
        <v>-7.1664279999999997E-2</v>
      </c>
      <c r="X4516">
        <v>0.99690060000000003</v>
      </c>
      <c r="Y4516">
        <v>0.14148859999999999</v>
      </c>
      <c r="Z4516">
        <v>4.77145E-2</v>
      </c>
      <c r="AA4516">
        <v>0.98878929999999998</v>
      </c>
      <c r="AB4516">
        <v>19</v>
      </c>
      <c r="AC4516">
        <v>-2.8119000000000001</v>
      </c>
      <c r="AD4516">
        <v>-1.1208614503700001</v>
      </c>
      <c r="AE4516">
        <v>-17.768199999999901</v>
      </c>
      <c r="AF4516">
        <v>2.5537080463217601</v>
      </c>
      <c r="AG4516">
        <v>-1.1208614503700001</v>
      </c>
      <c r="AH4516">
        <v>17.7368594673713</v>
      </c>
      <c r="AI4516">
        <v>93.579126838404093</v>
      </c>
      <c r="AJ4516">
        <v>81.807001653508095</v>
      </c>
      <c r="AK4516">
        <v>17.954774822928101</v>
      </c>
      <c r="AL4516">
        <v>94.109583425035595</v>
      </c>
      <c r="AM4516">
        <v>88.135196875854902</v>
      </c>
      <c r="AN4516">
        <v>1.0000000336055599</v>
      </c>
    </row>
    <row r="4517" spans="1:40" x14ac:dyDescent="0.25">
      <c r="A4517" t="str">
        <f>"20190303154858991"</f>
        <v>20190303154858991</v>
      </c>
      <c r="B4517" t="str">
        <f>"1551599338985442"</f>
        <v>1551599338985442</v>
      </c>
      <c r="C4517" t="s">
        <v>40</v>
      </c>
      <c r="D4517">
        <v>5.0703529999999999</v>
      </c>
      <c r="E4517">
        <v>0.54060319999999995</v>
      </c>
      <c r="F4517" t="s">
        <v>59</v>
      </c>
      <c r="G4517">
        <v>-194.84280000000001</v>
      </c>
      <c r="H4517" s="1">
        <v>-1.232914E-5</v>
      </c>
      <c r="I4517">
        <v>151.423</v>
      </c>
      <c r="J4517">
        <v>-192.0283</v>
      </c>
      <c r="K4517">
        <v>1.1208320000000001</v>
      </c>
      <c r="L4517">
        <v>169.3725</v>
      </c>
      <c r="M4517">
        <v>-1.415338E-2</v>
      </c>
      <c r="N4517">
        <v>-1.422353E-2</v>
      </c>
      <c r="O4517">
        <v>-0.99979870000000004</v>
      </c>
      <c r="P4517">
        <v>-4.6073259999999998E-2</v>
      </c>
      <c r="Q4517">
        <v>-8.5511719999999999E-2</v>
      </c>
      <c r="R4517">
        <v>-0.99527140000000003</v>
      </c>
      <c r="S4517">
        <v>-0.46437070000000003</v>
      </c>
      <c r="T4517">
        <v>-0.1848253</v>
      </c>
      <c r="U4517">
        <v>-2.976791</v>
      </c>
      <c r="V4517">
        <v>3.1938149999999998E-2</v>
      </c>
      <c r="W4517">
        <v>-7.1358039999999998E-2</v>
      </c>
      <c r="X4517">
        <v>0.99693929999999997</v>
      </c>
      <c r="Y4517">
        <v>0.13988610000000001</v>
      </c>
      <c r="Z4517">
        <v>4.7099259999999997E-2</v>
      </c>
      <c r="AA4517">
        <v>0.9890468</v>
      </c>
      <c r="AB4517">
        <v>19</v>
      </c>
      <c r="AC4517">
        <v>-2.8144999999999998</v>
      </c>
      <c r="AD4517">
        <v>-1.1208443291399901</v>
      </c>
      <c r="AE4517">
        <v>-17.9495</v>
      </c>
      <c r="AF4517">
        <v>2.55043997426319</v>
      </c>
      <c r="AG4517">
        <v>-1.1208443291399901</v>
      </c>
      <c r="AH4517">
        <v>17.9193443875577</v>
      </c>
      <c r="AI4517">
        <v>93.543534780703297</v>
      </c>
      <c r="AJ4517">
        <v>81.899562485368904</v>
      </c>
      <c r="AK4517">
        <v>18.134606126199198</v>
      </c>
      <c r="AL4517">
        <v>94.091992301013093</v>
      </c>
      <c r="AM4517">
        <v>88.165088327383202</v>
      </c>
      <c r="AN4517">
        <v>0.99999999159127695</v>
      </c>
    </row>
    <row r="4518" spans="1:40" x14ac:dyDescent="0.25">
      <c r="A4518" t="str">
        <f>"20190303154859003"</f>
        <v>20190303154859003</v>
      </c>
      <c r="B4518" t="str">
        <f>"1551599338995202"</f>
        <v>1551599338995202</v>
      </c>
      <c r="C4518" t="s">
        <v>40</v>
      </c>
      <c r="D4518">
        <v>5.1159150000000002</v>
      </c>
      <c r="E4518">
        <v>0.54057480000000002</v>
      </c>
      <c r="F4518" t="s">
        <v>59</v>
      </c>
      <c r="G4518">
        <v>-194.85059999999999</v>
      </c>
      <c r="H4518" s="1">
        <v>-1.2233090000000001E-5</v>
      </c>
      <c r="I4518">
        <v>151.19589999999999</v>
      </c>
      <c r="J4518">
        <v>-192.03</v>
      </c>
      <c r="K4518">
        <v>1.1208199999999999</v>
      </c>
      <c r="L4518">
        <v>169.2689</v>
      </c>
      <c r="M4518">
        <v>-1.435963E-2</v>
      </c>
      <c r="N4518">
        <v>-1.4221259999999999E-2</v>
      </c>
      <c r="O4518">
        <v>-0.99979580000000001</v>
      </c>
      <c r="P4518">
        <v>-4.5775830000000003E-2</v>
      </c>
      <c r="Q4518">
        <v>-8.5491549999999999E-2</v>
      </c>
      <c r="R4518">
        <v>-0.99528689999999997</v>
      </c>
      <c r="S4518">
        <v>-0.46224979999999899</v>
      </c>
      <c r="T4518">
        <v>-0.18357850000000001</v>
      </c>
      <c r="U4518">
        <v>-2.9770660000000002</v>
      </c>
      <c r="V4518">
        <v>3.1432920000000003E-2</v>
      </c>
      <c r="W4518">
        <v>-7.1340559999999997E-2</v>
      </c>
      <c r="X4518">
        <v>0.99695659999999997</v>
      </c>
      <c r="Y4518">
        <v>0.13898369999999999</v>
      </c>
      <c r="Z4518">
        <v>4.6690870000000002E-2</v>
      </c>
      <c r="AA4518">
        <v>0.9891934</v>
      </c>
      <c r="AB4518">
        <v>19</v>
      </c>
      <c r="AC4518">
        <v>-2.8205999999999798</v>
      </c>
      <c r="AD4518">
        <v>-1.12083223309</v>
      </c>
      <c r="AE4518">
        <v>-18.073</v>
      </c>
      <c r="AF4518">
        <v>2.5511824980119702</v>
      </c>
      <c r="AG4518">
        <v>-1.12083223309</v>
      </c>
      <c r="AH4518">
        <v>18.043894574806199</v>
      </c>
      <c r="AI4518">
        <v>93.519558405711095</v>
      </c>
      <c r="AJ4518">
        <v>81.952430602632305</v>
      </c>
      <c r="AK4518">
        <v>18.2577908975762</v>
      </c>
      <c r="AL4518">
        <v>94.090988246453705</v>
      </c>
      <c r="AM4518">
        <v>88.194126760528803</v>
      </c>
      <c r="AN4518">
        <v>0.99999998312219995</v>
      </c>
    </row>
    <row r="4519" spans="1:40" x14ac:dyDescent="0.25">
      <c r="A4519" t="str">
        <f>"20190303154859015"</f>
        <v>20190303154859015</v>
      </c>
      <c r="B4519" t="str">
        <f>"1551599339005938"</f>
        <v>1551599339005938</v>
      </c>
      <c r="C4519" t="s">
        <v>40</v>
      </c>
      <c r="D4519">
        <v>5.1036429999999999</v>
      </c>
      <c r="E4519">
        <v>0.54052060000000002</v>
      </c>
      <c r="F4519" t="s">
        <v>59</v>
      </c>
      <c r="G4519">
        <v>-194.8544</v>
      </c>
      <c r="H4519" s="1">
        <v>-1.216009E-5</v>
      </c>
      <c r="I4519">
        <v>151.02420000000001</v>
      </c>
      <c r="J4519">
        <v>-192.0318</v>
      </c>
      <c r="K4519">
        <v>1.1208070000000001</v>
      </c>
      <c r="L4519">
        <v>169.16159999999999</v>
      </c>
      <c r="M4519">
        <v>-1.459278E-2</v>
      </c>
      <c r="N4519">
        <v>-1.421884E-2</v>
      </c>
      <c r="O4519">
        <v>-0.99979229999999997</v>
      </c>
      <c r="P4519">
        <v>-4.553277E-2</v>
      </c>
      <c r="Q4519">
        <v>-8.5627309999999998E-2</v>
      </c>
      <c r="R4519">
        <v>-0.995286</v>
      </c>
      <c r="S4519">
        <v>-0.46090700000000001</v>
      </c>
      <c r="T4519">
        <v>-0.18290519999999999</v>
      </c>
      <c r="U4519">
        <v>-2.9772949999999998</v>
      </c>
      <c r="V4519">
        <v>3.09555E-2</v>
      </c>
      <c r="W4519">
        <v>-7.1479260000000003E-2</v>
      </c>
      <c r="X4519">
        <v>0.9969616</v>
      </c>
      <c r="Y4519">
        <v>0.13830780000000001</v>
      </c>
      <c r="Z4519">
        <v>4.6470940000000002E-2</v>
      </c>
      <c r="AA4519">
        <v>0.98929849999999997</v>
      </c>
      <c r="AB4519">
        <v>19</v>
      </c>
      <c r="AC4519">
        <v>-2.8225999999999898</v>
      </c>
      <c r="AD4519">
        <v>-1.1208191600899999</v>
      </c>
      <c r="AE4519">
        <v>-18.1373999999999</v>
      </c>
      <c r="AF4519">
        <v>2.5480970559735798</v>
      </c>
      <c r="AG4519">
        <v>-1.1208191600899999</v>
      </c>
      <c r="AH4519">
        <v>18.1091430399511</v>
      </c>
      <c r="AI4519">
        <v>93.507196994134603</v>
      </c>
      <c r="AJ4519">
        <v>81.990621029100197</v>
      </c>
      <c r="AK4519">
        <v>18.321847500667001</v>
      </c>
      <c r="AL4519">
        <v>94.098955525131302</v>
      </c>
      <c r="AM4519">
        <v>88.221546492524496</v>
      </c>
      <c r="AN4519">
        <v>0.99999997973247801</v>
      </c>
    </row>
    <row r="4520" spans="1:40" x14ac:dyDescent="0.25">
      <c r="A4520" t="str">
        <f>"20190303154859027"</f>
        <v>20190303154859027</v>
      </c>
      <c r="B4520" t="str">
        <f>"1551599339015698"</f>
        <v>1551599339015698</v>
      </c>
      <c r="C4520" t="s">
        <v>40</v>
      </c>
      <c r="D4520">
        <v>5.1062649999999996</v>
      </c>
      <c r="E4520">
        <v>0.54048149999999995</v>
      </c>
      <c r="F4520" t="s">
        <v>59</v>
      </c>
      <c r="G4520">
        <v>-194.84829999999999</v>
      </c>
      <c r="H4520" s="1">
        <v>-1.2118450000000001E-5</v>
      </c>
      <c r="I4520">
        <v>150.92959999999999</v>
      </c>
      <c r="J4520">
        <v>-192.0335</v>
      </c>
      <c r="K4520">
        <v>1.1208009999999999</v>
      </c>
      <c r="L4520">
        <v>169.06059999999999</v>
      </c>
      <c r="M4520">
        <v>-1.482284E-2</v>
      </c>
      <c r="N4520">
        <v>-1.4216579999999999E-2</v>
      </c>
      <c r="O4520">
        <v>-0.99978940000000005</v>
      </c>
      <c r="P4520">
        <v>-4.5181600000000002E-2</v>
      </c>
      <c r="Q4520">
        <v>-8.5450059999999994E-2</v>
      </c>
      <c r="R4520">
        <v>-0.99531789999999998</v>
      </c>
      <c r="S4520">
        <v>-0.45996090000000001</v>
      </c>
      <c r="T4520">
        <v>-0.18303849999999999</v>
      </c>
      <c r="U4520">
        <v>-2.977417</v>
      </c>
      <c r="V4520">
        <v>3.0373089999999998E-2</v>
      </c>
      <c r="W4520">
        <v>-7.1304190000000003E-2</v>
      </c>
      <c r="X4520">
        <v>0.99699210000000005</v>
      </c>
      <c r="Y4520">
        <v>0.13776659999999999</v>
      </c>
      <c r="Z4520">
        <v>4.6518480000000001E-2</v>
      </c>
      <c r="AA4520">
        <v>0.98937169999999997</v>
      </c>
      <c r="AB4520">
        <v>19</v>
      </c>
      <c r="AC4520">
        <v>-2.8147999999999902</v>
      </c>
      <c r="AD4520">
        <v>-1.1208131184500001</v>
      </c>
      <c r="AE4520">
        <v>-18.131</v>
      </c>
      <c r="AF4520">
        <v>2.5362467831824098</v>
      </c>
      <c r="AG4520">
        <v>-1.1208131184500001</v>
      </c>
      <c r="AH4520">
        <v>18.103183731538401</v>
      </c>
      <c r="AI4520">
        <v>93.508622878120406</v>
      </c>
      <c r="AJ4520">
        <v>82.024798981758494</v>
      </c>
      <c r="AK4520">
        <v>18.314312190457201</v>
      </c>
      <c r="AL4520">
        <v>94.088898887343603</v>
      </c>
      <c r="AM4520">
        <v>88.255039541051204</v>
      </c>
      <c r="AN4520">
        <v>1.00000002978505</v>
      </c>
    </row>
    <row r="4521" spans="1:40" x14ac:dyDescent="0.25">
      <c r="A4521" t="str">
        <f>"20190303154859044"</f>
        <v>20190303154859044</v>
      </c>
      <c r="B4521" t="str">
        <f>"1551599339035221"</f>
        <v>1551599339035221</v>
      </c>
      <c r="C4521" t="s">
        <v>40</v>
      </c>
      <c r="D4521">
        <v>5.14229</v>
      </c>
      <c r="E4521">
        <v>0.54051539999999998</v>
      </c>
      <c r="F4521" t="s">
        <v>59</v>
      </c>
      <c r="G4521">
        <v>-194.8595</v>
      </c>
      <c r="H4521" s="1">
        <v>-1.2025629999999999E-5</v>
      </c>
      <c r="I4521">
        <v>150.70859999999999</v>
      </c>
      <c r="J4521">
        <v>-192.0361</v>
      </c>
      <c r="K4521">
        <v>1.120787</v>
      </c>
      <c r="L4521">
        <v>168.91390000000001</v>
      </c>
      <c r="M4521">
        <v>-1.517316E-2</v>
      </c>
      <c r="N4521">
        <v>-1.421328E-2</v>
      </c>
      <c r="O4521">
        <v>-0.99978389999999995</v>
      </c>
      <c r="P4521">
        <v>-4.5599300000000002E-2</v>
      </c>
      <c r="Q4521">
        <v>-8.6122969999999993E-2</v>
      </c>
      <c r="R4521">
        <v>-0.99524080000000004</v>
      </c>
      <c r="S4521">
        <v>-0.45852660000000001</v>
      </c>
      <c r="T4521">
        <v>-0.1818564</v>
      </c>
      <c r="U4521">
        <v>-2.9776760000000002</v>
      </c>
      <c r="V4521">
        <v>3.0440209999999999E-2</v>
      </c>
      <c r="W4521">
        <v>-7.1982180000000007E-2</v>
      </c>
      <c r="X4521">
        <v>0.99694130000000003</v>
      </c>
      <c r="Y4521">
        <v>0.1369447</v>
      </c>
      <c r="Z4521">
        <v>4.6131249999999999E-2</v>
      </c>
      <c r="AA4521">
        <v>0.98950400000000005</v>
      </c>
      <c r="AB4521">
        <v>19</v>
      </c>
      <c r="AC4521">
        <v>-2.8233999999999901</v>
      </c>
      <c r="AD4521">
        <v>-1.12079902563</v>
      </c>
      <c r="AE4521">
        <v>-18.205300000000001</v>
      </c>
      <c r="AF4521">
        <v>2.5374236730520998</v>
      </c>
      <c r="AG4521">
        <v>-1.12079902563</v>
      </c>
      <c r="AH4521">
        <v>18.178765508467698</v>
      </c>
      <c r="AI4521">
        <v>93.494275001067805</v>
      </c>
      <c r="AJ4521">
        <v>82.053894958801493</v>
      </c>
      <c r="AK4521">
        <v>18.389187713552499</v>
      </c>
      <c r="AL4521">
        <v>94.127845062028399</v>
      </c>
      <c r="AM4521">
        <v>88.251096773521297</v>
      </c>
      <c r="AN4521">
        <v>0.99999999813404306</v>
      </c>
    </row>
    <row r="4522" spans="1:40" x14ac:dyDescent="0.25">
      <c r="A4522" t="str">
        <f>"20190303154859057"</f>
        <v>20190303154859057</v>
      </c>
      <c r="B4522" t="str">
        <f>"1551599339044983"</f>
        <v>1551599339044983</v>
      </c>
      <c r="C4522" t="s">
        <v>40</v>
      </c>
      <c r="D4522">
        <v>5.158023</v>
      </c>
      <c r="E4522">
        <v>0.54060149999999996</v>
      </c>
      <c r="F4522" t="s">
        <v>59</v>
      </c>
      <c r="G4522">
        <v>-194.84970000000001</v>
      </c>
      <c r="H4522" s="1">
        <v>-1.2023089999999999E-5</v>
      </c>
      <c r="I4522">
        <v>150.70679999999999</v>
      </c>
      <c r="J4522">
        <v>-192.03800000000001</v>
      </c>
      <c r="K4522">
        <v>1.120776</v>
      </c>
      <c r="L4522">
        <v>168.80629999999999</v>
      </c>
      <c r="M4522">
        <v>-1.544213E-2</v>
      </c>
      <c r="N4522">
        <v>-1.4210840000000001E-2</v>
      </c>
      <c r="O4522">
        <v>-0.99977990000000005</v>
      </c>
      <c r="P4522">
        <v>-4.6239710000000003E-2</v>
      </c>
      <c r="Q4522">
        <v>-8.6524119999999996E-2</v>
      </c>
      <c r="R4522">
        <v>-0.99517659999999997</v>
      </c>
      <c r="S4522">
        <v>-0.46009830000000002</v>
      </c>
      <c r="T4522">
        <v>-0.18328369999999999</v>
      </c>
      <c r="U4522">
        <v>-2.9774020000000001</v>
      </c>
      <c r="V4522">
        <v>3.0811930000000001E-2</v>
      </c>
      <c r="W4522">
        <v>-7.2387259999999995E-2</v>
      </c>
      <c r="X4522">
        <v>0.99690060000000003</v>
      </c>
      <c r="Y4522">
        <v>0.13719809999999999</v>
      </c>
      <c r="Z4522">
        <v>4.6607610000000001E-2</v>
      </c>
      <c r="AA4522">
        <v>0.98944650000000001</v>
      </c>
      <c r="AB4522">
        <v>19</v>
      </c>
      <c r="AC4522">
        <v>-2.8117000000000298</v>
      </c>
      <c r="AD4522">
        <v>-1.12078802309</v>
      </c>
      <c r="AE4522">
        <v>-18.099499999999999</v>
      </c>
      <c r="AF4522">
        <v>2.52239732332208</v>
      </c>
      <c r="AG4522">
        <v>-1.12078802309</v>
      </c>
      <c r="AH4522">
        <v>18.073095394723801</v>
      </c>
      <c r="AI4522">
        <v>93.514627262661705</v>
      </c>
      <c r="AJ4522">
        <v>82.054755496386093</v>
      </c>
      <c r="AK4522">
        <v>18.282653833516399</v>
      </c>
      <c r="AL4522">
        <v>94.151114932850902</v>
      </c>
      <c r="AM4522">
        <v>88.229681357546298</v>
      </c>
      <c r="AN4522">
        <v>1.0000000483604901</v>
      </c>
    </row>
    <row r="4523" spans="1:40" x14ac:dyDescent="0.25">
      <c r="A4523" t="str">
        <f>"20190303154859069"</f>
        <v>20190303154859069</v>
      </c>
      <c r="B4523" t="str">
        <f>"1551599339065479"</f>
        <v>1551599339065479</v>
      </c>
      <c r="C4523" t="s">
        <v>40</v>
      </c>
      <c r="D4523">
        <v>5.1542490000000001</v>
      </c>
      <c r="E4523">
        <v>0.54059159999999995</v>
      </c>
      <c r="F4523" t="s">
        <v>59</v>
      </c>
      <c r="G4523">
        <v>-194.85579999999999</v>
      </c>
      <c r="H4523" s="1">
        <v>-1.20114E-5</v>
      </c>
      <c r="I4523">
        <v>150.67699999999999</v>
      </c>
      <c r="J4523">
        <v>-192.03989999999999</v>
      </c>
      <c r="K4523">
        <v>1.1207689999999999</v>
      </c>
      <c r="L4523">
        <v>168.70439999999999</v>
      </c>
      <c r="M4523">
        <v>-1.570442E-2</v>
      </c>
      <c r="N4523">
        <v>-1.4208520000000001E-2</v>
      </c>
      <c r="O4523">
        <v>-0.99977609999999995</v>
      </c>
      <c r="P4523">
        <v>-4.7267749999999997E-2</v>
      </c>
      <c r="Q4523">
        <v>-8.6986560000000004E-2</v>
      </c>
      <c r="R4523">
        <v>-0.99508790000000003</v>
      </c>
      <c r="S4523">
        <v>-0.46270749999999999</v>
      </c>
      <c r="T4523">
        <v>-0.1840485</v>
      </c>
      <c r="U4523">
        <v>-2.9770660000000002</v>
      </c>
      <c r="V4523">
        <v>3.1578620000000002E-2</v>
      </c>
      <c r="W4523">
        <v>-7.2853870000000001E-2</v>
      </c>
      <c r="X4523">
        <v>0.99684260000000002</v>
      </c>
      <c r="Y4523">
        <v>0.13779949999999999</v>
      </c>
      <c r="Z4523">
        <v>4.6862979999999999E-2</v>
      </c>
      <c r="AA4523">
        <v>0.98935090000000003</v>
      </c>
      <c r="AB4523">
        <v>19</v>
      </c>
      <c r="AC4523">
        <v>-2.8158999999999899</v>
      </c>
      <c r="AD4523">
        <v>-1.1207810114000001</v>
      </c>
      <c r="AE4523">
        <v>-18.027399999999901</v>
      </c>
      <c r="AF4523">
        <v>2.5228950227881199</v>
      </c>
      <c r="AG4523">
        <v>-1.1207810114000001</v>
      </c>
      <c r="AH4523">
        <v>18.001480270381801</v>
      </c>
      <c r="AI4523">
        <v>93.528270787634796</v>
      </c>
      <c r="AJ4523">
        <v>82.021999446594805</v>
      </c>
      <c r="AK4523">
        <v>18.211931289582299</v>
      </c>
      <c r="AL4523">
        <v>94.177920558596995</v>
      </c>
      <c r="AM4523">
        <v>88.185554296145398</v>
      </c>
      <c r="AN4523">
        <v>1.0000000323949201</v>
      </c>
    </row>
    <row r="4524" spans="1:40" x14ac:dyDescent="0.25">
      <c r="A4524" t="str">
        <f>"20190303154859084"</f>
        <v>20190303154859084</v>
      </c>
      <c r="B4524" t="str">
        <f>"1551599339075238"</f>
        <v>1551599339075238</v>
      </c>
      <c r="C4524" t="s">
        <v>40</v>
      </c>
      <c r="D4524">
        <v>5.1547679999999998</v>
      </c>
      <c r="E4524">
        <v>0.54058809999999902</v>
      </c>
      <c r="F4524" t="s">
        <v>59</v>
      </c>
      <c r="G4524">
        <v>-194.85820000000001</v>
      </c>
      <c r="H4524" s="1">
        <v>-1.201673E-5</v>
      </c>
      <c r="I4524">
        <v>150.6885</v>
      </c>
      <c r="J4524">
        <v>-192.04220000000001</v>
      </c>
      <c r="K4524">
        <v>1.120762</v>
      </c>
      <c r="L4524">
        <v>168.58070000000001</v>
      </c>
      <c r="M4524">
        <v>-1.602845E-2</v>
      </c>
      <c r="N4524">
        <v>-1.42057E-2</v>
      </c>
      <c r="O4524">
        <v>-0.99977090000000002</v>
      </c>
      <c r="P4524">
        <v>-4.8471399999999998E-2</v>
      </c>
      <c r="Q4524">
        <v>-8.75475E-2</v>
      </c>
      <c r="R4524">
        <v>-0.9949808</v>
      </c>
      <c r="S4524">
        <v>-0.46562189999999998</v>
      </c>
      <c r="T4524">
        <v>-0.18517110000000001</v>
      </c>
      <c r="U4524">
        <v>-2.9765169999999999</v>
      </c>
      <c r="V4524">
        <v>3.2459719999999997E-2</v>
      </c>
      <c r="W4524">
        <v>-7.3419769999999995E-2</v>
      </c>
      <c r="X4524">
        <v>0.99677280000000001</v>
      </c>
      <c r="Y4524">
        <v>0.1384485</v>
      </c>
      <c r="Z4524">
        <v>4.724072E-2</v>
      </c>
      <c r="AA4524">
        <v>0.98924230000000002</v>
      </c>
      <c r="AB4524">
        <v>19</v>
      </c>
      <c r="AC4524">
        <v>-2.8159999999999998</v>
      </c>
      <c r="AD4524">
        <v>-1.12077401673</v>
      </c>
      <c r="AE4524">
        <v>-17.892199999999999</v>
      </c>
      <c r="AF4524">
        <v>2.5191792188803501</v>
      </c>
      <c r="AG4524">
        <v>-1.12077401673</v>
      </c>
      <c r="AH4524">
        <v>17.866630905066199</v>
      </c>
      <c r="AI4524">
        <v>93.554395101071293</v>
      </c>
      <c r="AJ4524">
        <v>81.974252456791803</v>
      </c>
      <c r="AK4524">
        <v>18.0781331511659</v>
      </c>
      <c r="AL4524">
        <v>94.210431208917001</v>
      </c>
      <c r="AM4524">
        <v>88.1348327747978</v>
      </c>
      <c r="AN4524">
        <v>1.00000005543458</v>
      </c>
    </row>
    <row r="4525" spans="1:40" x14ac:dyDescent="0.25">
      <c r="A4525" t="str">
        <f>"20190303154859102"</f>
        <v>20190303154859102</v>
      </c>
      <c r="B4525" t="str">
        <f>"1551599339095734"</f>
        <v>1551599339095734</v>
      </c>
      <c r="C4525" t="s">
        <v>40</v>
      </c>
      <c r="D4525">
        <v>5.2170909999999999</v>
      </c>
      <c r="E4525">
        <v>0.54073289999999996</v>
      </c>
      <c r="F4525" t="s">
        <v>59</v>
      </c>
      <c r="G4525">
        <v>-194.86429999999999</v>
      </c>
      <c r="H4525" s="1">
        <v>-1.20163899999999E-5</v>
      </c>
      <c r="I4525">
        <v>150.68510000000001</v>
      </c>
      <c r="J4525">
        <v>-192.04519999999999</v>
      </c>
      <c r="K4525">
        <v>1.1207530000000001</v>
      </c>
      <c r="L4525">
        <v>168.4273</v>
      </c>
      <c r="M4525">
        <v>-1.6439889999999999E-2</v>
      </c>
      <c r="N4525">
        <v>-1.420221E-2</v>
      </c>
      <c r="O4525">
        <v>-0.99976399999999999</v>
      </c>
      <c r="P4525">
        <v>-4.9933819999999997E-2</v>
      </c>
      <c r="Q4525">
        <v>-8.8452719999999999E-2</v>
      </c>
      <c r="R4525">
        <v>-0.99482800000000005</v>
      </c>
      <c r="S4525">
        <v>-0.46928409999999898</v>
      </c>
      <c r="T4525">
        <v>-0.18637619999999999</v>
      </c>
      <c r="U4525">
        <v>-2.9758909999999998</v>
      </c>
      <c r="V4525">
        <v>3.351341E-2</v>
      </c>
      <c r="W4525">
        <v>-7.4331090000000002E-2</v>
      </c>
      <c r="X4525">
        <v>0.99667030000000001</v>
      </c>
      <c r="Y4525">
        <v>0.13925679999999999</v>
      </c>
      <c r="Z4525">
        <v>4.7646019999999997E-2</v>
      </c>
      <c r="AA4525">
        <v>0.98910940000000003</v>
      </c>
      <c r="AB4525">
        <v>19</v>
      </c>
      <c r="AC4525">
        <v>-2.8190999999999899</v>
      </c>
      <c r="AD4525">
        <v>-1.12076501639</v>
      </c>
      <c r="AE4525">
        <v>-17.742199999999901</v>
      </c>
      <c r="AF4525">
        <v>2.5172124225910402</v>
      </c>
      <c r="AG4525">
        <v>-1.12076501639</v>
      </c>
      <c r="AH4525">
        <v>17.717194752773999</v>
      </c>
      <c r="AI4525">
        <v>93.583733375850798</v>
      </c>
      <c r="AJ4525">
        <v>81.913686594459307</v>
      </c>
      <c r="AK4525">
        <v>17.930183002694999</v>
      </c>
      <c r="AL4525">
        <v>94.2627894176849</v>
      </c>
      <c r="AM4525">
        <v>88.074133695035002</v>
      </c>
      <c r="AN4525">
        <v>0.99999997324625201</v>
      </c>
    </row>
    <row r="4526" spans="1:40" x14ac:dyDescent="0.25">
      <c r="A4526" t="str">
        <f>"20190303154859123"</f>
        <v>20190303154859123</v>
      </c>
      <c r="B4526" t="str">
        <f>"1551599339115254"</f>
        <v>1551599339115254</v>
      </c>
      <c r="C4526" t="s">
        <v>40</v>
      </c>
      <c r="D4526">
        <v>5.2621200000000004</v>
      </c>
      <c r="E4526">
        <v>0.5405008</v>
      </c>
      <c r="F4526" t="s">
        <v>59</v>
      </c>
      <c r="G4526">
        <v>-194.8794</v>
      </c>
      <c r="H4526" s="1">
        <v>-1.201412E-5</v>
      </c>
      <c r="I4526">
        <v>150.67359999999999</v>
      </c>
      <c r="J4526">
        <v>-192.04859999999999</v>
      </c>
      <c r="K4526">
        <v>1.1207590000000001</v>
      </c>
      <c r="L4526">
        <v>168.25290000000001</v>
      </c>
      <c r="M4526">
        <v>-1.6916549999999999E-2</v>
      </c>
      <c r="N4526">
        <v>-1.419805E-2</v>
      </c>
      <c r="O4526">
        <v>-0.99975630000000004</v>
      </c>
      <c r="P4526">
        <v>-5.137895E-2</v>
      </c>
      <c r="Q4526">
        <v>-8.9100840000000001E-2</v>
      </c>
      <c r="R4526">
        <v>-0.99469700000000005</v>
      </c>
      <c r="S4526">
        <v>-0.47494510000000001</v>
      </c>
      <c r="T4526">
        <v>-0.18781139999999999</v>
      </c>
      <c r="U4526">
        <v>-2.9750670000000001</v>
      </c>
      <c r="V4526">
        <v>3.4485490000000001E-2</v>
      </c>
      <c r="W4526">
        <v>-7.4985309999999999E-2</v>
      </c>
      <c r="X4526">
        <v>0.99658820000000004</v>
      </c>
      <c r="Y4526">
        <v>0.1406578</v>
      </c>
      <c r="Z4526">
        <v>4.8126240000000001E-2</v>
      </c>
      <c r="AA4526">
        <v>0.98888790000000004</v>
      </c>
      <c r="AB4526">
        <v>19</v>
      </c>
      <c r="AC4526">
        <v>-2.8308</v>
      </c>
      <c r="AD4526">
        <v>-1.12077101412</v>
      </c>
      <c r="AE4526">
        <v>-17.5793</v>
      </c>
      <c r="AF4526">
        <v>2.5229877868467701</v>
      </c>
      <c r="AG4526">
        <v>-1.12077101412</v>
      </c>
      <c r="AH4526">
        <v>17.5551230759276</v>
      </c>
      <c r="AI4526">
        <v>93.615922185681598</v>
      </c>
      <c r="AJ4526">
        <v>81.821564524557999</v>
      </c>
      <c r="AK4526">
        <v>17.770873395802301</v>
      </c>
      <c r="AL4526">
        <v>94.300378067378901</v>
      </c>
      <c r="AM4526">
        <v>88.018153378690599</v>
      </c>
      <c r="AN4526">
        <v>1.00000004305778</v>
      </c>
    </row>
    <row r="4527" spans="1:40" x14ac:dyDescent="0.25">
      <c r="A4527" t="str">
        <f>"20190303154859134"</f>
        <v>20190303154859134</v>
      </c>
      <c r="B4527" t="str">
        <f>"1551599339125015"</f>
        <v>1551599339125015</v>
      </c>
      <c r="C4527" t="s">
        <v>40</v>
      </c>
      <c r="D4527">
        <v>5.2479559999999896</v>
      </c>
      <c r="E4527">
        <v>0.50218969999999996</v>
      </c>
      <c r="F4527" t="s">
        <v>59</v>
      </c>
      <c r="G4527">
        <v>-194.8527</v>
      </c>
      <c r="H4527" s="1">
        <v>-1.2053259999999999E-5</v>
      </c>
      <c r="I4527">
        <v>150.77590000000001</v>
      </c>
      <c r="J4527">
        <v>-192.05070000000001</v>
      </c>
      <c r="K4527">
        <v>1.120762</v>
      </c>
      <c r="L4527">
        <v>168.15110000000001</v>
      </c>
      <c r="M4527">
        <v>-1.7197029999999999E-2</v>
      </c>
      <c r="N4527">
        <v>-1.4195569999999999E-2</v>
      </c>
      <c r="O4527">
        <v>-0.99975130000000001</v>
      </c>
      <c r="P4527">
        <v>-5.2214480000000001E-2</v>
      </c>
      <c r="Q4527">
        <v>-8.9128990000000005E-2</v>
      </c>
      <c r="R4527">
        <v>-0.9946507</v>
      </c>
      <c r="S4527">
        <v>-0.4772034</v>
      </c>
      <c r="T4527">
        <v>-0.1907355</v>
      </c>
      <c r="U4527">
        <v>-2.9742739999999999</v>
      </c>
      <c r="V4527">
        <v>3.5042770000000001E-2</v>
      </c>
      <c r="W4527">
        <v>-7.5016479999999996E-2</v>
      </c>
      <c r="X4527">
        <v>0.99656639999999996</v>
      </c>
      <c r="Y4527">
        <v>0.1411444</v>
      </c>
      <c r="Z4527">
        <v>4.9105910000000003E-2</v>
      </c>
      <c r="AA4527">
        <v>0.98877040000000005</v>
      </c>
      <c r="AB4527">
        <v>19</v>
      </c>
      <c r="AC4527">
        <v>-2.8019999999999898</v>
      </c>
      <c r="AD4527">
        <v>-1.1207740532599999</v>
      </c>
      <c r="AE4527">
        <v>-17.3752</v>
      </c>
      <c r="AF4527">
        <v>2.4926450914444498</v>
      </c>
      <c r="AG4527">
        <v>-1.1207740532599999</v>
      </c>
      <c r="AH4527">
        <v>17.350459084619501</v>
      </c>
      <c r="AI4527">
        <v>93.658497405358105</v>
      </c>
      <c r="AJ4527">
        <v>81.824569583488298</v>
      </c>
      <c r="AK4527">
        <v>17.564391377939099</v>
      </c>
      <c r="AL4527">
        <v>94.302169082463905</v>
      </c>
      <c r="AM4527">
        <v>87.986109198534294</v>
      </c>
      <c r="AN4527">
        <v>1.00000002880491</v>
      </c>
    </row>
    <row r="4528" spans="1:40" x14ac:dyDescent="0.25">
      <c r="A4528" t="str">
        <f>"20190303154859147"</f>
        <v>20190303154859147</v>
      </c>
      <c r="B4528" t="str">
        <f>"1551599339145697"</f>
        <v>1551599339145697</v>
      </c>
      <c r="C4528" t="s">
        <v>40</v>
      </c>
      <c r="D4528">
        <v>5.2523400000000002</v>
      </c>
      <c r="E4528">
        <v>0.49590119999999999</v>
      </c>
      <c r="F4528" t="s">
        <v>42</v>
      </c>
      <c r="G4528">
        <v>-192.09620000000001</v>
      </c>
      <c r="H4528">
        <v>1.0463070000000001</v>
      </c>
      <c r="I4528">
        <v>167.37200000000001</v>
      </c>
      <c r="J4528">
        <v>-192.05289999999999</v>
      </c>
      <c r="K4528">
        <v>1.1207640000000001</v>
      </c>
      <c r="L4528">
        <v>168.04429999999999</v>
      </c>
      <c r="M4528">
        <v>-1.7491320000000001E-2</v>
      </c>
      <c r="N4528">
        <v>-1.4192969999999999E-2</v>
      </c>
      <c r="O4528">
        <v>-0.99974629999999998</v>
      </c>
      <c r="P4528">
        <v>-5.3074259999999998E-2</v>
      </c>
      <c r="Q4528">
        <v>-8.9046749999999994E-2</v>
      </c>
      <c r="R4528">
        <v>-0.99461239999999995</v>
      </c>
      <c r="S4528">
        <v>-0.1738739</v>
      </c>
      <c r="T4528">
        <v>-0.28497430000000001</v>
      </c>
      <c r="U4528">
        <v>-2.9814759999999998</v>
      </c>
      <c r="V4528">
        <v>3.5610709999999997E-2</v>
      </c>
      <c r="W4528">
        <v>-7.4937180000000006E-2</v>
      </c>
      <c r="X4528">
        <v>0.9965522</v>
      </c>
      <c r="Y4528">
        <v>4.052451E-2</v>
      </c>
      <c r="Z4528">
        <v>8.0876180000000006E-2</v>
      </c>
      <c r="AA4528">
        <v>0.99590000000000001</v>
      </c>
      <c r="AB4528">
        <v>19</v>
      </c>
      <c r="AC4528">
        <v>-4.3300000000016298E-2</v>
      </c>
      <c r="AD4528">
        <v>-7.4456999999999995E-2</v>
      </c>
      <c r="AE4528">
        <v>-0.67229999999997803</v>
      </c>
      <c r="AF4528">
        <v>3.1152256489985899E-2</v>
      </c>
      <c r="AG4528">
        <v>-7.4456999999999995E-2</v>
      </c>
      <c r="AH4528">
        <v>0.664833753354376</v>
      </c>
      <c r="AI4528">
        <v>96.383176784823803</v>
      </c>
      <c r="AJ4528">
        <v>87.317241752882197</v>
      </c>
      <c r="AK4528">
        <v>0.669715034572679</v>
      </c>
      <c r="AL4528">
        <v>94.297612845861394</v>
      </c>
      <c r="AM4528">
        <v>87.953468361704907</v>
      </c>
      <c r="AN4528">
        <v>0.99999999546894802</v>
      </c>
    </row>
    <row r="4529" spans="1:40" x14ac:dyDescent="0.25">
      <c r="A4529" t="str">
        <f>"20190303154859160"</f>
        <v>20190303154859160</v>
      </c>
      <c r="B4529" t="str">
        <f>"1551599339155457"</f>
        <v>1551599339155457</v>
      </c>
      <c r="C4529" t="s">
        <v>40</v>
      </c>
      <c r="D4529">
        <v>5.1795119999999999</v>
      </c>
      <c r="E4529">
        <v>0.49624089999999998</v>
      </c>
      <c r="F4529" t="s">
        <v>42</v>
      </c>
      <c r="G4529">
        <v>-192.08879999999999</v>
      </c>
      <c r="H4529">
        <v>1.0470139999999999</v>
      </c>
      <c r="I4529">
        <v>167.1996</v>
      </c>
      <c r="J4529">
        <v>-192.05510000000001</v>
      </c>
      <c r="K4529">
        <v>1.120765</v>
      </c>
      <c r="L4529">
        <v>167.93770000000001</v>
      </c>
      <c r="M4529">
        <v>-1.7785160000000001E-2</v>
      </c>
      <c r="N4529">
        <v>-1.4190370000000001E-2</v>
      </c>
      <c r="O4529">
        <v>-0.99974130000000005</v>
      </c>
      <c r="P4529">
        <v>-5.3736979999999997E-2</v>
      </c>
      <c r="Q4529">
        <v>-8.9356329999999998E-2</v>
      </c>
      <c r="R4529">
        <v>-0.99454920000000002</v>
      </c>
      <c r="S4529">
        <v>-0.1266632</v>
      </c>
      <c r="T4529">
        <v>-0.2607199</v>
      </c>
      <c r="U4529">
        <v>-2.9861300000000002</v>
      </c>
      <c r="V4529">
        <v>3.598237E-2</v>
      </c>
      <c r="W4529">
        <v>-7.5249849999999993E-2</v>
      </c>
      <c r="X4529">
        <v>0.99651529999999999</v>
      </c>
      <c r="Y4529">
        <v>2.4471380000000001E-2</v>
      </c>
      <c r="Z4529">
        <v>7.2766999999999998E-2</v>
      </c>
      <c r="AA4529">
        <v>0.99704870000000001</v>
      </c>
      <c r="AB4529">
        <v>19</v>
      </c>
      <c r="AC4529">
        <v>-3.36999999999818E-2</v>
      </c>
      <c r="AD4529">
        <v>-7.3751000000000094E-2</v>
      </c>
      <c r="AE4529">
        <v>-0.73810000000000198</v>
      </c>
      <c r="AF4529">
        <v>2.0363238402107998E-2</v>
      </c>
      <c r="AG4529">
        <v>-7.3751000000000094E-2</v>
      </c>
      <c r="AH4529">
        <v>0.73129656227775397</v>
      </c>
      <c r="AI4529">
        <v>95.756571956881899</v>
      </c>
      <c r="AJ4529">
        <v>88.404988795043593</v>
      </c>
      <c r="AK4529">
        <v>0.73528806156395699</v>
      </c>
      <c r="AL4529">
        <v>94.315578192890698</v>
      </c>
      <c r="AM4529">
        <v>87.932051169678402</v>
      </c>
      <c r="AN4529">
        <v>1.0000000070049599</v>
      </c>
    </row>
    <row r="4530" spans="1:40" x14ac:dyDescent="0.25">
      <c r="A4530" t="str">
        <f>"20190303154859172"</f>
        <v>20190303154859172</v>
      </c>
      <c r="B4530" t="str">
        <f>"1551599339165217"</f>
        <v>1551599339165217</v>
      </c>
      <c r="C4530" t="s">
        <v>40</v>
      </c>
      <c r="D4530">
        <v>5.151497</v>
      </c>
      <c r="E4530">
        <v>0.49649270000000001</v>
      </c>
      <c r="F4530" t="s">
        <v>59</v>
      </c>
      <c r="G4530">
        <v>-192.63239999999999</v>
      </c>
      <c r="H4530" s="1">
        <v>-1.31545799999999E-5</v>
      </c>
      <c r="I4530">
        <v>154.8141</v>
      </c>
      <c r="J4530">
        <v>-192.05719999999999</v>
      </c>
      <c r="K4530">
        <v>1.12077</v>
      </c>
      <c r="L4530">
        <v>167.83779999999999</v>
      </c>
      <c r="M4530">
        <v>-1.8058609999999999E-2</v>
      </c>
      <c r="N4530">
        <v>-1.418794E-2</v>
      </c>
      <c r="O4530">
        <v>-0.99973650000000003</v>
      </c>
      <c r="P4530">
        <v>-5.4435329999999997E-2</v>
      </c>
      <c r="Q4530">
        <v>-8.9484720000000004E-2</v>
      </c>
      <c r="R4530">
        <v>-0.99449989999999999</v>
      </c>
      <c r="S4530">
        <v>-0.13139339999999999</v>
      </c>
      <c r="T4530">
        <v>-0.25504900000000003</v>
      </c>
      <c r="U4530">
        <v>-2.9864649999999999</v>
      </c>
      <c r="V4530">
        <v>3.6409940000000002E-2</v>
      </c>
      <c r="W4530">
        <v>-7.5380950000000002E-2</v>
      </c>
      <c r="X4530">
        <v>0.99648990000000004</v>
      </c>
      <c r="Y4530">
        <v>2.5774849999999998E-2</v>
      </c>
      <c r="Z4530">
        <v>7.0876720000000004E-2</v>
      </c>
      <c r="AA4530">
        <v>0.99715200000000004</v>
      </c>
      <c r="AB4530">
        <v>19</v>
      </c>
      <c r="AC4530">
        <v>-0.57519999999999505</v>
      </c>
      <c r="AD4530">
        <v>-1.12078315458</v>
      </c>
      <c r="AE4530">
        <v>-13.0236999999999</v>
      </c>
      <c r="AF4530">
        <v>0.33739878812318602</v>
      </c>
      <c r="AG4530">
        <v>-1.12078315458</v>
      </c>
      <c r="AH4530">
        <v>12.936346136041101</v>
      </c>
      <c r="AI4530">
        <v>94.949969879150402</v>
      </c>
      <c r="AJ4530">
        <v>88.505981149413799</v>
      </c>
      <c r="AK4530">
        <v>12.9891895117934</v>
      </c>
      <c r="AL4530">
        <v>94.32311089545</v>
      </c>
      <c r="AM4530">
        <v>87.907446649189197</v>
      </c>
      <c r="AN4530">
        <v>1.00000004607785</v>
      </c>
    </row>
    <row r="4531" spans="1:40" x14ac:dyDescent="0.25">
      <c r="A4531" t="str">
        <f>"20190303154859184"</f>
        <v>20190303154859184</v>
      </c>
      <c r="B4531" t="str">
        <f>"1551599339174976"</f>
        <v>1551599339174976</v>
      </c>
      <c r="C4531" t="s">
        <v>40</v>
      </c>
      <c r="D4531">
        <v>5.1993739999999997</v>
      </c>
      <c r="E4531">
        <v>0.4963476</v>
      </c>
      <c r="F4531" t="s">
        <v>59</v>
      </c>
      <c r="G4531">
        <v>-192.66030000000001</v>
      </c>
      <c r="H4531" s="1">
        <v>-1.305396E-5</v>
      </c>
      <c r="I4531">
        <v>154.5438</v>
      </c>
      <c r="J4531">
        <v>-192.05930000000001</v>
      </c>
      <c r="K4531">
        <v>1.1207769999999999</v>
      </c>
      <c r="L4531">
        <v>167.73490000000001</v>
      </c>
      <c r="M4531">
        <v>-1.8339520000000002E-2</v>
      </c>
      <c r="N4531">
        <v>-1.4185420000000001E-2</v>
      </c>
      <c r="O4531">
        <v>-0.99973120000000004</v>
      </c>
      <c r="P4531">
        <v>-5.50999E-2</v>
      </c>
      <c r="Q4531">
        <v>-8.9604210000000004E-2</v>
      </c>
      <c r="R4531">
        <v>-0.99445249999999996</v>
      </c>
      <c r="S4531">
        <v>-0.13549800000000001</v>
      </c>
      <c r="T4531">
        <v>-0.25178689999999998</v>
      </c>
      <c r="U4531">
        <v>-2.986542</v>
      </c>
      <c r="V4531">
        <v>3.6796379999999997E-2</v>
      </c>
      <c r="W4531">
        <v>-7.5503180000000003E-2</v>
      </c>
      <c r="X4531">
        <v>0.99646639999999997</v>
      </c>
      <c r="Y4531">
        <v>2.6863459999999999E-2</v>
      </c>
      <c r="Z4531">
        <v>6.9792140000000003E-2</v>
      </c>
      <c r="AA4531">
        <v>0.99719979999999997</v>
      </c>
      <c r="AB4531">
        <v>19</v>
      </c>
      <c r="AC4531">
        <v>-0.60099999999999898</v>
      </c>
      <c r="AD4531">
        <v>-1.12079005396</v>
      </c>
      <c r="AE4531">
        <v>-13.1911</v>
      </c>
      <c r="AF4531">
        <v>0.35638862394227899</v>
      </c>
      <c r="AG4531">
        <v>-1.12079005396</v>
      </c>
      <c r="AH4531">
        <v>13.1054895876216</v>
      </c>
      <c r="AI4531">
        <v>94.886281334828595</v>
      </c>
      <c r="AJ4531">
        <v>88.442291479696195</v>
      </c>
      <c r="AK4531">
        <v>13.1581549058973</v>
      </c>
      <c r="AL4531">
        <v>94.330134394669201</v>
      </c>
      <c r="AM4531">
        <v>87.885207387826597</v>
      </c>
      <c r="AN4531">
        <v>0.99999999505008796</v>
      </c>
    </row>
    <row r="4532" spans="1:40" x14ac:dyDescent="0.25">
      <c r="A4532" t="str">
        <f>"20190303154859201"</f>
        <v>20190303154859201</v>
      </c>
      <c r="B4532" t="str">
        <f>"1551599339195472"</f>
        <v>1551599339195472</v>
      </c>
      <c r="C4532" t="s">
        <v>40</v>
      </c>
      <c r="D4532">
        <v>5.2212300000000003</v>
      </c>
      <c r="E4532">
        <v>0.49578820000000001</v>
      </c>
      <c r="F4532" t="s">
        <v>59</v>
      </c>
      <c r="G4532">
        <v>-192.6806</v>
      </c>
      <c r="H4532" s="1">
        <v>-1.295185E-5</v>
      </c>
      <c r="I4532">
        <v>154.13079999999999</v>
      </c>
      <c r="J4532">
        <v>-192.06229999999999</v>
      </c>
      <c r="K4532">
        <v>1.1207849999999999</v>
      </c>
      <c r="L4532">
        <v>167.59530000000001</v>
      </c>
      <c r="M4532">
        <v>-1.8717830000000001E-2</v>
      </c>
      <c r="N4532">
        <v>-1.4182E-2</v>
      </c>
      <c r="O4532">
        <v>-0.99972459999999996</v>
      </c>
      <c r="P4532">
        <v>-5.5734520000000003E-2</v>
      </c>
      <c r="Q4532">
        <v>-9.0041300000000005E-2</v>
      </c>
      <c r="R4532">
        <v>-0.99437770000000003</v>
      </c>
      <c r="S4532">
        <v>-0.1363983</v>
      </c>
      <c r="T4532">
        <v>-0.24608869999999999</v>
      </c>
      <c r="U4532">
        <v>-2.987015</v>
      </c>
      <c r="V4532">
        <v>3.7056550000000001E-2</v>
      </c>
      <c r="W4532">
        <v>-7.5943919999999998E-2</v>
      </c>
      <c r="X4532">
        <v>0.99642319999999995</v>
      </c>
      <c r="Y4532">
        <v>2.678438E-2</v>
      </c>
      <c r="Z4532">
        <v>6.7892960000000002E-2</v>
      </c>
      <c r="AA4532">
        <v>0.99733300000000003</v>
      </c>
      <c r="AB4532">
        <v>19</v>
      </c>
      <c r="AC4532">
        <v>-0.61830000000000496</v>
      </c>
      <c r="AD4532">
        <v>-1.12079795185</v>
      </c>
      <c r="AE4532">
        <v>-13.464499999999999</v>
      </c>
      <c r="AF4532">
        <v>0.363625898159745</v>
      </c>
      <c r="AG4532">
        <v>-1.12079795185</v>
      </c>
      <c r="AH4532">
        <v>13.381191080231201</v>
      </c>
      <c r="AI4532">
        <v>94.786114699616604</v>
      </c>
      <c r="AJ4532">
        <v>88.443404395102107</v>
      </c>
      <c r="AK4532">
        <v>13.432970132042399</v>
      </c>
      <c r="AL4532">
        <v>94.355459932504402</v>
      </c>
      <c r="AM4532">
        <v>87.870176149409204</v>
      </c>
      <c r="AN4532">
        <v>0.999999930190552</v>
      </c>
    </row>
    <row r="4533" spans="1:40" x14ac:dyDescent="0.25">
      <c r="A4533" t="str">
        <f>"20190303154859212"</f>
        <v>20190303154859212</v>
      </c>
      <c r="B4533" t="str">
        <f>"1551599339205232"</f>
        <v>1551599339205232</v>
      </c>
      <c r="C4533" t="s">
        <v>40</v>
      </c>
      <c r="D4533">
        <v>5.1622130000000004</v>
      </c>
      <c r="E4533">
        <v>0.49622640000000001</v>
      </c>
      <c r="F4533" t="s">
        <v>59</v>
      </c>
      <c r="G4533">
        <v>-192.69239999999999</v>
      </c>
      <c r="H4533" s="1">
        <v>-1.2808E-5</v>
      </c>
      <c r="I4533">
        <v>153.5549</v>
      </c>
      <c r="J4533">
        <v>-192.06450000000001</v>
      </c>
      <c r="K4533">
        <v>1.1207860000000001</v>
      </c>
      <c r="L4533">
        <v>167.4991</v>
      </c>
      <c r="M4533">
        <v>-1.8975470000000001E-2</v>
      </c>
      <c r="N4533">
        <v>-1.417963E-2</v>
      </c>
      <c r="O4533">
        <v>-0.99971960000000004</v>
      </c>
      <c r="P4533">
        <v>-5.6081869999999999E-2</v>
      </c>
      <c r="Q4533">
        <v>-8.9980589999999999E-2</v>
      </c>
      <c r="R4533">
        <v>-0.99436349999999996</v>
      </c>
      <c r="S4533">
        <v>-0.134079</v>
      </c>
      <c r="T4533">
        <v>-0.2385099</v>
      </c>
      <c r="U4533">
        <v>-2.9878390000000001</v>
      </c>
      <c r="V4533">
        <v>3.7148460000000001E-2</v>
      </c>
      <c r="W4533">
        <v>-7.5885220000000003E-2</v>
      </c>
      <c r="X4533">
        <v>0.99642430000000004</v>
      </c>
      <c r="Y4533">
        <v>2.575036E-2</v>
      </c>
      <c r="Z4533">
        <v>6.5362719999999999E-2</v>
      </c>
      <c r="AA4533">
        <v>0.99752929999999995</v>
      </c>
      <c r="AB4533">
        <v>19</v>
      </c>
      <c r="AC4533">
        <v>-0.62789999999998203</v>
      </c>
      <c r="AD4533">
        <v>-1.120798808</v>
      </c>
      <c r="AE4533">
        <v>-13.944199999999899</v>
      </c>
      <c r="AF4533">
        <v>0.36083614940853698</v>
      </c>
      <c r="AG4533">
        <v>-1.120798808</v>
      </c>
      <c r="AH4533">
        <v>13.864215804357</v>
      </c>
      <c r="AI4533">
        <v>94.620246728641703</v>
      </c>
      <c r="AJ4533">
        <v>88.5091315270151</v>
      </c>
      <c r="AK4533">
        <v>13.9141249298875</v>
      </c>
      <c r="AL4533">
        <v>94.352086718739997</v>
      </c>
      <c r="AM4533">
        <v>87.864900863368206</v>
      </c>
      <c r="AN4533">
        <v>0.99999998016265401</v>
      </c>
    </row>
    <row r="4534" spans="1:40" x14ac:dyDescent="0.25">
      <c r="A4534" t="str">
        <f>"20190303154859224"</f>
        <v>20190303154859224</v>
      </c>
      <c r="B4534" t="str">
        <f>"1551599339214993"</f>
        <v>1551599339214993</v>
      </c>
      <c r="C4534" t="s">
        <v>40</v>
      </c>
      <c r="D4534">
        <v>5.2126659999999996</v>
      </c>
      <c r="E4534">
        <v>0.4960466</v>
      </c>
      <c r="F4534" t="s">
        <v>59</v>
      </c>
      <c r="G4534">
        <v>-192.72020000000001</v>
      </c>
      <c r="H4534" s="1">
        <v>-1.276204E-5</v>
      </c>
      <c r="I4534">
        <v>153.36250000000001</v>
      </c>
      <c r="J4534">
        <v>-192.06659999999999</v>
      </c>
      <c r="K4534">
        <v>1.120784</v>
      </c>
      <c r="L4534">
        <v>167.4006</v>
      </c>
      <c r="M4534">
        <v>-1.92388E-2</v>
      </c>
      <c r="N4534">
        <v>-1.4177169999999999E-2</v>
      </c>
      <c r="O4534">
        <v>-0.99971460000000001</v>
      </c>
      <c r="P4534">
        <v>-5.6094430000000001E-2</v>
      </c>
      <c r="Q4534">
        <v>-9.0448749999999994E-2</v>
      </c>
      <c r="R4534">
        <v>-0.99432019999999999</v>
      </c>
      <c r="S4534">
        <v>-0.13858029999999999</v>
      </c>
      <c r="T4534">
        <v>-0.23688029999999999</v>
      </c>
      <c r="U4534">
        <v>-2.987778</v>
      </c>
      <c r="V4534">
        <v>3.6900170000000003E-2</v>
      </c>
      <c r="W4534">
        <v>-7.6355699999999999E-2</v>
      </c>
      <c r="X4534">
        <v>0.99639759999999999</v>
      </c>
      <c r="Y4534">
        <v>2.698859E-2</v>
      </c>
      <c r="Z4534">
        <v>6.4822169999999998E-2</v>
      </c>
      <c r="AA4534">
        <v>0.99753179999999997</v>
      </c>
      <c r="AB4534">
        <v>19</v>
      </c>
      <c r="AC4534">
        <v>-0.65360000000001095</v>
      </c>
      <c r="AD4534">
        <v>-1.1207967620399999</v>
      </c>
      <c r="AE4534">
        <v>-14.038099999999901</v>
      </c>
      <c r="AF4534">
        <v>0.380952636972682</v>
      </c>
      <c r="AG4534">
        <v>-1.1207967620399999</v>
      </c>
      <c r="AH4534">
        <v>13.959287854764501</v>
      </c>
      <c r="AI4534">
        <v>94.588752446338802</v>
      </c>
      <c r="AJ4534">
        <v>88.436771106726994</v>
      </c>
      <c r="AK4534">
        <v>14.0093906971571</v>
      </c>
      <c r="AL4534">
        <v>94.379121605180899</v>
      </c>
      <c r="AM4534">
        <v>87.879101418950299</v>
      </c>
      <c r="AN4534">
        <v>0.99999999637713899</v>
      </c>
    </row>
    <row r="4535" spans="1:40" x14ac:dyDescent="0.25">
      <c r="A4535" t="str">
        <f>"20190303154859236"</f>
        <v>20190303154859236</v>
      </c>
      <c r="B4535" t="str">
        <f>"1551599339225728"</f>
        <v>1551599339225728</v>
      </c>
      <c r="C4535" t="s">
        <v>40</v>
      </c>
      <c r="D4535">
        <v>5.1798219999999997</v>
      </c>
      <c r="E4535">
        <v>0.49589220000000001</v>
      </c>
      <c r="F4535" t="s">
        <v>59</v>
      </c>
      <c r="G4535">
        <v>-192.7218</v>
      </c>
      <c r="H4535" s="1">
        <v>-1.268321E-5</v>
      </c>
      <c r="I4535">
        <v>153.12540000000001</v>
      </c>
      <c r="J4535">
        <v>-192.06880000000001</v>
      </c>
      <c r="K4535">
        <v>1.120787</v>
      </c>
      <c r="L4535">
        <v>167.3021</v>
      </c>
      <c r="M4535">
        <v>-1.9499860000000001E-2</v>
      </c>
      <c r="N4535">
        <v>-1.4174630000000001E-2</v>
      </c>
      <c r="O4535">
        <v>-0.99970950000000003</v>
      </c>
      <c r="P4535">
        <v>-5.604286E-2</v>
      </c>
      <c r="Q4535">
        <v>-9.0617349999999999E-2</v>
      </c>
      <c r="R4535">
        <v>-0.99430770000000002</v>
      </c>
      <c r="S4535">
        <v>-0.13714599999999999</v>
      </c>
      <c r="T4535">
        <v>-0.23460130000000001</v>
      </c>
      <c r="U4535">
        <v>-2.9880369999999998</v>
      </c>
      <c r="V4535">
        <v>3.6589579999999997E-2</v>
      </c>
      <c r="W4535">
        <v>-7.6526300000000005E-2</v>
      </c>
      <c r="X4535">
        <v>0.9963959</v>
      </c>
      <c r="Y4535">
        <v>2.6248609999999999E-2</v>
      </c>
      <c r="Z4535">
        <v>6.4063259999999997E-2</v>
      </c>
      <c r="AA4535">
        <v>0.99760059999999995</v>
      </c>
      <c r="AB4535">
        <v>19</v>
      </c>
      <c r="AC4535">
        <v>-0.65299999999999103</v>
      </c>
      <c r="AD4535">
        <v>-1.12079968321</v>
      </c>
      <c r="AE4535">
        <v>-14.176699999999901</v>
      </c>
      <c r="AF4535">
        <v>0.37407127326568002</v>
      </c>
      <c r="AG4535">
        <v>-1.12079968321</v>
      </c>
      <c r="AH4535">
        <v>14.098802426953799</v>
      </c>
      <c r="AI4535">
        <v>94.543639592549596</v>
      </c>
      <c r="AJ4535">
        <v>88.4801774323263</v>
      </c>
      <c r="AK4535">
        <v>14.1482278438554</v>
      </c>
      <c r="AL4535">
        <v>94.388925237367005</v>
      </c>
      <c r="AM4535">
        <v>87.896933412527204</v>
      </c>
      <c r="AN4535">
        <v>0.99999993074653504</v>
      </c>
    </row>
    <row r="4536" spans="1:40" x14ac:dyDescent="0.25">
      <c r="A4536" t="str">
        <f>"20190303154859255"</f>
        <v>20190303154859255</v>
      </c>
      <c r="B4536" t="str">
        <f>"1551599339245248"</f>
        <v>1551599339245248</v>
      </c>
      <c r="C4536" t="s">
        <v>40</v>
      </c>
      <c r="D4536">
        <v>5.2133000000000003</v>
      </c>
      <c r="E4536">
        <v>0.49497219999999997</v>
      </c>
      <c r="F4536" t="s">
        <v>59</v>
      </c>
      <c r="G4536">
        <v>-192.72479999999999</v>
      </c>
      <c r="H4536" s="1">
        <v>-1.257422E-5</v>
      </c>
      <c r="I4536">
        <v>152.87010000000001</v>
      </c>
      <c r="J4536">
        <v>-192.07259999999999</v>
      </c>
      <c r="K4536">
        <v>1.1207860000000001</v>
      </c>
      <c r="L4536">
        <v>167.1343</v>
      </c>
      <c r="M4536">
        <v>-1.9942020000000001E-2</v>
      </c>
      <c r="N4536">
        <v>-1.417026E-2</v>
      </c>
      <c r="O4536">
        <v>-0.9997009</v>
      </c>
      <c r="P4536">
        <v>-5.5614110000000001E-2</v>
      </c>
      <c r="Q4536">
        <v>-9.0787010000000001E-2</v>
      </c>
      <c r="R4536">
        <v>-0.99431659999999999</v>
      </c>
      <c r="S4536">
        <v>-0.1358337</v>
      </c>
      <c r="T4536">
        <v>-0.23207720000000001</v>
      </c>
      <c r="U4536">
        <v>-2.9883579999999998</v>
      </c>
      <c r="V4536">
        <v>3.5721540000000003E-2</v>
      </c>
      <c r="W4536">
        <v>-7.6698950000000002E-2</v>
      </c>
      <c r="X4536">
        <v>0.99641420000000003</v>
      </c>
      <c r="Y4536">
        <v>2.5367580000000001E-2</v>
      </c>
      <c r="Z4536">
        <v>6.322303E-2</v>
      </c>
      <c r="AA4536">
        <v>0.99767700000000004</v>
      </c>
      <c r="AB4536">
        <v>19</v>
      </c>
      <c r="AC4536">
        <v>-0.65219999999999301</v>
      </c>
      <c r="AD4536">
        <v>-1.12079857422</v>
      </c>
      <c r="AE4536">
        <v>-14.264199999999899</v>
      </c>
      <c r="AF4536">
        <v>0.36533397044805199</v>
      </c>
      <c r="AG4536">
        <v>-1.12079857422</v>
      </c>
      <c r="AH4536">
        <v>14.1869640047258</v>
      </c>
      <c r="AI4536">
        <v>94.515608607334599</v>
      </c>
      <c r="AJ4536">
        <v>88.524880339027803</v>
      </c>
      <c r="AK4536">
        <v>14.235856350262999</v>
      </c>
      <c r="AL4536">
        <v>94.398846174708893</v>
      </c>
      <c r="AM4536">
        <v>87.946820376568198</v>
      </c>
      <c r="AN4536">
        <v>1.00000000765635</v>
      </c>
    </row>
    <row r="4537" spans="1:40" x14ac:dyDescent="0.25">
      <c r="A4537" t="str">
        <f>"20190303154859269"</f>
        <v>20190303154859269</v>
      </c>
      <c r="B4537" t="str">
        <f>"1551599339265745"</f>
        <v>1551599339265745</v>
      </c>
      <c r="C4537" t="s">
        <v>40</v>
      </c>
      <c r="D4537">
        <v>5.2242369999999996</v>
      </c>
      <c r="E4537">
        <v>0.49389630000000001</v>
      </c>
      <c r="F4537" t="s">
        <v>59</v>
      </c>
      <c r="G4537">
        <v>-192.67750000000001</v>
      </c>
      <c r="H4537" s="1">
        <v>-1.258886E-5</v>
      </c>
      <c r="I4537">
        <v>152.9238</v>
      </c>
      <c r="J4537">
        <v>-192.0752</v>
      </c>
      <c r="K4537">
        <v>1.12079</v>
      </c>
      <c r="L4537">
        <v>167.0248</v>
      </c>
      <c r="M4537">
        <v>-2.0228679999999999E-2</v>
      </c>
      <c r="N4537">
        <v>-1.41674E-2</v>
      </c>
      <c r="O4537">
        <v>-0.99969520000000001</v>
      </c>
      <c r="P4537">
        <v>-5.5508750000000003E-2</v>
      </c>
      <c r="Q4537">
        <v>-9.1099600000000003E-2</v>
      </c>
      <c r="R4537">
        <v>-0.99429389999999995</v>
      </c>
      <c r="S4537">
        <v>-0.12719730000000001</v>
      </c>
      <c r="T4537">
        <v>-0.23570659999999999</v>
      </c>
      <c r="U4537">
        <v>-2.9885100000000002</v>
      </c>
      <c r="V4537">
        <v>3.5331649999999999E-2</v>
      </c>
      <c r="W4537">
        <v>-7.7014050000000001E-2</v>
      </c>
      <c r="X4537">
        <v>0.99640379999999995</v>
      </c>
      <c r="Y4537">
        <v>2.2199460000000001E-2</v>
      </c>
      <c r="Z4537">
        <v>6.4432279999999995E-2</v>
      </c>
      <c r="AA4537">
        <v>0.99767510000000004</v>
      </c>
      <c r="AB4537">
        <v>19</v>
      </c>
      <c r="AC4537">
        <v>-0.60230000000001305</v>
      </c>
      <c r="AD4537">
        <v>-1.1208025888599999</v>
      </c>
      <c r="AE4537">
        <v>-14.101000000000001</v>
      </c>
      <c r="AF4537">
        <v>0.31491761376140998</v>
      </c>
      <c r="AG4537">
        <v>-1.1208025888599999</v>
      </c>
      <c r="AH4537">
        <v>14.0218744646542</v>
      </c>
      <c r="AI4537">
        <v>94.568927471672495</v>
      </c>
      <c r="AJ4537">
        <v>88.713409011463298</v>
      </c>
      <c r="AK4537">
        <v>14.0701220694482</v>
      </c>
      <c r="AL4537">
        <v>94.416953618755699</v>
      </c>
      <c r="AM4537">
        <v>87.969190176422401</v>
      </c>
      <c r="AN4537">
        <v>1.0000000110217799</v>
      </c>
    </row>
    <row r="4538" spans="1:40" x14ac:dyDescent="0.25">
      <c r="A4538" t="str">
        <f>"20190303154859284"</f>
        <v>20190303154859284</v>
      </c>
      <c r="B4538" t="str">
        <f>"1551599339275505"</f>
        <v>1551599339275505</v>
      </c>
      <c r="C4538" t="s">
        <v>40</v>
      </c>
      <c r="D4538">
        <v>5.2720729999999998</v>
      </c>
      <c r="E4538">
        <v>0.49344500000000002</v>
      </c>
      <c r="F4538" t="s">
        <v>59</v>
      </c>
      <c r="G4538">
        <v>-192.62299999999999</v>
      </c>
      <c r="H4538" s="1">
        <v>-1.269019E-5</v>
      </c>
      <c r="I4538">
        <v>153.1825</v>
      </c>
      <c r="J4538">
        <v>-192.0778</v>
      </c>
      <c r="K4538">
        <v>1.120792</v>
      </c>
      <c r="L4538">
        <v>166.91120000000001</v>
      </c>
      <c r="M4538">
        <v>-2.052553E-2</v>
      </c>
      <c r="N4538">
        <v>-1.416446E-2</v>
      </c>
      <c r="O4538">
        <v>-0.99968919999999994</v>
      </c>
      <c r="P4538">
        <v>-5.553085E-2</v>
      </c>
      <c r="Q4538">
        <v>-9.1382909999999998E-2</v>
      </c>
      <c r="R4538">
        <v>-0.99426639999999999</v>
      </c>
      <c r="S4538">
        <v>-0.118270899999999</v>
      </c>
      <c r="T4538">
        <v>-0.24197099999999999</v>
      </c>
      <c r="U4538">
        <v>-2.9884339999999998</v>
      </c>
      <c r="V4538">
        <v>3.5059119999999999E-2</v>
      </c>
      <c r="W4538">
        <v>-7.7300069999999999E-2</v>
      </c>
      <c r="X4538">
        <v>0.99639129999999998</v>
      </c>
      <c r="Y4538">
        <v>1.8925009999999999E-2</v>
      </c>
      <c r="Z4538">
        <v>6.6520399999999993E-2</v>
      </c>
      <c r="AA4538">
        <v>0.99760559999999998</v>
      </c>
      <c r="AB4538">
        <v>19</v>
      </c>
      <c r="AC4538">
        <v>-0.54519999999999402</v>
      </c>
      <c r="AD4538">
        <v>-1.12080469019</v>
      </c>
      <c r="AE4538">
        <v>-13.7287</v>
      </c>
      <c r="AF4538">
        <v>0.261527722162471</v>
      </c>
      <c r="AG4538">
        <v>-1.12080469019</v>
      </c>
      <c r="AH4538">
        <v>13.646189991395</v>
      </c>
      <c r="AI4538">
        <v>94.694486054686806</v>
      </c>
      <c r="AJ4538">
        <v>88.902067129363104</v>
      </c>
      <c r="AK4538">
        <v>13.694637679919101</v>
      </c>
      <c r="AL4538">
        <v>94.433390259838603</v>
      </c>
      <c r="AM4538">
        <v>87.984816563799299</v>
      </c>
      <c r="AN4538">
        <v>1.00000003271643</v>
      </c>
    </row>
    <row r="4539" spans="1:40" x14ac:dyDescent="0.25">
      <c r="A4539" t="str">
        <f>"20190303154859303"</f>
        <v>20190303154859303</v>
      </c>
      <c r="B4539" t="str">
        <f>"1551599339295024"</f>
        <v>1551599339295024</v>
      </c>
      <c r="C4539" t="s">
        <v>40</v>
      </c>
      <c r="D4539">
        <v>5.4357850000000001</v>
      </c>
      <c r="E4539">
        <v>0.49225059999999898</v>
      </c>
      <c r="F4539" t="s">
        <v>59</v>
      </c>
      <c r="G4539">
        <v>-192.60149999999999</v>
      </c>
      <c r="H4539" s="1">
        <v>-1.2718070000000001E-5</v>
      </c>
      <c r="I4539">
        <v>153.25640000000001</v>
      </c>
      <c r="J4539">
        <v>-192.08170000000001</v>
      </c>
      <c r="K4539">
        <v>1.120797</v>
      </c>
      <c r="L4539">
        <v>166.74610000000001</v>
      </c>
      <c r="M4539">
        <v>-2.0955669999999999E-2</v>
      </c>
      <c r="N4539">
        <v>-1.416034E-2</v>
      </c>
      <c r="O4539">
        <v>-0.99968020000000002</v>
      </c>
      <c r="P4539">
        <v>-5.5517249999999997E-2</v>
      </c>
      <c r="Q4539">
        <v>-9.1388869999999997E-2</v>
      </c>
      <c r="R4539">
        <v>-0.99426650000000005</v>
      </c>
      <c r="S4539">
        <v>-0.114624</v>
      </c>
      <c r="T4539">
        <v>-0.2452898</v>
      </c>
      <c r="U4539">
        <v>-2.9883730000000002</v>
      </c>
      <c r="V4539">
        <v>3.461794E-2</v>
      </c>
      <c r="W4539">
        <v>-7.7309359999999994E-2</v>
      </c>
      <c r="X4539">
        <v>0.99640600000000001</v>
      </c>
      <c r="Y4539">
        <v>1.7278120000000001E-2</v>
      </c>
      <c r="Z4539">
        <v>6.7628010000000002E-2</v>
      </c>
      <c r="AA4539">
        <v>0.99756100000000003</v>
      </c>
      <c r="AB4539">
        <v>19</v>
      </c>
      <c r="AC4539">
        <v>-0.51979999999997495</v>
      </c>
      <c r="AD4539">
        <v>-1.1208097180700001</v>
      </c>
      <c r="AE4539">
        <v>-13.489699999999999</v>
      </c>
      <c r="AF4539">
        <v>0.23534951839850099</v>
      </c>
      <c r="AG4539">
        <v>-1.1208097180700001</v>
      </c>
      <c r="AH4539">
        <v>13.4052273692299</v>
      </c>
      <c r="AI4539">
        <v>94.778645143226797</v>
      </c>
      <c r="AJ4539">
        <v>88.994187226908906</v>
      </c>
      <c r="AK4539">
        <v>13.454059782856699</v>
      </c>
      <c r="AL4539">
        <v>94.433924156738698</v>
      </c>
      <c r="AM4539">
        <v>88.010184221343295</v>
      </c>
      <c r="AN4539">
        <v>1.0000000278747201</v>
      </c>
    </row>
    <row r="4540" spans="1:40" x14ac:dyDescent="0.25">
      <c r="A4540" t="str">
        <f>"20190303154859323"</f>
        <v>20190303154859323</v>
      </c>
      <c r="B4540" t="str">
        <f>"1551599339315520"</f>
        <v>1551599339315520</v>
      </c>
      <c r="C4540" t="s">
        <v>40</v>
      </c>
      <c r="D4540">
        <v>5.213743</v>
      </c>
      <c r="E4540">
        <v>0.49184369999999999</v>
      </c>
      <c r="F4540" t="s">
        <v>59</v>
      </c>
      <c r="G4540">
        <v>-192.54939999999999</v>
      </c>
      <c r="H4540" s="1">
        <v>-1.276904E-5</v>
      </c>
      <c r="I4540">
        <v>153.45050000000001</v>
      </c>
      <c r="J4540">
        <v>-192.08580000000001</v>
      </c>
      <c r="K4540">
        <v>1.1207940000000001</v>
      </c>
      <c r="L4540">
        <v>166.57599999999999</v>
      </c>
      <c r="M4540">
        <v>-2.1398819999999999E-2</v>
      </c>
      <c r="N4540">
        <v>-1.415604E-2</v>
      </c>
      <c r="O4540">
        <v>-0.99967110000000003</v>
      </c>
      <c r="P4540">
        <v>-5.5814879999999997E-2</v>
      </c>
      <c r="Q4540">
        <v>-9.1175359999999997E-2</v>
      </c>
      <c r="R4540">
        <v>-0.99426970000000003</v>
      </c>
      <c r="S4540">
        <v>-0.1051178</v>
      </c>
      <c r="T4540">
        <v>-0.25190899999999999</v>
      </c>
      <c r="U4540">
        <v>-2.9882659999999999</v>
      </c>
      <c r="V4540">
        <v>3.4474919999999999E-2</v>
      </c>
      <c r="W4540">
        <v>-7.7099479999999998E-2</v>
      </c>
      <c r="X4540">
        <v>0.99642719999999996</v>
      </c>
      <c r="Y4540">
        <v>1.366392E-2</v>
      </c>
      <c r="Z4540">
        <v>6.9833839999999994E-2</v>
      </c>
      <c r="AA4540">
        <v>0.99746509999999999</v>
      </c>
      <c r="AB4540">
        <v>19</v>
      </c>
      <c r="AC4540">
        <v>-0.46359999999998502</v>
      </c>
      <c r="AD4540">
        <v>-1.1208067690400001</v>
      </c>
      <c r="AE4540">
        <v>-13.125499999999899</v>
      </c>
      <c r="AF4540">
        <v>0.181275388848225</v>
      </c>
      <c r="AG4540">
        <v>-1.1208067690400001</v>
      </c>
      <c r="AH4540">
        <v>13.037468320778</v>
      </c>
      <c r="AI4540">
        <v>94.913057697058207</v>
      </c>
      <c r="AJ4540">
        <v>89.203400137478894</v>
      </c>
      <c r="AK4540">
        <v>13.0868120180363</v>
      </c>
      <c r="AL4540">
        <v>94.4218630101483</v>
      </c>
      <c r="AM4540">
        <v>88.018440473701403</v>
      </c>
      <c r="AN4540">
        <v>1.0000000074125499</v>
      </c>
    </row>
    <row r="4541" spans="1:40" x14ac:dyDescent="0.25">
      <c r="A4541" t="str">
        <f>"20190303154859335"</f>
        <v>20190303154859335</v>
      </c>
      <c r="B4541" t="str">
        <f>"1551599339325280"</f>
        <v>1551599339325280</v>
      </c>
      <c r="C4541" t="s">
        <v>40</v>
      </c>
      <c r="D4541">
        <v>5.2351619999999999</v>
      </c>
      <c r="E4541">
        <v>0.49167529999999998</v>
      </c>
      <c r="F4541" t="s">
        <v>59</v>
      </c>
      <c r="G4541">
        <v>-192.54310000000001</v>
      </c>
      <c r="H4541" s="1">
        <v>-1.2714750000000001E-5</v>
      </c>
      <c r="I4541">
        <v>153.27279999999999</v>
      </c>
      <c r="J4541">
        <v>-192.0882</v>
      </c>
      <c r="K4541">
        <v>1.120792</v>
      </c>
      <c r="L4541">
        <v>166.4787</v>
      </c>
      <c r="M4541">
        <v>-2.1652109999999999E-2</v>
      </c>
      <c r="N4541">
        <v>-1.4153580000000001E-2</v>
      </c>
      <c r="O4541">
        <v>-0.99966560000000004</v>
      </c>
      <c r="P4541">
        <v>-5.620547E-2</v>
      </c>
      <c r="Q4541">
        <v>-9.1442590000000004E-2</v>
      </c>
      <c r="R4541">
        <v>-0.99422319999999997</v>
      </c>
      <c r="S4541">
        <v>-0.1027222</v>
      </c>
      <c r="T4541">
        <v>-0.25178040000000002</v>
      </c>
      <c r="U4541">
        <v>-2.9884490000000001</v>
      </c>
      <c r="V4541">
        <v>3.4614319999999997E-2</v>
      </c>
      <c r="W4541">
        <v>-7.7369530000000006E-2</v>
      </c>
      <c r="X4541">
        <v>0.99640139999999999</v>
      </c>
      <c r="Y4541">
        <v>1.2610639999999999E-2</v>
      </c>
      <c r="Z4541">
        <v>6.9789569999999995E-2</v>
      </c>
      <c r="AA4541">
        <v>0.99748199999999998</v>
      </c>
      <c r="AB4541">
        <v>18</v>
      </c>
      <c r="AC4541">
        <v>-0.45490000000000902</v>
      </c>
      <c r="AD4541">
        <v>-1.12080471475</v>
      </c>
      <c r="AE4541">
        <v>-13.2059</v>
      </c>
      <c r="AF4541">
        <v>0.167623167340436</v>
      </c>
      <c r="AG4541">
        <v>-1.12080471475</v>
      </c>
      <c r="AH4541">
        <v>13.118272785492501</v>
      </c>
      <c r="AI4541">
        <v>94.883005666552705</v>
      </c>
      <c r="AJ4541">
        <v>89.267923639930501</v>
      </c>
      <c r="AK4541">
        <v>13.167132626712201</v>
      </c>
      <c r="AL4541">
        <v>94.437382246232005</v>
      </c>
      <c r="AM4541">
        <v>88.010382951388394</v>
      </c>
      <c r="AN4541">
        <v>0.99999997262172102</v>
      </c>
    </row>
    <row r="4542" spans="1:40" x14ac:dyDescent="0.25">
      <c r="A4542" t="str">
        <f>"20190303154859348"</f>
        <v>20190303154859348</v>
      </c>
      <c r="B4542" t="str">
        <f>"1551599339345777"</f>
        <v>1551599339345777</v>
      </c>
      <c r="C4542" t="s">
        <v>40</v>
      </c>
      <c r="D4542">
        <v>5.1916679999999999</v>
      </c>
      <c r="E4542">
        <v>0.49137259999999999</v>
      </c>
      <c r="F4542" t="s">
        <v>59</v>
      </c>
      <c r="G4542">
        <v>-192.54400000000001</v>
      </c>
      <c r="H4542" s="1">
        <v>-1.268484E-5</v>
      </c>
      <c r="I4542">
        <v>153.20269999999999</v>
      </c>
      <c r="J4542">
        <v>-192.0908</v>
      </c>
      <c r="K4542">
        <v>1.1207910000000001</v>
      </c>
      <c r="L4542">
        <v>166.37559999999999</v>
      </c>
      <c r="M4542">
        <v>-2.1921159999999999E-2</v>
      </c>
      <c r="N4542">
        <v>-1.4151E-2</v>
      </c>
      <c r="O4542">
        <v>-0.99965970000000004</v>
      </c>
      <c r="P4542">
        <v>-5.660772E-2</v>
      </c>
      <c r="Q4542">
        <v>-9.1615509999999997E-2</v>
      </c>
      <c r="R4542">
        <v>-0.99418430000000002</v>
      </c>
      <c r="S4542">
        <v>-0.1025848</v>
      </c>
      <c r="T4542">
        <v>-0.2522935</v>
      </c>
      <c r="U4542">
        <v>-2.9884339999999998</v>
      </c>
      <c r="V4542">
        <v>3.4749559999999999E-2</v>
      </c>
      <c r="W4542">
        <v>-7.7545320000000001E-2</v>
      </c>
      <c r="X4542">
        <v>0.99638309999999997</v>
      </c>
      <c r="Y4542">
        <v>1.229569E-2</v>
      </c>
      <c r="Z4542">
        <v>6.9962049999999998E-2</v>
      </c>
      <c r="AA4542">
        <v>0.99747390000000002</v>
      </c>
      <c r="AB4542">
        <v>18</v>
      </c>
      <c r="AC4542">
        <v>-0.45320000000000898</v>
      </c>
      <c r="AD4542">
        <v>-1.12080368484</v>
      </c>
      <c r="AE4542">
        <v>-13.172899999999901</v>
      </c>
      <c r="AF4542">
        <v>0.163117493925266</v>
      </c>
      <c r="AG4542">
        <v>-1.12080368484</v>
      </c>
      <c r="AH4542">
        <v>13.0850550227334</v>
      </c>
      <c r="AI4542">
        <v>94.895356215782499</v>
      </c>
      <c r="AJ4542">
        <v>89.285791318658696</v>
      </c>
      <c r="AK4542">
        <v>13.133981618867001</v>
      </c>
      <c r="AL4542">
        <v>94.447484298818395</v>
      </c>
      <c r="AM4542">
        <v>88.002579040313506</v>
      </c>
      <c r="AN4542">
        <v>1.0000000452698501</v>
      </c>
    </row>
    <row r="4543" spans="1:40" x14ac:dyDescent="0.25">
      <c r="A4543" t="str">
        <f>"20190303154859360"</f>
        <v>20190303154859360</v>
      </c>
      <c r="B4543" t="str">
        <f>"1551599339355537"</f>
        <v>1551599339355537</v>
      </c>
      <c r="C4543" t="s">
        <v>40</v>
      </c>
      <c r="D4543">
        <v>5.2178779999999998</v>
      </c>
      <c r="E4543">
        <v>0.491232</v>
      </c>
      <c r="F4543" t="s">
        <v>59</v>
      </c>
      <c r="G4543">
        <v>-192.5401</v>
      </c>
      <c r="H4543" s="1">
        <v>-1.2658769999999999E-5</v>
      </c>
      <c r="I4543">
        <v>153.14359999999999</v>
      </c>
      <c r="J4543">
        <v>-192.0933</v>
      </c>
      <c r="K4543">
        <v>1.1207910000000001</v>
      </c>
      <c r="L4543">
        <v>166.27289999999999</v>
      </c>
      <c r="M4543">
        <v>-2.2189130000000001E-2</v>
      </c>
      <c r="N4543">
        <v>-1.414846E-2</v>
      </c>
      <c r="O4543">
        <v>-0.99965389999999998</v>
      </c>
      <c r="P4543">
        <v>-5.7159429999999997E-2</v>
      </c>
      <c r="Q4543">
        <v>-9.2001830000000007E-2</v>
      </c>
      <c r="R4543">
        <v>-0.99411729999999998</v>
      </c>
      <c r="S4543">
        <v>-0.1014709</v>
      </c>
      <c r="T4543">
        <v>-0.25313469999999999</v>
      </c>
      <c r="U4543">
        <v>-2.988464</v>
      </c>
      <c r="V4543">
        <v>3.5035780000000002E-2</v>
      </c>
      <c r="W4543">
        <v>-7.7934870000000003E-2</v>
      </c>
      <c r="X4543">
        <v>0.99634270000000003</v>
      </c>
      <c r="Y4543">
        <v>1.16557E-2</v>
      </c>
      <c r="Z4543">
        <v>7.0242490000000005E-2</v>
      </c>
      <c r="AA4543">
        <v>0.99746190000000001</v>
      </c>
      <c r="AB4543">
        <v>18</v>
      </c>
      <c r="AC4543">
        <v>-0.44679999999999598</v>
      </c>
      <c r="AD4543">
        <v>-1.1208036587700001</v>
      </c>
      <c r="AE4543">
        <v>-13.129300000000001</v>
      </c>
      <c r="AF4543">
        <v>0.15421062738855601</v>
      </c>
      <c r="AG4543">
        <v>-1.1208036587700001</v>
      </c>
      <c r="AH4543">
        <v>13.041055710773501</v>
      </c>
      <c r="AI4543">
        <v>94.911829955160201</v>
      </c>
      <c r="AJ4543">
        <v>89.322508353222403</v>
      </c>
      <c r="AK4543">
        <v>13.090038800958901</v>
      </c>
      <c r="AL4543">
        <v>94.469871541807194</v>
      </c>
      <c r="AM4543">
        <v>87.986058881006002</v>
      </c>
      <c r="AN4543">
        <v>1.0000000628426999</v>
      </c>
    </row>
    <row r="4544" spans="1:40" x14ac:dyDescent="0.25">
      <c r="A4544" t="str">
        <f>"20190303154859373"</f>
        <v>20190303154859373</v>
      </c>
      <c r="B4544" t="str">
        <f>"1551599339365297"</f>
        <v>1551599339365297</v>
      </c>
      <c r="C4544" t="s">
        <v>40</v>
      </c>
      <c r="D4544">
        <v>5.1929220000000003</v>
      </c>
      <c r="E4544">
        <v>0.49111630000000001</v>
      </c>
      <c r="F4544" t="s">
        <v>59</v>
      </c>
      <c r="G4544">
        <v>-192.5427</v>
      </c>
      <c r="H4544" s="1">
        <v>-1.2640219999999999E-5</v>
      </c>
      <c r="I4544">
        <v>153.0992</v>
      </c>
      <c r="J4544">
        <v>-192.0959</v>
      </c>
      <c r="K4544">
        <v>1.1207929999999999</v>
      </c>
      <c r="L4544">
        <v>166.17259999999999</v>
      </c>
      <c r="M4544">
        <v>-2.2451700000000002E-2</v>
      </c>
      <c r="N4544">
        <v>-1.4145919999999999E-2</v>
      </c>
      <c r="O4544">
        <v>-0.99964799999999998</v>
      </c>
      <c r="P4544">
        <v>-5.7866760000000003E-2</v>
      </c>
      <c r="Q4544">
        <v>-9.2247389999999999E-2</v>
      </c>
      <c r="R4544">
        <v>-0.99405319999999997</v>
      </c>
      <c r="S4544">
        <v>-0.1019287</v>
      </c>
      <c r="T4544">
        <v>-0.25424619999999998</v>
      </c>
      <c r="U4544">
        <v>-2.9883579999999998</v>
      </c>
      <c r="V4544">
        <v>3.5482960000000001E-2</v>
      </c>
      <c r="W4544">
        <v>-7.818369E-2</v>
      </c>
      <c r="X4544">
        <v>0.99630730000000001</v>
      </c>
      <c r="Y4544">
        <v>1.1546030000000001E-2</v>
      </c>
      <c r="Z4544">
        <v>7.0615300000000006E-2</v>
      </c>
      <c r="AA4544">
        <v>0.99743680000000001</v>
      </c>
      <c r="AB4544">
        <v>18</v>
      </c>
      <c r="AC4544">
        <v>-0.44679999999999598</v>
      </c>
      <c r="AD4544">
        <v>-1.12080564022</v>
      </c>
      <c r="AE4544">
        <v>-13.0733999999999</v>
      </c>
      <c r="AF4544">
        <v>0.152021922920792</v>
      </c>
      <c r="AG4544">
        <v>-1.12080564022</v>
      </c>
      <c r="AH4544">
        <v>12.9848101635713</v>
      </c>
      <c r="AI4544">
        <v>94.933016934477493</v>
      </c>
      <c r="AJ4544">
        <v>89.329230344440205</v>
      </c>
      <c r="AK4544">
        <v>13.033979090522701</v>
      </c>
      <c r="AL4544">
        <v>94.484171869082701</v>
      </c>
      <c r="AM4544">
        <v>87.960303061123597</v>
      </c>
      <c r="AN4544">
        <v>0.99999998293283299</v>
      </c>
    </row>
    <row r="4545" spans="1:40" x14ac:dyDescent="0.25">
      <c r="A4545" t="str">
        <f>"20190303154859385"</f>
        <v>20190303154859385</v>
      </c>
      <c r="B4545" t="str">
        <f>"1551599339375057"</f>
        <v>1551599339375057</v>
      </c>
      <c r="C4545" t="s">
        <v>40</v>
      </c>
      <c r="D4545">
        <v>5.2179909999999996</v>
      </c>
      <c r="E4545">
        <v>0.49081560000000002</v>
      </c>
      <c r="F4545" t="s">
        <v>59</v>
      </c>
      <c r="G4545">
        <v>-192.54910000000001</v>
      </c>
      <c r="H4545" s="1">
        <v>-1.2621839999999999E-5</v>
      </c>
      <c r="I4545">
        <v>153.0538</v>
      </c>
      <c r="J4545">
        <v>-192.0986</v>
      </c>
      <c r="K4545">
        <v>1.1207929999999999</v>
      </c>
      <c r="L4545">
        <v>166.06799999999899</v>
      </c>
      <c r="M4545">
        <v>-2.2725490000000001E-2</v>
      </c>
      <c r="N4545">
        <v>-1.4143269999999999E-2</v>
      </c>
      <c r="O4545">
        <v>-0.99964180000000002</v>
      </c>
      <c r="P4545">
        <v>-5.8585459999999999E-2</v>
      </c>
      <c r="Q4545">
        <v>-9.2740400000000001E-2</v>
      </c>
      <c r="R4545">
        <v>-0.99396549999999995</v>
      </c>
      <c r="S4545">
        <v>-0.1032257</v>
      </c>
      <c r="T4545">
        <v>-0.25530219999999998</v>
      </c>
      <c r="U4545">
        <v>-2.9882659999999999</v>
      </c>
      <c r="V4545">
        <v>3.5930740000000003E-2</v>
      </c>
      <c r="W4545">
        <v>-7.8680379999999994E-2</v>
      </c>
      <c r="X4545">
        <v>0.99625220000000003</v>
      </c>
      <c r="Y4545">
        <v>1.1704600000000001E-2</v>
      </c>
      <c r="Z4545">
        <v>7.0968870000000003E-2</v>
      </c>
      <c r="AA4545">
        <v>0.99740989999999996</v>
      </c>
      <c r="AB4545">
        <v>18</v>
      </c>
      <c r="AC4545">
        <v>-0.45050000000000501</v>
      </c>
      <c r="AD4545">
        <v>-1.12080562184</v>
      </c>
      <c r="AE4545">
        <v>-13.014199999999899</v>
      </c>
      <c r="AF4545">
        <v>0.15346313915940599</v>
      </c>
      <c r="AG4545">
        <v>-1.12080562184</v>
      </c>
      <c r="AH4545">
        <v>12.9253253514864</v>
      </c>
      <c r="AI4545">
        <v>94.9555971278416</v>
      </c>
      <c r="AJ4545">
        <v>89.319755842987504</v>
      </c>
      <c r="AK4545">
        <v>12.974736668572699</v>
      </c>
      <c r="AL4545">
        <v>94.512717821118201</v>
      </c>
      <c r="AM4545">
        <v>87.934470966546101</v>
      </c>
      <c r="AN4545">
        <v>1.0000000331393599</v>
      </c>
    </row>
    <row r="4546" spans="1:40" x14ac:dyDescent="0.25">
      <c r="A4546" t="str">
        <f>"20190303154859402"</f>
        <v>20190303154859402</v>
      </c>
      <c r="B4546" t="str">
        <f>"1551599339395552"</f>
        <v>1551599339395552</v>
      </c>
      <c r="C4546" t="s">
        <v>40</v>
      </c>
      <c r="D4546">
        <v>5.163818</v>
      </c>
      <c r="E4546">
        <v>0.49046289999999998</v>
      </c>
      <c r="F4546" t="s">
        <v>59</v>
      </c>
      <c r="G4546">
        <v>-192.5445</v>
      </c>
      <c r="H4546" s="1">
        <v>-1.2644819999999999E-5</v>
      </c>
      <c r="I4546">
        <v>153.10919999999999</v>
      </c>
      <c r="J4546">
        <v>-192.10210000000001</v>
      </c>
      <c r="K4546">
        <v>1.1208020000000001</v>
      </c>
      <c r="L4546">
        <v>165.92959999999999</v>
      </c>
      <c r="M4546">
        <v>-2.3088609999999999E-2</v>
      </c>
      <c r="N4546">
        <v>-1.4139759999999999E-2</v>
      </c>
      <c r="O4546">
        <v>-0.99963340000000001</v>
      </c>
      <c r="P4546">
        <v>-5.9556699999999997E-2</v>
      </c>
      <c r="Q4546">
        <v>-9.3337400000000001E-2</v>
      </c>
      <c r="R4546">
        <v>-0.9938515</v>
      </c>
      <c r="S4546">
        <v>-0.102829</v>
      </c>
      <c r="T4546">
        <v>-0.25843329999999998</v>
      </c>
      <c r="U4546">
        <v>-2.988022</v>
      </c>
      <c r="V4546">
        <v>3.6542669999999999E-2</v>
      </c>
      <c r="W4546">
        <v>-7.9282270000000002E-2</v>
      </c>
      <c r="X4546">
        <v>0.99618220000000002</v>
      </c>
      <c r="Y4546">
        <v>1.12096E-2</v>
      </c>
      <c r="Z4546">
        <v>7.201552E-2</v>
      </c>
      <c r="AA4546">
        <v>0.99734049999999996</v>
      </c>
      <c r="AB4546">
        <v>18</v>
      </c>
      <c r="AC4546">
        <v>-0.44239999999999202</v>
      </c>
      <c r="AD4546">
        <v>-1.12081464482</v>
      </c>
      <c r="AE4546">
        <v>-12.820399999999999</v>
      </c>
      <c r="AF4546">
        <v>0.145139243253601</v>
      </c>
      <c r="AG4546">
        <v>-1.12081464482</v>
      </c>
      <c r="AH4546">
        <v>12.730017175652099</v>
      </c>
      <c r="AI4546">
        <v>95.031308008927496</v>
      </c>
      <c r="AJ4546">
        <v>89.346779688859996</v>
      </c>
      <c r="AK4546">
        <v>12.7800871734262</v>
      </c>
      <c r="AL4546">
        <v>94.547311748956901</v>
      </c>
      <c r="AM4546">
        <v>87.899177085339701</v>
      </c>
      <c r="AN4546">
        <v>1.00000001033196</v>
      </c>
    </row>
    <row r="4547" spans="1:40" x14ac:dyDescent="0.25">
      <c r="A4547" t="str">
        <f>"20190303154859413"</f>
        <v>20190303154859413</v>
      </c>
      <c r="B4547" t="str">
        <f>"1551599339405312"</f>
        <v>1551599339405312</v>
      </c>
      <c r="C4547" t="s">
        <v>40</v>
      </c>
      <c r="D4547">
        <v>5.1970369999999999</v>
      </c>
      <c r="E4547">
        <v>0.49019380000000001</v>
      </c>
      <c r="F4547" t="s">
        <v>42</v>
      </c>
      <c r="G4547">
        <v>-192.13249999999999</v>
      </c>
      <c r="H4547">
        <v>1.0432090000000001</v>
      </c>
      <c r="I4547">
        <v>165.04900000000001</v>
      </c>
      <c r="J4547">
        <v>-192.1046</v>
      </c>
      <c r="K4547">
        <v>1.1208020000000001</v>
      </c>
      <c r="L4547">
        <v>165.8339</v>
      </c>
      <c r="M4547">
        <v>-2.3340119999999999E-2</v>
      </c>
      <c r="N4547">
        <v>-1.413729E-2</v>
      </c>
      <c r="O4547">
        <v>-0.99962770000000001</v>
      </c>
      <c r="P4547">
        <v>-6.0152490000000003E-2</v>
      </c>
      <c r="Q4547">
        <v>-9.3270740000000005E-2</v>
      </c>
      <c r="R4547">
        <v>-0.99382230000000005</v>
      </c>
      <c r="S4547">
        <v>-0.10290530000000001</v>
      </c>
      <c r="T4547">
        <v>-0.26326949999999999</v>
      </c>
      <c r="U4547">
        <v>-2.9876710000000002</v>
      </c>
      <c r="V4547">
        <v>3.688876E-2</v>
      </c>
      <c r="W4547">
        <v>-7.9218339999999998E-2</v>
      </c>
      <c r="X4547">
        <v>0.99617449999999996</v>
      </c>
      <c r="Y4547">
        <v>1.0983450000000001E-2</v>
      </c>
      <c r="Z4547">
        <v>7.3628449999999998E-2</v>
      </c>
      <c r="AA4547">
        <v>0.99722529999999998</v>
      </c>
      <c r="AB4547">
        <v>18</v>
      </c>
      <c r="AC4547">
        <v>-2.7899999999988202E-2</v>
      </c>
      <c r="AD4547">
        <v>-7.7592999999999995E-2</v>
      </c>
      <c r="AE4547">
        <v>-0.78489999999999305</v>
      </c>
      <c r="AF4547">
        <v>9.4783953261662595E-3</v>
      </c>
      <c r="AG4547">
        <v>-7.7592999999999995E-2</v>
      </c>
      <c r="AH4547">
        <v>0.77774626894593302</v>
      </c>
      <c r="AI4547">
        <v>95.696924776588403</v>
      </c>
      <c r="AJ4547">
        <v>89.301770787477494</v>
      </c>
      <c r="AK4547">
        <v>0.78166474430300303</v>
      </c>
      <c r="AL4547">
        <v>94.5436374097239</v>
      </c>
      <c r="AM4547">
        <v>87.879282219741</v>
      </c>
      <c r="AN4547">
        <v>0.99999998022847103</v>
      </c>
    </row>
    <row r="4548" spans="1:40" x14ac:dyDescent="0.25">
      <c r="A4548" t="str">
        <f>"20190303154859425"</f>
        <v>20190303154859425</v>
      </c>
      <c r="B4548" t="str">
        <f>"1551599339415073"</f>
        <v>1551599339415073</v>
      </c>
      <c r="C4548" t="s">
        <v>40</v>
      </c>
      <c r="D4548">
        <v>5.1675420000000001</v>
      </c>
      <c r="E4548">
        <v>0.48989890000000003</v>
      </c>
      <c r="F4548" t="s">
        <v>59</v>
      </c>
      <c r="G4548">
        <v>-192.53800000000001</v>
      </c>
      <c r="H4548" s="1">
        <v>-1.2689619999999999E-5</v>
      </c>
      <c r="I4548">
        <v>153.21629999999999</v>
      </c>
      <c r="J4548">
        <v>-192.1071</v>
      </c>
      <c r="K4548">
        <v>1.1208020000000001</v>
      </c>
      <c r="L4548">
        <v>165.7423</v>
      </c>
      <c r="M4548">
        <v>-2.3580799999999999E-2</v>
      </c>
      <c r="N4548">
        <v>-1.413495E-2</v>
      </c>
      <c r="O4548">
        <v>-0.99962220000000002</v>
      </c>
      <c r="P4548">
        <v>-6.0307550000000001E-2</v>
      </c>
      <c r="Q4548">
        <v>-9.3210500000000002E-2</v>
      </c>
      <c r="R4548">
        <v>-0.9938188</v>
      </c>
      <c r="S4548">
        <v>-0.1026154</v>
      </c>
      <c r="T4548">
        <v>-0.26538210000000001</v>
      </c>
      <c r="U4548">
        <v>-2.9875340000000001</v>
      </c>
      <c r="V4548">
        <v>3.6804419999999997E-2</v>
      </c>
      <c r="W4548">
        <v>-7.9160209999999995E-2</v>
      </c>
      <c r="X4548">
        <v>0.99618229999999997</v>
      </c>
      <c r="Y4548">
        <v>1.0646020000000001E-2</v>
      </c>
      <c r="Z4548">
        <v>7.4333560000000007E-2</v>
      </c>
      <c r="AA4548">
        <v>0.99717659999999997</v>
      </c>
      <c r="AB4548">
        <v>18</v>
      </c>
      <c r="AC4548">
        <v>-0.43089999999997902</v>
      </c>
      <c r="AD4548">
        <v>-1.12081468962</v>
      </c>
      <c r="AE4548">
        <v>-12.526</v>
      </c>
      <c r="AF4548">
        <v>0.13430357239614299</v>
      </c>
      <c r="AG4548">
        <v>-1.12081468962</v>
      </c>
      <c r="AH4548">
        <v>12.4332490645735</v>
      </c>
      <c r="AI4548">
        <v>95.150795628024994</v>
      </c>
      <c r="AJ4548">
        <v>89.381116829476596</v>
      </c>
      <c r="AK4548">
        <v>12.4843880634873</v>
      </c>
      <c r="AL4548">
        <v>94.540296043907702</v>
      </c>
      <c r="AM4548">
        <v>87.884143027322807</v>
      </c>
      <c r="AN4548">
        <v>1.00000003950603</v>
      </c>
    </row>
    <row r="4549" spans="1:40" x14ac:dyDescent="0.25">
      <c r="A4549" t="str">
        <f>"20190303154859437"</f>
        <v>20190303154859437</v>
      </c>
      <c r="B4549" t="str">
        <f>"1551599339435568"</f>
        <v>1551599339435568</v>
      </c>
      <c r="C4549" t="s">
        <v>40</v>
      </c>
      <c r="D4549">
        <v>5.1333549999999999</v>
      </c>
      <c r="E4549">
        <v>0.49011130000000003</v>
      </c>
      <c r="F4549" t="s">
        <v>42</v>
      </c>
      <c r="G4549">
        <v>-192.136</v>
      </c>
      <c r="H4549">
        <v>1.0440320000000001</v>
      </c>
      <c r="I4549">
        <v>164.8843</v>
      </c>
      <c r="J4549">
        <v>-192.10980000000001</v>
      </c>
      <c r="K4549">
        <v>1.120803</v>
      </c>
      <c r="L4549">
        <v>165.6379</v>
      </c>
      <c r="M4549">
        <v>-2.3855390000000001E-2</v>
      </c>
      <c r="N4549">
        <v>-1.413232E-2</v>
      </c>
      <c r="O4549">
        <v>-0.99961580000000005</v>
      </c>
      <c r="P4549">
        <v>-6.0657519999999999E-2</v>
      </c>
      <c r="Q4549">
        <v>-9.3214340000000007E-2</v>
      </c>
      <c r="R4549">
        <v>-0.99379689999999998</v>
      </c>
      <c r="S4549">
        <v>-0.100647</v>
      </c>
      <c r="T4549">
        <v>-0.26734720000000001</v>
      </c>
      <c r="U4549">
        <v>-2.987473</v>
      </c>
      <c r="V4549">
        <v>3.6881539999999997E-2</v>
      </c>
      <c r="W4549">
        <v>-7.9166730000000005E-2</v>
      </c>
      <c r="X4549">
        <v>0.99617889999999998</v>
      </c>
      <c r="Y4549">
        <v>9.7147480000000005E-3</v>
      </c>
      <c r="Z4549">
        <v>7.4988780000000005E-2</v>
      </c>
      <c r="AA4549">
        <v>0.9971371</v>
      </c>
      <c r="AB4549">
        <v>18</v>
      </c>
      <c r="AC4549">
        <v>-2.61999999999886E-2</v>
      </c>
      <c r="AD4549">
        <v>-7.6770999999999895E-2</v>
      </c>
      <c r="AE4549">
        <v>-0.75360000000000504</v>
      </c>
      <c r="AF4549">
        <v>8.1290686098883392E-3</v>
      </c>
      <c r="AG4549">
        <v>-7.6770999999999895E-2</v>
      </c>
      <c r="AH4549">
        <v>0.74627509671886005</v>
      </c>
      <c r="AI4549">
        <v>95.873138930836205</v>
      </c>
      <c r="AJ4549">
        <v>89.375909896308102</v>
      </c>
      <c r="AK4549">
        <v>0.75025754789952503</v>
      </c>
      <c r="AL4549">
        <v>94.540670922857601</v>
      </c>
      <c r="AM4549">
        <v>87.879706271892104</v>
      </c>
      <c r="AN4549">
        <v>1.0000000099684301</v>
      </c>
    </row>
    <row r="4550" spans="1:40" x14ac:dyDescent="0.25">
      <c r="A4550" t="str">
        <f>"20190303154859451"</f>
        <v>20190303154859451</v>
      </c>
      <c r="B4550" t="str">
        <f>"1551599339445329"</f>
        <v>1551599339445329</v>
      </c>
      <c r="C4550" t="s">
        <v>40</v>
      </c>
      <c r="D4550">
        <v>5.097156</v>
      </c>
      <c r="E4550">
        <v>0.49011130000000003</v>
      </c>
      <c r="F4550" t="s">
        <v>59</v>
      </c>
      <c r="G4550">
        <v>-192.54220000000001</v>
      </c>
      <c r="H4550" s="1">
        <v>-1.266127E-5</v>
      </c>
      <c r="I4550">
        <v>153.14850000000001</v>
      </c>
      <c r="J4550">
        <v>-192.11259999999999</v>
      </c>
      <c r="K4550">
        <v>1.120803</v>
      </c>
      <c r="L4550">
        <v>165.53550000000001</v>
      </c>
      <c r="M4550">
        <v>-2.4124980000000001E-2</v>
      </c>
      <c r="N4550">
        <v>-1.412978E-2</v>
      </c>
      <c r="O4550">
        <v>-0.99960910000000003</v>
      </c>
      <c r="P4550">
        <v>-6.0921860000000001E-2</v>
      </c>
      <c r="Q4550">
        <v>-9.323948E-2</v>
      </c>
      <c r="R4550">
        <v>-0.99377839999999995</v>
      </c>
      <c r="S4550">
        <v>-0.1034241</v>
      </c>
      <c r="T4550">
        <v>-0.26808399999999999</v>
      </c>
      <c r="U4550">
        <v>-2.9872890000000001</v>
      </c>
      <c r="V4550">
        <v>3.6877970000000003E-2</v>
      </c>
      <c r="W4550">
        <v>-7.9194410000000007E-2</v>
      </c>
      <c r="X4550">
        <v>0.99617679999999997</v>
      </c>
      <c r="Y4550">
        <v>1.037186E-2</v>
      </c>
      <c r="Z4550">
        <v>7.523821E-2</v>
      </c>
      <c r="AA4550">
        <v>0.99711159999999999</v>
      </c>
      <c r="AB4550">
        <v>18</v>
      </c>
      <c r="AC4550">
        <v>-0.42960000000002202</v>
      </c>
      <c r="AD4550">
        <v>-1.12081566127</v>
      </c>
      <c r="AE4550">
        <v>-12.387</v>
      </c>
      <c r="AF4550">
        <v>0.12954960363672899</v>
      </c>
      <c r="AG4550">
        <v>-1.12081566127</v>
      </c>
      <c r="AH4550">
        <v>12.2932327685036</v>
      </c>
      <c r="AI4550">
        <v>95.209159789003493</v>
      </c>
      <c r="AJ4550">
        <v>89.396223035151095</v>
      </c>
      <c r="AK4550">
        <v>12.3449010829152</v>
      </c>
      <c r="AL4550">
        <v>94.542262010391795</v>
      </c>
      <c r="AM4550">
        <v>87.879906856183894</v>
      </c>
      <c r="AN4550">
        <v>0.99999997805240404</v>
      </c>
    </row>
    <row r="4551" spans="1:40" x14ac:dyDescent="0.25">
      <c r="A4551" t="str">
        <f>"20190303154859463"</f>
        <v>20190303154859463</v>
      </c>
      <c r="B4551" t="str">
        <f>"1551599339455088"</f>
        <v>1551599339455088</v>
      </c>
      <c r="C4551" t="s">
        <v>40</v>
      </c>
      <c r="D4551">
        <v>5.060206</v>
      </c>
      <c r="E4551">
        <v>0.51646289999999995</v>
      </c>
      <c r="F4551" t="s">
        <v>59</v>
      </c>
      <c r="G4551">
        <v>-192.548</v>
      </c>
      <c r="H4551" s="1">
        <v>-1.261945E-5</v>
      </c>
      <c r="I4551">
        <v>153.04859999999999</v>
      </c>
      <c r="J4551">
        <v>-192.11539999999999</v>
      </c>
      <c r="K4551">
        <v>1.1208009999999999</v>
      </c>
      <c r="L4551">
        <v>165.43029999999999</v>
      </c>
      <c r="M4551">
        <v>-2.4402190000000001E-2</v>
      </c>
      <c r="N4551">
        <v>-1.412717E-2</v>
      </c>
      <c r="O4551">
        <v>-0.9996024</v>
      </c>
      <c r="P4551">
        <v>-6.1087830000000003E-2</v>
      </c>
      <c r="Q4551">
        <v>-9.3198610000000001E-2</v>
      </c>
      <c r="R4551">
        <v>-0.99377199999999999</v>
      </c>
      <c r="S4551">
        <v>-0.1041565</v>
      </c>
      <c r="T4551">
        <v>-0.26813360000000003</v>
      </c>
      <c r="U4551">
        <v>-2.987244</v>
      </c>
      <c r="V4551">
        <v>3.6768240000000001E-2</v>
      </c>
      <c r="W4551">
        <v>-7.9155909999999996E-2</v>
      </c>
      <c r="X4551">
        <v>0.99618390000000001</v>
      </c>
      <c r="Y4551">
        <v>1.0339249999999999E-2</v>
      </c>
      <c r="Z4551">
        <v>7.5257420000000005E-2</v>
      </c>
      <c r="AA4551">
        <v>0.99711050000000001</v>
      </c>
      <c r="AB4551">
        <v>18</v>
      </c>
      <c r="AC4551">
        <v>-0.43260000000000698</v>
      </c>
      <c r="AD4551">
        <v>-1.12081361945</v>
      </c>
      <c r="AE4551">
        <v>-12.381699999999899</v>
      </c>
      <c r="AF4551">
        <v>0.12924265711069099</v>
      </c>
      <c r="AG4551">
        <v>-1.12081361945</v>
      </c>
      <c r="AH4551">
        <v>12.288002198942101</v>
      </c>
      <c r="AI4551">
        <v>95.211356614927794</v>
      </c>
      <c r="AJ4551">
        <v>89.397397101272702</v>
      </c>
      <c r="AK4551">
        <v>12.339689010472201</v>
      </c>
      <c r="AL4551">
        <v>94.540049248746698</v>
      </c>
      <c r="AM4551">
        <v>87.886224491107996</v>
      </c>
      <c r="AN4551">
        <v>0.99999996208991704</v>
      </c>
    </row>
    <row r="4552" spans="1:40" x14ac:dyDescent="0.25">
      <c r="A4552" t="str">
        <f>"20190303154859481"</f>
        <v>20190303154859481</v>
      </c>
      <c r="B4552" t="str">
        <f>"1551599339475585"</f>
        <v>1551599339475585</v>
      </c>
      <c r="C4552" t="s">
        <v>40</v>
      </c>
      <c r="D4552">
        <v>5.0681719999999997</v>
      </c>
      <c r="E4552">
        <v>0.51851420000000004</v>
      </c>
      <c r="F4552" t="s">
        <v>42</v>
      </c>
      <c r="G4552">
        <v>-192.208</v>
      </c>
      <c r="H4552">
        <v>1.0516430000000001</v>
      </c>
      <c r="I4552">
        <v>164.55779999999999</v>
      </c>
      <c r="J4552">
        <v>-192.11930000000001</v>
      </c>
      <c r="K4552">
        <v>1.1208039999999999</v>
      </c>
      <c r="L4552">
        <v>165.2894</v>
      </c>
      <c r="M4552">
        <v>-2.4773630000000001E-2</v>
      </c>
      <c r="N4552">
        <v>-1.412363E-2</v>
      </c>
      <c r="O4552">
        <v>-0.99959359999999997</v>
      </c>
      <c r="P4552">
        <v>-6.1007760000000001E-2</v>
      </c>
      <c r="Q4552">
        <v>-9.28866E-2</v>
      </c>
      <c r="R4552">
        <v>-0.99380630000000003</v>
      </c>
      <c r="S4552">
        <v>-0.31495669999999998</v>
      </c>
      <c r="T4552">
        <v>-0.23607790000000001</v>
      </c>
      <c r="U4552">
        <v>-2.9772799999999999</v>
      </c>
      <c r="V4552">
        <v>3.6317919999999997E-2</v>
      </c>
      <c r="W4552">
        <v>-7.88465E-2</v>
      </c>
      <c r="X4552">
        <v>0.99622500000000003</v>
      </c>
      <c r="Y4552">
        <v>8.0256519999999998E-2</v>
      </c>
      <c r="Z4552">
        <v>6.4594159999999998E-2</v>
      </c>
      <c r="AA4552">
        <v>0.99467910000000004</v>
      </c>
      <c r="AB4552">
        <v>18</v>
      </c>
      <c r="AC4552">
        <v>-8.8699999999988594E-2</v>
      </c>
      <c r="AD4552">
        <v>-6.9161E-2</v>
      </c>
      <c r="AE4552">
        <v>-0.73160000000001402</v>
      </c>
      <c r="AF4552">
        <v>6.9930687527026802E-2</v>
      </c>
      <c r="AG4552">
        <v>-6.9161E-2</v>
      </c>
      <c r="AH4552">
        <v>0.72716873839881402</v>
      </c>
      <c r="AI4552">
        <v>95.408254884102007</v>
      </c>
      <c r="AJ4552">
        <v>84.506846599528401</v>
      </c>
      <c r="AK4552">
        <v>0.73379010560481495</v>
      </c>
      <c r="AL4552">
        <v>94.5222655788683</v>
      </c>
      <c r="AM4552">
        <v>87.912176020378396</v>
      </c>
      <c r="AN4552">
        <v>1.0000000062501799</v>
      </c>
    </row>
    <row r="4553" spans="1:40" x14ac:dyDescent="0.25">
      <c r="A4553" t="str">
        <f>"20190303154859504"</f>
        <v>20190303154859504</v>
      </c>
      <c r="B4553" t="str">
        <f>"1551599339495104"</f>
        <v>1551599339495104</v>
      </c>
      <c r="C4553" t="s">
        <v>40</v>
      </c>
      <c r="D4553">
        <v>5.0476449999999904</v>
      </c>
      <c r="E4553">
        <v>0.51944389999999996</v>
      </c>
      <c r="F4553" t="s">
        <v>42</v>
      </c>
      <c r="G4553">
        <v>-192.21879999999999</v>
      </c>
      <c r="H4553">
        <v>1.0518419999999999</v>
      </c>
      <c r="I4553">
        <v>164.3955</v>
      </c>
      <c r="J4553">
        <v>-192.12459999999999</v>
      </c>
      <c r="K4553">
        <v>1.1208089999999999</v>
      </c>
      <c r="L4553">
        <v>165.1018</v>
      </c>
      <c r="M4553">
        <v>-2.526846E-2</v>
      </c>
      <c r="N4553">
        <v>-1.411886E-2</v>
      </c>
      <c r="O4553">
        <v>-0.99958119999999995</v>
      </c>
      <c r="P4553">
        <v>-6.0595910000000003E-2</v>
      </c>
      <c r="Q4553">
        <v>-9.2168769999999997E-2</v>
      </c>
      <c r="R4553">
        <v>-0.99389830000000001</v>
      </c>
      <c r="S4553">
        <v>-0.33117679999999999</v>
      </c>
      <c r="T4553">
        <v>-0.2297013</v>
      </c>
      <c r="U4553">
        <v>-2.9768829999999999</v>
      </c>
      <c r="V4553">
        <v>3.5411940000000003E-2</v>
      </c>
      <c r="W4553">
        <v>-7.8131430000000002E-2</v>
      </c>
      <c r="X4553">
        <v>0.99631389999999997</v>
      </c>
      <c r="Y4553">
        <v>8.5145739999999998E-2</v>
      </c>
      <c r="Z4553">
        <v>6.2456850000000001E-2</v>
      </c>
      <c r="AA4553">
        <v>0.99440899999999999</v>
      </c>
      <c r="AB4553">
        <v>18</v>
      </c>
      <c r="AC4553">
        <v>-9.42000000000007E-2</v>
      </c>
      <c r="AD4553">
        <v>-6.8967000000000001E-2</v>
      </c>
      <c r="AE4553">
        <v>-0.70629999999999804</v>
      </c>
      <c r="AF4553">
        <v>7.5612687529384506E-2</v>
      </c>
      <c r="AG4553">
        <v>-6.8967000000000001E-2</v>
      </c>
      <c r="AH4553">
        <v>0.70187974908269302</v>
      </c>
      <c r="AI4553">
        <v>95.579813199968299</v>
      </c>
      <c r="AJ4553">
        <v>83.851305493842204</v>
      </c>
      <c r="AK4553">
        <v>0.70930170433800699</v>
      </c>
      <c r="AL4553">
        <v>94.481168522336105</v>
      </c>
      <c r="AM4553">
        <v>87.964395599154301</v>
      </c>
      <c r="AN4553">
        <v>0.99999995659080798</v>
      </c>
    </row>
    <row r="4554" spans="1:40" x14ac:dyDescent="0.25">
      <c r="A4554" t="str">
        <f>"20190303154859525"</f>
        <v>20190303154859525</v>
      </c>
      <c r="B4554" t="str">
        <f>"1551599339515600"</f>
        <v>1551599339515600</v>
      </c>
      <c r="C4554" t="s">
        <v>40</v>
      </c>
      <c r="D4554">
        <v>5.0410830000000004</v>
      </c>
      <c r="E4554">
        <v>0.52020169999999999</v>
      </c>
      <c r="F4554" t="s">
        <v>59</v>
      </c>
      <c r="G4554">
        <v>-193.81630000000001</v>
      </c>
      <c r="H4554" s="1">
        <v>-1.1610729999999999E-5</v>
      </c>
      <c r="I4554">
        <v>150.1729</v>
      </c>
      <c r="J4554">
        <v>-192.1294</v>
      </c>
      <c r="K4554">
        <v>1.1208119999999999</v>
      </c>
      <c r="L4554">
        <v>164.93190000000001</v>
      </c>
      <c r="M4554">
        <v>-2.5716679999999999E-2</v>
      </c>
      <c r="N4554">
        <v>-1.411459E-2</v>
      </c>
      <c r="O4554">
        <v>-0.99956999999999996</v>
      </c>
      <c r="P4554">
        <v>-6.0290030000000001E-2</v>
      </c>
      <c r="Q4554">
        <v>-9.1424359999999996E-2</v>
      </c>
      <c r="R4554">
        <v>-0.99398600000000004</v>
      </c>
      <c r="S4554">
        <v>-0.33735660000000001</v>
      </c>
      <c r="T4554">
        <v>-0.2235152</v>
      </c>
      <c r="U4554">
        <v>-2.9771420000000002</v>
      </c>
      <c r="V4554">
        <v>3.4658319999999999E-2</v>
      </c>
      <c r="W4554">
        <v>-7.7389449999999999E-2</v>
      </c>
      <c r="X4554">
        <v>0.99639829999999996</v>
      </c>
      <c r="Y4554">
        <v>8.6742399999999997E-2</v>
      </c>
      <c r="Z4554">
        <v>6.0389239999999997E-2</v>
      </c>
      <c r="AA4554">
        <v>0.99439880000000003</v>
      </c>
      <c r="AB4554">
        <v>18</v>
      </c>
      <c r="AC4554">
        <v>-1.6869000000000001</v>
      </c>
      <c r="AD4554">
        <v>-1.12082361073</v>
      </c>
      <c r="AE4554">
        <v>-14.759</v>
      </c>
      <c r="AF4554">
        <v>1.29935489943411</v>
      </c>
      <c r="AG4554">
        <v>-1.12082361073</v>
      </c>
      <c r="AH4554">
        <v>14.713741576897</v>
      </c>
      <c r="AI4554">
        <v>94.3392880614999</v>
      </c>
      <c r="AJ4554">
        <v>84.953362044890198</v>
      </c>
      <c r="AK4554">
        <v>14.813465493015499</v>
      </c>
      <c r="AL4554">
        <v>94.438527114780598</v>
      </c>
      <c r="AM4554">
        <v>88.007849692821694</v>
      </c>
      <c r="AN4554">
        <v>0.99999994917970603</v>
      </c>
    </row>
    <row r="4555" spans="1:40" x14ac:dyDescent="0.25">
      <c r="A4555" t="str">
        <f>"20190303154859537"</f>
        <v>20190303154859537</v>
      </c>
      <c r="B4555" t="str">
        <f>"1551599339525361"</f>
        <v>1551599339525361</v>
      </c>
      <c r="C4555" t="s">
        <v>40</v>
      </c>
      <c r="D4555">
        <v>5.0317569999999998</v>
      </c>
      <c r="E4555">
        <v>0.52041689999999996</v>
      </c>
      <c r="F4555" t="s">
        <v>59</v>
      </c>
      <c r="G4555">
        <v>-193.86259999999999</v>
      </c>
      <c r="H4555" s="1">
        <v>-1.148598E-5</v>
      </c>
      <c r="I4555">
        <v>149.8629</v>
      </c>
      <c r="J4555">
        <v>-192.13239999999999</v>
      </c>
      <c r="K4555">
        <v>1.1208149999999999</v>
      </c>
      <c r="L4555">
        <v>164.82939999999999</v>
      </c>
      <c r="M4555">
        <v>-2.5987199999999998E-2</v>
      </c>
      <c r="N4555">
        <v>-1.4112019999999999E-2</v>
      </c>
      <c r="O4555">
        <v>-0.99956290000000003</v>
      </c>
      <c r="P4555">
        <v>-6.0255160000000002E-2</v>
      </c>
      <c r="Q4555">
        <v>-9.1217889999999996E-2</v>
      </c>
      <c r="R4555">
        <v>-0.99400690000000003</v>
      </c>
      <c r="S4555">
        <v>-0.34240720000000002</v>
      </c>
      <c r="T4555">
        <v>-0.22142890000000001</v>
      </c>
      <c r="U4555">
        <v>-2.97702</v>
      </c>
      <c r="V4555">
        <v>3.435382E-2</v>
      </c>
      <c r="W4555">
        <v>-7.7184929999999999E-2</v>
      </c>
      <c r="X4555">
        <v>0.99642470000000005</v>
      </c>
      <c r="Y4555">
        <v>8.8146970000000005E-2</v>
      </c>
      <c r="Z4555">
        <v>5.9691180000000003E-2</v>
      </c>
      <c r="AA4555">
        <v>0.99431740000000002</v>
      </c>
      <c r="AB4555">
        <v>18</v>
      </c>
      <c r="AC4555">
        <v>-1.73019999999999</v>
      </c>
      <c r="AD4555">
        <v>-1.1208264859799999</v>
      </c>
      <c r="AE4555">
        <v>-14.9664999999999</v>
      </c>
      <c r="AF4555">
        <v>1.33326068402034</v>
      </c>
      <c r="AG4555">
        <v>-1.1208264859799999</v>
      </c>
      <c r="AH4555">
        <v>14.923817580116101</v>
      </c>
      <c r="AI4555">
        <v>94.278058704007904</v>
      </c>
      <c r="AJ4555">
        <v>84.894875390704698</v>
      </c>
      <c r="AK4555">
        <v>15.025117877334999</v>
      </c>
      <c r="AL4555">
        <v>94.426773863933406</v>
      </c>
      <c r="AM4555">
        <v>88.025390624673904</v>
      </c>
      <c r="AN4555">
        <v>0.99999994056889197</v>
      </c>
    </row>
    <row r="4556" spans="1:40" x14ac:dyDescent="0.25">
      <c r="A4556" t="str">
        <f>"20190303154859548"</f>
        <v>20190303154859548</v>
      </c>
      <c r="B4556" t="str">
        <f>"1551599339545857"</f>
        <v>1551599339545857</v>
      </c>
      <c r="C4556" t="s">
        <v>40</v>
      </c>
      <c r="D4556">
        <v>5.0360820000000004</v>
      </c>
      <c r="E4556">
        <v>0.52075119999999997</v>
      </c>
      <c r="F4556" t="s">
        <v>59</v>
      </c>
      <c r="G4556">
        <v>-193.86760000000001</v>
      </c>
      <c r="H4556" s="1">
        <v>-1.146576E-5</v>
      </c>
      <c r="I4556">
        <v>149.81370000000001</v>
      </c>
      <c r="J4556">
        <v>-192.13499999999999</v>
      </c>
      <c r="K4556">
        <v>1.120816</v>
      </c>
      <c r="L4556">
        <v>164.7371</v>
      </c>
      <c r="M4556">
        <v>-2.623056E-2</v>
      </c>
      <c r="N4556">
        <v>-1.4109740000000001E-2</v>
      </c>
      <c r="O4556">
        <v>-0.99955640000000001</v>
      </c>
      <c r="P4556">
        <v>-6.0342769999999997E-2</v>
      </c>
      <c r="Q4556">
        <v>-9.0819990000000003E-2</v>
      </c>
      <c r="R4556">
        <v>-0.99403759999999997</v>
      </c>
      <c r="S4556">
        <v>-0.34400940000000002</v>
      </c>
      <c r="T4556">
        <v>-0.2222037</v>
      </c>
      <c r="U4556">
        <v>-2.9768520000000001</v>
      </c>
      <c r="V4556">
        <v>3.4198630000000001E-2</v>
      </c>
      <c r="W4556">
        <v>-7.6788629999999997E-2</v>
      </c>
      <c r="X4556">
        <v>0.99646069999999998</v>
      </c>
      <c r="Y4556">
        <v>8.8436829999999994E-2</v>
      </c>
      <c r="Z4556">
        <v>5.9950860000000002E-2</v>
      </c>
      <c r="AA4556">
        <v>0.99427600000000005</v>
      </c>
      <c r="AB4556">
        <v>18</v>
      </c>
      <c r="AC4556">
        <v>-1.7326000000000099</v>
      </c>
      <c r="AD4556">
        <v>-1.1208274657599999</v>
      </c>
      <c r="AE4556">
        <v>-14.9233999999999</v>
      </c>
      <c r="AF4556">
        <v>1.3330959033918801</v>
      </c>
      <c r="AG4556">
        <v>-1.1208274657599999</v>
      </c>
      <c r="AH4556">
        <v>14.880891733538601</v>
      </c>
      <c r="AI4556">
        <v>94.290263479001595</v>
      </c>
      <c r="AJ4556">
        <v>84.880856557146501</v>
      </c>
      <c r="AK4556">
        <v>14.982467676619301</v>
      </c>
      <c r="AL4556">
        <v>94.403999765990804</v>
      </c>
      <c r="AM4556">
        <v>88.034374675151099</v>
      </c>
      <c r="AN4556">
        <v>0.99999998331782103</v>
      </c>
    </row>
    <row r="4557" spans="1:40" x14ac:dyDescent="0.25">
      <c r="A4557" t="str">
        <f>"20190303154859561"</f>
        <v>20190303154859561</v>
      </c>
      <c r="B4557" t="str">
        <f>"1551599339555617"</f>
        <v>1551599339555617</v>
      </c>
      <c r="C4557" t="s">
        <v>40</v>
      </c>
      <c r="D4557">
        <v>5.0281060000000002</v>
      </c>
      <c r="E4557">
        <v>0.52092959999999899</v>
      </c>
      <c r="F4557" t="s">
        <v>59</v>
      </c>
      <c r="G4557">
        <v>-193.8554</v>
      </c>
      <c r="H4557" s="1">
        <v>-1.1531540000000001E-5</v>
      </c>
      <c r="I4557">
        <v>149.97210000000001</v>
      </c>
      <c r="J4557">
        <v>-192.13800000000001</v>
      </c>
      <c r="K4557">
        <v>1.120817</v>
      </c>
      <c r="L4557">
        <v>164.63499999999999</v>
      </c>
      <c r="M4557">
        <v>-2.64999E-2</v>
      </c>
      <c r="N4557">
        <v>-1.410724E-2</v>
      </c>
      <c r="O4557">
        <v>-0.99954920000000003</v>
      </c>
      <c r="P4557">
        <v>-6.0305850000000001E-2</v>
      </c>
      <c r="Q4557">
        <v>-9.0603530000000002E-2</v>
      </c>
      <c r="R4557">
        <v>-0.99405969999999999</v>
      </c>
      <c r="S4557">
        <v>-0.3467865</v>
      </c>
      <c r="T4557">
        <v>-0.22593550000000001</v>
      </c>
      <c r="U4557">
        <v>-2.976318</v>
      </c>
      <c r="V4557">
        <v>3.3893199999999998E-2</v>
      </c>
      <c r="W4557">
        <v>-7.6574000000000003E-2</v>
      </c>
      <c r="X4557">
        <v>0.99648769999999998</v>
      </c>
      <c r="Y4557">
        <v>8.9094220000000002E-2</v>
      </c>
      <c r="Z4557">
        <v>6.1197149999999999E-2</v>
      </c>
      <c r="AA4557">
        <v>0.99414139999999995</v>
      </c>
      <c r="AB4557">
        <v>18</v>
      </c>
      <c r="AC4557">
        <v>-1.71739999999999</v>
      </c>
      <c r="AD4557">
        <v>-1.12082853154</v>
      </c>
      <c r="AE4557">
        <v>-14.662899999999899</v>
      </c>
      <c r="AF4557">
        <v>1.32058089395564</v>
      </c>
      <c r="AG4557">
        <v>-1.12082853154</v>
      </c>
      <c r="AH4557">
        <v>14.6190016546834</v>
      </c>
      <c r="AI4557">
        <v>94.366539615691906</v>
      </c>
      <c r="AJ4557">
        <v>84.838299637445104</v>
      </c>
      <c r="AK4557">
        <v>14.721256735558599</v>
      </c>
      <c r="AL4557">
        <v>94.391665846462502</v>
      </c>
      <c r="AM4557">
        <v>88.051968947639594</v>
      </c>
      <c r="AN4557">
        <v>1.0000000313667601</v>
      </c>
    </row>
    <row r="4558" spans="1:40" x14ac:dyDescent="0.25">
      <c r="A4558" t="str">
        <f>"20190303154859581"</f>
        <v>20190303154859581</v>
      </c>
      <c r="B4558" t="str">
        <f>"1551599339575136"</f>
        <v>1551599339575136</v>
      </c>
      <c r="C4558" t="s">
        <v>40</v>
      </c>
      <c r="D4558">
        <v>5.0250649999999997</v>
      </c>
      <c r="E4558">
        <v>0.52098820000000001</v>
      </c>
      <c r="F4558" t="s">
        <v>42</v>
      </c>
      <c r="G4558">
        <v>-192.24180000000001</v>
      </c>
      <c r="H4558">
        <v>1.0531539999999999</v>
      </c>
      <c r="I4558">
        <v>163.74809999999999</v>
      </c>
      <c r="J4558">
        <v>-192.1429</v>
      </c>
      <c r="K4558">
        <v>1.1208229999999999</v>
      </c>
      <c r="L4558">
        <v>164.47110000000001</v>
      </c>
      <c r="M4558">
        <v>-2.6932069999999999E-2</v>
      </c>
      <c r="N4558">
        <v>-1.410308E-2</v>
      </c>
      <c r="O4558">
        <v>-0.99953800000000004</v>
      </c>
      <c r="P4558">
        <v>-6.0338719999999998E-2</v>
      </c>
      <c r="Q4558">
        <v>-9.0666010000000005E-2</v>
      </c>
      <c r="R4558">
        <v>-0.99405209999999999</v>
      </c>
      <c r="S4558">
        <v>-0.348205599999999</v>
      </c>
      <c r="T4558">
        <v>-0.227078</v>
      </c>
      <c r="U4558">
        <v>-2.976105</v>
      </c>
      <c r="V4558">
        <v>3.3496089999999999E-2</v>
      </c>
      <c r="W4558">
        <v>-7.6640189999999997E-2</v>
      </c>
      <c r="X4558">
        <v>0.99649600000000005</v>
      </c>
      <c r="Y4558">
        <v>8.9136439999999997E-2</v>
      </c>
      <c r="Z4558">
        <v>6.15823E-2</v>
      </c>
      <c r="AA4558">
        <v>0.99411389999999999</v>
      </c>
      <c r="AB4558">
        <v>18</v>
      </c>
      <c r="AC4558">
        <v>-9.8900000000014601E-2</v>
      </c>
      <c r="AD4558">
        <v>-6.7668999999999702E-2</v>
      </c>
      <c r="AE4558">
        <v>-0.72300000000001297</v>
      </c>
      <c r="AF4558">
        <v>7.8713436988883403E-2</v>
      </c>
      <c r="AG4558">
        <v>-6.7668999999999702E-2</v>
      </c>
      <c r="AH4558">
        <v>0.71921693917888896</v>
      </c>
      <c r="AI4558">
        <v>95.343249036521499</v>
      </c>
      <c r="AJ4558">
        <v>83.754221651527303</v>
      </c>
      <c r="AK4558">
        <v>0.72666904731483695</v>
      </c>
      <c r="AL4558">
        <v>94.395469603009303</v>
      </c>
      <c r="AM4558">
        <v>88.074791817770205</v>
      </c>
      <c r="AN4558">
        <v>0.999999992392262</v>
      </c>
    </row>
    <row r="4559" spans="1:40" x14ac:dyDescent="0.25">
      <c r="A4559" t="str">
        <f>"20190303154859593"</f>
        <v>20190303154859593</v>
      </c>
      <c r="B4559" t="str">
        <f>"1551599339585872"</f>
        <v>1551599339585872</v>
      </c>
      <c r="C4559" t="s">
        <v>40</v>
      </c>
      <c r="D4559">
        <v>5.0079750000000001</v>
      </c>
      <c r="E4559">
        <v>0.52099960000000001</v>
      </c>
      <c r="F4559" t="s">
        <v>42</v>
      </c>
      <c r="G4559">
        <v>-192.2466</v>
      </c>
      <c r="H4559">
        <v>1.0529869999999999</v>
      </c>
      <c r="I4559">
        <v>163.58760000000001</v>
      </c>
      <c r="J4559">
        <v>-192.14580000000001</v>
      </c>
      <c r="K4559">
        <v>1.120833</v>
      </c>
      <c r="L4559">
        <v>164.37549999999999</v>
      </c>
      <c r="M4559">
        <v>-2.7184150000000001E-2</v>
      </c>
      <c r="N4559">
        <v>-1.4100690000000001E-2</v>
      </c>
      <c r="O4559">
        <v>-0.99953110000000001</v>
      </c>
      <c r="P4559">
        <v>-6.0477639999999999E-2</v>
      </c>
      <c r="Q4559">
        <v>-9.0622949999999994E-2</v>
      </c>
      <c r="R4559">
        <v>-0.99404749999999997</v>
      </c>
      <c r="S4559">
        <v>-0.34875489999999998</v>
      </c>
      <c r="T4559">
        <v>-0.22857189999999999</v>
      </c>
      <c r="U4559">
        <v>-2.9759370000000001</v>
      </c>
      <c r="V4559">
        <v>3.3384179999999999E-2</v>
      </c>
      <c r="W4559">
        <v>-7.6599280000000006E-2</v>
      </c>
      <c r="X4559">
        <v>0.99650289999999997</v>
      </c>
      <c r="Y4559">
        <v>8.9068869999999994E-2</v>
      </c>
      <c r="Z4559">
        <v>6.208296E-2</v>
      </c>
      <c r="AA4559">
        <v>0.99408879999999999</v>
      </c>
      <c r="AB4559">
        <v>18</v>
      </c>
      <c r="AC4559">
        <v>-0.10079999999999199</v>
      </c>
      <c r="AD4559">
        <v>-6.7845999999999795E-2</v>
      </c>
      <c r="AE4559">
        <v>-0.78789999999997895</v>
      </c>
      <c r="AF4559">
        <v>7.8767572737932001E-2</v>
      </c>
      <c r="AG4559">
        <v>-6.7845999999999795E-2</v>
      </c>
      <c r="AH4559">
        <v>0.78462496413992799</v>
      </c>
      <c r="AI4559">
        <v>94.917440835977004</v>
      </c>
      <c r="AJ4559">
        <v>84.267350651825495</v>
      </c>
      <c r="AK4559">
        <v>0.79148199258265395</v>
      </c>
      <c r="AL4559">
        <v>94.393118726165298</v>
      </c>
      <c r="AM4559">
        <v>88.081232373224594</v>
      </c>
      <c r="AN4559">
        <v>0.99999999143959994</v>
      </c>
    </row>
    <row r="4560" spans="1:40" x14ac:dyDescent="0.25">
      <c r="A4560" t="str">
        <f>"20190303154859606"</f>
        <v>20190303154859606</v>
      </c>
      <c r="B4560" t="str">
        <f>"1551599339595633"</f>
        <v>1551599339595633</v>
      </c>
      <c r="C4560" t="s">
        <v>40</v>
      </c>
      <c r="D4560">
        <v>4.9738569999999998</v>
      </c>
      <c r="E4560">
        <v>0.52102789999999999</v>
      </c>
      <c r="F4560" t="s">
        <v>59</v>
      </c>
      <c r="G4560">
        <v>-193.85249999999999</v>
      </c>
      <c r="H4560" s="1">
        <v>-1.1472380000000001E-5</v>
      </c>
      <c r="I4560">
        <v>149.83539999999999</v>
      </c>
      <c r="J4560">
        <v>-192.14879999999999</v>
      </c>
      <c r="K4560">
        <v>1.120835</v>
      </c>
      <c r="L4560">
        <v>164.2764</v>
      </c>
      <c r="M4560">
        <v>-2.7445250000000001E-2</v>
      </c>
      <c r="N4560">
        <v>-1.409823E-2</v>
      </c>
      <c r="O4560">
        <v>-0.99952390000000002</v>
      </c>
      <c r="P4560">
        <v>-6.0476519999999999E-2</v>
      </c>
      <c r="Q4560">
        <v>-9.0233850000000004E-2</v>
      </c>
      <c r="R4560">
        <v>-0.99408319999999994</v>
      </c>
      <c r="S4560">
        <v>-0.34930420000000001</v>
      </c>
      <c r="T4560">
        <v>-0.2293953</v>
      </c>
      <c r="U4560">
        <v>-2.9758149999999999</v>
      </c>
      <c r="V4560">
        <v>3.312242E-2</v>
      </c>
      <c r="W4560">
        <v>-7.6211849999999998E-2</v>
      </c>
      <c r="X4560">
        <v>0.99654129999999996</v>
      </c>
      <c r="Y4560">
        <v>8.8992269999999998E-2</v>
      </c>
      <c r="Z4560">
        <v>6.2360289999999999E-2</v>
      </c>
      <c r="AA4560">
        <v>0.99407829999999997</v>
      </c>
      <c r="AB4560">
        <v>18</v>
      </c>
      <c r="AC4560">
        <v>-1.70369999999999</v>
      </c>
      <c r="AD4560">
        <v>-1.12084647238</v>
      </c>
      <c r="AE4560">
        <v>-14.441000000000001</v>
      </c>
      <c r="AF4560">
        <v>1.2989640891384899</v>
      </c>
      <c r="AG4560">
        <v>-1.12084647238</v>
      </c>
      <c r="AH4560">
        <v>14.3967840179133</v>
      </c>
      <c r="AI4560">
        <v>94.433784519552106</v>
      </c>
      <c r="AJ4560">
        <v>84.844391473244301</v>
      </c>
      <c r="AK4560">
        <v>14.4986549230597</v>
      </c>
      <c r="AL4560">
        <v>94.370855716784305</v>
      </c>
      <c r="AM4560">
        <v>88.096339311377307</v>
      </c>
      <c r="AN4560">
        <v>0.999999951696383</v>
      </c>
    </row>
    <row r="4561" spans="1:40" x14ac:dyDescent="0.25">
      <c r="A4561" t="str">
        <f>"20190303154859619"</f>
        <v>20190303154859619</v>
      </c>
      <c r="B4561" t="str">
        <f>"1551599339615153"</f>
        <v>1551599339615153</v>
      </c>
      <c r="C4561" t="s">
        <v>40</v>
      </c>
      <c r="D4561">
        <v>5.03878</v>
      </c>
      <c r="E4561">
        <v>0.52117630000000004</v>
      </c>
      <c r="F4561" t="s">
        <v>59</v>
      </c>
      <c r="G4561">
        <v>-193.85990000000001</v>
      </c>
      <c r="H4561" s="1">
        <v>-1.141783E-5</v>
      </c>
      <c r="I4561">
        <v>149.70519999999999</v>
      </c>
      <c r="J4561">
        <v>-192.15199999999999</v>
      </c>
      <c r="K4561">
        <v>1.1208389999999999</v>
      </c>
      <c r="L4561">
        <v>164.1704</v>
      </c>
      <c r="M4561">
        <v>-2.7724579999999999E-2</v>
      </c>
      <c r="N4561">
        <v>-1.409561E-2</v>
      </c>
      <c r="O4561">
        <v>-0.99951630000000002</v>
      </c>
      <c r="P4561">
        <v>-6.0622959999999997E-2</v>
      </c>
      <c r="Q4561">
        <v>-8.9948189999999997E-2</v>
      </c>
      <c r="R4561">
        <v>-0.99410019999999999</v>
      </c>
      <c r="S4561">
        <v>-0.34945680000000001</v>
      </c>
      <c r="T4561">
        <v>-0.22890579999999999</v>
      </c>
      <c r="U4561">
        <v>-2.9758300000000002</v>
      </c>
      <c r="V4561">
        <v>3.2990440000000003E-2</v>
      </c>
      <c r="W4561">
        <v>-7.5928259999999997E-2</v>
      </c>
      <c r="X4561">
        <v>0.99656739999999999</v>
      </c>
      <c r="Y4561">
        <v>8.8765060000000007E-2</v>
      </c>
      <c r="Z4561">
        <v>6.2200190000000002E-2</v>
      </c>
      <c r="AA4561">
        <v>0.99410860000000001</v>
      </c>
      <c r="AB4561">
        <v>18</v>
      </c>
      <c r="AC4561">
        <v>-1.70789999999999</v>
      </c>
      <c r="AD4561">
        <v>-1.1208504178299901</v>
      </c>
      <c r="AE4561">
        <v>-14.465199999999999</v>
      </c>
      <c r="AF4561">
        <v>1.2984729982543299</v>
      </c>
      <c r="AG4561">
        <v>-1.1208504178299901</v>
      </c>
      <c r="AH4561">
        <v>14.4215960576658</v>
      </c>
      <c r="AI4561">
        <v>94.426276755434699</v>
      </c>
      <c r="AJ4561">
        <v>84.855149272101002</v>
      </c>
      <c r="AK4561">
        <v>14.523249314007799</v>
      </c>
      <c r="AL4561">
        <v>94.354559663192305</v>
      </c>
      <c r="AM4561">
        <v>88.103968735124099</v>
      </c>
      <c r="AN4561">
        <v>1.0000000262703901</v>
      </c>
    </row>
    <row r="4562" spans="1:40" x14ac:dyDescent="0.25">
      <c r="A4562" t="str">
        <f>"20190303154859631"</f>
        <v>20190303154859631</v>
      </c>
      <c r="B4562" t="str">
        <f>"1551599339625889"</f>
        <v>1551599339625889</v>
      </c>
      <c r="C4562" t="s">
        <v>40</v>
      </c>
      <c r="D4562">
        <v>5.0416119999999998</v>
      </c>
      <c r="E4562">
        <v>0.52126649999999997</v>
      </c>
      <c r="F4562" t="s">
        <v>59</v>
      </c>
      <c r="G4562">
        <v>-193.8681</v>
      </c>
      <c r="H4562" s="1">
        <v>-1.138565E-5</v>
      </c>
      <c r="I4562">
        <v>149.6268</v>
      </c>
      <c r="J4562">
        <v>-192.1551</v>
      </c>
      <c r="K4562">
        <v>1.120843</v>
      </c>
      <c r="L4562">
        <v>164.0718</v>
      </c>
      <c r="M4562">
        <v>-2.7984470000000001E-2</v>
      </c>
      <c r="N4562">
        <v>-1.409318E-2</v>
      </c>
      <c r="O4562">
        <v>-0.99950890000000003</v>
      </c>
      <c r="P4562">
        <v>-6.084465E-2</v>
      </c>
      <c r="Q4562">
        <v>-8.9731889999999995E-2</v>
      </c>
      <c r="R4562">
        <v>-0.99410569999999998</v>
      </c>
      <c r="S4562">
        <v>-0.35111999999999999</v>
      </c>
      <c r="T4562">
        <v>-0.2293279</v>
      </c>
      <c r="U4562">
        <v>-2.9756619999999998</v>
      </c>
      <c r="V4562">
        <v>3.295331E-2</v>
      </c>
      <c r="W4562">
        <v>-7.5714069999999994E-2</v>
      </c>
      <c r="X4562">
        <v>0.9965849</v>
      </c>
      <c r="Y4562">
        <v>8.9059289999999999E-2</v>
      </c>
      <c r="Z4562">
        <v>6.2342790000000002E-2</v>
      </c>
      <c r="AA4562">
        <v>0.99407330000000005</v>
      </c>
      <c r="AB4562">
        <v>18</v>
      </c>
      <c r="AC4562">
        <v>-1.7129999999999901</v>
      </c>
      <c r="AD4562">
        <v>-1.12085438565</v>
      </c>
      <c r="AE4562">
        <v>-14.444999999999901</v>
      </c>
      <c r="AF4562">
        <v>1.30033249174431</v>
      </c>
      <c r="AG4562">
        <v>-1.12085438565</v>
      </c>
      <c r="AH4562">
        <v>14.401774275547</v>
      </c>
      <c r="AI4562">
        <v>94.432260293007701</v>
      </c>
      <c r="AJ4562">
        <v>84.8407682305739</v>
      </c>
      <c r="AK4562">
        <v>14.503733361680499</v>
      </c>
      <c r="AL4562">
        <v>94.342252157900703</v>
      </c>
      <c r="AM4562">
        <v>88.106134353434996</v>
      </c>
      <c r="AN4562">
        <v>1.0000000019719599</v>
      </c>
    </row>
    <row r="4563" spans="1:40" x14ac:dyDescent="0.25">
      <c r="A4563" t="str">
        <f>"20190303154859649"</f>
        <v>20190303154859649</v>
      </c>
      <c r="B4563" t="str">
        <f>"1551599339645408"</f>
        <v>1551599339645408</v>
      </c>
      <c r="C4563" t="s">
        <v>40</v>
      </c>
      <c r="D4563">
        <v>5.0145749999999998</v>
      </c>
      <c r="E4563">
        <v>0.52129040000000004</v>
      </c>
      <c r="F4563" t="s">
        <v>59</v>
      </c>
      <c r="G4563">
        <v>-193.87459999999999</v>
      </c>
      <c r="H4563" s="1">
        <v>-1.1366140000000001E-5</v>
      </c>
      <c r="I4563">
        <v>149.55500000000001</v>
      </c>
      <c r="J4563">
        <v>-192.15940000000001</v>
      </c>
      <c r="K4563">
        <v>1.120852</v>
      </c>
      <c r="L4563">
        <v>163.9348</v>
      </c>
      <c r="M4563">
        <v>-2.834443E-2</v>
      </c>
      <c r="N4563">
        <v>-1.408979E-2</v>
      </c>
      <c r="O4563">
        <v>-0.99949909999999997</v>
      </c>
      <c r="P4563">
        <v>-6.1346520000000002E-2</v>
      </c>
      <c r="Q4563">
        <v>-8.8311329999999993E-2</v>
      </c>
      <c r="R4563">
        <v>-0.99420240000000004</v>
      </c>
      <c r="S4563">
        <v>-0.35243229999999998</v>
      </c>
      <c r="T4563">
        <v>-0.22973789999999999</v>
      </c>
      <c r="U4563">
        <v>-2.9754640000000001</v>
      </c>
      <c r="V4563">
        <v>3.3094819999999997E-2</v>
      </c>
      <c r="W4563">
        <v>-7.4295269999999997E-2</v>
      </c>
      <c r="X4563">
        <v>0.99668699999999999</v>
      </c>
      <c r="Y4563">
        <v>8.9139540000000003E-2</v>
      </c>
      <c r="Z4563">
        <v>6.2484070000000003E-2</v>
      </c>
      <c r="AA4563">
        <v>0.99405730000000003</v>
      </c>
      <c r="AB4563">
        <v>18</v>
      </c>
      <c r="AC4563">
        <v>-1.7151999999999801</v>
      </c>
      <c r="AD4563">
        <v>-1.12086336613999</v>
      </c>
      <c r="AE4563">
        <v>-14.3797999999999</v>
      </c>
      <c r="AF4563">
        <v>1.2991008164748299</v>
      </c>
      <c r="AG4563">
        <v>-1.12086336613999</v>
      </c>
      <c r="AH4563">
        <v>14.336757864397301</v>
      </c>
      <c r="AI4563">
        <v>94.452186523886795</v>
      </c>
      <c r="AJ4563">
        <v>84.822380691435896</v>
      </c>
      <c r="AK4563">
        <v>14.439065886659</v>
      </c>
      <c r="AL4563">
        <v>94.260731213561499</v>
      </c>
      <c r="AM4563">
        <v>88.098202263100006</v>
      </c>
      <c r="AN4563">
        <v>1.0000000151121</v>
      </c>
    </row>
    <row r="4564" spans="1:40" x14ac:dyDescent="0.25">
      <c r="A4564" t="str">
        <f>"20190303154859671"</f>
        <v>20190303154859671</v>
      </c>
      <c r="B4564" t="str">
        <f>"1551599339665905"</f>
        <v>1551599339665905</v>
      </c>
      <c r="C4564" t="s">
        <v>40</v>
      </c>
      <c r="D4564">
        <v>5.0272610000000002</v>
      </c>
      <c r="E4564">
        <v>0.52105919999999994</v>
      </c>
      <c r="F4564" t="s">
        <v>59</v>
      </c>
      <c r="G4564">
        <v>-193.90690000000001</v>
      </c>
      <c r="H4564" s="1">
        <v>-1.129247E-5</v>
      </c>
      <c r="I4564">
        <v>149.25389999999999</v>
      </c>
      <c r="J4564">
        <v>-192.16499999999999</v>
      </c>
      <c r="K4564">
        <v>1.12086</v>
      </c>
      <c r="L4564">
        <v>163.7551</v>
      </c>
      <c r="M4564">
        <v>-2.8813129999999999E-2</v>
      </c>
      <c r="N4564">
        <v>-1.408531E-2</v>
      </c>
      <c r="O4564">
        <v>-0.99948579999999998</v>
      </c>
      <c r="P4564">
        <v>-6.1625069999999997E-2</v>
      </c>
      <c r="Q4564">
        <v>-8.7313520000000006E-2</v>
      </c>
      <c r="R4564">
        <v>-0.99427330000000003</v>
      </c>
      <c r="S4564">
        <v>-0.35418699999999997</v>
      </c>
      <c r="T4564">
        <v>-0.2271734</v>
      </c>
      <c r="U4564">
        <v>-2.9754939999999999</v>
      </c>
      <c r="V4564">
        <v>3.2905490000000003E-2</v>
      </c>
      <c r="W4564">
        <v>-7.3300359999999995E-2</v>
      </c>
      <c r="X4564">
        <v>0.99676690000000001</v>
      </c>
      <c r="Y4564">
        <v>8.9256100000000005E-2</v>
      </c>
      <c r="Z4564">
        <v>6.1633750000000001E-2</v>
      </c>
      <c r="AA4564">
        <v>0.99409990000000004</v>
      </c>
      <c r="AB4564">
        <v>18</v>
      </c>
      <c r="AC4564">
        <v>-1.74190000000001</v>
      </c>
      <c r="AD4564">
        <v>-1.1208712924699999</v>
      </c>
      <c r="AE4564">
        <v>-14.501200000000001</v>
      </c>
      <c r="AF4564">
        <v>1.3155622619480201</v>
      </c>
      <c r="AG4564">
        <v>-1.1208712924699999</v>
      </c>
      <c r="AH4564">
        <v>14.460208611126101</v>
      </c>
      <c r="AI4564">
        <v>94.414214518109304</v>
      </c>
      <c r="AJ4564">
        <v>84.801649765630998</v>
      </c>
      <c r="AK4564">
        <v>14.563127740860899</v>
      </c>
      <c r="AL4564">
        <v>94.203571338624897</v>
      </c>
      <c r="AM4564">
        <v>88.109225677754594</v>
      </c>
      <c r="AN4564">
        <v>0.99999998349193897</v>
      </c>
    </row>
    <row r="4565" spans="1:40" x14ac:dyDescent="0.25">
      <c r="A4565" t="str">
        <f>"20190303154859695"</f>
        <v>20190303154859695</v>
      </c>
      <c r="B4565" t="str">
        <f>"1551599339685424"</f>
        <v>1551599339685424</v>
      </c>
      <c r="C4565" t="s">
        <v>40</v>
      </c>
      <c r="D4565">
        <v>4.9997790000000002</v>
      </c>
      <c r="E4565">
        <v>0.52102910000000002</v>
      </c>
      <c r="F4565" t="s">
        <v>59</v>
      </c>
      <c r="G4565">
        <v>-193.91589999999999</v>
      </c>
      <c r="H4565" s="1">
        <v>-1.122681E-5</v>
      </c>
      <c r="I4565">
        <v>148.99889999999999</v>
      </c>
      <c r="J4565">
        <v>-192.17089999999999</v>
      </c>
      <c r="K4565">
        <v>1.120873</v>
      </c>
      <c r="L4565">
        <v>163.56979999999999</v>
      </c>
      <c r="M4565">
        <v>-2.928859E-2</v>
      </c>
      <c r="N4565">
        <v>-1.4080530000000001E-2</v>
      </c>
      <c r="O4565">
        <v>-0.99947200000000003</v>
      </c>
      <c r="P4565">
        <v>-6.1832140000000001E-2</v>
      </c>
      <c r="Q4565">
        <v>-8.6792910000000001E-2</v>
      </c>
      <c r="R4565">
        <v>-0.99430580000000002</v>
      </c>
      <c r="S4565">
        <v>-0.35305789999999998</v>
      </c>
      <c r="T4565">
        <v>-0.22602</v>
      </c>
      <c r="U4565">
        <v>-2.9755400000000001</v>
      </c>
      <c r="V4565">
        <v>3.2639229999999998E-2</v>
      </c>
      <c r="W4565">
        <v>-7.278316E-2</v>
      </c>
      <c r="X4565">
        <v>0.99681359999999997</v>
      </c>
      <c r="Y4565">
        <v>8.8411989999999996E-2</v>
      </c>
      <c r="Z4565">
        <v>6.1258279999999998E-2</v>
      </c>
      <c r="AA4565">
        <v>0.99419860000000004</v>
      </c>
      <c r="AB4565">
        <v>18</v>
      </c>
      <c r="AC4565">
        <v>-1.7450000000000001</v>
      </c>
      <c r="AD4565">
        <v>-1.1208842268100001</v>
      </c>
      <c r="AE4565">
        <v>-14.5708999999999</v>
      </c>
      <c r="AF4565">
        <v>1.3098065190249599</v>
      </c>
      <c r="AG4565">
        <v>-1.1208842268100001</v>
      </c>
      <c r="AH4565">
        <v>14.530988096612701</v>
      </c>
      <c r="AI4565">
        <v>94.393177888201507</v>
      </c>
      <c r="AJ4565">
        <v>84.849344089092497</v>
      </c>
      <c r="AK4565">
        <v>14.632894096216599</v>
      </c>
      <c r="AL4565">
        <v>94.173858398162594</v>
      </c>
      <c r="AM4565">
        <v>88.124602010114501</v>
      </c>
      <c r="AN4565">
        <v>1.00000003042976</v>
      </c>
    </row>
    <row r="4566" spans="1:40" x14ac:dyDescent="0.25">
      <c r="A4566" t="str">
        <f>"20190303154859715"</f>
        <v>20190303154859715</v>
      </c>
      <c r="B4566" t="str">
        <f>"1551599339704945"</f>
        <v>1551599339704945</v>
      </c>
      <c r="C4566" t="s">
        <v>40</v>
      </c>
      <c r="D4566">
        <v>5.0757669999999999</v>
      </c>
      <c r="E4566">
        <v>0.52105059999999903</v>
      </c>
      <c r="F4566" t="s">
        <v>59</v>
      </c>
      <c r="G4566">
        <v>-193.92500000000001</v>
      </c>
      <c r="H4566" s="1">
        <v>-1.117581E-5</v>
      </c>
      <c r="I4566">
        <v>148.79929999999999</v>
      </c>
      <c r="J4566">
        <v>-192.1763</v>
      </c>
      <c r="K4566">
        <v>1.1208849999999999</v>
      </c>
      <c r="L4566">
        <v>163.40270000000001</v>
      </c>
      <c r="M4566">
        <v>-2.970397E-2</v>
      </c>
      <c r="N4566">
        <v>-1.4076180000000001E-2</v>
      </c>
      <c r="O4566">
        <v>-0.9994596</v>
      </c>
      <c r="P4566">
        <v>-6.1615799999999998E-2</v>
      </c>
      <c r="Q4566">
        <v>-8.6963150000000003E-2</v>
      </c>
      <c r="R4566">
        <v>-0.99430439999999998</v>
      </c>
      <c r="S4566">
        <v>-0.35336299999999998</v>
      </c>
      <c r="T4566">
        <v>-0.22580220000000001</v>
      </c>
      <c r="U4566">
        <v>-2.9755099999999999</v>
      </c>
      <c r="V4566">
        <v>3.2010789999999997E-2</v>
      </c>
      <c r="W4566">
        <v>-7.2956549999999995E-2</v>
      </c>
      <c r="X4566">
        <v>0.99682130000000002</v>
      </c>
      <c r="Y4566">
        <v>8.8100520000000002E-2</v>
      </c>
      <c r="Z4566">
        <v>6.1190750000000002E-2</v>
      </c>
      <c r="AA4566">
        <v>0.99423030000000001</v>
      </c>
      <c r="AB4566">
        <v>18</v>
      </c>
      <c r="AC4566">
        <v>-1.7487000000000099</v>
      </c>
      <c r="AD4566">
        <v>-1.12089617581</v>
      </c>
      <c r="AE4566">
        <v>-14.603400000000001</v>
      </c>
      <c r="AF4566">
        <v>1.30651778673167</v>
      </c>
      <c r="AG4566">
        <v>-1.12089617581</v>
      </c>
      <c r="AH4566">
        <v>14.5643112451666</v>
      </c>
      <c r="AI4566">
        <v>94.383380325449295</v>
      </c>
      <c r="AJ4566">
        <v>84.873899900950505</v>
      </c>
      <c r="AK4566">
        <v>14.6656932672847</v>
      </c>
      <c r="AL4566">
        <v>94.183819411282002</v>
      </c>
      <c r="AM4566">
        <v>88.160700320099195</v>
      </c>
      <c r="AN4566">
        <v>1.0000000264990001</v>
      </c>
    </row>
    <row r="4567" spans="1:40" x14ac:dyDescent="0.25">
      <c r="A4567" t="str">
        <f>"20190303154859738"</f>
        <v>20190303154859738</v>
      </c>
      <c r="B4567" t="str">
        <f>"1551599339735201"</f>
        <v>1551599339735201</v>
      </c>
      <c r="C4567" t="s">
        <v>40</v>
      </c>
      <c r="D4567">
        <v>5.1501229999999998</v>
      </c>
      <c r="E4567">
        <v>0.52133030000000002</v>
      </c>
      <c r="F4567" t="s">
        <v>59</v>
      </c>
      <c r="G4567">
        <v>-193.91540000000001</v>
      </c>
      <c r="H4567" s="1">
        <v>-1.115685E-5</v>
      </c>
      <c r="I4567">
        <v>148.73390000000001</v>
      </c>
      <c r="J4567">
        <v>-192.1823</v>
      </c>
      <c r="K4567">
        <v>1.1209</v>
      </c>
      <c r="L4567">
        <v>163.22200000000001</v>
      </c>
      <c r="M4567">
        <v>-3.0126469999999999E-2</v>
      </c>
      <c r="N4567">
        <v>-1.40714E-2</v>
      </c>
      <c r="O4567">
        <v>-0.99944719999999998</v>
      </c>
      <c r="P4567">
        <v>-6.1344830000000003E-2</v>
      </c>
      <c r="Q4567">
        <v>-8.7159520000000004E-2</v>
      </c>
      <c r="R4567">
        <v>-0.99430419999999997</v>
      </c>
      <c r="S4567">
        <v>-0.35275269999999997</v>
      </c>
      <c r="T4567">
        <v>-0.2273654</v>
      </c>
      <c r="U4567">
        <v>-2.9754640000000001</v>
      </c>
      <c r="V4567">
        <v>3.1322170000000003E-2</v>
      </c>
      <c r="W4567">
        <v>-7.3155830000000005E-2</v>
      </c>
      <c r="X4567">
        <v>0.99682859999999995</v>
      </c>
      <c r="Y4567">
        <v>8.7476369999999998E-2</v>
      </c>
      <c r="Z4567">
        <v>6.1716710000000001E-2</v>
      </c>
      <c r="AA4567">
        <v>0.99425300000000005</v>
      </c>
      <c r="AB4567">
        <v>18</v>
      </c>
      <c r="AC4567">
        <v>-1.7331000000000001</v>
      </c>
      <c r="AD4567">
        <v>-1.1209111568500001</v>
      </c>
      <c r="AE4567">
        <v>-14.488099999999999</v>
      </c>
      <c r="AF4567">
        <v>1.2881926868491</v>
      </c>
      <c r="AG4567">
        <v>-1.1209111568500001</v>
      </c>
      <c r="AH4567">
        <v>14.448474778458801</v>
      </c>
      <c r="AI4567">
        <v>94.418657432549907</v>
      </c>
      <c r="AJ4567">
        <v>84.905111864761693</v>
      </c>
      <c r="AK4567">
        <v>14.549031089518</v>
      </c>
      <c r="AL4567">
        <v>94.195267783213893</v>
      </c>
      <c r="AM4567">
        <v>88.200254421614105</v>
      </c>
      <c r="AN4567">
        <v>1.00000005578722</v>
      </c>
    </row>
    <row r="4568" spans="1:40" x14ac:dyDescent="0.25">
      <c r="A4568" t="str">
        <f>"20190303154859750"</f>
        <v>20190303154859750</v>
      </c>
      <c r="B4568" t="str">
        <f>"1551599339744960"</f>
        <v>1551599339744960</v>
      </c>
      <c r="C4568" t="s">
        <v>40</v>
      </c>
      <c r="D4568">
        <v>5.0340179999999997</v>
      </c>
      <c r="E4568">
        <v>0.52104010000000001</v>
      </c>
      <c r="F4568" t="s">
        <v>42</v>
      </c>
      <c r="G4568">
        <v>-192.2715</v>
      </c>
      <c r="H4568">
        <v>1.0515049999999999</v>
      </c>
      <c r="I4568">
        <v>162.4725</v>
      </c>
      <c r="J4568">
        <v>-192.18549999999999</v>
      </c>
      <c r="K4568">
        <v>1.1209199999999999</v>
      </c>
      <c r="L4568">
        <v>163.12129999999999</v>
      </c>
      <c r="M4568">
        <v>-3.0337759999999998E-2</v>
      </c>
      <c r="N4568">
        <v>-1.406612E-2</v>
      </c>
      <c r="O4568">
        <v>-0.99944069999999996</v>
      </c>
      <c r="P4568">
        <v>-6.1460430000000003E-2</v>
      </c>
      <c r="Q4568">
        <v>-8.6920910000000004E-2</v>
      </c>
      <c r="R4568">
        <v>-0.99431780000000003</v>
      </c>
      <c r="S4568">
        <v>-0.3536377</v>
      </c>
      <c r="T4568">
        <v>-0.27512569999999997</v>
      </c>
      <c r="U4568">
        <v>-2.971222</v>
      </c>
      <c r="V4568">
        <v>3.1229839999999998E-2</v>
      </c>
      <c r="W4568">
        <v>-7.2920899999999997E-2</v>
      </c>
      <c r="X4568">
        <v>0.99684859999999997</v>
      </c>
      <c r="Y4568">
        <v>8.7582220000000002E-2</v>
      </c>
      <c r="Z4568">
        <v>7.7650899999999995E-2</v>
      </c>
      <c r="AA4568">
        <v>0.99312619999999896</v>
      </c>
      <c r="AB4568">
        <v>18</v>
      </c>
      <c r="AC4568">
        <v>-8.6000000000012705E-2</v>
      </c>
      <c r="AD4568">
        <v>-6.9415000000000199E-2</v>
      </c>
      <c r="AE4568">
        <v>-0.64879999999999405</v>
      </c>
      <c r="AF4568">
        <v>6.5538070890702196E-2</v>
      </c>
      <c r="AG4568">
        <v>-6.9415000000000199E-2</v>
      </c>
      <c r="AH4568">
        <v>0.64386762781946805</v>
      </c>
      <c r="AI4568">
        <v>96.121869059805604</v>
      </c>
      <c r="AJ4568">
        <v>84.187987962206094</v>
      </c>
      <c r="AK4568">
        <v>0.65090644728328195</v>
      </c>
      <c r="AL4568">
        <v>94.181771699128603</v>
      </c>
      <c r="AM4568">
        <v>88.205592131047396</v>
      </c>
      <c r="AN4568">
        <v>0.999999945942596</v>
      </c>
    </row>
    <row r="4569" spans="1:40" x14ac:dyDescent="0.25">
      <c r="A4569" t="str">
        <f>"20190303154859763"</f>
        <v>20190303154859763</v>
      </c>
      <c r="B4569" t="str">
        <f>"1551599339755696"</f>
        <v>1551599339755696</v>
      </c>
      <c r="C4569" t="s">
        <v>40</v>
      </c>
      <c r="D4569">
        <v>5.0326309999999896</v>
      </c>
      <c r="E4569">
        <v>0.52059290000000003</v>
      </c>
      <c r="F4569" t="s">
        <v>42</v>
      </c>
      <c r="G4569">
        <v>-192.28059999999999</v>
      </c>
      <c r="H4569">
        <v>1.0466439999999999</v>
      </c>
      <c r="I4569">
        <v>162.3192</v>
      </c>
      <c r="J4569">
        <v>-192.18879999999999</v>
      </c>
      <c r="K4569">
        <v>1.1209450000000001</v>
      </c>
      <c r="L4569">
        <v>163.02440000000001</v>
      </c>
      <c r="M4569">
        <v>-3.052931E-2</v>
      </c>
      <c r="N4569">
        <v>-1.4058019999999999E-2</v>
      </c>
      <c r="O4569">
        <v>-0.99943519999999997</v>
      </c>
      <c r="P4569">
        <v>-6.1428650000000001E-2</v>
      </c>
      <c r="Q4569">
        <v>-8.6357180000000006E-2</v>
      </c>
      <c r="R4569">
        <v>-0.99436910000000001</v>
      </c>
      <c r="S4569">
        <v>-0.35148620000000003</v>
      </c>
      <c r="T4569">
        <v>-0.27525569999999999</v>
      </c>
      <c r="U4569">
        <v>-2.9713590000000001</v>
      </c>
      <c r="V4569">
        <v>3.1009200000000001E-2</v>
      </c>
      <c r="W4569">
        <v>-7.2362999999999997E-2</v>
      </c>
      <c r="X4569">
        <v>0.99689620000000001</v>
      </c>
      <c r="Y4569">
        <v>8.6676989999999995E-2</v>
      </c>
      <c r="Z4569">
        <v>7.7704469999999998E-2</v>
      </c>
      <c r="AA4569">
        <v>0.99320140000000001</v>
      </c>
      <c r="AB4569">
        <v>18</v>
      </c>
      <c r="AC4569">
        <v>-9.1800000000006293E-2</v>
      </c>
      <c r="AD4569">
        <v>-7.4300999999999895E-2</v>
      </c>
      <c r="AE4569">
        <v>-0.70520000000001903</v>
      </c>
      <c r="AF4569">
        <v>6.9467494928460105E-2</v>
      </c>
      <c r="AG4569">
        <v>-7.4300999999999895E-2</v>
      </c>
      <c r="AH4569">
        <v>0.70003247445924</v>
      </c>
      <c r="AI4569">
        <v>96.0292598551152</v>
      </c>
      <c r="AJ4569">
        <v>84.332825892647506</v>
      </c>
      <c r="AK4569">
        <v>0.70738379734777801</v>
      </c>
      <c r="AL4569">
        <v>94.149721467196997</v>
      </c>
      <c r="AM4569">
        <v>88.218346509875602</v>
      </c>
      <c r="AN4569">
        <v>1.00000000391404</v>
      </c>
    </row>
    <row r="4570" spans="1:40" x14ac:dyDescent="0.25">
      <c r="A4570" t="str">
        <f>"20190303154859775"</f>
        <v>20190303154859775</v>
      </c>
      <c r="B4570" t="str">
        <f>"1551599339765456"</f>
        <v>1551599339765456</v>
      </c>
      <c r="C4570" t="s">
        <v>40</v>
      </c>
      <c r="D4570">
        <v>5.1298130000000004</v>
      </c>
      <c r="E4570">
        <v>0.52085979999999998</v>
      </c>
      <c r="F4570" t="s">
        <v>42</v>
      </c>
      <c r="G4570">
        <v>-192.2894</v>
      </c>
      <c r="H4570">
        <v>1.041172</v>
      </c>
      <c r="I4570">
        <v>162.16489999999999</v>
      </c>
      <c r="J4570">
        <v>-192.1919</v>
      </c>
      <c r="K4570">
        <v>1.1209720000000001</v>
      </c>
      <c r="L4570">
        <v>162.92699999999999</v>
      </c>
      <c r="M4570">
        <v>-3.0696230000000001E-2</v>
      </c>
      <c r="N4570">
        <v>-1.4041390000000001E-2</v>
      </c>
      <c r="O4570">
        <v>-0.99943020000000005</v>
      </c>
      <c r="P4570">
        <v>-6.1649790000000003E-2</v>
      </c>
      <c r="Q4570">
        <v>-8.5569469999999995E-2</v>
      </c>
      <c r="R4570">
        <v>-0.99442330000000001</v>
      </c>
      <c r="S4570">
        <v>-0.34799190000000002</v>
      </c>
      <c r="T4570">
        <v>-0.27580450000000001</v>
      </c>
      <c r="U4570">
        <v>-2.971527</v>
      </c>
      <c r="V4570">
        <v>3.106679E-2</v>
      </c>
      <c r="W4570">
        <v>-7.158921E-2</v>
      </c>
      <c r="X4570">
        <v>0.99695029999999996</v>
      </c>
      <c r="Y4570">
        <v>8.5351120000000003E-2</v>
      </c>
      <c r="Z4570">
        <v>7.7908069999999996E-2</v>
      </c>
      <c r="AA4570">
        <v>0.99330030000000002</v>
      </c>
      <c r="AB4570">
        <v>18</v>
      </c>
      <c r="AC4570">
        <v>-9.7499999999996603E-2</v>
      </c>
      <c r="AD4570">
        <v>-7.9799999999999802E-2</v>
      </c>
      <c r="AE4570">
        <v>-0.76210000000003197</v>
      </c>
      <c r="AF4570">
        <v>7.3267748859732806E-2</v>
      </c>
      <c r="AG4570">
        <v>-7.9799999999999802E-2</v>
      </c>
      <c r="AH4570">
        <v>0.75657225871101097</v>
      </c>
      <c r="AI4570">
        <v>95.993218777782005</v>
      </c>
      <c r="AJ4570">
        <v>84.468627538871502</v>
      </c>
      <c r="AK4570">
        <v>0.76428907206243202</v>
      </c>
      <c r="AL4570">
        <v>94.1052711675392</v>
      </c>
      <c r="AM4570">
        <v>88.215136577074404</v>
      </c>
      <c r="AN4570">
        <v>1.0000000305497001</v>
      </c>
    </row>
    <row r="4571" spans="1:40" x14ac:dyDescent="0.25">
      <c r="A4571" t="str">
        <f>"20190303154859793"</f>
        <v>20190303154859793</v>
      </c>
      <c r="B4571" t="str">
        <f>"1551599339784976"</f>
        <v>1551599339784976</v>
      </c>
      <c r="C4571" t="s">
        <v>40</v>
      </c>
      <c r="D4571">
        <v>5.0781070000000001</v>
      </c>
      <c r="E4571">
        <v>0.52063879999999996</v>
      </c>
      <c r="F4571" t="s">
        <v>42</v>
      </c>
      <c r="G4571">
        <v>-192.2826</v>
      </c>
      <c r="H4571">
        <v>1.0498130000000001</v>
      </c>
      <c r="I4571">
        <v>162.15819999999999</v>
      </c>
      <c r="J4571">
        <v>-192.19649999999999</v>
      </c>
      <c r="K4571">
        <v>1.121022</v>
      </c>
      <c r="L4571">
        <v>162.7876</v>
      </c>
      <c r="M4571">
        <v>-3.0896099999999999E-2</v>
      </c>
      <c r="N4571">
        <v>-1.4003E-2</v>
      </c>
      <c r="O4571">
        <v>-0.99942470000000005</v>
      </c>
      <c r="P4571">
        <v>-6.1937020000000002E-2</v>
      </c>
      <c r="Q4571">
        <v>-8.2834560000000002E-2</v>
      </c>
      <c r="R4571">
        <v>-0.99463699999999999</v>
      </c>
      <c r="S4571">
        <v>-0.3506012</v>
      </c>
      <c r="T4571">
        <v>-0.27506449999999999</v>
      </c>
      <c r="U4571">
        <v>-2.9714049999999999</v>
      </c>
      <c r="V4571">
        <v>3.1155680000000002E-2</v>
      </c>
      <c r="W4571">
        <v>-6.8886680000000006E-2</v>
      </c>
      <c r="X4571">
        <v>0.99713790000000002</v>
      </c>
      <c r="Y4571">
        <v>8.6018720000000007E-2</v>
      </c>
      <c r="Z4571">
        <v>7.7697500000000003E-2</v>
      </c>
      <c r="AA4571">
        <v>0.99325920000000001</v>
      </c>
      <c r="AB4571">
        <v>18</v>
      </c>
      <c r="AC4571">
        <v>-8.6100000000015997E-2</v>
      </c>
      <c r="AD4571">
        <v>-7.1208999999999995E-2</v>
      </c>
      <c r="AE4571">
        <v>-0.62940000000000396</v>
      </c>
      <c r="AF4571">
        <v>6.5784395215646704E-2</v>
      </c>
      <c r="AG4571">
        <v>-7.1208999999999995E-2</v>
      </c>
      <c r="AH4571">
        <v>0.62392029050051001</v>
      </c>
      <c r="AI4571">
        <v>96.475496276682193</v>
      </c>
      <c r="AJ4571">
        <v>83.981132826367798</v>
      </c>
      <c r="AK4571">
        <v>0.63140702976220497</v>
      </c>
      <c r="AL4571">
        <v>93.950044228255507</v>
      </c>
      <c r="AM4571">
        <v>88.210369488306199</v>
      </c>
      <c r="AN4571">
        <v>1.0000000213470399</v>
      </c>
    </row>
    <row r="4572" spans="1:40" x14ac:dyDescent="0.25">
      <c r="A4572" t="str">
        <f>"20190303154859805"</f>
        <v>20190303154859805</v>
      </c>
      <c r="B4572" t="str">
        <f>"1551599339795713"</f>
        <v>1551599339795713</v>
      </c>
      <c r="C4572" t="s">
        <v>40</v>
      </c>
      <c r="D4572">
        <v>5.0866949999999997</v>
      </c>
      <c r="E4572">
        <v>0.52055969999999996</v>
      </c>
      <c r="F4572" t="s">
        <v>42</v>
      </c>
      <c r="G4572">
        <v>-192.28909999999999</v>
      </c>
      <c r="H4572">
        <v>1.0494289999999999</v>
      </c>
      <c r="I4572">
        <v>162.00120000000001</v>
      </c>
      <c r="J4572">
        <v>-192.1995</v>
      </c>
      <c r="K4572">
        <v>1.1210530000000001</v>
      </c>
      <c r="L4572">
        <v>162.6936</v>
      </c>
      <c r="M4572">
        <v>-3.1002439999999999E-2</v>
      </c>
      <c r="N4572">
        <v>-1.396735E-2</v>
      </c>
      <c r="O4572">
        <v>-0.99942180000000003</v>
      </c>
      <c r="P4572">
        <v>-6.207638E-2</v>
      </c>
      <c r="Q4572">
        <v>-8.0966410000000003E-2</v>
      </c>
      <c r="R4572">
        <v>-0.99478230000000001</v>
      </c>
      <c r="S4572">
        <v>-0.34976200000000002</v>
      </c>
      <c r="T4572">
        <v>-0.27064650000000001</v>
      </c>
      <c r="U4572">
        <v>-2.9718629999999999</v>
      </c>
      <c r="V4572">
        <v>3.118976E-2</v>
      </c>
      <c r="W4572">
        <v>-6.7049940000000002E-2</v>
      </c>
      <c r="X4572">
        <v>0.99726199999999998</v>
      </c>
      <c r="Y4572">
        <v>8.5632600000000003E-2</v>
      </c>
      <c r="Z4572">
        <v>7.6260540000000002E-2</v>
      </c>
      <c r="AA4572">
        <v>0.99340390000000001</v>
      </c>
      <c r="AB4572">
        <v>18</v>
      </c>
      <c r="AC4572">
        <v>-8.9599999999990104E-2</v>
      </c>
      <c r="AD4572">
        <v>-7.1623999999999896E-2</v>
      </c>
      <c r="AE4572">
        <v>-0.69239999999999202</v>
      </c>
      <c r="AF4572">
        <v>6.7379620651820099E-2</v>
      </c>
      <c r="AG4572">
        <v>-7.1623999999999896E-2</v>
      </c>
      <c r="AH4572">
        <v>0.68760863626397495</v>
      </c>
      <c r="AI4572">
        <v>95.918561171023399</v>
      </c>
      <c r="AJ4572">
        <v>84.403383497117701</v>
      </c>
      <c r="AK4572">
        <v>0.69460466980865299</v>
      </c>
      <c r="AL4572">
        <v>93.844562934771105</v>
      </c>
      <c r="AM4572">
        <v>88.208635956506001</v>
      </c>
      <c r="AN4572">
        <v>0.99999999611343005</v>
      </c>
    </row>
    <row r="4573" spans="1:40" x14ac:dyDescent="0.25">
      <c r="A4573" t="str">
        <f>"20190303154859822"</f>
        <v>20190303154859822</v>
      </c>
      <c r="B4573" t="str">
        <f>"1551599339815233"</f>
        <v>1551599339815233</v>
      </c>
      <c r="C4573" t="s">
        <v>40</v>
      </c>
      <c r="D4573">
        <v>5.1062479999999999</v>
      </c>
      <c r="E4573">
        <v>0.52045850000000005</v>
      </c>
      <c r="F4573" t="s">
        <v>42</v>
      </c>
      <c r="G4573">
        <v>-192.29900000000001</v>
      </c>
      <c r="H4573">
        <v>1.045496</v>
      </c>
      <c r="I4573">
        <v>161.84739999999999</v>
      </c>
      <c r="J4573">
        <v>-192.20359999999999</v>
      </c>
      <c r="K4573">
        <v>1.121094</v>
      </c>
      <c r="L4573">
        <v>162.5684</v>
      </c>
      <c r="M4573">
        <v>-3.1104429999999999E-2</v>
      </c>
      <c r="N4573">
        <v>-1.390684E-2</v>
      </c>
      <c r="O4573">
        <v>-0.99941970000000002</v>
      </c>
      <c r="P4573">
        <v>-6.2054970000000001E-2</v>
      </c>
      <c r="Q4573">
        <v>-7.8921829999999998E-2</v>
      </c>
      <c r="R4573">
        <v>-0.99494800000000005</v>
      </c>
      <c r="S4573">
        <v>-0.34956359999999997</v>
      </c>
      <c r="T4573">
        <v>-0.26538620000000002</v>
      </c>
      <c r="U4573">
        <v>-2.972305</v>
      </c>
      <c r="V4573">
        <v>3.1068579999999998E-2</v>
      </c>
      <c r="W4573">
        <v>-6.5060350000000003E-2</v>
      </c>
      <c r="X4573">
        <v>0.99739750000000005</v>
      </c>
      <c r="Y4573">
        <v>8.5464830000000006E-2</v>
      </c>
      <c r="Z4573">
        <v>7.4568079999999995E-2</v>
      </c>
      <c r="AA4573">
        <v>0.99354679999999995</v>
      </c>
      <c r="AB4573">
        <v>18</v>
      </c>
      <c r="AC4573">
        <v>-9.54000000000121E-2</v>
      </c>
      <c r="AD4573">
        <v>-7.5597999999999999E-2</v>
      </c>
      <c r="AE4573">
        <v>-0.72100000000000297</v>
      </c>
      <c r="AF4573">
        <v>7.2145861008673096E-2</v>
      </c>
      <c r="AG4573">
        <v>-7.5597999999999999E-2</v>
      </c>
      <c r="AH4573">
        <v>0.71588381369144405</v>
      </c>
      <c r="AI4573">
        <v>95.997987652239502</v>
      </c>
      <c r="AJ4573">
        <v>84.245234141069503</v>
      </c>
      <c r="AK4573">
        <v>0.72347060587842005</v>
      </c>
      <c r="AL4573">
        <v>93.730318503790102</v>
      </c>
      <c r="AM4573">
        <v>88.215833606035204</v>
      </c>
      <c r="AN4573">
        <v>0.99999993940579202</v>
      </c>
    </row>
    <row r="4574" spans="1:40" x14ac:dyDescent="0.25">
      <c r="A4574" t="str">
        <f>"20190303154859837"</f>
        <v>20190303154859837</v>
      </c>
      <c r="B4574" t="str">
        <f>"1551599339824992"</f>
        <v>1551599339824992</v>
      </c>
      <c r="C4574" t="s">
        <v>40</v>
      </c>
      <c r="D4574">
        <v>5.0922510000000001</v>
      </c>
      <c r="E4574">
        <v>0.52019110000000002</v>
      </c>
      <c r="F4574" t="s">
        <v>42</v>
      </c>
      <c r="G4574">
        <v>-192.3066</v>
      </c>
      <c r="H4574">
        <v>1.04444</v>
      </c>
      <c r="I4574">
        <v>161.691</v>
      </c>
      <c r="J4574">
        <v>-192.20769999999999</v>
      </c>
      <c r="K4574">
        <v>1.1211450000000001</v>
      </c>
      <c r="L4574">
        <v>162.43819999999999</v>
      </c>
      <c r="M4574">
        <v>-3.1151709999999999E-2</v>
      </c>
      <c r="N4574">
        <v>-1.382191E-2</v>
      </c>
      <c r="O4574">
        <v>-0.99941899999999995</v>
      </c>
      <c r="P4574">
        <v>-6.2247370000000003E-2</v>
      </c>
      <c r="Q4574">
        <v>-7.5856679999999996E-2</v>
      </c>
      <c r="R4574">
        <v>-0.9951738</v>
      </c>
      <c r="S4574">
        <v>-0.34860229999999998</v>
      </c>
      <c r="T4574">
        <v>-0.25976169999999998</v>
      </c>
      <c r="U4574">
        <v>-2.9728699999999999</v>
      </c>
      <c r="V4574">
        <v>3.1213620000000001E-2</v>
      </c>
      <c r="W4574">
        <v>-6.2073709999999997E-2</v>
      </c>
      <c r="X4574">
        <v>0.99758340000000001</v>
      </c>
      <c r="Y4574">
        <v>8.5096110000000003E-2</v>
      </c>
      <c r="Z4574">
        <v>7.2777709999999995E-2</v>
      </c>
      <c r="AA4574">
        <v>0.99371120000000002</v>
      </c>
      <c r="AB4574">
        <v>18</v>
      </c>
      <c r="AC4574">
        <v>-9.8900000000014601E-2</v>
      </c>
      <c r="AD4574">
        <v>-7.6704999999999995E-2</v>
      </c>
      <c r="AE4574">
        <v>-0.74719999999999198</v>
      </c>
      <c r="AF4574">
        <v>7.47985249052706E-2</v>
      </c>
      <c r="AG4574">
        <v>-7.6704999999999995E-2</v>
      </c>
      <c r="AH4574">
        <v>0.74223125389862199</v>
      </c>
      <c r="AI4574">
        <v>95.870692750923297</v>
      </c>
      <c r="AJ4574">
        <v>84.245432647615999</v>
      </c>
      <c r="AK4574">
        <v>0.749923803207316</v>
      </c>
      <c r="AL4574">
        <v>93.5588494280898</v>
      </c>
      <c r="AM4574">
        <v>88.207843670088096</v>
      </c>
      <c r="AN4574">
        <v>1.00000003775111</v>
      </c>
    </row>
    <row r="4575" spans="1:40" x14ac:dyDescent="0.25">
      <c r="A4575" t="str">
        <f>"20190303154859850"</f>
        <v>20190303154859850</v>
      </c>
      <c r="B4575" t="str">
        <f>"1551599339845489"</f>
        <v>1551599339845489</v>
      </c>
      <c r="C4575" t="s">
        <v>40</v>
      </c>
      <c r="D4575">
        <v>5.1284769999999904</v>
      </c>
      <c r="E4575">
        <v>0.51987839999999996</v>
      </c>
      <c r="F4575" t="s">
        <v>59</v>
      </c>
      <c r="G4575">
        <v>-193.74170000000001</v>
      </c>
      <c r="H4575" s="1">
        <v>-1.127362E-5</v>
      </c>
      <c r="I4575">
        <v>149.2936</v>
      </c>
      <c r="J4575">
        <v>-192.2106</v>
      </c>
      <c r="K4575">
        <v>1.1211709999999999</v>
      </c>
      <c r="L4575">
        <v>162.34469999999999</v>
      </c>
      <c r="M4575">
        <v>-3.1156E-2</v>
      </c>
      <c r="N4575">
        <v>-1.374913E-2</v>
      </c>
      <c r="O4575">
        <v>-0.99942019999999998</v>
      </c>
      <c r="P4575">
        <v>-6.2611269999999997E-2</v>
      </c>
      <c r="Q4575">
        <v>-7.4701669999999998E-2</v>
      </c>
      <c r="R4575">
        <v>-0.99523879999999998</v>
      </c>
      <c r="S4575">
        <v>-0.34700009999999998</v>
      </c>
      <c r="T4575">
        <v>-0.25362040000000002</v>
      </c>
      <c r="U4575">
        <v>-2.9734950000000002</v>
      </c>
      <c r="V4575">
        <v>3.1575279999999997E-2</v>
      </c>
      <c r="W4575">
        <v>-6.0988170000000001E-2</v>
      </c>
      <c r="X4575">
        <v>0.9976389</v>
      </c>
      <c r="Y4575">
        <v>8.4557880000000002E-2</v>
      </c>
      <c r="Z4575">
        <v>7.0803930000000001E-2</v>
      </c>
      <c r="AA4575">
        <v>0.9938998</v>
      </c>
      <c r="AB4575">
        <v>18</v>
      </c>
      <c r="AC4575">
        <v>-1.5310999999999999</v>
      </c>
      <c r="AD4575">
        <v>-1.1211822736199999</v>
      </c>
      <c r="AE4575">
        <v>-13.0510999999999</v>
      </c>
      <c r="AF4575">
        <v>1.1155769276077601</v>
      </c>
      <c r="AG4575">
        <v>-1.1211822736199999</v>
      </c>
      <c r="AH4575">
        <v>12.9978481466995</v>
      </c>
      <c r="AI4575">
        <v>94.912106851111901</v>
      </c>
      <c r="AJ4575">
        <v>85.094450207166901</v>
      </c>
      <c r="AK4575">
        <v>13.093724375316199</v>
      </c>
      <c r="AL4575">
        <v>93.496534745776302</v>
      </c>
      <c r="AM4575">
        <v>88.187193220661598</v>
      </c>
      <c r="AN4575">
        <v>0.99999996499011801</v>
      </c>
    </row>
    <row r="4576" spans="1:40" x14ac:dyDescent="0.25">
      <c r="A4576" t="str">
        <f>"20190303154859864"</f>
        <v>20190303154859864</v>
      </c>
      <c r="B4576" t="str">
        <f>"1551599339855249"</f>
        <v>1551599339855249</v>
      </c>
      <c r="C4576" t="s">
        <v>40</v>
      </c>
      <c r="D4576">
        <v>5.1238109999999999</v>
      </c>
      <c r="E4576">
        <v>0.51969929999999998</v>
      </c>
      <c r="F4576" t="s">
        <v>42</v>
      </c>
      <c r="G4576">
        <v>-192.3057</v>
      </c>
      <c r="H4576">
        <v>1.0515890000000001</v>
      </c>
      <c r="I4576">
        <v>161.52719999999999</v>
      </c>
      <c r="J4576">
        <v>-192.2141</v>
      </c>
      <c r="K4576">
        <v>1.1212009999999999</v>
      </c>
      <c r="L4576">
        <v>162.23609999999999</v>
      </c>
      <c r="M4576">
        <v>-3.1140210000000002E-2</v>
      </c>
      <c r="N4576">
        <v>-1.365487E-2</v>
      </c>
      <c r="O4576">
        <v>-0.99942189999999997</v>
      </c>
      <c r="P4576">
        <v>-6.2989290000000003E-2</v>
      </c>
      <c r="Q4576">
        <v>-7.3667819999999995E-2</v>
      </c>
      <c r="R4576">
        <v>-0.99529179999999995</v>
      </c>
      <c r="S4576">
        <v>-0.34559630000000002</v>
      </c>
      <c r="T4576">
        <v>-0.25312420000000002</v>
      </c>
      <c r="U4576">
        <v>-2.9736180000000001</v>
      </c>
      <c r="V4576">
        <v>3.197175E-2</v>
      </c>
      <c r="W4576">
        <v>-6.0045109999999999E-2</v>
      </c>
      <c r="X4576">
        <v>0.99768349999999995</v>
      </c>
      <c r="Y4576">
        <v>8.4107440000000006E-2</v>
      </c>
      <c r="Z4576">
        <v>7.073393E-2</v>
      </c>
      <c r="AA4576">
        <v>0.99394300000000002</v>
      </c>
      <c r="AB4576">
        <v>18</v>
      </c>
      <c r="AC4576">
        <v>-9.1599999999999598E-2</v>
      </c>
      <c r="AD4576">
        <v>-6.9612000000000201E-2</v>
      </c>
      <c r="AE4576">
        <v>-0.70889999999999898</v>
      </c>
      <c r="AF4576">
        <v>6.8825454404986497E-2</v>
      </c>
      <c r="AG4576">
        <v>-6.9612000000000201E-2</v>
      </c>
      <c r="AH4576">
        <v>0.70472499677283296</v>
      </c>
      <c r="AI4576">
        <v>95.614775350063297</v>
      </c>
      <c r="AJ4576">
        <v>84.422020091924793</v>
      </c>
      <c r="AK4576">
        <v>0.71149145799125502</v>
      </c>
      <c r="AL4576">
        <v>93.442402092999799</v>
      </c>
      <c r="AM4576">
        <v>88.164528474022006</v>
      </c>
      <c r="AN4576">
        <v>0.99999998710261195</v>
      </c>
    </row>
    <row r="4577" spans="1:40" x14ac:dyDescent="0.25">
      <c r="A4577" t="str">
        <f>"20190303154859876"</f>
        <v>20190303154859876</v>
      </c>
      <c r="B4577" t="str">
        <f>"1551599339865009"</f>
        <v>1551599339865009</v>
      </c>
      <c r="C4577" t="s">
        <v>40</v>
      </c>
      <c r="D4577">
        <v>5.099335</v>
      </c>
      <c r="E4577">
        <v>0.5189937</v>
      </c>
      <c r="F4577" t="s">
        <v>42</v>
      </c>
      <c r="G4577">
        <v>-192.3143</v>
      </c>
      <c r="H4577">
        <v>1.0484150000000001</v>
      </c>
      <c r="I4577">
        <v>161.37280000000001</v>
      </c>
      <c r="J4577">
        <v>-192.21729999999999</v>
      </c>
      <c r="K4577">
        <v>1.121218</v>
      </c>
      <c r="L4577">
        <v>162.1317</v>
      </c>
      <c r="M4577">
        <v>-3.1088330000000001E-2</v>
      </c>
      <c r="N4577">
        <v>-1.3543879999999999E-2</v>
      </c>
      <c r="O4577">
        <v>-0.99942509999999996</v>
      </c>
      <c r="P4577">
        <v>-6.3077110000000006E-2</v>
      </c>
      <c r="Q4577">
        <v>-7.2886909999999999E-2</v>
      </c>
      <c r="R4577">
        <v>-0.9953436</v>
      </c>
      <c r="S4577">
        <v>-0.345199599999999</v>
      </c>
      <c r="T4577">
        <v>-0.2507894</v>
      </c>
      <c r="U4577">
        <v>-2.97377</v>
      </c>
      <c r="V4577">
        <v>3.2113650000000001E-2</v>
      </c>
      <c r="W4577">
        <v>-5.9372099999999997E-2</v>
      </c>
      <c r="X4577">
        <v>0.99771920000000003</v>
      </c>
      <c r="Y4577">
        <v>8.4028969999999995E-2</v>
      </c>
      <c r="Z4577">
        <v>7.0068119999999998E-2</v>
      </c>
      <c r="AA4577">
        <v>0.99399680000000001</v>
      </c>
      <c r="AB4577">
        <v>18</v>
      </c>
      <c r="AC4577">
        <v>-9.7000000000008399E-2</v>
      </c>
      <c r="AD4577">
        <v>-7.2803000000000104E-2</v>
      </c>
      <c r="AE4577">
        <v>-0.75889999999998203</v>
      </c>
      <c r="AF4577">
        <v>7.2699712308215397E-2</v>
      </c>
      <c r="AG4577">
        <v>-7.2803000000000104E-2</v>
      </c>
      <c r="AH4577">
        <v>0.75471496102561297</v>
      </c>
      <c r="AI4577">
        <v>95.484713393466194</v>
      </c>
      <c r="AJ4577">
        <v>84.497824123729799</v>
      </c>
      <c r="AK4577">
        <v>0.76169560677122805</v>
      </c>
      <c r="AL4577">
        <v>93.403772605361198</v>
      </c>
      <c r="AM4577">
        <v>88.156453644565701</v>
      </c>
      <c r="AN4577">
        <v>0.99999996741168495</v>
      </c>
    </row>
    <row r="4578" spans="1:40" x14ac:dyDescent="0.25">
      <c r="A4578" t="str">
        <f>"20190303154859895"</f>
        <v>20190303154859895</v>
      </c>
      <c r="B4578" t="str">
        <f>"1551599339885504"</f>
        <v>1551599339885504</v>
      </c>
      <c r="C4578" t="s">
        <v>40</v>
      </c>
      <c r="D4578">
        <v>5.1464460000000001</v>
      </c>
      <c r="E4578">
        <v>0.51899030000000002</v>
      </c>
      <c r="F4578" t="s">
        <v>59</v>
      </c>
      <c r="G4578">
        <v>-193.78280000000001</v>
      </c>
      <c r="H4578" s="1">
        <v>-1.105451E-5</v>
      </c>
      <c r="I4578">
        <v>148.435</v>
      </c>
      <c r="J4578">
        <v>-192.2216</v>
      </c>
      <c r="K4578">
        <v>1.121235</v>
      </c>
      <c r="L4578">
        <v>161.99019999999999</v>
      </c>
      <c r="M4578">
        <v>-3.097389E-2</v>
      </c>
      <c r="N4578">
        <v>-1.3364920000000001E-2</v>
      </c>
      <c r="O4578">
        <v>-0.99943099999999996</v>
      </c>
      <c r="P4578">
        <v>-6.3975649999999995E-2</v>
      </c>
      <c r="Q4578">
        <v>-7.1815370000000003E-2</v>
      </c>
      <c r="R4578">
        <v>-0.99536429999999998</v>
      </c>
      <c r="S4578">
        <v>-0.34001160000000002</v>
      </c>
      <c r="T4578">
        <v>-0.24350920000000001</v>
      </c>
      <c r="U4578">
        <v>-2.9746549999999998</v>
      </c>
      <c r="V4578">
        <v>3.3130069999999998E-2</v>
      </c>
      <c r="W4578">
        <v>-5.8475600000000003E-2</v>
      </c>
      <c r="X4578">
        <v>0.99773900000000004</v>
      </c>
      <c r="Y4578">
        <v>8.2419110000000004E-2</v>
      </c>
      <c r="Z4578">
        <v>6.7824449999999994E-2</v>
      </c>
      <c r="AA4578">
        <v>0.99428709999999998</v>
      </c>
      <c r="AB4578">
        <v>18</v>
      </c>
      <c r="AC4578">
        <v>-1.5612000000000099</v>
      </c>
      <c r="AD4578">
        <v>-1.12124605451</v>
      </c>
      <c r="AE4578">
        <v>-13.5551999999999</v>
      </c>
      <c r="AF4578">
        <v>1.1329060948985299</v>
      </c>
      <c r="AG4578">
        <v>-1.12124605451</v>
      </c>
      <c r="AH4578">
        <v>13.505856921214001</v>
      </c>
      <c r="AI4578">
        <v>94.729236206083101</v>
      </c>
      <c r="AJ4578">
        <v>85.205107369290999</v>
      </c>
      <c r="AK4578">
        <v>13.5995897037711</v>
      </c>
      <c r="AL4578">
        <v>93.352317238363497</v>
      </c>
      <c r="AM4578">
        <v>88.098183991958393</v>
      </c>
      <c r="AN4578">
        <v>1.00000005472728</v>
      </c>
    </row>
    <row r="4579" spans="1:40" x14ac:dyDescent="0.25">
      <c r="A4579" t="str">
        <f>"20190303154859917"</f>
        <v>20190303154859917</v>
      </c>
      <c r="B4579" t="str">
        <f>"1551599339905025"</f>
        <v>1551599339905025</v>
      </c>
      <c r="C4579" t="s">
        <v>40</v>
      </c>
      <c r="D4579">
        <v>5.1644399999999999</v>
      </c>
      <c r="E4579">
        <v>0.51920259999999996</v>
      </c>
      <c r="F4579" t="s">
        <v>59</v>
      </c>
      <c r="G4579">
        <v>-193.7972</v>
      </c>
      <c r="H4579" s="1">
        <v>-1.102594E-5</v>
      </c>
      <c r="I4579">
        <v>148.31700000000001</v>
      </c>
      <c r="J4579">
        <v>-192.2269</v>
      </c>
      <c r="K4579">
        <v>1.1212340000000001</v>
      </c>
      <c r="L4579">
        <v>161.81139999999999</v>
      </c>
      <c r="M4579">
        <v>-3.0770559999999999E-2</v>
      </c>
      <c r="N4579">
        <v>-1.310002E-2</v>
      </c>
      <c r="O4579">
        <v>-0.99944060000000001</v>
      </c>
      <c r="P4579">
        <v>-6.5634730000000002E-2</v>
      </c>
      <c r="Q4579">
        <v>-7.1606580000000003E-2</v>
      </c>
      <c r="R4579">
        <v>-0.99527100000000002</v>
      </c>
      <c r="S4579">
        <v>-0.34274290000000002</v>
      </c>
      <c r="T4579">
        <v>-0.24390719999999999</v>
      </c>
      <c r="U4579">
        <v>-2.9743499999999998</v>
      </c>
      <c r="V4579">
        <v>3.4999410000000002E-2</v>
      </c>
      <c r="W4579">
        <v>-5.8528080000000003E-2</v>
      </c>
      <c r="X4579">
        <v>0.997672</v>
      </c>
      <c r="Y4579">
        <v>8.3531880000000003E-2</v>
      </c>
      <c r="Z4579">
        <v>6.8221180000000006E-2</v>
      </c>
      <c r="AA4579">
        <v>0.99416709999999997</v>
      </c>
      <c r="AB4579">
        <v>18</v>
      </c>
      <c r="AC4579">
        <v>-1.5703</v>
      </c>
      <c r="AD4579">
        <v>-1.12124502594</v>
      </c>
      <c r="AE4579">
        <v>-13.494399999999899</v>
      </c>
      <c r="AF4579">
        <v>1.1464809762069299</v>
      </c>
      <c r="AG4579">
        <v>-1.12124502594</v>
      </c>
      <c r="AH4579">
        <v>13.444751142366499</v>
      </c>
      <c r="AI4579">
        <v>94.7500755457894</v>
      </c>
      <c r="AJ4579">
        <v>85.125979494916294</v>
      </c>
      <c r="AK4579">
        <v>13.5400495684899</v>
      </c>
      <c r="AL4579">
        <v>93.355329606983801</v>
      </c>
      <c r="AM4579">
        <v>87.990826194533497</v>
      </c>
      <c r="AN4579">
        <v>0.99999995721641599</v>
      </c>
    </row>
    <row r="4580" spans="1:40" x14ac:dyDescent="0.25">
      <c r="A4580" t="str">
        <f>"20190303154859940"</f>
        <v>20190303154859940</v>
      </c>
      <c r="B4580" t="str">
        <f>"1551599339935281"</f>
        <v>1551599339935281</v>
      </c>
      <c r="C4580" t="s">
        <v>40</v>
      </c>
      <c r="D4580">
        <v>5.148504</v>
      </c>
      <c r="E4580">
        <v>0.51940419999999998</v>
      </c>
      <c r="F4580" t="s">
        <v>59</v>
      </c>
      <c r="G4580">
        <v>-193.7988</v>
      </c>
      <c r="H4580" s="1">
        <v>-1.105725E-5</v>
      </c>
      <c r="I4580">
        <v>148.43469999999999</v>
      </c>
      <c r="J4580">
        <v>-192.232</v>
      </c>
      <c r="K4580">
        <v>1.1212120000000001</v>
      </c>
      <c r="L4580">
        <v>161.6371</v>
      </c>
      <c r="M4580">
        <v>-3.0523040000000001E-2</v>
      </c>
      <c r="N4580">
        <v>-1.2811309999999999E-2</v>
      </c>
      <c r="O4580">
        <v>-0.99945189999999995</v>
      </c>
      <c r="P4580">
        <v>-6.7394839999999998E-2</v>
      </c>
      <c r="Q4580">
        <v>-7.2008799999999998E-2</v>
      </c>
      <c r="R4580">
        <v>-0.99512420000000001</v>
      </c>
      <c r="S4580">
        <v>-0.34938049999999998</v>
      </c>
      <c r="T4580">
        <v>-0.2492219</v>
      </c>
      <c r="U4580">
        <v>-2.9732669999999999</v>
      </c>
      <c r="V4580">
        <v>3.7013850000000001E-2</v>
      </c>
      <c r="W4580">
        <v>-5.92166999999999E-2</v>
      </c>
      <c r="X4580">
        <v>0.99755870000000002</v>
      </c>
      <c r="Y4580">
        <v>8.5991609999999996E-2</v>
      </c>
      <c r="Z4580">
        <v>7.0280780000000001E-2</v>
      </c>
      <c r="AA4580">
        <v>0.99381390000000003</v>
      </c>
      <c r="AB4580">
        <v>18</v>
      </c>
      <c r="AC4580">
        <v>-1.5668</v>
      </c>
      <c r="AD4580">
        <v>-1.1212230572499999</v>
      </c>
      <c r="AE4580">
        <v>-13.202400000000001</v>
      </c>
      <c r="AF4580">
        <v>1.15484586697933</v>
      </c>
      <c r="AG4580">
        <v>-1.1212230572499999</v>
      </c>
      <c r="AH4580">
        <v>13.150545530893099</v>
      </c>
      <c r="AI4580">
        <v>94.854691624195794</v>
      </c>
      <c r="AJ4580">
        <v>84.981312071803501</v>
      </c>
      <c r="AK4580">
        <v>13.2486851378045</v>
      </c>
      <c r="AL4580">
        <v>93.394853032313605</v>
      </c>
      <c r="AM4580">
        <v>87.875047395455795</v>
      </c>
      <c r="AN4580">
        <v>1.0000000012982</v>
      </c>
    </row>
    <row r="4581" spans="1:40" x14ac:dyDescent="0.25">
      <c r="A4581" t="str">
        <f>"20190303154859952"</f>
        <v>20190303154859952</v>
      </c>
      <c r="B4581" t="str">
        <f>"1551599339945041"</f>
        <v>1551599339945041</v>
      </c>
      <c r="C4581" t="s">
        <v>40</v>
      </c>
      <c r="D4581">
        <v>5.1497729999999997</v>
      </c>
      <c r="E4581">
        <v>0.51944140000000005</v>
      </c>
      <c r="F4581" t="s">
        <v>59</v>
      </c>
      <c r="G4581">
        <v>-193.77979999999999</v>
      </c>
      <c r="H4581" s="1">
        <v>-1.112954E-5</v>
      </c>
      <c r="I4581">
        <v>148.7216</v>
      </c>
      <c r="J4581">
        <v>-192.23519999999999</v>
      </c>
      <c r="K4581">
        <v>1.121183</v>
      </c>
      <c r="L4581">
        <v>161.52930000000001</v>
      </c>
      <c r="M4581">
        <v>-3.0355219999999999E-2</v>
      </c>
      <c r="N4581">
        <v>-1.2617740000000001E-2</v>
      </c>
      <c r="O4581">
        <v>-0.99945949999999995</v>
      </c>
      <c r="P4581">
        <v>-6.8110989999999996E-2</v>
      </c>
      <c r="Q4581">
        <v>-7.2697010000000006E-2</v>
      </c>
      <c r="R4581">
        <v>-0.99502539999999995</v>
      </c>
      <c r="S4581">
        <v>-0.35614010000000001</v>
      </c>
      <c r="T4581">
        <v>-0.25799810000000001</v>
      </c>
      <c r="U4581">
        <v>-2.9719090000000001</v>
      </c>
      <c r="V4581">
        <v>3.7901200000000003E-2</v>
      </c>
      <c r="W4581">
        <v>-6.0098169999999999E-2</v>
      </c>
      <c r="X4581">
        <v>0.99747260000000004</v>
      </c>
      <c r="Y4581">
        <v>8.8411459999999997E-2</v>
      </c>
      <c r="Z4581">
        <v>7.3398190000000002E-2</v>
      </c>
      <c r="AA4581">
        <v>0.99337609999999998</v>
      </c>
      <c r="AB4581">
        <v>18</v>
      </c>
      <c r="AC4581">
        <v>-1.5446</v>
      </c>
      <c r="AD4581">
        <v>-1.1211941295399901</v>
      </c>
      <c r="AE4581">
        <v>-12.807700000000001</v>
      </c>
      <c r="AF4581">
        <v>1.14641711548698</v>
      </c>
      <c r="AG4581">
        <v>-1.1211941295399901</v>
      </c>
      <c r="AH4581">
        <v>12.7523623487281</v>
      </c>
      <c r="AI4581">
        <v>95.0044751918402</v>
      </c>
      <c r="AJ4581">
        <v>84.863009330085603</v>
      </c>
      <c r="AK4581">
        <v>12.852785454992</v>
      </c>
      <c r="AL4581">
        <v>93.445447871913998</v>
      </c>
      <c r="AM4581">
        <v>87.823965689102096</v>
      </c>
      <c r="AN4581">
        <v>0.99999993937477205</v>
      </c>
    </row>
    <row r="4582" spans="1:40" x14ac:dyDescent="0.25">
      <c r="A4582" t="str">
        <f>"20190303154859966"</f>
        <v>20190303154859966</v>
      </c>
      <c r="B4582" t="str">
        <f>"1551599339955777"</f>
        <v>1551599339955777</v>
      </c>
      <c r="C4582" t="s">
        <v>40</v>
      </c>
      <c r="D4582">
        <v>5.1552639999999998</v>
      </c>
      <c r="E4582">
        <v>0.51949049999999997</v>
      </c>
      <c r="F4582" t="s">
        <v>42</v>
      </c>
      <c r="G4582">
        <v>-192.3306</v>
      </c>
      <c r="H4582">
        <v>1.051437</v>
      </c>
      <c r="I4582">
        <v>160.73920000000001</v>
      </c>
      <c r="J4582">
        <v>-192.238</v>
      </c>
      <c r="K4582">
        <v>1.121148</v>
      </c>
      <c r="L4582">
        <v>161.42930000000001</v>
      </c>
      <c r="M4582">
        <v>-3.019931E-2</v>
      </c>
      <c r="N4582">
        <v>-1.243088E-2</v>
      </c>
      <c r="O4582">
        <v>-0.99946690000000005</v>
      </c>
      <c r="P4582">
        <v>-6.8730769999999997E-2</v>
      </c>
      <c r="Q4582">
        <v>-7.3482569999999997E-2</v>
      </c>
      <c r="R4582">
        <v>-0.99492570000000002</v>
      </c>
      <c r="S4582">
        <v>-0.35845949999999999</v>
      </c>
      <c r="T4582">
        <v>-0.26238739999999999</v>
      </c>
      <c r="U4582">
        <v>-2.9712679999999998</v>
      </c>
      <c r="V4582">
        <v>3.867963E-2</v>
      </c>
      <c r="W4582">
        <v>-6.107083E-2</v>
      </c>
      <c r="X4582">
        <v>0.99738369999999998</v>
      </c>
      <c r="Y4582">
        <v>8.9341370000000003E-2</v>
      </c>
      <c r="Z4582">
        <v>7.5048470000000006E-2</v>
      </c>
      <c r="AA4582">
        <v>0.99316959999999999</v>
      </c>
      <c r="AB4582">
        <v>18</v>
      </c>
      <c r="AC4582">
        <v>-9.2600000000004401E-2</v>
      </c>
      <c r="AD4582">
        <v>-6.9710999999999801E-2</v>
      </c>
      <c r="AE4582">
        <v>-0.69010000000000105</v>
      </c>
      <c r="AF4582">
        <v>7.1003887949424999E-2</v>
      </c>
      <c r="AG4582">
        <v>-6.9710999999999801E-2</v>
      </c>
      <c r="AH4582">
        <v>0.68570852142416305</v>
      </c>
      <c r="AI4582">
        <v>95.774238139056493</v>
      </c>
      <c r="AJ4582">
        <v>84.088193933498403</v>
      </c>
      <c r="AK4582">
        <v>0.69289057720439995</v>
      </c>
      <c r="AL4582">
        <v>93.501279528139406</v>
      </c>
      <c r="AM4582">
        <v>87.779119982852094</v>
      </c>
      <c r="AN4582">
        <v>1.00000000253975</v>
      </c>
    </row>
    <row r="4583" spans="1:40" x14ac:dyDescent="0.25">
      <c r="A4583" t="str">
        <f>"20190303154859983"</f>
        <v>20190303154859983</v>
      </c>
      <c r="B4583" t="str">
        <f>"1551599339975297"</f>
        <v>1551599339975297</v>
      </c>
      <c r="C4583" t="s">
        <v>40</v>
      </c>
      <c r="D4583">
        <v>5.1394630000000001</v>
      </c>
      <c r="E4583">
        <v>0.5195862</v>
      </c>
      <c r="F4583" t="s">
        <v>42</v>
      </c>
      <c r="G4583">
        <v>-192.34049999999999</v>
      </c>
      <c r="H4583">
        <v>1.0454589999999999</v>
      </c>
      <c r="I4583">
        <v>160.58600000000001</v>
      </c>
      <c r="J4583">
        <v>-192.24199999999999</v>
      </c>
      <c r="K4583">
        <v>1.1210789999999999</v>
      </c>
      <c r="L4583">
        <v>161.28890000000001</v>
      </c>
      <c r="M4583">
        <v>-2.9984130000000001E-2</v>
      </c>
      <c r="N4583">
        <v>-1.215334E-2</v>
      </c>
      <c r="O4583">
        <v>-0.99947660000000005</v>
      </c>
      <c r="P4583">
        <v>-6.9186869999999998E-2</v>
      </c>
      <c r="Q4583">
        <v>-7.5729009999999999E-2</v>
      </c>
      <c r="R4583">
        <v>-0.99472559999999999</v>
      </c>
      <c r="S4583">
        <v>-0.3608093</v>
      </c>
      <c r="T4583">
        <v>-0.26668819999999999</v>
      </c>
      <c r="U4583">
        <v>-2.970688</v>
      </c>
      <c r="V4583">
        <v>3.9355609999999999E-2</v>
      </c>
      <c r="W4583">
        <v>-6.3597070000000006E-2</v>
      </c>
      <c r="X4583">
        <v>0.99719939999999996</v>
      </c>
      <c r="Y4583">
        <v>9.0337479999999998E-2</v>
      </c>
      <c r="Z4583">
        <v>7.6757510000000001E-2</v>
      </c>
      <c r="AA4583">
        <v>0.99294879999999996</v>
      </c>
      <c r="AB4583">
        <v>18</v>
      </c>
      <c r="AC4583">
        <v>-9.8499999999972901E-2</v>
      </c>
      <c r="AD4583">
        <v>-7.5620000000000201E-2</v>
      </c>
      <c r="AE4583">
        <v>-0.70289999999999897</v>
      </c>
      <c r="AF4583">
        <v>7.6509830345528093E-2</v>
      </c>
      <c r="AG4583">
        <v>-7.5620000000000201E-2</v>
      </c>
      <c r="AH4583">
        <v>0.69761877990551002</v>
      </c>
      <c r="AI4583">
        <v>96.149962666621803</v>
      </c>
      <c r="AJ4583">
        <v>83.741223155640199</v>
      </c>
      <c r="AK4583">
        <v>0.70586408083734797</v>
      </c>
      <c r="AL4583">
        <v>93.646304316254501</v>
      </c>
      <c r="AM4583">
        <v>87.739929732664294</v>
      </c>
      <c r="AN4583">
        <v>1.0000000473557</v>
      </c>
    </row>
    <row r="4584" spans="1:40" x14ac:dyDescent="0.25">
      <c r="A4584" t="str">
        <f>"20190303154859994"</f>
        <v>20190303154859994</v>
      </c>
      <c r="B4584" t="str">
        <f>"1551599339985057"</f>
        <v>1551599339985057</v>
      </c>
      <c r="C4584" t="s">
        <v>40</v>
      </c>
      <c r="D4584">
        <v>5.2415900000000004</v>
      </c>
      <c r="E4584">
        <v>0.51929929999999902</v>
      </c>
      <c r="F4584" t="s">
        <v>42</v>
      </c>
      <c r="G4584">
        <v>-192.34719999999999</v>
      </c>
      <c r="H4584">
        <v>1.040678</v>
      </c>
      <c r="I4584">
        <v>160.42939999999999</v>
      </c>
      <c r="J4584">
        <v>-192.24459999999999</v>
      </c>
      <c r="K4584">
        <v>1.121027</v>
      </c>
      <c r="L4584">
        <v>161.19649999999999</v>
      </c>
      <c r="M4584">
        <v>-2.9851240000000001E-2</v>
      </c>
      <c r="N4584">
        <v>-1.196302E-2</v>
      </c>
      <c r="O4584">
        <v>-0.99948300000000001</v>
      </c>
      <c r="P4584">
        <v>-6.9208450000000005E-2</v>
      </c>
      <c r="Q4584">
        <v>-7.6977359999999995E-2</v>
      </c>
      <c r="R4584">
        <v>-0.99462830000000002</v>
      </c>
      <c r="S4584">
        <v>-0.36294559999999998</v>
      </c>
      <c r="T4584">
        <v>-0.27783980000000003</v>
      </c>
      <c r="U4584">
        <v>-2.9695279999999999</v>
      </c>
      <c r="V4584">
        <v>3.9510969999999999E-2</v>
      </c>
      <c r="W4584">
        <v>-6.5037670000000006E-2</v>
      </c>
      <c r="X4584">
        <v>0.99710030000000005</v>
      </c>
      <c r="Y4584">
        <v>9.1181200000000004E-2</v>
      </c>
      <c r="Z4584">
        <v>8.0663170000000006E-2</v>
      </c>
      <c r="AA4584">
        <v>0.9925621</v>
      </c>
      <c r="AB4584">
        <v>18</v>
      </c>
      <c r="AC4584">
        <v>-0.102599999999995</v>
      </c>
      <c r="AD4584">
        <v>-8.0349000000000004E-2</v>
      </c>
      <c r="AE4584">
        <v>-0.767099999999999</v>
      </c>
      <c r="AF4584">
        <v>7.8804361347843702E-2</v>
      </c>
      <c r="AG4584">
        <v>-8.0349000000000004E-2</v>
      </c>
      <c r="AH4584">
        <v>0.76161205000584697</v>
      </c>
      <c r="AI4584">
        <v>95.990598971085006</v>
      </c>
      <c r="AJ4584">
        <v>84.092600382366797</v>
      </c>
      <c r="AK4584">
        <v>0.76988246108256697</v>
      </c>
      <c r="AL4584">
        <v>93.729016007198496</v>
      </c>
      <c r="AM4584">
        <v>87.730791923331793</v>
      </c>
      <c r="AN4584">
        <v>1.0000000117647201</v>
      </c>
    </row>
    <row r="4585" spans="1:40" x14ac:dyDescent="0.25">
      <c r="A4585" t="str">
        <f>"20190303154900011"</f>
        <v>20190303154900011</v>
      </c>
      <c r="B4585" t="str">
        <f>"1551599340005553"</f>
        <v>1551599340005553</v>
      </c>
      <c r="C4585" t="s">
        <v>40</v>
      </c>
      <c r="D4585">
        <v>5.2209459999999996</v>
      </c>
      <c r="E4585">
        <v>0.51886999999999905</v>
      </c>
      <c r="F4585" t="s">
        <v>42</v>
      </c>
      <c r="G4585">
        <v>-192.33850000000001</v>
      </c>
      <c r="H4585">
        <v>1.0473840000000001</v>
      </c>
      <c r="I4585">
        <v>160.42519999999999</v>
      </c>
      <c r="J4585">
        <v>-192.2483</v>
      </c>
      <c r="K4585">
        <v>1.120954</v>
      </c>
      <c r="L4585">
        <v>161.06790000000001</v>
      </c>
      <c r="M4585">
        <v>-2.968138E-2</v>
      </c>
      <c r="N4585">
        <v>-1.1695270000000001E-2</v>
      </c>
      <c r="O4585">
        <v>-0.99949109999999997</v>
      </c>
      <c r="P4585">
        <v>-6.9341529999999998E-2</v>
      </c>
      <c r="Q4585">
        <v>-7.8007129999999994E-2</v>
      </c>
      <c r="R4585">
        <v>-0.99453879999999995</v>
      </c>
      <c r="S4585">
        <v>-0.36083979999999999</v>
      </c>
      <c r="T4585">
        <v>-0.2835665</v>
      </c>
      <c r="U4585">
        <v>-2.969131</v>
      </c>
      <c r="V4585">
        <v>3.981254E-2</v>
      </c>
      <c r="W4585">
        <v>-6.6337720000000003E-2</v>
      </c>
      <c r="X4585">
        <v>0.99700270000000002</v>
      </c>
      <c r="Y4585">
        <v>9.0651999999999996E-2</v>
      </c>
      <c r="Z4585">
        <v>8.2841600000000001E-2</v>
      </c>
      <c r="AA4585">
        <v>0.99243110000000001</v>
      </c>
      <c r="AB4585">
        <v>18</v>
      </c>
      <c r="AC4585">
        <v>-9.0200000000009994E-2</v>
      </c>
      <c r="AD4585">
        <v>-7.3569999999999899E-2</v>
      </c>
      <c r="AE4585">
        <v>-0.64270000000001903</v>
      </c>
      <c r="AF4585">
        <v>7.0180881300883999E-2</v>
      </c>
      <c r="AG4585">
        <v>-7.3569999999999899E-2</v>
      </c>
      <c r="AH4585">
        <v>0.63690974580285298</v>
      </c>
      <c r="AI4585">
        <v>96.549788012641301</v>
      </c>
      <c r="AJ4585">
        <v>83.711963777708604</v>
      </c>
      <c r="AK4585">
        <v>0.64497436018715004</v>
      </c>
      <c r="AL4585">
        <v>93.803664438871294</v>
      </c>
      <c r="AM4585">
        <v>87.713266764718398</v>
      </c>
      <c r="AN4585">
        <v>1.0000000576216601</v>
      </c>
    </row>
    <row r="4586" spans="1:40" x14ac:dyDescent="0.25">
      <c r="A4586" t="str">
        <f>"20190303154900024"</f>
        <v>20190303154900024</v>
      </c>
      <c r="B4586" t="str">
        <f>"1551599340015313"</f>
        <v>1551599340015313</v>
      </c>
      <c r="C4586" t="s">
        <v>40</v>
      </c>
      <c r="D4586">
        <v>5.0859680000000003</v>
      </c>
      <c r="E4586">
        <v>0.51896109999999995</v>
      </c>
      <c r="F4586" t="s">
        <v>42</v>
      </c>
      <c r="G4586">
        <v>-192.34469999999999</v>
      </c>
      <c r="H4586">
        <v>1.0426799999999901</v>
      </c>
      <c r="I4586">
        <v>160.26840000000001</v>
      </c>
      <c r="J4586">
        <v>-192.25129999999999</v>
      </c>
      <c r="K4586">
        <v>1.1208880000000001</v>
      </c>
      <c r="L4586">
        <v>160.9624</v>
      </c>
      <c r="M4586">
        <v>-2.9556209999999999E-2</v>
      </c>
      <c r="N4586">
        <v>-1.147304E-2</v>
      </c>
      <c r="O4586">
        <v>-0.99949750000000004</v>
      </c>
      <c r="P4586">
        <v>-6.9316340000000004E-2</v>
      </c>
      <c r="Q4586">
        <v>-7.8809560000000001E-2</v>
      </c>
      <c r="R4586">
        <v>-0.99447750000000001</v>
      </c>
      <c r="S4586">
        <v>-0.35768129999999998</v>
      </c>
      <c r="T4586">
        <v>-0.29070289999999999</v>
      </c>
      <c r="U4586">
        <v>-2.9687190000000001</v>
      </c>
      <c r="V4586">
        <v>3.9910439999999998E-2</v>
      </c>
      <c r="W4586">
        <v>-6.7364709999999994E-2</v>
      </c>
      <c r="X4586">
        <v>0.99692990000000004</v>
      </c>
      <c r="Y4586">
        <v>8.9726819999999999E-2</v>
      </c>
      <c r="Z4586">
        <v>8.5444199999999998E-2</v>
      </c>
      <c r="AA4586">
        <v>0.99229449999999997</v>
      </c>
      <c r="AB4586">
        <v>18</v>
      </c>
      <c r="AC4586">
        <v>-9.3400000000002606E-2</v>
      </c>
      <c r="AD4586">
        <v>-7.8208E-2</v>
      </c>
      <c r="AE4586">
        <v>-0.69399999999998796</v>
      </c>
      <c r="AF4586">
        <v>7.1948387861771601E-2</v>
      </c>
      <c r="AG4586">
        <v>-7.8208E-2</v>
      </c>
      <c r="AH4586">
        <v>0.68787727151234601</v>
      </c>
      <c r="AI4586">
        <v>96.451478783529197</v>
      </c>
      <c r="AJ4586">
        <v>84.028870914726696</v>
      </c>
      <c r="AK4586">
        <v>0.69603750074487902</v>
      </c>
      <c r="AL4586">
        <v>93.862638640364295</v>
      </c>
      <c r="AM4586">
        <v>87.707482405342205</v>
      </c>
      <c r="AN4586">
        <v>1.0000000364441901</v>
      </c>
    </row>
    <row r="4587" spans="1:40" x14ac:dyDescent="0.25">
      <c r="A4587" t="str">
        <f>"20190303154900039"</f>
        <v>20190303154900039</v>
      </c>
      <c r="B4587" t="str">
        <f>"1551599340035808"</f>
        <v>1551599340035808</v>
      </c>
      <c r="C4587" t="s">
        <v>40</v>
      </c>
      <c r="D4587">
        <v>5.0711259999999996</v>
      </c>
      <c r="E4587">
        <v>0.51905789999999996</v>
      </c>
      <c r="F4587" t="s">
        <v>42</v>
      </c>
      <c r="G4587">
        <v>-192.35429999999999</v>
      </c>
      <c r="H4587">
        <v>1.03667</v>
      </c>
      <c r="I4587">
        <v>160.1112</v>
      </c>
      <c r="J4587">
        <v>-192.25489999999999</v>
      </c>
      <c r="K4587">
        <v>1.120798</v>
      </c>
      <c r="L4587">
        <v>160.8349</v>
      </c>
      <c r="M4587">
        <v>-2.9428800000000001E-2</v>
      </c>
      <c r="N4587">
        <v>-1.120107E-2</v>
      </c>
      <c r="O4587">
        <v>-0.99950439999999996</v>
      </c>
      <c r="P4587">
        <v>-6.9786929999999997E-2</v>
      </c>
      <c r="Q4587">
        <v>-8.1363619999999998E-2</v>
      </c>
      <c r="R4587">
        <v>-0.99423899999999998</v>
      </c>
      <c r="S4587">
        <v>-0.35836790000000002</v>
      </c>
      <c r="T4587">
        <v>-0.29381550000000001</v>
      </c>
      <c r="U4587">
        <v>-2.9684140000000001</v>
      </c>
      <c r="V4587">
        <v>4.0510169999999998E-2</v>
      </c>
      <c r="W4587">
        <v>-7.0195380000000002E-2</v>
      </c>
      <c r="X4587">
        <v>0.9967104</v>
      </c>
      <c r="Y4587">
        <v>9.0079400000000004E-2</v>
      </c>
      <c r="Z4587">
        <v>8.6750309999999997E-2</v>
      </c>
      <c r="AA4587">
        <v>0.99214919999999995</v>
      </c>
      <c r="AB4587">
        <v>18</v>
      </c>
      <c r="AC4587">
        <v>-9.9400000000002806E-2</v>
      </c>
      <c r="AD4587">
        <v>-8.4127999999999897E-2</v>
      </c>
      <c r="AE4587">
        <v>-0.723700000000007</v>
      </c>
      <c r="AF4587">
        <v>7.7036244806487394E-2</v>
      </c>
      <c r="AG4587">
        <v>-8.4127999999999897E-2</v>
      </c>
      <c r="AH4587">
        <v>0.71680481199470902</v>
      </c>
      <c r="AI4587">
        <v>96.655930785823202</v>
      </c>
      <c r="AJ4587">
        <v>83.865868576522303</v>
      </c>
      <c r="AK4587">
        <v>0.72582452555466603</v>
      </c>
      <c r="AL4587">
        <v>94.025209097443295</v>
      </c>
      <c r="AM4587">
        <v>87.672558688236606</v>
      </c>
      <c r="AN4587">
        <v>1.0000000433574601</v>
      </c>
    </row>
    <row r="4588" spans="1:40" x14ac:dyDescent="0.25">
      <c r="A4588" t="str">
        <f>"20190303154900053"</f>
        <v>20190303154900053</v>
      </c>
      <c r="B4588" t="str">
        <f>"1551599340045570"</f>
        <v>1551599340045570</v>
      </c>
      <c r="C4588" t="s">
        <v>40</v>
      </c>
      <c r="D4588">
        <v>5.0668410000000002</v>
      </c>
      <c r="E4588">
        <v>0.51909070000000002</v>
      </c>
      <c r="F4588" t="s">
        <v>42</v>
      </c>
      <c r="G4588">
        <v>-192.34370000000001</v>
      </c>
      <c r="H4588">
        <v>1.0464310000000001</v>
      </c>
      <c r="I4588">
        <v>160.1061</v>
      </c>
      <c r="J4588">
        <v>-192.2578</v>
      </c>
      <c r="K4588">
        <v>1.1207389999999999</v>
      </c>
      <c r="L4588">
        <v>160.73310000000001</v>
      </c>
      <c r="M4588">
        <v>-2.9357100000000001E-2</v>
      </c>
      <c r="N4588">
        <v>-1.09817E-2</v>
      </c>
      <c r="O4588">
        <v>-0.99950870000000003</v>
      </c>
      <c r="P4588">
        <v>-6.9838609999999995E-2</v>
      </c>
      <c r="Q4588">
        <v>-8.1905640000000002E-2</v>
      </c>
      <c r="R4588">
        <v>-0.99419040000000003</v>
      </c>
      <c r="S4588">
        <v>-0.36035159999999999</v>
      </c>
      <c r="T4588">
        <v>-0.30297410000000002</v>
      </c>
      <c r="U4588">
        <v>-2.9673159999999998</v>
      </c>
      <c r="V4588">
        <v>4.0630399999999997E-2</v>
      </c>
      <c r="W4588">
        <v>-7.0959149999999999E-2</v>
      </c>
      <c r="X4588">
        <v>0.99665139999999997</v>
      </c>
      <c r="Y4588">
        <v>9.0812450000000003E-2</v>
      </c>
      <c r="Z4588">
        <v>9.0021809999999994E-2</v>
      </c>
      <c r="AA4588">
        <v>0.99179090000000003</v>
      </c>
      <c r="AB4588">
        <v>18</v>
      </c>
      <c r="AC4588">
        <v>-8.5900000000009399E-2</v>
      </c>
      <c r="AD4588">
        <v>-7.4307999999999999E-2</v>
      </c>
      <c r="AE4588">
        <v>-0.62700000000000899</v>
      </c>
      <c r="AF4588">
        <v>6.6537626626787694E-2</v>
      </c>
      <c r="AG4588">
        <v>-7.4307999999999999E-2</v>
      </c>
      <c r="AH4588">
        <v>0.62069432629727295</v>
      </c>
      <c r="AI4588">
        <v>96.7882924504909</v>
      </c>
      <c r="AJ4588">
        <v>83.881333045448898</v>
      </c>
      <c r="AK4588">
        <v>0.62865760260952097</v>
      </c>
      <c r="AL4588">
        <v>94.069079380642407</v>
      </c>
      <c r="AM4588">
        <v>87.665520677007294</v>
      </c>
      <c r="AN4588">
        <v>1.0000000217474201</v>
      </c>
    </row>
    <row r="4589" spans="1:40" x14ac:dyDescent="0.25">
      <c r="A4589" t="str">
        <f>"20190303154900066"</f>
        <v>20190303154900066</v>
      </c>
      <c r="B4589" t="str">
        <f>"1551599340055329"</f>
        <v>1551599340055329</v>
      </c>
      <c r="C4589" t="s">
        <v>40</v>
      </c>
      <c r="D4589">
        <v>5.0383469999999999</v>
      </c>
      <c r="E4589">
        <v>0.51914669999999996</v>
      </c>
      <c r="F4589" t="s">
        <v>42</v>
      </c>
      <c r="G4589">
        <v>-192.35339999999999</v>
      </c>
      <c r="H4589">
        <v>1.040178</v>
      </c>
      <c r="I4589">
        <v>159.94829999999999</v>
      </c>
      <c r="J4589">
        <v>-192.26070000000001</v>
      </c>
      <c r="K4589">
        <v>1.1206739999999999</v>
      </c>
      <c r="L4589">
        <v>160.63310000000001</v>
      </c>
      <c r="M4589">
        <v>-2.9298830000000001E-2</v>
      </c>
      <c r="N4589">
        <v>-1.0766049999999999E-2</v>
      </c>
      <c r="O4589">
        <v>-0.99951290000000004</v>
      </c>
      <c r="P4589">
        <v>-7.0461140000000005E-2</v>
      </c>
      <c r="Q4589">
        <v>-8.256637E-2</v>
      </c>
      <c r="R4589">
        <v>-0.99409199999999998</v>
      </c>
      <c r="S4589">
        <v>-0.36083979999999999</v>
      </c>
      <c r="T4589">
        <v>-0.30464469999999999</v>
      </c>
      <c r="U4589">
        <v>-2.9670869999999998</v>
      </c>
      <c r="V4589">
        <v>4.1309409999999998E-2</v>
      </c>
      <c r="W4589">
        <v>-7.1838079999999999E-2</v>
      </c>
      <c r="X4589">
        <v>0.99656049999999996</v>
      </c>
      <c r="Y4589">
        <v>9.1032909999999995E-2</v>
      </c>
      <c r="Z4589">
        <v>9.0793509999999994E-2</v>
      </c>
      <c r="AA4589">
        <v>0.99170040000000004</v>
      </c>
      <c r="AB4589">
        <v>18</v>
      </c>
      <c r="AC4589">
        <v>-9.2699999999979299E-2</v>
      </c>
      <c r="AD4589">
        <v>-8.0495999999999901E-2</v>
      </c>
      <c r="AE4589">
        <v>-0.68480000000002395</v>
      </c>
      <c r="AF4589">
        <v>7.1623372444489297E-2</v>
      </c>
      <c r="AG4589">
        <v>-8.0495999999999901E-2</v>
      </c>
      <c r="AH4589">
        <v>0.67802232694142806</v>
      </c>
      <c r="AI4589">
        <v>96.7334462290559</v>
      </c>
      <c r="AJ4589">
        <v>83.969882911616594</v>
      </c>
      <c r="AK4589">
        <v>0.68653025375972399</v>
      </c>
      <c r="AL4589">
        <v>94.119567287368</v>
      </c>
      <c r="AM4589">
        <v>87.626335166256396</v>
      </c>
      <c r="AN4589">
        <v>1.00000000362644</v>
      </c>
    </row>
    <row r="4590" spans="1:40" x14ac:dyDescent="0.25">
      <c r="A4590" t="str">
        <f>"20190303154900077"</f>
        <v>20190303154900077</v>
      </c>
      <c r="B4590" t="str">
        <f>"1551599340075824"</f>
        <v>1551599340075824</v>
      </c>
      <c r="C4590" t="s">
        <v>40</v>
      </c>
      <c r="D4590">
        <v>5.0155110000000001</v>
      </c>
      <c r="E4590">
        <v>0.51912040000000004</v>
      </c>
      <c r="F4590" t="s">
        <v>42</v>
      </c>
      <c r="G4590">
        <v>-192.364</v>
      </c>
      <c r="H4590">
        <v>1.0332939999999999</v>
      </c>
      <c r="I4590">
        <v>159.7901</v>
      </c>
      <c r="J4590">
        <v>-192.2637</v>
      </c>
      <c r="K4590">
        <v>1.1206199999999999</v>
      </c>
      <c r="L4590">
        <v>160.5291</v>
      </c>
      <c r="M4590">
        <v>-2.9257749999999999E-2</v>
      </c>
      <c r="N4590">
        <v>-1.0542279999999999E-2</v>
      </c>
      <c r="O4590">
        <v>-0.99951650000000003</v>
      </c>
      <c r="P4590">
        <v>-7.0913229999999994E-2</v>
      </c>
      <c r="Q4590">
        <v>-8.2735639999999999E-2</v>
      </c>
      <c r="R4590">
        <v>-0.99404570000000003</v>
      </c>
      <c r="S4590">
        <v>-0.36299130000000002</v>
      </c>
      <c r="T4590">
        <v>-0.30759799999999998</v>
      </c>
      <c r="U4590">
        <v>-2.9665530000000002</v>
      </c>
      <c r="V4590">
        <v>4.1799330000000003E-2</v>
      </c>
      <c r="W4590">
        <v>-7.2233210000000006E-2</v>
      </c>
      <c r="X4590">
        <v>0.99651149999999999</v>
      </c>
      <c r="Y4590">
        <v>9.1790819999999995E-2</v>
      </c>
      <c r="Z4590">
        <v>9.2000910000000005E-2</v>
      </c>
      <c r="AA4590">
        <v>0.99151920000000004</v>
      </c>
      <c r="AB4590">
        <v>18</v>
      </c>
      <c r="AC4590">
        <v>-0.100300000000004</v>
      </c>
      <c r="AD4590">
        <v>-8.7326000000000001E-2</v>
      </c>
      <c r="AE4590">
        <v>-0.73900000000000399</v>
      </c>
      <c r="AF4590">
        <v>7.7570804537444804E-2</v>
      </c>
      <c r="AG4590">
        <v>-8.7326000000000001E-2</v>
      </c>
      <c r="AH4590">
        <v>0.73158747704860605</v>
      </c>
      <c r="AI4590">
        <v>96.7693183575782</v>
      </c>
      <c r="AJ4590">
        <v>83.947496947535299</v>
      </c>
      <c r="AK4590">
        <v>0.74085308703340802</v>
      </c>
      <c r="AL4590">
        <v>94.142265572807702</v>
      </c>
      <c r="AM4590">
        <v>87.598098865795905</v>
      </c>
      <c r="AN4590">
        <v>0.999999995123801</v>
      </c>
    </row>
    <row r="4591" spans="1:40" x14ac:dyDescent="0.25">
      <c r="A4591" t="str">
        <f>"20190303154900096"</f>
        <v>20190303154900096</v>
      </c>
      <c r="B4591" t="str">
        <f>"1551599340085585"</f>
        <v>1551599340085585</v>
      </c>
      <c r="C4591" t="s">
        <v>40</v>
      </c>
      <c r="D4591">
        <v>4.9749179999999997</v>
      </c>
      <c r="E4591">
        <v>0.51911589999999996</v>
      </c>
      <c r="F4591" t="s">
        <v>42</v>
      </c>
      <c r="G4591">
        <v>-192.3552</v>
      </c>
      <c r="H4591">
        <v>1.043034</v>
      </c>
      <c r="I4591">
        <v>159.7851</v>
      </c>
      <c r="J4591">
        <v>-192.26769999999999</v>
      </c>
      <c r="K4591">
        <v>1.1205529999999999</v>
      </c>
      <c r="L4591">
        <v>160.38939999999999</v>
      </c>
      <c r="M4591">
        <v>-2.9233499999999999E-2</v>
      </c>
      <c r="N4591">
        <v>-1.025062E-2</v>
      </c>
      <c r="O4591">
        <v>-0.99952010000000002</v>
      </c>
      <c r="P4591">
        <v>-7.2535310000000006E-2</v>
      </c>
      <c r="Q4591">
        <v>-8.2653069999999995E-2</v>
      </c>
      <c r="R4591">
        <v>-0.99393529999999997</v>
      </c>
      <c r="S4591">
        <v>-0.36405939999999998</v>
      </c>
      <c r="T4591">
        <v>-0.3094189</v>
      </c>
      <c r="U4591">
        <v>-2.9662480000000002</v>
      </c>
      <c r="V4591">
        <v>4.3443379999999997E-2</v>
      </c>
      <c r="W4591">
        <v>-7.2444809999999998E-2</v>
      </c>
      <c r="X4591">
        <v>0.99642580000000003</v>
      </c>
      <c r="Y4591">
        <v>9.2170100000000005E-2</v>
      </c>
      <c r="Z4591">
        <v>9.2898149999999999E-2</v>
      </c>
      <c r="AA4591">
        <v>0.99140030000000001</v>
      </c>
      <c r="AB4591">
        <v>18</v>
      </c>
      <c r="AC4591">
        <v>-8.7500000000005601E-2</v>
      </c>
      <c r="AD4591">
        <v>-7.7519000000000102E-2</v>
      </c>
      <c r="AE4591">
        <v>-0.60429999999999495</v>
      </c>
      <c r="AF4591">
        <v>6.8688771048631095E-2</v>
      </c>
      <c r="AG4591">
        <v>-7.7519000000000102E-2</v>
      </c>
      <c r="AH4591">
        <v>0.59697792452529297</v>
      </c>
      <c r="AI4591">
        <v>97.350632219387506</v>
      </c>
      <c r="AJ4591">
        <v>83.436364232876798</v>
      </c>
      <c r="AK4591">
        <v>0.60589601830652196</v>
      </c>
      <c r="AL4591">
        <v>94.154421284555795</v>
      </c>
      <c r="AM4591">
        <v>87.503530183069898</v>
      </c>
      <c r="AN4591">
        <v>0.99999997633369997</v>
      </c>
    </row>
    <row r="4592" spans="1:40" x14ac:dyDescent="0.25">
      <c r="A4592" t="str">
        <f>"20190303154900117"</f>
        <v>20190303154900117</v>
      </c>
      <c r="B4592" t="str">
        <f>"1551599340105105"</f>
        <v>1551599340105105</v>
      </c>
      <c r="C4592" t="s">
        <v>40</v>
      </c>
      <c r="D4592">
        <v>5.106751</v>
      </c>
      <c r="E4592">
        <v>0.5192968</v>
      </c>
      <c r="F4592" t="s">
        <v>42</v>
      </c>
      <c r="G4592">
        <v>-192.3631</v>
      </c>
      <c r="H4592">
        <v>1.0406869999999999</v>
      </c>
      <c r="I4592">
        <v>159.62389999999999</v>
      </c>
      <c r="J4592">
        <v>-192.273</v>
      </c>
      <c r="K4592">
        <v>1.1204940000000001</v>
      </c>
      <c r="L4592">
        <v>160.20769999999999</v>
      </c>
      <c r="M4592">
        <v>-2.9234900000000001E-2</v>
      </c>
      <c r="N4592">
        <v>-9.8933719999999992E-3</v>
      </c>
      <c r="O4592">
        <v>-0.99952359999999896</v>
      </c>
      <c r="P4592">
        <v>-7.4629139999999997E-2</v>
      </c>
      <c r="Q4592">
        <v>-8.0995189999999995E-2</v>
      </c>
      <c r="R4592">
        <v>-0.99391689999999999</v>
      </c>
      <c r="S4592">
        <v>-0.36880489999999999</v>
      </c>
      <c r="T4592">
        <v>-0.30945739999999999</v>
      </c>
      <c r="U4592">
        <v>-2.965652</v>
      </c>
      <c r="V4592">
        <v>4.5531269999999999E-2</v>
      </c>
      <c r="W4592">
        <v>-7.1145449999999999E-2</v>
      </c>
      <c r="X4592">
        <v>0.99642620000000004</v>
      </c>
      <c r="Y4592">
        <v>9.3752180000000004E-2</v>
      </c>
      <c r="Z4592">
        <v>9.3268909999999997E-2</v>
      </c>
      <c r="AA4592">
        <v>0.99121709999999996</v>
      </c>
      <c r="AB4592">
        <v>18</v>
      </c>
      <c r="AC4592">
        <v>-9.0100000000006703E-2</v>
      </c>
      <c r="AD4592">
        <v>-7.9806999999999906E-2</v>
      </c>
      <c r="AE4592">
        <v>-0.58379999999999599</v>
      </c>
      <c r="AF4592">
        <v>7.1684861682600395E-2</v>
      </c>
      <c r="AG4592">
        <v>-7.9806999999999906E-2</v>
      </c>
      <c r="AH4592">
        <v>0.57567689153583501</v>
      </c>
      <c r="AI4592">
        <v>97.832963306282807</v>
      </c>
      <c r="AJ4592">
        <v>82.901909738624298</v>
      </c>
      <c r="AK4592">
        <v>0.585586680254781</v>
      </c>
      <c r="AL4592">
        <v>94.079780834596406</v>
      </c>
      <c r="AM4592">
        <v>87.383713722466098</v>
      </c>
      <c r="AN4592">
        <v>0.99999997182497702</v>
      </c>
    </row>
    <row r="4593" spans="1:40" x14ac:dyDescent="0.25">
      <c r="A4593" t="str">
        <f>"20190303154900131"</f>
        <v>20190303154900131</v>
      </c>
      <c r="B4593" t="str">
        <f>"1551599340125601"</f>
        <v>1551599340125601</v>
      </c>
      <c r="C4593" t="s">
        <v>40</v>
      </c>
      <c r="D4593">
        <v>5.1255639999999998</v>
      </c>
      <c r="E4593">
        <v>0.55684489999999998</v>
      </c>
      <c r="F4593" t="s">
        <v>42</v>
      </c>
      <c r="G4593">
        <v>-192.3682</v>
      </c>
      <c r="H4593">
        <v>1.0437190000000001</v>
      </c>
      <c r="I4593">
        <v>159.45920000000001</v>
      </c>
      <c r="J4593">
        <v>-192.27619999999999</v>
      </c>
      <c r="K4593">
        <v>1.1204799999999999</v>
      </c>
      <c r="L4593">
        <v>160.09899999999999</v>
      </c>
      <c r="M4593">
        <v>-2.9250789999999999E-2</v>
      </c>
      <c r="N4593">
        <v>-9.6984789999999994E-3</v>
      </c>
      <c r="O4593">
        <v>-0.99952529999999995</v>
      </c>
      <c r="P4593">
        <v>-7.5699470000000005E-2</v>
      </c>
      <c r="Q4593">
        <v>-8.0035209999999996E-2</v>
      </c>
      <c r="R4593">
        <v>-0.99391390000000002</v>
      </c>
      <c r="S4593">
        <v>-0.37641910000000001</v>
      </c>
      <c r="T4593">
        <v>-0.3042009</v>
      </c>
      <c r="U4593">
        <v>-2.9652859999999999</v>
      </c>
      <c r="V4593">
        <v>4.6584170000000001E-2</v>
      </c>
      <c r="W4593">
        <v>-7.0380449999999997E-2</v>
      </c>
      <c r="X4593">
        <v>0.99643190000000004</v>
      </c>
      <c r="Y4593">
        <v>9.6275509999999995E-2</v>
      </c>
      <c r="Z4593">
        <v>9.1712299999999997E-2</v>
      </c>
      <c r="AA4593">
        <v>0.99112049999999996</v>
      </c>
      <c r="AB4593">
        <v>18</v>
      </c>
      <c r="AC4593">
        <v>-9.2000000000012905E-2</v>
      </c>
      <c r="AD4593">
        <v>-7.6760999999999802E-2</v>
      </c>
      <c r="AE4593">
        <v>-0.63979999999997905</v>
      </c>
      <c r="AF4593">
        <v>7.2226504999563498E-2</v>
      </c>
      <c r="AG4593">
        <v>-7.6760999999999802E-2</v>
      </c>
      <c r="AH4593">
        <v>0.63328631329144403</v>
      </c>
      <c r="AI4593">
        <v>96.867051954622397</v>
      </c>
      <c r="AJ4593">
        <v>83.493511964196301</v>
      </c>
      <c r="AK4593">
        <v>0.641997253691728</v>
      </c>
      <c r="AL4593">
        <v>94.035839244466203</v>
      </c>
      <c r="AM4593">
        <v>87.323315000445703</v>
      </c>
      <c r="AN4593">
        <v>1.0000000119871999</v>
      </c>
    </row>
    <row r="4594" spans="1:40" x14ac:dyDescent="0.25">
      <c r="A4594" t="str">
        <f>"20190303154900144"</f>
        <v>20190303154900144</v>
      </c>
      <c r="B4594" t="str">
        <f>"1551599340135361"</f>
        <v>1551599340135361</v>
      </c>
      <c r="C4594" t="s">
        <v>40</v>
      </c>
      <c r="D4594">
        <v>5.0958040000000002</v>
      </c>
      <c r="E4594">
        <v>0.56686440000000005</v>
      </c>
      <c r="F4594" t="s">
        <v>59</v>
      </c>
      <c r="G4594">
        <v>-194.9196</v>
      </c>
      <c r="H4594" s="1">
        <v>-1.13070899999999E-5</v>
      </c>
      <c r="I4594">
        <v>148.62819999999999</v>
      </c>
      <c r="J4594">
        <v>-192.27940000000001</v>
      </c>
      <c r="K4594">
        <v>1.120465</v>
      </c>
      <c r="L4594">
        <v>159.9907</v>
      </c>
      <c r="M4594">
        <v>-2.9271510000000001E-2</v>
      </c>
      <c r="N4594">
        <v>-9.513957E-3</v>
      </c>
      <c r="O4594">
        <v>-0.99952649999999998</v>
      </c>
      <c r="P4594">
        <v>-7.7348979999999998E-2</v>
      </c>
      <c r="Q4594">
        <v>-7.887682E-2</v>
      </c>
      <c r="R4594">
        <v>-0.99387950000000003</v>
      </c>
      <c r="S4594">
        <v>-0.67831419999999998</v>
      </c>
      <c r="T4594">
        <v>-0.28753220000000002</v>
      </c>
      <c r="U4594">
        <v>-2.9435579999999999</v>
      </c>
      <c r="V4594">
        <v>4.8212730000000002E-2</v>
      </c>
      <c r="W4594">
        <v>-6.9406599999999999E-2</v>
      </c>
      <c r="X4594">
        <v>0.99642269999999999</v>
      </c>
      <c r="Y4594">
        <v>0.1950152</v>
      </c>
      <c r="Z4594">
        <v>8.5548559999999996E-2</v>
      </c>
      <c r="AA4594">
        <v>0.97706219999999999</v>
      </c>
      <c r="AB4594">
        <v>18</v>
      </c>
      <c r="AC4594">
        <v>-2.6401999999999899</v>
      </c>
      <c r="AD4594">
        <v>-1.1204763070899999</v>
      </c>
      <c r="AE4594">
        <v>-11.362500000000001</v>
      </c>
      <c r="AF4594">
        <v>2.2853709024791198</v>
      </c>
      <c r="AG4594">
        <v>-1.1204763070899999</v>
      </c>
      <c r="AH4594">
        <v>11.330381044004399</v>
      </c>
      <c r="AI4594">
        <v>95.536897310774407</v>
      </c>
      <c r="AJ4594">
        <v>78.596281080445195</v>
      </c>
      <c r="AK4594">
        <v>11.6127482500476</v>
      </c>
      <c r="AL4594">
        <v>93.979905124634996</v>
      </c>
      <c r="AM4594">
        <v>87.229857151631705</v>
      </c>
      <c r="AN4594">
        <v>0.99999997026645104</v>
      </c>
    </row>
    <row r="4595" spans="1:40" x14ac:dyDescent="0.25">
      <c r="A4595" t="str">
        <f>"20190303154900156"</f>
        <v>20190303154900156</v>
      </c>
      <c r="B4595" t="str">
        <f>"1551599340145121"</f>
        <v>1551599340145121</v>
      </c>
      <c r="C4595" t="s">
        <v>40</v>
      </c>
      <c r="D4595">
        <v>5.1007490000000004</v>
      </c>
      <c r="E4595">
        <v>0.56686440000000005</v>
      </c>
      <c r="F4595" t="s">
        <v>59</v>
      </c>
      <c r="G4595">
        <v>-195.53489999999999</v>
      </c>
      <c r="H4595" s="1">
        <v>-1.1107630000000001E-5</v>
      </c>
      <c r="I4595">
        <v>147.458</v>
      </c>
      <c r="J4595">
        <v>-192.2825</v>
      </c>
      <c r="K4595">
        <v>1.120457</v>
      </c>
      <c r="L4595">
        <v>159.887</v>
      </c>
      <c r="M4595">
        <v>-2.929648E-2</v>
      </c>
      <c r="N4595">
        <v>-9.3513399999999997E-3</v>
      </c>
      <c r="O4595">
        <v>-0.99952719999999995</v>
      </c>
      <c r="P4595">
        <v>-7.9224649999999994E-2</v>
      </c>
      <c r="Q4595">
        <v>-7.7717240000000007E-2</v>
      </c>
      <c r="R4595">
        <v>-0.99382320000000002</v>
      </c>
      <c r="S4595">
        <v>-0.76321410000000001</v>
      </c>
      <c r="T4595">
        <v>-0.26268989999999998</v>
      </c>
      <c r="U4595">
        <v>-2.9382320000000002</v>
      </c>
      <c r="V4595">
        <v>5.0064499999999998E-2</v>
      </c>
      <c r="W4595">
        <v>-6.8409410000000004E-2</v>
      </c>
      <c r="X4595">
        <v>0.99640039999999996</v>
      </c>
      <c r="Y4595">
        <v>0.2220982</v>
      </c>
      <c r="Z4595">
        <v>7.7172920000000006E-2</v>
      </c>
      <c r="AA4595">
        <v>0.97196539999999998</v>
      </c>
      <c r="AB4595">
        <v>18</v>
      </c>
      <c r="AC4595">
        <v>-3.25239999999999</v>
      </c>
      <c r="AD4595">
        <v>-1.12046810763</v>
      </c>
      <c r="AE4595">
        <v>-12.429</v>
      </c>
      <c r="AF4595">
        <v>2.8650700211661002</v>
      </c>
      <c r="AG4595">
        <v>-1.12046810763</v>
      </c>
      <c r="AH4595">
        <v>12.4244509896022</v>
      </c>
      <c r="AI4595">
        <v>95.022040970131499</v>
      </c>
      <c r="AJ4595">
        <v>77.014626180911804</v>
      </c>
      <c r="AK4595">
        <v>12.7996506748984</v>
      </c>
      <c r="AL4595">
        <v>93.922633978191897</v>
      </c>
      <c r="AM4595">
        <v>87.123571727474996</v>
      </c>
      <c r="AN4595">
        <v>1.0000000293284701</v>
      </c>
    </row>
    <row r="4596" spans="1:40" x14ac:dyDescent="0.25">
      <c r="A4596" t="str">
        <f>"20190303154900173"</f>
        <v>20190303154900173</v>
      </c>
      <c r="B4596" t="str">
        <f>"1551599340165617"</f>
        <v>1551599340165617</v>
      </c>
      <c r="C4596" t="s">
        <v>40</v>
      </c>
      <c r="D4596">
        <v>5.0948339999999996</v>
      </c>
      <c r="E4596">
        <v>0.63337429999999995</v>
      </c>
      <c r="F4596" t="s">
        <v>59</v>
      </c>
      <c r="G4596">
        <v>-195.5992</v>
      </c>
      <c r="H4596" s="1">
        <v>-1.1055370000000001E-5</v>
      </c>
      <c r="I4596">
        <v>147.2165</v>
      </c>
      <c r="J4596">
        <v>-192.28649999999999</v>
      </c>
      <c r="K4596">
        <v>1.120457</v>
      </c>
      <c r="L4596">
        <v>159.751</v>
      </c>
      <c r="M4596">
        <v>-2.933092E-2</v>
      </c>
      <c r="N4596">
        <v>-9.1556680000000005E-3</v>
      </c>
      <c r="O4596">
        <v>-0.99952790000000002</v>
      </c>
      <c r="P4596">
        <v>-8.4454929999999998E-2</v>
      </c>
      <c r="Q4596">
        <v>-7.5616710000000004E-2</v>
      </c>
      <c r="R4596">
        <v>-0.9935541</v>
      </c>
      <c r="S4596">
        <v>-0.76881409999999994</v>
      </c>
      <c r="T4596">
        <v>-0.25972499999999998</v>
      </c>
      <c r="U4596">
        <v>-2.9370270000000001</v>
      </c>
      <c r="V4596">
        <v>5.5266889999999999E-2</v>
      </c>
      <c r="W4596">
        <v>-6.6505300000000003E-2</v>
      </c>
      <c r="X4596">
        <v>0.99625430000000004</v>
      </c>
      <c r="Y4596">
        <v>0.22391420000000001</v>
      </c>
      <c r="Z4596">
        <v>7.6393829999999996E-2</v>
      </c>
      <c r="AA4596">
        <v>0.97161019999999998</v>
      </c>
      <c r="AB4596">
        <v>18</v>
      </c>
      <c r="AC4596">
        <v>-3.3127</v>
      </c>
      <c r="AD4596">
        <v>-1.1204680553699999</v>
      </c>
      <c r="AE4596">
        <v>-12.5345</v>
      </c>
      <c r="AF4596">
        <v>2.92178794615532</v>
      </c>
      <c r="AG4596">
        <v>-1.1204680553699999</v>
      </c>
      <c r="AH4596">
        <v>12.532668619924101</v>
      </c>
      <c r="AI4596">
        <v>94.976133281403506</v>
      </c>
      <c r="AJ4596">
        <v>76.876823389757803</v>
      </c>
      <c r="AK4596">
        <v>12.917433034555801</v>
      </c>
      <c r="AL4596">
        <v>93.8132875084044</v>
      </c>
      <c r="AM4596">
        <v>86.824789384373901</v>
      </c>
      <c r="AN4596">
        <v>1.0000000071634201</v>
      </c>
    </row>
    <row r="4597" spans="1:40" x14ac:dyDescent="0.25">
      <c r="A4597" t="str">
        <f>"20190303154900186"</f>
        <v>20190303154900186</v>
      </c>
      <c r="B4597" t="str">
        <f>"1551599340175377"</f>
        <v>1551599340175377</v>
      </c>
      <c r="C4597" t="s">
        <v>40</v>
      </c>
      <c r="D4597">
        <v>5.0032370000000004</v>
      </c>
      <c r="E4597">
        <v>0.64027630000000002</v>
      </c>
      <c r="F4597" t="s">
        <v>59</v>
      </c>
      <c r="G4597">
        <v>-199.56829999999999</v>
      </c>
      <c r="H4597" s="1">
        <v>-1.065138E-5</v>
      </c>
      <c r="I4597">
        <v>143.72020000000001</v>
      </c>
      <c r="J4597">
        <v>-192.2895</v>
      </c>
      <c r="K4597">
        <v>1.1204620000000001</v>
      </c>
      <c r="L4597">
        <v>159.65039999999999</v>
      </c>
      <c r="M4597">
        <v>-2.9355929999999999E-2</v>
      </c>
      <c r="N4597">
        <v>-9.0213659999999994E-3</v>
      </c>
      <c r="O4597">
        <v>-0.99952859999999999</v>
      </c>
      <c r="P4597">
        <v>-8.7539179999999994E-2</v>
      </c>
      <c r="Q4597">
        <v>-7.4530509999999994E-2</v>
      </c>
      <c r="R4597">
        <v>-0.99336950000000002</v>
      </c>
      <c r="S4597">
        <v>-1.313828</v>
      </c>
      <c r="T4597">
        <v>-0.20216319999999999</v>
      </c>
      <c r="U4597">
        <v>-2.892395</v>
      </c>
      <c r="V4597">
        <v>5.8331040000000001E-2</v>
      </c>
      <c r="W4597">
        <v>-6.5553689999999998E-2</v>
      </c>
      <c r="X4597">
        <v>0.99614270000000005</v>
      </c>
      <c r="Y4597">
        <v>0.38591890000000001</v>
      </c>
      <c r="Z4597">
        <v>5.4908279999999997E-2</v>
      </c>
      <c r="AA4597">
        <v>0.92089719999999997</v>
      </c>
      <c r="AB4597">
        <v>18</v>
      </c>
      <c r="AC4597">
        <v>-7.2787999999999897</v>
      </c>
      <c r="AD4597">
        <v>-1.1204726513800001</v>
      </c>
      <c r="AE4597">
        <v>-15.9301999999999</v>
      </c>
      <c r="AF4597">
        <v>6.7802481744505902</v>
      </c>
      <c r="AG4597">
        <v>-1.1204726513800001</v>
      </c>
      <c r="AH4597">
        <v>16.071242932109101</v>
      </c>
      <c r="AI4597">
        <v>93.675425284605396</v>
      </c>
      <c r="AJ4597">
        <v>67.125752028118001</v>
      </c>
      <c r="AK4597">
        <v>17.478903674215299</v>
      </c>
      <c r="AL4597">
        <v>93.758644907428106</v>
      </c>
      <c r="AM4597">
        <v>86.648762974808704</v>
      </c>
      <c r="AN4597">
        <v>1.00000003763169</v>
      </c>
    </row>
    <row r="4598" spans="1:40" x14ac:dyDescent="0.25">
      <c r="A4598" t="str">
        <f>"20190303154900198"</f>
        <v>20190303154900198</v>
      </c>
      <c r="B4598" t="str">
        <f>"1551599340194897"</f>
        <v>1551599340194897</v>
      </c>
      <c r="C4598" t="s">
        <v>40</v>
      </c>
      <c r="D4598">
        <v>4.984413</v>
      </c>
      <c r="E4598">
        <v>0.64415829999999996</v>
      </c>
      <c r="F4598" t="s">
        <v>59</v>
      </c>
      <c r="G4598">
        <v>-200.30359999999999</v>
      </c>
      <c r="H4598" s="1">
        <v>-1.030173E-5</v>
      </c>
      <c r="I4598">
        <v>142.8724</v>
      </c>
      <c r="J4598">
        <v>-192.2928</v>
      </c>
      <c r="K4598">
        <v>1.1204670000000001</v>
      </c>
      <c r="L4598">
        <v>159.53909999999999</v>
      </c>
      <c r="M4598">
        <v>-2.9382120000000001E-2</v>
      </c>
      <c r="N4598">
        <v>-8.883663E-3</v>
      </c>
      <c r="O4598">
        <v>-0.99952909999999995</v>
      </c>
      <c r="P4598">
        <v>-9.02805E-2</v>
      </c>
      <c r="Q4598">
        <v>-7.3448319999999997E-2</v>
      </c>
      <c r="R4598">
        <v>-0.99320489999999995</v>
      </c>
      <c r="S4598">
        <v>-1.37764</v>
      </c>
      <c r="T4598">
        <v>-0.19261159999999999</v>
      </c>
      <c r="U4598">
        <v>-2.8841709999999998</v>
      </c>
      <c r="V4598">
        <v>6.1050840000000002E-2</v>
      </c>
      <c r="W4598">
        <v>-6.4609029999999998E-2</v>
      </c>
      <c r="X4598">
        <v>0.99604139999999997</v>
      </c>
      <c r="Y4598">
        <v>0.4036188</v>
      </c>
      <c r="Z4598">
        <v>5.1688369999999997E-2</v>
      </c>
      <c r="AA4598">
        <v>0.913466</v>
      </c>
      <c r="AB4598">
        <v>19</v>
      </c>
      <c r="AC4598">
        <v>-8.0107999999999802</v>
      </c>
      <c r="AD4598">
        <v>-1.12047730172999</v>
      </c>
      <c r="AE4598">
        <v>-16.666699999999899</v>
      </c>
      <c r="AF4598">
        <v>7.4901191137149796</v>
      </c>
      <c r="AG4598">
        <v>-1.12047730172999</v>
      </c>
      <c r="AH4598">
        <v>16.833084783680899</v>
      </c>
      <c r="AI4598">
        <v>93.480168515447602</v>
      </c>
      <c r="AJ4598">
        <v>66.012650969680294</v>
      </c>
      <c r="AK4598">
        <v>18.458334081274</v>
      </c>
      <c r="AL4598">
        <v>93.704405020654605</v>
      </c>
      <c r="AM4598">
        <v>86.492530493976005</v>
      </c>
      <c r="AN4598">
        <v>1.0000000011681001</v>
      </c>
    </row>
    <row r="4599" spans="1:40" x14ac:dyDescent="0.25">
      <c r="A4599" t="str">
        <f>"20190303154900210"</f>
        <v>20190303154900210</v>
      </c>
      <c r="B4599" t="str">
        <f>"1551599340205633"</f>
        <v>1551599340205633</v>
      </c>
      <c r="C4599" t="s">
        <v>40</v>
      </c>
      <c r="D4599">
        <v>4.9592470000000004</v>
      </c>
      <c r="E4599">
        <v>0.64665879999999998</v>
      </c>
      <c r="F4599" t="s">
        <v>59</v>
      </c>
      <c r="G4599">
        <v>-200.87389999999999</v>
      </c>
      <c r="H4599" s="1">
        <v>-9.8213720000000006E-6</v>
      </c>
      <c r="I4599">
        <v>142.1078</v>
      </c>
      <c r="J4599">
        <v>-192.29570000000001</v>
      </c>
      <c r="K4599">
        <v>1.120474</v>
      </c>
      <c r="L4599">
        <v>159.44030000000001</v>
      </c>
      <c r="M4599">
        <v>-2.9401360000000001E-2</v>
      </c>
      <c r="N4599">
        <v>-8.7737539999999999E-3</v>
      </c>
      <c r="O4599">
        <v>-0.99952909999999995</v>
      </c>
      <c r="P4599">
        <v>-9.3405089999999996E-2</v>
      </c>
      <c r="Q4599">
        <v>-7.1912279999999995E-2</v>
      </c>
      <c r="R4599">
        <v>-0.99302769999999996</v>
      </c>
      <c r="S4599">
        <v>-1.4168240000000001</v>
      </c>
      <c r="T4599">
        <v>-0.1850009</v>
      </c>
      <c r="U4599">
        <v>-2.8780670000000002</v>
      </c>
      <c r="V4599">
        <v>6.4160990000000001E-2</v>
      </c>
      <c r="W4599">
        <v>-6.3182959999999996E-2</v>
      </c>
      <c r="X4599">
        <v>0.99593739999999997</v>
      </c>
      <c r="Y4599">
        <v>0.41444829999999999</v>
      </c>
      <c r="Z4599">
        <v>4.9216570000000001E-2</v>
      </c>
      <c r="AA4599">
        <v>0.90874109999999997</v>
      </c>
      <c r="AB4599">
        <v>19</v>
      </c>
      <c r="AC4599">
        <v>-8.5781999999999794</v>
      </c>
      <c r="AD4599">
        <v>-1.1204838213720001</v>
      </c>
      <c r="AE4599">
        <v>-17.3325</v>
      </c>
      <c r="AF4599">
        <v>8.0378901256278805</v>
      </c>
      <c r="AG4599">
        <v>-1.1204838213720001</v>
      </c>
      <c r="AH4599">
        <v>17.518419251647199</v>
      </c>
      <c r="AI4599">
        <v>93.327045395658303</v>
      </c>
      <c r="AJ4599">
        <v>65.3531557265526</v>
      </c>
      <c r="AK4599">
        <v>19.306946282157199</v>
      </c>
      <c r="AL4599">
        <v>93.622529875897797</v>
      </c>
      <c r="AM4599">
        <v>86.313944163131396</v>
      </c>
      <c r="AN4599">
        <v>1.00000001189545</v>
      </c>
    </row>
    <row r="4600" spans="1:40" x14ac:dyDescent="0.25">
      <c r="A4600" t="str">
        <f>"20190303154900222"</f>
        <v>20190303154900222</v>
      </c>
      <c r="B4600" t="str">
        <f>"1551599340215393"</f>
        <v>1551599340215393</v>
      </c>
      <c r="C4600" t="s">
        <v>40</v>
      </c>
      <c r="D4600">
        <v>4.9913150000000002</v>
      </c>
      <c r="E4600">
        <v>0.64797159999999998</v>
      </c>
      <c r="F4600" t="s">
        <v>59</v>
      </c>
      <c r="G4600">
        <v>-201.30199999999999</v>
      </c>
      <c r="H4600" s="1">
        <v>-9.4901629999999998E-6</v>
      </c>
      <c r="I4600">
        <v>141.54730000000001</v>
      </c>
      <c r="J4600">
        <v>-192.29859999999999</v>
      </c>
      <c r="K4600">
        <v>1.1204809999999901</v>
      </c>
      <c r="L4600">
        <v>159.34039999999999</v>
      </c>
      <c r="M4600">
        <v>-2.941904E-2</v>
      </c>
      <c r="N4600">
        <v>-8.6671330000000005E-3</v>
      </c>
      <c r="O4600">
        <v>-0.99952980000000002</v>
      </c>
      <c r="P4600">
        <v>-9.6454070000000003E-2</v>
      </c>
      <c r="Q4600">
        <v>-7.044446E-2</v>
      </c>
      <c r="R4600">
        <v>-0.99284190000000005</v>
      </c>
      <c r="S4600">
        <v>-1.4456329999999999</v>
      </c>
      <c r="T4600">
        <v>-0.17985190000000001</v>
      </c>
      <c r="U4600">
        <v>-2.872055</v>
      </c>
      <c r="V4600">
        <v>6.7197279999999998E-2</v>
      </c>
      <c r="W4600">
        <v>-6.1821800000000003E-2</v>
      </c>
      <c r="X4600">
        <v>0.99582250000000005</v>
      </c>
      <c r="Y4600">
        <v>0.42250890000000002</v>
      </c>
      <c r="Z4600">
        <v>4.7593549999999998E-2</v>
      </c>
      <c r="AA4600">
        <v>0.90510829999999998</v>
      </c>
      <c r="AB4600">
        <v>19</v>
      </c>
      <c r="AC4600">
        <v>-9.0034000000000205</v>
      </c>
      <c r="AD4600">
        <v>-1.12049049016299</v>
      </c>
      <c r="AE4600">
        <v>-17.7930999999999</v>
      </c>
      <c r="AF4600">
        <v>8.4493505343873405</v>
      </c>
      <c r="AG4600">
        <v>-1.12049049016299</v>
      </c>
      <c r="AH4600">
        <v>17.993469336271801</v>
      </c>
      <c r="AI4600">
        <v>93.226167745140401</v>
      </c>
      <c r="AJ4600">
        <v>64.846248373623595</v>
      </c>
      <c r="AK4600">
        <v>19.910096989890601</v>
      </c>
      <c r="AL4600">
        <v>93.544388655396006</v>
      </c>
      <c r="AM4600">
        <v>86.139580407557702</v>
      </c>
      <c r="AN4600">
        <v>0.999999930450441</v>
      </c>
    </row>
    <row r="4601" spans="1:40" x14ac:dyDescent="0.25">
      <c r="A4601" t="str">
        <f>"20190303154900233"</f>
        <v>20190303154900233</v>
      </c>
      <c r="B4601" t="str">
        <f>"1551599340225153"</f>
        <v>1551599340225153</v>
      </c>
      <c r="C4601" t="s">
        <v>40</v>
      </c>
      <c r="D4601">
        <v>4.9892310000000002</v>
      </c>
      <c r="E4601">
        <v>0.64921890000000004</v>
      </c>
      <c r="F4601" t="s">
        <v>59</v>
      </c>
      <c r="G4601">
        <v>-201.53880000000001</v>
      </c>
      <c r="H4601" s="1">
        <v>-9.3244270000000006E-6</v>
      </c>
      <c r="I4601">
        <v>141.25710000000001</v>
      </c>
      <c r="J4601">
        <v>-192.3015</v>
      </c>
      <c r="K4601">
        <v>1.120493</v>
      </c>
      <c r="L4601">
        <v>159.24199999999999</v>
      </c>
      <c r="M4601">
        <v>-2.9431349999999998E-2</v>
      </c>
      <c r="N4601">
        <v>-8.573252E-3</v>
      </c>
      <c r="O4601">
        <v>-0.99953029999999998</v>
      </c>
      <c r="P4601">
        <v>-9.9600960000000002E-2</v>
      </c>
      <c r="Q4601">
        <v>-6.9357409999999994E-2</v>
      </c>
      <c r="R4601">
        <v>-0.99260749999999998</v>
      </c>
      <c r="S4601">
        <v>-1.464828</v>
      </c>
      <c r="T4601">
        <v>-0.1776297</v>
      </c>
      <c r="U4601">
        <v>-2.866714</v>
      </c>
      <c r="V4601">
        <v>7.0338090000000006E-2</v>
      </c>
      <c r="W4601">
        <v>-6.0829199999999903E-2</v>
      </c>
      <c r="X4601">
        <v>0.99566679999999996</v>
      </c>
      <c r="Y4601">
        <v>0.42800100000000002</v>
      </c>
      <c r="Z4601">
        <v>4.6932979999999999E-2</v>
      </c>
      <c r="AA4601">
        <v>0.90255890000000005</v>
      </c>
      <c r="AB4601">
        <v>19</v>
      </c>
      <c r="AC4601">
        <v>-9.2372999999999994</v>
      </c>
      <c r="AD4601">
        <v>-1.120502324427</v>
      </c>
      <c r="AE4601">
        <v>-17.9849</v>
      </c>
      <c r="AF4601">
        <v>8.6773077753794308</v>
      </c>
      <c r="AG4601">
        <v>-1.120502324427</v>
      </c>
      <c r="AH4601">
        <v>18.1931069223007</v>
      </c>
      <c r="AI4601">
        <v>93.181803378988405</v>
      </c>
      <c r="AJ4601">
        <v>64.500921296212695</v>
      </c>
      <c r="AK4601">
        <v>20.187628270155201</v>
      </c>
      <c r="AL4601">
        <v>93.4874093443009</v>
      </c>
      <c r="AM4601">
        <v>85.959098436218</v>
      </c>
      <c r="AN4601">
        <v>1.0000000075498601</v>
      </c>
    </row>
    <row r="4602" spans="1:40" x14ac:dyDescent="0.25">
      <c r="A4602" t="str">
        <f>"20190303154900251"</f>
        <v>20190303154900251</v>
      </c>
      <c r="B4602" t="str">
        <f>"1551599340245650"</f>
        <v>1551599340245650</v>
      </c>
      <c r="C4602" t="s">
        <v>40</v>
      </c>
      <c r="D4602">
        <v>5.5212969999999997</v>
      </c>
      <c r="E4602">
        <v>0.6486944</v>
      </c>
      <c r="F4602" t="s">
        <v>59</v>
      </c>
      <c r="G4602">
        <v>-201.82470000000001</v>
      </c>
      <c r="H4602" s="1">
        <v>-9.1165490000000006E-6</v>
      </c>
      <c r="I4602">
        <v>140.87739999999999</v>
      </c>
      <c r="J4602">
        <v>-192.3058</v>
      </c>
      <c r="K4602">
        <v>1.1204989999999999</v>
      </c>
      <c r="L4602">
        <v>159.09829999999999</v>
      </c>
      <c r="M4602">
        <v>-2.944416E-2</v>
      </c>
      <c r="N4602">
        <v>-8.4471129999999992E-3</v>
      </c>
      <c r="O4602">
        <v>-0.99953099999999995</v>
      </c>
      <c r="P4602">
        <v>-0.1059452</v>
      </c>
      <c r="Q4602">
        <v>-6.8034029999999995E-2</v>
      </c>
      <c r="R4602">
        <v>-0.99204199999999998</v>
      </c>
      <c r="S4602">
        <v>-1.4837340000000001</v>
      </c>
      <c r="T4602">
        <v>-0.174576799999999</v>
      </c>
      <c r="U4602">
        <v>-2.8612519999999999</v>
      </c>
      <c r="V4602">
        <v>7.6684219999999997E-2</v>
      </c>
      <c r="W4602">
        <v>-5.9634380000000001E-2</v>
      </c>
      <c r="X4602">
        <v>0.9952704</v>
      </c>
      <c r="Y4602">
        <v>0.4334132</v>
      </c>
      <c r="Z4602">
        <v>4.6049699999999999E-2</v>
      </c>
      <c r="AA4602">
        <v>0.90001799999999998</v>
      </c>
      <c r="AB4602">
        <v>19</v>
      </c>
      <c r="AC4602">
        <v>-9.5189000000000004</v>
      </c>
      <c r="AD4602">
        <v>-1.1205081165489901</v>
      </c>
      <c r="AE4602">
        <v>-18.2209</v>
      </c>
      <c r="AF4602">
        <v>8.9516598926486903</v>
      </c>
      <c r="AG4602">
        <v>-1.1205081165489901</v>
      </c>
      <c r="AH4602">
        <v>18.438506133140798</v>
      </c>
      <c r="AI4602">
        <v>93.129130475517499</v>
      </c>
      <c r="AJ4602">
        <v>64.104017415159007</v>
      </c>
      <c r="AK4602">
        <v>20.5272078397131</v>
      </c>
      <c r="AL4602">
        <v>93.418826880354501</v>
      </c>
      <c r="AM4602">
        <v>85.594143413701602</v>
      </c>
      <c r="AN4602">
        <v>0.99999994899557498</v>
      </c>
    </row>
    <row r="4603" spans="1:40" x14ac:dyDescent="0.25">
      <c r="A4603" t="str">
        <f>"20190303154900287"</f>
        <v>20190303154900287</v>
      </c>
      <c r="B4603" t="str">
        <f>"1551599340275905"</f>
        <v>1551599340275905</v>
      </c>
      <c r="C4603" t="s">
        <v>40</v>
      </c>
      <c r="D4603">
        <v>5.2082350000000002</v>
      </c>
      <c r="E4603">
        <v>0.647366</v>
      </c>
      <c r="F4603" t="s">
        <v>59</v>
      </c>
      <c r="G4603">
        <v>-200.0831</v>
      </c>
      <c r="H4603" s="1">
        <v>-1.0822410000000001E-5</v>
      </c>
      <c r="I4603">
        <v>144.29390000000001</v>
      </c>
      <c r="J4603">
        <v>-192.31479999999999</v>
      </c>
      <c r="K4603">
        <v>1.1204959999999999</v>
      </c>
      <c r="L4603">
        <v>158.79560000000001</v>
      </c>
      <c r="M4603">
        <v>-2.945178E-2</v>
      </c>
      <c r="N4603">
        <v>-8.2238620000000002E-3</v>
      </c>
      <c r="O4603">
        <v>-0.99953250000000005</v>
      </c>
      <c r="P4603">
        <v>-0.120064</v>
      </c>
      <c r="Q4603">
        <v>-6.8654090000000001E-2</v>
      </c>
      <c r="R4603">
        <v>-0.99038959999999998</v>
      </c>
      <c r="S4603">
        <v>-1.496902</v>
      </c>
      <c r="T4603">
        <v>-0.2156662</v>
      </c>
      <c r="U4603">
        <v>-2.8494259999999998</v>
      </c>
      <c r="V4603">
        <v>9.0838699999999994E-2</v>
      </c>
      <c r="W4603">
        <v>-6.0486600000000001E-2</v>
      </c>
      <c r="X4603">
        <v>0.99402699999999999</v>
      </c>
      <c r="Y4603">
        <v>0.43785210000000002</v>
      </c>
      <c r="Z4603">
        <v>5.9132879999999999E-2</v>
      </c>
      <c r="AA4603">
        <v>0.89710020000000001</v>
      </c>
      <c r="AB4603">
        <v>19</v>
      </c>
      <c r="AC4603">
        <v>-7.7683000000000098</v>
      </c>
      <c r="AD4603">
        <v>-1.1205068224100001</v>
      </c>
      <c r="AE4603">
        <v>-14.5017</v>
      </c>
      <c r="AF4603">
        <v>7.3039314347133404</v>
      </c>
      <c r="AG4603">
        <v>-1.1205068224100001</v>
      </c>
      <c r="AH4603">
        <v>14.6562160282199</v>
      </c>
      <c r="AI4603">
        <v>93.914444204683903</v>
      </c>
      <c r="AJ4603">
        <v>63.510609812995</v>
      </c>
      <c r="AK4603">
        <v>16.413641223321299</v>
      </c>
      <c r="AL4603">
        <v>93.467743667806701</v>
      </c>
      <c r="AM4603">
        <v>84.778554323040396</v>
      </c>
      <c r="AN4603">
        <v>0.99999998746312402</v>
      </c>
    </row>
    <row r="4604" spans="1:40" x14ac:dyDescent="0.25">
      <c r="A4604" t="str">
        <f>"20190303154900309"</f>
        <v>20190303154900309</v>
      </c>
      <c r="B4604" t="str">
        <f>"1551599340305185"</f>
        <v>1551599340305185</v>
      </c>
      <c r="C4604" t="s">
        <v>40</v>
      </c>
      <c r="D4604">
        <v>5.1894900000000002</v>
      </c>
      <c r="E4604">
        <v>0.6445978</v>
      </c>
      <c r="F4604" t="s">
        <v>59</v>
      </c>
      <c r="G4604">
        <v>-199.6172</v>
      </c>
      <c r="H4604" s="1">
        <v>-1.1117900000000001E-5</v>
      </c>
      <c r="I4604">
        <v>145.2647</v>
      </c>
      <c r="J4604">
        <v>-192.32</v>
      </c>
      <c r="K4604">
        <v>1.1204809999999901</v>
      </c>
      <c r="L4604">
        <v>158.6181</v>
      </c>
      <c r="M4604">
        <v>-2.9448180000000001E-2</v>
      </c>
      <c r="N4604">
        <v>-8.1165950000000008E-3</v>
      </c>
      <c r="O4604">
        <v>-0.99953369999999997</v>
      </c>
      <c r="P4604">
        <v>-0.13045100000000001</v>
      </c>
      <c r="Q4604">
        <v>-6.8678000000000003E-2</v>
      </c>
      <c r="R4604">
        <v>-0.9890736</v>
      </c>
      <c r="S4604">
        <v>-1.526184</v>
      </c>
      <c r="T4604">
        <v>-0.23418130000000001</v>
      </c>
      <c r="U4604">
        <v>-2.827896</v>
      </c>
      <c r="V4604">
        <v>0.1012638</v>
      </c>
      <c r="W4604">
        <v>-6.0625470000000001E-2</v>
      </c>
      <c r="X4604">
        <v>0.99301059999999997</v>
      </c>
      <c r="Y4604">
        <v>0.44767240000000003</v>
      </c>
      <c r="Z4604">
        <v>6.5121650000000003E-2</v>
      </c>
      <c r="AA4604">
        <v>0.89182320000000004</v>
      </c>
      <c r="AB4604">
        <v>19</v>
      </c>
      <c r="AC4604">
        <v>-7.2972000000000001</v>
      </c>
      <c r="AD4604">
        <v>-1.12049211789999</v>
      </c>
      <c r="AE4604">
        <v>-13.353399999999899</v>
      </c>
      <c r="AF4604">
        <v>6.8635754632617898</v>
      </c>
      <c r="AG4604">
        <v>-1.12049211789999</v>
      </c>
      <c r="AH4604">
        <v>13.489366960191701</v>
      </c>
      <c r="AI4604">
        <v>94.234032390723002</v>
      </c>
      <c r="AJ4604">
        <v>63.032381924716198</v>
      </c>
      <c r="AK4604">
        <v>15.176534245765</v>
      </c>
      <c r="AL4604">
        <v>93.475715167771995</v>
      </c>
      <c r="AM4604">
        <v>84.177301958565707</v>
      </c>
      <c r="AN4604">
        <v>0.99999992825775696</v>
      </c>
    </row>
    <row r="4605" spans="1:40" x14ac:dyDescent="0.25">
      <c r="A4605" t="str">
        <f>"20190303154900330"</f>
        <v>20190303154900330</v>
      </c>
      <c r="B4605" t="str">
        <f>"1551599340325681"</f>
        <v>1551599340325681</v>
      </c>
      <c r="C4605" t="s">
        <v>40</v>
      </c>
      <c r="D4605">
        <v>4.84396</v>
      </c>
      <c r="E4605">
        <v>0.64375530000000003</v>
      </c>
      <c r="F4605" t="s">
        <v>59</v>
      </c>
      <c r="G4605">
        <v>-198.63939999999999</v>
      </c>
      <c r="H4605" s="1">
        <v>-1.1501539999999999E-5</v>
      </c>
      <c r="I4605">
        <v>147.02629999999999</v>
      </c>
      <c r="J4605">
        <v>-192.3254</v>
      </c>
      <c r="K4605">
        <v>1.1204799999999999</v>
      </c>
      <c r="L4605">
        <v>158.4348</v>
      </c>
      <c r="M4605">
        <v>-2.9441780000000001E-2</v>
      </c>
      <c r="N4605">
        <v>-8.0212540000000002E-3</v>
      </c>
      <c r="O4605">
        <v>-0.99953460000000005</v>
      </c>
      <c r="P4605">
        <v>-0.1420303</v>
      </c>
      <c r="Q4605">
        <v>-6.7043930000000002E-2</v>
      </c>
      <c r="R4605">
        <v>-0.98758970000000001</v>
      </c>
      <c r="S4605">
        <v>-1.5330349999999999</v>
      </c>
      <c r="T4605">
        <v>-0.2718216</v>
      </c>
      <c r="U4605">
        <v>-2.8120729999999998</v>
      </c>
      <c r="V4605">
        <v>0.1128885</v>
      </c>
      <c r="W4605">
        <v>-5.9095509999999997E-2</v>
      </c>
      <c r="X4605">
        <v>0.99184870000000003</v>
      </c>
      <c r="Y4605">
        <v>0.4510149</v>
      </c>
      <c r="Z4605">
        <v>7.7190159999999994E-2</v>
      </c>
      <c r="AA4605">
        <v>0.88917219999999997</v>
      </c>
      <c r="AB4605">
        <v>19</v>
      </c>
      <c r="AC4605">
        <v>-6.3139999999999903</v>
      </c>
      <c r="AD4605">
        <v>-1.1204915015400001</v>
      </c>
      <c r="AE4605">
        <v>-11.4085</v>
      </c>
      <c r="AF4605">
        <v>5.9315643145084396</v>
      </c>
      <c r="AG4605">
        <v>-1.1204915015400001</v>
      </c>
      <c r="AH4605">
        <v>11.5045014101281</v>
      </c>
      <c r="AI4605">
        <v>94.9475988429013</v>
      </c>
      <c r="AJ4605">
        <v>62.724984353286999</v>
      </c>
      <c r="AK4605">
        <v>12.992017130446399</v>
      </c>
      <c r="AL4605">
        <v>93.387897287534003</v>
      </c>
      <c r="AM4605">
        <v>83.506751156739796</v>
      </c>
      <c r="AN4605">
        <v>0.99999996821304904</v>
      </c>
    </row>
    <row r="4606" spans="1:40" x14ac:dyDescent="0.25">
      <c r="A4606" t="str">
        <f>"20190303154900342"</f>
        <v>20190303154900342</v>
      </c>
      <c r="B4606" t="str">
        <f>"1551599340335441"</f>
        <v>1551599340335441</v>
      </c>
      <c r="C4606" t="s">
        <v>40</v>
      </c>
      <c r="D4606">
        <v>5.1967249999999998</v>
      </c>
      <c r="E4606">
        <v>0.64310310000000004</v>
      </c>
      <c r="F4606" t="s">
        <v>59</v>
      </c>
      <c r="G4606">
        <v>-199.1276</v>
      </c>
      <c r="H4606" s="1">
        <v>-1.133739E-5</v>
      </c>
      <c r="I4606">
        <v>146.2389</v>
      </c>
      <c r="J4606">
        <v>-192.32859999999999</v>
      </c>
      <c r="K4606">
        <v>1.1204799999999999</v>
      </c>
      <c r="L4606">
        <v>158.3272</v>
      </c>
      <c r="M4606">
        <v>-2.9438260000000001E-2</v>
      </c>
      <c r="N4606">
        <v>-7.9708350000000008E-3</v>
      </c>
      <c r="O4606">
        <v>-0.99953479999999995</v>
      </c>
      <c r="P4606">
        <v>-0.14790619999999999</v>
      </c>
      <c r="Q4606">
        <v>-6.613107E-2</v>
      </c>
      <c r="R4606">
        <v>-0.98678790000000005</v>
      </c>
      <c r="S4606">
        <v>-1.5594330000000001</v>
      </c>
      <c r="T4606">
        <v>-0.25687739999999998</v>
      </c>
      <c r="U4606">
        <v>-2.7959749999999999</v>
      </c>
      <c r="V4606">
        <v>0.11878909999999999</v>
      </c>
      <c r="W4606">
        <v>-5.8237829999999997E-2</v>
      </c>
      <c r="X4606">
        <v>0.99121009999999998</v>
      </c>
      <c r="Y4606">
        <v>0.4597465</v>
      </c>
      <c r="Z4606">
        <v>7.2634879999999999E-2</v>
      </c>
      <c r="AA4606">
        <v>0.88507479999999905</v>
      </c>
      <c r="AB4606">
        <v>19</v>
      </c>
      <c r="AC4606">
        <v>-6.7990000000000004</v>
      </c>
      <c r="AD4606">
        <v>-1.1204913373899901</v>
      </c>
      <c r="AE4606">
        <v>-12.0883</v>
      </c>
      <c r="AF4606">
        <v>6.3984204691716897</v>
      </c>
      <c r="AG4606">
        <v>-1.1204913373899901</v>
      </c>
      <c r="AH4606">
        <v>12.203564383394401</v>
      </c>
      <c r="AI4606">
        <v>94.648920569407494</v>
      </c>
      <c r="AJ4606">
        <v>62.331639779910397</v>
      </c>
      <c r="AK4606">
        <v>13.824697790444899</v>
      </c>
      <c r="AL4606">
        <v>93.3386710192039</v>
      </c>
      <c r="AM4606">
        <v>83.166122531543905</v>
      </c>
      <c r="AN4606">
        <v>0.999999978731964</v>
      </c>
    </row>
    <row r="4607" spans="1:40" x14ac:dyDescent="0.25">
      <c r="A4607" t="str">
        <f>"20190303154900354"</f>
        <v>20190303154900354</v>
      </c>
      <c r="B4607" t="str">
        <f>"1551599340345202"</f>
        <v>1551599340345202</v>
      </c>
      <c r="C4607" t="s">
        <v>40</v>
      </c>
      <c r="D4607">
        <v>5.1866760000000003</v>
      </c>
      <c r="E4607">
        <v>0.64244460000000003</v>
      </c>
      <c r="F4607" t="s">
        <v>59</v>
      </c>
      <c r="G4607">
        <v>-199.0916</v>
      </c>
      <c r="H4607" s="1">
        <v>-1.1358589999999999E-5</v>
      </c>
      <c r="I4607">
        <v>146.32749999999999</v>
      </c>
      <c r="J4607">
        <v>-192.33179999999999</v>
      </c>
      <c r="K4607">
        <v>1.120476</v>
      </c>
      <c r="L4607">
        <v>158.21789999999999</v>
      </c>
      <c r="M4607">
        <v>-2.9438949999999998E-2</v>
      </c>
      <c r="N4607">
        <v>-7.925695E-3</v>
      </c>
      <c r="O4607">
        <v>-0.99953559999999997</v>
      </c>
      <c r="P4607">
        <v>-0.15366749999999901</v>
      </c>
      <c r="Q4607">
        <v>-6.5190639999999994E-2</v>
      </c>
      <c r="R4607">
        <v>-0.98597040000000002</v>
      </c>
      <c r="S4607">
        <v>-1.570908</v>
      </c>
      <c r="T4607">
        <v>-0.26026700000000003</v>
      </c>
      <c r="U4607">
        <v>-2.787277</v>
      </c>
      <c r="V4607">
        <v>0.1245711</v>
      </c>
      <c r="W4607">
        <v>-5.7347889999999999E-2</v>
      </c>
      <c r="X4607">
        <v>0.99055199999999999</v>
      </c>
      <c r="Y4607">
        <v>0.46364159999999999</v>
      </c>
      <c r="Z4607">
        <v>7.3792060000000007E-2</v>
      </c>
      <c r="AA4607">
        <v>0.88294459999999997</v>
      </c>
      <c r="AB4607">
        <v>19</v>
      </c>
      <c r="AC4607">
        <v>-6.75980000000001</v>
      </c>
      <c r="AD4607">
        <v>-1.1204873585899999</v>
      </c>
      <c r="AE4607">
        <v>-11.8904</v>
      </c>
      <c r="AF4607">
        <v>6.3641079968921304</v>
      </c>
      <c r="AG4607">
        <v>-1.1204873585899999</v>
      </c>
      <c r="AH4607">
        <v>12.003695543920101</v>
      </c>
      <c r="AI4607">
        <v>94.714581006080905</v>
      </c>
      <c r="AJ4607">
        <v>62.068401453678703</v>
      </c>
      <c r="AK4607">
        <v>13.632537153002501</v>
      </c>
      <c r="AL4607">
        <v>93.287595766309195</v>
      </c>
      <c r="AM4607">
        <v>82.832153767327796</v>
      </c>
      <c r="AN4607">
        <v>1.00000000207333</v>
      </c>
    </row>
    <row r="4608" spans="1:40" x14ac:dyDescent="0.25">
      <c r="A4608" t="str">
        <f>"20190303154900367"</f>
        <v>20190303154900367</v>
      </c>
      <c r="B4608" t="str">
        <f>"1551599340365697"</f>
        <v>1551599340365697</v>
      </c>
      <c r="C4608" t="s">
        <v>40</v>
      </c>
      <c r="D4608">
        <v>5.1838419999999896</v>
      </c>
      <c r="E4608">
        <v>0.64109099999999997</v>
      </c>
      <c r="F4608" t="s">
        <v>59</v>
      </c>
      <c r="G4608">
        <v>-199.07689999999999</v>
      </c>
      <c r="H4608" s="1">
        <v>-1.136918E-5</v>
      </c>
      <c r="I4608">
        <v>146.37020000000001</v>
      </c>
      <c r="J4608">
        <v>-192.33510000000001</v>
      </c>
      <c r="K4608">
        <v>1.120463</v>
      </c>
      <c r="L4608">
        <v>158.1096</v>
      </c>
      <c r="M4608">
        <v>-2.945124E-2</v>
      </c>
      <c r="N4608">
        <v>-7.8846160000000005E-3</v>
      </c>
      <c r="O4608">
        <v>-0.99953530000000002</v>
      </c>
      <c r="P4608">
        <v>-0.1596909</v>
      </c>
      <c r="Q4608">
        <v>-6.4697669999999999E-2</v>
      </c>
      <c r="R4608">
        <v>-0.98504499999999995</v>
      </c>
      <c r="S4608">
        <v>-1.581985</v>
      </c>
      <c r="T4608">
        <v>-0.2627988</v>
      </c>
      <c r="U4608">
        <v>-2.7787630000000001</v>
      </c>
      <c r="V4608">
        <v>0.13060630000000001</v>
      </c>
      <c r="W4608">
        <v>-5.6903629999999997E-2</v>
      </c>
      <c r="X4608">
        <v>0.98980000000000001</v>
      </c>
      <c r="Y4608">
        <v>0.46741129999999997</v>
      </c>
      <c r="Z4608">
        <v>7.4678209999999995E-2</v>
      </c>
      <c r="AA4608">
        <v>0.8808802</v>
      </c>
      <c r="AB4608">
        <v>19</v>
      </c>
      <c r="AC4608">
        <v>-6.74179999999998</v>
      </c>
      <c r="AD4608">
        <v>-1.1204743691799901</v>
      </c>
      <c r="AE4608">
        <v>-11.7393999999999</v>
      </c>
      <c r="AF4608">
        <v>6.3496265445306399</v>
      </c>
      <c r="AG4608">
        <v>-1.1204743691799901</v>
      </c>
      <c r="AH4608">
        <v>11.851677719276401</v>
      </c>
      <c r="AI4608">
        <v>94.7637285468127</v>
      </c>
      <c r="AJ4608">
        <v>61.819481104548302</v>
      </c>
      <c r="AK4608">
        <v>13.492052654381</v>
      </c>
      <c r="AL4608">
        <v>93.262099802747898</v>
      </c>
      <c r="AM4608">
        <v>82.483120819436294</v>
      </c>
      <c r="AN4608">
        <v>1.0000000343534301</v>
      </c>
    </row>
    <row r="4609" spans="1:40" x14ac:dyDescent="0.25">
      <c r="A4609" t="str">
        <f>"20190303154900385"</f>
        <v>20190303154900385</v>
      </c>
      <c r="B4609" t="str">
        <f>"1551599340375457"</f>
        <v>1551599340375457</v>
      </c>
      <c r="C4609" t="s">
        <v>40</v>
      </c>
      <c r="D4609">
        <v>5.1723670000000004</v>
      </c>
      <c r="E4609">
        <v>0.64048809999999901</v>
      </c>
      <c r="F4609" t="s">
        <v>59</v>
      </c>
      <c r="G4609">
        <v>-198.89599999999999</v>
      </c>
      <c r="H4609" s="1">
        <v>-1.1430489999999999E-5</v>
      </c>
      <c r="I4609">
        <v>146.6636</v>
      </c>
      <c r="J4609">
        <v>-192.33940000000001</v>
      </c>
      <c r="K4609">
        <v>1.1204289999999999</v>
      </c>
      <c r="L4609">
        <v>157.9648</v>
      </c>
      <c r="M4609">
        <v>-2.9493450000000001E-2</v>
      </c>
      <c r="N4609">
        <v>-7.8351400000000009E-3</v>
      </c>
      <c r="O4609">
        <v>-0.99953440000000005</v>
      </c>
      <c r="P4609">
        <v>-0.1720496</v>
      </c>
      <c r="Q4609">
        <v>-6.6075229999999999E-2</v>
      </c>
      <c r="R4609">
        <v>-0.98286980000000002</v>
      </c>
      <c r="S4609">
        <v>-1.587952</v>
      </c>
      <c r="T4609">
        <v>-0.27118829999999999</v>
      </c>
      <c r="U4609">
        <v>-2.7702789999999999</v>
      </c>
      <c r="V4609">
        <v>0.14297939999999901</v>
      </c>
      <c r="W4609">
        <v>-5.8351109999999998E-2</v>
      </c>
      <c r="X4609">
        <v>0.98800410000000005</v>
      </c>
      <c r="Y4609">
        <v>0.4698503</v>
      </c>
      <c r="Z4609">
        <v>7.7464969999999994E-2</v>
      </c>
      <c r="AA4609">
        <v>0.87934059999999903</v>
      </c>
      <c r="AB4609">
        <v>19</v>
      </c>
      <c r="AC4609">
        <v>-6.5565999999999702</v>
      </c>
      <c r="AD4609">
        <v>-1.12044043049</v>
      </c>
      <c r="AE4609">
        <v>-11.3011999999999</v>
      </c>
      <c r="AF4609">
        <v>6.1750144085383303</v>
      </c>
      <c r="AG4609">
        <v>-1.12044043049</v>
      </c>
      <c r="AH4609">
        <v>11.405786955936801</v>
      </c>
      <c r="AI4609">
        <v>94.937329958375102</v>
      </c>
      <c r="AJ4609">
        <v>61.569191155763797</v>
      </c>
      <c r="AK4609">
        <v>13.0183780014313</v>
      </c>
      <c r="AL4609">
        <v>93.345172365686494</v>
      </c>
      <c r="AM4609">
        <v>81.765584497938903</v>
      </c>
      <c r="AN4609">
        <v>1.0000000312396999</v>
      </c>
    </row>
    <row r="4610" spans="1:40" x14ac:dyDescent="0.25">
      <c r="A4610" t="str">
        <f>"20190303154900396"</f>
        <v>20190303154900396</v>
      </c>
      <c r="B4610" t="str">
        <f>"1551599340385218"</f>
        <v>1551599340385218</v>
      </c>
      <c r="C4610" t="s">
        <v>40</v>
      </c>
      <c r="D4610">
        <v>5.2042809999999999</v>
      </c>
      <c r="E4610">
        <v>0.63986860000000001</v>
      </c>
      <c r="F4610" t="s">
        <v>59</v>
      </c>
      <c r="G4610">
        <v>-198.9101</v>
      </c>
      <c r="H4610" s="1">
        <v>-1.147138E-5</v>
      </c>
      <c r="I4610">
        <v>146.79429999999999</v>
      </c>
      <c r="J4610">
        <v>-192.34280000000001</v>
      </c>
      <c r="K4610">
        <v>1.1203860000000001</v>
      </c>
      <c r="L4610">
        <v>157.85210000000001</v>
      </c>
      <c r="M4610">
        <v>-2.9561009999999999E-2</v>
      </c>
      <c r="N4610">
        <v>-7.8011759999999999E-3</v>
      </c>
      <c r="O4610">
        <v>-0.99953270000000005</v>
      </c>
      <c r="P4610">
        <v>-0.17836560000000001</v>
      </c>
      <c r="Q4610">
        <v>-6.7218410000000006E-2</v>
      </c>
      <c r="R4610">
        <v>-0.98166589999999998</v>
      </c>
      <c r="S4610">
        <v>-1.6179049999999999</v>
      </c>
      <c r="T4610">
        <v>-0.2758873</v>
      </c>
      <c r="U4610">
        <v>-2.7505190000000002</v>
      </c>
      <c r="V4610">
        <v>0.14925769999999999</v>
      </c>
      <c r="W4610">
        <v>-5.9545840000000003E-2</v>
      </c>
      <c r="X4610">
        <v>0.98700370000000004</v>
      </c>
      <c r="Y4610">
        <v>0.47956260000000001</v>
      </c>
      <c r="Z4610">
        <v>7.9038339999999999E-2</v>
      </c>
      <c r="AA4610">
        <v>0.87394090000000002</v>
      </c>
      <c r="AB4610">
        <v>19</v>
      </c>
      <c r="AC4610">
        <v>-6.5672999999999799</v>
      </c>
      <c r="AD4610">
        <v>-1.12039747138</v>
      </c>
      <c r="AE4610">
        <v>-11.0578</v>
      </c>
      <c r="AF4610">
        <v>6.1905586171036502</v>
      </c>
      <c r="AG4610">
        <v>-1.12039747138</v>
      </c>
      <c r="AH4610">
        <v>11.1623952046052</v>
      </c>
      <c r="AI4610">
        <v>95.016410761065401</v>
      </c>
      <c r="AJ4610">
        <v>60.987664778748297</v>
      </c>
      <c r="AK4610">
        <v>12.813171862948799</v>
      </c>
      <c r="AL4610">
        <v>93.413744925321893</v>
      </c>
      <c r="AM4610">
        <v>81.400713680097297</v>
      </c>
      <c r="AN4610">
        <v>0.99999993594213998</v>
      </c>
    </row>
    <row r="4611" spans="1:40" x14ac:dyDescent="0.25">
      <c r="A4611" t="str">
        <f>"20190303154900410"</f>
        <v>20190303154900410</v>
      </c>
      <c r="B4611" t="str">
        <f>"1551599340405713"</f>
        <v>1551599340405713</v>
      </c>
      <c r="C4611" t="s">
        <v>40</v>
      </c>
      <c r="D4611">
        <v>5.166614</v>
      </c>
      <c r="E4611">
        <v>0.63869609999999899</v>
      </c>
      <c r="F4611" t="s">
        <v>59</v>
      </c>
      <c r="G4611">
        <v>-198.82550000000001</v>
      </c>
      <c r="H4611" s="1">
        <v>-1.1508340000000001E-5</v>
      </c>
      <c r="I4611">
        <v>146.95939999999999</v>
      </c>
      <c r="J4611">
        <v>-192.34610000000001</v>
      </c>
      <c r="K4611">
        <v>1.1203350000000001</v>
      </c>
      <c r="L4611">
        <v>157.74350000000001</v>
      </c>
      <c r="M4611">
        <v>-2.9672259999999999E-2</v>
      </c>
      <c r="N4611">
        <v>-7.7724109999999999E-3</v>
      </c>
      <c r="O4611">
        <v>-0.99952960000000002</v>
      </c>
      <c r="P4611">
        <v>-0.18453800000000001</v>
      </c>
      <c r="Q4611">
        <v>-6.8852419999999998E-2</v>
      </c>
      <c r="R4611">
        <v>-0.98041089999999997</v>
      </c>
      <c r="S4611">
        <v>-1.6309199999999999</v>
      </c>
      <c r="T4611">
        <v>-0.28186990000000001</v>
      </c>
      <c r="U4611">
        <v>-2.740402</v>
      </c>
      <c r="V4611">
        <v>0.15534870000000001</v>
      </c>
      <c r="W4611">
        <v>-6.1231929999999997E-2</v>
      </c>
      <c r="X4611">
        <v>0.98596019999999895</v>
      </c>
      <c r="Y4611">
        <v>0.48385459999999902</v>
      </c>
      <c r="Z4611">
        <v>8.1002179999999993E-2</v>
      </c>
      <c r="AA4611">
        <v>0.87139169999999999</v>
      </c>
      <c r="AB4611">
        <v>19</v>
      </c>
      <c r="AC4611">
        <v>-6.4793999999999903</v>
      </c>
      <c r="AD4611">
        <v>-1.1203465083399999</v>
      </c>
      <c r="AE4611">
        <v>-10.7841</v>
      </c>
      <c r="AF4611">
        <v>6.1081104862295197</v>
      </c>
      <c r="AG4611">
        <v>-1.1203465083399999</v>
      </c>
      <c r="AH4611">
        <v>10.8852937191687</v>
      </c>
      <c r="AI4611">
        <v>95.128979272779404</v>
      </c>
      <c r="AJ4611">
        <v>60.701727148149097</v>
      </c>
      <c r="AK4611">
        <v>12.5321111295468</v>
      </c>
      <c r="AL4611">
        <v>93.510527046770605</v>
      </c>
      <c r="AM4611">
        <v>81.046040860763995</v>
      </c>
      <c r="AN4611">
        <v>1.0000000419136199</v>
      </c>
    </row>
    <row r="4612" spans="1:40" x14ac:dyDescent="0.25">
      <c r="A4612" t="str">
        <f>"20190303154900423"</f>
        <v>20190303154900423</v>
      </c>
      <c r="B4612" t="str">
        <f>"1551599340415473"</f>
        <v>1551599340415473</v>
      </c>
      <c r="C4612" t="s">
        <v>40</v>
      </c>
      <c r="D4612">
        <v>5.1851649999999996</v>
      </c>
      <c r="E4612">
        <v>0.63803480000000001</v>
      </c>
      <c r="F4612" t="s">
        <v>59</v>
      </c>
      <c r="G4612">
        <v>-198.62260000000001</v>
      </c>
      <c r="H4612" s="1">
        <v>-1.157607E-5</v>
      </c>
      <c r="I4612">
        <v>147.285</v>
      </c>
      <c r="J4612">
        <v>-192.34950000000001</v>
      </c>
      <c r="K4612">
        <v>1.1202719999999999</v>
      </c>
      <c r="L4612">
        <v>157.63249999999999</v>
      </c>
      <c r="M4612">
        <v>-2.981762E-2</v>
      </c>
      <c r="N4612">
        <v>-7.7451239999999999E-3</v>
      </c>
      <c r="O4612">
        <v>-0.99952560000000001</v>
      </c>
      <c r="P4612">
        <v>-0.19050719999999999</v>
      </c>
      <c r="Q4612">
        <v>-6.9989960000000004E-2</v>
      </c>
      <c r="R4612">
        <v>-0.97918799999999995</v>
      </c>
      <c r="S4612">
        <v>-1.6389009999999999</v>
      </c>
      <c r="T4612">
        <v>-0.29254360000000001</v>
      </c>
      <c r="U4612">
        <v>-2.7309109999999999</v>
      </c>
      <c r="V4612">
        <v>0.16120079999999901</v>
      </c>
      <c r="W4612">
        <v>-6.2424540000000001E-2</v>
      </c>
      <c r="X4612">
        <v>0.98494539999999997</v>
      </c>
      <c r="Y4612">
        <v>0.48677379999999998</v>
      </c>
      <c r="Z4612">
        <v>8.4487209999999993E-2</v>
      </c>
      <c r="AA4612">
        <v>0.86943269999999995</v>
      </c>
      <c r="AB4612">
        <v>19</v>
      </c>
      <c r="AC4612">
        <v>-6.2731000000000003</v>
      </c>
      <c r="AD4612">
        <v>-1.1202835760699901</v>
      </c>
      <c r="AE4612">
        <v>-10.347499999999901</v>
      </c>
      <c r="AF4612">
        <v>5.9110975940538601</v>
      </c>
      <c r="AG4612">
        <v>-1.1202835760699901</v>
      </c>
      <c r="AH4612">
        <v>10.4404646234953</v>
      </c>
      <c r="AI4612">
        <v>95.334525617188405</v>
      </c>
      <c r="AJ4612">
        <v>60.482680431630897</v>
      </c>
      <c r="AK4612">
        <v>12.049871850426401</v>
      </c>
      <c r="AL4612">
        <v>93.578989767885105</v>
      </c>
      <c r="AM4612">
        <v>80.705109820150199</v>
      </c>
      <c r="AN4612">
        <v>0.99999998104800503</v>
      </c>
    </row>
    <row r="4613" spans="1:40" x14ac:dyDescent="0.25">
      <c r="A4613" t="str">
        <f>"20190303154900434"</f>
        <v>20190303154900434</v>
      </c>
      <c r="B4613" t="str">
        <f>"1551599340425233"</f>
        <v>1551599340425233</v>
      </c>
      <c r="C4613" t="s">
        <v>40</v>
      </c>
      <c r="D4613">
        <v>5.2030279999999998</v>
      </c>
      <c r="E4613">
        <v>0.63803480000000001</v>
      </c>
      <c r="F4613" t="s">
        <v>59</v>
      </c>
      <c r="G4613">
        <v>-198.57339999999999</v>
      </c>
      <c r="H4613" s="1">
        <v>-1.159469E-5</v>
      </c>
      <c r="I4613">
        <v>147.37129999999999</v>
      </c>
      <c r="J4613">
        <v>-192.35290000000001</v>
      </c>
      <c r="K4613">
        <v>1.1201939999999999</v>
      </c>
      <c r="L4613">
        <v>157.52690000000001</v>
      </c>
      <c r="M4613">
        <v>-3.0026899999999999E-2</v>
      </c>
      <c r="N4613">
        <v>-7.7227889999999999E-3</v>
      </c>
      <c r="O4613">
        <v>-0.99951939999999995</v>
      </c>
      <c r="P4613">
        <v>-0.19660230000000001</v>
      </c>
      <c r="Q4613">
        <v>-7.1224910000000002E-2</v>
      </c>
      <c r="R4613">
        <v>-0.97789320000000002</v>
      </c>
      <c r="S4613">
        <v>-1.6506350000000001</v>
      </c>
      <c r="T4613">
        <v>-0.29710959999999997</v>
      </c>
      <c r="U4613">
        <v>-2.7213750000000001</v>
      </c>
      <c r="V4613">
        <v>0.1671155</v>
      </c>
      <c r="W4613">
        <v>-6.37181E-2</v>
      </c>
      <c r="X4613">
        <v>0.98387619999999998</v>
      </c>
      <c r="Y4613">
        <v>0.49060429999999999</v>
      </c>
      <c r="Z4613">
        <v>8.6009580000000002E-2</v>
      </c>
      <c r="AA4613">
        <v>0.86712739999999999</v>
      </c>
      <c r="AB4613">
        <v>19</v>
      </c>
      <c r="AC4613">
        <v>-6.2204999999999799</v>
      </c>
      <c r="AD4613">
        <v>-1.12020559469</v>
      </c>
      <c r="AE4613">
        <v>-10.1556</v>
      </c>
      <c r="AF4613">
        <v>5.8608899859933601</v>
      </c>
      <c r="AG4613">
        <v>-1.12020559469</v>
      </c>
      <c r="AH4613">
        <v>10.247145840444199</v>
      </c>
      <c r="AI4613">
        <v>95.420783712191096</v>
      </c>
      <c r="AJ4613">
        <v>60.232454979216001</v>
      </c>
      <c r="AK4613">
        <v>11.8578619437749</v>
      </c>
      <c r="AL4613">
        <v>93.653253157218998</v>
      </c>
      <c r="AM4613">
        <v>80.360074237110098</v>
      </c>
      <c r="AN4613">
        <v>0.99999998176714899</v>
      </c>
    </row>
    <row r="4614" spans="1:40" x14ac:dyDescent="0.25">
      <c r="A4614" t="str">
        <f>"20190303154900452"</f>
        <v>20190303154900452</v>
      </c>
      <c r="B4614" t="str">
        <f>"1551599340445729"</f>
        <v>1551599340445729</v>
      </c>
      <c r="C4614" t="s">
        <v>40</v>
      </c>
      <c r="D4614">
        <v>5.2085559999999997</v>
      </c>
      <c r="E4614">
        <v>0.63703799999999999</v>
      </c>
      <c r="F4614" t="s">
        <v>59</v>
      </c>
      <c r="G4614">
        <v>-198.59989999999999</v>
      </c>
      <c r="H4614" s="1">
        <v>-1.159883E-5</v>
      </c>
      <c r="I4614">
        <v>147.3724</v>
      </c>
      <c r="J4614">
        <v>-192.3578</v>
      </c>
      <c r="K4614">
        <v>1.120066</v>
      </c>
      <c r="L4614">
        <v>157.37799999999999</v>
      </c>
      <c r="M4614">
        <v>-3.0418750000000001E-2</v>
      </c>
      <c r="N4614">
        <v>-7.6953069999999898E-3</v>
      </c>
      <c r="O4614">
        <v>-0.9995077</v>
      </c>
      <c r="P4614">
        <v>-0.20859159999999999</v>
      </c>
      <c r="Q4614">
        <v>-7.2730139999999999E-2</v>
      </c>
      <c r="R4614">
        <v>-0.97529480000000002</v>
      </c>
      <c r="S4614">
        <v>-1.667664</v>
      </c>
      <c r="T4614">
        <v>-0.29904120000000001</v>
      </c>
      <c r="U4614">
        <v>-2.7107700000000001</v>
      </c>
      <c r="V4614">
        <v>0.17877509999999999</v>
      </c>
      <c r="W4614">
        <v>-6.5319550000000004E-2</v>
      </c>
      <c r="X4614">
        <v>0.98171929999999996</v>
      </c>
      <c r="Y4614">
        <v>0.49568800000000002</v>
      </c>
      <c r="Z4614">
        <v>8.6664829999999998E-2</v>
      </c>
      <c r="AA4614">
        <v>0.86416589999999904</v>
      </c>
      <c r="AB4614">
        <v>19</v>
      </c>
      <c r="AC4614">
        <v>-6.24209999999999</v>
      </c>
      <c r="AD4614">
        <v>-1.12007759882999</v>
      </c>
      <c r="AE4614">
        <v>-10.0055999999999</v>
      </c>
      <c r="AF4614">
        <v>5.8817860691980401</v>
      </c>
      <c r="AG4614">
        <v>-1.12007759882999</v>
      </c>
      <c r="AH4614">
        <v>10.099744386951899</v>
      </c>
      <c r="AI4614">
        <v>95.474200609007397</v>
      </c>
      <c r="AJ4614">
        <v>59.7847705822969</v>
      </c>
      <c r="AK4614">
        <v>11.7411591366858</v>
      </c>
      <c r="AL4614">
        <v>93.745201068509999</v>
      </c>
      <c r="AM4614">
        <v>79.679297186561001</v>
      </c>
      <c r="AN4614">
        <v>0.99999998199235096</v>
      </c>
    </row>
    <row r="4615" spans="1:40" x14ac:dyDescent="0.25">
      <c r="A4615" t="str">
        <f>"20190303154900466"</f>
        <v>20190303154900466</v>
      </c>
      <c r="B4615" t="str">
        <f>"1551599340455489"</f>
        <v>1551599340455489</v>
      </c>
      <c r="C4615" t="s">
        <v>40</v>
      </c>
      <c r="D4615">
        <v>5.2053909999999997</v>
      </c>
      <c r="E4615">
        <v>0.63635140000000001</v>
      </c>
      <c r="F4615" t="s">
        <v>59</v>
      </c>
      <c r="G4615">
        <v>-198.62620000000001</v>
      </c>
      <c r="H4615" s="1">
        <v>-1.1614969999999999E-5</v>
      </c>
      <c r="I4615">
        <v>147.41399999999999</v>
      </c>
      <c r="J4615">
        <v>-192.36179999999999</v>
      </c>
      <c r="K4615">
        <v>1.119961</v>
      </c>
      <c r="L4615">
        <v>157.25989999999999</v>
      </c>
      <c r="M4615">
        <v>-3.081656E-2</v>
      </c>
      <c r="N4615">
        <v>-7.676652E-3</v>
      </c>
      <c r="O4615">
        <v>-0.99949589999999999</v>
      </c>
      <c r="P4615">
        <v>-0.21505070000000001</v>
      </c>
      <c r="Q4615">
        <v>-7.3632690000000001E-2</v>
      </c>
      <c r="R4615">
        <v>-0.97382340000000001</v>
      </c>
      <c r="S4615">
        <v>-1.69313</v>
      </c>
      <c r="T4615">
        <v>-0.30253829999999998</v>
      </c>
      <c r="U4615">
        <v>-2.6913149999999999</v>
      </c>
      <c r="V4615">
        <v>0.1848697</v>
      </c>
      <c r="W4615">
        <v>-6.6297819999999993E-2</v>
      </c>
      <c r="X4615">
        <v>0.98052419999999996</v>
      </c>
      <c r="Y4615">
        <v>0.50392380000000003</v>
      </c>
      <c r="Z4615">
        <v>8.7893840000000001E-2</v>
      </c>
      <c r="AA4615">
        <v>0.85926449999999999</v>
      </c>
      <c r="AB4615">
        <v>19</v>
      </c>
      <c r="AC4615">
        <v>-6.2644000000000197</v>
      </c>
      <c r="AD4615">
        <v>-1.11997261497</v>
      </c>
      <c r="AE4615">
        <v>-9.8459000000000003</v>
      </c>
      <c r="AF4615">
        <v>5.9036231527830196</v>
      </c>
      <c r="AG4615">
        <v>-1.11997261497</v>
      </c>
      <c r="AH4615">
        <v>9.9426982910419692</v>
      </c>
      <c r="AI4615">
        <v>95.532169921475202</v>
      </c>
      <c r="AJ4615">
        <v>59.299655227784903</v>
      </c>
      <c r="AK4615">
        <v>11.617415990445</v>
      </c>
      <c r="AL4615">
        <v>93.801373677200004</v>
      </c>
      <c r="AM4615">
        <v>79.322697620255298</v>
      </c>
      <c r="AN4615">
        <v>0.99999995685024001</v>
      </c>
    </row>
    <row r="4616" spans="1:40" x14ac:dyDescent="0.25">
      <c r="A4616" t="str">
        <f>"20190303154900479"</f>
        <v>20190303154900479</v>
      </c>
      <c r="B4616" t="str">
        <f>"1551599340475009"</f>
        <v>1551599340475009</v>
      </c>
      <c r="C4616" t="s">
        <v>40</v>
      </c>
      <c r="D4616">
        <v>5.2418719999999999</v>
      </c>
      <c r="E4616">
        <v>0.63514099999999996</v>
      </c>
      <c r="F4616" t="s">
        <v>59</v>
      </c>
      <c r="G4616">
        <v>-198.61</v>
      </c>
      <c r="H4616" s="1">
        <v>-1.1619979999999999E-5</v>
      </c>
      <c r="I4616">
        <v>147.43860000000001</v>
      </c>
      <c r="J4616">
        <v>-192.36619999999999</v>
      </c>
      <c r="K4616">
        <v>1.1198380000000001</v>
      </c>
      <c r="L4616">
        <v>157.13329999999999</v>
      </c>
      <c r="M4616">
        <v>-3.1333680000000003E-2</v>
      </c>
      <c r="N4616">
        <v>-7.6594710000000002E-3</v>
      </c>
      <c r="O4616">
        <v>-0.99947980000000003</v>
      </c>
      <c r="P4616">
        <v>-0.22195770000000001</v>
      </c>
      <c r="Q4616">
        <v>-7.4279440000000002E-2</v>
      </c>
      <c r="R4616">
        <v>-0.9722229</v>
      </c>
      <c r="S4616">
        <v>-1.7055659999999999</v>
      </c>
      <c r="T4616">
        <v>-0.30571589999999998</v>
      </c>
      <c r="U4616">
        <v>-2.6808930000000002</v>
      </c>
      <c r="V4616">
        <v>0.19129699999999999</v>
      </c>
      <c r="W4616">
        <v>-6.7031069999999998E-2</v>
      </c>
      <c r="X4616">
        <v>0.97924069999999996</v>
      </c>
      <c r="Y4616">
        <v>0.50776489999999996</v>
      </c>
      <c r="Z4616">
        <v>8.899108E-2</v>
      </c>
      <c r="AA4616">
        <v>0.85688699999999995</v>
      </c>
      <c r="AB4616">
        <v>20</v>
      </c>
      <c r="AC4616">
        <v>-6.2438000000000198</v>
      </c>
      <c r="AD4616">
        <v>-1.1198496199800001</v>
      </c>
      <c r="AE4616">
        <v>-9.6946999999999797</v>
      </c>
      <c r="AF4616">
        <v>5.8814861209395799</v>
      </c>
      <c r="AG4616">
        <v>-1.1198496199800001</v>
      </c>
      <c r="AH4616">
        <v>9.7932263067413601</v>
      </c>
      <c r="AI4616">
        <v>95.598775933295698</v>
      </c>
      <c r="AJ4616">
        <v>59.012372574346301</v>
      </c>
      <c r="AK4616">
        <v>11.4783807071043</v>
      </c>
      <c r="AL4616">
        <v>93.843479204572901</v>
      </c>
      <c r="AM4616">
        <v>78.946342070837503</v>
      </c>
      <c r="AN4616">
        <v>1.00000002754541</v>
      </c>
    </row>
    <row r="4617" spans="1:40" x14ac:dyDescent="0.25">
      <c r="A4617" t="str">
        <f>"20190303154900494"</f>
        <v>20190303154900494</v>
      </c>
      <c r="B4617" t="str">
        <f>"1551599340485746"</f>
        <v>1551599340485746</v>
      </c>
      <c r="C4617" t="s">
        <v>40</v>
      </c>
      <c r="D4617">
        <v>5.2503190000000002</v>
      </c>
      <c r="E4617">
        <v>0.63442049999999905</v>
      </c>
      <c r="F4617" t="s">
        <v>59</v>
      </c>
      <c r="G4617">
        <v>-198.59200000000001</v>
      </c>
      <c r="H4617" s="1">
        <v>-1.161771E-5</v>
      </c>
      <c r="I4617">
        <v>147.43969999999999</v>
      </c>
      <c r="J4617">
        <v>-192.3706</v>
      </c>
      <c r="K4617">
        <v>1.119712</v>
      </c>
      <c r="L4617">
        <v>157.0128</v>
      </c>
      <c r="M4617">
        <v>-3.1978340000000001E-2</v>
      </c>
      <c r="N4617">
        <v>-7.6471530000000003E-3</v>
      </c>
      <c r="O4617">
        <v>-0.9994596</v>
      </c>
      <c r="P4617">
        <v>-0.2291522</v>
      </c>
      <c r="Q4617">
        <v>-7.4795500000000001E-2</v>
      </c>
      <c r="R4617">
        <v>-0.97051319999999996</v>
      </c>
      <c r="S4617">
        <v>-1.7152099999999999</v>
      </c>
      <c r="T4617">
        <v>-0.30851499999999998</v>
      </c>
      <c r="U4617">
        <v>-2.670563</v>
      </c>
      <c r="V4617">
        <v>0.19789090000000001</v>
      </c>
      <c r="W4617">
        <v>-6.7635390000000004E-2</v>
      </c>
      <c r="X4617">
        <v>0.97788790000000003</v>
      </c>
      <c r="Y4617">
        <v>0.51084859999999999</v>
      </c>
      <c r="Z4617">
        <v>9.0009569999999997E-2</v>
      </c>
      <c r="AA4617">
        <v>0.85494559999999997</v>
      </c>
      <c r="AB4617">
        <v>20</v>
      </c>
      <c r="AC4617">
        <v>-6.2214000000000098</v>
      </c>
      <c r="AD4617">
        <v>-1.1197236177100001</v>
      </c>
      <c r="AE4617">
        <v>-9.5731000000000002</v>
      </c>
      <c r="AF4617">
        <v>5.8557532840337903</v>
      </c>
      <c r="AG4617">
        <v>-1.1197236177100001</v>
      </c>
      <c r="AH4617">
        <v>9.6741084008843004</v>
      </c>
      <c r="AI4617">
        <v>95.654859626651898</v>
      </c>
      <c r="AJ4617">
        <v>58.813413392238303</v>
      </c>
      <c r="AK4617">
        <v>11.363626219459601</v>
      </c>
      <c r="AL4617">
        <v>93.878182862526899</v>
      </c>
      <c r="AM4617">
        <v>78.559799552546806</v>
      </c>
      <c r="AN4617">
        <v>1.00000004962483</v>
      </c>
    </row>
    <row r="4618" spans="1:40" x14ac:dyDescent="0.25">
      <c r="A4618" t="str">
        <f>"20190303154900510"</f>
        <v>20190303154900510</v>
      </c>
      <c r="B4618" t="str">
        <f>"1551599340505265"</f>
        <v>1551599340505265</v>
      </c>
      <c r="C4618" t="s">
        <v>40</v>
      </c>
      <c r="D4618">
        <v>5.2863259999999999</v>
      </c>
      <c r="E4618">
        <v>0.63335399999999997</v>
      </c>
      <c r="F4618" t="s">
        <v>59</v>
      </c>
      <c r="G4618">
        <v>-198.56610000000001</v>
      </c>
      <c r="H4618" s="1">
        <v>-1.162779E-5</v>
      </c>
      <c r="I4618">
        <v>147.48609999999999</v>
      </c>
      <c r="J4618">
        <v>-192.3759</v>
      </c>
      <c r="K4618">
        <v>1.1195660000000001</v>
      </c>
      <c r="L4618">
        <v>156.87860000000001</v>
      </c>
      <c r="M4618">
        <v>-3.2816610000000003E-2</v>
      </c>
      <c r="N4618">
        <v>-7.6360339999999999E-3</v>
      </c>
      <c r="O4618">
        <v>-0.99943230000000005</v>
      </c>
      <c r="P4618">
        <v>-0.24270220000000001</v>
      </c>
      <c r="Q4618">
        <v>-7.5143459999999995E-2</v>
      </c>
      <c r="R4618">
        <v>-0.96718630000000005</v>
      </c>
      <c r="S4618">
        <v>-1.729095</v>
      </c>
      <c r="T4618">
        <v>-0.31250549999999999</v>
      </c>
      <c r="U4618">
        <v>-2.6588129999999999</v>
      </c>
      <c r="V4618">
        <v>0.21069930000000001</v>
      </c>
      <c r="W4618">
        <v>-6.8107009999999996E-2</v>
      </c>
      <c r="X4618">
        <v>0.97517549999999997</v>
      </c>
      <c r="Y4618">
        <v>0.5149127</v>
      </c>
      <c r="Z4618">
        <v>9.1374140000000006E-2</v>
      </c>
      <c r="AA4618">
        <v>0.85235890000000003</v>
      </c>
      <c r="AB4618">
        <v>20</v>
      </c>
      <c r="AC4618">
        <v>-6.1901999999999999</v>
      </c>
      <c r="AD4618">
        <v>-1.11957762779</v>
      </c>
      <c r="AE4618">
        <v>-9.3925000000000107</v>
      </c>
      <c r="AF4618">
        <v>5.8209655219468504</v>
      </c>
      <c r="AG4618">
        <v>-1.11957762779</v>
      </c>
      <c r="AH4618">
        <v>9.4965176732906809</v>
      </c>
      <c r="AI4618">
        <v>95.739732525234402</v>
      </c>
      <c r="AJ4618">
        <v>58.4934561951953</v>
      </c>
      <c r="AK4618">
        <v>11.1946836307</v>
      </c>
      <c r="AL4618">
        <v>93.9052673143878</v>
      </c>
      <c r="AM4618">
        <v>77.807920585814401</v>
      </c>
      <c r="AN4618">
        <v>1.0000000078159399</v>
      </c>
    </row>
    <row r="4619" spans="1:40" x14ac:dyDescent="0.25">
      <c r="A4619" t="str">
        <f>"20190303154900532"</f>
        <v>20190303154900532</v>
      </c>
      <c r="B4619" t="str">
        <f>"1551599340524785"</f>
        <v>1551599340524785</v>
      </c>
      <c r="C4619" t="s">
        <v>40</v>
      </c>
      <c r="D4619">
        <v>5.3050759999999997</v>
      </c>
      <c r="E4619">
        <v>0.61323570000000005</v>
      </c>
      <c r="F4619" t="s">
        <v>59</v>
      </c>
      <c r="G4619">
        <v>-198.57490000000001</v>
      </c>
      <c r="H4619" s="1">
        <v>-1.165758E-5</v>
      </c>
      <c r="I4619">
        <v>147.58199999999999</v>
      </c>
      <c r="J4619">
        <v>-192.3844</v>
      </c>
      <c r="K4619">
        <v>1.119335</v>
      </c>
      <c r="L4619">
        <v>156.67089999999999</v>
      </c>
      <c r="M4619">
        <v>-3.4420109999999997E-2</v>
      </c>
      <c r="N4619">
        <v>-7.6248899999999996E-3</v>
      </c>
      <c r="O4619">
        <v>-0.9993784</v>
      </c>
      <c r="P4619">
        <v>-0.25568400000000002</v>
      </c>
      <c r="Q4619">
        <v>-7.3736549999999998E-2</v>
      </c>
      <c r="R4619">
        <v>-0.96394460000000004</v>
      </c>
      <c r="S4619">
        <v>-1.757736</v>
      </c>
      <c r="T4619">
        <v>-0.31745479999999998</v>
      </c>
      <c r="U4619">
        <v>-2.636047</v>
      </c>
      <c r="V4619">
        <v>0.22218679999999999</v>
      </c>
      <c r="W4619">
        <v>-6.6874539999999996E-2</v>
      </c>
      <c r="X4619">
        <v>0.97270800000000002</v>
      </c>
      <c r="Y4619">
        <v>0.52321879999999998</v>
      </c>
      <c r="Z4619">
        <v>9.3102270000000001E-2</v>
      </c>
      <c r="AA4619">
        <v>0.84709749999999995</v>
      </c>
      <c r="AB4619">
        <v>20</v>
      </c>
      <c r="AC4619">
        <v>-6.1905000000000099</v>
      </c>
      <c r="AD4619">
        <v>-1.11934665758</v>
      </c>
      <c r="AE4619">
        <v>-9.08889999999999</v>
      </c>
      <c r="AF4619">
        <v>5.81374647202676</v>
      </c>
      <c r="AG4619">
        <v>-1.11934665758</v>
      </c>
      <c r="AH4619">
        <v>9.2012653888658402</v>
      </c>
      <c r="AI4619">
        <v>95.871808040973406</v>
      </c>
      <c r="AJ4619">
        <v>57.7135804316517</v>
      </c>
      <c r="AK4619">
        <v>10.941474751475599</v>
      </c>
      <c r="AL4619">
        <v>93.834490572519201</v>
      </c>
      <c r="AM4619">
        <v>77.133197198526105</v>
      </c>
      <c r="AN4619">
        <v>1.0000000157292199</v>
      </c>
    </row>
    <row r="4620" spans="1:40" x14ac:dyDescent="0.25">
      <c r="A4620" t="str">
        <f>"20190303154900553"</f>
        <v>20190303154900553</v>
      </c>
      <c r="B4620" t="str">
        <f>"1551599340545281"</f>
        <v>1551599340545281</v>
      </c>
      <c r="C4620" t="s">
        <v>40</v>
      </c>
      <c r="D4620">
        <v>5.2999769999999904</v>
      </c>
      <c r="E4620">
        <v>0.61117600000000005</v>
      </c>
      <c r="F4620" t="s">
        <v>59</v>
      </c>
      <c r="G4620">
        <v>-197.7868</v>
      </c>
      <c r="H4620" s="1">
        <v>-1.1628819999999999E-5</v>
      </c>
      <c r="I4620">
        <v>147.9196</v>
      </c>
      <c r="J4620">
        <v>-192.39259999999999</v>
      </c>
      <c r="K4620">
        <v>1.1191329999999999</v>
      </c>
      <c r="L4620">
        <v>156.4879</v>
      </c>
      <c r="M4620">
        <v>-3.6133329999999998E-2</v>
      </c>
      <c r="N4620">
        <v>-7.620061E-3</v>
      </c>
      <c r="O4620">
        <v>-0.99931780000000003</v>
      </c>
      <c r="P4620">
        <v>-0.26776670000000002</v>
      </c>
      <c r="Q4620">
        <v>-7.2992269999999998E-2</v>
      </c>
      <c r="R4620">
        <v>-0.96071510000000004</v>
      </c>
      <c r="S4620">
        <v>-1.6371610000000001</v>
      </c>
      <c r="T4620">
        <v>-0.33920850000000002</v>
      </c>
      <c r="U4620">
        <v>-2.6520079999999999</v>
      </c>
      <c r="V4620">
        <v>0.23268169999999999</v>
      </c>
      <c r="W4620">
        <v>-6.6289780000000006E-2</v>
      </c>
      <c r="X4620">
        <v>0.97029109999999996</v>
      </c>
      <c r="Y4620">
        <v>0.49129460000000003</v>
      </c>
      <c r="Z4620">
        <v>0.1016608</v>
      </c>
      <c r="AA4620">
        <v>0.86504029999999998</v>
      </c>
      <c r="AB4620">
        <v>20</v>
      </c>
      <c r="AC4620">
        <v>-5.3942000000000103</v>
      </c>
      <c r="AD4620">
        <v>-1.11914462882</v>
      </c>
      <c r="AE4620">
        <v>-8.56829999999999</v>
      </c>
      <c r="AF4620">
        <v>5.0197369101381799</v>
      </c>
      <c r="AG4620">
        <v>-1.11914462882</v>
      </c>
      <c r="AH4620">
        <v>8.6519131806020901</v>
      </c>
      <c r="AI4620">
        <v>96.383966108531297</v>
      </c>
      <c r="AJ4620">
        <v>59.878203843664799</v>
      </c>
      <c r="AK4620">
        <v>10.0650804781629</v>
      </c>
      <c r="AL4620">
        <v>93.800911977830793</v>
      </c>
      <c r="AM4620">
        <v>76.514773139902502</v>
      </c>
      <c r="AN4620">
        <v>0.99999996359327303</v>
      </c>
    </row>
    <row r="4621" spans="1:40" x14ac:dyDescent="0.25">
      <c r="A4621" t="str">
        <f>"20190303154900565"</f>
        <v>20190303154900565</v>
      </c>
      <c r="B4621" t="str">
        <f>"1551599340555041"</f>
        <v>1551599340555041</v>
      </c>
      <c r="C4621" t="s">
        <v>40</v>
      </c>
      <c r="D4621">
        <v>5.3747109999999996</v>
      </c>
      <c r="E4621">
        <v>0.61236659999999998</v>
      </c>
      <c r="F4621" t="s">
        <v>59</v>
      </c>
      <c r="G4621">
        <v>-197.63480000000001</v>
      </c>
      <c r="H4621" s="1">
        <v>-1.1659670000000001E-5</v>
      </c>
      <c r="I4621">
        <v>148.1388</v>
      </c>
      <c r="J4621">
        <v>-192.398</v>
      </c>
      <c r="K4621">
        <v>1.119011</v>
      </c>
      <c r="L4621">
        <v>156.37379999999999</v>
      </c>
      <c r="M4621">
        <v>-3.7333690000000003E-2</v>
      </c>
      <c r="N4621">
        <v>-7.6188519999999997E-3</v>
      </c>
      <c r="O4621">
        <v>-0.999274</v>
      </c>
      <c r="P4621">
        <v>-0.273918099999999</v>
      </c>
      <c r="Q4621">
        <v>-7.3355619999999996E-2</v>
      </c>
      <c r="R4621">
        <v>-0.95895140000000001</v>
      </c>
      <c r="S4621">
        <v>-1.6542969999999999</v>
      </c>
      <c r="T4621">
        <v>-0.35317419999999999</v>
      </c>
      <c r="U4621">
        <v>-2.6347499999999999</v>
      </c>
      <c r="V4621">
        <v>0.23770959999999999</v>
      </c>
      <c r="W4621">
        <v>-6.6746020000000003E-2</v>
      </c>
      <c r="X4621">
        <v>0.96904029999999997</v>
      </c>
      <c r="Y4621">
        <v>0.49654540000000003</v>
      </c>
      <c r="Z4621">
        <v>0.1063545</v>
      </c>
      <c r="AA4621">
        <v>0.86147050000000003</v>
      </c>
      <c r="AB4621">
        <v>20</v>
      </c>
      <c r="AC4621">
        <v>-5.2368000000000103</v>
      </c>
      <c r="AD4621">
        <v>-1.1190226596699999</v>
      </c>
      <c r="AE4621">
        <v>-8.2349999999999799</v>
      </c>
      <c r="AF4621">
        <v>4.8617742925319902</v>
      </c>
      <c r="AG4621">
        <v>-1.1190226596699999</v>
      </c>
      <c r="AH4621">
        <v>8.3154414866701298</v>
      </c>
      <c r="AI4621">
        <v>96.626495530187796</v>
      </c>
      <c r="AJ4621">
        <v>59.686531087102999</v>
      </c>
      <c r="AK4621">
        <v>9.69719691986373</v>
      </c>
      <c r="AL4621">
        <v>93.827110512584994</v>
      </c>
      <c r="AM4621">
        <v>76.217261149635206</v>
      </c>
      <c r="AN4621">
        <v>0.99999999407104501</v>
      </c>
    </row>
    <row r="4622" spans="1:40" x14ac:dyDescent="0.25">
      <c r="A4622" t="str">
        <f>"20190303154900580"</f>
        <v>20190303154900580</v>
      </c>
      <c r="B4622" t="str">
        <f>"1551599340575538"</f>
        <v>1551599340575538</v>
      </c>
      <c r="C4622" t="s">
        <v>40</v>
      </c>
      <c r="D4622">
        <v>5.376182</v>
      </c>
      <c r="E4622">
        <v>0.64375260000000001</v>
      </c>
      <c r="F4622" t="s">
        <v>59</v>
      </c>
      <c r="G4622">
        <v>-197.60839999999999</v>
      </c>
      <c r="H4622" s="1">
        <v>-1.168305E-5</v>
      </c>
      <c r="I4622">
        <v>148.24520000000001</v>
      </c>
      <c r="J4622">
        <v>-192.40440000000001</v>
      </c>
      <c r="K4622">
        <v>1.1188739999999999</v>
      </c>
      <c r="L4622">
        <v>156.24449999999999</v>
      </c>
      <c r="M4622">
        <v>-3.8806590000000002E-2</v>
      </c>
      <c r="N4622">
        <v>-7.6188109999999996E-3</v>
      </c>
      <c r="O4622">
        <v>-0.99921769999999999</v>
      </c>
      <c r="P4622">
        <v>-0.28102250000000001</v>
      </c>
      <c r="Q4622">
        <v>-7.4389730000000001E-2</v>
      </c>
      <c r="R4622">
        <v>-0.95681400000000005</v>
      </c>
      <c r="S4622">
        <v>-1.6800079999999999</v>
      </c>
      <c r="T4622">
        <v>-0.3608114</v>
      </c>
      <c r="U4622">
        <v>-2.6209259999999999</v>
      </c>
      <c r="V4622">
        <v>0.2434393</v>
      </c>
      <c r="W4622">
        <v>-6.7885959999999995E-2</v>
      </c>
      <c r="X4622">
        <v>0.96753750000000005</v>
      </c>
      <c r="Y4622">
        <v>0.5031658</v>
      </c>
      <c r="Z4622">
        <v>0.1087709</v>
      </c>
      <c r="AA4622">
        <v>0.85731740000000001</v>
      </c>
      <c r="AB4622">
        <v>20</v>
      </c>
      <c r="AC4622">
        <v>-5.2039999999999704</v>
      </c>
      <c r="AD4622">
        <v>-1.11888568305</v>
      </c>
      <c r="AE4622">
        <v>-7.9992999999999697</v>
      </c>
      <c r="AF4622">
        <v>4.8233408896391499</v>
      </c>
      <c r="AG4622">
        <v>-1.11888568305</v>
      </c>
      <c r="AH4622">
        <v>8.08410085928376</v>
      </c>
      <c r="AI4622">
        <v>96.778231353784804</v>
      </c>
      <c r="AJ4622">
        <v>59.177783095339201</v>
      </c>
      <c r="AK4622">
        <v>9.4799371945425701</v>
      </c>
      <c r="AL4622">
        <v>93.892572711968</v>
      </c>
      <c r="AM4622">
        <v>75.877126034401599</v>
      </c>
      <c r="AN4622">
        <v>1.0000000051279301</v>
      </c>
    </row>
    <row r="4623" spans="1:40" x14ac:dyDescent="0.25">
      <c r="A4623" t="str">
        <f>"20190303154900592"</f>
        <v>20190303154900592</v>
      </c>
      <c r="B4623" t="str">
        <f>"1551599340585297"</f>
        <v>1551599340585297</v>
      </c>
      <c r="C4623" t="s">
        <v>40</v>
      </c>
      <c r="D4623">
        <v>5.322711</v>
      </c>
      <c r="E4623">
        <v>0.64375260000000001</v>
      </c>
      <c r="F4623" t="s">
        <v>59</v>
      </c>
      <c r="G4623">
        <v>-198.24350000000001</v>
      </c>
      <c r="H4623" s="1">
        <v>-1.189073E-5</v>
      </c>
      <c r="I4623">
        <v>148.60550000000001</v>
      </c>
      <c r="J4623">
        <v>-192.4101</v>
      </c>
      <c r="K4623">
        <v>1.118762</v>
      </c>
      <c r="L4623">
        <v>156.137</v>
      </c>
      <c r="M4623">
        <v>-4.0181740000000001E-2</v>
      </c>
      <c r="N4623">
        <v>-7.6204940000000002E-3</v>
      </c>
      <c r="O4623">
        <v>-0.99916349999999998</v>
      </c>
      <c r="P4623">
        <v>-0.28819919999999999</v>
      </c>
      <c r="Q4623">
        <v>-7.6047089999999998E-2</v>
      </c>
      <c r="R4623">
        <v>-0.95454629999999996</v>
      </c>
      <c r="S4623">
        <v>-1.939209</v>
      </c>
      <c r="T4623">
        <v>-0.37159009999999998</v>
      </c>
      <c r="U4623">
        <v>-2.5369419999999998</v>
      </c>
      <c r="V4623">
        <v>0.24934709999999999</v>
      </c>
      <c r="W4623">
        <v>-6.9636710000000004E-2</v>
      </c>
      <c r="X4623">
        <v>0.96590719999999997</v>
      </c>
      <c r="Y4623">
        <v>0.57100329999999999</v>
      </c>
      <c r="Z4623">
        <v>0.1094934</v>
      </c>
      <c r="AA4623">
        <v>0.81361319999999904</v>
      </c>
      <c r="AB4623">
        <v>20</v>
      </c>
      <c r="AC4623">
        <v>-5.8334000000000099</v>
      </c>
      <c r="AD4623">
        <v>-1.11877389073</v>
      </c>
      <c r="AE4623">
        <v>-7.5314999999999896</v>
      </c>
      <c r="AF4623">
        <v>5.4508724923355301</v>
      </c>
      <c r="AG4623">
        <v>-1.11877389073</v>
      </c>
      <c r="AH4623">
        <v>7.6542523625429801</v>
      </c>
      <c r="AI4623">
        <v>96.789629128249999</v>
      </c>
      <c r="AJ4623">
        <v>54.543944349609703</v>
      </c>
      <c r="AK4623">
        <v>9.4631519683334897</v>
      </c>
      <c r="AL4623">
        <v>93.993121382233795</v>
      </c>
      <c r="AM4623">
        <v>75.525216478652794</v>
      </c>
      <c r="AN4623">
        <v>0.999999983334936</v>
      </c>
    </row>
    <row r="4624" spans="1:40" x14ac:dyDescent="0.25">
      <c r="A4624" t="str">
        <f>"20190303154900609"</f>
        <v>20190303154900609</v>
      </c>
      <c r="B4624" t="str">
        <f>"1551599340604818"</f>
        <v>1551599340604818</v>
      </c>
      <c r="C4624" t="s">
        <v>40</v>
      </c>
      <c r="D4624">
        <v>5.3892730000000002</v>
      </c>
      <c r="E4624">
        <v>0.69293479999999996</v>
      </c>
      <c r="F4624" t="s">
        <v>59</v>
      </c>
      <c r="G4624">
        <v>-198.22499999999999</v>
      </c>
      <c r="H4624" s="1">
        <v>-1.1898759999999999E-5</v>
      </c>
      <c r="I4624">
        <v>148.64840000000001</v>
      </c>
      <c r="J4624">
        <v>-192.41849999999999</v>
      </c>
      <c r="K4624">
        <v>1.1185909999999999</v>
      </c>
      <c r="L4624">
        <v>155.98480000000001</v>
      </c>
      <c r="M4624">
        <v>-4.2249509999999997E-2</v>
      </c>
      <c r="N4624">
        <v>-7.6242050000000002E-3</v>
      </c>
      <c r="O4624">
        <v>-0.99907800000000002</v>
      </c>
      <c r="P4624">
        <v>-0.30291289999999998</v>
      </c>
      <c r="Q4624">
        <v>-8.0102699999999999E-2</v>
      </c>
      <c r="R4624">
        <v>-0.94964590000000004</v>
      </c>
      <c r="S4624">
        <v>-1.958099</v>
      </c>
      <c r="T4624">
        <v>-0.37673040000000002</v>
      </c>
      <c r="U4624">
        <v>-2.521652</v>
      </c>
      <c r="V4624">
        <v>0.26221489999999997</v>
      </c>
      <c r="W4624">
        <v>-7.3857859999999997E-2</v>
      </c>
      <c r="X4624">
        <v>0.96217900000000001</v>
      </c>
      <c r="Y4624">
        <v>0.57537229999999995</v>
      </c>
      <c r="Z4624">
        <v>0.1111963</v>
      </c>
      <c r="AA4624">
        <v>0.81029759999999995</v>
      </c>
      <c r="AB4624">
        <v>20</v>
      </c>
      <c r="AC4624">
        <v>-5.8064999999999998</v>
      </c>
      <c r="AD4624">
        <v>-1.1186028987600001</v>
      </c>
      <c r="AE4624">
        <v>-7.3363999999999896</v>
      </c>
      <c r="AF4624">
        <v>5.4139594888787199</v>
      </c>
      <c r="AG4624">
        <v>-1.1186028987600001</v>
      </c>
      <c r="AH4624">
        <v>7.4684240254003296</v>
      </c>
      <c r="AI4624">
        <v>96.914299807370696</v>
      </c>
      <c r="AJ4624">
        <v>54.061146432240299</v>
      </c>
      <c r="AK4624">
        <v>9.2919097722433293</v>
      </c>
      <c r="AL4624">
        <v>94.235600346969704</v>
      </c>
      <c r="AM4624">
        <v>74.755831405725104</v>
      </c>
      <c r="AN4624">
        <v>1.00000003265339</v>
      </c>
    </row>
    <row r="4625" spans="1:40" x14ac:dyDescent="0.25">
      <c r="A4625" t="str">
        <f>"20190303154900621"</f>
        <v>20190303154900621</v>
      </c>
      <c r="B4625" t="str">
        <f>"1551599340615554"</f>
        <v>1551599340615554</v>
      </c>
      <c r="C4625" t="s">
        <v>40</v>
      </c>
      <c r="D4625">
        <v>5.3850160000000002</v>
      </c>
      <c r="E4625">
        <v>0.69382929999999998</v>
      </c>
      <c r="F4625" t="s">
        <v>59</v>
      </c>
      <c r="G4625">
        <v>-201.2099</v>
      </c>
      <c r="H4625" s="1">
        <v>-1.1180649999999999E-5</v>
      </c>
      <c r="I4625">
        <v>147.17779999999999</v>
      </c>
      <c r="J4625">
        <v>-192.42490000000001</v>
      </c>
      <c r="K4625">
        <v>1.118476</v>
      </c>
      <c r="L4625">
        <v>155.8732</v>
      </c>
      <c r="M4625">
        <v>-4.3858080000000001E-2</v>
      </c>
      <c r="N4625">
        <v>-7.6279429999999999E-3</v>
      </c>
      <c r="O4625">
        <v>-0.99900900000000004</v>
      </c>
      <c r="P4625">
        <v>-0.31096069999999998</v>
      </c>
      <c r="Q4625">
        <v>-8.1764439999999994E-2</v>
      </c>
      <c r="R4625">
        <v>-0.94689950000000001</v>
      </c>
      <c r="S4625">
        <v>-2.3726039999999999</v>
      </c>
      <c r="T4625">
        <v>-0.30188480000000001</v>
      </c>
      <c r="U4625">
        <v>-2.3768159999999998</v>
      </c>
      <c r="V4625">
        <v>0.2688005</v>
      </c>
      <c r="W4625">
        <v>-7.5627029999999998E-2</v>
      </c>
      <c r="X4625">
        <v>0.96022229999999997</v>
      </c>
      <c r="Y4625">
        <v>0.67209949999999996</v>
      </c>
      <c r="Z4625">
        <v>8.3506419999999998E-2</v>
      </c>
      <c r="AA4625">
        <v>0.73573710000000003</v>
      </c>
      <c r="AB4625">
        <v>20</v>
      </c>
      <c r="AC4625">
        <v>-8.7849999999999895</v>
      </c>
      <c r="AD4625">
        <v>-1.1184871806500001</v>
      </c>
      <c r="AE4625">
        <v>-8.6953999999999994</v>
      </c>
      <c r="AF4625">
        <v>8.3269904211979693</v>
      </c>
      <c r="AG4625">
        <v>-1.1184871806500001</v>
      </c>
      <c r="AH4625">
        <v>8.9986558635567899</v>
      </c>
      <c r="AI4625">
        <v>95.212578304761294</v>
      </c>
      <c r="AJ4625">
        <v>47.220080738042398</v>
      </c>
      <c r="AK4625">
        <v>12.311197764585099</v>
      </c>
      <c r="AL4625">
        <v>94.337250754737298</v>
      </c>
      <c r="AM4625">
        <v>74.3611699763334</v>
      </c>
      <c r="AN4625">
        <v>1.0000000109420799</v>
      </c>
    </row>
    <row r="4626" spans="1:40" x14ac:dyDescent="0.25">
      <c r="A4626" t="str">
        <f>"20190303154900635"</f>
        <v>20190303154900635</v>
      </c>
      <c r="B4626" t="str">
        <f>"1551599340625313"</f>
        <v>1551599340625313</v>
      </c>
      <c r="C4626" t="s">
        <v>40</v>
      </c>
      <c r="D4626">
        <v>5.3975150000000003</v>
      </c>
      <c r="E4626">
        <v>0.69431869999999996</v>
      </c>
      <c r="F4626" t="s">
        <v>59</v>
      </c>
      <c r="G4626">
        <v>-201.1883</v>
      </c>
      <c r="H4626" s="1">
        <v>-1.121987E-5</v>
      </c>
      <c r="I4626">
        <v>147.2774</v>
      </c>
      <c r="J4626">
        <v>-192.43219999999999</v>
      </c>
      <c r="K4626">
        <v>1.1183540000000001</v>
      </c>
      <c r="L4626">
        <v>155.75210000000001</v>
      </c>
      <c r="M4626">
        <v>-4.575663E-2</v>
      </c>
      <c r="N4626">
        <v>-7.634063E-3</v>
      </c>
      <c r="O4626">
        <v>-0.99892349999999996</v>
      </c>
      <c r="P4626">
        <v>-0.31908069999999999</v>
      </c>
      <c r="Q4626">
        <v>-8.2896780000000003E-2</v>
      </c>
      <c r="R4626">
        <v>-0.94409529999999997</v>
      </c>
      <c r="S4626">
        <v>-2.3996580000000001</v>
      </c>
      <c r="T4626">
        <v>-0.306270599999999</v>
      </c>
      <c r="U4626">
        <v>-2.3537599999999999</v>
      </c>
      <c r="V4626">
        <v>0.2751905</v>
      </c>
      <c r="W4626">
        <v>-7.6869530000000005E-2</v>
      </c>
      <c r="X4626">
        <v>0.95831169999999999</v>
      </c>
      <c r="Y4626">
        <v>0.67834499999999998</v>
      </c>
      <c r="Z4626">
        <v>8.4818499999999894E-2</v>
      </c>
      <c r="AA4626">
        <v>0.72983149999999997</v>
      </c>
      <c r="AB4626">
        <v>20</v>
      </c>
      <c r="AC4626">
        <v>-8.7561</v>
      </c>
      <c r="AD4626">
        <v>-1.11836521987</v>
      </c>
      <c r="AE4626">
        <v>-8.4747000000000092</v>
      </c>
      <c r="AF4626">
        <v>8.2893219137643808</v>
      </c>
      <c r="AG4626">
        <v>-1.11836521987</v>
      </c>
      <c r="AH4626">
        <v>8.79242526119919</v>
      </c>
      <c r="AI4626">
        <v>95.287681570287901</v>
      </c>
      <c r="AJ4626">
        <v>46.687026944798703</v>
      </c>
      <c r="AK4626">
        <v>12.135499187458301</v>
      </c>
      <c r="AL4626">
        <v>94.408648550929001</v>
      </c>
      <c r="AM4626">
        <v>73.977957051384294</v>
      </c>
      <c r="AN4626">
        <v>1.00000002514478</v>
      </c>
    </row>
    <row r="4627" spans="1:40" x14ac:dyDescent="0.25">
      <c r="A4627" t="str">
        <f>"20190303154900650"</f>
        <v>20190303154900650</v>
      </c>
      <c r="B4627" t="str">
        <f>"1551599340644833"</f>
        <v>1551599340644833</v>
      </c>
      <c r="C4627" t="s">
        <v>40</v>
      </c>
      <c r="D4627">
        <v>5.3317949999999996</v>
      </c>
      <c r="E4627">
        <v>0.69381119999999996</v>
      </c>
      <c r="F4627" t="s">
        <v>59</v>
      </c>
      <c r="G4627">
        <v>-201.21860000000001</v>
      </c>
      <c r="H4627" s="1">
        <v>-1.121286E-5</v>
      </c>
      <c r="I4627">
        <v>147.29910000000001</v>
      </c>
      <c r="J4627">
        <v>-192.44120000000001</v>
      </c>
      <c r="K4627">
        <v>1.1182270000000001</v>
      </c>
      <c r="L4627">
        <v>155.6114</v>
      </c>
      <c r="M4627">
        <v>-4.8063269999999998E-2</v>
      </c>
      <c r="N4627">
        <v>-7.6419469999999996E-3</v>
      </c>
      <c r="O4627">
        <v>-0.99881509999999996</v>
      </c>
      <c r="P4627">
        <v>-0.32726189999999999</v>
      </c>
      <c r="Q4627">
        <v>-8.4044759999999996E-2</v>
      </c>
      <c r="R4627">
        <v>-0.94118889999999999</v>
      </c>
      <c r="S4627">
        <v>-2.4234469999999999</v>
      </c>
      <c r="T4627">
        <v>-0.3084655</v>
      </c>
      <c r="U4627">
        <v>-2.3314970000000002</v>
      </c>
      <c r="V4627">
        <v>0.28126129999999999</v>
      </c>
      <c r="W4627">
        <v>-7.8135129999999997E-2</v>
      </c>
      <c r="X4627">
        <v>0.95644499999999999</v>
      </c>
      <c r="Y4627">
        <v>0.68365430000000005</v>
      </c>
      <c r="Z4627">
        <v>8.5525260000000006E-2</v>
      </c>
      <c r="AA4627">
        <v>0.72477740000000002</v>
      </c>
      <c r="AB4627">
        <v>20</v>
      </c>
      <c r="AC4627">
        <v>-8.7774000000000001</v>
      </c>
      <c r="AD4627">
        <v>-1.1182382128599999</v>
      </c>
      <c r="AE4627">
        <v>-8.3122999999999898</v>
      </c>
      <c r="AF4627">
        <v>8.2967343571368097</v>
      </c>
      <c r="AG4627">
        <v>-1.1182382128599999</v>
      </c>
      <c r="AH4627">
        <v>8.6505551729891792</v>
      </c>
      <c r="AI4627">
        <v>95.329933663956893</v>
      </c>
      <c r="AJ4627">
        <v>46.196031656895698</v>
      </c>
      <c r="AK4627">
        <v>12.0382042886189</v>
      </c>
      <c r="AL4627">
        <v>94.481380847385296</v>
      </c>
      <c r="AM4627">
        <v>73.612998848125102</v>
      </c>
      <c r="AN4627">
        <v>1.0000000277214001</v>
      </c>
    </row>
    <row r="4628" spans="1:40" x14ac:dyDescent="0.25">
      <c r="A4628" t="str">
        <f>"20190303154900665"</f>
        <v>20190303154900665</v>
      </c>
      <c r="B4628" t="str">
        <f>"1551599340655570"</f>
        <v>1551599340655570</v>
      </c>
      <c r="C4628" t="s">
        <v>40</v>
      </c>
      <c r="D4628">
        <v>5.4247529999999999</v>
      </c>
      <c r="E4628">
        <v>0.69317759999999995</v>
      </c>
      <c r="F4628" t="s">
        <v>59</v>
      </c>
      <c r="G4628">
        <v>-201.221</v>
      </c>
      <c r="H4628" s="1">
        <v>-1.12104E-5</v>
      </c>
      <c r="I4628">
        <v>147.29429999999999</v>
      </c>
      <c r="J4628">
        <v>-192.45009999999999</v>
      </c>
      <c r="K4628">
        <v>1.1181030000000001</v>
      </c>
      <c r="L4628">
        <v>155.4785</v>
      </c>
      <c r="M4628">
        <v>-5.0344859999999998E-2</v>
      </c>
      <c r="N4628">
        <v>-7.6501669999999898E-3</v>
      </c>
      <c r="O4628">
        <v>-0.9987026</v>
      </c>
      <c r="P4628">
        <v>-0.34091090000000002</v>
      </c>
      <c r="Q4628">
        <v>-8.5093290000000002E-2</v>
      </c>
      <c r="R4628">
        <v>-0.93623659999999997</v>
      </c>
      <c r="S4628">
        <v>-2.4399109999999999</v>
      </c>
      <c r="T4628">
        <v>-0.31075920000000001</v>
      </c>
      <c r="U4628">
        <v>-2.3113250000000001</v>
      </c>
      <c r="V4628">
        <v>0.29293170000000002</v>
      </c>
      <c r="W4628">
        <v>-7.9338729999999996E-2</v>
      </c>
      <c r="X4628">
        <v>0.95283600000000002</v>
      </c>
      <c r="Y4628">
        <v>0.68752559999999996</v>
      </c>
      <c r="Z4628">
        <v>8.6355650000000006E-2</v>
      </c>
      <c r="AA4628">
        <v>0.72100719999999996</v>
      </c>
      <c r="AB4628">
        <v>20</v>
      </c>
      <c r="AC4628">
        <v>-8.7708999999999797</v>
      </c>
      <c r="AD4628">
        <v>-1.1181142103999999</v>
      </c>
      <c r="AE4628">
        <v>-8.1842000000000006</v>
      </c>
      <c r="AF4628">
        <v>8.2758382464456801</v>
      </c>
      <c r="AG4628">
        <v>-1.1181142103999999</v>
      </c>
      <c r="AH4628">
        <v>8.5412041005232595</v>
      </c>
      <c r="AI4628">
        <v>95.370879885420706</v>
      </c>
      <c r="AJ4628">
        <v>45.9040282711168</v>
      </c>
      <c r="AK4628">
        <v>11.945369209682299</v>
      </c>
      <c r="AL4628">
        <v>94.550556806197406</v>
      </c>
      <c r="AM4628">
        <v>72.9109283626278</v>
      </c>
      <c r="AN4628">
        <v>1.0000000289194499</v>
      </c>
    </row>
    <row r="4629" spans="1:40" x14ac:dyDescent="0.25">
      <c r="A4629" t="str">
        <f>"20190303154900678"</f>
        <v>20190303154900678</v>
      </c>
      <c r="B4629" t="str">
        <f>"1551599340675089"</f>
        <v>1551599340675089</v>
      </c>
      <c r="C4629" t="s">
        <v>40</v>
      </c>
      <c r="D4629">
        <v>5.4150939999999999</v>
      </c>
      <c r="E4629">
        <v>0.69208639999999999</v>
      </c>
      <c r="F4629" t="s">
        <v>59</v>
      </c>
      <c r="G4629">
        <v>-201.12899999999999</v>
      </c>
      <c r="H4629" s="1">
        <v>-1.130418E-5</v>
      </c>
      <c r="I4629">
        <v>147.47239999999999</v>
      </c>
      <c r="J4629">
        <v>-192.45920000000001</v>
      </c>
      <c r="K4629">
        <v>1.117996</v>
      </c>
      <c r="L4629">
        <v>155.34719999999999</v>
      </c>
      <c r="M4629">
        <v>-5.2704670000000002E-2</v>
      </c>
      <c r="N4629">
        <v>-7.6590619999999899E-3</v>
      </c>
      <c r="O4629">
        <v>-0.99858080000000005</v>
      </c>
      <c r="P4629">
        <v>-0.34885050000000001</v>
      </c>
      <c r="Q4629">
        <v>-8.4983509999999998E-2</v>
      </c>
      <c r="R4629">
        <v>-0.93331750000000002</v>
      </c>
      <c r="S4629">
        <v>-2.4680789999999999</v>
      </c>
      <c r="T4629">
        <v>-0.31796600000000003</v>
      </c>
      <c r="U4629">
        <v>-2.2767330000000001</v>
      </c>
      <c r="V4629">
        <v>0.2987438</v>
      </c>
      <c r="W4629">
        <v>-7.9339530000000005E-2</v>
      </c>
      <c r="X4629">
        <v>0.95102969999999998</v>
      </c>
      <c r="Y4629">
        <v>0.69516929999999999</v>
      </c>
      <c r="Z4629">
        <v>8.8710730000000002E-2</v>
      </c>
      <c r="AA4629">
        <v>0.71335130000000002</v>
      </c>
      <c r="AB4629">
        <v>20</v>
      </c>
      <c r="AC4629">
        <v>-8.6698000000000093</v>
      </c>
      <c r="AD4629">
        <v>-1.11800730418</v>
      </c>
      <c r="AE4629">
        <v>-7.8747999999999898</v>
      </c>
      <c r="AF4629">
        <v>8.1682708046911507</v>
      </c>
      <c r="AG4629">
        <v>-1.11800730418</v>
      </c>
      <c r="AH4629">
        <v>8.24567375896968</v>
      </c>
      <c r="AI4629">
        <v>95.502076589036506</v>
      </c>
      <c r="AJ4629">
        <v>45.270186712985499</v>
      </c>
      <c r="AK4629">
        <v>11.660262604689899</v>
      </c>
      <c r="AL4629">
        <v>94.550602670337994</v>
      </c>
      <c r="AM4629">
        <v>72.561104938594895</v>
      </c>
      <c r="AN4629">
        <v>1.0000000546705701</v>
      </c>
    </row>
    <row r="4630" spans="1:40" x14ac:dyDescent="0.25">
      <c r="A4630" t="str">
        <f>"20190303154900700"</f>
        <v>20190303154900700</v>
      </c>
      <c r="B4630" t="str">
        <f>"1551599340695585"</f>
        <v>1551599340695585</v>
      </c>
      <c r="C4630" t="s">
        <v>40</v>
      </c>
      <c r="D4630">
        <v>5.4886799999999996</v>
      </c>
      <c r="E4630">
        <v>0.68979969999999902</v>
      </c>
      <c r="F4630" t="s">
        <v>59</v>
      </c>
      <c r="G4630">
        <v>-201.24590000000001</v>
      </c>
      <c r="H4630" s="1">
        <v>-1.12133E-5</v>
      </c>
      <c r="I4630">
        <v>147.34119999999999</v>
      </c>
      <c r="J4630">
        <v>-192.4734</v>
      </c>
      <c r="K4630">
        <v>1.117856</v>
      </c>
      <c r="L4630">
        <v>155.1559</v>
      </c>
      <c r="M4630">
        <v>-5.6342980000000001E-2</v>
      </c>
      <c r="N4630">
        <v>-7.6732529999999997E-3</v>
      </c>
      <c r="O4630">
        <v>-0.9983822</v>
      </c>
      <c r="P4630">
        <v>-0.36356830000000001</v>
      </c>
      <c r="Q4630">
        <v>-8.5134189999999998E-2</v>
      </c>
      <c r="R4630">
        <v>-0.92766950000000004</v>
      </c>
      <c r="S4630">
        <v>-2.4792329999999998</v>
      </c>
      <c r="T4630">
        <v>-0.31545479999999998</v>
      </c>
      <c r="U4630">
        <v>-2.2589570000000001</v>
      </c>
      <c r="V4630">
        <v>0.31026279999999901</v>
      </c>
      <c r="W4630">
        <v>-7.9675369999999995E-2</v>
      </c>
      <c r="X4630">
        <v>0.94730610000000004</v>
      </c>
      <c r="Y4630">
        <v>0.69698139999999997</v>
      </c>
      <c r="Z4630">
        <v>8.8191510000000001E-2</v>
      </c>
      <c r="AA4630">
        <v>0.71164539999999998</v>
      </c>
      <c r="AB4630">
        <v>20</v>
      </c>
      <c r="AC4630">
        <v>-8.7725000000000009</v>
      </c>
      <c r="AD4630">
        <v>-1.1178672133000001</v>
      </c>
      <c r="AE4630">
        <v>-7.81470000000001</v>
      </c>
      <c r="AF4630">
        <v>8.2436135557616996</v>
      </c>
      <c r="AG4630">
        <v>-1.1178672133000001</v>
      </c>
      <c r="AH4630">
        <v>8.2221292380850706</v>
      </c>
      <c r="AI4630">
        <v>95.484246652047403</v>
      </c>
      <c r="AJ4630">
        <v>44.9252411479128</v>
      </c>
      <c r="AK4630">
        <v>11.6965892794046</v>
      </c>
      <c r="AL4630">
        <v>94.569906205063205</v>
      </c>
      <c r="AM4630">
        <v>71.865283240272106</v>
      </c>
      <c r="AN4630">
        <v>1.00000000837284</v>
      </c>
    </row>
    <row r="4631" spans="1:40" x14ac:dyDescent="0.25">
      <c r="A4631" t="str">
        <f>"20190303154900722"</f>
        <v>20190303154900722</v>
      </c>
      <c r="B4631" t="str">
        <f>"1551599340715105"</f>
        <v>1551599340715105</v>
      </c>
      <c r="C4631" t="s">
        <v>40</v>
      </c>
      <c r="D4631">
        <v>5.5374569999999999</v>
      </c>
      <c r="E4631">
        <v>0.68734010000000001</v>
      </c>
      <c r="F4631" t="s">
        <v>59</v>
      </c>
      <c r="G4631">
        <v>-201.06549999999999</v>
      </c>
      <c r="H4631" s="1">
        <v>-1.134051E-5</v>
      </c>
      <c r="I4631">
        <v>147.4999</v>
      </c>
      <c r="J4631">
        <v>-192.48939999999999</v>
      </c>
      <c r="K4631">
        <v>1.117693</v>
      </c>
      <c r="L4631">
        <v>154.95529999999999</v>
      </c>
      <c r="M4631">
        <v>-6.0419929999999997E-2</v>
      </c>
      <c r="N4631">
        <v>-7.6909669999999999E-3</v>
      </c>
      <c r="O4631">
        <v>-0.99814360000000002</v>
      </c>
      <c r="P4631">
        <v>-0.37898739999999997</v>
      </c>
      <c r="Q4631">
        <v>-8.5294010000000003E-2</v>
      </c>
      <c r="R4631">
        <v>-0.92146280000000003</v>
      </c>
      <c r="S4631">
        <v>-2.4974059999999998</v>
      </c>
      <c r="T4631">
        <v>-0.32492219999999999</v>
      </c>
      <c r="U4631">
        <v>-2.2252960000000002</v>
      </c>
      <c r="V4631">
        <v>0.3221292</v>
      </c>
      <c r="W4631">
        <v>-8.0037839999999999E-2</v>
      </c>
      <c r="X4631">
        <v>0.94330630000000004</v>
      </c>
      <c r="Y4631">
        <v>0.70171949999999905</v>
      </c>
      <c r="Z4631">
        <v>9.1461700000000007E-2</v>
      </c>
      <c r="AA4631">
        <v>0.70655829999999997</v>
      </c>
      <c r="AB4631">
        <v>20</v>
      </c>
      <c r="AC4631">
        <v>-8.5760999999999896</v>
      </c>
      <c r="AD4631">
        <v>-1.11770434051</v>
      </c>
      <c r="AE4631">
        <v>-7.4553999999999903</v>
      </c>
      <c r="AF4631">
        <v>8.03225670887152</v>
      </c>
      <c r="AG4631">
        <v>-1.11770434051</v>
      </c>
      <c r="AH4631">
        <v>7.8836921295319202</v>
      </c>
      <c r="AI4631">
        <v>95.671415371698203</v>
      </c>
      <c r="AJ4631">
        <v>44.4651983201584</v>
      </c>
      <c r="AK4631">
        <v>11.3101287536106</v>
      </c>
      <c r="AL4631">
        <v>94.590740660920702</v>
      </c>
      <c r="AM4631">
        <v>71.145502554323699</v>
      </c>
      <c r="AN4631">
        <v>1.0000000264720901</v>
      </c>
    </row>
    <row r="4632" spans="1:40" x14ac:dyDescent="0.25">
      <c r="A4632" t="str">
        <f>"20190303154900743"</f>
        <v>20190303154900743</v>
      </c>
      <c r="B4632" t="str">
        <f>"1551599340735601"</f>
        <v>1551599340735601</v>
      </c>
      <c r="C4632" t="s">
        <v>40</v>
      </c>
      <c r="D4632">
        <v>5.5488220000000004</v>
      </c>
      <c r="E4632">
        <v>0.68520729999999996</v>
      </c>
      <c r="F4632" t="s">
        <v>59</v>
      </c>
      <c r="G4632">
        <v>-200.87889999999999</v>
      </c>
      <c r="H4632" s="1">
        <v>-1.146835E-5</v>
      </c>
      <c r="I4632">
        <v>147.6514</v>
      </c>
      <c r="J4632">
        <v>-192.50559999999999</v>
      </c>
      <c r="K4632">
        <v>1.117532</v>
      </c>
      <c r="L4632">
        <v>154.76349999999999</v>
      </c>
      <c r="M4632">
        <v>-6.4566929999999995E-2</v>
      </c>
      <c r="N4632">
        <v>-7.7112279999999997E-3</v>
      </c>
      <c r="O4632">
        <v>-0.99788390000000005</v>
      </c>
      <c r="P4632">
        <v>-0.39390350000000002</v>
      </c>
      <c r="Q4632">
        <v>-8.7116550000000001E-2</v>
      </c>
      <c r="R4632">
        <v>-0.91501440000000001</v>
      </c>
      <c r="S4632">
        <v>-2.515549</v>
      </c>
      <c r="T4632">
        <v>-0.33513670000000001</v>
      </c>
      <c r="U4632">
        <v>-2.1900179999999998</v>
      </c>
      <c r="V4632">
        <v>0.33346819999999999</v>
      </c>
      <c r="W4632">
        <v>-8.2068799999999997E-2</v>
      </c>
      <c r="X4632">
        <v>0.93918250000000003</v>
      </c>
      <c r="Y4632">
        <v>0.70663390000000004</v>
      </c>
      <c r="Z4632">
        <v>9.5006660000000007E-2</v>
      </c>
      <c r="AA4632">
        <v>0.70117209999999996</v>
      </c>
      <c r="AB4632">
        <v>20</v>
      </c>
      <c r="AC4632">
        <v>-8.3733000000000004</v>
      </c>
      <c r="AD4632">
        <v>-1.1175434683499901</v>
      </c>
      <c r="AE4632">
        <v>-7.1120999999999901</v>
      </c>
      <c r="AF4632">
        <v>7.81573244202366</v>
      </c>
      <c r="AG4632">
        <v>-1.1175434683499901</v>
      </c>
      <c r="AH4632">
        <v>7.5596878609550897</v>
      </c>
      <c r="AI4632">
        <v>95.868034539327496</v>
      </c>
      <c r="AJ4632">
        <v>44.0459501144448</v>
      </c>
      <c r="AK4632">
        <v>10.930848894940601</v>
      </c>
      <c r="AL4632">
        <v>94.707490144967096</v>
      </c>
      <c r="AM4632">
        <v>70.451973051058005</v>
      </c>
      <c r="AN4632">
        <v>1.0000000483254601</v>
      </c>
    </row>
    <row r="4633" spans="1:40" x14ac:dyDescent="0.25">
      <c r="A4633" t="str">
        <f>"20190303154900755"</f>
        <v>20190303154900755</v>
      </c>
      <c r="B4633" t="str">
        <f>"1551599340745362"</f>
        <v>1551599340745362</v>
      </c>
      <c r="C4633" t="s">
        <v>40</v>
      </c>
      <c r="D4633">
        <v>5.5752269999999999</v>
      </c>
      <c r="E4633">
        <v>0.68403570000000002</v>
      </c>
      <c r="F4633" t="s">
        <v>59</v>
      </c>
      <c r="G4633">
        <v>-200.72120000000001</v>
      </c>
      <c r="H4633" s="1">
        <v>-1.1576829999999999E-5</v>
      </c>
      <c r="I4633">
        <v>147.78110000000001</v>
      </c>
      <c r="J4633">
        <v>-192.51599999999999</v>
      </c>
      <c r="K4633">
        <v>1.117442</v>
      </c>
      <c r="L4633">
        <v>154.64789999999999</v>
      </c>
      <c r="M4633">
        <v>-6.7170590000000002E-2</v>
      </c>
      <c r="N4633">
        <v>-7.7245389999999999E-3</v>
      </c>
      <c r="O4633">
        <v>-0.99771169999999998</v>
      </c>
      <c r="P4633">
        <v>-0.40183750000000001</v>
      </c>
      <c r="Q4633">
        <v>-8.7661450000000002E-2</v>
      </c>
      <c r="R4633">
        <v>-0.91150560000000003</v>
      </c>
      <c r="S4633">
        <v>-2.5350190000000001</v>
      </c>
      <c r="T4633">
        <v>-0.34483180000000002</v>
      </c>
      <c r="U4633">
        <v>-2.1545260000000002</v>
      </c>
      <c r="V4633">
        <v>0.33914850000000002</v>
      </c>
      <c r="W4633">
        <v>-8.2727309999999998E-2</v>
      </c>
      <c r="X4633">
        <v>0.93708829999999999</v>
      </c>
      <c r="Y4633">
        <v>0.71284999999999998</v>
      </c>
      <c r="Z4633">
        <v>9.8335800000000001E-2</v>
      </c>
      <c r="AA4633">
        <v>0.69438809999999995</v>
      </c>
      <c r="AB4633">
        <v>21</v>
      </c>
      <c r="AC4633">
        <v>-8.2052000000000191</v>
      </c>
      <c r="AD4633">
        <v>-1.11745357683</v>
      </c>
      <c r="AE4633">
        <v>-6.86679999999998</v>
      </c>
      <c r="AF4633">
        <v>7.6420490541777504</v>
      </c>
      <c r="AG4633">
        <v>-1.11745357683</v>
      </c>
      <c r="AH4633">
        <v>7.3225819176511502</v>
      </c>
      <c r="AI4633">
        <v>96.026930899340698</v>
      </c>
      <c r="AJ4633">
        <v>43.777027061311202</v>
      </c>
      <c r="AK4633">
        <v>10.642829613572699</v>
      </c>
      <c r="AL4633">
        <v>94.745348967806507</v>
      </c>
      <c r="AM4633">
        <v>70.103931718888205</v>
      </c>
      <c r="AN4633">
        <v>0.99999999743448797</v>
      </c>
    </row>
    <row r="4634" spans="1:40" x14ac:dyDescent="0.25">
      <c r="A4634" t="str">
        <f>"20190303154900768"</f>
        <v>20190303154900768</v>
      </c>
      <c r="B4634" t="str">
        <f>"1551599340764882"</f>
        <v>1551599340764882</v>
      </c>
      <c r="C4634" t="s">
        <v>40</v>
      </c>
      <c r="D4634">
        <v>5.591831</v>
      </c>
      <c r="E4634">
        <v>0.68296889999999999</v>
      </c>
      <c r="F4634" t="s">
        <v>59</v>
      </c>
      <c r="G4634">
        <v>-200.6739</v>
      </c>
      <c r="H4634" s="1">
        <v>-1.160393E-5</v>
      </c>
      <c r="I4634">
        <v>147.80160000000001</v>
      </c>
      <c r="J4634">
        <v>-192.5274</v>
      </c>
      <c r="K4634">
        <v>1.117346</v>
      </c>
      <c r="L4634">
        <v>154.52520000000001</v>
      </c>
      <c r="M4634">
        <v>-7.0003079999999995E-2</v>
      </c>
      <c r="N4634">
        <v>-7.7388469999999897E-3</v>
      </c>
      <c r="O4634">
        <v>-0.99751670000000003</v>
      </c>
      <c r="P4634">
        <v>-0.4100067</v>
      </c>
      <c r="Q4634">
        <v>-8.8110079999999993E-2</v>
      </c>
      <c r="R4634">
        <v>-0.90781690000000004</v>
      </c>
      <c r="S4634">
        <v>-2.5449220000000001</v>
      </c>
      <c r="T4634">
        <v>-0.3485993</v>
      </c>
      <c r="U4634">
        <v>-2.1357729999999999</v>
      </c>
      <c r="V4634">
        <v>0.34487420000000002</v>
      </c>
      <c r="W4634">
        <v>-8.3293660000000005E-2</v>
      </c>
      <c r="X4634">
        <v>0.9349459</v>
      </c>
      <c r="Y4634">
        <v>0.71508369999999999</v>
      </c>
      <c r="Z4634">
        <v>9.9740910000000002E-2</v>
      </c>
      <c r="AA4634">
        <v>0.69188649999999996</v>
      </c>
      <c r="AB4634">
        <v>21</v>
      </c>
      <c r="AC4634">
        <v>-8.1464999999999996</v>
      </c>
      <c r="AD4634">
        <v>-1.1173576039299999</v>
      </c>
      <c r="AE4634">
        <v>-6.7236000000000002</v>
      </c>
      <c r="AF4634">
        <v>7.5711064700763204</v>
      </c>
      <c r="AG4634">
        <v>-1.1173576039299999</v>
      </c>
      <c r="AH4634">
        <v>7.1968691017352597</v>
      </c>
      <c r="AI4634">
        <v>96.105500064353606</v>
      </c>
      <c r="AJ4634">
        <v>43.548370185876699</v>
      </c>
      <c r="AK4634">
        <v>10.5054779074444</v>
      </c>
      <c r="AL4634">
        <v>94.777911081173798</v>
      </c>
      <c r="AM4634">
        <v>69.752457189151102</v>
      </c>
      <c r="AN4634">
        <v>0.99999994177432106</v>
      </c>
    </row>
    <row r="4635" spans="1:40" x14ac:dyDescent="0.25">
      <c r="A4635" t="str">
        <f>"20190303154900781"</f>
        <v>20190303154900781</v>
      </c>
      <c r="B4635" t="str">
        <f>"1551599340775618"</f>
        <v>1551599340775618</v>
      </c>
      <c r="C4635" t="s">
        <v>40</v>
      </c>
      <c r="D4635">
        <v>5.6543359999999998</v>
      </c>
      <c r="E4635">
        <v>0.66082479999999999</v>
      </c>
      <c r="F4635" t="s">
        <v>59</v>
      </c>
      <c r="G4635">
        <v>-200.59540000000001</v>
      </c>
      <c r="H4635" s="1">
        <v>-1.165213E-5</v>
      </c>
      <c r="I4635">
        <v>147.8466</v>
      </c>
      <c r="J4635">
        <v>-192.53899999999999</v>
      </c>
      <c r="K4635">
        <v>1.1172530000000001</v>
      </c>
      <c r="L4635">
        <v>154.4033</v>
      </c>
      <c r="M4635">
        <v>-7.2875159999999994E-2</v>
      </c>
      <c r="N4635">
        <v>-7.7531319999999898E-3</v>
      </c>
      <c r="O4635">
        <v>-0.99731110000000001</v>
      </c>
      <c r="P4635">
        <v>-0.41799540000000002</v>
      </c>
      <c r="Q4635">
        <v>-8.8487899999999994E-2</v>
      </c>
      <c r="R4635">
        <v>-0.90412939999999997</v>
      </c>
      <c r="S4635">
        <v>-2.5560610000000001</v>
      </c>
      <c r="T4635">
        <v>-0.35399399999999998</v>
      </c>
      <c r="U4635">
        <v>-2.1158600000000001</v>
      </c>
      <c r="V4635">
        <v>0.35039799999999999</v>
      </c>
      <c r="W4635">
        <v>-8.3788130000000002E-2</v>
      </c>
      <c r="X4635">
        <v>0.93284549999999999</v>
      </c>
      <c r="Y4635">
        <v>0.71759989999999996</v>
      </c>
      <c r="Z4635">
        <v>0.1016415</v>
      </c>
      <c r="AA4635">
        <v>0.68899889999999997</v>
      </c>
      <c r="AB4635">
        <v>21</v>
      </c>
      <c r="AC4635">
        <v>-8.0563999999999893</v>
      </c>
      <c r="AD4635">
        <v>-1.11726465213</v>
      </c>
      <c r="AE4635">
        <v>-6.5567000000000002</v>
      </c>
      <c r="AF4635">
        <v>7.4707115491870901</v>
      </c>
      <c r="AG4635">
        <v>-1.11726465213</v>
      </c>
      <c r="AH4635">
        <v>7.0448896798614102</v>
      </c>
      <c r="AI4635">
        <v>96.209645298038595</v>
      </c>
      <c r="AJ4635">
        <v>43.319683732121597</v>
      </c>
      <c r="AK4635">
        <v>10.329098796868699</v>
      </c>
      <c r="AL4635">
        <v>94.806341383712706</v>
      </c>
      <c r="AM4635">
        <v>69.412678832280605</v>
      </c>
      <c r="AN4635">
        <v>0.99999996800157198</v>
      </c>
    </row>
    <row r="4636" spans="1:40" x14ac:dyDescent="0.25">
      <c r="A4636" t="str">
        <f>"20190303154900800"</f>
        <v>20190303154900800</v>
      </c>
      <c r="B4636" t="str">
        <f>"1551599340795138"</f>
        <v>1551599340795138</v>
      </c>
      <c r="C4636" t="s">
        <v>40</v>
      </c>
      <c r="D4636">
        <v>5.1535229999999999</v>
      </c>
      <c r="E4636">
        <v>0.66269800000000001</v>
      </c>
      <c r="F4636" t="s">
        <v>59</v>
      </c>
      <c r="G4636">
        <v>-198.5685</v>
      </c>
      <c r="H4636" s="1">
        <v>-1.2052460000000001E-5</v>
      </c>
      <c r="I4636">
        <v>149.00020000000001</v>
      </c>
      <c r="J4636">
        <v>-192.55690000000001</v>
      </c>
      <c r="K4636">
        <v>1.117105</v>
      </c>
      <c r="L4636">
        <v>154.2252</v>
      </c>
      <c r="M4636">
        <v>-7.7267249999999996E-2</v>
      </c>
      <c r="N4636">
        <v>-7.775484E-3</v>
      </c>
      <c r="O4636">
        <v>-0.99698019999999998</v>
      </c>
      <c r="P4636">
        <v>-0.43238510000000002</v>
      </c>
      <c r="Q4636">
        <v>-8.8555869999999995E-2</v>
      </c>
      <c r="R4636">
        <v>-0.89732999999999996</v>
      </c>
      <c r="S4636">
        <v>-2.410431</v>
      </c>
      <c r="T4636">
        <v>-0.44665500000000002</v>
      </c>
      <c r="U4636">
        <v>-2.1600190000000001</v>
      </c>
      <c r="V4636">
        <v>0.3611318</v>
      </c>
      <c r="W4636">
        <v>-8.4065520000000005E-2</v>
      </c>
      <c r="X4636">
        <v>0.92871789999999999</v>
      </c>
      <c r="Y4636">
        <v>0.68406239999999996</v>
      </c>
      <c r="Z4636">
        <v>0.13307439999999901</v>
      </c>
      <c r="AA4636">
        <v>0.71718190000000004</v>
      </c>
      <c r="AB4636">
        <v>21</v>
      </c>
      <c r="AC4636">
        <v>-6.0115999999999801</v>
      </c>
      <c r="AD4636">
        <v>-1.11711705246</v>
      </c>
      <c r="AE4636">
        <v>-5.2249999999999899</v>
      </c>
      <c r="AF4636">
        <v>5.4820537233425997</v>
      </c>
      <c r="AG4636">
        <v>-1.11711705246</v>
      </c>
      <c r="AH4636">
        <v>5.5644323108595897</v>
      </c>
      <c r="AI4636">
        <v>98.138889357906393</v>
      </c>
      <c r="AJ4636">
        <v>45.427272335988498</v>
      </c>
      <c r="AK4636">
        <v>7.89073953927321</v>
      </c>
      <c r="AL4636">
        <v>94.822290471660196</v>
      </c>
      <c r="AM4636">
        <v>68.751438307681497</v>
      </c>
      <c r="AN4636">
        <v>1.0000000632022501</v>
      </c>
    </row>
    <row r="4637" spans="1:40" x14ac:dyDescent="0.25">
      <c r="A4637" t="str">
        <f>"20190303154900822"</f>
        <v>20190303154900822</v>
      </c>
      <c r="B4637" t="str">
        <f>"1551599340815634"</f>
        <v>1551599340815634</v>
      </c>
      <c r="C4637" t="s">
        <v>40</v>
      </c>
      <c r="D4637">
        <v>5.1722799999999998</v>
      </c>
      <c r="E4637">
        <v>0.66316409999999903</v>
      </c>
      <c r="F4637" t="s">
        <v>59</v>
      </c>
      <c r="G4637">
        <v>-201.0214</v>
      </c>
      <c r="H4637" s="1">
        <v>-1.1189439999999999E-5</v>
      </c>
      <c r="I4637">
        <v>146.9263</v>
      </c>
      <c r="J4637">
        <v>-192.57900000000001</v>
      </c>
      <c r="K4637">
        <v>1.11694</v>
      </c>
      <c r="L4637">
        <v>154.01910000000001</v>
      </c>
      <c r="M4637">
        <v>-8.2631499999999997E-2</v>
      </c>
      <c r="N4637">
        <v>-7.8047749999999999E-3</v>
      </c>
      <c r="O4637">
        <v>-0.99654980000000004</v>
      </c>
      <c r="P4637">
        <v>-0.44671270000000002</v>
      </c>
      <c r="Q4637">
        <v>-8.7721839999999995E-2</v>
      </c>
      <c r="R4637">
        <v>-0.89036689999999996</v>
      </c>
      <c r="S4637">
        <v>-2.4633790000000002</v>
      </c>
      <c r="T4637">
        <v>-0.32510909999999998</v>
      </c>
      <c r="U4637">
        <v>-2.124161</v>
      </c>
      <c r="V4637">
        <v>0.3709575</v>
      </c>
      <c r="W4637">
        <v>-8.3462140000000004E-2</v>
      </c>
      <c r="X4637">
        <v>0.92489169999999998</v>
      </c>
      <c r="Y4637">
        <v>0.69714790000000004</v>
      </c>
      <c r="Z4637">
        <v>9.4991640000000002E-2</v>
      </c>
      <c r="AA4637">
        <v>0.71060639999999997</v>
      </c>
      <c r="AB4637">
        <v>21</v>
      </c>
      <c r="AC4637">
        <v>-8.4423999999999904</v>
      </c>
      <c r="AD4637">
        <v>-1.1169511894399999</v>
      </c>
      <c r="AE4637">
        <v>-7.0928000000000102</v>
      </c>
      <c r="AF4637">
        <v>7.7479170864475702</v>
      </c>
      <c r="AG4637">
        <v>-1.1169511894399999</v>
      </c>
      <c r="AH4637">
        <v>7.6872906036033104</v>
      </c>
      <c r="AI4637">
        <v>95.843145858568406</v>
      </c>
      <c r="AJ4637">
        <v>44.774954519547698</v>
      </c>
      <c r="AK4637">
        <v>10.971428164204699</v>
      </c>
      <c r="AL4637">
        <v>94.787597599527899</v>
      </c>
      <c r="AM4637">
        <v>68.145162676924102</v>
      </c>
      <c r="AN4637">
        <v>1.0000000261742501</v>
      </c>
    </row>
    <row r="4638" spans="1:40" x14ac:dyDescent="0.25">
      <c r="A4638" t="str">
        <f>"20190303154900835"</f>
        <v>20190303154900835</v>
      </c>
      <c r="B4638" t="str">
        <f>"1551599340825394"</f>
        <v>1551599340825394</v>
      </c>
      <c r="C4638" t="s">
        <v>40</v>
      </c>
      <c r="D4638">
        <v>5.5154300000000003</v>
      </c>
      <c r="E4638">
        <v>0.66178359999999903</v>
      </c>
      <c r="F4638" t="s">
        <v>59</v>
      </c>
      <c r="G4638">
        <v>-205.60570000000001</v>
      </c>
      <c r="H4638" s="1">
        <v>-8.2485590000000005E-6</v>
      </c>
      <c r="I4638">
        <v>143.1455</v>
      </c>
      <c r="J4638">
        <v>-192.5925</v>
      </c>
      <c r="K4638">
        <v>1.1168389999999999</v>
      </c>
      <c r="L4638">
        <v>153.9</v>
      </c>
      <c r="M4638">
        <v>-8.5859249999999998E-2</v>
      </c>
      <c r="N4638">
        <v>-7.8234669999999902E-3</v>
      </c>
      <c r="O4638">
        <v>-0.99627670000000002</v>
      </c>
      <c r="P4638">
        <v>-0.45360600000000001</v>
      </c>
      <c r="Q4638">
        <v>-8.7288329999999997E-2</v>
      </c>
      <c r="R4638">
        <v>-0.88691759999999997</v>
      </c>
      <c r="S4638">
        <v>-2.505341</v>
      </c>
      <c r="T4638">
        <v>-0.21481620000000001</v>
      </c>
      <c r="U4638">
        <v>-2.0912630000000001</v>
      </c>
      <c r="V4638">
        <v>0.37510850000000001</v>
      </c>
      <c r="W4638">
        <v>-8.3149909999999994E-2</v>
      </c>
      <c r="X4638">
        <v>0.92324410000000001</v>
      </c>
      <c r="Y4638">
        <v>0.70829830000000005</v>
      </c>
      <c r="Z4638">
        <v>6.028857E-2</v>
      </c>
      <c r="AA4638">
        <v>0.70333409999999996</v>
      </c>
      <c r="AB4638">
        <v>21</v>
      </c>
      <c r="AC4638">
        <v>-13.013199999999999</v>
      </c>
      <c r="AD4638">
        <v>-1.116847248559</v>
      </c>
      <c r="AE4638">
        <v>-10.7545</v>
      </c>
      <c r="AF4638">
        <v>11.989269029139599</v>
      </c>
      <c r="AG4638">
        <v>-1.116847248559</v>
      </c>
      <c r="AH4638">
        <v>11.7805627848682</v>
      </c>
      <c r="AI4638">
        <v>93.801461890648795</v>
      </c>
      <c r="AJ4638">
        <v>44.4969388186015</v>
      </c>
      <c r="AK4638">
        <v>16.845521041449601</v>
      </c>
      <c r="AL4638">
        <v>94.769645953023101</v>
      </c>
      <c r="AM4638">
        <v>67.888389844814697</v>
      </c>
      <c r="AN4638">
        <v>0.99999998124503398</v>
      </c>
    </row>
    <row r="4639" spans="1:40" x14ac:dyDescent="0.25">
      <c r="A4639" t="str">
        <f>"20190303154900847"</f>
        <v>20190303154900847</v>
      </c>
      <c r="B4639" t="str">
        <f>"1551599340844914"</f>
        <v>1551599340844914</v>
      </c>
      <c r="C4639" t="s">
        <v>40</v>
      </c>
      <c r="D4639">
        <v>5.5208680000000001</v>
      </c>
      <c r="E4639">
        <v>0.65919349999999999</v>
      </c>
      <c r="F4639" t="s">
        <v>59</v>
      </c>
      <c r="G4639">
        <v>-204.58109999999999</v>
      </c>
      <c r="H4639" s="1">
        <v>-8.9007340000000007E-6</v>
      </c>
      <c r="I4639">
        <v>143.9905</v>
      </c>
      <c r="J4639">
        <v>-192.60640000000001</v>
      </c>
      <c r="K4639">
        <v>1.1167339999999999</v>
      </c>
      <c r="L4639">
        <v>153.78129999999999</v>
      </c>
      <c r="M4639">
        <v>-8.9161219999999999E-2</v>
      </c>
      <c r="N4639">
        <v>-7.843002E-3</v>
      </c>
      <c r="O4639">
        <v>-0.9959865</v>
      </c>
      <c r="P4639">
        <v>-0.4605303</v>
      </c>
      <c r="Q4639">
        <v>-8.7005079999999999E-2</v>
      </c>
      <c r="R4639">
        <v>-0.88336979999999998</v>
      </c>
      <c r="S4639">
        <v>-2.5108030000000001</v>
      </c>
      <c r="T4639">
        <v>-0.23390269999999999</v>
      </c>
      <c r="U4639">
        <v>-2.075348</v>
      </c>
      <c r="V4639">
        <v>0.37924269999999999</v>
      </c>
      <c r="W4639">
        <v>-8.2991029999999993E-2</v>
      </c>
      <c r="X4639">
        <v>0.9215679</v>
      </c>
      <c r="Y4639">
        <v>0.70904209999999901</v>
      </c>
      <c r="Z4639">
        <v>6.6497230000000004E-2</v>
      </c>
      <c r="AA4639">
        <v>0.70202379999999998</v>
      </c>
      <c r="AB4639">
        <v>21</v>
      </c>
      <c r="AC4639">
        <v>-11.974699999999901</v>
      </c>
      <c r="AD4639">
        <v>-1.116742900734</v>
      </c>
      <c r="AE4639">
        <v>-9.7907999999999902</v>
      </c>
      <c r="AF4639">
        <v>10.9966973298261</v>
      </c>
      <c r="AG4639">
        <v>-1.116742900734</v>
      </c>
      <c r="AH4639">
        <v>10.763409792621999</v>
      </c>
      <c r="AI4639">
        <v>94.1509174923806</v>
      </c>
      <c r="AJ4639">
        <v>44.385762250347</v>
      </c>
      <c r="AK4639">
        <v>15.4280736721749</v>
      </c>
      <c r="AL4639">
        <v>94.760511302241198</v>
      </c>
      <c r="AM4639">
        <v>67.631903052868395</v>
      </c>
      <c r="AN4639">
        <v>0.99999996543707903</v>
      </c>
    </row>
    <row r="4640" spans="1:40" x14ac:dyDescent="0.25">
      <c r="A4640" t="str">
        <f>"20190303154900865"</f>
        <v>20190303154900865</v>
      </c>
      <c r="B4640" t="str">
        <f>"1551599340855650"</f>
        <v>1551599340855650</v>
      </c>
      <c r="C4640" t="s">
        <v>40</v>
      </c>
      <c r="D4640">
        <v>5.1573539999999998</v>
      </c>
      <c r="E4640">
        <v>0.65919349999999999</v>
      </c>
      <c r="F4640" t="s">
        <v>59</v>
      </c>
      <c r="G4640">
        <v>-203.0684</v>
      </c>
      <c r="H4640" s="1">
        <v>-9.7825990000000008E-6</v>
      </c>
      <c r="I4640">
        <v>145.1739</v>
      </c>
      <c r="J4640">
        <v>-192.62620000000001</v>
      </c>
      <c r="K4640">
        <v>1.116573</v>
      </c>
      <c r="L4640">
        <v>153.61760000000001</v>
      </c>
      <c r="M4640">
        <v>-9.3865690000000002E-2</v>
      </c>
      <c r="N4640">
        <v>-7.8717749999999993E-3</v>
      </c>
      <c r="O4640">
        <v>-0.99555400000000005</v>
      </c>
      <c r="P4640">
        <v>-0.47218779999999999</v>
      </c>
      <c r="Q4640">
        <v>-8.7511229999999995E-2</v>
      </c>
      <c r="R4640">
        <v>-0.87714389999999998</v>
      </c>
      <c r="S4640">
        <v>-2.5071110000000001</v>
      </c>
      <c r="T4640">
        <v>-0.26761580000000001</v>
      </c>
      <c r="U4640">
        <v>-2.0626679999999999</v>
      </c>
      <c r="V4640">
        <v>0.38704260000000001</v>
      </c>
      <c r="W4640">
        <v>-8.3705779999999994E-2</v>
      </c>
      <c r="X4640">
        <v>0.91825449999999997</v>
      </c>
      <c r="Y4640">
        <v>0.70669269999999995</v>
      </c>
      <c r="Z4640">
        <v>7.7488029999999999E-2</v>
      </c>
      <c r="AA4640">
        <v>0.70326460000000002</v>
      </c>
      <c r="AB4640">
        <v>21</v>
      </c>
      <c r="AC4640">
        <v>-10.4421999999999</v>
      </c>
      <c r="AD4640">
        <v>-1.116582782599</v>
      </c>
      <c r="AE4640">
        <v>-8.4436999999999998</v>
      </c>
      <c r="AF4640">
        <v>9.5375571332431903</v>
      </c>
      <c r="AG4640">
        <v>-1.116582782599</v>
      </c>
      <c r="AH4640">
        <v>9.3221629692652108</v>
      </c>
      <c r="AI4640">
        <v>94.785786688733893</v>
      </c>
      <c r="AJ4640">
        <v>44.345661551453702</v>
      </c>
      <c r="AK4640">
        <v>13.3833656307303</v>
      </c>
      <c r="AL4640">
        <v>94.801606388165794</v>
      </c>
      <c r="AM4640">
        <v>67.144665484791503</v>
      </c>
      <c r="AN4640">
        <v>0.99999997929520901</v>
      </c>
    </row>
    <row r="4641" spans="1:40" x14ac:dyDescent="0.25">
      <c r="A4641" t="str">
        <f>"20190303154900878"</f>
        <v>20190303154900878</v>
      </c>
      <c r="B4641" t="str">
        <f>"1551599340865409"</f>
        <v>1551599340865409</v>
      </c>
      <c r="C4641" t="s">
        <v>40</v>
      </c>
      <c r="D4641">
        <v>5.5596209999999999</v>
      </c>
      <c r="E4641">
        <v>0.65801009999999904</v>
      </c>
      <c r="F4641" t="s">
        <v>59</v>
      </c>
      <c r="G4641">
        <v>-203.23220000000001</v>
      </c>
      <c r="H4641" s="1">
        <v>-9.7078959999999997E-6</v>
      </c>
      <c r="I4641">
        <v>145.12459999999999</v>
      </c>
      <c r="J4641">
        <v>-192.6412</v>
      </c>
      <c r="K4641">
        <v>1.1164449999999999</v>
      </c>
      <c r="L4641">
        <v>153.4991</v>
      </c>
      <c r="M4641">
        <v>-9.7401280000000007E-2</v>
      </c>
      <c r="N4641">
        <v>-7.8944500000000008E-3</v>
      </c>
      <c r="O4641">
        <v>-0.99521400000000004</v>
      </c>
      <c r="P4641">
        <v>-0.47903859999999898</v>
      </c>
      <c r="Q4641">
        <v>-8.8333869999999995E-2</v>
      </c>
      <c r="R4641">
        <v>-0.87333809999999901</v>
      </c>
      <c r="S4641">
        <v>-2.5342410000000002</v>
      </c>
      <c r="T4641">
        <v>-0.26680090000000001</v>
      </c>
      <c r="U4641">
        <v>-2.0293429999999999</v>
      </c>
      <c r="V4641">
        <v>0.39093719999999998</v>
      </c>
      <c r="W4641">
        <v>-8.4673200000000004E-2</v>
      </c>
      <c r="X4641">
        <v>0.91651439999999995</v>
      </c>
      <c r="Y4641">
        <v>0.71346969999999899</v>
      </c>
      <c r="Z4641">
        <v>7.7363959999999996E-2</v>
      </c>
      <c r="AA4641">
        <v>0.69640199999999997</v>
      </c>
      <c r="AB4641">
        <v>21</v>
      </c>
      <c r="AC4641">
        <v>-10.590999999999999</v>
      </c>
      <c r="AD4641">
        <v>-1.1164547078960001</v>
      </c>
      <c r="AE4641">
        <v>-8.37450000000001</v>
      </c>
      <c r="AF4641">
        <v>9.65888454837091</v>
      </c>
      <c r="AG4641">
        <v>-1.1164547078960001</v>
      </c>
      <c r="AH4641">
        <v>9.3026810707993501</v>
      </c>
      <c r="AI4641">
        <v>94.759129596195095</v>
      </c>
      <c r="AJ4641">
        <v>43.923793737399102</v>
      </c>
      <c r="AK4641">
        <v>13.456611644041301</v>
      </c>
      <c r="AL4641">
        <v>94.857232640846306</v>
      </c>
      <c r="AM4641">
        <v>66.899435118232901</v>
      </c>
      <c r="AN4641">
        <v>1.00000004527471</v>
      </c>
    </row>
    <row r="4642" spans="1:40" x14ac:dyDescent="0.25">
      <c r="A4642" t="str">
        <f>"20190303154900890"</f>
        <v>20190303154900890</v>
      </c>
      <c r="B4642" t="str">
        <f>"1551599340884930"</f>
        <v>1551599340884930</v>
      </c>
      <c r="C4642" t="s">
        <v>40</v>
      </c>
      <c r="D4642">
        <v>5.6070570000000002</v>
      </c>
      <c r="E4642">
        <v>0.65570890000000004</v>
      </c>
      <c r="F4642" t="s">
        <v>59</v>
      </c>
      <c r="G4642">
        <v>-202.6071</v>
      </c>
      <c r="H4642" s="1">
        <v>-1.00938E-5</v>
      </c>
      <c r="I4642">
        <v>145.6071</v>
      </c>
      <c r="J4642">
        <v>-192.6576</v>
      </c>
      <c r="K4642">
        <v>1.1163080000000001</v>
      </c>
      <c r="L4642">
        <v>153.37540000000001</v>
      </c>
      <c r="M4642">
        <v>-0.1012469</v>
      </c>
      <c r="N4642">
        <v>-7.9209469999999994E-3</v>
      </c>
      <c r="O4642">
        <v>-0.99482999999999999</v>
      </c>
      <c r="P4642">
        <v>-0.48614200000000002</v>
      </c>
      <c r="Q4642">
        <v>-8.8543999999999998E-2</v>
      </c>
      <c r="R4642">
        <v>-0.86938259999999901</v>
      </c>
      <c r="S4642">
        <v>-2.5411990000000002</v>
      </c>
      <c r="T4642">
        <v>-0.2846841</v>
      </c>
      <c r="U4642">
        <v>-2.0123600000000001</v>
      </c>
      <c r="V4642">
        <v>0.3948313</v>
      </c>
      <c r="W4642">
        <v>-8.5042229999999996E-2</v>
      </c>
      <c r="X4642">
        <v>0.91480930000000005</v>
      </c>
      <c r="Y4642">
        <v>0.71417159999999902</v>
      </c>
      <c r="Z4642">
        <v>8.326335E-2</v>
      </c>
      <c r="AA4642">
        <v>0.69500079999999997</v>
      </c>
      <c r="AB4642">
        <v>21</v>
      </c>
      <c r="AC4642">
        <v>-9.9495000000000005</v>
      </c>
      <c r="AD4642">
        <v>-1.1163180937999999</v>
      </c>
      <c r="AE4642">
        <v>-7.7683000000000098</v>
      </c>
      <c r="AF4642">
        <v>9.0411195894551408</v>
      </c>
      <c r="AG4642">
        <v>-1.1163180937999999</v>
      </c>
      <c r="AH4642">
        <v>8.6679753009978207</v>
      </c>
      <c r="AI4642">
        <v>95.093154135151707</v>
      </c>
      <c r="AJ4642">
        <v>43.792912351866399</v>
      </c>
      <c r="AK4642">
        <v>12.5746493126481</v>
      </c>
      <c r="AL4642">
        <v>94.878453283502907</v>
      </c>
      <c r="AM4642">
        <v>66.654993010204805</v>
      </c>
      <c r="AN4642">
        <v>0.99999999585477595</v>
      </c>
    </row>
    <row r="4643" spans="1:40" x14ac:dyDescent="0.25">
      <c r="A4643" t="str">
        <f>"20190303154900907"</f>
        <v>20190303154900907</v>
      </c>
      <c r="B4643" t="str">
        <f>"1551599340895666"</f>
        <v>1551599340895666</v>
      </c>
      <c r="C4643" t="s">
        <v>40</v>
      </c>
      <c r="D4643">
        <v>5.6268750000000001</v>
      </c>
      <c r="E4643">
        <v>0.65482819999999997</v>
      </c>
      <c r="F4643" t="s">
        <v>59</v>
      </c>
      <c r="G4643">
        <v>-201.69069999999999</v>
      </c>
      <c r="H4643" s="1">
        <v>-1.0696949999999999E-5</v>
      </c>
      <c r="I4643">
        <v>146.26859999999999</v>
      </c>
      <c r="J4643">
        <v>-192.67750000000001</v>
      </c>
      <c r="K4643">
        <v>1.116133</v>
      </c>
      <c r="L4643">
        <v>153.22970000000001</v>
      </c>
      <c r="M4643">
        <v>-0.1059244</v>
      </c>
      <c r="N4643">
        <v>-7.954493E-3</v>
      </c>
      <c r="O4643">
        <v>-0.99434239999999996</v>
      </c>
      <c r="P4643">
        <v>-0.49361739999999998</v>
      </c>
      <c r="Q4643">
        <v>-8.8900759999999995E-2</v>
      </c>
      <c r="R4643">
        <v>-0.86512359999999899</v>
      </c>
      <c r="S4643">
        <v>-2.540054</v>
      </c>
      <c r="T4643">
        <v>-0.3138994</v>
      </c>
      <c r="U4643">
        <v>-1.998383</v>
      </c>
      <c r="V4643">
        <v>0.39837240000000002</v>
      </c>
      <c r="W4643">
        <v>-8.5584729999999998E-2</v>
      </c>
      <c r="X4643">
        <v>0.91322219999999998</v>
      </c>
      <c r="Y4643">
        <v>0.71241209999999999</v>
      </c>
      <c r="Z4643">
        <v>9.2915479999999995E-2</v>
      </c>
      <c r="AA4643">
        <v>0.69558299999999995</v>
      </c>
      <c r="AB4643">
        <v>21</v>
      </c>
      <c r="AC4643">
        <v>-9.0131999999999799</v>
      </c>
      <c r="AD4643">
        <v>-1.11614369694999</v>
      </c>
      <c r="AE4643">
        <v>-6.9611000000000098</v>
      </c>
      <c r="AF4643">
        <v>8.1468622150424501</v>
      </c>
      <c r="AG4643">
        <v>-1.11614369694999</v>
      </c>
      <c r="AH4643">
        <v>7.8017443211090898</v>
      </c>
      <c r="AI4643">
        <v>95.650956224286503</v>
      </c>
      <c r="AJ4643">
        <v>43.760348552367702</v>
      </c>
      <c r="AK4643">
        <v>11.335093963222601</v>
      </c>
      <c r="AL4643">
        <v>94.909649712035204</v>
      </c>
      <c r="AM4643">
        <v>66.431859009891198</v>
      </c>
      <c r="AN4643">
        <v>1.00000005083188</v>
      </c>
    </row>
    <row r="4644" spans="1:40" x14ac:dyDescent="0.25">
      <c r="A4644" t="str">
        <f>"20190303154900922"</f>
        <v>20190303154900922</v>
      </c>
      <c r="B4644" t="str">
        <f>"1551599340915185"</f>
        <v>1551599340915185</v>
      </c>
      <c r="C4644" t="s">
        <v>40</v>
      </c>
      <c r="D4644">
        <v>5.6380229999999996</v>
      </c>
      <c r="E4644">
        <v>0.65306249999999999</v>
      </c>
      <c r="F4644" t="s">
        <v>59</v>
      </c>
      <c r="G4644">
        <v>-201.39150000000001</v>
      </c>
      <c r="H4644" s="1">
        <v>-1.088929E-5</v>
      </c>
      <c r="I4644">
        <v>146.4691</v>
      </c>
      <c r="J4644">
        <v>-192.69970000000001</v>
      </c>
      <c r="K4644">
        <v>1.115936</v>
      </c>
      <c r="L4644">
        <v>153.0744</v>
      </c>
      <c r="M4644">
        <v>-0.1111116</v>
      </c>
      <c r="N4644">
        <v>-7.9937500000000009E-3</v>
      </c>
      <c r="O4644">
        <v>-0.99377579999999999</v>
      </c>
      <c r="P4644">
        <v>-0.50475599999999998</v>
      </c>
      <c r="Q4644">
        <v>-8.7644730000000004E-2</v>
      </c>
      <c r="R4644">
        <v>-0.85880129999999999</v>
      </c>
      <c r="S4644">
        <v>-2.5505979999999999</v>
      </c>
      <c r="T4644">
        <v>-0.32669769999999998</v>
      </c>
      <c r="U4644">
        <v>-1.978836</v>
      </c>
      <c r="V4644">
        <v>0.40534809999999999</v>
      </c>
      <c r="W4644">
        <v>-8.4584210000000007E-2</v>
      </c>
      <c r="X4644">
        <v>0.91024090000000002</v>
      </c>
      <c r="Y4644">
        <v>0.71314999999999995</v>
      </c>
      <c r="Z4644">
        <v>9.724969E-2</v>
      </c>
      <c r="AA4644">
        <v>0.69423310000000005</v>
      </c>
      <c r="AB4644">
        <v>21</v>
      </c>
      <c r="AC4644">
        <v>-8.6918000000000006</v>
      </c>
      <c r="AD4644">
        <v>-1.11594688929</v>
      </c>
      <c r="AE4644">
        <v>-6.6052999999999997</v>
      </c>
      <c r="AF4644">
        <v>7.8222888931514802</v>
      </c>
      <c r="AG4644">
        <v>-1.11594688929</v>
      </c>
      <c r="AH4644">
        <v>7.4523150254084998</v>
      </c>
      <c r="AI4644">
        <v>95.897207954750598</v>
      </c>
      <c r="AJ4644">
        <v>43.612481394249997</v>
      </c>
      <c r="AK4644">
        <v>10.8614244105258</v>
      </c>
      <c r="AL4644">
        <v>94.852115590104802</v>
      </c>
      <c r="AM4644">
        <v>65.995653581430204</v>
      </c>
      <c r="AN4644">
        <v>1.0000000333938699</v>
      </c>
    </row>
    <row r="4645" spans="1:40" x14ac:dyDescent="0.25">
      <c r="A4645" t="str">
        <f>"20190303154900944"</f>
        <v>20190303154900944</v>
      </c>
      <c r="B4645" t="str">
        <f>"1551599340935681"</f>
        <v>1551599340935681</v>
      </c>
      <c r="C4645" t="s">
        <v>40</v>
      </c>
      <c r="D4645">
        <v>5.6119599999999998</v>
      </c>
      <c r="E4645">
        <v>0.65226729999999999</v>
      </c>
      <c r="F4645" t="s">
        <v>59</v>
      </c>
      <c r="G4645">
        <v>-201.05340000000001</v>
      </c>
      <c r="H4645" s="1">
        <v>-1.111135E-5</v>
      </c>
      <c r="I4645">
        <v>146.7116</v>
      </c>
      <c r="J4645">
        <v>-192.73079999999999</v>
      </c>
      <c r="K4645">
        <v>1.1156759999999999</v>
      </c>
      <c r="L4645">
        <v>152.86959999999999</v>
      </c>
      <c r="M4645">
        <v>-0.1183082</v>
      </c>
      <c r="N4645">
        <v>-8.0504159999999995E-3</v>
      </c>
      <c r="O4645">
        <v>-0.99294439999999995</v>
      </c>
      <c r="P4645">
        <v>-0.51647979999999905</v>
      </c>
      <c r="Q4645">
        <v>-8.5713709999999999E-2</v>
      </c>
      <c r="R4645">
        <v>-0.85199919999999996</v>
      </c>
      <c r="S4645">
        <v>-2.5627900000000001</v>
      </c>
      <c r="T4645">
        <v>-0.34235569999999999</v>
      </c>
      <c r="U4645">
        <v>-1.9520109999999999</v>
      </c>
      <c r="V4645">
        <v>0.41115950000000001</v>
      </c>
      <c r="W4645">
        <v>-8.2953680000000002E-2</v>
      </c>
      <c r="X4645">
        <v>0.90778110000000001</v>
      </c>
      <c r="Y4645">
        <v>0.71383680000000005</v>
      </c>
      <c r="Z4645">
        <v>0.102668</v>
      </c>
      <c r="AA4645">
        <v>0.69274550000000001</v>
      </c>
      <c r="AB4645">
        <v>21</v>
      </c>
      <c r="AC4645">
        <v>-8.3226000000000209</v>
      </c>
      <c r="AD4645">
        <v>-1.11568711135</v>
      </c>
      <c r="AE4645">
        <v>-6.1579999999999799</v>
      </c>
      <c r="AF4645">
        <v>7.44907447098708</v>
      </c>
      <c r="AG4645">
        <v>-1.11568711135</v>
      </c>
      <c r="AH4645">
        <v>7.0179137248599304</v>
      </c>
      <c r="AI4645">
        <v>96.221534292812294</v>
      </c>
      <c r="AJ4645">
        <v>43.292914843477703</v>
      </c>
      <c r="AK4645">
        <v>10.294881313270199</v>
      </c>
      <c r="AL4645">
        <v>94.758363799820401</v>
      </c>
      <c r="AM4645">
        <v>65.632895451219099</v>
      </c>
      <c r="AN4645">
        <v>0.99999998649150101</v>
      </c>
    </row>
    <row r="4646" spans="1:40" x14ac:dyDescent="0.25">
      <c r="A4646" t="str">
        <f>"20190303154900958"</f>
        <v>20190303154900958</v>
      </c>
      <c r="B4646" t="str">
        <f>"1551599340955637"</f>
        <v>1551599340955637</v>
      </c>
      <c r="C4646" t="s">
        <v>40</v>
      </c>
      <c r="D4646">
        <v>5.6239330000000001</v>
      </c>
      <c r="E4646">
        <v>0.63830819999999999</v>
      </c>
      <c r="F4646" t="s">
        <v>59</v>
      </c>
      <c r="G4646">
        <v>-201.1157</v>
      </c>
      <c r="H4646" s="1">
        <v>-1.106176E-5</v>
      </c>
      <c r="I4646">
        <v>146.6377</v>
      </c>
      <c r="J4646">
        <v>-192.75280000000001</v>
      </c>
      <c r="K4646">
        <v>1.115497</v>
      </c>
      <c r="L4646">
        <v>152.7313</v>
      </c>
      <c r="M4646">
        <v>-0.12335550000000001</v>
      </c>
      <c r="N4646">
        <v>-8.0895729999999992E-3</v>
      </c>
      <c r="O4646">
        <v>-0.99232969999999998</v>
      </c>
      <c r="P4646">
        <v>-0.52355750000000001</v>
      </c>
      <c r="Q4646">
        <v>-8.4640090000000001E-2</v>
      </c>
      <c r="R4646">
        <v>-0.84777579999999997</v>
      </c>
      <c r="S4646">
        <v>-2.58371</v>
      </c>
      <c r="T4646">
        <v>-0.34378710000000001</v>
      </c>
      <c r="U4646">
        <v>-1.9203030000000001</v>
      </c>
      <c r="V4646">
        <v>0.4140625</v>
      </c>
      <c r="W4646">
        <v>-8.2068210000000003E-2</v>
      </c>
      <c r="X4646">
        <v>0.90654129999999999</v>
      </c>
      <c r="Y4646">
        <v>0.718375599999999</v>
      </c>
      <c r="Z4646">
        <v>0.1034056</v>
      </c>
      <c r="AA4646">
        <v>0.68792719999999996</v>
      </c>
      <c r="AB4646">
        <v>21</v>
      </c>
      <c r="AC4646">
        <v>-8.3628999999999891</v>
      </c>
      <c r="AD4646">
        <v>-1.1155080617599999</v>
      </c>
      <c r="AE4646">
        <v>-6.0936000000000003</v>
      </c>
      <c r="AF4646">
        <v>7.4606144055379202</v>
      </c>
      <c r="AG4646">
        <v>-1.1155080617599999</v>
      </c>
      <c r="AH4646">
        <v>6.9973778212698896</v>
      </c>
      <c r="AI4646">
        <v>96.223957038441995</v>
      </c>
      <c r="AJ4646">
        <v>43.164861060379401</v>
      </c>
      <c r="AK4646">
        <v>10.289238160212401</v>
      </c>
      <c r="AL4646">
        <v>94.707456280407101</v>
      </c>
      <c r="AM4646">
        <v>65.451462157964897</v>
      </c>
      <c r="AN4646">
        <v>1.0000000368022699</v>
      </c>
    </row>
    <row r="4647" spans="1:40" x14ac:dyDescent="0.25">
      <c r="A4647" t="str">
        <f>"20190303154900978"</f>
        <v>20190303154900978</v>
      </c>
      <c r="B4647" t="str">
        <f>"1551599340965396"</f>
        <v>1551599340965396</v>
      </c>
      <c r="C4647" t="s">
        <v>40</v>
      </c>
      <c r="D4647">
        <v>5.6135149999999996</v>
      </c>
      <c r="E4647">
        <v>0.63808069999999995</v>
      </c>
      <c r="F4647" t="s">
        <v>59</v>
      </c>
      <c r="G4647">
        <v>-198.7766</v>
      </c>
      <c r="H4647" s="1">
        <v>-1.1821099999999999E-5</v>
      </c>
      <c r="I4647">
        <v>148.0343</v>
      </c>
      <c r="J4647">
        <v>-192.78229999999999</v>
      </c>
      <c r="K4647">
        <v>1.115291</v>
      </c>
      <c r="L4647">
        <v>152.55529999999999</v>
      </c>
      <c r="M4647">
        <v>-0.1300374</v>
      </c>
      <c r="N4647">
        <v>-8.1395789999999992E-3</v>
      </c>
      <c r="O4647">
        <v>-0.99147560000000001</v>
      </c>
      <c r="P4647">
        <v>-0.5348948</v>
      </c>
      <c r="Q4647">
        <v>-8.269319E-2</v>
      </c>
      <c r="R4647">
        <v>-0.84086240000000001</v>
      </c>
      <c r="S4647">
        <v>-2.4994200000000002</v>
      </c>
      <c r="T4647">
        <v>-0.46285569999999998</v>
      </c>
      <c r="U4647">
        <v>-1.9489289999999999</v>
      </c>
      <c r="V4647">
        <v>0.42007040000000001</v>
      </c>
      <c r="W4647">
        <v>-8.0388810000000005E-2</v>
      </c>
      <c r="X4647">
        <v>0.9039239</v>
      </c>
      <c r="Y4647">
        <v>0.69353769999999904</v>
      </c>
      <c r="Z4647">
        <v>0.14338399999999901</v>
      </c>
      <c r="AA4647">
        <v>0.70600750000000001</v>
      </c>
      <c r="AB4647">
        <v>21</v>
      </c>
      <c r="AC4647">
        <v>-5.9943000000000097</v>
      </c>
      <c r="AD4647">
        <v>-1.1153028211</v>
      </c>
      <c r="AE4647">
        <v>-4.5209999999999804</v>
      </c>
      <c r="AF4647">
        <v>5.2398567415704003</v>
      </c>
      <c r="AG4647">
        <v>-1.1153028211</v>
      </c>
      <c r="AH4647">
        <v>5.1485105829260096</v>
      </c>
      <c r="AI4647">
        <v>98.633010258421706</v>
      </c>
      <c r="AJ4647">
        <v>44.496204329468902</v>
      </c>
      <c r="AK4647">
        <v>7.4301521032503501</v>
      </c>
      <c r="AL4647">
        <v>94.610915076967203</v>
      </c>
      <c r="AM4647">
        <v>65.074822535543206</v>
      </c>
      <c r="AN4647">
        <v>0.99999995936029196</v>
      </c>
    </row>
    <row r="4648" spans="1:40" x14ac:dyDescent="0.25">
      <c r="A4648" t="str">
        <f>"20190303154900990"</f>
        <v>20190303154900990</v>
      </c>
      <c r="B4648" t="str">
        <f>"1551599340984917"</f>
        <v>1551599340984917</v>
      </c>
      <c r="C4648" t="s">
        <v>40</v>
      </c>
      <c r="D4648">
        <v>5.6420250000000003</v>
      </c>
      <c r="E4648">
        <v>0.6369745</v>
      </c>
      <c r="F4648" t="s">
        <v>59</v>
      </c>
      <c r="G4648">
        <v>-198.94810000000001</v>
      </c>
      <c r="H4648" s="1">
        <v>-1.17978399999999E-5</v>
      </c>
      <c r="I4648">
        <v>147.8733</v>
      </c>
      <c r="J4648">
        <v>-192.80459999999999</v>
      </c>
      <c r="K4648">
        <v>1.115138</v>
      </c>
      <c r="L4648">
        <v>152.4281</v>
      </c>
      <c r="M4648">
        <v>-0.1350712</v>
      </c>
      <c r="N4648">
        <v>-8.1776599999999998E-3</v>
      </c>
      <c r="O4648">
        <v>-0.99080230000000002</v>
      </c>
      <c r="P4648">
        <v>-0.542161</v>
      </c>
      <c r="Q4648">
        <v>-8.1824380000000002E-2</v>
      </c>
      <c r="R4648">
        <v>-0.83628179999999996</v>
      </c>
      <c r="S4648">
        <v>-2.5244900000000001</v>
      </c>
      <c r="T4648">
        <v>-0.45664100000000002</v>
      </c>
      <c r="U4648">
        <v>-1.9169769999999999</v>
      </c>
      <c r="V4648">
        <v>0.4232747</v>
      </c>
      <c r="W4648">
        <v>-7.970323E-2</v>
      </c>
      <c r="X4648">
        <v>0.90248879999999998</v>
      </c>
      <c r="Y4648">
        <v>0.69914500000000002</v>
      </c>
      <c r="Z4648">
        <v>0.141655</v>
      </c>
      <c r="AA4648">
        <v>0.70080679999999995</v>
      </c>
      <c r="AB4648">
        <v>21</v>
      </c>
      <c r="AC4648">
        <v>-6.1435000000000102</v>
      </c>
      <c r="AD4648">
        <v>-1.11514979784</v>
      </c>
      <c r="AE4648">
        <v>-4.5548000000000002</v>
      </c>
      <c r="AF4648">
        <v>5.35803397597362</v>
      </c>
      <c r="AG4648">
        <v>-1.11514979784</v>
      </c>
      <c r="AH4648">
        <v>5.2316611595560696</v>
      </c>
      <c r="AI4648">
        <v>98.469869245536401</v>
      </c>
      <c r="AJ4648">
        <v>44.316289539027501</v>
      </c>
      <c r="AK4648">
        <v>7.5711535216053996</v>
      </c>
      <c r="AL4648">
        <v>94.571507343052104</v>
      </c>
      <c r="AM4648">
        <v>64.873034831379897</v>
      </c>
      <c r="AN4648">
        <v>1.0000000553289701</v>
      </c>
    </row>
    <row r="4649" spans="1:40" x14ac:dyDescent="0.25">
      <c r="A4649" t="str">
        <f>"20190303154901003"</f>
        <v>20190303154901003</v>
      </c>
      <c r="B4649" t="str">
        <f>"1551599340995652"</f>
        <v>1551599340995652</v>
      </c>
      <c r="C4649" t="s">
        <v>40</v>
      </c>
      <c r="D4649">
        <v>5.6660079999999997</v>
      </c>
      <c r="E4649">
        <v>0.63646380000000002</v>
      </c>
      <c r="F4649" t="s">
        <v>59</v>
      </c>
      <c r="G4649">
        <v>-198.9924</v>
      </c>
      <c r="H4649" s="1">
        <v>-1.1778790000000001E-5</v>
      </c>
      <c r="I4649">
        <v>147.78790000000001</v>
      </c>
      <c r="J4649">
        <v>-192.82599999999999</v>
      </c>
      <c r="K4649">
        <v>1.1149899999999999</v>
      </c>
      <c r="L4649">
        <v>152.30930000000001</v>
      </c>
      <c r="M4649">
        <v>-0.13987769999999999</v>
      </c>
      <c r="N4649">
        <v>-8.2140579999999998E-3</v>
      </c>
      <c r="O4649">
        <v>-0.99013470000000003</v>
      </c>
      <c r="P4649">
        <v>-0.54912810000000001</v>
      </c>
      <c r="Q4649">
        <v>-8.142133E-2</v>
      </c>
      <c r="R4649">
        <v>-0.83176240000000001</v>
      </c>
      <c r="S4649">
        <v>-2.5336910000000001</v>
      </c>
      <c r="T4649">
        <v>-0.45661629999999997</v>
      </c>
      <c r="U4649">
        <v>-1.90004</v>
      </c>
      <c r="V4649">
        <v>0.42639899999999997</v>
      </c>
      <c r="W4649">
        <v>-7.9479809999999998E-2</v>
      </c>
      <c r="X4649">
        <v>0.90103659999999997</v>
      </c>
      <c r="Y4649">
        <v>0.6998936</v>
      </c>
      <c r="Z4649">
        <v>0.1419686</v>
      </c>
      <c r="AA4649">
        <v>0.699995699999999</v>
      </c>
      <c r="AB4649">
        <v>21</v>
      </c>
      <c r="AC4649">
        <v>-6.1664000000000003</v>
      </c>
      <c r="AD4649">
        <v>-1.11500177879</v>
      </c>
      <c r="AE4649">
        <v>-4.5213999999999999</v>
      </c>
      <c r="AF4649">
        <v>5.3593494033664797</v>
      </c>
      <c r="AG4649">
        <v>-1.11500177879</v>
      </c>
      <c r="AH4649">
        <v>5.2283438345772097</v>
      </c>
      <c r="AI4649">
        <v>98.4702947191753</v>
      </c>
      <c r="AJ4649">
        <v>44.291093632028101</v>
      </c>
      <c r="AK4649">
        <v>7.5697710828420099</v>
      </c>
      <c r="AL4649">
        <v>94.558665600912306</v>
      </c>
      <c r="AM4649">
        <v>64.675007649730006</v>
      </c>
      <c r="AN4649">
        <v>1.0000000509690901</v>
      </c>
    </row>
    <row r="4650" spans="1:40" x14ac:dyDescent="0.25">
      <c r="A4650" t="str">
        <f>"20190303154901016"</f>
        <v>20190303154901016</v>
      </c>
      <c r="B4650" t="str">
        <f>"1551599341005412"</f>
        <v>1551599341005412</v>
      </c>
      <c r="C4650" t="s">
        <v>40</v>
      </c>
      <c r="D4650">
        <v>5.68119</v>
      </c>
      <c r="E4650">
        <v>0.63646380000000002</v>
      </c>
      <c r="F4650" t="s">
        <v>59</v>
      </c>
      <c r="G4650">
        <v>-199.0444</v>
      </c>
      <c r="H4650" s="1">
        <v>-1.17645899999999E-5</v>
      </c>
      <c r="I4650">
        <v>147.715</v>
      </c>
      <c r="J4650">
        <v>-192.84960000000001</v>
      </c>
      <c r="K4650">
        <v>1.114824</v>
      </c>
      <c r="L4650">
        <v>152.18360000000001</v>
      </c>
      <c r="M4650">
        <v>-0.14516570000000001</v>
      </c>
      <c r="N4650">
        <v>-8.2565199999999998E-3</v>
      </c>
      <c r="O4650">
        <v>-0.9893729</v>
      </c>
      <c r="P4650">
        <v>-0.55641309999999999</v>
      </c>
      <c r="Q4650">
        <v>-8.0776890000000004E-2</v>
      </c>
      <c r="R4650">
        <v>-0.82697019999999899</v>
      </c>
      <c r="S4650">
        <v>-2.5461580000000001</v>
      </c>
      <c r="T4650">
        <v>-0.4565401</v>
      </c>
      <c r="U4650">
        <v>-1.881149</v>
      </c>
      <c r="V4650">
        <v>0.42946079999999998</v>
      </c>
      <c r="W4650">
        <v>-7.902969E-2</v>
      </c>
      <c r="X4650">
        <v>0.89962089999999995</v>
      </c>
      <c r="Y4650">
        <v>0.7010864</v>
      </c>
      <c r="Z4650">
        <v>0.142213899999999</v>
      </c>
      <c r="AA4650">
        <v>0.69875109999999996</v>
      </c>
      <c r="AB4650">
        <v>21</v>
      </c>
      <c r="AC4650">
        <v>-6.1947999999999803</v>
      </c>
      <c r="AD4650">
        <v>-1.11483576459</v>
      </c>
      <c r="AE4650">
        <v>-4.4686000000000003</v>
      </c>
      <c r="AF4650">
        <v>5.3661552966774799</v>
      </c>
      <c r="AG4650">
        <v>-1.11483576459</v>
      </c>
      <c r="AH4650">
        <v>5.2095894794522399</v>
      </c>
      <c r="AI4650">
        <v>98.478205247265905</v>
      </c>
      <c r="AJ4650">
        <v>44.151841740360197</v>
      </c>
      <c r="AK4650">
        <v>7.5616336855528896</v>
      </c>
      <c r="AL4650">
        <v>94.532794398157705</v>
      </c>
      <c r="AM4650">
        <v>64.481135495511793</v>
      </c>
      <c r="AN4650">
        <v>1.0000000171774699</v>
      </c>
    </row>
    <row r="4651" spans="1:40" x14ac:dyDescent="0.25">
      <c r="A4651" t="str">
        <f>"20190303154901033"</f>
        <v>20190303154901033</v>
      </c>
      <c r="B4651" t="str">
        <f>"1551599341024931"</f>
        <v>1551599341024931</v>
      </c>
      <c r="C4651" t="s">
        <v>40</v>
      </c>
      <c r="D4651">
        <v>5.6669710000000002</v>
      </c>
      <c r="E4651">
        <v>0.63475570000000003</v>
      </c>
      <c r="F4651" t="s">
        <v>59</v>
      </c>
      <c r="G4651">
        <v>-199.14259999999999</v>
      </c>
      <c r="H4651" s="1">
        <v>-1.174998E-5</v>
      </c>
      <c r="I4651">
        <v>147.61850000000001</v>
      </c>
      <c r="J4651">
        <v>-192.88210000000001</v>
      </c>
      <c r="K4651">
        <v>1.1145959999999999</v>
      </c>
      <c r="L4651">
        <v>152.0172</v>
      </c>
      <c r="M4651">
        <v>-0.15240319999999999</v>
      </c>
      <c r="N4651">
        <v>-8.3167850000000001E-3</v>
      </c>
      <c r="O4651">
        <v>-0.98828360000000004</v>
      </c>
      <c r="P4651">
        <v>-0.56766749999999999</v>
      </c>
      <c r="Q4651">
        <v>-7.9697329999999997E-2</v>
      </c>
      <c r="R4651">
        <v>-0.81939150000000005</v>
      </c>
      <c r="S4651">
        <v>-2.562729</v>
      </c>
      <c r="T4651">
        <v>-0.45399669999999998</v>
      </c>
      <c r="U4651">
        <v>-1.8590549999999999</v>
      </c>
      <c r="V4651">
        <v>0.43511739999999999</v>
      </c>
      <c r="W4651">
        <v>-7.8239669999999997E-2</v>
      </c>
      <c r="X4651">
        <v>0.89696790000000004</v>
      </c>
      <c r="Y4651">
        <v>0.70208719999999902</v>
      </c>
      <c r="Z4651">
        <v>0.14164849999999901</v>
      </c>
      <c r="AA4651">
        <v>0.69786049999999999</v>
      </c>
      <c r="AB4651">
        <v>21</v>
      </c>
      <c r="AC4651">
        <v>-6.2604999999999702</v>
      </c>
      <c r="AD4651">
        <v>-1.11460774998</v>
      </c>
      <c r="AE4651">
        <v>-4.3986999999999901</v>
      </c>
      <c r="AF4651">
        <v>5.4023186757007897</v>
      </c>
      <c r="AG4651">
        <v>-1.11460774998</v>
      </c>
      <c r="AH4651">
        <v>5.1912991695869399</v>
      </c>
      <c r="AI4651">
        <v>98.461662093999706</v>
      </c>
      <c r="AJ4651">
        <v>43.858847984309598</v>
      </c>
      <c r="AK4651">
        <v>7.5747597043269401</v>
      </c>
      <c r="AL4651">
        <v>94.487389039788795</v>
      </c>
      <c r="AM4651">
        <v>64.122065834632707</v>
      </c>
      <c r="AN4651">
        <v>1.0000000056874301</v>
      </c>
    </row>
    <row r="4652" spans="1:40" x14ac:dyDescent="0.25">
      <c r="A4652" t="str">
        <f>"20190303154901047"</f>
        <v>20190303154901047</v>
      </c>
      <c r="B4652" t="str">
        <f>"1551599341035669"</f>
        <v>1551599341035669</v>
      </c>
      <c r="C4652" t="s">
        <v>40</v>
      </c>
      <c r="D4652">
        <v>5.6367609999999999</v>
      </c>
      <c r="E4652">
        <v>0.63475570000000003</v>
      </c>
      <c r="F4652" t="s">
        <v>59</v>
      </c>
      <c r="G4652">
        <v>-199.22450000000001</v>
      </c>
      <c r="H4652" s="1">
        <v>-1.172916E-5</v>
      </c>
      <c r="I4652">
        <v>147.50899999999999</v>
      </c>
      <c r="J4652">
        <v>-192.90809999999999</v>
      </c>
      <c r="K4652">
        <v>1.1144240000000001</v>
      </c>
      <c r="L4652">
        <v>151.88999999999999</v>
      </c>
      <c r="M4652">
        <v>-0.15811049999999999</v>
      </c>
      <c r="N4652">
        <v>-8.3651779999999992E-3</v>
      </c>
      <c r="O4652">
        <v>-0.98738610000000004</v>
      </c>
      <c r="P4652">
        <v>-0.57475189999999998</v>
      </c>
      <c r="Q4652">
        <v>-7.8728909999999999E-2</v>
      </c>
      <c r="R4652">
        <v>-0.81453219999999904</v>
      </c>
      <c r="S4652">
        <v>-2.5770870000000001</v>
      </c>
      <c r="T4652">
        <v>-0.45290059999999899</v>
      </c>
      <c r="U4652">
        <v>-1.8318179999999999</v>
      </c>
      <c r="V4652">
        <v>0.43767440000000002</v>
      </c>
      <c r="W4652">
        <v>-7.7466090000000001E-2</v>
      </c>
      <c r="X4652">
        <v>0.89579019999999998</v>
      </c>
      <c r="Y4652">
        <v>0.70473129999999995</v>
      </c>
      <c r="Z4652">
        <v>0.1417349</v>
      </c>
      <c r="AA4652">
        <v>0.69517269999999998</v>
      </c>
      <c r="AB4652">
        <v>21</v>
      </c>
      <c r="AC4652">
        <v>-6.3164000000000096</v>
      </c>
      <c r="AD4652">
        <v>-1.11443572916</v>
      </c>
      <c r="AE4652">
        <v>-4.3810000000000002</v>
      </c>
      <c r="AF4652">
        <v>5.43010578861049</v>
      </c>
      <c r="AG4652">
        <v>-1.11443572916</v>
      </c>
      <c r="AH4652">
        <v>5.2150033982205297</v>
      </c>
      <c r="AI4652">
        <v>98.419991749035006</v>
      </c>
      <c r="AJ4652">
        <v>43.842399647926499</v>
      </c>
      <c r="AK4652">
        <v>7.6107999785424196</v>
      </c>
      <c r="AL4652">
        <v>94.442931353024704</v>
      </c>
      <c r="AM4652">
        <v>63.960314125849401</v>
      </c>
      <c r="AN4652">
        <v>0.99999997896564297</v>
      </c>
    </row>
    <row r="4653" spans="1:40" x14ac:dyDescent="0.25">
      <c r="A4653" t="str">
        <f>"20190303154901060"</f>
        <v>20190303154901060</v>
      </c>
      <c r="B4653" t="str">
        <f>"1551599341055188"</f>
        <v>1551599341055188</v>
      </c>
      <c r="C4653" t="s">
        <v>40</v>
      </c>
      <c r="D4653">
        <v>5.6833410000000004</v>
      </c>
      <c r="E4653">
        <v>0.63471230000000001</v>
      </c>
      <c r="F4653" t="s">
        <v>59</v>
      </c>
      <c r="G4653">
        <v>-199.33690000000001</v>
      </c>
      <c r="H4653" s="1">
        <v>-1.17139E-5</v>
      </c>
      <c r="I4653">
        <v>147.4034</v>
      </c>
      <c r="J4653">
        <v>-192.93430000000001</v>
      </c>
      <c r="K4653">
        <v>1.1142479999999999</v>
      </c>
      <c r="L4653">
        <v>151.76439999999999</v>
      </c>
      <c r="M4653">
        <v>-0.1638607</v>
      </c>
      <c r="N4653">
        <v>-8.4138579999999998E-3</v>
      </c>
      <c r="O4653">
        <v>-0.98644750000000003</v>
      </c>
      <c r="P4653">
        <v>-0.58176640000000002</v>
      </c>
      <c r="Q4653">
        <v>-7.7734040000000004E-2</v>
      </c>
      <c r="R4653">
        <v>-0.80963300000000005</v>
      </c>
      <c r="S4653">
        <v>-2.5932620000000002</v>
      </c>
      <c r="T4653">
        <v>-0.44954110000000003</v>
      </c>
      <c r="U4653">
        <v>-1.809769</v>
      </c>
      <c r="V4653">
        <v>0.4401545</v>
      </c>
      <c r="W4653">
        <v>-7.666676E-2</v>
      </c>
      <c r="X4653">
        <v>0.89464310000000002</v>
      </c>
      <c r="Y4653">
        <v>0.70675710000000003</v>
      </c>
      <c r="Z4653">
        <v>0.14085329999999999</v>
      </c>
      <c r="AA4653">
        <v>0.69329269999999998</v>
      </c>
      <c r="AB4653">
        <v>21</v>
      </c>
      <c r="AC4653">
        <v>-6.4025999999999996</v>
      </c>
      <c r="AD4653">
        <v>-1.1142597138999999</v>
      </c>
      <c r="AE4653">
        <v>-4.36099999999999</v>
      </c>
      <c r="AF4653">
        <v>5.4878925950459401</v>
      </c>
      <c r="AG4653">
        <v>-1.1142597138999999</v>
      </c>
      <c r="AH4653">
        <v>5.2427551531948504</v>
      </c>
      <c r="AI4653">
        <v>98.352055157917604</v>
      </c>
      <c r="AJ4653">
        <v>43.6913279977461</v>
      </c>
      <c r="AK4653">
        <v>7.6710508694136399</v>
      </c>
      <c r="AL4653">
        <v>94.396996295357994</v>
      </c>
      <c r="AM4653">
        <v>63.803324674620001</v>
      </c>
      <c r="AN4653">
        <v>1.0000000261683699</v>
      </c>
    </row>
    <row r="4654" spans="1:40" x14ac:dyDescent="0.25">
      <c r="A4654" t="str">
        <f>"20190303154901078"</f>
        <v>20190303154901078</v>
      </c>
      <c r="B4654" t="str">
        <f>"1551599341075685"</f>
        <v>1551599341075685</v>
      </c>
      <c r="C4654" t="s">
        <v>40</v>
      </c>
      <c r="D4654">
        <v>5.6740309999999896</v>
      </c>
      <c r="E4654">
        <v>0.62598189999999998</v>
      </c>
      <c r="F4654" t="s">
        <v>59</v>
      </c>
      <c r="G4654">
        <v>-199.46510000000001</v>
      </c>
      <c r="H4654" s="1">
        <v>-1.169783E-5</v>
      </c>
      <c r="I4654">
        <v>147.2876</v>
      </c>
      <c r="J4654">
        <v>-192.9736</v>
      </c>
      <c r="K4654">
        <v>1.113999</v>
      </c>
      <c r="L4654">
        <v>151.58629999999999</v>
      </c>
      <c r="M4654">
        <v>-0.17234720000000001</v>
      </c>
      <c r="N4654">
        <v>-8.4860390000000008E-3</v>
      </c>
      <c r="O4654">
        <v>-0.98499970000000003</v>
      </c>
      <c r="P4654">
        <v>-0.59283569999999997</v>
      </c>
      <c r="Q4654">
        <v>-7.5773939999999998E-2</v>
      </c>
      <c r="R4654">
        <v>-0.80175069999999904</v>
      </c>
      <c r="S4654">
        <v>-2.6086269999999998</v>
      </c>
      <c r="T4654">
        <v>-0.44507550000000001</v>
      </c>
      <c r="U4654">
        <v>-1.7882229999999999</v>
      </c>
      <c r="V4654">
        <v>0.44468550000000001</v>
      </c>
      <c r="W4654">
        <v>-7.50059E-2</v>
      </c>
      <c r="X4654">
        <v>0.89254069999999996</v>
      </c>
      <c r="Y4654">
        <v>0.70667740000000001</v>
      </c>
      <c r="Z4654">
        <v>0.13965520000000001</v>
      </c>
      <c r="AA4654">
        <v>0.69361619999999902</v>
      </c>
      <c r="AB4654">
        <v>21</v>
      </c>
      <c r="AC4654">
        <v>-6.4915000000000003</v>
      </c>
      <c r="AD4654">
        <v>-1.11401069783</v>
      </c>
      <c r="AE4654">
        <v>-4.2986999999999904</v>
      </c>
      <c r="AF4654">
        <v>5.54004088775888</v>
      </c>
      <c r="AG4654">
        <v>-1.11401069783</v>
      </c>
      <c r="AH4654">
        <v>5.2458072343918998</v>
      </c>
      <c r="AI4654">
        <v>98.307167874319902</v>
      </c>
      <c r="AJ4654">
        <v>43.437381433437203</v>
      </c>
      <c r="AK4654">
        <v>7.7104841879948296</v>
      </c>
      <c r="AL4654">
        <v>94.301561347504403</v>
      </c>
      <c r="AM4654">
        <v>63.516396937517101</v>
      </c>
      <c r="AN4654">
        <v>0.999999990050775</v>
      </c>
    </row>
    <row r="4655" spans="1:40" x14ac:dyDescent="0.25">
      <c r="A4655" t="str">
        <f>"20190303154901092"</f>
        <v>20190303154901092</v>
      </c>
      <c r="B4655" t="str">
        <f>"1551599341085445"</f>
        <v>1551599341085445</v>
      </c>
      <c r="C4655" t="s">
        <v>40</v>
      </c>
      <c r="D4655">
        <v>5.6741760000000001</v>
      </c>
      <c r="E4655">
        <v>0.62558449999999999</v>
      </c>
      <c r="F4655" t="s">
        <v>59</v>
      </c>
      <c r="G4655">
        <v>-199.4248</v>
      </c>
      <c r="H4655" s="1">
        <v>-1.163496E-5</v>
      </c>
      <c r="I4655">
        <v>147.09569999999999</v>
      </c>
      <c r="J4655">
        <v>-193.0025</v>
      </c>
      <c r="K4655">
        <v>1.1138250000000001</v>
      </c>
      <c r="L4655">
        <v>151.46119999999999</v>
      </c>
      <c r="M4655">
        <v>-0.1785263</v>
      </c>
      <c r="N4655">
        <v>-8.5389200000000002E-3</v>
      </c>
      <c r="O4655">
        <v>-0.98389819999999995</v>
      </c>
      <c r="P4655">
        <v>-0.59993609999999997</v>
      </c>
      <c r="Q4655">
        <v>-7.5250730000000002E-2</v>
      </c>
      <c r="R4655">
        <v>-0.79650120000000002</v>
      </c>
      <c r="S4655">
        <v>-2.5773009999999998</v>
      </c>
      <c r="T4655">
        <v>-0.44505679999999997</v>
      </c>
      <c r="U4655">
        <v>-1.794052</v>
      </c>
      <c r="V4655">
        <v>0.4469766</v>
      </c>
      <c r="W4655">
        <v>-7.4680969999999999E-2</v>
      </c>
      <c r="X4655">
        <v>0.89142289999999902</v>
      </c>
      <c r="Y4655">
        <v>0.69712659999999904</v>
      </c>
      <c r="Z4655">
        <v>0.1406655</v>
      </c>
      <c r="AA4655">
        <v>0.70301329999999995</v>
      </c>
      <c r="AB4655">
        <v>22</v>
      </c>
      <c r="AC4655">
        <v>-6.4222999999999999</v>
      </c>
      <c r="AD4655">
        <v>-1.11383663496</v>
      </c>
      <c r="AE4655">
        <v>-4.3654999999999902</v>
      </c>
      <c r="AF4655">
        <v>5.4280619972082498</v>
      </c>
      <c r="AG4655">
        <v>-1.11383663496</v>
      </c>
      <c r="AH4655">
        <v>5.3322537203418596</v>
      </c>
      <c r="AI4655">
        <v>98.328048806759</v>
      </c>
      <c r="AJ4655">
        <v>44.489860242618299</v>
      </c>
      <c r="AK4655">
        <v>7.6900857493928596</v>
      </c>
      <c r="AL4655">
        <v>94.282891578106202</v>
      </c>
      <c r="AM4655">
        <v>63.369932232957098</v>
      </c>
      <c r="AN4655">
        <v>1.0000000574360499</v>
      </c>
    </row>
    <row r="4656" spans="1:40" x14ac:dyDescent="0.25">
      <c r="A4656" t="str">
        <f>"20190303154901105"</f>
        <v>20190303154901105</v>
      </c>
      <c r="B4656" t="str">
        <f>"1551599341095205"</f>
        <v>1551599341095205</v>
      </c>
      <c r="C4656" t="s">
        <v>40</v>
      </c>
      <c r="D4656">
        <v>5.6517010000000001</v>
      </c>
      <c r="E4656">
        <v>0.62536139999999996</v>
      </c>
      <c r="F4656" t="s">
        <v>59</v>
      </c>
      <c r="G4656">
        <v>-199.47640000000001</v>
      </c>
      <c r="H4656" s="1">
        <v>-1.1623009999999999E-5</v>
      </c>
      <c r="I4656">
        <v>147.03059999999999</v>
      </c>
      <c r="J4656">
        <v>-193.0343</v>
      </c>
      <c r="K4656">
        <v>1.1136299999999999</v>
      </c>
      <c r="L4656">
        <v>151.32730000000001</v>
      </c>
      <c r="M4656">
        <v>-0.1852714</v>
      </c>
      <c r="N4656">
        <v>-8.5960689999999996E-3</v>
      </c>
      <c r="O4656">
        <v>-0.98264980000000002</v>
      </c>
      <c r="P4656">
        <v>-0.6075623</v>
      </c>
      <c r="Q4656">
        <v>-7.4780280000000005E-2</v>
      </c>
      <c r="R4656">
        <v>-0.79074409999999995</v>
      </c>
      <c r="S4656">
        <v>-2.590668</v>
      </c>
      <c r="T4656">
        <v>-0.44572780000000001</v>
      </c>
      <c r="U4656">
        <v>-1.77302599999999</v>
      </c>
      <c r="V4656">
        <v>0.44938800000000001</v>
      </c>
      <c r="W4656">
        <v>-7.4424679999999993E-2</v>
      </c>
      <c r="X4656">
        <v>0.89023109999999905</v>
      </c>
      <c r="Y4656">
        <v>0.69777889999999998</v>
      </c>
      <c r="Z4656">
        <v>0.141142299999999</v>
      </c>
      <c r="AA4656">
        <v>0.70227019999999996</v>
      </c>
      <c r="AB4656">
        <v>22</v>
      </c>
      <c r="AC4656">
        <v>-6.4421000000000097</v>
      </c>
      <c r="AD4656">
        <v>-1.1136416230099999</v>
      </c>
      <c r="AE4656">
        <v>-4.2967000000000102</v>
      </c>
      <c r="AF4656">
        <v>5.4223273035529704</v>
      </c>
      <c r="AG4656">
        <v>-1.1136416230099999</v>
      </c>
      <c r="AH4656">
        <v>5.3061416164919297</v>
      </c>
      <c r="AI4656">
        <v>98.350823705710596</v>
      </c>
      <c r="AJ4656">
        <v>44.379530356985697</v>
      </c>
      <c r="AK4656">
        <v>7.6679182250219604</v>
      </c>
      <c r="AL4656">
        <v>94.268166469098702</v>
      </c>
      <c r="AM4656">
        <v>63.215389540456201</v>
      </c>
      <c r="AN4656">
        <v>1.00000000947215</v>
      </c>
    </row>
    <row r="4657" spans="1:40" x14ac:dyDescent="0.25">
      <c r="A4657" t="str">
        <f>"20190303154901125"</f>
        <v>20190303154901125</v>
      </c>
      <c r="B4657" t="str">
        <f>"1551599341115700"</f>
        <v>1551599341115700</v>
      </c>
      <c r="C4657" t="s">
        <v>40</v>
      </c>
      <c r="D4657">
        <v>5.6790180000000001</v>
      </c>
      <c r="E4657">
        <v>0.62167069999999902</v>
      </c>
      <c r="F4657" t="s">
        <v>59</v>
      </c>
      <c r="G4657">
        <v>-199.54429999999999</v>
      </c>
      <c r="H4657" s="1">
        <v>-1.1611239999999999E-5</v>
      </c>
      <c r="I4657">
        <v>146.95830000000001</v>
      </c>
      <c r="J4657">
        <v>-193.0804</v>
      </c>
      <c r="K4657">
        <v>1.1133580000000001</v>
      </c>
      <c r="L4657">
        <v>151.14150000000001</v>
      </c>
      <c r="M4657">
        <v>-0.1949504</v>
      </c>
      <c r="N4657">
        <v>-8.6786869999999992E-3</v>
      </c>
      <c r="O4657">
        <v>-0.98077479999999995</v>
      </c>
      <c r="P4657">
        <v>-0.61929409999999996</v>
      </c>
      <c r="Q4657">
        <v>-7.4273710000000007E-2</v>
      </c>
      <c r="R4657">
        <v>-0.78163870000000002</v>
      </c>
      <c r="S4657">
        <v>-2.6063079999999998</v>
      </c>
      <c r="T4657">
        <v>-0.44585229999999998</v>
      </c>
      <c r="U4657">
        <v>-1.7491759999999901</v>
      </c>
      <c r="V4657">
        <v>0.45383639999999997</v>
      </c>
      <c r="W4657">
        <v>-7.4238250000000006E-2</v>
      </c>
      <c r="X4657">
        <v>0.88798719999999998</v>
      </c>
      <c r="Y4657">
        <v>0.69713349999999996</v>
      </c>
      <c r="Z4657">
        <v>0.14146230000000001</v>
      </c>
      <c r="AA4657">
        <v>0.70284659999999999</v>
      </c>
      <c r="AB4657">
        <v>22</v>
      </c>
      <c r="AC4657">
        <v>-6.46389999999999</v>
      </c>
      <c r="AD4657">
        <v>-1.11336961124</v>
      </c>
      <c r="AE4657">
        <v>-4.1831999999999896</v>
      </c>
      <c r="AF4657">
        <v>5.4111715786349004</v>
      </c>
      <c r="AG4657">
        <v>-1.11336961124</v>
      </c>
      <c r="AH4657">
        <v>5.2532706099371396</v>
      </c>
      <c r="AI4657">
        <v>98.3978023211547</v>
      </c>
      <c r="AJ4657">
        <v>44.1517232785692</v>
      </c>
      <c r="AK4657">
        <v>7.6234652124797</v>
      </c>
      <c r="AL4657">
        <v>94.257455091057196</v>
      </c>
      <c r="AM4657">
        <v>62.929133488452898</v>
      </c>
      <c r="AN4657">
        <v>1.0000000315459301</v>
      </c>
    </row>
    <row r="4658" spans="1:40" x14ac:dyDescent="0.25">
      <c r="A4658" t="str">
        <f>"20190303154901148"</f>
        <v>20190303154901148</v>
      </c>
      <c r="B4658" t="str">
        <f>"1551599341144981"</f>
        <v>1551599341144981</v>
      </c>
      <c r="C4658" t="s">
        <v>40</v>
      </c>
      <c r="D4658">
        <v>5.7208959999999998</v>
      </c>
      <c r="E4658">
        <v>0.61996090000000004</v>
      </c>
      <c r="F4658" t="s">
        <v>59</v>
      </c>
      <c r="G4658">
        <v>-199.40270000000001</v>
      </c>
      <c r="H4658" s="1">
        <v>-1.15896E-5</v>
      </c>
      <c r="I4658">
        <v>146.9539</v>
      </c>
      <c r="J4658">
        <v>-193.1397</v>
      </c>
      <c r="K4658">
        <v>1.1130450000000001</v>
      </c>
      <c r="L4658">
        <v>150.91560000000001</v>
      </c>
      <c r="M4658">
        <v>-0.2071713</v>
      </c>
      <c r="N4658">
        <v>-8.7817139999999995E-3</v>
      </c>
      <c r="O4658">
        <v>-0.9782653</v>
      </c>
      <c r="P4658">
        <v>-0.63267549999999995</v>
      </c>
      <c r="Q4658">
        <v>-7.3563950000000003E-2</v>
      </c>
      <c r="R4658">
        <v>-0.77091540000000003</v>
      </c>
      <c r="S4658">
        <v>-2.6084749999999999</v>
      </c>
      <c r="T4658">
        <v>-0.45935540000000002</v>
      </c>
      <c r="U4658">
        <v>-1.727722</v>
      </c>
      <c r="V4658">
        <v>0.45799840000000003</v>
      </c>
      <c r="W4658">
        <v>-7.3879150000000005E-2</v>
      </c>
      <c r="X4658">
        <v>0.88587769999999999</v>
      </c>
      <c r="Y4658">
        <v>0.69191069999999999</v>
      </c>
      <c r="Z4658">
        <v>0.1465931</v>
      </c>
      <c r="AA4658">
        <v>0.70694419999999902</v>
      </c>
      <c r="AB4658">
        <v>22</v>
      </c>
      <c r="AC4658">
        <v>-6.2629999999999999</v>
      </c>
      <c r="AD4658">
        <v>-1.1130565896</v>
      </c>
      <c r="AE4658">
        <v>-3.9617</v>
      </c>
      <c r="AF4658">
        <v>5.1892695314757002</v>
      </c>
      <c r="AG4658">
        <v>-1.1130565896</v>
      </c>
      <c r="AH4658">
        <v>5.0591814007632703</v>
      </c>
      <c r="AI4658">
        <v>98.731351245143401</v>
      </c>
      <c r="AJ4658">
        <v>44.2727583289265</v>
      </c>
      <c r="AK4658">
        <v>7.3323072554130597</v>
      </c>
      <c r="AL4658">
        <v>94.236823733832793</v>
      </c>
      <c r="AM4658">
        <v>62.661055146090803</v>
      </c>
      <c r="AN4658">
        <v>0.99999998128228595</v>
      </c>
    </row>
    <row r="4659" spans="1:40" x14ac:dyDescent="0.25">
      <c r="A4659" t="str">
        <f>"20190303154901168"</f>
        <v>20190303154901168</v>
      </c>
      <c r="B4659" t="str">
        <f>"1551599341165476"</f>
        <v>1551599341165476</v>
      </c>
      <c r="C4659" t="s">
        <v>40</v>
      </c>
      <c r="D4659">
        <v>5.7783470000000001</v>
      </c>
      <c r="E4659">
        <v>0.64082930000000005</v>
      </c>
      <c r="F4659" t="s">
        <v>59</v>
      </c>
      <c r="G4659">
        <v>-199.39019999999999</v>
      </c>
      <c r="H4659" s="1">
        <v>-1.1569170000000001E-5</v>
      </c>
      <c r="I4659">
        <v>146.8912</v>
      </c>
      <c r="J4659">
        <v>-193.1935</v>
      </c>
      <c r="K4659">
        <v>1.1127929999999999</v>
      </c>
      <c r="L4659">
        <v>150.72139999999999</v>
      </c>
      <c r="M4659">
        <v>-0.2180281</v>
      </c>
      <c r="N4659">
        <v>-8.8692659999999902E-3</v>
      </c>
      <c r="O4659">
        <v>-0.9759023</v>
      </c>
      <c r="P4659">
        <v>-0.64492469999999902</v>
      </c>
      <c r="Q4659">
        <v>-7.1179119999999999E-2</v>
      </c>
      <c r="R4659">
        <v>-0.7609245</v>
      </c>
      <c r="S4659">
        <v>-2.6266940000000001</v>
      </c>
      <c r="T4659">
        <v>-0.46774979999999999</v>
      </c>
      <c r="U4659">
        <v>-1.6911929999999999</v>
      </c>
      <c r="V4659">
        <v>0.46226489999999998</v>
      </c>
      <c r="W4659">
        <v>-7.1795659999999997E-2</v>
      </c>
      <c r="X4659">
        <v>0.88383060000000002</v>
      </c>
      <c r="Y4659">
        <v>0.69272279999999997</v>
      </c>
      <c r="Z4659">
        <v>0.14990819999999999</v>
      </c>
      <c r="AA4659">
        <v>0.70545210000000003</v>
      </c>
      <c r="AB4659">
        <v>22</v>
      </c>
      <c r="AC4659">
        <v>-6.1966999999999901</v>
      </c>
      <c r="AD4659">
        <v>-1.1128045691699999</v>
      </c>
      <c r="AE4659">
        <v>-3.8301999999999898</v>
      </c>
      <c r="AF4659">
        <v>5.0936312843385796</v>
      </c>
      <c r="AG4659">
        <v>-1.1128045691699999</v>
      </c>
      <c r="AH4659">
        <v>4.9731118326464196</v>
      </c>
      <c r="AI4659">
        <v>98.884559006054602</v>
      </c>
      <c r="AJ4659">
        <v>44.314085402815998</v>
      </c>
      <c r="AK4659">
        <v>7.2052241443251601</v>
      </c>
      <c r="AL4659">
        <v>94.117130556063302</v>
      </c>
      <c r="AM4659">
        <v>62.3893386056723</v>
      </c>
      <c r="AN4659">
        <v>0.99999999203160195</v>
      </c>
    </row>
    <row r="4660" spans="1:40" x14ac:dyDescent="0.25">
      <c r="A4660" t="str">
        <f>"20190303154901184"</f>
        <v>20190303154901184</v>
      </c>
      <c r="B4660" t="str">
        <f>"1551599341175236"</f>
        <v>1551599341175236</v>
      </c>
      <c r="C4660" t="s">
        <v>40</v>
      </c>
      <c r="D4660">
        <v>5.9527650000000003</v>
      </c>
      <c r="E4660">
        <v>0.64788829999999997</v>
      </c>
      <c r="F4660" t="s">
        <v>59</v>
      </c>
      <c r="G4660">
        <v>-200.44399999999999</v>
      </c>
      <c r="H4660" s="1">
        <v>-1.137722E-5</v>
      </c>
      <c r="I4660">
        <v>146.6968</v>
      </c>
      <c r="J4660">
        <v>-193.23849999999999</v>
      </c>
      <c r="K4660">
        <v>1.1125989999999999</v>
      </c>
      <c r="L4660">
        <v>150.56569999999999</v>
      </c>
      <c r="M4660">
        <v>-0.22695870000000001</v>
      </c>
      <c r="N4660">
        <v>-8.9388719999999901E-3</v>
      </c>
      <c r="O4660">
        <v>-0.97386349999999999</v>
      </c>
      <c r="P4660">
        <v>-0.65401149999999997</v>
      </c>
      <c r="Q4660">
        <v>-6.9637930000000001E-2</v>
      </c>
      <c r="R4660">
        <v>-0.75327299999999997</v>
      </c>
      <c r="S4660">
        <v>-2.782349</v>
      </c>
      <c r="T4660">
        <v>-0.42703449999999998</v>
      </c>
      <c r="U4660">
        <v>-1.5444340000000001</v>
      </c>
      <c r="V4660">
        <v>0.46473629999999999</v>
      </c>
      <c r="W4660">
        <v>-7.0467520000000006E-2</v>
      </c>
      <c r="X4660">
        <v>0.88264069999999994</v>
      </c>
      <c r="Y4660">
        <v>0.73305919999999902</v>
      </c>
      <c r="Z4660">
        <v>0.13511889999999999</v>
      </c>
      <c r="AA4660">
        <v>0.66660869999999905</v>
      </c>
      <c r="AB4660">
        <v>22</v>
      </c>
      <c r="AC4660">
        <v>-7.2055000000000202</v>
      </c>
      <c r="AD4660">
        <v>-1.11261037722</v>
      </c>
      <c r="AE4660">
        <v>-3.8688999999999898</v>
      </c>
      <c r="AF4660">
        <v>6.02778011074522</v>
      </c>
      <c r="AG4660">
        <v>-1.11261037722</v>
      </c>
      <c r="AH4660">
        <v>5.3051628933908699</v>
      </c>
      <c r="AI4660">
        <v>97.888611194784801</v>
      </c>
      <c r="AJ4660">
        <v>41.3516146563272</v>
      </c>
      <c r="AK4660">
        <v>8.1065891866064597</v>
      </c>
      <c r="AL4660">
        <v>94.040840240666199</v>
      </c>
      <c r="AM4660">
        <v>62.231875029175299</v>
      </c>
      <c r="AN4660">
        <v>1.00000005260456</v>
      </c>
    </row>
    <row r="4661" spans="1:40" x14ac:dyDescent="0.25">
      <c r="A4661" t="str">
        <f>"20190303154901202"</f>
        <v>20190303154901202</v>
      </c>
      <c r="B4661" t="str">
        <f>"1551599341195733"</f>
        <v>1551599341195733</v>
      </c>
      <c r="C4661" t="s">
        <v>40</v>
      </c>
      <c r="D4661">
        <v>5.6276619999999999</v>
      </c>
      <c r="E4661">
        <v>0.65017530000000001</v>
      </c>
      <c r="F4661" t="s">
        <v>59</v>
      </c>
      <c r="G4661">
        <v>-200.9178</v>
      </c>
      <c r="H4661" s="1">
        <v>-1.1133010000000001E-5</v>
      </c>
      <c r="I4661">
        <v>146.5822</v>
      </c>
      <c r="J4661">
        <v>-193.29</v>
      </c>
      <c r="K4661">
        <v>1.1123879999999999</v>
      </c>
      <c r="L4661">
        <v>150.39449999999999</v>
      </c>
      <c r="M4661">
        <v>-0.23701520000000001</v>
      </c>
      <c r="N4661">
        <v>-9.0175359999999996E-3</v>
      </c>
      <c r="O4661">
        <v>-0.9714642</v>
      </c>
      <c r="P4661">
        <v>-0.66560699999999995</v>
      </c>
      <c r="Q4661">
        <v>-6.8493789999999999E-2</v>
      </c>
      <c r="R4661">
        <v>-0.74315279999999995</v>
      </c>
      <c r="S4661">
        <v>-2.8440249999999998</v>
      </c>
      <c r="T4661">
        <v>-0.4120548</v>
      </c>
      <c r="U4661">
        <v>-1.4752809999999901</v>
      </c>
      <c r="V4661">
        <v>0.4692422</v>
      </c>
      <c r="W4661">
        <v>-6.9595649999999995E-2</v>
      </c>
      <c r="X4661">
        <v>0.88032279999999996</v>
      </c>
      <c r="Y4661">
        <v>0.74544160000000004</v>
      </c>
      <c r="Z4661">
        <v>0.1298744</v>
      </c>
      <c r="AA4661">
        <v>0.6537963</v>
      </c>
      <c r="AB4661">
        <v>22</v>
      </c>
      <c r="AC4661">
        <v>-7.6277999999999997</v>
      </c>
      <c r="AD4661">
        <v>-1.11239913301</v>
      </c>
      <c r="AE4661">
        <v>-3.8122999999999898</v>
      </c>
      <c r="AF4661">
        <v>6.3979508767880704</v>
      </c>
      <c r="AG4661">
        <v>-1.11239913301</v>
      </c>
      <c r="AH4661">
        <v>5.4194182415738696</v>
      </c>
      <c r="AI4661">
        <v>97.557268517713794</v>
      </c>
      <c r="AJ4661">
        <v>40.266444345216001</v>
      </c>
      <c r="AK4661">
        <v>8.4582091089082407</v>
      </c>
      <c r="AL4661">
        <v>93.990762971439494</v>
      </c>
      <c r="AM4661">
        <v>61.940856238175797</v>
      </c>
      <c r="AN4661">
        <v>1.0000000144798</v>
      </c>
    </row>
    <row r="4662" spans="1:40" x14ac:dyDescent="0.25">
      <c r="A4662" t="str">
        <f>"20190303154901218"</f>
        <v>20190303154901218</v>
      </c>
      <c r="B4662" t="str">
        <f>"1551599341215253"</f>
        <v>1551599341215253</v>
      </c>
      <c r="C4662" t="s">
        <v>40</v>
      </c>
      <c r="D4662">
        <v>5.3502669999999997</v>
      </c>
      <c r="E4662">
        <v>0.65122539999999995</v>
      </c>
      <c r="F4662" t="s">
        <v>59</v>
      </c>
      <c r="G4662">
        <v>-201.61529999999999</v>
      </c>
      <c r="H4662" s="1">
        <v>-1.073656E-5</v>
      </c>
      <c r="I4662">
        <v>146.2893</v>
      </c>
      <c r="J4662">
        <v>-193.33680000000001</v>
      </c>
      <c r="K4662">
        <v>1.1122080000000001</v>
      </c>
      <c r="L4662">
        <v>150.24529999999999</v>
      </c>
      <c r="M4662">
        <v>-0.246004</v>
      </c>
      <c r="N4662">
        <v>-9.09014E-3</v>
      </c>
      <c r="O4662">
        <v>-0.96922640000000004</v>
      </c>
      <c r="P4662">
        <v>-0.67413489999999998</v>
      </c>
      <c r="Q4662">
        <v>-6.8229380000000006E-2</v>
      </c>
      <c r="R4662">
        <v>-0.73545039999999995</v>
      </c>
      <c r="S4662">
        <v>-2.8813019999999998</v>
      </c>
      <c r="T4662">
        <v>-0.38498929999999998</v>
      </c>
      <c r="U4662">
        <v>-1.4207609999999999</v>
      </c>
      <c r="V4662">
        <v>0.47120889999999999</v>
      </c>
      <c r="W4662">
        <v>-6.9518899999999995E-2</v>
      </c>
      <c r="X4662">
        <v>0.87927770000000005</v>
      </c>
      <c r="Y4662">
        <v>0.75365780000000004</v>
      </c>
      <c r="Z4662">
        <v>0.12105059999999999</v>
      </c>
      <c r="AA4662">
        <v>0.64602380000000004</v>
      </c>
      <c r="AB4662">
        <v>22</v>
      </c>
      <c r="AC4662">
        <v>-8.2784999999999798</v>
      </c>
      <c r="AD4662">
        <v>-1.11221873656</v>
      </c>
      <c r="AE4662">
        <v>-3.95599999999998</v>
      </c>
      <c r="AF4662">
        <v>6.9487309799132202</v>
      </c>
      <c r="AG4662">
        <v>-1.11221873656</v>
      </c>
      <c r="AH4662">
        <v>5.7860226665429701</v>
      </c>
      <c r="AI4662">
        <v>97.012270364519296</v>
      </c>
      <c r="AJ4662">
        <v>39.783245108587202</v>
      </c>
      <c r="AK4662">
        <v>9.1104308924940494</v>
      </c>
      <c r="AL4662">
        <v>93.986354944271994</v>
      </c>
      <c r="AM4662">
        <v>61.812941163382199</v>
      </c>
      <c r="AN4662">
        <v>0.99999998930685496</v>
      </c>
    </row>
    <row r="4663" spans="1:40" x14ac:dyDescent="0.25">
      <c r="A4663" t="str">
        <f>"20190303154901236"</f>
        <v>20190303154901236</v>
      </c>
      <c r="B4663" t="str">
        <f>"1551599341225013"</f>
        <v>1551599341225013</v>
      </c>
      <c r="C4663" t="s">
        <v>40</v>
      </c>
      <c r="D4663">
        <v>5.6920789999999997</v>
      </c>
      <c r="E4663">
        <v>0.65107479999999995</v>
      </c>
      <c r="F4663" t="s">
        <v>59</v>
      </c>
      <c r="G4663">
        <v>-203.4058</v>
      </c>
      <c r="H4663" s="1">
        <v>-9.7276529999999998E-6</v>
      </c>
      <c r="I4663">
        <v>145.4469</v>
      </c>
      <c r="J4663">
        <v>-193.3946</v>
      </c>
      <c r="K4663">
        <v>1.1120019999999999</v>
      </c>
      <c r="L4663">
        <v>150.0685</v>
      </c>
      <c r="M4663">
        <v>-0.25690000000000002</v>
      </c>
      <c r="N4663">
        <v>-9.1798230000000001E-3</v>
      </c>
      <c r="O4663">
        <v>-0.96639450000000005</v>
      </c>
      <c r="P4663">
        <v>-0.68490949999999995</v>
      </c>
      <c r="Q4663">
        <v>-6.9569309999999995E-2</v>
      </c>
      <c r="R4663">
        <v>-0.72529969999999999</v>
      </c>
      <c r="S4663">
        <v>-2.9065249999999998</v>
      </c>
      <c r="T4663">
        <v>-0.32105409999999901</v>
      </c>
      <c r="U4663">
        <v>-1.3851169999999999</v>
      </c>
      <c r="V4663">
        <v>0.47424569999999999</v>
      </c>
      <c r="W4663">
        <v>-7.1095859999999997E-2</v>
      </c>
      <c r="X4663">
        <v>0.877517199999999</v>
      </c>
      <c r="Y4663">
        <v>0.75715399999999999</v>
      </c>
      <c r="Z4663">
        <v>9.9905010000000002E-2</v>
      </c>
      <c r="AA4663">
        <v>0.6455516</v>
      </c>
      <c r="AB4663">
        <v>22</v>
      </c>
      <c r="AC4663">
        <v>-10.011200000000001</v>
      </c>
      <c r="AD4663">
        <v>-1.1120117276529999</v>
      </c>
      <c r="AE4663">
        <v>-4.6215999999999999</v>
      </c>
      <c r="AF4663">
        <v>8.4023794467731197</v>
      </c>
      <c r="AG4663">
        <v>-1.1120117276529999</v>
      </c>
      <c r="AH4663">
        <v>6.9675975824670298</v>
      </c>
      <c r="AI4663">
        <v>95.816932114961702</v>
      </c>
      <c r="AJ4663">
        <v>39.666914730550701</v>
      </c>
      <c r="AK4663">
        <v>10.9719627469835</v>
      </c>
      <c r="AL4663">
        <v>94.076932123630797</v>
      </c>
      <c r="AM4663">
        <v>61.611423375938799</v>
      </c>
      <c r="AN4663">
        <v>1.0000000207867299</v>
      </c>
    </row>
    <row r="4664" spans="1:40" x14ac:dyDescent="0.25">
      <c r="A4664" t="str">
        <f>"20190303154901251"</f>
        <v>20190303154901251</v>
      </c>
      <c r="B4664" t="str">
        <f>"1551599341245509"</f>
        <v>1551599341245509</v>
      </c>
      <c r="C4664" t="s">
        <v>40</v>
      </c>
      <c r="D4664">
        <v>5.7371480000000004</v>
      </c>
      <c r="E4664">
        <v>0.64977750000000001</v>
      </c>
      <c r="F4664" t="s">
        <v>59</v>
      </c>
      <c r="G4664">
        <v>-203.30240000000001</v>
      </c>
      <c r="H4664" s="1">
        <v>-9.7866659999999993E-6</v>
      </c>
      <c r="I4664">
        <v>145.5231</v>
      </c>
      <c r="J4664">
        <v>-193.44200000000001</v>
      </c>
      <c r="K4664">
        <v>1.1118349999999999</v>
      </c>
      <c r="L4664">
        <v>149.9289</v>
      </c>
      <c r="M4664">
        <v>-0.26569229999999999</v>
      </c>
      <c r="N4664">
        <v>-9.2533709999999998E-3</v>
      </c>
      <c r="O4664">
        <v>-0.96401349999999997</v>
      </c>
      <c r="P4664">
        <v>-0.69250769999999995</v>
      </c>
      <c r="Q4664">
        <v>-6.9907910000000004E-2</v>
      </c>
      <c r="R4664">
        <v>-0.71801569999999904</v>
      </c>
      <c r="S4664">
        <v>-2.925522</v>
      </c>
      <c r="T4664">
        <v>-0.32834609999999997</v>
      </c>
      <c r="U4664">
        <v>-1.342133</v>
      </c>
      <c r="V4664">
        <v>0.47546359999999899</v>
      </c>
      <c r="W4664">
        <v>-7.1593199999999996E-2</v>
      </c>
      <c r="X4664">
        <v>0.87681739999999997</v>
      </c>
      <c r="Y4664">
        <v>0.76040140000000001</v>
      </c>
      <c r="Z4664">
        <v>0.1026238</v>
      </c>
      <c r="AA4664">
        <v>0.64129409999999998</v>
      </c>
      <c r="AB4664">
        <v>22</v>
      </c>
      <c r="AC4664">
        <v>-9.8603999999999896</v>
      </c>
      <c r="AD4664">
        <v>-1.111844786666</v>
      </c>
      <c r="AE4664">
        <v>-4.4057999999999904</v>
      </c>
      <c r="AF4664">
        <v>8.2479123742983198</v>
      </c>
      <c r="AG4664">
        <v>-1.111844786666</v>
      </c>
      <c r="AH4664">
        <v>6.7953559986369596</v>
      </c>
      <c r="AI4664">
        <v>95.939702549279303</v>
      </c>
      <c r="AJ4664">
        <v>39.484700194870101</v>
      </c>
      <c r="AK4664">
        <v>10.744352959203701</v>
      </c>
      <c r="AL4664">
        <v>94.105500544585297</v>
      </c>
      <c r="AM4664">
        <v>61.530764010801398</v>
      </c>
      <c r="AN4664">
        <v>0.99999998707698001</v>
      </c>
    </row>
    <row r="4665" spans="1:40" x14ac:dyDescent="0.25">
      <c r="A4665" t="str">
        <f>"20190303154901270"</f>
        <v>20190303154901270</v>
      </c>
      <c r="B4665" t="str">
        <f>"1551599341265028"</f>
        <v>1551599341265028</v>
      </c>
      <c r="C4665" t="s">
        <v>40</v>
      </c>
      <c r="D4665">
        <v>5.7631819999999996</v>
      </c>
      <c r="E4665">
        <v>0.648649699999999</v>
      </c>
      <c r="F4665" t="s">
        <v>59</v>
      </c>
      <c r="G4665">
        <v>-202.92160000000001</v>
      </c>
      <c r="H4665" s="1">
        <v>-9.972561E-6</v>
      </c>
      <c r="I4665">
        <v>145.66839999999999</v>
      </c>
      <c r="J4665">
        <v>-193.5085</v>
      </c>
      <c r="K4665">
        <v>1.111607</v>
      </c>
      <c r="L4665">
        <v>149.74010000000001</v>
      </c>
      <c r="M4665">
        <v>-0.27782000000000001</v>
      </c>
      <c r="N4665">
        <v>-9.3546170000000008E-3</v>
      </c>
      <c r="O4665">
        <v>-0.96058779999999999</v>
      </c>
      <c r="P4665">
        <v>-0.70292449999999995</v>
      </c>
      <c r="Q4665">
        <v>-6.9746390000000005E-2</v>
      </c>
      <c r="R4665">
        <v>-0.70783689999999999</v>
      </c>
      <c r="S4665">
        <v>-2.9313509999999998</v>
      </c>
      <c r="T4665">
        <v>-0.34381270000000003</v>
      </c>
      <c r="U4665">
        <v>-1.317474</v>
      </c>
      <c r="V4665">
        <v>0.47718349999999998</v>
      </c>
      <c r="W4665">
        <v>-7.165009E-2</v>
      </c>
      <c r="X4665">
        <v>0.87587800000000005</v>
      </c>
      <c r="Y4665">
        <v>0.75668789999999997</v>
      </c>
      <c r="Z4665">
        <v>0.1080778</v>
      </c>
      <c r="AA4665">
        <v>0.64478100000000005</v>
      </c>
      <c r="AB4665">
        <v>22</v>
      </c>
      <c r="AC4665">
        <v>-9.4131000000000107</v>
      </c>
      <c r="AD4665">
        <v>-1.1116169725609999</v>
      </c>
      <c r="AE4665">
        <v>-4.0717000000000203</v>
      </c>
      <c r="AF4665">
        <v>7.8193934731413899</v>
      </c>
      <c r="AG4665">
        <v>-1.1116169725609999</v>
      </c>
      <c r="AH4665">
        <v>6.4508736823849997</v>
      </c>
      <c r="AI4665">
        <v>96.258077040538893</v>
      </c>
      <c r="AJ4665">
        <v>39.522082208929604</v>
      </c>
      <c r="AK4665">
        <v>10.1976653135695</v>
      </c>
      <c r="AL4665">
        <v>94.108768237209901</v>
      </c>
      <c r="AM4665">
        <v>61.4181910660757</v>
      </c>
      <c r="AN4665">
        <v>1.0000000494766199</v>
      </c>
    </row>
    <row r="4666" spans="1:40" x14ac:dyDescent="0.25">
      <c r="A4666" t="str">
        <f>"20190303154901293"</f>
        <v>20190303154901293</v>
      </c>
      <c r="B4666" t="str">
        <f>"1551599341285525"</f>
        <v>1551599341285525</v>
      </c>
      <c r="C4666" t="s">
        <v>40</v>
      </c>
      <c r="D4666">
        <v>5.7552070000000004</v>
      </c>
      <c r="E4666">
        <v>0.64743600000000001</v>
      </c>
      <c r="F4666" t="s">
        <v>59</v>
      </c>
      <c r="G4666">
        <v>-202.7063</v>
      </c>
      <c r="H4666" s="1">
        <v>-1.008932E-5</v>
      </c>
      <c r="I4666">
        <v>145.74</v>
      </c>
      <c r="J4666">
        <v>-193.5882</v>
      </c>
      <c r="K4666">
        <v>1.1113679999999999</v>
      </c>
      <c r="L4666">
        <v>149.52440000000001</v>
      </c>
      <c r="M4666">
        <v>-0.29201179999999999</v>
      </c>
      <c r="N4666">
        <v>-9.4707030000000005E-3</v>
      </c>
      <c r="O4666">
        <v>-0.95636790000000005</v>
      </c>
      <c r="P4666">
        <v>-0.71474259999999901</v>
      </c>
      <c r="Q4666">
        <v>-6.7890779999999998E-2</v>
      </c>
      <c r="R4666">
        <v>-0.69608490000000001</v>
      </c>
      <c r="S4666">
        <v>-2.9434809999999998</v>
      </c>
      <c r="T4666">
        <v>-0.35573860000000002</v>
      </c>
      <c r="U4666">
        <v>-1.2801209999999901</v>
      </c>
      <c r="V4666">
        <v>0.47890440000000001</v>
      </c>
      <c r="W4666">
        <v>-7.0031389999999999E-2</v>
      </c>
      <c r="X4666">
        <v>0.87506930000000005</v>
      </c>
      <c r="Y4666">
        <v>0.7544786</v>
      </c>
      <c r="Z4666">
        <v>0.1124005</v>
      </c>
      <c r="AA4666">
        <v>0.64662830000000004</v>
      </c>
      <c r="AB4666">
        <v>22</v>
      </c>
      <c r="AC4666">
        <v>-9.1180999999999894</v>
      </c>
      <c r="AD4666">
        <v>-1.11137808932</v>
      </c>
      <c r="AE4666">
        <v>-3.7844000000000002</v>
      </c>
      <c r="AF4666">
        <v>7.5202036278772297</v>
      </c>
      <c r="AG4666">
        <v>-1.11137808932</v>
      </c>
      <c r="AH4666">
        <v>6.20353331032321</v>
      </c>
      <c r="AI4666">
        <v>96.503789965404394</v>
      </c>
      <c r="AJ4666">
        <v>39.519753893633201</v>
      </c>
      <c r="AK4666">
        <v>9.8118524955508803</v>
      </c>
      <c r="AL4666">
        <v>94.015789956616203</v>
      </c>
      <c r="AM4666">
        <v>61.309171651781199</v>
      </c>
      <c r="AN4666">
        <v>1.0000000498635899</v>
      </c>
    </row>
    <row r="4667" spans="1:40" x14ac:dyDescent="0.25">
      <c r="A4667" t="str">
        <f>"20190303154901307"</f>
        <v>20190303154901307</v>
      </c>
      <c r="B4667" t="str">
        <f>"1551599341295284"</f>
        <v>1551599341295284</v>
      </c>
      <c r="C4667" t="s">
        <v>40</v>
      </c>
      <c r="D4667">
        <v>5.7326769999999998</v>
      </c>
      <c r="E4667">
        <v>0.64675269999999996</v>
      </c>
      <c r="F4667" t="s">
        <v>59</v>
      </c>
      <c r="G4667">
        <v>-202.68610000000001</v>
      </c>
      <c r="H4667" s="1">
        <v>-1.009128E-5</v>
      </c>
      <c r="I4667">
        <v>145.71639999999999</v>
      </c>
      <c r="J4667">
        <v>-193.6369</v>
      </c>
      <c r="K4667">
        <v>1.111232</v>
      </c>
      <c r="L4667">
        <v>149.3974</v>
      </c>
      <c r="M4667">
        <v>-0.30052060000000003</v>
      </c>
      <c r="N4667">
        <v>-9.5377569999999991E-3</v>
      </c>
      <c r="O4667">
        <v>-0.95372780000000001</v>
      </c>
      <c r="P4667">
        <v>-0.72141309999999903</v>
      </c>
      <c r="Q4667">
        <v>-6.7128049999999995E-2</v>
      </c>
      <c r="R4667">
        <v>-0.68924410000000003</v>
      </c>
      <c r="S4667">
        <v>-2.9574579999999999</v>
      </c>
      <c r="T4667">
        <v>-0.36127520000000002</v>
      </c>
      <c r="U4667">
        <v>-1.237854</v>
      </c>
      <c r="V4667">
        <v>0.47950619999999999</v>
      </c>
      <c r="W4667">
        <v>-6.9391190000000005E-2</v>
      </c>
      <c r="X4667">
        <v>0.87479069999999903</v>
      </c>
      <c r="Y4667">
        <v>0.75737580000000004</v>
      </c>
      <c r="Z4667">
        <v>0.1146451</v>
      </c>
      <c r="AA4667">
        <v>0.64283619999999997</v>
      </c>
      <c r="AB4667">
        <v>22</v>
      </c>
      <c r="AC4667">
        <v>-9.0492000000000097</v>
      </c>
      <c r="AD4667">
        <v>-1.1112420912799901</v>
      </c>
      <c r="AE4667">
        <v>-3.6810000000000098</v>
      </c>
      <c r="AF4667">
        <v>7.4284820346403304</v>
      </c>
      <c r="AG4667">
        <v>-1.1112420912799901</v>
      </c>
      <c r="AH4667">
        <v>6.1508404043522802</v>
      </c>
      <c r="AI4667">
        <v>96.572694987972</v>
      </c>
      <c r="AJ4667">
        <v>39.625018711655002</v>
      </c>
      <c r="AK4667">
        <v>9.7082460828008994</v>
      </c>
      <c r="AL4667">
        <v>93.979019741205803</v>
      </c>
      <c r="AM4667">
        <v>61.271169495221002</v>
      </c>
      <c r="AN4667">
        <v>1.00000005094727</v>
      </c>
    </row>
    <row r="4668" spans="1:40" x14ac:dyDescent="0.25">
      <c r="A4668" t="str">
        <f>"20190303154901329"</f>
        <v>20190303154901329</v>
      </c>
      <c r="B4668" t="str">
        <f>"1551599341325540"</f>
        <v>1551599341325540</v>
      </c>
      <c r="C4668" t="s">
        <v>40</v>
      </c>
      <c r="D4668">
        <v>5.7494750000000003</v>
      </c>
      <c r="E4668">
        <v>0.64548070000000002</v>
      </c>
      <c r="F4668" t="s">
        <v>59</v>
      </c>
      <c r="G4668">
        <v>-202.66579999999999</v>
      </c>
      <c r="H4668" s="1">
        <v>-1.0096069999999999E-5</v>
      </c>
      <c r="I4668">
        <v>145.7022</v>
      </c>
      <c r="J4668">
        <v>-193.72200000000001</v>
      </c>
      <c r="K4668">
        <v>1.1110100000000001</v>
      </c>
      <c r="L4668">
        <v>149.18450000000001</v>
      </c>
      <c r="M4668">
        <v>-0.31503239999999999</v>
      </c>
      <c r="N4668">
        <v>-9.6477850000000007E-3</v>
      </c>
      <c r="O4668">
        <v>-0.94903210000000005</v>
      </c>
      <c r="P4668">
        <v>-0.73273500000000003</v>
      </c>
      <c r="Q4668">
        <v>-6.6171930000000004E-2</v>
      </c>
      <c r="R4668">
        <v>-0.67728969999999999</v>
      </c>
      <c r="S4668">
        <v>-2.9651640000000001</v>
      </c>
      <c r="T4668">
        <v>-0.3649443</v>
      </c>
      <c r="U4668">
        <v>-1.2135309999999999</v>
      </c>
      <c r="V4668">
        <v>0.48061369999999998</v>
      </c>
      <c r="W4668">
        <v>-6.862886E-2</v>
      </c>
      <c r="X4668">
        <v>0.87424279999999999</v>
      </c>
      <c r="Y4668">
        <v>0.75243309999999997</v>
      </c>
      <c r="Z4668">
        <v>0.116032</v>
      </c>
      <c r="AA4668">
        <v>0.64836800000000006</v>
      </c>
      <c r="AB4668">
        <v>22</v>
      </c>
      <c r="AC4668">
        <v>-8.94379999999998</v>
      </c>
      <c r="AD4668">
        <v>-1.1110200960700001</v>
      </c>
      <c r="AE4668">
        <v>-3.4823</v>
      </c>
      <c r="AF4668">
        <v>7.2935263624670297</v>
      </c>
      <c r="AG4668">
        <v>-1.1110200960700001</v>
      </c>
      <c r="AH4668">
        <v>6.0417267877019203</v>
      </c>
      <c r="AI4668">
        <v>96.690719353260107</v>
      </c>
      <c r="AJ4668">
        <v>39.637276980731599</v>
      </c>
      <c r="AK4668">
        <v>9.5358457952668303</v>
      </c>
      <c r="AL4668">
        <v>93.935237425136904</v>
      </c>
      <c r="AM4668">
        <v>61.200269072380699</v>
      </c>
      <c r="AN4668">
        <v>0.99999996120221302</v>
      </c>
    </row>
    <row r="4669" spans="1:40" x14ac:dyDescent="0.25">
      <c r="A4669" t="str">
        <f>"20190303154901352"</f>
        <v>20190303154901352</v>
      </c>
      <c r="B4669" t="str">
        <f>"1551599341345646"</f>
        <v>1551599341345646</v>
      </c>
      <c r="C4669" t="s">
        <v>40</v>
      </c>
      <c r="D4669">
        <v>5.7254139999999998</v>
      </c>
      <c r="E4669">
        <v>0.64466020000000002</v>
      </c>
      <c r="F4669" t="s">
        <v>59</v>
      </c>
      <c r="G4669">
        <v>-203.23830000000001</v>
      </c>
      <c r="H4669" s="1">
        <v>-9.7881849999999995E-6</v>
      </c>
      <c r="I4669">
        <v>145.4374</v>
      </c>
      <c r="J4669">
        <v>-193.81659999999999</v>
      </c>
      <c r="K4669">
        <v>1.110797</v>
      </c>
      <c r="L4669">
        <v>148.95910000000001</v>
      </c>
      <c r="M4669">
        <v>-0.33070899999999998</v>
      </c>
      <c r="N4669">
        <v>-9.7626250000000005E-3</v>
      </c>
      <c r="O4669">
        <v>-0.94368240000000003</v>
      </c>
      <c r="P4669">
        <v>-0.74396200000000001</v>
      </c>
      <c r="Q4669">
        <v>-6.6035910000000003E-2</v>
      </c>
      <c r="R4669">
        <v>-0.66495109999999902</v>
      </c>
      <c r="S4669">
        <v>-2.9787140000000001</v>
      </c>
      <c r="T4669">
        <v>-0.34776380000000001</v>
      </c>
      <c r="U4669">
        <v>-1.1728970000000001</v>
      </c>
      <c r="V4669">
        <v>0.48072169999999997</v>
      </c>
      <c r="W4669">
        <v>-6.864642E-2</v>
      </c>
      <c r="X4669">
        <v>0.87418209999999996</v>
      </c>
      <c r="Y4669">
        <v>0.75088189999999999</v>
      </c>
      <c r="Z4669">
        <v>0.11052240000000001</v>
      </c>
      <c r="AA4669">
        <v>0.65112300000000001</v>
      </c>
      <c r="AB4669">
        <v>22</v>
      </c>
      <c r="AC4669">
        <v>-9.4217000000000102</v>
      </c>
      <c r="AD4669">
        <v>-1.1108067881849999</v>
      </c>
      <c r="AE4669">
        <v>-3.5217000000000001</v>
      </c>
      <c r="AF4669">
        <v>7.6337003817138402</v>
      </c>
      <c r="AG4669">
        <v>-1.1108067881849999</v>
      </c>
      <c r="AH4669">
        <v>6.3619226496736001</v>
      </c>
      <c r="AI4669">
        <v>96.378213513809797</v>
      </c>
      <c r="AJ4669">
        <v>39.807810890298001</v>
      </c>
      <c r="AK4669">
        <v>9.9990666083833002</v>
      </c>
      <c r="AL4669">
        <v>93.936245709696905</v>
      </c>
      <c r="AM4669">
        <v>61.193154283677998</v>
      </c>
      <c r="AN4669">
        <v>1.00000001389505</v>
      </c>
    </row>
    <row r="4670" spans="1:40" x14ac:dyDescent="0.25">
      <c r="A4670" t="str">
        <f>"20190303154901370"</f>
        <v>20190303154901370</v>
      </c>
      <c r="B4670" t="str">
        <f>"1551599341365166"</f>
        <v>1551599341365166</v>
      </c>
      <c r="C4670" t="s">
        <v>40</v>
      </c>
      <c r="D4670">
        <v>5.3521299999999998</v>
      </c>
      <c r="E4670">
        <v>0.64392329999999998</v>
      </c>
      <c r="F4670" t="s">
        <v>59</v>
      </c>
      <c r="G4670">
        <v>-203.78659999999999</v>
      </c>
      <c r="H4670" s="1">
        <v>-9.5194250000000008E-6</v>
      </c>
      <c r="I4670">
        <v>145.2012</v>
      </c>
      <c r="J4670">
        <v>-193.8871</v>
      </c>
      <c r="K4670">
        <v>1.1106510000000001</v>
      </c>
      <c r="L4670">
        <v>148.7979</v>
      </c>
      <c r="M4670">
        <v>-0.34210159999999901</v>
      </c>
      <c r="N4670">
        <v>-9.8440760000000002E-3</v>
      </c>
      <c r="O4670">
        <v>-0.93961150000000004</v>
      </c>
      <c r="P4670">
        <v>-0.75177919999999998</v>
      </c>
      <c r="Q4670">
        <v>-6.5452049999999998E-2</v>
      </c>
      <c r="R4670">
        <v>-0.65615859999999904</v>
      </c>
      <c r="S4670">
        <v>-2.9941710000000001</v>
      </c>
      <c r="T4670">
        <v>-0.33359470000000002</v>
      </c>
      <c r="U4670">
        <v>-1.128555</v>
      </c>
      <c r="V4670">
        <v>0.48046329999999998</v>
      </c>
      <c r="W4670">
        <v>-6.8147239999999998E-2</v>
      </c>
      <c r="X4670">
        <v>0.87436320000000001</v>
      </c>
      <c r="Y4670">
        <v>0.75298359999999998</v>
      </c>
      <c r="Z4670">
        <v>0.10601629999999999</v>
      </c>
      <c r="AA4670">
        <v>0.64944299999999999</v>
      </c>
      <c r="AB4670">
        <v>22</v>
      </c>
      <c r="AC4670">
        <v>-9.8994999999999802</v>
      </c>
      <c r="AD4670">
        <v>-1.1106605194249899</v>
      </c>
      <c r="AE4670">
        <v>-3.59669999999999</v>
      </c>
      <c r="AF4670">
        <v>7.9828713311748496</v>
      </c>
      <c r="AG4670">
        <v>-1.1106605194249899</v>
      </c>
      <c r="AH4670">
        <v>6.6920498662946599</v>
      </c>
      <c r="AI4670">
        <v>96.085999055655606</v>
      </c>
      <c r="AJ4670">
        <v>39.9731409948227</v>
      </c>
      <c r="AK4670">
        <v>10.4758452113649</v>
      </c>
      <c r="AL4670">
        <v>93.907577654513801</v>
      </c>
      <c r="AM4670">
        <v>61.211169122862501</v>
      </c>
      <c r="AN4670">
        <v>1.00000001724037</v>
      </c>
    </row>
    <row r="4671" spans="1:40" x14ac:dyDescent="0.25">
      <c r="A4671" t="str">
        <f>"20190303154901392"</f>
        <v>20190303154901392</v>
      </c>
      <c r="B4671" t="str">
        <f>"1551599341385661"</f>
        <v>1551599341385661</v>
      </c>
      <c r="C4671" t="s">
        <v>40</v>
      </c>
      <c r="D4671">
        <v>5.6524989999999997</v>
      </c>
      <c r="E4671">
        <v>0.64240989999999998</v>
      </c>
      <c r="F4671" t="s">
        <v>59</v>
      </c>
      <c r="G4671">
        <v>-203.75399999999999</v>
      </c>
      <c r="H4671" s="1">
        <v>-9.5292800000000007E-6</v>
      </c>
      <c r="I4671">
        <v>145.19200000000001</v>
      </c>
      <c r="J4671">
        <v>-193.98429999999999</v>
      </c>
      <c r="K4671">
        <v>1.1104799999999999</v>
      </c>
      <c r="L4671">
        <v>148.5847</v>
      </c>
      <c r="M4671">
        <v>-0.35740499999999997</v>
      </c>
      <c r="N4671">
        <v>-9.9508410000000002E-3</v>
      </c>
      <c r="O4671">
        <v>-0.93389650000000002</v>
      </c>
      <c r="P4671">
        <v>-0.76199069999999902</v>
      </c>
      <c r="Q4671">
        <v>-6.4728359999999999E-2</v>
      </c>
      <c r="R4671">
        <v>-0.64434519999999995</v>
      </c>
      <c r="S4671">
        <v>-3.003174</v>
      </c>
      <c r="T4671">
        <v>-0.3380513</v>
      </c>
      <c r="U4671">
        <v>-1.097534</v>
      </c>
      <c r="V4671">
        <v>0.47987540000000001</v>
      </c>
      <c r="W4671">
        <v>-6.751654E-2</v>
      </c>
      <c r="X4671">
        <v>0.87473489999999998</v>
      </c>
      <c r="Y4671">
        <v>0.74867189999999995</v>
      </c>
      <c r="Z4671">
        <v>0.1076252</v>
      </c>
      <c r="AA4671">
        <v>0.65414629999999996</v>
      </c>
      <c r="AB4671">
        <v>22</v>
      </c>
      <c r="AC4671">
        <v>-9.7697000000000198</v>
      </c>
      <c r="AD4671">
        <v>-1.1104895292800001</v>
      </c>
      <c r="AE4671">
        <v>-3.3926999999999898</v>
      </c>
      <c r="AF4671">
        <v>7.8215324074686503</v>
      </c>
      <c r="AG4671">
        <v>-1.1104895292800001</v>
      </c>
      <c r="AH4671">
        <v>6.5845817329856997</v>
      </c>
      <c r="AI4671">
        <v>96.198849294721498</v>
      </c>
      <c r="AJ4671">
        <v>40.092455034624898</v>
      </c>
      <c r="AK4671">
        <v>10.284273080489999</v>
      </c>
      <c r="AL4671">
        <v>93.871357796121501</v>
      </c>
      <c r="AM4671">
        <v>61.2510371338415</v>
      </c>
      <c r="AN4671">
        <v>1.00000001398837</v>
      </c>
    </row>
    <row r="4672" spans="1:40" x14ac:dyDescent="0.25">
      <c r="A4672" t="str">
        <f>"20190303154901406"</f>
        <v>20190303154901406</v>
      </c>
      <c r="B4672" t="str">
        <f>"1551599341395422"</f>
        <v>1551599341395422</v>
      </c>
      <c r="C4672" t="s">
        <v>40</v>
      </c>
      <c r="D4672">
        <v>5.6229459999999998</v>
      </c>
      <c r="E4672">
        <v>0.64162929999999996</v>
      </c>
      <c r="F4672" t="s">
        <v>59</v>
      </c>
      <c r="G4672">
        <v>-203.71520000000001</v>
      </c>
      <c r="H4672" s="1">
        <v>-9.5357730000000006E-6</v>
      </c>
      <c r="I4672">
        <v>145.16130000000001</v>
      </c>
      <c r="J4672">
        <v>-194.04499999999999</v>
      </c>
      <c r="K4672">
        <v>1.110382</v>
      </c>
      <c r="L4672">
        <v>148.4562</v>
      </c>
      <c r="M4672">
        <v>-0.36674570000000001</v>
      </c>
      <c r="N4672">
        <v>-1.001437E-2</v>
      </c>
      <c r="O4672">
        <v>-0.93026730000000002</v>
      </c>
      <c r="P4672">
        <v>-0.76824740000000002</v>
      </c>
      <c r="Q4672">
        <v>-6.404646E-2</v>
      </c>
      <c r="R4672">
        <v>-0.63694099999999998</v>
      </c>
      <c r="S4672">
        <v>-3.0118870000000002</v>
      </c>
      <c r="T4672">
        <v>-0.34371469999999998</v>
      </c>
      <c r="U4672">
        <v>-1.0595859999999999</v>
      </c>
      <c r="V4672">
        <v>0.47962880000000002</v>
      </c>
      <c r="W4672">
        <v>-6.6889959999999998E-2</v>
      </c>
      <c r="X4672">
        <v>0.87491819999999898</v>
      </c>
      <c r="Y4672">
        <v>0.74975509999999901</v>
      </c>
      <c r="Z4672">
        <v>0.10984960000000001</v>
      </c>
      <c r="AA4672">
        <v>0.6525339</v>
      </c>
      <c r="AB4672">
        <v>22</v>
      </c>
      <c r="AC4672">
        <v>-9.6702000000000208</v>
      </c>
      <c r="AD4672">
        <v>-1.1103915357730001</v>
      </c>
      <c r="AE4672">
        <v>-3.2948999999999802</v>
      </c>
      <c r="AF4672">
        <v>7.6969429977708197</v>
      </c>
      <c r="AG4672">
        <v>-1.1103915357730001</v>
      </c>
      <c r="AH4672">
        <v>6.5347748819039904</v>
      </c>
      <c r="AI4672">
        <v>96.275834768557601</v>
      </c>
      <c r="AJ4672">
        <v>40.331561009386597</v>
      </c>
      <c r="AK4672">
        <v>10.157715473019101</v>
      </c>
      <c r="AL4672">
        <v>93.8353762908812</v>
      </c>
      <c r="AM4672">
        <v>61.268515126308799</v>
      </c>
      <c r="AN4672">
        <v>0.99999995461473901</v>
      </c>
    </row>
    <row r="4673" spans="1:40" x14ac:dyDescent="0.25">
      <c r="A4673" t="str">
        <f>"20190303154901429"</f>
        <v>20190303154901429</v>
      </c>
      <c r="B4673" t="str">
        <f>"1551599341425677"</f>
        <v>1551599341425677</v>
      </c>
      <c r="C4673" t="s">
        <v>40</v>
      </c>
      <c r="D4673">
        <v>5.6073570000000004</v>
      </c>
      <c r="E4673">
        <v>0.63965760000000005</v>
      </c>
      <c r="F4673" t="s">
        <v>59</v>
      </c>
      <c r="G4673">
        <v>-203.77119999999999</v>
      </c>
      <c r="H4673" s="1">
        <v>-9.5039399999999898E-6</v>
      </c>
      <c r="I4673">
        <v>145.12049999999999</v>
      </c>
      <c r="J4673">
        <v>-194.14859999999999</v>
      </c>
      <c r="K4673">
        <v>1.110222</v>
      </c>
      <c r="L4673">
        <v>148.2448</v>
      </c>
      <c r="M4673">
        <v>-0.38231389999999998</v>
      </c>
      <c r="N4673">
        <v>-1.0117549999999999E-2</v>
      </c>
      <c r="O4673">
        <v>-0.9239773</v>
      </c>
      <c r="P4673">
        <v>-0.77859820000000002</v>
      </c>
      <c r="Q4673">
        <v>-6.4062330000000001E-2</v>
      </c>
      <c r="R4673">
        <v>-0.62424480000000004</v>
      </c>
      <c r="S4673">
        <v>-3.0181269999999998</v>
      </c>
      <c r="T4673">
        <v>-0.34456439999999999</v>
      </c>
      <c r="U4673">
        <v>-1.03508</v>
      </c>
      <c r="V4673">
        <v>0.47927399999999998</v>
      </c>
      <c r="W4673">
        <v>-6.6995810000000003E-2</v>
      </c>
      <c r="X4673">
        <v>0.87510449999999995</v>
      </c>
      <c r="Y4673">
        <v>0.74382219999999999</v>
      </c>
      <c r="Z4673">
        <v>0.11011650000000001</v>
      </c>
      <c r="AA4673">
        <v>0.65924430000000001</v>
      </c>
      <c r="AB4673">
        <v>22</v>
      </c>
      <c r="AC4673">
        <v>-9.6226000000000003</v>
      </c>
      <c r="AD4673">
        <v>-1.1102315039399999</v>
      </c>
      <c r="AE4673">
        <v>-3.1242999999999999</v>
      </c>
      <c r="AF4673">
        <v>7.60540554812943</v>
      </c>
      <c r="AG4673">
        <v>-1.1102315039399999</v>
      </c>
      <c r="AH4673">
        <v>6.4878414292963802</v>
      </c>
      <c r="AI4673">
        <v>96.337279217085694</v>
      </c>
      <c r="AJ4673">
        <v>40.466055626980904</v>
      </c>
      <c r="AK4673">
        <v>10.0581754784629</v>
      </c>
      <c r="AL4673">
        <v>93.841454718420096</v>
      </c>
      <c r="AM4673">
        <v>61.291523706175099</v>
      </c>
      <c r="AN4673">
        <v>0.99999994577690099</v>
      </c>
    </row>
    <row r="4674" spans="1:40" x14ac:dyDescent="0.25">
      <c r="A4674" t="str">
        <f>"20190303154901449"</f>
        <v>20190303154901449</v>
      </c>
      <c r="B4674" t="str">
        <f>"1551599341446016"</f>
        <v>1551599341446016</v>
      </c>
      <c r="C4674" t="s">
        <v>40</v>
      </c>
      <c r="D4674">
        <v>5.6432779999999996</v>
      </c>
      <c r="E4674">
        <v>0.63856889999999999</v>
      </c>
      <c r="F4674" t="s">
        <v>59</v>
      </c>
      <c r="G4674">
        <v>-203.76609999999999</v>
      </c>
      <c r="H4674" s="1">
        <v>-9.4934729999999993E-6</v>
      </c>
      <c r="I4674">
        <v>145.0736</v>
      </c>
      <c r="J4674">
        <v>-194.2465</v>
      </c>
      <c r="K4674">
        <v>1.1100760000000001</v>
      </c>
      <c r="L4674">
        <v>148.05330000000001</v>
      </c>
      <c r="M4674">
        <v>-0.3965979</v>
      </c>
      <c r="N4674">
        <v>-1.020853E-2</v>
      </c>
      <c r="O4674">
        <v>-0.91793579999999997</v>
      </c>
      <c r="P4674">
        <v>-0.78813389999999905</v>
      </c>
      <c r="Q4674">
        <v>-6.5662620000000005E-2</v>
      </c>
      <c r="R4674">
        <v>-0.61199179999999997</v>
      </c>
      <c r="S4674">
        <v>-3.0247190000000002</v>
      </c>
      <c r="T4674">
        <v>-0.3491725</v>
      </c>
      <c r="U4674">
        <v>-0.99736020000000003</v>
      </c>
      <c r="V4674">
        <v>0.4792052</v>
      </c>
      <c r="W4674">
        <v>-6.8685330000000003E-2</v>
      </c>
      <c r="X4674">
        <v>0.87501130000000005</v>
      </c>
      <c r="Y4674">
        <v>0.74116040000000005</v>
      </c>
      <c r="Z4674">
        <v>0.1118821</v>
      </c>
      <c r="AA4674">
        <v>0.66193930000000001</v>
      </c>
      <c r="AB4674">
        <v>22</v>
      </c>
      <c r="AC4674">
        <v>-9.5195999999999898</v>
      </c>
      <c r="AD4674">
        <v>-1.110085493473</v>
      </c>
      <c r="AE4674">
        <v>-2.9796999999999998</v>
      </c>
      <c r="AF4674">
        <v>7.4645854858000797</v>
      </c>
      <c r="AG4674">
        <v>-1.110085493473</v>
      </c>
      <c r="AH4674">
        <v>6.4313155806289402</v>
      </c>
      <c r="AI4674">
        <v>96.428098280908799</v>
      </c>
      <c r="AJ4674">
        <v>40.747432732854101</v>
      </c>
      <c r="AK4674">
        <v>9.9153490294228703</v>
      </c>
      <c r="AL4674">
        <v>93.938480272926199</v>
      </c>
      <c r="AM4674">
        <v>61.292418133982402</v>
      </c>
      <c r="AN4674">
        <v>1.00000003669596</v>
      </c>
    </row>
    <row r="4675" spans="1:40" x14ac:dyDescent="0.25">
      <c r="A4675" t="str">
        <f>"20190303154901464"</f>
        <v>20190303154901464</v>
      </c>
      <c r="B4675" t="str">
        <f>"1551599341455776"</f>
        <v>1551599341455776</v>
      </c>
      <c r="C4675" t="s">
        <v>40</v>
      </c>
      <c r="D4675">
        <v>5.6181789999999996</v>
      </c>
      <c r="E4675">
        <v>0.63802799999999904</v>
      </c>
      <c r="F4675" t="s">
        <v>59</v>
      </c>
      <c r="G4675">
        <v>-203.6653</v>
      </c>
      <c r="H4675" s="1">
        <v>-9.5341909999999997E-6</v>
      </c>
      <c r="I4675">
        <v>145.08410000000001</v>
      </c>
      <c r="J4675">
        <v>-194.31909999999999</v>
      </c>
      <c r="K4675">
        <v>1.109977</v>
      </c>
      <c r="L4675">
        <v>147.91569999999999</v>
      </c>
      <c r="M4675">
        <v>-0.40695890000000001</v>
      </c>
      <c r="N4675">
        <v>-1.0271819999999999E-2</v>
      </c>
      <c r="O4675">
        <v>-0.91338889999999995</v>
      </c>
      <c r="P4675">
        <v>-0.79516140000000002</v>
      </c>
      <c r="Q4675">
        <v>-6.6548789999999997E-2</v>
      </c>
      <c r="R4675">
        <v>-0.60273549999999998</v>
      </c>
      <c r="S4675">
        <v>-3.0339809999999998</v>
      </c>
      <c r="T4675">
        <v>-0.35758139999999999</v>
      </c>
      <c r="U4675">
        <v>-0.9564667</v>
      </c>
      <c r="V4675">
        <v>0.47942869999999999</v>
      </c>
      <c r="W4675">
        <v>-6.9642309999999999E-2</v>
      </c>
      <c r="X4675">
        <v>0.87481309999999901</v>
      </c>
      <c r="Y4675">
        <v>0.74195219999999995</v>
      </c>
      <c r="Z4675">
        <v>0.1149732</v>
      </c>
      <c r="AA4675">
        <v>0.66052109999999997</v>
      </c>
      <c r="AB4675">
        <v>22</v>
      </c>
      <c r="AC4675">
        <v>-9.3462000000000103</v>
      </c>
      <c r="AD4675">
        <v>-1.109986534191</v>
      </c>
      <c r="AE4675">
        <v>-2.8315999999999799</v>
      </c>
      <c r="AF4675">
        <v>7.2905725124944203</v>
      </c>
      <c r="AG4675">
        <v>-1.109986534191</v>
      </c>
      <c r="AH4675">
        <v>6.3087056391396601</v>
      </c>
      <c r="AI4675">
        <v>96.567537559289903</v>
      </c>
      <c r="AJ4675">
        <v>40.870414631303198</v>
      </c>
      <c r="AK4675">
        <v>9.7048588092427792</v>
      </c>
      <c r="AL4675">
        <v>93.993443173489993</v>
      </c>
      <c r="AM4675">
        <v>61.275691197933703</v>
      </c>
      <c r="AN4675">
        <v>0.99999994482871601</v>
      </c>
    </row>
    <row r="4676" spans="1:40" x14ac:dyDescent="0.25">
      <c r="A4676" t="str">
        <f>"20190303154901483"</f>
        <v>20190303154901483</v>
      </c>
      <c r="B4676" t="str">
        <f>"1551599341475296"</f>
        <v>1551599341475296</v>
      </c>
      <c r="C4676" t="s">
        <v>40</v>
      </c>
      <c r="D4676">
        <v>5.5956789999999996</v>
      </c>
      <c r="E4676">
        <v>0.61464479999999999</v>
      </c>
      <c r="F4676" t="s">
        <v>59</v>
      </c>
      <c r="G4676">
        <v>-203.6472</v>
      </c>
      <c r="H4676" s="1">
        <v>-9.5402189999999992E-6</v>
      </c>
      <c r="I4676">
        <v>145.08109999999999</v>
      </c>
      <c r="J4676">
        <v>-194.4092</v>
      </c>
      <c r="K4676">
        <v>1.1098520000000001</v>
      </c>
      <c r="L4676">
        <v>147.75040000000001</v>
      </c>
      <c r="M4676">
        <v>-0.41952149999999999</v>
      </c>
      <c r="N4676">
        <v>-1.0345389999999999E-2</v>
      </c>
      <c r="O4676">
        <v>-0.90768649999999995</v>
      </c>
      <c r="P4676">
        <v>-0.80383879999999996</v>
      </c>
      <c r="Q4676">
        <v>-6.8277169999999998E-2</v>
      </c>
      <c r="R4676">
        <v>-0.59091559999999999</v>
      </c>
      <c r="S4676">
        <v>-3.041855</v>
      </c>
      <c r="T4676">
        <v>-0.36196260000000002</v>
      </c>
      <c r="U4676">
        <v>-0.92436220000000002</v>
      </c>
      <c r="V4676">
        <v>0.48009570000000001</v>
      </c>
      <c r="W4676">
        <v>-7.1466859999999993E-2</v>
      </c>
      <c r="X4676">
        <v>0.87430010000000002</v>
      </c>
      <c r="Y4676">
        <v>0.73944750000000004</v>
      </c>
      <c r="Z4676">
        <v>0.11647879999999999</v>
      </c>
      <c r="AA4676">
        <v>0.66306109999999996</v>
      </c>
      <c r="AB4676">
        <v>23</v>
      </c>
      <c r="AC4676">
        <v>-9.2379999999999995</v>
      </c>
      <c r="AD4676">
        <v>-1.109861540219</v>
      </c>
      <c r="AE4676">
        <v>-2.6693000000000202</v>
      </c>
      <c r="AF4676">
        <v>7.1702484240855799</v>
      </c>
      <c r="AG4676">
        <v>-1.109861540219</v>
      </c>
      <c r="AH4676">
        <v>6.2159574510367301</v>
      </c>
      <c r="AI4676">
        <v>96.670825370658505</v>
      </c>
      <c r="AJ4676">
        <v>40.922332139320098</v>
      </c>
      <c r="AK4676">
        <v>9.5541813953189099</v>
      </c>
      <c r="AL4676">
        <v>94.098243033338704</v>
      </c>
      <c r="AM4676">
        <v>61.2279295686862</v>
      </c>
      <c r="AN4676">
        <v>1.0000000290483699</v>
      </c>
    </row>
    <row r="4677" spans="1:40" x14ac:dyDescent="0.25">
      <c r="A4677" t="str">
        <f>"20190303154901504"</f>
        <v>20190303154901504</v>
      </c>
      <c r="B4677" t="str">
        <f>"1551599341495795"</f>
        <v>1551599341495795</v>
      </c>
      <c r="C4677" t="s">
        <v>40</v>
      </c>
      <c r="D4677">
        <v>5.2960589999999996</v>
      </c>
      <c r="E4677">
        <v>0.61662819999999996</v>
      </c>
      <c r="F4677" t="s">
        <v>59</v>
      </c>
      <c r="G4677">
        <v>-202.1301</v>
      </c>
      <c r="H4677" s="1">
        <v>-1.0140239999999999E-5</v>
      </c>
      <c r="I4677">
        <v>145.0522</v>
      </c>
      <c r="J4677">
        <v>-194.52330000000001</v>
      </c>
      <c r="K4677">
        <v>1.10971</v>
      </c>
      <c r="L4677">
        <v>147.54929999999999</v>
      </c>
      <c r="M4677">
        <v>-0.43496869999999999</v>
      </c>
      <c r="N4677">
        <v>-1.043095E-2</v>
      </c>
      <c r="O4677">
        <v>-0.90038530000000006</v>
      </c>
      <c r="P4677">
        <v>-0.81396619999999997</v>
      </c>
      <c r="Q4677">
        <v>-6.8708199999999997E-2</v>
      </c>
      <c r="R4677">
        <v>-0.57683519999999999</v>
      </c>
      <c r="S4677">
        <v>-2.9407199999999998</v>
      </c>
      <c r="T4677">
        <v>-0.42272169999999998</v>
      </c>
      <c r="U4677">
        <v>-1.027695</v>
      </c>
      <c r="V4677">
        <v>0.48030919999999999</v>
      </c>
      <c r="W4677">
        <v>-7.1987949999999995E-2</v>
      </c>
      <c r="X4677">
        <v>0.87413999999999903</v>
      </c>
      <c r="Y4677">
        <v>0.69669399999999904</v>
      </c>
      <c r="Z4677">
        <v>0.13769919999999999</v>
      </c>
      <c r="AA4677">
        <v>0.70402869999999995</v>
      </c>
      <c r="AB4677">
        <v>23</v>
      </c>
      <c r="AC4677">
        <v>-7.60679999999999</v>
      </c>
      <c r="AD4677">
        <v>-1.1097201402400001</v>
      </c>
      <c r="AE4677">
        <v>-2.4970999999999801</v>
      </c>
      <c r="AF4677">
        <v>5.6545668812860299</v>
      </c>
      <c r="AG4677">
        <v>-1.1097201402400001</v>
      </c>
      <c r="AH4677">
        <v>5.45261708337864</v>
      </c>
      <c r="AI4677">
        <v>98.041015612155903</v>
      </c>
      <c r="AJ4677">
        <v>43.958368174729401</v>
      </c>
      <c r="AK4677">
        <v>7.9332615274263896</v>
      </c>
      <c r="AL4677">
        <v>94.128176651146305</v>
      </c>
      <c r="AM4677">
        <v>61.212752534169802</v>
      </c>
      <c r="AN4677">
        <v>0.99999996607492003</v>
      </c>
    </row>
    <row r="4678" spans="1:40" x14ac:dyDescent="0.25">
      <c r="A4678" t="str">
        <f>"20190303154901528"</f>
        <v>20190303154901528</v>
      </c>
      <c r="B4678" t="str">
        <f>"1551599341515311"</f>
        <v>1551599341515311</v>
      </c>
      <c r="C4678" t="s">
        <v>40</v>
      </c>
      <c r="D4678">
        <v>5.6573580000000003</v>
      </c>
      <c r="E4678">
        <v>0.61604419999999904</v>
      </c>
      <c r="F4678" t="s">
        <v>59</v>
      </c>
      <c r="G4678">
        <v>-205.13</v>
      </c>
      <c r="H4678" s="1">
        <v>-8.7108489999999902E-6</v>
      </c>
      <c r="I4678">
        <v>144.0975</v>
      </c>
      <c r="J4678">
        <v>-194.64340000000001</v>
      </c>
      <c r="K4678">
        <v>1.109588</v>
      </c>
      <c r="L4678">
        <v>147.34620000000001</v>
      </c>
      <c r="M4678">
        <v>-0.45072119999999999</v>
      </c>
      <c r="N4678">
        <v>-1.0514849999999999E-2</v>
      </c>
      <c r="O4678">
        <v>-0.89260260000000002</v>
      </c>
      <c r="P4678">
        <v>-0.82415939999999999</v>
      </c>
      <c r="Q4678">
        <v>-6.7977120000000002E-2</v>
      </c>
      <c r="R4678">
        <v>-0.56226359999999997</v>
      </c>
      <c r="S4678">
        <v>-2.9736020000000001</v>
      </c>
      <c r="T4678">
        <v>-0.31111220000000001</v>
      </c>
      <c r="U4678">
        <v>-0.96772769999999997</v>
      </c>
      <c r="V4678">
        <v>0.48055409999999998</v>
      </c>
      <c r="W4678">
        <v>-7.1333809999999997E-2</v>
      </c>
      <c r="X4678">
        <v>0.87405900000000003</v>
      </c>
      <c r="Y4678">
        <v>0.70408570000000004</v>
      </c>
      <c r="Z4678">
        <v>9.9504750000000003E-2</v>
      </c>
      <c r="AA4678">
        <v>0.70310890000000004</v>
      </c>
      <c r="AB4678">
        <v>23</v>
      </c>
      <c r="AC4678">
        <v>-10.4865999999999</v>
      </c>
      <c r="AD4678">
        <v>-1.1095967108489999</v>
      </c>
      <c r="AE4678">
        <v>-3.2487000000000101</v>
      </c>
      <c r="AF4678">
        <v>7.81669502711694</v>
      </c>
      <c r="AG4678">
        <v>-1.1095967108489999</v>
      </c>
      <c r="AH4678">
        <v>7.5496307965059701</v>
      </c>
      <c r="AI4678">
        <v>95.829948633616098</v>
      </c>
      <c r="AJ4678">
        <v>44.0043089635234</v>
      </c>
      <c r="AK4678">
        <v>10.923774584420499</v>
      </c>
      <c r="AL4678">
        <v>94.090600666335703</v>
      </c>
      <c r="AM4678">
        <v>61.198182915101</v>
      </c>
      <c r="AN4678">
        <v>0.99999994547846105</v>
      </c>
    </row>
    <row r="4679" spans="1:40" x14ac:dyDescent="0.25">
      <c r="A4679" t="str">
        <f>"20190303154901550"</f>
        <v>20190303154901550</v>
      </c>
      <c r="B4679" t="str">
        <f>"1551599341545755"</f>
        <v>1551599341545755</v>
      </c>
      <c r="C4679" t="s">
        <v>40</v>
      </c>
      <c r="D4679">
        <v>5.6379080000000004</v>
      </c>
      <c r="E4679">
        <v>0.61405449999999995</v>
      </c>
      <c r="F4679" t="s">
        <v>59</v>
      </c>
      <c r="G4679">
        <v>-204.90639999999999</v>
      </c>
      <c r="H4679" s="1">
        <v>-8.8316189999999904E-6</v>
      </c>
      <c r="I4679">
        <v>144.1925</v>
      </c>
      <c r="J4679">
        <v>-194.77090000000001</v>
      </c>
      <c r="K4679">
        <v>1.109477</v>
      </c>
      <c r="L4679">
        <v>147.13910000000001</v>
      </c>
      <c r="M4679">
        <v>-0.46690330000000002</v>
      </c>
      <c r="N4679">
        <v>-1.059732E-2</v>
      </c>
      <c r="O4679">
        <v>-0.88424499999999995</v>
      </c>
      <c r="P4679">
        <v>-0.83469689999999996</v>
      </c>
      <c r="Q4679">
        <v>-6.7845639999999999E-2</v>
      </c>
      <c r="R4679">
        <v>-0.54651490000000003</v>
      </c>
      <c r="S4679">
        <v>-2.9871979999999998</v>
      </c>
      <c r="T4679">
        <v>-0.32296360000000002</v>
      </c>
      <c r="U4679">
        <v>-0.91792300000000004</v>
      </c>
      <c r="V4679">
        <v>0.48122500000000001</v>
      </c>
      <c r="W4679">
        <v>-7.1277770000000004E-2</v>
      </c>
      <c r="X4679">
        <v>0.87369439999999998</v>
      </c>
      <c r="Y4679">
        <v>0.7023895</v>
      </c>
      <c r="Z4679">
        <v>0.1034836</v>
      </c>
      <c r="AA4679">
        <v>0.70423019999999903</v>
      </c>
      <c r="AB4679">
        <v>23</v>
      </c>
      <c r="AC4679">
        <v>-10.135499999999899</v>
      </c>
      <c r="AD4679">
        <v>-1.1094858316189999</v>
      </c>
      <c r="AE4679">
        <v>-2.9466000000000099</v>
      </c>
      <c r="AF4679">
        <v>7.5040027186786604</v>
      </c>
      <c r="AG4679">
        <v>-1.1094858316189999</v>
      </c>
      <c r="AH4679">
        <v>7.2580332355636203</v>
      </c>
      <c r="AI4679">
        <v>96.066326469729006</v>
      </c>
      <c r="AJ4679">
        <v>44.045408823869202</v>
      </c>
      <c r="AK4679">
        <v>10.4985742870661</v>
      </c>
      <c r="AL4679">
        <v>94.087381545441502</v>
      </c>
      <c r="AM4679">
        <v>61.154322503508098</v>
      </c>
      <c r="AN4679">
        <v>0.99999996285626502</v>
      </c>
    </row>
    <row r="4680" spans="1:40" x14ac:dyDescent="0.25">
      <c r="A4680" t="str">
        <f>"20190303154901574"</f>
        <v>20190303154901574</v>
      </c>
      <c r="B4680" t="str">
        <f>"1551599341565275"</f>
        <v>1551599341565275</v>
      </c>
      <c r="C4680" t="s">
        <v>40</v>
      </c>
      <c r="D4680">
        <v>5.657953</v>
      </c>
      <c r="E4680">
        <v>0.61279890000000004</v>
      </c>
      <c r="F4680" t="s">
        <v>59</v>
      </c>
      <c r="G4680">
        <v>-204.86750000000001</v>
      </c>
      <c r="H4680" s="1">
        <v>-8.8462349999999992E-6</v>
      </c>
      <c r="I4680">
        <v>144.19229999999999</v>
      </c>
      <c r="J4680">
        <v>-194.90299999999999</v>
      </c>
      <c r="K4680">
        <v>1.109367</v>
      </c>
      <c r="L4680">
        <v>146.93299999999999</v>
      </c>
      <c r="M4680">
        <v>-0.4831049</v>
      </c>
      <c r="N4680">
        <v>-1.067388E-2</v>
      </c>
      <c r="O4680">
        <v>-0.87549730000000003</v>
      </c>
      <c r="P4680">
        <v>-0.84542600000000001</v>
      </c>
      <c r="Q4680">
        <v>-7.0035040000000007E-2</v>
      </c>
      <c r="R4680">
        <v>-0.52948099999999998</v>
      </c>
      <c r="S4680">
        <v>-2.9950260000000002</v>
      </c>
      <c r="T4680">
        <v>-0.32911600000000002</v>
      </c>
      <c r="U4680">
        <v>-0.87411499999999998</v>
      </c>
      <c r="V4680">
        <v>0.48261949999999998</v>
      </c>
      <c r="W4680">
        <v>-7.3552980000000004E-2</v>
      </c>
      <c r="X4680">
        <v>0.87273619999999996</v>
      </c>
      <c r="Y4680">
        <v>0.69908519999999996</v>
      </c>
      <c r="Z4680">
        <v>0.1055094</v>
      </c>
      <c r="AA4680">
        <v>0.70721109999999998</v>
      </c>
      <c r="AB4680">
        <v>23</v>
      </c>
      <c r="AC4680">
        <v>-9.9645000000000099</v>
      </c>
      <c r="AD4680">
        <v>-1.1093758462350001</v>
      </c>
      <c r="AE4680">
        <v>-2.7406999999999999</v>
      </c>
      <c r="AF4680">
        <v>7.3159658232290896</v>
      </c>
      <c r="AG4680">
        <v>-1.1093758462350001</v>
      </c>
      <c r="AH4680">
        <v>7.1316065793492296</v>
      </c>
      <c r="AI4680">
        <v>96.1970918067924</v>
      </c>
      <c r="AJ4680">
        <v>44.268912934437999</v>
      </c>
      <c r="AK4680">
        <v>10.276861539277499</v>
      </c>
      <c r="AL4680">
        <v>94.218084299854198</v>
      </c>
      <c r="AM4680">
        <v>61.0575881356609</v>
      </c>
      <c r="AN4680">
        <v>1.0000000487187799</v>
      </c>
    </row>
    <row r="4681" spans="1:40" x14ac:dyDescent="0.25">
      <c r="A4681" t="str">
        <f>"20190303154901594"</f>
        <v>20190303154901594</v>
      </c>
      <c r="B4681" t="str">
        <f>"1551599341585771"</f>
        <v>1551599341585771</v>
      </c>
      <c r="C4681" t="s">
        <v>40</v>
      </c>
      <c r="D4681">
        <v>5.6199500000000002</v>
      </c>
      <c r="E4681">
        <v>0.61130459999999998</v>
      </c>
      <c r="F4681" t="s">
        <v>59</v>
      </c>
      <c r="G4681">
        <v>-204.68889999999999</v>
      </c>
      <c r="H4681" s="1">
        <v>-8.930888E-6</v>
      </c>
      <c r="I4681">
        <v>144.25839999999999</v>
      </c>
      <c r="J4681">
        <v>-195.0215</v>
      </c>
      <c r="K4681">
        <v>1.1092869999999999</v>
      </c>
      <c r="L4681">
        <v>146.7551</v>
      </c>
      <c r="M4681">
        <v>-0.49716480000000002</v>
      </c>
      <c r="N4681">
        <v>-1.073432E-2</v>
      </c>
      <c r="O4681">
        <v>-0.86758979999999997</v>
      </c>
      <c r="P4681">
        <v>-0.8542459</v>
      </c>
      <c r="Q4681">
        <v>-7.3551759999999994E-2</v>
      </c>
      <c r="R4681">
        <v>-0.51464019999999999</v>
      </c>
      <c r="S4681">
        <v>-3.0057680000000002</v>
      </c>
      <c r="T4681">
        <v>-0.3407481</v>
      </c>
      <c r="U4681">
        <v>-0.82151790000000002</v>
      </c>
      <c r="V4681">
        <v>0.48341630000000002</v>
      </c>
      <c r="W4681">
        <v>-7.7121899999999993E-2</v>
      </c>
      <c r="X4681">
        <v>0.8719867</v>
      </c>
      <c r="Y4681">
        <v>0.69928979999999996</v>
      </c>
      <c r="Z4681">
        <v>0.109500399999999</v>
      </c>
      <c r="AA4681">
        <v>0.70640179999999997</v>
      </c>
      <c r="AB4681">
        <v>23</v>
      </c>
      <c r="AC4681">
        <v>-9.6673999999999793</v>
      </c>
      <c r="AD4681">
        <v>-1.1092959308879999</v>
      </c>
      <c r="AE4681">
        <v>-2.4967000000000001</v>
      </c>
      <c r="AF4681">
        <v>7.0593414659685099</v>
      </c>
      <c r="AG4681">
        <v>-1.1092959308879999</v>
      </c>
      <c r="AH4681">
        <v>6.8877852187390598</v>
      </c>
      <c r="AI4681">
        <v>96.417208382488397</v>
      </c>
      <c r="AJ4681">
        <v>44.295270384692301</v>
      </c>
      <c r="AK4681">
        <v>9.9250402827851207</v>
      </c>
      <c r="AL4681">
        <v>94.423151646572705</v>
      </c>
      <c r="AM4681">
        <v>60.996673707596898</v>
      </c>
      <c r="AN4681">
        <v>0.99999995577109302</v>
      </c>
    </row>
    <row r="4682" spans="1:40" x14ac:dyDescent="0.25">
      <c r="A4682" t="str">
        <f>"20190303154901608"</f>
        <v>20190303154901608</v>
      </c>
      <c r="B4682" t="str">
        <f>"1551599341605291"</f>
        <v>1551599341605291</v>
      </c>
      <c r="C4682" t="s">
        <v>40</v>
      </c>
      <c r="D4682">
        <v>5.6545300000000003</v>
      </c>
      <c r="E4682">
        <v>0.60921539999999996</v>
      </c>
      <c r="F4682" t="s">
        <v>59</v>
      </c>
      <c r="G4682">
        <v>-204.4076</v>
      </c>
      <c r="H4682" s="1">
        <v>-9.0552870000000006E-6</v>
      </c>
      <c r="I4682">
        <v>144.32839999999999</v>
      </c>
      <c r="J4682">
        <v>-195.1046</v>
      </c>
      <c r="K4682">
        <v>1.10924</v>
      </c>
      <c r="L4682">
        <v>146.63409999999999</v>
      </c>
      <c r="M4682">
        <v>-0.50675709999999996</v>
      </c>
      <c r="N4682">
        <v>-1.077229E-2</v>
      </c>
      <c r="O4682">
        <v>-0.862021699999999</v>
      </c>
      <c r="P4682">
        <v>-0.85981070000000004</v>
      </c>
      <c r="Q4682">
        <v>-7.5303259999999997E-2</v>
      </c>
      <c r="R4682">
        <v>-0.50503009999999904</v>
      </c>
      <c r="S4682">
        <v>-3.012054</v>
      </c>
      <c r="T4682">
        <v>-0.35598299999999999</v>
      </c>
      <c r="U4682">
        <v>-0.77874759999999998</v>
      </c>
      <c r="V4682">
        <v>0.48333749999999998</v>
      </c>
      <c r="W4682">
        <v>-7.8883220000000004E-2</v>
      </c>
      <c r="X4682">
        <v>0.87187289999999995</v>
      </c>
      <c r="Y4682">
        <v>0.70049890000000004</v>
      </c>
      <c r="Z4682">
        <v>0.1148245</v>
      </c>
      <c r="AA4682">
        <v>0.70435550000000002</v>
      </c>
      <c r="AB4682">
        <v>23</v>
      </c>
      <c r="AC4682">
        <v>-9.3029999999999902</v>
      </c>
      <c r="AD4682">
        <v>-1.109249055287</v>
      </c>
      <c r="AE4682">
        <v>-2.3056999999999999</v>
      </c>
      <c r="AF4682">
        <v>6.7607982765279999</v>
      </c>
      <c r="AG4682">
        <v>-1.109249055287</v>
      </c>
      <c r="AH4682">
        <v>6.61372628496279</v>
      </c>
      <c r="AI4682">
        <v>96.689328678587998</v>
      </c>
      <c r="AJ4682">
        <v>44.369976500110702</v>
      </c>
      <c r="AK4682">
        <v>9.5226153012167192</v>
      </c>
      <c r="AL4682">
        <v>94.524375956864802</v>
      </c>
      <c r="AM4682">
        <v>60.997463452758602</v>
      </c>
      <c r="AN4682">
        <v>1.0000000275291101</v>
      </c>
    </row>
    <row r="4683" spans="1:40" x14ac:dyDescent="0.25">
      <c r="A4683" t="str">
        <f>"20190303154901626"</f>
        <v>20190303154901626</v>
      </c>
      <c r="B4683" t="str">
        <f>"1551599341616031"</f>
        <v>1551599341616031</v>
      </c>
      <c r="C4683" t="s">
        <v>40</v>
      </c>
      <c r="D4683">
        <v>5.6245289999999999</v>
      </c>
      <c r="E4683">
        <v>0.60824369999999905</v>
      </c>
      <c r="F4683" t="s">
        <v>59</v>
      </c>
      <c r="G4683">
        <v>-204.13390000000001</v>
      </c>
      <c r="H4683" s="1">
        <v>-9.1661670000000002E-6</v>
      </c>
      <c r="I4683">
        <v>144.35830000000001</v>
      </c>
      <c r="J4683">
        <v>-195.22149999999999</v>
      </c>
      <c r="K4683">
        <v>1.109183</v>
      </c>
      <c r="L4683">
        <v>146.4684</v>
      </c>
      <c r="M4683">
        <v>-0.51992939999999999</v>
      </c>
      <c r="N4683">
        <v>-1.0820389999999999E-2</v>
      </c>
      <c r="O4683">
        <v>-0.85414089999999998</v>
      </c>
      <c r="P4683">
        <v>-0.86695250000000001</v>
      </c>
      <c r="Q4683">
        <v>-7.7703439999999999E-2</v>
      </c>
      <c r="R4683">
        <v>-0.49229679999999998</v>
      </c>
      <c r="S4683">
        <v>-3.0109859999999999</v>
      </c>
      <c r="T4683">
        <v>-0.36989680000000003</v>
      </c>
      <c r="U4683">
        <v>-0.75891109999999995</v>
      </c>
      <c r="V4683">
        <v>0.4825583</v>
      </c>
      <c r="W4683">
        <v>-8.1270439999999999E-2</v>
      </c>
      <c r="X4683">
        <v>0.87208529999999995</v>
      </c>
      <c r="Y4683">
        <v>0.69330139999999996</v>
      </c>
      <c r="Z4683">
        <v>0.1192164</v>
      </c>
      <c r="AA4683">
        <v>0.71071839999999997</v>
      </c>
      <c r="AB4683">
        <v>23</v>
      </c>
      <c r="AC4683">
        <v>-8.9124000000000194</v>
      </c>
      <c r="AD4683">
        <v>-1.1091921661669999</v>
      </c>
      <c r="AE4683">
        <v>-2.1100999999999801</v>
      </c>
      <c r="AF4683">
        <v>6.4215387655091503</v>
      </c>
      <c r="AG4683">
        <v>-1.1091921661669999</v>
      </c>
      <c r="AH4683">
        <v>6.3434782138401999</v>
      </c>
      <c r="AI4683">
        <v>97.005563800873801</v>
      </c>
      <c r="AJ4683">
        <v>44.6496295763272</v>
      </c>
      <c r="AK4683">
        <v>9.0942939928225499</v>
      </c>
      <c r="AL4683">
        <v>94.6615940037493</v>
      </c>
      <c r="AM4683">
        <v>61.042559374886302</v>
      </c>
      <c r="AN4683">
        <v>1.0000000838963801</v>
      </c>
    </row>
    <row r="4684" spans="1:40" x14ac:dyDescent="0.25">
      <c r="A4684" t="str">
        <f>"20190303154901651"</f>
        <v>20190303154901651</v>
      </c>
      <c r="B4684" t="str">
        <f>"1551599341645308"</f>
        <v>1551599341645308</v>
      </c>
      <c r="C4684" t="s">
        <v>40</v>
      </c>
      <c r="D4684">
        <v>5.6306979999999998</v>
      </c>
      <c r="E4684">
        <v>0.60657240000000001</v>
      </c>
      <c r="F4684" t="s">
        <v>59</v>
      </c>
      <c r="G4684">
        <v>-204.0367</v>
      </c>
      <c r="H4684" s="1">
        <v>-9.2038770000000005E-6</v>
      </c>
      <c r="I4684">
        <v>144.36250000000001</v>
      </c>
      <c r="J4684">
        <v>-195.3732</v>
      </c>
      <c r="K4684">
        <v>1.1091200000000001</v>
      </c>
      <c r="L4684">
        <v>146.26130000000001</v>
      </c>
      <c r="M4684">
        <v>-0.53643019999999997</v>
      </c>
      <c r="N4684">
        <v>-1.08746E-2</v>
      </c>
      <c r="O4684">
        <v>-0.84387479999999904</v>
      </c>
      <c r="P4684">
        <v>-0.87553579999999998</v>
      </c>
      <c r="Q4684">
        <v>-7.9491759999999995E-2</v>
      </c>
      <c r="R4684">
        <v>-0.47656949999999998</v>
      </c>
      <c r="S4684">
        <v>-3.0170750000000002</v>
      </c>
      <c r="T4684">
        <v>-0.37963249999999998</v>
      </c>
      <c r="U4684">
        <v>-0.72076419999999997</v>
      </c>
      <c r="V4684">
        <v>0.48115920000000001</v>
      </c>
      <c r="W4684">
        <v>-8.3023230000000003E-2</v>
      </c>
      <c r="X4684">
        <v>0.87269289999999999</v>
      </c>
      <c r="Y4684">
        <v>0.68779000000000001</v>
      </c>
      <c r="Z4684">
        <v>0.122044</v>
      </c>
      <c r="AA4684">
        <v>0.71557680000000001</v>
      </c>
      <c r="AB4684">
        <v>23</v>
      </c>
      <c r="AC4684">
        <v>-8.6634999999999902</v>
      </c>
      <c r="AD4684">
        <v>-1.109129203877</v>
      </c>
      <c r="AE4684">
        <v>-1.8987999999999901</v>
      </c>
      <c r="AF4684">
        <v>6.1958122786791501</v>
      </c>
      <c r="AG4684">
        <v>-1.109129203877</v>
      </c>
      <c r="AH4684">
        <v>6.1538429527677296</v>
      </c>
      <c r="AI4684">
        <v>97.238411930989798</v>
      </c>
      <c r="AJ4684">
        <v>44.805285577503099</v>
      </c>
      <c r="AK4684">
        <v>8.8027291490113093</v>
      </c>
      <c r="AL4684">
        <v>94.762362617043195</v>
      </c>
      <c r="AM4684">
        <v>61.129856382425899</v>
      </c>
      <c r="AN4684">
        <v>0.99999996508734001</v>
      </c>
    </row>
    <row r="4685" spans="1:40" x14ac:dyDescent="0.25">
      <c r="A4685" t="str">
        <f>"20190303154901677"</f>
        <v>20190303154901677</v>
      </c>
      <c r="B4685" t="str">
        <f>"1551599341665803"</f>
        <v>1551599341665803</v>
      </c>
      <c r="C4685" t="s">
        <v>40</v>
      </c>
      <c r="D4685">
        <v>5.6114790000000001</v>
      </c>
      <c r="E4685">
        <v>0.60687389999999997</v>
      </c>
      <c r="F4685" t="s">
        <v>59</v>
      </c>
      <c r="G4685">
        <v>-204.1902</v>
      </c>
      <c r="H4685" s="1">
        <v>-9.1254730000000004E-6</v>
      </c>
      <c r="I4685">
        <v>144.2843</v>
      </c>
      <c r="J4685">
        <v>-195.54220000000001</v>
      </c>
      <c r="K4685">
        <v>1.1090709999999999</v>
      </c>
      <c r="L4685">
        <v>146.03960000000001</v>
      </c>
      <c r="M4685">
        <v>-0.55412600000000001</v>
      </c>
      <c r="N4685">
        <v>-1.0926679999999999E-2</v>
      </c>
      <c r="O4685">
        <v>-0.83236119999999902</v>
      </c>
      <c r="P4685">
        <v>-0.88478769999999995</v>
      </c>
      <c r="Q4685">
        <v>-7.9303369999999998E-2</v>
      </c>
      <c r="R4685">
        <v>-0.45919720000000003</v>
      </c>
      <c r="S4685">
        <v>-3.02298</v>
      </c>
      <c r="T4685">
        <v>-0.38027660000000002</v>
      </c>
      <c r="U4685">
        <v>-0.67782589999999998</v>
      </c>
      <c r="V4685">
        <v>0.47997060000000002</v>
      </c>
      <c r="W4685">
        <v>-8.2803849999999998E-2</v>
      </c>
      <c r="X4685">
        <v>0.87336800000000003</v>
      </c>
      <c r="Y4685">
        <v>0.68252869999999999</v>
      </c>
      <c r="Z4685">
        <v>0.1217514</v>
      </c>
      <c r="AA4685">
        <v>0.72064640000000002</v>
      </c>
      <c r="AB4685">
        <v>23</v>
      </c>
      <c r="AC4685">
        <v>-8.6479999999999908</v>
      </c>
      <c r="AD4685">
        <v>-1.1090801254729901</v>
      </c>
      <c r="AE4685">
        <v>-1.7553000000000001</v>
      </c>
      <c r="AF4685">
        <v>6.1291541074016802</v>
      </c>
      <c r="AG4685">
        <v>-1.1090801254729901</v>
      </c>
      <c r="AH4685">
        <v>6.1562506889790898</v>
      </c>
      <c r="AI4685">
        <v>97.275568441178095</v>
      </c>
      <c r="AJ4685">
        <v>45.126370866233302</v>
      </c>
      <c r="AK4685">
        <v>8.7576258964718097</v>
      </c>
      <c r="AL4685">
        <v>94.7497496680637</v>
      </c>
      <c r="AM4685">
        <v>61.208439995628602</v>
      </c>
      <c r="AN4685">
        <v>0.99999995893158999</v>
      </c>
    </row>
    <row r="4686" spans="1:40" x14ac:dyDescent="0.25">
      <c r="A4686" t="str">
        <f>"20190303154901696"</f>
        <v>20190303154901696</v>
      </c>
      <c r="B4686" t="str">
        <f>"1551599341685323"</f>
        <v>1551599341685323</v>
      </c>
      <c r="C4686" t="s">
        <v>40</v>
      </c>
      <c r="D4686">
        <v>5.6888069999999997</v>
      </c>
      <c r="E4686">
        <v>0.60807840000000002</v>
      </c>
      <c r="F4686" t="s">
        <v>59</v>
      </c>
      <c r="G4686">
        <v>-204.6687</v>
      </c>
      <c r="H4686" s="1">
        <v>-8.9197749999999903E-6</v>
      </c>
      <c r="I4686">
        <v>144.1874</v>
      </c>
      <c r="J4686">
        <v>-195.66159999999999</v>
      </c>
      <c r="K4686">
        <v>1.1090249999999999</v>
      </c>
      <c r="L4686">
        <v>145.88890000000001</v>
      </c>
      <c r="M4686">
        <v>-0.56617919999999999</v>
      </c>
      <c r="N4686">
        <v>-1.0958839999999999E-2</v>
      </c>
      <c r="O4686">
        <v>-0.82420949999999904</v>
      </c>
      <c r="P4686">
        <v>-0.89137670000000002</v>
      </c>
      <c r="Q4686">
        <v>-7.9072970000000006E-2</v>
      </c>
      <c r="R4686">
        <v>-0.44631359999999998</v>
      </c>
      <c r="S4686">
        <v>-3.0376430000000001</v>
      </c>
      <c r="T4686">
        <v>-0.3691469</v>
      </c>
      <c r="U4686">
        <v>-0.61647030000000003</v>
      </c>
      <c r="V4686">
        <v>0.47994949999999997</v>
      </c>
      <c r="W4686">
        <v>-8.2580479999999998E-2</v>
      </c>
      <c r="X4686">
        <v>0.87340079999999998</v>
      </c>
      <c r="Y4686">
        <v>0.68713019999999903</v>
      </c>
      <c r="Z4686">
        <v>0.1179632</v>
      </c>
      <c r="AA4686">
        <v>0.71689389999999997</v>
      </c>
      <c r="AB4686">
        <v>23</v>
      </c>
      <c r="AC4686">
        <v>-9.0070999999999994</v>
      </c>
      <c r="AD4686">
        <v>-1.1090339197750001</v>
      </c>
      <c r="AE4686">
        <v>-1.70150000000001</v>
      </c>
      <c r="AF4686">
        <v>6.3675600491214004</v>
      </c>
      <c r="AG4686">
        <v>-1.1090339197750001</v>
      </c>
      <c r="AH4686">
        <v>6.4086033955770496</v>
      </c>
      <c r="AI4686">
        <v>96.998617605446697</v>
      </c>
      <c r="AJ4686">
        <v>45.184061705972901</v>
      </c>
      <c r="AK4686">
        <v>9.1019764170305493</v>
      </c>
      <c r="AL4686">
        <v>94.736907294501094</v>
      </c>
      <c r="AM4686">
        <v>61.210411335569198</v>
      </c>
      <c r="AN4686">
        <v>1.0000000078339599</v>
      </c>
    </row>
    <row r="4687" spans="1:40" x14ac:dyDescent="0.25">
      <c r="A4687" t="str">
        <f>"20190303154901716"</f>
        <v>20190303154901716</v>
      </c>
      <c r="B4687" t="str">
        <f>"1551599341705823"</f>
        <v>1551599341705823</v>
      </c>
      <c r="C4687" t="s">
        <v>40</v>
      </c>
      <c r="D4687">
        <v>5.7114729999999998</v>
      </c>
      <c r="E4687">
        <v>0.60879189999999905</v>
      </c>
      <c r="F4687" t="s">
        <v>59</v>
      </c>
      <c r="G4687">
        <v>-204.7441</v>
      </c>
      <c r="H4687" s="1">
        <v>-8.8975120000000003E-6</v>
      </c>
      <c r="I4687">
        <v>144.2107</v>
      </c>
      <c r="J4687">
        <v>-195.80279999999999</v>
      </c>
      <c r="K4687">
        <v>1.108984</v>
      </c>
      <c r="L4687">
        <v>145.71619999999999</v>
      </c>
      <c r="M4687">
        <v>-0.58000929999999995</v>
      </c>
      <c r="N4687">
        <v>-1.0993080000000001E-2</v>
      </c>
      <c r="O4687">
        <v>-0.81453589999999998</v>
      </c>
      <c r="P4687">
        <v>-0.89879909999999996</v>
      </c>
      <c r="Q4687">
        <v>-7.8962359999999995E-2</v>
      </c>
      <c r="R4687">
        <v>-0.43119089999999999</v>
      </c>
      <c r="S4687">
        <v>-3.0503390000000001</v>
      </c>
      <c r="T4687">
        <v>-0.37246750000000001</v>
      </c>
      <c r="U4687">
        <v>-0.56362919999999905</v>
      </c>
      <c r="V4687">
        <v>0.47996800000000001</v>
      </c>
      <c r="W4687">
        <v>-8.2482180000000002E-2</v>
      </c>
      <c r="X4687">
        <v>0.87339990000000001</v>
      </c>
      <c r="Y4687">
        <v>0.68738759999999999</v>
      </c>
      <c r="Z4687">
        <v>0.11865390000000001</v>
      </c>
      <c r="AA4687">
        <v>0.71653310000000003</v>
      </c>
      <c r="AB4687">
        <v>23</v>
      </c>
      <c r="AC4687">
        <v>-8.9413000000000107</v>
      </c>
      <c r="AD4687">
        <v>-1.108992897512</v>
      </c>
      <c r="AE4687">
        <v>-1.5054999999999801</v>
      </c>
      <c r="AF4687">
        <v>6.3157125415982298</v>
      </c>
      <c r="AG4687">
        <v>-1.108992897512</v>
      </c>
      <c r="AH4687">
        <v>6.3181907308428604</v>
      </c>
      <c r="AI4687">
        <v>97.076405658209893</v>
      </c>
      <c r="AJ4687">
        <v>45.011238789760299</v>
      </c>
      <c r="AK4687">
        <v>9.0020899943369805</v>
      </c>
      <c r="AL4687">
        <v>94.731255932507196</v>
      </c>
      <c r="AM4687">
        <v>61.209454287207798</v>
      </c>
      <c r="AN4687">
        <v>0.99999998818078095</v>
      </c>
    </row>
    <row r="4688" spans="1:40" x14ac:dyDescent="0.25">
      <c r="A4688" t="str">
        <f>"20190303154901742"</f>
        <v>20190303154901742</v>
      </c>
      <c r="B4688" t="str">
        <f>"1551599341736075"</f>
        <v>1551599341736075</v>
      </c>
      <c r="C4688" t="s">
        <v>40</v>
      </c>
      <c r="D4688">
        <v>5.699516</v>
      </c>
      <c r="E4688">
        <v>0.60928890000000002</v>
      </c>
      <c r="F4688" t="s">
        <v>59</v>
      </c>
      <c r="G4688">
        <v>-204.81100000000001</v>
      </c>
      <c r="H4688" s="1">
        <v>-8.8759329999999994E-6</v>
      </c>
      <c r="I4688">
        <v>144.2243</v>
      </c>
      <c r="J4688">
        <v>-195.98230000000001</v>
      </c>
      <c r="K4688">
        <v>1.1089439999999999</v>
      </c>
      <c r="L4688">
        <v>145.5044</v>
      </c>
      <c r="M4688">
        <v>-0.59696939999999998</v>
      </c>
      <c r="N4688">
        <v>-1.1031340000000001E-2</v>
      </c>
      <c r="O4688">
        <v>-0.80218840000000002</v>
      </c>
      <c r="P4688">
        <v>-0.90761570000000003</v>
      </c>
      <c r="Q4688">
        <v>-7.7749479999999996E-2</v>
      </c>
      <c r="R4688">
        <v>-0.41253970000000001</v>
      </c>
      <c r="S4688">
        <v>-3.0614469999999998</v>
      </c>
      <c r="T4688">
        <v>-0.37689220000000001</v>
      </c>
      <c r="U4688">
        <v>-0.5070038</v>
      </c>
      <c r="V4688">
        <v>0.47978959999999998</v>
      </c>
      <c r="W4688">
        <v>-8.1278589999999998E-2</v>
      </c>
      <c r="X4688">
        <v>0.87361069999999996</v>
      </c>
      <c r="Y4688">
        <v>0.68542819999999904</v>
      </c>
      <c r="Z4688">
        <v>0.1194833</v>
      </c>
      <c r="AA4688">
        <v>0.71827010000000002</v>
      </c>
      <c r="AB4688">
        <v>23</v>
      </c>
      <c r="AC4688">
        <v>-8.8286999999999694</v>
      </c>
      <c r="AD4688">
        <v>-1.1089528759330001</v>
      </c>
      <c r="AE4688">
        <v>-1.2801</v>
      </c>
      <c r="AF4688">
        <v>6.2223331975855896</v>
      </c>
      <c r="AG4688">
        <v>-1.1089528759330001</v>
      </c>
      <c r="AH4688">
        <v>6.2018927085778701</v>
      </c>
      <c r="AI4688">
        <v>97.194322954894503</v>
      </c>
      <c r="AJ4688">
        <v>44.905736365105497</v>
      </c>
      <c r="AK4688">
        <v>8.8549805234979093</v>
      </c>
      <c r="AL4688">
        <v>94.662063082369997</v>
      </c>
      <c r="AM4688">
        <v>61.2242782244263</v>
      </c>
      <c r="AN4688">
        <v>0.99999996230751798</v>
      </c>
    </row>
    <row r="4689" spans="1:40" x14ac:dyDescent="0.25">
      <c r="A4689" t="str">
        <f>"20190303154901762"</f>
        <v>20190303154901762</v>
      </c>
      <c r="B4689" t="str">
        <f>"1551599341755596"</f>
        <v>1551599341755596</v>
      </c>
      <c r="C4689" t="s">
        <v>40</v>
      </c>
      <c r="D4689">
        <v>5.5915910000000002</v>
      </c>
      <c r="E4689">
        <v>0.61743099999999995</v>
      </c>
      <c r="F4689" t="s">
        <v>59</v>
      </c>
      <c r="G4689">
        <v>-205.05179999999999</v>
      </c>
      <c r="H4689" s="1">
        <v>-8.7740290000000004E-6</v>
      </c>
      <c r="I4689">
        <v>144.2056</v>
      </c>
      <c r="J4689">
        <v>-196.13200000000001</v>
      </c>
      <c r="K4689">
        <v>1.108927</v>
      </c>
      <c r="L4689">
        <v>145.3348</v>
      </c>
      <c r="M4689">
        <v>-0.61057130000000004</v>
      </c>
      <c r="N4689">
        <v>-1.10616E-2</v>
      </c>
      <c r="O4689">
        <v>-0.79188409999999998</v>
      </c>
      <c r="P4689">
        <v>-0.91459159999999995</v>
      </c>
      <c r="Q4689">
        <v>-7.5842199999999999E-2</v>
      </c>
      <c r="R4689">
        <v>-0.39720369999999999</v>
      </c>
      <c r="S4689">
        <v>-3.0731510000000002</v>
      </c>
      <c r="T4689">
        <v>-0.37576140000000002</v>
      </c>
      <c r="U4689">
        <v>-0.44010929999999998</v>
      </c>
      <c r="V4689">
        <v>0.47976079999999999</v>
      </c>
      <c r="W4689">
        <v>-7.9378509999999999E-2</v>
      </c>
      <c r="X4689">
        <v>0.8738013</v>
      </c>
      <c r="Y4689">
        <v>0.68886139999999996</v>
      </c>
      <c r="Z4689">
        <v>0.1188559</v>
      </c>
      <c r="AA4689">
        <v>0.71508280000000002</v>
      </c>
      <c r="AB4689">
        <v>23</v>
      </c>
      <c r="AC4689">
        <v>-8.9197999999999809</v>
      </c>
      <c r="AD4689">
        <v>-1.108935774029</v>
      </c>
      <c r="AE4689">
        <v>-1.12919999999999</v>
      </c>
      <c r="AF4689">
        <v>6.2788637955812803</v>
      </c>
      <c r="AG4689">
        <v>-1.108935774029</v>
      </c>
      <c r="AH4689">
        <v>6.2457442913927297</v>
      </c>
      <c r="AI4689">
        <v>97.137134864497895</v>
      </c>
      <c r="AJ4689">
        <v>44.8484899987821</v>
      </c>
      <c r="AK4689">
        <v>8.9254238480784505</v>
      </c>
      <c r="AL4689">
        <v>94.552843181520601</v>
      </c>
      <c r="AM4689">
        <v>61.231002761537901</v>
      </c>
      <c r="AN4689">
        <v>1.00000004247407</v>
      </c>
    </row>
    <row r="4690" spans="1:40" x14ac:dyDescent="0.25">
      <c r="A4690" t="str">
        <f>"20190303154901784"</f>
        <v>20190303154901784</v>
      </c>
      <c r="B4690" t="str">
        <f>"1551599341776091"</f>
        <v>1551599341776091</v>
      </c>
      <c r="C4690" t="s">
        <v>40</v>
      </c>
      <c r="D4690">
        <v>5.649762</v>
      </c>
      <c r="E4690">
        <v>0.61456909999999998</v>
      </c>
      <c r="F4690" t="s">
        <v>41</v>
      </c>
      <c r="G4690">
        <v>-211.78469999999999</v>
      </c>
      <c r="H4690" s="1">
        <v>-4.7438630000000001E-6</v>
      </c>
      <c r="I4690">
        <v>143.6636</v>
      </c>
      <c r="J4690">
        <v>-196.2927</v>
      </c>
      <c r="K4690">
        <v>1.108894</v>
      </c>
      <c r="L4690">
        <v>145.15899999999999</v>
      </c>
      <c r="M4690">
        <v>-0.62468190000000001</v>
      </c>
      <c r="N4690">
        <v>-1.1094089999999999E-2</v>
      </c>
      <c r="O4690">
        <v>-0.78080039999999995</v>
      </c>
      <c r="P4690">
        <v>-0.92181429999999998</v>
      </c>
      <c r="Q4690">
        <v>-7.6080190000000006E-2</v>
      </c>
      <c r="R4690">
        <v>-0.38009270000000001</v>
      </c>
      <c r="S4690">
        <v>-3.1172939999999998</v>
      </c>
      <c r="T4690">
        <v>-0.22084760000000001</v>
      </c>
      <c r="U4690">
        <v>-0.33282469999999997</v>
      </c>
      <c r="V4690">
        <v>0.48033579999999998</v>
      </c>
      <c r="W4690">
        <v>-7.9643439999999996E-2</v>
      </c>
      <c r="X4690">
        <v>0.87346119999999905</v>
      </c>
      <c r="Y4690">
        <v>0.70727689999999999</v>
      </c>
      <c r="Z4690">
        <v>6.7373349999999999E-2</v>
      </c>
      <c r="AA4690">
        <v>0.70371879999999998</v>
      </c>
      <c r="AB4690">
        <v>23</v>
      </c>
      <c r="AC4690">
        <v>-15.4919999999999</v>
      </c>
      <c r="AD4690">
        <v>-1.108898743863</v>
      </c>
      <c r="AE4690">
        <v>-1.4953999999999801</v>
      </c>
      <c r="AF4690">
        <v>11.106320259015099</v>
      </c>
      <c r="AG4690">
        <v>-1.108898743863</v>
      </c>
      <c r="AH4690">
        <v>10.791071435017299</v>
      </c>
      <c r="AI4690">
        <v>94.095919745361499</v>
      </c>
      <c r="AJ4690">
        <v>44.175190377603599</v>
      </c>
      <c r="AK4690">
        <v>15.525051653234399</v>
      </c>
      <c r="AL4690">
        <v>94.568070896910797</v>
      </c>
      <c r="AM4690">
        <v>61.192623921193999</v>
      </c>
      <c r="AN4690">
        <v>1.00000001310105</v>
      </c>
    </row>
    <row r="4691" spans="1:40" x14ac:dyDescent="0.25">
      <c r="A4691" t="str">
        <f>"20190303154901807"</f>
        <v>20190303154901807</v>
      </c>
      <c r="B4691" t="str">
        <f>"1551599341795611"</f>
        <v>1551599341795611</v>
      </c>
      <c r="C4691" t="s">
        <v>40</v>
      </c>
      <c r="D4691">
        <v>5.634614</v>
      </c>
      <c r="E4691">
        <v>0.61195859999999902</v>
      </c>
      <c r="F4691" t="s">
        <v>41</v>
      </c>
      <c r="G4691">
        <v>-210.7492</v>
      </c>
      <c r="H4691" s="1">
        <v>-5.1635159999999901E-6</v>
      </c>
      <c r="I4691">
        <v>143.7877</v>
      </c>
      <c r="J4691">
        <v>-196.45429999999999</v>
      </c>
      <c r="K4691">
        <v>1.1088579999999999</v>
      </c>
      <c r="L4691">
        <v>144.98830000000001</v>
      </c>
      <c r="M4691">
        <v>-0.63837270000000002</v>
      </c>
      <c r="N4691">
        <v>-1.112523E-2</v>
      </c>
      <c r="O4691">
        <v>-0.76964699999999997</v>
      </c>
      <c r="P4691">
        <v>-0.92879820000000002</v>
      </c>
      <c r="Q4691">
        <v>-7.8007670000000001E-2</v>
      </c>
      <c r="R4691">
        <v>-0.36228290000000002</v>
      </c>
      <c r="S4691">
        <v>-3.1130070000000001</v>
      </c>
      <c r="T4691">
        <v>-0.23878679999999999</v>
      </c>
      <c r="U4691">
        <v>-0.2952881</v>
      </c>
      <c r="V4691">
        <v>0.4815373</v>
      </c>
      <c r="W4691">
        <v>-8.1616540000000001E-2</v>
      </c>
      <c r="X4691">
        <v>0.87261710000000003</v>
      </c>
      <c r="Y4691">
        <v>0.70260880000000003</v>
      </c>
      <c r="Z4691">
        <v>7.3043930000000007E-2</v>
      </c>
      <c r="AA4691">
        <v>0.70781740000000004</v>
      </c>
      <c r="AB4691">
        <v>23</v>
      </c>
      <c r="AC4691">
        <v>-14.2949</v>
      </c>
      <c r="AD4691">
        <v>-1.108863163516</v>
      </c>
      <c r="AE4691">
        <v>-1.2005999999999999</v>
      </c>
      <c r="AF4691">
        <v>10.1754316093191</v>
      </c>
      <c r="AG4691">
        <v>-1.108863163516</v>
      </c>
      <c r="AH4691">
        <v>9.9904408784511407</v>
      </c>
      <c r="AI4691">
        <v>94.446386789709805</v>
      </c>
      <c r="AJ4691">
        <v>44.4744144676147</v>
      </c>
      <c r="AK4691">
        <v>14.303072917983799</v>
      </c>
      <c r="AL4691">
        <v>94.6814904809236</v>
      </c>
      <c r="AM4691">
        <v>61.108717827628404</v>
      </c>
      <c r="AN4691">
        <v>1.00000001705263</v>
      </c>
    </row>
    <row r="4692" spans="1:40" x14ac:dyDescent="0.25">
      <c r="A4692" t="str">
        <f>"20190303154901828"</f>
        <v>20190303154901828</v>
      </c>
      <c r="B4692" t="str">
        <f>"1551599341825867"</f>
        <v>1551599341825867</v>
      </c>
      <c r="C4692" t="s">
        <v>40</v>
      </c>
      <c r="D4692">
        <v>5.365208</v>
      </c>
      <c r="E4692">
        <v>0.61313359999999995</v>
      </c>
      <c r="F4692" t="s">
        <v>59</v>
      </c>
      <c r="G4692">
        <v>-209.2073</v>
      </c>
      <c r="H4692" s="1">
        <v>-6.8624999999999999E-6</v>
      </c>
      <c r="I4692">
        <v>143.9452</v>
      </c>
      <c r="J4692">
        <v>-196.62039999999999</v>
      </c>
      <c r="K4692">
        <v>1.1088129999999901</v>
      </c>
      <c r="L4692">
        <v>144.81880000000001</v>
      </c>
      <c r="M4692">
        <v>-0.65195999999999998</v>
      </c>
      <c r="N4692">
        <v>-1.115409E-2</v>
      </c>
      <c r="O4692">
        <v>-0.75817139999999905</v>
      </c>
      <c r="P4692">
        <v>-0.93547250000000004</v>
      </c>
      <c r="Q4692">
        <v>-8.0758150000000001E-2</v>
      </c>
      <c r="R4692">
        <v>-0.34404869999999999</v>
      </c>
      <c r="S4692">
        <v>-3.1081240000000001</v>
      </c>
      <c r="T4692">
        <v>-0.2702485</v>
      </c>
      <c r="U4692">
        <v>-0.25422670000000003</v>
      </c>
      <c r="V4692">
        <v>0.482825</v>
      </c>
      <c r="W4692">
        <v>-8.4411959999999994E-2</v>
      </c>
      <c r="X4692">
        <v>0.8716391</v>
      </c>
      <c r="Y4692">
        <v>0.69816889999999998</v>
      </c>
      <c r="Z4692">
        <v>8.3057339999999993E-2</v>
      </c>
      <c r="AA4692">
        <v>0.71109899999999904</v>
      </c>
      <c r="AB4692">
        <v>23</v>
      </c>
      <c r="AC4692">
        <v>-12.5869</v>
      </c>
      <c r="AD4692">
        <v>-1.1088198625000001</v>
      </c>
      <c r="AE4692">
        <v>-0.87360000000001004</v>
      </c>
      <c r="AF4692">
        <v>8.9052559401618296</v>
      </c>
      <c r="AG4692">
        <v>-1.1088198625000001</v>
      </c>
      <c r="AH4692">
        <v>8.8010725653031407</v>
      </c>
      <c r="AI4692">
        <v>95.060938359424497</v>
      </c>
      <c r="AJ4692">
        <v>44.662877666194198</v>
      </c>
      <c r="AK4692">
        <v>12.569484601486</v>
      </c>
      <c r="AL4692">
        <v>94.842210937224607</v>
      </c>
      <c r="AM4692">
        <v>61.016719046863898</v>
      </c>
      <c r="AN4692">
        <v>1.0000000401324201</v>
      </c>
    </row>
    <row r="4693" spans="1:40" x14ac:dyDescent="0.25">
      <c r="A4693" t="str">
        <f>"20190303154901853"</f>
        <v>20190303154901853</v>
      </c>
      <c r="B4693" t="str">
        <f>"1551599341845388"</f>
        <v>1551599341845388</v>
      </c>
      <c r="C4693" t="s">
        <v>40</v>
      </c>
      <c r="D4693">
        <v>5.6453150000000001</v>
      </c>
      <c r="E4693">
        <v>0.61110069999999905</v>
      </c>
      <c r="F4693" t="s">
        <v>41</v>
      </c>
      <c r="G4693">
        <v>-210.07570000000001</v>
      </c>
      <c r="H4693" s="1">
        <v>-5.4633739999999998E-6</v>
      </c>
      <c r="I4693">
        <v>144.02000000000001</v>
      </c>
      <c r="J4693">
        <v>-196.80799999999999</v>
      </c>
      <c r="K4693">
        <v>1.108789</v>
      </c>
      <c r="L4693">
        <v>144.63419999999999</v>
      </c>
      <c r="M4693">
        <v>-0.66674080000000002</v>
      </c>
      <c r="N4693">
        <v>-1.118186E-2</v>
      </c>
      <c r="O4693">
        <v>-0.74520589999999998</v>
      </c>
      <c r="P4693">
        <v>-0.94185289999999999</v>
      </c>
      <c r="Q4693">
        <v>-8.2409140000000006E-2</v>
      </c>
      <c r="R4693">
        <v>-0.325764099999999</v>
      </c>
      <c r="S4693">
        <v>-3.1166990000000001</v>
      </c>
      <c r="T4693">
        <v>-0.25684000000000001</v>
      </c>
      <c r="U4693">
        <v>-0.18504329999999999</v>
      </c>
      <c r="V4693">
        <v>0.48250880000000002</v>
      </c>
      <c r="W4693">
        <v>-8.6046410000000004E-2</v>
      </c>
      <c r="X4693">
        <v>0.87165429999999999</v>
      </c>
      <c r="Y4693">
        <v>0.70046839999999999</v>
      </c>
      <c r="Z4693">
        <v>7.8328079999999994E-2</v>
      </c>
      <c r="AA4693">
        <v>0.709372</v>
      </c>
      <c r="AB4693">
        <v>23</v>
      </c>
      <c r="AC4693">
        <v>-13.2677</v>
      </c>
      <c r="AD4693">
        <v>-1.1087944633739999</v>
      </c>
      <c r="AE4693">
        <v>-0.61419999999998198</v>
      </c>
      <c r="AF4693">
        <v>9.4126495621156003</v>
      </c>
      <c r="AG4693">
        <v>-1.1087944633739999</v>
      </c>
      <c r="AH4693">
        <v>9.2400081310658404</v>
      </c>
      <c r="AI4693">
        <v>94.805177937460996</v>
      </c>
      <c r="AJ4693">
        <v>44.469708655638797</v>
      </c>
      <c r="AK4693">
        <v>13.2365081197182</v>
      </c>
      <c r="AL4693">
        <v>94.936200355734996</v>
      </c>
      <c r="AM4693">
        <v>61.033049594173498</v>
      </c>
      <c r="AN4693">
        <v>0.99999997272990804</v>
      </c>
    </row>
    <row r="4694" spans="1:40" x14ac:dyDescent="0.25">
      <c r="A4694" t="str">
        <f>"20190303154901873"</f>
        <v>20190303154901873</v>
      </c>
      <c r="B4694" t="str">
        <f>"1551599341865883"</f>
        <v>1551599341865883</v>
      </c>
      <c r="C4694" t="s">
        <v>40</v>
      </c>
      <c r="D4694">
        <v>5.7033889999999996</v>
      </c>
      <c r="E4694">
        <v>0.6094967</v>
      </c>
      <c r="F4694" t="s">
        <v>41</v>
      </c>
      <c r="G4694">
        <v>-210.28380000000001</v>
      </c>
      <c r="H4694" s="1">
        <v>-5.3851509999999998E-6</v>
      </c>
      <c r="I4694">
        <v>144.02950000000001</v>
      </c>
      <c r="J4694">
        <v>-196.97190000000001</v>
      </c>
      <c r="K4694">
        <v>1.1087880000000001</v>
      </c>
      <c r="L4694">
        <v>144.4786</v>
      </c>
      <c r="M4694">
        <v>-0.67918719999999999</v>
      </c>
      <c r="N4694">
        <v>-1.120382E-2</v>
      </c>
      <c r="O4694">
        <v>-0.73387979999999997</v>
      </c>
      <c r="P4694">
        <v>-0.94687429999999995</v>
      </c>
      <c r="Q4694">
        <v>-8.3128469999999996E-2</v>
      </c>
      <c r="R4694">
        <v>-0.3106758</v>
      </c>
      <c r="S4694">
        <v>-3.1144560000000001</v>
      </c>
      <c r="T4694">
        <v>-0.25625940000000003</v>
      </c>
      <c r="U4694">
        <v>-0.1397552</v>
      </c>
      <c r="V4694">
        <v>0.4816995</v>
      </c>
      <c r="W4694">
        <v>-8.6727280000000004E-2</v>
      </c>
      <c r="X4694">
        <v>0.87203439999999999</v>
      </c>
      <c r="Y4694">
        <v>0.69878240000000003</v>
      </c>
      <c r="Z4694">
        <v>7.7839809999999995E-2</v>
      </c>
      <c r="AA4694">
        <v>0.71108649999999995</v>
      </c>
      <c r="AB4694">
        <v>23</v>
      </c>
      <c r="AC4694">
        <v>-13.3119</v>
      </c>
      <c r="AD4694">
        <v>-1.1087933851509999</v>
      </c>
      <c r="AE4694">
        <v>-0.44909999999998701</v>
      </c>
      <c r="AF4694">
        <v>9.3997645414761397</v>
      </c>
      <c r="AG4694">
        <v>-1.1087933851509999</v>
      </c>
      <c r="AH4694">
        <v>9.3069478696061001</v>
      </c>
      <c r="AI4694">
        <v>94.791498608258294</v>
      </c>
      <c r="AJ4694">
        <v>44.715719159496402</v>
      </c>
      <c r="AK4694">
        <v>13.274195827006301</v>
      </c>
      <c r="AL4694">
        <v>94.975357521840493</v>
      </c>
      <c r="AM4694">
        <v>61.084358801405301</v>
      </c>
      <c r="AN4694">
        <v>1.0000000120899</v>
      </c>
    </row>
    <row r="4695" spans="1:40" x14ac:dyDescent="0.25">
      <c r="A4695" t="str">
        <f>"20190303154901896"</f>
        <v>20190303154901896</v>
      </c>
      <c r="B4695" t="str">
        <f>"1551599341885403"</f>
        <v>1551599341885403</v>
      </c>
      <c r="C4695" t="s">
        <v>40</v>
      </c>
      <c r="D4695">
        <v>5.7555290000000001</v>
      </c>
      <c r="E4695">
        <v>0.58397969999999999</v>
      </c>
      <c r="F4695" t="s">
        <v>41</v>
      </c>
      <c r="G4695">
        <v>-210.37090000000001</v>
      </c>
      <c r="H4695" s="1">
        <v>-5.35327199999999E-6</v>
      </c>
      <c r="I4695">
        <v>144.0386</v>
      </c>
      <c r="J4695">
        <v>-197.15289999999999</v>
      </c>
      <c r="K4695">
        <v>1.108784</v>
      </c>
      <c r="L4695">
        <v>144.3125</v>
      </c>
      <c r="M4695">
        <v>-0.69244729999999999</v>
      </c>
      <c r="N4695">
        <v>-1.1228419999999999E-2</v>
      </c>
      <c r="O4695">
        <v>-0.72138089999999999</v>
      </c>
      <c r="P4695">
        <v>-0.95164280000000001</v>
      </c>
      <c r="Q4695">
        <v>-8.3501710000000007E-2</v>
      </c>
      <c r="R4695">
        <v>-0.29564059999999998</v>
      </c>
      <c r="S4695">
        <v>-3.1121829999999999</v>
      </c>
      <c r="T4695">
        <v>-0.25753920000000002</v>
      </c>
      <c r="U4695">
        <v>-0.1022034</v>
      </c>
      <c r="V4695">
        <v>0.47958699999999999</v>
      </c>
      <c r="W4695">
        <v>-8.7011679999999994E-2</v>
      </c>
      <c r="X4695">
        <v>0.87316970000000005</v>
      </c>
      <c r="Y4695">
        <v>0.69430669999999906</v>
      </c>
      <c r="Z4695">
        <v>7.7722620000000006E-2</v>
      </c>
      <c r="AA4695">
        <v>0.71546999999999905</v>
      </c>
      <c r="AB4695">
        <v>23</v>
      </c>
      <c r="AC4695">
        <v>-13.218</v>
      </c>
      <c r="AD4695">
        <v>-1.1087893532719999</v>
      </c>
      <c r="AE4695">
        <v>-0.27389999999999698</v>
      </c>
      <c r="AF4695">
        <v>9.2808635500982302</v>
      </c>
      <c r="AG4695">
        <v>-1.1087893532719999</v>
      </c>
      <c r="AH4695">
        <v>9.2856335224416409</v>
      </c>
      <c r="AI4695">
        <v>94.827555436916199</v>
      </c>
      <c r="AJ4695">
        <v>45.014720023739002</v>
      </c>
      <c r="AK4695">
        <v>13.1752355568529</v>
      </c>
      <c r="AL4695">
        <v>94.991714215141002</v>
      </c>
      <c r="AM4695">
        <v>61.222282001504396</v>
      </c>
      <c r="AN4695">
        <v>1.0000000240117499</v>
      </c>
    </row>
    <row r="4696" spans="1:40" x14ac:dyDescent="0.25">
      <c r="A4696" t="str">
        <f>"20190303154901919"</f>
        <v>20190303154901919</v>
      </c>
      <c r="B4696" t="str">
        <f>"1551599341915659"</f>
        <v>1551599341915659</v>
      </c>
      <c r="C4696" t="s">
        <v>40</v>
      </c>
      <c r="D4696">
        <v>5.7494170000000002</v>
      </c>
      <c r="E4696">
        <v>0.5850552</v>
      </c>
      <c r="F4696" t="s">
        <v>59</v>
      </c>
      <c r="G4696">
        <v>-205.15170000000001</v>
      </c>
      <c r="H4696" s="1">
        <v>-8.5875459999999995E-6</v>
      </c>
      <c r="I4696">
        <v>143.6669</v>
      </c>
      <c r="J4696">
        <v>-197.33940000000001</v>
      </c>
      <c r="K4696">
        <v>1.1087800000000001</v>
      </c>
      <c r="L4696">
        <v>144.1472</v>
      </c>
      <c r="M4696">
        <v>-0.70561580000000002</v>
      </c>
      <c r="N4696">
        <v>-1.1257E-2</v>
      </c>
      <c r="O4696">
        <v>-0.70850539999999995</v>
      </c>
      <c r="P4696">
        <v>-0.95635749999999997</v>
      </c>
      <c r="Q4696">
        <v>-8.3617369999999996E-2</v>
      </c>
      <c r="R4696">
        <v>-0.27998070000000003</v>
      </c>
      <c r="S4696">
        <v>-3.0392610000000002</v>
      </c>
      <c r="T4696">
        <v>-0.42130479999999998</v>
      </c>
      <c r="U4696">
        <v>-0.2453003</v>
      </c>
      <c r="V4696">
        <v>0.4778288</v>
      </c>
      <c r="W4696">
        <v>-8.7046949999999998E-2</v>
      </c>
      <c r="X4696">
        <v>0.8741295</v>
      </c>
      <c r="Y4696">
        <v>0.63865139999999998</v>
      </c>
      <c r="Z4696">
        <v>0.12741040000000001</v>
      </c>
      <c r="AA4696">
        <v>0.75887479999999996</v>
      </c>
      <c r="AB4696">
        <v>24</v>
      </c>
      <c r="AC4696">
        <v>-7.8122999999999898</v>
      </c>
      <c r="AD4696">
        <v>-1.108788587546</v>
      </c>
      <c r="AE4696">
        <v>-0.48029999999999901</v>
      </c>
      <c r="AF4696">
        <v>5.0942473219110704</v>
      </c>
      <c r="AG4696">
        <v>-1.108788587546</v>
      </c>
      <c r="AH4696">
        <v>5.73799812272651</v>
      </c>
      <c r="AI4696">
        <v>98.222548220116906</v>
      </c>
      <c r="AJ4696">
        <v>48.4010374974374</v>
      </c>
      <c r="AK4696">
        <v>7.75276662650717</v>
      </c>
      <c r="AL4696">
        <v>94.993743063462802</v>
      </c>
      <c r="AM4696">
        <v>61.337489234701202</v>
      </c>
      <c r="AN4696">
        <v>0.99999995819199505</v>
      </c>
    </row>
    <row r="4697" spans="1:40" x14ac:dyDescent="0.25">
      <c r="A4697" t="str">
        <f>"20190303154901947"</f>
        <v>20190303154901947</v>
      </c>
      <c r="B4697" t="str">
        <f>"1551599341935178"</f>
        <v>1551599341935178</v>
      </c>
      <c r="C4697" t="s">
        <v>40</v>
      </c>
      <c r="D4697">
        <v>5.3268589999999998</v>
      </c>
      <c r="E4697">
        <v>0.58420810000000001</v>
      </c>
      <c r="F4697" t="s">
        <v>59</v>
      </c>
      <c r="G4697">
        <v>-206.38380000000001</v>
      </c>
      <c r="H4697" s="1">
        <v>-8.0209449999999995E-6</v>
      </c>
      <c r="I4697">
        <v>143.59039999999999</v>
      </c>
      <c r="J4697">
        <v>-197.57480000000001</v>
      </c>
      <c r="K4697">
        <v>1.1087769999999999</v>
      </c>
      <c r="L4697">
        <v>143.94759999999999</v>
      </c>
      <c r="M4697">
        <v>-0.7215357</v>
      </c>
      <c r="N4697">
        <v>-1.130052E-2</v>
      </c>
      <c r="O4697">
        <v>-0.69228529999999999</v>
      </c>
      <c r="P4697">
        <v>-0.96164910000000003</v>
      </c>
      <c r="Q4697">
        <v>-8.4042619999999998E-2</v>
      </c>
      <c r="R4697">
        <v>-0.2610905</v>
      </c>
      <c r="S4697">
        <v>-3.049255</v>
      </c>
      <c r="T4697">
        <v>-0.3738204</v>
      </c>
      <c r="U4697">
        <v>-0.1877289</v>
      </c>
      <c r="V4697">
        <v>0.47514079999999898</v>
      </c>
      <c r="W4697">
        <v>-8.7358060000000001E-2</v>
      </c>
      <c r="X4697">
        <v>0.87556250000000002</v>
      </c>
      <c r="Y4697">
        <v>0.63822690000000004</v>
      </c>
      <c r="Z4697">
        <v>0.11129459999999999</v>
      </c>
      <c r="AA4697">
        <v>0.76176109999999997</v>
      </c>
      <c r="AB4697">
        <v>24</v>
      </c>
      <c r="AC4697">
        <v>-8.8089999999999904</v>
      </c>
      <c r="AD4697">
        <v>-1.1087850209450001</v>
      </c>
      <c r="AE4697">
        <v>-0.35720000000000601</v>
      </c>
      <c r="AF4697">
        <v>5.7500313823715201</v>
      </c>
      <c r="AG4697">
        <v>-1.1087850209450001</v>
      </c>
      <c r="AH4697">
        <v>6.5008871738602103</v>
      </c>
      <c r="AI4697">
        <v>97.280411532192801</v>
      </c>
      <c r="AJ4697">
        <v>48.507257061132798</v>
      </c>
      <c r="AK4697">
        <v>8.7495027954844193</v>
      </c>
      <c r="AL4697">
        <v>95.011636553914499</v>
      </c>
      <c r="AM4697">
        <v>61.5126793899937</v>
      </c>
      <c r="AN4697">
        <v>0.99999995093892502</v>
      </c>
    </row>
    <row r="4698" spans="1:40" x14ac:dyDescent="0.25">
      <c r="A4698" t="str">
        <f>"20190303154901964"</f>
        <v>20190303154901964</v>
      </c>
      <c r="B4698" t="str">
        <f>"1551599341955675"</f>
        <v>1551599341955675</v>
      </c>
      <c r="C4698" t="s">
        <v>40</v>
      </c>
      <c r="D4698">
        <v>5.764227</v>
      </c>
      <c r="E4698">
        <v>0.58183009999999902</v>
      </c>
      <c r="F4698" t="s">
        <v>59</v>
      </c>
      <c r="G4698">
        <v>-206.54</v>
      </c>
      <c r="H4698" s="1">
        <v>-7.9420199999999992E-6</v>
      </c>
      <c r="I4698">
        <v>143.55369999999999</v>
      </c>
      <c r="J4698">
        <v>-197.71690000000001</v>
      </c>
      <c r="K4698">
        <v>1.1087720000000001</v>
      </c>
      <c r="L4698">
        <v>143.83099999999999</v>
      </c>
      <c r="M4698">
        <v>-0.73082009999999997</v>
      </c>
      <c r="N4698">
        <v>-1.133091E-2</v>
      </c>
      <c r="O4698">
        <v>-0.68247609999999903</v>
      </c>
      <c r="P4698">
        <v>-0.96450659999999999</v>
      </c>
      <c r="Q4698">
        <v>-8.3891499999999994E-2</v>
      </c>
      <c r="R4698">
        <v>-0.25037910000000002</v>
      </c>
      <c r="S4698">
        <v>-3.0502929999999999</v>
      </c>
      <c r="T4698">
        <v>-0.37725019999999998</v>
      </c>
      <c r="U4698">
        <v>-0.1340179</v>
      </c>
      <c r="V4698">
        <v>0.47306550000000003</v>
      </c>
      <c r="W4698">
        <v>-8.7124740000000006E-2</v>
      </c>
      <c r="X4698">
        <v>0.87670879999999995</v>
      </c>
      <c r="Y4698">
        <v>0.64112219999999998</v>
      </c>
      <c r="Z4698">
        <v>0.111983</v>
      </c>
      <c r="AA4698">
        <v>0.75922469999999997</v>
      </c>
      <c r="AB4698">
        <v>24</v>
      </c>
      <c r="AC4698">
        <v>-8.8230999999999806</v>
      </c>
      <c r="AD4698">
        <v>-1.10877994202</v>
      </c>
      <c r="AE4698">
        <v>-0.27730000000002503</v>
      </c>
      <c r="AF4698">
        <v>5.7288882856788499</v>
      </c>
      <c r="AG4698">
        <v>-1.10877994202</v>
      </c>
      <c r="AH4698">
        <v>6.5346789822903997</v>
      </c>
      <c r="AI4698">
        <v>97.270940657456094</v>
      </c>
      <c r="AJ4698">
        <v>48.759276229529</v>
      </c>
      <c r="AK4698">
        <v>8.7607981001277597</v>
      </c>
      <c r="AL4698">
        <v>94.998216871493</v>
      </c>
      <c r="AM4698">
        <v>61.649033267694598</v>
      </c>
      <c r="AN4698">
        <v>1.0000000038038701</v>
      </c>
    </row>
    <row r="4699" spans="1:40" x14ac:dyDescent="0.25">
      <c r="A4699" t="str">
        <f>"20190303154901985"</f>
        <v>20190303154901985</v>
      </c>
      <c r="B4699" t="str">
        <f>"1551599341975197"</f>
        <v>1551599341975197</v>
      </c>
      <c r="C4699" t="s">
        <v>40</v>
      </c>
      <c r="D4699">
        <v>5.6521819999999998</v>
      </c>
      <c r="E4699">
        <v>0.58135270000000006</v>
      </c>
      <c r="F4699" t="s">
        <v>59</v>
      </c>
      <c r="G4699">
        <v>-206.6283</v>
      </c>
      <c r="H4699" s="1">
        <v>-7.8846010000000001E-6</v>
      </c>
      <c r="I4699">
        <v>143.4845</v>
      </c>
      <c r="J4699">
        <v>-197.9034</v>
      </c>
      <c r="K4699">
        <v>1.1087560000000001</v>
      </c>
      <c r="L4699">
        <v>143.6831</v>
      </c>
      <c r="M4699">
        <v>-0.74262299999999903</v>
      </c>
      <c r="N4699">
        <v>-1.1375359999999999E-2</v>
      </c>
      <c r="O4699">
        <v>-0.66961349999999997</v>
      </c>
      <c r="P4699">
        <v>-0.96819560000000005</v>
      </c>
      <c r="Q4699">
        <v>-8.3605299999999994E-2</v>
      </c>
      <c r="R4699">
        <v>-0.2358133</v>
      </c>
      <c r="S4699">
        <v>-3.0466609999999998</v>
      </c>
      <c r="T4699">
        <v>-0.37907550000000001</v>
      </c>
      <c r="U4699">
        <v>-0.118454</v>
      </c>
      <c r="V4699">
        <v>0.47099609999999897</v>
      </c>
      <c r="W4699">
        <v>-8.6757070000000006E-2</v>
      </c>
      <c r="X4699">
        <v>0.87785869999999999</v>
      </c>
      <c r="Y4699">
        <v>0.63162089999999904</v>
      </c>
      <c r="Z4699">
        <v>0.1111231</v>
      </c>
      <c r="AA4699">
        <v>0.76727230000000002</v>
      </c>
      <c r="AB4699">
        <v>24</v>
      </c>
      <c r="AC4699">
        <v>-8.7248999999999892</v>
      </c>
      <c r="AD4699">
        <v>-1.1087638846009999</v>
      </c>
      <c r="AE4699">
        <v>-0.198599999999999</v>
      </c>
      <c r="AF4699">
        <v>5.6047265244590703</v>
      </c>
      <c r="AG4699">
        <v>-1.1087638846009999</v>
      </c>
      <c r="AH4699">
        <v>6.5076817280546697</v>
      </c>
      <c r="AI4699">
        <v>97.356094799272498</v>
      </c>
      <c r="AJ4699">
        <v>49.263396775164701</v>
      </c>
      <c r="AK4699">
        <v>8.65980590079403</v>
      </c>
      <c r="AL4699">
        <v>94.977070849817906</v>
      </c>
      <c r="AM4699">
        <v>61.785179644383902</v>
      </c>
      <c r="AN4699">
        <v>1.0000000062879399</v>
      </c>
    </row>
    <row r="4700" spans="1:40" x14ac:dyDescent="0.25">
      <c r="A4700" t="str">
        <f>"20190303154902008"</f>
        <v>20190303154902008</v>
      </c>
      <c r="B4700" t="str">
        <f>"1551599342005451"</f>
        <v>1551599342005451</v>
      </c>
      <c r="C4700" t="s">
        <v>40</v>
      </c>
      <c r="D4700">
        <v>5.7031510000000001</v>
      </c>
      <c r="E4700">
        <v>0.58005139999999999</v>
      </c>
      <c r="F4700" t="s">
        <v>59</v>
      </c>
      <c r="G4700">
        <v>-207.047</v>
      </c>
      <c r="H4700" s="1">
        <v>-7.6907519999999996E-6</v>
      </c>
      <c r="I4700">
        <v>143.4537</v>
      </c>
      <c r="J4700">
        <v>-198.10120000000001</v>
      </c>
      <c r="K4700">
        <v>1.1087309999999999</v>
      </c>
      <c r="L4700">
        <v>143.5318</v>
      </c>
      <c r="M4700">
        <v>-0.75471129999999997</v>
      </c>
      <c r="N4700">
        <v>-1.1424490000000001E-2</v>
      </c>
      <c r="O4700">
        <v>-0.65595760000000003</v>
      </c>
      <c r="P4700">
        <v>-0.97194939999999996</v>
      </c>
      <c r="Q4700">
        <v>-8.3102309999999999E-2</v>
      </c>
      <c r="R4700">
        <v>-0.2200203</v>
      </c>
      <c r="S4700">
        <v>-3.0480040000000002</v>
      </c>
      <c r="T4700">
        <v>-0.36960349999999997</v>
      </c>
      <c r="U4700">
        <v>-7.6477050000000005E-2</v>
      </c>
      <c r="V4700">
        <v>0.46931529999999999</v>
      </c>
      <c r="W4700">
        <v>-8.6190749999999997E-2</v>
      </c>
      <c r="X4700">
        <v>0.87881419999999999</v>
      </c>
      <c r="Y4700">
        <v>0.62865409999999999</v>
      </c>
      <c r="Z4700">
        <v>0.107097499999999</v>
      </c>
      <c r="AA4700">
        <v>0.77027539999999906</v>
      </c>
      <c r="AB4700">
        <v>24</v>
      </c>
      <c r="AC4700">
        <v>-8.9457999999999895</v>
      </c>
      <c r="AD4700">
        <v>-1.1087386907519901</v>
      </c>
      <c r="AE4700">
        <v>-7.8100000000006206E-2</v>
      </c>
      <c r="AF4700">
        <v>5.7216183792686204</v>
      </c>
      <c r="AG4700">
        <v>-1.1087386907519901</v>
      </c>
      <c r="AH4700">
        <v>6.7002555799182097</v>
      </c>
      <c r="AI4700">
        <v>97.172313565526295</v>
      </c>
      <c r="AJ4700">
        <v>49.504650619771702</v>
      </c>
      <c r="AK4700">
        <v>8.8802952202378993</v>
      </c>
      <c r="AL4700">
        <v>94.944500898611906</v>
      </c>
      <c r="AM4700">
        <v>61.896336328499302</v>
      </c>
      <c r="AN4700">
        <v>1.0000000471606401</v>
      </c>
    </row>
    <row r="4701" spans="1:40" x14ac:dyDescent="0.25">
      <c r="A4701" t="str">
        <f>"20190303154902030"</f>
        <v>20190303154902030</v>
      </c>
      <c r="B4701" t="str">
        <f>"1551599342025947"</f>
        <v>1551599342025947</v>
      </c>
      <c r="C4701" t="s">
        <v>40</v>
      </c>
      <c r="D4701">
        <v>5.6783830000000002</v>
      </c>
      <c r="E4701">
        <v>0.57907739999999996</v>
      </c>
      <c r="F4701" t="s">
        <v>59</v>
      </c>
      <c r="G4701">
        <v>-207.4915</v>
      </c>
      <c r="H4701" s="1">
        <v>-7.4841220000000002E-6</v>
      </c>
      <c r="I4701">
        <v>143.41749999999999</v>
      </c>
      <c r="J4701">
        <v>-198.29810000000001</v>
      </c>
      <c r="K4701">
        <v>1.108692</v>
      </c>
      <c r="L4701">
        <v>143.38659999999999</v>
      </c>
      <c r="M4701">
        <v>-0.76632849999999997</v>
      </c>
      <c r="N4701">
        <v>-1.1472690000000001E-2</v>
      </c>
      <c r="O4701">
        <v>-0.64234659999999999</v>
      </c>
      <c r="P4701">
        <v>-0.97540629999999995</v>
      </c>
      <c r="Q4701">
        <v>-8.3578840000000001E-2</v>
      </c>
      <c r="R4701">
        <v>-0.20395430000000001</v>
      </c>
      <c r="S4701">
        <v>-3.047409</v>
      </c>
      <c r="T4701">
        <v>-0.35981639999999998</v>
      </c>
      <c r="U4701">
        <v>-3.7078859999999998E-2</v>
      </c>
      <c r="V4701">
        <v>0.46804309999999899</v>
      </c>
      <c r="W4701">
        <v>-8.6624850000000003E-2</v>
      </c>
      <c r="X4701">
        <v>0.879449699999999</v>
      </c>
      <c r="Y4701">
        <v>0.62527739999999998</v>
      </c>
      <c r="Z4701">
        <v>0.1030394</v>
      </c>
      <c r="AA4701">
        <v>0.77357039999999999</v>
      </c>
      <c r="AB4701">
        <v>24</v>
      </c>
      <c r="AC4701">
        <v>-9.1933999999999898</v>
      </c>
      <c r="AD4701">
        <v>-1.1086994841219999</v>
      </c>
      <c r="AE4701">
        <v>3.0900000000002498E-2</v>
      </c>
      <c r="AF4701">
        <v>5.8444199602896898</v>
      </c>
      <c r="AG4701">
        <v>-1.1086994841219999</v>
      </c>
      <c r="AH4701">
        <v>6.9250627891614904</v>
      </c>
      <c r="AI4701">
        <v>96.975501125302301</v>
      </c>
      <c r="AJ4701">
        <v>49.837243390065098</v>
      </c>
      <c r="AK4701">
        <v>9.1292362140627095</v>
      </c>
      <c r="AL4701">
        <v>94.969466647569504</v>
      </c>
      <c r="AM4701">
        <v>61.978093492768402</v>
      </c>
      <c r="AN4701">
        <v>0.99999999146261098</v>
      </c>
    </row>
    <row r="4702" spans="1:40" x14ac:dyDescent="0.25">
      <c r="A4702" t="str">
        <f>"20190303154902052"</f>
        <v>20190303154902052</v>
      </c>
      <c r="B4702" t="str">
        <f>"1551599342045468"</f>
        <v>1551599342045468</v>
      </c>
      <c r="C4702" t="s">
        <v>40</v>
      </c>
      <c r="D4702">
        <v>5.5526780000000002</v>
      </c>
      <c r="E4702">
        <v>0.57836609999999999</v>
      </c>
      <c r="F4702" t="s">
        <v>59</v>
      </c>
      <c r="G4702">
        <v>-207.7748</v>
      </c>
      <c r="H4702" s="1">
        <v>-7.3549429999999998E-6</v>
      </c>
      <c r="I4702">
        <v>143.4042</v>
      </c>
      <c r="J4702">
        <v>-198.49940000000001</v>
      </c>
      <c r="K4702">
        <v>1.1086499999999999</v>
      </c>
      <c r="L4702">
        <v>143.24369999999999</v>
      </c>
      <c r="M4702">
        <v>-0.77779209999999999</v>
      </c>
      <c r="N4702">
        <v>-1.1519730000000001E-2</v>
      </c>
      <c r="O4702">
        <v>-0.62841619999999998</v>
      </c>
      <c r="P4702">
        <v>-0.97859280000000004</v>
      </c>
      <c r="Q4702">
        <v>-8.4518209999999996E-2</v>
      </c>
      <c r="R4702">
        <v>-0.18765100000000001</v>
      </c>
      <c r="S4702">
        <v>-3.0462950000000002</v>
      </c>
      <c r="T4702">
        <v>-0.35639199999999999</v>
      </c>
      <c r="U4702">
        <v>5.6610109999999996E-3</v>
      </c>
      <c r="V4702">
        <v>0.46676780000000001</v>
      </c>
      <c r="W4702">
        <v>-8.7525459999999999E-2</v>
      </c>
      <c r="X4702">
        <v>0.88003809999999905</v>
      </c>
      <c r="Y4702">
        <v>0.62234119999999904</v>
      </c>
      <c r="Z4702">
        <v>0.1009</v>
      </c>
      <c r="AA4702">
        <v>0.77621560000000001</v>
      </c>
      <c r="AB4702">
        <v>24</v>
      </c>
      <c r="AC4702">
        <v>-9.2753999999999905</v>
      </c>
      <c r="AD4702">
        <v>-1.1086573549430001</v>
      </c>
      <c r="AE4702">
        <v>0.16050000000001299</v>
      </c>
      <c r="AF4702">
        <v>5.8702015916709502</v>
      </c>
      <c r="AG4702">
        <v>-1.1086573549430001</v>
      </c>
      <c r="AH4702">
        <v>7.0137704063077901</v>
      </c>
      <c r="AI4702">
        <v>96.911424093100706</v>
      </c>
      <c r="AJ4702">
        <v>50.0722255491618</v>
      </c>
      <c r="AK4702">
        <v>9.2131082252367094</v>
      </c>
      <c r="AL4702">
        <v>95.021264644606504</v>
      </c>
      <c r="AM4702">
        <v>62.058744885568899</v>
      </c>
      <c r="AN4702">
        <v>0.99999997135832996</v>
      </c>
    </row>
    <row r="4703" spans="1:40" x14ac:dyDescent="0.25">
      <c r="A4703" t="str">
        <f>"20190303154902075"</f>
        <v>20190303154902075</v>
      </c>
      <c r="B4703" t="str">
        <f>"1551599342065967"</f>
        <v>1551599342065967</v>
      </c>
      <c r="C4703" t="s">
        <v>40</v>
      </c>
      <c r="D4703">
        <v>5.7356109999999996</v>
      </c>
      <c r="E4703">
        <v>0.57720300000000002</v>
      </c>
      <c r="F4703" t="s">
        <v>59</v>
      </c>
      <c r="G4703">
        <v>-208.47290000000001</v>
      </c>
      <c r="H4703" s="1">
        <v>-7.04698099999999E-6</v>
      </c>
      <c r="I4703">
        <v>143.41030000000001</v>
      </c>
      <c r="J4703">
        <v>-198.70670000000001</v>
      </c>
      <c r="K4703">
        <v>1.1086149999999999</v>
      </c>
      <c r="L4703">
        <v>143.1019</v>
      </c>
      <c r="M4703">
        <v>-0.78918639999999995</v>
      </c>
      <c r="N4703">
        <v>-1.1566999999999999E-2</v>
      </c>
      <c r="O4703">
        <v>-0.61404499999999995</v>
      </c>
      <c r="P4703">
        <v>-0.98151710000000003</v>
      </c>
      <c r="Q4703">
        <v>-8.5624989999999998E-2</v>
      </c>
      <c r="R4703">
        <v>-0.1711511</v>
      </c>
      <c r="S4703">
        <v>-3.0461429999999998</v>
      </c>
      <c r="T4703">
        <v>-0.33860770000000001</v>
      </c>
      <c r="U4703">
        <v>5.0903320000000002E-2</v>
      </c>
      <c r="V4703">
        <v>0.46534579999999998</v>
      </c>
      <c r="W4703">
        <v>-8.8587460000000007E-2</v>
      </c>
      <c r="X4703">
        <v>0.88068469999999999</v>
      </c>
      <c r="Y4703">
        <v>0.6204075</v>
      </c>
      <c r="Z4703">
        <v>9.4593289999999997E-2</v>
      </c>
      <c r="AA4703">
        <v>0.77855430000000003</v>
      </c>
      <c r="AB4703">
        <v>24</v>
      </c>
      <c r="AC4703">
        <v>-9.7661999999999907</v>
      </c>
      <c r="AD4703">
        <v>-1.108622046981</v>
      </c>
      <c r="AE4703">
        <v>0.308400000000006</v>
      </c>
      <c r="AF4703">
        <v>6.1613722213619404</v>
      </c>
      <c r="AG4703">
        <v>-1.108622046981</v>
      </c>
      <c r="AH4703">
        <v>7.4229268240008102</v>
      </c>
      <c r="AI4703">
        <v>96.555685775944895</v>
      </c>
      <c r="AJ4703">
        <v>50.3057594708255</v>
      </c>
      <c r="AK4703">
        <v>9.7103755399929703</v>
      </c>
      <c r="AL4703">
        <v>95.082349927591807</v>
      </c>
      <c r="AM4703">
        <v>62.148433700253101</v>
      </c>
      <c r="AN4703">
        <v>0.99999999623048996</v>
      </c>
    </row>
    <row r="4704" spans="1:40" x14ac:dyDescent="0.25">
      <c r="A4704" t="str">
        <f>"20190303154902096"</f>
        <v>20190303154902096</v>
      </c>
      <c r="B4704" t="str">
        <f>"1551599342085483"</f>
        <v>1551599342085483</v>
      </c>
      <c r="C4704" t="s">
        <v>40</v>
      </c>
      <c r="D4704">
        <v>5.4551350000000003</v>
      </c>
      <c r="E4704">
        <v>0.57622469999999903</v>
      </c>
      <c r="F4704" t="s">
        <v>59</v>
      </c>
      <c r="G4704">
        <v>-208.76349999999999</v>
      </c>
      <c r="H4704" s="1">
        <v>-6.9180009999999999E-6</v>
      </c>
      <c r="I4704">
        <v>143.40989999999999</v>
      </c>
      <c r="J4704">
        <v>-198.90100000000001</v>
      </c>
      <c r="K4704">
        <v>1.108584</v>
      </c>
      <c r="L4704">
        <v>142.97399999999999</v>
      </c>
      <c r="M4704">
        <v>-0.79949389999999998</v>
      </c>
      <c r="N4704">
        <v>-1.1611369999999999E-2</v>
      </c>
      <c r="O4704">
        <v>-0.60056209999999999</v>
      </c>
      <c r="P4704">
        <v>-0.9839156</v>
      </c>
      <c r="Q4704">
        <v>-8.6191660000000003E-2</v>
      </c>
      <c r="R4704">
        <v>-0.15646409999999999</v>
      </c>
      <c r="S4704">
        <v>-3.043472</v>
      </c>
      <c r="T4704">
        <v>-0.33549980000000001</v>
      </c>
      <c r="U4704">
        <v>9.3200679999999994E-2</v>
      </c>
      <c r="V4704">
        <v>0.46350999999999998</v>
      </c>
      <c r="W4704">
        <v>-8.9088890000000004E-2</v>
      </c>
      <c r="X4704">
        <v>0.88160179999999999</v>
      </c>
      <c r="Y4704">
        <v>0.61816539999999998</v>
      </c>
      <c r="Z4704">
        <v>9.2691049999999997E-2</v>
      </c>
      <c r="AA4704">
        <v>0.78056380000000003</v>
      </c>
      <c r="AB4704">
        <v>24</v>
      </c>
      <c r="AC4704">
        <v>-9.8625000000000096</v>
      </c>
      <c r="AD4704">
        <v>-1.1085909180010001</v>
      </c>
      <c r="AE4704">
        <v>0.43590000000000301</v>
      </c>
      <c r="AF4704">
        <v>6.1938597864535003</v>
      </c>
      <c r="AG4704">
        <v>-1.1085909180010001</v>
      </c>
      <c r="AH4704">
        <v>7.5287974808605496</v>
      </c>
      <c r="AI4704">
        <v>96.4873004896466</v>
      </c>
      <c r="AJ4704">
        <v>50.556240494393798</v>
      </c>
      <c r="AK4704">
        <v>9.81201632619576</v>
      </c>
      <c r="AL4704">
        <v>95.111193562268198</v>
      </c>
      <c r="AM4704">
        <v>62.266450825032202</v>
      </c>
      <c r="AN4704">
        <v>1.0000000420923301</v>
      </c>
    </row>
    <row r="4705" spans="1:40" x14ac:dyDescent="0.25">
      <c r="A4705" t="str">
        <f>"20190303154902121"</f>
        <v>20190303154902121</v>
      </c>
      <c r="B4705" t="str">
        <f>"1551599342115740"</f>
        <v>1551599342115740</v>
      </c>
      <c r="C4705" t="s">
        <v>40</v>
      </c>
      <c r="D4705">
        <v>5.7306540000000004</v>
      </c>
      <c r="E4705">
        <v>0.57479919999999995</v>
      </c>
      <c r="F4705" t="s">
        <v>59</v>
      </c>
      <c r="G4705">
        <v>-209.4357</v>
      </c>
      <c r="H4705" s="1">
        <v>-6.62467099999999E-6</v>
      </c>
      <c r="I4705">
        <v>143.42789999999999</v>
      </c>
      <c r="J4705">
        <v>-199.13130000000001</v>
      </c>
      <c r="K4705">
        <v>1.108557</v>
      </c>
      <c r="L4705">
        <v>142.82820000000001</v>
      </c>
      <c r="M4705">
        <v>-0.81126759999999998</v>
      </c>
      <c r="N4705">
        <v>-1.1662499999999999E-2</v>
      </c>
      <c r="O4705">
        <v>-0.58455880000000005</v>
      </c>
      <c r="P4705">
        <v>-0.9864155</v>
      </c>
      <c r="Q4705">
        <v>-8.7018700000000004E-2</v>
      </c>
      <c r="R4705">
        <v>-0.1393295</v>
      </c>
      <c r="S4705">
        <v>-3.0418400000000001</v>
      </c>
      <c r="T4705">
        <v>-0.32010070000000002</v>
      </c>
      <c r="U4705">
        <v>0.13104250000000001</v>
      </c>
      <c r="V4705">
        <v>0.46125670000000002</v>
      </c>
      <c r="W4705">
        <v>-8.9829679999999995E-2</v>
      </c>
      <c r="X4705">
        <v>0.88270769999999998</v>
      </c>
      <c r="Y4705">
        <v>0.61300949999999998</v>
      </c>
      <c r="Z4705">
        <v>8.6913920000000006E-2</v>
      </c>
      <c r="AA4705">
        <v>0.78528039999999999</v>
      </c>
      <c r="AB4705">
        <v>24</v>
      </c>
      <c r="AC4705">
        <v>-10.3043999999999</v>
      </c>
      <c r="AD4705">
        <v>-1.108563624671</v>
      </c>
      <c r="AE4705">
        <v>0.59969999999998402</v>
      </c>
      <c r="AF4705">
        <v>6.4362468969048701</v>
      </c>
      <c r="AG4705">
        <v>-1.108563624671</v>
      </c>
      <c r="AH4705">
        <v>7.9182750347614004</v>
      </c>
      <c r="AI4705">
        <v>96.200221514549099</v>
      </c>
      <c r="AJ4705">
        <v>50.894599655575398</v>
      </c>
      <c r="AK4705">
        <v>10.2641739538058</v>
      </c>
      <c r="AL4705">
        <v>95.153808789493695</v>
      </c>
      <c r="AM4705">
        <v>62.410794569221402</v>
      </c>
      <c r="AN4705">
        <v>0.99999999917154103</v>
      </c>
    </row>
    <row r="4706" spans="1:40" x14ac:dyDescent="0.25">
      <c r="A4706" t="str">
        <f>"20190303154902145"</f>
        <v>20190303154902145</v>
      </c>
      <c r="B4706" t="str">
        <f>"1551599342135260"</f>
        <v>1551599342135260</v>
      </c>
      <c r="C4706" t="s">
        <v>40</v>
      </c>
      <c r="D4706">
        <v>5.6034249999999997</v>
      </c>
      <c r="E4706">
        <v>0.57440080000000004</v>
      </c>
      <c r="F4706" t="s">
        <v>59</v>
      </c>
      <c r="G4706">
        <v>-209.94049999999999</v>
      </c>
      <c r="H4706" s="1">
        <v>-6.4047569999999999E-6</v>
      </c>
      <c r="I4706">
        <v>143.44280000000001</v>
      </c>
      <c r="J4706">
        <v>-199.3537</v>
      </c>
      <c r="K4706">
        <v>1.1085229999999999</v>
      </c>
      <c r="L4706">
        <v>142.69390000000001</v>
      </c>
      <c r="M4706">
        <v>-0.82217510000000005</v>
      </c>
      <c r="N4706">
        <v>-1.170761E-2</v>
      </c>
      <c r="O4706">
        <v>-0.56911440000000002</v>
      </c>
      <c r="P4706">
        <v>-0.98847059999999998</v>
      </c>
      <c r="Q4706">
        <v>-8.7809380000000006E-2</v>
      </c>
      <c r="R4706">
        <v>-0.1233527</v>
      </c>
      <c r="S4706">
        <v>-3.0382229999999999</v>
      </c>
      <c r="T4706">
        <v>-0.3115928</v>
      </c>
      <c r="U4706">
        <v>0.172744799999999</v>
      </c>
      <c r="V4706">
        <v>0.45878289999999999</v>
      </c>
      <c r="W4706">
        <v>-9.0521190000000001E-2</v>
      </c>
      <c r="X4706">
        <v>0.88392539999999997</v>
      </c>
      <c r="Y4706">
        <v>0.60930200000000001</v>
      </c>
      <c r="Z4706">
        <v>8.3335160000000005E-2</v>
      </c>
      <c r="AA4706">
        <v>0.788547</v>
      </c>
      <c r="AB4706">
        <v>24</v>
      </c>
      <c r="AC4706">
        <v>-10.586799999999901</v>
      </c>
      <c r="AD4706">
        <v>-1.108529404757</v>
      </c>
      <c r="AE4706">
        <v>0.74889999999999102</v>
      </c>
      <c r="AF4706">
        <v>6.5696119654483001</v>
      </c>
      <c r="AG4706">
        <v>-1.108529404757</v>
      </c>
      <c r="AH4706">
        <v>8.1892215365580405</v>
      </c>
      <c r="AI4706">
        <v>96.027361693882696</v>
      </c>
      <c r="AJ4706">
        <v>51.262484070801897</v>
      </c>
      <c r="AK4706">
        <v>10.557082371213999</v>
      </c>
      <c r="AL4706">
        <v>95.193591604868899</v>
      </c>
      <c r="AM4706">
        <v>62.569379282025103</v>
      </c>
      <c r="AN4706">
        <v>0.99999997396829199</v>
      </c>
    </row>
    <row r="4707" spans="1:40" x14ac:dyDescent="0.25">
      <c r="A4707" t="str">
        <f>"20190303154902166"</f>
        <v>20190303154902166</v>
      </c>
      <c r="B4707" t="str">
        <f>"1551599342155755"</f>
        <v>1551599342155755</v>
      </c>
      <c r="C4707" t="s">
        <v>40</v>
      </c>
      <c r="D4707">
        <v>5.7608350000000002</v>
      </c>
      <c r="E4707">
        <v>0.572934099999999</v>
      </c>
      <c r="F4707" t="s">
        <v>41</v>
      </c>
      <c r="G4707">
        <v>-210.3039</v>
      </c>
      <c r="H4707" s="1">
        <v>-5.2804229999999999E-6</v>
      </c>
      <c r="I4707">
        <v>143.48269999999999</v>
      </c>
      <c r="J4707">
        <v>-199.5675</v>
      </c>
      <c r="K4707">
        <v>1.108508</v>
      </c>
      <c r="L4707">
        <v>142.56979999999999</v>
      </c>
      <c r="M4707">
        <v>-0.83226599999999995</v>
      </c>
      <c r="N4707">
        <v>-1.174681E-2</v>
      </c>
      <c r="O4707">
        <v>-0.55425230000000003</v>
      </c>
      <c r="P4707">
        <v>-0.99017339999999998</v>
      </c>
      <c r="Q4707">
        <v>-8.9491650000000006E-2</v>
      </c>
      <c r="R4707">
        <v>-0.1074621</v>
      </c>
      <c r="S4707">
        <v>-3.0349879999999998</v>
      </c>
      <c r="T4707">
        <v>-0.30724230000000002</v>
      </c>
      <c r="U4707">
        <v>0.21864320000000001</v>
      </c>
      <c r="V4707">
        <v>0.45696680000000001</v>
      </c>
      <c r="W4707">
        <v>-9.2128489999999993E-2</v>
      </c>
      <c r="X4707">
        <v>0.88469979999999904</v>
      </c>
      <c r="Y4707">
        <v>0.60724730000000005</v>
      </c>
      <c r="Z4707">
        <v>8.105627E-2</v>
      </c>
      <c r="AA4707">
        <v>0.79036740000000005</v>
      </c>
      <c r="AB4707">
        <v>24</v>
      </c>
      <c r="AC4707">
        <v>-10.7364</v>
      </c>
      <c r="AD4707">
        <v>-1.108513280423</v>
      </c>
      <c r="AE4707">
        <v>0.91290000000000704</v>
      </c>
      <c r="AF4707">
        <v>6.6406299005409997</v>
      </c>
      <c r="AG4707">
        <v>-1.108513280423</v>
      </c>
      <c r="AH4707">
        <v>8.3418567947829203</v>
      </c>
      <c r="AI4707">
        <v>95.9354734170456</v>
      </c>
      <c r="AJ4707">
        <v>51.4780583155435</v>
      </c>
      <c r="AK4707">
        <v>10.719764081056001</v>
      </c>
      <c r="AL4707">
        <v>95.286069301590302</v>
      </c>
      <c r="AM4707">
        <v>62.6826570594977</v>
      </c>
      <c r="AN4707">
        <v>1.00000002554597</v>
      </c>
    </row>
    <row r="4708" spans="1:40" x14ac:dyDescent="0.25">
      <c r="A4708" t="str">
        <f>"20190303154902188"</f>
        <v>20190303154902188</v>
      </c>
      <c r="B4708" t="str">
        <f>"1551599342175276"</f>
        <v>1551599342175276</v>
      </c>
      <c r="C4708" t="s">
        <v>40</v>
      </c>
      <c r="D4708">
        <v>5.8034980000000003</v>
      </c>
      <c r="E4708">
        <v>0.57132819999999995</v>
      </c>
      <c r="F4708" t="s">
        <v>41</v>
      </c>
      <c r="G4708">
        <v>-210.27780000000001</v>
      </c>
      <c r="H4708" s="1">
        <v>-5.2889159999999999E-6</v>
      </c>
      <c r="I4708">
        <v>143.4742</v>
      </c>
      <c r="J4708">
        <v>-199.77799999999999</v>
      </c>
      <c r="K4708">
        <v>1.1084909999999999</v>
      </c>
      <c r="L4708">
        <v>142.45249999999999</v>
      </c>
      <c r="M4708">
        <v>-0.84183109999999906</v>
      </c>
      <c r="N4708">
        <v>-1.1782269999999999E-2</v>
      </c>
      <c r="O4708">
        <v>-0.53961219999999999</v>
      </c>
      <c r="P4708">
        <v>-0.99132549999999997</v>
      </c>
      <c r="Q4708">
        <v>-9.0823459999999995E-2</v>
      </c>
      <c r="R4708">
        <v>-9.4999910000000007E-2</v>
      </c>
      <c r="S4708">
        <v>-3.0292050000000001</v>
      </c>
      <c r="T4708">
        <v>-0.3135194</v>
      </c>
      <c r="U4708">
        <v>0.25578309999999999</v>
      </c>
      <c r="V4708">
        <v>0.45251809999999998</v>
      </c>
      <c r="W4708">
        <v>-9.3292379999999994E-2</v>
      </c>
      <c r="X4708">
        <v>0.88686180000000003</v>
      </c>
      <c r="Y4708">
        <v>0.60296930000000004</v>
      </c>
      <c r="Z4708">
        <v>8.1592520000000002E-2</v>
      </c>
      <c r="AA4708">
        <v>0.79358090000000003</v>
      </c>
      <c r="AB4708">
        <v>24</v>
      </c>
      <c r="AC4708">
        <v>-10.4998</v>
      </c>
      <c r="AD4708">
        <v>-1.1084962889159999</v>
      </c>
      <c r="AE4708">
        <v>1.0217000000000001</v>
      </c>
      <c r="AF4708">
        <v>6.4551012192853303</v>
      </c>
      <c r="AG4708">
        <v>-1.1084962889159999</v>
      </c>
      <c r="AH4708">
        <v>8.1977997631689501</v>
      </c>
      <c r="AI4708">
        <v>96.064183705841003</v>
      </c>
      <c r="AJ4708">
        <v>51.782441511547297</v>
      </c>
      <c r="AK4708">
        <v>10.4929031602684</v>
      </c>
      <c r="AL4708">
        <v>95.353044007817999</v>
      </c>
      <c r="AM4708">
        <v>62.967212870065097</v>
      </c>
      <c r="AN4708">
        <v>0.99999997564645604</v>
      </c>
    </row>
    <row r="4709" spans="1:40" x14ac:dyDescent="0.25">
      <c r="A4709" t="str">
        <f>"20190303154902210"</f>
        <v>20190303154902210</v>
      </c>
      <c r="B4709" t="str">
        <f>"1551599342205532"</f>
        <v>1551599342205532</v>
      </c>
      <c r="C4709" t="s">
        <v>40</v>
      </c>
      <c r="D4709">
        <v>5.859972</v>
      </c>
      <c r="E4709">
        <v>0.56892039999999999</v>
      </c>
      <c r="F4709" t="s">
        <v>41</v>
      </c>
      <c r="G4709">
        <v>-210.22280000000001</v>
      </c>
      <c r="H4709" s="1">
        <v>-5.3010359999999999E-6</v>
      </c>
      <c r="I4709">
        <v>143.42339999999999</v>
      </c>
      <c r="J4709">
        <v>-199.9915</v>
      </c>
      <c r="K4709">
        <v>1.1084769999999999</v>
      </c>
      <c r="L4709">
        <v>142.3383</v>
      </c>
      <c r="M4709">
        <v>-0.85115479999999999</v>
      </c>
      <c r="N4709">
        <v>-1.181718E-2</v>
      </c>
      <c r="O4709">
        <v>-0.52478159999999996</v>
      </c>
      <c r="P4709">
        <v>-0.99234670000000003</v>
      </c>
      <c r="Q4709">
        <v>-9.1296459999999996E-2</v>
      </c>
      <c r="R4709">
        <v>-8.3146200000000003E-2</v>
      </c>
      <c r="S4709">
        <v>-3.0238040000000002</v>
      </c>
      <c r="T4709">
        <v>-0.3209149</v>
      </c>
      <c r="U4709">
        <v>0.28106690000000001</v>
      </c>
      <c r="V4709">
        <v>0.44754369999999999</v>
      </c>
      <c r="W4709">
        <v>-9.3573210000000004E-2</v>
      </c>
      <c r="X4709">
        <v>0.88935299999999995</v>
      </c>
      <c r="Y4709">
        <v>0.59554149999999995</v>
      </c>
      <c r="Z4709">
        <v>8.2125290000000004E-2</v>
      </c>
      <c r="AA4709">
        <v>0.79911569999999899</v>
      </c>
      <c r="AB4709">
        <v>24</v>
      </c>
      <c r="AC4709">
        <v>-10.231299999999999</v>
      </c>
      <c r="AD4709">
        <v>-1.1084823010360001</v>
      </c>
      <c r="AE4709">
        <v>1.08509999999998</v>
      </c>
      <c r="AF4709">
        <v>6.2210155491047097</v>
      </c>
      <c r="AG4709">
        <v>-1.1084823010360001</v>
      </c>
      <c r="AH4709">
        <v>8.04615286882761</v>
      </c>
      <c r="AI4709">
        <v>96.220036809513203</v>
      </c>
      <c r="AJ4709">
        <v>52.290007077036101</v>
      </c>
      <c r="AK4709">
        <v>10.2308525286241</v>
      </c>
      <c r="AL4709">
        <v>95.369204763907902</v>
      </c>
      <c r="AM4709">
        <v>63.287366010712901</v>
      </c>
      <c r="AN4709">
        <v>1.0000000338241899</v>
      </c>
    </row>
    <row r="4710" spans="1:40" x14ac:dyDescent="0.25">
      <c r="A4710" t="str">
        <f>"20190303154902232"</f>
        <v>20190303154902232</v>
      </c>
      <c r="B4710" t="str">
        <f>"1551599342226028"</f>
        <v>1551599342226028</v>
      </c>
      <c r="C4710" t="s">
        <v>40</v>
      </c>
      <c r="D4710">
        <v>5.8568119999999997</v>
      </c>
      <c r="E4710">
        <v>0.5675384</v>
      </c>
      <c r="F4710" t="s">
        <v>41</v>
      </c>
      <c r="G4710">
        <v>-210.18090000000001</v>
      </c>
      <c r="H4710" s="1">
        <v>-5.3031589999999998E-6</v>
      </c>
      <c r="I4710">
        <v>143.34460000000001</v>
      </c>
      <c r="J4710">
        <v>-200.22470000000001</v>
      </c>
      <c r="K4710">
        <v>1.108481</v>
      </c>
      <c r="L4710">
        <v>142.21879999999999</v>
      </c>
      <c r="M4710">
        <v>-0.8609289</v>
      </c>
      <c r="N4710">
        <v>-1.1855330000000001E-2</v>
      </c>
      <c r="O4710">
        <v>-0.50858740000000002</v>
      </c>
      <c r="P4710">
        <v>-0.99327920000000003</v>
      </c>
      <c r="Q4710">
        <v>-9.2026250000000004E-2</v>
      </c>
      <c r="R4710">
        <v>-7.0199529999999996E-2</v>
      </c>
      <c r="S4710">
        <v>-3.0179140000000002</v>
      </c>
      <c r="T4710">
        <v>-0.32831110000000002</v>
      </c>
      <c r="U4710">
        <v>0.29804989999999998</v>
      </c>
      <c r="V4710">
        <v>0.44226320000000002</v>
      </c>
      <c r="W4710">
        <v>-9.4091809999999998E-2</v>
      </c>
      <c r="X4710">
        <v>0.89193609999999901</v>
      </c>
      <c r="Y4710">
        <v>0.5847985</v>
      </c>
      <c r="Z4710">
        <v>8.2256590000000004E-2</v>
      </c>
      <c r="AA4710">
        <v>0.80699719999999997</v>
      </c>
      <c r="AB4710">
        <v>24</v>
      </c>
      <c r="AC4710">
        <v>-9.9561999999999902</v>
      </c>
      <c r="AD4710">
        <v>-1.108486303159</v>
      </c>
      <c r="AE4710">
        <v>1.1258000000000199</v>
      </c>
      <c r="AF4710">
        <v>5.9603050117386402</v>
      </c>
      <c r="AG4710">
        <v>-1.108486303159</v>
      </c>
      <c r="AH4710">
        <v>7.9028486036652197</v>
      </c>
      <c r="AI4710">
        <v>96.389664048434994</v>
      </c>
      <c r="AJ4710">
        <v>52.976509692060397</v>
      </c>
      <c r="AK4710">
        <v>9.9603711662618899</v>
      </c>
      <c r="AL4710">
        <v>95.399050179143103</v>
      </c>
      <c r="AM4710">
        <v>63.625657334917399</v>
      </c>
      <c r="AN4710">
        <v>1.0000000066332599</v>
      </c>
    </row>
    <row r="4711" spans="1:40" x14ac:dyDescent="0.25">
      <c r="A4711" t="str">
        <f>"20190303154902254"</f>
        <v>20190303154902254</v>
      </c>
      <c r="B4711" t="str">
        <f>"1551599342245547"</f>
        <v>1551599342245547</v>
      </c>
      <c r="C4711" t="s">
        <v>40</v>
      </c>
      <c r="D4711">
        <v>5.8087549999999997</v>
      </c>
      <c r="E4711">
        <v>0.56612269999999998</v>
      </c>
      <c r="F4711" t="s">
        <v>41</v>
      </c>
      <c r="G4711">
        <v>-210.20580000000001</v>
      </c>
      <c r="H4711" s="1">
        <v>-5.285714E-6</v>
      </c>
      <c r="I4711">
        <v>143.30009999999999</v>
      </c>
      <c r="J4711">
        <v>-200.4417</v>
      </c>
      <c r="K4711">
        <v>1.1084780000000001</v>
      </c>
      <c r="L4711">
        <v>142.11250000000001</v>
      </c>
      <c r="M4711">
        <v>-0.86963899999999905</v>
      </c>
      <c r="N4711">
        <v>-1.1895070000000001E-2</v>
      </c>
      <c r="O4711">
        <v>-0.49354490000000001</v>
      </c>
      <c r="P4711">
        <v>-0.99391130000000005</v>
      </c>
      <c r="Q4711">
        <v>-9.2897740000000006E-2</v>
      </c>
      <c r="R4711">
        <v>-5.9250129999999998E-2</v>
      </c>
      <c r="S4711">
        <v>-3.012375</v>
      </c>
      <c r="T4711">
        <v>-0.33455049999999997</v>
      </c>
      <c r="U4711">
        <v>0.32635500000000001</v>
      </c>
      <c r="V4711">
        <v>0.43652459999999998</v>
      </c>
      <c r="W4711">
        <v>-9.4728370000000006E-2</v>
      </c>
      <c r="X4711">
        <v>0.89469149999999997</v>
      </c>
      <c r="Y4711">
        <v>0.57824489999999995</v>
      </c>
      <c r="Z4711">
        <v>8.2323800000000003E-2</v>
      </c>
      <c r="AA4711">
        <v>0.81169930000000001</v>
      </c>
      <c r="AB4711">
        <v>24</v>
      </c>
      <c r="AC4711">
        <v>-9.7641000000000098</v>
      </c>
      <c r="AD4711">
        <v>-1.1084832857139999</v>
      </c>
      <c r="AE4711">
        <v>1.18759999999997</v>
      </c>
      <c r="AF4711">
        <v>5.77882574131828</v>
      </c>
      <c r="AG4711">
        <v>-1.1084832857139999</v>
      </c>
      <c r="AH4711">
        <v>7.8065216965827204</v>
      </c>
      <c r="AI4711">
        <v>96.510834382867799</v>
      </c>
      <c r="AJ4711">
        <v>53.489076552698897</v>
      </c>
      <c r="AK4711">
        <v>9.7757528171720303</v>
      </c>
      <c r="AL4711">
        <v>95.435685862415994</v>
      </c>
      <c r="AM4711">
        <v>63.992012995899898</v>
      </c>
      <c r="AN4711">
        <v>1.0000000353301299</v>
      </c>
    </row>
    <row r="4712" spans="1:40" x14ac:dyDescent="0.25">
      <c r="A4712" t="str">
        <f>"20190303154902277"</f>
        <v>20190303154902277</v>
      </c>
      <c r="B4712" t="str">
        <f>"1551599342266047"</f>
        <v>1551599342266047</v>
      </c>
      <c r="C4712" t="s">
        <v>40</v>
      </c>
      <c r="D4712">
        <v>5.8398539999999999</v>
      </c>
      <c r="E4712">
        <v>0.56486250000000005</v>
      </c>
      <c r="F4712" t="s">
        <v>41</v>
      </c>
      <c r="G4712">
        <v>-210.41130000000001</v>
      </c>
      <c r="H4712" s="1">
        <v>-5.2008789999999997E-6</v>
      </c>
      <c r="I4712">
        <v>143.26689999999999</v>
      </c>
      <c r="J4712">
        <v>-200.67230000000001</v>
      </c>
      <c r="K4712">
        <v>1.1084940000000001</v>
      </c>
      <c r="L4712">
        <v>142.0043</v>
      </c>
      <c r="M4712">
        <v>-0.87849809999999995</v>
      </c>
      <c r="N4712">
        <v>-1.1955240000000001E-2</v>
      </c>
      <c r="O4712">
        <v>-0.47759639999999998</v>
      </c>
      <c r="P4712">
        <v>-0.99442730000000001</v>
      </c>
      <c r="Q4712">
        <v>-9.370154E-2</v>
      </c>
      <c r="R4712">
        <v>-4.8316270000000001E-2</v>
      </c>
      <c r="S4712">
        <v>-3.007889</v>
      </c>
      <c r="T4712">
        <v>-0.33443450000000002</v>
      </c>
      <c r="U4712">
        <v>0.34829710000000003</v>
      </c>
      <c r="V4712">
        <v>0.42998500000000001</v>
      </c>
      <c r="W4712">
        <v>-9.5242740000000006E-2</v>
      </c>
      <c r="X4712">
        <v>0.89779819999999999</v>
      </c>
      <c r="Y4712">
        <v>0.5694882</v>
      </c>
      <c r="Z4712">
        <v>8.048429E-2</v>
      </c>
      <c r="AA4712">
        <v>0.81804980000000005</v>
      </c>
      <c r="AB4712">
        <v>24</v>
      </c>
      <c r="AC4712">
        <v>-9.7390000000000008</v>
      </c>
      <c r="AD4712">
        <v>-1.108499200879</v>
      </c>
      <c r="AE4712">
        <v>1.26259999999999</v>
      </c>
      <c r="AF4712">
        <v>5.6884379376757002</v>
      </c>
      <c r="AG4712">
        <v>-1.108499200879</v>
      </c>
      <c r="AH4712">
        <v>7.8531900868023596</v>
      </c>
      <c r="AI4712">
        <v>96.521410711659499</v>
      </c>
      <c r="AJ4712">
        <v>54.082403964295601</v>
      </c>
      <c r="AK4712">
        <v>9.7601071299749798</v>
      </c>
      <c r="AL4712">
        <v>95.465291448299496</v>
      </c>
      <c r="AM4712">
        <v>64.408711240243505</v>
      </c>
      <c r="AN4712">
        <v>0.99999994383547197</v>
      </c>
    </row>
    <row r="4713" spans="1:40" x14ac:dyDescent="0.25">
      <c r="A4713" t="str">
        <f>"20190303154902300"</f>
        <v>20190303154902300</v>
      </c>
      <c r="B4713" t="str">
        <f>"1551599342295324"</f>
        <v>1551599342295324</v>
      </c>
      <c r="C4713" t="s">
        <v>40</v>
      </c>
      <c r="D4713">
        <v>5.8557329999999999</v>
      </c>
      <c r="E4713">
        <v>0.53969309999999904</v>
      </c>
      <c r="F4713" t="s">
        <v>41</v>
      </c>
      <c r="G4713">
        <v>-210.6276</v>
      </c>
      <c r="H4713" s="1">
        <v>-5.1121919999999997E-6</v>
      </c>
      <c r="I4713">
        <v>143.23519999999999</v>
      </c>
      <c r="J4713">
        <v>-200.90209999999999</v>
      </c>
      <c r="K4713">
        <v>1.1085529999999999</v>
      </c>
      <c r="L4713">
        <v>141.9015</v>
      </c>
      <c r="M4713">
        <v>-0.88692309999999996</v>
      </c>
      <c r="N4713">
        <v>-1.207079E-2</v>
      </c>
      <c r="O4713">
        <v>-0.46175959999999999</v>
      </c>
      <c r="P4713">
        <v>-0.99484499999999998</v>
      </c>
      <c r="Q4713">
        <v>-9.3721910000000005E-2</v>
      </c>
      <c r="R4713">
        <v>-3.8730199999999999E-2</v>
      </c>
      <c r="S4713">
        <v>-3.003342</v>
      </c>
      <c r="T4713">
        <v>-0.33441290000000001</v>
      </c>
      <c r="U4713">
        <v>0.37130740000000001</v>
      </c>
      <c r="V4713">
        <v>0.422537</v>
      </c>
      <c r="W4713">
        <v>-9.4876680000000005E-2</v>
      </c>
      <c r="X4713">
        <v>0.90136609999999995</v>
      </c>
      <c r="Y4713">
        <v>0.56121030000000005</v>
      </c>
      <c r="Z4713">
        <v>7.8674530000000006E-2</v>
      </c>
      <c r="AA4713">
        <v>0.82392559999999904</v>
      </c>
      <c r="AB4713">
        <v>24</v>
      </c>
      <c r="AC4713">
        <v>-9.7255000000000091</v>
      </c>
      <c r="AD4713">
        <v>-1.1085581121920001</v>
      </c>
      <c r="AE4713">
        <v>1.3336999999999899</v>
      </c>
      <c r="AF4713">
        <v>5.6026956858055499</v>
      </c>
      <c r="AG4713">
        <v>-1.1085581121920001</v>
      </c>
      <c r="AH4713">
        <v>7.9096354722172597</v>
      </c>
      <c r="AI4713">
        <v>96.524450974589101</v>
      </c>
      <c r="AJ4713">
        <v>54.688606995378201</v>
      </c>
      <c r="AK4713">
        <v>9.75609723912223</v>
      </c>
      <c r="AL4713">
        <v>95.444222182023793</v>
      </c>
      <c r="AM4713">
        <v>64.8840373329881</v>
      </c>
      <c r="AN4713">
        <v>0.99999997350301495</v>
      </c>
    </row>
    <row r="4714" spans="1:40" x14ac:dyDescent="0.25">
      <c r="A4714" t="str">
        <f>"20190303154902324"</f>
        <v>20190303154902324</v>
      </c>
      <c r="B4714" t="str">
        <f>"1551599342315820"</f>
        <v>1551599342315820</v>
      </c>
      <c r="C4714" t="s">
        <v>40</v>
      </c>
      <c r="D4714">
        <v>5.7009809999999996</v>
      </c>
      <c r="E4714">
        <v>0.49411050000000001</v>
      </c>
      <c r="F4714" t="s">
        <v>41</v>
      </c>
      <c r="G4714">
        <v>-214.73759999999999</v>
      </c>
      <c r="H4714" s="1">
        <v>-3.322125E-6</v>
      </c>
      <c r="I4714">
        <v>142.8262</v>
      </c>
      <c r="J4714">
        <v>-201.15209999999999</v>
      </c>
      <c r="K4714">
        <v>1.1086879999999999</v>
      </c>
      <c r="L4714">
        <v>141.7955</v>
      </c>
      <c r="M4714">
        <v>-0.89561469999999899</v>
      </c>
      <c r="N4714">
        <v>-1.235119E-2</v>
      </c>
      <c r="O4714">
        <v>-0.44465890000000002</v>
      </c>
      <c r="P4714">
        <v>-0.99516850000000001</v>
      </c>
      <c r="Q4714">
        <v>-9.4142390000000006E-2</v>
      </c>
      <c r="R4714">
        <v>-2.7877300000000001E-2</v>
      </c>
      <c r="S4714">
        <v>-3.000702</v>
      </c>
      <c r="T4714">
        <v>-0.24042749999999999</v>
      </c>
      <c r="U4714">
        <v>0.2005615</v>
      </c>
      <c r="V4714">
        <v>0.4150684</v>
      </c>
      <c r="W4714">
        <v>-9.4718849999999993E-2</v>
      </c>
      <c r="X4714">
        <v>0.90484620000000004</v>
      </c>
      <c r="Y4714">
        <v>0.50064569999999997</v>
      </c>
      <c r="Z4714">
        <v>5.2178530000000001E-2</v>
      </c>
      <c r="AA4714">
        <v>0.86407829999999997</v>
      </c>
      <c r="AB4714">
        <v>24</v>
      </c>
      <c r="AC4714">
        <v>-13.5854999999999</v>
      </c>
      <c r="AD4714">
        <v>-1.1086913221250001</v>
      </c>
      <c r="AE4714">
        <v>1.03069999999999</v>
      </c>
      <c r="AF4714">
        <v>6.9187409057836904</v>
      </c>
      <c r="AG4714">
        <v>-1.1086913221250001</v>
      </c>
      <c r="AH4714">
        <v>11.6329269256416</v>
      </c>
      <c r="AI4714">
        <v>94.6828383714425</v>
      </c>
      <c r="AJ4714">
        <v>59.257724771656299</v>
      </c>
      <c r="AK4714">
        <v>13.580248930945199</v>
      </c>
      <c r="AL4714">
        <v>95.435137909651601</v>
      </c>
      <c r="AM4714">
        <v>65.358268121485395</v>
      </c>
      <c r="AN4714">
        <v>1.0000000414391601</v>
      </c>
    </row>
    <row r="4715" spans="1:40" x14ac:dyDescent="0.25">
      <c r="A4715" t="str">
        <f>"20190303154902346"</f>
        <v>20190303154902346</v>
      </c>
      <c r="B4715" t="str">
        <f>"1551599342335340"</f>
        <v>1551599342335340</v>
      </c>
      <c r="C4715" t="s">
        <v>40</v>
      </c>
      <c r="D4715">
        <v>5.7101089999999903</v>
      </c>
      <c r="E4715">
        <v>0.49166090000000001</v>
      </c>
      <c r="F4715" t="s">
        <v>41</v>
      </c>
      <c r="G4715">
        <v>-212.4777</v>
      </c>
      <c r="H4715" s="1">
        <v>-3.9841149999999999E-6</v>
      </c>
      <c r="I4715">
        <v>141.29939999999999</v>
      </c>
      <c r="J4715">
        <v>-201.3766</v>
      </c>
      <c r="K4715">
        <v>1.1088579999999999</v>
      </c>
      <c r="L4715">
        <v>141.70480000000001</v>
      </c>
      <c r="M4715">
        <v>-0.90304419999999996</v>
      </c>
      <c r="N4715">
        <v>-1.2717910000000001E-2</v>
      </c>
      <c r="O4715">
        <v>-0.42935970000000001</v>
      </c>
      <c r="P4715">
        <v>-0.99511780000000005</v>
      </c>
      <c r="Q4715">
        <v>-9.685676E-2</v>
      </c>
      <c r="R4715">
        <v>-1.896666E-2</v>
      </c>
      <c r="S4715">
        <v>-2.983276</v>
      </c>
      <c r="T4715">
        <v>-0.29203829999999997</v>
      </c>
      <c r="U4715">
        <v>-0.1306763</v>
      </c>
      <c r="V4715">
        <v>0.4076205</v>
      </c>
      <c r="W4715">
        <v>-9.6761700000000006E-2</v>
      </c>
      <c r="X4715">
        <v>0.90801030000000005</v>
      </c>
      <c r="Y4715">
        <v>0.3859631</v>
      </c>
      <c r="Z4715">
        <v>5.6445000000000002E-2</v>
      </c>
      <c r="AA4715">
        <v>0.92078579999999999</v>
      </c>
      <c r="AB4715">
        <v>24</v>
      </c>
      <c r="AC4715">
        <v>-11.101100000000001</v>
      </c>
      <c r="AD4715">
        <v>-1.10886198411499</v>
      </c>
      <c r="AE4715">
        <v>-0.40540000000001403</v>
      </c>
      <c r="AF4715">
        <v>4.3572097562621499</v>
      </c>
      <c r="AG4715">
        <v>-1.10886198411499</v>
      </c>
      <c r="AH4715">
        <v>10.099040386998499</v>
      </c>
      <c r="AI4715">
        <v>95.756861575508097</v>
      </c>
      <c r="AJ4715">
        <v>66.662318913394103</v>
      </c>
      <c r="AK4715">
        <v>11.0546582262008</v>
      </c>
      <c r="AL4715">
        <v>95.552724983039596</v>
      </c>
      <c r="AM4715">
        <v>65.823917431468004</v>
      </c>
      <c r="AN4715">
        <v>1.00000000175661</v>
      </c>
    </row>
    <row r="4716" spans="1:40" x14ac:dyDescent="0.25">
      <c r="A4716" t="str">
        <f>"20190303154902369"</f>
        <v>20190303154902369</v>
      </c>
      <c r="B4716" t="str">
        <f>"1551599342365596"</f>
        <v>1551599342365596</v>
      </c>
      <c r="C4716" t="s">
        <v>40</v>
      </c>
      <c r="D4716">
        <v>5.7597969999999998</v>
      </c>
      <c r="E4716">
        <v>0.48842160000000001</v>
      </c>
      <c r="F4716" t="s">
        <v>41</v>
      </c>
      <c r="G4716">
        <v>-211.60640000000001</v>
      </c>
      <c r="H4716" s="1">
        <v>-4.3895250000000001E-6</v>
      </c>
      <c r="I4716">
        <v>141.28</v>
      </c>
      <c r="J4716">
        <v>-201.62</v>
      </c>
      <c r="K4716">
        <v>1.1090469999999999</v>
      </c>
      <c r="L4716">
        <v>141.61150000000001</v>
      </c>
      <c r="M4716">
        <v>-0.9107248</v>
      </c>
      <c r="N4716">
        <v>-1.3176490000000001E-2</v>
      </c>
      <c r="O4716">
        <v>-0.41280359999999999</v>
      </c>
      <c r="P4716">
        <v>-0.99512900000000004</v>
      </c>
      <c r="Q4716">
        <v>-9.814233E-2</v>
      </c>
      <c r="R4716">
        <v>-9.2993320000000004E-3</v>
      </c>
      <c r="S4716">
        <v>-2.9809109999999999</v>
      </c>
      <c r="T4716">
        <v>-0.32311839999999997</v>
      </c>
      <c r="U4716">
        <v>-0.1238098</v>
      </c>
      <c r="V4716">
        <v>0.39981280000000002</v>
      </c>
      <c r="W4716">
        <v>-9.7274379999999994E-2</v>
      </c>
      <c r="X4716">
        <v>0.91142049999999997</v>
      </c>
      <c r="Y4716">
        <v>0.37053629999999999</v>
      </c>
      <c r="Z4716">
        <v>6.0361890000000001E-2</v>
      </c>
      <c r="AA4716">
        <v>0.92685450000000003</v>
      </c>
      <c r="AB4716">
        <v>24</v>
      </c>
      <c r="AC4716">
        <v>-9.9863999999999997</v>
      </c>
      <c r="AD4716">
        <v>-1.1090513895249901</v>
      </c>
      <c r="AE4716">
        <v>-0.33150000000000501</v>
      </c>
      <c r="AF4716">
        <v>3.7743485323238999</v>
      </c>
      <c r="AG4716">
        <v>-1.1090513895249901</v>
      </c>
      <c r="AH4716">
        <v>9.1201483110710093</v>
      </c>
      <c r="AI4716">
        <v>96.411006117585799</v>
      </c>
      <c r="AJ4716">
        <v>67.5179155728149</v>
      </c>
      <c r="AK4716">
        <v>9.9324119449403803</v>
      </c>
      <c r="AL4716">
        <v>95.582238878269294</v>
      </c>
      <c r="AM4716">
        <v>66.314381737555195</v>
      </c>
      <c r="AN4716">
        <v>0.99999995393423602</v>
      </c>
    </row>
    <row r="4717" spans="1:40" x14ac:dyDescent="0.25">
      <c r="A4717" t="str">
        <f>"20190303154902389"</f>
        <v>20190303154902389</v>
      </c>
      <c r="B4717" t="str">
        <f>"1551599342385116"</f>
        <v>1551599342385116</v>
      </c>
      <c r="C4717" t="s">
        <v>40</v>
      </c>
      <c r="D4717">
        <v>5.6616749999999998</v>
      </c>
      <c r="E4717">
        <v>0.48714360000000001</v>
      </c>
      <c r="F4717" t="s">
        <v>41</v>
      </c>
      <c r="G4717">
        <v>-210.88829999999999</v>
      </c>
      <c r="H4717" s="1">
        <v>-4.6572689999999996E-6</v>
      </c>
      <c r="I4717">
        <v>141.23480000000001</v>
      </c>
      <c r="J4717">
        <v>-201.82820000000001</v>
      </c>
      <c r="K4717">
        <v>1.109181</v>
      </c>
      <c r="L4717">
        <v>141.53550000000001</v>
      </c>
      <c r="M4717">
        <v>-0.91699699999999995</v>
      </c>
      <c r="N4717">
        <v>-1.3576059999999999E-2</v>
      </c>
      <c r="O4717">
        <v>-0.3986633</v>
      </c>
      <c r="P4717">
        <v>-0.9951141</v>
      </c>
      <c r="Q4717">
        <v>-9.8669660000000006E-2</v>
      </c>
      <c r="R4717">
        <v>-3.5137990000000002E-3</v>
      </c>
      <c r="S4717">
        <v>-2.9783940000000002</v>
      </c>
      <c r="T4717">
        <v>-0.35639720000000003</v>
      </c>
      <c r="U4717">
        <v>-0.12103269999999999</v>
      </c>
      <c r="V4717">
        <v>0.39099909999999999</v>
      </c>
      <c r="W4717">
        <v>-9.7080390000000003E-2</v>
      </c>
      <c r="X4717">
        <v>0.91525690000000004</v>
      </c>
      <c r="Y4717">
        <v>0.3562324</v>
      </c>
      <c r="Z4717">
        <v>6.4526020000000003E-2</v>
      </c>
      <c r="AA4717">
        <v>0.93216679999999996</v>
      </c>
      <c r="AB4717">
        <v>24</v>
      </c>
      <c r="AC4717">
        <v>-9.0600999999999701</v>
      </c>
      <c r="AD4717">
        <v>-1.109185657269</v>
      </c>
      <c r="AE4717">
        <v>-0.30070000000000602</v>
      </c>
      <c r="AF4717">
        <v>3.28728005644026</v>
      </c>
      <c r="AG4717">
        <v>-1.109185657269</v>
      </c>
      <c r="AH4717">
        <v>8.3044091768759394</v>
      </c>
      <c r="AI4717">
        <v>97.079306462501705</v>
      </c>
      <c r="AJ4717">
        <v>68.403985162387798</v>
      </c>
      <c r="AK4717">
        <v>8.9999841538050696</v>
      </c>
      <c r="AL4717">
        <v>95.571070701147704</v>
      </c>
      <c r="AM4717">
        <v>66.867754920788499</v>
      </c>
      <c r="AN4717">
        <v>1.0000000456604801</v>
      </c>
    </row>
    <row r="4718" spans="1:40" x14ac:dyDescent="0.25">
      <c r="A4718" t="str">
        <f>"20190303154902411"</f>
        <v>20190303154902411</v>
      </c>
      <c r="B4718" t="str">
        <f>"1551599342405612"</f>
        <v>1551599342405612</v>
      </c>
      <c r="C4718" t="s">
        <v>40</v>
      </c>
      <c r="D4718">
        <v>5.7754130000000004</v>
      </c>
      <c r="E4718">
        <v>0.48617939999999998</v>
      </c>
      <c r="F4718" t="s">
        <v>41</v>
      </c>
      <c r="G4718">
        <v>-210.86060000000001</v>
      </c>
      <c r="H4718" s="1">
        <v>-4.6598300000000002E-6</v>
      </c>
      <c r="I4718">
        <v>141.1893</v>
      </c>
      <c r="J4718">
        <v>-202.05709999999999</v>
      </c>
      <c r="K4718">
        <v>1.1092959999999901</v>
      </c>
      <c r="L4718">
        <v>141.45609999999999</v>
      </c>
      <c r="M4718">
        <v>-0.92357219999999995</v>
      </c>
      <c r="N4718">
        <v>-1.399625E-2</v>
      </c>
      <c r="O4718">
        <v>-0.38316909999999998</v>
      </c>
      <c r="P4718">
        <v>-0.99506530000000004</v>
      </c>
      <c r="Q4718">
        <v>-9.9177509999999997E-2</v>
      </c>
      <c r="R4718">
        <v>2.9560739999999999E-3</v>
      </c>
      <c r="S4718">
        <v>-2.9780579999999999</v>
      </c>
      <c r="T4718">
        <v>-0.36570979999999997</v>
      </c>
      <c r="U4718">
        <v>-0.1141205</v>
      </c>
      <c r="V4718">
        <v>0.3815289</v>
      </c>
      <c r="W4718">
        <v>-9.6840399999999993E-2</v>
      </c>
      <c r="X4718">
        <v>0.91927020000000004</v>
      </c>
      <c r="Y4718">
        <v>0.34258060000000001</v>
      </c>
      <c r="Z4718">
        <v>6.373964E-2</v>
      </c>
      <c r="AA4718">
        <v>0.93732369999999998</v>
      </c>
      <c r="AB4718">
        <v>24</v>
      </c>
      <c r="AC4718">
        <v>-8.8035000000000103</v>
      </c>
      <c r="AD4718">
        <v>-1.1093006598299999</v>
      </c>
      <c r="AE4718">
        <v>-0.26679999999998899</v>
      </c>
      <c r="AF4718">
        <v>3.0782949026471198</v>
      </c>
      <c r="AG4718">
        <v>-1.1093006598299999</v>
      </c>
      <c r="AH4718">
        <v>8.1051308204283696</v>
      </c>
      <c r="AI4718">
        <v>97.291202704834305</v>
      </c>
      <c r="AJ4718">
        <v>69.203431604481096</v>
      </c>
      <c r="AK4718">
        <v>8.7406860759222091</v>
      </c>
      <c r="AL4718">
        <v>95.557255265033504</v>
      </c>
      <c r="AM4718">
        <v>67.459860921403006</v>
      </c>
      <c r="AN4718">
        <v>1.0000000326077001</v>
      </c>
    </row>
    <row r="4719" spans="1:40" x14ac:dyDescent="0.25">
      <c r="A4719" t="str">
        <f>"20190303154902433"</f>
        <v>20190303154902433</v>
      </c>
      <c r="B4719" t="str">
        <f>"1551599342425131"</f>
        <v>1551599342425131</v>
      </c>
      <c r="C4719" t="s">
        <v>40</v>
      </c>
      <c r="D4719">
        <v>5.7185090000000001</v>
      </c>
      <c r="E4719">
        <v>0.48595859999999902</v>
      </c>
      <c r="F4719" t="s">
        <v>41</v>
      </c>
      <c r="G4719">
        <v>-210.91890000000001</v>
      </c>
      <c r="H4719" s="1">
        <v>-4.6306899999999997E-6</v>
      </c>
      <c r="I4719">
        <v>141.15119999999999</v>
      </c>
      <c r="J4719">
        <v>-202.30099999999999</v>
      </c>
      <c r="K4719">
        <v>1.10938799999999</v>
      </c>
      <c r="L4719">
        <v>141.37629999999999</v>
      </c>
      <c r="M4719">
        <v>-0.93021529999999997</v>
      </c>
      <c r="N4719">
        <v>-1.4406199999999999E-2</v>
      </c>
      <c r="O4719">
        <v>-0.36673129999999998</v>
      </c>
      <c r="P4719">
        <v>-0.99492919999999996</v>
      </c>
      <c r="Q4719">
        <v>-0.10011390000000001</v>
      </c>
      <c r="R4719">
        <v>9.6306810000000003E-3</v>
      </c>
      <c r="S4719">
        <v>-2.978027</v>
      </c>
      <c r="T4719">
        <v>-0.37278679999999997</v>
      </c>
      <c r="U4719">
        <v>-0.102478</v>
      </c>
      <c r="V4719">
        <v>0.37135210000000002</v>
      </c>
      <c r="W4719">
        <v>-9.7022479999999994E-2</v>
      </c>
      <c r="X4719">
        <v>0.92340900000000004</v>
      </c>
      <c r="Y4719">
        <v>0.32958300000000001</v>
      </c>
      <c r="Z4719">
        <v>6.2375630000000001E-2</v>
      </c>
      <c r="AA4719">
        <v>0.94206389999999995</v>
      </c>
      <c r="AB4719">
        <v>24</v>
      </c>
      <c r="AC4719">
        <v>-8.6179000000000094</v>
      </c>
      <c r="AD4719">
        <v>-1.1093926306899899</v>
      </c>
      <c r="AE4719">
        <v>-0.225099999999997</v>
      </c>
      <c r="AF4719">
        <v>2.9032889507243</v>
      </c>
      <c r="AG4719">
        <v>-1.1093926306899899</v>
      </c>
      <c r="AH4719">
        <v>7.9679421606893603</v>
      </c>
      <c r="AI4719">
        <v>97.453020428898199</v>
      </c>
      <c r="AJ4719">
        <v>69.979714445905302</v>
      </c>
      <c r="AK4719">
        <v>8.5526569565555501</v>
      </c>
      <c r="AL4719">
        <v>95.567737429619498</v>
      </c>
      <c r="AM4719">
        <v>68.092305198212102</v>
      </c>
      <c r="AN4719">
        <v>0.99999996254037904</v>
      </c>
    </row>
    <row r="4720" spans="1:40" x14ac:dyDescent="0.25">
      <c r="A4720" t="str">
        <f>"20190303154902455"</f>
        <v>20190303154902455</v>
      </c>
      <c r="B4720" t="str">
        <f>"1551599342445628"</f>
        <v>1551599342445628</v>
      </c>
      <c r="C4720" t="s">
        <v>40</v>
      </c>
      <c r="D4720">
        <v>5.7336289999999996</v>
      </c>
      <c r="E4720">
        <v>0.48514649999999998</v>
      </c>
      <c r="F4720" t="s">
        <v>41</v>
      </c>
      <c r="G4720">
        <v>-211.0701</v>
      </c>
      <c r="H4720" s="1">
        <v>-4.5686020000000002E-6</v>
      </c>
      <c r="I4720">
        <v>141.1285</v>
      </c>
      <c r="J4720">
        <v>-202.5197</v>
      </c>
      <c r="K4720">
        <v>1.1094660000000001</v>
      </c>
      <c r="L4720">
        <v>141.30889999999999</v>
      </c>
      <c r="M4720">
        <v>-0.93586460000000005</v>
      </c>
      <c r="N4720">
        <v>-1.4733649999999999E-2</v>
      </c>
      <c r="O4720">
        <v>-0.35205160000000002</v>
      </c>
      <c r="P4720">
        <v>-0.99483319999999997</v>
      </c>
      <c r="Q4720">
        <v>-0.10037749999999999</v>
      </c>
      <c r="R4720">
        <v>1.5210029999999999E-2</v>
      </c>
      <c r="S4720">
        <v>-2.9781949999999999</v>
      </c>
      <c r="T4720">
        <v>-0.37677759999999999</v>
      </c>
      <c r="U4720">
        <v>-8.415222E-2</v>
      </c>
      <c r="V4720">
        <v>0.36200670000000001</v>
      </c>
      <c r="W4720">
        <v>-9.6632419999999997E-2</v>
      </c>
      <c r="X4720">
        <v>0.92715329999999996</v>
      </c>
      <c r="Y4720">
        <v>0.32058710000000001</v>
      </c>
      <c r="Z4720">
        <v>6.0869430000000002E-2</v>
      </c>
      <c r="AA4720">
        <v>0.94526120000000002</v>
      </c>
      <c r="AB4720">
        <v>24</v>
      </c>
      <c r="AC4720">
        <v>-8.5503999999999891</v>
      </c>
      <c r="AD4720">
        <v>-1.1094705686020001</v>
      </c>
      <c r="AE4720">
        <v>-0.18039999999999101</v>
      </c>
      <c r="AF4720">
        <v>2.7946289548149998</v>
      </c>
      <c r="AG4720">
        <v>-1.1094705686020001</v>
      </c>
      <c r="AH4720">
        <v>7.9328976047818198</v>
      </c>
      <c r="AI4720">
        <v>97.514553869016297</v>
      </c>
      <c r="AJ4720">
        <v>70.593480018278896</v>
      </c>
      <c r="AK4720">
        <v>8.4836159947063603</v>
      </c>
      <c r="AL4720">
        <v>95.545283150301401</v>
      </c>
      <c r="AM4720">
        <v>68.671856978334901</v>
      </c>
      <c r="AN4720">
        <v>0.99999995857041701</v>
      </c>
    </row>
    <row r="4721" spans="1:40" x14ac:dyDescent="0.25">
      <c r="A4721" t="str">
        <f>"20190303154902476"</f>
        <v>20190303154902476</v>
      </c>
      <c r="B4721" t="str">
        <f>"1551599342465148"</f>
        <v>1551599342465148</v>
      </c>
      <c r="C4721" t="s">
        <v>40</v>
      </c>
      <c r="D4721">
        <v>5.6897000000000002</v>
      </c>
      <c r="E4721">
        <v>0.48500349999999998</v>
      </c>
      <c r="F4721" t="s">
        <v>41</v>
      </c>
      <c r="G4721">
        <v>-211.10599999999999</v>
      </c>
      <c r="H4721" s="1">
        <v>-4.5489779999999998E-6</v>
      </c>
      <c r="I4721">
        <v>141.09559999999999</v>
      </c>
      <c r="J4721">
        <v>-202.75450000000001</v>
      </c>
      <c r="K4721">
        <v>1.109572</v>
      </c>
      <c r="L4721">
        <v>141.2406</v>
      </c>
      <c r="M4721">
        <v>-0.94162170000000001</v>
      </c>
      <c r="N4721">
        <v>-1.5043279999999999E-2</v>
      </c>
      <c r="O4721">
        <v>-0.33633679999999999</v>
      </c>
      <c r="P4721">
        <v>-0.99474470000000004</v>
      </c>
      <c r="Q4721">
        <v>-0.100096</v>
      </c>
      <c r="R4721">
        <v>2.1549619999999998E-2</v>
      </c>
      <c r="S4721">
        <v>-2.9778899999999999</v>
      </c>
      <c r="T4721">
        <v>-0.38478600000000002</v>
      </c>
      <c r="U4721">
        <v>-7.3959349999999993E-2</v>
      </c>
      <c r="V4721">
        <v>0.35243819999999998</v>
      </c>
      <c r="W4721">
        <v>-9.5684329999999998E-2</v>
      </c>
      <c r="X4721">
        <v>0.93093060000000005</v>
      </c>
      <c r="Y4721">
        <v>0.30795280000000003</v>
      </c>
      <c r="Z4721">
        <v>5.9592680000000002E-2</v>
      </c>
      <c r="AA4721">
        <v>0.94953350000000003</v>
      </c>
      <c r="AB4721">
        <v>24</v>
      </c>
      <c r="AC4721">
        <v>-8.3514999999999802</v>
      </c>
      <c r="AD4721">
        <v>-1.1095765489780001</v>
      </c>
      <c r="AE4721">
        <v>-0.14500000000001001</v>
      </c>
      <c r="AF4721">
        <v>2.62633857759038</v>
      </c>
      <c r="AG4721">
        <v>-1.1095765489780001</v>
      </c>
      <c r="AH4721">
        <v>7.7763923980172196</v>
      </c>
      <c r="AI4721">
        <v>97.698782304542604</v>
      </c>
      <c r="AJ4721">
        <v>71.338515385088101</v>
      </c>
      <c r="AK4721">
        <v>8.2825776887465103</v>
      </c>
      <c r="AL4721">
        <v>95.490708582756596</v>
      </c>
      <c r="AM4721">
        <v>69.263986966027602</v>
      </c>
      <c r="AN4721">
        <v>0.999999978921574</v>
      </c>
    </row>
    <row r="4722" spans="1:40" x14ac:dyDescent="0.25">
      <c r="A4722" t="str">
        <f>"20190303154902500"</f>
        <v>20190303154902500</v>
      </c>
      <c r="B4722" t="str">
        <f>"1551599342495405"</f>
        <v>1551599342495405</v>
      </c>
      <c r="C4722" t="s">
        <v>40</v>
      </c>
      <c r="D4722">
        <v>5.6826619999999997</v>
      </c>
      <c r="E4722">
        <v>0.48473759999999999</v>
      </c>
      <c r="F4722" t="s">
        <v>41</v>
      </c>
      <c r="G4722">
        <v>-211.35890000000001</v>
      </c>
      <c r="H4722" s="1">
        <v>-4.4487810000000002E-6</v>
      </c>
      <c r="I4722">
        <v>141.07839999999999</v>
      </c>
      <c r="J4722">
        <v>-202.99549999999999</v>
      </c>
      <c r="K4722">
        <v>1.109712</v>
      </c>
      <c r="L4722">
        <v>141.1748</v>
      </c>
      <c r="M4722">
        <v>-0.9472045</v>
      </c>
      <c r="N4722">
        <v>-1.5317870000000001E-2</v>
      </c>
      <c r="O4722">
        <v>-0.32026399999999999</v>
      </c>
      <c r="P4722">
        <v>-0.99470250000000004</v>
      </c>
      <c r="Q4722">
        <v>-9.9270319999999995E-2</v>
      </c>
      <c r="R4722">
        <v>2.6691340000000001E-2</v>
      </c>
      <c r="S4722">
        <v>-2.9784389999999998</v>
      </c>
      <c r="T4722">
        <v>-0.38408059999999999</v>
      </c>
      <c r="U4722">
        <v>-5.6152340000000002E-2</v>
      </c>
      <c r="V4722">
        <v>0.34148689999999998</v>
      </c>
      <c r="W4722">
        <v>-9.4151620000000005E-2</v>
      </c>
      <c r="X4722">
        <v>0.93515890000000002</v>
      </c>
      <c r="Y4722">
        <v>0.29765819999999998</v>
      </c>
      <c r="Z4722">
        <v>5.6980070000000001E-2</v>
      </c>
      <c r="AA4722">
        <v>0.9529706</v>
      </c>
      <c r="AB4722">
        <v>24</v>
      </c>
      <c r="AC4722">
        <v>-8.3634000000000093</v>
      </c>
      <c r="AD4722">
        <v>-1.1097164487809901</v>
      </c>
      <c r="AE4722">
        <v>-9.6400000000016903E-2</v>
      </c>
      <c r="AF4722">
        <v>2.5427278869688599</v>
      </c>
      <c r="AG4722">
        <v>-1.1097164487809901</v>
      </c>
      <c r="AH4722">
        <v>7.8160659842172198</v>
      </c>
      <c r="AI4722">
        <v>97.6892376949761</v>
      </c>
      <c r="AJ4722">
        <v>71.979221750950899</v>
      </c>
      <c r="AK4722">
        <v>8.2938424854527906</v>
      </c>
      <c r="AL4722">
        <v>95.402492359946606</v>
      </c>
      <c r="AM4722">
        <v>69.9395975171565</v>
      </c>
      <c r="AN4722">
        <v>0.99999999933472195</v>
      </c>
    </row>
    <row r="4723" spans="1:40" x14ac:dyDescent="0.25">
      <c r="A4723" t="str">
        <f>"20190303154902523"</f>
        <v>20190303154902523</v>
      </c>
      <c r="B4723" t="str">
        <f>"1551599342515899"</f>
        <v>1551599342515899</v>
      </c>
      <c r="C4723" t="s">
        <v>40</v>
      </c>
      <c r="D4723">
        <v>5.6703979999999996</v>
      </c>
      <c r="E4723">
        <v>0.48457670000000003</v>
      </c>
      <c r="F4723" t="s">
        <v>41</v>
      </c>
      <c r="G4723">
        <v>-211.60329999999999</v>
      </c>
      <c r="H4723" s="1">
        <v>-4.331288E-6</v>
      </c>
      <c r="I4723">
        <v>141.05070000000001</v>
      </c>
      <c r="J4723">
        <v>-203.2413</v>
      </c>
      <c r="K4723">
        <v>1.1098870000000001</v>
      </c>
      <c r="L4723">
        <v>141.11250000000001</v>
      </c>
      <c r="M4723">
        <v>-0.9525536</v>
      </c>
      <c r="N4723">
        <v>-1.5551260000000001E-2</v>
      </c>
      <c r="O4723">
        <v>-0.30397370000000001</v>
      </c>
      <c r="P4723">
        <v>-0.99466849999999996</v>
      </c>
      <c r="Q4723">
        <v>-9.8314579999999999E-2</v>
      </c>
      <c r="R4723">
        <v>3.1125880000000002E-2</v>
      </c>
      <c r="S4723">
        <v>-2.9788060000000001</v>
      </c>
      <c r="T4723">
        <v>-0.38402550000000002</v>
      </c>
      <c r="U4723">
        <v>-4.2953489999999997E-2</v>
      </c>
      <c r="V4723">
        <v>0.32971139999999999</v>
      </c>
      <c r="W4723">
        <v>-9.246849E-2</v>
      </c>
      <c r="X4723">
        <v>0.9395424</v>
      </c>
      <c r="Y4723">
        <v>0.28571999999999997</v>
      </c>
      <c r="Z4723">
        <v>5.4331329999999997E-2</v>
      </c>
      <c r="AA4723">
        <v>0.95677179999999995</v>
      </c>
      <c r="AB4723">
        <v>24</v>
      </c>
      <c r="AC4723">
        <v>-8.3619999999999894</v>
      </c>
      <c r="AD4723">
        <v>-1.1098913312880001</v>
      </c>
      <c r="AE4723">
        <v>-6.1800000000005101E-2</v>
      </c>
      <c r="AF4723">
        <v>2.4402715281793101</v>
      </c>
      <c r="AG4723">
        <v>-1.1098913312880001</v>
      </c>
      <c r="AH4723">
        <v>7.8467717623445496</v>
      </c>
      <c r="AI4723">
        <v>97.6921001478634</v>
      </c>
      <c r="AJ4723">
        <v>72.724802146831095</v>
      </c>
      <c r="AK4723">
        <v>8.2920812217946107</v>
      </c>
      <c r="AL4723">
        <v>95.305633645819896</v>
      </c>
      <c r="AM4723">
        <v>70.662617787831707</v>
      </c>
      <c r="AN4723">
        <v>0.99999997516529904</v>
      </c>
    </row>
    <row r="4724" spans="1:40" x14ac:dyDescent="0.25">
      <c r="A4724" t="str">
        <f>"20190303154902547"</f>
        <v>20190303154902547</v>
      </c>
      <c r="B4724" t="str">
        <f>"1551599342535419"</f>
        <v>1551599342535419</v>
      </c>
      <c r="C4724" t="s">
        <v>40</v>
      </c>
      <c r="D4724">
        <v>5.6920699999999904</v>
      </c>
      <c r="E4724">
        <v>0.48441060000000002</v>
      </c>
      <c r="F4724" t="s">
        <v>41</v>
      </c>
      <c r="G4724">
        <v>-211.8914</v>
      </c>
      <c r="H4724" s="1">
        <v>-4.1874739999999998E-6</v>
      </c>
      <c r="I4724">
        <v>141.02189999999999</v>
      </c>
      <c r="J4724">
        <v>-203.4906</v>
      </c>
      <c r="K4724">
        <v>1.1100989999999999</v>
      </c>
      <c r="L4724">
        <v>141.05369999999999</v>
      </c>
      <c r="M4724">
        <v>-0.95762159999999996</v>
      </c>
      <c r="N4724">
        <v>-1.574478E-2</v>
      </c>
      <c r="O4724">
        <v>-0.28759839999999998</v>
      </c>
      <c r="P4724">
        <v>-0.99448300000000001</v>
      </c>
      <c r="Q4724">
        <v>-9.9101090000000003E-2</v>
      </c>
      <c r="R4724">
        <v>3.4389780000000002E-2</v>
      </c>
      <c r="S4724">
        <v>-2.979279</v>
      </c>
      <c r="T4724">
        <v>-0.3822721</v>
      </c>
      <c r="U4724">
        <v>-3.1188960000000002E-2</v>
      </c>
      <c r="V4724">
        <v>0.31668829999999998</v>
      </c>
      <c r="W4724">
        <v>-9.2504009999999998E-2</v>
      </c>
      <c r="X4724">
        <v>0.94400819999999996</v>
      </c>
      <c r="Y4724">
        <v>0.27332109999999998</v>
      </c>
      <c r="Z4724">
        <v>5.1400269999999998E-2</v>
      </c>
      <c r="AA4724">
        <v>0.96054859999999997</v>
      </c>
      <c r="AB4724">
        <v>24</v>
      </c>
      <c r="AC4724">
        <v>-8.4008000000000003</v>
      </c>
      <c r="AD4724">
        <v>-1.1101031874739999</v>
      </c>
      <c r="AE4724">
        <v>-3.1800000000003999E-2</v>
      </c>
      <c r="AF4724">
        <v>2.34495398813652</v>
      </c>
      <c r="AG4724">
        <v>-1.1101031874739999</v>
      </c>
      <c r="AH4724">
        <v>7.9166955398549703</v>
      </c>
      <c r="AI4724">
        <v>97.657439911398995</v>
      </c>
      <c r="AJ4724">
        <v>73.500519418291205</v>
      </c>
      <c r="AK4724">
        <v>8.3309787278612593</v>
      </c>
      <c r="AL4724">
        <v>95.307677545408097</v>
      </c>
      <c r="AM4724">
        <v>71.454840138218799</v>
      </c>
      <c r="AN4724">
        <v>0.99999997644510397</v>
      </c>
    </row>
    <row r="4725" spans="1:40" x14ac:dyDescent="0.25">
      <c r="A4725" t="str">
        <f>"20190303154902570"</f>
        <v>20190303154902570</v>
      </c>
      <c r="B4725" t="str">
        <f>"1551599342565676"</f>
        <v>1551599342565676</v>
      </c>
      <c r="C4725" t="s">
        <v>40</v>
      </c>
      <c r="D4725">
        <v>5.7380399999999998</v>
      </c>
      <c r="E4725">
        <v>0.48360969999999998</v>
      </c>
      <c r="F4725" t="s">
        <v>41</v>
      </c>
      <c r="G4725">
        <v>-212.06360000000001</v>
      </c>
      <c r="H4725" s="1">
        <v>-4.0970909999999997E-6</v>
      </c>
      <c r="I4725">
        <v>140.98820000000001</v>
      </c>
      <c r="J4725">
        <v>-203.73990000000001</v>
      </c>
      <c r="K4725">
        <v>1.1103149999999999</v>
      </c>
      <c r="L4725">
        <v>140.9991</v>
      </c>
      <c r="M4725">
        <v>-0.96234319999999896</v>
      </c>
      <c r="N4725">
        <v>-1.5899489999999999E-2</v>
      </c>
      <c r="O4725">
        <v>-0.27137230000000001</v>
      </c>
      <c r="P4725">
        <v>-0.99419120000000005</v>
      </c>
      <c r="Q4725">
        <v>-0.1005071</v>
      </c>
      <c r="R4725">
        <v>3.850108E-2</v>
      </c>
      <c r="S4725">
        <v>-2.9789889999999999</v>
      </c>
      <c r="T4725">
        <v>-0.38574249999999999</v>
      </c>
      <c r="U4725">
        <v>-2.2766109999999999E-2</v>
      </c>
      <c r="V4725">
        <v>0.30461339999999998</v>
      </c>
      <c r="W4725">
        <v>-9.3224609999999999E-2</v>
      </c>
      <c r="X4725">
        <v>0.94790289999999999</v>
      </c>
      <c r="Y4725">
        <v>0.2599127</v>
      </c>
      <c r="Z4725">
        <v>4.9139919999999997E-2</v>
      </c>
      <c r="AA4725">
        <v>0.96438100000000004</v>
      </c>
      <c r="AB4725">
        <v>24</v>
      </c>
      <c r="AC4725">
        <v>-8.3237000000000005</v>
      </c>
      <c r="AD4725">
        <v>-1.110319097091</v>
      </c>
      <c r="AE4725">
        <v>-1.08999999999923E-2</v>
      </c>
      <c r="AF4725">
        <v>2.2093048116732201</v>
      </c>
      <c r="AG4725">
        <v>-1.110319097091</v>
      </c>
      <c r="AH4725">
        <v>7.8741181417846704</v>
      </c>
      <c r="AI4725">
        <v>97.731540766093303</v>
      </c>
      <c r="AJ4725">
        <v>74.327045489370803</v>
      </c>
      <c r="AK4725">
        <v>8.2532159040600597</v>
      </c>
      <c r="AL4725">
        <v>95.349143787131197</v>
      </c>
      <c r="AM4725">
        <v>72.184928286332806</v>
      </c>
      <c r="AN4725">
        <v>1.0000000295988101</v>
      </c>
    </row>
    <row r="4726" spans="1:40" x14ac:dyDescent="0.25">
      <c r="A4726" t="str">
        <f>"20190303154902589"</f>
        <v>20190303154902589</v>
      </c>
      <c r="B4726" t="str">
        <f>"1551599342585196"</f>
        <v>1551599342585196</v>
      </c>
      <c r="C4726" t="s">
        <v>40</v>
      </c>
      <c r="D4726">
        <v>5.7901569999999998</v>
      </c>
      <c r="E4726">
        <v>0.4833578</v>
      </c>
      <c r="F4726" t="s">
        <v>41</v>
      </c>
      <c r="G4726">
        <v>-212.0787</v>
      </c>
      <c r="H4726" s="1">
        <v>-4.080294E-6</v>
      </c>
      <c r="I4726">
        <v>140.95179999999999</v>
      </c>
      <c r="J4726">
        <v>-203.9426</v>
      </c>
      <c r="K4726">
        <v>1.1105020000000001</v>
      </c>
      <c r="L4726">
        <v>140.95769999999999</v>
      </c>
      <c r="M4726">
        <v>-0.96592259999999996</v>
      </c>
      <c r="N4726">
        <v>-1.599853E-2</v>
      </c>
      <c r="O4726">
        <v>-0.25833679999999998</v>
      </c>
      <c r="P4726">
        <v>-0.99390630000000002</v>
      </c>
      <c r="Q4726">
        <v>-0.1025259</v>
      </c>
      <c r="R4726">
        <v>4.0486620000000001E-2</v>
      </c>
      <c r="S4726">
        <v>-2.9780880000000001</v>
      </c>
      <c r="T4726">
        <v>-0.39653620000000001</v>
      </c>
      <c r="U4726">
        <v>-1.689148E-2</v>
      </c>
      <c r="V4726">
        <v>0.29363630000000002</v>
      </c>
      <c r="W4726">
        <v>-9.4675460000000003E-2</v>
      </c>
      <c r="X4726">
        <v>0.95121730000000004</v>
      </c>
      <c r="Y4726">
        <v>0.24870629999999999</v>
      </c>
      <c r="Z4726">
        <v>4.827389E-2</v>
      </c>
      <c r="AA4726">
        <v>0.96737519999999999</v>
      </c>
      <c r="AB4726">
        <v>24</v>
      </c>
      <c r="AC4726">
        <v>-8.1360999999999901</v>
      </c>
      <c r="AD4726">
        <v>-1.1105060802940001</v>
      </c>
      <c r="AE4726">
        <v>-5.8999999999968999E-3</v>
      </c>
      <c r="AF4726">
        <v>2.05808134141899</v>
      </c>
      <c r="AG4726">
        <v>-1.1105060802940001</v>
      </c>
      <c r="AH4726">
        <v>7.7175943735987103</v>
      </c>
      <c r="AI4726">
        <v>97.915318099219803</v>
      </c>
      <c r="AJ4726">
        <v>75.068193463571106</v>
      </c>
      <c r="AK4726">
        <v>8.0641295548663692</v>
      </c>
      <c r="AL4726">
        <v>95.4326406551492</v>
      </c>
      <c r="AM4726">
        <v>72.844789292222799</v>
      </c>
      <c r="AN4726">
        <v>1.0000000356115899</v>
      </c>
    </row>
    <row r="4727" spans="1:40" x14ac:dyDescent="0.25">
      <c r="A4727" t="str">
        <f>"20190303154902613"</f>
        <v>20190303154902613</v>
      </c>
      <c r="B4727" t="str">
        <f>"1551599342605692"</f>
        <v>1551599342605692</v>
      </c>
      <c r="C4727" t="s">
        <v>40</v>
      </c>
      <c r="D4727">
        <v>5.7681329999999997</v>
      </c>
      <c r="E4727">
        <v>0.48322660000000001</v>
      </c>
      <c r="F4727" t="s">
        <v>41</v>
      </c>
      <c r="G4727">
        <v>-212.09970000000001</v>
      </c>
      <c r="H4727" s="1">
        <v>-4.0624189999999997E-6</v>
      </c>
      <c r="I4727">
        <v>140.9221</v>
      </c>
      <c r="J4727">
        <v>-204.1977</v>
      </c>
      <c r="K4727">
        <v>1.1107910000000001</v>
      </c>
      <c r="L4727">
        <v>140.9093</v>
      </c>
      <c r="M4727">
        <v>-0.97008329999999998</v>
      </c>
      <c r="N4727">
        <v>-1.6088160000000001E-2</v>
      </c>
      <c r="O4727">
        <v>-0.24223919999999999</v>
      </c>
      <c r="P4727">
        <v>-0.99342960000000002</v>
      </c>
      <c r="Q4727">
        <v>-0.1046498</v>
      </c>
      <c r="R4727">
        <v>4.632708E-2</v>
      </c>
      <c r="S4727">
        <v>-2.977112</v>
      </c>
      <c r="T4727">
        <v>-0.40530369999999999</v>
      </c>
      <c r="U4727">
        <v>-1.300049E-2</v>
      </c>
      <c r="V4727">
        <v>0.28337649999999998</v>
      </c>
      <c r="W4727">
        <v>-9.6208730000000006E-2</v>
      </c>
      <c r="X4727">
        <v>0.95417059999999998</v>
      </c>
      <c r="Y4727">
        <v>0.23391780000000001</v>
      </c>
      <c r="Z4727">
        <v>4.640271E-2</v>
      </c>
      <c r="AA4727">
        <v>0.97114840000000002</v>
      </c>
      <c r="AB4727">
        <v>24</v>
      </c>
      <c r="AC4727">
        <v>-7.9020000000000099</v>
      </c>
      <c r="AD4727">
        <v>-1.1107950624189999</v>
      </c>
      <c r="AE4727">
        <v>1.27999999999985E-2</v>
      </c>
      <c r="AF4727">
        <v>1.8895032647611401</v>
      </c>
      <c r="AG4727">
        <v>-1.1107950624189999</v>
      </c>
      <c r="AH4727">
        <v>7.5149902058699301</v>
      </c>
      <c r="AI4727">
        <v>98.157713752798202</v>
      </c>
      <c r="AJ4727">
        <v>75.886602611345396</v>
      </c>
      <c r="AK4727">
        <v>7.8281010502265804</v>
      </c>
      <c r="AL4727">
        <v>95.520893925835196</v>
      </c>
      <c r="AM4727">
        <v>73.459251934773604</v>
      </c>
      <c r="AN4727">
        <v>0.99999994719241003</v>
      </c>
    </row>
    <row r="4728" spans="1:40" x14ac:dyDescent="0.25">
      <c r="A4728" t="str">
        <f>"20190303154902634"</f>
        <v>20190303154902634</v>
      </c>
      <c r="B4728" t="str">
        <f>"1551599342625213"</f>
        <v>1551599342625213</v>
      </c>
      <c r="C4728" t="s">
        <v>40</v>
      </c>
      <c r="D4728">
        <v>5.6826299999999996</v>
      </c>
      <c r="E4728">
        <v>0.48301830000000001</v>
      </c>
      <c r="F4728" t="s">
        <v>42</v>
      </c>
      <c r="G4728">
        <v>-205.01390000000001</v>
      </c>
      <c r="H4728">
        <v>0.99763279999999999</v>
      </c>
      <c r="I4728">
        <v>140.9102</v>
      </c>
      <c r="J4728">
        <v>-204.43219999999999</v>
      </c>
      <c r="K4728">
        <v>1.111105</v>
      </c>
      <c r="L4728">
        <v>140.8683</v>
      </c>
      <c r="M4728">
        <v>-0.97356790000000004</v>
      </c>
      <c r="N4728">
        <v>-1.6134679999999998E-2</v>
      </c>
      <c r="O4728">
        <v>-0.22782729999999901</v>
      </c>
      <c r="P4728">
        <v>-0.99300920000000004</v>
      </c>
      <c r="Q4728">
        <v>-0.1070927</v>
      </c>
      <c r="R4728">
        <v>4.9640259999999999E-2</v>
      </c>
      <c r="S4728">
        <v>-2.9762420000000001</v>
      </c>
      <c r="T4728">
        <v>-0.41254079999999899</v>
      </c>
      <c r="U4728">
        <v>2.89917E-3</v>
      </c>
      <c r="V4728">
        <v>0.27237250000000002</v>
      </c>
      <c r="W4728">
        <v>-9.8077919999999999E-2</v>
      </c>
      <c r="X4728">
        <v>0.95718020000000004</v>
      </c>
      <c r="Y4728">
        <v>0.22473589999999999</v>
      </c>
      <c r="Z4728">
        <v>4.4858700000000001E-2</v>
      </c>
      <c r="AA4728">
        <v>0.97338659999999999</v>
      </c>
      <c r="AB4728">
        <v>24</v>
      </c>
      <c r="AC4728">
        <v>-0.58170000000001199</v>
      </c>
      <c r="AD4728">
        <v>-0.113472199999999</v>
      </c>
      <c r="AE4728">
        <v>4.1899999999998203E-2</v>
      </c>
      <c r="AF4728">
        <v>0.16701952297848599</v>
      </c>
      <c r="AG4728">
        <v>-0.113472199999999</v>
      </c>
      <c r="AH4728">
        <v>0.53653976656211499</v>
      </c>
      <c r="AI4728">
        <v>101.416294676999</v>
      </c>
      <c r="AJ4728">
        <v>72.709151286099697</v>
      </c>
      <c r="AK4728">
        <v>0.57327688103684205</v>
      </c>
      <c r="AL4728">
        <v>95.628499300458898</v>
      </c>
      <c r="AM4728">
        <v>74.115916436831498</v>
      </c>
      <c r="AN4728">
        <v>0.99999999620990798</v>
      </c>
    </row>
    <row r="4729" spans="1:40" x14ac:dyDescent="0.25">
      <c r="A4729" t="str">
        <f>"20190303154902658"</f>
        <v>20190303154902658</v>
      </c>
      <c r="B4729" t="str">
        <f>"1551599342655469"</f>
        <v>1551599342655469</v>
      </c>
      <c r="C4729" t="s">
        <v>40</v>
      </c>
      <c r="D4729">
        <v>5.7752540000000003</v>
      </c>
      <c r="E4729">
        <v>0.48252929999999999</v>
      </c>
      <c r="F4729" t="s">
        <v>42</v>
      </c>
      <c r="G4729">
        <v>-205.22190000000001</v>
      </c>
      <c r="H4729">
        <v>0.9990964</v>
      </c>
      <c r="I4729">
        <v>140.87119999999999</v>
      </c>
      <c r="J4729">
        <v>-204.67850000000001</v>
      </c>
      <c r="K4729">
        <v>1.111507</v>
      </c>
      <c r="L4729">
        <v>140.82839999999999</v>
      </c>
      <c r="M4729">
        <v>-0.97688419999999998</v>
      </c>
      <c r="N4729">
        <v>-1.6147410000000001E-2</v>
      </c>
      <c r="O4729">
        <v>-0.21315890000000001</v>
      </c>
      <c r="P4729">
        <v>-0.99266019999999999</v>
      </c>
      <c r="Q4729">
        <v>-0.10870440000000001</v>
      </c>
      <c r="R4729">
        <v>5.3003469999999997E-2</v>
      </c>
      <c r="S4729">
        <v>-2.9751280000000002</v>
      </c>
      <c r="T4729">
        <v>-0.42153099999999999</v>
      </c>
      <c r="U4729">
        <v>1.077271E-2</v>
      </c>
      <c r="V4729">
        <v>0.2612447</v>
      </c>
      <c r="W4729">
        <v>-9.9111099999999994E-2</v>
      </c>
      <c r="X4729">
        <v>0.96017090000000005</v>
      </c>
      <c r="Y4729">
        <v>0.2127097</v>
      </c>
      <c r="Z4729">
        <v>4.3152830000000003E-2</v>
      </c>
      <c r="AA4729">
        <v>0.97616210000000003</v>
      </c>
      <c r="AB4729">
        <v>23</v>
      </c>
      <c r="AC4729">
        <v>-0.543399999999991</v>
      </c>
      <c r="AD4729">
        <v>-0.1124106</v>
      </c>
      <c r="AE4729">
        <v>4.2799999999999699E-2</v>
      </c>
      <c r="AF4729">
        <v>0.15123000705756601</v>
      </c>
      <c r="AG4729">
        <v>-0.1124106</v>
      </c>
      <c r="AH4729">
        <v>0.500497775703582</v>
      </c>
      <c r="AI4729">
        <v>102.13373215702001</v>
      </c>
      <c r="AJ4729">
        <v>73.187325162231303</v>
      </c>
      <c r="AK4729">
        <v>0.53479405523175505</v>
      </c>
      <c r="AL4729">
        <v>95.687986085131897</v>
      </c>
      <c r="AM4729">
        <v>74.779327600595096</v>
      </c>
      <c r="AN4729">
        <v>0.99999998031405402</v>
      </c>
    </row>
    <row r="4730" spans="1:40" x14ac:dyDescent="0.25">
      <c r="A4730" t="str">
        <f>"20190303154902681"</f>
        <v>20190303154902681</v>
      </c>
      <c r="B4730" t="str">
        <f>"1551599342674988"</f>
        <v>1551599342674988</v>
      </c>
      <c r="C4730" t="s">
        <v>40</v>
      </c>
      <c r="D4730">
        <v>5.7549130000000002</v>
      </c>
      <c r="E4730">
        <v>0.4823403</v>
      </c>
      <c r="F4730" t="s">
        <v>42</v>
      </c>
      <c r="G4730">
        <v>-205.43219999999999</v>
      </c>
      <c r="H4730">
        <v>1.002461</v>
      </c>
      <c r="I4730">
        <v>140.83260000000001</v>
      </c>
      <c r="J4730">
        <v>-204.91980000000001</v>
      </c>
      <c r="K4730">
        <v>1.111972</v>
      </c>
      <c r="L4730">
        <v>140.79230000000001</v>
      </c>
      <c r="M4730">
        <v>-0.97978810000000005</v>
      </c>
      <c r="N4730">
        <v>-1.6125730000000001E-2</v>
      </c>
      <c r="O4730">
        <v>-0.19938729999999999</v>
      </c>
      <c r="P4730">
        <v>-0.99238009999999999</v>
      </c>
      <c r="Q4730">
        <v>-0.10983469999999999</v>
      </c>
      <c r="R4730">
        <v>5.5838819999999997E-2</v>
      </c>
      <c r="S4730">
        <v>-2.9741520000000001</v>
      </c>
      <c r="T4730">
        <v>-0.43053999999999998</v>
      </c>
      <c r="U4730">
        <v>1.6922E-2</v>
      </c>
      <c r="V4730">
        <v>0.25053989999999998</v>
      </c>
      <c r="W4730">
        <v>-9.9689890000000003E-2</v>
      </c>
      <c r="X4730">
        <v>0.96295989999999998</v>
      </c>
      <c r="Y4730">
        <v>0.20103550000000001</v>
      </c>
      <c r="Z4730">
        <v>4.1460579999999997E-2</v>
      </c>
      <c r="AA4730">
        <v>0.97870619999999997</v>
      </c>
      <c r="AB4730">
        <v>23</v>
      </c>
      <c r="AC4730">
        <v>-0.51239999999998498</v>
      </c>
      <c r="AD4730">
        <v>-0.109510999999999</v>
      </c>
      <c r="AE4730">
        <v>4.0300000000002001E-2</v>
      </c>
      <c r="AF4730">
        <v>0.13551793657531699</v>
      </c>
      <c r="AG4730">
        <v>-0.109510999999999</v>
      </c>
      <c r="AH4730">
        <v>0.47261733320316202</v>
      </c>
      <c r="AI4730">
        <v>102.556857428196</v>
      </c>
      <c r="AJ4730">
        <v>74.000325189543005</v>
      </c>
      <c r="AK4730">
        <v>0.50371114132873895</v>
      </c>
      <c r="AL4730">
        <v>95.721313007583305</v>
      </c>
      <c r="AM4730">
        <v>75.4162915752798</v>
      </c>
      <c r="AN4730">
        <v>1.00000004233411</v>
      </c>
    </row>
    <row r="4731" spans="1:40" x14ac:dyDescent="0.25">
      <c r="A4731" t="str">
        <f>"20190303154902704"</f>
        <v>20190303154902704</v>
      </c>
      <c r="B4731" t="str">
        <f>"1551599342695485"</f>
        <v>1551599342695485</v>
      </c>
      <c r="C4731" t="s">
        <v>40</v>
      </c>
      <c r="D4731">
        <v>5.8203469999999999</v>
      </c>
      <c r="E4731">
        <v>0.48215439999999998</v>
      </c>
      <c r="F4731" t="s">
        <v>42</v>
      </c>
      <c r="G4731">
        <v>-205.84559999999999</v>
      </c>
      <c r="H4731">
        <v>0.97653659999999998</v>
      </c>
      <c r="I4731">
        <v>140.7997</v>
      </c>
      <c r="J4731">
        <v>-205.15649999999999</v>
      </c>
      <c r="K4731">
        <v>1.1124940000000001</v>
      </c>
      <c r="L4731">
        <v>140.75970000000001</v>
      </c>
      <c r="M4731">
        <v>-0.98230680000000004</v>
      </c>
      <c r="N4731">
        <v>-1.607374E-2</v>
      </c>
      <c r="O4731">
        <v>-0.18658830000000001</v>
      </c>
      <c r="P4731">
        <v>-0.99242770000000002</v>
      </c>
      <c r="Q4731">
        <v>-0.11099970000000001</v>
      </c>
      <c r="R4731">
        <v>5.2594490000000001E-2</v>
      </c>
      <c r="S4731">
        <v>-2.9735260000000001</v>
      </c>
      <c r="T4731">
        <v>-0.43513659999999998</v>
      </c>
      <c r="U4731">
        <v>2.3925780000000001E-2</v>
      </c>
      <c r="V4731">
        <v>0.234907</v>
      </c>
      <c r="W4731">
        <v>-0.1002039</v>
      </c>
      <c r="X4731">
        <v>0.96683909999999995</v>
      </c>
      <c r="Y4731">
        <v>0.19069839999999999</v>
      </c>
      <c r="Z4731">
        <v>3.9466649999999999E-2</v>
      </c>
      <c r="AA4731">
        <v>0.98085500000000003</v>
      </c>
      <c r="AB4731">
        <v>23</v>
      </c>
      <c r="AC4731">
        <v>-0.68909999999999605</v>
      </c>
      <c r="AD4731">
        <v>-0.13595740000000001</v>
      </c>
      <c r="AE4731">
        <v>3.9999999999992E-2</v>
      </c>
      <c r="AF4731">
        <v>0.16162175982044899</v>
      </c>
      <c r="AG4731">
        <v>-0.13595740000000001</v>
      </c>
      <c r="AH4731">
        <v>0.64452586655758903</v>
      </c>
      <c r="AI4731">
        <v>101.56350776586</v>
      </c>
      <c r="AJ4731">
        <v>75.922742601284995</v>
      </c>
      <c r="AK4731">
        <v>0.67824744785662805</v>
      </c>
      <c r="AL4731">
        <v>95.750912162035803</v>
      </c>
      <c r="AM4731">
        <v>76.343804853784405</v>
      </c>
      <c r="AN4731">
        <v>0.99999998275650903</v>
      </c>
    </row>
    <row r="4732" spans="1:40" x14ac:dyDescent="0.25">
      <c r="A4732" t="str">
        <f>"20190303154902735"</f>
        <v>20190303154902735</v>
      </c>
      <c r="B4732" t="str">
        <f>"1551599342725740"</f>
        <v>1551599342725740</v>
      </c>
      <c r="C4732" t="s">
        <v>40</v>
      </c>
      <c r="D4732">
        <v>5.780945</v>
      </c>
      <c r="E4732">
        <v>0.48207810000000001</v>
      </c>
      <c r="F4732" t="s">
        <v>42</v>
      </c>
      <c r="G4732">
        <v>-206.05459999999999</v>
      </c>
      <c r="H4732">
        <v>0.97958710000000004</v>
      </c>
      <c r="I4732">
        <v>140.7636</v>
      </c>
      <c r="J4732">
        <v>-205.48769999999999</v>
      </c>
      <c r="K4732">
        <v>1.113211</v>
      </c>
      <c r="L4732">
        <v>140.71780000000001</v>
      </c>
      <c r="M4732">
        <v>-0.98537050000000004</v>
      </c>
      <c r="N4732">
        <v>-1.59772E-2</v>
      </c>
      <c r="O4732">
        <v>-0.1696752</v>
      </c>
      <c r="P4732">
        <v>-0.99207529999999999</v>
      </c>
      <c r="Q4732">
        <v>-0.1136684</v>
      </c>
      <c r="R4732">
        <v>5.3537790000000002E-2</v>
      </c>
      <c r="S4732">
        <v>-2.9730829999999999</v>
      </c>
      <c r="T4732">
        <v>-0.43942690000000001</v>
      </c>
      <c r="U4732">
        <v>1.235962E-2</v>
      </c>
      <c r="V4732">
        <v>0.21927759999999999</v>
      </c>
      <c r="W4732">
        <v>-0.102213</v>
      </c>
      <c r="X4732">
        <v>0.97029370000000004</v>
      </c>
      <c r="Y4732">
        <v>0.170288299999999</v>
      </c>
      <c r="Z4732">
        <v>3.6030640000000003E-2</v>
      </c>
      <c r="AA4732">
        <v>0.98473540000000004</v>
      </c>
      <c r="AB4732">
        <v>23</v>
      </c>
      <c r="AC4732">
        <v>-0.56690000000000396</v>
      </c>
      <c r="AD4732">
        <v>-0.13362389999999999</v>
      </c>
      <c r="AE4732">
        <v>4.5799999999985602E-2</v>
      </c>
      <c r="AF4732">
        <v>0.13394336513236299</v>
      </c>
      <c r="AG4732">
        <v>-0.13362389999999999</v>
      </c>
      <c r="AH4732">
        <v>0.522087139061304</v>
      </c>
      <c r="AI4732">
        <v>103.92364467993799</v>
      </c>
      <c r="AJ4732">
        <v>75.610896254975003</v>
      </c>
      <c r="AK4732">
        <v>0.55531176152446904</v>
      </c>
      <c r="AL4732">
        <v>95.866619080358802</v>
      </c>
      <c r="AM4732">
        <v>77.265586305387998</v>
      </c>
      <c r="AN4732">
        <v>1.0000000137452201</v>
      </c>
    </row>
    <row r="4733" spans="1:40" x14ac:dyDescent="0.25">
      <c r="A4733" t="str">
        <f>"20190303154902759"</f>
        <v>20190303154902759</v>
      </c>
      <c r="B4733" t="str">
        <f>"1551599342755021"</f>
        <v>1551599342755021</v>
      </c>
      <c r="C4733" t="s">
        <v>40</v>
      </c>
      <c r="D4733">
        <v>5.8053439999999998</v>
      </c>
      <c r="E4733">
        <v>0.48193809999999898</v>
      </c>
      <c r="F4733" t="s">
        <v>42</v>
      </c>
      <c r="G4733">
        <v>-206.26859999999999</v>
      </c>
      <c r="H4733">
        <v>0.99562300000000004</v>
      </c>
      <c r="I4733">
        <v>140.7216</v>
      </c>
      <c r="J4733">
        <v>-205.74109999999999</v>
      </c>
      <c r="K4733">
        <v>1.1137429999999999</v>
      </c>
      <c r="L4733">
        <v>140.6885</v>
      </c>
      <c r="M4733">
        <v>-0.98737960000000002</v>
      </c>
      <c r="N4733">
        <v>-1.5893919999999999E-2</v>
      </c>
      <c r="O4733">
        <v>-0.15757209999999999</v>
      </c>
      <c r="P4733">
        <v>-0.9918709</v>
      </c>
      <c r="Q4733">
        <v>-0.1147483</v>
      </c>
      <c r="R4733">
        <v>5.4999039999999999E-2</v>
      </c>
      <c r="S4733">
        <v>-2.971924</v>
      </c>
      <c r="T4733">
        <v>-0.44758619999999999</v>
      </c>
      <c r="U4733">
        <v>1.4312739999999999E-2</v>
      </c>
      <c r="V4733">
        <v>0.20889920000000001</v>
      </c>
      <c r="W4733">
        <v>-0.1028802</v>
      </c>
      <c r="X4733">
        <v>0.9725106</v>
      </c>
      <c r="Y4733">
        <v>0.15895219999999999</v>
      </c>
      <c r="Z4733">
        <v>3.4199340000000002E-2</v>
      </c>
      <c r="AA4733">
        <v>0.98669370000000001</v>
      </c>
      <c r="AB4733">
        <v>23</v>
      </c>
      <c r="AC4733">
        <v>-0.52750000000000297</v>
      </c>
      <c r="AD4733">
        <v>-0.11812</v>
      </c>
      <c r="AE4733">
        <v>3.3099999999990297E-2</v>
      </c>
      <c r="AF4733">
        <v>0.110306855952136</v>
      </c>
      <c r="AG4733">
        <v>-0.11812</v>
      </c>
      <c r="AH4733">
        <v>0.49116100555111603</v>
      </c>
      <c r="AI4733">
        <v>103.20536383973401</v>
      </c>
      <c r="AJ4733">
        <v>77.342310321435207</v>
      </c>
      <c r="AK4733">
        <v>0.51706776175277902</v>
      </c>
      <c r="AL4733">
        <v>95.905049270754205</v>
      </c>
      <c r="AM4733">
        <v>77.876852201522993</v>
      </c>
      <c r="AN4733">
        <v>1.0000000392125099</v>
      </c>
    </row>
    <row r="4734" spans="1:40" x14ac:dyDescent="0.25">
      <c r="A4734" t="str">
        <f>"20190303154902782"</f>
        <v>20190303154902782</v>
      </c>
      <c r="B4734" t="str">
        <f>"1551599342775516"</f>
        <v>1551599342775516</v>
      </c>
      <c r="C4734" t="s">
        <v>40</v>
      </c>
      <c r="D4734">
        <v>5.8152410000000003</v>
      </c>
      <c r="E4734">
        <v>0.48188769999999997</v>
      </c>
      <c r="F4734" t="s">
        <v>42</v>
      </c>
      <c r="G4734">
        <v>-206.48009999999999</v>
      </c>
      <c r="H4734">
        <v>1.0016370000000001</v>
      </c>
      <c r="I4734">
        <v>140.69290000000001</v>
      </c>
      <c r="J4734">
        <v>-205.9804</v>
      </c>
      <c r="K4734">
        <v>1.114274</v>
      </c>
      <c r="L4734">
        <v>140.66290000000001</v>
      </c>
      <c r="M4734">
        <v>-0.98900500000000002</v>
      </c>
      <c r="N4734">
        <v>-1.5801969999999999E-2</v>
      </c>
      <c r="O4734">
        <v>-0.147036</v>
      </c>
      <c r="P4734">
        <v>-0.99185869999999998</v>
      </c>
      <c r="Q4734">
        <v>-0.11474810000000001</v>
      </c>
      <c r="R4734">
        <v>5.5221579999999999E-2</v>
      </c>
      <c r="S4734">
        <v>-2.9714809999999998</v>
      </c>
      <c r="T4734">
        <v>-0.45063959999999997</v>
      </c>
      <c r="U4734">
        <v>1.742554E-2</v>
      </c>
      <c r="V4734">
        <v>0.19888549999999999</v>
      </c>
      <c r="W4734">
        <v>-0.1025103</v>
      </c>
      <c r="X4734">
        <v>0.97464669999999998</v>
      </c>
      <c r="Y4734">
        <v>0.14962159999999999</v>
      </c>
      <c r="Z4734">
        <v>3.2265870000000002E-2</v>
      </c>
      <c r="AA4734">
        <v>0.98821669999999995</v>
      </c>
      <c r="AB4734">
        <v>23</v>
      </c>
      <c r="AC4734">
        <v>-0.49969999999998999</v>
      </c>
      <c r="AD4734">
        <v>-0.112636999999999</v>
      </c>
      <c r="AE4734">
        <v>3.0000000000001099E-2</v>
      </c>
      <c r="AF4734">
        <v>9.8186058984021399E-2</v>
      </c>
      <c r="AG4734">
        <v>-0.112636999999999</v>
      </c>
      <c r="AH4734">
        <v>0.466251016478539</v>
      </c>
      <c r="AI4734">
        <v>103.300292133444</v>
      </c>
      <c r="AJ4734">
        <v>78.108053071746497</v>
      </c>
      <c r="AK4734">
        <v>0.48960964687706499</v>
      </c>
      <c r="AL4734">
        <v>95.883743163666907</v>
      </c>
      <c r="AM4734">
        <v>78.466620361274494</v>
      </c>
      <c r="AN4734">
        <v>0.99999999676861495</v>
      </c>
    </row>
    <row r="4735" spans="1:40" x14ac:dyDescent="0.25">
      <c r="A4735" t="str">
        <f>"20190303154902802"</f>
        <v>20190303154902802</v>
      </c>
      <c r="B4735" t="str">
        <f>"1551599342795037"</f>
        <v>1551599342795037</v>
      </c>
      <c r="C4735" t="s">
        <v>40</v>
      </c>
      <c r="D4735">
        <v>5.8612950000000001</v>
      </c>
      <c r="E4735">
        <v>0.48187679999999999</v>
      </c>
      <c r="F4735" t="s">
        <v>42</v>
      </c>
      <c r="G4735">
        <v>-206.8886</v>
      </c>
      <c r="H4735">
        <v>0.97657079999999996</v>
      </c>
      <c r="I4735">
        <v>140.66839999999999</v>
      </c>
      <c r="J4735">
        <v>-206.1994</v>
      </c>
      <c r="K4735">
        <v>1.1148020000000001</v>
      </c>
      <c r="L4735">
        <v>140.64099999999999</v>
      </c>
      <c r="M4735">
        <v>-0.99027960000000004</v>
      </c>
      <c r="N4735">
        <v>-1.570508E-2</v>
      </c>
      <c r="O4735">
        <v>-0.13820189999999999</v>
      </c>
      <c r="P4735">
        <v>-0.99208019999999997</v>
      </c>
      <c r="Q4735">
        <v>-0.11325399999999999</v>
      </c>
      <c r="R4735">
        <v>5.431735E-2</v>
      </c>
      <c r="S4735">
        <v>-2.9715579999999999</v>
      </c>
      <c r="T4735">
        <v>-0.45026149999999998</v>
      </c>
      <c r="U4735">
        <v>1.7517089999999999E-2</v>
      </c>
      <c r="V4735">
        <v>0.18947849999999999</v>
      </c>
      <c r="W4735">
        <v>-0.10068779999999999</v>
      </c>
      <c r="X4735">
        <v>0.97670869999999999</v>
      </c>
      <c r="Y4735">
        <v>0.1410169</v>
      </c>
      <c r="Z4735">
        <v>3.034628E-2</v>
      </c>
      <c r="AA4735">
        <v>0.98954200000000003</v>
      </c>
      <c r="AB4735">
        <v>23</v>
      </c>
      <c r="AC4735">
        <v>-0.68919999999999904</v>
      </c>
      <c r="AD4735">
        <v>-0.1382312</v>
      </c>
      <c r="AE4735">
        <v>2.7400000000000001E-2</v>
      </c>
      <c r="AF4735">
        <v>0.11767136072441201</v>
      </c>
      <c r="AG4735">
        <v>-0.1382312</v>
      </c>
      <c r="AH4735">
        <v>0.65258721288847399</v>
      </c>
      <c r="AI4735">
        <v>101.77516274372201</v>
      </c>
      <c r="AJ4735">
        <v>79.778537192404201</v>
      </c>
      <c r="AK4735">
        <v>0.67736584222539697</v>
      </c>
      <c r="AL4735">
        <v>95.778778366828803</v>
      </c>
      <c r="AM4735">
        <v>79.021167180962294</v>
      </c>
      <c r="AN4735">
        <v>1.0000000098433799</v>
      </c>
    </row>
    <row r="4736" spans="1:40" x14ac:dyDescent="0.25">
      <c r="A4736" t="str">
        <f>"20190303154902826"</f>
        <v>20190303154902826</v>
      </c>
      <c r="B4736" t="str">
        <f>"1551599342815532"</f>
        <v>1551599342815532</v>
      </c>
      <c r="C4736" t="s">
        <v>40</v>
      </c>
      <c r="D4736">
        <v>5.8739129999999999</v>
      </c>
      <c r="E4736">
        <v>0.48187219999999997</v>
      </c>
      <c r="F4736" t="s">
        <v>42</v>
      </c>
      <c r="G4736">
        <v>-207.09790000000001</v>
      </c>
      <c r="H4736">
        <v>0.97990560000000004</v>
      </c>
      <c r="I4736">
        <v>140.6454</v>
      </c>
      <c r="J4736">
        <v>-206.44659999999999</v>
      </c>
      <c r="K4736">
        <v>1.1153630000000001</v>
      </c>
      <c r="L4736">
        <v>140.61770000000001</v>
      </c>
      <c r="M4736">
        <v>-0.99152569999999995</v>
      </c>
      <c r="N4736">
        <v>-1.559398E-2</v>
      </c>
      <c r="O4736">
        <v>-0.128972</v>
      </c>
      <c r="P4736">
        <v>-0.99200060000000001</v>
      </c>
      <c r="Q4736">
        <v>-0.1137291</v>
      </c>
      <c r="R4736">
        <v>5.4779370000000001E-2</v>
      </c>
      <c r="S4736">
        <v>-2.9721980000000001</v>
      </c>
      <c r="T4736">
        <v>-0.44614979999999999</v>
      </c>
      <c r="U4736">
        <v>1.452637E-2</v>
      </c>
      <c r="V4736">
        <v>0.18096570000000001</v>
      </c>
      <c r="W4736">
        <v>-0.1008759</v>
      </c>
      <c r="X4736">
        <v>0.97830240000000002</v>
      </c>
      <c r="Y4736">
        <v>0.13105619999999901</v>
      </c>
      <c r="Z4736">
        <v>2.8016949999999999E-2</v>
      </c>
      <c r="AA4736">
        <v>0.99097900000000005</v>
      </c>
      <c r="AB4736">
        <v>23</v>
      </c>
      <c r="AC4736">
        <v>-0.65130000000001997</v>
      </c>
      <c r="AD4736">
        <v>-0.13545739999999901</v>
      </c>
      <c r="AE4736">
        <v>2.76999999999816E-2</v>
      </c>
      <c r="AF4736">
        <v>0.106864134987598</v>
      </c>
      <c r="AG4736">
        <v>-0.13545739999999901</v>
      </c>
      <c r="AH4736">
        <v>0.61570169062203595</v>
      </c>
      <c r="AI4736">
        <v>102.230458166464</v>
      </c>
      <c r="AJ4736">
        <v>80.153561828030107</v>
      </c>
      <c r="AK4736">
        <v>0.63941944167834097</v>
      </c>
      <c r="AL4736">
        <v>95.789610571488694</v>
      </c>
      <c r="AM4736">
        <v>79.519928245945394</v>
      </c>
      <c r="AN4736">
        <v>1.0000000588115201</v>
      </c>
    </row>
    <row r="4737" spans="1:40" x14ac:dyDescent="0.25">
      <c r="A4737" t="str">
        <f>"20190303154902846"</f>
        <v>20190303154902846</v>
      </c>
      <c r="B4737" t="str">
        <f>"1551599342835052"</f>
        <v>1551599342835052</v>
      </c>
      <c r="C4737" t="s">
        <v>40</v>
      </c>
      <c r="D4737">
        <v>5.8970200000000004</v>
      </c>
      <c r="E4737">
        <v>0.48185729999999999</v>
      </c>
      <c r="F4737" t="s">
        <v>42</v>
      </c>
      <c r="G4737">
        <v>-207.30799999999999</v>
      </c>
      <c r="H4737">
        <v>0.98544240000000005</v>
      </c>
      <c r="I4737">
        <v>140.6225</v>
      </c>
      <c r="J4737">
        <v>-206.66419999999999</v>
      </c>
      <c r="K4737">
        <v>1.115815</v>
      </c>
      <c r="L4737">
        <v>140.59829999999999</v>
      </c>
      <c r="M4737">
        <v>-0.99247969999999996</v>
      </c>
      <c r="N4737">
        <v>-1.550239E-2</v>
      </c>
      <c r="O4737">
        <v>-0.1214234</v>
      </c>
      <c r="P4737">
        <v>-0.99185780000000001</v>
      </c>
      <c r="Q4737">
        <v>-0.1156297</v>
      </c>
      <c r="R4737">
        <v>5.3369899999999998E-2</v>
      </c>
      <c r="S4737">
        <v>-2.9719699999999998</v>
      </c>
      <c r="T4737">
        <v>-0.44782319999999998</v>
      </c>
      <c r="U4737">
        <v>1.5731809999999999E-2</v>
      </c>
      <c r="V4737">
        <v>0.17219960000000001</v>
      </c>
      <c r="W4737">
        <v>-0.10253900000000001</v>
      </c>
      <c r="X4737">
        <v>0.97971070000000005</v>
      </c>
      <c r="Y4737">
        <v>0.12404660000000001</v>
      </c>
      <c r="Z4737">
        <v>2.654552E-2</v>
      </c>
      <c r="AA4737">
        <v>0.99192119999999995</v>
      </c>
      <c r="AB4737">
        <v>23</v>
      </c>
      <c r="AC4737">
        <v>-0.64379999999999804</v>
      </c>
      <c r="AD4737">
        <v>-0.13037259999999901</v>
      </c>
      <c r="AE4737">
        <v>2.42000000000075E-2</v>
      </c>
      <c r="AF4737">
        <v>9.8182089456491803E-2</v>
      </c>
      <c r="AG4737">
        <v>-0.13037259999999901</v>
      </c>
      <c r="AH4737">
        <v>0.61107281013037396</v>
      </c>
      <c r="AI4737">
        <v>101.895371818965</v>
      </c>
      <c r="AJ4737">
        <v>80.872203703942205</v>
      </c>
      <c r="AK4737">
        <v>0.63249246382975499</v>
      </c>
      <c r="AL4737">
        <v>95.885396231370805</v>
      </c>
      <c r="AM4737">
        <v>80.031188718699497</v>
      </c>
      <c r="AN4737">
        <v>1.0000000022278199</v>
      </c>
    </row>
    <row r="4738" spans="1:40" x14ac:dyDescent="0.25">
      <c r="A4738" t="str">
        <f>"20190303154902870"</f>
        <v>20190303154902870</v>
      </c>
      <c r="B4738" t="str">
        <f>"1551599342865308"</f>
        <v>1551599342865308</v>
      </c>
      <c r="C4738" t="s">
        <v>40</v>
      </c>
      <c r="D4738">
        <v>5.9683310000000001</v>
      </c>
      <c r="E4738">
        <v>0.48155989999999999</v>
      </c>
      <c r="F4738" t="s">
        <v>42</v>
      </c>
      <c r="G4738">
        <v>-207.5154</v>
      </c>
      <c r="H4738">
        <v>0.98579870000000003</v>
      </c>
      <c r="I4738">
        <v>140.60169999999999</v>
      </c>
      <c r="J4738">
        <v>-206.90190000000001</v>
      </c>
      <c r="K4738">
        <v>1.1162559999999999</v>
      </c>
      <c r="L4738">
        <v>140.57839999999999</v>
      </c>
      <c r="M4738">
        <v>-0.99337909999999996</v>
      </c>
      <c r="N4738">
        <v>-1.5409610000000001E-2</v>
      </c>
      <c r="O4738">
        <v>-0.1138451</v>
      </c>
      <c r="P4738">
        <v>-0.99164759999999996</v>
      </c>
      <c r="Q4738">
        <v>-0.11807910000000001</v>
      </c>
      <c r="R4738">
        <v>5.1889919999999999E-2</v>
      </c>
      <c r="S4738">
        <v>-2.9711460000000001</v>
      </c>
      <c r="T4738">
        <v>-0.4535785</v>
      </c>
      <c r="U4738">
        <v>1.133728E-2</v>
      </c>
      <c r="V4738">
        <v>0.16331999999999999</v>
      </c>
      <c r="W4738">
        <v>-0.10477350000000001</v>
      </c>
      <c r="X4738">
        <v>0.98099389999999997</v>
      </c>
      <c r="Y4738">
        <v>0.11511730000000001</v>
      </c>
      <c r="Z4738">
        <v>2.5133039999999999E-2</v>
      </c>
      <c r="AA4738">
        <v>0.99303390000000002</v>
      </c>
      <c r="AB4738">
        <v>23</v>
      </c>
      <c r="AC4738">
        <v>-0.61349999999998694</v>
      </c>
      <c r="AD4738">
        <v>-0.1304573</v>
      </c>
      <c r="AE4738">
        <v>2.3300000000006E-2</v>
      </c>
      <c r="AF4738">
        <v>8.8982934364990995E-2</v>
      </c>
      <c r="AG4738">
        <v>-0.1304573</v>
      </c>
      <c r="AH4738">
        <v>0.58064013620349797</v>
      </c>
      <c r="AI4738">
        <v>102.521350544691</v>
      </c>
      <c r="AJ4738">
        <v>81.287224116792899</v>
      </c>
      <c r="AK4738">
        <v>0.60173086799823705</v>
      </c>
      <c r="AL4738">
        <v>96.014117266864901</v>
      </c>
      <c r="AM4738">
        <v>80.547849234259999</v>
      </c>
      <c r="AN4738">
        <v>0.99999997026972898</v>
      </c>
    </row>
    <row r="4739" spans="1:40" x14ac:dyDescent="0.25">
      <c r="A4739" t="str">
        <f>"20190303154902891"</f>
        <v>20190303154902891</v>
      </c>
      <c r="B4739" t="str">
        <f>"1551599342885804"</f>
        <v>1551599342885804</v>
      </c>
      <c r="C4739" t="s">
        <v>40</v>
      </c>
      <c r="D4739">
        <v>5.9177609999999996</v>
      </c>
      <c r="E4739">
        <v>0.48161569999999998</v>
      </c>
      <c r="F4739" t="s">
        <v>42</v>
      </c>
      <c r="G4739">
        <v>-207.72309999999999</v>
      </c>
      <c r="H4739">
        <v>0.98808300000000004</v>
      </c>
      <c r="I4739">
        <v>140.57990000000001</v>
      </c>
      <c r="J4739">
        <v>-207.13030000000001</v>
      </c>
      <c r="K4739">
        <v>1.1166560000000001</v>
      </c>
      <c r="L4739">
        <v>140.56030000000001</v>
      </c>
      <c r="M4739">
        <v>-0.99411910000000003</v>
      </c>
      <c r="N4739">
        <v>-1.532442E-2</v>
      </c>
      <c r="O4739">
        <v>-0.1072024</v>
      </c>
      <c r="P4739">
        <v>-0.9914963</v>
      </c>
      <c r="Q4739">
        <v>-0.1203774</v>
      </c>
      <c r="R4739">
        <v>4.9440789999999998E-2</v>
      </c>
      <c r="S4739">
        <v>-2.9698639999999998</v>
      </c>
      <c r="T4739">
        <v>-0.46321079999999998</v>
      </c>
      <c r="U4739">
        <v>4.5166019999999998E-3</v>
      </c>
      <c r="V4739">
        <v>0.15439739999999999</v>
      </c>
      <c r="W4739">
        <v>-0.106888</v>
      </c>
      <c r="X4739">
        <v>0.98220989999999997</v>
      </c>
      <c r="Y4739">
        <v>0.1062645</v>
      </c>
      <c r="Z4739">
        <v>2.401665E-2</v>
      </c>
      <c r="AA4739">
        <v>0.99404780000000004</v>
      </c>
      <c r="AB4739">
        <v>23</v>
      </c>
      <c r="AC4739">
        <v>-0.59279999999998201</v>
      </c>
      <c r="AD4739">
        <v>-0.12857299999999899</v>
      </c>
      <c r="AE4739">
        <v>1.9599999999996901E-2</v>
      </c>
      <c r="AF4739">
        <v>7.9316939001100303E-2</v>
      </c>
      <c r="AG4739">
        <v>-0.12857299999999899</v>
      </c>
      <c r="AH4739">
        <v>0.56092360874115799</v>
      </c>
      <c r="AI4739">
        <v>102.78716106701501</v>
      </c>
      <c r="AJ4739">
        <v>81.951498250209895</v>
      </c>
      <c r="AK4739">
        <v>0.58091091226168901</v>
      </c>
      <c r="AL4739">
        <v>96.135953590344101</v>
      </c>
      <c r="AM4739">
        <v>81.066556132730199</v>
      </c>
      <c r="AN4739">
        <v>0.99999994466438302</v>
      </c>
    </row>
    <row r="4740" spans="1:40" x14ac:dyDescent="0.25">
      <c r="A4740" t="str">
        <f>"20190303154902915"</f>
        <v>20190303154902915</v>
      </c>
      <c r="B4740" t="str">
        <f>"1551599342905325"</f>
        <v>1551599342905325</v>
      </c>
      <c r="C4740" t="s">
        <v>40</v>
      </c>
      <c r="D4740">
        <v>5.8961430000000004</v>
      </c>
      <c r="E4740">
        <v>0.4817092</v>
      </c>
      <c r="F4740" t="s">
        <v>42</v>
      </c>
      <c r="G4740">
        <v>-207.93039999999999</v>
      </c>
      <c r="H4740">
        <v>0.98999429999999999</v>
      </c>
      <c r="I4740">
        <v>140.55959999999999</v>
      </c>
      <c r="J4740">
        <v>-207.3674</v>
      </c>
      <c r="K4740">
        <v>1.117057</v>
      </c>
      <c r="L4740">
        <v>140.54239999999999</v>
      </c>
      <c r="M4740">
        <v>-0.99477689999999996</v>
      </c>
      <c r="N4740">
        <v>-1.523942E-2</v>
      </c>
      <c r="O4740">
        <v>-0.1009287</v>
      </c>
      <c r="P4740">
        <v>-0.99159649999999999</v>
      </c>
      <c r="Q4740">
        <v>-0.12048490000000001</v>
      </c>
      <c r="R4740">
        <v>4.7115369999999997E-2</v>
      </c>
      <c r="S4740">
        <v>-2.9687649999999999</v>
      </c>
      <c r="T4740">
        <v>-0.4699836</v>
      </c>
      <c r="U4740">
        <v>-2.5482180000000001E-3</v>
      </c>
      <c r="V4740">
        <v>0.1460062</v>
      </c>
      <c r="W4740">
        <v>-0.1068349</v>
      </c>
      <c r="X4740">
        <v>0.98349810000000004</v>
      </c>
      <c r="Y4740">
        <v>9.772786E-2</v>
      </c>
      <c r="Z4740">
        <v>2.2764409999999999E-2</v>
      </c>
      <c r="AA4740">
        <v>0.99495279999999997</v>
      </c>
      <c r="AB4740">
        <v>23</v>
      </c>
      <c r="AC4740">
        <v>-0.56299999999998795</v>
      </c>
      <c r="AD4740">
        <v>-0.127062699999999</v>
      </c>
      <c r="AE4740">
        <v>1.7200000000002501E-2</v>
      </c>
      <c r="AF4740">
        <v>7.0361084959812206E-2</v>
      </c>
      <c r="AG4740">
        <v>-0.127062699999999</v>
      </c>
      <c r="AH4740">
        <v>0.53134906770752499</v>
      </c>
      <c r="AI4740">
        <v>103.33650609578299</v>
      </c>
      <c r="AJ4740">
        <v>82.456795657684694</v>
      </c>
      <c r="AK4740">
        <v>0.55084248543632497</v>
      </c>
      <c r="AL4740">
        <v>96.132893263740101</v>
      </c>
      <c r="AM4740">
        <v>81.555771607488296</v>
      </c>
      <c r="AN4740">
        <v>1.0000000095000301</v>
      </c>
    </row>
    <row r="4741" spans="1:40" x14ac:dyDescent="0.25">
      <c r="A4741" t="str">
        <f>"20190303154902935"</f>
        <v>20190303154902935</v>
      </c>
      <c r="B4741" t="str">
        <f>"1551599342925824"</f>
        <v>1551599342925824</v>
      </c>
      <c r="C4741" t="s">
        <v>40</v>
      </c>
      <c r="D4741">
        <v>5.9427250000000003</v>
      </c>
      <c r="E4741">
        <v>0.48178189999999999</v>
      </c>
      <c r="F4741" t="s">
        <v>42</v>
      </c>
      <c r="G4741">
        <v>-208.1388</v>
      </c>
      <c r="H4741">
        <v>0.99478129999999998</v>
      </c>
      <c r="I4741">
        <v>140.5402</v>
      </c>
      <c r="J4741">
        <v>-207.5822</v>
      </c>
      <c r="K4741">
        <v>1.1174120000000001</v>
      </c>
      <c r="L4741">
        <v>140.52690000000001</v>
      </c>
      <c r="M4741">
        <v>-0.99529000000000001</v>
      </c>
      <c r="N4741">
        <v>-1.5167140000000001E-2</v>
      </c>
      <c r="O4741">
        <v>-9.5749619999999994E-2</v>
      </c>
      <c r="P4741">
        <v>-0.99189430000000001</v>
      </c>
      <c r="Q4741">
        <v>-0.11910129999999999</v>
      </c>
      <c r="R4741">
        <v>4.4280319999999998E-2</v>
      </c>
      <c r="S4741">
        <v>-2.9687039999999998</v>
      </c>
      <c r="T4741">
        <v>-0.47027439999999998</v>
      </c>
      <c r="U4741">
        <v>-9.017944E-3</v>
      </c>
      <c r="V4741">
        <v>0.13820060000000001</v>
      </c>
      <c r="W4741">
        <v>-0.10531600000000001</v>
      </c>
      <c r="X4741">
        <v>0.98478889999999997</v>
      </c>
      <c r="Y4741">
        <v>9.0525270000000005E-2</v>
      </c>
      <c r="Z4741">
        <v>2.142668E-2</v>
      </c>
      <c r="AA4741">
        <v>0.99566359999999998</v>
      </c>
      <c r="AB4741">
        <v>23</v>
      </c>
      <c r="AC4741">
        <v>-0.55660000000000298</v>
      </c>
      <c r="AD4741">
        <v>-0.1226307</v>
      </c>
      <c r="AE4741">
        <v>1.3299999999986699E-2</v>
      </c>
      <c r="AF4741">
        <v>6.3460538668219199E-2</v>
      </c>
      <c r="AG4741">
        <v>-0.1226307</v>
      </c>
      <c r="AH4741">
        <v>0.52719242962510005</v>
      </c>
      <c r="AI4741">
        <v>103.004108263029</v>
      </c>
      <c r="AJ4741">
        <v>83.136073403016695</v>
      </c>
      <c r="AK4741">
        <v>0.54497466583738297</v>
      </c>
      <c r="AL4741">
        <v>96.045372840245903</v>
      </c>
      <c r="AM4741">
        <v>82.011551110125595</v>
      </c>
      <c r="AN4741">
        <v>1.00000002162978</v>
      </c>
    </row>
    <row r="4742" spans="1:40" x14ac:dyDescent="0.25">
      <c r="A4742" t="str">
        <f>"20190303154902959"</f>
        <v>20190303154902959</v>
      </c>
      <c r="B4742" t="str">
        <f>"1551599342955100"</f>
        <v>1551599342955100</v>
      </c>
      <c r="C4742" t="s">
        <v>40</v>
      </c>
      <c r="D4742">
        <v>5.9751969999999996</v>
      </c>
      <c r="E4742">
        <v>0.48173139999999998</v>
      </c>
      <c r="F4742" t="s">
        <v>42</v>
      </c>
      <c r="G4742">
        <v>-208.3459</v>
      </c>
      <c r="H4742">
        <v>0.99751809999999996</v>
      </c>
      <c r="I4742">
        <v>140.52269999999999</v>
      </c>
      <c r="J4742">
        <v>-207.83179999999999</v>
      </c>
      <c r="K4742">
        <v>1.11782</v>
      </c>
      <c r="L4742">
        <v>140.50970000000001</v>
      </c>
      <c r="M4742">
        <v>-0.99580559999999996</v>
      </c>
      <c r="N4742">
        <v>-1.509075E-2</v>
      </c>
      <c r="O4742">
        <v>-9.0241459999999996E-2</v>
      </c>
      <c r="P4742">
        <v>-0.99214530000000001</v>
      </c>
      <c r="Q4742">
        <v>-0.1176773</v>
      </c>
      <c r="R4742">
        <v>4.2424070000000001E-2</v>
      </c>
      <c r="S4742">
        <v>-2.969284</v>
      </c>
      <c r="T4742">
        <v>-0.46604069999999997</v>
      </c>
      <c r="U4742">
        <v>-1.6677859999999999E-2</v>
      </c>
      <c r="V4742">
        <v>0.13104009999999999</v>
      </c>
      <c r="W4742">
        <v>-0.1037696</v>
      </c>
      <c r="X4742">
        <v>0.98593120000000001</v>
      </c>
      <c r="Y4742">
        <v>8.2646559999999994E-2</v>
      </c>
      <c r="Z4742">
        <v>1.978038E-2</v>
      </c>
      <c r="AA4742">
        <v>0.99638260000000001</v>
      </c>
      <c r="AB4742">
        <v>23</v>
      </c>
      <c r="AC4742">
        <v>-0.51410000000001299</v>
      </c>
      <c r="AD4742">
        <v>-0.120301899999999</v>
      </c>
      <c r="AE4742">
        <v>1.2999999999976799E-2</v>
      </c>
      <c r="AF4742">
        <v>5.6266287762685802E-2</v>
      </c>
      <c r="AG4742">
        <v>-0.120301899999999</v>
      </c>
      <c r="AH4742">
        <v>0.48432483207692101</v>
      </c>
      <c r="AI4742">
        <v>103.859853428148</v>
      </c>
      <c r="AJ4742">
        <v>83.373386130162501</v>
      </c>
      <c r="AK4742">
        <v>0.50220412707239004</v>
      </c>
      <c r="AL4742">
        <v>95.956282681313397</v>
      </c>
      <c r="AM4742">
        <v>82.429190395043804</v>
      </c>
      <c r="AN4742">
        <v>0.99999998441280402</v>
      </c>
    </row>
    <row r="4743" spans="1:40" x14ac:dyDescent="0.25">
      <c r="A4743" t="str">
        <f>"20190303154902984"</f>
        <v>20190303154902984</v>
      </c>
      <c r="B4743" t="str">
        <f>"1551599342975597"</f>
        <v>1551599342975597</v>
      </c>
      <c r="C4743" t="s">
        <v>40</v>
      </c>
      <c r="D4743">
        <v>5.9753369999999997</v>
      </c>
      <c r="E4743">
        <v>0.46689570000000002</v>
      </c>
      <c r="F4743" t="s">
        <v>42</v>
      </c>
      <c r="G4743">
        <v>-208.55500000000001</v>
      </c>
      <c r="H4743">
        <v>1.005193</v>
      </c>
      <c r="I4743">
        <v>140.5043</v>
      </c>
      <c r="J4743">
        <v>-208.0796</v>
      </c>
      <c r="K4743">
        <v>1.118169</v>
      </c>
      <c r="L4743">
        <v>140.4933</v>
      </c>
      <c r="M4743">
        <v>-0.99623989999999996</v>
      </c>
      <c r="N4743">
        <v>-1.502415E-2</v>
      </c>
      <c r="O4743">
        <v>-8.5324730000000001E-2</v>
      </c>
      <c r="P4743">
        <v>-0.99235790000000001</v>
      </c>
      <c r="Q4743">
        <v>-0.11662549999999999</v>
      </c>
      <c r="R4743">
        <v>4.0304119999999999E-2</v>
      </c>
      <c r="S4743">
        <v>-2.9698790000000002</v>
      </c>
      <c r="T4743">
        <v>-0.46240759999999997</v>
      </c>
      <c r="U4743">
        <v>-2.261353E-2</v>
      </c>
      <c r="V4743">
        <v>0.1241772</v>
      </c>
      <c r="W4743">
        <v>-0.1026157</v>
      </c>
      <c r="X4743">
        <v>0.98693969999999998</v>
      </c>
      <c r="Y4743">
        <v>7.5905029999999998E-2</v>
      </c>
      <c r="Z4743">
        <v>1.8363419999999998E-2</v>
      </c>
      <c r="AA4743">
        <v>0.99694590000000005</v>
      </c>
      <c r="AB4743">
        <v>23</v>
      </c>
      <c r="AC4743">
        <v>-0.47540000000000698</v>
      </c>
      <c r="AD4743">
        <v>-0.11297599999999899</v>
      </c>
      <c r="AE4743">
        <v>1.09999999999956E-2</v>
      </c>
      <c r="AF4743">
        <v>4.8774765208945303E-2</v>
      </c>
      <c r="AG4743">
        <v>-0.11297599999999899</v>
      </c>
      <c r="AH4743">
        <v>0.447470020354377</v>
      </c>
      <c r="AI4743">
        <v>104.08965008407</v>
      </c>
      <c r="AJ4743">
        <v>83.779250989542405</v>
      </c>
      <c r="AK4743">
        <v>0.464081860680995</v>
      </c>
      <c r="AL4743">
        <v>95.889814340974098</v>
      </c>
      <c r="AM4743">
        <v>82.828703055808404</v>
      </c>
      <c r="AN4743">
        <v>0.99999996516120904</v>
      </c>
    </row>
    <row r="4744" spans="1:40" x14ac:dyDescent="0.25">
      <c r="A4744" t="str">
        <f>"20190303154903003"</f>
        <v>20190303154903003</v>
      </c>
      <c r="B4744" t="str">
        <f>"1551599342995116"</f>
        <v>1551599342995116</v>
      </c>
      <c r="C4744" t="s">
        <v>40</v>
      </c>
      <c r="D4744">
        <v>6.0462610000000003</v>
      </c>
      <c r="E4744">
        <v>0.46558310000000003</v>
      </c>
      <c r="F4744" t="s">
        <v>42</v>
      </c>
      <c r="G4744">
        <v>-208.95740000000001</v>
      </c>
      <c r="H4744">
        <v>0.99397829999999998</v>
      </c>
      <c r="I4744">
        <v>140.45050000000001</v>
      </c>
      <c r="J4744">
        <v>-208.28729999999999</v>
      </c>
      <c r="K4744">
        <v>1.118422</v>
      </c>
      <c r="L4744">
        <v>140.48009999999999</v>
      </c>
      <c r="M4744">
        <v>-0.99655709999999997</v>
      </c>
      <c r="N4744">
        <v>-1.497425E-2</v>
      </c>
      <c r="O4744">
        <v>-8.1546179999999996E-2</v>
      </c>
      <c r="P4744">
        <v>-0.99255110000000002</v>
      </c>
      <c r="Q4744">
        <v>-0.116107</v>
      </c>
      <c r="R4744">
        <v>3.6899849999999998E-2</v>
      </c>
      <c r="S4744">
        <v>-2.979492</v>
      </c>
      <c r="T4744">
        <v>-0.42144789999999999</v>
      </c>
      <c r="U4744">
        <v>-0.1457977</v>
      </c>
      <c r="V4744">
        <v>0.1171261</v>
      </c>
      <c r="W4744">
        <v>-0.10201730000000001</v>
      </c>
      <c r="X4744">
        <v>0.9878633</v>
      </c>
      <c r="Y4744">
        <v>3.1751429999999997E-2</v>
      </c>
      <c r="Z4744">
        <v>1.2711180000000001E-2</v>
      </c>
      <c r="AA4744">
        <v>0.99941500000000005</v>
      </c>
      <c r="AB4744">
        <v>23</v>
      </c>
      <c r="AC4744">
        <v>-0.67010000000001901</v>
      </c>
      <c r="AD4744">
        <v>-0.12444369999999901</v>
      </c>
      <c r="AE4744">
        <v>-2.9599999999987799E-2</v>
      </c>
      <c r="AF4744">
        <v>2.4311987727415999E-2</v>
      </c>
      <c r="AG4744">
        <v>-0.12444369999999901</v>
      </c>
      <c r="AH4744">
        <v>0.64797794053569102</v>
      </c>
      <c r="AI4744">
        <v>100.863786838427</v>
      </c>
      <c r="AJ4744">
        <v>87.851283034188697</v>
      </c>
      <c r="AK4744">
        <v>0.66026715701890204</v>
      </c>
      <c r="AL4744">
        <v>95.855347595502494</v>
      </c>
      <c r="AM4744">
        <v>83.238287561491205</v>
      </c>
      <c r="AN4744">
        <v>0.99999997614369396</v>
      </c>
    </row>
    <row r="4745" spans="1:40" x14ac:dyDescent="0.25">
      <c r="A4745" t="str">
        <f>"20190303154903025"</f>
        <v>20190303154903025</v>
      </c>
      <c r="B4745" t="str">
        <f>"1551599343015613"</f>
        <v>1551599343015613</v>
      </c>
      <c r="C4745" t="s">
        <v>40</v>
      </c>
      <c r="D4745">
        <v>5.9996749999999999</v>
      </c>
      <c r="E4745">
        <v>0.46557159999999898</v>
      </c>
      <c r="F4745" t="s">
        <v>42</v>
      </c>
      <c r="G4745">
        <v>-209.16130000000001</v>
      </c>
      <c r="H4745">
        <v>0.99384329999999999</v>
      </c>
      <c r="I4745">
        <v>140.43129999999999</v>
      </c>
      <c r="J4745">
        <v>-208.5042</v>
      </c>
      <c r="K4745">
        <v>1.11863</v>
      </c>
      <c r="L4745">
        <v>140.46690000000001</v>
      </c>
      <c r="M4745">
        <v>-0.99685219999999997</v>
      </c>
      <c r="N4745">
        <v>-1.492775E-2</v>
      </c>
      <c r="O4745">
        <v>-7.786585E-2</v>
      </c>
      <c r="P4745">
        <v>-0.99274249999999997</v>
      </c>
      <c r="Q4745">
        <v>-0.1155047</v>
      </c>
      <c r="R4745">
        <v>3.348744E-2</v>
      </c>
      <c r="S4745">
        <v>-2.979034</v>
      </c>
      <c r="T4745">
        <v>-0.4245796</v>
      </c>
      <c r="U4745">
        <v>-0.16656489999999999</v>
      </c>
      <c r="V4745">
        <v>0.1101476</v>
      </c>
      <c r="W4745">
        <v>-0.10135470000000001</v>
      </c>
      <c r="X4745">
        <v>0.98873390000000005</v>
      </c>
      <c r="Y4745">
        <v>2.123444E-2</v>
      </c>
      <c r="Z4745">
        <v>1.152508E-2</v>
      </c>
      <c r="AA4745">
        <v>0.99970809999999999</v>
      </c>
      <c r="AB4745">
        <v>23</v>
      </c>
      <c r="AC4745">
        <v>-0.65710000000001401</v>
      </c>
      <c r="AD4745">
        <v>-0.124786699999999</v>
      </c>
      <c r="AE4745">
        <v>-3.56000000000165E-2</v>
      </c>
      <c r="AF4745">
        <v>1.5135218168650801E-2</v>
      </c>
      <c r="AG4745">
        <v>-0.124786699999999</v>
      </c>
      <c r="AH4745">
        <v>0.63504172375284795</v>
      </c>
      <c r="AI4745">
        <v>101.113990482094</v>
      </c>
      <c r="AJ4745">
        <v>88.634703909281001</v>
      </c>
      <c r="AK4745">
        <v>0.64736294783752601</v>
      </c>
      <c r="AL4745">
        <v>95.817185477588893</v>
      </c>
      <c r="AM4745">
        <v>83.643307202192304</v>
      </c>
      <c r="AN4745">
        <v>0.99999999700353004</v>
      </c>
    </row>
    <row r="4746" spans="1:40" x14ac:dyDescent="0.25">
      <c r="A4746" t="str">
        <f>"20190303154903047"</f>
        <v>20190303154903047</v>
      </c>
      <c r="B4746" t="str">
        <f>"1551599343035133"</f>
        <v>1551599343035133</v>
      </c>
      <c r="C4746" t="s">
        <v>40</v>
      </c>
      <c r="D4746">
        <v>6.0755489999999996</v>
      </c>
      <c r="E4746">
        <v>0.46582240000000003</v>
      </c>
      <c r="F4746" t="s">
        <v>42</v>
      </c>
      <c r="G4746">
        <v>-209.3674</v>
      </c>
      <c r="H4746">
        <v>0.99838919999999998</v>
      </c>
      <c r="I4746">
        <v>140.41579999999999</v>
      </c>
      <c r="J4746">
        <v>-208.7296</v>
      </c>
      <c r="K4746">
        <v>1.1187819999999999</v>
      </c>
      <c r="L4746">
        <v>140.45359999999999</v>
      </c>
      <c r="M4746">
        <v>-0.99712679999999998</v>
      </c>
      <c r="N4746">
        <v>-1.4885280000000001E-2</v>
      </c>
      <c r="O4746">
        <v>-7.4273980000000003E-2</v>
      </c>
      <c r="P4746">
        <v>-0.99285219999999996</v>
      </c>
      <c r="Q4746">
        <v>-0.11545329999999999</v>
      </c>
      <c r="R4746">
        <v>3.0251199999999999E-2</v>
      </c>
      <c r="S4746">
        <v>-2.9796140000000002</v>
      </c>
      <c r="T4746">
        <v>-0.4148655</v>
      </c>
      <c r="U4746">
        <v>-0.176651</v>
      </c>
      <c r="V4746">
        <v>0.1034065</v>
      </c>
      <c r="W4746">
        <v>-0.1012617</v>
      </c>
      <c r="X4746">
        <v>0.98947110000000005</v>
      </c>
      <c r="Y4746">
        <v>1.441185E-2</v>
      </c>
      <c r="Z4746">
        <v>1.0274439999999999E-2</v>
      </c>
      <c r="AA4746">
        <v>0.99984340000000005</v>
      </c>
      <c r="AB4746">
        <v>23</v>
      </c>
      <c r="AC4746">
        <v>-0.63779999999999804</v>
      </c>
      <c r="AD4746">
        <v>-0.120392799999999</v>
      </c>
      <c r="AE4746">
        <v>-3.7800000000004198E-2</v>
      </c>
      <c r="AF4746">
        <v>9.3496494391282197E-3</v>
      </c>
      <c r="AG4746">
        <v>-0.120392799999999</v>
      </c>
      <c r="AH4746">
        <v>0.61694033189877096</v>
      </c>
      <c r="AI4746">
        <v>101.04097379452</v>
      </c>
      <c r="AJ4746">
        <v>89.131756476794095</v>
      </c>
      <c r="AK4746">
        <v>0.62864713103603698</v>
      </c>
      <c r="AL4746">
        <v>95.811829705613306</v>
      </c>
      <c r="AM4746">
        <v>84.033856223173203</v>
      </c>
      <c r="AN4746">
        <v>0.99999994693217298</v>
      </c>
    </row>
    <row r="4747" spans="1:40" x14ac:dyDescent="0.25">
      <c r="A4747" t="str">
        <f>"20190303154903070"</f>
        <v>20190303154903070</v>
      </c>
      <c r="B4747" t="str">
        <f>"1551599343065389"</f>
        <v>1551599343065389</v>
      </c>
      <c r="C4747" t="s">
        <v>40</v>
      </c>
      <c r="D4747">
        <v>6.0341610000000001</v>
      </c>
      <c r="E4747">
        <v>0.46577980000000002</v>
      </c>
      <c r="F4747" t="s">
        <v>42</v>
      </c>
      <c r="G4747">
        <v>-209.57300000000001</v>
      </c>
      <c r="H4747">
        <v>1.0026299999999999</v>
      </c>
      <c r="I4747">
        <v>140.4015</v>
      </c>
      <c r="J4747">
        <v>-208.96250000000001</v>
      </c>
      <c r="K4747">
        <v>1.1188979999999999</v>
      </c>
      <c r="L4747">
        <v>140.44059999999999</v>
      </c>
      <c r="M4747">
        <v>-0.99738300000000002</v>
      </c>
      <c r="N4747">
        <v>-1.48472E-2</v>
      </c>
      <c r="O4747">
        <v>-7.0761329999999997E-2</v>
      </c>
      <c r="P4747">
        <v>-0.99293569999999998</v>
      </c>
      <c r="Q4747">
        <v>-0.11523799999999999</v>
      </c>
      <c r="R4747">
        <v>2.8272619999999998E-2</v>
      </c>
      <c r="S4747">
        <v>-2.979492</v>
      </c>
      <c r="T4747">
        <v>-0.41023959999999998</v>
      </c>
      <c r="U4747">
        <v>-0.18418880000000001</v>
      </c>
      <c r="V4747">
        <v>9.7984370000000001E-2</v>
      </c>
      <c r="W4747">
        <v>-0.1010238</v>
      </c>
      <c r="X4747">
        <v>0.99004709999999996</v>
      </c>
      <c r="Y4747">
        <v>8.4719010000000004E-3</v>
      </c>
      <c r="Z4747">
        <v>9.2734629999999992E-3</v>
      </c>
      <c r="AA4747">
        <v>0.99992110000000001</v>
      </c>
      <c r="AB4747">
        <v>23</v>
      </c>
      <c r="AC4747">
        <v>-0.61049999999997295</v>
      </c>
      <c r="AD4747">
        <v>-0.116268</v>
      </c>
      <c r="AE4747">
        <v>-3.9099999999990503E-2</v>
      </c>
      <c r="AF4747">
        <v>4.0560658992160803E-3</v>
      </c>
      <c r="AG4747">
        <v>-0.116268</v>
      </c>
      <c r="AH4747">
        <v>0.59040962765204896</v>
      </c>
      <c r="AI4747">
        <v>101.14031621343899</v>
      </c>
      <c r="AJ4747">
        <v>89.606388868603503</v>
      </c>
      <c r="AK4747">
        <v>0.60176260096387701</v>
      </c>
      <c r="AL4747">
        <v>95.798128455777601</v>
      </c>
      <c r="AM4747">
        <v>84.347877049355006</v>
      </c>
      <c r="AN4747">
        <v>1.0000000025745699</v>
      </c>
    </row>
    <row r="4748" spans="1:40" x14ac:dyDescent="0.25">
      <c r="A4748" t="str">
        <f>"20190303154903092"</f>
        <v>20190303154903092</v>
      </c>
      <c r="B4748" t="str">
        <f>"1551599343085885"</f>
        <v>1551599343085885</v>
      </c>
      <c r="C4748" t="s">
        <v>40</v>
      </c>
      <c r="D4748">
        <v>6.0463430000000002</v>
      </c>
      <c r="E4748">
        <v>0.46636100000000003</v>
      </c>
      <c r="F4748" t="s">
        <v>42</v>
      </c>
      <c r="G4748">
        <v>-209.77860000000001</v>
      </c>
      <c r="H4748">
        <v>1.007541</v>
      </c>
      <c r="I4748">
        <v>140.38849999999999</v>
      </c>
      <c r="J4748">
        <v>-209.18950000000001</v>
      </c>
      <c r="K4748">
        <v>1.1189849999999999</v>
      </c>
      <c r="L4748">
        <v>140.42840000000001</v>
      </c>
      <c r="M4748">
        <v>-0.99761069999999996</v>
      </c>
      <c r="N4748">
        <v>-1.4815139999999999E-2</v>
      </c>
      <c r="O4748">
        <v>-6.7479269999999994E-2</v>
      </c>
      <c r="P4748">
        <v>-0.9930852</v>
      </c>
      <c r="Q4748">
        <v>-0.11429259999999999</v>
      </c>
      <c r="R4748">
        <v>2.6820259999999999E-2</v>
      </c>
      <c r="S4748">
        <v>-2.9795989999999999</v>
      </c>
      <c r="T4748">
        <v>-0.40650950000000002</v>
      </c>
      <c r="U4748">
        <v>-0.19030759999999999</v>
      </c>
      <c r="V4748">
        <v>9.3314270000000005E-2</v>
      </c>
      <c r="W4748">
        <v>-0.1000632</v>
      </c>
      <c r="X4748">
        <v>0.99059569999999997</v>
      </c>
      <c r="Y4748">
        <v>3.2280910000000002E-3</v>
      </c>
      <c r="Z4748">
        <v>8.3917339999999997E-3</v>
      </c>
      <c r="AA4748">
        <v>0.99995959999999995</v>
      </c>
      <c r="AB4748">
        <v>23</v>
      </c>
      <c r="AC4748">
        <v>-0.58910000000000196</v>
      </c>
      <c r="AD4748">
        <v>-0.111444</v>
      </c>
      <c r="AE4748">
        <v>-3.9900000000017102E-2</v>
      </c>
      <c r="AF4748" s="1">
        <v>-5.0824167723950702E-5</v>
      </c>
      <c r="AG4748">
        <v>-0.111444</v>
      </c>
      <c r="AH4748">
        <v>0.570138818221543</v>
      </c>
      <c r="AI4748">
        <v>101.06004905483201</v>
      </c>
      <c r="AJ4748">
        <v>90.005107546104597</v>
      </c>
      <c r="AK4748">
        <v>0.58092860126021795</v>
      </c>
      <c r="AL4748">
        <v>95.742809715535302</v>
      </c>
      <c r="AM4748">
        <v>84.618608672078594</v>
      </c>
      <c r="AN4748">
        <v>1.00000001891918</v>
      </c>
    </row>
    <row r="4749" spans="1:40" x14ac:dyDescent="0.25">
      <c r="A4749" t="str">
        <f>"20190303154903114"</f>
        <v>20190303154903114</v>
      </c>
      <c r="B4749" t="str">
        <f>"1551599343105404"</f>
        <v>1551599343105404</v>
      </c>
      <c r="C4749" t="s">
        <v>40</v>
      </c>
      <c r="D4749">
        <v>6.0647200000000003</v>
      </c>
      <c r="E4749">
        <v>0.46668850000000001</v>
      </c>
      <c r="F4749" t="s">
        <v>42</v>
      </c>
      <c r="G4749">
        <v>-209.9837</v>
      </c>
      <c r="H4749">
        <v>1.01183</v>
      </c>
      <c r="I4749">
        <v>140.37790000000001</v>
      </c>
      <c r="J4749">
        <v>-209.41059999999999</v>
      </c>
      <c r="K4749">
        <v>1.119049</v>
      </c>
      <c r="L4749">
        <v>140.41720000000001</v>
      </c>
      <c r="M4749">
        <v>-0.99781640000000005</v>
      </c>
      <c r="N4749">
        <v>-1.478791E-2</v>
      </c>
      <c r="O4749">
        <v>-6.4372860000000004E-2</v>
      </c>
      <c r="P4749">
        <v>-0.99322809999999995</v>
      </c>
      <c r="Q4749">
        <v>-0.113208199999999</v>
      </c>
      <c r="R4749">
        <v>2.6115590000000001E-2</v>
      </c>
      <c r="S4749">
        <v>-2.979752</v>
      </c>
      <c r="T4749">
        <v>-0.40194380000000002</v>
      </c>
      <c r="U4749">
        <v>-0.19003300000000001</v>
      </c>
      <c r="V4749">
        <v>8.9558360000000004E-2</v>
      </c>
      <c r="W4749">
        <v>-9.8969769999999999E-2</v>
      </c>
      <c r="X4749">
        <v>0.99105209999999999</v>
      </c>
      <c r="Y4749">
        <v>2.7408750000000001E-4</v>
      </c>
      <c r="Z4749">
        <v>7.6988830000000001E-3</v>
      </c>
      <c r="AA4749">
        <v>0.99997029999999998</v>
      </c>
      <c r="AB4749">
        <v>23</v>
      </c>
      <c r="AC4749">
        <v>-0.57310000000001005</v>
      </c>
      <c r="AD4749">
        <v>-0.107218999999999</v>
      </c>
      <c r="AE4749">
        <v>-3.9299999999997198E-2</v>
      </c>
      <c r="AF4749">
        <v>-2.2441712621078498E-3</v>
      </c>
      <c r="AG4749">
        <v>-0.107218999999999</v>
      </c>
      <c r="AH4749">
        <v>0.55510289367129195</v>
      </c>
      <c r="AI4749">
        <v>100.932059304015</v>
      </c>
      <c r="AJ4749">
        <v>90.2316342479442</v>
      </c>
      <c r="AK4749">
        <v>0.56536729019982701</v>
      </c>
      <c r="AL4749">
        <v>95.679848407513703</v>
      </c>
      <c r="AM4749">
        <v>84.836380117425705</v>
      </c>
      <c r="AN4749">
        <v>0.99999999006707596</v>
      </c>
    </row>
    <row r="4750" spans="1:40" x14ac:dyDescent="0.25">
      <c r="A4750" t="str">
        <f>"20190303154903136"</f>
        <v>20190303154903136</v>
      </c>
      <c r="B4750" t="str">
        <f>"1551599343125900"</f>
        <v>1551599343125900</v>
      </c>
      <c r="C4750" t="s">
        <v>40</v>
      </c>
      <c r="D4750">
        <v>6.1078890000000001</v>
      </c>
      <c r="E4750">
        <v>0.46638170000000001</v>
      </c>
      <c r="F4750" t="s">
        <v>42</v>
      </c>
      <c r="G4750">
        <v>-210.18790000000001</v>
      </c>
      <c r="H4750">
        <v>1.0153179999999999</v>
      </c>
      <c r="I4750">
        <v>140.36789999999999</v>
      </c>
      <c r="J4750">
        <v>-209.63849999999999</v>
      </c>
      <c r="K4750">
        <v>1.1190929999999999</v>
      </c>
      <c r="L4750">
        <v>140.40629999999999</v>
      </c>
      <c r="M4750">
        <v>-0.99801459999999997</v>
      </c>
      <c r="N4750">
        <v>-1.476358E-2</v>
      </c>
      <c r="O4750">
        <v>-6.12288E-2</v>
      </c>
      <c r="P4750">
        <v>-0.9932666</v>
      </c>
      <c r="Q4750">
        <v>-0.1129344</v>
      </c>
      <c r="R4750">
        <v>2.5827860000000001E-2</v>
      </c>
      <c r="S4750">
        <v>-2.9801030000000002</v>
      </c>
      <c r="T4750">
        <v>-0.39759889999999998</v>
      </c>
      <c r="U4750">
        <v>-0.18946840000000001</v>
      </c>
      <c r="V4750">
        <v>8.6167019999999997E-2</v>
      </c>
      <c r="W4750">
        <v>-9.8690650000000005E-2</v>
      </c>
      <c r="X4750">
        <v>0.99138059999999995</v>
      </c>
      <c r="Y4750">
        <v>-2.6191930000000001E-3</v>
      </c>
      <c r="Z4750">
        <v>7.023474E-3</v>
      </c>
      <c r="AA4750">
        <v>0.99997190000000002</v>
      </c>
      <c r="AB4750">
        <v>23</v>
      </c>
      <c r="AC4750">
        <v>-0.54940000000001898</v>
      </c>
      <c r="AD4750">
        <v>-0.10377500000000001</v>
      </c>
      <c r="AE4750">
        <v>-3.8399999999995701E-2</v>
      </c>
      <c r="AF4750">
        <v>-4.5245243310031496E-3</v>
      </c>
      <c r="AG4750">
        <v>-0.10377500000000001</v>
      </c>
      <c r="AH4750">
        <v>0.531837426097165</v>
      </c>
      <c r="AI4750">
        <v>101.040741807673</v>
      </c>
      <c r="AJ4750">
        <v>90.487423189789197</v>
      </c>
      <c r="AK4750">
        <v>0.54188630702674101</v>
      </c>
      <c r="AL4750">
        <v>95.663777007412705</v>
      </c>
      <c r="AM4750">
        <v>85.032553039572093</v>
      </c>
      <c r="AN4750">
        <v>1.0000000468947301</v>
      </c>
    </row>
    <row r="4751" spans="1:40" x14ac:dyDescent="0.25">
      <c r="A4751" t="str">
        <f>"20190303154903160"</f>
        <v>20190303154903160</v>
      </c>
      <c r="B4751" t="str">
        <f>"1551599343154968"</f>
        <v>1551599343154968</v>
      </c>
      <c r="C4751" t="s">
        <v>40</v>
      </c>
      <c r="D4751">
        <v>6.0847049999999996</v>
      </c>
      <c r="E4751">
        <v>0.4664142</v>
      </c>
      <c r="F4751" t="s">
        <v>42</v>
      </c>
      <c r="G4751">
        <v>-210.3913</v>
      </c>
      <c r="H4751">
        <v>1.0178879999999999</v>
      </c>
      <c r="I4751">
        <v>140.35759999999999</v>
      </c>
      <c r="J4751">
        <v>-209.87530000000001</v>
      </c>
      <c r="K4751">
        <v>1.119132</v>
      </c>
      <c r="L4751">
        <v>140.3955</v>
      </c>
      <c r="M4751">
        <v>-0.99820779999999998</v>
      </c>
      <c r="N4751">
        <v>-1.4741789999999999E-2</v>
      </c>
      <c r="O4751">
        <v>-5.800226E-2</v>
      </c>
      <c r="P4751">
        <v>-0.9931584</v>
      </c>
      <c r="Q4751">
        <v>-0.1138615</v>
      </c>
      <c r="R4751">
        <v>2.593345E-2</v>
      </c>
      <c r="S4751">
        <v>-2.979813</v>
      </c>
      <c r="T4751">
        <v>-0.40050980000000003</v>
      </c>
      <c r="U4751">
        <v>-0.1929321</v>
      </c>
      <c r="V4751">
        <v>8.3070110000000003E-2</v>
      </c>
      <c r="W4751">
        <v>-9.9616449999999995E-2</v>
      </c>
      <c r="X4751">
        <v>0.99155230000000005</v>
      </c>
      <c r="Y4751">
        <v>-6.9565790000000001E-3</v>
      </c>
      <c r="Z4751">
        <v>6.3780529999999998E-3</v>
      </c>
      <c r="AA4751">
        <v>0.9999555</v>
      </c>
      <c r="AB4751">
        <v>23</v>
      </c>
      <c r="AC4751">
        <v>-0.51599999999999102</v>
      </c>
      <c r="AD4751">
        <v>-0.101244</v>
      </c>
      <c r="AE4751">
        <v>-3.7900000000007601E-2</v>
      </c>
      <c r="AF4751">
        <v>-7.6122810109539403E-3</v>
      </c>
      <c r="AG4751">
        <v>-0.101244</v>
      </c>
      <c r="AH4751">
        <v>0.49825084559356297</v>
      </c>
      <c r="AI4751">
        <v>101.484750380268</v>
      </c>
      <c r="AJ4751">
        <v>90.875297348429498</v>
      </c>
      <c r="AK4751">
        <v>0.50849011739943395</v>
      </c>
      <c r="AL4751">
        <v>95.717084272342504</v>
      </c>
      <c r="AM4751">
        <v>85.211066525804398</v>
      </c>
      <c r="AN4751">
        <v>1.00000002196065</v>
      </c>
    </row>
    <row r="4752" spans="1:40" x14ac:dyDescent="0.25">
      <c r="A4752" t="str">
        <f>"20190303154903184"</f>
        <v>20190303154903184</v>
      </c>
      <c r="B4752" t="str">
        <f>"1551599343175464"</f>
        <v>1551599343175464</v>
      </c>
      <c r="C4752" t="s">
        <v>40</v>
      </c>
      <c r="D4752">
        <v>6.1195240000000002</v>
      </c>
      <c r="E4752">
        <v>0.46636929999999999</v>
      </c>
      <c r="F4752" t="s">
        <v>42</v>
      </c>
      <c r="G4752">
        <v>-210.59479999999999</v>
      </c>
      <c r="H4752">
        <v>1.021414</v>
      </c>
      <c r="I4752">
        <v>140.3492</v>
      </c>
      <c r="J4752">
        <v>-210.11109999999999</v>
      </c>
      <c r="K4752">
        <v>1.119157</v>
      </c>
      <c r="L4752">
        <v>140.38560000000001</v>
      </c>
      <c r="M4752">
        <v>-0.99838720000000003</v>
      </c>
      <c r="N4752">
        <v>-1.4723119999999999E-2</v>
      </c>
      <c r="O4752">
        <v>-5.4828509999999997E-2</v>
      </c>
      <c r="P4752">
        <v>-0.99290900000000004</v>
      </c>
      <c r="Q4752">
        <v>-0.11611349999999999</v>
      </c>
      <c r="R4752">
        <v>2.548885E-2</v>
      </c>
      <c r="S4752">
        <v>-2.9793090000000002</v>
      </c>
      <c r="T4752">
        <v>-0.40459319999999999</v>
      </c>
      <c r="U4752">
        <v>-0.19242860000000001</v>
      </c>
      <c r="V4752">
        <v>7.9459940000000007E-2</v>
      </c>
      <c r="W4752">
        <v>-0.1018667</v>
      </c>
      <c r="X4752">
        <v>0.99161949999999999</v>
      </c>
      <c r="Y4752">
        <v>-9.9334860000000001E-3</v>
      </c>
      <c r="Z4752">
        <v>5.8499590000000001E-3</v>
      </c>
      <c r="AA4752">
        <v>0.99993350000000003</v>
      </c>
      <c r="AB4752">
        <v>23</v>
      </c>
      <c r="AC4752">
        <v>-0.48369999999999802</v>
      </c>
      <c r="AD4752">
        <v>-9.7742999999999899E-2</v>
      </c>
      <c r="AE4752">
        <v>-3.6400000000014601E-2</v>
      </c>
      <c r="AF4752">
        <v>-9.4385670286242802E-3</v>
      </c>
      <c r="AG4752">
        <v>-9.7742999999999899E-2</v>
      </c>
      <c r="AH4752">
        <v>0.46604502961051603</v>
      </c>
      <c r="AI4752">
        <v>101.842528533826</v>
      </c>
      <c r="AJ4752">
        <v>91.160222943898802</v>
      </c>
      <c r="AK4752">
        <v>0.47627801778081302</v>
      </c>
      <c r="AL4752">
        <v>95.846673700450296</v>
      </c>
      <c r="AM4752">
        <v>85.4185933682257</v>
      </c>
      <c r="AN4752">
        <v>0.99999996970697103</v>
      </c>
    </row>
    <row r="4753" spans="1:40" x14ac:dyDescent="0.25">
      <c r="A4753" t="str">
        <f>"20190303154903204"</f>
        <v>20190303154903204</v>
      </c>
      <c r="B4753" t="str">
        <f>"1551599343194984"</f>
        <v>1551599343194984</v>
      </c>
      <c r="C4753" t="s">
        <v>40</v>
      </c>
      <c r="D4753">
        <v>6.0481610000000003</v>
      </c>
      <c r="E4753">
        <v>0.46683249999999998</v>
      </c>
      <c r="F4753" t="s">
        <v>42</v>
      </c>
      <c r="G4753">
        <v>-210.98560000000001</v>
      </c>
      <c r="H4753">
        <v>0.99776169999999997</v>
      </c>
      <c r="I4753">
        <v>140.3288</v>
      </c>
      <c r="J4753">
        <v>-210.3186</v>
      </c>
      <c r="K4753">
        <v>1.1191709999999999</v>
      </c>
      <c r="L4753">
        <v>140.37739999999999</v>
      </c>
      <c r="M4753">
        <v>-0.99853550000000002</v>
      </c>
      <c r="N4753">
        <v>-1.4708529999999999E-2</v>
      </c>
      <c r="O4753">
        <v>-5.2064739999999998E-2</v>
      </c>
      <c r="P4753">
        <v>-0.9927357</v>
      </c>
      <c r="Q4753">
        <v>-0.1176735</v>
      </c>
      <c r="R4753">
        <v>2.5081530000000001E-2</v>
      </c>
      <c r="S4753">
        <v>-2.9780730000000002</v>
      </c>
      <c r="T4753">
        <v>-0.4133327</v>
      </c>
      <c r="U4753">
        <v>-0.19422909999999999</v>
      </c>
      <c r="V4753">
        <v>7.6299859999999997E-2</v>
      </c>
      <c r="W4753">
        <v>-0.1034241</v>
      </c>
      <c r="X4753">
        <v>0.99170650000000005</v>
      </c>
      <c r="Y4753">
        <v>-1.3289280000000001E-2</v>
      </c>
      <c r="Z4753">
        <v>5.4011229999999999E-3</v>
      </c>
      <c r="AA4753">
        <v>0.99989709999999998</v>
      </c>
      <c r="AB4753">
        <v>22</v>
      </c>
      <c r="AC4753">
        <v>-0.66700000000000104</v>
      </c>
      <c r="AD4753">
        <v>-0.121409299999999</v>
      </c>
      <c r="AE4753">
        <v>-4.8599999999993301E-2</v>
      </c>
      <c r="AF4753">
        <v>-1.33627346808066E-2</v>
      </c>
      <c r="AG4753">
        <v>-0.121409299999999</v>
      </c>
      <c r="AH4753">
        <v>0.64729271048594395</v>
      </c>
      <c r="AI4753">
        <v>100.621028059148</v>
      </c>
      <c r="AJ4753">
        <v>91.182648207159303</v>
      </c>
      <c r="AK4753">
        <v>0.65871589767735195</v>
      </c>
      <c r="AL4753">
        <v>95.936379820905501</v>
      </c>
      <c r="AM4753">
        <v>85.600447787753296</v>
      </c>
      <c r="AN4753">
        <v>0.99999999761953895</v>
      </c>
    </row>
    <row r="4754" spans="1:40" x14ac:dyDescent="0.25">
      <c r="A4754" t="str">
        <f>"20190303154903227"</f>
        <v>20190303154903227</v>
      </c>
      <c r="B4754" t="str">
        <f>"1551599343215479"</f>
        <v>1551599343215479</v>
      </c>
      <c r="C4754" t="s">
        <v>40</v>
      </c>
      <c r="D4754">
        <v>6.0807650000000004</v>
      </c>
      <c r="E4754">
        <v>0.46699059999999998</v>
      </c>
      <c r="F4754" t="s">
        <v>42</v>
      </c>
      <c r="G4754">
        <v>-211.18620000000001</v>
      </c>
      <c r="H4754">
        <v>0.99750260000000002</v>
      </c>
      <c r="I4754">
        <v>140.32159999999999</v>
      </c>
      <c r="J4754">
        <v>-210.54349999999999</v>
      </c>
      <c r="K4754">
        <v>1.1191759999999999</v>
      </c>
      <c r="L4754">
        <v>140.36920000000001</v>
      </c>
      <c r="M4754">
        <v>-0.99868590000000002</v>
      </c>
      <c r="N4754">
        <v>-1.4694260000000001E-2</v>
      </c>
      <c r="O4754">
        <v>-4.9097210000000002E-2</v>
      </c>
      <c r="P4754">
        <v>-0.99273750000000005</v>
      </c>
      <c r="Q4754">
        <v>-0.1172998</v>
      </c>
      <c r="R4754">
        <v>2.6706520000000001E-2</v>
      </c>
      <c r="S4754">
        <v>-2.977325</v>
      </c>
      <c r="T4754">
        <v>-0.41753849999999998</v>
      </c>
      <c r="U4754">
        <v>-0.19174189999999999</v>
      </c>
      <c r="V4754">
        <v>7.4984170000000003E-2</v>
      </c>
      <c r="W4754">
        <v>-0.1030551</v>
      </c>
      <c r="X4754">
        <v>0.99184530000000004</v>
      </c>
      <c r="Y4754">
        <v>-1.540589E-2</v>
      </c>
      <c r="Z4754">
        <v>4.9341630000000001E-3</v>
      </c>
      <c r="AA4754">
        <v>0.99986920000000001</v>
      </c>
      <c r="AB4754">
        <v>22</v>
      </c>
      <c r="AC4754">
        <v>-0.64270000000001903</v>
      </c>
      <c r="AD4754">
        <v>-0.121673399999999</v>
      </c>
      <c r="AE4754">
        <v>-4.76000000000169E-2</v>
      </c>
      <c r="AF4754">
        <v>-1.54342438018732E-2</v>
      </c>
      <c r="AG4754">
        <v>-0.121673399999999</v>
      </c>
      <c r="AH4754">
        <v>0.62208768499589395</v>
      </c>
      <c r="AI4754">
        <v>101.06338627794599</v>
      </c>
      <c r="AJ4754">
        <v>91.421239592546002</v>
      </c>
      <c r="AK4754">
        <v>0.63406286752406904</v>
      </c>
      <c r="AL4754">
        <v>95.915123851294794</v>
      </c>
      <c r="AM4754">
        <v>85.676624813777593</v>
      </c>
      <c r="AN4754">
        <v>1.00000003925934</v>
      </c>
    </row>
    <row r="4755" spans="1:40" x14ac:dyDescent="0.25">
      <c r="A4755" t="str">
        <f>"20190303154903247"</f>
        <v>20190303154903247</v>
      </c>
      <c r="B4755" t="str">
        <f>"1551599343235000"</f>
        <v>1551599343235000</v>
      </c>
      <c r="C4755" t="s">
        <v>40</v>
      </c>
      <c r="D4755">
        <v>6.0736990000000004</v>
      </c>
      <c r="E4755">
        <v>0.46703869999999997</v>
      </c>
      <c r="F4755" t="s">
        <v>42</v>
      </c>
      <c r="G4755">
        <v>-211.38820000000001</v>
      </c>
      <c r="H4755">
        <v>1.0008900000000001</v>
      </c>
      <c r="I4755">
        <v>140.3167</v>
      </c>
      <c r="J4755">
        <v>-210.75290000000001</v>
      </c>
      <c r="K4755">
        <v>1.119191</v>
      </c>
      <c r="L4755">
        <v>140.3621</v>
      </c>
      <c r="M4755">
        <v>-0.99881710000000001</v>
      </c>
      <c r="N4755">
        <v>-1.4681990000000001E-2</v>
      </c>
      <c r="O4755">
        <v>-4.6357620000000002E-2</v>
      </c>
      <c r="P4755">
        <v>-0.9929211</v>
      </c>
      <c r="Q4755">
        <v>-0.115772</v>
      </c>
      <c r="R4755">
        <v>2.654695E-2</v>
      </c>
      <c r="S4755">
        <v>-2.9776760000000002</v>
      </c>
      <c r="T4755">
        <v>-0.4168558</v>
      </c>
      <c r="U4755">
        <v>-0.18563840000000001</v>
      </c>
      <c r="V4755">
        <v>7.2125789999999995E-2</v>
      </c>
      <c r="W4755">
        <v>-0.1015199</v>
      </c>
      <c r="X4755">
        <v>0.99221550000000003</v>
      </c>
      <c r="Y4755">
        <v>-1.6070540000000001E-2</v>
      </c>
      <c r="Z4755">
        <v>4.5334870000000001E-3</v>
      </c>
      <c r="AA4755">
        <v>0.99986059999999999</v>
      </c>
      <c r="AB4755">
        <v>22</v>
      </c>
      <c r="AC4755">
        <v>-0.63529999999999998</v>
      </c>
      <c r="AD4755">
        <v>-0.118301</v>
      </c>
      <c r="AE4755">
        <v>-4.5400000000000697E-2</v>
      </c>
      <c r="AF4755">
        <v>-1.5366870214852699E-2</v>
      </c>
      <c r="AG4755">
        <v>-0.118301</v>
      </c>
      <c r="AH4755">
        <v>0.61548797128021904</v>
      </c>
      <c r="AI4755">
        <v>100.87664622715501</v>
      </c>
      <c r="AJ4755">
        <v>91.430204931634293</v>
      </c>
      <c r="AK4755">
        <v>0.62694234989497999</v>
      </c>
      <c r="AL4755">
        <v>95.826699745496398</v>
      </c>
      <c r="AM4755">
        <v>85.842387536588006</v>
      </c>
      <c r="AN4755">
        <v>1.0000000090596901</v>
      </c>
    </row>
    <row r="4756" spans="1:40" x14ac:dyDescent="0.25">
      <c r="A4756" t="str">
        <f>"20190303154903270"</f>
        <v>20190303154903270</v>
      </c>
      <c r="B4756" t="str">
        <f>"1551599343265882"</f>
        <v>1551599343265882</v>
      </c>
      <c r="C4756" t="s">
        <v>40</v>
      </c>
      <c r="D4756">
        <v>6.026351</v>
      </c>
      <c r="E4756">
        <v>0.46739059999999999</v>
      </c>
      <c r="F4756" t="s">
        <v>42</v>
      </c>
      <c r="G4756">
        <v>-211.589</v>
      </c>
      <c r="H4756">
        <v>1.0027090000000001</v>
      </c>
      <c r="I4756">
        <v>140.31</v>
      </c>
      <c r="J4756">
        <v>-210.98269999999999</v>
      </c>
      <c r="K4756">
        <v>1.119211</v>
      </c>
      <c r="L4756">
        <v>140.35489999999999</v>
      </c>
      <c r="M4756">
        <v>-0.99895069999999997</v>
      </c>
      <c r="N4756">
        <v>-1.466949E-2</v>
      </c>
      <c r="O4756">
        <v>-4.3385559999999997E-2</v>
      </c>
      <c r="P4756">
        <v>-0.99298039999999999</v>
      </c>
      <c r="Q4756">
        <v>-0.11515639999999901</v>
      </c>
      <c r="R4756">
        <v>2.700025E-2</v>
      </c>
      <c r="S4756">
        <v>-2.9779659999999999</v>
      </c>
      <c r="T4756">
        <v>-0.41494140000000002</v>
      </c>
      <c r="U4756">
        <v>-0.18573000000000001</v>
      </c>
      <c r="V4756">
        <v>6.9640309999999997E-2</v>
      </c>
      <c r="W4756">
        <v>-0.10089969999999999</v>
      </c>
      <c r="X4756">
        <v>0.99245629999999996</v>
      </c>
      <c r="Y4756">
        <v>-1.9013780000000001E-2</v>
      </c>
      <c r="Z4756">
        <v>3.9160879999999999E-3</v>
      </c>
      <c r="AA4756">
        <v>0.99981149999999996</v>
      </c>
      <c r="AB4756">
        <v>22</v>
      </c>
      <c r="AC4756">
        <v>-0.60630000000003204</v>
      </c>
      <c r="AD4756">
        <v>-0.116501999999999</v>
      </c>
      <c r="AE4756">
        <v>-4.4899999999984098E-2</v>
      </c>
      <c r="AF4756">
        <v>-1.7893159912645E-2</v>
      </c>
      <c r="AG4756">
        <v>-0.116501999999999</v>
      </c>
      <c r="AH4756">
        <v>0.58615299242498098</v>
      </c>
      <c r="AI4756">
        <v>101.23633480836</v>
      </c>
      <c r="AJ4756">
        <v>91.748492777229501</v>
      </c>
      <c r="AK4756">
        <v>0.59788645385592998</v>
      </c>
      <c r="AL4756">
        <v>95.790981459794693</v>
      </c>
      <c r="AM4756">
        <v>85.986154411160697</v>
      </c>
      <c r="AN4756">
        <v>1.0000000148233299</v>
      </c>
    </row>
    <row r="4757" spans="1:40" x14ac:dyDescent="0.25">
      <c r="A4757" t="str">
        <f>"20190303154903293"</f>
        <v>20190303154903293</v>
      </c>
      <c r="B4757" t="str">
        <f>"1551599343285402"</f>
        <v>1551599343285402</v>
      </c>
      <c r="C4757" t="s">
        <v>40</v>
      </c>
      <c r="D4757">
        <v>5.9618679999999999</v>
      </c>
      <c r="E4757">
        <v>0.4678233</v>
      </c>
      <c r="F4757" t="s">
        <v>42</v>
      </c>
      <c r="G4757">
        <v>-211.79060000000001</v>
      </c>
      <c r="H4757">
        <v>1.0068029999999999</v>
      </c>
      <c r="I4757">
        <v>140.3058</v>
      </c>
      <c r="J4757">
        <v>-211.20570000000001</v>
      </c>
      <c r="K4757">
        <v>1.119229</v>
      </c>
      <c r="L4757">
        <v>140.3486</v>
      </c>
      <c r="M4757">
        <v>-0.99907069999999998</v>
      </c>
      <c r="N4757">
        <v>-1.4658020000000001E-2</v>
      </c>
      <c r="O4757">
        <v>-4.0534199999999999E-2</v>
      </c>
      <c r="P4757">
        <v>-0.99296949999999995</v>
      </c>
      <c r="Q4757">
        <v>-0.1151138</v>
      </c>
      <c r="R4757">
        <v>2.7579449999999998E-2</v>
      </c>
      <c r="S4757">
        <v>-2.9781339999999998</v>
      </c>
      <c r="T4757">
        <v>-0.41431639999999997</v>
      </c>
      <c r="U4757">
        <v>-0.1815186</v>
      </c>
      <c r="V4757">
        <v>6.7395960000000005E-2</v>
      </c>
      <c r="W4757">
        <v>-0.100853</v>
      </c>
      <c r="X4757">
        <v>0.9926159</v>
      </c>
      <c r="Y4757">
        <v>-2.0418229999999999E-2</v>
      </c>
      <c r="Z4757">
        <v>3.4498939999999998E-3</v>
      </c>
      <c r="AA4757">
        <v>0.99978560000000005</v>
      </c>
      <c r="AB4757">
        <v>22</v>
      </c>
      <c r="AC4757">
        <v>-0.58490000000000397</v>
      </c>
      <c r="AD4757">
        <v>-0.112425999999999</v>
      </c>
      <c r="AE4757">
        <v>-4.2799999999999699E-2</v>
      </c>
      <c r="AF4757">
        <v>-1.8378420924082799E-2</v>
      </c>
      <c r="AG4757">
        <v>-0.112425999999999</v>
      </c>
      <c r="AH4757">
        <v>0.56537694730163002</v>
      </c>
      <c r="AI4757">
        <v>101.24085390510101</v>
      </c>
      <c r="AJ4757">
        <v>91.861829172721897</v>
      </c>
      <c r="AK4757">
        <v>0.57673951171371396</v>
      </c>
      <c r="AL4757">
        <v>95.788292497586895</v>
      </c>
      <c r="AM4757">
        <v>86.115731654363501</v>
      </c>
      <c r="AN4757">
        <v>0.99999993398306297</v>
      </c>
    </row>
    <row r="4758" spans="1:40" x14ac:dyDescent="0.25">
      <c r="A4758" t="str">
        <f>"20190303154903316"</f>
        <v>20190303154903316</v>
      </c>
      <c r="B4758" t="str">
        <f>"1551599343305898"</f>
        <v>1551599343305898</v>
      </c>
      <c r="C4758" t="s">
        <v>40</v>
      </c>
      <c r="D4758">
        <v>5.9582199999999998</v>
      </c>
      <c r="E4758">
        <v>0.4681379</v>
      </c>
      <c r="F4758" t="s">
        <v>42</v>
      </c>
      <c r="G4758">
        <v>-211.9913</v>
      </c>
      <c r="H4758">
        <v>1.010127</v>
      </c>
      <c r="I4758">
        <v>140.3021</v>
      </c>
      <c r="J4758">
        <v>-211.43039999999999</v>
      </c>
      <c r="K4758">
        <v>1.119251</v>
      </c>
      <c r="L4758">
        <v>140.34280000000001</v>
      </c>
      <c r="M4758">
        <v>-0.99918200000000001</v>
      </c>
      <c r="N4758">
        <v>-1.4647210000000001E-2</v>
      </c>
      <c r="O4758">
        <v>-3.7693009999999999E-2</v>
      </c>
      <c r="P4758">
        <v>-0.99297409999999997</v>
      </c>
      <c r="Q4758">
        <v>-0.1149995</v>
      </c>
      <c r="R4758">
        <v>2.7883959999999999E-2</v>
      </c>
      <c r="S4758">
        <v>-2.9782259999999998</v>
      </c>
      <c r="T4758">
        <v>-0.41357300000000002</v>
      </c>
      <c r="U4758">
        <v>-0.1763306</v>
      </c>
      <c r="V4758">
        <v>6.4888329999999994E-2</v>
      </c>
      <c r="W4758">
        <v>-0.10073260000000001</v>
      </c>
      <c r="X4758">
        <v>0.99279530000000005</v>
      </c>
      <c r="Y4758">
        <v>-2.149065E-2</v>
      </c>
      <c r="Z4758">
        <v>3.0107440000000001E-3</v>
      </c>
      <c r="AA4758">
        <v>0.99976449999999994</v>
      </c>
      <c r="AB4758">
        <v>22</v>
      </c>
      <c r="AC4758">
        <v>-0.56090000000000295</v>
      </c>
      <c r="AD4758">
        <v>-0.109124</v>
      </c>
      <c r="AE4758">
        <v>-4.0700000000015203E-2</v>
      </c>
      <c r="AF4758">
        <v>-1.8818246916812199E-2</v>
      </c>
      <c r="AG4758">
        <v>-0.109124</v>
      </c>
      <c r="AH4758">
        <v>0.54164165335764103</v>
      </c>
      <c r="AI4758">
        <v>101.384150444135</v>
      </c>
      <c r="AJ4758">
        <v>91.989825945313598</v>
      </c>
      <c r="AK4758">
        <v>0.55284523552710596</v>
      </c>
      <c r="AL4758">
        <v>95.781358218513205</v>
      </c>
      <c r="AM4758">
        <v>86.260511101245697</v>
      </c>
      <c r="AN4758">
        <v>1.00000002988751</v>
      </c>
    </row>
    <row r="4759" spans="1:40" x14ac:dyDescent="0.25">
      <c r="A4759" t="str">
        <f>"20190303154903339"</f>
        <v>20190303154903339</v>
      </c>
      <c r="B4759" t="str">
        <f>"1551599343335179"</f>
        <v>1551599343335179</v>
      </c>
      <c r="C4759" t="s">
        <v>40</v>
      </c>
      <c r="D4759">
        <v>5.9353350000000002</v>
      </c>
      <c r="E4759">
        <v>0.46861170000000002</v>
      </c>
      <c r="F4759" t="s">
        <v>42</v>
      </c>
      <c r="G4759">
        <v>-212.1918</v>
      </c>
      <c r="H4759">
        <v>1.0134590000000001</v>
      </c>
      <c r="I4759">
        <v>140.2989</v>
      </c>
      <c r="J4759">
        <v>-211.66069999999999</v>
      </c>
      <c r="K4759">
        <v>1.1192789999999999</v>
      </c>
      <c r="L4759">
        <v>140.33750000000001</v>
      </c>
      <c r="M4759">
        <v>-0.99928689999999998</v>
      </c>
      <c r="N4759">
        <v>-1.463688E-2</v>
      </c>
      <c r="O4759">
        <v>-3.4805269999999999E-2</v>
      </c>
      <c r="P4759">
        <v>-0.99305779999999999</v>
      </c>
      <c r="Q4759">
        <v>-0.114123</v>
      </c>
      <c r="R4759">
        <v>2.8502429999999999E-2</v>
      </c>
      <c r="S4759">
        <v>-2.9781650000000002</v>
      </c>
      <c r="T4759">
        <v>-0.41365550000000001</v>
      </c>
      <c r="U4759">
        <v>-0.17279050000000001</v>
      </c>
      <c r="V4759">
        <v>6.2653180000000003E-2</v>
      </c>
      <c r="W4759">
        <v>-9.9850530000000007E-2</v>
      </c>
      <c r="X4759">
        <v>0.99302789999999996</v>
      </c>
      <c r="Y4759">
        <v>-2.3157210000000001E-2</v>
      </c>
      <c r="Z4759">
        <v>2.52849E-3</v>
      </c>
      <c r="AA4759">
        <v>0.99972859999999997</v>
      </c>
      <c r="AB4759">
        <v>22</v>
      </c>
      <c r="AC4759">
        <v>-0.53110000000000901</v>
      </c>
      <c r="AD4759">
        <v>-0.10582</v>
      </c>
      <c r="AE4759">
        <v>-3.8600000000002403E-2</v>
      </c>
      <c r="AF4759">
        <v>-1.9326337323708798E-2</v>
      </c>
      <c r="AG4759">
        <v>-0.10582</v>
      </c>
      <c r="AH4759">
        <v>0.51190623403230695</v>
      </c>
      <c r="AI4759">
        <v>101.671446944976</v>
      </c>
      <c r="AJ4759">
        <v>92.162098909688098</v>
      </c>
      <c r="AK4759">
        <v>0.52308639071905605</v>
      </c>
      <c r="AL4759">
        <v>95.730563514673094</v>
      </c>
      <c r="AM4759">
        <v>86.389818621608001</v>
      </c>
      <c r="AN4759">
        <v>0.99999997974190102</v>
      </c>
    </row>
    <row r="4760" spans="1:40" x14ac:dyDescent="0.25">
      <c r="A4760" t="str">
        <f>"20190303154903362"</f>
        <v>20190303154903362</v>
      </c>
      <c r="B4760" t="str">
        <f>"1551599343355412"</f>
        <v>1551599343355412</v>
      </c>
      <c r="C4760" t="s">
        <v>40</v>
      </c>
      <c r="D4760">
        <v>6.0007789999999996</v>
      </c>
      <c r="E4760">
        <v>0.48674679999999998</v>
      </c>
      <c r="F4760" t="s">
        <v>42</v>
      </c>
      <c r="G4760">
        <v>-212.39250000000001</v>
      </c>
      <c r="H4760">
        <v>1.0182800000000001</v>
      </c>
      <c r="I4760">
        <v>140.29650000000001</v>
      </c>
      <c r="J4760">
        <v>-211.88499999999999</v>
      </c>
      <c r="K4760">
        <v>1.1192899999999999</v>
      </c>
      <c r="L4760">
        <v>140.333</v>
      </c>
      <c r="M4760">
        <v>-0.99938059999999995</v>
      </c>
      <c r="N4760">
        <v>-1.4627589999999999E-2</v>
      </c>
      <c r="O4760">
        <v>-3.201172E-2</v>
      </c>
      <c r="P4760">
        <v>-0.99310770000000004</v>
      </c>
      <c r="Q4760">
        <v>-0.1135608</v>
      </c>
      <c r="R4760">
        <v>2.9007539999999998E-2</v>
      </c>
      <c r="S4760">
        <v>-2.9785309999999998</v>
      </c>
      <c r="T4760">
        <v>-0.41103840000000003</v>
      </c>
      <c r="U4760">
        <v>-0.16690060000000001</v>
      </c>
      <c r="V4760">
        <v>6.0392840000000003E-2</v>
      </c>
      <c r="W4760">
        <v>-9.9283860000000002E-2</v>
      </c>
      <c r="X4760">
        <v>0.99322469999999996</v>
      </c>
      <c r="Y4760">
        <v>-2.394421E-2</v>
      </c>
      <c r="Z4760">
        <v>2.1064690000000001E-3</v>
      </c>
      <c r="AA4760">
        <v>0.99971109999999996</v>
      </c>
      <c r="AB4760">
        <v>22</v>
      </c>
      <c r="AC4760">
        <v>-0.50750000000002105</v>
      </c>
      <c r="AD4760">
        <v>-0.10101</v>
      </c>
      <c r="AE4760">
        <v>-3.6499999999989499E-2</v>
      </c>
      <c r="AF4760">
        <v>-1.94664173586836E-2</v>
      </c>
      <c r="AG4760">
        <v>-0.10101</v>
      </c>
      <c r="AH4760">
        <v>0.48913131122320902</v>
      </c>
      <c r="AI4760">
        <v>101.659095290387</v>
      </c>
      <c r="AJ4760">
        <v>92.279051115829802</v>
      </c>
      <c r="AK4760">
        <v>0.49983137268854799</v>
      </c>
      <c r="AL4760">
        <v>95.6979337846346</v>
      </c>
      <c r="AM4760">
        <v>86.520425002580197</v>
      </c>
      <c r="AN4760">
        <v>0.99999994233492495</v>
      </c>
    </row>
    <row r="4761" spans="1:40" x14ac:dyDescent="0.25">
      <c r="A4761" t="str">
        <f>"20190303154903384"</f>
        <v>20190303154903384</v>
      </c>
      <c r="B4761" t="str">
        <f>"1551599343375908"</f>
        <v>1551599343375908</v>
      </c>
      <c r="C4761" t="s">
        <v>40</v>
      </c>
      <c r="D4761">
        <v>5.9601290000000002</v>
      </c>
      <c r="E4761">
        <v>0.48914970000000002</v>
      </c>
      <c r="F4761" t="s">
        <v>42</v>
      </c>
      <c r="G4761">
        <v>-212.7843</v>
      </c>
      <c r="H4761">
        <v>1.009477</v>
      </c>
      <c r="I4761">
        <v>140.3272</v>
      </c>
      <c r="J4761">
        <v>-212.10900000000001</v>
      </c>
      <c r="K4761">
        <v>1.1192959999999901</v>
      </c>
      <c r="L4761">
        <v>140.32910000000001</v>
      </c>
      <c r="M4761">
        <v>-0.99946579999999996</v>
      </c>
      <c r="N4761">
        <v>-1.4619099999999999E-2</v>
      </c>
      <c r="O4761">
        <v>-2.9231529999999999E-2</v>
      </c>
      <c r="P4761">
        <v>-0.9931508</v>
      </c>
      <c r="Q4761">
        <v>-0.1129178</v>
      </c>
      <c r="R4761">
        <v>3.002264E-2</v>
      </c>
      <c r="S4761">
        <v>-2.9797820000000002</v>
      </c>
      <c r="T4761">
        <v>-0.36381039999999998</v>
      </c>
      <c r="U4761">
        <v>-1.927185E-2</v>
      </c>
      <c r="V4761">
        <v>5.865331E-2</v>
      </c>
      <c r="W4761">
        <v>-9.8639370000000004E-2</v>
      </c>
      <c r="X4761">
        <v>0.99339319999999998</v>
      </c>
      <c r="Y4761">
        <v>2.2414779999999999E-2</v>
      </c>
      <c r="Z4761">
        <v>4.6570379999999996E-3</v>
      </c>
      <c r="AA4761">
        <v>0.99973789999999996</v>
      </c>
      <c r="AB4761">
        <v>22</v>
      </c>
      <c r="AC4761">
        <v>-0.67529999999999202</v>
      </c>
      <c r="AD4761">
        <v>-0.109818999999999</v>
      </c>
      <c r="AE4761">
        <v>-1.90000000000623E-3</v>
      </c>
      <c r="AF4761">
        <v>1.7383257652749701E-2</v>
      </c>
      <c r="AG4761">
        <v>-0.109818999999999</v>
      </c>
      <c r="AH4761">
        <v>0.65767413492239002</v>
      </c>
      <c r="AI4761">
        <v>99.4765877255997</v>
      </c>
      <c r="AJ4761">
        <v>88.485944021183997</v>
      </c>
      <c r="AK4761">
        <v>0.66700649033838999</v>
      </c>
      <c r="AL4761">
        <v>95.660824780078201</v>
      </c>
      <c r="AM4761">
        <v>86.620985400712598</v>
      </c>
      <c r="AN4761">
        <v>0.99999999294709596</v>
      </c>
    </row>
    <row r="4762" spans="1:40" x14ac:dyDescent="0.25">
      <c r="A4762" t="str">
        <f>"20190303154903405"</f>
        <v>20190303154903405</v>
      </c>
      <c r="B4762" t="str">
        <f>"1551599343395428"</f>
        <v>1551599343395428</v>
      </c>
      <c r="C4762" t="s">
        <v>40</v>
      </c>
      <c r="D4762">
        <v>5.9721900000000003</v>
      </c>
      <c r="E4762">
        <v>0.48997560000000001</v>
      </c>
      <c r="F4762" t="s">
        <v>42</v>
      </c>
      <c r="G4762">
        <v>-212.9863</v>
      </c>
      <c r="H4762">
        <v>1.019126</v>
      </c>
      <c r="I4762">
        <v>140.33029999999999</v>
      </c>
      <c r="J4762">
        <v>-212.31139999999999</v>
      </c>
      <c r="K4762">
        <v>1.1193040000000001</v>
      </c>
      <c r="L4762">
        <v>140.3261</v>
      </c>
      <c r="M4762">
        <v>-0.99953619999999999</v>
      </c>
      <c r="N4762">
        <v>-1.461195E-2</v>
      </c>
      <c r="O4762">
        <v>-2.672093E-2</v>
      </c>
      <c r="P4762">
        <v>-0.99318740000000005</v>
      </c>
      <c r="Q4762">
        <v>-0.11241379999999999</v>
      </c>
      <c r="R4762">
        <v>3.069181E-2</v>
      </c>
      <c r="S4762">
        <v>-2.9818880000000001</v>
      </c>
      <c r="T4762">
        <v>-0.34035189999999999</v>
      </c>
      <c r="U4762">
        <v>3.4484860000000002E-3</v>
      </c>
      <c r="V4762">
        <v>5.6833259999999997E-2</v>
      </c>
      <c r="W4762">
        <v>-9.8133100000000001E-2</v>
      </c>
      <c r="X4762">
        <v>0.99354909999999996</v>
      </c>
      <c r="Y4762">
        <v>2.7546049999999999E-2</v>
      </c>
      <c r="Z4762">
        <v>4.4193510000000002E-3</v>
      </c>
      <c r="AA4762">
        <v>0.99961080000000002</v>
      </c>
      <c r="AB4762">
        <v>22</v>
      </c>
      <c r="AC4762">
        <v>-0.67490000000000705</v>
      </c>
      <c r="AD4762">
        <v>-0.100178</v>
      </c>
      <c r="AE4762">
        <v>4.1999999999973101E-3</v>
      </c>
      <c r="AF4762">
        <v>2.1755077496691699E-2</v>
      </c>
      <c r="AG4762">
        <v>-0.100178</v>
      </c>
      <c r="AH4762">
        <v>0.66000564282688501</v>
      </c>
      <c r="AI4762">
        <v>98.626066349709603</v>
      </c>
      <c r="AJ4762">
        <v>88.112102519628607</v>
      </c>
      <c r="AK4762">
        <v>0.66791942900638601</v>
      </c>
      <c r="AL4762">
        <v>95.631676358200096</v>
      </c>
      <c r="AM4762">
        <v>86.726119284427597</v>
      </c>
      <c r="AN4762">
        <v>0.99999996943432301</v>
      </c>
    </row>
    <row r="4763" spans="1:40" x14ac:dyDescent="0.25">
      <c r="A4763" t="str">
        <f>"20190303154903427"</f>
        <v>20190303154903427</v>
      </c>
      <c r="B4763" t="str">
        <f>"1551599343414948"</f>
        <v>1551599343414948</v>
      </c>
      <c r="C4763" t="s">
        <v>40</v>
      </c>
      <c r="D4763">
        <v>5.9515760000000002</v>
      </c>
      <c r="E4763">
        <v>0.49065239999999999</v>
      </c>
      <c r="F4763" t="s">
        <v>42</v>
      </c>
      <c r="G4763">
        <v>-213.185</v>
      </c>
      <c r="H4763">
        <v>1.0229280000000001</v>
      </c>
      <c r="I4763">
        <v>140.32980000000001</v>
      </c>
      <c r="J4763">
        <v>-212.5309</v>
      </c>
      <c r="K4763">
        <v>1.1193059999999999</v>
      </c>
      <c r="L4763">
        <v>140.32339999999999</v>
      </c>
      <c r="M4763">
        <v>-0.99960550000000004</v>
      </c>
      <c r="N4763">
        <v>-1.460471E-2</v>
      </c>
      <c r="O4763">
        <v>-2.398929E-2</v>
      </c>
      <c r="P4763">
        <v>-0.99326289999999995</v>
      </c>
      <c r="Q4763">
        <v>-0.1114803</v>
      </c>
      <c r="R4763">
        <v>3.1637369999999998E-2</v>
      </c>
      <c r="S4763">
        <v>-2.9829560000000002</v>
      </c>
      <c r="T4763">
        <v>-0.32903559999999998</v>
      </c>
      <c r="U4763">
        <v>1.242065E-2</v>
      </c>
      <c r="V4763">
        <v>5.5071599999999998E-2</v>
      </c>
      <c r="W4763">
        <v>-9.7197530000000004E-2</v>
      </c>
      <c r="X4763">
        <v>0.99374030000000002</v>
      </c>
      <c r="Y4763">
        <v>2.7853340000000001E-2</v>
      </c>
      <c r="Z4763">
        <v>4.0241349999999999E-3</v>
      </c>
      <c r="AA4763">
        <v>0.99960389999999999</v>
      </c>
      <c r="AB4763">
        <v>22</v>
      </c>
      <c r="AC4763">
        <v>-0.65409999999999902</v>
      </c>
      <c r="AD4763">
        <v>-9.6377999999999797E-2</v>
      </c>
      <c r="AE4763">
        <v>6.4000000000134999E-3</v>
      </c>
      <c r="AF4763">
        <v>2.16218527798741E-2</v>
      </c>
      <c r="AG4763">
        <v>-9.6377999999999797E-2</v>
      </c>
      <c r="AH4763">
        <v>0.63986772740821796</v>
      </c>
      <c r="AI4763">
        <v>98.560788783101899</v>
      </c>
      <c r="AJ4763">
        <v>88.064647332963602</v>
      </c>
      <c r="AK4763">
        <v>0.64744647035889502</v>
      </c>
      <c r="AL4763">
        <v>95.577814405793603</v>
      </c>
      <c r="AM4763">
        <v>86.8279982991927</v>
      </c>
      <c r="AN4763">
        <v>1.00000001240437</v>
      </c>
    </row>
    <row r="4764" spans="1:40" x14ac:dyDescent="0.25">
      <c r="A4764" t="str">
        <f>"20190303154903450"</f>
        <v>20190303154903450</v>
      </c>
      <c r="B4764" t="str">
        <f>"1551599343446180"</f>
        <v>1551599343446180</v>
      </c>
      <c r="C4764" t="s">
        <v>40</v>
      </c>
      <c r="D4764">
        <v>5.9853120000000004</v>
      </c>
      <c r="E4764">
        <v>0.4913883</v>
      </c>
      <c r="F4764" t="s">
        <v>42</v>
      </c>
      <c r="G4764">
        <v>-213.3835</v>
      </c>
      <c r="H4764">
        <v>1.027253</v>
      </c>
      <c r="I4764">
        <v>140.3296</v>
      </c>
      <c r="J4764">
        <v>-212.74809999999999</v>
      </c>
      <c r="K4764">
        <v>1.119305</v>
      </c>
      <c r="L4764">
        <v>140.32140000000001</v>
      </c>
      <c r="M4764">
        <v>-0.99966710000000003</v>
      </c>
      <c r="N4764">
        <v>-1.459801E-2</v>
      </c>
      <c r="O4764">
        <v>-2.127182E-2</v>
      </c>
      <c r="P4764">
        <v>-0.99324270000000003</v>
      </c>
      <c r="Q4764">
        <v>-0.1114218</v>
      </c>
      <c r="R4764">
        <v>3.2463899999999997E-2</v>
      </c>
      <c r="S4764">
        <v>-2.9835509999999998</v>
      </c>
      <c r="T4764">
        <v>-0.32196740000000001</v>
      </c>
      <c r="U4764">
        <v>2.0706180000000001E-2</v>
      </c>
      <c r="V4764">
        <v>5.3199030000000001E-2</v>
      </c>
      <c r="W4764">
        <v>-9.7137349999999997E-2</v>
      </c>
      <c r="X4764">
        <v>0.99384819999999996</v>
      </c>
      <c r="Y4764">
        <v>2.7935359999999999E-2</v>
      </c>
      <c r="Z4764">
        <v>3.68651E-3</v>
      </c>
      <c r="AA4764">
        <v>0.99960289999999996</v>
      </c>
      <c r="AB4764">
        <v>22</v>
      </c>
      <c r="AC4764">
        <v>-0.63540000000000396</v>
      </c>
      <c r="AD4764">
        <v>-9.2051999999999995E-2</v>
      </c>
      <c r="AE4764">
        <v>8.1999999999879895E-3</v>
      </c>
      <c r="AF4764">
        <v>2.12693714109192E-2</v>
      </c>
      <c r="AG4764">
        <v>-9.2051999999999995E-2</v>
      </c>
      <c r="AH4764">
        <v>0.62202875430681404</v>
      </c>
      <c r="AI4764">
        <v>98.413072329547504</v>
      </c>
      <c r="AJ4764">
        <v>88.041616897917095</v>
      </c>
      <c r="AK4764">
        <v>0.62916271984972405</v>
      </c>
      <c r="AL4764">
        <v>95.574349892385797</v>
      </c>
      <c r="AM4764">
        <v>86.935977058296899</v>
      </c>
      <c r="AN4764">
        <v>1.0000000231006001</v>
      </c>
    </row>
    <row r="4765" spans="1:40" x14ac:dyDescent="0.25">
      <c r="A4765" t="str">
        <f>"20190303154903472"</f>
        <v>20190303154903472</v>
      </c>
      <c r="B4765" t="str">
        <f>"1551599343465701"</f>
        <v>1551599343465701</v>
      </c>
      <c r="C4765" t="s">
        <v>40</v>
      </c>
      <c r="D4765">
        <v>5.934507</v>
      </c>
      <c r="E4765">
        <v>0.49145080000000002</v>
      </c>
      <c r="F4765" t="s">
        <v>42</v>
      </c>
      <c r="G4765">
        <v>-213.58080000000001</v>
      </c>
      <c r="H4765">
        <v>1.029671</v>
      </c>
      <c r="I4765">
        <v>140.3296</v>
      </c>
      <c r="J4765">
        <v>-212.97559999999999</v>
      </c>
      <c r="K4765">
        <v>1.1193040000000001</v>
      </c>
      <c r="L4765">
        <v>140.32</v>
      </c>
      <c r="M4765">
        <v>-0.9997241</v>
      </c>
      <c r="N4765">
        <v>-1.4591379999999999E-2</v>
      </c>
      <c r="O4765">
        <v>-1.84081E-2</v>
      </c>
      <c r="P4765">
        <v>-0.9932569</v>
      </c>
      <c r="Q4765">
        <v>-0.1110833</v>
      </c>
      <c r="R4765">
        <v>3.3189160000000002E-2</v>
      </c>
      <c r="S4765">
        <v>-2.9834290000000001</v>
      </c>
      <c r="T4765">
        <v>-0.32112659999999998</v>
      </c>
      <c r="U4765">
        <v>2.9113770000000001E-2</v>
      </c>
      <c r="V4765">
        <v>5.10819E-2</v>
      </c>
      <c r="W4765">
        <v>-9.679538E-2</v>
      </c>
      <c r="X4765">
        <v>0.9939926</v>
      </c>
      <c r="Y4765">
        <v>2.7902980000000001E-2</v>
      </c>
      <c r="Z4765">
        <v>3.4092380000000002E-3</v>
      </c>
      <c r="AA4765">
        <v>0.99960479999999996</v>
      </c>
      <c r="AB4765">
        <v>22</v>
      </c>
      <c r="AC4765">
        <v>-0.60520000000002405</v>
      </c>
      <c r="AD4765">
        <v>-8.9633000000000004E-2</v>
      </c>
      <c r="AE4765">
        <v>9.6000000000060395E-3</v>
      </c>
      <c r="AF4765">
        <v>2.0295080038517498E-2</v>
      </c>
      <c r="AG4765">
        <v>-8.9633000000000004E-2</v>
      </c>
      <c r="AH4765">
        <v>0.59193975067804205</v>
      </c>
      <c r="AI4765">
        <v>98.605478334407593</v>
      </c>
      <c r="AJ4765">
        <v>88.036342188244205</v>
      </c>
      <c r="AK4765">
        <v>0.59903141269515403</v>
      </c>
      <c r="AL4765">
        <v>95.554663829693794</v>
      </c>
      <c r="AM4765">
        <v>87.058122144302203</v>
      </c>
      <c r="AN4765">
        <v>0.99999999747585699</v>
      </c>
    </row>
    <row r="4766" spans="1:40" x14ac:dyDescent="0.25">
      <c r="A4766" t="str">
        <f>"20190303154903495"</f>
        <v>20190303154903495</v>
      </c>
      <c r="B4766" t="str">
        <f>"1551599343485221"</f>
        <v>1551599343485221</v>
      </c>
      <c r="C4766" t="s">
        <v>40</v>
      </c>
      <c r="D4766">
        <v>5.9152100000000001</v>
      </c>
      <c r="E4766">
        <v>0.49165120000000001</v>
      </c>
      <c r="F4766" t="s">
        <v>42</v>
      </c>
      <c r="G4766">
        <v>-213.7782</v>
      </c>
      <c r="H4766">
        <v>1.033199</v>
      </c>
      <c r="I4766">
        <v>140.3288</v>
      </c>
      <c r="J4766">
        <v>-213.19329999999999</v>
      </c>
      <c r="K4766">
        <v>1.119305</v>
      </c>
      <c r="L4766">
        <v>140.3192</v>
      </c>
      <c r="M4766">
        <v>-0.99977110000000002</v>
      </c>
      <c r="N4766">
        <v>-1.458537E-2</v>
      </c>
      <c r="O4766">
        <v>-1.56542E-2</v>
      </c>
      <c r="P4766">
        <v>-0.99332540000000003</v>
      </c>
      <c r="Q4766">
        <v>-0.1101129</v>
      </c>
      <c r="R4766">
        <v>3.4349320000000003E-2</v>
      </c>
      <c r="S4766">
        <v>-2.983536</v>
      </c>
      <c r="T4766">
        <v>-0.31997779999999998</v>
      </c>
      <c r="U4766">
        <v>3.1799319999999999E-2</v>
      </c>
      <c r="V4766">
        <v>4.9512210000000001E-2</v>
      </c>
      <c r="W4766">
        <v>-9.5822359999999995E-2</v>
      </c>
      <c r="X4766">
        <v>0.99416629999999995</v>
      </c>
      <c r="Y4766">
        <v>2.6074360000000001E-2</v>
      </c>
      <c r="Z4766">
        <v>3.0312070000000002E-3</v>
      </c>
      <c r="AA4766">
        <v>0.99965539999999997</v>
      </c>
      <c r="AB4766">
        <v>22</v>
      </c>
      <c r="AC4766">
        <v>-0.58490000000000397</v>
      </c>
      <c r="AD4766">
        <v>-8.6106000000000002E-2</v>
      </c>
      <c r="AE4766">
        <v>9.6000000000060395E-3</v>
      </c>
      <c r="AF4766">
        <v>1.8358183273911199E-2</v>
      </c>
      <c r="AG4766">
        <v>-8.6106000000000002E-2</v>
      </c>
      <c r="AH4766">
        <v>0.57227880083685101</v>
      </c>
      <c r="AI4766">
        <v>98.552296961495998</v>
      </c>
      <c r="AJ4766">
        <v>88.162633606164604</v>
      </c>
      <c r="AK4766">
        <v>0.57901147831142596</v>
      </c>
      <c r="AL4766">
        <v>95.498653466644996</v>
      </c>
      <c r="AM4766">
        <v>87.148868621172795</v>
      </c>
      <c r="AN4766">
        <v>1.0000000078353699</v>
      </c>
    </row>
    <row r="4767" spans="1:40" x14ac:dyDescent="0.25">
      <c r="A4767" t="str">
        <f>"20190303154903516"</f>
        <v>20190303154903516</v>
      </c>
      <c r="B4767" t="str">
        <f>"1551599343505716"</f>
        <v>1551599343505716</v>
      </c>
      <c r="C4767" t="s">
        <v>40</v>
      </c>
      <c r="D4767">
        <v>5.8870149999999999</v>
      </c>
      <c r="E4767">
        <v>0.49183900000000003</v>
      </c>
      <c r="F4767" t="s">
        <v>42</v>
      </c>
      <c r="G4767">
        <v>-213.97479999999999</v>
      </c>
      <c r="H4767">
        <v>1.035895</v>
      </c>
      <c r="I4767">
        <v>140.3289</v>
      </c>
      <c r="J4767">
        <v>-213.4049</v>
      </c>
      <c r="K4767">
        <v>1.1193139999999999</v>
      </c>
      <c r="L4767">
        <v>140.31899999999999</v>
      </c>
      <c r="M4767">
        <v>-0.99980970000000002</v>
      </c>
      <c r="N4767">
        <v>-1.457963E-2</v>
      </c>
      <c r="O4767">
        <v>-1.296506E-2</v>
      </c>
      <c r="P4767">
        <v>-0.99341069999999998</v>
      </c>
      <c r="Q4767">
        <v>-0.108685</v>
      </c>
      <c r="R4767">
        <v>3.6370569999999998E-2</v>
      </c>
      <c r="S4767">
        <v>-2.9835970000000001</v>
      </c>
      <c r="T4767">
        <v>-0.31834709999999899</v>
      </c>
      <c r="U4767">
        <v>3.675842E-2</v>
      </c>
      <c r="V4767">
        <v>4.8870009999999998E-2</v>
      </c>
      <c r="W4767">
        <v>-9.4395000000000007E-2</v>
      </c>
      <c r="X4767">
        <v>0.99433459999999996</v>
      </c>
      <c r="Y4767">
        <v>2.5066990000000001E-2</v>
      </c>
      <c r="Z4767">
        <v>2.7076410000000002E-3</v>
      </c>
      <c r="AA4767">
        <v>0.99968210000000002</v>
      </c>
      <c r="AB4767">
        <v>22</v>
      </c>
      <c r="AC4767">
        <v>-0.56989999999998897</v>
      </c>
      <c r="AD4767">
        <v>-8.3418999999999896E-2</v>
      </c>
      <c r="AE4767">
        <v>9.9000000000160002E-3</v>
      </c>
      <c r="AF4767">
        <v>1.6926196283283498E-2</v>
      </c>
      <c r="AG4767">
        <v>-8.3418999999999896E-2</v>
      </c>
      <c r="AH4767">
        <v>0.55777663772878305</v>
      </c>
      <c r="AI4767">
        <v>98.502043747838798</v>
      </c>
      <c r="AJ4767">
        <v>88.261845293028898</v>
      </c>
      <c r="AK4767">
        <v>0.56423399691763199</v>
      </c>
      <c r="AL4767">
        <v>95.416499410916302</v>
      </c>
      <c r="AM4767">
        <v>87.186265055404505</v>
      </c>
      <c r="AN4767">
        <v>0.99999999532978001</v>
      </c>
    </row>
    <row r="4768" spans="1:40" x14ac:dyDescent="0.25">
      <c r="A4768" t="str">
        <f>"20190303154903540"</f>
        <v>20190303154903540</v>
      </c>
      <c r="B4768" t="str">
        <f>"1551599343534997"</f>
        <v>1551599343534997</v>
      </c>
      <c r="C4768" t="s">
        <v>40</v>
      </c>
      <c r="D4768">
        <v>5.9504089999999996</v>
      </c>
      <c r="E4768">
        <v>0.4918131</v>
      </c>
      <c r="F4768" t="s">
        <v>42</v>
      </c>
      <c r="G4768">
        <v>-214.17150000000001</v>
      </c>
      <c r="H4768">
        <v>1.0383960000000001</v>
      </c>
      <c r="I4768">
        <v>140.3305</v>
      </c>
      <c r="J4768">
        <v>-213.6361</v>
      </c>
      <c r="K4768">
        <v>1.1193229999999901</v>
      </c>
      <c r="L4768">
        <v>140.31950000000001</v>
      </c>
      <c r="M4768">
        <v>-0.9998437</v>
      </c>
      <c r="N4768">
        <v>-1.45734E-2</v>
      </c>
      <c r="O4768">
        <v>-1.00193E-2</v>
      </c>
      <c r="P4768">
        <v>-0.99346409999999996</v>
      </c>
      <c r="Q4768">
        <v>-0.1074837</v>
      </c>
      <c r="R4768">
        <v>3.8429419999999999E-2</v>
      </c>
      <c r="S4768">
        <v>-2.983841</v>
      </c>
      <c r="T4768">
        <v>-0.314953599999999</v>
      </c>
      <c r="U4768">
        <v>4.426575E-2</v>
      </c>
      <c r="V4768">
        <v>4.8009339999999998E-2</v>
      </c>
      <c r="W4768">
        <v>-9.3193620000000005E-2</v>
      </c>
      <c r="X4768">
        <v>0.99448979999999998</v>
      </c>
      <c r="Y4768">
        <v>2.465475E-2</v>
      </c>
      <c r="Z4768">
        <v>2.3866769999999998E-3</v>
      </c>
      <c r="AA4768">
        <v>0.99969319999999895</v>
      </c>
      <c r="AB4768">
        <v>22</v>
      </c>
      <c r="AC4768">
        <v>-0.53540000000000898</v>
      </c>
      <c r="AD4768">
        <v>-8.0926999999999902E-2</v>
      </c>
      <c r="AE4768">
        <v>1.09999999999956E-2</v>
      </c>
      <c r="AF4768">
        <v>1.59989750147938E-2</v>
      </c>
      <c r="AG4768">
        <v>-8.0926999999999902E-2</v>
      </c>
      <c r="AH4768">
        <v>0.52331180937274302</v>
      </c>
      <c r="AI4768">
        <v>98.786768460816006</v>
      </c>
      <c r="AJ4768">
        <v>88.248867521312306</v>
      </c>
      <c r="AK4768">
        <v>0.529773910606683</v>
      </c>
      <c r="AL4768">
        <v>95.347360827714397</v>
      </c>
      <c r="AM4768">
        <v>87.236172082264602</v>
      </c>
      <c r="AN4768">
        <v>0.99999995491998805</v>
      </c>
    </row>
    <row r="4769" spans="1:40" x14ac:dyDescent="0.25">
      <c r="A4769" t="str">
        <f>"20190303154903563"</f>
        <v>20190303154903563</v>
      </c>
      <c r="B4769" t="str">
        <f>"1551599343555493"</f>
        <v>1551599343555493</v>
      </c>
      <c r="C4769" t="s">
        <v>40</v>
      </c>
      <c r="D4769">
        <v>5.8703900000000004</v>
      </c>
      <c r="E4769">
        <v>0.49180479999999999</v>
      </c>
      <c r="F4769" t="s">
        <v>42</v>
      </c>
      <c r="G4769">
        <v>-214.36969999999999</v>
      </c>
      <c r="H4769">
        <v>1.0424340000000001</v>
      </c>
      <c r="I4769">
        <v>140.33189999999999</v>
      </c>
      <c r="J4769">
        <v>-213.85319999999999</v>
      </c>
      <c r="K4769">
        <v>1.1193329999999999</v>
      </c>
      <c r="L4769">
        <v>140.32060000000001</v>
      </c>
      <c r="M4769">
        <v>-0.99986779999999997</v>
      </c>
      <c r="N4769">
        <v>-1.456636E-2</v>
      </c>
      <c r="O4769">
        <v>-7.2486790000000001E-3</v>
      </c>
      <c r="P4769">
        <v>-0.99355199999999999</v>
      </c>
      <c r="Q4769">
        <v>-0.10573109999999999</v>
      </c>
      <c r="R4769">
        <v>4.0936720000000003E-2</v>
      </c>
      <c r="S4769">
        <v>-2.983978</v>
      </c>
      <c r="T4769">
        <v>-0.31277729999999998</v>
      </c>
      <c r="U4769">
        <v>5.0323489999999999E-2</v>
      </c>
      <c r="V4769">
        <v>4.7773280000000001E-2</v>
      </c>
      <c r="W4769">
        <v>-9.1443800000000006E-2</v>
      </c>
      <c r="X4769">
        <v>0.99466370000000004</v>
      </c>
      <c r="Y4769">
        <v>2.3931310000000001E-2</v>
      </c>
      <c r="Z4769">
        <v>2.0779119999999999E-3</v>
      </c>
      <c r="AA4769">
        <v>0.99971149999999998</v>
      </c>
      <c r="AB4769">
        <v>22</v>
      </c>
      <c r="AC4769">
        <v>-0.51650000000000695</v>
      </c>
      <c r="AD4769">
        <v>-7.6898999999999801E-2</v>
      </c>
      <c r="AE4769">
        <v>1.12999999999772E-2</v>
      </c>
      <c r="AF4769">
        <v>1.4717950314269101E-2</v>
      </c>
      <c r="AG4769">
        <v>-7.6898999999999801E-2</v>
      </c>
      <c r="AH4769">
        <v>0.50521101366114796</v>
      </c>
      <c r="AI4769">
        <v>98.6510401077376</v>
      </c>
      <c r="AJ4769">
        <v>88.331315084928804</v>
      </c>
      <c r="AK4769">
        <v>0.51124186310099595</v>
      </c>
      <c r="AL4769">
        <v>95.246672943187804</v>
      </c>
      <c r="AM4769">
        <v>87.250220894809701</v>
      </c>
      <c r="AN4769">
        <v>1.00000006546904</v>
      </c>
    </row>
    <row r="4770" spans="1:40" x14ac:dyDescent="0.25">
      <c r="A4770" t="str">
        <f>"20190303154903585"</f>
        <v>20190303154903585</v>
      </c>
      <c r="B4770" t="str">
        <f>"1551599343575013"</f>
        <v>1551599343575013</v>
      </c>
      <c r="C4770" t="s">
        <v>40</v>
      </c>
      <c r="D4770">
        <v>5.9021400000000002</v>
      </c>
      <c r="E4770">
        <v>0.49163990000000002</v>
      </c>
      <c r="F4770" t="s">
        <v>42</v>
      </c>
      <c r="G4770">
        <v>-214.74770000000001</v>
      </c>
      <c r="H4770">
        <v>1.0266660000000001</v>
      </c>
      <c r="I4770">
        <v>140.3381</v>
      </c>
      <c r="J4770">
        <v>-214.07419999999999</v>
      </c>
      <c r="K4770">
        <v>1.119351</v>
      </c>
      <c r="L4770">
        <v>140.32230000000001</v>
      </c>
      <c r="M4770">
        <v>-0.99988460000000001</v>
      </c>
      <c r="N4770">
        <v>-1.4543179999999999E-2</v>
      </c>
      <c r="O4770">
        <v>-4.4240979999999996E-3</v>
      </c>
      <c r="P4770">
        <v>-0.99365919999999996</v>
      </c>
      <c r="Q4770">
        <v>-0.1027329</v>
      </c>
      <c r="R4770">
        <v>4.5690170000000002E-2</v>
      </c>
      <c r="S4770">
        <v>-2.9842070000000001</v>
      </c>
      <c r="T4770">
        <v>-0.3090947</v>
      </c>
      <c r="U4770">
        <v>5.7754519999999997E-2</v>
      </c>
      <c r="V4770">
        <v>4.9734100000000003E-2</v>
      </c>
      <c r="W4770">
        <v>-8.8473010000000005E-2</v>
      </c>
      <c r="X4770">
        <v>0.99483619999999995</v>
      </c>
      <c r="Y4770">
        <v>2.3611719999999999E-2</v>
      </c>
      <c r="Z4770">
        <v>1.7844639999999999E-3</v>
      </c>
      <c r="AA4770">
        <v>0.99971960000000004</v>
      </c>
      <c r="AB4770">
        <v>22</v>
      </c>
      <c r="AC4770">
        <v>-0.67350000000001797</v>
      </c>
      <c r="AD4770">
        <v>-9.2684999999999906E-2</v>
      </c>
      <c r="AE4770">
        <v>1.5799999999984399E-2</v>
      </c>
      <c r="AF4770">
        <v>1.8430929407123701E-2</v>
      </c>
      <c r="AG4770">
        <v>-9.2684999999999906E-2</v>
      </c>
      <c r="AH4770">
        <v>0.66091372345058497</v>
      </c>
      <c r="AI4770">
        <v>97.979903274215403</v>
      </c>
      <c r="AJ4770">
        <v>88.402604140142401</v>
      </c>
      <c r="AK4770">
        <v>0.66763549802952105</v>
      </c>
      <c r="AL4770">
        <v>95.075766508391695</v>
      </c>
      <c r="AM4770">
        <v>87.138037710130604</v>
      </c>
      <c r="AN4770">
        <v>1.0000000095158501</v>
      </c>
    </row>
    <row r="4771" spans="1:40" x14ac:dyDescent="0.25">
      <c r="A4771" t="str">
        <f>"20190303154903608"</f>
        <v>20190303154903608</v>
      </c>
      <c r="B4771" t="str">
        <f>"1551599343595509"</f>
        <v>1551599343595509</v>
      </c>
      <c r="C4771" t="s">
        <v>40</v>
      </c>
      <c r="D4771">
        <v>5.9147189999999998</v>
      </c>
      <c r="E4771">
        <v>0.4914058</v>
      </c>
      <c r="F4771" t="s">
        <v>42</v>
      </c>
      <c r="G4771">
        <v>-214.9435</v>
      </c>
      <c r="H4771">
        <v>1.0313190000000001</v>
      </c>
      <c r="I4771">
        <v>140.34289999999999</v>
      </c>
      <c r="J4771">
        <v>-214.28649999999999</v>
      </c>
      <c r="K4771">
        <v>1.1193649999999999</v>
      </c>
      <c r="L4771">
        <v>140.3246</v>
      </c>
      <c r="M4771">
        <v>-0.99989380000000005</v>
      </c>
      <c r="N4771">
        <v>-1.448193E-2</v>
      </c>
      <c r="O4771">
        <v>-1.707524E-3</v>
      </c>
      <c r="P4771">
        <v>-0.99372369999999999</v>
      </c>
      <c r="Q4771">
        <v>-9.7944240000000002E-2</v>
      </c>
      <c r="R4771">
        <v>5.404101E-2</v>
      </c>
      <c r="S4771">
        <v>-2.9846499999999998</v>
      </c>
      <c r="T4771">
        <v>-0.30224909999999999</v>
      </c>
      <c r="U4771">
        <v>7.0587159999999996E-2</v>
      </c>
      <c r="V4771">
        <v>5.5405169999999997E-2</v>
      </c>
      <c r="W4771">
        <v>-8.3765300000000001E-2</v>
      </c>
      <c r="X4771">
        <v>0.99494400000000005</v>
      </c>
      <c r="Y4771">
        <v>2.5196909999999999E-2</v>
      </c>
      <c r="Z4771">
        <v>1.6031859999999999E-3</v>
      </c>
      <c r="AA4771">
        <v>0.99968120000000005</v>
      </c>
      <c r="AB4771">
        <v>22</v>
      </c>
      <c r="AC4771">
        <v>-0.65700000000001002</v>
      </c>
      <c r="AD4771">
        <v>-8.8045999999999805E-2</v>
      </c>
      <c r="AE4771">
        <v>1.8299999999982199E-2</v>
      </c>
      <c r="AF4771">
        <v>1.90795451609569E-2</v>
      </c>
      <c r="AG4771">
        <v>-8.8045999999999805E-2</v>
      </c>
      <c r="AH4771">
        <v>0.64538611724266803</v>
      </c>
      <c r="AI4771">
        <v>97.765196749042204</v>
      </c>
      <c r="AJ4771">
        <v>88.306658475968405</v>
      </c>
      <c r="AK4771">
        <v>0.65164358931022703</v>
      </c>
      <c r="AL4771">
        <v>94.805028741342397</v>
      </c>
      <c r="AM4771">
        <v>86.812677771061203</v>
      </c>
      <c r="AN4771">
        <v>0.99999996074140796</v>
      </c>
    </row>
    <row r="4772" spans="1:40" x14ac:dyDescent="0.25">
      <c r="A4772" t="str">
        <f>"20190303154903627"</f>
        <v>20190303154903627</v>
      </c>
      <c r="B4772" t="str">
        <f>"1551599343615029"</f>
        <v>1551599343615029</v>
      </c>
      <c r="C4772" t="s">
        <v>40</v>
      </c>
      <c r="D4772">
        <v>5.8340779999999999</v>
      </c>
      <c r="E4772">
        <v>0.4911664</v>
      </c>
      <c r="F4772" t="s">
        <v>42</v>
      </c>
      <c r="G4772">
        <v>-215.13929999999999</v>
      </c>
      <c r="H4772">
        <v>1.036381</v>
      </c>
      <c r="I4772">
        <v>140.35140000000001</v>
      </c>
      <c r="J4772">
        <v>-214.47919999999999</v>
      </c>
      <c r="K4772">
        <v>1.119346</v>
      </c>
      <c r="L4772">
        <v>140.3271</v>
      </c>
      <c r="M4772">
        <v>-0.99989709999999998</v>
      </c>
      <c r="N4772">
        <v>-1.433302E-2</v>
      </c>
      <c r="O4772">
        <v>7.675809E-4</v>
      </c>
      <c r="P4772">
        <v>-0.9934558</v>
      </c>
      <c r="Q4772">
        <v>-9.4074859999999996E-2</v>
      </c>
      <c r="R4772">
        <v>6.4775550000000001E-2</v>
      </c>
      <c r="S4772">
        <v>-2.9852289999999999</v>
      </c>
      <c r="T4772">
        <v>-0.29036030000000002</v>
      </c>
      <c r="U4772">
        <v>9.3704220000000005E-2</v>
      </c>
      <c r="V4772">
        <v>6.3694639999999997E-2</v>
      </c>
      <c r="W4772">
        <v>-8.0079449999999996E-2</v>
      </c>
      <c r="X4772">
        <v>0.9947513</v>
      </c>
      <c r="Y4772">
        <v>3.0444369999999998E-2</v>
      </c>
      <c r="Z4772">
        <v>1.632096E-3</v>
      </c>
      <c r="AA4772">
        <v>0.99953510000000001</v>
      </c>
      <c r="AB4772">
        <v>22</v>
      </c>
      <c r="AC4772">
        <v>-0.66009999999999902</v>
      </c>
      <c r="AD4772">
        <v>-8.29649999999999E-2</v>
      </c>
      <c r="AE4772">
        <v>2.4300000000010799E-2</v>
      </c>
      <c r="AF4772">
        <v>2.3423740251769399E-2</v>
      </c>
      <c r="AG4772">
        <v>-8.29649999999999E-2</v>
      </c>
      <c r="AH4772">
        <v>0.64986651188127598</v>
      </c>
      <c r="AI4772">
        <v>97.270622003169805</v>
      </c>
      <c r="AJ4772">
        <v>87.935728815017896</v>
      </c>
      <c r="AK4772">
        <v>0.65555956716161201</v>
      </c>
      <c r="AL4772">
        <v>94.593132826487107</v>
      </c>
      <c r="AM4772">
        <v>86.336311594061996</v>
      </c>
      <c r="AN4772">
        <v>0.99999993716435898</v>
      </c>
    </row>
    <row r="4773" spans="1:40" x14ac:dyDescent="0.25">
      <c r="A4773" t="str">
        <f>"20190303154903652"</f>
        <v>20190303154903652</v>
      </c>
      <c r="B4773" t="str">
        <f>"1551599343645285"</f>
        <v>1551599343645285</v>
      </c>
      <c r="C4773" t="s">
        <v>40</v>
      </c>
      <c r="D4773">
        <v>5.864986</v>
      </c>
      <c r="E4773">
        <v>0.48504249999999999</v>
      </c>
      <c r="F4773" t="s">
        <v>42</v>
      </c>
      <c r="G4773">
        <v>-215.334</v>
      </c>
      <c r="H4773">
        <v>1.0385489999999999</v>
      </c>
      <c r="I4773">
        <v>140.3629</v>
      </c>
      <c r="J4773">
        <v>-214.72120000000001</v>
      </c>
      <c r="K4773">
        <v>1.1192770000000001</v>
      </c>
      <c r="L4773">
        <v>140.33099999999999</v>
      </c>
      <c r="M4773">
        <v>-0.99989459999999997</v>
      </c>
      <c r="N4773">
        <v>-1.3988520000000001E-2</v>
      </c>
      <c r="O4773">
        <v>3.8738370000000002E-3</v>
      </c>
      <c r="P4773">
        <v>-0.99290020000000001</v>
      </c>
      <c r="Q4773">
        <v>-9.2429449999999996E-2</v>
      </c>
      <c r="R4773">
        <v>7.4872499999999995E-2</v>
      </c>
      <c r="S4773">
        <v>-2.984985</v>
      </c>
      <c r="T4773">
        <v>-0.28204639999999997</v>
      </c>
      <c r="U4773">
        <v>0.1239777</v>
      </c>
      <c r="V4773">
        <v>7.0711739999999995E-2</v>
      </c>
      <c r="W4773">
        <v>-7.8809550000000006E-2</v>
      </c>
      <c r="X4773">
        <v>0.9943786</v>
      </c>
      <c r="Y4773">
        <v>3.744799E-2</v>
      </c>
      <c r="Z4773">
        <v>1.71624E-3</v>
      </c>
      <c r="AA4773">
        <v>0.99929710000000005</v>
      </c>
      <c r="AB4773">
        <v>22</v>
      </c>
      <c r="AC4773">
        <v>-0.61279999999999202</v>
      </c>
      <c r="AD4773">
        <v>-8.0728000000000105E-2</v>
      </c>
      <c r="AE4773">
        <v>3.1899999999978897E-2</v>
      </c>
      <c r="AF4773">
        <v>2.90233183324142E-2</v>
      </c>
      <c r="AG4773">
        <v>-8.0728000000000105E-2</v>
      </c>
      <c r="AH4773">
        <v>0.60249133955353096</v>
      </c>
      <c r="AI4773">
        <v>97.622889108524205</v>
      </c>
      <c r="AJ4773">
        <v>87.2420696685449</v>
      </c>
      <c r="AK4773">
        <v>0.60856813688200295</v>
      </c>
      <c r="AL4773">
        <v>94.520142156418501</v>
      </c>
      <c r="AM4773">
        <v>85.932459055783099</v>
      </c>
      <c r="AN4773">
        <v>0.99999994774149303</v>
      </c>
    </row>
    <row r="4774" spans="1:40" x14ac:dyDescent="0.25">
      <c r="A4774" t="str">
        <f>"20190303154903674"</f>
        <v>20190303154903674</v>
      </c>
      <c r="B4774" t="str">
        <f>"1551599343665781"</f>
        <v>1551599343665781</v>
      </c>
      <c r="C4774" t="s">
        <v>40</v>
      </c>
      <c r="D4774">
        <v>5.8732829999999998</v>
      </c>
      <c r="E4774">
        <v>0.4842069</v>
      </c>
      <c r="F4774" t="s">
        <v>42</v>
      </c>
      <c r="G4774">
        <v>-215.5247</v>
      </c>
      <c r="H4774">
        <v>1.0316369999999999</v>
      </c>
      <c r="I4774">
        <v>140.35929999999999</v>
      </c>
      <c r="J4774">
        <v>-214.9426</v>
      </c>
      <c r="K4774">
        <v>1.1192089999999999</v>
      </c>
      <c r="L4774">
        <v>140.33519999999999</v>
      </c>
      <c r="M4774">
        <v>-0.99988529999999998</v>
      </c>
      <c r="N4774">
        <v>-1.358939E-2</v>
      </c>
      <c r="O4774">
        <v>6.7033290000000001E-3</v>
      </c>
      <c r="P4774">
        <v>-0.99269719999999995</v>
      </c>
      <c r="Q4774">
        <v>-9.0355400000000002E-2</v>
      </c>
      <c r="R4774">
        <v>7.9929420000000001E-2</v>
      </c>
      <c r="S4774">
        <v>-2.983215</v>
      </c>
      <c r="T4774">
        <v>-0.3253837</v>
      </c>
      <c r="U4774">
        <v>0.1052551</v>
      </c>
      <c r="V4774">
        <v>7.296801E-2</v>
      </c>
      <c r="W4774">
        <v>-7.71393999999999E-2</v>
      </c>
      <c r="X4774">
        <v>0.99434659999999997</v>
      </c>
      <c r="Y4774">
        <v>2.8401030000000001E-2</v>
      </c>
      <c r="Z4774">
        <v>1.09961E-3</v>
      </c>
      <c r="AA4774">
        <v>0.99959600000000004</v>
      </c>
      <c r="AB4774">
        <v>22</v>
      </c>
      <c r="AC4774">
        <v>-0.58209999999999695</v>
      </c>
      <c r="AD4774">
        <v>-8.75719999999999E-2</v>
      </c>
      <c r="AE4774">
        <v>2.4100000000004201E-2</v>
      </c>
      <c r="AF4774">
        <v>1.9750841805609098E-2</v>
      </c>
      <c r="AG4774">
        <v>-8.75719999999999E-2</v>
      </c>
      <c r="AH4774">
        <v>0.56938387188464401</v>
      </c>
      <c r="AI4774">
        <v>98.738479154340197</v>
      </c>
      <c r="AJ4774">
        <v>88.013315140442799</v>
      </c>
      <c r="AK4774">
        <v>0.57641733535553796</v>
      </c>
      <c r="AL4774">
        <v>94.424157170367593</v>
      </c>
      <c r="AM4774">
        <v>85.802994005936796</v>
      </c>
      <c r="AN4774">
        <v>0.99999998922363997</v>
      </c>
    </row>
    <row r="4775" spans="1:40" x14ac:dyDescent="0.25">
      <c r="A4775" t="str">
        <f>"20190303154903696"</f>
        <v>20190303154903696</v>
      </c>
      <c r="B4775" t="str">
        <f>"1551599343685301"</f>
        <v>1551599343685301</v>
      </c>
      <c r="C4775" t="s">
        <v>40</v>
      </c>
      <c r="D4775">
        <v>6.0041339999999996</v>
      </c>
      <c r="E4775">
        <v>0.50371670000000002</v>
      </c>
      <c r="F4775" t="s">
        <v>42</v>
      </c>
      <c r="G4775">
        <v>-215.7199</v>
      </c>
      <c r="H4775">
        <v>1.0335890000000001</v>
      </c>
      <c r="I4775">
        <v>140.36510000000001</v>
      </c>
      <c r="J4775">
        <v>-215.14949999999999</v>
      </c>
      <c r="K4775">
        <v>1.1191759999999999</v>
      </c>
      <c r="L4775">
        <v>140.33959999999999</v>
      </c>
      <c r="M4775">
        <v>-0.99986920000000001</v>
      </c>
      <c r="N4775">
        <v>-1.320792E-2</v>
      </c>
      <c r="O4775">
        <v>9.3293549999999992E-3</v>
      </c>
      <c r="P4775">
        <v>-0.9929287</v>
      </c>
      <c r="Q4775">
        <v>-8.7850819999999996E-2</v>
      </c>
      <c r="R4775">
        <v>7.9843079999999997E-2</v>
      </c>
      <c r="S4775">
        <v>-2.9830169999999998</v>
      </c>
      <c r="T4775">
        <v>-0.32838509999999999</v>
      </c>
      <c r="U4775">
        <v>0.11381529999999999</v>
      </c>
      <c r="V4775">
        <v>7.0283230000000002E-2</v>
      </c>
      <c r="W4775">
        <v>-7.49943E-2</v>
      </c>
      <c r="X4775">
        <v>0.99470400000000003</v>
      </c>
      <c r="Y4775">
        <v>2.86515E-2</v>
      </c>
      <c r="Z4775">
        <v>8.6102100000000001E-4</v>
      </c>
      <c r="AA4775">
        <v>0.99958910000000001</v>
      </c>
      <c r="AB4775">
        <v>22</v>
      </c>
      <c r="AC4775">
        <v>-0.57040000000000601</v>
      </c>
      <c r="AD4775">
        <v>-8.5586999999999996E-2</v>
      </c>
      <c r="AE4775">
        <v>2.5500000000022199E-2</v>
      </c>
      <c r="AF4775">
        <v>1.9733562235383601E-2</v>
      </c>
      <c r="AG4775">
        <v>-8.5586999999999996E-2</v>
      </c>
      <c r="AH4775">
        <v>0.55807357119209</v>
      </c>
      <c r="AI4775">
        <v>98.713671555658394</v>
      </c>
      <c r="AJ4775">
        <v>87.974856703099107</v>
      </c>
      <c r="AK4775">
        <v>0.56494305811346202</v>
      </c>
      <c r="AL4775">
        <v>94.300894957822507</v>
      </c>
      <c r="AM4775">
        <v>85.958344389621104</v>
      </c>
      <c r="AN4775">
        <v>0.99999996253386003</v>
      </c>
    </row>
    <row r="4776" spans="1:40" x14ac:dyDescent="0.25">
      <c r="A4776" t="str">
        <f>"20190303154903718"</f>
        <v>20190303154903718</v>
      </c>
      <c r="B4776" t="str">
        <f>"1551599343705797"</f>
        <v>1551599343705797</v>
      </c>
      <c r="C4776" t="s">
        <v>40</v>
      </c>
      <c r="D4776">
        <v>5.8812160000000002</v>
      </c>
      <c r="E4776">
        <v>0.51382079999999997</v>
      </c>
      <c r="F4776" t="s">
        <v>41</v>
      </c>
      <c r="G4776">
        <v>-228.8236</v>
      </c>
      <c r="H4776" s="1">
        <v>-1.0082200000000001E-6</v>
      </c>
      <c r="I4776">
        <v>141.5752</v>
      </c>
      <c r="J4776">
        <v>-215.36170000000001</v>
      </c>
      <c r="K4776">
        <v>1.119156</v>
      </c>
      <c r="L4776">
        <v>140.34460000000001</v>
      </c>
      <c r="M4776">
        <v>-0.99984589999999995</v>
      </c>
      <c r="N4776">
        <v>-1.283728E-2</v>
      </c>
      <c r="O4776">
        <v>1.1985030000000001E-2</v>
      </c>
      <c r="P4776">
        <v>-0.99330189999999996</v>
      </c>
      <c r="Q4776">
        <v>-8.5068389999999994E-2</v>
      </c>
      <c r="R4776">
        <v>7.8197050000000004E-2</v>
      </c>
      <c r="S4776">
        <v>-2.9781650000000002</v>
      </c>
      <c r="T4776">
        <v>-0.24375379999999999</v>
      </c>
      <c r="U4776">
        <v>0.26911929999999901</v>
      </c>
      <c r="V4776">
        <v>6.6008869999999997E-2</v>
      </c>
      <c r="W4776">
        <v>-7.2551760000000007E-2</v>
      </c>
      <c r="X4776">
        <v>0.99517789999999995</v>
      </c>
      <c r="Y4776">
        <v>7.7783039999999998E-2</v>
      </c>
      <c r="Z4776">
        <v>2.8488530000000001E-3</v>
      </c>
      <c r="AA4776">
        <v>0.99696620000000002</v>
      </c>
      <c r="AB4776">
        <v>22</v>
      </c>
      <c r="AC4776">
        <v>-13.461899999999901</v>
      </c>
      <c r="AD4776">
        <v>-1.11915700822</v>
      </c>
      <c r="AE4776">
        <v>1.2305999999999799</v>
      </c>
      <c r="AF4776">
        <v>1.0618787461885799</v>
      </c>
      <c r="AG4776">
        <v>-1.11915700822</v>
      </c>
      <c r="AH4776">
        <v>13.383947031073401</v>
      </c>
      <c r="AI4776">
        <v>94.765011497184602</v>
      </c>
      <c r="AJ4776">
        <v>85.463670805153498</v>
      </c>
      <c r="AK4776">
        <v>13.4725697998279</v>
      </c>
      <c r="AL4776">
        <v>94.160565175930401</v>
      </c>
      <c r="AM4776">
        <v>86.205203198392098</v>
      </c>
      <c r="AN4776">
        <v>0.99999999072309198</v>
      </c>
    </row>
    <row r="4777" spans="1:40" x14ac:dyDescent="0.25">
      <c r="A4777" t="str">
        <f>"20190303154903739"</f>
        <v>20190303154903739</v>
      </c>
      <c r="B4777" t="str">
        <f>"1551599343736053"</f>
        <v>1551599343736053</v>
      </c>
      <c r="C4777" t="s">
        <v>40</v>
      </c>
      <c r="D4777">
        <v>5.8945720000000001</v>
      </c>
      <c r="E4777">
        <v>0.51832349999999905</v>
      </c>
      <c r="F4777" t="s">
        <v>41</v>
      </c>
      <c r="G4777">
        <v>-232.64580000000001</v>
      </c>
      <c r="H4777" s="1">
        <v>-3.8598989999999999E-6</v>
      </c>
      <c r="I4777">
        <v>142.34620000000001</v>
      </c>
      <c r="J4777">
        <v>-215.57149999999999</v>
      </c>
      <c r="K4777">
        <v>1.1191500000000001</v>
      </c>
      <c r="L4777">
        <v>140.3501</v>
      </c>
      <c r="M4777">
        <v>-0.99981609999999999</v>
      </c>
      <c r="N4777">
        <v>-1.249605E-2</v>
      </c>
      <c r="O4777">
        <v>1.4551909999999999E-2</v>
      </c>
      <c r="P4777">
        <v>-0.99364929999999996</v>
      </c>
      <c r="Q4777">
        <v>-8.3647810000000003E-2</v>
      </c>
      <c r="R4777">
        <v>7.5261819999999993E-2</v>
      </c>
      <c r="S4777">
        <v>-2.9765929999999998</v>
      </c>
      <c r="T4777">
        <v>-0.19273779999999999</v>
      </c>
      <c r="U4777">
        <v>0.3447113</v>
      </c>
      <c r="V4777">
        <v>6.0527480000000002E-2</v>
      </c>
      <c r="W4777">
        <v>-7.1438199999999993E-2</v>
      </c>
      <c r="X4777">
        <v>0.99560680000000001</v>
      </c>
      <c r="Y4777">
        <v>0.1003416</v>
      </c>
      <c r="Z4777">
        <v>3.1074829999999999E-3</v>
      </c>
      <c r="AA4777">
        <v>0.99494819999999995</v>
      </c>
      <c r="AB4777">
        <v>22</v>
      </c>
      <c r="AC4777">
        <v>-17.074300000000001</v>
      </c>
      <c r="AD4777">
        <v>-1.1191538598989901</v>
      </c>
      <c r="AE4777">
        <v>1.99610000000001</v>
      </c>
      <c r="AF4777">
        <v>1.74003066457158</v>
      </c>
      <c r="AG4777">
        <v>-1.1191538598989901</v>
      </c>
      <c r="AH4777">
        <v>17.029364476218799</v>
      </c>
      <c r="AI4777">
        <v>93.740597708771105</v>
      </c>
      <c r="AJ4777">
        <v>84.165864842222703</v>
      </c>
      <c r="AK4777">
        <v>17.154575673553602</v>
      </c>
      <c r="AL4777">
        <v>94.096597068244193</v>
      </c>
      <c r="AM4777">
        <v>86.521010016453701</v>
      </c>
      <c r="AN4777">
        <v>0.99999994623031296</v>
      </c>
    </row>
    <row r="4778" spans="1:40" x14ac:dyDescent="0.25">
      <c r="A4778" t="str">
        <f>"20190303154903777"</f>
        <v>20190303154903777</v>
      </c>
      <c r="B4778" t="str">
        <f>"1551599343765333"</f>
        <v>1551599343765333</v>
      </c>
      <c r="C4778" t="s">
        <v>40</v>
      </c>
      <c r="D4778">
        <v>5.9162379999999999</v>
      </c>
      <c r="E4778">
        <v>0.51914550000000004</v>
      </c>
      <c r="F4778" t="s">
        <v>41</v>
      </c>
      <c r="G4778">
        <v>-235.15369999999999</v>
      </c>
      <c r="H4778" s="1">
        <v>-2.9073589999999998E-6</v>
      </c>
      <c r="I4778">
        <v>142.79570000000001</v>
      </c>
      <c r="J4778">
        <v>-215.92570000000001</v>
      </c>
      <c r="K4778">
        <v>1.119159</v>
      </c>
      <c r="L4778">
        <v>140.36019999999999</v>
      </c>
      <c r="M4778">
        <v>-0.99975369999999997</v>
      </c>
      <c r="N4778">
        <v>-1.1985630000000001E-2</v>
      </c>
      <c r="O4778">
        <v>1.867769E-2</v>
      </c>
      <c r="P4778">
        <v>-0.9939711</v>
      </c>
      <c r="Q4778">
        <v>-8.4339590000000006E-2</v>
      </c>
      <c r="R4778">
        <v>7.0059860000000002E-2</v>
      </c>
      <c r="S4778">
        <v>-2.9767000000000001</v>
      </c>
      <c r="T4778">
        <v>-0.17012379999999999</v>
      </c>
      <c r="U4778">
        <v>0.37178040000000001</v>
      </c>
      <c r="V4778">
        <v>5.1225369999999999E-2</v>
      </c>
      <c r="W4778">
        <v>-7.2587830000000006E-2</v>
      </c>
      <c r="X4778">
        <v>0.99604559999999998</v>
      </c>
      <c r="Y4778">
        <v>0.1051911</v>
      </c>
      <c r="Z4778">
        <v>2.786172E-3</v>
      </c>
      <c r="AA4778">
        <v>0.99444809999999995</v>
      </c>
      <c r="AB4778">
        <v>22</v>
      </c>
      <c r="AC4778">
        <v>-19.227999999999899</v>
      </c>
      <c r="AD4778">
        <v>-1.119161907359</v>
      </c>
      <c r="AE4778">
        <v>2.43550000000001</v>
      </c>
      <c r="AF4778">
        <v>2.0690159277418601</v>
      </c>
      <c r="AG4778">
        <v>-1.119161907359</v>
      </c>
      <c r="AH4778">
        <v>19.206099135496</v>
      </c>
      <c r="AI4778">
        <v>93.315779708376098</v>
      </c>
      <c r="AJ4778">
        <v>83.851407979670597</v>
      </c>
      <c r="AK4778">
        <v>19.349614835614499</v>
      </c>
      <c r="AL4778">
        <v>94.162637532915596</v>
      </c>
      <c r="AM4778">
        <v>87.055944027991004</v>
      </c>
      <c r="AN4778">
        <v>0.99999993443754998</v>
      </c>
    </row>
    <row r="4779" spans="1:40" x14ac:dyDescent="0.25">
      <c r="A4779" t="str">
        <f>"20190303154903797"</f>
        <v>20190303154903797</v>
      </c>
      <c r="B4779" t="str">
        <f>"1551599343785829"</f>
        <v>1551599343785829</v>
      </c>
      <c r="C4779" t="s">
        <v>40</v>
      </c>
      <c r="D4779">
        <v>5.9494129999999998</v>
      </c>
      <c r="E4779">
        <v>0.51885239999999999</v>
      </c>
      <c r="F4779" t="s">
        <v>41</v>
      </c>
      <c r="G4779">
        <v>-235.34209999999999</v>
      </c>
      <c r="H4779" s="1">
        <v>-2.8079459999999998E-6</v>
      </c>
      <c r="I4779">
        <v>142.726</v>
      </c>
      <c r="J4779">
        <v>-216.13550000000001</v>
      </c>
      <c r="K4779">
        <v>1.1191799999999901</v>
      </c>
      <c r="L4779">
        <v>140.36680000000001</v>
      </c>
      <c r="M4779">
        <v>-0.99971069999999995</v>
      </c>
      <c r="N4779">
        <v>-1.172393E-2</v>
      </c>
      <c r="O4779">
        <v>2.1003879999999999E-2</v>
      </c>
      <c r="P4779">
        <v>-0.99421630000000005</v>
      </c>
      <c r="Q4779">
        <v>-8.5031670000000004E-2</v>
      </c>
      <c r="R4779">
        <v>6.5604689999999993E-2</v>
      </c>
      <c r="S4779">
        <v>-2.9780730000000002</v>
      </c>
      <c r="T4779">
        <v>-0.17165629999999901</v>
      </c>
      <c r="U4779">
        <v>0.36286930000000001</v>
      </c>
      <c r="V4779">
        <v>4.4456339999999997E-2</v>
      </c>
      <c r="W4779">
        <v>-7.3508019999999993E-2</v>
      </c>
      <c r="X4779">
        <v>0.9963033</v>
      </c>
      <c r="Y4779">
        <v>9.9899450000000001E-2</v>
      </c>
      <c r="Z4779">
        <v>2.495022E-3</v>
      </c>
      <c r="AA4779">
        <v>0.99499439999999995</v>
      </c>
      <c r="AB4779">
        <v>22</v>
      </c>
      <c r="AC4779">
        <v>-19.206599999999899</v>
      </c>
      <c r="AD4779">
        <v>-1.11918280794599</v>
      </c>
      <c r="AE4779">
        <v>2.35919999999998</v>
      </c>
      <c r="AF4779">
        <v>1.94872015715931</v>
      </c>
      <c r="AG4779">
        <v>-1.11918280794599</v>
      </c>
      <c r="AH4779">
        <v>19.187734920678601</v>
      </c>
      <c r="AI4779">
        <v>93.321122290858796</v>
      </c>
      <c r="AJ4779">
        <v>84.200883365089297</v>
      </c>
      <c r="AK4779">
        <v>19.318883295748499</v>
      </c>
      <c r="AL4779">
        <v>94.215501366887395</v>
      </c>
      <c r="AM4779">
        <v>87.445083083626699</v>
      </c>
      <c r="AN4779">
        <v>1.0000000303807</v>
      </c>
    </row>
    <row r="4780" spans="1:40" x14ac:dyDescent="0.25">
      <c r="A4780" t="str">
        <f>"20190303154903821"</f>
        <v>20190303154903821</v>
      </c>
      <c r="B4780" t="str">
        <f>"1551599343816085"</f>
        <v>1551599343816085</v>
      </c>
      <c r="C4780" t="s">
        <v>40</v>
      </c>
      <c r="D4780">
        <v>5.9097679999999997</v>
      </c>
      <c r="E4780">
        <v>0.51930889999999996</v>
      </c>
      <c r="F4780" t="s">
        <v>41</v>
      </c>
      <c r="G4780">
        <v>-234.23070000000001</v>
      </c>
      <c r="H4780" s="1">
        <v>-3.218011E-6</v>
      </c>
      <c r="I4780">
        <v>142.4752</v>
      </c>
      <c r="J4780">
        <v>-216.3698</v>
      </c>
      <c r="K4780">
        <v>1.119224</v>
      </c>
      <c r="L4780">
        <v>140.37459999999999</v>
      </c>
      <c r="M4780">
        <v>-0.99965850000000001</v>
      </c>
      <c r="N4780">
        <v>-1.146691E-2</v>
      </c>
      <c r="O4780">
        <v>2.3489610000000001E-2</v>
      </c>
      <c r="P4780">
        <v>-0.99429889999999999</v>
      </c>
      <c r="Q4780">
        <v>-8.6635069999999995E-2</v>
      </c>
      <c r="R4780">
        <v>6.2164289999999997E-2</v>
      </c>
      <c r="S4780">
        <v>-2.97879</v>
      </c>
      <c r="T4780">
        <v>-0.1842375</v>
      </c>
      <c r="U4780">
        <v>0.3470917</v>
      </c>
      <c r="V4780">
        <v>3.85449E-2</v>
      </c>
      <c r="W4780">
        <v>-7.534014E-2</v>
      </c>
      <c r="X4780">
        <v>0.99641259999999998</v>
      </c>
      <c r="Y4780">
        <v>9.2195760000000002E-2</v>
      </c>
      <c r="Z4780">
        <v>2.1922270000000002E-3</v>
      </c>
      <c r="AA4780">
        <v>0.99573849999999997</v>
      </c>
      <c r="AB4780">
        <v>22</v>
      </c>
      <c r="AC4780">
        <v>-17.860900000000001</v>
      </c>
      <c r="AD4780">
        <v>-1.1192272180109999</v>
      </c>
      <c r="AE4780">
        <v>2.1006000000000098</v>
      </c>
      <c r="AF4780">
        <v>1.67396373818952</v>
      </c>
      <c r="AG4780">
        <v>-1.1192272180109999</v>
      </c>
      <c r="AH4780">
        <v>17.836234354705699</v>
      </c>
      <c r="AI4780">
        <v>93.574944765039803</v>
      </c>
      <c r="AJ4780">
        <v>84.638389811169105</v>
      </c>
      <c r="AK4780">
        <v>17.949542615852199</v>
      </c>
      <c r="AL4780">
        <v>94.320766369176198</v>
      </c>
      <c r="AM4780">
        <v>87.784693328561104</v>
      </c>
      <c r="AN4780">
        <v>0.99999995772499295</v>
      </c>
    </row>
    <row r="4781" spans="1:40" x14ac:dyDescent="0.25">
      <c r="A4781" t="str">
        <f>"20190303154903839"</f>
        <v>20190303154903839</v>
      </c>
      <c r="B4781" t="str">
        <f>"1551599343835605"</f>
        <v>1551599343835605</v>
      </c>
      <c r="C4781" t="s">
        <v>40</v>
      </c>
      <c r="D4781">
        <v>5.9425840000000001</v>
      </c>
      <c r="E4781">
        <v>0.51924910000000002</v>
      </c>
      <c r="F4781" t="s">
        <v>41</v>
      </c>
      <c r="G4781">
        <v>-233.4905</v>
      </c>
      <c r="H4781" s="1">
        <v>-3.496672E-6</v>
      </c>
      <c r="I4781">
        <v>142.32900000000001</v>
      </c>
      <c r="J4781">
        <v>-216.5573</v>
      </c>
      <c r="K4781">
        <v>1.119275</v>
      </c>
      <c r="L4781">
        <v>140.38120000000001</v>
      </c>
      <c r="M4781">
        <v>-0.99961449999999996</v>
      </c>
      <c r="N4781">
        <v>-1.128734E-2</v>
      </c>
      <c r="O4781">
        <v>2.5372280000000001E-2</v>
      </c>
      <c r="P4781">
        <v>-0.99434449999999996</v>
      </c>
      <c r="Q4781">
        <v>-8.7510729999999995E-2</v>
      </c>
      <c r="R4781">
        <v>6.017844E-2</v>
      </c>
      <c r="S4781">
        <v>-2.9789729999999999</v>
      </c>
      <c r="T4781">
        <v>-0.1947441</v>
      </c>
      <c r="U4781">
        <v>0.340072599999999</v>
      </c>
      <c r="V4781">
        <v>3.4690970000000002E-2</v>
      </c>
      <c r="W4781">
        <v>-7.6376479999999997E-2</v>
      </c>
      <c r="X4781">
        <v>0.99647540000000001</v>
      </c>
      <c r="Y4781">
        <v>8.7993199999999994E-2</v>
      </c>
      <c r="Z4781">
        <v>1.9972190000000002E-3</v>
      </c>
      <c r="AA4781">
        <v>0.99611910000000004</v>
      </c>
      <c r="AB4781">
        <v>22</v>
      </c>
      <c r="AC4781">
        <v>-16.933199999999999</v>
      </c>
      <c r="AD4781">
        <v>-1.119278496672</v>
      </c>
      <c r="AE4781">
        <v>1.9478</v>
      </c>
      <c r="AF4781">
        <v>1.5109960943997101</v>
      </c>
      <c r="AG4781">
        <v>-1.119278496672</v>
      </c>
      <c r="AH4781">
        <v>16.9042782430576</v>
      </c>
      <c r="AI4781">
        <v>93.773181080854499</v>
      </c>
      <c r="AJ4781">
        <v>84.892166980396993</v>
      </c>
      <c r="AK4781">
        <v>17.0085424557519</v>
      </c>
      <c r="AL4781">
        <v>94.380315566429104</v>
      </c>
      <c r="AM4781">
        <v>88.006128653096695</v>
      </c>
      <c r="AN4781">
        <v>1.0000000264509401</v>
      </c>
    </row>
    <row r="4782" spans="1:40" x14ac:dyDescent="0.25">
      <c r="A4782" t="str">
        <f>"20190303154903864"</f>
        <v>20190303154903864</v>
      </c>
      <c r="B4782" t="str">
        <f>"1551599343856102"</f>
        <v>1551599343856102</v>
      </c>
      <c r="C4782" t="s">
        <v>40</v>
      </c>
      <c r="D4782">
        <v>5.9552959999999997</v>
      </c>
      <c r="E4782">
        <v>0.51981350000000004</v>
      </c>
      <c r="F4782" t="s">
        <v>41</v>
      </c>
      <c r="G4782">
        <v>-233.0728</v>
      </c>
      <c r="H4782" s="1">
        <v>-3.6493450000000001E-6</v>
      </c>
      <c r="I4782">
        <v>142.2295</v>
      </c>
      <c r="J4782">
        <v>-216.79400000000001</v>
      </c>
      <c r="K4782">
        <v>1.1193360000000001</v>
      </c>
      <c r="L4782">
        <v>140.38990000000001</v>
      </c>
      <c r="M4782">
        <v>-0.99955669999999996</v>
      </c>
      <c r="N4782">
        <v>-1.108811E-2</v>
      </c>
      <c r="O4782">
        <v>2.7634519999999999E-2</v>
      </c>
      <c r="P4782">
        <v>-0.99428570000000005</v>
      </c>
      <c r="Q4782">
        <v>-8.8427560000000002E-2</v>
      </c>
      <c r="R4782">
        <v>5.9803469999999997E-2</v>
      </c>
      <c r="S4782">
        <v>-2.9791259999999999</v>
      </c>
      <c r="T4782">
        <v>-0.20189869999999999</v>
      </c>
      <c r="U4782">
        <v>0.33340449999999999</v>
      </c>
      <c r="V4782">
        <v>3.2074390000000001E-2</v>
      </c>
      <c r="W4782">
        <v>-7.747793E-2</v>
      </c>
      <c r="X4782">
        <v>0.99647799999999997</v>
      </c>
      <c r="Y4782">
        <v>8.3535280000000003E-2</v>
      </c>
      <c r="Z4782">
        <v>1.72516799999999E-3</v>
      </c>
      <c r="AA4782">
        <v>0.99650340000000004</v>
      </c>
      <c r="AB4782">
        <v>22</v>
      </c>
      <c r="AC4782">
        <v>-16.278799999999901</v>
      </c>
      <c r="AD4782">
        <v>-1.1193396493449901</v>
      </c>
      <c r="AE4782">
        <v>1.8395999999999899</v>
      </c>
      <c r="AF4782">
        <v>1.3825585891624299</v>
      </c>
      <c r="AG4782">
        <v>-1.1193396493449901</v>
      </c>
      <c r="AH4782">
        <v>16.247571685247799</v>
      </c>
      <c r="AI4782">
        <v>93.926889084258605</v>
      </c>
      <c r="AJ4782">
        <v>85.136232931940697</v>
      </c>
      <c r="AK4782">
        <v>16.344661977854699</v>
      </c>
      <c r="AL4782">
        <v>94.443611685047998</v>
      </c>
      <c r="AM4782">
        <v>88.156413978397097</v>
      </c>
      <c r="AN4782">
        <v>1.00000000030747</v>
      </c>
    </row>
    <row r="4783" spans="1:40" x14ac:dyDescent="0.25">
      <c r="A4783" t="str">
        <f>"20190303154903885"</f>
        <v>20190303154903885</v>
      </c>
      <c r="B4783" t="str">
        <f>"1551599343876597"</f>
        <v>1551599343876597</v>
      </c>
      <c r="C4783" t="s">
        <v>40</v>
      </c>
      <c r="D4783">
        <v>5.9026820000000004</v>
      </c>
      <c r="E4783">
        <v>0.5200108</v>
      </c>
      <c r="F4783" t="s">
        <v>41</v>
      </c>
      <c r="G4783">
        <v>-233.1447</v>
      </c>
      <c r="H4783" s="1">
        <v>-3.6203790000000002E-6</v>
      </c>
      <c r="I4783">
        <v>142.2364</v>
      </c>
      <c r="J4783">
        <v>-217</v>
      </c>
      <c r="K4783">
        <v>1.1194029999999999</v>
      </c>
      <c r="L4783">
        <v>140.39769999999999</v>
      </c>
      <c r="M4783">
        <v>-0.99950519999999998</v>
      </c>
      <c r="N4783">
        <v>-1.093596E-2</v>
      </c>
      <c r="O4783">
        <v>2.9487180000000002E-2</v>
      </c>
      <c r="P4783">
        <v>-0.99434579999999995</v>
      </c>
      <c r="Q4783">
        <v>-8.8213239999999998E-2</v>
      </c>
      <c r="R4783">
        <v>5.911723E-2</v>
      </c>
      <c r="S4783">
        <v>-2.9788670000000002</v>
      </c>
      <c r="T4783">
        <v>-0.2039282</v>
      </c>
      <c r="U4783">
        <v>0.3364258</v>
      </c>
      <c r="V4783">
        <v>2.9554609999999999E-2</v>
      </c>
      <c r="W4783">
        <v>-7.7401869999999998E-2</v>
      </c>
      <c r="X4783">
        <v>0.99656180000000005</v>
      </c>
      <c r="Y4783">
        <v>8.2698770000000005E-2</v>
      </c>
      <c r="Z4783">
        <v>1.585171E-3</v>
      </c>
      <c r="AA4783">
        <v>0.9965733</v>
      </c>
      <c r="AB4783">
        <v>22</v>
      </c>
      <c r="AC4783">
        <v>-16.1447</v>
      </c>
      <c r="AD4783">
        <v>-1.1194066203790001</v>
      </c>
      <c r="AE4783">
        <v>1.83870000000001</v>
      </c>
      <c r="AF4783">
        <v>1.3553776611277599</v>
      </c>
      <c r="AG4783">
        <v>-1.1194066203790001</v>
      </c>
      <c r="AH4783">
        <v>16.115417880057599</v>
      </c>
      <c r="AI4783">
        <v>93.9595533234437</v>
      </c>
      <c r="AJ4783">
        <v>85.192486546651594</v>
      </c>
      <c r="AK4783">
        <v>16.211009013473301</v>
      </c>
      <c r="AL4783">
        <v>94.439240764111503</v>
      </c>
      <c r="AM4783">
        <v>88.301301296250202</v>
      </c>
      <c r="AN4783">
        <v>0.99999997283549402</v>
      </c>
    </row>
    <row r="4784" spans="1:40" x14ac:dyDescent="0.25">
      <c r="A4784" t="str">
        <f>"20190303154903908"</f>
        <v>20190303154903908</v>
      </c>
      <c r="B4784" t="str">
        <f>"1551599343905877"</f>
        <v>1551599343905877</v>
      </c>
      <c r="C4784" t="s">
        <v>40</v>
      </c>
      <c r="D4784">
        <v>6.062246</v>
      </c>
      <c r="E4784">
        <v>0.52007840000000005</v>
      </c>
      <c r="F4784" t="s">
        <v>41</v>
      </c>
      <c r="G4784">
        <v>-233.11340000000001</v>
      </c>
      <c r="H4784" s="1">
        <v>-3.628036E-6</v>
      </c>
      <c r="I4784">
        <v>142.2148</v>
      </c>
      <c r="J4784">
        <v>-217.22819999999999</v>
      </c>
      <c r="K4784">
        <v>1.1194809999999999</v>
      </c>
      <c r="L4784">
        <v>140.4067</v>
      </c>
      <c r="M4784">
        <v>-0.999448</v>
      </c>
      <c r="N4784">
        <v>-1.0789389999999999E-2</v>
      </c>
      <c r="O4784">
        <v>3.1419589999999997E-2</v>
      </c>
      <c r="P4784">
        <v>-0.99451630000000002</v>
      </c>
      <c r="Q4784">
        <v>-8.7488129999999997E-2</v>
      </c>
      <c r="R4784">
        <v>5.7299709999999997E-2</v>
      </c>
      <c r="S4784">
        <v>-2.9786990000000002</v>
      </c>
      <c r="T4784">
        <v>-0.20693149999999999</v>
      </c>
      <c r="U4784">
        <v>0.33590700000000001</v>
      </c>
      <c r="V4784">
        <v>2.5822669999999999E-2</v>
      </c>
      <c r="W4784">
        <v>-7.6806150000000004E-2</v>
      </c>
      <c r="X4784">
        <v>0.99671160000000003</v>
      </c>
      <c r="Y4784">
        <v>8.0611989999999994E-2</v>
      </c>
      <c r="Z4784">
        <v>1.390535E-3</v>
      </c>
      <c r="AA4784">
        <v>0.99674459999999998</v>
      </c>
      <c r="AB4784">
        <v>22</v>
      </c>
      <c r="AC4784">
        <v>-15.885199999999999</v>
      </c>
      <c r="AD4784">
        <v>-1.119484628036</v>
      </c>
      <c r="AE4784">
        <v>1.80809999999999</v>
      </c>
      <c r="AF4784">
        <v>1.3016894956430201</v>
      </c>
      <c r="AG4784">
        <v>-1.119484628036</v>
      </c>
      <c r="AH4784">
        <v>15.8564255619007</v>
      </c>
      <c r="AI4784">
        <v>94.024961906601405</v>
      </c>
      <c r="AJ4784">
        <v>85.306984517552905</v>
      </c>
      <c r="AK4784">
        <v>15.9491025758684</v>
      </c>
      <c r="AL4784">
        <v>94.405006468940996</v>
      </c>
      <c r="AM4784">
        <v>88.5159206422355</v>
      </c>
      <c r="AN4784">
        <v>1.0000000042691499</v>
      </c>
    </row>
    <row r="4785" spans="1:40" x14ac:dyDescent="0.25">
      <c r="A4785" t="str">
        <f>"20190303154903929"</f>
        <v>20190303154903929</v>
      </c>
      <c r="B4785" t="str">
        <f>"1551599343925398"</f>
        <v>1551599343925398</v>
      </c>
      <c r="C4785" t="s">
        <v>40</v>
      </c>
      <c r="D4785">
        <v>5.9081900000000003</v>
      </c>
      <c r="E4785">
        <v>0.52026749999999999</v>
      </c>
      <c r="F4785" t="s">
        <v>41</v>
      </c>
      <c r="G4785">
        <v>-233.23560000000001</v>
      </c>
      <c r="H4785" s="1">
        <v>-3.5676380000000001E-6</v>
      </c>
      <c r="I4785">
        <v>142.18469999999999</v>
      </c>
      <c r="J4785">
        <v>-217.43770000000001</v>
      </c>
      <c r="K4785">
        <v>1.1195489999999999</v>
      </c>
      <c r="L4785">
        <v>140.4153</v>
      </c>
      <c r="M4785">
        <v>-0.99939549999999999</v>
      </c>
      <c r="N4785">
        <v>-1.067248E-2</v>
      </c>
      <c r="O4785">
        <v>3.3090609999999999E-2</v>
      </c>
      <c r="P4785">
        <v>-0.99477760000000004</v>
      </c>
      <c r="Q4785">
        <v>-8.6450680000000002E-2</v>
      </c>
      <c r="R4785">
        <v>5.4260650000000001E-2</v>
      </c>
      <c r="S4785">
        <v>-2.9791560000000001</v>
      </c>
      <c r="T4785">
        <v>-0.2083489</v>
      </c>
      <c r="U4785">
        <v>0.33091739999999997</v>
      </c>
      <c r="V4785">
        <v>2.1125660000000001E-2</v>
      </c>
      <c r="W4785">
        <v>-7.5867619999999997E-2</v>
      </c>
      <c r="X4785">
        <v>0.99689410000000001</v>
      </c>
      <c r="Y4785">
        <v>7.7290020000000001E-2</v>
      </c>
      <c r="Z4785">
        <v>1.154385E-3</v>
      </c>
      <c r="AA4785">
        <v>0.99700800000000001</v>
      </c>
      <c r="AB4785">
        <v>22</v>
      </c>
      <c r="AC4785">
        <v>-15.797899999999901</v>
      </c>
      <c r="AD4785">
        <v>-1.11955256763799</v>
      </c>
      <c r="AE4785">
        <v>1.7693999999999901</v>
      </c>
      <c r="AF4785">
        <v>1.23949123483971</v>
      </c>
      <c r="AG4785">
        <v>-1.11955256763799</v>
      </c>
      <c r="AH4785">
        <v>15.7695850956862</v>
      </c>
      <c r="AI4785">
        <v>94.048422745880998</v>
      </c>
      <c r="AJ4785">
        <v>85.505784878485002</v>
      </c>
      <c r="AK4785">
        <v>15.8577914781043</v>
      </c>
      <c r="AL4785">
        <v>94.351075232883403</v>
      </c>
      <c r="AM4785">
        <v>88.7859994193456</v>
      </c>
      <c r="AN4785">
        <v>1.0000000179448501</v>
      </c>
    </row>
    <row r="4786" spans="1:40" x14ac:dyDescent="0.25">
      <c r="A4786" t="str">
        <f>"20190303154903953"</f>
        <v>20190303154903953</v>
      </c>
      <c r="B4786" t="str">
        <f>"1551599343945893"</f>
        <v>1551599343945893</v>
      </c>
      <c r="C4786" t="s">
        <v>40</v>
      </c>
      <c r="D4786">
        <v>5.92117</v>
      </c>
      <c r="E4786">
        <v>0.52060459999999997</v>
      </c>
      <c r="F4786" t="s">
        <v>41</v>
      </c>
      <c r="G4786">
        <v>-233.54249999999999</v>
      </c>
      <c r="H4786" s="1">
        <v>-3.4300260000000001E-6</v>
      </c>
      <c r="I4786">
        <v>142.16239999999999</v>
      </c>
      <c r="J4786">
        <v>-217.6754</v>
      </c>
      <c r="K4786">
        <v>1.1196140000000001</v>
      </c>
      <c r="L4786">
        <v>140.42519999999999</v>
      </c>
      <c r="M4786">
        <v>-0.99933640000000001</v>
      </c>
      <c r="N4786">
        <v>-1.0558120000000001E-2</v>
      </c>
      <c r="O4786">
        <v>3.4861799999999998E-2</v>
      </c>
      <c r="P4786">
        <v>-0.99495789999999995</v>
      </c>
      <c r="Q4786">
        <v>-8.6260790000000004E-2</v>
      </c>
      <c r="R4786">
        <v>5.1166620000000003E-2</v>
      </c>
      <c r="S4786">
        <v>-2.9801030000000002</v>
      </c>
      <c r="T4786">
        <v>-0.20716809999999999</v>
      </c>
      <c r="U4786">
        <v>0.32330320000000001</v>
      </c>
      <c r="V4786">
        <v>1.6274750000000001E-2</v>
      </c>
      <c r="W4786">
        <v>-7.5775960000000003E-2</v>
      </c>
      <c r="X4786">
        <v>0.99699210000000005</v>
      </c>
      <c r="Y4786">
        <v>7.2987529999999995E-2</v>
      </c>
      <c r="Z4786">
        <v>8.6832509999999904E-4</v>
      </c>
      <c r="AA4786">
        <v>0.99733249999999996</v>
      </c>
      <c r="AB4786">
        <v>22</v>
      </c>
      <c r="AC4786">
        <v>-15.867099999999899</v>
      </c>
      <c r="AD4786">
        <v>-1.11961743002599</v>
      </c>
      <c r="AE4786">
        <v>1.7372000000000001</v>
      </c>
      <c r="AF4786">
        <v>1.1771657168763801</v>
      </c>
      <c r="AG4786">
        <v>-1.11961743002599</v>
      </c>
      <c r="AH4786">
        <v>15.840085308723699</v>
      </c>
      <c r="AI4786">
        <v>94.0320050895631</v>
      </c>
      <c r="AJ4786">
        <v>85.749841564043194</v>
      </c>
      <c r="AK4786">
        <v>15.9231769726475</v>
      </c>
      <c r="AL4786">
        <v>94.345808176809697</v>
      </c>
      <c r="AM4786">
        <v>89.064795321878805</v>
      </c>
      <c r="AN4786">
        <v>1.0000000555319399</v>
      </c>
    </row>
    <row r="4787" spans="1:40" x14ac:dyDescent="0.25">
      <c r="A4787" t="str">
        <f>"20190303154904152"</f>
        <v>20190303154904152</v>
      </c>
      <c r="B4787" t="str">
        <f>"1551599344145973"</f>
        <v>1551599344145973</v>
      </c>
      <c r="C4787" t="s">
        <v>40</v>
      </c>
      <c r="D4787">
        <v>5.844595</v>
      </c>
      <c r="E4787">
        <v>0.52076889999999998</v>
      </c>
      <c r="F4787" t="s">
        <v>41</v>
      </c>
      <c r="G4787">
        <v>-233.6772</v>
      </c>
      <c r="H4787" s="1">
        <v>-3.3623500000000001E-6</v>
      </c>
      <c r="I4787">
        <v>142.12530000000001</v>
      </c>
      <c r="J4787">
        <v>-219.66569999999999</v>
      </c>
      <c r="K4787">
        <v>1.120314</v>
      </c>
      <c r="L4787">
        <v>140.51439999999999</v>
      </c>
      <c r="M4787">
        <v>-0.99900820000000001</v>
      </c>
      <c r="N4787">
        <v>-1.008267E-2</v>
      </c>
      <c r="O4787">
        <v>4.3369199999999997E-2</v>
      </c>
      <c r="P4787">
        <v>-0.99555950000000004</v>
      </c>
      <c r="Q4787">
        <v>-8.9541270000000006E-2</v>
      </c>
      <c r="R4787">
        <v>2.9047719999999999E-2</v>
      </c>
      <c r="S4787">
        <v>-2.9808349999999999</v>
      </c>
      <c r="T4787">
        <v>-0.20856379999999999</v>
      </c>
      <c r="U4787">
        <v>0.31669619999999998</v>
      </c>
      <c r="V4787">
        <v>-1.4191219999999999E-2</v>
      </c>
      <c r="W4787">
        <v>-7.948972E-2</v>
      </c>
      <c r="X4787">
        <v>0.99673469999999997</v>
      </c>
      <c r="Y4787">
        <v>6.2325609999999997E-2</v>
      </c>
      <c r="Z4787" s="1">
        <v>-9.6695029999999997E-5</v>
      </c>
      <c r="AA4787">
        <v>0.9980559</v>
      </c>
      <c r="AB4787">
        <v>22</v>
      </c>
      <c r="AC4787">
        <v>-14.0115</v>
      </c>
      <c r="AD4787">
        <v>-1.12031736235</v>
      </c>
      <c r="AE4787">
        <v>1.61090000000001</v>
      </c>
      <c r="AF4787">
        <v>0.99540499029617202</v>
      </c>
      <c r="AG4787">
        <v>-1.12031736235</v>
      </c>
      <c r="AH4787">
        <v>13.9799727416608</v>
      </c>
      <c r="AI4787">
        <v>94.570217141704603</v>
      </c>
      <c r="AJ4787">
        <v>85.927287002437893</v>
      </c>
      <c r="AK4787">
        <v>14.060070410373701</v>
      </c>
      <c r="AL4787">
        <v>94.559235280636301</v>
      </c>
      <c r="AM4787">
        <v>90.815705600706195</v>
      </c>
      <c r="AN4787">
        <v>1.00000003424742</v>
      </c>
    </row>
    <row r="4788" spans="1:40" x14ac:dyDescent="0.25">
      <c r="A4788" t="str">
        <f>"20190303154904176"</f>
        <v>20190303154904176</v>
      </c>
      <c r="B4788" t="str">
        <f>"1551599344165493"</f>
        <v>1551599344165493</v>
      </c>
      <c r="C4788" t="s">
        <v>40</v>
      </c>
      <c r="D4788">
        <v>5.7583679999999999</v>
      </c>
      <c r="E4788">
        <v>0.50372700000000004</v>
      </c>
      <c r="F4788" t="s">
        <v>41</v>
      </c>
      <c r="G4788">
        <v>-235.5402</v>
      </c>
      <c r="H4788" s="1">
        <v>-2.4904369999999999E-6</v>
      </c>
      <c r="I4788">
        <v>141.852</v>
      </c>
      <c r="J4788">
        <v>-219.89840000000001</v>
      </c>
      <c r="K4788">
        <v>1.1204149999999999</v>
      </c>
      <c r="L4788">
        <v>140.5249</v>
      </c>
      <c r="M4788">
        <v>-0.99899879999999996</v>
      </c>
      <c r="N4788">
        <v>-1.0061169999999999E-2</v>
      </c>
      <c r="O4788">
        <v>4.359354E-2</v>
      </c>
      <c r="P4788">
        <v>-0.99560369999999998</v>
      </c>
      <c r="Q4788">
        <v>-8.8913430000000002E-2</v>
      </c>
      <c r="R4788">
        <v>2.9458410000000001E-2</v>
      </c>
      <c r="S4788">
        <v>-2.9870909999999999</v>
      </c>
      <c r="T4788">
        <v>-0.2108092</v>
      </c>
      <c r="U4788">
        <v>0.25170900000000002</v>
      </c>
      <c r="V4788">
        <v>-1.3988E-2</v>
      </c>
      <c r="W4788">
        <v>-7.8886010000000006E-2</v>
      </c>
      <c r="X4788">
        <v>0.99678549999999999</v>
      </c>
      <c r="Y4788">
        <v>4.0411349999999999E-2</v>
      </c>
      <c r="Z4788">
        <v>-1.0018500000000001E-3</v>
      </c>
      <c r="AA4788">
        <v>0.99918260000000003</v>
      </c>
      <c r="AB4788">
        <v>22</v>
      </c>
      <c r="AC4788">
        <v>-15.6417999999999</v>
      </c>
      <c r="AD4788">
        <v>-1.1204174904369999</v>
      </c>
      <c r="AE4788">
        <v>1.3270999999999999</v>
      </c>
      <c r="AF4788">
        <v>0.64065878403890297</v>
      </c>
      <c r="AG4788">
        <v>-1.1204174904369999</v>
      </c>
      <c r="AH4788">
        <v>15.605288922874999</v>
      </c>
      <c r="AI4788">
        <v>94.103190601388306</v>
      </c>
      <c r="AJ4788">
        <v>87.649101974567401</v>
      </c>
      <c r="AK4788">
        <v>15.6585702219854</v>
      </c>
      <c r="AL4788">
        <v>94.524536437223503</v>
      </c>
      <c r="AM4788">
        <v>90.803985170796906</v>
      </c>
      <c r="AN4788">
        <v>0.99999999986398502</v>
      </c>
    </row>
    <row r="4789" spans="1:40" x14ac:dyDescent="0.25">
      <c r="A4789" t="str">
        <f>"20190303154904199"</f>
        <v>20190303154904199</v>
      </c>
      <c r="B4789" t="str">
        <f>"1551599344195749"</f>
        <v>1551599344195749</v>
      </c>
      <c r="C4789" t="s">
        <v>40</v>
      </c>
      <c r="D4789">
        <v>5.7626010000000001</v>
      </c>
      <c r="E4789">
        <v>0.50390709999999905</v>
      </c>
      <c r="F4789" t="s">
        <v>61</v>
      </c>
      <c r="G4789">
        <v>-511.05880000000002</v>
      </c>
      <c r="H4789">
        <v>0.55419490000000005</v>
      </c>
      <c r="I4789">
        <v>151.547</v>
      </c>
      <c r="J4789">
        <v>-220.13640000000001</v>
      </c>
      <c r="K4789">
        <v>1.120509</v>
      </c>
      <c r="L4789">
        <v>140.53540000000001</v>
      </c>
      <c r="M4789">
        <v>-0.99899510000000002</v>
      </c>
      <c r="N4789">
        <v>-1.004645E-2</v>
      </c>
      <c r="O4789">
        <v>4.3679519999999999E-2</v>
      </c>
      <c r="P4789">
        <v>-0.99556979999999995</v>
      </c>
      <c r="Q4789">
        <v>-8.8867550000000003E-2</v>
      </c>
      <c r="R4789">
        <v>3.0713689999999998E-2</v>
      </c>
      <c r="S4789">
        <v>-3.009369</v>
      </c>
      <c r="T4789">
        <v>-5.8518650000000004E-3</v>
      </c>
      <c r="U4789">
        <v>0.1139221</v>
      </c>
      <c r="V4789">
        <v>-1.279976E-2</v>
      </c>
      <c r="W4789">
        <v>-7.8857849999999993E-2</v>
      </c>
      <c r="X4789">
        <v>0.99680369999999996</v>
      </c>
      <c r="Y4789">
        <v>-5.8563469999999996E-3</v>
      </c>
      <c r="Z4789">
        <v>3.1888540000000001E-4</v>
      </c>
      <c r="AA4789">
        <v>0.99998279999999995</v>
      </c>
      <c r="AB4789">
        <v>22</v>
      </c>
      <c r="AC4789">
        <v>-290.92239999999998</v>
      </c>
      <c r="AD4789">
        <v>-0.56631409999999904</v>
      </c>
      <c r="AE4789">
        <v>11.0115999999999</v>
      </c>
      <c r="AF4789">
        <v>-1.7068959939962001</v>
      </c>
      <c r="AG4789">
        <v>-0.56631409999999904</v>
      </c>
      <c r="AH4789">
        <v>291.12461806365002</v>
      </c>
      <c r="AI4789">
        <v>90.111453333649294</v>
      </c>
      <c r="AJ4789">
        <v>90.335927674413199</v>
      </c>
      <c r="AK4789">
        <v>291.130172686207</v>
      </c>
      <c r="AL4789">
        <v>94.5229179212226</v>
      </c>
      <c r="AM4789">
        <v>90.735683387921497</v>
      </c>
      <c r="AN4789">
        <v>1.0000000053481799</v>
      </c>
    </row>
    <row r="4790" spans="1:40" x14ac:dyDescent="0.25">
      <c r="A4790" t="str">
        <f>"20190303154904221"</f>
        <v>20190303154904221</v>
      </c>
      <c r="B4790" t="str">
        <f>"1551599344215269"</f>
        <v>1551599344215269</v>
      </c>
      <c r="C4790" t="s">
        <v>40</v>
      </c>
      <c r="D4790">
        <v>5.7919910000000003</v>
      </c>
      <c r="E4790">
        <v>0.5014364</v>
      </c>
      <c r="F4790" t="s">
        <v>41</v>
      </c>
      <c r="G4790">
        <v>-261.6712</v>
      </c>
      <c r="H4790" s="1">
        <v>-4.1661970000000002E-6</v>
      </c>
      <c r="I4790">
        <v>142.20320000000001</v>
      </c>
      <c r="J4790">
        <v>-220.35570000000001</v>
      </c>
      <c r="K4790">
        <v>1.12059</v>
      </c>
      <c r="L4790">
        <v>140.54499999999999</v>
      </c>
      <c r="M4790">
        <v>-0.99899740000000004</v>
      </c>
      <c r="N4790">
        <v>-1.004881E-2</v>
      </c>
      <c r="O4790">
        <v>4.3625530000000003E-2</v>
      </c>
      <c r="P4790">
        <v>-0.99535819999999997</v>
      </c>
      <c r="Q4790">
        <v>-9.0802919999999995E-2</v>
      </c>
      <c r="R4790">
        <v>3.1886890000000001E-2</v>
      </c>
      <c r="S4790">
        <v>-3.00238</v>
      </c>
      <c r="T4790">
        <v>-8.0997349999999996E-2</v>
      </c>
      <c r="U4790">
        <v>0.12055970000000001</v>
      </c>
      <c r="V4790">
        <v>-1.1548360000000001E-2</v>
      </c>
      <c r="W4790">
        <v>-8.0794710000000006E-2</v>
      </c>
      <c r="X4790">
        <v>0.99666390000000005</v>
      </c>
      <c r="Y4790">
        <v>-3.5004709999999998E-3</v>
      </c>
      <c r="Z4790">
        <v>-8.0211179999999896E-4</v>
      </c>
      <c r="AA4790">
        <v>0.99999360000000004</v>
      </c>
      <c r="AB4790">
        <v>23</v>
      </c>
      <c r="AC4790">
        <v>-41.315499999999901</v>
      </c>
      <c r="AD4790">
        <v>-1.120594166197</v>
      </c>
      <c r="AE4790">
        <v>1.6582000000000201</v>
      </c>
      <c r="AF4790">
        <v>-0.14577339816190801</v>
      </c>
      <c r="AG4790">
        <v>-1.120594166197</v>
      </c>
      <c r="AH4790">
        <v>41.318158468213099</v>
      </c>
      <c r="AI4790">
        <v>91.553534429713196</v>
      </c>
      <c r="AJ4790">
        <v>90.2021427414914</v>
      </c>
      <c r="AK4790">
        <v>41.333608605749603</v>
      </c>
      <c r="AL4790">
        <v>94.634246957284105</v>
      </c>
      <c r="AM4790">
        <v>90.663857373462605</v>
      </c>
      <c r="AN4790">
        <v>1.00000003967294</v>
      </c>
    </row>
    <row r="4791" spans="1:40" x14ac:dyDescent="0.25">
      <c r="A4791" t="str">
        <f>"20190303154904242"</f>
        <v>20190303154904242</v>
      </c>
      <c r="B4791" t="str">
        <f>"1551599344235765"</f>
        <v>1551599344235765</v>
      </c>
      <c r="C4791" t="s">
        <v>40</v>
      </c>
      <c r="D4791">
        <v>5.8386940000000003</v>
      </c>
      <c r="E4791">
        <v>0.50001200000000001</v>
      </c>
      <c r="F4791" t="s">
        <v>41</v>
      </c>
      <c r="G4791">
        <v>-248.774</v>
      </c>
      <c r="H4791" s="1">
        <v>-1.020316E-6</v>
      </c>
      <c r="I4791">
        <v>141.54060000000001</v>
      </c>
      <c r="J4791">
        <v>-220.57320000000001</v>
      </c>
      <c r="K4791">
        <v>1.1206560000000001</v>
      </c>
      <c r="L4791">
        <v>140.55439999999999</v>
      </c>
      <c r="M4791">
        <v>-0.99900540000000004</v>
      </c>
      <c r="N4791">
        <v>-1.007866E-2</v>
      </c>
      <c r="O4791">
        <v>4.3438240000000003E-2</v>
      </c>
      <c r="P4791">
        <v>-0.99512330000000004</v>
      </c>
      <c r="Q4791">
        <v>-9.2636590000000005E-2</v>
      </c>
      <c r="R4791">
        <v>3.3889570000000001E-2</v>
      </c>
      <c r="S4791">
        <v>-2.9998469999999999</v>
      </c>
      <c r="T4791">
        <v>-0.1182903</v>
      </c>
      <c r="U4791">
        <v>0.1051025</v>
      </c>
      <c r="V4791">
        <v>-9.3337190000000007E-3</v>
      </c>
      <c r="W4791">
        <v>-8.26012E-2</v>
      </c>
      <c r="X4791">
        <v>0.99653899999999995</v>
      </c>
      <c r="Y4791">
        <v>-8.4055369999999994E-3</v>
      </c>
      <c r="Z4791">
        <v>-1.4812079999999999E-3</v>
      </c>
      <c r="AA4791">
        <v>0.99996359999999995</v>
      </c>
      <c r="AB4791">
        <v>23</v>
      </c>
      <c r="AC4791">
        <v>-28.200799999999902</v>
      </c>
      <c r="AD4791">
        <v>-1.12065702031599</v>
      </c>
      <c r="AE4791">
        <v>0.98620000000002495</v>
      </c>
      <c r="AF4791">
        <v>-0.23940854268205</v>
      </c>
      <c r="AG4791">
        <v>-1.12065702031599</v>
      </c>
      <c r="AH4791">
        <v>28.1725856143287</v>
      </c>
      <c r="AI4791">
        <v>92.277844488278205</v>
      </c>
      <c r="AJ4791">
        <v>90.486883564216598</v>
      </c>
      <c r="AK4791">
        <v>28.195882124951702</v>
      </c>
      <c r="AL4791">
        <v>94.738098439295399</v>
      </c>
      <c r="AM4791">
        <v>90.536624325628594</v>
      </c>
      <c r="AN4791">
        <v>1.0000000275364</v>
      </c>
    </row>
    <row r="4792" spans="1:40" x14ac:dyDescent="0.25">
      <c r="A4792" t="str">
        <f>"20190303154904265"</f>
        <v>20190303154904265</v>
      </c>
      <c r="B4792" t="str">
        <f>"1551599344255285"</f>
        <v>1551599344255285</v>
      </c>
      <c r="C4792" t="s">
        <v>40</v>
      </c>
      <c r="D4792">
        <v>5.8805269999999998</v>
      </c>
      <c r="E4792">
        <v>0.49860270000000001</v>
      </c>
      <c r="F4792" t="s">
        <v>41</v>
      </c>
      <c r="G4792">
        <v>-244.3167</v>
      </c>
      <c r="H4792" s="1">
        <v>-2.8816230000000001E-6</v>
      </c>
      <c r="I4792">
        <v>141.34960000000001</v>
      </c>
      <c r="J4792">
        <v>-220.79140000000001</v>
      </c>
      <c r="K4792">
        <v>1.120735</v>
      </c>
      <c r="L4792">
        <v>140.56360000000001</v>
      </c>
      <c r="M4792">
        <v>-0.99901740000000006</v>
      </c>
      <c r="N4792">
        <v>-1.0132520000000001E-2</v>
      </c>
      <c r="O4792">
        <v>4.3145900000000001E-2</v>
      </c>
      <c r="P4792">
        <v>-0.99505560000000004</v>
      </c>
      <c r="Q4792">
        <v>-9.2847079999999999E-2</v>
      </c>
      <c r="R4792">
        <v>3.5264509999999999E-2</v>
      </c>
      <c r="S4792">
        <v>-2.9981080000000002</v>
      </c>
      <c r="T4792">
        <v>-0.14150670000000001</v>
      </c>
      <c r="U4792">
        <v>0.1004181</v>
      </c>
      <c r="V4792">
        <v>-7.6533449999999998E-3</v>
      </c>
      <c r="W4792">
        <v>-8.2758520000000002E-2</v>
      </c>
      <c r="X4792">
        <v>0.99654019999999999</v>
      </c>
      <c r="Y4792">
        <v>-9.6374890000000008E-3</v>
      </c>
      <c r="Z4792">
        <v>-1.8729510000000001E-3</v>
      </c>
      <c r="AA4792">
        <v>0.99995179999999995</v>
      </c>
      <c r="AB4792">
        <v>23</v>
      </c>
      <c r="AC4792">
        <v>-23.525299999999898</v>
      </c>
      <c r="AD4792">
        <v>-1.120737881623</v>
      </c>
      <c r="AE4792">
        <v>0.78600000000000103</v>
      </c>
      <c r="AF4792">
        <v>-0.22928457152001699</v>
      </c>
      <c r="AG4792">
        <v>-1.120737881623</v>
      </c>
      <c r="AH4792">
        <v>23.4840663979105</v>
      </c>
      <c r="AI4792">
        <v>92.732142443381093</v>
      </c>
      <c r="AJ4792">
        <v>90.559384419676803</v>
      </c>
      <c r="AK4792">
        <v>23.511911861767199</v>
      </c>
      <c r="AL4792">
        <v>94.747143508413899</v>
      </c>
      <c r="AM4792">
        <v>90.440018121501296</v>
      </c>
      <c r="AN4792">
        <v>0.999999958269158</v>
      </c>
    </row>
    <row r="4793" spans="1:40" x14ac:dyDescent="0.25">
      <c r="A4793" t="str">
        <f>"20190303154904288"</f>
        <v>20190303154904288</v>
      </c>
      <c r="B4793" t="str">
        <f>"1551599344285542"</f>
        <v>1551599344285542</v>
      </c>
      <c r="C4793" t="s">
        <v>40</v>
      </c>
      <c r="D4793">
        <v>8.3356709999999996</v>
      </c>
      <c r="E4793">
        <v>0.4976584</v>
      </c>
      <c r="F4793" t="s">
        <v>41</v>
      </c>
      <c r="G4793">
        <v>-242.0309</v>
      </c>
      <c r="H4793" s="1">
        <v>-3.8294969999999996E-6</v>
      </c>
      <c r="I4793">
        <v>141.22649999999999</v>
      </c>
      <c r="J4793">
        <v>-221.0376</v>
      </c>
      <c r="K4793">
        <v>1.120817</v>
      </c>
      <c r="L4793">
        <v>140.5737</v>
      </c>
      <c r="M4793">
        <v>-0.99903540000000002</v>
      </c>
      <c r="N4793">
        <v>-1.0233900000000001E-2</v>
      </c>
      <c r="O4793">
        <v>4.2704869999999999E-2</v>
      </c>
      <c r="P4793">
        <v>-0.99516890000000002</v>
      </c>
      <c r="Q4793">
        <v>-9.0977340000000004E-2</v>
      </c>
      <c r="R4793">
        <v>3.6908879999999998E-2</v>
      </c>
      <c r="S4793">
        <v>-2.9968409999999999</v>
      </c>
      <c r="T4793">
        <v>-0.15813369999999999</v>
      </c>
      <c r="U4793">
        <v>9.3551640000000005E-2</v>
      </c>
      <c r="V4793">
        <v>-5.5653100000000004E-3</v>
      </c>
      <c r="W4793">
        <v>-8.0785480000000007E-2</v>
      </c>
      <c r="X4793">
        <v>0.99671600000000005</v>
      </c>
      <c r="Y4793">
        <v>-1.1455699999999999E-2</v>
      </c>
      <c r="Z4793">
        <v>-2.1741659999999999E-3</v>
      </c>
      <c r="AA4793">
        <v>0.99993200000000004</v>
      </c>
      <c r="AB4793">
        <v>23</v>
      </c>
      <c r="AC4793">
        <v>-20.993300000000001</v>
      </c>
      <c r="AD4793">
        <v>-1.1208208294969999</v>
      </c>
      <c r="AE4793">
        <v>0.65279999999998495</v>
      </c>
      <c r="AF4793">
        <v>-0.243664734833204</v>
      </c>
      <c r="AG4793">
        <v>-1.1208208294969999</v>
      </c>
      <c r="AH4793">
        <v>20.9423884278523</v>
      </c>
      <c r="AI4793">
        <v>93.063297241883006</v>
      </c>
      <c r="AJ4793">
        <v>90.666606439902395</v>
      </c>
      <c r="AK4793">
        <v>20.973775170385402</v>
      </c>
      <c r="AL4793">
        <v>94.633716448446606</v>
      </c>
      <c r="AM4793">
        <v>90.319916065300006</v>
      </c>
      <c r="AN4793">
        <v>1.00000002555511</v>
      </c>
    </row>
    <row r="4794" spans="1:40" x14ac:dyDescent="0.25">
      <c r="A4794" t="str">
        <f>"20190303154904309"</f>
        <v>20190303154904309</v>
      </c>
      <c r="B4794" t="str">
        <f>"1551599344306038"</f>
        <v>1551599344306038</v>
      </c>
      <c r="C4794" t="s">
        <v>40</v>
      </c>
      <c r="D4794">
        <v>5.8855139999999997</v>
      </c>
      <c r="E4794">
        <v>0.49841990000000003</v>
      </c>
      <c r="F4794" t="s">
        <v>41</v>
      </c>
      <c r="G4794">
        <v>-241.71010000000001</v>
      </c>
      <c r="H4794" s="1">
        <v>-3.9608030000000001E-6</v>
      </c>
      <c r="I4794">
        <v>141.2028</v>
      </c>
      <c r="J4794">
        <v>-221.24959999999999</v>
      </c>
      <c r="K4794">
        <v>1.1208910000000001</v>
      </c>
      <c r="L4794">
        <v>140.5823</v>
      </c>
      <c r="M4794">
        <v>-0.99905310000000003</v>
      </c>
      <c r="N4794">
        <v>-1.0382239999999999E-2</v>
      </c>
      <c r="O4794">
        <v>4.2249500000000002E-2</v>
      </c>
      <c r="P4794">
        <v>-0.99528090000000002</v>
      </c>
      <c r="Q4794">
        <v>-8.9514960000000005E-2</v>
      </c>
      <c r="R4794">
        <v>3.745996E-2</v>
      </c>
      <c r="S4794">
        <v>-2.9963380000000002</v>
      </c>
      <c r="T4794">
        <v>-0.16245589999999999</v>
      </c>
      <c r="U4794">
        <v>9.1186519999999993E-2</v>
      </c>
      <c r="V4794">
        <v>-4.5587989999999997E-3</v>
      </c>
      <c r="W4794">
        <v>-7.9173590000000002E-2</v>
      </c>
      <c r="X4794">
        <v>0.99685040000000003</v>
      </c>
      <c r="Y4794">
        <v>-1.177974E-2</v>
      </c>
      <c r="Z4794">
        <v>-2.2293880000000001E-3</v>
      </c>
      <c r="AA4794">
        <v>0.99992809999999999</v>
      </c>
      <c r="AB4794">
        <v>23</v>
      </c>
      <c r="AC4794">
        <v>-20.4605</v>
      </c>
      <c r="AD4794">
        <v>-1.1208949608030001</v>
      </c>
      <c r="AE4794">
        <v>0.62049999999999195</v>
      </c>
      <c r="AF4794">
        <v>-0.24381556681691499</v>
      </c>
      <c r="AG4794">
        <v>-1.1208949608030001</v>
      </c>
      <c r="AH4794">
        <v>20.407255579051299</v>
      </c>
      <c r="AI4794">
        <v>93.143661981940895</v>
      </c>
      <c r="AJ4794">
        <v>90.684508422757503</v>
      </c>
      <c r="AK4794">
        <v>20.439469949401801</v>
      </c>
      <c r="AL4794">
        <v>94.541065345936303</v>
      </c>
      <c r="AM4794">
        <v>90.262023390313601</v>
      </c>
      <c r="AN4794">
        <v>0.999999979990985</v>
      </c>
    </row>
    <row r="4795" spans="1:40" x14ac:dyDescent="0.25">
      <c r="A4795" t="str">
        <f>"20190303154904332"</f>
        <v>20190303154904332</v>
      </c>
      <c r="B4795" t="str">
        <f>"1551599344325558"</f>
        <v>1551599344325558</v>
      </c>
      <c r="C4795" t="s">
        <v>40</v>
      </c>
      <c r="D4795">
        <v>5.8871129999999896</v>
      </c>
      <c r="E4795">
        <v>0.49193399999999998</v>
      </c>
      <c r="F4795" t="s">
        <v>61</v>
      </c>
      <c r="G4795">
        <v>-546.18430000000001</v>
      </c>
      <c r="H4795">
        <v>34.501989999999999</v>
      </c>
      <c r="I4795">
        <v>150.69999999999999</v>
      </c>
      <c r="J4795">
        <v>-221.47559999999999</v>
      </c>
      <c r="K4795">
        <v>1.1209769999999999</v>
      </c>
      <c r="L4795">
        <v>140.59129999999999</v>
      </c>
      <c r="M4795">
        <v>-0.99907330000000005</v>
      </c>
      <c r="N4795">
        <v>-1.063278E-2</v>
      </c>
      <c r="O4795">
        <v>4.1705949999999999E-2</v>
      </c>
      <c r="P4795">
        <v>-0.99534739999999999</v>
      </c>
      <c r="Q4795">
        <v>-8.8718370000000005E-2</v>
      </c>
      <c r="R4795">
        <v>3.7581299999999998E-2</v>
      </c>
      <c r="S4795">
        <v>-3.0387569999999999</v>
      </c>
      <c r="T4795">
        <v>0.31217689999999998</v>
      </c>
      <c r="U4795">
        <v>9.4619750000000002E-2</v>
      </c>
      <c r="V4795">
        <v>-3.892225E-3</v>
      </c>
      <c r="W4795">
        <v>-7.8126299999999996E-2</v>
      </c>
      <c r="X4795">
        <v>0.99693580000000004</v>
      </c>
      <c r="Y4795">
        <v>-1.0277359999999999E-2</v>
      </c>
      <c r="Z4795">
        <v>5.1844830000000001E-3</v>
      </c>
      <c r="AA4795">
        <v>0.99993370000000004</v>
      </c>
      <c r="AB4795">
        <v>23</v>
      </c>
      <c r="AC4795">
        <v>-324.70870000000002</v>
      </c>
      <c r="AD4795">
        <v>33.381013000000003</v>
      </c>
      <c r="AE4795">
        <v>10.108700000000001</v>
      </c>
      <c r="AF4795">
        <v>-3.4071736795330101</v>
      </c>
      <c r="AG4795">
        <v>33.381013000000003</v>
      </c>
      <c r="AH4795">
        <v>321.45378702334398</v>
      </c>
      <c r="AI4795">
        <v>84.0717631705907</v>
      </c>
      <c r="AJ4795">
        <v>90.607270375332405</v>
      </c>
      <c r="AK4795">
        <v>323.200306393787</v>
      </c>
      <c r="AL4795">
        <v>94.480873818793896</v>
      </c>
      <c r="AM4795">
        <v>90.223692370506697</v>
      </c>
      <c r="AN4795">
        <v>0.99999992874438703</v>
      </c>
    </row>
    <row r="4796" spans="1:40" x14ac:dyDescent="0.25">
      <c r="A4796" t="str">
        <f>"20190303154904353"</f>
        <v>20190303154904353</v>
      </c>
      <c r="B4796" t="str">
        <f>"1551599344346054"</f>
        <v>1551599344346054</v>
      </c>
      <c r="C4796" t="s">
        <v>40</v>
      </c>
      <c r="D4796">
        <v>5.8991980000000002</v>
      </c>
      <c r="E4796">
        <v>0.49055219999999999</v>
      </c>
      <c r="F4796" t="s">
        <v>41</v>
      </c>
      <c r="G4796">
        <v>-239.13</v>
      </c>
      <c r="H4796" s="1">
        <v>-6.8974369999999996E-7</v>
      </c>
      <c r="I4796">
        <v>140.8723</v>
      </c>
      <c r="J4796">
        <v>-221.6935</v>
      </c>
      <c r="K4796">
        <v>1.121065</v>
      </c>
      <c r="L4796">
        <v>140.59970000000001</v>
      </c>
      <c r="M4796">
        <v>-0.99909349999999997</v>
      </c>
      <c r="N4796">
        <v>-1.095721E-2</v>
      </c>
      <c r="O4796">
        <v>4.113634E-2</v>
      </c>
      <c r="P4796">
        <v>-0.99531380000000003</v>
      </c>
      <c r="Q4796">
        <v>-8.9217240000000003E-2</v>
      </c>
      <c r="R4796">
        <v>3.7297629999999998E-2</v>
      </c>
      <c r="S4796">
        <v>-2.995285</v>
      </c>
      <c r="T4796">
        <v>-0.19018840000000001</v>
      </c>
      <c r="U4796">
        <v>4.7683719999999999E-2</v>
      </c>
      <c r="V4796">
        <v>-3.601721E-3</v>
      </c>
      <c r="W4796">
        <v>-7.8302060000000007E-2</v>
      </c>
      <c r="X4796">
        <v>0.99692309999999995</v>
      </c>
      <c r="Y4796">
        <v>-2.5113549999999998E-2</v>
      </c>
      <c r="Z4796">
        <v>-3.0921640000000001E-3</v>
      </c>
      <c r="AA4796">
        <v>0.99967980000000001</v>
      </c>
      <c r="AB4796">
        <v>23</v>
      </c>
      <c r="AC4796">
        <v>-17.436499999999899</v>
      </c>
      <c r="AD4796">
        <v>-1.1210656897436999</v>
      </c>
      <c r="AE4796">
        <v>0.27259999999998202</v>
      </c>
      <c r="AF4796">
        <v>-0.44311631600762502</v>
      </c>
      <c r="AG4796">
        <v>-1.1210656897436999</v>
      </c>
      <c r="AH4796">
        <v>17.361204188384601</v>
      </c>
      <c r="AI4796">
        <v>93.693433574123006</v>
      </c>
      <c r="AJ4796">
        <v>91.4620635487735</v>
      </c>
      <c r="AK4796">
        <v>17.403004086105799</v>
      </c>
      <c r="AL4796">
        <v>94.490975081781599</v>
      </c>
      <c r="AM4796">
        <v>90.206999430980602</v>
      </c>
      <c r="AN4796">
        <v>0.99999992615400402</v>
      </c>
    </row>
    <row r="4797" spans="1:40" x14ac:dyDescent="0.25">
      <c r="A4797" t="str">
        <f>"20190303154904376"</f>
        <v>20190303154904376</v>
      </c>
      <c r="B4797" t="str">
        <f>"1551599344365573"</f>
        <v>1551599344365573</v>
      </c>
      <c r="C4797" t="s">
        <v>40</v>
      </c>
      <c r="D4797">
        <v>6.020505</v>
      </c>
      <c r="E4797">
        <v>0.48865120000000001</v>
      </c>
      <c r="F4797" t="s">
        <v>41</v>
      </c>
      <c r="G4797">
        <v>-239.04239999999999</v>
      </c>
      <c r="H4797" s="1">
        <v>-7.0996169999999996E-7</v>
      </c>
      <c r="I4797">
        <v>140.80699999999999</v>
      </c>
      <c r="J4797">
        <v>-221.91319999999999</v>
      </c>
      <c r="K4797">
        <v>1.1211409999999999</v>
      </c>
      <c r="L4797">
        <v>140.60810000000001</v>
      </c>
      <c r="M4797">
        <v>-0.99911430000000001</v>
      </c>
      <c r="N4797">
        <v>-1.1322570000000001E-2</v>
      </c>
      <c r="O4797">
        <v>4.0527130000000001E-2</v>
      </c>
      <c r="P4797">
        <v>-0.99535209999999996</v>
      </c>
      <c r="Q4797">
        <v>-8.9505479999999998E-2</v>
      </c>
      <c r="R4797">
        <v>3.554073E-2</v>
      </c>
      <c r="S4797">
        <v>-2.9954529999999999</v>
      </c>
      <c r="T4797">
        <v>-0.1935635</v>
      </c>
      <c r="U4797">
        <v>3.5797120000000002E-2</v>
      </c>
      <c r="V4797">
        <v>-4.7497640000000001E-3</v>
      </c>
      <c r="W4797">
        <v>-7.8227630000000006E-2</v>
      </c>
      <c r="X4797">
        <v>0.99692420000000004</v>
      </c>
      <c r="Y4797">
        <v>-2.845982E-2</v>
      </c>
      <c r="Z4797">
        <v>-3.2365720000000001E-3</v>
      </c>
      <c r="AA4797">
        <v>0.99958970000000003</v>
      </c>
      <c r="AB4797">
        <v>23</v>
      </c>
      <c r="AC4797">
        <v>-17.129199999999901</v>
      </c>
      <c r="AD4797">
        <v>-1.1211417099617</v>
      </c>
      <c r="AE4797">
        <v>0.19890000000000799</v>
      </c>
      <c r="AF4797">
        <v>-0.49339184268733899</v>
      </c>
      <c r="AG4797">
        <v>-1.1211417099617</v>
      </c>
      <c r="AH4797">
        <v>17.0501542888675</v>
      </c>
      <c r="AI4797">
        <v>93.760528006426199</v>
      </c>
      <c r="AJ4797">
        <v>91.657544144332604</v>
      </c>
      <c r="AK4797">
        <v>17.094097095735499</v>
      </c>
      <c r="AL4797">
        <v>94.486697141791097</v>
      </c>
      <c r="AM4797">
        <v>90.2729790005464</v>
      </c>
      <c r="AN4797">
        <v>0.99999999144955598</v>
      </c>
    </row>
    <row r="4798" spans="1:40" x14ac:dyDescent="0.25">
      <c r="A4798" t="str">
        <f>"20190303154904401"</f>
        <v>20190303154904401</v>
      </c>
      <c r="B4798" t="str">
        <f>"1551599344395829"</f>
        <v>1551599344395829</v>
      </c>
      <c r="C4798" t="s">
        <v>40</v>
      </c>
      <c r="D4798">
        <v>5.9803790000000001</v>
      </c>
      <c r="E4798">
        <v>0.48585539999999999</v>
      </c>
      <c r="F4798" t="s">
        <v>41</v>
      </c>
      <c r="G4798">
        <v>-237.75389999999999</v>
      </c>
      <c r="H4798" s="1">
        <v>-1.2315120000000001E-6</v>
      </c>
      <c r="I4798">
        <v>140.68979999999999</v>
      </c>
      <c r="J4798">
        <v>-222.16329999999999</v>
      </c>
      <c r="K4798">
        <v>1.1212089999999999</v>
      </c>
      <c r="L4798">
        <v>140.6174</v>
      </c>
      <c r="M4798">
        <v>-0.99913850000000004</v>
      </c>
      <c r="N4798">
        <v>-1.173331E-2</v>
      </c>
      <c r="O4798">
        <v>3.9809520000000001E-2</v>
      </c>
      <c r="P4798">
        <v>-0.99547359999999896</v>
      </c>
      <c r="Q4798">
        <v>-8.8905590000000007E-2</v>
      </c>
      <c r="R4798">
        <v>3.3593110000000002E-2</v>
      </c>
      <c r="S4798">
        <v>-2.9943849999999999</v>
      </c>
      <c r="T4798">
        <v>-0.21193000000000001</v>
      </c>
      <c r="U4798">
        <v>1.5457149999999999E-2</v>
      </c>
      <c r="V4798">
        <v>-5.9866709999999998E-3</v>
      </c>
      <c r="W4798">
        <v>-7.7218990000000001E-2</v>
      </c>
      <c r="X4798">
        <v>0.9969962</v>
      </c>
      <c r="Y4798">
        <v>-3.4484010000000002E-2</v>
      </c>
      <c r="Z4798">
        <v>-3.7680470000000001E-3</v>
      </c>
      <c r="AA4798">
        <v>0.99939820000000001</v>
      </c>
      <c r="AB4798">
        <v>22</v>
      </c>
      <c r="AC4798">
        <v>-15.590599999999901</v>
      </c>
      <c r="AD4798">
        <v>-1.1212102315120001</v>
      </c>
      <c r="AE4798">
        <v>7.2399999999987502E-2</v>
      </c>
      <c r="AF4798">
        <v>-0.545532994403646</v>
      </c>
      <c r="AG4798">
        <v>-1.1212102315120001</v>
      </c>
      <c r="AH4798">
        <v>15.5009544853081</v>
      </c>
      <c r="AI4798">
        <v>94.134544857769498</v>
      </c>
      <c r="AJ4798">
        <v>92.015607689586304</v>
      </c>
      <c r="AK4798">
        <v>15.551022750508199</v>
      </c>
      <c r="AL4798">
        <v>94.428730857609295</v>
      </c>
      <c r="AM4798">
        <v>90.344040287343802</v>
      </c>
      <c r="AN4798">
        <v>1.0000000177303601</v>
      </c>
    </row>
    <row r="4799" spans="1:40" x14ac:dyDescent="0.25">
      <c r="A4799" t="str">
        <f>"20190303154904422"</f>
        <v>20190303154904422</v>
      </c>
      <c r="B4799" t="str">
        <f>"1551599344415350"</f>
        <v>1551599344415350</v>
      </c>
      <c r="C4799" t="s">
        <v>40</v>
      </c>
      <c r="D4799">
        <v>6.0374179999999997</v>
      </c>
      <c r="E4799">
        <v>0.48485800000000001</v>
      </c>
      <c r="F4799" t="s">
        <v>41</v>
      </c>
      <c r="G4799">
        <v>-236.19059999999999</v>
      </c>
      <c r="H4799" s="1">
        <v>-1.867655E-6</v>
      </c>
      <c r="I4799">
        <v>140.56</v>
      </c>
      <c r="J4799">
        <v>-222.37729999999999</v>
      </c>
      <c r="K4799">
        <v>1.1212530000000001</v>
      </c>
      <c r="L4799">
        <v>140.62520000000001</v>
      </c>
      <c r="M4799">
        <v>-0.99915909999999997</v>
      </c>
      <c r="N4799">
        <v>-1.20557999999999E-2</v>
      </c>
      <c r="O4799">
        <v>3.9190870000000003E-2</v>
      </c>
      <c r="P4799">
        <v>-0.99572850000000002</v>
      </c>
      <c r="Q4799">
        <v>-8.6647349999999998E-2</v>
      </c>
      <c r="R4799">
        <v>3.189492E-2</v>
      </c>
      <c r="S4799">
        <v>-2.9926910000000002</v>
      </c>
      <c r="T4799">
        <v>-0.23920920000000001</v>
      </c>
      <c r="U4799">
        <v>-1.223755E-2</v>
      </c>
      <c r="V4799">
        <v>-7.0805429999999999E-3</v>
      </c>
      <c r="W4799">
        <v>-7.4638070000000001E-2</v>
      </c>
      <c r="X4799">
        <v>0.99718549999999995</v>
      </c>
      <c r="Y4799">
        <v>-4.3031270000000003E-2</v>
      </c>
      <c r="Z4799">
        <v>-4.631993E-3</v>
      </c>
      <c r="AA4799">
        <v>0.99906300000000003</v>
      </c>
      <c r="AB4799">
        <v>22</v>
      </c>
      <c r="AC4799">
        <v>-13.8132999999999</v>
      </c>
      <c r="AD4799">
        <v>-1.121254867655</v>
      </c>
      <c r="AE4799">
        <v>-6.5200000000004296E-2</v>
      </c>
      <c r="AF4799">
        <v>-0.60257422420735396</v>
      </c>
      <c r="AG4799">
        <v>-1.121254867655</v>
      </c>
      <c r="AH4799">
        <v>13.709800187771</v>
      </c>
      <c r="AI4799">
        <v>94.671035024311294</v>
      </c>
      <c r="AJ4799">
        <v>92.516648933421493</v>
      </c>
      <c r="AK4799">
        <v>13.768766443023299</v>
      </c>
      <c r="AL4799">
        <v>94.280427177243595</v>
      </c>
      <c r="AM4799">
        <v>90.4068234173984</v>
      </c>
      <c r="AN4799">
        <v>0.99999994849637297</v>
      </c>
    </row>
    <row r="4800" spans="1:40" x14ac:dyDescent="0.25">
      <c r="A4800" t="str">
        <f>"20190303154904443"</f>
        <v>20190303154904443</v>
      </c>
      <c r="B4800" t="str">
        <f>"1551599344435845"</f>
        <v>1551599344435845</v>
      </c>
      <c r="C4800" t="s">
        <v>40</v>
      </c>
      <c r="D4800">
        <v>6.0243080000000004</v>
      </c>
      <c r="E4800">
        <v>0.48406779999999999</v>
      </c>
      <c r="F4800" t="s">
        <v>41</v>
      </c>
      <c r="G4800">
        <v>-236.15280000000001</v>
      </c>
      <c r="H4800" s="1">
        <v>-1.8703229999999999E-6</v>
      </c>
      <c r="I4800">
        <v>140.50909999999999</v>
      </c>
      <c r="J4800">
        <v>-222.5933</v>
      </c>
      <c r="K4800">
        <v>1.1212839999999999</v>
      </c>
      <c r="L4800">
        <v>140.63299999999899</v>
      </c>
      <c r="M4800">
        <v>-0.99917940000000005</v>
      </c>
      <c r="N4800">
        <v>-1.2353060000000001E-2</v>
      </c>
      <c r="O4800">
        <v>3.8574009999999999E-2</v>
      </c>
      <c r="P4800">
        <v>-0.99595990000000001</v>
      </c>
      <c r="Q4800">
        <v>-8.4243949999999998E-2</v>
      </c>
      <c r="R4800">
        <v>3.1093800000000001E-2</v>
      </c>
      <c r="S4800">
        <v>-2.9924770000000001</v>
      </c>
      <c r="T4800">
        <v>-0.2435737</v>
      </c>
      <c r="U4800">
        <v>-2.5207520000000001E-2</v>
      </c>
      <c r="V4800">
        <v>-7.2797979999999997E-3</v>
      </c>
      <c r="W4800">
        <v>-7.193592E-2</v>
      </c>
      <c r="X4800">
        <v>0.99738269999999996</v>
      </c>
      <c r="Y4800">
        <v>-4.672287E-2</v>
      </c>
      <c r="Z4800">
        <v>-4.8456180000000003E-3</v>
      </c>
      <c r="AA4800">
        <v>0.99889609999999995</v>
      </c>
      <c r="AB4800">
        <v>22</v>
      </c>
      <c r="AC4800">
        <v>-13.5595</v>
      </c>
      <c r="AD4800">
        <v>-1.121285870323</v>
      </c>
      <c r="AE4800">
        <v>-0.123899999999991</v>
      </c>
      <c r="AF4800">
        <v>-0.64249876291416197</v>
      </c>
      <c r="AG4800">
        <v>-1.121285870323</v>
      </c>
      <c r="AH4800">
        <v>13.4526421326928</v>
      </c>
      <c r="AI4800">
        <v>94.759224604820602</v>
      </c>
      <c r="AJ4800">
        <v>92.734371086927894</v>
      </c>
      <c r="AK4800">
        <v>13.514572394775699</v>
      </c>
      <c r="AL4800">
        <v>94.125187616410997</v>
      </c>
      <c r="AM4800">
        <v>90.4181888200565</v>
      </c>
      <c r="AN4800">
        <v>1.00000001115222</v>
      </c>
    </row>
    <row r="4801" spans="1:40" x14ac:dyDescent="0.25">
      <c r="A4801" t="str">
        <f>"20190303154904466"</f>
        <v>20190303154904466</v>
      </c>
      <c r="B4801" t="str">
        <f>"1551599344455365"</f>
        <v>1551599344455365</v>
      </c>
      <c r="C4801" t="s">
        <v>40</v>
      </c>
      <c r="D4801">
        <v>6.013471</v>
      </c>
      <c r="E4801">
        <v>0.48355290000000001</v>
      </c>
      <c r="F4801" t="s">
        <v>41</v>
      </c>
      <c r="G4801">
        <v>-236.35730000000001</v>
      </c>
      <c r="H4801" s="1">
        <v>-1.774028E-6</v>
      </c>
      <c r="I4801">
        <v>140.477</v>
      </c>
      <c r="J4801">
        <v>-222.80629999999999</v>
      </c>
      <c r="K4801">
        <v>1.1213070000000001</v>
      </c>
      <c r="L4801">
        <v>140.6405</v>
      </c>
      <c r="M4801">
        <v>-0.99919910000000001</v>
      </c>
      <c r="N4801">
        <v>-1.261935E-2</v>
      </c>
      <c r="O4801">
        <v>3.7975219999999997E-2</v>
      </c>
      <c r="P4801">
        <v>-0.99614440000000004</v>
      </c>
      <c r="Q4801">
        <v>-8.2225499999999896E-2</v>
      </c>
      <c r="R4801">
        <v>3.058576E-2</v>
      </c>
      <c r="S4801">
        <v>-2.9925989999999998</v>
      </c>
      <c r="T4801">
        <v>-0.24379110000000001</v>
      </c>
      <c r="U4801">
        <v>-3.388977E-2</v>
      </c>
      <c r="V4801">
        <v>-7.2010700000000004E-3</v>
      </c>
      <c r="W4801">
        <v>-6.9649610000000001E-2</v>
      </c>
      <c r="X4801">
        <v>0.99754549999999997</v>
      </c>
      <c r="Y4801">
        <v>-4.9014050000000003E-2</v>
      </c>
      <c r="Z4801">
        <v>-4.9123819999999999E-3</v>
      </c>
      <c r="AA4801">
        <v>0.99878599999999995</v>
      </c>
      <c r="AB4801">
        <v>22</v>
      </c>
      <c r="AC4801">
        <v>-13.551</v>
      </c>
      <c r="AD4801">
        <v>-1.1213087740279899</v>
      </c>
      <c r="AE4801">
        <v>-0.16349999999999901</v>
      </c>
      <c r="AF4801">
        <v>-0.67341489872637805</v>
      </c>
      <c r="AG4801">
        <v>-1.1213087740279899</v>
      </c>
      <c r="AH4801">
        <v>13.442982137034999</v>
      </c>
      <c r="AI4801">
        <v>94.762185561646902</v>
      </c>
      <c r="AJ4801">
        <v>92.867786720506501</v>
      </c>
      <c r="AK4801">
        <v>13.506464738382901</v>
      </c>
      <c r="AL4801">
        <v>93.993862333804302</v>
      </c>
      <c r="AM4801">
        <v>90.413598930949206</v>
      </c>
      <c r="AN4801">
        <v>0.99999997407627295</v>
      </c>
    </row>
    <row r="4802" spans="1:40" x14ac:dyDescent="0.25">
      <c r="A4802" t="str">
        <f>"20190303154904488"</f>
        <v>20190303154904488</v>
      </c>
      <c r="B4802" t="str">
        <f>"1551599344485621"</f>
        <v>1551599344485621</v>
      </c>
      <c r="C4802" t="s">
        <v>40</v>
      </c>
      <c r="D4802">
        <v>5.8648550000000004</v>
      </c>
      <c r="E4802">
        <v>0.48492580000000002</v>
      </c>
      <c r="F4802" t="s">
        <v>41</v>
      </c>
      <c r="G4802">
        <v>-236.50399999999999</v>
      </c>
      <c r="H4802" s="1">
        <v>-1.70652E-6</v>
      </c>
      <c r="I4802">
        <v>140.4598</v>
      </c>
      <c r="J4802">
        <v>-223.0333</v>
      </c>
      <c r="K4802">
        <v>1.1213219999999999</v>
      </c>
      <c r="L4802">
        <v>140.64840000000001</v>
      </c>
      <c r="M4802">
        <v>-0.99921950000000004</v>
      </c>
      <c r="N4802">
        <v>-1.287288E-2</v>
      </c>
      <c r="O4802">
        <v>3.7347140000000001E-2</v>
      </c>
      <c r="P4802">
        <v>-0.9962453</v>
      </c>
      <c r="Q4802">
        <v>-8.0843789999999999E-2</v>
      </c>
      <c r="R4802">
        <v>3.0980750000000001E-2</v>
      </c>
      <c r="S4802">
        <v>-2.9926149999999998</v>
      </c>
      <c r="T4802">
        <v>-0.24497840000000001</v>
      </c>
      <c r="U4802">
        <v>-3.9459229999999998E-2</v>
      </c>
      <c r="V4802">
        <v>-6.1876459999999998E-3</v>
      </c>
      <c r="W4802">
        <v>-6.8012390000000006E-2</v>
      </c>
      <c r="X4802">
        <v>0.99766529999999998</v>
      </c>
      <c r="Y4802">
        <v>-5.0238949999999997E-2</v>
      </c>
      <c r="Z4802">
        <v>-4.9483449999999998E-3</v>
      </c>
      <c r="AA4802">
        <v>0.99872499999999997</v>
      </c>
      <c r="AB4802">
        <v>22</v>
      </c>
      <c r="AC4802">
        <v>-13.470700000000001</v>
      </c>
      <c r="AD4802">
        <v>-1.1213237065199999</v>
      </c>
      <c r="AE4802">
        <v>-0.18860000000000801</v>
      </c>
      <c r="AF4802">
        <v>-0.686843847169057</v>
      </c>
      <c r="AG4802">
        <v>-1.1213237065199999</v>
      </c>
      <c r="AH4802">
        <v>13.361689016993701</v>
      </c>
      <c r="AI4802">
        <v>94.790771791096901</v>
      </c>
      <c r="AJ4802">
        <v>92.942640447717295</v>
      </c>
      <c r="AK4802">
        <v>13.4262375486227</v>
      </c>
      <c r="AL4802">
        <v>93.899833373503697</v>
      </c>
      <c r="AM4802">
        <v>90.355351093447894</v>
      </c>
      <c r="AN4802">
        <v>1.00000001149031</v>
      </c>
    </row>
    <row r="4803" spans="1:40" x14ac:dyDescent="0.25">
      <c r="A4803" t="str">
        <f>"20190303154904510"</f>
        <v>20190303154904510</v>
      </c>
      <c r="B4803" t="str">
        <f>"1551599344506119"</f>
        <v>1551599344506119</v>
      </c>
      <c r="C4803" t="s">
        <v>40</v>
      </c>
      <c r="D4803">
        <v>5.928121</v>
      </c>
      <c r="E4803">
        <v>0.48557669999999997</v>
      </c>
      <c r="F4803" t="s">
        <v>41</v>
      </c>
      <c r="G4803">
        <v>-237.44739999999999</v>
      </c>
      <c r="H4803" s="1">
        <v>-1.316937E-6</v>
      </c>
      <c r="I4803">
        <v>140.51660000000001</v>
      </c>
      <c r="J4803">
        <v>-223.24930000000001</v>
      </c>
      <c r="K4803">
        <v>1.1213329999999999</v>
      </c>
      <c r="L4803">
        <v>140.6557</v>
      </c>
      <c r="M4803">
        <v>-0.99923870000000004</v>
      </c>
      <c r="N4803">
        <v>-1.308586E-2</v>
      </c>
      <c r="O4803">
        <v>3.675639E-2</v>
      </c>
      <c r="P4803">
        <v>-0.99637779999999998</v>
      </c>
      <c r="Q4803">
        <v>-7.9142450000000003E-2</v>
      </c>
      <c r="R4803">
        <v>3.1115150000000001E-2</v>
      </c>
      <c r="S4803">
        <v>-2.9932560000000001</v>
      </c>
      <c r="T4803">
        <v>-0.23285649999999999</v>
      </c>
      <c r="U4803">
        <v>-2.734375E-2</v>
      </c>
      <c r="V4803">
        <v>-5.4723860000000001E-3</v>
      </c>
      <c r="W4803">
        <v>-6.6096020000000005E-2</v>
      </c>
      <c r="X4803">
        <v>0.99779830000000003</v>
      </c>
      <c r="Y4803">
        <v>-4.5648580000000001E-2</v>
      </c>
      <c r="Z4803">
        <v>-4.4463159999999996E-3</v>
      </c>
      <c r="AA4803">
        <v>0.99894769999999999</v>
      </c>
      <c r="AB4803">
        <v>22</v>
      </c>
      <c r="AC4803">
        <v>-14.198099999999901</v>
      </c>
      <c r="AD4803">
        <v>-1.12133431693699</v>
      </c>
      <c r="AE4803">
        <v>-0.13909999999998399</v>
      </c>
      <c r="AF4803">
        <v>-0.65682496629401799</v>
      </c>
      <c r="AG4803">
        <v>-1.12133431693699</v>
      </c>
      <c r="AH4803">
        <v>14.0954788699917</v>
      </c>
      <c r="AI4803">
        <v>94.543549051329805</v>
      </c>
      <c r="AJ4803">
        <v>92.667954402857305</v>
      </c>
      <c r="AK4803">
        <v>14.1552581841897</v>
      </c>
      <c r="AL4803">
        <v>93.789785659197506</v>
      </c>
      <c r="AM4803">
        <v>90.314233325500197</v>
      </c>
      <c r="AN4803">
        <v>1.0000000391756301</v>
      </c>
    </row>
    <row r="4804" spans="1:40" x14ac:dyDescent="0.25">
      <c r="A4804" t="str">
        <f>"20190303154904533"</f>
        <v>20190303154904533</v>
      </c>
      <c r="B4804" t="str">
        <f>"1551599344525638"</f>
        <v>1551599344525638</v>
      </c>
      <c r="C4804" t="s">
        <v>40</v>
      </c>
      <c r="D4804">
        <v>5.970453</v>
      </c>
      <c r="E4804">
        <v>0.4857206</v>
      </c>
      <c r="F4804" t="s">
        <v>41</v>
      </c>
      <c r="G4804">
        <v>-238.21969999999999</v>
      </c>
      <c r="H4804" s="1">
        <v>-9.9374699999999993E-7</v>
      </c>
      <c r="I4804">
        <v>140.5471</v>
      </c>
      <c r="J4804">
        <v>-223.47919999999999</v>
      </c>
      <c r="K4804">
        <v>1.1213420000000001</v>
      </c>
      <c r="L4804">
        <v>140.6634</v>
      </c>
      <c r="M4804">
        <v>-0.9992588</v>
      </c>
      <c r="N4804">
        <v>-1.3284199999999999E-2</v>
      </c>
      <c r="O4804">
        <v>3.6132659999999997E-2</v>
      </c>
      <c r="P4804">
        <v>-0.99652280000000004</v>
      </c>
      <c r="Q4804">
        <v>-7.7258809999999997E-2</v>
      </c>
      <c r="R4804">
        <v>3.1203850000000002E-2</v>
      </c>
      <c r="S4804">
        <v>-2.9937589999999998</v>
      </c>
      <c r="T4804">
        <v>-0.22424359999999999</v>
      </c>
      <c r="U4804">
        <v>-2.1713260000000002E-2</v>
      </c>
      <c r="V4804">
        <v>-4.7707729999999999E-3</v>
      </c>
      <c r="W4804">
        <v>-6.401184E-2</v>
      </c>
      <c r="X4804">
        <v>0.99793770000000004</v>
      </c>
      <c r="Y4804">
        <v>-4.3171889999999997E-2</v>
      </c>
      <c r="Z4804">
        <v>-4.1246019999999998E-3</v>
      </c>
      <c r="AA4804">
        <v>0.99905909999999998</v>
      </c>
      <c r="AB4804">
        <v>22</v>
      </c>
      <c r="AC4804">
        <v>-14.7404999999999</v>
      </c>
      <c r="AD4804">
        <v>-1.1213429937469901</v>
      </c>
      <c r="AE4804">
        <v>-0.116299999999995</v>
      </c>
      <c r="AF4804">
        <v>-0.64515121943544396</v>
      </c>
      <c r="AG4804">
        <v>-1.1213429937469901</v>
      </c>
      <c r="AH4804">
        <v>14.6419427299269</v>
      </c>
      <c r="AI4804">
        <v>94.375180252090701</v>
      </c>
      <c r="AJ4804">
        <v>92.522926706002806</v>
      </c>
      <c r="AK4804">
        <v>14.6989835400963</v>
      </c>
      <c r="AL4804">
        <v>93.670117711322405</v>
      </c>
      <c r="AM4804">
        <v>90.273907955937204</v>
      </c>
      <c r="AN4804">
        <v>0.99999996450824602</v>
      </c>
    </row>
    <row r="4805" spans="1:40" x14ac:dyDescent="0.25">
      <c r="A4805" t="str">
        <f>"20190303154904554"</f>
        <v>20190303154904554</v>
      </c>
      <c r="B4805" t="str">
        <f>"1551599344546134"</f>
        <v>1551599344546134</v>
      </c>
      <c r="C4805" t="s">
        <v>40</v>
      </c>
      <c r="D4805">
        <v>6.151116</v>
      </c>
      <c r="E4805">
        <v>0.52096439999999999</v>
      </c>
      <c r="F4805" t="s">
        <v>41</v>
      </c>
      <c r="G4805">
        <v>-238.8015</v>
      </c>
      <c r="H4805" s="1">
        <v>-7.4747090000000004E-7</v>
      </c>
      <c r="I4805">
        <v>140.55969999999999</v>
      </c>
      <c r="J4805">
        <v>-223.68620000000001</v>
      </c>
      <c r="K4805">
        <v>1.121345</v>
      </c>
      <c r="L4805">
        <v>140.6703</v>
      </c>
      <c r="M4805">
        <v>-0.99927679999999997</v>
      </c>
      <c r="N4805">
        <v>-1.344031E-2</v>
      </c>
      <c r="O4805">
        <v>3.557449E-2</v>
      </c>
      <c r="P4805">
        <v>-0.99666920000000003</v>
      </c>
      <c r="Q4805">
        <v>-7.5348769999999995E-2</v>
      </c>
      <c r="R4805">
        <v>3.1200160000000001E-2</v>
      </c>
      <c r="S4805">
        <v>-2.9941249999999999</v>
      </c>
      <c r="T4805">
        <v>-0.21912110000000001</v>
      </c>
      <c r="U4805">
        <v>-2.0263670000000001E-2</v>
      </c>
      <c r="V4805">
        <v>-4.2259960000000001E-3</v>
      </c>
      <c r="W4805">
        <v>-6.1943619999999998E-2</v>
      </c>
      <c r="X4805">
        <v>0.99807069999999998</v>
      </c>
      <c r="Y4805">
        <v>-4.2143430000000003E-2</v>
      </c>
      <c r="Z4805">
        <v>-3.9456459999999997E-3</v>
      </c>
      <c r="AA4805">
        <v>0.99910379999999999</v>
      </c>
      <c r="AB4805">
        <v>22</v>
      </c>
      <c r="AC4805">
        <v>-15.1152999999999</v>
      </c>
      <c r="AD4805">
        <v>-1.1213457474708901</v>
      </c>
      <c r="AE4805">
        <v>-0.110600000000005</v>
      </c>
      <c r="AF4805">
        <v>-0.64474931845684702</v>
      </c>
      <c r="AG4805">
        <v>-1.1213457474708901</v>
      </c>
      <c r="AH4805">
        <v>15.0191411432646</v>
      </c>
      <c r="AI4805">
        <v>94.265930062562703</v>
      </c>
      <c r="AJ4805">
        <v>92.458113078430699</v>
      </c>
      <c r="AK4805">
        <v>15.074737763899099</v>
      </c>
      <c r="AL4805">
        <v>93.551381595268296</v>
      </c>
      <c r="AM4805">
        <v>90.242598333027004</v>
      </c>
      <c r="AN4805">
        <v>0.99999999664969297</v>
      </c>
    </row>
    <row r="4806" spans="1:40" x14ac:dyDescent="0.25">
      <c r="A4806" t="str">
        <f>"20190303154904576"</f>
        <v>20190303154904576</v>
      </c>
      <c r="B4806" t="str">
        <f>"1551599344565654"</f>
        <v>1551599344565654</v>
      </c>
      <c r="C4806" t="s">
        <v>40</v>
      </c>
      <c r="D4806">
        <v>5.9351370000000001</v>
      </c>
      <c r="E4806">
        <v>0.53057829999999995</v>
      </c>
      <c r="F4806" t="s">
        <v>41</v>
      </c>
      <c r="G4806">
        <v>-244.10120000000001</v>
      </c>
      <c r="H4806" s="1">
        <v>-3.2665119999999999E-6</v>
      </c>
      <c r="I4806">
        <v>142.4486</v>
      </c>
      <c r="J4806">
        <v>-223.90559999999999</v>
      </c>
      <c r="K4806">
        <v>1.1213489999999999</v>
      </c>
      <c r="L4806">
        <v>140.67740000000001</v>
      </c>
      <c r="M4806">
        <v>-0.99929559999999995</v>
      </c>
      <c r="N4806">
        <v>-1.3585430000000001E-2</v>
      </c>
      <c r="O4806">
        <v>3.4986030000000001E-2</v>
      </c>
      <c r="P4806">
        <v>-0.99669750000000001</v>
      </c>
      <c r="Q4806">
        <v>-7.4759069999999997E-2</v>
      </c>
      <c r="R4806">
        <v>3.1704459999999997E-2</v>
      </c>
      <c r="S4806">
        <v>-2.989471</v>
      </c>
      <c r="T4806">
        <v>-0.16420560000000001</v>
      </c>
      <c r="U4806">
        <v>0.26042179999999998</v>
      </c>
      <c r="V4806">
        <v>-3.1377140000000002E-3</v>
      </c>
      <c r="W4806">
        <v>-6.1207490000000003E-2</v>
      </c>
      <c r="X4806">
        <v>0.99812009999999995</v>
      </c>
      <c r="Y4806">
        <v>5.180676E-2</v>
      </c>
      <c r="Z4806">
        <v>3.30775E-4</v>
      </c>
      <c r="AA4806">
        <v>0.99865700000000002</v>
      </c>
      <c r="AB4806">
        <v>22</v>
      </c>
      <c r="AC4806">
        <v>-20.195599999999999</v>
      </c>
      <c r="AD4806">
        <v>-1.1213522665119999</v>
      </c>
      <c r="AE4806">
        <v>1.7711999999999899</v>
      </c>
      <c r="AF4806">
        <v>1.06024273776709</v>
      </c>
      <c r="AG4806">
        <v>-1.1213522665119999</v>
      </c>
      <c r="AH4806">
        <v>20.1834567543691</v>
      </c>
      <c r="AI4806">
        <v>93.175599685935694</v>
      </c>
      <c r="AJ4806">
        <v>86.993000203721195</v>
      </c>
      <c r="AK4806">
        <v>20.2423682439602</v>
      </c>
      <c r="AL4806">
        <v>93.509124366015399</v>
      </c>
      <c r="AM4806">
        <v>90.1801157769616</v>
      </c>
      <c r="AN4806">
        <v>0.99999996805262703</v>
      </c>
    </row>
    <row r="4807" spans="1:40" x14ac:dyDescent="0.25">
      <c r="A4807" t="str">
        <f>"20190303154904601"</f>
        <v>20190303154904601</v>
      </c>
      <c r="B4807" t="str">
        <f>"1551599344595910"</f>
        <v>1551599344595910</v>
      </c>
      <c r="C4807" t="s">
        <v>40</v>
      </c>
      <c r="D4807">
        <v>6.1153300000000002</v>
      </c>
      <c r="E4807">
        <v>0.52707309999999996</v>
      </c>
      <c r="F4807" t="s">
        <v>41</v>
      </c>
      <c r="G4807">
        <v>-250.17429999999999</v>
      </c>
      <c r="H4807" s="1">
        <v>-4.9323339999999999E-6</v>
      </c>
      <c r="I4807">
        <v>143.65049999999999</v>
      </c>
      <c r="J4807">
        <v>-224.14420000000001</v>
      </c>
      <c r="K4807">
        <v>1.1213569999999999</v>
      </c>
      <c r="L4807">
        <v>140.6849</v>
      </c>
      <c r="M4807">
        <v>-0.99931590000000003</v>
      </c>
      <c r="N4807">
        <v>-1.372232E-2</v>
      </c>
      <c r="O4807">
        <v>3.434777E-2</v>
      </c>
      <c r="P4807">
        <v>-0.99673780000000001</v>
      </c>
      <c r="Q4807">
        <v>-7.4129490000000006E-2</v>
      </c>
      <c r="R4807">
        <v>3.1917069999999999E-2</v>
      </c>
      <c r="S4807">
        <v>-2.9896090000000002</v>
      </c>
      <c r="T4807">
        <v>-0.12762029999999999</v>
      </c>
      <c r="U4807">
        <v>0.33837889999999998</v>
      </c>
      <c r="V4807">
        <v>-2.2911210000000001E-3</v>
      </c>
      <c r="W4807">
        <v>-6.0439909999999999E-2</v>
      </c>
      <c r="X4807">
        <v>0.99816919999999998</v>
      </c>
      <c r="Y4807">
        <v>7.8188549999999996E-2</v>
      </c>
      <c r="Z4807">
        <v>1.21133E-3</v>
      </c>
      <c r="AA4807">
        <v>0.99693790000000004</v>
      </c>
      <c r="AB4807">
        <v>22</v>
      </c>
      <c r="AC4807">
        <v>-26.030099999999901</v>
      </c>
      <c r="AD4807">
        <v>-1.1213619323339901</v>
      </c>
      <c r="AE4807">
        <v>2.96559999999999</v>
      </c>
      <c r="AF4807">
        <v>2.0659050098832199</v>
      </c>
      <c r="AG4807">
        <v>-1.1213619323339901</v>
      </c>
      <c r="AH4807">
        <v>26.068849514814399</v>
      </c>
      <c r="AI4807">
        <v>92.455393620584204</v>
      </c>
      <c r="AJ4807">
        <v>85.468891919445198</v>
      </c>
      <c r="AK4807">
        <v>26.174612339425199</v>
      </c>
      <c r="AL4807">
        <v>93.465063609116996</v>
      </c>
      <c r="AM4807">
        <v>90.131512105482102</v>
      </c>
      <c r="AN4807">
        <v>0.99999999189244204</v>
      </c>
    </row>
    <row r="4808" spans="1:40" x14ac:dyDescent="0.25">
      <c r="A4808" t="str">
        <f>"20190303154904623"</f>
        <v>20190303154904623</v>
      </c>
      <c r="B4808" t="str">
        <f>"1551599344615429"</f>
        <v>1551599344615429</v>
      </c>
      <c r="C4808" t="s">
        <v>40</v>
      </c>
      <c r="D4808">
        <v>6.1318979999999996</v>
      </c>
      <c r="E4808">
        <v>0.52582600000000002</v>
      </c>
      <c r="F4808" t="s">
        <v>41</v>
      </c>
      <c r="G4808">
        <v>-243.24959999999999</v>
      </c>
      <c r="H4808" s="1">
        <v>-3.6924500000000001E-6</v>
      </c>
      <c r="I4808">
        <v>142.6764</v>
      </c>
      <c r="J4808">
        <v>-224.3621</v>
      </c>
      <c r="K4808">
        <v>1.1213630000000001</v>
      </c>
      <c r="L4808">
        <v>140.6917</v>
      </c>
      <c r="M4808">
        <v>-0.99933419999999895</v>
      </c>
      <c r="N4808">
        <v>-1.3828129999999999E-2</v>
      </c>
      <c r="O4808">
        <v>3.3764660000000002E-2</v>
      </c>
      <c r="P4808">
        <v>-0.99676549999999997</v>
      </c>
      <c r="Q4808">
        <v>-7.3882009999999998E-2</v>
      </c>
      <c r="R4808">
        <v>3.1625649999999998E-2</v>
      </c>
      <c r="S4808">
        <v>-2.9868320000000002</v>
      </c>
      <c r="T4808">
        <v>-0.17530809999999999</v>
      </c>
      <c r="U4808">
        <v>0.31134030000000001</v>
      </c>
      <c r="V4808">
        <v>-2.0017780000000001E-3</v>
      </c>
      <c r="W4808">
        <v>-6.0086300000000002E-2</v>
      </c>
      <c r="X4808">
        <v>0.99819119999999995</v>
      </c>
      <c r="Y4808">
        <v>6.9917140000000003E-2</v>
      </c>
      <c r="Z4808">
        <v>1.0218549999999999E-3</v>
      </c>
      <c r="AA4808">
        <v>0.99755229999999995</v>
      </c>
      <c r="AB4808">
        <v>22</v>
      </c>
      <c r="AC4808">
        <v>-18.8874999999999</v>
      </c>
      <c r="AD4808">
        <v>-1.1213666924500001</v>
      </c>
      <c r="AE4808">
        <v>1.9846999999999999</v>
      </c>
      <c r="AF4808">
        <v>1.3411015525112799</v>
      </c>
      <c r="AG4808">
        <v>-1.1213666924500001</v>
      </c>
      <c r="AH4808">
        <v>18.8779316037459</v>
      </c>
      <c r="AI4808">
        <v>93.390902291793495</v>
      </c>
      <c r="AJ4808">
        <v>85.936494183135196</v>
      </c>
      <c r="AK4808">
        <v>18.958700331742001</v>
      </c>
      <c r="AL4808">
        <v>93.444766257614305</v>
      </c>
      <c r="AM4808">
        <v>90.114901110298504</v>
      </c>
      <c r="AN4808">
        <v>1.0000000211601401</v>
      </c>
    </row>
    <row r="4809" spans="1:40" x14ac:dyDescent="0.25">
      <c r="A4809" t="str">
        <f>"20190303154904645"</f>
        <v>20190303154904645</v>
      </c>
      <c r="B4809" t="str">
        <f>"1551599344635926"</f>
        <v>1551599344635926</v>
      </c>
      <c r="C4809" t="s">
        <v>40</v>
      </c>
      <c r="D4809">
        <v>6.088241</v>
      </c>
      <c r="E4809">
        <v>0.52516300000000005</v>
      </c>
      <c r="F4809" t="s">
        <v>41</v>
      </c>
      <c r="G4809">
        <v>-241.62960000000001</v>
      </c>
      <c r="H4809" s="1">
        <v>-4.220544E-6</v>
      </c>
      <c r="I4809">
        <v>142.4299</v>
      </c>
      <c r="J4809">
        <v>-224.57679999999999</v>
      </c>
      <c r="K4809">
        <v>1.1213649999999999</v>
      </c>
      <c r="L4809">
        <v>140.69829999999999</v>
      </c>
      <c r="M4809">
        <v>-0.99935220000000002</v>
      </c>
      <c r="N4809">
        <v>-1.391821E-2</v>
      </c>
      <c r="O4809">
        <v>3.3189639999999999E-2</v>
      </c>
      <c r="P4809">
        <v>-0.99683100000000002</v>
      </c>
      <c r="Q4809">
        <v>-7.3261380000000001E-2</v>
      </c>
      <c r="R4809">
        <v>3.1001399999999998E-2</v>
      </c>
      <c r="S4809">
        <v>-2.9858250000000002</v>
      </c>
      <c r="T4809">
        <v>-0.19390189999999999</v>
      </c>
      <c r="U4809">
        <v>0.30056759999999999</v>
      </c>
      <c r="V4809">
        <v>-2.0551739999999999E-3</v>
      </c>
      <c r="W4809">
        <v>-5.9375200000000003E-2</v>
      </c>
      <c r="X4809">
        <v>0.99823360000000005</v>
      </c>
      <c r="Y4809">
        <v>6.6950460000000003E-2</v>
      </c>
      <c r="Z4809">
        <v>9.4805040000000001E-4</v>
      </c>
      <c r="AA4809">
        <v>0.99775579999999997</v>
      </c>
      <c r="AB4809">
        <v>22</v>
      </c>
      <c r="AC4809">
        <v>-17.052800000000001</v>
      </c>
      <c r="AD4809">
        <v>-1.121369220544</v>
      </c>
      <c r="AE4809">
        <v>1.73160000000001</v>
      </c>
      <c r="AF4809">
        <v>1.15965134550108</v>
      </c>
      <c r="AG4809">
        <v>-1.121369220544</v>
      </c>
      <c r="AH4809">
        <v>17.027999054740501</v>
      </c>
      <c r="AI4809">
        <v>93.759058636543202</v>
      </c>
      <c r="AJ4809">
        <v>86.104023017949601</v>
      </c>
      <c r="AK4809">
        <v>17.104239590819301</v>
      </c>
      <c r="AL4809">
        <v>93.403950496207202</v>
      </c>
      <c r="AM4809">
        <v>90.117960996296304</v>
      </c>
      <c r="AN4809">
        <v>0.99999997914208405</v>
      </c>
    </row>
    <row r="4810" spans="1:40" x14ac:dyDescent="0.25">
      <c r="A4810" t="str">
        <f>"20190303154904669"</f>
        <v>20190303154904669</v>
      </c>
      <c r="B4810" t="str">
        <f>"1551599344655446"</f>
        <v>1551599344655446</v>
      </c>
      <c r="C4810" t="s">
        <v>40</v>
      </c>
      <c r="D4810">
        <v>6.1232519999999999</v>
      </c>
      <c r="E4810">
        <v>0.52464489999999997</v>
      </c>
      <c r="F4810" t="s">
        <v>41</v>
      </c>
      <c r="G4810">
        <v>-240.95689999999999</v>
      </c>
      <c r="H4810" s="1">
        <v>-4.4278810000000001E-6</v>
      </c>
      <c r="I4810">
        <v>142.3082</v>
      </c>
      <c r="J4810">
        <v>-224.7878</v>
      </c>
      <c r="K4810">
        <v>1.1213679999999999</v>
      </c>
      <c r="L4810">
        <v>140.7046</v>
      </c>
      <c r="M4810">
        <v>-0.99936990000000003</v>
      </c>
      <c r="N4810">
        <v>-1.399473E-2</v>
      </c>
      <c r="O4810">
        <v>3.2622449999999997E-2</v>
      </c>
      <c r="P4810">
        <v>-0.99695089999999997</v>
      </c>
      <c r="Q4810">
        <v>-7.2052630000000006E-2</v>
      </c>
      <c r="R4810">
        <v>2.9960629999999999E-2</v>
      </c>
      <c r="S4810">
        <v>-2.9853969999999999</v>
      </c>
      <c r="T4810">
        <v>-0.20437839999999999</v>
      </c>
      <c r="U4810">
        <v>0.29342649999999998</v>
      </c>
      <c r="V4810">
        <v>-2.5342170000000001E-3</v>
      </c>
      <c r="W4810">
        <v>-5.8089330000000002E-2</v>
      </c>
      <c r="X4810">
        <v>0.99830819999999998</v>
      </c>
      <c r="Y4810">
        <v>6.5160330000000002E-2</v>
      </c>
      <c r="Z4810">
        <v>9.1129679999999997E-4</v>
      </c>
      <c r="AA4810">
        <v>0.99787440000000005</v>
      </c>
      <c r="AB4810">
        <v>22</v>
      </c>
      <c r="AC4810">
        <v>-16.169099999999901</v>
      </c>
      <c r="AD4810">
        <v>-1.121372427881</v>
      </c>
      <c r="AE4810">
        <v>1.6035999999999999</v>
      </c>
      <c r="AF4810">
        <v>1.07012211370148</v>
      </c>
      <c r="AG4810">
        <v>-1.121372427881</v>
      </c>
      <c r="AH4810">
        <v>16.1359557724846</v>
      </c>
      <c r="AI4810">
        <v>93.966707670494799</v>
      </c>
      <c r="AJ4810">
        <v>86.205751435842402</v>
      </c>
      <c r="AK4810">
        <v>16.210234611251799</v>
      </c>
      <c r="AL4810">
        <v>93.330148005037699</v>
      </c>
      <c r="AM4810">
        <v>90.145445691600997</v>
      </c>
      <c r="AN4810">
        <v>1.00000002735144</v>
      </c>
    </row>
    <row r="4811" spans="1:40" x14ac:dyDescent="0.25">
      <c r="A4811" t="str">
        <f>"20190303154904689"</f>
        <v>20190303154904689</v>
      </c>
      <c r="B4811" t="str">
        <f>"1551599344685702"</f>
        <v>1551599344685702</v>
      </c>
      <c r="C4811" t="s">
        <v>40</v>
      </c>
      <c r="D4811">
        <v>6.1116479999999997</v>
      </c>
      <c r="E4811">
        <v>0.52412460000000005</v>
      </c>
      <c r="F4811" t="s">
        <v>41</v>
      </c>
      <c r="G4811">
        <v>-240.71850000000001</v>
      </c>
      <c r="H4811" s="1">
        <v>-4.4955030000000003E-6</v>
      </c>
      <c r="I4811">
        <v>142.232</v>
      </c>
      <c r="J4811">
        <v>-225.00960000000001</v>
      </c>
      <c r="K4811">
        <v>1.1213679999999999</v>
      </c>
      <c r="L4811">
        <v>140.71119999999999</v>
      </c>
      <c r="M4811">
        <v>-0.99938819999999995</v>
      </c>
      <c r="N4811">
        <v>-1.406366E-2</v>
      </c>
      <c r="O4811">
        <v>3.2026119999999998E-2</v>
      </c>
      <c r="P4811">
        <v>-0.99707659999999998</v>
      </c>
      <c r="Q4811">
        <v>-7.0594379999999998E-2</v>
      </c>
      <c r="R4811">
        <v>2.923574E-2</v>
      </c>
      <c r="S4811">
        <v>-2.985382</v>
      </c>
      <c r="T4811">
        <v>-0.21014360000000001</v>
      </c>
      <c r="U4811">
        <v>0.28623959999999998</v>
      </c>
      <c r="V4811">
        <v>-2.6696440000000001E-3</v>
      </c>
      <c r="W4811">
        <v>-5.6561060000000003E-2</v>
      </c>
      <c r="X4811">
        <v>0.99839560000000005</v>
      </c>
      <c r="Y4811">
        <v>6.3374239999999998E-2</v>
      </c>
      <c r="Z4811">
        <v>8.7388880000000002E-4</v>
      </c>
      <c r="AA4811">
        <v>0.99798949999999997</v>
      </c>
      <c r="AB4811">
        <v>22</v>
      </c>
      <c r="AC4811">
        <v>-15.7089</v>
      </c>
      <c r="AD4811">
        <v>-1.121372495503</v>
      </c>
      <c r="AE4811">
        <v>1.5207999999999999</v>
      </c>
      <c r="AF4811">
        <v>1.01176706585667</v>
      </c>
      <c r="AG4811">
        <v>-1.121372495503</v>
      </c>
      <c r="AH4811">
        <v>15.670439182706099</v>
      </c>
      <c r="AI4811">
        <v>94.084617750153697</v>
      </c>
      <c r="AJ4811">
        <v>86.305806740484101</v>
      </c>
      <c r="AK4811">
        <v>15.743056026328301</v>
      </c>
      <c r="AL4811">
        <v>93.242440347931094</v>
      </c>
      <c r="AM4811">
        <v>90.153204771189706</v>
      </c>
      <c r="AN4811">
        <v>1.00000002730338</v>
      </c>
    </row>
    <row r="4812" spans="1:40" x14ac:dyDescent="0.25">
      <c r="A4812" t="str">
        <f>"20190303154904713"</f>
        <v>20190303154904713</v>
      </c>
      <c r="B4812" t="str">
        <f>"1551599344706199"</f>
        <v>1551599344706199</v>
      </c>
      <c r="C4812" t="s">
        <v>40</v>
      </c>
      <c r="D4812">
        <v>6.0836759999999996</v>
      </c>
      <c r="E4812">
        <v>0.52380609999999905</v>
      </c>
      <c r="F4812" t="s">
        <v>41</v>
      </c>
      <c r="G4812">
        <v>-240.59200000000001</v>
      </c>
      <c r="H4812" s="1">
        <v>-4.528012E-6</v>
      </c>
      <c r="I4812">
        <v>142.17259999999999</v>
      </c>
      <c r="J4812">
        <v>-225.23089999999999</v>
      </c>
      <c r="K4812">
        <v>1.1213709999999999</v>
      </c>
      <c r="L4812">
        <v>140.7176</v>
      </c>
      <c r="M4812">
        <v>-0.99940620000000002</v>
      </c>
      <c r="N4812">
        <v>-1.412239E-2</v>
      </c>
      <c r="O4812">
        <v>3.1432380000000003E-2</v>
      </c>
      <c r="P4812">
        <v>-0.99711530000000004</v>
      </c>
      <c r="Q4812">
        <v>-7.0147559999999998E-2</v>
      </c>
      <c r="R4812">
        <v>2.899092E-2</v>
      </c>
      <c r="S4812">
        <v>-2.9853670000000001</v>
      </c>
      <c r="T4812">
        <v>-0.21483920000000001</v>
      </c>
      <c r="U4812">
        <v>0.27999879999999999</v>
      </c>
      <c r="V4812">
        <v>-2.3236060000000002E-3</v>
      </c>
      <c r="W4812">
        <v>-5.6054890000000003E-2</v>
      </c>
      <c r="X4812">
        <v>0.99842500000000001</v>
      </c>
      <c r="Y4812">
        <v>6.1898250000000002E-2</v>
      </c>
      <c r="Z4812">
        <v>8.4788759999999996E-4</v>
      </c>
      <c r="AA4812">
        <v>0.99808209999999997</v>
      </c>
      <c r="AB4812">
        <v>22</v>
      </c>
      <c r="AC4812">
        <v>-15.3611</v>
      </c>
      <c r="AD4812">
        <v>-1.1213755280119999</v>
      </c>
      <c r="AE4812">
        <v>1.4549999999999801</v>
      </c>
      <c r="AF4812">
        <v>0.96629314399542798</v>
      </c>
      <c r="AG4812">
        <v>-1.1213755280119999</v>
      </c>
      <c r="AH4812">
        <v>15.3183391848981</v>
      </c>
      <c r="AI4812">
        <v>94.178580183285405</v>
      </c>
      <c r="AJ4812">
        <v>86.390518723039193</v>
      </c>
      <c r="AK4812">
        <v>15.3896952828359</v>
      </c>
      <c r="AL4812">
        <v>93.213392897158499</v>
      </c>
      <c r="AM4812">
        <v>90.133342591275607</v>
      </c>
      <c r="AN4812">
        <v>1.0000000152313699</v>
      </c>
    </row>
    <row r="4813" spans="1:40" x14ac:dyDescent="0.25">
      <c r="A4813" t="str">
        <f>"20190303154904734"</f>
        <v>20190303154904734</v>
      </c>
      <c r="B4813" t="str">
        <f>"1551599344725718"</f>
        <v>1551599344725718</v>
      </c>
      <c r="C4813" t="s">
        <v>40</v>
      </c>
      <c r="D4813">
        <v>6.0990510000000002</v>
      </c>
      <c r="E4813">
        <v>0.52350929999999996</v>
      </c>
      <c r="F4813" t="s">
        <v>41</v>
      </c>
      <c r="G4813">
        <v>-240.5231</v>
      </c>
      <c r="H4813" s="1">
        <v>-4.5448409999999997E-6</v>
      </c>
      <c r="I4813">
        <v>142.1353</v>
      </c>
      <c r="J4813">
        <v>-225.441</v>
      </c>
      <c r="K4813">
        <v>1.12137</v>
      </c>
      <c r="L4813">
        <v>140.7235</v>
      </c>
      <c r="M4813">
        <v>-0.99942350000000002</v>
      </c>
      <c r="N4813">
        <v>-1.413522E-2</v>
      </c>
      <c r="O4813">
        <v>3.0870169999999999E-2</v>
      </c>
      <c r="P4813">
        <v>-0.99710180000000004</v>
      </c>
      <c r="Q4813">
        <v>-7.018141E-2</v>
      </c>
      <c r="R4813">
        <v>2.9375350000000001E-2</v>
      </c>
      <c r="S4813">
        <v>-2.9852289999999999</v>
      </c>
      <c r="T4813">
        <v>-0.21890689999999999</v>
      </c>
      <c r="U4813">
        <v>0.2767792</v>
      </c>
      <c r="V4813">
        <v>-1.3780960000000001E-3</v>
      </c>
      <c r="W4813">
        <v>-5.6075130000000001E-2</v>
      </c>
      <c r="X4813">
        <v>0.99842560000000002</v>
      </c>
      <c r="Y4813">
        <v>6.1393179999999999E-2</v>
      </c>
      <c r="Z4813">
        <v>8.5911579999999998E-4</v>
      </c>
      <c r="AA4813">
        <v>0.99811329999999998</v>
      </c>
      <c r="AB4813">
        <v>22</v>
      </c>
      <c r="AC4813">
        <v>-15.082100000000001</v>
      </c>
      <c r="AD4813">
        <v>-1.121374544841</v>
      </c>
      <c r="AE4813">
        <v>1.41179999999999</v>
      </c>
      <c r="AF4813">
        <v>0.94034035491920498</v>
      </c>
      <c r="AG4813">
        <v>-1.121374544841</v>
      </c>
      <c r="AH4813">
        <v>15.036097940625901</v>
      </c>
      <c r="AI4813">
        <v>94.256870355249603</v>
      </c>
      <c r="AJ4813">
        <v>86.421448042275301</v>
      </c>
      <c r="AK4813">
        <v>15.1071493715062</v>
      </c>
      <c r="AL4813">
        <v>93.214554442696695</v>
      </c>
      <c r="AM4813">
        <v>90.079083543552102</v>
      </c>
      <c r="AN4813">
        <v>0.99999999904423098</v>
      </c>
    </row>
    <row r="4814" spans="1:40" x14ac:dyDescent="0.25">
      <c r="A4814" t="str">
        <f>"20190303154904756"</f>
        <v>20190303154904756</v>
      </c>
      <c r="B4814" t="str">
        <f>"1551599344745237"</f>
        <v>1551599344745237</v>
      </c>
      <c r="C4814" t="s">
        <v>40</v>
      </c>
      <c r="D4814">
        <v>6.0939189999999996</v>
      </c>
      <c r="E4814">
        <v>0.52328090000000005</v>
      </c>
      <c r="F4814" t="s">
        <v>41</v>
      </c>
      <c r="G4814">
        <v>-240.31790000000001</v>
      </c>
      <c r="H4814" s="1">
        <v>-4.6078299999999997E-6</v>
      </c>
      <c r="I4814">
        <v>142.0968</v>
      </c>
      <c r="J4814">
        <v>-225.65989999999999</v>
      </c>
      <c r="K4814">
        <v>1.121348</v>
      </c>
      <c r="L4814">
        <v>140.7296</v>
      </c>
      <c r="M4814">
        <v>-0.99944299999999997</v>
      </c>
      <c r="N4814">
        <v>-1.403509E-2</v>
      </c>
      <c r="O4814">
        <v>3.028291E-2</v>
      </c>
      <c r="P4814">
        <v>-0.99711689999999997</v>
      </c>
      <c r="Q4814">
        <v>-6.9689570000000006E-2</v>
      </c>
      <c r="R4814">
        <v>3.0026379999999998E-2</v>
      </c>
      <c r="S4814">
        <v>-2.984772</v>
      </c>
      <c r="T4814">
        <v>-0.22498270000000001</v>
      </c>
      <c r="U4814">
        <v>0.275528</v>
      </c>
      <c r="V4814">
        <v>-1.4217860000000001E-4</v>
      </c>
      <c r="W4814">
        <v>-5.5681880000000003E-2</v>
      </c>
      <c r="X4814">
        <v>0.99844860000000002</v>
      </c>
      <c r="Y4814">
        <v>6.1571279999999999E-2</v>
      </c>
      <c r="Z4814">
        <v>8.9640569999999999E-4</v>
      </c>
      <c r="AA4814">
        <v>0.9981023</v>
      </c>
      <c r="AB4814">
        <v>22</v>
      </c>
      <c r="AC4814">
        <v>-14.657999999999999</v>
      </c>
      <c r="AD4814">
        <v>-1.12135260783</v>
      </c>
      <c r="AE4814">
        <v>1.36719999999999</v>
      </c>
      <c r="AF4814">
        <v>0.91732005839433595</v>
      </c>
      <c r="AG4814">
        <v>-1.12135260783</v>
      </c>
      <c r="AH4814">
        <v>14.607928632466001</v>
      </c>
      <c r="AI4814">
        <v>94.381008056040002</v>
      </c>
      <c r="AJ4814">
        <v>86.406770141866005</v>
      </c>
      <c r="AK4814">
        <v>14.6795942277652</v>
      </c>
      <c r="AL4814">
        <v>93.191987457352198</v>
      </c>
      <c r="AM4814">
        <v>90.008158891366094</v>
      </c>
      <c r="AN4814">
        <v>1.0000000494085199</v>
      </c>
    </row>
    <row r="4815" spans="1:40" x14ac:dyDescent="0.25">
      <c r="A4815" t="str">
        <f>"20190303154904778"</f>
        <v>20190303154904778</v>
      </c>
      <c r="B4815" t="str">
        <f>"1551599344765734"</f>
        <v>1551599344765734</v>
      </c>
      <c r="C4815" t="s">
        <v>40</v>
      </c>
      <c r="D4815">
        <v>6.0865749999999998</v>
      </c>
      <c r="E4815">
        <v>0.52305820000000003</v>
      </c>
      <c r="F4815" t="s">
        <v>41</v>
      </c>
      <c r="G4815">
        <v>-240.35290000000001</v>
      </c>
      <c r="H4815" s="1">
        <v>-4.5942199999999997E-6</v>
      </c>
      <c r="I4815">
        <v>142.08709999999999</v>
      </c>
      <c r="J4815">
        <v>-225.8631</v>
      </c>
      <c r="K4815">
        <v>1.1212959999999901</v>
      </c>
      <c r="L4815">
        <v>140.73509999999999</v>
      </c>
      <c r="M4815">
        <v>-0.99946219999999997</v>
      </c>
      <c r="N4815">
        <v>-1.381023E-2</v>
      </c>
      <c r="O4815">
        <v>2.9742999999999999E-2</v>
      </c>
      <c r="P4815">
        <v>-0.99717060000000002</v>
      </c>
      <c r="Q4815">
        <v>-6.8685919999999998E-2</v>
      </c>
      <c r="R4815">
        <v>3.0549799999999998E-2</v>
      </c>
      <c r="S4815">
        <v>-2.984451</v>
      </c>
      <c r="T4815">
        <v>-0.22777030000000001</v>
      </c>
      <c r="U4815">
        <v>0.27574159999999998</v>
      </c>
      <c r="V4815">
        <v>9.1817009999999998E-4</v>
      </c>
      <c r="W4815">
        <v>-5.4901060000000002E-2</v>
      </c>
      <c r="X4815">
        <v>0.99849140000000003</v>
      </c>
      <c r="Y4815">
        <v>6.2185980000000002E-2</v>
      </c>
      <c r="Z4815">
        <v>9.4435950000000004E-4</v>
      </c>
      <c r="AA4815">
        <v>0.99806419999999996</v>
      </c>
      <c r="AB4815">
        <v>22</v>
      </c>
      <c r="AC4815">
        <v>-14.489800000000001</v>
      </c>
      <c r="AD4815">
        <v>-1.1213005942199901</v>
      </c>
      <c r="AE4815">
        <v>1.3520000000000001</v>
      </c>
      <c r="AF4815">
        <v>0.91495856647414398</v>
      </c>
      <c r="AG4815">
        <v>-1.1213005942199901</v>
      </c>
      <c r="AH4815">
        <v>14.437889259139199</v>
      </c>
      <c r="AI4815">
        <v>94.432035541226</v>
      </c>
      <c r="AJ4815">
        <v>86.373898261150003</v>
      </c>
      <c r="AK4815">
        <v>14.5102415713912</v>
      </c>
      <c r="AL4815">
        <v>93.147181310122903</v>
      </c>
      <c r="AM4815">
        <v>89.947313260006894</v>
      </c>
      <c r="AN4815">
        <v>1.0000000226496999</v>
      </c>
    </row>
    <row r="4816" spans="1:40" x14ac:dyDescent="0.25">
      <c r="A4816" t="str">
        <f>"20190303154904814"</f>
        <v>20190303154904814</v>
      </c>
      <c r="B4816" t="str">
        <f>"1551599344805750"</f>
        <v>1551599344805750</v>
      </c>
      <c r="C4816" t="s">
        <v>40</v>
      </c>
      <c r="D4816">
        <v>5.9724750000000002</v>
      </c>
      <c r="E4816">
        <v>0.52254619999999996</v>
      </c>
      <c r="F4816" t="s">
        <v>41</v>
      </c>
      <c r="G4816">
        <v>-240.47479999999999</v>
      </c>
      <c r="H4816" s="1">
        <v>-4.5521720000000003E-6</v>
      </c>
      <c r="I4816">
        <v>142.0839</v>
      </c>
      <c r="J4816">
        <v>-226.2159</v>
      </c>
      <c r="K4816">
        <v>1.121173</v>
      </c>
      <c r="L4816">
        <v>140.74449999999999</v>
      </c>
      <c r="M4816">
        <v>-0.99949750000000004</v>
      </c>
      <c r="N4816">
        <v>-1.3232529999999999E-2</v>
      </c>
      <c r="O4816">
        <v>2.880547E-2</v>
      </c>
      <c r="P4816">
        <v>-0.99731499999999995</v>
      </c>
      <c r="Q4816">
        <v>-6.6974179999999994E-2</v>
      </c>
      <c r="R4816">
        <v>2.9622039999999999E-2</v>
      </c>
      <c r="S4816">
        <v>-2.9842680000000001</v>
      </c>
      <c r="T4816">
        <v>-0.22901270000000001</v>
      </c>
      <c r="U4816">
        <v>0.27548220000000001</v>
      </c>
      <c r="V4816">
        <v>9.2102410000000003E-4</v>
      </c>
      <c r="W4816">
        <v>-5.3764800000000001E-2</v>
      </c>
      <c r="X4816">
        <v>0.99855320000000003</v>
      </c>
      <c r="Y4816">
        <v>6.3038250000000004E-2</v>
      </c>
      <c r="Z4816">
        <v>1.007237E-3</v>
      </c>
      <c r="AA4816">
        <v>0.99801059999999997</v>
      </c>
      <c r="AB4816">
        <v>22</v>
      </c>
      <c r="AC4816">
        <v>-14.258899999999899</v>
      </c>
      <c r="AD4816">
        <v>-1.121177552172</v>
      </c>
      <c r="AE4816">
        <v>1.3394000000000099</v>
      </c>
      <c r="AF4816">
        <v>0.92242069165318596</v>
      </c>
      <c r="AG4816">
        <v>-1.121177552172</v>
      </c>
      <c r="AH4816">
        <v>14.20451363796</v>
      </c>
      <c r="AI4816">
        <v>94.503614007123602</v>
      </c>
      <c r="AJ4816">
        <v>86.284511360454005</v>
      </c>
      <c r="AK4816">
        <v>14.278519066306499</v>
      </c>
      <c r="AL4816">
        <v>93.081982175493295</v>
      </c>
      <c r="AM4816">
        <v>89.947152761820803</v>
      </c>
      <c r="AN4816">
        <v>0.99999999761733604</v>
      </c>
    </row>
    <row r="4817" spans="1:40" x14ac:dyDescent="0.25">
      <c r="A4817" t="str">
        <f>"20190303154904836"</f>
        <v>20190303154904836</v>
      </c>
      <c r="B4817" t="str">
        <f>"1551599344826246"</f>
        <v>1551599344826246</v>
      </c>
      <c r="C4817" t="s">
        <v>40</v>
      </c>
      <c r="D4817">
        <v>5.9092469999999997</v>
      </c>
      <c r="E4817">
        <v>0.48308420000000002</v>
      </c>
      <c r="F4817" t="s">
        <v>41</v>
      </c>
      <c r="G4817">
        <v>-241.31319999999999</v>
      </c>
      <c r="H4817" s="1">
        <v>-4.2701750000000002E-6</v>
      </c>
      <c r="I4817">
        <v>142.1027</v>
      </c>
      <c r="J4817">
        <v>-226.42609999999999</v>
      </c>
      <c r="K4817">
        <v>1.1211</v>
      </c>
      <c r="L4817">
        <v>140.7499</v>
      </c>
      <c r="M4817">
        <v>-0.99951849999999998</v>
      </c>
      <c r="N4817">
        <v>-1.285773E-2</v>
      </c>
      <c r="O4817">
        <v>2.8244310000000002E-2</v>
      </c>
      <c r="P4817">
        <v>-0.99732600000000005</v>
      </c>
      <c r="Q4817">
        <v>-6.6990690000000006E-2</v>
      </c>
      <c r="R4817">
        <v>2.921762E-2</v>
      </c>
      <c r="S4817">
        <v>-2.9852289999999999</v>
      </c>
      <c r="T4817">
        <v>-0.221694</v>
      </c>
      <c r="U4817">
        <v>0.26856989999999997</v>
      </c>
      <c r="V4817">
        <v>1.076533E-3</v>
      </c>
      <c r="W4817">
        <v>-5.4155500000000002E-2</v>
      </c>
      <c r="X4817">
        <v>0.99853190000000003</v>
      </c>
      <c r="Y4817">
        <v>6.1291690000000003E-2</v>
      </c>
      <c r="Z4817">
        <v>9.3627580000000003E-4</v>
      </c>
      <c r="AA4817">
        <v>0.99811950000000005</v>
      </c>
      <c r="AB4817">
        <v>22</v>
      </c>
      <c r="AC4817">
        <v>-14.8871</v>
      </c>
      <c r="AD4817">
        <v>-1.121104270175</v>
      </c>
      <c r="AE4817">
        <v>1.3528</v>
      </c>
      <c r="AF4817">
        <v>0.92653813362230297</v>
      </c>
      <c r="AG4817">
        <v>-1.121104270175</v>
      </c>
      <c r="AH4817">
        <v>14.8359240528098</v>
      </c>
      <c r="AI4817">
        <v>94.313078109444504</v>
      </c>
      <c r="AJ4817">
        <v>86.4263858766666</v>
      </c>
      <c r="AK4817">
        <v>14.9070449854558</v>
      </c>
      <c r="AL4817">
        <v>93.104400395532195</v>
      </c>
      <c r="AM4817">
        <v>89.938228539810595</v>
      </c>
      <c r="AN4817">
        <v>0.99999996621057896</v>
      </c>
    </row>
    <row r="4818" spans="1:40" x14ac:dyDescent="0.25">
      <c r="A4818" t="str">
        <f>"20190303154904858"</f>
        <v>20190303154904858</v>
      </c>
      <c r="B4818" t="str">
        <f>"1551599344845766"</f>
        <v>1551599344845766</v>
      </c>
      <c r="C4818" t="s">
        <v>40</v>
      </c>
      <c r="D4818">
        <v>5.9038360000000001</v>
      </c>
      <c r="E4818">
        <v>0.48207889999999998</v>
      </c>
      <c r="F4818" t="s">
        <v>41</v>
      </c>
      <c r="G4818">
        <v>-239.17949999999999</v>
      </c>
      <c r="H4818" s="1">
        <v>-5.8243389999999997E-7</v>
      </c>
      <c r="I4818">
        <v>140.5488</v>
      </c>
      <c r="J4818">
        <v>-226.6414</v>
      </c>
      <c r="K4818">
        <v>1.12104</v>
      </c>
      <c r="L4818">
        <v>140.75530000000001</v>
      </c>
      <c r="M4818">
        <v>-0.99953939999999997</v>
      </c>
      <c r="N4818">
        <v>-1.247115E-2</v>
      </c>
      <c r="O4818">
        <v>2.767025E-2</v>
      </c>
      <c r="P4818">
        <v>-0.99725280000000005</v>
      </c>
      <c r="Q4818">
        <v>-6.8148849999999997E-2</v>
      </c>
      <c r="R4818">
        <v>2.9032570000000001E-2</v>
      </c>
      <c r="S4818">
        <v>-2.9917760000000002</v>
      </c>
      <c r="T4818">
        <v>-0.262995599999999</v>
      </c>
      <c r="U4818">
        <v>-4.7164919999999999E-2</v>
      </c>
      <c r="V4818">
        <v>1.467531E-3</v>
      </c>
      <c r="W4818">
        <v>-5.5700310000000003E-2</v>
      </c>
      <c r="X4818">
        <v>0.99844650000000001</v>
      </c>
      <c r="Y4818">
        <v>-4.315716E-2</v>
      </c>
      <c r="Z4818">
        <v>-4.2457889999999998E-3</v>
      </c>
      <c r="AA4818">
        <v>0.99905929999999998</v>
      </c>
      <c r="AB4818">
        <v>22</v>
      </c>
      <c r="AC4818">
        <v>-12.538099999999901</v>
      </c>
      <c r="AD4818">
        <v>-1.1210405824339</v>
      </c>
      <c r="AE4818">
        <v>-0.20650000000000501</v>
      </c>
      <c r="AF4818">
        <v>-0.54899262262887705</v>
      </c>
      <c r="AG4818">
        <v>-1.1210405824339</v>
      </c>
      <c r="AH4818">
        <v>12.428256148482999</v>
      </c>
      <c r="AI4818">
        <v>95.149191557418206</v>
      </c>
      <c r="AJ4818">
        <v>92.529278845477805</v>
      </c>
      <c r="AK4818">
        <v>12.4907836335223</v>
      </c>
      <c r="AL4818">
        <v>93.193045071490303</v>
      </c>
      <c r="AM4818">
        <v>89.9157859013429</v>
      </c>
      <c r="AN4818">
        <v>1.0000000457717899</v>
      </c>
    </row>
    <row r="4819" spans="1:40" x14ac:dyDescent="0.25">
      <c r="A4819" t="str">
        <f>"20190303154904878"</f>
        <v>20190303154904878</v>
      </c>
      <c r="B4819" t="str">
        <f>"1551599344875776"</f>
        <v>1551599344875776</v>
      </c>
      <c r="C4819" t="s">
        <v>40</v>
      </c>
      <c r="D4819">
        <v>5.8846119999999997</v>
      </c>
      <c r="E4819">
        <v>0.48131099999999999</v>
      </c>
      <c r="F4819" t="s">
        <v>41</v>
      </c>
      <c r="G4819">
        <v>-237.559</v>
      </c>
      <c r="H4819" s="1">
        <v>-1.278104E-6</v>
      </c>
      <c r="I4819">
        <v>140.5506</v>
      </c>
      <c r="J4819">
        <v>-226.84710000000001</v>
      </c>
      <c r="K4819">
        <v>1.120987</v>
      </c>
      <c r="L4819">
        <v>140.7604</v>
      </c>
      <c r="M4819">
        <v>-0.99955890000000003</v>
      </c>
      <c r="N4819">
        <v>-1.209524E-2</v>
      </c>
      <c r="O4819">
        <v>2.712579E-2</v>
      </c>
      <c r="P4819">
        <v>-0.99719449999999998</v>
      </c>
      <c r="Q4819">
        <v>-6.8947120000000001E-2</v>
      </c>
      <c r="R4819">
        <v>2.914897E-2</v>
      </c>
      <c r="S4819">
        <v>-2.9889070000000002</v>
      </c>
      <c r="T4819">
        <v>-0.30690689999999998</v>
      </c>
      <c r="U4819">
        <v>-5.6015009999999997E-2</v>
      </c>
      <c r="V4819">
        <v>2.1298760000000002E-3</v>
      </c>
      <c r="W4819">
        <v>-5.6874059999999997E-2</v>
      </c>
      <c r="X4819">
        <v>0.99837909999999996</v>
      </c>
      <c r="Y4819">
        <v>-4.5475479999999999E-2</v>
      </c>
      <c r="Z4819">
        <v>-5.0546690000000003E-3</v>
      </c>
      <c r="AA4819">
        <v>0.99895270000000003</v>
      </c>
      <c r="AB4819">
        <v>22</v>
      </c>
      <c r="AC4819">
        <v>-10.7119</v>
      </c>
      <c r="AD4819">
        <v>-1.1209882781039999</v>
      </c>
      <c r="AE4819">
        <v>-0.20980000000000101</v>
      </c>
      <c r="AF4819">
        <v>-0.49489507137648903</v>
      </c>
      <c r="AG4819">
        <v>-1.1209882781039999</v>
      </c>
      <c r="AH4819">
        <v>10.586375301809101</v>
      </c>
      <c r="AI4819">
        <v>96.037964074977495</v>
      </c>
      <c r="AJ4819">
        <v>92.676531780548501</v>
      </c>
      <c r="AK4819">
        <v>10.657057655942101</v>
      </c>
      <c r="AL4819">
        <v>93.260402893959196</v>
      </c>
      <c r="AM4819">
        <v>89.877769155465899</v>
      </c>
      <c r="AN4819">
        <v>1.00000001119473</v>
      </c>
    </row>
    <row r="4820" spans="1:40" x14ac:dyDescent="0.25">
      <c r="A4820" t="str">
        <f>"20190303154904901"</f>
        <v>20190303154904901</v>
      </c>
      <c r="B4820" t="str">
        <f>"1551599344895297"</f>
        <v>1551599344895297</v>
      </c>
      <c r="C4820" t="s">
        <v>40</v>
      </c>
      <c r="D4820">
        <v>5.8844659999999998</v>
      </c>
      <c r="E4820">
        <v>0.48115550000000001</v>
      </c>
      <c r="F4820" t="s">
        <v>41</v>
      </c>
      <c r="G4820">
        <v>-238.00049999999999</v>
      </c>
      <c r="H4820" s="1">
        <v>-1.083189E-6</v>
      </c>
      <c r="I4820">
        <v>140.52979999999999</v>
      </c>
      <c r="J4820">
        <v>-227.07040000000001</v>
      </c>
      <c r="K4820">
        <v>1.1209290000000001</v>
      </c>
      <c r="L4820">
        <v>140.76580000000001</v>
      </c>
      <c r="M4820">
        <v>-0.99957969999999896</v>
      </c>
      <c r="N4820">
        <v>-1.167515E-2</v>
      </c>
      <c r="O4820">
        <v>2.6540979999999999E-2</v>
      </c>
      <c r="P4820">
        <v>-0.99726099999999995</v>
      </c>
      <c r="Q4820">
        <v>-6.8238809999999997E-2</v>
      </c>
      <c r="R4820">
        <v>2.8530340000000001E-2</v>
      </c>
      <c r="S4820">
        <v>-2.989471</v>
      </c>
      <c r="T4820">
        <v>-0.30046240000000002</v>
      </c>
      <c r="U4820">
        <v>-6.1782839999999999E-2</v>
      </c>
      <c r="V4820">
        <v>2.0935039999999999E-3</v>
      </c>
      <c r="W4820">
        <v>-5.6584660000000002E-2</v>
      </c>
      <c r="X4820">
        <v>0.99839560000000005</v>
      </c>
      <c r="Y4820">
        <v>-4.6824459999999998E-2</v>
      </c>
      <c r="Z4820">
        <v>-4.9724219999999998E-3</v>
      </c>
      <c r="AA4820">
        <v>0.99889079999999997</v>
      </c>
      <c r="AB4820">
        <v>22</v>
      </c>
      <c r="AC4820">
        <v>-10.9300999999999</v>
      </c>
      <c r="AD4820">
        <v>-1.1209300831889999</v>
      </c>
      <c r="AE4820">
        <v>-0.236000000000018</v>
      </c>
      <c r="AF4820">
        <v>-0.52055975720187997</v>
      </c>
      <c r="AG4820">
        <v>-1.1209300831889999</v>
      </c>
      <c r="AH4820">
        <v>10.8063828003356</v>
      </c>
      <c r="AI4820">
        <v>95.915216974157602</v>
      </c>
      <c r="AJ4820">
        <v>92.757892204259207</v>
      </c>
      <c r="AK4820">
        <v>10.8768274758592</v>
      </c>
      <c r="AL4820">
        <v>93.243794817467901</v>
      </c>
      <c r="AM4820">
        <v>89.879858477145902</v>
      </c>
      <c r="AN4820">
        <v>0.99999999030283604</v>
      </c>
    </row>
    <row r="4821" spans="1:40" x14ac:dyDescent="0.25">
      <c r="A4821" t="str">
        <f>"20190303154904924"</f>
        <v>20190303154904924</v>
      </c>
      <c r="B4821" t="str">
        <f>"1551599344915792"</f>
        <v>1551599344915792</v>
      </c>
      <c r="C4821" t="s">
        <v>40</v>
      </c>
      <c r="D4821">
        <v>5.8821750000000002</v>
      </c>
      <c r="E4821">
        <v>0.4807439</v>
      </c>
      <c r="F4821" t="s">
        <v>41</v>
      </c>
      <c r="G4821">
        <v>-238.44399999999999</v>
      </c>
      <c r="H4821" s="1">
        <v>-8.9001869999999896E-7</v>
      </c>
      <c r="I4821">
        <v>140.51900000000001</v>
      </c>
      <c r="J4821">
        <v>-227.29339999999999</v>
      </c>
      <c r="K4821">
        <v>1.120881</v>
      </c>
      <c r="L4821">
        <v>140.77109999999999</v>
      </c>
      <c r="M4821">
        <v>-0.99959960000000003</v>
      </c>
      <c r="N4821">
        <v>-1.1249220000000001E-2</v>
      </c>
      <c r="O4821">
        <v>2.5962539999999999E-2</v>
      </c>
      <c r="P4821">
        <v>-0.99732149999999997</v>
      </c>
      <c r="Q4821">
        <v>-6.7510749999999994E-2</v>
      </c>
      <c r="R4821">
        <v>2.8141119999999999E-2</v>
      </c>
      <c r="S4821">
        <v>-2.9899290000000001</v>
      </c>
      <c r="T4821">
        <v>-0.29467510000000002</v>
      </c>
      <c r="U4821">
        <v>-6.4880370000000007E-2</v>
      </c>
      <c r="V4821">
        <v>2.2803680000000001E-3</v>
      </c>
      <c r="W4821">
        <v>-5.628122E-2</v>
      </c>
      <c r="X4821">
        <v>0.99841239999999998</v>
      </c>
      <c r="Y4821">
        <v>-4.7291319999999998E-2</v>
      </c>
      <c r="Z4821">
        <v>-4.852098E-3</v>
      </c>
      <c r="AA4821">
        <v>0.99886940000000002</v>
      </c>
      <c r="AB4821">
        <v>22</v>
      </c>
      <c r="AC4821">
        <v>-11.150600000000001</v>
      </c>
      <c r="AD4821">
        <v>-1.1208818900186901</v>
      </c>
      <c r="AE4821">
        <v>-0.252099999999984</v>
      </c>
      <c r="AF4821">
        <v>-0.53611670553547297</v>
      </c>
      <c r="AG4821">
        <v>-1.1208818900186901</v>
      </c>
      <c r="AH4821">
        <v>11.028908443460301</v>
      </c>
      <c r="AI4821">
        <v>95.796319715525897</v>
      </c>
      <c r="AJ4821">
        <v>92.782964840465695</v>
      </c>
      <c r="AK4821">
        <v>11.0986764430519</v>
      </c>
      <c r="AL4821">
        <v>93.226381048672707</v>
      </c>
      <c r="AM4821">
        <v>89.869137006968501</v>
      </c>
      <c r="AN4821">
        <v>1.00000004813833</v>
      </c>
    </row>
    <row r="4822" spans="1:40" x14ac:dyDescent="0.25">
      <c r="A4822" t="str">
        <f>"20190303154904945"</f>
        <v>20190303154904945</v>
      </c>
      <c r="B4822" t="str">
        <f>"1551599344935312"</f>
        <v>1551599344935312</v>
      </c>
      <c r="C4822" t="s">
        <v>40</v>
      </c>
      <c r="D4822">
        <v>5.9098730000000002</v>
      </c>
      <c r="E4822">
        <v>0.48034569999999999</v>
      </c>
      <c r="F4822" t="s">
        <v>41</v>
      </c>
      <c r="G4822">
        <v>-238.8186</v>
      </c>
      <c r="H4822" s="1">
        <v>-7.2528390000000001E-7</v>
      </c>
      <c r="I4822">
        <v>140.50380000000001</v>
      </c>
      <c r="J4822">
        <v>-227.50749999999999</v>
      </c>
      <c r="K4822">
        <v>1.1208340000000001</v>
      </c>
      <c r="L4822">
        <v>140.77600000000001</v>
      </c>
      <c r="M4822">
        <v>-0.99961840000000002</v>
      </c>
      <c r="N4822">
        <v>-1.084837E-2</v>
      </c>
      <c r="O4822">
        <v>2.540831E-2</v>
      </c>
      <c r="P4822">
        <v>-0.99739900000000004</v>
      </c>
      <c r="Q4822">
        <v>-6.6840930000000007E-2</v>
      </c>
      <c r="R4822">
        <v>2.6968909999999999E-2</v>
      </c>
      <c r="S4822">
        <v>-2.9903110000000002</v>
      </c>
      <c r="T4822">
        <v>-0.29082170000000002</v>
      </c>
      <c r="U4822">
        <v>-6.9335939999999999E-2</v>
      </c>
      <c r="V4822">
        <v>1.659834E-3</v>
      </c>
      <c r="W4822">
        <v>-5.6011650000000003E-2</v>
      </c>
      <c r="X4822">
        <v>0.99842880000000001</v>
      </c>
      <c r="Y4822">
        <v>-4.8228609999999998E-2</v>
      </c>
      <c r="Z4822">
        <v>-4.7916030000000002E-3</v>
      </c>
      <c r="AA4822">
        <v>0.99882479999999996</v>
      </c>
      <c r="AB4822">
        <v>22</v>
      </c>
      <c r="AC4822">
        <v>-11.3111</v>
      </c>
      <c r="AD4822">
        <v>-1.1208347252838999</v>
      </c>
      <c r="AE4822">
        <v>-0.272199999999998</v>
      </c>
      <c r="AF4822">
        <v>-0.55408741579809795</v>
      </c>
      <c r="AG4822">
        <v>-1.1208347252838999</v>
      </c>
      <c r="AH4822">
        <v>11.1907117389832</v>
      </c>
      <c r="AI4822">
        <v>95.712581187878698</v>
      </c>
      <c r="AJ4822">
        <v>92.834579801789303</v>
      </c>
      <c r="AK4822">
        <v>11.260342471291199</v>
      </c>
      <c r="AL4822">
        <v>93.2109113714111</v>
      </c>
      <c r="AM4822">
        <v>89.904748946263396</v>
      </c>
      <c r="AN4822">
        <v>1.0000000643270299</v>
      </c>
    </row>
    <row r="4823" spans="1:40" x14ac:dyDescent="0.25">
      <c r="A4823" t="str">
        <f>"20190303154904969"</f>
        <v>20190303154904969</v>
      </c>
      <c r="B4823" t="str">
        <f>"1551599344965436"</f>
        <v>1551599344965436</v>
      </c>
      <c r="C4823" t="s">
        <v>40</v>
      </c>
      <c r="D4823">
        <v>5.8958709999999996</v>
      </c>
      <c r="E4823">
        <v>0.48012729999999998</v>
      </c>
      <c r="F4823" t="s">
        <v>41</v>
      </c>
      <c r="G4823">
        <v>-239.18790000000001</v>
      </c>
      <c r="H4823" s="1">
        <v>-5.6025779999999998E-7</v>
      </c>
      <c r="I4823">
        <v>140.47899999999899</v>
      </c>
      <c r="J4823">
        <v>-227.73320000000001</v>
      </c>
      <c r="K4823">
        <v>1.120779</v>
      </c>
      <c r="L4823">
        <v>140.78110000000001</v>
      </c>
      <c r="M4823">
        <v>-0.99963749999999996</v>
      </c>
      <c r="N4823">
        <v>-1.042889E-2</v>
      </c>
      <c r="O4823">
        <v>2.4825320000000001E-2</v>
      </c>
      <c r="P4823">
        <v>-0.99738139999999997</v>
      </c>
      <c r="Q4823">
        <v>-6.7493049999999999E-2</v>
      </c>
      <c r="R4823">
        <v>2.598907E-2</v>
      </c>
      <c r="S4823">
        <v>-2.9906459999999999</v>
      </c>
      <c r="T4823">
        <v>-0.28697869999999998</v>
      </c>
      <c r="U4823">
        <v>-7.6034550000000006E-2</v>
      </c>
      <c r="V4823">
        <v>1.2638440000000001E-3</v>
      </c>
      <c r="W4823">
        <v>-5.7083309999999998E-2</v>
      </c>
      <c r="X4823">
        <v>0.99836860000000005</v>
      </c>
      <c r="Y4823">
        <v>-4.988215E-2</v>
      </c>
      <c r="Z4823">
        <v>-4.7662989999999999E-3</v>
      </c>
      <c r="AA4823">
        <v>0.99874370000000001</v>
      </c>
      <c r="AB4823">
        <v>22</v>
      </c>
      <c r="AC4823">
        <v>-11.454700000000001</v>
      </c>
      <c r="AD4823">
        <v>-1.1207795602577999</v>
      </c>
      <c r="AE4823">
        <v>-0.30210000000002402</v>
      </c>
      <c r="AF4823">
        <v>-0.580832155295265</v>
      </c>
      <c r="AG4823">
        <v>-1.1207795602577999</v>
      </c>
      <c r="AH4823">
        <v>11.335226274511699</v>
      </c>
      <c r="AI4823">
        <v>95.639460807552595</v>
      </c>
      <c r="AJ4823">
        <v>92.9333468329542</v>
      </c>
      <c r="AK4823">
        <v>11.405299974559901</v>
      </c>
      <c r="AL4823">
        <v>93.272411642224</v>
      </c>
      <c r="AM4823">
        <v>89.927468784092596</v>
      </c>
      <c r="AN4823">
        <v>0.99999998152408598</v>
      </c>
    </row>
    <row r="4824" spans="1:40" x14ac:dyDescent="0.25">
      <c r="A4824" t="str">
        <f>"20190303154904991"</f>
        <v>20190303154904991</v>
      </c>
      <c r="B4824" t="str">
        <f>"1551599344985932"</f>
        <v>1551599344985932</v>
      </c>
      <c r="C4824" t="s">
        <v>40</v>
      </c>
      <c r="D4824">
        <v>5.8308799999999996</v>
      </c>
      <c r="E4824">
        <v>0.480294</v>
      </c>
      <c r="F4824" t="s">
        <v>41</v>
      </c>
      <c r="G4824">
        <v>-239.2534</v>
      </c>
      <c r="H4824" s="1">
        <v>-5.2978269999999896E-7</v>
      </c>
      <c r="I4824">
        <v>140.4701</v>
      </c>
      <c r="J4824">
        <v>-227.96270000000001</v>
      </c>
      <c r="K4824">
        <v>1.1207339999999999</v>
      </c>
      <c r="L4824">
        <v>140.7861</v>
      </c>
      <c r="M4824">
        <v>-0.99965660000000001</v>
      </c>
      <c r="N4824">
        <v>-9.9897070000000004E-3</v>
      </c>
      <c r="O4824">
        <v>2.4233589999999999E-2</v>
      </c>
      <c r="P4824">
        <v>-0.99732330000000002</v>
      </c>
      <c r="Q4824">
        <v>-6.8516439999999998E-2</v>
      </c>
      <c r="R4824">
        <v>2.553561E-2</v>
      </c>
      <c r="S4824">
        <v>-2.9902950000000001</v>
      </c>
      <c r="T4824">
        <v>-0.29092050000000003</v>
      </c>
      <c r="U4824">
        <v>-8.0718990000000004E-2</v>
      </c>
      <c r="V4824">
        <v>1.4040260000000001E-3</v>
      </c>
      <c r="W4824">
        <v>-5.8545699999999999E-2</v>
      </c>
      <c r="X4824">
        <v>0.9982837</v>
      </c>
      <c r="Y4824">
        <v>-5.0845130000000002E-2</v>
      </c>
      <c r="Z4824">
        <v>-4.8318679999999996E-3</v>
      </c>
      <c r="AA4824">
        <v>0.99869479999999999</v>
      </c>
      <c r="AB4824">
        <v>22</v>
      </c>
      <c r="AC4824">
        <v>-11.2906999999999</v>
      </c>
      <c r="AD4824">
        <v>-1.1207345297827001</v>
      </c>
      <c r="AE4824">
        <v>-0.316000000000002</v>
      </c>
      <c r="AF4824">
        <v>-0.58378749163841304</v>
      </c>
      <c r="AG4824">
        <v>-1.1207345297827001</v>
      </c>
      <c r="AH4824">
        <v>11.169757375223901</v>
      </c>
      <c r="AI4824">
        <v>95.721924660193196</v>
      </c>
      <c r="AJ4824">
        <v>92.991842322345093</v>
      </c>
      <c r="AK4824">
        <v>11.2410112331146</v>
      </c>
      <c r="AL4824">
        <v>93.356340890197302</v>
      </c>
      <c r="AM4824">
        <v>89.919416984285306</v>
      </c>
      <c r="AN4824">
        <v>0.99999995798159302</v>
      </c>
    </row>
    <row r="4825" spans="1:40" x14ac:dyDescent="0.25">
      <c r="A4825" t="str">
        <f>"20190303154905015"</f>
        <v>20190303154905015</v>
      </c>
      <c r="B4825" t="str">
        <f>"1551599345005452"</f>
        <v>1551599345005452</v>
      </c>
      <c r="C4825" t="s">
        <v>40</v>
      </c>
      <c r="D4825">
        <v>5.8806000000000003</v>
      </c>
      <c r="E4825">
        <v>0.49320059999999899</v>
      </c>
      <c r="F4825" t="s">
        <v>41</v>
      </c>
      <c r="G4825">
        <v>-239.46299999999999</v>
      </c>
      <c r="H4825" s="1">
        <v>-4.413036E-7</v>
      </c>
      <c r="I4825">
        <v>140.47550000000001</v>
      </c>
      <c r="J4825">
        <v>-228.1979</v>
      </c>
      <c r="K4825">
        <v>1.1206799999999999</v>
      </c>
      <c r="L4825">
        <v>140.7912</v>
      </c>
      <c r="M4825">
        <v>-0.9996756</v>
      </c>
      <c r="N4825">
        <v>-9.5198239999999996E-3</v>
      </c>
      <c r="O4825">
        <v>2.3627970000000002E-2</v>
      </c>
      <c r="P4825">
        <v>-0.99729889999999999</v>
      </c>
      <c r="Q4825">
        <v>-6.8904519999999997E-2</v>
      </c>
      <c r="R4825">
        <v>2.5442590000000001E-2</v>
      </c>
      <c r="S4825">
        <v>-2.9900669999999998</v>
      </c>
      <c r="T4825">
        <v>-0.29138960000000003</v>
      </c>
      <c r="U4825">
        <v>-8.0749509999999997E-2</v>
      </c>
      <c r="V4825">
        <v>1.9168970000000001E-3</v>
      </c>
      <c r="W4825">
        <v>-5.9402719999999999E-2</v>
      </c>
      <c r="X4825">
        <v>0.99823220000000001</v>
      </c>
      <c r="Y4825">
        <v>-5.0256599999999998E-2</v>
      </c>
      <c r="Z4825">
        <v>-4.754828E-3</v>
      </c>
      <c r="AA4825">
        <v>0.99872499999999997</v>
      </c>
      <c r="AB4825">
        <v>22</v>
      </c>
      <c r="AC4825">
        <v>-11.265099999999901</v>
      </c>
      <c r="AD4825">
        <v>-1.1206804413036</v>
      </c>
      <c r="AE4825">
        <v>-0.31569999999999199</v>
      </c>
      <c r="AF4825">
        <v>-0.57609829546406399</v>
      </c>
      <c r="AG4825">
        <v>-1.1206804413036</v>
      </c>
      <c r="AH4825">
        <v>11.1442891295425</v>
      </c>
      <c r="AI4825">
        <v>95.734807560029395</v>
      </c>
      <c r="AJ4825">
        <v>92.959241719249405</v>
      </c>
      <c r="AK4825">
        <v>11.2153017837416</v>
      </c>
      <c r="AL4825">
        <v>93.405530192920693</v>
      </c>
      <c r="AM4825">
        <v>89.889975525873297</v>
      </c>
      <c r="AN4825">
        <v>0.99999994137717096</v>
      </c>
    </row>
    <row r="4826" spans="1:40" x14ac:dyDescent="0.25">
      <c r="A4826" t="str">
        <f>"20190303154905167"</f>
        <v>20190303154905167</v>
      </c>
      <c r="B4826" t="str">
        <f>"1551599345166023"</f>
        <v>1551599345166023</v>
      </c>
      <c r="C4826" t="s">
        <v>40</v>
      </c>
      <c r="D4826">
        <v>5.7758900000000004</v>
      </c>
      <c r="E4826">
        <v>0.49864570000000003</v>
      </c>
      <c r="F4826" t="s">
        <v>41</v>
      </c>
      <c r="G4826">
        <v>-244.2456</v>
      </c>
      <c r="H4826" s="1">
        <v>-2.7950899999999999E-6</v>
      </c>
      <c r="I4826">
        <v>140.90969999999999</v>
      </c>
      <c r="J4826">
        <v>-229.77969999999999</v>
      </c>
      <c r="K4826">
        <v>1.1203209999999999</v>
      </c>
      <c r="L4826">
        <v>140.82140000000001</v>
      </c>
      <c r="M4826">
        <v>-0.99978860000000003</v>
      </c>
      <c r="N4826">
        <v>-6.2789589999999998E-3</v>
      </c>
      <c r="O4826">
        <v>1.9586059999999999E-2</v>
      </c>
      <c r="P4826">
        <v>-0.99747859999999999</v>
      </c>
      <c r="Q4826">
        <v>-6.7890729999999996E-2</v>
      </c>
      <c r="R4826">
        <v>2.0675800000000001E-2</v>
      </c>
      <c r="S4826">
        <v>-2.993134</v>
      </c>
      <c r="T4826">
        <v>-0.20902419999999999</v>
      </c>
      <c r="U4826">
        <v>2.2125240000000001E-2</v>
      </c>
      <c r="V4826">
        <v>1.187249E-3</v>
      </c>
      <c r="W4826">
        <v>-6.1623940000000002E-2</v>
      </c>
      <c r="X4826">
        <v>0.99809870000000001</v>
      </c>
      <c r="Y4826">
        <v>-1.212385E-2</v>
      </c>
      <c r="Z4826">
        <v>-1.7040860000000001E-3</v>
      </c>
      <c r="AA4826">
        <v>0.99992510000000001</v>
      </c>
      <c r="AB4826">
        <v>23</v>
      </c>
      <c r="AC4826">
        <v>-14.4659</v>
      </c>
      <c r="AD4826">
        <v>-1.12032379508999</v>
      </c>
      <c r="AE4826">
        <v>8.8299999999975398E-2</v>
      </c>
      <c r="AF4826">
        <v>-0.19388959037390199</v>
      </c>
      <c r="AG4826">
        <v>-1.12032379508999</v>
      </c>
      <c r="AH4826">
        <v>14.378616755981399</v>
      </c>
      <c r="AI4826">
        <v>94.454851310742299</v>
      </c>
      <c r="AJ4826">
        <v>90.772562628781799</v>
      </c>
      <c r="AK4826">
        <v>14.423499519689701</v>
      </c>
      <c r="AL4826">
        <v>93.533030325117096</v>
      </c>
      <c r="AM4826">
        <v>89.931846094130904</v>
      </c>
      <c r="AN4826">
        <v>0.99999996724149998</v>
      </c>
    </row>
    <row r="4827" spans="1:40" x14ac:dyDescent="0.25">
      <c r="A4827" t="str">
        <f>"20190303154905193"</f>
        <v>20190303154905193</v>
      </c>
      <c r="B4827" t="str">
        <f>"1551599345185543"</f>
        <v>1551599345185543</v>
      </c>
      <c r="C4827" t="s">
        <v>40</v>
      </c>
      <c r="D4827">
        <v>5.7347429999999999</v>
      </c>
      <c r="E4827">
        <v>0.50132889999999997</v>
      </c>
      <c r="F4827" t="s">
        <v>59</v>
      </c>
      <c r="G4827">
        <v>-281.17759999999998</v>
      </c>
      <c r="H4827" s="1">
        <v>-4.8163120000000003E-6</v>
      </c>
      <c r="I4827">
        <v>141.70699999999999</v>
      </c>
      <c r="J4827">
        <v>-230.04429999999999</v>
      </c>
      <c r="K4827">
        <v>1.120288</v>
      </c>
      <c r="L4827">
        <v>140.82589999999999</v>
      </c>
      <c r="M4827">
        <v>-0.99980400000000003</v>
      </c>
      <c r="N4827">
        <v>-5.8533450000000002E-3</v>
      </c>
      <c r="O4827">
        <v>1.891601E-2</v>
      </c>
      <c r="P4827">
        <v>-0.99746230000000002</v>
      </c>
      <c r="Q4827">
        <v>-6.8167809999999995E-2</v>
      </c>
      <c r="R4827">
        <v>2.0546249999999999E-2</v>
      </c>
      <c r="S4827">
        <v>-3.0020600000000002</v>
      </c>
      <c r="T4827">
        <v>-6.5436240000000007E-2</v>
      </c>
      <c r="U4827">
        <v>5.1727290000000002E-2</v>
      </c>
      <c r="V4827">
        <v>1.7282090000000001E-3</v>
      </c>
      <c r="W4827">
        <v>-6.2325459999999999E-2</v>
      </c>
      <c r="X4827">
        <v>0.99805440000000001</v>
      </c>
      <c r="Y4827">
        <v>-1.6856579999999901E-3</v>
      </c>
      <c r="Z4827">
        <v>-3.247875E-4</v>
      </c>
      <c r="AA4827">
        <v>0.99999850000000001</v>
      </c>
      <c r="AB4827">
        <v>24</v>
      </c>
      <c r="AC4827">
        <v>-51.133299999999899</v>
      </c>
      <c r="AD4827">
        <v>-1.1202928163120001</v>
      </c>
      <c r="AE4827">
        <v>0.88110000000000299</v>
      </c>
      <c r="AF4827">
        <v>-8.6270784319737698E-2</v>
      </c>
      <c r="AG4827">
        <v>-1.1202928163120001</v>
      </c>
      <c r="AH4827">
        <v>51.116288569409903</v>
      </c>
      <c r="AI4827">
        <v>91.255523167172399</v>
      </c>
      <c r="AJ4827">
        <v>90.096700039887395</v>
      </c>
      <c r="AK4827">
        <v>51.128636357267503</v>
      </c>
      <c r="AL4827">
        <v>93.573301695812305</v>
      </c>
      <c r="AM4827">
        <v>89.900787990262103</v>
      </c>
      <c r="AN4827">
        <v>1.0000000175149499</v>
      </c>
    </row>
    <row r="4828" spans="1:40" x14ac:dyDescent="0.25">
      <c r="A4828" t="str">
        <f>"20190303154905216"</f>
        <v>20190303154905216</v>
      </c>
      <c r="B4828" t="str">
        <f>"1551599345206039"</f>
        <v>1551599345206039</v>
      </c>
      <c r="C4828" t="s">
        <v>40</v>
      </c>
      <c r="D4828">
        <v>5.8545339999999904</v>
      </c>
      <c r="E4828">
        <v>0.49954539999999997</v>
      </c>
      <c r="F4828" t="s">
        <v>59</v>
      </c>
      <c r="G4828">
        <v>-286.46350000000001</v>
      </c>
      <c r="H4828" s="1">
        <v>-7.5882590000000002E-6</v>
      </c>
      <c r="I4828">
        <v>142.1961</v>
      </c>
      <c r="J4828">
        <v>-230.2885</v>
      </c>
      <c r="K4828">
        <v>1.120263</v>
      </c>
      <c r="L4828">
        <v>140.82980000000001</v>
      </c>
      <c r="M4828">
        <v>-0.99981750000000003</v>
      </c>
      <c r="N4828">
        <v>-5.5065009999999996E-3</v>
      </c>
      <c r="O4828">
        <v>1.829921E-2</v>
      </c>
      <c r="P4828">
        <v>-0.99746690000000005</v>
      </c>
      <c r="Q4828">
        <v>-6.8045449999999993E-2</v>
      </c>
      <c r="R4828">
        <v>2.073647E-2</v>
      </c>
      <c r="S4828">
        <v>-3.0020600000000002</v>
      </c>
      <c r="T4828">
        <v>-5.9610839999999998E-2</v>
      </c>
      <c r="U4828">
        <v>7.2906490000000004E-2</v>
      </c>
      <c r="V4828">
        <v>2.534906E-3</v>
      </c>
      <c r="W4828">
        <v>-6.2548489999999998E-2</v>
      </c>
      <c r="X4828">
        <v>0.99803869999999895</v>
      </c>
      <c r="Y4828">
        <v>5.9805539999999999E-3</v>
      </c>
      <c r="Z4828">
        <v>-1.8665009999999999E-4</v>
      </c>
      <c r="AA4828">
        <v>0.99998209999999998</v>
      </c>
      <c r="AB4828">
        <v>24</v>
      </c>
      <c r="AC4828">
        <v>-56.174999999999997</v>
      </c>
      <c r="AD4828">
        <v>-1.1202705882590001</v>
      </c>
      <c r="AE4828">
        <v>1.3662999999999901</v>
      </c>
      <c r="AF4828">
        <v>0.33796328804757703</v>
      </c>
      <c r="AG4828">
        <v>-1.1202705882590001</v>
      </c>
      <c r="AH4828">
        <v>56.168270979336903</v>
      </c>
      <c r="AI4828">
        <v>91.142586463294606</v>
      </c>
      <c r="AJ4828">
        <v>89.655256677487898</v>
      </c>
      <c r="AK4828">
        <v>56.180458258928503</v>
      </c>
      <c r="AL4828">
        <v>93.586105442369302</v>
      </c>
      <c r="AM4828">
        <v>89.854475479809494</v>
      </c>
      <c r="AN4828">
        <v>0.99999999302369902</v>
      </c>
    </row>
    <row r="4829" spans="1:40" x14ac:dyDescent="0.25">
      <c r="A4829" t="str">
        <f>"20190303154905237"</f>
        <v>20190303154905237</v>
      </c>
      <c r="B4829" t="str">
        <f>"1551599345225559"</f>
        <v>1551599345225559</v>
      </c>
      <c r="C4829" t="s">
        <v>40</v>
      </c>
      <c r="D4829">
        <v>5.7975529999999997</v>
      </c>
      <c r="E4829">
        <v>0.4988321</v>
      </c>
      <c r="F4829" t="s">
        <v>41</v>
      </c>
      <c r="G4829">
        <v>-264.29169999999999</v>
      </c>
      <c r="H4829" s="1">
        <v>-2.9320629999999999E-6</v>
      </c>
      <c r="I4829">
        <v>141.49879999999999</v>
      </c>
      <c r="J4829">
        <v>-230.5196</v>
      </c>
      <c r="K4829">
        <v>1.1202369999999999</v>
      </c>
      <c r="L4829">
        <v>140.83349999999999</v>
      </c>
      <c r="M4829">
        <v>-0.99982950000000004</v>
      </c>
      <c r="N4829">
        <v>-5.2181459999999999E-3</v>
      </c>
      <c r="O4829">
        <v>1.7716679999999999E-2</v>
      </c>
      <c r="P4829">
        <v>-0.99747649999999999</v>
      </c>
      <c r="Q4829">
        <v>-6.7904220000000001E-2</v>
      </c>
      <c r="R4829">
        <v>2.0736230000000001E-2</v>
      </c>
      <c r="S4829">
        <v>-2.9996339999999999</v>
      </c>
      <c r="T4829">
        <v>-9.8825689999999994E-2</v>
      </c>
      <c r="U4829">
        <v>5.9020999999999997E-2</v>
      </c>
      <c r="V4829">
        <v>3.1167450000000002E-3</v>
      </c>
      <c r="W4829">
        <v>-6.2694459999999994E-2</v>
      </c>
      <c r="X4829">
        <v>0.99802789999999997</v>
      </c>
      <c r="Y4829">
        <v>1.9612549999999999E-3</v>
      </c>
      <c r="Z4829">
        <v>-4.535877E-4</v>
      </c>
      <c r="AA4829">
        <v>0.99999800000000005</v>
      </c>
      <c r="AB4829">
        <v>24</v>
      </c>
      <c r="AC4829">
        <v>-33.772099999999902</v>
      </c>
      <c r="AD4829">
        <v>-1.1202399320630001</v>
      </c>
      <c r="AE4829">
        <v>0.665300000000002</v>
      </c>
      <c r="AF4829">
        <v>6.6784529684141197E-2</v>
      </c>
      <c r="AG4829">
        <v>-1.1202399320630001</v>
      </c>
      <c r="AH4829">
        <v>33.741475397779702</v>
      </c>
      <c r="AI4829">
        <v>91.901556644802</v>
      </c>
      <c r="AJ4829">
        <v>89.886594565125904</v>
      </c>
      <c r="AK4829">
        <v>33.760132696684799</v>
      </c>
      <c r="AL4829">
        <v>93.594485331633507</v>
      </c>
      <c r="AM4829">
        <v>89.821071381072201</v>
      </c>
      <c r="AN4829">
        <v>0.99999999929624805</v>
      </c>
    </row>
    <row r="4830" spans="1:40" x14ac:dyDescent="0.25">
      <c r="A4830" t="str">
        <f>"20190303154905258"</f>
        <v>20190303154905258</v>
      </c>
      <c r="B4830" t="str">
        <f>"1551599345255815"</f>
        <v>1551599345255815</v>
      </c>
      <c r="C4830" t="s">
        <v>40</v>
      </c>
      <c r="D4830">
        <v>5.8153940000000004</v>
      </c>
      <c r="E4830">
        <v>0.49880560000000002</v>
      </c>
      <c r="F4830" t="s">
        <v>41</v>
      </c>
      <c r="G4830">
        <v>-259.07530000000003</v>
      </c>
      <c r="H4830" s="1">
        <v>-8.3822349999999999E-7</v>
      </c>
      <c r="I4830">
        <v>141.34209999999999</v>
      </c>
      <c r="J4830">
        <v>-230.7483</v>
      </c>
      <c r="K4830">
        <v>1.120225</v>
      </c>
      <c r="L4830">
        <v>140.83690000000001</v>
      </c>
      <c r="M4830">
        <v>-0.99984090000000003</v>
      </c>
      <c r="N4830">
        <v>-4.9691029999999999E-3</v>
      </c>
      <c r="O4830">
        <v>1.714222E-2</v>
      </c>
      <c r="P4830">
        <v>-0.99741179999999996</v>
      </c>
      <c r="Q4830">
        <v>-6.8450419999999998E-2</v>
      </c>
      <c r="R4830">
        <v>2.2015139999999999E-2</v>
      </c>
      <c r="S4830">
        <v>-2.9984739999999999</v>
      </c>
      <c r="T4830">
        <v>-0.1176299</v>
      </c>
      <c r="U4830">
        <v>5.342102E-2</v>
      </c>
      <c r="V4830">
        <v>4.9712059999999997E-3</v>
      </c>
      <c r="W4830">
        <v>-6.3487730000000006E-2</v>
      </c>
      <c r="X4830">
        <v>0.99797020000000003</v>
      </c>
      <c r="Y4830">
        <v>6.803763E-4</v>
      </c>
      <c r="Z4830">
        <v>-5.7194210000000001E-4</v>
      </c>
      <c r="AA4830">
        <v>0.99999959999999999</v>
      </c>
      <c r="AB4830">
        <v>24</v>
      </c>
      <c r="AC4830">
        <v>-28.327000000000002</v>
      </c>
      <c r="AD4830">
        <v>-1.1202258382235</v>
      </c>
      <c r="AE4830">
        <v>0.505199999999973</v>
      </c>
      <c r="AF4830">
        <v>1.9501705151910902E-2</v>
      </c>
      <c r="AG4830">
        <v>-1.1202258382235</v>
      </c>
      <c r="AH4830">
        <v>28.287273417651502</v>
      </c>
      <c r="AI4830">
        <v>92.267828172672097</v>
      </c>
      <c r="AJ4830">
        <v>89.960499366446896</v>
      </c>
      <c r="AK4830">
        <v>28.3094529026984</v>
      </c>
      <c r="AL4830">
        <v>93.640027219846203</v>
      </c>
      <c r="AM4830">
        <v>89.714593915675806</v>
      </c>
      <c r="AN4830">
        <v>0.99999996241884204</v>
      </c>
    </row>
    <row r="4831" spans="1:40" x14ac:dyDescent="0.25">
      <c r="A4831" t="str">
        <f>"20190303154905281"</f>
        <v>20190303154905281</v>
      </c>
      <c r="B4831" t="str">
        <f>"1551599345275700"</f>
        <v>1551599345275700</v>
      </c>
      <c r="C4831" t="s">
        <v>40</v>
      </c>
      <c r="D4831">
        <v>5.8213489999999997</v>
      </c>
      <c r="E4831">
        <v>0.49877129999999997</v>
      </c>
      <c r="F4831" t="s">
        <v>41</v>
      </c>
      <c r="G4831">
        <v>-256.7081</v>
      </c>
      <c r="H4831" s="1">
        <v>-1.8505440000000001E-6</v>
      </c>
      <c r="I4831">
        <v>141.33009999999999</v>
      </c>
      <c r="J4831">
        <v>-230.99369999999999</v>
      </c>
      <c r="K4831">
        <v>1.120207</v>
      </c>
      <c r="L4831">
        <v>140.84049999999999</v>
      </c>
      <c r="M4831">
        <v>-0.99985219999999997</v>
      </c>
      <c r="N4831">
        <v>-4.7388559999999996E-3</v>
      </c>
      <c r="O4831">
        <v>1.6530920000000001E-2</v>
      </c>
      <c r="P4831">
        <v>-0.99735890000000005</v>
      </c>
      <c r="Q4831">
        <v>-6.8968669999999996E-2</v>
      </c>
      <c r="R4831">
        <v>2.277034E-2</v>
      </c>
      <c r="S4831">
        <v>-2.9976500000000001</v>
      </c>
      <c r="T4831">
        <v>-0.12935579999999999</v>
      </c>
      <c r="U4831">
        <v>5.6961060000000001E-2</v>
      </c>
      <c r="V4831">
        <v>6.3382159999999998E-3</v>
      </c>
      <c r="W4831">
        <v>-6.4234699999999895E-2</v>
      </c>
      <c r="X4831">
        <v>0.99791470000000004</v>
      </c>
      <c r="Y4831">
        <v>2.4773870000000002E-3</v>
      </c>
      <c r="Z4831">
        <v>-5.7529949999999999E-4</v>
      </c>
      <c r="AA4831">
        <v>0.99999680000000002</v>
      </c>
      <c r="AB4831">
        <v>24</v>
      </c>
      <c r="AC4831">
        <v>-25.714400000000001</v>
      </c>
      <c r="AD4831">
        <v>-1.120208850544</v>
      </c>
      <c r="AE4831">
        <v>0.48959999999999498</v>
      </c>
      <c r="AF4831">
        <v>6.4323638971885394E-2</v>
      </c>
      <c r="AG4831">
        <v>-1.120208850544</v>
      </c>
      <c r="AH4831">
        <v>25.670280988320201</v>
      </c>
      <c r="AI4831">
        <v>92.498700470028993</v>
      </c>
      <c r="AJ4831">
        <v>89.856430659087394</v>
      </c>
      <c r="AK4831">
        <v>25.694791912344499</v>
      </c>
      <c r="AL4831">
        <v>93.682912817732898</v>
      </c>
      <c r="AM4831">
        <v>89.636093001500697</v>
      </c>
      <c r="AN4831">
        <v>1.0000000090711201</v>
      </c>
    </row>
    <row r="4832" spans="1:40" x14ac:dyDescent="0.25">
      <c r="A4832" t="str">
        <f>"20190303154905304"</f>
        <v>20190303154905304</v>
      </c>
      <c r="B4832" t="str">
        <f>"1551599345295219"</f>
        <v>1551599345295219</v>
      </c>
      <c r="C4832" t="s">
        <v>40</v>
      </c>
      <c r="D4832">
        <v>5.8522669999999897</v>
      </c>
      <c r="E4832">
        <v>0.49852229999999997</v>
      </c>
      <c r="F4832" t="s">
        <v>41</v>
      </c>
      <c r="G4832">
        <v>-255.82749999999999</v>
      </c>
      <c r="H4832" s="1">
        <v>-2.2279739999999998E-6</v>
      </c>
      <c r="I4832">
        <v>141.3287</v>
      </c>
      <c r="J4832">
        <v>-231.24510000000001</v>
      </c>
      <c r="K4832">
        <v>1.1201909999999999</v>
      </c>
      <c r="L4832">
        <v>140.84399999999999</v>
      </c>
      <c r="M4832">
        <v>-0.9998631</v>
      </c>
      <c r="N4832">
        <v>-4.5482079999999998E-3</v>
      </c>
      <c r="O4832">
        <v>1.5914729999999998E-2</v>
      </c>
      <c r="P4832">
        <v>-0.99735479999999999</v>
      </c>
      <c r="Q4832">
        <v>-6.8847399999999906E-2</v>
      </c>
      <c r="R4832">
        <v>2.3314700000000001E-2</v>
      </c>
      <c r="S4832">
        <v>-2.9972530000000002</v>
      </c>
      <c r="T4832">
        <v>-0.13520109999999999</v>
      </c>
      <c r="U4832">
        <v>5.892944E-2</v>
      </c>
      <c r="V4832">
        <v>7.4973130000000002E-3</v>
      </c>
      <c r="W4832">
        <v>-6.430263E-2</v>
      </c>
      <c r="X4832">
        <v>0.99790230000000002</v>
      </c>
      <c r="Y4832">
        <v>3.751922E-3</v>
      </c>
      <c r="Z4832">
        <v>-5.5194489999999896E-4</v>
      </c>
      <c r="AA4832">
        <v>0.99999280000000002</v>
      </c>
      <c r="AB4832">
        <v>24</v>
      </c>
      <c r="AC4832">
        <v>-24.5823999999999</v>
      </c>
      <c r="AD4832">
        <v>-1.1201932279739999</v>
      </c>
      <c r="AE4832">
        <v>0.48470000000000302</v>
      </c>
      <c r="AF4832">
        <v>9.3218847310533995E-2</v>
      </c>
      <c r="AG4832">
        <v>-1.1201932279739999</v>
      </c>
      <c r="AH4832">
        <v>24.5360706069774</v>
      </c>
      <c r="AI4832">
        <v>92.614002270811199</v>
      </c>
      <c r="AJ4832">
        <v>89.782319634241603</v>
      </c>
      <c r="AK4832">
        <v>24.561805378515501</v>
      </c>
      <c r="AL4832">
        <v>93.686812945916799</v>
      </c>
      <c r="AM4832">
        <v>89.569540715131495</v>
      </c>
      <c r="AN4832">
        <v>1.0000000191362099</v>
      </c>
    </row>
    <row r="4833" spans="1:40" x14ac:dyDescent="0.25">
      <c r="A4833" t="str">
        <f>"20190303154905325"</f>
        <v>20190303154905325</v>
      </c>
      <c r="B4833" t="str">
        <f>"1551599345315714"</f>
        <v>1551599345315714</v>
      </c>
      <c r="C4833" t="s">
        <v>40</v>
      </c>
      <c r="D4833">
        <v>5.8776970000000004</v>
      </c>
      <c r="E4833">
        <v>0.4983629</v>
      </c>
      <c r="F4833" t="s">
        <v>41</v>
      </c>
      <c r="G4833">
        <v>-255.21039999999999</v>
      </c>
      <c r="H4833" s="1">
        <v>-2.48824E-6</v>
      </c>
      <c r="I4833">
        <v>141.31200000000001</v>
      </c>
      <c r="J4833">
        <v>-231.4813</v>
      </c>
      <c r="K4833">
        <v>1.1201749999999999</v>
      </c>
      <c r="L4833">
        <v>140.84710000000001</v>
      </c>
      <c r="M4833">
        <v>-0.9998726</v>
      </c>
      <c r="N4833">
        <v>-4.4037130000000001E-3</v>
      </c>
      <c r="O4833">
        <v>1.5344780000000001E-2</v>
      </c>
      <c r="P4833">
        <v>-0.99731919999999996</v>
      </c>
      <c r="Q4833">
        <v>-6.9135989999999994E-2</v>
      </c>
      <c r="R4833">
        <v>2.397171E-2</v>
      </c>
      <c r="S4833">
        <v>-2.996902</v>
      </c>
      <c r="T4833">
        <v>-0.1400825</v>
      </c>
      <c r="U4833">
        <v>5.8532710000000002E-2</v>
      </c>
      <c r="V4833">
        <v>8.7236339999999992E-3</v>
      </c>
      <c r="W4833">
        <v>-6.4734470000000002E-2</v>
      </c>
      <c r="X4833">
        <v>0.99786439999999998</v>
      </c>
      <c r="Y4833">
        <v>4.1917789999999996E-3</v>
      </c>
      <c r="Z4833">
        <v>-5.4206519999999995E-4</v>
      </c>
      <c r="AA4833">
        <v>0.99999110000000002</v>
      </c>
      <c r="AB4833">
        <v>25</v>
      </c>
      <c r="AC4833">
        <v>-23.729099999999899</v>
      </c>
      <c r="AD4833">
        <v>-1.12017748824</v>
      </c>
      <c r="AE4833">
        <v>0.46489999999999998</v>
      </c>
      <c r="AF4833">
        <v>0.100500048061096</v>
      </c>
      <c r="AG4833">
        <v>-1.12017748824</v>
      </c>
      <c r="AH4833">
        <v>23.6806880012787</v>
      </c>
      <c r="AI4833">
        <v>92.708243052963894</v>
      </c>
      <c r="AJ4833">
        <v>89.756840087422404</v>
      </c>
      <c r="AK4833">
        <v>23.707380329313601</v>
      </c>
      <c r="AL4833">
        <v>93.711607258489806</v>
      </c>
      <c r="AM4833">
        <v>89.499115634130703</v>
      </c>
      <c r="AN4833">
        <v>1.00000000709185</v>
      </c>
    </row>
    <row r="4834" spans="1:40" x14ac:dyDescent="0.25">
      <c r="A4834" t="str">
        <f>"20190303154905347"</f>
        <v>20190303154905347</v>
      </c>
      <c r="B4834" t="str">
        <f>"1551599345335234"</f>
        <v>1551599345335234</v>
      </c>
      <c r="C4834" t="s">
        <v>40</v>
      </c>
      <c r="D4834">
        <v>5.885866</v>
      </c>
      <c r="E4834">
        <v>0.49823539999999999</v>
      </c>
      <c r="F4834" t="s">
        <v>41</v>
      </c>
      <c r="G4834">
        <v>-254.5403</v>
      </c>
      <c r="H4834" s="1">
        <v>-2.7732110000000001E-6</v>
      </c>
      <c r="I4834">
        <v>141.30260000000001</v>
      </c>
      <c r="J4834">
        <v>-231.72649999999999</v>
      </c>
      <c r="K4834">
        <v>1.120166</v>
      </c>
      <c r="L4834">
        <v>140.8503</v>
      </c>
      <c r="M4834">
        <v>-0.99988189999999999</v>
      </c>
      <c r="N4834">
        <v>-4.2843300000000003E-3</v>
      </c>
      <c r="O4834">
        <v>1.476541E-2</v>
      </c>
      <c r="P4834">
        <v>-0.99726250000000005</v>
      </c>
      <c r="Q4834">
        <v>-6.9787130000000003E-2</v>
      </c>
      <c r="R4834">
        <v>2.4440030000000001E-2</v>
      </c>
      <c r="S4834">
        <v>-2.9965519999999999</v>
      </c>
      <c r="T4834">
        <v>-0.1455688</v>
      </c>
      <c r="U4834">
        <v>5.9204100000000003E-2</v>
      </c>
      <c r="V4834">
        <v>9.7708039999999993E-3</v>
      </c>
      <c r="W4834">
        <v>-6.5504110000000004E-2</v>
      </c>
      <c r="X4834">
        <v>0.99780449999999998</v>
      </c>
      <c r="Y4834">
        <v>4.9968010000000004E-3</v>
      </c>
      <c r="Z4834">
        <v>-5.2152570000000003E-4</v>
      </c>
      <c r="AA4834">
        <v>0.99998739999999997</v>
      </c>
      <c r="AB4834">
        <v>25</v>
      </c>
      <c r="AC4834">
        <v>-22.813800000000001</v>
      </c>
      <c r="AD4834">
        <v>-1.1201687732109999</v>
      </c>
      <c r="AE4834">
        <v>0.45230000000000797</v>
      </c>
      <c r="AF4834">
        <v>0.11511510383554301</v>
      </c>
      <c r="AG4834">
        <v>-1.1201687732109999</v>
      </c>
      <c r="AH4834">
        <v>22.7631342466366</v>
      </c>
      <c r="AI4834">
        <v>92.817203988895002</v>
      </c>
      <c r="AJ4834">
        <v>89.710252845158493</v>
      </c>
      <c r="AK4834">
        <v>22.790969928855699</v>
      </c>
      <c r="AL4834">
        <v>93.755798060235094</v>
      </c>
      <c r="AM4834">
        <v>89.438960298406201</v>
      </c>
      <c r="AN4834">
        <v>1.00000003862897</v>
      </c>
    </row>
    <row r="4835" spans="1:40" x14ac:dyDescent="0.25">
      <c r="A4835" t="str">
        <f>"20190303154905370"</f>
        <v>20190303154905370</v>
      </c>
      <c r="B4835" t="str">
        <f>"1551599345365491"</f>
        <v>1551599345365491</v>
      </c>
      <c r="C4835" t="s">
        <v>40</v>
      </c>
      <c r="D4835">
        <v>5.9217879999999896</v>
      </c>
      <c r="E4835">
        <v>0.4981273</v>
      </c>
      <c r="F4835" t="s">
        <v>41</v>
      </c>
      <c r="G4835">
        <v>-253.84690000000001</v>
      </c>
      <c r="H4835" s="1">
        <v>-3.06746E-6</v>
      </c>
      <c r="I4835">
        <v>141.29060000000001</v>
      </c>
      <c r="J4835">
        <v>-231.9846</v>
      </c>
      <c r="K4835">
        <v>1.1201449999999999</v>
      </c>
      <c r="L4835">
        <v>140.85339999999999</v>
      </c>
      <c r="M4835">
        <v>-0.99989070000000002</v>
      </c>
      <c r="N4835">
        <v>-4.1869239999999999E-3</v>
      </c>
      <c r="O4835">
        <v>1.4174910000000001E-2</v>
      </c>
      <c r="P4835">
        <v>-0.99725209999999997</v>
      </c>
      <c r="Q4835">
        <v>-6.9978620000000005E-2</v>
      </c>
      <c r="R4835">
        <v>2.4321740000000001E-2</v>
      </c>
      <c r="S4835">
        <v>-2.9961700000000002</v>
      </c>
      <c r="T4835">
        <v>-0.15172479999999999</v>
      </c>
      <c r="U4835">
        <v>5.9646610000000003E-2</v>
      </c>
      <c r="V4835">
        <v>1.024097E-2</v>
      </c>
      <c r="W4835">
        <v>-6.5792630000000005E-2</v>
      </c>
      <c r="X4835">
        <v>0.99778069999999996</v>
      </c>
      <c r="Y4835">
        <v>5.7367719999999898E-3</v>
      </c>
      <c r="Z4835">
        <v>-5.0075960000000002E-4</v>
      </c>
      <c r="AA4835">
        <v>0.99998339999999997</v>
      </c>
      <c r="AB4835">
        <v>25</v>
      </c>
      <c r="AC4835">
        <v>-21.862300000000001</v>
      </c>
      <c r="AD4835">
        <v>-1.12014806746</v>
      </c>
      <c r="AE4835">
        <v>0.43720000000001802</v>
      </c>
      <c r="AF4835">
        <v>0.126924137260464</v>
      </c>
      <c r="AG4835">
        <v>-1.12014806746</v>
      </c>
      <c r="AH4835">
        <v>21.809070940801298</v>
      </c>
      <c r="AI4835">
        <v>92.940167713118598</v>
      </c>
      <c r="AJ4835">
        <v>89.666554558805203</v>
      </c>
      <c r="AK4835">
        <v>21.838187120971401</v>
      </c>
      <c r="AL4835">
        <v>93.772365161333596</v>
      </c>
      <c r="AM4835">
        <v>89.411951186985505</v>
      </c>
      <c r="AN4835">
        <v>0.99999993646067098</v>
      </c>
    </row>
    <row r="4836" spans="1:40" x14ac:dyDescent="0.25">
      <c r="A4836" t="str">
        <f>"20190303154905393"</f>
        <v>20190303154905393</v>
      </c>
      <c r="B4836" t="str">
        <f>"1551599345385986"</f>
        <v>1551599345385986</v>
      </c>
      <c r="C4836" t="s">
        <v>40</v>
      </c>
      <c r="D4836">
        <v>5.9353099999999896</v>
      </c>
      <c r="E4836">
        <v>0.49788090000000002</v>
      </c>
      <c r="F4836" t="s">
        <v>41</v>
      </c>
      <c r="G4836">
        <v>-253.2801</v>
      </c>
      <c r="H4836" s="1">
        <v>-3.3048410000000002E-6</v>
      </c>
      <c r="I4836">
        <v>141.2688</v>
      </c>
      <c r="J4836">
        <v>-232.24959999999999</v>
      </c>
      <c r="K4836">
        <v>1.120128</v>
      </c>
      <c r="L4836">
        <v>140.85659999999999</v>
      </c>
      <c r="M4836">
        <v>-0.99989910000000004</v>
      </c>
      <c r="N4836">
        <v>-4.1138240000000003E-3</v>
      </c>
      <c r="O4836">
        <v>1.359527E-2</v>
      </c>
      <c r="P4836">
        <v>-0.99726210000000004</v>
      </c>
      <c r="Q4836">
        <v>-7.0051069999999993E-2</v>
      </c>
      <c r="R4836">
        <v>2.3689089999999999E-2</v>
      </c>
      <c r="S4836">
        <v>-2.9958040000000001</v>
      </c>
      <c r="T4836">
        <v>-0.15758029999999901</v>
      </c>
      <c r="U4836">
        <v>5.8441159999999999E-2</v>
      </c>
      <c r="V4836">
        <v>1.0184759999999999E-2</v>
      </c>
      <c r="W4836">
        <v>-6.5938369999999996E-2</v>
      </c>
      <c r="X4836">
        <v>0.99777170000000004</v>
      </c>
      <c r="Y4836">
        <v>5.916503E-3</v>
      </c>
      <c r="Z4836">
        <v>-4.9096000000000003E-4</v>
      </c>
      <c r="AA4836">
        <v>0.99998240000000005</v>
      </c>
      <c r="AB4836">
        <v>25</v>
      </c>
      <c r="AC4836">
        <v>-21.0305</v>
      </c>
      <c r="AD4836">
        <v>-1.120131304841</v>
      </c>
      <c r="AE4836">
        <v>0.412200000000012</v>
      </c>
      <c r="AF4836">
        <v>0.12588716598563601</v>
      </c>
      <c r="AG4836">
        <v>-1.120131304841</v>
      </c>
      <c r="AH4836">
        <v>20.974680858308901</v>
      </c>
      <c r="AI4836">
        <v>93.056863461534405</v>
      </c>
      <c r="AJ4836">
        <v>89.656122696262599</v>
      </c>
      <c r="AK4836">
        <v>21.004946532342199</v>
      </c>
      <c r="AL4836">
        <v>93.780733449715498</v>
      </c>
      <c r="AM4836">
        <v>89.4151733332085</v>
      </c>
      <c r="AN4836">
        <v>0.99999998164770199</v>
      </c>
    </row>
    <row r="4837" spans="1:40" x14ac:dyDescent="0.25">
      <c r="A4837" t="str">
        <f>"20190303154905417"</f>
        <v>20190303154905417</v>
      </c>
      <c r="B4837" t="str">
        <f>"1551599345405507"</f>
        <v>1551599345405507</v>
      </c>
      <c r="C4837" t="s">
        <v>40</v>
      </c>
      <c r="D4837">
        <v>5.9223540000000003</v>
      </c>
      <c r="E4837">
        <v>0.49776939999999997</v>
      </c>
      <c r="F4837" t="s">
        <v>41</v>
      </c>
      <c r="G4837">
        <v>-253.23099999999999</v>
      </c>
      <c r="H4837" s="1">
        <v>-3.3177220000000002E-6</v>
      </c>
      <c r="I4837">
        <v>141.238</v>
      </c>
      <c r="J4837">
        <v>-232.51150000000001</v>
      </c>
      <c r="K4837">
        <v>1.120104</v>
      </c>
      <c r="L4837">
        <v>140.8595</v>
      </c>
      <c r="M4837">
        <v>-0.99990670000000004</v>
      </c>
      <c r="N4837">
        <v>-4.0638269999999999E-3</v>
      </c>
      <c r="O4837">
        <v>1.305357E-2</v>
      </c>
      <c r="P4837">
        <v>-0.99729009999999996</v>
      </c>
      <c r="Q4837">
        <v>-6.9980440000000005E-2</v>
      </c>
      <c r="R4837">
        <v>2.2705199999999998E-2</v>
      </c>
      <c r="S4837">
        <v>-2.9957120000000002</v>
      </c>
      <c r="T4837">
        <v>-0.15993260000000001</v>
      </c>
      <c r="U4837">
        <v>5.4473880000000002E-2</v>
      </c>
      <c r="V4837">
        <v>9.7383230000000001E-3</v>
      </c>
      <c r="W4837">
        <v>-6.5918340000000006E-2</v>
      </c>
      <c r="X4837">
        <v>0.99777749999999998</v>
      </c>
      <c r="Y4837">
        <v>5.1358710000000002E-3</v>
      </c>
      <c r="Z4837">
        <v>-4.9586269999999895E-4</v>
      </c>
      <c r="AA4837">
        <v>0.99998670000000001</v>
      </c>
      <c r="AB4837">
        <v>25</v>
      </c>
      <c r="AC4837">
        <v>-20.719499999999901</v>
      </c>
      <c r="AD4837">
        <v>-1.120107317722</v>
      </c>
      <c r="AE4837">
        <v>0.378500000000002</v>
      </c>
      <c r="AF4837">
        <v>0.10768750069081801</v>
      </c>
      <c r="AG4837">
        <v>-1.120107317722</v>
      </c>
      <c r="AH4837">
        <v>20.6623091391724</v>
      </c>
      <c r="AI4837">
        <v>93.102934723931497</v>
      </c>
      <c r="AJ4837">
        <v>89.701389453120697</v>
      </c>
      <c r="AK4837">
        <v>20.692927679855899</v>
      </c>
      <c r="AL4837">
        <v>93.779583239716402</v>
      </c>
      <c r="AM4837">
        <v>89.440810108868504</v>
      </c>
      <c r="AN4837">
        <v>1.0000000009947201</v>
      </c>
    </row>
    <row r="4838" spans="1:40" x14ac:dyDescent="0.25">
      <c r="A4838" t="str">
        <f>"20190303154905441"</f>
        <v>20190303154905441</v>
      </c>
      <c r="B4838" t="str">
        <f>"1551599345435763"</f>
        <v>1551599345435763</v>
      </c>
      <c r="C4838" t="s">
        <v>40</v>
      </c>
      <c r="D4838">
        <v>5.9334629999999997</v>
      </c>
      <c r="E4838">
        <v>0.49756600000000001</v>
      </c>
      <c r="F4838" t="s">
        <v>41</v>
      </c>
      <c r="G4838">
        <v>-253.13040000000001</v>
      </c>
      <c r="H4838" s="1">
        <v>-3.3527940000000002E-6</v>
      </c>
      <c r="I4838">
        <v>141.20769999999999</v>
      </c>
      <c r="J4838">
        <v>-232.7773</v>
      </c>
      <c r="K4838">
        <v>1.120069</v>
      </c>
      <c r="L4838">
        <v>140.86240000000001</v>
      </c>
      <c r="M4838">
        <v>-0.9999133</v>
      </c>
      <c r="N4838">
        <v>-4.0304870000000001E-3</v>
      </c>
      <c r="O4838">
        <v>1.253801E-2</v>
      </c>
      <c r="P4838">
        <v>-0.99732359999999998</v>
      </c>
      <c r="Q4838">
        <v>-6.9945339999999995E-2</v>
      </c>
      <c r="R4838">
        <v>2.1288069999999999E-2</v>
      </c>
      <c r="S4838">
        <v>-2.9955750000000001</v>
      </c>
      <c r="T4838">
        <v>-0.162732399999999</v>
      </c>
      <c r="U4838">
        <v>5.059814E-2</v>
      </c>
      <c r="V4838">
        <v>8.8320450000000002E-3</v>
      </c>
      <c r="W4838">
        <v>-6.5917600000000007E-2</v>
      </c>
      <c r="X4838">
        <v>0.99778599999999995</v>
      </c>
      <c r="Y4838">
        <v>4.3598430000000004E-3</v>
      </c>
      <c r="Z4838">
        <v>-5.0291680000000001E-4</v>
      </c>
      <c r="AA4838">
        <v>0.9999903</v>
      </c>
      <c r="AB4838">
        <v>25</v>
      </c>
      <c r="AC4838">
        <v>-20.353100000000001</v>
      </c>
      <c r="AD4838">
        <v>-1.120072352794</v>
      </c>
      <c r="AE4838">
        <v>0.34529999999998001</v>
      </c>
      <c r="AF4838">
        <v>8.9811502396096698E-2</v>
      </c>
      <c r="AG4838">
        <v>-1.120072352794</v>
      </c>
      <c r="AH4838">
        <v>20.294385202566101</v>
      </c>
      <c r="AI4838">
        <v>93.158989505858401</v>
      </c>
      <c r="AJ4838">
        <v>89.746442851295299</v>
      </c>
      <c r="AK4838">
        <v>20.325469217993302</v>
      </c>
      <c r="AL4838">
        <v>93.779540682534602</v>
      </c>
      <c r="AM4838">
        <v>89.492851485914002</v>
      </c>
      <c r="AN4838">
        <v>1.0000000184023199</v>
      </c>
    </row>
    <row r="4839" spans="1:40" x14ac:dyDescent="0.25">
      <c r="A4839" t="str">
        <f>"20190303154905460"</f>
        <v>20190303154905460</v>
      </c>
      <c r="B4839" t="str">
        <f>"1551599345455283"</f>
        <v>1551599345455283</v>
      </c>
      <c r="C4839" t="s">
        <v>40</v>
      </c>
      <c r="D4839">
        <v>5.9540389999999999</v>
      </c>
      <c r="E4839">
        <v>0.49739119999999998</v>
      </c>
      <c r="F4839" t="s">
        <v>41</v>
      </c>
      <c r="G4839">
        <v>-252.96250000000001</v>
      </c>
      <c r="H4839" s="1">
        <v>-3.4130709999999998E-6</v>
      </c>
      <c r="I4839">
        <v>141.1635</v>
      </c>
      <c r="J4839">
        <v>-233.001</v>
      </c>
      <c r="K4839">
        <v>1.120052</v>
      </c>
      <c r="L4839">
        <v>140.8648</v>
      </c>
      <c r="M4839">
        <v>-0.99991830000000004</v>
      </c>
      <c r="N4839">
        <v>-4.0162219999999998E-3</v>
      </c>
      <c r="O4839">
        <v>1.213522E-2</v>
      </c>
      <c r="P4839">
        <v>-0.99731939999999997</v>
      </c>
      <c r="Q4839">
        <v>-7.0314909999999994E-2</v>
      </c>
      <c r="R4839">
        <v>2.0248470000000001E-2</v>
      </c>
      <c r="S4839">
        <v>-2.995422</v>
      </c>
      <c r="T4839">
        <v>-0.1662151</v>
      </c>
      <c r="U4839">
        <v>4.4692990000000002E-2</v>
      </c>
      <c r="V4839">
        <v>8.1919890000000002E-3</v>
      </c>
      <c r="W4839">
        <v>-6.6302319999999998E-2</v>
      </c>
      <c r="X4839">
        <v>0.99776600000000004</v>
      </c>
      <c r="Y4839">
        <v>2.7951550000000001E-3</v>
      </c>
      <c r="Z4839">
        <v>-5.4098929999999996E-4</v>
      </c>
      <c r="AA4839">
        <v>0.99999590000000005</v>
      </c>
      <c r="AB4839">
        <v>25</v>
      </c>
      <c r="AC4839">
        <v>-19.961500000000001</v>
      </c>
      <c r="AD4839">
        <v>-1.1200554130709901</v>
      </c>
      <c r="AE4839">
        <v>0.29869999999999602</v>
      </c>
      <c r="AF4839">
        <v>5.6261761350316103E-2</v>
      </c>
      <c r="AG4839">
        <v>-1.1200554130709901</v>
      </c>
      <c r="AH4839">
        <v>19.901012221159299</v>
      </c>
      <c r="AI4839">
        <v>93.221271396732504</v>
      </c>
      <c r="AJ4839">
        <v>89.838020656960396</v>
      </c>
      <c r="AK4839">
        <v>19.932585806685299</v>
      </c>
      <c r="AL4839">
        <v>93.801631727690093</v>
      </c>
      <c r="AM4839">
        <v>89.529593261993</v>
      </c>
      <c r="AN4839">
        <v>1.0000000485385701</v>
      </c>
    </row>
    <row r="4840" spans="1:40" x14ac:dyDescent="0.25">
      <c r="A4840" t="str">
        <f>"20190303154905482"</f>
        <v>20190303154905482</v>
      </c>
      <c r="B4840" t="str">
        <f>"1551599345475779"</f>
        <v>1551599345475779</v>
      </c>
      <c r="C4840" t="s">
        <v>40</v>
      </c>
      <c r="D4840">
        <v>5.9588749999999999</v>
      </c>
      <c r="E4840">
        <v>0.4973939</v>
      </c>
      <c r="F4840" t="s">
        <v>41</v>
      </c>
      <c r="G4840">
        <v>-252.84909999999999</v>
      </c>
      <c r="H4840" s="1">
        <v>-3.4531800000000001E-6</v>
      </c>
      <c r="I4840">
        <v>141.13149999999999</v>
      </c>
      <c r="J4840">
        <v>-233.2604</v>
      </c>
      <c r="K4840">
        <v>1.120023</v>
      </c>
      <c r="L4840">
        <v>140.86750000000001</v>
      </c>
      <c r="M4840">
        <v>-0.99992349999999997</v>
      </c>
      <c r="N4840">
        <v>-4.012987E-3</v>
      </c>
      <c r="O4840">
        <v>1.169981E-2</v>
      </c>
      <c r="P4840">
        <v>-0.99730289999999999</v>
      </c>
      <c r="Q4840">
        <v>-7.0748930000000002E-2</v>
      </c>
      <c r="R4840">
        <v>1.953067E-2</v>
      </c>
      <c r="S4840">
        <v>-2.9953310000000002</v>
      </c>
      <c r="T4840">
        <v>-0.1690304</v>
      </c>
      <c r="U4840">
        <v>4.0252690000000001E-2</v>
      </c>
      <c r="V4840">
        <v>7.9057499999999996E-3</v>
      </c>
      <c r="W4840">
        <v>-6.6740270000000004E-2</v>
      </c>
      <c r="X4840">
        <v>0.99773909999999999</v>
      </c>
      <c r="Y4840">
        <v>1.750569E-3</v>
      </c>
      <c r="Z4840">
        <v>-5.5987289999999998E-4</v>
      </c>
      <c r="AA4840">
        <v>0.99999830000000001</v>
      </c>
      <c r="AB4840">
        <v>26</v>
      </c>
      <c r="AC4840">
        <v>-19.5886999999999</v>
      </c>
      <c r="AD4840">
        <v>-1.1200264531799999</v>
      </c>
      <c r="AE4840">
        <v>0.26399999999998103</v>
      </c>
      <c r="AF4840">
        <v>3.4682651176738299E-2</v>
      </c>
      <c r="AG4840">
        <v>-1.1200264531799999</v>
      </c>
      <c r="AH4840">
        <v>19.526622596057699</v>
      </c>
      <c r="AI4840">
        <v>93.282823176781903</v>
      </c>
      <c r="AJ4840">
        <v>89.898232915841902</v>
      </c>
      <c r="AK4840">
        <v>19.5587487368438</v>
      </c>
      <c r="AL4840">
        <v>93.826780156872701</v>
      </c>
      <c r="AM4840">
        <v>89.546016960247101</v>
      </c>
      <c r="AN4840">
        <v>1.0000000380957701</v>
      </c>
    </row>
    <row r="4841" spans="1:40" x14ac:dyDescent="0.25">
      <c r="A4841" t="str">
        <f>"20190303154905504"</f>
        <v>20190303154905504</v>
      </c>
      <c r="B4841" t="str">
        <f>"1551599345496275"</f>
        <v>1551599345496275</v>
      </c>
      <c r="C4841" t="s">
        <v>40</v>
      </c>
      <c r="D4841">
        <v>5.9275010000000004</v>
      </c>
      <c r="E4841">
        <v>0.49737389999999998</v>
      </c>
      <c r="F4841" t="s">
        <v>41</v>
      </c>
      <c r="G4841">
        <v>-252.63659999999999</v>
      </c>
      <c r="H4841" s="1">
        <v>-3.5396700000000002E-6</v>
      </c>
      <c r="I4841">
        <v>141.1138</v>
      </c>
      <c r="J4841">
        <v>-233.5127</v>
      </c>
      <c r="K4841">
        <v>1.1200049999999999</v>
      </c>
      <c r="L4841">
        <v>140.87</v>
      </c>
      <c r="M4841">
        <v>-0.99992800000000004</v>
      </c>
      <c r="N4841">
        <v>-4.0202730000000004E-3</v>
      </c>
      <c r="O4841">
        <v>1.130483E-2</v>
      </c>
      <c r="P4841">
        <v>-0.99718839999999997</v>
      </c>
      <c r="Q4841">
        <v>-7.2462479999999996E-2</v>
      </c>
      <c r="R4841">
        <v>1.9089370000000001E-2</v>
      </c>
      <c r="S4841">
        <v>-2.9950869999999998</v>
      </c>
      <c r="T4841">
        <v>-0.17312959999999999</v>
      </c>
      <c r="U4841">
        <v>3.8085939999999999E-2</v>
      </c>
      <c r="V4841">
        <v>7.8580549999999992E-3</v>
      </c>
      <c r="W4841">
        <v>-6.8447399999999894E-2</v>
      </c>
      <c r="X4841">
        <v>0.99762379999999995</v>
      </c>
      <c r="Y4841">
        <v>1.4240779999999901E-3</v>
      </c>
      <c r="Z4841">
        <v>-5.6347570000000004E-4</v>
      </c>
      <c r="AA4841">
        <v>0.99999879999999997</v>
      </c>
      <c r="AB4841">
        <v>26</v>
      </c>
      <c r="AC4841">
        <v>-19.1238999999999</v>
      </c>
      <c r="AD4841">
        <v>-1.1200085396699999</v>
      </c>
      <c r="AE4841">
        <v>0.24379999999999299</v>
      </c>
      <c r="AF4841">
        <v>2.7495936598263899E-2</v>
      </c>
      <c r="AG4841">
        <v>-1.1200085396699999</v>
      </c>
      <c r="AH4841">
        <v>19.060069316521901</v>
      </c>
      <c r="AI4841">
        <v>93.362946176660699</v>
      </c>
      <c r="AJ4841">
        <v>89.917345524728304</v>
      </c>
      <c r="AK4841">
        <v>19.0929677500928</v>
      </c>
      <c r="AL4841">
        <v>93.924815791713897</v>
      </c>
      <c r="AM4841">
        <v>89.548703553712798</v>
      </c>
      <c r="AN4841">
        <v>1.00000002096079</v>
      </c>
    </row>
    <row r="4842" spans="1:40" x14ac:dyDescent="0.25">
      <c r="A4842" t="str">
        <f>"20190303154905525"</f>
        <v>20190303154905525</v>
      </c>
      <c r="B4842" t="str">
        <f>"1551599345515794"</f>
        <v>1551599345515794</v>
      </c>
      <c r="C4842" t="s">
        <v>40</v>
      </c>
      <c r="D4842">
        <v>5.934183</v>
      </c>
      <c r="E4842">
        <v>0.49735489999999999</v>
      </c>
      <c r="F4842" t="s">
        <v>41</v>
      </c>
      <c r="G4842">
        <v>-252.0521</v>
      </c>
      <c r="H4842" s="1">
        <v>-3.7858170000000001E-6</v>
      </c>
      <c r="I4842">
        <v>141.0966</v>
      </c>
      <c r="J4842">
        <v>-233.7637</v>
      </c>
      <c r="K4842">
        <v>1.119982</v>
      </c>
      <c r="L4842">
        <v>140.8725</v>
      </c>
      <c r="M4842">
        <v>-0.99993209999999999</v>
      </c>
      <c r="N4842">
        <v>-4.0346649999999998E-3</v>
      </c>
      <c r="O4842">
        <v>1.093186E-2</v>
      </c>
      <c r="P4842">
        <v>-0.99713090000000004</v>
      </c>
      <c r="Q4842">
        <v>-7.316156E-2</v>
      </c>
      <c r="R4842">
        <v>1.9434949999999999E-2</v>
      </c>
      <c r="S4842">
        <v>-2.9945979999999999</v>
      </c>
      <c r="T4842">
        <v>-0.1809114</v>
      </c>
      <c r="U4842">
        <v>3.6605829999999999E-2</v>
      </c>
      <c r="V4842">
        <v>8.5747789999999994E-3</v>
      </c>
      <c r="W4842">
        <v>-6.9132139999999995E-2</v>
      </c>
      <c r="X4842">
        <v>0.99757059999999997</v>
      </c>
      <c r="Y4842">
        <v>1.305992E-3</v>
      </c>
      <c r="Z4842">
        <v>-5.7365710000000002E-4</v>
      </c>
      <c r="AA4842">
        <v>0.99999899999999997</v>
      </c>
      <c r="AB4842">
        <v>26</v>
      </c>
      <c r="AC4842">
        <v>-18.288399999999999</v>
      </c>
      <c r="AD4842">
        <v>-1.1199857858169999</v>
      </c>
      <c r="AE4842">
        <v>0.224099999999992</v>
      </c>
      <c r="AF4842">
        <v>2.40684998372564E-2</v>
      </c>
      <c r="AG4842">
        <v>-1.1199857858169999</v>
      </c>
      <c r="AH4842">
        <v>18.221430252134802</v>
      </c>
      <c r="AI4842">
        <v>93.517274605972005</v>
      </c>
      <c r="AJ4842">
        <v>89.924318638065799</v>
      </c>
      <c r="AK4842">
        <v>18.255833804198801</v>
      </c>
      <c r="AL4842">
        <v>93.964141977985605</v>
      </c>
      <c r="AM4842">
        <v>89.507517014271897</v>
      </c>
      <c r="AN4842">
        <v>0.999999940800117</v>
      </c>
    </row>
    <row r="4843" spans="1:40" x14ac:dyDescent="0.25">
      <c r="A4843" t="str">
        <f>"20190303154905548"</f>
        <v>20190303154905548</v>
      </c>
      <c r="B4843" t="str">
        <f>"1551599345545075"</f>
        <v>1551599345545075</v>
      </c>
      <c r="C4843" t="s">
        <v>40</v>
      </c>
      <c r="D4843">
        <v>5.9311220000000002</v>
      </c>
      <c r="E4843">
        <v>0.49724079999999898</v>
      </c>
      <c r="F4843" t="s">
        <v>41</v>
      </c>
      <c r="G4843">
        <v>-251.9034</v>
      </c>
      <c r="H4843" s="1">
        <v>-3.8503360000000004E-6</v>
      </c>
      <c r="I4843">
        <v>141.0993</v>
      </c>
      <c r="J4843">
        <v>-234.0266</v>
      </c>
      <c r="K4843">
        <v>1.119972</v>
      </c>
      <c r="L4843">
        <v>140.875</v>
      </c>
      <c r="M4843">
        <v>-0.99993609999999999</v>
      </c>
      <c r="N4843">
        <v>-4.056362E-3</v>
      </c>
      <c r="O4843">
        <v>1.0555749999999999E-2</v>
      </c>
      <c r="P4843">
        <v>-0.99703759999999997</v>
      </c>
      <c r="Q4843">
        <v>-7.4212330000000007E-2</v>
      </c>
      <c r="R4843">
        <v>2.021678E-2</v>
      </c>
      <c r="S4843">
        <v>-2.9943240000000002</v>
      </c>
      <c r="T4843">
        <v>-0.1848767</v>
      </c>
      <c r="U4843">
        <v>3.7445069999999997E-2</v>
      </c>
      <c r="V4843">
        <v>9.7320240000000006E-3</v>
      </c>
      <c r="W4843">
        <v>-7.0161089999999995E-2</v>
      </c>
      <c r="X4843">
        <v>0.99748820000000005</v>
      </c>
      <c r="Y4843">
        <v>1.9622279999999999E-3</v>
      </c>
      <c r="Z4843">
        <v>-5.4379180000000001E-4</v>
      </c>
      <c r="AA4843">
        <v>0.9999979</v>
      </c>
      <c r="AB4843">
        <v>26</v>
      </c>
      <c r="AC4843">
        <v>-17.876799999999999</v>
      </c>
      <c r="AD4843">
        <v>-1.119975850336</v>
      </c>
      <c r="AE4843">
        <v>0.224299999999999</v>
      </c>
      <c r="AF4843">
        <v>3.5443832380225297E-2</v>
      </c>
      <c r="AG4843">
        <v>-1.119975850336</v>
      </c>
      <c r="AH4843">
        <v>17.8082854675508</v>
      </c>
      <c r="AI4843">
        <v>93.598626078931403</v>
      </c>
      <c r="AJ4843">
        <v>89.885964354774401</v>
      </c>
      <c r="AK4843">
        <v>17.843503957025099</v>
      </c>
      <c r="AL4843">
        <v>94.023239744079504</v>
      </c>
      <c r="AM4843">
        <v>89.441009718631406</v>
      </c>
      <c r="AN4843">
        <v>0.99999999999018196</v>
      </c>
    </row>
    <row r="4844" spans="1:40" x14ac:dyDescent="0.25">
      <c r="A4844" t="str">
        <f>"20190303154905571"</f>
        <v>20190303154905571</v>
      </c>
      <c r="B4844" t="str">
        <f>"1551599345565570"</f>
        <v>1551599345565570</v>
      </c>
      <c r="C4844" t="s">
        <v>40</v>
      </c>
      <c r="D4844">
        <v>5.9321149999999996</v>
      </c>
      <c r="E4844">
        <v>0.49714439999999999</v>
      </c>
      <c r="F4844" t="s">
        <v>41</v>
      </c>
      <c r="G4844">
        <v>-251.5421</v>
      </c>
      <c r="H4844" s="1">
        <v>-4.0060640000000003E-6</v>
      </c>
      <c r="I4844">
        <v>141.10210000000001</v>
      </c>
      <c r="J4844">
        <v>-234.2988</v>
      </c>
      <c r="K4844">
        <v>1.119958</v>
      </c>
      <c r="L4844">
        <v>140.87739999999999</v>
      </c>
      <c r="M4844">
        <v>-0.99993989999999999</v>
      </c>
      <c r="N4844">
        <v>-4.0882619999999996E-3</v>
      </c>
      <c r="O4844">
        <v>1.017582E-2</v>
      </c>
      <c r="P4844">
        <v>-0.99698699999999996</v>
      </c>
      <c r="Q4844">
        <v>-7.4679999999999996E-2</v>
      </c>
      <c r="R4844">
        <v>2.0978779999999999E-2</v>
      </c>
      <c r="S4844">
        <v>-2.9938660000000001</v>
      </c>
      <c r="T4844">
        <v>-0.1914341</v>
      </c>
      <c r="U4844">
        <v>3.8833619999999999E-2</v>
      </c>
      <c r="V4844">
        <v>1.087336E-2</v>
      </c>
      <c r="W4844">
        <v>-7.0596500000000006E-2</v>
      </c>
      <c r="X4844">
        <v>0.99744569999999999</v>
      </c>
      <c r="Y4844">
        <v>2.8063540000000001E-3</v>
      </c>
      <c r="Z4844">
        <v>-5.1302249999999998E-4</v>
      </c>
      <c r="AA4844">
        <v>0.99999590000000005</v>
      </c>
      <c r="AB4844">
        <v>26</v>
      </c>
      <c r="AC4844">
        <v>-17.243300000000001</v>
      </c>
      <c r="AD4844">
        <v>-1.1199620060639901</v>
      </c>
      <c r="AE4844">
        <v>0.224700000000012</v>
      </c>
      <c r="AF4844">
        <v>4.9015448023320703E-2</v>
      </c>
      <c r="AG4844">
        <v>-1.1199620060639901</v>
      </c>
      <c r="AH4844">
        <v>17.172263550733501</v>
      </c>
      <c r="AI4844">
        <v>93.731487409006206</v>
      </c>
      <c r="AJ4844">
        <v>89.836458911338596</v>
      </c>
      <c r="AK4844">
        <v>17.2088161378121</v>
      </c>
      <c r="AL4844">
        <v>94.048248872887797</v>
      </c>
      <c r="AM4844">
        <v>89.375431704555396</v>
      </c>
      <c r="AN4844">
        <v>1.0000000101092099</v>
      </c>
    </row>
    <row r="4845" spans="1:40" x14ac:dyDescent="0.25">
      <c r="A4845" t="str">
        <f>"20190303154905593"</f>
        <v>20190303154905593</v>
      </c>
      <c r="B4845" t="str">
        <f>"1551599345585090"</f>
        <v>1551599345585090</v>
      </c>
      <c r="C4845" t="s">
        <v>40</v>
      </c>
      <c r="D4845">
        <v>5.9790029999999996</v>
      </c>
      <c r="E4845">
        <v>0.4973979</v>
      </c>
      <c r="F4845" t="s">
        <v>41</v>
      </c>
      <c r="G4845">
        <v>-251.5479</v>
      </c>
      <c r="H4845" s="1">
        <v>-4.005737E-6</v>
      </c>
      <c r="I4845">
        <v>141.11019999999999</v>
      </c>
      <c r="J4845">
        <v>-234.56039999999999</v>
      </c>
      <c r="K4845">
        <v>1.1199509999999999</v>
      </c>
      <c r="L4845">
        <v>140.87970000000001</v>
      </c>
      <c r="M4845">
        <v>-0.99994340000000004</v>
      </c>
      <c r="N4845">
        <v>-4.1304330000000002E-3</v>
      </c>
      <c r="O4845">
        <v>9.8145139999999999E-3</v>
      </c>
      <c r="P4845">
        <v>-0.99691070000000004</v>
      </c>
      <c r="Q4845">
        <v>-7.5474310000000003E-2</v>
      </c>
      <c r="R4845">
        <v>2.1740240000000001E-2</v>
      </c>
      <c r="S4845">
        <v>-2.9936219999999998</v>
      </c>
      <c r="T4845">
        <v>-0.19437189999999999</v>
      </c>
      <c r="U4845">
        <v>4.040527E-2</v>
      </c>
      <c r="V4845">
        <v>1.199621E-2</v>
      </c>
      <c r="W4845">
        <v>-7.1348369999999994E-2</v>
      </c>
      <c r="X4845">
        <v>0.99737929999999997</v>
      </c>
      <c r="Y4845">
        <v>3.691387E-3</v>
      </c>
      <c r="Z4845">
        <v>-4.6868890000000002E-4</v>
      </c>
      <c r="AA4845">
        <v>0.99999309999999997</v>
      </c>
      <c r="AB4845">
        <v>26</v>
      </c>
      <c r="AC4845">
        <v>-16.987500000000001</v>
      </c>
      <c r="AD4845">
        <v>-1.119955005737</v>
      </c>
      <c r="AE4845">
        <v>0.230499999999977</v>
      </c>
      <c r="AF4845">
        <v>6.3487535656252606E-2</v>
      </c>
      <c r="AG4845">
        <v>-1.119955005737</v>
      </c>
      <c r="AH4845">
        <v>16.9154342445818</v>
      </c>
      <c r="AI4845">
        <v>93.787944539990093</v>
      </c>
      <c r="AJ4845">
        <v>89.784956702154801</v>
      </c>
      <c r="AK4845">
        <v>16.952588167145102</v>
      </c>
      <c r="AL4845">
        <v>94.091436868110804</v>
      </c>
      <c r="AM4845">
        <v>89.310895001105706</v>
      </c>
      <c r="AN4845">
        <v>0.99999998351225505</v>
      </c>
    </row>
    <row r="4846" spans="1:40" x14ac:dyDescent="0.25">
      <c r="A4846" t="str">
        <f>"20190303154905618"</f>
        <v>20190303154905618</v>
      </c>
      <c r="B4846" t="str">
        <f>"1551599345605588"</f>
        <v>1551599345605588</v>
      </c>
      <c r="C4846" t="s">
        <v>40</v>
      </c>
      <c r="D4846">
        <v>5.9457810000000002</v>
      </c>
      <c r="E4846">
        <v>0.51941119999999996</v>
      </c>
      <c r="F4846" t="s">
        <v>41</v>
      </c>
      <c r="G4846">
        <v>-251.45949999999999</v>
      </c>
      <c r="H4846" s="1">
        <v>-4.0483410000000003E-6</v>
      </c>
      <c r="I4846">
        <v>141.1327</v>
      </c>
      <c r="J4846">
        <v>-234.8467</v>
      </c>
      <c r="K4846">
        <v>1.1199490000000001</v>
      </c>
      <c r="L4846">
        <v>140.88210000000001</v>
      </c>
      <c r="M4846">
        <v>-0.99994700000000003</v>
      </c>
      <c r="N4846">
        <v>-4.190282E-3</v>
      </c>
      <c r="O4846">
        <v>9.4206050000000003E-3</v>
      </c>
      <c r="P4846">
        <v>-0.99682669999999995</v>
      </c>
      <c r="Q4846">
        <v>-7.6489249999999995E-2</v>
      </c>
      <c r="R4846">
        <v>2.2048669999999999E-2</v>
      </c>
      <c r="S4846">
        <v>-2.9933169999999998</v>
      </c>
      <c r="T4846">
        <v>-0.19837669999999999</v>
      </c>
      <c r="U4846">
        <v>4.483032E-2</v>
      </c>
      <c r="V4846">
        <v>1.2699510000000001E-2</v>
      </c>
      <c r="W4846">
        <v>-7.2303419999999993E-2</v>
      </c>
      <c r="X4846">
        <v>0.99730180000000002</v>
      </c>
      <c r="Y4846">
        <v>5.5599940000000004E-3</v>
      </c>
      <c r="Z4846">
        <v>-3.8847280000000001E-4</v>
      </c>
      <c r="AA4846">
        <v>0.9999844</v>
      </c>
      <c r="AB4846">
        <v>26</v>
      </c>
      <c r="AC4846">
        <v>-16.612799999999901</v>
      </c>
      <c r="AD4846">
        <v>-1.1199530483409901</v>
      </c>
      <c r="AE4846">
        <v>0.250599999999991</v>
      </c>
      <c r="AF4846">
        <v>9.3659337594017095E-2</v>
      </c>
      <c r="AG4846">
        <v>-1.1199530483409901</v>
      </c>
      <c r="AH4846">
        <v>16.539273173388999</v>
      </c>
      <c r="AI4846">
        <v>93.873794807189</v>
      </c>
      <c r="AJ4846">
        <v>89.675546359304505</v>
      </c>
      <c r="AK4846">
        <v>16.577413067363398</v>
      </c>
      <c r="AL4846">
        <v>94.146298955035604</v>
      </c>
      <c r="AM4846">
        <v>89.270442507917096</v>
      </c>
      <c r="AN4846">
        <v>0.99999997119058703</v>
      </c>
    </row>
    <row r="4847" spans="1:40" x14ac:dyDescent="0.25">
      <c r="A4847" t="str">
        <f>"20190303154905640"</f>
        <v>20190303154905640</v>
      </c>
      <c r="B4847" t="str">
        <f>"1551599345635842"</f>
        <v>1551599345635842</v>
      </c>
      <c r="C4847" t="s">
        <v>40</v>
      </c>
      <c r="D4847">
        <v>5.9294969999999996</v>
      </c>
      <c r="E4847">
        <v>0.51873499999999995</v>
      </c>
      <c r="F4847" t="s">
        <v>41</v>
      </c>
      <c r="G4847">
        <v>-251.77330000000001</v>
      </c>
      <c r="H4847" s="1">
        <v>-4.1192399999999997E-6</v>
      </c>
      <c r="I4847">
        <v>142.1343</v>
      </c>
      <c r="J4847">
        <v>-235.11750000000001</v>
      </c>
      <c r="K4847">
        <v>1.1199479999999999</v>
      </c>
      <c r="L4847">
        <v>140.8843</v>
      </c>
      <c r="M4847">
        <v>-0.99995009999999995</v>
      </c>
      <c r="N4847">
        <v>-4.2577400000000003E-3</v>
      </c>
      <c r="O4847">
        <v>9.0485519999999996E-3</v>
      </c>
      <c r="P4847">
        <v>-0.9967625</v>
      </c>
      <c r="Q4847">
        <v>-7.7302099999999999E-2</v>
      </c>
      <c r="R4847">
        <v>2.2118829999999999E-2</v>
      </c>
      <c r="S4847">
        <v>-2.989471</v>
      </c>
      <c r="T4847">
        <v>-0.1977999</v>
      </c>
      <c r="U4847">
        <v>0.22117609999999999</v>
      </c>
      <c r="V4847">
        <v>1.314216E-2</v>
      </c>
      <c r="W4847">
        <v>-7.3048940000000007E-2</v>
      </c>
      <c r="X4847">
        <v>0.99724170000000001</v>
      </c>
      <c r="Y4847">
        <v>6.4623990000000006E-2</v>
      </c>
      <c r="Z4847">
        <v>1.711883E-3</v>
      </c>
      <c r="AA4847">
        <v>0.99790820000000002</v>
      </c>
      <c r="AB4847">
        <v>27</v>
      </c>
      <c r="AC4847">
        <v>-16.655799999999999</v>
      </c>
      <c r="AD4847">
        <v>-1.1199521192399999</v>
      </c>
      <c r="AE4847">
        <v>1.25</v>
      </c>
      <c r="AF4847">
        <v>1.09431652836948</v>
      </c>
      <c r="AG4847">
        <v>-1.1199521192399999</v>
      </c>
      <c r="AH4847">
        <v>16.5918316233921</v>
      </c>
      <c r="AI4847">
        <v>93.853272763249294</v>
      </c>
      <c r="AJ4847">
        <v>86.226514332888797</v>
      </c>
      <c r="AK4847">
        <v>16.665554237187798</v>
      </c>
      <c r="AL4847">
        <v>94.189127509908204</v>
      </c>
      <c r="AM4847">
        <v>89.244970687815695</v>
      </c>
      <c r="AN4847">
        <v>0.99999993611173699</v>
      </c>
    </row>
    <row r="4848" spans="1:40" x14ac:dyDescent="0.25">
      <c r="A4848" t="str">
        <f>"20190303154905663"</f>
        <v>20190303154905663</v>
      </c>
      <c r="B4848" t="str">
        <f>"1551599345655364"</f>
        <v>1551599345655364</v>
      </c>
      <c r="C4848" t="s">
        <v>40</v>
      </c>
      <c r="D4848">
        <v>5.9020149999999996</v>
      </c>
      <c r="E4848">
        <v>0.51862339999999996</v>
      </c>
      <c r="F4848" t="s">
        <v>41</v>
      </c>
      <c r="G4848">
        <v>-251.79679999999999</v>
      </c>
      <c r="H4848" s="1">
        <v>-4.1032150000000002E-6</v>
      </c>
      <c r="I4848">
        <v>142.0891</v>
      </c>
      <c r="J4848">
        <v>-235.38679999999999</v>
      </c>
      <c r="K4848">
        <v>1.119942</v>
      </c>
      <c r="L4848">
        <v>140.88630000000001</v>
      </c>
      <c r="M4848">
        <v>-0.99995290000000003</v>
      </c>
      <c r="N4848">
        <v>-4.3303120000000002E-3</v>
      </c>
      <c r="O4848">
        <v>8.6819810000000001E-3</v>
      </c>
      <c r="P4848">
        <v>-0.99672669999999997</v>
      </c>
      <c r="Q4848">
        <v>-7.7740539999999997E-2</v>
      </c>
      <c r="R4848">
        <v>2.2190540000000002E-2</v>
      </c>
      <c r="S4848">
        <v>-2.9893800000000001</v>
      </c>
      <c r="T4848">
        <v>-0.20072690000000001</v>
      </c>
      <c r="U4848">
        <v>0.21594240000000001</v>
      </c>
      <c r="V4848">
        <v>1.358E-2</v>
      </c>
      <c r="W4848">
        <v>-7.3414889999999997E-2</v>
      </c>
      <c r="X4848">
        <v>0.99720900000000001</v>
      </c>
      <c r="Y4848">
        <v>6.3252719999999998E-2</v>
      </c>
      <c r="Z4848">
        <v>1.711766E-3</v>
      </c>
      <c r="AA4848">
        <v>0.99799610000000005</v>
      </c>
      <c r="AB4848">
        <v>27</v>
      </c>
      <c r="AC4848">
        <v>-16.409999999999901</v>
      </c>
      <c r="AD4848">
        <v>-1.119946103215</v>
      </c>
      <c r="AE4848">
        <v>1.2027999999999901</v>
      </c>
      <c r="AF4848">
        <v>1.0553925213361599</v>
      </c>
      <c r="AG4848">
        <v>-1.119946103215</v>
      </c>
      <c r="AH4848">
        <v>16.344104184435199</v>
      </c>
      <c r="AI4848">
        <v>93.911826075529007</v>
      </c>
      <c r="AJ4848">
        <v>86.305352721120897</v>
      </c>
      <c r="AK4848">
        <v>16.416390414456899</v>
      </c>
      <c r="AL4848">
        <v>94.210151183631396</v>
      </c>
      <c r="AM4848">
        <v>89.219793851643999</v>
      </c>
      <c r="AN4848">
        <v>0.99999997607735502</v>
      </c>
    </row>
    <row r="4849" spans="1:40" x14ac:dyDescent="0.25">
      <c r="A4849" t="str">
        <f>"20190303154905684"</f>
        <v>20190303154905684</v>
      </c>
      <c r="B4849" t="str">
        <f>"1551599345675859"</f>
        <v>1551599345675859</v>
      </c>
      <c r="C4849" t="s">
        <v>40</v>
      </c>
      <c r="D4849">
        <v>5.9328190000000003</v>
      </c>
      <c r="E4849">
        <v>0.51865450000000002</v>
      </c>
      <c r="F4849" t="s">
        <v>42</v>
      </c>
      <c r="G4849">
        <v>-236.3357</v>
      </c>
      <c r="H4849">
        <v>1.056087</v>
      </c>
      <c r="I4849">
        <v>140.95490000000001</v>
      </c>
      <c r="J4849">
        <v>-235.65020000000001</v>
      </c>
      <c r="K4849">
        <v>1.1199410000000001</v>
      </c>
      <c r="L4849">
        <v>140.88820000000001</v>
      </c>
      <c r="M4849">
        <v>-0.99995560000000006</v>
      </c>
      <c r="N4849">
        <v>-4.4023320000000001E-3</v>
      </c>
      <c r="O4849">
        <v>8.3313429999999997E-3</v>
      </c>
      <c r="P4849">
        <v>-0.99670669999999995</v>
      </c>
      <c r="Q4849">
        <v>-7.799934E-2</v>
      </c>
      <c r="R4849">
        <v>2.218318E-2</v>
      </c>
      <c r="S4849">
        <v>-2.9893800000000001</v>
      </c>
      <c r="T4849">
        <v>-0.2012495</v>
      </c>
      <c r="U4849">
        <v>0.2153168</v>
      </c>
      <c r="V4849">
        <v>1.392205E-2</v>
      </c>
      <c r="W4849">
        <v>-7.3601860000000005E-2</v>
      </c>
      <c r="X4849">
        <v>0.99719049999999998</v>
      </c>
      <c r="Y4849">
        <v>6.3392989999999996E-2</v>
      </c>
      <c r="Z4849">
        <v>1.7457009999999999E-3</v>
      </c>
      <c r="AA4849">
        <v>0.99798710000000002</v>
      </c>
      <c r="AB4849">
        <v>27</v>
      </c>
      <c r="AC4849">
        <v>-0.68549999999999001</v>
      </c>
      <c r="AD4849">
        <v>-6.3853999999999994E-2</v>
      </c>
      <c r="AE4849">
        <v>6.6699999999997303E-2</v>
      </c>
      <c r="AF4849">
        <v>6.0466754706367497E-2</v>
      </c>
      <c r="AG4849">
        <v>-6.3853999999999994E-2</v>
      </c>
      <c r="AH4849">
        <v>0.68018541032281599</v>
      </c>
      <c r="AI4849">
        <v>95.342113108592301</v>
      </c>
      <c r="AJ4849">
        <v>84.919904951826098</v>
      </c>
      <c r="AK4849">
        <v>0.68584674247001998</v>
      </c>
      <c r="AL4849">
        <v>94.220892839637202</v>
      </c>
      <c r="AM4849">
        <v>89.200129878497293</v>
      </c>
      <c r="AN4849">
        <v>0.99999997528095497</v>
      </c>
    </row>
    <row r="4850" spans="1:40" x14ac:dyDescent="0.25">
      <c r="A4850" t="str">
        <f>"20190303154905707"</f>
        <v>20190303154905707</v>
      </c>
      <c r="B4850" t="str">
        <f>"1551599345695379"</f>
        <v>1551599345695379</v>
      </c>
      <c r="C4850" t="s">
        <v>40</v>
      </c>
      <c r="D4850">
        <v>5.9203219999999996</v>
      </c>
      <c r="E4850">
        <v>0.51868149999999902</v>
      </c>
      <c r="F4850" t="s">
        <v>42</v>
      </c>
      <c r="G4850">
        <v>-236.57900000000001</v>
      </c>
      <c r="H4850">
        <v>1.0570839999999999</v>
      </c>
      <c r="I4850">
        <v>140.95519999999999</v>
      </c>
      <c r="J4850">
        <v>-235.91540000000001</v>
      </c>
      <c r="K4850">
        <v>1.1199429999999999</v>
      </c>
      <c r="L4850">
        <v>140.89009999999999</v>
      </c>
      <c r="M4850">
        <v>-0.99995820000000002</v>
      </c>
      <c r="N4850">
        <v>-4.4740810000000004E-3</v>
      </c>
      <c r="O4850">
        <v>7.9871569999999999E-3</v>
      </c>
      <c r="P4850">
        <v>-0.99667079999999997</v>
      </c>
      <c r="Q4850">
        <v>-7.8400499999999998E-2</v>
      </c>
      <c r="R4850">
        <v>2.2382610000000001E-2</v>
      </c>
      <c r="S4850">
        <v>-2.9892880000000002</v>
      </c>
      <c r="T4850">
        <v>-0.2022766</v>
      </c>
      <c r="U4850">
        <v>0.21543880000000001</v>
      </c>
      <c r="V4850">
        <v>1.4464110000000001E-2</v>
      </c>
      <c r="W4850">
        <v>-7.3931499999999997E-2</v>
      </c>
      <c r="X4850">
        <v>0.9971584</v>
      </c>
      <c r="Y4850">
        <v>6.3776089999999994E-2</v>
      </c>
      <c r="Z4850">
        <v>1.79209799999999E-3</v>
      </c>
      <c r="AA4850">
        <v>0.99796269999999998</v>
      </c>
      <c r="AB4850">
        <v>27</v>
      </c>
      <c r="AC4850">
        <v>-0.66360000000000197</v>
      </c>
      <c r="AD4850">
        <v>-6.2859000000000206E-2</v>
      </c>
      <c r="AE4850">
        <v>6.5100000000001004E-2</v>
      </c>
      <c r="AF4850">
        <v>5.9270844574980802E-2</v>
      </c>
      <c r="AG4850">
        <v>-6.2859000000000206E-2</v>
      </c>
      <c r="AH4850">
        <v>0.65824884414089102</v>
      </c>
      <c r="AI4850">
        <v>95.433029964736505</v>
      </c>
      <c r="AJ4850">
        <v>84.854779103868495</v>
      </c>
      <c r="AK4850">
        <v>0.66389444018642796</v>
      </c>
      <c r="AL4850">
        <v>94.239831415839404</v>
      </c>
      <c r="AM4850">
        <v>89.168964186910699</v>
      </c>
      <c r="AN4850">
        <v>0.99999997593044998</v>
      </c>
    </row>
    <row r="4851" spans="1:40" x14ac:dyDescent="0.25">
      <c r="A4851" t="str">
        <f>"20190303154905728"</f>
        <v>20190303154905728</v>
      </c>
      <c r="B4851" t="str">
        <f>"1551599345715875"</f>
        <v>1551599345715875</v>
      </c>
      <c r="C4851" t="s">
        <v>40</v>
      </c>
      <c r="D4851">
        <v>5.9014350000000002</v>
      </c>
      <c r="E4851">
        <v>0.51850280000000004</v>
      </c>
      <c r="F4851" t="s">
        <v>42</v>
      </c>
      <c r="G4851">
        <v>-236.82339999999999</v>
      </c>
      <c r="H4851">
        <v>1.058238</v>
      </c>
      <c r="I4851">
        <v>140.95609999999999</v>
      </c>
      <c r="J4851">
        <v>-236.1781</v>
      </c>
      <c r="K4851">
        <v>1.1199349999999999</v>
      </c>
      <c r="L4851">
        <v>140.89179999999999</v>
      </c>
      <c r="M4851">
        <v>-0.99996039999999997</v>
      </c>
      <c r="N4851">
        <v>-4.5431580000000003E-3</v>
      </c>
      <c r="O4851">
        <v>7.6627889999999997E-3</v>
      </c>
      <c r="P4851">
        <v>-0.99661379999999999</v>
      </c>
      <c r="Q4851">
        <v>-7.9120029999999994E-2</v>
      </c>
      <c r="R4851">
        <v>2.238592E-2</v>
      </c>
      <c r="S4851">
        <v>-2.989182</v>
      </c>
      <c r="T4851">
        <v>-0.20323720000000001</v>
      </c>
      <c r="U4851">
        <v>0.21641540000000001</v>
      </c>
      <c r="V4851">
        <v>1.478994E-2</v>
      </c>
      <c r="W4851">
        <v>-7.4582579999999996E-2</v>
      </c>
      <c r="X4851">
        <v>0.99710520000000002</v>
      </c>
      <c r="Y4851">
        <v>6.4422999999999994E-2</v>
      </c>
      <c r="Z4851">
        <v>1.84648E-3</v>
      </c>
      <c r="AA4851">
        <v>0.99792099999999995</v>
      </c>
      <c r="AB4851">
        <v>27</v>
      </c>
      <c r="AC4851">
        <v>-0.64529999999999099</v>
      </c>
      <c r="AD4851">
        <v>-6.1697000000000099E-2</v>
      </c>
      <c r="AE4851">
        <v>6.4300000000002897E-2</v>
      </c>
      <c r="AF4851">
        <v>5.8820854844836699E-2</v>
      </c>
      <c r="AG4851">
        <v>-6.1697000000000099E-2</v>
      </c>
      <c r="AH4851">
        <v>0.63998107513332503</v>
      </c>
      <c r="AI4851">
        <v>95.483578330743399</v>
      </c>
      <c r="AJ4851">
        <v>84.748681198196905</v>
      </c>
      <c r="AK4851">
        <v>0.64563316930164305</v>
      </c>
      <c r="AL4851">
        <v>94.277238548465903</v>
      </c>
      <c r="AM4851">
        <v>89.150200999180996</v>
      </c>
      <c r="AN4851">
        <v>1.0000000417158399</v>
      </c>
    </row>
    <row r="4852" spans="1:40" x14ac:dyDescent="0.25">
      <c r="A4852" t="str">
        <f>"20190303154905751"</f>
        <v>20190303154905751</v>
      </c>
      <c r="B4852" t="str">
        <f>"1551599345745156"</f>
        <v>1551599345745156</v>
      </c>
      <c r="C4852" t="s">
        <v>40</v>
      </c>
      <c r="D4852">
        <v>5.8765489999999998</v>
      </c>
      <c r="E4852">
        <v>0.51828679999999905</v>
      </c>
      <c r="F4852" t="s">
        <v>42</v>
      </c>
      <c r="G4852">
        <v>-237.06829999999999</v>
      </c>
      <c r="H4852">
        <v>1.058697</v>
      </c>
      <c r="I4852">
        <v>140.95580000000001</v>
      </c>
      <c r="J4852">
        <v>-236.45140000000001</v>
      </c>
      <c r="K4852">
        <v>1.11992</v>
      </c>
      <c r="L4852">
        <v>140.89359999999999</v>
      </c>
      <c r="M4852">
        <v>-0.99996249999999998</v>
      </c>
      <c r="N4852">
        <v>-4.6121859999999999E-3</v>
      </c>
      <c r="O4852">
        <v>7.3536640000000002E-3</v>
      </c>
      <c r="P4852">
        <v>-0.99665329999999996</v>
      </c>
      <c r="Q4852">
        <v>-7.8829990000000003E-2</v>
      </c>
      <c r="R4852">
        <v>2.163911E-2</v>
      </c>
      <c r="S4852">
        <v>-2.9890439999999998</v>
      </c>
      <c r="T4852">
        <v>-0.20563809999999999</v>
      </c>
      <c r="U4852">
        <v>0.21490480000000001</v>
      </c>
      <c r="V4852">
        <v>1.434769E-2</v>
      </c>
      <c r="W4852">
        <v>-7.4224360000000003E-2</v>
      </c>
      <c r="X4852">
        <v>0.99713830000000003</v>
      </c>
      <c r="Y4852">
        <v>6.4229469999999997E-2</v>
      </c>
      <c r="Z4852">
        <v>1.8816690000000001E-3</v>
      </c>
      <c r="AA4852">
        <v>0.99793339999999997</v>
      </c>
      <c r="AB4852">
        <v>27</v>
      </c>
      <c r="AC4852">
        <v>-0.61689999999998602</v>
      </c>
      <c r="AD4852">
        <v>-6.1223E-2</v>
      </c>
      <c r="AE4852">
        <v>6.22000000000184E-2</v>
      </c>
      <c r="AF4852">
        <v>5.71050185101558E-2</v>
      </c>
      <c r="AG4852">
        <v>-6.1223E-2</v>
      </c>
      <c r="AH4852">
        <v>0.61137973825103398</v>
      </c>
      <c r="AI4852">
        <v>95.693862999135007</v>
      </c>
      <c r="AJ4852">
        <v>84.663854574915007</v>
      </c>
      <c r="AK4852">
        <v>0.61708542618664097</v>
      </c>
      <c r="AL4852">
        <v>94.256657396248301</v>
      </c>
      <c r="AM4852">
        <v>89.1756355595749</v>
      </c>
      <c r="AN4852">
        <v>0.99999995057631597</v>
      </c>
    </row>
    <row r="4853" spans="1:40" x14ac:dyDescent="0.25">
      <c r="A4853" t="str">
        <f>"20190303154905772"</f>
        <v>20190303154905772</v>
      </c>
      <c r="B4853" t="str">
        <f>"1551599345765651"</f>
        <v>1551599345765651</v>
      </c>
      <c r="C4853" t="s">
        <v>40</v>
      </c>
      <c r="D4853">
        <v>5.8889860000000001</v>
      </c>
      <c r="E4853">
        <v>0.51807429999999999</v>
      </c>
      <c r="F4853" t="s">
        <v>41</v>
      </c>
      <c r="G4853">
        <v>-252.83260000000001</v>
      </c>
      <c r="H4853" s="1">
        <v>-3.7044590000000002E-6</v>
      </c>
      <c r="I4853">
        <v>142.04920000000001</v>
      </c>
      <c r="J4853">
        <v>-236.72319999999999</v>
      </c>
      <c r="K4853">
        <v>1.1198980000000001</v>
      </c>
      <c r="L4853">
        <v>140.89529999999999</v>
      </c>
      <c r="M4853">
        <v>-0.99996410000000002</v>
      </c>
      <c r="N4853">
        <v>-4.6779059999999999E-3</v>
      </c>
      <c r="O4853">
        <v>7.0857269999999896E-3</v>
      </c>
      <c r="P4853">
        <v>-0.99672640000000001</v>
      </c>
      <c r="Q4853">
        <v>-7.824064E-2</v>
      </c>
      <c r="R4853">
        <v>2.037899E-2</v>
      </c>
      <c r="S4853">
        <v>-2.9893339999999999</v>
      </c>
      <c r="T4853">
        <v>-0.20436950000000001</v>
      </c>
      <c r="U4853">
        <v>0.21090700000000001</v>
      </c>
      <c r="V4853">
        <v>1.334956E-2</v>
      </c>
      <c r="W4853">
        <v>-7.3570540000000004E-2</v>
      </c>
      <c r="X4853">
        <v>0.99720070000000005</v>
      </c>
      <c r="Y4853">
        <v>6.3165699999999894E-2</v>
      </c>
      <c r="Z4853">
        <v>1.851969E-3</v>
      </c>
      <c r="AA4853">
        <v>0.99800129999999998</v>
      </c>
      <c r="AB4853">
        <v>27</v>
      </c>
      <c r="AC4853">
        <v>-16.109400000000001</v>
      </c>
      <c r="AD4853">
        <v>-1.1199017044589901</v>
      </c>
      <c r="AE4853">
        <v>1.1539000000000199</v>
      </c>
      <c r="AF4853">
        <v>1.0347477604289399</v>
      </c>
      <c r="AG4853">
        <v>-1.1199017044589901</v>
      </c>
      <c r="AH4853">
        <v>16.040048833404001</v>
      </c>
      <c r="AI4853">
        <v>93.985600505769497</v>
      </c>
      <c r="AJ4853">
        <v>86.308948749101205</v>
      </c>
      <c r="AK4853">
        <v>16.112357038414601</v>
      </c>
      <c r="AL4853">
        <v>94.219093202473303</v>
      </c>
      <c r="AM4853">
        <v>89.233025247982894</v>
      </c>
      <c r="AN4853">
        <v>1.00000003559428</v>
      </c>
    </row>
    <row r="4854" spans="1:40" x14ac:dyDescent="0.25">
      <c r="A4854" t="str">
        <f>"20190303154905794"</f>
        <v>20190303154905794</v>
      </c>
      <c r="B4854" t="str">
        <f>"1551599345786147"</f>
        <v>1551599345786147</v>
      </c>
      <c r="C4854" t="s">
        <v>40</v>
      </c>
      <c r="D4854">
        <v>5.9050449999999897</v>
      </c>
      <c r="E4854">
        <v>0.51795769999999997</v>
      </c>
      <c r="F4854" t="s">
        <v>41</v>
      </c>
      <c r="G4854">
        <v>-253.30410000000001</v>
      </c>
      <c r="H4854" s="1">
        <v>-3.4982659999999999E-6</v>
      </c>
      <c r="I4854">
        <v>142.03440000000001</v>
      </c>
      <c r="J4854">
        <v>-236.9956</v>
      </c>
      <c r="K4854">
        <v>1.119866</v>
      </c>
      <c r="L4854">
        <v>140.89699999999999</v>
      </c>
      <c r="M4854">
        <v>-0.99996529999999995</v>
      </c>
      <c r="N4854">
        <v>-4.7406870000000004E-3</v>
      </c>
      <c r="O4854">
        <v>6.8665469999999998E-3</v>
      </c>
      <c r="P4854">
        <v>-0.99678330000000004</v>
      </c>
      <c r="Q4854">
        <v>-7.7792910000000007E-2</v>
      </c>
      <c r="R4854">
        <v>1.9285340000000002E-2</v>
      </c>
      <c r="S4854">
        <v>-2.9898069999999999</v>
      </c>
      <c r="T4854">
        <v>-0.2019378</v>
      </c>
      <c r="U4854">
        <v>0.20541380000000001</v>
      </c>
      <c r="V4854">
        <v>1.2467860000000001E-2</v>
      </c>
      <c r="W4854">
        <v>-7.3061390000000004E-2</v>
      </c>
      <c r="X4854">
        <v>0.99724950000000001</v>
      </c>
      <c r="Y4854">
        <v>6.1555070000000003E-2</v>
      </c>
      <c r="Z4854">
        <v>1.7900349999999999E-3</v>
      </c>
      <c r="AA4854">
        <v>0.99810209999999999</v>
      </c>
      <c r="AB4854">
        <v>27</v>
      </c>
      <c r="AC4854">
        <v>-16.308499999999999</v>
      </c>
      <c r="AD4854">
        <v>-1.119869498266</v>
      </c>
      <c r="AE4854">
        <v>1.13739999999998</v>
      </c>
      <c r="AF4854">
        <v>1.0205997462217899</v>
      </c>
      <c r="AG4854">
        <v>-1.119869498266</v>
      </c>
      <c r="AH4854">
        <v>16.239721563959101</v>
      </c>
      <c r="AI4854">
        <v>93.937052667335706</v>
      </c>
      <c r="AJ4854">
        <v>86.403925157671694</v>
      </c>
      <c r="AK4854">
        <v>16.310251010026001</v>
      </c>
      <c r="AL4854">
        <v>94.189842528490203</v>
      </c>
      <c r="AM4854">
        <v>89.283711306306898</v>
      </c>
      <c r="AN4854">
        <v>0.99999998974598003</v>
      </c>
    </row>
    <row r="4855" spans="1:40" x14ac:dyDescent="0.25">
      <c r="A4855" t="str">
        <f>"20190303154905820"</f>
        <v>20190303154905820</v>
      </c>
      <c r="B4855" t="str">
        <f>"1551599345805667"</f>
        <v>1551599345805667</v>
      </c>
      <c r="C4855" t="s">
        <v>40</v>
      </c>
      <c r="D4855">
        <v>5.8833169999999999</v>
      </c>
      <c r="E4855">
        <v>0.5178218</v>
      </c>
      <c r="F4855" t="s">
        <v>41</v>
      </c>
      <c r="G4855">
        <v>-253.74250000000001</v>
      </c>
      <c r="H4855" s="1">
        <v>-3.3074229999999999E-6</v>
      </c>
      <c r="I4855">
        <v>142.024</v>
      </c>
      <c r="J4855">
        <v>-237.30709999999999</v>
      </c>
      <c r="K4855">
        <v>1.119823</v>
      </c>
      <c r="L4855">
        <v>140.8989</v>
      </c>
      <c r="M4855">
        <v>-0.99996609999999997</v>
      </c>
      <c r="N4855">
        <v>-4.8089930000000001E-3</v>
      </c>
      <c r="O4855">
        <v>6.6833780000000002E-3</v>
      </c>
      <c r="P4855">
        <v>-0.99682340000000003</v>
      </c>
      <c r="Q4855">
        <v>-7.7560539999999997E-2</v>
      </c>
      <c r="R4855">
        <v>1.810633E-2</v>
      </c>
      <c r="S4855">
        <v>-2.990173</v>
      </c>
      <c r="T4855">
        <v>-0.19995399999999999</v>
      </c>
      <c r="U4855">
        <v>0.20124819999999999</v>
      </c>
      <c r="V4855">
        <v>1.1463030000000001E-2</v>
      </c>
      <c r="W4855">
        <v>-7.2762439999999998E-2</v>
      </c>
      <c r="X4855">
        <v>0.99728340000000004</v>
      </c>
      <c r="Y4855">
        <v>6.0350319999999999E-2</v>
      </c>
      <c r="Z4855">
        <v>1.7449360000000001E-3</v>
      </c>
      <c r="AA4855">
        <v>0.9981757</v>
      </c>
      <c r="AB4855">
        <v>28</v>
      </c>
      <c r="AC4855">
        <v>-16.435400000000001</v>
      </c>
      <c r="AD4855">
        <v>-1.1198263074229999</v>
      </c>
      <c r="AE4855">
        <v>1.1251</v>
      </c>
      <c r="AF4855">
        <v>1.01056008765449</v>
      </c>
      <c r="AG4855">
        <v>-1.1198263074229999</v>
      </c>
      <c r="AH4855">
        <v>16.3669253803671</v>
      </c>
      <c r="AI4855">
        <v>93.906665068751295</v>
      </c>
      <c r="AJ4855">
        <v>86.466812457545501</v>
      </c>
      <c r="AK4855">
        <v>16.436285743928298</v>
      </c>
      <c r="AL4855">
        <v>94.1726682976321</v>
      </c>
      <c r="AM4855">
        <v>89.341456683777807</v>
      </c>
      <c r="AN4855">
        <v>0.99999997682354702</v>
      </c>
    </row>
    <row r="4856" spans="1:40" x14ac:dyDescent="0.25">
      <c r="A4856" t="str">
        <f>"20190303154905853"</f>
        <v>20190303154905853</v>
      </c>
      <c r="B4856" t="str">
        <f>"1551599345845683"</f>
        <v>1551599345845683</v>
      </c>
      <c r="C4856" t="s">
        <v>40</v>
      </c>
      <c r="D4856">
        <v>5.8719700000000001</v>
      </c>
      <c r="E4856">
        <v>0.5176885</v>
      </c>
      <c r="F4856" t="s">
        <v>41</v>
      </c>
      <c r="G4856">
        <v>-254.1514</v>
      </c>
      <c r="H4856" s="1">
        <v>-3.1272179999999898E-6</v>
      </c>
      <c r="I4856">
        <v>142.006</v>
      </c>
      <c r="J4856">
        <v>-237.72319999999999</v>
      </c>
      <c r="K4856">
        <v>1.1197619999999999</v>
      </c>
      <c r="L4856">
        <v>140.9015</v>
      </c>
      <c r="M4856">
        <v>-0.99996669999999999</v>
      </c>
      <c r="N4856">
        <v>-4.8946620000000001E-3</v>
      </c>
      <c r="O4856">
        <v>6.5529409999999996E-3</v>
      </c>
      <c r="P4856">
        <v>-0.99685290000000004</v>
      </c>
      <c r="Q4856">
        <v>-7.7438469999999995E-2</v>
      </c>
      <c r="R4856">
        <v>1.6964130000000001E-2</v>
      </c>
      <c r="S4856">
        <v>-2.9905240000000002</v>
      </c>
      <c r="T4856">
        <v>-0.1988133</v>
      </c>
      <c r="U4856">
        <v>0.196579</v>
      </c>
      <c r="V4856">
        <v>1.043966E-2</v>
      </c>
      <c r="W4856">
        <v>-7.2556670000000004E-2</v>
      </c>
      <c r="X4856">
        <v>0.99730960000000002</v>
      </c>
      <c r="Y4856">
        <v>5.8925350000000001E-2</v>
      </c>
      <c r="Z4856">
        <v>1.6963220000000001E-3</v>
      </c>
      <c r="AA4856">
        <v>0.99826099999999995</v>
      </c>
      <c r="AB4856">
        <v>28</v>
      </c>
      <c r="AC4856">
        <v>-16.4282</v>
      </c>
      <c r="AD4856">
        <v>-1.119765127218</v>
      </c>
      <c r="AE4856">
        <v>1.1045</v>
      </c>
      <c r="AF4856">
        <v>0.99223287188773601</v>
      </c>
      <c r="AG4856">
        <v>-1.119765127218</v>
      </c>
      <c r="AH4856">
        <v>16.359422132535599</v>
      </c>
      <c r="AI4856">
        <v>93.908497837462605</v>
      </c>
      <c r="AJ4856">
        <v>86.529144057836803</v>
      </c>
      <c r="AK4856">
        <v>16.427692854527201</v>
      </c>
      <c r="AL4856">
        <v>94.160847421525801</v>
      </c>
      <c r="AM4856">
        <v>89.400259847540298</v>
      </c>
      <c r="AN4856">
        <v>0.99999994755727994</v>
      </c>
    </row>
    <row r="4857" spans="1:40" x14ac:dyDescent="0.25">
      <c r="A4857" t="str">
        <f>"20190303154905873"</f>
        <v>20190303154905873</v>
      </c>
      <c r="B4857" t="str">
        <f>"1551599345865203"</f>
        <v>1551599345865203</v>
      </c>
      <c r="C4857" t="s">
        <v>40</v>
      </c>
      <c r="D4857">
        <v>5.8701210000000001</v>
      </c>
      <c r="E4857">
        <v>0.49788880000000002</v>
      </c>
      <c r="F4857" t="s">
        <v>41</v>
      </c>
      <c r="G4857">
        <v>-254.60980000000001</v>
      </c>
      <c r="H4857" s="1">
        <v>-2.9252310000000002E-6</v>
      </c>
      <c r="I4857">
        <v>141.98609999999999</v>
      </c>
      <c r="J4857">
        <v>-237.98159999999999</v>
      </c>
      <c r="K4857">
        <v>1.1197330000000001</v>
      </c>
      <c r="L4857">
        <v>140.90309999999999</v>
      </c>
      <c r="M4857">
        <v>-0.99996660000000004</v>
      </c>
      <c r="N4857">
        <v>-4.9452510000000003E-3</v>
      </c>
      <c r="O4857">
        <v>6.5133459999999997E-3</v>
      </c>
      <c r="P4857">
        <v>-0.99682969999999904</v>
      </c>
      <c r="Q4857">
        <v>-7.7841099999999996E-2</v>
      </c>
      <c r="R4857">
        <v>1.6481929999999999E-2</v>
      </c>
      <c r="S4857">
        <v>-2.990799</v>
      </c>
      <c r="T4857">
        <v>-0.19832240000000001</v>
      </c>
      <c r="U4857">
        <v>0.19210820000000001</v>
      </c>
      <c r="V4857">
        <v>9.9923080000000001E-3</v>
      </c>
      <c r="W4857">
        <v>-7.2909689999999999E-2</v>
      </c>
      <c r="X4857">
        <v>0.99728850000000002</v>
      </c>
      <c r="Y4857">
        <v>5.7476649999999997E-2</v>
      </c>
      <c r="Z4857">
        <v>1.645234E-3</v>
      </c>
      <c r="AA4857">
        <v>0.9983455</v>
      </c>
      <c r="AB4857">
        <v>28</v>
      </c>
      <c r="AC4857">
        <v>-16.6282</v>
      </c>
      <c r="AD4857">
        <v>-1.119735925231</v>
      </c>
      <c r="AE4857">
        <v>1.08299999999999</v>
      </c>
      <c r="AF4857">
        <v>0.97028918096288996</v>
      </c>
      <c r="AG4857">
        <v>-1.119735925231</v>
      </c>
      <c r="AH4857">
        <v>16.5601246661708</v>
      </c>
      <c r="AI4857">
        <v>93.861643270860199</v>
      </c>
      <c r="AJ4857">
        <v>86.646765096996901</v>
      </c>
      <c r="AK4857">
        <v>16.626274345025902</v>
      </c>
      <c r="AL4857">
        <v>94.181127428035495</v>
      </c>
      <c r="AM4857">
        <v>89.425945532472397</v>
      </c>
      <c r="AN4857">
        <v>1.00000001067365</v>
      </c>
    </row>
    <row r="4858" spans="1:40" x14ac:dyDescent="0.25">
      <c r="A4858" t="str">
        <f>"20190303154905894"</f>
        <v>20190303154905894</v>
      </c>
      <c r="B4858" t="str">
        <f>"1551599345885699"</f>
        <v>1551599345885699</v>
      </c>
      <c r="C4858" t="s">
        <v>40</v>
      </c>
      <c r="D4858">
        <v>5.8514879999999998</v>
      </c>
      <c r="E4858">
        <v>0.49597629999999998</v>
      </c>
      <c r="F4858" t="s">
        <v>41</v>
      </c>
      <c r="G4858">
        <v>-252.47059999999999</v>
      </c>
      <c r="H4858" s="1">
        <v>-3.5968660000000001E-6</v>
      </c>
      <c r="I4858">
        <v>141.06110000000001</v>
      </c>
      <c r="J4858">
        <v>-238.24590000000001</v>
      </c>
      <c r="K4858">
        <v>1.119702</v>
      </c>
      <c r="L4858">
        <v>140.90479999999999</v>
      </c>
      <c r="M4858">
        <v>-0.99996660000000004</v>
      </c>
      <c r="N4858">
        <v>-4.995055E-3</v>
      </c>
      <c r="O4858">
        <v>6.5014259999999898E-3</v>
      </c>
      <c r="P4858">
        <v>-0.99678770000000005</v>
      </c>
      <c r="Q4858">
        <v>-7.8417000000000001E-2</v>
      </c>
      <c r="R4858">
        <v>1.629295E-2</v>
      </c>
      <c r="S4858">
        <v>-2.9909520000000001</v>
      </c>
      <c r="T4858">
        <v>-0.2311473</v>
      </c>
      <c r="U4858">
        <v>3.2623289999999999E-2</v>
      </c>
      <c r="V4858">
        <v>9.8118540000000001E-3</v>
      </c>
      <c r="W4858">
        <v>-7.3436630000000003E-2</v>
      </c>
      <c r="X4858">
        <v>0.99725160000000002</v>
      </c>
      <c r="Y4858">
        <v>4.4082940000000001E-3</v>
      </c>
      <c r="Z4858">
        <v>-2.8813459999999999E-4</v>
      </c>
      <c r="AA4858">
        <v>0.99999020000000005</v>
      </c>
      <c r="AB4858">
        <v>28</v>
      </c>
      <c r="AC4858">
        <v>-14.224699999999901</v>
      </c>
      <c r="AD4858">
        <v>-1.1197055968659999</v>
      </c>
      <c r="AE4858">
        <v>0.15630000000001501</v>
      </c>
      <c r="AF4858">
        <v>6.3421804698545206E-2</v>
      </c>
      <c r="AG4858">
        <v>-1.1197055968659999</v>
      </c>
      <c r="AH4858">
        <v>14.1378261219729</v>
      </c>
      <c r="AI4858">
        <v>94.528286656276094</v>
      </c>
      <c r="AJ4858">
        <v>89.742974815797993</v>
      </c>
      <c r="AK4858">
        <v>14.182238554054299</v>
      </c>
      <c r="AL4858">
        <v>94.211400138611495</v>
      </c>
      <c r="AM4858">
        <v>89.4362910181096</v>
      </c>
      <c r="AN4858">
        <v>0.99999998240361698</v>
      </c>
    </row>
    <row r="4859" spans="1:40" x14ac:dyDescent="0.25">
      <c r="A4859" t="str">
        <f>"20190303154905916"</f>
        <v>20190303154905916</v>
      </c>
      <c r="B4859" t="str">
        <f>"1551599345906195"</f>
        <v>1551599345906195</v>
      </c>
      <c r="C4859" t="s">
        <v>40</v>
      </c>
      <c r="D4859">
        <v>5.8329019999999998</v>
      </c>
      <c r="E4859">
        <v>0.4962743</v>
      </c>
      <c r="F4859" t="s">
        <v>41</v>
      </c>
      <c r="G4859">
        <v>-252.6618</v>
      </c>
      <c r="H4859" s="1">
        <v>-3.4948279999999999E-6</v>
      </c>
      <c r="I4859">
        <v>140.98599999999999</v>
      </c>
      <c r="J4859">
        <v>-238.5326</v>
      </c>
      <c r="K4859">
        <v>1.1196820000000001</v>
      </c>
      <c r="L4859">
        <v>140.9067</v>
      </c>
      <c r="M4859">
        <v>-0.99996609999999997</v>
      </c>
      <c r="N4859">
        <v>-5.0492990000000001E-3</v>
      </c>
      <c r="O4859">
        <v>6.5196940000000004E-3</v>
      </c>
      <c r="P4859">
        <v>-0.99668869999999998</v>
      </c>
      <c r="Q4859">
        <v>-7.9558630000000005E-2</v>
      </c>
      <c r="R4859">
        <v>1.680077E-2</v>
      </c>
      <c r="S4859">
        <v>-2.9911349999999999</v>
      </c>
      <c r="T4859">
        <v>-0.23232659999999999</v>
      </c>
      <c r="U4859">
        <v>1.6860960000000001E-2</v>
      </c>
      <c r="V4859">
        <v>1.0298699999999999E-2</v>
      </c>
      <c r="W4859">
        <v>-7.4525079999999994E-2</v>
      </c>
      <c r="X4859">
        <v>0.997166</v>
      </c>
      <c r="Y4859">
        <v>-8.6296959999999999E-4</v>
      </c>
      <c r="Z4859">
        <v>-5.0839730000000005E-4</v>
      </c>
      <c r="AA4859">
        <v>0.99999950000000004</v>
      </c>
      <c r="AB4859">
        <v>28</v>
      </c>
      <c r="AC4859">
        <v>-14.1291999999999</v>
      </c>
      <c r="AD4859">
        <v>-1.1196854948279999</v>
      </c>
      <c r="AE4859">
        <v>7.9299999999989199E-2</v>
      </c>
      <c r="AF4859">
        <v>-1.2740901028400101E-2</v>
      </c>
      <c r="AG4859">
        <v>-1.1196854948279999</v>
      </c>
      <c r="AH4859">
        <v>14.041241045601</v>
      </c>
      <c r="AI4859">
        <v>94.559266674085293</v>
      </c>
      <c r="AJ4859">
        <v>90.051989681923402</v>
      </c>
      <c r="AK4859">
        <v>14.0858193953549</v>
      </c>
      <c r="AL4859">
        <v>94.273934849415397</v>
      </c>
      <c r="AM4859">
        <v>89.408271977365501</v>
      </c>
      <c r="AN4859">
        <v>1.0000000411633401</v>
      </c>
    </row>
    <row r="4860" spans="1:40" x14ac:dyDescent="0.25">
      <c r="A4860" t="str">
        <f>"20190303154905940"</f>
        <v>20190303154905940</v>
      </c>
      <c r="B4860" t="str">
        <f>"1551599345935476"</f>
        <v>1551599345935476</v>
      </c>
      <c r="C4860" t="s">
        <v>40</v>
      </c>
      <c r="D4860">
        <v>5.8347870000000004</v>
      </c>
      <c r="E4860">
        <v>0.4961042</v>
      </c>
      <c r="F4860" t="s">
        <v>41</v>
      </c>
      <c r="G4860">
        <v>-252.75370000000001</v>
      </c>
      <c r="H4860" s="1">
        <v>-3.4605339999999998E-6</v>
      </c>
      <c r="I4860">
        <v>141.0052</v>
      </c>
      <c r="J4860">
        <v>-238.821</v>
      </c>
      <c r="K4860">
        <v>1.1196660000000001</v>
      </c>
      <c r="L4860">
        <v>140.90860000000001</v>
      </c>
      <c r="M4860">
        <v>-0.99996549999999995</v>
      </c>
      <c r="N4860">
        <v>-5.1080530000000004E-3</v>
      </c>
      <c r="O4860">
        <v>6.5665569999999998E-3</v>
      </c>
      <c r="P4860">
        <v>-0.99663109999999999</v>
      </c>
      <c r="Q4860">
        <v>-8.0058599999999994E-2</v>
      </c>
      <c r="R4860">
        <v>1.7808319999999999E-2</v>
      </c>
      <c r="S4860">
        <v>-2.9908290000000002</v>
      </c>
      <c r="T4860">
        <v>-0.23548160000000001</v>
      </c>
      <c r="U4860">
        <v>2.0736689999999999E-2</v>
      </c>
      <c r="V4860">
        <v>1.125692E-2</v>
      </c>
      <c r="W4860">
        <v>-7.4967229999999996E-2</v>
      </c>
      <c r="X4860">
        <v>0.99712250000000002</v>
      </c>
      <c r="Y4860">
        <v>3.8313190000000002E-4</v>
      </c>
      <c r="Z4860">
        <v>-4.6667060000000002E-4</v>
      </c>
      <c r="AA4860">
        <v>0.99999979999999999</v>
      </c>
      <c r="AB4860">
        <v>28</v>
      </c>
      <c r="AC4860">
        <v>-13.932700000000001</v>
      </c>
      <c r="AD4860">
        <v>-1.1196694605339901</v>
      </c>
      <c r="AE4860">
        <v>9.6599999999995106E-2</v>
      </c>
      <c r="AF4860">
        <v>5.0740968906278902E-3</v>
      </c>
      <c r="AG4860">
        <v>-1.1196694605339901</v>
      </c>
      <c r="AH4860">
        <v>13.8436337751615</v>
      </c>
      <c r="AI4860">
        <v>94.6240021177898</v>
      </c>
      <c r="AJ4860">
        <v>89.978999421078498</v>
      </c>
      <c r="AK4860">
        <v>13.888840180090799</v>
      </c>
      <c r="AL4860">
        <v>94.299339240676503</v>
      </c>
      <c r="AM4860">
        <v>89.353192202942395</v>
      </c>
      <c r="AN4860">
        <v>1.000000041914</v>
      </c>
    </row>
    <row r="4861" spans="1:40" x14ac:dyDescent="0.25">
      <c r="A4861" t="str">
        <f>"20190303154905962"</f>
        <v>20190303154905962</v>
      </c>
      <c r="B4861" t="str">
        <f>"1551599345955971"</f>
        <v>1551599345955971</v>
      </c>
      <c r="C4861" t="s">
        <v>40</v>
      </c>
      <c r="D4861">
        <v>5.7741339999999903</v>
      </c>
      <c r="E4861">
        <v>0.4957763</v>
      </c>
      <c r="F4861" t="s">
        <v>41</v>
      </c>
      <c r="G4861">
        <v>-253.03970000000001</v>
      </c>
      <c r="H4861" s="1">
        <v>-3.3404619999999998E-6</v>
      </c>
      <c r="I4861">
        <v>141.01509999999999</v>
      </c>
      <c r="J4861">
        <v>-239.1053</v>
      </c>
      <c r="K4861">
        <v>1.119653</v>
      </c>
      <c r="L4861">
        <v>140.91059999999999</v>
      </c>
      <c r="M4861">
        <v>-0.99996470000000004</v>
      </c>
      <c r="N4861">
        <v>-5.1741510000000001E-3</v>
      </c>
      <c r="O4861">
        <v>6.6353339999999997E-3</v>
      </c>
      <c r="P4861">
        <v>-0.99659880000000001</v>
      </c>
      <c r="Q4861">
        <v>-8.0214229999999997E-2</v>
      </c>
      <c r="R4861">
        <v>1.8892900000000001E-2</v>
      </c>
      <c r="S4861">
        <v>-2.9908450000000002</v>
      </c>
      <c r="T4861">
        <v>-0.23551800000000001</v>
      </c>
      <c r="U4861">
        <v>2.241516E-2</v>
      </c>
      <c r="V4861">
        <v>1.22702E-2</v>
      </c>
      <c r="W4861">
        <v>-7.5057639999999995E-2</v>
      </c>
      <c r="X4861">
        <v>0.99710370000000004</v>
      </c>
      <c r="Y4861">
        <v>8.7402460000000003E-4</v>
      </c>
      <c r="Z4861">
        <v>-4.5078000000000002E-4</v>
      </c>
      <c r="AA4861">
        <v>0.99999950000000004</v>
      </c>
      <c r="AB4861">
        <v>28</v>
      </c>
      <c r="AC4861">
        <v>-13.9344</v>
      </c>
      <c r="AD4861">
        <v>-1.1196563404619999</v>
      </c>
      <c r="AE4861">
        <v>0.10450000000000099</v>
      </c>
      <c r="AF4861">
        <v>1.1959859241287099E-2</v>
      </c>
      <c r="AG4861">
        <v>-1.1196563404619999</v>
      </c>
      <c r="AH4861">
        <v>13.8453997120205</v>
      </c>
      <c r="AI4861">
        <v>94.623359548372093</v>
      </c>
      <c r="AJ4861">
        <v>89.950507078025097</v>
      </c>
      <c r="AK4861">
        <v>13.890603534209299</v>
      </c>
      <c r="AL4861">
        <v>94.304534177640804</v>
      </c>
      <c r="AM4861">
        <v>89.2949628113046</v>
      </c>
      <c r="AN4861">
        <v>0.99999999784204896</v>
      </c>
    </row>
    <row r="4862" spans="1:40" x14ac:dyDescent="0.25">
      <c r="A4862" t="str">
        <f>"20190303154905984"</f>
        <v>20190303154905984</v>
      </c>
      <c r="B4862" t="str">
        <f>"1551599345975491"</f>
        <v>1551599345975491</v>
      </c>
      <c r="C4862" t="s">
        <v>40</v>
      </c>
      <c r="D4862">
        <v>5.7968289999999998</v>
      </c>
      <c r="E4862">
        <v>0.49554320000000002</v>
      </c>
      <c r="F4862" t="s">
        <v>42</v>
      </c>
      <c r="G4862">
        <v>-240.07050000000001</v>
      </c>
      <c r="H4862">
        <v>1.042772</v>
      </c>
      <c r="I4862">
        <v>140.91800000000001</v>
      </c>
      <c r="J4862">
        <v>-239.3888</v>
      </c>
      <c r="K4862">
        <v>1.119645</v>
      </c>
      <c r="L4862">
        <v>140.91249999999999</v>
      </c>
      <c r="M4862">
        <v>-0.99996379999999996</v>
      </c>
      <c r="N4862">
        <v>-5.2485930000000002E-3</v>
      </c>
      <c r="O4862">
        <v>6.7176090000000003E-3</v>
      </c>
      <c r="P4862">
        <v>-0.99656900000000004</v>
      </c>
      <c r="Q4862">
        <v>-8.0269720000000003E-2</v>
      </c>
      <c r="R4862">
        <v>2.0182350000000002E-2</v>
      </c>
      <c r="S4862">
        <v>-2.990631</v>
      </c>
      <c r="T4862">
        <v>-0.23824229999999999</v>
      </c>
      <c r="U4862">
        <v>2.3025509999999999E-2</v>
      </c>
      <c r="V4862">
        <v>1.347515E-2</v>
      </c>
      <c r="W4862">
        <v>-7.5039640000000005E-2</v>
      </c>
      <c r="X4862">
        <v>0.99708949999999996</v>
      </c>
      <c r="Y4862">
        <v>9.9651540000000004E-4</v>
      </c>
      <c r="Z4862">
        <v>-4.5682840000000003E-4</v>
      </c>
      <c r="AA4862">
        <v>0.99999939999999998</v>
      </c>
      <c r="AB4862">
        <v>29</v>
      </c>
      <c r="AC4862">
        <v>-0.68170000000000597</v>
      </c>
      <c r="AD4862">
        <v>-7.68729999999999E-2</v>
      </c>
      <c r="AE4862">
        <v>5.5000000000120499E-3</v>
      </c>
      <c r="AF4862">
        <v>9.0886276831004501E-4</v>
      </c>
      <c r="AG4862">
        <v>-7.68729999999999E-2</v>
      </c>
      <c r="AH4862">
        <v>0.67316198682706097</v>
      </c>
      <c r="AI4862">
        <v>96.514771722290007</v>
      </c>
      <c r="AJ4862">
        <v>89.922642736580002</v>
      </c>
      <c r="AK4862">
        <v>0.67753770719384199</v>
      </c>
      <c r="AL4862">
        <v>94.303499931388799</v>
      </c>
      <c r="AM4862">
        <v>89.2257242458641</v>
      </c>
      <c r="AN4862">
        <v>0.99999999912455095</v>
      </c>
    </row>
    <row r="4863" spans="1:40" x14ac:dyDescent="0.25">
      <c r="A4863" t="str">
        <f>"20190303154906006"</f>
        <v>20190303154906006</v>
      </c>
      <c r="B4863" t="str">
        <f>"1551599345995987"</f>
        <v>1551599345995987</v>
      </c>
      <c r="C4863" t="s">
        <v>40</v>
      </c>
      <c r="D4863">
        <v>5.7915409999999996</v>
      </c>
      <c r="E4863">
        <v>0.495448</v>
      </c>
      <c r="F4863" t="s">
        <v>42</v>
      </c>
      <c r="G4863">
        <v>-240.3287</v>
      </c>
      <c r="H4863">
        <v>1.044165</v>
      </c>
      <c r="I4863">
        <v>140.9205</v>
      </c>
      <c r="J4863">
        <v>-239.67189999999999</v>
      </c>
      <c r="K4863">
        <v>1.1196469999999901</v>
      </c>
      <c r="L4863">
        <v>140.9145</v>
      </c>
      <c r="M4863">
        <v>-0.99996269999999998</v>
      </c>
      <c r="N4863">
        <v>-5.3301549999999996E-3</v>
      </c>
      <c r="O4863">
        <v>6.8080079999999999E-3</v>
      </c>
      <c r="P4863">
        <v>-0.99649770000000004</v>
      </c>
      <c r="Q4863">
        <v>-8.0855490000000002E-2</v>
      </c>
      <c r="R4863">
        <v>2.1330430000000001E-2</v>
      </c>
      <c r="S4863">
        <v>-2.9904790000000001</v>
      </c>
      <c r="T4863">
        <v>-0.24018139999999999</v>
      </c>
      <c r="U4863">
        <v>2.503967E-2</v>
      </c>
      <c r="V4863">
        <v>1.4531290000000001E-2</v>
      </c>
      <c r="W4863">
        <v>-7.5544979999999998E-2</v>
      </c>
      <c r="X4863">
        <v>0.99703649999999999</v>
      </c>
      <c r="Y4863">
        <v>1.5784659999999999E-3</v>
      </c>
      <c r="Z4863">
        <v>-4.4216049999999999E-4</v>
      </c>
      <c r="AA4863">
        <v>0.99999859999999896</v>
      </c>
      <c r="AB4863">
        <v>29</v>
      </c>
      <c r="AC4863">
        <v>-0.65680000000000405</v>
      </c>
      <c r="AD4863">
        <v>-7.5481999999999799E-2</v>
      </c>
      <c r="AE4863">
        <v>6.0000000000002196E-3</v>
      </c>
      <c r="AF4863">
        <v>1.50837789900353E-3</v>
      </c>
      <c r="AG4863">
        <v>-7.5481999999999799E-2</v>
      </c>
      <c r="AH4863">
        <v>0.64826439167927596</v>
      </c>
      <c r="AI4863">
        <v>96.641428060388904</v>
      </c>
      <c r="AJ4863">
        <v>89.866684746735501</v>
      </c>
      <c r="AK4863">
        <v>0.652645791411534</v>
      </c>
      <c r="AL4863">
        <v>94.332536229591796</v>
      </c>
      <c r="AM4863">
        <v>89.165002841609194</v>
      </c>
      <c r="AN4863">
        <v>0.99999999236225701</v>
      </c>
    </row>
    <row r="4864" spans="1:40" x14ac:dyDescent="0.25">
      <c r="A4864" t="str">
        <f>"20190303154906030"</f>
        <v>20190303154906030</v>
      </c>
      <c r="B4864" t="str">
        <f>"1551599346026243"</f>
        <v>1551599346026243</v>
      </c>
      <c r="C4864" t="s">
        <v>40</v>
      </c>
      <c r="D4864">
        <v>5.7749110000000003</v>
      </c>
      <c r="E4864">
        <v>0.49505949999999999</v>
      </c>
      <c r="F4864" t="s">
        <v>42</v>
      </c>
      <c r="G4864">
        <v>-240.58750000000001</v>
      </c>
      <c r="H4864">
        <v>1.045228</v>
      </c>
      <c r="I4864">
        <v>140.92310000000001</v>
      </c>
      <c r="J4864">
        <v>-239.97929999999999</v>
      </c>
      <c r="K4864">
        <v>1.119658</v>
      </c>
      <c r="L4864">
        <v>140.91669999999999</v>
      </c>
      <c r="M4864">
        <v>-0.99996130000000005</v>
      </c>
      <c r="N4864">
        <v>-5.438844E-3</v>
      </c>
      <c r="O4864">
        <v>6.9130939999999998E-3</v>
      </c>
      <c r="P4864">
        <v>-0.99643419999999905</v>
      </c>
      <c r="Q4864">
        <v>-8.1388530000000001E-2</v>
      </c>
      <c r="R4864">
        <v>2.2239200000000001E-2</v>
      </c>
      <c r="S4864">
        <v>-2.9902500000000001</v>
      </c>
      <c r="T4864">
        <v>-0.24308279999999999</v>
      </c>
      <c r="U4864">
        <v>2.7633669999999999E-2</v>
      </c>
      <c r="V4864">
        <v>1.533405E-2</v>
      </c>
      <c r="W4864">
        <v>-7.5970399999999993E-2</v>
      </c>
      <c r="X4864">
        <v>0.9969922</v>
      </c>
      <c r="Y4864">
        <v>2.3393590000000001E-3</v>
      </c>
      <c r="Z4864">
        <v>-4.2219149999999999E-4</v>
      </c>
      <c r="AA4864">
        <v>0.99999720000000003</v>
      </c>
      <c r="AB4864">
        <v>29</v>
      </c>
      <c r="AC4864">
        <v>-0.60820000000000995</v>
      </c>
      <c r="AD4864">
        <v>-7.4429999999999996E-2</v>
      </c>
      <c r="AE4864">
        <v>6.4000000000134999E-3</v>
      </c>
      <c r="AF4864">
        <v>2.1628531942347699E-3</v>
      </c>
      <c r="AG4864">
        <v>-7.4429999999999996E-2</v>
      </c>
      <c r="AH4864">
        <v>0.59925609265761104</v>
      </c>
      <c r="AI4864">
        <v>97.080060173079104</v>
      </c>
      <c r="AJ4864">
        <v>89.793207239500205</v>
      </c>
      <c r="AK4864">
        <v>0.60386452737448304</v>
      </c>
      <c r="AL4864">
        <v>94.356981037683695</v>
      </c>
      <c r="AM4864">
        <v>89.118842573926003</v>
      </c>
      <c r="AN4864">
        <v>1.0000000408131999</v>
      </c>
    </row>
    <row r="4865" spans="1:40" x14ac:dyDescent="0.25">
      <c r="A4865" t="str">
        <f>"20190303154906055"</f>
        <v>20190303154906055</v>
      </c>
      <c r="B4865" t="str">
        <f>"1551599346045763"</f>
        <v>1551599346045763</v>
      </c>
      <c r="C4865" t="s">
        <v>40</v>
      </c>
      <c r="D4865">
        <v>5.7766650000000004</v>
      </c>
      <c r="E4865">
        <v>0.49491930000000001</v>
      </c>
      <c r="F4865" t="s">
        <v>41</v>
      </c>
      <c r="G4865">
        <v>-253.7972</v>
      </c>
      <c r="H4865" s="1">
        <v>-3.0228129999999998E-6</v>
      </c>
      <c r="I4865">
        <v>141.04259999999999</v>
      </c>
      <c r="J4865">
        <v>-240.3014</v>
      </c>
      <c r="K4865">
        <v>1.11968</v>
      </c>
      <c r="L4865">
        <v>140.91909999999999</v>
      </c>
      <c r="M4865">
        <v>-0.99995959999999995</v>
      </c>
      <c r="N4865">
        <v>-5.6048620000000004E-3</v>
      </c>
      <c r="O4865">
        <v>7.028131E-3</v>
      </c>
      <c r="P4865">
        <v>-0.996452</v>
      </c>
      <c r="Q4865">
        <v>-8.1141119999999997E-2</v>
      </c>
      <c r="R4865">
        <v>2.235709E-2</v>
      </c>
      <c r="S4865">
        <v>-2.9903409999999999</v>
      </c>
      <c r="T4865">
        <v>-0.2423073</v>
      </c>
      <c r="U4865">
        <v>2.726746E-2</v>
      </c>
      <c r="V4865">
        <v>1.533673E-2</v>
      </c>
      <c r="W4865">
        <v>-7.5557520000000003E-2</v>
      </c>
      <c r="X4865">
        <v>0.99702349999999995</v>
      </c>
      <c r="Y4865">
        <v>2.102544E-3</v>
      </c>
      <c r="Z4865">
        <v>-4.3826E-4</v>
      </c>
      <c r="AA4865">
        <v>0.99999769999999999</v>
      </c>
      <c r="AB4865">
        <v>29</v>
      </c>
      <c r="AC4865">
        <v>-13.495799999999999</v>
      </c>
      <c r="AD4865">
        <v>-1.1196830228129999</v>
      </c>
      <c r="AE4865">
        <v>0.12350000000000699</v>
      </c>
      <c r="AF4865">
        <v>2.8449402366807399E-2</v>
      </c>
      <c r="AG4865">
        <v>-1.1196830228129999</v>
      </c>
      <c r="AH4865">
        <v>13.4040788953392</v>
      </c>
      <c r="AI4865">
        <v>94.774992384230302</v>
      </c>
      <c r="AJ4865">
        <v>89.8783931182153</v>
      </c>
      <c r="AK4865">
        <v>13.450792930996601</v>
      </c>
      <c r="AL4865">
        <v>94.333256715228202</v>
      </c>
      <c r="AM4865">
        <v>89.118716257453897</v>
      </c>
      <c r="AN4865">
        <v>1.0000000068339401</v>
      </c>
    </row>
    <row r="4866" spans="1:40" x14ac:dyDescent="0.25">
      <c r="A4866" t="str">
        <f>"20190303154906076"</f>
        <v>20190303154906076</v>
      </c>
      <c r="B4866" t="str">
        <f>"1551599346067234"</f>
        <v>1551599346067234</v>
      </c>
      <c r="C4866" t="s">
        <v>40</v>
      </c>
      <c r="D4866">
        <v>5.9797479999999998</v>
      </c>
      <c r="E4866">
        <v>0.49492920000000001</v>
      </c>
      <c r="F4866" t="s">
        <v>41</v>
      </c>
      <c r="G4866">
        <v>-254.26050000000001</v>
      </c>
      <c r="H4866" s="1">
        <v>-2.8241210000000001E-6</v>
      </c>
      <c r="I4866">
        <v>141.0428</v>
      </c>
      <c r="J4866">
        <v>-240.5788</v>
      </c>
      <c r="K4866">
        <v>1.1197189999999999</v>
      </c>
      <c r="L4866">
        <v>140.9211</v>
      </c>
      <c r="M4866">
        <v>-0.9999576</v>
      </c>
      <c r="N4866">
        <v>-5.8200079999999998E-3</v>
      </c>
      <c r="O4866">
        <v>7.1289959999999899E-3</v>
      </c>
      <c r="P4866">
        <v>-0.9964826</v>
      </c>
      <c r="Q4866">
        <v>-8.0973119999999996E-2</v>
      </c>
      <c r="R4866">
        <v>2.1578199999999999E-2</v>
      </c>
      <c r="S4866">
        <v>-2.9905400000000002</v>
      </c>
      <c r="T4866">
        <v>-0.23987700000000001</v>
      </c>
      <c r="U4866">
        <v>2.6535030000000001E-2</v>
      </c>
      <c r="V4866">
        <v>1.445662E-2</v>
      </c>
      <c r="W4866">
        <v>-7.5174759999999993E-2</v>
      </c>
      <c r="X4866">
        <v>0.9970656</v>
      </c>
      <c r="Y4866">
        <v>1.757219E-3</v>
      </c>
      <c r="Z4866">
        <v>-4.5398219999999998E-4</v>
      </c>
      <c r="AA4866">
        <v>0.99999830000000001</v>
      </c>
      <c r="AB4866">
        <v>29</v>
      </c>
      <c r="AC4866">
        <v>-13.681699999999999</v>
      </c>
      <c r="AD4866">
        <v>-1.1197218241210001</v>
      </c>
      <c r="AE4866">
        <v>0.121700000000004</v>
      </c>
      <c r="AF4866">
        <v>2.3997743425630401E-2</v>
      </c>
      <c r="AG4866">
        <v>-1.1197218241210001</v>
      </c>
      <c r="AH4866">
        <v>13.591194354752799</v>
      </c>
      <c r="AI4866">
        <v>94.709716613094898</v>
      </c>
      <c r="AJ4866">
        <v>89.898833910298407</v>
      </c>
      <c r="AK4866">
        <v>13.6372620728564</v>
      </c>
      <c r="AL4866">
        <v>94.311263556231197</v>
      </c>
      <c r="AM4866">
        <v>89.169317168537006</v>
      </c>
      <c r="AN4866">
        <v>1.00000002455312</v>
      </c>
    </row>
    <row r="4867" spans="1:40" x14ac:dyDescent="0.25">
      <c r="A4867" t="str">
        <f>"20190303154906096"</f>
        <v>20190303154906096</v>
      </c>
      <c r="B4867" t="str">
        <f>"1551599346085779"</f>
        <v>1551599346085779</v>
      </c>
      <c r="C4867" t="s">
        <v>40</v>
      </c>
      <c r="D4867">
        <v>5.7522180000000001</v>
      </c>
      <c r="E4867">
        <v>0.49476940000000003</v>
      </c>
      <c r="F4867" t="s">
        <v>41</v>
      </c>
      <c r="G4867">
        <v>-254.75219999999999</v>
      </c>
      <c r="H4867" s="1">
        <v>-2.6114589999999998E-6</v>
      </c>
      <c r="I4867">
        <v>141.03630000000001</v>
      </c>
      <c r="J4867">
        <v>-240.83869999999999</v>
      </c>
      <c r="K4867">
        <v>1.1197699999999999</v>
      </c>
      <c r="L4867">
        <v>140.923</v>
      </c>
      <c r="M4867">
        <v>-0.9999555</v>
      </c>
      <c r="N4867">
        <v>-6.1016350000000002E-3</v>
      </c>
      <c r="O4867">
        <v>7.2232609999999999E-3</v>
      </c>
      <c r="P4867">
        <v>-0.99649449999999995</v>
      </c>
      <c r="Q4867">
        <v>-8.1269430000000004E-2</v>
      </c>
      <c r="R4867">
        <v>1.9859229999999999E-2</v>
      </c>
      <c r="S4867">
        <v>-2.9908600000000001</v>
      </c>
      <c r="T4867">
        <v>-0.2362831</v>
      </c>
      <c r="U4867">
        <v>2.4337770000000002E-2</v>
      </c>
      <c r="V4867">
        <v>1.264352E-2</v>
      </c>
      <c r="W4867">
        <v>-7.5189839999999994E-2</v>
      </c>
      <c r="X4867">
        <v>0.99708909999999995</v>
      </c>
      <c r="Y4867">
        <v>9.2978530000000002E-4</v>
      </c>
      <c r="Z4867">
        <v>-4.862232E-4</v>
      </c>
      <c r="AA4867">
        <v>0.99999950000000004</v>
      </c>
      <c r="AB4867">
        <v>29</v>
      </c>
      <c r="AC4867">
        <v>-13.913500000000001</v>
      </c>
      <c r="AD4867">
        <v>-1.1197726114589901</v>
      </c>
      <c r="AE4867">
        <v>0.113300000000009</v>
      </c>
      <c r="AF4867">
        <v>1.27120190364651E-2</v>
      </c>
      <c r="AG4867">
        <v>-1.1197726114589901</v>
      </c>
      <c r="AH4867">
        <v>13.824417922675201</v>
      </c>
      <c r="AI4867">
        <v>94.630824608202801</v>
      </c>
      <c r="AJ4867">
        <v>89.947314611098193</v>
      </c>
      <c r="AK4867">
        <v>13.869700184127399</v>
      </c>
      <c r="AL4867">
        <v>94.312130039932597</v>
      </c>
      <c r="AM4867">
        <v>89.273503731399202</v>
      </c>
      <c r="AN4867">
        <v>1.0000000219880101</v>
      </c>
    </row>
    <row r="4868" spans="1:40" x14ac:dyDescent="0.25">
      <c r="A4868" t="str">
        <f>"20190303154906117"</f>
        <v>20190303154906117</v>
      </c>
      <c r="B4868" t="str">
        <f>"1551599346106279"</f>
        <v>1551599346106279</v>
      </c>
      <c r="C4868" t="s">
        <v>40</v>
      </c>
      <c r="D4868">
        <v>5.7702989999999996</v>
      </c>
      <c r="E4868">
        <v>0.49471389999999998</v>
      </c>
      <c r="F4868" t="s">
        <v>41</v>
      </c>
      <c r="G4868">
        <v>-255.1078</v>
      </c>
      <c r="H4868" s="1">
        <v>-2.4514930000000002E-6</v>
      </c>
      <c r="I4868">
        <v>141.00839999999999</v>
      </c>
      <c r="J4868">
        <v>-241.12100000000001</v>
      </c>
      <c r="K4868">
        <v>1.1198429999999999</v>
      </c>
      <c r="L4868">
        <v>140.92519999999999</v>
      </c>
      <c r="M4868">
        <v>-0.99995210000000001</v>
      </c>
      <c r="N4868">
        <v>-6.501784E-3</v>
      </c>
      <c r="O4868">
        <v>7.3251640000000003E-3</v>
      </c>
      <c r="P4868">
        <v>-0.99649710000000002</v>
      </c>
      <c r="Q4868">
        <v>-8.1529489999999996E-2</v>
      </c>
      <c r="R4868">
        <v>1.862312E-2</v>
      </c>
      <c r="S4868">
        <v>-2.9910580000000002</v>
      </c>
      <c r="T4868">
        <v>-0.2347245</v>
      </c>
      <c r="U4868">
        <v>1.791382E-2</v>
      </c>
      <c r="V4868">
        <v>1.13055E-2</v>
      </c>
      <c r="W4868">
        <v>-7.505067E-2</v>
      </c>
      <c r="X4868">
        <v>0.99711559999999999</v>
      </c>
      <c r="Y4868">
        <v>-1.3130170000000001E-3</v>
      </c>
      <c r="Z4868">
        <v>-5.8210640000000001E-4</v>
      </c>
      <c r="AA4868">
        <v>0.99999899999999997</v>
      </c>
      <c r="AB4868">
        <v>29</v>
      </c>
      <c r="AC4868">
        <v>-13.986800000000001</v>
      </c>
      <c r="AD4868">
        <v>-1.1198454514930001</v>
      </c>
      <c r="AE4868">
        <v>8.3200000000005006E-2</v>
      </c>
      <c r="AF4868">
        <v>-1.9137322974026101E-2</v>
      </c>
      <c r="AG4868">
        <v>-1.1198454514930001</v>
      </c>
      <c r="AH4868">
        <v>13.897947110643599</v>
      </c>
      <c r="AI4868">
        <v>94.606726192469793</v>
      </c>
      <c r="AJ4868">
        <v>90.078895619320207</v>
      </c>
      <c r="AK4868">
        <v>13.9430037639888</v>
      </c>
      <c r="AL4868">
        <v>94.304133822666202</v>
      </c>
      <c r="AM4868">
        <v>89.350396603995804</v>
      </c>
      <c r="AN4868">
        <v>0.99999996858052898</v>
      </c>
    </row>
    <row r="4869" spans="1:40" x14ac:dyDescent="0.25">
      <c r="A4869" t="str">
        <f>"20190303154906142"</f>
        <v>20190303154906142</v>
      </c>
      <c r="B4869" t="str">
        <f>"1551599346135555"</f>
        <v>1551599346135555</v>
      </c>
      <c r="C4869" t="s">
        <v>40</v>
      </c>
      <c r="D4869">
        <v>5.7627370000000004</v>
      </c>
      <c r="E4869">
        <v>0.49456640000000002</v>
      </c>
      <c r="F4869" t="s">
        <v>41</v>
      </c>
      <c r="G4869">
        <v>-255.36189999999999</v>
      </c>
      <c r="H4869" s="1">
        <v>-2.3377340000000002E-6</v>
      </c>
      <c r="I4869">
        <v>140.9905</v>
      </c>
      <c r="J4869">
        <v>-241.4315</v>
      </c>
      <c r="K4869">
        <v>1.1199399999999999</v>
      </c>
      <c r="L4869">
        <v>140.92760000000001</v>
      </c>
      <c r="M4869">
        <v>-0.99994760000000005</v>
      </c>
      <c r="N4869">
        <v>-7.0513549999999996E-3</v>
      </c>
      <c r="O4869">
        <v>7.436626E-3</v>
      </c>
      <c r="P4869">
        <v>-0.9964518</v>
      </c>
      <c r="Q4869">
        <v>-8.2233819999999999E-2</v>
      </c>
      <c r="R4869">
        <v>1.7937390000000001E-2</v>
      </c>
      <c r="S4869">
        <v>-2.9910580000000002</v>
      </c>
      <c r="T4869">
        <v>-0.2352062</v>
      </c>
      <c r="U4869">
        <v>1.3748170000000001E-2</v>
      </c>
      <c r="V4869">
        <v>1.0508419999999999E-2</v>
      </c>
      <c r="W4869">
        <v>-7.520723E-2</v>
      </c>
      <c r="X4869">
        <v>0.99711260000000002</v>
      </c>
      <c r="Y4869">
        <v>-2.8119999999999998E-3</v>
      </c>
      <c r="Z4869">
        <v>-6.5183629999999895E-4</v>
      </c>
      <c r="AA4869">
        <v>0.99999579999999999</v>
      </c>
      <c r="AB4869">
        <v>29</v>
      </c>
      <c r="AC4869">
        <v>-13.930399999999899</v>
      </c>
      <c r="AD4869">
        <v>-1.1199423377340001</v>
      </c>
      <c r="AE4869">
        <v>6.2899999999984801E-2</v>
      </c>
      <c r="AF4869">
        <v>-4.0438113737828997E-2</v>
      </c>
      <c r="AG4869">
        <v>-1.1199423377340001</v>
      </c>
      <c r="AH4869">
        <v>13.841023661017999</v>
      </c>
      <c r="AI4869">
        <v>94.625973219206699</v>
      </c>
      <c r="AJ4869">
        <v>90.167395614162302</v>
      </c>
      <c r="AK4869">
        <v>13.886318520967</v>
      </c>
      <c r="AL4869">
        <v>94.313129140180706</v>
      </c>
      <c r="AM4869">
        <v>89.396190735070704</v>
      </c>
      <c r="AN4869">
        <v>1.00000004570696</v>
      </c>
    </row>
    <row r="4870" spans="1:40" x14ac:dyDescent="0.25">
      <c r="A4870" t="str">
        <f>"20190303154906162"</f>
        <v>20190303154906162</v>
      </c>
      <c r="B4870" t="str">
        <f>"1551599346156052"</f>
        <v>1551599346156052</v>
      </c>
      <c r="C4870" t="s">
        <v>40</v>
      </c>
      <c r="D4870">
        <v>5.7530469999999996</v>
      </c>
      <c r="E4870">
        <v>0.49441980000000002</v>
      </c>
      <c r="F4870" t="s">
        <v>42</v>
      </c>
      <c r="G4870">
        <v>-242.4049</v>
      </c>
      <c r="H4870">
        <v>1.0426260000000001</v>
      </c>
      <c r="I4870">
        <v>140.93109999999999</v>
      </c>
      <c r="J4870">
        <v>-241.70699999999999</v>
      </c>
      <c r="K4870">
        <v>1.1200509999999999</v>
      </c>
      <c r="L4870">
        <v>140.9297</v>
      </c>
      <c r="M4870">
        <v>-0.99994260000000001</v>
      </c>
      <c r="N4870">
        <v>-7.6250689999999999E-3</v>
      </c>
      <c r="O4870">
        <v>7.5316280000000003E-3</v>
      </c>
      <c r="P4870">
        <v>-0.99639699999999998</v>
      </c>
      <c r="Q4870">
        <v>-8.2921449999999994E-2</v>
      </c>
      <c r="R4870">
        <v>1.7804859999999999E-2</v>
      </c>
      <c r="S4870">
        <v>-2.990891</v>
      </c>
      <c r="T4870">
        <v>-0.23757729999999999</v>
      </c>
      <c r="U4870">
        <v>1.055908E-2</v>
      </c>
      <c r="V4870">
        <v>1.028106E-2</v>
      </c>
      <c r="W4870">
        <v>-7.532316E-2</v>
      </c>
      <c r="X4870">
        <v>0.99710620000000005</v>
      </c>
      <c r="Y4870">
        <v>-3.9684170000000001E-3</v>
      </c>
      <c r="Z4870">
        <v>-7.1248769999999995E-4</v>
      </c>
      <c r="AA4870">
        <v>0.99999190000000004</v>
      </c>
      <c r="AB4870">
        <v>29</v>
      </c>
      <c r="AC4870">
        <v>-0.69790000000000396</v>
      </c>
      <c r="AD4870">
        <v>-7.7424999999999994E-2</v>
      </c>
      <c r="AE4870">
        <v>1.39999999998963E-3</v>
      </c>
      <c r="AF4870">
        <v>-3.8096280428278999E-3</v>
      </c>
      <c r="AG4870">
        <v>-7.7424999999999994E-2</v>
      </c>
      <c r="AH4870">
        <v>0.68940580020178299</v>
      </c>
      <c r="AI4870">
        <v>96.407761617769495</v>
      </c>
      <c r="AJ4870">
        <v>90.316610893866596</v>
      </c>
      <c r="AK4870">
        <v>0.69375031621087202</v>
      </c>
      <c r="AL4870">
        <v>94.319790417488704</v>
      </c>
      <c r="AM4870">
        <v>89.409250014716207</v>
      </c>
      <c r="AN4870">
        <v>1.00000002635277</v>
      </c>
    </row>
    <row r="4871" spans="1:40" x14ac:dyDescent="0.25">
      <c r="A4871" t="str">
        <f>"20190303154906186"</f>
        <v>20190303154906186</v>
      </c>
      <c r="B4871" t="str">
        <f>"1551599346175571"</f>
        <v>1551599346175571</v>
      </c>
      <c r="C4871" t="s">
        <v>40</v>
      </c>
      <c r="D4871">
        <v>5.762912</v>
      </c>
      <c r="E4871">
        <v>0.49417529999999998</v>
      </c>
      <c r="F4871" t="s">
        <v>42</v>
      </c>
      <c r="G4871">
        <v>-242.66550000000001</v>
      </c>
      <c r="H4871">
        <v>1.0431170000000001</v>
      </c>
      <c r="I4871">
        <v>140.93260000000001</v>
      </c>
      <c r="J4871">
        <v>-242.00899999999999</v>
      </c>
      <c r="K4871">
        <v>1.120163</v>
      </c>
      <c r="L4871">
        <v>140.93209999999999</v>
      </c>
      <c r="M4871">
        <v>-0.99993659999999995</v>
      </c>
      <c r="N4871">
        <v>-8.300923E-3</v>
      </c>
      <c r="O4871">
        <v>7.6365209999999899E-3</v>
      </c>
      <c r="P4871">
        <v>-0.99637220000000004</v>
      </c>
      <c r="Q4871">
        <v>-8.3134349999999996E-2</v>
      </c>
      <c r="R4871">
        <v>1.821006E-2</v>
      </c>
      <c r="S4871">
        <v>-2.990707</v>
      </c>
      <c r="T4871">
        <v>-0.24002989999999999</v>
      </c>
      <c r="U4871">
        <v>9.0789789999999992E-3</v>
      </c>
      <c r="V4871">
        <v>1.058221E-2</v>
      </c>
      <c r="W4871">
        <v>-7.4862349999999994E-2</v>
      </c>
      <c r="X4871">
        <v>0.99713770000000002</v>
      </c>
      <c r="Y4871">
        <v>-4.5651809999999998E-3</v>
      </c>
      <c r="Z4871">
        <v>-7.5048889999999998E-4</v>
      </c>
      <c r="AA4871">
        <v>0.99998929999999997</v>
      </c>
      <c r="AB4871">
        <v>29</v>
      </c>
      <c r="AC4871">
        <v>-0.65649999999999398</v>
      </c>
      <c r="AD4871">
        <v>-7.7045999999999906E-2</v>
      </c>
      <c r="AE4871">
        <v>5.0000000001659795E-4</v>
      </c>
      <c r="AF4871">
        <v>-4.4522412902873098E-3</v>
      </c>
      <c r="AG4871">
        <v>-7.7045999999999906E-2</v>
      </c>
      <c r="AH4871">
        <v>0.64756571218528902</v>
      </c>
      <c r="AI4871">
        <v>96.784876145910701</v>
      </c>
      <c r="AJ4871">
        <v>90.393922363618501</v>
      </c>
      <c r="AK4871">
        <v>0.65214818880876102</v>
      </c>
      <c r="AL4871">
        <v>94.293313419282995</v>
      </c>
      <c r="AM4871">
        <v>89.391966415526198</v>
      </c>
      <c r="AN4871">
        <v>0.99999997368864801</v>
      </c>
    </row>
    <row r="4872" spans="1:40" x14ac:dyDescent="0.25">
      <c r="A4872" t="str">
        <f>"20190303154906207"</f>
        <v>20190303154906207</v>
      </c>
      <c r="B4872" t="str">
        <f>"1551599346196067"</f>
        <v>1551599346196067</v>
      </c>
      <c r="C4872" t="s">
        <v>40</v>
      </c>
      <c r="D4872">
        <v>5.7384579999999996</v>
      </c>
      <c r="E4872">
        <v>0.49401390000000001</v>
      </c>
      <c r="F4872" t="s">
        <v>41</v>
      </c>
      <c r="G4872">
        <v>-255.9032</v>
      </c>
      <c r="H4872" s="1">
        <v>-2.1001270000000001E-6</v>
      </c>
      <c r="I4872">
        <v>140.97040000000001</v>
      </c>
      <c r="J4872">
        <v>-242.27979999999999</v>
      </c>
      <c r="K4872">
        <v>1.1202540000000001</v>
      </c>
      <c r="L4872">
        <v>140.93430000000001</v>
      </c>
      <c r="M4872">
        <v>-0.99993030000000005</v>
      </c>
      <c r="N4872">
        <v>-8.9342910000000005E-3</v>
      </c>
      <c r="O4872">
        <v>7.7325379999999997E-3</v>
      </c>
      <c r="P4872">
        <v>-0.99631769999999997</v>
      </c>
      <c r="Q4872">
        <v>-8.3732920000000002E-2</v>
      </c>
      <c r="R4872">
        <v>1.8441180000000001E-2</v>
      </c>
      <c r="S4872">
        <v>-2.9906619999999999</v>
      </c>
      <c r="T4872">
        <v>-0.24111070000000001</v>
      </c>
      <c r="U4872">
        <v>8.2550049999999993E-3</v>
      </c>
      <c r="V4872">
        <v>1.0718129999999999E-2</v>
      </c>
      <c r="W4872">
        <v>-7.4829779999999999E-2</v>
      </c>
      <c r="X4872">
        <v>0.99713870000000004</v>
      </c>
      <c r="Y4872">
        <v>-4.9350210000000004E-3</v>
      </c>
      <c r="Z4872">
        <v>-7.740987E-4</v>
      </c>
      <c r="AA4872">
        <v>0.99998750000000003</v>
      </c>
      <c r="AB4872">
        <v>29</v>
      </c>
      <c r="AC4872">
        <v>-13.6234</v>
      </c>
      <c r="AD4872">
        <v>-1.1202561001269999</v>
      </c>
      <c r="AE4872">
        <v>3.6100000000004601E-2</v>
      </c>
      <c r="AF4872">
        <v>-6.8783631335386203E-2</v>
      </c>
      <c r="AG4872">
        <v>-1.1202561001269999</v>
      </c>
      <c r="AH4872">
        <v>13.531773057162299</v>
      </c>
      <c r="AI4872">
        <v>94.732497776027202</v>
      </c>
      <c r="AJ4872">
        <v>90.291238835902007</v>
      </c>
      <c r="AK4872">
        <v>13.578239465716999</v>
      </c>
      <c r="AL4872">
        <v>94.291442016700799</v>
      </c>
      <c r="AM4872">
        <v>89.3841579270441</v>
      </c>
      <c r="AN4872">
        <v>0.99999998066161699</v>
      </c>
    </row>
    <row r="4873" spans="1:40" x14ac:dyDescent="0.25">
      <c r="A4873" t="str">
        <f>"20190303154906230"</f>
        <v>20190303154906230</v>
      </c>
      <c r="B4873" t="str">
        <f>"1551599346226323"</f>
        <v>1551599346226323</v>
      </c>
      <c r="C4873" t="s">
        <v>40</v>
      </c>
      <c r="D4873">
        <v>5.7700149999999999</v>
      </c>
      <c r="E4873">
        <v>0.49381120000000001</v>
      </c>
      <c r="F4873" t="s">
        <v>41</v>
      </c>
      <c r="G4873">
        <v>-256.04570000000001</v>
      </c>
      <c r="H4873" s="1">
        <v>-2.0388069999999998E-6</v>
      </c>
      <c r="I4873">
        <v>140.96960000000001</v>
      </c>
      <c r="J4873">
        <v>-242.57140000000001</v>
      </c>
      <c r="K4873">
        <v>1.120349</v>
      </c>
      <c r="L4873">
        <v>140.9367</v>
      </c>
      <c r="M4873">
        <v>-0.99992309999999995</v>
      </c>
      <c r="N4873">
        <v>-9.6234879999999995E-3</v>
      </c>
      <c r="O4873">
        <v>7.8367269999999999E-3</v>
      </c>
      <c r="P4873">
        <v>-0.99621590000000004</v>
      </c>
      <c r="Q4873">
        <v>-8.469525E-2</v>
      </c>
      <c r="R4873">
        <v>1.9522939999999999E-2</v>
      </c>
      <c r="S4873">
        <v>-2.990494</v>
      </c>
      <c r="T4873">
        <v>-0.24336579999999999</v>
      </c>
      <c r="U4873">
        <v>7.6751709999999997E-3</v>
      </c>
      <c r="V4873">
        <v>1.169716E-2</v>
      </c>
      <c r="W4873">
        <v>-7.510588E-2</v>
      </c>
      <c r="X4873">
        <v>0.99710699999999997</v>
      </c>
      <c r="Y4873">
        <v>-5.2311409999999999E-3</v>
      </c>
      <c r="Z4873">
        <v>-7.9910289999999998E-4</v>
      </c>
      <c r="AA4873">
        <v>0.99998600000000004</v>
      </c>
      <c r="AB4873">
        <v>29</v>
      </c>
      <c r="AC4873">
        <v>-13.474299999999999</v>
      </c>
      <c r="AD4873">
        <v>-1.1203510388069999</v>
      </c>
      <c r="AE4873">
        <v>3.29000000000121E-2</v>
      </c>
      <c r="AF4873">
        <v>-7.2201141577600006E-2</v>
      </c>
      <c r="AG4873">
        <v>-1.1203510388069999</v>
      </c>
      <c r="AH4873">
        <v>13.381631140981201</v>
      </c>
      <c r="AI4873">
        <v>94.785747043156803</v>
      </c>
      <c r="AJ4873">
        <v>90.309138736677198</v>
      </c>
      <c r="AK4873">
        <v>13.4286429488716</v>
      </c>
      <c r="AL4873">
        <v>94.307305754374099</v>
      </c>
      <c r="AM4873">
        <v>89.327888422290798</v>
      </c>
      <c r="AN4873">
        <v>1.00000004310581</v>
      </c>
    </row>
    <row r="4874" spans="1:40" x14ac:dyDescent="0.25">
      <c r="A4874" t="str">
        <f>"20190303154906254"</f>
        <v>20190303154906254</v>
      </c>
      <c r="B4874" t="str">
        <f>"1551599346245843"</f>
        <v>1551599346245843</v>
      </c>
      <c r="C4874" t="s">
        <v>40</v>
      </c>
      <c r="D4874">
        <v>5.7829750000000004</v>
      </c>
      <c r="E4874">
        <v>0.49372290000000002</v>
      </c>
      <c r="F4874" t="s">
        <v>41</v>
      </c>
      <c r="G4874">
        <v>-256.13709999999998</v>
      </c>
      <c r="H4874" s="1">
        <v>-2.0020000000000001E-6</v>
      </c>
      <c r="I4874">
        <v>140.9786</v>
      </c>
      <c r="J4874">
        <v>-242.88560000000001</v>
      </c>
      <c r="K4874">
        <v>1.120439</v>
      </c>
      <c r="L4874">
        <v>140.9393</v>
      </c>
      <c r="M4874">
        <v>-0.99991509999999995</v>
      </c>
      <c r="N4874">
        <v>-1.0338419999999999E-2</v>
      </c>
      <c r="O4874">
        <v>7.948363E-3</v>
      </c>
      <c r="P4874">
        <v>-0.99606810000000001</v>
      </c>
      <c r="Q4874">
        <v>-8.6110770000000003E-2</v>
      </c>
      <c r="R4874">
        <v>2.0814579999999999E-2</v>
      </c>
      <c r="S4874">
        <v>-2.9902190000000002</v>
      </c>
      <c r="T4874">
        <v>-0.24695539999999999</v>
      </c>
      <c r="U4874">
        <v>9.2620849999999998E-3</v>
      </c>
      <c r="V4874">
        <v>1.287835E-2</v>
      </c>
      <c r="W4874">
        <v>-7.5810069999999993E-2</v>
      </c>
      <c r="X4874">
        <v>0.99703909999999996</v>
      </c>
      <c r="Y4874">
        <v>-4.8122520000000004E-3</v>
      </c>
      <c r="Z4874">
        <v>-7.9656089999999996E-4</v>
      </c>
      <c r="AA4874">
        <v>0.99998810000000005</v>
      </c>
      <c r="AB4874">
        <v>29</v>
      </c>
      <c r="AC4874">
        <v>-13.251499999999901</v>
      </c>
      <c r="AD4874">
        <v>-1.120441002</v>
      </c>
      <c r="AE4874">
        <v>3.9299999999997198E-2</v>
      </c>
      <c r="AF4874">
        <v>-6.5565860115013294E-2</v>
      </c>
      <c r="AG4874">
        <v>-1.120441002</v>
      </c>
      <c r="AH4874">
        <v>13.157332238907999</v>
      </c>
      <c r="AI4874">
        <v>94.867342477164897</v>
      </c>
      <c r="AJ4874">
        <v>90.285515019411505</v>
      </c>
      <c r="AK4874">
        <v>13.205115621076001</v>
      </c>
      <c r="AL4874">
        <v>94.347768446925599</v>
      </c>
      <c r="AM4874">
        <v>89.259974788456901</v>
      </c>
      <c r="AN4874">
        <v>0.99999999277046803</v>
      </c>
    </row>
    <row r="4875" spans="1:40" x14ac:dyDescent="0.25">
      <c r="A4875" t="str">
        <f>"20190303154906276"</f>
        <v>20190303154906276</v>
      </c>
      <c r="B4875" t="str">
        <f>"1551599346266340"</f>
        <v>1551599346266340</v>
      </c>
      <c r="C4875" t="s">
        <v>40</v>
      </c>
      <c r="D4875">
        <v>5.7587849999999996</v>
      </c>
      <c r="E4875">
        <v>0.49360929999999997</v>
      </c>
      <c r="F4875" t="s">
        <v>41</v>
      </c>
      <c r="G4875">
        <v>-256.19409999999999</v>
      </c>
      <c r="H4875" s="1">
        <v>-1.981739E-6</v>
      </c>
      <c r="I4875">
        <v>140.99440000000001</v>
      </c>
      <c r="J4875">
        <v>-243.16309999999999</v>
      </c>
      <c r="K4875">
        <v>1.1204970000000001</v>
      </c>
      <c r="L4875">
        <v>140.94159999999999</v>
      </c>
      <c r="M4875">
        <v>-0.99990800000000002</v>
      </c>
      <c r="N4875">
        <v>-1.092333E-2</v>
      </c>
      <c r="O4875">
        <v>8.0457340000000006E-3</v>
      </c>
      <c r="P4875">
        <v>-0.99593109999999996</v>
      </c>
      <c r="Q4875">
        <v>-8.7302160000000004E-2</v>
      </c>
      <c r="R4875">
        <v>2.2359170000000001E-2</v>
      </c>
      <c r="S4875">
        <v>-2.9898069999999999</v>
      </c>
      <c r="T4875">
        <v>-0.25171209999999999</v>
      </c>
      <c r="U4875">
        <v>1.24054E-2</v>
      </c>
      <c r="V4875">
        <v>1.4327029999999999E-2</v>
      </c>
      <c r="W4875">
        <v>-7.6419860000000006E-2</v>
      </c>
      <c r="X4875">
        <v>0.99697279999999999</v>
      </c>
      <c r="Y4875">
        <v>-3.8600969999999998E-3</v>
      </c>
      <c r="Z4875">
        <v>-7.7173779999999896E-4</v>
      </c>
      <c r="AA4875">
        <v>0.99999229999999995</v>
      </c>
      <c r="AB4875">
        <v>29</v>
      </c>
      <c r="AC4875">
        <v>-13.031000000000001</v>
      </c>
      <c r="AD4875">
        <v>-1.1204989817390001</v>
      </c>
      <c r="AE4875">
        <v>5.2800000000018998E-2</v>
      </c>
      <c r="AF4875">
        <v>-5.1669890900679E-2</v>
      </c>
      <c r="AG4875">
        <v>-1.1204989817390001</v>
      </c>
      <c r="AH4875">
        <v>12.9353631481746</v>
      </c>
      <c r="AI4875">
        <v>94.950730595415706</v>
      </c>
      <c r="AJ4875">
        <v>90.228864926112806</v>
      </c>
      <c r="AK4875">
        <v>12.9839057113357</v>
      </c>
      <c r="AL4875">
        <v>94.382808408939994</v>
      </c>
      <c r="AM4875">
        <v>89.176685811462903</v>
      </c>
      <c r="AN4875">
        <v>1.0000000113654399</v>
      </c>
    </row>
    <row r="4876" spans="1:40" x14ac:dyDescent="0.25">
      <c r="A4876" t="str">
        <f>"20190303154906296"</f>
        <v>20190303154906296</v>
      </c>
      <c r="B4876" t="str">
        <f>"1551599346285859"</f>
        <v>1551599346285859</v>
      </c>
      <c r="C4876" t="s">
        <v>40</v>
      </c>
      <c r="D4876">
        <v>5.7204139999999999</v>
      </c>
      <c r="E4876">
        <v>0.49347459999999999</v>
      </c>
      <c r="F4876" t="s">
        <v>41</v>
      </c>
      <c r="G4876">
        <v>-256.26029999999997</v>
      </c>
      <c r="H4876" s="1">
        <v>-1.958024E-6</v>
      </c>
      <c r="I4876">
        <v>141.0121</v>
      </c>
      <c r="J4876">
        <v>-243.4299</v>
      </c>
      <c r="K4876">
        <v>1.1205449999999999</v>
      </c>
      <c r="L4876">
        <v>140.94380000000001</v>
      </c>
      <c r="M4876">
        <v>-0.9999015</v>
      </c>
      <c r="N4876">
        <v>-1.1436170000000001E-2</v>
      </c>
      <c r="O4876">
        <v>8.1382759999999998E-3</v>
      </c>
      <c r="P4876">
        <v>-0.99587760000000003</v>
      </c>
      <c r="Q4876">
        <v>-8.7566430000000001E-2</v>
      </c>
      <c r="R4876">
        <v>2.366E-2</v>
      </c>
      <c r="S4876">
        <v>-2.989471</v>
      </c>
      <c r="T4876">
        <v>-0.2557565</v>
      </c>
      <c r="U4876">
        <v>1.6113280000000001E-2</v>
      </c>
      <c r="V4876">
        <v>1.5535810000000001E-2</v>
      </c>
      <c r="W4876">
        <v>-7.6173569999999996E-2</v>
      </c>
      <c r="X4876">
        <v>0.99697349999999996</v>
      </c>
      <c r="Y4876">
        <v>-2.715379E-3</v>
      </c>
      <c r="Z4876">
        <v>-7.3353830000000004E-4</v>
      </c>
      <c r="AA4876">
        <v>0.99999610000000005</v>
      </c>
      <c r="AB4876">
        <v>29</v>
      </c>
      <c r="AC4876">
        <v>-12.8303999999999</v>
      </c>
      <c r="AD4876">
        <v>-1.120546958024</v>
      </c>
      <c r="AE4876">
        <v>6.8299999999993505E-2</v>
      </c>
      <c r="AF4876">
        <v>-3.5852966752041901E-2</v>
      </c>
      <c r="AG4876">
        <v>-1.120546958024</v>
      </c>
      <c r="AH4876">
        <v>12.733410151777701</v>
      </c>
      <c r="AI4876">
        <v>95.029084400079299</v>
      </c>
      <c r="AJ4876">
        <v>90.161325067272799</v>
      </c>
      <c r="AK4876">
        <v>12.7826697138648</v>
      </c>
      <c r="AL4876">
        <v>94.368655973338306</v>
      </c>
      <c r="AM4876">
        <v>89.107233738406094</v>
      </c>
      <c r="AN4876">
        <v>0.99999996693057402</v>
      </c>
    </row>
    <row r="4877" spans="1:40" x14ac:dyDescent="0.25">
      <c r="A4877" t="str">
        <f>"20190303154906320"</f>
        <v>20190303154906320</v>
      </c>
      <c r="B4877" t="str">
        <f>"1551599346316115"</f>
        <v>1551599346316115</v>
      </c>
      <c r="C4877" t="s">
        <v>40</v>
      </c>
      <c r="D4877">
        <v>5.7399820000000004</v>
      </c>
      <c r="E4877">
        <v>0.49333460000000001</v>
      </c>
      <c r="F4877" t="s">
        <v>41</v>
      </c>
      <c r="G4877">
        <v>-256.46190000000001</v>
      </c>
      <c r="H4877" s="1">
        <v>-1.8753530000000001E-6</v>
      </c>
      <c r="I4877">
        <v>141.0264</v>
      </c>
      <c r="J4877">
        <v>-243.72710000000001</v>
      </c>
      <c r="K4877">
        <v>1.1205799999999999</v>
      </c>
      <c r="L4877">
        <v>140.94640000000001</v>
      </c>
      <c r="M4877">
        <v>-0.99989470000000003</v>
      </c>
      <c r="N4877">
        <v>-1.19507E-2</v>
      </c>
      <c r="O4877">
        <v>8.2412219999999994E-3</v>
      </c>
      <c r="P4877">
        <v>-0.99585259999999998</v>
      </c>
      <c r="Q4877">
        <v>-8.77053E-2</v>
      </c>
      <c r="R4877">
        <v>2.419961E-2</v>
      </c>
      <c r="S4877">
        <v>-2.9893649999999998</v>
      </c>
      <c r="T4877">
        <v>-0.25703979999999998</v>
      </c>
      <c r="U4877">
        <v>1.895142E-2</v>
      </c>
      <c r="V4877">
        <v>1.5973040000000001E-2</v>
      </c>
      <c r="W4877">
        <v>-7.5799749999999999E-2</v>
      </c>
      <c r="X4877">
        <v>0.99699510000000002</v>
      </c>
      <c r="Y4877">
        <v>-1.8719629999999999E-3</v>
      </c>
      <c r="Z4877">
        <v>-7.0050139999999999E-4</v>
      </c>
      <c r="AA4877">
        <v>0.99999800000000005</v>
      </c>
      <c r="AB4877">
        <v>29</v>
      </c>
      <c r="AC4877">
        <v>-12.7348</v>
      </c>
      <c r="AD4877">
        <v>-1.1205818753529999</v>
      </c>
      <c r="AE4877">
        <v>7.9999999999984001E-2</v>
      </c>
      <c r="AF4877">
        <v>-2.4768744536447899E-2</v>
      </c>
      <c r="AG4877">
        <v>-1.1205818753529999</v>
      </c>
      <c r="AH4877">
        <v>12.6371824002967</v>
      </c>
      <c r="AI4877">
        <v>95.067347884445894</v>
      </c>
      <c r="AJ4877">
        <v>90.112298981179904</v>
      </c>
      <c r="AK4877">
        <v>12.6867921969442</v>
      </c>
      <c r="AL4877">
        <v>94.347175483088904</v>
      </c>
      <c r="AM4877">
        <v>89.082132412575703</v>
      </c>
      <c r="AN4877">
        <v>0.99999998476545704</v>
      </c>
    </row>
    <row r="4878" spans="1:40" x14ac:dyDescent="0.25">
      <c r="A4878" t="str">
        <f>"20190303154906343"</f>
        <v>20190303154906343</v>
      </c>
      <c r="B4878" t="str">
        <f>"1551599346335636"</f>
        <v>1551599346335636</v>
      </c>
      <c r="C4878" t="s">
        <v>40</v>
      </c>
      <c r="D4878">
        <v>5.735722</v>
      </c>
      <c r="E4878">
        <v>0.49328490000000003</v>
      </c>
      <c r="F4878" t="s">
        <v>41</v>
      </c>
      <c r="G4878">
        <v>-256.7278</v>
      </c>
      <c r="H4878" s="1">
        <v>-1.762635E-6</v>
      </c>
      <c r="I4878">
        <v>141.03139999999999</v>
      </c>
      <c r="J4878">
        <v>-244.02459999999999</v>
      </c>
      <c r="K4878">
        <v>1.120606</v>
      </c>
      <c r="L4878">
        <v>140.94890000000001</v>
      </c>
      <c r="M4878">
        <v>-0.99988840000000001</v>
      </c>
      <c r="N4878">
        <v>-1.2401219999999999E-2</v>
      </c>
      <c r="O4878">
        <v>8.3453139999999995E-3</v>
      </c>
      <c r="P4878">
        <v>-0.99580820000000003</v>
      </c>
      <c r="Q4878">
        <v>-8.8312420000000003E-2</v>
      </c>
      <c r="R4878">
        <v>2.3820640000000001E-2</v>
      </c>
      <c r="S4878">
        <v>-2.9893190000000001</v>
      </c>
      <c r="T4878">
        <v>-0.25766220000000001</v>
      </c>
      <c r="U4878">
        <v>1.9577029999999999E-2</v>
      </c>
      <c r="V4878">
        <v>1.5490779999999999E-2</v>
      </c>
      <c r="W4878">
        <v>-7.5958040000000004E-2</v>
      </c>
      <c r="X4878">
        <v>0.99699070000000001</v>
      </c>
      <c r="Y4878">
        <v>-1.76697799999999E-3</v>
      </c>
      <c r="Z4878">
        <v>-7.0162570000000001E-4</v>
      </c>
      <c r="AA4878">
        <v>0.99999819999999995</v>
      </c>
      <c r="AB4878">
        <v>29</v>
      </c>
      <c r="AC4878">
        <v>-12.703200000000001</v>
      </c>
      <c r="AD4878">
        <v>-1.1206077626349999</v>
      </c>
      <c r="AE4878">
        <v>8.2499999999981796E-2</v>
      </c>
      <c r="AF4878">
        <v>-2.33415736090264E-2</v>
      </c>
      <c r="AG4878">
        <v>-1.1206077626349999</v>
      </c>
      <c r="AH4878">
        <v>12.605357670821199</v>
      </c>
      <c r="AI4878">
        <v>95.080192337238401</v>
      </c>
      <c r="AJ4878">
        <v>90.106095531865293</v>
      </c>
      <c r="AK4878">
        <v>12.655091805122</v>
      </c>
      <c r="AL4878">
        <v>94.356270891836502</v>
      </c>
      <c r="AM4878">
        <v>89.109836327905597</v>
      </c>
      <c r="AN4878">
        <v>1.0000000219960601</v>
      </c>
    </row>
    <row r="4879" spans="1:40" x14ac:dyDescent="0.25">
      <c r="A4879" t="str">
        <f>"20190303154906363"</f>
        <v>20190303154906363</v>
      </c>
      <c r="B4879" t="str">
        <f>"1551599346356131"</f>
        <v>1551599346356131</v>
      </c>
      <c r="C4879" t="s">
        <v>40</v>
      </c>
      <c r="D4879">
        <v>5.7470999999999997</v>
      </c>
      <c r="E4879">
        <v>0.49322009999999999</v>
      </c>
      <c r="F4879" t="s">
        <v>42</v>
      </c>
      <c r="G4879">
        <v>-244.97630000000001</v>
      </c>
      <c r="H4879">
        <v>1.0378689999999999</v>
      </c>
      <c r="I4879">
        <v>140.95480000000001</v>
      </c>
      <c r="J4879">
        <v>-244.28970000000001</v>
      </c>
      <c r="K4879">
        <v>1.1206229999999999</v>
      </c>
      <c r="L4879">
        <v>140.9512</v>
      </c>
      <c r="M4879">
        <v>-0.99988319999999997</v>
      </c>
      <c r="N4879">
        <v>-1.275575E-2</v>
      </c>
      <c r="O4879">
        <v>8.4385840000000007E-3</v>
      </c>
      <c r="P4879">
        <v>-0.99577910000000003</v>
      </c>
      <c r="Q4879">
        <v>-8.8800240000000003E-2</v>
      </c>
      <c r="R4879">
        <v>2.3210709999999999E-2</v>
      </c>
      <c r="S4879">
        <v>-2.989166</v>
      </c>
      <c r="T4879">
        <v>-0.25984810000000003</v>
      </c>
      <c r="U4879">
        <v>1.792908E-2</v>
      </c>
      <c r="V4879">
        <v>1.478809E-2</v>
      </c>
      <c r="W4879">
        <v>-7.6092560000000004E-2</v>
      </c>
      <c r="X4879">
        <v>0.99699110000000002</v>
      </c>
      <c r="Y4879">
        <v>-2.4078350000000001E-3</v>
      </c>
      <c r="Z4879">
        <v>-7.4454410000000001E-4</v>
      </c>
      <c r="AA4879">
        <v>0.99999680000000002</v>
      </c>
      <c r="AB4879">
        <v>29</v>
      </c>
      <c r="AC4879">
        <v>-0.68659999999999799</v>
      </c>
      <c r="AD4879">
        <v>-8.2753999999999703E-2</v>
      </c>
      <c r="AE4879">
        <v>3.6000000000058199E-3</v>
      </c>
      <c r="AF4879">
        <v>-2.16310822374341E-3</v>
      </c>
      <c r="AG4879">
        <v>-8.2753999999999703E-2</v>
      </c>
      <c r="AH4879">
        <v>0.67677481867259104</v>
      </c>
      <c r="AI4879">
        <v>96.971314262819007</v>
      </c>
      <c r="AJ4879">
        <v>90.183128193306402</v>
      </c>
      <c r="AK4879">
        <v>0.68181893398651305</v>
      </c>
      <c r="AL4879">
        <v>94.364000745964901</v>
      </c>
      <c r="AM4879">
        <v>89.150210052451001</v>
      </c>
      <c r="AN4879">
        <v>1.0000000093862</v>
      </c>
    </row>
    <row r="4880" spans="1:40" x14ac:dyDescent="0.25">
      <c r="A4880" t="str">
        <f>"20190303154906387"</f>
        <v>20190303154906387</v>
      </c>
      <c r="B4880" t="str">
        <f>"1551599346375652"</f>
        <v>1551599346375652</v>
      </c>
      <c r="C4880" t="s">
        <v>40</v>
      </c>
      <c r="D4880">
        <v>5.4079490000000003</v>
      </c>
      <c r="E4880">
        <v>0.49308010000000002</v>
      </c>
      <c r="F4880" t="s">
        <v>42</v>
      </c>
      <c r="G4880">
        <v>-245.23150000000001</v>
      </c>
      <c r="H4880">
        <v>1.038152</v>
      </c>
      <c r="I4880">
        <v>140.95609999999999</v>
      </c>
      <c r="J4880">
        <v>-244.5848</v>
      </c>
      <c r="K4880">
        <v>1.120638</v>
      </c>
      <c r="L4880">
        <v>140.9539</v>
      </c>
      <c r="M4880">
        <v>-0.99987780000000004</v>
      </c>
      <c r="N4880">
        <v>-1.3100779999999999E-2</v>
      </c>
      <c r="O4880">
        <v>8.5428190000000001E-3</v>
      </c>
      <c r="P4880">
        <v>-0.99579949999999995</v>
      </c>
      <c r="Q4880">
        <v>-8.8887880000000002E-2</v>
      </c>
      <c r="R4880">
        <v>2.196422E-2</v>
      </c>
      <c r="S4880">
        <v>-2.9890289999999999</v>
      </c>
      <c r="T4880">
        <v>-0.26166889999999998</v>
      </c>
      <c r="U4880">
        <v>1.557922E-2</v>
      </c>
      <c r="V4880">
        <v>1.343778E-2</v>
      </c>
      <c r="W4880">
        <v>-7.5835699999999895E-2</v>
      </c>
      <c r="X4880">
        <v>0.99702979999999997</v>
      </c>
      <c r="Y4880">
        <v>-3.2934499999999998E-3</v>
      </c>
      <c r="Z4880">
        <v>-8.0018500000000002E-4</v>
      </c>
      <c r="AA4880">
        <v>0.9999943</v>
      </c>
      <c r="AB4880">
        <v>29</v>
      </c>
      <c r="AC4880">
        <v>-0.64670000000000905</v>
      </c>
      <c r="AD4880">
        <v>-8.2486000000000004E-2</v>
      </c>
      <c r="AE4880">
        <v>2.1999999999877599E-3</v>
      </c>
      <c r="AF4880">
        <v>-3.2719646475895302E-3</v>
      </c>
      <c r="AG4880">
        <v>-8.2486000000000004E-2</v>
      </c>
      <c r="AH4880">
        <v>0.63634279741964594</v>
      </c>
      <c r="AI4880">
        <v>97.385691467900401</v>
      </c>
      <c r="AJ4880">
        <v>90.2946023961874</v>
      </c>
      <c r="AK4880">
        <v>0.64167499700121999</v>
      </c>
      <c r="AL4880">
        <v>94.349241038145095</v>
      </c>
      <c r="AM4880">
        <v>89.227825020276796</v>
      </c>
      <c r="AN4880">
        <v>1.0000000247069201</v>
      </c>
    </row>
    <row r="4881" spans="1:40" x14ac:dyDescent="0.25">
      <c r="A4881" t="str">
        <f>"20190303154906408"</f>
        <v>20190303154906408</v>
      </c>
      <c r="B4881" t="str">
        <f>"1551599346405908"</f>
        <v>1551599346405908</v>
      </c>
      <c r="C4881" t="s">
        <v>40</v>
      </c>
      <c r="D4881">
        <v>5.7490629999999996</v>
      </c>
      <c r="E4881">
        <v>0.4891315</v>
      </c>
      <c r="F4881" t="s">
        <v>42</v>
      </c>
      <c r="G4881">
        <v>-245.49719999999999</v>
      </c>
      <c r="H4881">
        <v>1.0407280000000001</v>
      </c>
      <c r="I4881">
        <v>140.95740000000001</v>
      </c>
      <c r="J4881">
        <v>-244.85300000000001</v>
      </c>
      <c r="K4881">
        <v>1.1206510000000001</v>
      </c>
      <c r="L4881">
        <v>140.9562</v>
      </c>
      <c r="M4881">
        <v>-0.99987340000000002</v>
      </c>
      <c r="N4881">
        <v>-1.337503E-2</v>
      </c>
      <c r="O4881">
        <v>8.6373300000000004E-3</v>
      </c>
      <c r="P4881">
        <v>-0.99581580000000003</v>
      </c>
      <c r="Q4881">
        <v>-8.895844E-2</v>
      </c>
      <c r="R4881">
        <v>2.0924660000000001E-2</v>
      </c>
      <c r="S4881">
        <v>-2.9890439999999998</v>
      </c>
      <c r="T4881">
        <v>-0.26189479999999998</v>
      </c>
      <c r="U4881">
        <v>1.0726930000000001E-2</v>
      </c>
      <c r="V4881">
        <v>1.23042E-2</v>
      </c>
      <c r="W4881">
        <v>-7.5632409999999997E-2</v>
      </c>
      <c r="X4881">
        <v>0.99705980000000005</v>
      </c>
      <c r="Y4881">
        <v>-5.0035909999999999E-3</v>
      </c>
      <c r="Z4881">
        <v>-8.9230479999999996E-4</v>
      </c>
      <c r="AA4881">
        <v>0.99998710000000002</v>
      </c>
      <c r="AB4881">
        <v>28</v>
      </c>
      <c r="AC4881">
        <v>-0.64420000000001199</v>
      </c>
      <c r="AD4881">
        <v>-7.9922999999999897E-2</v>
      </c>
      <c r="AE4881">
        <v>1.20000000001141E-3</v>
      </c>
      <c r="AF4881">
        <v>-4.2985455898772902E-3</v>
      </c>
      <c r="AG4881">
        <v>-7.9922999999999897E-2</v>
      </c>
      <c r="AH4881">
        <v>0.63442119533154495</v>
      </c>
      <c r="AI4881">
        <v>97.180009718478303</v>
      </c>
      <c r="AJ4881">
        <v>90.388203851629299</v>
      </c>
      <c r="AK4881">
        <v>0.63945008914620904</v>
      </c>
      <c r="AL4881">
        <v>94.337560157214696</v>
      </c>
      <c r="AM4881">
        <v>89.292978267638503</v>
      </c>
      <c r="AN4881">
        <v>0.99999994977804196</v>
      </c>
    </row>
    <row r="4882" spans="1:40" x14ac:dyDescent="0.25">
      <c r="A4882" t="str">
        <f>"20190303154906431"</f>
        <v>20190303154906431</v>
      </c>
      <c r="B4882" t="str">
        <f>"1551599346425428"</f>
        <v>1551599346425428</v>
      </c>
      <c r="C4882" t="s">
        <v>40</v>
      </c>
      <c r="D4882">
        <v>5.7357870000000002</v>
      </c>
      <c r="E4882">
        <v>0.4899405</v>
      </c>
      <c r="F4882" t="s">
        <v>41</v>
      </c>
      <c r="G4882">
        <v>-256.91030000000001</v>
      </c>
      <c r="H4882" s="1">
        <v>-1.6385489999999999E-6</v>
      </c>
      <c r="I4882">
        <v>140.85929999999999</v>
      </c>
      <c r="J4882">
        <v>-245.1371</v>
      </c>
      <c r="K4882">
        <v>1.1206560000000001</v>
      </c>
      <c r="L4882">
        <v>140.9588</v>
      </c>
      <c r="M4882">
        <v>-0.99986900000000001</v>
      </c>
      <c r="N4882">
        <v>-1.362799E-2</v>
      </c>
      <c r="O4882">
        <v>8.7373709999999903E-3</v>
      </c>
      <c r="P4882">
        <v>-0.99586110000000005</v>
      </c>
      <c r="Q4882">
        <v>-8.8707480000000005E-2</v>
      </c>
      <c r="R4882">
        <v>1.978866E-2</v>
      </c>
      <c r="S4882">
        <v>-2.9882810000000002</v>
      </c>
      <c r="T4882">
        <v>-0.2777443</v>
      </c>
      <c r="U4882">
        <v>-2.4002079999999999E-2</v>
      </c>
      <c r="V4882">
        <v>1.106819E-2</v>
      </c>
      <c r="W4882">
        <v>-7.5128429999999996E-2</v>
      </c>
      <c r="X4882">
        <v>0.99711249999999996</v>
      </c>
      <c r="Y4882">
        <v>-1.6659609999999998E-2</v>
      </c>
      <c r="Z4882">
        <v>-1.5778109999999999E-3</v>
      </c>
      <c r="AA4882">
        <v>0.99985999999999997</v>
      </c>
      <c r="AB4882">
        <v>28</v>
      </c>
      <c r="AC4882">
        <v>-11.773199999999999</v>
      </c>
      <c r="AD4882">
        <v>-1.1206576385489999</v>
      </c>
      <c r="AE4882">
        <v>-9.9500000000006097E-2</v>
      </c>
      <c r="AF4882">
        <v>-0.20055554357271199</v>
      </c>
      <c r="AG4882">
        <v>-1.1206576385489999</v>
      </c>
      <c r="AH4882">
        <v>11.6661859926045</v>
      </c>
      <c r="AI4882">
        <v>95.486209648252697</v>
      </c>
      <c r="AJ4882">
        <v>90.984885240950703</v>
      </c>
      <c r="AK4882">
        <v>11.7216036310283</v>
      </c>
      <c r="AL4882">
        <v>94.308601354372399</v>
      </c>
      <c r="AM4882">
        <v>89.364029104374794</v>
      </c>
      <c r="AN4882">
        <v>1.0000000617401901</v>
      </c>
    </row>
    <row r="4883" spans="1:40" x14ac:dyDescent="0.25">
      <c r="A4883" t="str">
        <f>"20190303154906455"</f>
        <v>20190303154906455</v>
      </c>
      <c r="B4883" t="str">
        <f>"1551599346445923"</f>
        <v>1551599346445923</v>
      </c>
      <c r="C4883" t="s">
        <v>40</v>
      </c>
      <c r="D4883">
        <v>8.0799629999999993</v>
      </c>
      <c r="E4883">
        <v>0.49068509999999999</v>
      </c>
      <c r="F4883" t="s">
        <v>41</v>
      </c>
      <c r="G4883">
        <v>-257.34350000000001</v>
      </c>
      <c r="H4883" s="1">
        <v>-1.4564510000000001E-6</v>
      </c>
      <c r="I4883">
        <v>140.8734</v>
      </c>
      <c r="J4883">
        <v>-245.44829999999999</v>
      </c>
      <c r="K4883">
        <v>1.1206700000000001</v>
      </c>
      <c r="L4883">
        <v>140.96170000000001</v>
      </c>
      <c r="M4883">
        <v>-0.99986470000000005</v>
      </c>
      <c r="N4883">
        <v>-1.386688E-2</v>
      </c>
      <c r="O4883">
        <v>8.8471909999999904E-3</v>
      </c>
      <c r="P4883">
        <v>-0.99586719999999895</v>
      </c>
      <c r="Q4883">
        <v>-8.8797360000000006E-2</v>
      </c>
      <c r="R4883">
        <v>1.9068149999999999E-2</v>
      </c>
      <c r="S4883">
        <v>-2.9884490000000001</v>
      </c>
      <c r="T4883">
        <v>-0.27436709999999997</v>
      </c>
      <c r="U4883">
        <v>-2.0904539999999999E-2</v>
      </c>
      <c r="V4883">
        <v>1.023844E-2</v>
      </c>
      <c r="W4883">
        <v>-7.4979859999999995E-2</v>
      </c>
      <c r="X4883">
        <v>0.99713249999999998</v>
      </c>
      <c r="Y4883">
        <v>-1.5739449999999999E-2</v>
      </c>
      <c r="Z4883">
        <v>-1.5184549999999999E-3</v>
      </c>
      <c r="AA4883">
        <v>0.99987490000000001</v>
      </c>
      <c r="AB4883">
        <v>28</v>
      </c>
      <c r="AC4883">
        <v>-11.895200000000001</v>
      </c>
      <c r="AD4883">
        <v>-1.1206714564510001</v>
      </c>
      <c r="AE4883">
        <v>-8.8300000000003806E-2</v>
      </c>
      <c r="AF4883">
        <v>-0.191843081554714</v>
      </c>
      <c r="AG4883">
        <v>-1.1206714564510001</v>
      </c>
      <c r="AH4883">
        <v>11.7893178689339</v>
      </c>
      <c r="AI4883">
        <v>95.429403345787193</v>
      </c>
      <c r="AJ4883">
        <v>90.932270125849698</v>
      </c>
      <c r="AK4883">
        <v>11.844016383643201</v>
      </c>
      <c r="AL4883">
        <v>94.300065049859796</v>
      </c>
      <c r="AM4883">
        <v>89.411714304314302</v>
      </c>
      <c r="AN4883">
        <v>1.0000000138077501</v>
      </c>
    </row>
    <row r="4884" spans="1:40" x14ac:dyDescent="0.25">
      <c r="A4884" t="str">
        <f>"20190303154906477"</f>
        <v>20190303154906477</v>
      </c>
      <c r="B4884" t="str">
        <f>"1551599346465443"</f>
        <v>1551599346465443</v>
      </c>
      <c r="C4884" t="s">
        <v>40</v>
      </c>
      <c r="D4884">
        <v>5.7381419999999999</v>
      </c>
      <c r="E4884">
        <v>0.49128319999999998</v>
      </c>
      <c r="F4884" t="s">
        <v>41</v>
      </c>
      <c r="G4884">
        <v>-257.92090000000002</v>
      </c>
      <c r="H4884" s="1">
        <v>-1.213241E-6</v>
      </c>
      <c r="I4884">
        <v>140.89019999999999</v>
      </c>
      <c r="J4884">
        <v>-245.71350000000001</v>
      </c>
      <c r="K4884">
        <v>1.1206830000000001</v>
      </c>
      <c r="L4884">
        <v>140.9641</v>
      </c>
      <c r="M4884">
        <v>-0.99986160000000002</v>
      </c>
      <c r="N4884">
        <v>-1.404174E-2</v>
      </c>
      <c r="O4884">
        <v>8.9406209999999993E-3</v>
      </c>
      <c r="P4884">
        <v>-0.99590389999999995</v>
      </c>
      <c r="Q4884">
        <v>-8.848425E-2</v>
      </c>
      <c r="R4884">
        <v>1.8605940000000001E-2</v>
      </c>
      <c r="S4884">
        <v>-2.9888150000000002</v>
      </c>
      <c r="T4884">
        <v>-0.26854909999999999</v>
      </c>
      <c r="U4884">
        <v>-1.7105099999999901E-2</v>
      </c>
      <c r="V4884">
        <v>9.6830600000000003E-3</v>
      </c>
      <c r="W4884">
        <v>-7.4491799999999997E-2</v>
      </c>
      <c r="X4884">
        <v>0.99717460000000002</v>
      </c>
      <c r="Y4884">
        <v>-1.457053E-2</v>
      </c>
      <c r="Z4884">
        <v>-1.432179E-3</v>
      </c>
      <c r="AA4884">
        <v>0.99989280000000003</v>
      </c>
      <c r="AB4884">
        <v>28</v>
      </c>
      <c r="AC4884">
        <v>-12.2074</v>
      </c>
      <c r="AD4884">
        <v>-1.120684213241</v>
      </c>
      <c r="AE4884">
        <v>-7.3900000000008903E-2</v>
      </c>
      <c r="AF4884">
        <v>-0.18151974922535399</v>
      </c>
      <c r="AG4884">
        <v>-1.120684213241</v>
      </c>
      <c r="AH4884">
        <v>12.1042414376675</v>
      </c>
      <c r="AI4884">
        <v>95.289119653343903</v>
      </c>
      <c r="AJ4884">
        <v>90.859164619350807</v>
      </c>
      <c r="AK4884">
        <v>12.157365804585901</v>
      </c>
      <c r="AL4884">
        <v>94.272022965372798</v>
      </c>
      <c r="AM4884">
        <v>89.443647046613293</v>
      </c>
      <c r="AN4884">
        <v>0.99999998640168097</v>
      </c>
    </row>
    <row r="4885" spans="1:40" x14ac:dyDescent="0.25">
      <c r="A4885" t="str">
        <f>"20190303154906498"</f>
        <v>20190303154906498</v>
      </c>
      <c r="B4885" t="str">
        <f>"1551599346485939"</f>
        <v>1551599346485939</v>
      </c>
      <c r="C4885" t="s">
        <v>40</v>
      </c>
      <c r="D4885">
        <v>5.7058720000000003</v>
      </c>
      <c r="E4885">
        <v>0.49143799999999999</v>
      </c>
      <c r="F4885" t="s">
        <v>41</v>
      </c>
      <c r="G4885">
        <v>-258.75479999999999</v>
      </c>
      <c r="H4885" s="1">
        <v>-8.5927909999999997E-7</v>
      </c>
      <c r="I4885">
        <v>140.90450000000001</v>
      </c>
      <c r="J4885">
        <v>-245.98699999999999</v>
      </c>
      <c r="K4885">
        <v>1.1207</v>
      </c>
      <c r="L4885">
        <v>140.9667</v>
      </c>
      <c r="M4885">
        <v>-0.99985840000000004</v>
      </c>
      <c r="N4885">
        <v>-1.419833E-2</v>
      </c>
      <c r="O4885">
        <v>9.0373239999999994E-3</v>
      </c>
      <c r="P4885">
        <v>-0.99585829999999997</v>
      </c>
      <c r="Q4885">
        <v>-8.8825989999999994E-2</v>
      </c>
      <c r="R4885">
        <v>1.9410030000000002E-2</v>
      </c>
      <c r="S4885">
        <v>-2.9897610000000001</v>
      </c>
      <c r="T4885">
        <v>-0.2569208</v>
      </c>
      <c r="U4885">
        <v>-1.365662E-2</v>
      </c>
      <c r="V4885">
        <v>1.0391259999999999E-2</v>
      </c>
      <c r="W4885">
        <v>-7.4677999999999994E-2</v>
      </c>
      <c r="X4885">
        <v>0.99715359999999997</v>
      </c>
      <c r="Y4885">
        <v>-1.3524380000000001E-2</v>
      </c>
      <c r="Z4885">
        <v>-1.323299E-3</v>
      </c>
      <c r="AA4885">
        <v>0.99990769999999995</v>
      </c>
      <c r="AB4885">
        <v>28</v>
      </c>
      <c r="AC4885">
        <v>-12.7677999999999</v>
      </c>
      <c r="AD4885">
        <v>-1.1207008592790999</v>
      </c>
      <c r="AE4885">
        <v>-6.2199999999989999E-2</v>
      </c>
      <c r="AF4885">
        <v>-0.176238029670964</v>
      </c>
      <c r="AG4885">
        <v>-1.1207008592790999</v>
      </c>
      <c r="AH4885">
        <v>12.6691088485936</v>
      </c>
      <c r="AI4885">
        <v>95.054701355808902</v>
      </c>
      <c r="AJ4885">
        <v>90.796981393526593</v>
      </c>
      <c r="AK4885">
        <v>12.719801463725901</v>
      </c>
      <c r="AL4885">
        <v>94.282720999454497</v>
      </c>
      <c r="AM4885">
        <v>89.402946756136998</v>
      </c>
      <c r="AN4885">
        <v>1.0000000419806701</v>
      </c>
    </row>
    <row r="4886" spans="1:40" x14ac:dyDescent="0.25">
      <c r="A4886" t="str">
        <f>"20190303154906522"</f>
        <v>20190303154906522</v>
      </c>
      <c r="B4886" t="str">
        <f>"1551599346516196"</f>
        <v>1551599346516196</v>
      </c>
      <c r="C4886" t="s">
        <v>40</v>
      </c>
      <c r="D4886">
        <v>5.7077159999999996</v>
      </c>
      <c r="E4886">
        <v>0.49144719999999997</v>
      </c>
      <c r="F4886" t="s">
        <v>41</v>
      </c>
      <c r="G4886">
        <v>-258.8449</v>
      </c>
      <c r="H4886" s="1">
        <v>-8.2564189999999898E-7</v>
      </c>
      <c r="I4886">
        <v>140.92330000000001</v>
      </c>
      <c r="J4886">
        <v>-246.27610000000001</v>
      </c>
      <c r="K4886">
        <v>1.1207119999999999</v>
      </c>
      <c r="L4886">
        <v>140.96940000000001</v>
      </c>
      <c r="M4886">
        <v>-0.99985539999999995</v>
      </c>
      <c r="N4886">
        <v>-1.43408999999999E-2</v>
      </c>
      <c r="O4886">
        <v>9.1396570000000007E-3</v>
      </c>
      <c r="P4886">
        <v>-0.99587879999999995</v>
      </c>
      <c r="Q4886">
        <v>-8.8477910000000007E-2</v>
      </c>
      <c r="R4886">
        <v>1.993719E-2</v>
      </c>
      <c r="S4886">
        <v>-2.9894409999999998</v>
      </c>
      <c r="T4886">
        <v>-0.26056109999999999</v>
      </c>
      <c r="U4886">
        <v>-1.005554E-2</v>
      </c>
      <c r="V4886">
        <v>1.081647E-2</v>
      </c>
      <c r="W4886">
        <v>-7.4187489999999995E-2</v>
      </c>
      <c r="X4886">
        <v>0.99718560000000001</v>
      </c>
      <c r="Y4886">
        <v>-1.2425E-2</v>
      </c>
      <c r="Z4886">
        <v>-1.293984E-3</v>
      </c>
      <c r="AA4886">
        <v>0.99992199999999998</v>
      </c>
      <c r="AB4886">
        <v>28</v>
      </c>
      <c r="AC4886">
        <v>-12.5687999999999</v>
      </c>
      <c r="AD4886">
        <v>-1.1207128256418999</v>
      </c>
      <c r="AE4886">
        <v>-4.6099999999995499E-2</v>
      </c>
      <c r="AF4886">
        <v>-0.159714595434957</v>
      </c>
      <c r="AG4886">
        <v>-1.1207128256418999</v>
      </c>
      <c r="AH4886">
        <v>12.4687208024925</v>
      </c>
      <c r="AI4886">
        <v>95.135635499539404</v>
      </c>
      <c r="AJ4886">
        <v>90.733874144260199</v>
      </c>
      <c r="AK4886">
        <v>12.520004170928299</v>
      </c>
      <c r="AL4886">
        <v>94.254539061671693</v>
      </c>
      <c r="AM4886">
        <v>89.378537178672403</v>
      </c>
      <c r="AN4886">
        <v>0.99999995027155897</v>
      </c>
    </row>
    <row r="4887" spans="1:40" x14ac:dyDescent="0.25">
      <c r="A4887" t="str">
        <f>"20190303154906542"</f>
        <v>20190303154906542</v>
      </c>
      <c r="B4887" t="str">
        <f>"1551599346535715"</f>
        <v>1551599346535715</v>
      </c>
      <c r="C4887" t="s">
        <v>40</v>
      </c>
      <c r="D4887">
        <v>5.685009</v>
      </c>
      <c r="E4887">
        <v>0.49158449999999998</v>
      </c>
      <c r="F4887" t="s">
        <v>42</v>
      </c>
      <c r="G4887">
        <v>-247.25389999999999</v>
      </c>
      <c r="H4887">
        <v>1.0355799999999999</v>
      </c>
      <c r="I4887">
        <v>140.96680000000001</v>
      </c>
      <c r="J4887">
        <v>-246.55019999999999</v>
      </c>
      <c r="K4887">
        <v>1.1207240000000001</v>
      </c>
      <c r="L4887">
        <v>140.97200000000001</v>
      </c>
      <c r="M4887">
        <v>-0.99985279999999999</v>
      </c>
      <c r="N4887">
        <v>-1.4455620000000001E-2</v>
      </c>
      <c r="O4887">
        <v>9.2368729999999996E-3</v>
      </c>
      <c r="P4887">
        <v>-0.99591050000000003</v>
      </c>
      <c r="Q4887">
        <v>-8.8017639999999994E-2</v>
      </c>
      <c r="R4887">
        <v>2.0383229999999999E-2</v>
      </c>
      <c r="S4887">
        <v>-2.989471</v>
      </c>
      <c r="T4887">
        <v>-0.26031120000000002</v>
      </c>
      <c r="U4887">
        <v>-8.3923339999999996E-3</v>
      </c>
      <c r="V4887">
        <v>1.116556E-2</v>
      </c>
      <c r="W4887">
        <v>-7.361239E-2</v>
      </c>
      <c r="X4887">
        <v>0.99722449999999996</v>
      </c>
      <c r="Y4887">
        <v>-1.196783E-2</v>
      </c>
      <c r="Z4887">
        <v>-1.2762279999999999E-3</v>
      </c>
      <c r="AA4887">
        <v>0.99992760000000003</v>
      </c>
      <c r="AB4887">
        <v>28</v>
      </c>
      <c r="AC4887">
        <v>-0.70369999999999699</v>
      </c>
      <c r="AD4887">
        <v>-8.5144000000000095E-2</v>
      </c>
      <c r="AE4887">
        <v>-5.2000000000020901E-3</v>
      </c>
      <c r="AF4887">
        <v>-1.1531634423871701E-2</v>
      </c>
      <c r="AG4887">
        <v>-8.5144000000000095E-2</v>
      </c>
      <c r="AH4887">
        <v>0.69347027494077995</v>
      </c>
      <c r="AI4887">
        <v>96.998761758266099</v>
      </c>
      <c r="AJ4887">
        <v>90.952676873419406</v>
      </c>
      <c r="AK4887">
        <v>0.69877285404838596</v>
      </c>
      <c r="AL4887">
        <v>94.221497368567597</v>
      </c>
      <c r="AM4887">
        <v>89.358506803295995</v>
      </c>
      <c r="AN4887">
        <v>1.00000007854593</v>
      </c>
    </row>
    <row r="4888" spans="1:40" x14ac:dyDescent="0.25">
      <c r="A4888" t="str">
        <f>"20190303154906564"</f>
        <v>20190303154906564</v>
      </c>
      <c r="B4888" t="str">
        <f>"1551599346556215"</f>
        <v>1551599346556215</v>
      </c>
      <c r="C4888" t="s">
        <v>40</v>
      </c>
      <c r="D4888">
        <v>5.7010370000000004</v>
      </c>
      <c r="E4888">
        <v>0.4915774</v>
      </c>
      <c r="F4888" t="s">
        <v>41</v>
      </c>
      <c r="G4888">
        <v>-259.47949999999997</v>
      </c>
      <c r="H4888" s="1">
        <v>-5.5949619999999998E-7</v>
      </c>
      <c r="I4888">
        <v>140.9461</v>
      </c>
      <c r="J4888">
        <v>-246.8261</v>
      </c>
      <c r="K4888">
        <v>1.1207370000000001</v>
      </c>
      <c r="L4888">
        <v>140.97470000000001</v>
      </c>
      <c r="M4888">
        <v>-0.99985060000000003</v>
      </c>
      <c r="N4888">
        <v>-1.455482E-2</v>
      </c>
      <c r="O4888">
        <v>9.3344369999999992E-3</v>
      </c>
      <c r="P4888">
        <v>-0.99590809999999996</v>
      </c>
      <c r="Q4888">
        <v>-8.7875380000000003E-2</v>
      </c>
      <c r="R4888">
        <v>2.1104850000000001E-2</v>
      </c>
      <c r="S4888">
        <v>-2.989563</v>
      </c>
      <c r="T4888">
        <v>-0.25913989999999998</v>
      </c>
      <c r="U4888">
        <v>-5.9661870000000004E-3</v>
      </c>
      <c r="V4888">
        <v>1.179001E-2</v>
      </c>
      <c r="W4888">
        <v>-7.3371279999999997E-2</v>
      </c>
      <c r="X4888">
        <v>0.99723499999999998</v>
      </c>
      <c r="Y4888">
        <v>-1.1257430000000001E-2</v>
      </c>
      <c r="Z4888">
        <v>-1.241044E-3</v>
      </c>
      <c r="AA4888">
        <v>0.99993589999999999</v>
      </c>
      <c r="AB4888">
        <v>28</v>
      </c>
      <c r="AC4888">
        <v>-12.6533999999999</v>
      </c>
      <c r="AD4888">
        <v>-1.1207375594961999</v>
      </c>
      <c r="AE4888">
        <v>-2.8600000000011502E-2</v>
      </c>
      <c r="AF4888">
        <v>-0.145581537388358</v>
      </c>
      <c r="AG4888">
        <v>-1.1207375594961999</v>
      </c>
      <c r="AH4888">
        <v>12.5540951508181</v>
      </c>
      <c r="AI4888">
        <v>95.1010824627799</v>
      </c>
      <c r="AJ4888">
        <v>90.664391475651499</v>
      </c>
      <c r="AK4888">
        <v>12.604862225232299</v>
      </c>
      <c r="AL4888">
        <v>94.207645668916399</v>
      </c>
      <c r="AM4888">
        <v>89.322640759421105</v>
      </c>
      <c r="AN4888">
        <v>0.99999999714481902</v>
      </c>
    </row>
    <row r="4889" spans="1:40" x14ac:dyDescent="0.25">
      <c r="A4889" t="str">
        <f>"20190303154906586"</f>
        <v>20190303154906586</v>
      </c>
      <c r="B4889" t="str">
        <f>"1551599346575732"</f>
        <v>1551599346575732</v>
      </c>
      <c r="C4889" t="s">
        <v>40</v>
      </c>
      <c r="D4889">
        <v>5.6715619999999998</v>
      </c>
      <c r="E4889">
        <v>0.49165160000000002</v>
      </c>
      <c r="F4889" t="s">
        <v>41</v>
      </c>
      <c r="G4889">
        <v>-259.77190000000002</v>
      </c>
      <c r="H4889" s="1">
        <v>-4.3724550000000001E-7</v>
      </c>
      <c r="I4889">
        <v>140.9581</v>
      </c>
      <c r="J4889">
        <v>-247.09270000000001</v>
      </c>
      <c r="K4889">
        <v>1.1207499999999999</v>
      </c>
      <c r="L4889">
        <v>140.97730000000001</v>
      </c>
      <c r="M4889">
        <v>-0.99984850000000003</v>
      </c>
      <c r="N4889">
        <v>-1.4637219999999999E-2</v>
      </c>
      <c r="O4889">
        <v>9.4284829999999997E-3</v>
      </c>
      <c r="P4889">
        <v>-0.99590420000000002</v>
      </c>
      <c r="Q4889">
        <v>-8.7790560000000004E-2</v>
      </c>
      <c r="R4889">
        <v>2.1627469999999999E-2</v>
      </c>
      <c r="S4889">
        <v>-2.9895779999999998</v>
      </c>
      <c r="T4889">
        <v>-0.25881480000000001</v>
      </c>
      <c r="U4889">
        <v>-3.799438E-3</v>
      </c>
      <c r="V4889">
        <v>1.2218949999999999E-2</v>
      </c>
      <c r="W4889">
        <v>-7.3204350000000001E-2</v>
      </c>
      <c r="X4889">
        <v>0.99724210000000002</v>
      </c>
      <c r="Y4889">
        <v>-1.062947E-2</v>
      </c>
      <c r="Z4889">
        <v>-1.2141299999999999E-3</v>
      </c>
      <c r="AA4889">
        <v>0.99994280000000002</v>
      </c>
      <c r="AB4889">
        <v>28</v>
      </c>
      <c r="AC4889">
        <v>-12.6792</v>
      </c>
      <c r="AD4889">
        <v>-1.1207504372454999</v>
      </c>
      <c r="AE4889">
        <v>-1.9200000000011999E-2</v>
      </c>
      <c r="AF4889">
        <v>-0.137681820329143</v>
      </c>
      <c r="AG4889">
        <v>-1.1207504372454999</v>
      </c>
      <c r="AH4889">
        <v>12.5801629755208</v>
      </c>
      <c r="AI4889">
        <v>95.090663305333194</v>
      </c>
      <c r="AJ4889">
        <v>90.627040547580506</v>
      </c>
      <c r="AK4889">
        <v>12.630737837391001</v>
      </c>
      <c r="AL4889">
        <v>94.198055513067303</v>
      </c>
      <c r="AM4889">
        <v>89.298004733995498</v>
      </c>
      <c r="AN4889">
        <v>0.99999999280521701</v>
      </c>
    </row>
    <row r="4890" spans="1:40" x14ac:dyDescent="0.25">
      <c r="A4890" t="str">
        <f>"20190303154906609"</f>
        <v>20190303154906609</v>
      </c>
      <c r="B4890" t="str">
        <f>"1551599346605988"</f>
        <v>1551599346605988</v>
      </c>
      <c r="C4890" t="s">
        <v>40</v>
      </c>
      <c r="D4890">
        <v>5.6432580000000003</v>
      </c>
      <c r="E4890">
        <v>0.49186580000000002</v>
      </c>
      <c r="F4890" t="s">
        <v>41</v>
      </c>
      <c r="G4890">
        <v>-260.11040000000003</v>
      </c>
      <c r="H4890" s="1">
        <v>-4.4786060000000004E-6</v>
      </c>
      <c r="I4890">
        <v>140.97</v>
      </c>
      <c r="J4890">
        <v>-247.38419999999999</v>
      </c>
      <c r="K4890">
        <v>1.1207609999999999</v>
      </c>
      <c r="L4890">
        <v>140.9802</v>
      </c>
      <c r="M4890">
        <v>-0.99984629999999997</v>
      </c>
      <c r="N4890">
        <v>-1.4714039999999999E-2</v>
      </c>
      <c r="O4890">
        <v>9.5312669999999995E-3</v>
      </c>
      <c r="P4890">
        <v>-0.99591450000000004</v>
      </c>
      <c r="Q4890">
        <v>-8.7483820000000004E-2</v>
      </c>
      <c r="R4890">
        <v>2.2380589999999999E-2</v>
      </c>
      <c r="S4890">
        <v>-2.9896699999999998</v>
      </c>
      <c r="T4890">
        <v>-0.25739479999999998</v>
      </c>
      <c r="U4890">
        <v>-1.6479489999999999E-3</v>
      </c>
      <c r="V4890">
        <v>1.286965E-2</v>
      </c>
      <c r="W4890">
        <v>-7.2820889999999999E-2</v>
      </c>
      <c r="X4890">
        <v>0.99726199999999998</v>
      </c>
      <c r="Y4890">
        <v>-1.001584E-2</v>
      </c>
      <c r="Z4890">
        <v>-1.1832399999999999E-3</v>
      </c>
      <c r="AA4890">
        <v>0.99994919999999998</v>
      </c>
      <c r="AB4890">
        <v>28</v>
      </c>
      <c r="AC4890">
        <v>-12.7262</v>
      </c>
      <c r="AD4890">
        <v>-1.120765478606</v>
      </c>
      <c r="AE4890">
        <v>-1.0199999999997499E-2</v>
      </c>
      <c r="AF4890">
        <v>-0.13049735774253701</v>
      </c>
      <c r="AG4890">
        <v>-1.120765478606</v>
      </c>
      <c r="AH4890">
        <v>12.6275863864357</v>
      </c>
      <c r="AI4890">
        <v>95.071745460753505</v>
      </c>
      <c r="AJ4890">
        <v>90.592091113090007</v>
      </c>
      <c r="AK4890">
        <v>12.6778974110579</v>
      </c>
      <c r="AL4890">
        <v>94.176026033155495</v>
      </c>
      <c r="AM4890">
        <v>89.260639933128999</v>
      </c>
      <c r="AN4890">
        <v>1.0000000032777501</v>
      </c>
    </row>
    <row r="4891" spans="1:40" x14ac:dyDescent="0.25">
      <c r="A4891" t="str">
        <f>"20190303154906633"</f>
        <v>20190303154906633</v>
      </c>
      <c r="B4891" t="str">
        <f>"1551599346625507"</f>
        <v>1551599346625507</v>
      </c>
      <c r="C4891" t="s">
        <v>40</v>
      </c>
      <c r="D4891">
        <v>5.6510860000000003</v>
      </c>
      <c r="E4891">
        <v>0.49177890000000002</v>
      </c>
      <c r="F4891" t="s">
        <v>41</v>
      </c>
      <c r="G4891">
        <v>-260.4393</v>
      </c>
      <c r="H4891" s="1">
        <v>-4.3702309999999999E-6</v>
      </c>
      <c r="I4891">
        <v>140.99019999999999</v>
      </c>
      <c r="J4891">
        <v>-247.67490000000001</v>
      </c>
      <c r="K4891">
        <v>1.12077</v>
      </c>
      <c r="L4891">
        <v>140.98310000000001</v>
      </c>
      <c r="M4891">
        <v>-0.99984439999999997</v>
      </c>
      <c r="N4891">
        <v>-1.4778990000000001E-2</v>
      </c>
      <c r="O4891">
        <v>9.6339549999999996E-3</v>
      </c>
      <c r="P4891">
        <v>-0.99590509999999999</v>
      </c>
      <c r="Q4891">
        <v>-8.7502720000000006E-2</v>
      </c>
      <c r="R4891">
        <v>2.2731919999999999E-2</v>
      </c>
      <c r="S4891">
        <v>-2.9897459999999998</v>
      </c>
      <c r="T4891">
        <v>-0.25666549999999999</v>
      </c>
      <c r="U4891">
        <v>2.3040769999999999E-3</v>
      </c>
      <c r="V4891">
        <v>1.3118929999999999E-2</v>
      </c>
      <c r="W4891">
        <v>-7.2775140000000002E-2</v>
      </c>
      <c r="X4891">
        <v>0.99726210000000004</v>
      </c>
      <c r="Y4891">
        <v>-8.8021249999999992E-3</v>
      </c>
      <c r="Z4891">
        <v>-1.1256770000000001E-3</v>
      </c>
      <c r="AA4891">
        <v>0.99996059999999998</v>
      </c>
      <c r="AB4891">
        <v>28</v>
      </c>
      <c r="AC4891">
        <v>-12.764399999999901</v>
      </c>
      <c r="AD4891">
        <v>-1.120774370231</v>
      </c>
      <c r="AE4891">
        <v>7.0999999999799002E-3</v>
      </c>
      <c r="AF4891">
        <v>-0.114998811014245</v>
      </c>
      <c r="AG4891">
        <v>-1.120774370231</v>
      </c>
      <c r="AH4891">
        <v>12.6662235888927</v>
      </c>
      <c r="AI4891">
        <v>95.056456054550793</v>
      </c>
      <c r="AJ4891">
        <v>90.520183892034098</v>
      </c>
      <c r="AK4891">
        <v>12.716232929579601</v>
      </c>
      <c r="AL4891">
        <v>94.173397742453602</v>
      </c>
      <c r="AM4891">
        <v>89.246320534636496</v>
      </c>
      <c r="AN4891">
        <v>1.0000000117113801</v>
      </c>
    </row>
    <row r="4892" spans="1:40" x14ac:dyDescent="0.25">
      <c r="A4892" t="str">
        <f>"20190303154906657"</f>
        <v>20190303154906657</v>
      </c>
      <c r="B4892" t="str">
        <f>"1551599346646003"</f>
        <v>1551599346646003</v>
      </c>
      <c r="C4892" t="s">
        <v>40</v>
      </c>
      <c r="D4892">
        <v>5.6046800000000001</v>
      </c>
      <c r="E4892">
        <v>0.49156879999999997</v>
      </c>
      <c r="F4892" t="s">
        <v>41</v>
      </c>
      <c r="G4892">
        <v>-260.67660000000001</v>
      </c>
      <c r="H4892" s="1">
        <v>-4.2902190000000003E-6</v>
      </c>
      <c r="I4892">
        <v>140.99440000000001</v>
      </c>
      <c r="J4892">
        <v>-247.97219999999999</v>
      </c>
      <c r="K4892">
        <v>1.120784</v>
      </c>
      <c r="L4892">
        <v>140.98599999999999</v>
      </c>
      <c r="M4892">
        <v>-0.99984260000000003</v>
      </c>
      <c r="N4892">
        <v>-1.4834979999999999E-2</v>
      </c>
      <c r="O4892">
        <v>9.7392090000000004E-3</v>
      </c>
      <c r="P4892">
        <v>-0.99590100000000004</v>
      </c>
      <c r="Q4892">
        <v>-8.7494180000000005E-2</v>
      </c>
      <c r="R4892">
        <v>2.2934929999999999E-2</v>
      </c>
      <c r="S4892">
        <v>-2.9896240000000001</v>
      </c>
      <c r="T4892">
        <v>-0.25771119999999997</v>
      </c>
      <c r="U4892">
        <v>2.6092530000000002E-3</v>
      </c>
      <c r="V4892">
        <v>1.3217059999999999E-2</v>
      </c>
      <c r="W4892">
        <v>-7.2710759999999999E-2</v>
      </c>
      <c r="X4892">
        <v>0.99726550000000003</v>
      </c>
      <c r="Y4892">
        <v>-8.804503E-3</v>
      </c>
      <c r="Z4892">
        <v>-1.137936E-3</v>
      </c>
      <c r="AA4892">
        <v>0.99996059999999998</v>
      </c>
      <c r="AB4892">
        <v>28</v>
      </c>
      <c r="AC4892">
        <v>-12.7044</v>
      </c>
      <c r="AD4892">
        <v>-1.1207882902190001</v>
      </c>
      <c r="AE4892">
        <v>8.4000000000230505E-3</v>
      </c>
      <c r="AF4892">
        <v>-0.114454034581825</v>
      </c>
      <c r="AG4892">
        <v>-1.1207882902190001</v>
      </c>
      <c r="AH4892">
        <v>12.605770331502899</v>
      </c>
      <c r="AI4892">
        <v>95.080641350081606</v>
      </c>
      <c r="AJ4892">
        <v>90.520202475991397</v>
      </c>
      <c r="AK4892">
        <v>12.656014845444901</v>
      </c>
      <c r="AL4892">
        <v>94.169699243188006</v>
      </c>
      <c r="AM4892">
        <v>89.240686235110999</v>
      </c>
      <c r="AN4892">
        <v>1.00000001139253</v>
      </c>
    </row>
    <row r="4893" spans="1:40" x14ac:dyDescent="0.25">
      <c r="A4893" t="str">
        <f>"20190303154906681"</f>
        <v>20190303154906681</v>
      </c>
      <c r="B4893" t="str">
        <f>"1551599346676259"</f>
        <v>1551599346676259</v>
      </c>
      <c r="C4893" t="s">
        <v>40</v>
      </c>
      <c r="D4893">
        <v>5.5538420000000004</v>
      </c>
      <c r="E4893">
        <v>0.51254900000000003</v>
      </c>
      <c r="F4893" t="s">
        <v>41</v>
      </c>
      <c r="G4893">
        <v>-260.8492</v>
      </c>
      <c r="H4893" s="1">
        <v>-4.2312570000000003E-6</v>
      </c>
      <c r="I4893">
        <v>140.99289999999999</v>
      </c>
      <c r="J4893">
        <v>-248.26179999999999</v>
      </c>
      <c r="K4893">
        <v>1.120792</v>
      </c>
      <c r="L4893">
        <v>140.989</v>
      </c>
      <c r="M4893">
        <v>-0.99984090000000003</v>
      </c>
      <c r="N4893">
        <v>-1.48807E-2</v>
      </c>
      <c r="O4893">
        <v>9.8418559999999995E-3</v>
      </c>
      <c r="P4893">
        <v>-0.99590100000000004</v>
      </c>
      <c r="Q4893">
        <v>-8.7562950000000001E-2</v>
      </c>
      <c r="R4893">
        <v>2.267719E-2</v>
      </c>
      <c r="S4893">
        <v>-2.9894560000000001</v>
      </c>
      <c r="T4893">
        <v>-0.26019809999999999</v>
      </c>
      <c r="U4893">
        <v>1.6021729999999999E-3</v>
      </c>
      <c r="V4893">
        <v>1.2857210000000001E-2</v>
      </c>
      <c r="W4893">
        <v>-7.2733859999999997E-2</v>
      </c>
      <c r="X4893">
        <v>0.9972685</v>
      </c>
      <c r="Y4893">
        <v>-9.2405230000000005E-3</v>
      </c>
      <c r="Z4893">
        <v>-1.179051E-3</v>
      </c>
      <c r="AA4893">
        <v>0.99995659999999997</v>
      </c>
      <c r="AB4893">
        <v>28</v>
      </c>
      <c r="AC4893">
        <v>-12.587400000000001</v>
      </c>
      <c r="AD4893">
        <v>-1.1207962312569999</v>
      </c>
      <c r="AE4893">
        <v>3.8999999999873498E-3</v>
      </c>
      <c r="AF4893">
        <v>-0.11905338446484801</v>
      </c>
      <c r="AG4893">
        <v>-1.1207962312569999</v>
      </c>
      <c r="AH4893">
        <v>12.4878211640734</v>
      </c>
      <c r="AI4893">
        <v>95.128388582662396</v>
      </c>
      <c r="AJ4893">
        <v>90.546216167715102</v>
      </c>
      <c r="AK4893">
        <v>12.5385818706197</v>
      </c>
      <c r="AL4893">
        <v>94.171026371822194</v>
      </c>
      <c r="AM4893">
        <v>89.2613593444391</v>
      </c>
      <c r="AN4893">
        <v>0.99999999166586595</v>
      </c>
    </row>
    <row r="4894" spans="1:40" x14ac:dyDescent="0.25">
      <c r="A4894" t="str">
        <f>"20190303154906766"</f>
        <v>20190303154906766</v>
      </c>
      <c r="B4894" t="str">
        <f>"1551599346756295"</f>
        <v>1551599346756295</v>
      </c>
      <c r="C4894" t="s">
        <v>40</v>
      </c>
      <c r="D4894">
        <v>5.1004040000000002</v>
      </c>
      <c r="E4894">
        <v>0.64392640000000001</v>
      </c>
      <c r="F4894" t="s">
        <v>41</v>
      </c>
      <c r="G4894">
        <v>-268.63459999999998</v>
      </c>
      <c r="H4894" s="1">
        <v>-1.2393839999999999E-6</v>
      </c>
      <c r="I4894">
        <v>142.13919999999999</v>
      </c>
      <c r="J4894">
        <v>-249.30699999999999</v>
      </c>
      <c r="K4894">
        <v>1.1208320000000001</v>
      </c>
      <c r="L4894">
        <v>140.99979999999999</v>
      </c>
      <c r="M4894">
        <v>-0.99983560000000005</v>
      </c>
      <c r="N4894">
        <v>-1.4988599999999999E-2</v>
      </c>
      <c r="O4894">
        <v>1.0212590000000001E-2</v>
      </c>
      <c r="P4894">
        <v>-0.99596830000000003</v>
      </c>
      <c r="Q4894">
        <v>-8.6789749999999999E-2</v>
      </c>
      <c r="R4894">
        <v>2.2685360000000002E-2</v>
      </c>
      <c r="S4894">
        <v>-2.9940340000000001</v>
      </c>
      <c r="T4894">
        <v>-0.16471469999999999</v>
      </c>
      <c r="U4894">
        <v>0.16905209999999901</v>
      </c>
      <c r="V4894">
        <v>1.2495650000000001E-2</v>
      </c>
      <c r="W4894">
        <v>-7.1851940000000003E-2</v>
      </c>
      <c r="X4894">
        <v>0.99733700000000003</v>
      </c>
      <c r="Y4894">
        <v>4.6092429999999997E-2</v>
      </c>
      <c r="Z4894">
        <v>1.203932E-3</v>
      </c>
      <c r="AA4894">
        <v>0.9989365</v>
      </c>
      <c r="AB4894">
        <v>28</v>
      </c>
      <c r="AC4894">
        <v>-19.327599999999901</v>
      </c>
      <c r="AD4894">
        <v>-1.1208332393839999</v>
      </c>
      <c r="AE4894">
        <v>1.13939999999999</v>
      </c>
      <c r="AF4894">
        <v>0.93878735230178001</v>
      </c>
      <c r="AG4894">
        <v>-1.1208332393839999</v>
      </c>
      <c r="AH4894">
        <v>19.2736367218338</v>
      </c>
      <c r="AI4894">
        <v>93.324280719061605</v>
      </c>
      <c r="AJ4894">
        <v>87.211420112137105</v>
      </c>
      <c r="AK4894">
        <v>19.329010873000499</v>
      </c>
      <c r="AL4894">
        <v>94.120363615271103</v>
      </c>
      <c r="AM4894">
        <v>89.282177891192006</v>
      </c>
      <c r="AN4894">
        <v>0.99999996705984195</v>
      </c>
    </row>
    <row r="4895" spans="1:40" x14ac:dyDescent="0.25">
      <c r="A4895" t="str">
        <f>"20190303154906788"</f>
        <v>20190303154906788</v>
      </c>
      <c r="B4895" t="str">
        <f>"1551599346785572"</f>
        <v>1551599346785572</v>
      </c>
      <c r="C4895" t="s">
        <v>40</v>
      </c>
      <c r="D4895">
        <v>5.4957409999999998</v>
      </c>
      <c r="E4895">
        <v>0.58336180000000004</v>
      </c>
      <c r="F4895" t="s">
        <v>41</v>
      </c>
      <c r="G4895">
        <v>-251.71940000000001</v>
      </c>
      <c r="H4895" s="1">
        <v>-4.116191E-6</v>
      </c>
      <c r="I4895">
        <v>142.01390000000001</v>
      </c>
      <c r="J4895">
        <v>-249.58459999999999</v>
      </c>
      <c r="K4895">
        <v>1.120844</v>
      </c>
      <c r="L4895">
        <v>141.00280000000001</v>
      </c>
      <c r="M4895">
        <v>-0.99983420000000001</v>
      </c>
      <c r="N4895">
        <v>-1.500664E-2</v>
      </c>
      <c r="O4895">
        <v>1.0311209999999999E-2</v>
      </c>
      <c r="P4895">
        <v>-0.99600370000000005</v>
      </c>
      <c r="Q4895">
        <v>-8.655301E-2</v>
      </c>
      <c r="R4895">
        <v>2.2023890000000001E-2</v>
      </c>
      <c r="S4895">
        <v>-2.8685299999999998</v>
      </c>
      <c r="T4895">
        <v>-1.3327500000000001</v>
      </c>
      <c r="U4895">
        <v>1.2058409999999999</v>
      </c>
      <c r="V4895">
        <v>1.173572E-2</v>
      </c>
      <c r="W4895">
        <v>-7.1596590000000002E-2</v>
      </c>
      <c r="X4895">
        <v>0.99736460000000005</v>
      </c>
      <c r="Y4895">
        <v>0.34716209999999997</v>
      </c>
      <c r="Z4895">
        <v>7.2560379999999994E-2</v>
      </c>
      <c r="AA4895">
        <v>0.93499390000000004</v>
      </c>
      <c r="AB4895">
        <v>27</v>
      </c>
      <c r="AC4895">
        <v>-2.13480000000001</v>
      </c>
      <c r="AD4895">
        <v>-1.120848116191</v>
      </c>
      <c r="AE4895">
        <v>1.0110999999999899</v>
      </c>
      <c r="AF4895">
        <v>0.80726989049123699</v>
      </c>
      <c r="AG4895">
        <v>-1.120848116191</v>
      </c>
      <c r="AH4895">
        <v>1.7508902381081</v>
      </c>
      <c r="AI4895">
        <v>120.171303376217</v>
      </c>
      <c r="AJ4895">
        <v>65.247343486812994</v>
      </c>
      <c r="AK4895">
        <v>2.23015734905968</v>
      </c>
      <c r="AL4895">
        <v>94.1056953386895</v>
      </c>
      <c r="AM4895">
        <v>89.325847142357802</v>
      </c>
      <c r="AN4895">
        <v>0.99999997207835201</v>
      </c>
    </row>
    <row r="4896" spans="1:40" x14ac:dyDescent="0.25">
      <c r="A4896" t="str">
        <f>"20190303154906811"</f>
        <v>20190303154906811</v>
      </c>
      <c r="B4896" t="str">
        <f>"1551599346806067"</f>
        <v>1551599346806067</v>
      </c>
      <c r="C4896" t="s">
        <v>40</v>
      </c>
      <c r="D4896">
        <v>5.4679219999999997</v>
      </c>
      <c r="E4896">
        <v>0.57308559999999997</v>
      </c>
      <c r="F4896" t="s">
        <v>42</v>
      </c>
      <c r="G4896">
        <v>-250.37710000000001</v>
      </c>
      <c r="H4896">
        <v>0.84539739999999997</v>
      </c>
      <c r="I4896">
        <v>141.2004</v>
      </c>
      <c r="J4896">
        <v>-249.863</v>
      </c>
      <c r="K4896">
        <v>1.120854</v>
      </c>
      <c r="L4896">
        <v>141.00579999999999</v>
      </c>
      <c r="M4896">
        <v>-0.99983299999999997</v>
      </c>
      <c r="N4896">
        <v>-1.502149E-2</v>
      </c>
      <c r="O4896">
        <v>1.0410040000000001E-2</v>
      </c>
      <c r="P4896">
        <v>-0.99601390000000001</v>
      </c>
      <c r="Q4896">
        <v>-8.6477699999999894E-2</v>
      </c>
      <c r="R4896">
        <v>2.1876199999999998E-2</v>
      </c>
      <c r="S4896">
        <v>-2.9082029999999999</v>
      </c>
      <c r="T4896">
        <v>-1.01068</v>
      </c>
      <c r="U4896">
        <v>0.72419739999999999</v>
      </c>
      <c r="V4896">
        <v>1.1489569999999999E-2</v>
      </c>
      <c r="W4896">
        <v>-7.1506249999999993E-2</v>
      </c>
      <c r="X4896">
        <v>0.99737399999999998</v>
      </c>
      <c r="Y4896">
        <v>0.21934229999999999</v>
      </c>
      <c r="Z4896">
        <v>3.4919020000000002E-2</v>
      </c>
      <c r="AA4896">
        <v>0.97502290000000003</v>
      </c>
      <c r="AB4896">
        <v>27</v>
      </c>
      <c r="AC4896">
        <v>-0.51410000000001299</v>
      </c>
      <c r="AD4896">
        <v>-0.2754566</v>
      </c>
      <c r="AE4896">
        <v>0.19460000000000799</v>
      </c>
      <c r="AF4896">
        <v>0.151255747707363</v>
      </c>
      <c r="AG4896">
        <v>-0.2754566</v>
      </c>
      <c r="AH4896">
        <v>0.41251337355017698</v>
      </c>
      <c r="AI4896">
        <v>122.08508207014199</v>
      </c>
      <c r="AJ4896">
        <v>69.863593228832102</v>
      </c>
      <c r="AK4896">
        <v>0.51857682464204002</v>
      </c>
      <c r="AL4896">
        <v>94.100505719791897</v>
      </c>
      <c r="AM4896">
        <v>89.339992067783299</v>
      </c>
      <c r="AN4896">
        <v>1.0000000249419201</v>
      </c>
    </row>
    <row r="4897" spans="1:40" x14ac:dyDescent="0.25">
      <c r="A4897" t="str">
        <f>"20190303154906833"</f>
        <v>20190303154906833</v>
      </c>
      <c r="B4897" t="str">
        <f>"1551599346825588"</f>
        <v>1551599346825588</v>
      </c>
      <c r="C4897" t="s">
        <v>40</v>
      </c>
      <c r="D4897">
        <v>5.4696639999999999</v>
      </c>
      <c r="E4897">
        <v>0.56636850000000005</v>
      </c>
      <c r="F4897" t="s">
        <v>42</v>
      </c>
      <c r="G4897">
        <v>-250.62</v>
      </c>
      <c r="H4897">
        <v>0.84539399999999998</v>
      </c>
      <c r="I4897">
        <v>141.17269999999999</v>
      </c>
      <c r="J4897">
        <v>-250.14240000000001</v>
      </c>
      <c r="K4897">
        <v>1.120862</v>
      </c>
      <c r="L4897">
        <v>141.00880000000001</v>
      </c>
      <c r="M4897">
        <v>-0.99983180000000005</v>
      </c>
      <c r="N4897">
        <v>-1.503349E-2</v>
      </c>
      <c r="O4897">
        <v>1.0509360000000001E-2</v>
      </c>
      <c r="P4897">
        <v>-0.99605480000000002</v>
      </c>
      <c r="Q4897">
        <v>-8.6097989999999999E-2</v>
      </c>
      <c r="R4897">
        <v>2.1502690000000001E-2</v>
      </c>
      <c r="S4897">
        <v>-2.9061279999999998</v>
      </c>
      <c r="T4897">
        <v>-1.0574300000000001</v>
      </c>
      <c r="U4897">
        <v>0.64088440000000002</v>
      </c>
      <c r="V4897">
        <v>1.10167999999999E-2</v>
      </c>
      <c r="W4897">
        <v>-7.111394E-2</v>
      </c>
      <c r="X4897">
        <v>0.99740740000000006</v>
      </c>
      <c r="Y4897">
        <v>0.193298</v>
      </c>
      <c r="Z4897">
        <v>3.1708140000000003E-2</v>
      </c>
      <c r="AA4897">
        <v>0.98062760000000004</v>
      </c>
      <c r="AB4897">
        <v>27</v>
      </c>
      <c r="AC4897">
        <v>-0.47759999999999497</v>
      </c>
      <c r="AD4897">
        <v>-0.27546799999999899</v>
      </c>
      <c r="AE4897">
        <v>0.163899999999983</v>
      </c>
      <c r="AF4897">
        <v>0.1224327120095</v>
      </c>
      <c r="AG4897">
        <v>-0.27546799999999899</v>
      </c>
      <c r="AH4897">
        <v>0.36936574462967797</v>
      </c>
      <c r="AI4897">
        <v>125.295077960001</v>
      </c>
      <c r="AJ4897">
        <v>71.661322816334604</v>
      </c>
      <c r="AK4897">
        <v>0.47676350667793099</v>
      </c>
      <c r="AL4897">
        <v>94.077970573512502</v>
      </c>
      <c r="AM4897">
        <v>89.367168846138696</v>
      </c>
      <c r="AN4897">
        <v>1.00000004195966</v>
      </c>
    </row>
    <row r="4898" spans="1:40" x14ac:dyDescent="0.25">
      <c r="A4898" t="str">
        <f>"20190303154906856"</f>
        <v>20190303154906856</v>
      </c>
      <c r="B4898" t="str">
        <f>"1551599346846084"</f>
        <v>1551599346846084</v>
      </c>
      <c r="C4898" t="s">
        <v>40</v>
      </c>
      <c r="D4898">
        <v>5.3891730000000004</v>
      </c>
      <c r="E4898">
        <v>0.56523590000000001</v>
      </c>
      <c r="F4898" t="s">
        <v>42</v>
      </c>
      <c r="G4898">
        <v>-250.8715</v>
      </c>
      <c r="H4898">
        <v>0.86523660000000002</v>
      </c>
      <c r="I4898">
        <v>141.1559</v>
      </c>
      <c r="J4898">
        <v>-250.42439999999999</v>
      </c>
      <c r="K4898">
        <v>1.1208689999999999</v>
      </c>
      <c r="L4898">
        <v>141.0119</v>
      </c>
      <c r="M4898">
        <v>-0.99983049999999996</v>
      </c>
      <c r="N4898">
        <v>-1.5042979999999999E-2</v>
      </c>
      <c r="O4898">
        <v>1.0609769999999999E-2</v>
      </c>
      <c r="P4898">
        <v>-0.99604020000000004</v>
      </c>
      <c r="Q4898">
        <v>-8.6172449999999998E-2</v>
      </c>
      <c r="R4898">
        <v>2.1864640000000001E-2</v>
      </c>
      <c r="S4898">
        <v>-2.9109950000000002</v>
      </c>
      <c r="T4898">
        <v>-1.0204949999999999</v>
      </c>
      <c r="U4898">
        <v>0.58638000000000001</v>
      </c>
      <c r="V4898">
        <v>1.1278740000000001E-2</v>
      </c>
      <c r="W4898">
        <v>-7.1179140000000002E-2</v>
      </c>
      <c r="X4898">
        <v>0.99739979999999995</v>
      </c>
      <c r="Y4898">
        <v>0.17698439999999999</v>
      </c>
      <c r="Z4898">
        <v>2.7808099999999902E-2</v>
      </c>
      <c r="AA4898">
        <v>0.98382069999999999</v>
      </c>
      <c r="AB4898">
        <v>27</v>
      </c>
      <c r="AC4898">
        <v>-0.44710000000000599</v>
      </c>
      <c r="AD4898">
        <v>-0.25563239999999998</v>
      </c>
      <c r="AE4898">
        <v>0.14400000000000501</v>
      </c>
      <c r="AF4898">
        <v>0.107429154297323</v>
      </c>
      <c r="AG4898">
        <v>-0.25563239999999998</v>
      </c>
      <c r="AH4898">
        <v>0.346095560307076</v>
      </c>
      <c r="AI4898">
        <v>125.199750703737</v>
      </c>
      <c r="AJ4898">
        <v>72.755492264867797</v>
      </c>
      <c r="AK4898">
        <v>0.44347613688570298</v>
      </c>
      <c r="AL4898">
        <v>94.081715836693107</v>
      </c>
      <c r="AM4898">
        <v>89.352118721876394</v>
      </c>
      <c r="AN4898">
        <v>1.0000000204935799</v>
      </c>
    </row>
    <row r="4899" spans="1:40" x14ac:dyDescent="0.25">
      <c r="A4899" t="str">
        <f>"20190303154906889"</f>
        <v>20190303154906889</v>
      </c>
      <c r="B4899" t="str">
        <f>"1551599346886100"</f>
        <v>1551599346886100</v>
      </c>
      <c r="C4899" t="s">
        <v>40</v>
      </c>
      <c r="D4899">
        <v>5.3532669999999998</v>
      </c>
      <c r="E4899">
        <v>0.56211919999999904</v>
      </c>
      <c r="F4899" t="s">
        <v>42</v>
      </c>
      <c r="G4899">
        <v>-251.11750000000001</v>
      </c>
      <c r="H4899">
        <v>0.87212089999999998</v>
      </c>
      <c r="I4899">
        <v>141.1497</v>
      </c>
      <c r="J4899">
        <v>-250.80799999999999</v>
      </c>
      <c r="K4899">
        <v>1.120878</v>
      </c>
      <c r="L4899">
        <v>141.01609999999999</v>
      </c>
      <c r="M4899">
        <v>-0.99982899999999997</v>
      </c>
      <c r="N4899">
        <v>-1.505216E-2</v>
      </c>
      <c r="O4899">
        <v>1.0746E-2</v>
      </c>
      <c r="P4899">
        <v>-0.99601609999999996</v>
      </c>
      <c r="Q4899">
        <v>-8.6297280000000004E-2</v>
      </c>
      <c r="R4899">
        <v>2.2471029999999999E-2</v>
      </c>
      <c r="S4899">
        <v>-2.9089049999999999</v>
      </c>
      <c r="T4899">
        <v>-1.0440240000000001</v>
      </c>
      <c r="U4899">
        <v>0.57818599999999998</v>
      </c>
      <c r="V4899">
        <v>1.1749809999999999E-2</v>
      </c>
      <c r="W4899">
        <v>-7.1295129999999998E-2</v>
      </c>
      <c r="X4899">
        <v>0.99738599999999999</v>
      </c>
      <c r="Y4899">
        <v>0.17404800000000001</v>
      </c>
      <c r="Z4899">
        <v>2.7831829999999998E-2</v>
      </c>
      <c r="AA4899">
        <v>0.98434379999999999</v>
      </c>
      <c r="AB4899">
        <v>27</v>
      </c>
      <c r="AC4899">
        <v>-0.30950000000001399</v>
      </c>
      <c r="AD4899">
        <v>-0.24875709999999901</v>
      </c>
      <c r="AE4899">
        <v>0.133600000000001</v>
      </c>
      <c r="AF4899">
        <v>8.4340168022264406E-2</v>
      </c>
      <c r="AG4899">
        <v>-0.24875709999999901</v>
      </c>
      <c r="AH4899">
        <v>0.20130247592198899</v>
      </c>
      <c r="AI4899">
        <v>138.73665827607201</v>
      </c>
      <c r="AJ4899">
        <v>67.267664453895406</v>
      </c>
      <c r="AK4899">
        <v>0.330932086015781</v>
      </c>
      <c r="AL4899">
        <v>94.088378817285999</v>
      </c>
      <c r="AM4899">
        <v>89.325052304547199</v>
      </c>
      <c r="AN4899">
        <v>0.99999994329637398</v>
      </c>
    </row>
    <row r="4900" spans="1:40" x14ac:dyDescent="0.25">
      <c r="A4900" t="str">
        <f>"20190303154906910"</f>
        <v>20190303154906910</v>
      </c>
      <c r="B4900" t="str">
        <f>"1551599346905620"</f>
        <v>1551599346905620</v>
      </c>
      <c r="C4900" t="s">
        <v>40</v>
      </c>
      <c r="D4900">
        <v>5.44937</v>
      </c>
      <c r="E4900">
        <v>0.56147550000000002</v>
      </c>
      <c r="F4900" t="s">
        <v>42</v>
      </c>
      <c r="G4900">
        <v>-251.58840000000001</v>
      </c>
      <c r="H4900">
        <v>0.83797649999999901</v>
      </c>
      <c r="I4900">
        <v>141.16489999999999</v>
      </c>
      <c r="J4900">
        <v>-251.07640000000001</v>
      </c>
      <c r="K4900">
        <v>1.1208830000000001</v>
      </c>
      <c r="L4900">
        <v>141.01910000000001</v>
      </c>
      <c r="M4900">
        <v>-0.99982789999999999</v>
      </c>
      <c r="N4900">
        <v>-1.505655E-2</v>
      </c>
      <c r="O4900">
        <v>1.0841679999999999E-2</v>
      </c>
      <c r="P4900">
        <v>-0.9959595</v>
      </c>
      <c r="Q4900">
        <v>-8.6794880000000005E-2</v>
      </c>
      <c r="R4900">
        <v>2.3050399999999999E-2</v>
      </c>
      <c r="S4900">
        <v>-2.9081570000000001</v>
      </c>
      <c r="T4900">
        <v>-1.0541259999999999</v>
      </c>
      <c r="U4900">
        <v>0.55477909999999997</v>
      </c>
      <c r="V4900">
        <v>1.2234139999999999E-2</v>
      </c>
      <c r="W4900">
        <v>-7.1789149999999996E-2</v>
      </c>
      <c r="X4900">
        <v>0.99734480000000003</v>
      </c>
      <c r="Y4900">
        <v>0.16663120000000001</v>
      </c>
      <c r="Z4900">
        <v>2.6714660000000001E-2</v>
      </c>
      <c r="AA4900">
        <v>0.98565729999999996</v>
      </c>
      <c r="AB4900">
        <v>27</v>
      </c>
      <c r="AC4900">
        <v>-0.51200000000000001</v>
      </c>
      <c r="AD4900">
        <v>-0.28290650000000001</v>
      </c>
      <c r="AE4900">
        <v>0.145799999999979</v>
      </c>
      <c r="AF4900">
        <v>0.109356302897612</v>
      </c>
      <c r="AG4900">
        <v>-0.28290650000000001</v>
      </c>
      <c r="AH4900">
        <v>0.40045687929871698</v>
      </c>
      <c r="AI4900">
        <v>124.274647135053</v>
      </c>
      <c r="AJ4900">
        <v>74.726133810707097</v>
      </c>
      <c r="AK4900">
        <v>0.50235505462108299</v>
      </c>
      <c r="AL4900">
        <v>94.116756549661702</v>
      </c>
      <c r="AM4900">
        <v>89.297204504813493</v>
      </c>
      <c r="AN4900">
        <v>1.00000000316315</v>
      </c>
    </row>
    <row r="4901" spans="1:40" x14ac:dyDescent="0.25">
      <c r="A4901" t="str">
        <f>"20190303154906933"</f>
        <v>20190303154906933</v>
      </c>
      <c r="B4901" t="str">
        <f>"1551599346926116"</f>
        <v>1551599346926116</v>
      </c>
      <c r="C4901" t="s">
        <v>40</v>
      </c>
      <c r="D4901">
        <v>5.4694229999999999</v>
      </c>
      <c r="E4901">
        <v>0.56120570000000003</v>
      </c>
      <c r="F4901" t="s">
        <v>42</v>
      </c>
      <c r="G4901">
        <v>-251.83369999999999</v>
      </c>
      <c r="H4901">
        <v>0.84620309999999899</v>
      </c>
      <c r="I4901">
        <v>141.1628</v>
      </c>
      <c r="J4901">
        <v>-251.35900000000001</v>
      </c>
      <c r="K4901">
        <v>1.1208910000000001</v>
      </c>
      <c r="L4901">
        <v>141.0223</v>
      </c>
      <c r="M4901">
        <v>-0.99982680000000002</v>
      </c>
      <c r="N4901">
        <v>-1.50595E-2</v>
      </c>
      <c r="O4901">
        <v>1.0942439999999999E-2</v>
      </c>
      <c r="P4901">
        <v>-0.99591280000000004</v>
      </c>
      <c r="Q4901">
        <v>-8.7098990000000001E-2</v>
      </c>
      <c r="R4901">
        <v>2.3902509999999998E-2</v>
      </c>
      <c r="S4901">
        <v>-2.9075319999999998</v>
      </c>
      <c r="T4901">
        <v>-1.054556</v>
      </c>
      <c r="U4901">
        <v>0.55113219999999996</v>
      </c>
      <c r="V4901">
        <v>1.298645E-2</v>
      </c>
      <c r="W4901">
        <v>-7.2090950000000001E-2</v>
      </c>
      <c r="X4901">
        <v>0.99731349999999996</v>
      </c>
      <c r="Y4901">
        <v>0.16544519999999999</v>
      </c>
      <c r="Z4901">
        <v>2.648259E-2</v>
      </c>
      <c r="AA4901">
        <v>0.98586339999999995</v>
      </c>
      <c r="AB4901">
        <v>27</v>
      </c>
      <c r="AC4901">
        <v>-0.47469999999998402</v>
      </c>
      <c r="AD4901">
        <v>-0.27468789999999998</v>
      </c>
      <c r="AE4901">
        <v>0.14050000000000201</v>
      </c>
      <c r="AF4901">
        <v>0.103447885306023</v>
      </c>
      <c r="AG4901">
        <v>-0.27468789999999998</v>
      </c>
      <c r="AH4901">
        <v>0.364109835835489</v>
      </c>
      <c r="AI4901">
        <v>125.967984624517</v>
      </c>
      <c r="AJ4901">
        <v>74.139528432331801</v>
      </c>
      <c r="AK4901">
        <v>0.46768673268850097</v>
      </c>
      <c r="AL4901">
        <v>94.134093411001999</v>
      </c>
      <c r="AM4901">
        <v>89.253969061944503</v>
      </c>
      <c r="AN4901">
        <v>0.999999985118877</v>
      </c>
    </row>
    <row r="4902" spans="1:40" x14ac:dyDescent="0.25">
      <c r="A4902" t="str">
        <f>"20190303154906955"</f>
        <v>20190303154906955</v>
      </c>
      <c r="B4902" t="str">
        <f>"1551599346945637"</f>
        <v>1551599346945637</v>
      </c>
      <c r="C4902" t="s">
        <v>40</v>
      </c>
      <c r="D4902">
        <v>5.4456170000000004</v>
      </c>
      <c r="E4902">
        <v>0.56140129999999999</v>
      </c>
      <c r="F4902" t="s">
        <v>42</v>
      </c>
      <c r="G4902">
        <v>-252.08090000000001</v>
      </c>
      <c r="H4902">
        <v>0.85998539999999901</v>
      </c>
      <c r="I4902">
        <v>141.1592</v>
      </c>
      <c r="J4902">
        <v>-251.62010000000001</v>
      </c>
      <c r="K4902">
        <v>1.1208929999999999</v>
      </c>
      <c r="L4902">
        <v>141.02520000000001</v>
      </c>
      <c r="M4902">
        <v>-0.99982579999999999</v>
      </c>
      <c r="N4902">
        <v>-1.50609E-2</v>
      </c>
      <c r="O4902">
        <v>1.103546E-2</v>
      </c>
      <c r="P4902">
        <v>-0.99591110000000005</v>
      </c>
      <c r="Q4902">
        <v>-8.6996299999999999E-2</v>
      </c>
      <c r="R4902">
        <v>2.4345840000000001E-2</v>
      </c>
      <c r="S4902">
        <v>-2.907181</v>
      </c>
      <c r="T4902">
        <v>-1.0506470000000001</v>
      </c>
      <c r="U4902">
        <v>0.55131529999999995</v>
      </c>
      <c r="V4902">
        <v>1.333695E-2</v>
      </c>
      <c r="W4902">
        <v>-7.1986880000000003E-2</v>
      </c>
      <c r="X4902">
        <v>0.99731639999999999</v>
      </c>
      <c r="Y4902">
        <v>0.16550490000000001</v>
      </c>
      <c r="Z4902">
        <v>2.6377680000000001E-2</v>
      </c>
      <c r="AA4902">
        <v>0.98585619999999996</v>
      </c>
      <c r="AB4902">
        <v>27</v>
      </c>
      <c r="AC4902">
        <v>-0.46080000000000598</v>
      </c>
      <c r="AD4902">
        <v>-0.26090760000000002</v>
      </c>
      <c r="AE4902">
        <v>0.13399999999998599</v>
      </c>
      <c r="AF4902">
        <v>9.9495885469027198E-2</v>
      </c>
      <c r="AG4902">
        <v>-0.26090760000000002</v>
      </c>
      <c r="AH4902">
        <v>0.35678722731712598</v>
      </c>
      <c r="AI4902">
        <v>125.160603949181</v>
      </c>
      <c r="AJ4902">
        <v>74.418012371096594</v>
      </c>
      <c r="AK4902">
        <v>0.45306658731324301</v>
      </c>
      <c r="AL4902">
        <v>94.128115072117296</v>
      </c>
      <c r="AM4902">
        <v>89.233838529359005</v>
      </c>
      <c r="AN4902">
        <v>0.99999999341819801</v>
      </c>
    </row>
    <row r="4903" spans="1:40" x14ac:dyDescent="0.25">
      <c r="A4903" t="str">
        <f>"20190303154906978"</f>
        <v>20190303154906978</v>
      </c>
      <c r="B4903" t="str">
        <f>"1551599346966132"</f>
        <v>1551599346966132</v>
      </c>
      <c r="C4903" t="s">
        <v>40</v>
      </c>
      <c r="D4903">
        <v>5.474431</v>
      </c>
      <c r="E4903">
        <v>0.56166830000000001</v>
      </c>
      <c r="F4903" t="s">
        <v>42</v>
      </c>
      <c r="G4903">
        <v>-252.32579999999999</v>
      </c>
      <c r="H4903">
        <v>0.86888580000000004</v>
      </c>
      <c r="I4903">
        <v>141.15989999999999</v>
      </c>
      <c r="J4903">
        <v>-251.893</v>
      </c>
      <c r="K4903">
        <v>1.1208990000000001</v>
      </c>
      <c r="L4903">
        <v>141.0284</v>
      </c>
      <c r="M4903">
        <v>-0.99982459999999995</v>
      </c>
      <c r="N4903">
        <v>-1.5061359999999999E-2</v>
      </c>
      <c r="O4903">
        <v>1.1132670000000001E-2</v>
      </c>
      <c r="P4903">
        <v>-0.99583960000000005</v>
      </c>
      <c r="Q4903">
        <v>-8.7824749999999993E-2</v>
      </c>
      <c r="R4903">
        <v>2.4298879999999998E-2</v>
      </c>
      <c r="S4903">
        <v>-2.9080509999999999</v>
      </c>
      <c r="T4903">
        <v>-1.0385070000000001</v>
      </c>
      <c r="U4903">
        <v>0.55456539999999999</v>
      </c>
      <c r="V4903">
        <v>1.319393E-2</v>
      </c>
      <c r="W4903">
        <v>-7.2815809999999995E-2</v>
      </c>
      <c r="X4903">
        <v>0.99725810000000004</v>
      </c>
      <c r="Y4903">
        <v>0.16658149999999999</v>
      </c>
      <c r="Z4903">
        <v>2.6257829999999999E-2</v>
      </c>
      <c r="AA4903">
        <v>0.98567800000000005</v>
      </c>
      <c r="AB4903">
        <v>27</v>
      </c>
      <c r="AC4903">
        <v>-0.43279999999998597</v>
      </c>
      <c r="AD4903">
        <v>-0.25201319999999899</v>
      </c>
      <c r="AE4903">
        <v>0.13149999999998799</v>
      </c>
      <c r="AF4903">
        <v>9.6667384268815104E-2</v>
      </c>
      <c r="AG4903">
        <v>-0.25201319999999899</v>
      </c>
      <c r="AH4903">
        <v>0.33137728676718498</v>
      </c>
      <c r="AI4903">
        <v>126.132170977917</v>
      </c>
      <c r="AJ4903">
        <v>73.737297467898202</v>
      </c>
      <c r="AK4903">
        <v>0.42739459793122803</v>
      </c>
      <c r="AL4903">
        <v>94.175734335058394</v>
      </c>
      <c r="AM4903">
        <v>89.242009263502794</v>
      </c>
      <c r="AN4903">
        <v>0.99999996999520502</v>
      </c>
    </row>
    <row r="4904" spans="1:40" x14ac:dyDescent="0.25">
      <c r="A4904" t="str">
        <f>"20190303154907000"</f>
        <v>20190303154907000</v>
      </c>
      <c r="B4904" t="str">
        <f>"1551599346995412"</f>
        <v>1551599346995412</v>
      </c>
      <c r="C4904" t="s">
        <v>40</v>
      </c>
      <c r="D4904">
        <v>5.4422259999999998</v>
      </c>
      <c r="E4904">
        <v>0.56191420000000003</v>
      </c>
      <c r="F4904" t="s">
        <v>42</v>
      </c>
      <c r="G4904">
        <v>-252.57169999999999</v>
      </c>
      <c r="H4904">
        <v>0.8816117</v>
      </c>
      <c r="I4904">
        <v>141.1584</v>
      </c>
      <c r="J4904">
        <v>-252.15649999999999</v>
      </c>
      <c r="K4904">
        <v>1.1209009999999999</v>
      </c>
      <c r="L4904">
        <v>141.03139999999999</v>
      </c>
      <c r="M4904">
        <v>-0.99982360000000003</v>
      </c>
      <c r="N4904">
        <v>-1.506091E-2</v>
      </c>
      <c r="O4904">
        <v>1.122654E-2</v>
      </c>
      <c r="P4904">
        <v>-0.99583639999999995</v>
      </c>
      <c r="Q4904">
        <v>-8.7898119999999996E-2</v>
      </c>
      <c r="R4904">
        <v>2.416623E-2</v>
      </c>
      <c r="S4904">
        <v>-2.9085239999999999</v>
      </c>
      <c r="T4904">
        <v>-1.0253369999999999</v>
      </c>
      <c r="U4904">
        <v>0.55703740000000002</v>
      </c>
      <c r="V4904">
        <v>1.2967950000000001E-2</v>
      </c>
      <c r="W4904">
        <v>-7.2889640000000006E-2</v>
      </c>
      <c r="X4904">
        <v>0.99725569999999997</v>
      </c>
      <c r="Y4904">
        <v>0.1674582</v>
      </c>
      <c r="Z4904">
        <v>2.6079910000000001E-2</v>
      </c>
      <c r="AA4904">
        <v>0.98553420000000003</v>
      </c>
      <c r="AB4904">
        <v>27</v>
      </c>
      <c r="AC4904">
        <v>-0.41519999999999802</v>
      </c>
      <c r="AD4904">
        <v>-0.23928929999999901</v>
      </c>
      <c r="AE4904">
        <v>0.12700000000000899</v>
      </c>
      <c r="AF4904">
        <v>9.3830868736934803E-2</v>
      </c>
      <c r="AG4904">
        <v>-0.23928929999999901</v>
      </c>
      <c r="AH4904">
        <v>0.31954427678539998</v>
      </c>
      <c r="AI4904">
        <v>125.697602968193</v>
      </c>
      <c r="AJ4904">
        <v>73.635669771377394</v>
      </c>
      <c r="AK4904">
        <v>0.41008797330417002</v>
      </c>
      <c r="AL4904">
        <v>94.179975630705599</v>
      </c>
      <c r="AM4904">
        <v>89.254988536434197</v>
      </c>
      <c r="AN4904">
        <v>0.99999999926451</v>
      </c>
    </row>
    <row r="4905" spans="1:40" x14ac:dyDescent="0.25">
      <c r="A4905" t="str">
        <f>"20190303154907023"</f>
        <v>20190303154907023</v>
      </c>
      <c r="B4905" t="str">
        <f>"1551599347015908"</f>
        <v>1551599347015908</v>
      </c>
      <c r="C4905" t="s">
        <v>40</v>
      </c>
      <c r="D4905">
        <v>5.4564599999999999</v>
      </c>
      <c r="E4905">
        <v>0.5620733</v>
      </c>
      <c r="F4905" t="s">
        <v>42</v>
      </c>
      <c r="G4905">
        <v>-252.81659999999999</v>
      </c>
      <c r="H4905">
        <v>0.89267839999999998</v>
      </c>
      <c r="I4905">
        <v>141.15809999999999</v>
      </c>
      <c r="J4905">
        <v>-252.42760000000001</v>
      </c>
      <c r="K4905">
        <v>1.120906</v>
      </c>
      <c r="L4905">
        <v>141.03450000000001</v>
      </c>
      <c r="M4905">
        <v>-0.99982260000000001</v>
      </c>
      <c r="N4905">
        <v>-1.505947E-2</v>
      </c>
      <c r="O4905">
        <v>1.132328E-2</v>
      </c>
      <c r="P4905">
        <v>-0.99581090000000005</v>
      </c>
      <c r="Q4905">
        <v>-8.8161690000000001E-2</v>
      </c>
      <c r="R4905">
        <v>2.42583E-2</v>
      </c>
      <c r="S4905">
        <v>-2.910202</v>
      </c>
      <c r="T4905">
        <v>-1.0062009999999999</v>
      </c>
      <c r="U4905">
        <v>0.55792240000000004</v>
      </c>
      <c r="V4905">
        <v>1.2963880000000001E-2</v>
      </c>
      <c r="W4905">
        <v>-7.3154960000000005E-2</v>
      </c>
      <c r="X4905">
        <v>0.99723629999999996</v>
      </c>
      <c r="Y4905">
        <v>0.16787539999999901</v>
      </c>
      <c r="Z4905">
        <v>2.5672589999999999E-2</v>
      </c>
      <c r="AA4905">
        <v>0.98547390000000001</v>
      </c>
      <c r="AB4905">
        <v>27</v>
      </c>
      <c r="AC4905">
        <v>-0.38899999999998103</v>
      </c>
      <c r="AD4905">
        <v>-0.2282276</v>
      </c>
      <c r="AE4905">
        <v>0.123599999999981</v>
      </c>
      <c r="AF4905">
        <v>9.0798219061034899E-2</v>
      </c>
      <c r="AG4905">
        <v>-0.2282276</v>
      </c>
      <c r="AH4905">
        <v>0.29739306950761002</v>
      </c>
      <c r="AI4905">
        <v>126.27792415906301</v>
      </c>
      <c r="AJ4905">
        <v>73.021844404058896</v>
      </c>
      <c r="AK4905">
        <v>0.38571335441954002</v>
      </c>
      <c r="AL4905">
        <v>94.195218144866303</v>
      </c>
      <c r="AM4905">
        <v>89.255207845353297</v>
      </c>
      <c r="AN4905">
        <v>0.999999974197472</v>
      </c>
    </row>
    <row r="4906" spans="1:40" x14ac:dyDescent="0.25">
      <c r="A4906" t="str">
        <f>"20190303154907045"</f>
        <v>20190303154907045</v>
      </c>
      <c r="B4906" t="str">
        <f>"1551599347035428"</f>
        <v>1551599347035428</v>
      </c>
      <c r="C4906" t="s">
        <v>40</v>
      </c>
      <c r="D4906">
        <v>5.4823820000000003</v>
      </c>
      <c r="E4906">
        <v>0.56170430000000005</v>
      </c>
      <c r="F4906" t="s">
        <v>42</v>
      </c>
      <c r="G4906">
        <v>-253.27090000000001</v>
      </c>
      <c r="H4906">
        <v>0.83255840000000003</v>
      </c>
      <c r="I4906">
        <v>141.19659999999999</v>
      </c>
      <c r="J4906">
        <v>-252.69210000000001</v>
      </c>
      <c r="K4906">
        <v>1.120903</v>
      </c>
      <c r="L4906">
        <v>141.0376</v>
      </c>
      <c r="M4906">
        <v>-0.99982150000000003</v>
      </c>
      <c r="N4906">
        <v>-1.505741E-2</v>
      </c>
      <c r="O4906">
        <v>1.141728E-2</v>
      </c>
      <c r="P4906">
        <v>-0.99577119999999997</v>
      </c>
      <c r="Q4906">
        <v>-8.871192E-2</v>
      </c>
      <c r="R4906">
        <v>2.3872440000000002E-2</v>
      </c>
      <c r="S4906">
        <v>-2.9108890000000001</v>
      </c>
      <c r="T4906">
        <v>-0.9953341</v>
      </c>
      <c r="U4906">
        <v>0.55865480000000001</v>
      </c>
      <c r="V4906">
        <v>1.248462E-2</v>
      </c>
      <c r="W4906">
        <v>-7.3707700000000001E-2</v>
      </c>
      <c r="X4906">
        <v>0.99720169999999997</v>
      </c>
      <c r="Y4906">
        <v>0.16816110000000001</v>
      </c>
      <c r="Z4906">
        <v>2.5438189999999999E-2</v>
      </c>
      <c r="AA4906">
        <v>0.98543130000000001</v>
      </c>
      <c r="AB4906">
        <v>27</v>
      </c>
      <c r="AC4906">
        <v>-0.57880000000000098</v>
      </c>
      <c r="AD4906">
        <v>-0.28834459999999901</v>
      </c>
      <c r="AE4906">
        <v>0.15899999999999101</v>
      </c>
      <c r="AF4906">
        <v>0.12380958186781101</v>
      </c>
      <c r="AG4906">
        <v>-0.28834459999999901</v>
      </c>
      <c r="AH4906">
        <v>0.47172090266498601</v>
      </c>
      <c r="AI4906">
        <v>120.593102155164</v>
      </c>
      <c r="AJ4906">
        <v>75.293645471606695</v>
      </c>
      <c r="AK4906">
        <v>0.56656158616915697</v>
      </c>
      <c r="AL4906">
        <v>94.226973603554697</v>
      </c>
      <c r="AM4906">
        <v>89.282714153968897</v>
      </c>
      <c r="AN4906">
        <v>0.99999996062936103</v>
      </c>
    </row>
    <row r="4907" spans="1:40" x14ac:dyDescent="0.25">
      <c r="A4907" t="str">
        <f>"20190303154907068"</f>
        <v>20190303154907068</v>
      </c>
      <c r="B4907" t="str">
        <f>"1551599347065684"</f>
        <v>1551599347065684</v>
      </c>
      <c r="C4907" t="s">
        <v>40</v>
      </c>
      <c r="D4907">
        <v>5.4975350000000001</v>
      </c>
      <c r="E4907">
        <v>0.56156280000000003</v>
      </c>
      <c r="F4907" t="s">
        <v>42</v>
      </c>
      <c r="G4907">
        <v>-253.51410000000001</v>
      </c>
      <c r="H4907">
        <v>0.84312770000000004</v>
      </c>
      <c r="I4907">
        <v>141.19450000000001</v>
      </c>
      <c r="J4907">
        <v>-252.97300000000001</v>
      </c>
      <c r="K4907">
        <v>1.1209009999999999</v>
      </c>
      <c r="L4907">
        <v>141.04089999999999</v>
      </c>
      <c r="M4907">
        <v>-0.99982040000000005</v>
      </c>
      <c r="N4907">
        <v>-1.505455E-2</v>
      </c>
      <c r="O4907">
        <v>1.1517370000000001E-2</v>
      </c>
      <c r="P4907">
        <v>-0.99575080000000005</v>
      </c>
      <c r="Q4907">
        <v>-8.9004440000000004E-2</v>
      </c>
      <c r="R4907">
        <v>2.3625759999999999E-2</v>
      </c>
      <c r="S4907">
        <v>-2.9117579999999998</v>
      </c>
      <c r="T4907">
        <v>-0.98400399999999999</v>
      </c>
      <c r="U4907">
        <v>0.55546569999999995</v>
      </c>
      <c r="V4907">
        <v>1.2138309999999999E-2</v>
      </c>
      <c r="W4907">
        <v>-7.4003289999999999E-2</v>
      </c>
      <c r="X4907">
        <v>0.99718410000000002</v>
      </c>
      <c r="Y4907">
        <v>0.16722300000000001</v>
      </c>
      <c r="Z4907">
        <v>2.4982689999999998E-2</v>
      </c>
      <c r="AA4907">
        <v>0.98560250000000005</v>
      </c>
      <c r="AB4907">
        <v>27</v>
      </c>
      <c r="AC4907">
        <v>-0.541100000000028</v>
      </c>
      <c r="AD4907">
        <v>-0.277773299999999</v>
      </c>
      <c r="AE4907">
        <v>0.15360000000001101</v>
      </c>
      <c r="AF4907">
        <v>0.118466036358144</v>
      </c>
      <c r="AG4907">
        <v>-0.277773299999999</v>
      </c>
      <c r="AH4907">
        <v>0.43640474381049799</v>
      </c>
      <c r="AI4907">
        <v>121.56129157867601</v>
      </c>
      <c r="AJ4907">
        <v>74.812533937939193</v>
      </c>
      <c r="AK4907">
        <v>0.53069888673673105</v>
      </c>
      <c r="AL4907">
        <v>94.243955972295794</v>
      </c>
      <c r="AM4907">
        <v>89.302596595168197</v>
      </c>
      <c r="AN4907">
        <v>0.99999997739664404</v>
      </c>
    </row>
    <row r="4908" spans="1:40" x14ac:dyDescent="0.25">
      <c r="A4908" t="str">
        <f>"20190303154907091"</f>
        <v>20190303154907091</v>
      </c>
      <c r="B4908" t="str">
        <f>"1551599347086180"</f>
        <v>1551599347086180</v>
      </c>
      <c r="C4908" t="s">
        <v>40</v>
      </c>
      <c r="D4908">
        <v>5.4750750000000004</v>
      </c>
      <c r="E4908">
        <v>0.561442</v>
      </c>
      <c r="F4908" t="s">
        <v>42</v>
      </c>
      <c r="G4908">
        <v>-253.7587</v>
      </c>
      <c r="H4908">
        <v>0.85828959999999999</v>
      </c>
      <c r="I4908">
        <v>141.19069999999999</v>
      </c>
      <c r="J4908">
        <v>-253.23070000000001</v>
      </c>
      <c r="K4908">
        <v>1.1208979999999999</v>
      </c>
      <c r="L4908">
        <v>141.04399999999899</v>
      </c>
      <c r="M4908">
        <v>-0.99981940000000002</v>
      </c>
      <c r="N4908">
        <v>-1.5051429999999999E-2</v>
      </c>
      <c r="O4908">
        <v>1.1609059999999999E-2</v>
      </c>
      <c r="P4908">
        <v>-0.99575720000000001</v>
      </c>
      <c r="Q4908">
        <v>-8.8950630000000003E-2</v>
      </c>
      <c r="R4908">
        <v>2.3569860000000002E-2</v>
      </c>
      <c r="S4908">
        <v>-2.9126590000000001</v>
      </c>
      <c r="T4908">
        <v>-0.97347519999999998</v>
      </c>
      <c r="U4908">
        <v>0.55413819999999903</v>
      </c>
      <c r="V4908">
        <v>1.199135E-2</v>
      </c>
      <c r="W4908">
        <v>-7.3952470000000006E-2</v>
      </c>
      <c r="X4908">
        <v>0.99718960000000001</v>
      </c>
      <c r="Y4908">
        <v>0.166851</v>
      </c>
      <c r="Z4908">
        <v>2.4645920000000002E-2</v>
      </c>
      <c r="AA4908">
        <v>0.98567400000000005</v>
      </c>
      <c r="AB4908">
        <v>27</v>
      </c>
      <c r="AC4908">
        <v>-0.52799999999999103</v>
      </c>
      <c r="AD4908">
        <v>-0.26260839999999902</v>
      </c>
      <c r="AE4908">
        <v>0.14670000000000899</v>
      </c>
      <c r="AF4908">
        <v>0.114309386517292</v>
      </c>
      <c r="AG4908">
        <v>-0.26260839999999902</v>
      </c>
      <c r="AH4908">
        <v>0.43074883218820798</v>
      </c>
      <c r="AI4908">
        <v>120.509131878226</v>
      </c>
      <c r="AJ4908">
        <v>75.137771404173705</v>
      </c>
      <c r="AK4908">
        <v>0.51727590706316895</v>
      </c>
      <c r="AL4908">
        <v>94.241036404459393</v>
      </c>
      <c r="AM4908">
        <v>89.311043123993301</v>
      </c>
      <c r="AN4908">
        <v>0.99999992932103898</v>
      </c>
    </row>
    <row r="4909" spans="1:40" x14ac:dyDescent="0.25">
      <c r="A4909" t="str">
        <f>"20190303154907112"</f>
        <v>20190303154907112</v>
      </c>
      <c r="B4909" t="str">
        <f>"1551599347105700"</f>
        <v>1551599347105700</v>
      </c>
      <c r="C4909" t="s">
        <v>40</v>
      </c>
      <c r="D4909">
        <v>5.41568</v>
      </c>
      <c r="E4909">
        <v>0.56134930000000005</v>
      </c>
      <c r="F4909" t="s">
        <v>42</v>
      </c>
      <c r="G4909">
        <v>-253.99969999999999</v>
      </c>
      <c r="H4909">
        <v>0.86550389999999999</v>
      </c>
      <c r="I4909">
        <v>141.18989999999999</v>
      </c>
      <c r="J4909">
        <v>-253.49690000000001</v>
      </c>
      <c r="K4909">
        <v>1.120895</v>
      </c>
      <c r="L4909">
        <v>141.0472</v>
      </c>
      <c r="M4909">
        <v>-0.9998184</v>
      </c>
      <c r="N4909">
        <v>-1.504777E-2</v>
      </c>
      <c r="O4909">
        <v>1.170379E-2</v>
      </c>
      <c r="P4909">
        <v>-0.9957492</v>
      </c>
      <c r="Q4909">
        <v>-8.9054670000000002E-2</v>
      </c>
      <c r="R4909">
        <v>2.35135E-2</v>
      </c>
      <c r="S4909">
        <v>-2.9133</v>
      </c>
      <c r="T4909">
        <v>-0.96750800000000003</v>
      </c>
      <c r="U4909">
        <v>0.55216980000000004</v>
      </c>
      <c r="V4909">
        <v>1.184063E-2</v>
      </c>
      <c r="W4909">
        <v>-7.4060210000000001E-2</v>
      </c>
      <c r="X4909">
        <v>0.9971835</v>
      </c>
      <c r="Y4909">
        <v>0.16621659999999999</v>
      </c>
      <c r="Z4909">
        <v>2.43711E-2</v>
      </c>
      <c r="AA4909">
        <v>0.985788</v>
      </c>
      <c r="AB4909">
        <v>27</v>
      </c>
      <c r="AC4909">
        <v>-0.50279999999997904</v>
      </c>
      <c r="AD4909">
        <v>-0.25539109999999898</v>
      </c>
      <c r="AE4909">
        <v>0.14269999999999</v>
      </c>
      <c r="AF4909">
        <v>0.110436220953352</v>
      </c>
      <c r="AG4909">
        <v>-0.25539109999999898</v>
      </c>
      <c r="AH4909">
        <v>0.40720759720948202</v>
      </c>
      <c r="AI4909">
        <v>121.186974146019</v>
      </c>
      <c r="AJ4909">
        <v>74.8261616903158</v>
      </c>
      <c r="AK4909">
        <v>0.49319245744717899</v>
      </c>
      <c r="AL4909">
        <v>94.247226024004306</v>
      </c>
      <c r="AM4909">
        <v>89.319697684263204</v>
      </c>
      <c r="AN4909">
        <v>1.0000000239481399</v>
      </c>
    </row>
    <row r="4910" spans="1:40" x14ac:dyDescent="0.25">
      <c r="A4910" t="str">
        <f>"20190303154907134"</f>
        <v>20190303154907134</v>
      </c>
      <c r="B4910" t="str">
        <f>"1551599347125220"</f>
        <v>1551599347125220</v>
      </c>
      <c r="C4910" t="s">
        <v>40</v>
      </c>
      <c r="D4910">
        <v>5.345021</v>
      </c>
      <c r="E4910">
        <v>0.56123290000000003</v>
      </c>
      <c r="F4910" t="s">
        <v>42</v>
      </c>
      <c r="G4910">
        <v>-254.24119999999999</v>
      </c>
      <c r="H4910">
        <v>0.87515200000000004</v>
      </c>
      <c r="I4910">
        <v>141.18809999999999</v>
      </c>
      <c r="J4910">
        <v>-253.75370000000001</v>
      </c>
      <c r="K4910">
        <v>1.1208990000000001</v>
      </c>
      <c r="L4910">
        <v>141.05029999999999</v>
      </c>
      <c r="M4910">
        <v>-0.99981730000000002</v>
      </c>
      <c r="N4910">
        <v>-1.5043859999999999E-2</v>
      </c>
      <c r="O4910">
        <v>1.1795480000000001E-2</v>
      </c>
      <c r="P4910">
        <v>-0.99574980000000002</v>
      </c>
      <c r="Q4910">
        <v>-8.9096259999999997E-2</v>
      </c>
      <c r="R4910">
        <v>2.3327919999999999E-2</v>
      </c>
      <c r="S4910">
        <v>-2.9137119999999999</v>
      </c>
      <c r="T4910">
        <v>-0.96205569999999896</v>
      </c>
      <c r="U4910">
        <v>0.55155940000000003</v>
      </c>
      <c r="V4910">
        <v>1.156388E-2</v>
      </c>
      <c r="W4910">
        <v>-7.410564E-2</v>
      </c>
      <c r="X4910">
        <v>0.99718329999999999</v>
      </c>
      <c r="Y4910">
        <v>0.16600960000000001</v>
      </c>
      <c r="Z4910">
        <v>2.4182539999999999E-2</v>
      </c>
      <c r="AA4910">
        <v>0.98582760000000003</v>
      </c>
      <c r="AB4910">
        <v>27</v>
      </c>
      <c r="AC4910">
        <v>-0.487499999999983</v>
      </c>
      <c r="AD4910">
        <v>-0.24574699999999899</v>
      </c>
      <c r="AE4910">
        <v>0.13779999999999801</v>
      </c>
      <c r="AF4910">
        <v>0.106887570144321</v>
      </c>
      <c r="AG4910">
        <v>-0.24574699999999899</v>
      </c>
      <c r="AH4910">
        <v>0.395925728899577</v>
      </c>
      <c r="AI4910">
        <v>120.931582039387</v>
      </c>
      <c r="AJ4910">
        <v>74.892094262589694</v>
      </c>
      <c r="AK4910">
        <v>0.478093843784898</v>
      </c>
      <c r="AL4910">
        <v>94.249836452053003</v>
      </c>
      <c r="AM4910">
        <v>89.335596754573899</v>
      </c>
      <c r="AN4910">
        <v>0.99999995149967502</v>
      </c>
    </row>
    <row r="4911" spans="1:40" x14ac:dyDescent="0.25">
      <c r="A4911" t="str">
        <f>"20190303154907155"</f>
        <v>20190303154907155</v>
      </c>
      <c r="B4911" t="str">
        <f>"1551599347145716"</f>
        <v>1551599347145716</v>
      </c>
      <c r="C4911" t="s">
        <v>40</v>
      </c>
      <c r="D4911">
        <v>5.3939430000000002</v>
      </c>
      <c r="E4911">
        <v>0.56123449999999997</v>
      </c>
      <c r="F4911" t="s">
        <v>42</v>
      </c>
      <c r="G4911">
        <v>-254.4811</v>
      </c>
      <c r="H4911">
        <v>0.88211379999999995</v>
      </c>
      <c r="I4911">
        <v>141.18790000000001</v>
      </c>
      <c r="J4911">
        <v>-254.0067</v>
      </c>
      <c r="K4911">
        <v>1.120906</v>
      </c>
      <c r="L4911">
        <v>141.05340000000001</v>
      </c>
      <c r="M4911">
        <v>-0.99981640000000005</v>
      </c>
      <c r="N4911">
        <v>-1.5039739999999999E-2</v>
      </c>
      <c r="O4911">
        <v>1.1885679999999999E-2</v>
      </c>
      <c r="P4911">
        <v>-0.99575630000000004</v>
      </c>
      <c r="Q4911">
        <v>-8.9141499999999999E-2</v>
      </c>
      <c r="R4911">
        <v>2.2879380000000001E-2</v>
      </c>
      <c r="S4911">
        <v>-2.914291</v>
      </c>
      <c r="T4911">
        <v>-0.95675679999999996</v>
      </c>
      <c r="U4911">
        <v>0.55097959999999901</v>
      </c>
      <c r="V4911">
        <v>1.102532E-2</v>
      </c>
      <c r="W4911">
        <v>-7.415484E-2</v>
      </c>
      <c r="X4911">
        <v>0.99718580000000001</v>
      </c>
      <c r="Y4911">
        <v>0.16580110000000001</v>
      </c>
      <c r="Z4911">
        <v>2.3997000000000001E-2</v>
      </c>
      <c r="AA4911">
        <v>0.98586719999999906</v>
      </c>
      <c r="AB4911">
        <v>27</v>
      </c>
      <c r="AC4911">
        <v>-0.47440000000000199</v>
      </c>
      <c r="AD4911">
        <v>-0.23879219999999901</v>
      </c>
      <c r="AE4911">
        <v>0.13450000000000201</v>
      </c>
      <c r="AF4911">
        <v>0.10437387347423201</v>
      </c>
      <c r="AG4911">
        <v>-0.23879219999999901</v>
      </c>
      <c r="AH4911">
        <v>0.385547860872476</v>
      </c>
      <c r="AI4911">
        <v>120.872608628644</v>
      </c>
      <c r="AJ4911">
        <v>74.852209439752599</v>
      </c>
      <c r="AK4911">
        <v>0.46536305533228201</v>
      </c>
      <c r="AL4911">
        <v>94.252662937760107</v>
      </c>
      <c r="AM4911">
        <v>89.366538748523098</v>
      </c>
      <c r="AN4911">
        <v>1.0000000088490799</v>
      </c>
    </row>
    <row r="4912" spans="1:40" x14ac:dyDescent="0.25">
      <c r="A4912" t="str">
        <f>"20190303154907177"</f>
        <v>20190303154907177</v>
      </c>
      <c r="B4912" t="str">
        <f>"1551599347175972"</f>
        <v>1551599347175972</v>
      </c>
      <c r="C4912" t="s">
        <v>40</v>
      </c>
      <c r="D4912">
        <v>5.2556940000000001</v>
      </c>
      <c r="E4912">
        <v>0.56092500000000001</v>
      </c>
      <c r="F4912" t="s">
        <v>42</v>
      </c>
      <c r="G4912">
        <v>-254.7201</v>
      </c>
      <c r="H4912">
        <v>0.88793369999999905</v>
      </c>
      <c r="I4912">
        <v>141.18819999999999</v>
      </c>
      <c r="J4912">
        <v>-254.2706</v>
      </c>
      <c r="K4912">
        <v>1.1209070000000001</v>
      </c>
      <c r="L4912">
        <v>141.0566</v>
      </c>
      <c r="M4912">
        <v>-0.99981529999999996</v>
      </c>
      <c r="N4912">
        <v>-1.5035160000000001E-2</v>
      </c>
      <c r="O4912">
        <v>1.1979999999999999E-2</v>
      </c>
      <c r="P4912">
        <v>-0.99578500000000003</v>
      </c>
      <c r="Q4912">
        <v>-8.8810040000000007E-2</v>
      </c>
      <c r="R4912">
        <v>2.2912869999999998E-2</v>
      </c>
      <c r="S4912">
        <v>-2.914917</v>
      </c>
      <c r="T4912">
        <v>-0.95185419999999998</v>
      </c>
      <c r="U4912">
        <v>0.5499115</v>
      </c>
      <c r="V4912">
        <v>1.096463E-2</v>
      </c>
      <c r="W4912">
        <v>-7.3827519999999994E-2</v>
      </c>
      <c r="X4912">
        <v>0.99721070000000001</v>
      </c>
      <c r="Y4912">
        <v>0.16542789999999999</v>
      </c>
      <c r="Z4912">
        <v>2.379235E-2</v>
      </c>
      <c r="AA4912">
        <v>0.98593489999999995</v>
      </c>
      <c r="AB4912">
        <v>27</v>
      </c>
      <c r="AC4912">
        <v>-0.44950000000000001</v>
      </c>
      <c r="AD4912">
        <v>-0.232973299999999</v>
      </c>
      <c r="AE4912">
        <v>0.131599999999991</v>
      </c>
      <c r="AF4912">
        <v>0.10117264804951701</v>
      </c>
      <c r="AG4912">
        <v>-0.232973299999999</v>
      </c>
      <c r="AH4912">
        <v>0.36158145734692398</v>
      </c>
      <c r="AI4912">
        <v>121.819019285981</v>
      </c>
      <c r="AJ4912">
        <v>74.368063292113405</v>
      </c>
      <c r="AK4912">
        <v>0.441875110776073</v>
      </c>
      <c r="AL4912">
        <v>94.233857572032093</v>
      </c>
      <c r="AM4912">
        <v>89.370041147852803</v>
      </c>
      <c r="AN4912">
        <v>0.99999995300743705</v>
      </c>
    </row>
    <row r="4913" spans="1:40" x14ac:dyDescent="0.25">
      <c r="A4913" t="str">
        <f>"20190303154907201"</f>
        <v>20190303154907201</v>
      </c>
      <c r="B4913" t="str">
        <f>"1551599347195492"</f>
        <v>1551599347195492</v>
      </c>
      <c r="C4913" t="s">
        <v>40</v>
      </c>
      <c r="D4913">
        <v>5.239071</v>
      </c>
      <c r="E4913">
        <v>0.56098130000000002</v>
      </c>
      <c r="F4913" t="s">
        <v>42</v>
      </c>
      <c r="G4913">
        <v>-254.96019999999999</v>
      </c>
      <c r="H4913">
        <v>0.89742730000000004</v>
      </c>
      <c r="I4913">
        <v>141.18610000000001</v>
      </c>
      <c r="J4913">
        <v>-254.5504</v>
      </c>
      <c r="K4913">
        <v>1.1209129999999901</v>
      </c>
      <c r="L4913">
        <v>141.06010000000001</v>
      </c>
      <c r="M4913">
        <v>-0.99981410000000004</v>
      </c>
      <c r="N4913">
        <v>-1.503003E-2</v>
      </c>
      <c r="O4913">
        <v>1.2080280000000001E-2</v>
      </c>
      <c r="P4913">
        <v>-0.99581660000000005</v>
      </c>
      <c r="Q4913">
        <v>-8.8609259999999995E-2</v>
      </c>
      <c r="R4913">
        <v>2.2307029999999999E-2</v>
      </c>
      <c r="S4913">
        <v>-2.9158629999999999</v>
      </c>
      <c r="T4913">
        <v>-0.94497260000000005</v>
      </c>
      <c r="U4913">
        <v>0.54693599999999998</v>
      </c>
      <c r="V4913">
        <v>1.0258710000000001E-2</v>
      </c>
      <c r="W4913">
        <v>-7.3631310000000005E-2</v>
      </c>
      <c r="X4913">
        <v>0.99723280000000003</v>
      </c>
      <c r="Y4913">
        <v>0.16446859999999999</v>
      </c>
      <c r="Z4913">
        <v>2.3445049999999999E-2</v>
      </c>
      <c r="AA4913">
        <v>0.98610370000000003</v>
      </c>
      <c r="AB4913">
        <v>26</v>
      </c>
      <c r="AC4913">
        <v>-0.40979999999999001</v>
      </c>
      <c r="AD4913">
        <v>-0.22348569999999901</v>
      </c>
      <c r="AE4913">
        <v>0.126000000000004</v>
      </c>
      <c r="AF4913">
        <v>9.5177800655909403E-2</v>
      </c>
      <c r="AG4913">
        <v>-0.22348569999999901</v>
      </c>
      <c r="AH4913">
        <v>0.32341363257246297</v>
      </c>
      <c r="AI4913">
        <v>123.54082815786199</v>
      </c>
      <c r="AJ4913">
        <v>73.601305567604498</v>
      </c>
      <c r="AK4913">
        <v>0.40447626577575801</v>
      </c>
      <c r="AL4913">
        <v>94.222584542183995</v>
      </c>
      <c r="AM4913">
        <v>89.410608983778701</v>
      </c>
      <c r="AN4913">
        <v>1.0000000341694999</v>
      </c>
    </row>
    <row r="4914" spans="1:40" x14ac:dyDescent="0.25">
      <c r="A4914" t="str">
        <f>"20190303154907222"</f>
        <v>20190303154907222</v>
      </c>
      <c r="B4914" t="str">
        <f>"1551599347215987"</f>
        <v>1551599347215987</v>
      </c>
      <c r="C4914" t="s">
        <v>40</v>
      </c>
      <c r="D4914">
        <v>5.1091139999999999</v>
      </c>
      <c r="E4914">
        <v>0.56100269999999997</v>
      </c>
      <c r="F4914" t="s">
        <v>42</v>
      </c>
      <c r="G4914">
        <v>-255.4093</v>
      </c>
      <c r="H4914">
        <v>0.84426639999999997</v>
      </c>
      <c r="I4914">
        <v>141.2208</v>
      </c>
      <c r="J4914">
        <v>-254.80109999999999</v>
      </c>
      <c r="K4914">
        <v>1.1209100000000001</v>
      </c>
      <c r="L4914">
        <v>141.06319999999999</v>
      </c>
      <c r="M4914">
        <v>-0.99981310000000001</v>
      </c>
      <c r="N4914">
        <v>-1.5025200000000001E-2</v>
      </c>
      <c r="O4914">
        <v>1.2170240000000001E-2</v>
      </c>
      <c r="P4914">
        <v>-0.99586839999999999</v>
      </c>
      <c r="Q4914">
        <v>-8.8090119999999994E-2</v>
      </c>
      <c r="R4914">
        <v>2.2052570000000001E-2</v>
      </c>
      <c r="S4914">
        <v>-2.9167939999999999</v>
      </c>
      <c r="T4914">
        <v>-0.93949660000000002</v>
      </c>
      <c r="U4914">
        <v>0.54571530000000001</v>
      </c>
      <c r="V4914">
        <v>9.9142459999999998E-3</v>
      </c>
      <c r="W4914">
        <v>-7.3116210000000001E-2</v>
      </c>
      <c r="X4914">
        <v>0.9972742</v>
      </c>
      <c r="Y4914">
        <v>0.1640421</v>
      </c>
      <c r="Z4914">
        <v>2.3220580000000001E-2</v>
      </c>
      <c r="AA4914">
        <v>0.98617999999999995</v>
      </c>
      <c r="AB4914">
        <v>26</v>
      </c>
      <c r="AC4914">
        <v>-0.60820000000000995</v>
      </c>
      <c r="AD4914">
        <v>-0.27664359999999999</v>
      </c>
      <c r="AE4914">
        <v>0.15760000000000199</v>
      </c>
      <c r="AF4914">
        <v>0.12579658059368701</v>
      </c>
      <c r="AG4914">
        <v>-0.27664359999999999</v>
      </c>
      <c r="AH4914">
        <v>0.51100203332803595</v>
      </c>
      <c r="AI4914">
        <v>117.73001617874399</v>
      </c>
      <c r="AJ4914">
        <v>76.170137001222798</v>
      </c>
      <c r="AK4914">
        <v>0.59454145286549298</v>
      </c>
      <c r="AL4914">
        <v>94.192991648177497</v>
      </c>
      <c r="AM4914">
        <v>89.430421702852399</v>
      </c>
      <c r="AN4914">
        <v>1.0000000512120699</v>
      </c>
    </row>
    <row r="4915" spans="1:40" x14ac:dyDescent="0.25">
      <c r="A4915" t="str">
        <f>"20190303154907244"</f>
        <v>20190303154907244</v>
      </c>
      <c r="B4915" t="str">
        <f>"1551599347235508"</f>
        <v>1551599347235508</v>
      </c>
      <c r="C4915" t="s">
        <v>40</v>
      </c>
      <c r="D4915">
        <v>5.1217839999999999</v>
      </c>
      <c r="E4915">
        <v>0.56103459999999905</v>
      </c>
      <c r="F4915" t="s">
        <v>42</v>
      </c>
      <c r="G4915">
        <v>-255.64680000000001</v>
      </c>
      <c r="H4915">
        <v>0.85050539999999997</v>
      </c>
      <c r="I4915">
        <v>141.2216</v>
      </c>
      <c r="J4915">
        <v>-255.05770000000001</v>
      </c>
      <c r="K4915">
        <v>1.1209150000000001</v>
      </c>
      <c r="L4915">
        <v>141.06649999999999</v>
      </c>
      <c r="M4915">
        <v>-0.99981209999999998</v>
      </c>
      <c r="N4915">
        <v>-1.502012E-2</v>
      </c>
      <c r="O4915">
        <v>1.226212E-2</v>
      </c>
      <c r="P4915">
        <v>-0.99593109999999996</v>
      </c>
      <c r="Q4915">
        <v>-8.7410139999999997E-2</v>
      </c>
      <c r="R4915">
        <v>2.19349E-2</v>
      </c>
      <c r="S4915">
        <v>-2.9178310000000001</v>
      </c>
      <c r="T4915">
        <v>-0.93295609999999995</v>
      </c>
      <c r="U4915">
        <v>0.54571530000000001</v>
      </c>
      <c r="V4915">
        <v>9.7047139999999997E-3</v>
      </c>
      <c r="W4915">
        <v>-7.2440409999999997E-2</v>
      </c>
      <c r="X4915">
        <v>0.99732549999999998</v>
      </c>
      <c r="Y4915">
        <v>0.1640035</v>
      </c>
      <c r="Z4915">
        <v>2.3034659999999998E-2</v>
      </c>
      <c r="AA4915">
        <v>0.98619080000000003</v>
      </c>
      <c r="AB4915">
        <v>26</v>
      </c>
      <c r="AC4915">
        <v>-0.58910000000000196</v>
      </c>
      <c r="AD4915">
        <v>-0.27040959999999897</v>
      </c>
      <c r="AE4915">
        <v>0.15510000000000401</v>
      </c>
      <c r="AF4915">
        <v>0.12352438651910599</v>
      </c>
      <c r="AG4915">
        <v>-0.27040959999999897</v>
      </c>
      <c r="AH4915">
        <v>0.49368163722221697</v>
      </c>
      <c r="AI4915">
        <v>117.984404462279</v>
      </c>
      <c r="AJ4915">
        <v>75.952399538830207</v>
      </c>
      <c r="AK4915">
        <v>0.57628220931023899</v>
      </c>
      <c r="AL4915">
        <v>94.154168529907196</v>
      </c>
      <c r="AM4915">
        <v>89.442487327724194</v>
      </c>
      <c r="AN4915">
        <v>0.99999997371251903</v>
      </c>
    </row>
    <row r="4916" spans="1:40" x14ac:dyDescent="0.25">
      <c r="A4916" t="str">
        <f>"20190303154907269"</f>
        <v>20190303154907269</v>
      </c>
      <c r="B4916" t="str">
        <f>"1551599347265764"</f>
        <v>1551599347265764</v>
      </c>
      <c r="C4916" t="s">
        <v>40</v>
      </c>
      <c r="D4916">
        <v>5.0428829999999998</v>
      </c>
      <c r="E4916">
        <v>0.56122869999999903</v>
      </c>
      <c r="F4916" t="s">
        <v>42</v>
      </c>
      <c r="G4916">
        <v>-255.8844</v>
      </c>
      <c r="H4916">
        <v>0.85846169999999999</v>
      </c>
      <c r="I4916">
        <v>141.221</v>
      </c>
      <c r="J4916">
        <v>-255.34200000000001</v>
      </c>
      <c r="K4916">
        <v>1.1209290000000001</v>
      </c>
      <c r="L4916">
        <v>141.0701</v>
      </c>
      <c r="M4916">
        <v>-0.9998108</v>
      </c>
      <c r="N4916">
        <v>-1.5014400000000001E-2</v>
      </c>
      <c r="O4916">
        <v>1.236366E-2</v>
      </c>
      <c r="P4916">
        <v>-0.9959346</v>
      </c>
      <c r="Q4916">
        <v>-8.72222E-2</v>
      </c>
      <c r="R4916">
        <v>2.2502680000000001E-2</v>
      </c>
      <c r="S4916">
        <v>-2.9189150000000001</v>
      </c>
      <c r="T4916">
        <v>-0.92662860000000002</v>
      </c>
      <c r="U4916">
        <v>0.54525760000000001</v>
      </c>
      <c r="V4916">
        <v>1.0171029999999999E-2</v>
      </c>
      <c r="W4916">
        <v>-7.2258139999999998E-2</v>
      </c>
      <c r="X4916">
        <v>0.9973341</v>
      </c>
      <c r="Y4916">
        <v>0.16380710000000001</v>
      </c>
      <c r="Z4916">
        <v>2.2825479999999999E-2</v>
      </c>
      <c r="AA4916">
        <v>0.98622829999999995</v>
      </c>
      <c r="AB4916">
        <v>26</v>
      </c>
      <c r="AC4916">
        <v>-0.542399999999986</v>
      </c>
      <c r="AD4916">
        <v>-0.26246730000000001</v>
      </c>
      <c r="AE4916">
        <v>0.150900000000007</v>
      </c>
      <c r="AF4916">
        <v>0.11844019059108001</v>
      </c>
      <c r="AG4916">
        <v>-0.26246730000000001</v>
      </c>
      <c r="AH4916">
        <v>0.44706133104129397</v>
      </c>
      <c r="AI4916">
        <v>119.575598909107</v>
      </c>
      <c r="AJ4916">
        <v>75.161492738799197</v>
      </c>
      <c r="AK4916">
        <v>0.53177156376488899</v>
      </c>
      <c r="AL4916">
        <v>94.143697687679406</v>
      </c>
      <c r="AM4916">
        <v>89.415705438519595</v>
      </c>
      <c r="AN4916">
        <v>0.99999999783516502</v>
      </c>
    </row>
    <row r="4917" spans="1:40" x14ac:dyDescent="0.25">
      <c r="A4917" t="str">
        <f>"20190303154907292"</f>
        <v>20190303154907292</v>
      </c>
      <c r="B4917" t="str">
        <f>"1551599347285285"</f>
        <v>1551599347285285</v>
      </c>
      <c r="C4917" t="s">
        <v>40</v>
      </c>
      <c r="D4917">
        <v>5.040756</v>
      </c>
      <c r="E4917">
        <v>0.56136209999999997</v>
      </c>
      <c r="F4917" t="s">
        <v>42</v>
      </c>
      <c r="G4917">
        <v>-256.12490000000003</v>
      </c>
      <c r="H4917">
        <v>0.87395809999999996</v>
      </c>
      <c r="I4917">
        <v>141.2174</v>
      </c>
      <c r="J4917">
        <v>-255.60990000000001</v>
      </c>
      <c r="K4917">
        <v>1.1209309999999999</v>
      </c>
      <c r="L4917">
        <v>141.0735</v>
      </c>
      <c r="M4917">
        <v>-0.99980990000000003</v>
      </c>
      <c r="N4917">
        <v>-1.50089E-2</v>
      </c>
      <c r="O4917">
        <v>1.2459359999999999E-2</v>
      </c>
      <c r="P4917">
        <v>-0.99595809999999996</v>
      </c>
      <c r="Q4917">
        <v>-8.6866330000000005E-2</v>
      </c>
      <c r="R4917">
        <v>2.2844239999999998E-2</v>
      </c>
      <c r="S4917">
        <v>-2.9192049999999998</v>
      </c>
      <c r="T4917">
        <v>-0.9208906</v>
      </c>
      <c r="U4917">
        <v>0.5483093</v>
      </c>
      <c r="V4917">
        <v>1.041715E-2</v>
      </c>
      <c r="W4917">
        <v>-7.1907369999999998E-2</v>
      </c>
      <c r="X4917">
        <v>0.99735689999999999</v>
      </c>
      <c r="Y4917">
        <v>0.1647421</v>
      </c>
      <c r="Z4917">
        <v>2.2816759999999998E-2</v>
      </c>
      <c r="AA4917">
        <v>0.98607270000000002</v>
      </c>
      <c r="AB4917">
        <v>26</v>
      </c>
      <c r="AC4917">
        <v>-0.515000000000014</v>
      </c>
      <c r="AD4917">
        <v>-0.246972899999999</v>
      </c>
      <c r="AE4917">
        <v>0.143900000000002</v>
      </c>
      <c r="AF4917">
        <v>0.113301780280759</v>
      </c>
      <c r="AG4917">
        <v>-0.246972899999999</v>
      </c>
      <c r="AH4917">
        <v>0.42589942819480398</v>
      </c>
      <c r="AI4917">
        <v>119.266027509122</v>
      </c>
      <c r="AJ4917">
        <v>75.102675464247696</v>
      </c>
      <c r="AK4917">
        <v>0.50519622889117</v>
      </c>
      <c r="AL4917">
        <v>94.123547676819896</v>
      </c>
      <c r="AM4917">
        <v>89.401581292897603</v>
      </c>
      <c r="AN4917">
        <v>0.99999998642602395</v>
      </c>
    </row>
    <row r="4918" spans="1:40" x14ac:dyDescent="0.25">
      <c r="A4918" t="str">
        <f>"20190303154907313"</f>
        <v>20190303154907313</v>
      </c>
      <c r="B4918" t="str">
        <f>"1551599347305780"</f>
        <v>1551599347305780</v>
      </c>
      <c r="C4918" t="s">
        <v>40</v>
      </c>
      <c r="D4918">
        <v>4.9014939999999996</v>
      </c>
      <c r="E4918">
        <v>0.56132169999999904</v>
      </c>
      <c r="F4918" t="s">
        <v>42</v>
      </c>
      <c r="G4918">
        <v>-256.36290000000002</v>
      </c>
      <c r="H4918">
        <v>0.88478639999999997</v>
      </c>
      <c r="I4918">
        <v>141.21559999999999</v>
      </c>
      <c r="J4918">
        <v>-255.85570000000001</v>
      </c>
      <c r="K4918">
        <v>1.120932</v>
      </c>
      <c r="L4918">
        <v>141.07669999999999</v>
      </c>
      <c r="M4918">
        <v>-0.99980869999999999</v>
      </c>
      <c r="N4918">
        <v>-1.500368E-2</v>
      </c>
      <c r="O4918">
        <v>1.254736E-2</v>
      </c>
      <c r="P4918">
        <v>-0.99592080000000005</v>
      </c>
      <c r="Q4918">
        <v>-8.7189059999999999E-2</v>
      </c>
      <c r="R4918">
        <v>2.3231600000000002E-2</v>
      </c>
      <c r="S4918">
        <v>-2.9196620000000002</v>
      </c>
      <c r="T4918">
        <v>-0.91559299999999999</v>
      </c>
      <c r="U4918">
        <v>0.55099489999999995</v>
      </c>
      <c r="V4918">
        <v>1.0717269999999999E-2</v>
      </c>
      <c r="W4918">
        <v>-7.2235800000000003E-2</v>
      </c>
      <c r="X4918">
        <v>0.99733000000000005</v>
      </c>
      <c r="Y4918">
        <v>0.16555400000000001</v>
      </c>
      <c r="Z4918">
        <v>2.279807E-2</v>
      </c>
      <c r="AA4918">
        <v>0.98593719999999996</v>
      </c>
      <c r="AB4918">
        <v>26</v>
      </c>
      <c r="AC4918">
        <v>-0.50720000000001098</v>
      </c>
      <c r="AD4918">
        <v>-0.23614560000000001</v>
      </c>
      <c r="AE4918">
        <v>0.13890000000000599</v>
      </c>
      <c r="AF4918">
        <v>0.110285483280695</v>
      </c>
      <c r="AG4918">
        <v>-0.23614560000000001</v>
      </c>
      <c r="AH4918">
        <v>0.42350430929756799</v>
      </c>
      <c r="AI4918">
        <v>118.351421866819</v>
      </c>
      <c r="AJ4918">
        <v>75.403690193120497</v>
      </c>
      <c r="AK4918">
        <v>0.49727611265314903</v>
      </c>
      <c r="AL4918">
        <v>94.142414338192694</v>
      </c>
      <c r="AM4918">
        <v>89.384325444514005</v>
      </c>
      <c r="AN4918">
        <v>0.99999999978894605</v>
      </c>
    </row>
    <row r="4919" spans="1:40" x14ac:dyDescent="0.25">
      <c r="A4919" t="str">
        <f>"20190303154907336"</f>
        <v>20190303154907336</v>
      </c>
      <c r="B4919" t="str">
        <f>"1551599347325300"</f>
        <v>1551599347325300</v>
      </c>
      <c r="C4919" t="s">
        <v>40</v>
      </c>
      <c r="D4919">
        <v>4.8069930000000003</v>
      </c>
      <c r="E4919">
        <v>0.5177988</v>
      </c>
      <c r="F4919" t="s">
        <v>42</v>
      </c>
      <c r="G4919">
        <v>-256.5976</v>
      </c>
      <c r="H4919">
        <v>0.88866209999999901</v>
      </c>
      <c r="I4919">
        <v>141.21729999999999</v>
      </c>
      <c r="J4919">
        <v>-256.1112</v>
      </c>
      <c r="K4919">
        <v>1.12093</v>
      </c>
      <c r="L4919">
        <v>141.08000000000001</v>
      </c>
      <c r="M4919">
        <v>-0.99980760000000002</v>
      </c>
      <c r="N4919">
        <v>-1.49982E-2</v>
      </c>
      <c r="O4919">
        <v>1.2638999999999999E-2</v>
      </c>
      <c r="P4919">
        <v>-0.99595330000000004</v>
      </c>
      <c r="Q4919">
        <v>-8.682819E-2</v>
      </c>
      <c r="R4919">
        <v>2.319094E-2</v>
      </c>
      <c r="S4919">
        <v>-2.9194339999999999</v>
      </c>
      <c r="T4919">
        <v>-0.91387879999999999</v>
      </c>
      <c r="U4919">
        <v>0.55201719999999999</v>
      </c>
      <c r="V4919">
        <v>1.058507E-2</v>
      </c>
      <c r="W4919">
        <v>-7.1879899999999997E-2</v>
      </c>
      <c r="X4919">
        <v>0.9973571</v>
      </c>
      <c r="Y4919">
        <v>0.16582820000000001</v>
      </c>
      <c r="Z4919">
        <v>2.2777499999999999E-2</v>
      </c>
      <c r="AA4919">
        <v>0.98589159999999998</v>
      </c>
      <c r="AB4919">
        <v>26</v>
      </c>
      <c r="AC4919">
        <v>-0.486400000000003</v>
      </c>
      <c r="AD4919">
        <v>-0.2322679</v>
      </c>
      <c r="AE4919">
        <v>0.13729999999998199</v>
      </c>
      <c r="AF4919">
        <v>0.108273304949324</v>
      </c>
      <c r="AG4919">
        <v>-0.2322679</v>
      </c>
      <c r="AH4919">
        <v>0.40298570761582397</v>
      </c>
      <c r="AI4919">
        <v>119.10148560876399</v>
      </c>
      <c r="AJ4919">
        <v>74.961058536339493</v>
      </c>
      <c r="AK4919">
        <v>0.477565667189012</v>
      </c>
      <c r="AL4919">
        <v>94.1219697283192</v>
      </c>
      <c r="AM4919">
        <v>89.391935879900998</v>
      </c>
      <c r="AN4919">
        <v>0.99999997432566201</v>
      </c>
    </row>
    <row r="4920" spans="1:40" x14ac:dyDescent="0.25">
      <c r="A4920" t="str">
        <f>"20190303154907357"</f>
        <v>20190303154907357</v>
      </c>
      <c r="B4920" t="str">
        <f>"1551599347345796"</f>
        <v>1551599347345796</v>
      </c>
      <c r="C4920" t="s">
        <v>40</v>
      </c>
      <c r="D4920">
        <v>4.8802649999999996</v>
      </c>
      <c r="E4920">
        <v>0.50768239999999998</v>
      </c>
      <c r="F4920" t="s">
        <v>42</v>
      </c>
      <c r="G4920">
        <v>-256.88499999999999</v>
      </c>
      <c r="H4920">
        <v>1.005012</v>
      </c>
      <c r="I4920">
        <v>141.13460000000001</v>
      </c>
      <c r="J4920">
        <v>-256.36320000000001</v>
      </c>
      <c r="K4920">
        <v>1.120924</v>
      </c>
      <c r="L4920">
        <v>141.08330000000001</v>
      </c>
      <c r="M4920">
        <v>-0.99980659999999999</v>
      </c>
      <c r="N4920">
        <v>-1.4992689999999999E-2</v>
      </c>
      <c r="O4920">
        <v>1.2729330000000001E-2</v>
      </c>
      <c r="P4920">
        <v>-0.99592239999999999</v>
      </c>
      <c r="Q4920">
        <v>-8.7299150000000006E-2</v>
      </c>
      <c r="R4920">
        <v>2.2742729999999999E-2</v>
      </c>
      <c r="S4920">
        <v>-2.9685359999999998</v>
      </c>
      <c r="T4920">
        <v>-0.44470349999999997</v>
      </c>
      <c r="U4920">
        <v>0.2095032</v>
      </c>
      <c r="V4920">
        <v>1.004709E-2</v>
      </c>
      <c r="W4920">
        <v>-7.2356719999999999E-2</v>
      </c>
      <c r="X4920">
        <v>0.9973282</v>
      </c>
      <c r="Y4920">
        <v>5.7110540000000001E-2</v>
      </c>
      <c r="Z4920">
        <v>2.976008E-3</v>
      </c>
      <c r="AA4920">
        <v>0.99836340000000001</v>
      </c>
      <c r="AB4920">
        <v>26</v>
      </c>
      <c r="AC4920">
        <v>-0.52179999999998405</v>
      </c>
      <c r="AD4920">
        <v>-0.115912</v>
      </c>
      <c r="AE4920">
        <v>5.1299999999997598E-2</v>
      </c>
      <c r="AF4920">
        <v>4.2572286350534998E-2</v>
      </c>
      <c r="AG4920">
        <v>-0.115912</v>
      </c>
      <c r="AH4920">
        <v>0.49806857764704698</v>
      </c>
      <c r="AI4920">
        <v>103.054889215862</v>
      </c>
      <c r="AJ4920">
        <v>85.114532204433004</v>
      </c>
      <c r="AK4920">
        <v>0.513147444063073</v>
      </c>
      <c r="AL4920">
        <v>94.149360767105193</v>
      </c>
      <c r="AM4920">
        <v>89.422821513537599</v>
      </c>
      <c r="AN4920">
        <v>0.99999998873093299</v>
      </c>
    </row>
    <row r="4921" spans="1:40" x14ac:dyDescent="0.25">
      <c r="A4921" t="str">
        <f>"20190303154907379"</f>
        <v>20190303154907379</v>
      </c>
      <c r="B4921" t="str">
        <f>"1551599347376052"</f>
        <v>1551599347376052</v>
      </c>
      <c r="C4921" t="s">
        <v>40</v>
      </c>
      <c r="D4921">
        <v>4.7928569999999997</v>
      </c>
      <c r="E4921">
        <v>0.5018878</v>
      </c>
      <c r="F4921" t="s">
        <v>42</v>
      </c>
      <c r="G4921">
        <v>-257.13040000000001</v>
      </c>
      <c r="H4921">
        <v>1.030384</v>
      </c>
      <c r="I4921">
        <v>141.11660000000001</v>
      </c>
      <c r="J4921">
        <v>-256.63369999999998</v>
      </c>
      <c r="K4921">
        <v>1.1209209999999901</v>
      </c>
      <c r="L4921">
        <v>141.08680000000001</v>
      </c>
      <c r="M4921">
        <v>-0.99980550000000001</v>
      </c>
      <c r="N4921">
        <v>-1.498668E-2</v>
      </c>
      <c r="O4921">
        <v>1.2825990000000001E-2</v>
      </c>
      <c r="P4921">
        <v>-0.99588869999999896</v>
      </c>
      <c r="Q4921">
        <v>-8.768919E-2</v>
      </c>
      <c r="R4921">
        <v>2.272296E-2</v>
      </c>
      <c r="S4921">
        <v>-2.9785159999999999</v>
      </c>
      <c r="T4921">
        <v>-0.35159580000000001</v>
      </c>
      <c r="U4921">
        <v>0.12849430000000001</v>
      </c>
      <c r="V4921">
        <v>9.9314529999999998E-3</v>
      </c>
      <c r="W4921">
        <v>-7.2753189999999995E-2</v>
      </c>
      <c r="X4921">
        <v>0.99730050000000003</v>
      </c>
      <c r="Y4921">
        <v>3.0113560000000001E-2</v>
      </c>
      <c r="Z4921">
        <v>6.8066009999999996E-4</v>
      </c>
      <c r="AA4921">
        <v>0.99954620000000005</v>
      </c>
      <c r="AB4921">
        <v>26</v>
      </c>
      <c r="AC4921">
        <v>-0.496700000000032</v>
      </c>
      <c r="AD4921">
        <v>-9.0536999999999798E-2</v>
      </c>
      <c r="AE4921">
        <v>2.97999999999944E-2</v>
      </c>
      <c r="AF4921">
        <v>2.26754752641538E-2</v>
      </c>
      <c r="AG4921">
        <v>-9.0536999999999798E-2</v>
      </c>
      <c r="AH4921">
        <v>0.48111375945986501</v>
      </c>
      <c r="AI4921">
        <v>100.64585805900801</v>
      </c>
      <c r="AJ4921">
        <v>87.301577255241895</v>
      </c>
      <c r="AK4921">
        <v>0.49008323281771299</v>
      </c>
      <c r="AL4921">
        <v>94.172136915670293</v>
      </c>
      <c r="AM4921">
        <v>89.429448263086101</v>
      </c>
      <c r="AN4921">
        <v>0.99999997385705797</v>
      </c>
    </row>
    <row r="4922" spans="1:40" x14ac:dyDescent="0.25">
      <c r="A4922" t="str">
        <f>"20190303154907402"</f>
        <v>20190303154907402</v>
      </c>
      <c r="B4922" t="str">
        <f>"1551599347395572"</f>
        <v>1551599347395572</v>
      </c>
      <c r="C4922" t="s">
        <v>40</v>
      </c>
      <c r="D4922">
        <v>4.8111550000000003</v>
      </c>
      <c r="E4922">
        <v>0.50048510000000002</v>
      </c>
      <c r="F4922" t="s">
        <v>41</v>
      </c>
      <c r="G4922">
        <v>-268.33920000000001</v>
      </c>
      <c r="H4922" s="1">
        <v>-1.1726180000000001E-6</v>
      </c>
      <c r="I4922">
        <v>141.4119</v>
      </c>
      <c r="J4922">
        <v>-256.89319999999998</v>
      </c>
      <c r="K4922">
        <v>1.1209209999999901</v>
      </c>
      <c r="L4922">
        <v>141.09030000000001</v>
      </c>
      <c r="M4922">
        <v>-0.99980440000000004</v>
      </c>
      <c r="N4922">
        <v>-1.498097E-2</v>
      </c>
      <c r="O4922">
        <v>1.291847E-2</v>
      </c>
      <c r="P4922">
        <v>-0.99585959999999996</v>
      </c>
      <c r="Q4922">
        <v>-8.7996930000000001E-2</v>
      </c>
      <c r="R4922">
        <v>2.2813730000000001E-2</v>
      </c>
      <c r="S4922">
        <v>-2.9852910000000001</v>
      </c>
      <c r="T4922">
        <v>-0.28587459999999998</v>
      </c>
      <c r="U4922">
        <v>8.2931519999999995E-2</v>
      </c>
      <c r="V4922">
        <v>9.930487E-3</v>
      </c>
      <c r="W4922">
        <v>-7.3066980000000004E-2</v>
      </c>
      <c r="X4922">
        <v>0.99727759999999999</v>
      </c>
      <c r="Y4922">
        <v>1.4815719999999999E-2</v>
      </c>
      <c r="Z4922">
        <v>-2.2187309999999999E-4</v>
      </c>
      <c r="AA4922">
        <v>0.99989019999999995</v>
      </c>
      <c r="AB4922">
        <v>26</v>
      </c>
      <c r="AC4922">
        <v>-11.446</v>
      </c>
      <c r="AD4922">
        <v>-1.1209221726180001</v>
      </c>
      <c r="AE4922">
        <v>0.32159999999998901</v>
      </c>
      <c r="AF4922">
        <v>0.17204307994951501</v>
      </c>
      <c r="AG4922">
        <v>-1.1209221726180001</v>
      </c>
      <c r="AH4922">
        <v>11.3405236527684</v>
      </c>
      <c r="AI4922">
        <v>95.644259435670406</v>
      </c>
      <c r="AJ4922">
        <v>89.130852633958298</v>
      </c>
      <c r="AK4922">
        <v>11.3970848052221</v>
      </c>
      <c r="AL4922">
        <v>94.1901636070439</v>
      </c>
      <c r="AM4922">
        <v>89.429490655960606</v>
      </c>
      <c r="AN4922">
        <v>1.0000000048000599</v>
      </c>
    </row>
    <row r="4923" spans="1:40" x14ac:dyDescent="0.25">
      <c r="A4923" t="str">
        <f>"20190303154907423"</f>
        <v>20190303154907423</v>
      </c>
      <c r="B4923" t="str">
        <f>"1551599347416072"</f>
        <v>1551599347416072</v>
      </c>
      <c r="C4923" t="s">
        <v>40</v>
      </c>
      <c r="D4923">
        <v>4.7653619999999997</v>
      </c>
      <c r="E4923">
        <v>0.49930960000000002</v>
      </c>
      <c r="F4923" t="s">
        <v>42</v>
      </c>
      <c r="G4923">
        <v>-257.83030000000002</v>
      </c>
      <c r="H4923">
        <v>1.0382169999999999</v>
      </c>
      <c r="I4923">
        <v>141.1129</v>
      </c>
      <c r="J4923">
        <v>-257.13819999999998</v>
      </c>
      <c r="K4923">
        <v>1.120916</v>
      </c>
      <c r="L4923">
        <v>141.09350000000001</v>
      </c>
      <c r="M4923">
        <v>-0.99980329999999995</v>
      </c>
      <c r="N4923">
        <v>-1.497536E-2</v>
      </c>
      <c r="O4923">
        <v>1.30051E-2</v>
      </c>
      <c r="P4923">
        <v>-0.99581339999999996</v>
      </c>
      <c r="Q4923">
        <v>-8.8419860000000003E-2</v>
      </c>
      <c r="R4923">
        <v>2.319094E-2</v>
      </c>
      <c r="S4923">
        <v>-2.9874879999999999</v>
      </c>
      <c r="T4923">
        <v>-0.26369690000000001</v>
      </c>
      <c r="U4923">
        <v>7.2311399999999998E-2</v>
      </c>
      <c r="V4923">
        <v>1.022203E-2</v>
      </c>
      <c r="W4923">
        <v>-7.3496099999999995E-2</v>
      </c>
      <c r="X4923">
        <v>0.99724310000000005</v>
      </c>
      <c r="Y4923">
        <v>1.117687E-2</v>
      </c>
      <c r="Z4923">
        <v>-3.7488119999999999E-4</v>
      </c>
      <c r="AA4923">
        <v>0.99993750000000003</v>
      </c>
      <c r="AB4923">
        <v>26</v>
      </c>
      <c r="AC4923">
        <v>-0.69210000000003802</v>
      </c>
      <c r="AD4923">
        <v>-8.2698999999999995E-2</v>
      </c>
      <c r="AE4923">
        <v>1.93999999999903E-2</v>
      </c>
      <c r="AF4923">
        <v>1.02502828729986E-2</v>
      </c>
      <c r="AG4923">
        <v>-8.2698999999999995E-2</v>
      </c>
      <c r="AH4923">
        <v>0.68255600214232404</v>
      </c>
      <c r="AI4923">
        <v>96.907555259506495</v>
      </c>
      <c r="AJ4923">
        <v>89.139625464575502</v>
      </c>
      <c r="AK4923">
        <v>0.68762408986341395</v>
      </c>
      <c r="AL4923">
        <v>94.214816746546504</v>
      </c>
      <c r="AM4923">
        <v>89.412722267800504</v>
      </c>
      <c r="AN4923">
        <v>0.99999998355507003</v>
      </c>
    </row>
    <row r="4924" spans="1:40" x14ac:dyDescent="0.25">
      <c r="A4924" t="str">
        <f>"20190303154907445"</f>
        <v>20190303154907445</v>
      </c>
      <c r="B4924" t="str">
        <f>"1551599347435588"</f>
        <v>1551599347435588</v>
      </c>
      <c r="C4924" t="s">
        <v>40</v>
      </c>
      <c r="D4924">
        <v>4.9047460000000003</v>
      </c>
      <c r="E4924">
        <v>0.4985561</v>
      </c>
      <c r="F4924" t="s">
        <v>42</v>
      </c>
      <c r="G4924">
        <v>-258.06889999999999</v>
      </c>
      <c r="H4924">
        <v>1.042997</v>
      </c>
      <c r="I4924">
        <v>141.11369999999999</v>
      </c>
      <c r="J4924">
        <v>-257.39109999999999</v>
      </c>
      <c r="K4924">
        <v>1.120916</v>
      </c>
      <c r="L4924">
        <v>141.09690000000001</v>
      </c>
      <c r="M4924">
        <v>-0.99980219999999997</v>
      </c>
      <c r="N4924">
        <v>-1.496953E-2</v>
      </c>
      <c r="O4924">
        <v>1.3094899999999901E-2</v>
      </c>
      <c r="P4924">
        <v>-0.99580440000000003</v>
      </c>
      <c r="Q4924">
        <v>-8.8485289999999994E-2</v>
      </c>
      <c r="R4924">
        <v>2.3322760000000001E-2</v>
      </c>
      <c r="S4924">
        <v>-2.988861</v>
      </c>
      <c r="T4924">
        <v>-0.25027949999999999</v>
      </c>
      <c r="U4924">
        <v>6.4270019999999997E-2</v>
      </c>
      <c r="V4924">
        <v>1.0264550000000001E-2</v>
      </c>
      <c r="W4924">
        <v>-7.3567419999999994E-2</v>
      </c>
      <c r="X4924">
        <v>0.99723740000000005</v>
      </c>
      <c r="Y4924">
        <v>8.3992609999999999E-3</v>
      </c>
      <c r="Z4924">
        <v>-4.8466839999999998E-4</v>
      </c>
      <c r="AA4924">
        <v>0.99996459999999998</v>
      </c>
      <c r="AB4924">
        <v>26</v>
      </c>
      <c r="AC4924">
        <v>-0.67779999999998997</v>
      </c>
      <c r="AD4924">
        <v>-7.7919000000000002E-2</v>
      </c>
      <c r="AE4924">
        <v>1.6799999999989199E-2</v>
      </c>
      <c r="AF4924">
        <v>7.8185783844792796E-3</v>
      </c>
      <c r="AG4924">
        <v>-7.7919000000000002E-2</v>
      </c>
      <c r="AH4924">
        <v>0.66912450420492897</v>
      </c>
      <c r="AI4924">
        <v>96.641681673833602</v>
      </c>
      <c r="AJ4924">
        <v>89.330541395131803</v>
      </c>
      <c r="AK4924">
        <v>0.67369140031356101</v>
      </c>
      <c r="AL4924">
        <v>94.218914192618399</v>
      </c>
      <c r="AM4924">
        <v>89.410276203521306</v>
      </c>
      <c r="AN4924">
        <v>0.99999997911545901</v>
      </c>
    </row>
    <row r="4925" spans="1:40" x14ac:dyDescent="0.25">
      <c r="A4925" t="str">
        <f>"20190303154907461"</f>
        <v>20190303154907461</v>
      </c>
      <c r="B4925" t="str">
        <f>"1551599347456085"</f>
        <v>1551599347456085</v>
      </c>
      <c r="C4925" t="s">
        <v>40</v>
      </c>
      <c r="D4925">
        <v>4.7660770000000001</v>
      </c>
      <c r="E4925">
        <v>0.4977953</v>
      </c>
      <c r="F4925" t="s">
        <v>41</v>
      </c>
      <c r="G4925">
        <v>-271.41460000000001</v>
      </c>
      <c r="H4925" s="1">
        <v>-4.1062599999999997E-6</v>
      </c>
      <c r="I4925">
        <v>141.37289999999999</v>
      </c>
      <c r="J4925">
        <v>-257.56799999999998</v>
      </c>
      <c r="K4925">
        <v>1.1209229999999999</v>
      </c>
      <c r="L4925">
        <v>141.0993</v>
      </c>
      <c r="M4925">
        <v>-0.99980150000000001</v>
      </c>
      <c r="N4925">
        <v>-1.496543E-2</v>
      </c>
      <c r="O4925">
        <v>1.315756E-2</v>
      </c>
      <c r="P4925">
        <v>-0.99582749999999998</v>
      </c>
      <c r="Q4925">
        <v>-8.8192499999999993E-2</v>
      </c>
      <c r="R4925">
        <v>2.3451679999999999E-2</v>
      </c>
      <c r="S4925">
        <v>-2.990021</v>
      </c>
      <c r="T4925">
        <v>-0.23899819999999999</v>
      </c>
      <c r="U4925">
        <v>5.8868410000000003E-2</v>
      </c>
      <c r="V4925">
        <v>1.03309E-2</v>
      </c>
      <c r="W4925">
        <v>-7.3278399999999994E-2</v>
      </c>
      <c r="X4925">
        <v>0.99725799999999998</v>
      </c>
      <c r="Y4925">
        <v>6.5292709999999997E-3</v>
      </c>
      <c r="Z4925">
        <v>-5.4375579999999999E-4</v>
      </c>
      <c r="AA4925">
        <v>0.99997849999999999</v>
      </c>
      <c r="AB4925">
        <v>26</v>
      </c>
      <c r="AC4925">
        <v>-13.8466</v>
      </c>
      <c r="AD4925">
        <v>-1.1209271062599999</v>
      </c>
      <c r="AE4925">
        <v>0.27359999999998702</v>
      </c>
      <c r="AF4925">
        <v>9.0773799321411996E-2</v>
      </c>
      <c r="AG4925">
        <v>-1.1209271062599999</v>
      </c>
      <c r="AH4925">
        <v>13.758868871154</v>
      </c>
      <c r="AI4925">
        <v>94.657466843233394</v>
      </c>
      <c r="AJ4925">
        <v>89.621997986749804</v>
      </c>
      <c r="AK4925">
        <v>13.804752445219799</v>
      </c>
      <c r="AL4925">
        <v>94.202309724189007</v>
      </c>
      <c r="AM4925">
        <v>89.406476763246701</v>
      </c>
      <c r="AN4925">
        <v>0.99999998498268405</v>
      </c>
    </row>
    <row r="4926" spans="1:40" x14ac:dyDescent="0.25">
      <c r="A4926" t="str">
        <f>"20190303154907481"</f>
        <v>20190303154907481</v>
      </c>
      <c r="B4926" t="str">
        <f>"1551599347475604"</f>
        <v>1551599347475604</v>
      </c>
      <c r="C4926" t="s">
        <v>40</v>
      </c>
      <c r="D4926">
        <v>4.7928600000000001</v>
      </c>
      <c r="E4926">
        <v>0.49725360000000002</v>
      </c>
      <c r="F4926" t="s">
        <v>41</v>
      </c>
      <c r="G4926">
        <v>-272.16300000000001</v>
      </c>
      <c r="H4926" s="1">
        <v>-3.8080869999999999E-6</v>
      </c>
      <c r="I4926">
        <v>141.35890000000001</v>
      </c>
      <c r="J4926">
        <v>-257.80189999999999</v>
      </c>
      <c r="K4926">
        <v>1.120927</v>
      </c>
      <c r="L4926">
        <v>141.10249999999999</v>
      </c>
      <c r="M4926">
        <v>-0.99980060000000004</v>
      </c>
      <c r="N4926">
        <v>-1.495995E-2</v>
      </c>
      <c r="O4926">
        <v>1.3238629999999999E-2</v>
      </c>
      <c r="P4926">
        <v>-0.9959015</v>
      </c>
      <c r="Q4926">
        <v>-8.7546719999999995E-2</v>
      </c>
      <c r="R4926">
        <v>2.2719119999999999E-2</v>
      </c>
      <c r="S4926">
        <v>-2.9909669999999999</v>
      </c>
      <c r="T4926">
        <v>-0.2297139</v>
      </c>
      <c r="U4926">
        <v>5.3222659999999998E-2</v>
      </c>
      <c r="V4926">
        <v>9.5169980000000005E-3</v>
      </c>
      <c r="W4926">
        <v>-7.2636950000000006E-2</v>
      </c>
      <c r="X4926">
        <v>0.99731300000000001</v>
      </c>
      <c r="Y4926">
        <v>4.5612819999999998E-3</v>
      </c>
      <c r="Z4926">
        <v>-6.082428E-4</v>
      </c>
      <c r="AA4926">
        <v>0.99998940000000003</v>
      </c>
      <c r="AB4926">
        <v>26</v>
      </c>
      <c r="AC4926">
        <v>-14.3611</v>
      </c>
      <c r="AD4926">
        <v>-1.120930808087</v>
      </c>
      <c r="AE4926">
        <v>0.25640000000001301</v>
      </c>
      <c r="AF4926">
        <v>6.5834032964967204E-2</v>
      </c>
      <c r="AG4926">
        <v>-1.120930808087</v>
      </c>
      <c r="AH4926">
        <v>14.2762880567035</v>
      </c>
      <c r="AI4926">
        <v>94.489432534877693</v>
      </c>
      <c r="AJ4926">
        <v>89.735786677531706</v>
      </c>
      <c r="AK4926">
        <v>14.320377811859199</v>
      </c>
      <c r="AL4926">
        <v>94.165459244629403</v>
      </c>
      <c r="AM4926">
        <v>89.453263651029403</v>
      </c>
      <c r="AN4926">
        <v>0.99999995986261603</v>
      </c>
    </row>
    <row r="4927" spans="1:40" x14ac:dyDescent="0.25">
      <c r="A4927" t="str">
        <f>"20190303154907502"</f>
        <v>20190303154907502</v>
      </c>
      <c r="B4927" t="str">
        <f>"1551599347496101"</f>
        <v>1551599347496101</v>
      </c>
      <c r="C4927" t="s">
        <v>40</v>
      </c>
      <c r="D4927">
        <v>4.7450519999999896</v>
      </c>
      <c r="E4927">
        <v>0.49697219999999998</v>
      </c>
      <c r="F4927" t="s">
        <v>41</v>
      </c>
      <c r="G4927">
        <v>-272.9667</v>
      </c>
      <c r="H4927" s="1">
        <v>-3.4582089999999998E-6</v>
      </c>
      <c r="I4927">
        <v>141.3398</v>
      </c>
      <c r="J4927">
        <v>-258.04939999999999</v>
      </c>
      <c r="K4927">
        <v>1.1209290000000001</v>
      </c>
      <c r="L4927">
        <v>141.10589999999999</v>
      </c>
      <c r="M4927">
        <v>-0.99979949999999995</v>
      </c>
      <c r="N4927">
        <v>-1.495413E-2</v>
      </c>
      <c r="O4927">
        <v>1.33195E-2</v>
      </c>
      <c r="P4927">
        <v>-0.99598799999999998</v>
      </c>
      <c r="Q4927">
        <v>-8.6915870000000006E-2</v>
      </c>
      <c r="R4927">
        <v>2.130251E-2</v>
      </c>
      <c r="S4927">
        <v>-2.9919129999999998</v>
      </c>
      <c r="T4927">
        <v>-0.2211523</v>
      </c>
      <c r="U4927">
        <v>4.6844480000000001E-2</v>
      </c>
      <c r="V4927">
        <v>8.0193909999999903E-3</v>
      </c>
      <c r="W4927">
        <v>-7.2010619999999997E-2</v>
      </c>
      <c r="X4927">
        <v>0.99737160000000002</v>
      </c>
      <c r="Y4927">
        <v>2.3497679999999999E-3</v>
      </c>
      <c r="Z4927">
        <v>-6.7979119999999997E-4</v>
      </c>
      <c r="AA4927">
        <v>0.99999700000000002</v>
      </c>
      <c r="AB4927">
        <v>26</v>
      </c>
      <c r="AC4927">
        <v>-14.917299999999999</v>
      </c>
      <c r="AD4927">
        <v>-1.1209324582089999</v>
      </c>
      <c r="AE4927">
        <v>0.23390000000000499</v>
      </c>
      <c r="AF4927">
        <v>3.4968655044651499E-2</v>
      </c>
      <c r="AG4927">
        <v>-1.1209324582089999</v>
      </c>
      <c r="AH4927">
        <v>14.8353451773442</v>
      </c>
      <c r="AI4927">
        <v>94.320945496479595</v>
      </c>
      <c r="AJ4927">
        <v>89.864947352772703</v>
      </c>
      <c r="AK4927">
        <v>14.8776738408143</v>
      </c>
      <c r="AL4927">
        <v>94.129478892487398</v>
      </c>
      <c r="AM4927">
        <v>89.539321796200497</v>
      </c>
      <c r="AN4927">
        <v>0.99999997425567699</v>
      </c>
    </row>
    <row r="4928" spans="1:40" x14ac:dyDescent="0.25">
      <c r="A4928" t="str">
        <f>"20190303154907525"</f>
        <v>20190303154907525</v>
      </c>
      <c r="B4928" t="str">
        <f>"1551599347515620"</f>
        <v>1551599347515620</v>
      </c>
      <c r="C4928" t="s">
        <v>40</v>
      </c>
      <c r="D4928">
        <v>4.7432860000000003</v>
      </c>
      <c r="E4928">
        <v>0.49686799999999998</v>
      </c>
      <c r="F4928" t="s">
        <v>41</v>
      </c>
      <c r="G4928">
        <v>-273.72480000000002</v>
      </c>
      <c r="H4928" s="1">
        <v>-3.1269890000000002E-6</v>
      </c>
      <c r="I4928">
        <v>141.31739999999999</v>
      </c>
      <c r="J4928">
        <v>-258.30279999999999</v>
      </c>
      <c r="K4928">
        <v>1.1209359999999999</v>
      </c>
      <c r="L4928">
        <v>141.10929999999999</v>
      </c>
      <c r="M4928">
        <v>-0.99979870000000004</v>
      </c>
      <c r="N4928">
        <v>-1.494813E-2</v>
      </c>
      <c r="O4928">
        <v>1.3394120000000001E-2</v>
      </c>
      <c r="P4928">
        <v>-0.99602310000000005</v>
      </c>
      <c r="Q4928">
        <v>-8.7083530000000006E-2</v>
      </c>
      <c r="R4928">
        <v>1.8837860000000001E-2</v>
      </c>
      <c r="S4928">
        <v>-2.9925540000000002</v>
      </c>
      <c r="T4928">
        <v>-0.2139943</v>
      </c>
      <c r="U4928">
        <v>4.0390009999999997E-2</v>
      </c>
      <c r="V4928">
        <v>5.4812250000000002E-3</v>
      </c>
      <c r="W4928">
        <v>-7.2183650000000002E-2</v>
      </c>
      <c r="X4928">
        <v>0.99737629999999999</v>
      </c>
      <c r="Y4928">
        <v>1.2101460000000001E-4</v>
      </c>
      <c r="Z4928">
        <v>-7.5123810000000003E-4</v>
      </c>
      <c r="AA4928">
        <v>0.99999970000000005</v>
      </c>
      <c r="AB4928">
        <v>26</v>
      </c>
      <c r="AC4928">
        <v>-15.422000000000001</v>
      </c>
      <c r="AD4928">
        <v>-1.1209391269889999</v>
      </c>
      <c r="AE4928">
        <v>0.20810000000000101</v>
      </c>
      <c r="AF4928">
        <v>1.48630678883718E-3</v>
      </c>
      <c r="AG4928">
        <v>-1.1209391269889999</v>
      </c>
      <c r="AH4928">
        <v>15.342364545599199</v>
      </c>
      <c r="AI4928">
        <v>94.178701864078505</v>
      </c>
      <c r="AJ4928">
        <v>89.994449414525207</v>
      </c>
      <c r="AK4928">
        <v>15.3832589715438</v>
      </c>
      <c r="AL4928">
        <v>94.139418527378893</v>
      </c>
      <c r="AM4928">
        <v>89.685125967549496</v>
      </c>
      <c r="AN4928">
        <v>1.0000000034782499</v>
      </c>
    </row>
    <row r="4929" spans="1:40" x14ac:dyDescent="0.25">
      <c r="A4929" t="str">
        <f>"20190303154907546"</f>
        <v>20190303154907546</v>
      </c>
      <c r="B4929" t="str">
        <f>"1551599347536116"</f>
        <v>1551599347536116</v>
      </c>
      <c r="C4929" t="s">
        <v>40</v>
      </c>
      <c r="D4929">
        <v>4.7625039999999998</v>
      </c>
      <c r="E4929">
        <v>0.49676090000000001</v>
      </c>
      <c r="F4929" t="s">
        <v>41</v>
      </c>
      <c r="G4929">
        <v>-274.28399999999999</v>
      </c>
      <c r="H4929" s="1">
        <v>-2.8775220000000002E-6</v>
      </c>
      <c r="I4929">
        <v>141.28139999999999</v>
      </c>
      <c r="J4929">
        <v>-258.5444</v>
      </c>
      <c r="K4929">
        <v>1.120943</v>
      </c>
      <c r="L4929">
        <v>141.11259999999999</v>
      </c>
      <c r="M4929">
        <v>-0.99979799999999996</v>
      </c>
      <c r="N4929">
        <v>-1.49424E-2</v>
      </c>
      <c r="O4929">
        <v>1.3451569999999999E-2</v>
      </c>
      <c r="P4929">
        <v>-0.99601759999999995</v>
      </c>
      <c r="Q4929">
        <v>-8.7634740000000003E-2</v>
      </c>
      <c r="R4929">
        <v>1.6417919999999999E-2</v>
      </c>
      <c r="S4929">
        <v>-2.9930110000000001</v>
      </c>
      <c r="T4929">
        <v>-0.20993300000000001</v>
      </c>
      <c r="U4929">
        <v>3.2241819999999997E-2</v>
      </c>
      <c r="V4929">
        <v>3.0059349999999999E-3</v>
      </c>
      <c r="W4929">
        <v>-7.2740570000000004E-2</v>
      </c>
      <c r="X4929">
        <v>0.99734630000000002</v>
      </c>
      <c r="Y4929">
        <v>-2.65315E-3</v>
      </c>
      <c r="Z4929">
        <v>-8.5424990000000005E-4</v>
      </c>
      <c r="AA4929">
        <v>0.99999610000000005</v>
      </c>
      <c r="AB4929">
        <v>26</v>
      </c>
      <c r="AC4929">
        <v>-15.7395999999999</v>
      </c>
      <c r="AD4929">
        <v>-1.120945877522</v>
      </c>
      <c r="AE4929">
        <v>0.168800000000004</v>
      </c>
      <c r="AF4929">
        <v>-4.2744443313529702E-2</v>
      </c>
      <c r="AG4929">
        <v>-1.120945877522</v>
      </c>
      <c r="AH4929">
        <v>15.661022439780099</v>
      </c>
      <c r="AI4929">
        <v>94.093978481438199</v>
      </c>
      <c r="AJ4929">
        <v>90.156379963542804</v>
      </c>
      <c r="AK4929">
        <v>15.701145518944299</v>
      </c>
      <c r="AL4929">
        <v>94.171412087939203</v>
      </c>
      <c r="AM4929">
        <v>89.827314877990801</v>
      </c>
      <c r="AN4929">
        <v>0.99999993414641697</v>
      </c>
    </row>
    <row r="4930" spans="1:40" x14ac:dyDescent="0.25">
      <c r="A4930" t="str">
        <f>"20190303154907569"</f>
        <v>20190303154907569</v>
      </c>
      <c r="B4930" t="str">
        <f>"1551599347565397"</f>
        <v>1551599347565397</v>
      </c>
      <c r="C4930" t="s">
        <v>40</v>
      </c>
      <c r="D4930">
        <v>4.7723079999999998</v>
      </c>
      <c r="E4930">
        <v>0.49648680000000001</v>
      </c>
      <c r="F4930" t="s">
        <v>41</v>
      </c>
      <c r="G4930">
        <v>-274.74259999999998</v>
      </c>
      <c r="H4930" s="1">
        <v>-2.6707359999999998E-6</v>
      </c>
      <c r="I4930">
        <v>141.24359999999999</v>
      </c>
      <c r="J4930">
        <v>-258.8057</v>
      </c>
      <c r="K4930">
        <v>1.120959</v>
      </c>
      <c r="L4930">
        <v>141.11619999999999</v>
      </c>
      <c r="M4930">
        <v>-0.99979739999999995</v>
      </c>
      <c r="N4930">
        <v>-1.4936090000000001E-2</v>
      </c>
      <c r="O4930">
        <v>1.3494559999999999E-2</v>
      </c>
      <c r="P4930">
        <v>-0.99593100000000001</v>
      </c>
      <c r="Q4930">
        <v>-8.8908749999999995E-2</v>
      </c>
      <c r="R4930">
        <v>1.472561E-2</v>
      </c>
      <c r="S4930">
        <v>-2.9933779999999999</v>
      </c>
      <c r="T4930">
        <v>-0.20714759999999999</v>
      </c>
      <c r="U4930">
        <v>2.42157E-2</v>
      </c>
      <c r="V4930">
        <v>1.2745810000000001E-3</v>
      </c>
      <c r="W4930">
        <v>-7.4022050000000006E-2</v>
      </c>
      <c r="X4930">
        <v>0.99725580000000003</v>
      </c>
      <c r="Y4930">
        <v>-5.3714080000000003E-3</v>
      </c>
      <c r="Z4930">
        <v>-9.5710930000000004E-4</v>
      </c>
      <c r="AA4930">
        <v>0.99998509999999996</v>
      </c>
      <c r="AB4930">
        <v>26</v>
      </c>
      <c r="AC4930">
        <v>-15.9368999999999</v>
      </c>
      <c r="AD4930">
        <v>-1.1209616707359999</v>
      </c>
      <c r="AE4930">
        <v>0.12739999999999399</v>
      </c>
      <c r="AF4930">
        <v>-8.7265339937262099E-2</v>
      </c>
      <c r="AG4930">
        <v>-1.1209616707359999</v>
      </c>
      <c r="AH4930">
        <v>15.858714117378099</v>
      </c>
      <c r="AI4930">
        <v>94.043124822849194</v>
      </c>
      <c r="AJ4930">
        <v>90.315276836131204</v>
      </c>
      <c r="AK4930">
        <v>15.898521433251</v>
      </c>
      <c r="AL4930">
        <v>94.245033660600697</v>
      </c>
      <c r="AM4930">
        <v>89.926770972719694</v>
      </c>
      <c r="AN4930">
        <v>1.0000000095382799</v>
      </c>
    </row>
    <row r="4931" spans="1:40" x14ac:dyDescent="0.25">
      <c r="A4931" t="str">
        <f>"20190303154907592"</f>
        <v>20190303154907592</v>
      </c>
      <c r="B4931" t="str">
        <f>"1551599347585892"</f>
        <v>1551599347585892</v>
      </c>
      <c r="C4931" t="s">
        <v>40</v>
      </c>
      <c r="D4931">
        <v>4.7935480000000004</v>
      </c>
      <c r="E4931">
        <v>0.49639820000000001</v>
      </c>
      <c r="F4931" t="s">
        <v>41</v>
      </c>
      <c r="G4931">
        <v>-274.97370000000001</v>
      </c>
      <c r="H4931" s="1">
        <v>-2.5623110000000001E-6</v>
      </c>
      <c r="I4931">
        <v>141.20869999999999</v>
      </c>
      <c r="J4931">
        <v>-259.06700000000001</v>
      </c>
      <c r="K4931">
        <v>1.1209690000000001</v>
      </c>
      <c r="L4931">
        <v>141.1198</v>
      </c>
      <c r="M4931">
        <v>-0.99979720000000005</v>
      </c>
      <c r="N4931">
        <v>-1.4929660000000001E-2</v>
      </c>
      <c r="O4931">
        <v>1.3515040000000001E-2</v>
      </c>
      <c r="P4931">
        <v>-0.99586019999999997</v>
      </c>
      <c r="Q4931">
        <v>-8.9768310000000004E-2</v>
      </c>
      <c r="R4931">
        <v>1.4287950000000001E-2</v>
      </c>
      <c r="S4931">
        <v>-2.9934690000000002</v>
      </c>
      <c r="T4931">
        <v>-0.2075437</v>
      </c>
      <c r="U4931">
        <v>1.7135620000000001E-2</v>
      </c>
      <c r="V4931">
        <v>8.2037709999999999E-4</v>
      </c>
      <c r="W4931">
        <v>-7.4888979999999994E-2</v>
      </c>
      <c r="X4931">
        <v>0.99719150000000001</v>
      </c>
      <c r="Y4931">
        <v>-7.750018E-3</v>
      </c>
      <c r="Z4931">
        <v>-1.0605440000000001E-3</v>
      </c>
      <c r="AA4931">
        <v>0.99996940000000001</v>
      </c>
      <c r="AB4931">
        <v>25</v>
      </c>
      <c r="AC4931">
        <v>-15.906700000000001</v>
      </c>
      <c r="AD4931">
        <v>-1.1209715623109999</v>
      </c>
      <c r="AE4931">
        <v>8.8899999999995302E-2</v>
      </c>
      <c r="AF4931">
        <v>-0.12548858296097701</v>
      </c>
      <c r="AG4931">
        <v>-1.1209715623109999</v>
      </c>
      <c r="AH4931">
        <v>15.827845838835801</v>
      </c>
      <c r="AI4931">
        <v>94.050953567838107</v>
      </c>
      <c r="AJ4931">
        <v>90.454251046490697</v>
      </c>
      <c r="AK4931">
        <v>15.8679875386236</v>
      </c>
      <c r="AL4931">
        <v>94.2948435599249</v>
      </c>
      <c r="AM4931">
        <v>89.952863482255097</v>
      </c>
      <c r="AN4931">
        <v>0.99999996000813696</v>
      </c>
    </row>
    <row r="4932" spans="1:40" x14ac:dyDescent="0.25">
      <c r="A4932" t="str">
        <f>"20190303154907614"</f>
        <v>20190303154907614</v>
      </c>
      <c r="B4932" t="str">
        <f>"1551599347605412"</f>
        <v>1551599347605412</v>
      </c>
      <c r="C4932" t="s">
        <v>40</v>
      </c>
      <c r="D4932">
        <v>4.7682849999999997</v>
      </c>
      <c r="E4932">
        <v>0.49648170000000003</v>
      </c>
      <c r="F4932" t="s">
        <v>41</v>
      </c>
      <c r="G4932">
        <v>-275.18180000000001</v>
      </c>
      <c r="H4932" s="1">
        <v>-2.4710589999999999E-6</v>
      </c>
      <c r="I4932">
        <v>141.2012</v>
      </c>
      <c r="J4932">
        <v>-259.3177</v>
      </c>
      <c r="K4932">
        <v>1.120994</v>
      </c>
      <c r="L4932">
        <v>141.12309999999999</v>
      </c>
      <c r="M4932">
        <v>-0.99979759999999995</v>
      </c>
      <c r="N4932">
        <v>-1.492363E-2</v>
      </c>
      <c r="O4932">
        <v>1.349792E-2</v>
      </c>
      <c r="P4932">
        <v>-0.99585259999999998</v>
      </c>
      <c r="Q4932">
        <v>-8.9699909999999994E-2</v>
      </c>
      <c r="R4932">
        <v>1.5219740000000001E-2</v>
      </c>
      <c r="S4932">
        <v>-2.993439</v>
      </c>
      <c r="T4932">
        <v>-0.20822869999999999</v>
      </c>
      <c r="U4932">
        <v>1.5136719999999999E-2</v>
      </c>
      <c r="V4932">
        <v>1.773494E-3</v>
      </c>
      <c r="W4932">
        <v>-7.4826550000000006E-2</v>
      </c>
      <c r="X4932">
        <v>0.99719500000000005</v>
      </c>
      <c r="Y4932">
        <v>-8.3983640000000002E-3</v>
      </c>
      <c r="Z4932">
        <v>-1.0910169999999999E-3</v>
      </c>
      <c r="AA4932">
        <v>0.99996410000000002</v>
      </c>
      <c r="AB4932">
        <v>25</v>
      </c>
      <c r="AC4932">
        <v>-15.864100000000001</v>
      </c>
      <c r="AD4932">
        <v>-1.1209964710589999</v>
      </c>
      <c r="AE4932">
        <v>7.8100000000006206E-2</v>
      </c>
      <c r="AF4932">
        <v>-0.13538730502356799</v>
      </c>
      <c r="AG4932">
        <v>-1.1209964710589999</v>
      </c>
      <c r="AH4932">
        <v>15.784893770004</v>
      </c>
      <c r="AI4932">
        <v>94.062008003376803</v>
      </c>
      <c r="AJ4932">
        <v>90.491414835018901</v>
      </c>
      <c r="AK4932">
        <v>15.8252277753213</v>
      </c>
      <c r="AL4932">
        <v>94.291256292231495</v>
      </c>
      <c r="AM4932">
        <v>89.898100558007997</v>
      </c>
      <c r="AN4932">
        <v>1.0000000129454301</v>
      </c>
    </row>
    <row r="4933" spans="1:40" x14ac:dyDescent="0.25">
      <c r="A4933" t="str">
        <f>"20190303154907635"</f>
        <v>20190303154907635</v>
      </c>
      <c r="B4933" t="str">
        <f>"1551599347625912"</f>
        <v>1551599347625912</v>
      </c>
      <c r="C4933" t="s">
        <v>40</v>
      </c>
      <c r="D4933">
        <v>4.8304239999999998</v>
      </c>
      <c r="E4933">
        <v>0.49651070000000003</v>
      </c>
      <c r="F4933" t="s">
        <v>41</v>
      </c>
      <c r="G4933">
        <v>-275.63220000000001</v>
      </c>
      <c r="H4933" s="1">
        <v>-2.2841720000000002E-6</v>
      </c>
      <c r="I4933">
        <v>141.2251</v>
      </c>
      <c r="J4933">
        <v>-259.55430000000001</v>
      </c>
      <c r="K4933">
        <v>1.1210290000000001</v>
      </c>
      <c r="L4933">
        <v>141.12629999999999</v>
      </c>
      <c r="M4933">
        <v>-0.99979859999999998</v>
      </c>
      <c r="N4933">
        <v>-1.491808E-2</v>
      </c>
      <c r="O4933">
        <v>1.3427369999999999E-2</v>
      </c>
      <c r="P4933">
        <v>-0.99589360000000005</v>
      </c>
      <c r="Q4933">
        <v>-8.9046449999999999E-2</v>
      </c>
      <c r="R4933">
        <v>1.6330239999999999E-2</v>
      </c>
      <c r="S4933">
        <v>-2.9936829999999999</v>
      </c>
      <c r="T4933">
        <v>-0.20570060000000001</v>
      </c>
      <c r="U4933">
        <v>1.8722530000000001E-2</v>
      </c>
      <c r="V4933">
        <v>2.959737E-3</v>
      </c>
      <c r="W4933">
        <v>-7.417762E-2</v>
      </c>
      <c r="X4933">
        <v>0.99724069999999998</v>
      </c>
      <c r="Y4933">
        <v>-7.1353900000000001E-3</v>
      </c>
      <c r="Z4933">
        <v>-1.019502E-3</v>
      </c>
      <c r="AA4933">
        <v>0.99997400000000003</v>
      </c>
      <c r="AB4933">
        <v>25</v>
      </c>
      <c r="AC4933">
        <v>-16.0779</v>
      </c>
      <c r="AD4933">
        <v>-1.121031284172</v>
      </c>
      <c r="AE4933">
        <v>9.8800000000011295E-2</v>
      </c>
      <c r="AF4933">
        <v>-0.11655024225196101</v>
      </c>
      <c r="AG4933">
        <v>-1.121031284172</v>
      </c>
      <c r="AH4933">
        <v>15.9999948004884</v>
      </c>
      <c r="AI4933">
        <v>94.007743246990003</v>
      </c>
      <c r="AJ4933">
        <v>90.417357565132406</v>
      </c>
      <c r="AK4933">
        <v>16.039642412308201</v>
      </c>
      <c r="AL4933">
        <v>94.253971579538899</v>
      </c>
      <c r="AM4933">
        <v>89.829950842710304</v>
      </c>
      <c r="AN4933">
        <v>1.00000004654423</v>
      </c>
    </row>
    <row r="4934" spans="1:40" x14ac:dyDescent="0.25">
      <c r="A4934" t="str">
        <f>"20190303154907662"</f>
        <v>20190303154907662</v>
      </c>
      <c r="B4934" t="str">
        <f>"1551599347656165"</f>
        <v>1551599347656165</v>
      </c>
      <c r="C4934" t="s">
        <v>40</v>
      </c>
      <c r="D4934">
        <v>4.9550269999999896</v>
      </c>
      <c r="E4934">
        <v>0.51273270000000004</v>
      </c>
      <c r="F4934" t="s">
        <v>41</v>
      </c>
      <c r="G4934">
        <v>-276.22000000000003</v>
      </c>
      <c r="H4934" s="1">
        <v>-2.0387769999999999E-6</v>
      </c>
      <c r="I4934">
        <v>141.25049999999999</v>
      </c>
      <c r="J4934">
        <v>-259.84280000000001</v>
      </c>
      <c r="K4934">
        <v>1.121095</v>
      </c>
      <c r="L4934">
        <v>141.13</v>
      </c>
      <c r="M4934">
        <v>-0.9998011</v>
      </c>
      <c r="N4934">
        <v>-1.491145E-2</v>
      </c>
      <c r="O4934">
        <v>1.3255690000000001E-2</v>
      </c>
      <c r="P4934">
        <v>-0.99588290000000002</v>
      </c>
      <c r="Q4934">
        <v>-8.8921490000000006E-2</v>
      </c>
      <c r="R4934">
        <v>1.7626599999999999E-2</v>
      </c>
      <c r="S4934">
        <v>-2.9939879999999999</v>
      </c>
      <c r="T4934">
        <v>-0.20139319999999999</v>
      </c>
      <c r="U4934">
        <v>2.2323610000000001E-2</v>
      </c>
      <c r="V4934">
        <v>4.4380519999999996E-3</v>
      </c>
      <c r="W4934">
        <v>-7.4058440000000003E-2</v>
      </c>
      <c r="X4934">
        <v>0.99724400000000002</v>
      </c>
      <c r="Y4934">
        <v>-5.767444E-3</v>
      </c>
      <c r="Z4934">
        <v>-9.2992089999999997E-4</v>
      </c>
      <c r="AA4934">
        <v>0.99998299999999996</v>
      </c>
      <c r="AB4934">
        <v>25</v>
      </c>
      <c r="AC4934">
        <v>-16.377199999999998</v>
      </c>
      <c r="AD4934">
        <v>-1.1210970387770001</v>
      </c>
      <c r="AE4934">
        <v>0.120499999999992</v>
      </c>
      <c r="AF4934">
        <v>-9.6175124811266305E-2</v>
      </c>
      <c r="AG4934">
        <v>-1.1210970387770001</v>
      </c>
      <c r="AH4934">
        <v>16.300975176630701</v>
      </c>
      <c r="AI4934">
        <v>93.934244819584805</v>
      </c>
      <c r="AJ4934">
        <v>90.338038966929901</v>
      </c>
      <c r="AK4934">
        <v>16.339764378170099</v>
      </c>
      <c r="AL4934">
        <v>94.247124551445694</v>
      </c>
      <c r="AM4934">
        <v>89.745017297502301</v>
      </c>
      <c r="AN4934">
        <v>0.99999997218839298</v>
      </c>
    </row>
    <row r="4935" spans="1:40" x14ac:dyDescent="0.25">
      <c r="A4935" t="str">
        <f>"20190303154907684"</f>
        <v>20190303154907684</v>
      </c>
      <c r="B4935" t="str">
        <f>"1551599347675684"</f>
        <v>1551599347675684</v>
      </c>
      <c r="C4935" t="s">
        <v>40</v>
      </c>
      <c r="D4935">
        <v>4.8299000000000003</v>
      </c>
      <c r="E4935">
        <v>0.5144455</v>
      </c>
      <c r="F4935" t="s">
        <v>59</v>
      </c>
      <c r="G4935">
        <v>-292.00420000000003</v>
      </c>
      <c r="H4935" s="1">
        <v>-9.6039380000000003E-6</v>
      </c>
      <c r="I4935">
        <v>142.8141</v>
      </c>
      <c r="J4935">
        <v>-260.09660000000002</v>
      </c>
      <c r="K4935">
        <v>1.121157</v>
      </c>
      <c r="L4935">
        <v>141.13310000000001</v>
      </c>
      <c r="M4935">
        <v>-0.99980429999999998</v>
      </c>
      <c r="N4935">
        <v>-1.4905760000000001E-2</v>
      </c>
      <c r="O4935">
        <v>1.3006719999999999E-2</v>
      </c>
      <c r="P4935">
        <v>-0.99580199999999996</v>
      </c>
      <c r="Q4935">
        <v>-8.9567880000000002E-2</v>
      </c>
      <c r="R4935">
        <v>1.8870100000000001E-2</v>
      </c>
      <c r="S4935">
        <v>-3.000305</v>
      </c>
      <c r="T4935">
        <v>-0.104587</v>
      </c>
      <c r="U4935">
        <v>0.15710450000000001</v>
      </c>
      <c r="V4935">
        <v>5.9424269999999897E-3</v>
      </c>
      <c r="W4935">
        <v>-7.4710170000000006E-2</v>
      </c>
      <c r="X4935">
        <v>0.99718759999999995</v>
      </c>
      <c r="Y4935">
        <v>3.9265010000000003E-2</v>
      </c>
      <c r="Z4935">
        <v>7.1750739999999996E-4</v>
      </c>
      <c r="AA4935">
        <v>0.99922860000000002</v>
      </c>
      <c r="AB4935">
        <v>25</v>
      </c>
      <c r="AC4935">
        <v>-31.907599999999999</v>
      </c>
      <c r="AD4935">
        <v>-1.1211666039379999</v>
      </c>
      <c r="AE4935">
        <v>1.6809999999999801</v>
      </c>
      <c r="AF4935">
        <v>1.26424183386063</v>
      </c>
      <c r="AG4935">
        <v>-1.1211666039379999</v>
      </c>
      <c r="AH4935">
        <v>31.8875053547095</v>
      </c>
      <c r="AI4935">
        <v>92.012114048677404</v>
      </c>
      <c r="AJ4935">
        <v>87.729587093527201</v>
      </c>
      <c r="AK4935">
        <v>31.932245766856099</v>
      </c>
      <c r="AL4935">
        <v>94.284569480555007</v>
      </c>
      <c r="AM4935">
        <v>89.658567799144805</v>
      </c>
      <c r="AN4935">
        <v>1.00000001576691</v>
      </c>
    </row>
    <row r="4936" spans="1:40" x14ac:dyDescent="0.25">
      <c r="A4936" t="str">
        <f>"20190303154907705"</f>
        <v>20190303154907705</v>
      </c>
      <c r="B4936" t="str">
        <f>"1551599347696181"</f>
        <v>1551599347696181</v>
      </c>
      <c r="C4936" t="s">
        <v>40</v>
      </c>
      <c r="D4936">
        <v>5.0723770000000004</v>
      </c>
      <c r="E4936">
        <v>0.51364529999999997</v>
      </c>
      <c r="F4936" t="s">
        <v>59</v>
      </c>
      <c r="G4936">
        <v>-297.66770000000002</v>
      </c>
      <c r="H4936" s="1">
        <v>-9.2283829999999998E-6</v>
      </c>
      <c r="I4936">
        <v>143.32050000000001</v>
      </c>
      <c r="J4936">
        <v>-260.34699999999998</v>
      </c>
      <c r="K4936">
        <v>1.1212169999999999</v>
      </c>
      <c r="L4936">
        <v>141.1361</v>
      </c>
      <c r="M4936">
        <v>-0.99980849999999999</v>
      </c>
      <c r="N4936">
        <v>-1.4900180000000001E-2</v>
      </c>
      <c r="O4936">
        <v>1.2690409999999999E-2</v>
      </c>
      <c r="P4936">
        <v>-0.99567240000000001</v>
      </c>
      <c r="Q4936">
        <v>-9.0864399999999901E-2</v>
      </c>
      <c r="R4936">
        <v>1.950298E-2</v>
      </c>
      <c r="S4936">
        <v>-3.0012819999999998</v>
      </c>
      <c r="T4936">
        <v>-8.956182E-2</v>
      </c>
      <c r="U4936">
        <v>0.17472839999999901</v>
      </c>
      <c r="V4936">
        <v>6.9035199999999998E-3</v>
      </c>
      <c r="W4936">
        <v>-7.6012590000000005E-2</v>
      </c>
      <c r="X4936">
        <v>0.99708289999999999</v>
      </c>
      <c r="Y4936">
        <v>4.541564E-2</v>
      </c>
      <c r="Z4936">
        <v>8.2636350000000005E-4</v>
      </c>
      <c r="AA4936">
        <v>0.99896779999999996</v>
      </c>
      <c r="AB4936">
        <v>25</v>
      </c>
      <c r="AC4936">
        <v>-37.320700000000002</v>
      </c>
      <c r="AD4936">
        <v>-1.1212262283829999</v>
      </c>
      <c r="AE4936">
        <v>2.1844000000000099</v>
      </c>
      <c r="AF4936">
        <v>1.7090192495110901</v>
      </c>
      <c r="AG4936">
        <v>-1.1212262283829999</v>
      </c>
      <c r="AH4936">
        <v>37.311855983034803</v>
      </c>
      <c r="AI4936">
        <v>91.719426186718806</v>
      </c>
      <c r="AJ4936">
        <v>87.377477051346403</v>
      </c>
      <c r="AK4936">
        <v>37.367800202167899</v>
      </c>
      <c r="AL4936">
        <v>94.359405792710803</v>
      </c>
      <c r="AM4936">
        <v>89.6033065661059</v>
      </c>
      <c r="AN4936">
        <v>0.99999994094965206</v>
      </c>
    </row>
    <row r="4937" spans="1:40" x14ac:dyDescent="0.25">
      <c r="A4937" t="str">
        <f>"20190303154907725"</f>
        <v>20190303154907725</v>
      </c>
      <c r="B4937" t="str">
        <f>"1551599347715700"</f>
        <v>1551599347715700</v>
      </c>
      <c r="C4937" t="s">
        <v>40</v>
      </c>
      <c r="D4937">
        <v>4.9008440000000002</v>
      </c>
      <c r="E4937">
        <v>0.51461229999999902</v>
      </c>
      <c r="F4937" t="s">
        <v>59</v>
      </c>
      <c r="G4937">
        <v>-289.69920000000002</v>
      </c>
      <c r="H4937" s="1">
        <v>-9.6646849999999998E-6</v>
      </c>
      <c r="I4937">
        <v>142.7979</v>
      </c>
      <c r="J4937">
        <v>-260.57029999999997</v>
      </c>
      <c r="K4937">
        <v>1.121259</v>
      </c>
      <c r="L4937">
        <v>141.13849999999999</v>
      </c>
      <c r="M4937">
        <v>-0.99981279999999995</v>
      </c>
      <c r="N4937">
        <v>-1.4895179999999999E-2</v>
      </c>
      <c r="O4937">
        <v>1.2349199999999999E-2</v>
      </c>
      <c r="P4937">
        <v>-0.99570700000000001</v>
      </c>
      <c r="Q4937">
        <v>-9.0605290000000005E-2</v>
      </c>
      <c r="R4937">
        <v>1.8932589999999999E-2</v>
      </c>
      <c r="S4937">
        <v>-2.9992679999999998</v>
      </c>
      <c r="T4937">
        <v>-0.1145692</v>
      </c>
      <c r="U4937">
        <v>0.1698151</v>
      </c>
      <c r="V4937">
        <v>6.6810109999999997E-3</v>
      </c>
      <c r="W4937">
        <v>-7.575751E-2</v>
      </c>
      <c r="X4937">
        <v>0.99710390000000004</v>
      </c>
      <c r="Y4937">
        <v>4.4151870000000003E-2</v>
      </c>
      <c r="Z4937">
        <v>8.8422800000000003E-4</v>
      </c>
      <c r="AA4937">
        <v>0.99902449999999998</v>
      </c>
      <c r="AB4937">
        <v>25</v>
      </c>
      <c r="AC4937">
        <v>-29.128900000000002</v>
      </c>
      <c r="AD4937">
        <v>-1.1212686646850001</v>
      </c>
      <c r="AE4937">
        <v>1.6594</v>
      </c>
      <c r="AF4937">
        <v>1.2975984326621199</v>
      </c>
      <c r="AG4937">
        <v>-1.1212686646850001</v>
      </c>
      <c r="AH4937">
        <v>29.104187580584401</v>
      </c>
      <c r="AI4937">
        <v>92.204100124380304</v>
      </c>
      <c r="AJ4937">
        <v>87.447181432687501</v>
      </c>
      <c r="AK4937">
        <v>29.154669263030499</v>
      </c>
      <c r="AL4937">
        <v>94.344748212712602</v>
      </c>
      <c r="AM4937">
        <v>89.616100182986798</v>
      </c>
      <c r="AN4937">
        <v>1.00000001181229</v>
      </c>
    </row>
    <row r="4938" spans="1:40" x14ac:dyDescent="0.25">
      <c r="A4938" t="str">
        <f>"20190303154907748"</f>
        <v>20190303154907748</v>
      </c>
      <c r="B4938" t="str">
        <f>"1551599347745957"</f>
        <v>1551599347745957</v>
      </c>
      <c r="C4938" t="s">
        <v>40</v>
      </c>
      <c r="D4938">
        <v>4.9325769999999904</v>
      </c>
      <c r="E4938">
        <v>0.51461309999999905</v>
      </c>
      <c r="F4938" t="s">
        <v>59</v>
      </c>
      <c r="G4938">
        <v>-293.15519999999998</v>
      </c>
      <c r="H4938" s="1">
        <v>-9.5554080000000002E-6</v>
      </c>
      <c r="I4938">
        <v>143.04849999999999</v>
      </c>
      <c r="J4938">
        <v>-260.82870000000003</v>
      </c>
      <c r="K4938">
        <v>1.1213029999999999</v>
      </c>
      <c r="L4938">
        <v>141.1412</v>
      </c>
      <c r="M4938">
        <v>-0.9998186</v>
      </c>
      <c r="N4938">
        <v>-1.4889329999999999E-2</v>
      </c>
      <c r="O4938">
        <v>1.188402E-2</v>
      </c>
      <c r="P4938">
        <v>-0.99568769999999995</v>
      </c>
      <c r="Q4938">
        <v>-9.1096220000000006E-2</v>
      </c>
      <c r="R4938">
        <v>1.7539289999999999E-2</v>
      </c>
      <c r="S4938">
        <v>-3.0002140000000002</v>
      </c>
      <c r="T4938">
        <v>-0.1032392</v>
      </c>
      <c r="U4938">
        <v>0.1758575</v>
      </c>
      <c r="V4938">
        <v>5.7595390000000002E-3</v>
      </c>
      <c r="W4938">
        <v>-7.6254779999999994E-2</v>
      </c>
      <c r="X4938">
        <v>0.99707170000000001</v>
      </c>
      <c r="Y4938">
        <v>4.6608299999999998E-2</v>
      </c>
      <c r="Z4938">
        <v>9.1680229999999998E-4</v>
      </c>
      <c r="AA4938">
        <v>0.99891280000000005</v>
      </c>
      <c r="AB4938">
        <v>25</v>
      </c>
      <c r="AC4938">
        <v>-32.326499999999903</v>
      </c>
      <c r="AD4938">
        <v>-1.1213125554079999</v>
      </c>
      <c r="AE4938">
        <v>1.90729999999999</v>
      </c>
      <c r="AF4938">
        <v>1.52113008114409</v>
      </c>
      <c r="AG4938">
        <v>-1.1213125554079999</v>
      </c>
      <c r="AH4938">
        <v>32.3081474343632</v>
      </c>
      <c r="AI4938">
        <v>91.985557827106007</v>
      </c>
      <c r="AJ4938">
        <v>87.304394476734501</v>
      </c>
      <c r="AK4938">
        <v>32.363367705033802</v>
      </c>
      <c r="AL4938">
        <v>94.373322525979304</v>
      </c>
      <c r="AM4938">
        <v>89.669037235408197</v>
      </c>
      <c r="AN4938">
        <v>0.99999996935161495</v>
      </c>
    </row>
    <row r="4939" spans="1:40" x14ac:dyDescent="0.25">
      <c r="A4939" t="str">
        <f>"20190303154907771"</f>
        <v>20190303154907771</v>
      </c>
      <c r="B4939" t="str">
        <f>"1551599347765477"</f>
        <v>1551599347765477</v>
      </c>
      <c r="C4939" t="s">
        <v>40</v>
      </c>
      <c r="D4939">
        <v>4.9700150000000001</v>
      </c>
      <c r="E4939">
        <v>0.51467929999999995</v>
      </c>
      <c r="F4939" t="s">
        <v>59</v>
      </c>
      <c r="G4939">
        <v>-294.5095</v>
      </c>
      <c r="H4939" s="1">
        <v>-9.4388879999999992E-6</v>
      </c>
      <c r="I4939">
        <v>143.0667</v>
      </c>
      <c r="J4939">
        <v>-261.07830000000001</v>
      </c>
      <c r="K4939">
        <v>1.1213249999999999</v>
      </c>
      <c r="L4939">
        <v>141.14359999999999</v>
      </c>
      <c r="M4939">
        <v>-0.99982459999999995</v>
      </c>
      <c r="N4939">
        <v>-1.488369E-2</v>
      </c>
      <c r="O4939">
        <v>1.138086E-2</v>
      </c>
      <c r="P4939">
        <v>-0.99574799999999997</v>
      </c>
      <c r="Q4939">
        <v>-9.0758740000000004E-2</v>
      </c>
      <c r="R4939">
        <v>1.5778509999999999E-2</v>
      </c>
      <c r="S4939">
        <v>-3.0008240000000002</v>
      </c>
      <c r="T4939">
        <v>-9.9904660000000006E-2</v>
      </c>
      <c r="U4939">
        <v>0.1715546</v>
      </c>
      <c r="V4939">
        <v>4.5047969999999996E-3</v>
      </c>
      <c r="W4939">
        <v>-7.5922970000000006E-2</v>
      </c>
      <c r="X4939">
        <v>0.99710350000000003</v>
      </c>
      <c r="Y4939">
        <v>4.5674079999999999E-2</v>
      </c>
      <c r="Z4939">
        <v>8.9060669999999997E-4</v>
      </c>
      <c r="AA4939">
        <v>0.99895599999999996</v>
      </c>
      <c r="AB4939">
        <v>25</v>
      </c>
      <c r="AC4939">
        <v>-33.431199999999897</v>
      </c>
      <c r="AD4939">
        <v>-1.121334438888</v>
      </c>
      <c r="AE4939">
        <v>1.9231</v>
      </c>
      <c r="AF4939">
        <v>1.54072986199869</v>
      </c>
      <c r="AG4939">
        <v>-1.121334438888</v>
      </c>
      <c r="AH4939">
        <v>33.413455975291697</v>
      </c>
      <c r="AI4939">
        <v>91.920050128324206</v>
      </c>
      <c r="AJ4939">
        <v>87.359900985144193</v>
      </c>
      <c r="AK4939">
        <v>33.467749844353797</v>
      </c>
      <c r="AL4939">
        <v>94.354255848727007</v>
      </c>
      <c r="AM4939">
        <v>89.741146130170506</v>
      </c>
      <c r="AN4939">
        <v>0.99999999014094099</v>
      </c>
    </row>
    <row r="4940" spans="1:40" x14ac:dyDescent="0.25">
      <c r="A4940" t="str">
        <f>"20190303154907793"</f>
        <v>20190303154907793</v>
      </c>
      <c r="B4940" t="str">
        <f>"1551599347785973"</f>
        <v>1551599347785973</v>
      </c>
      <c r="C4940" t="s">
        <v>40</v>
      </c>
      <c r="D4940">
        <v>5.009849</v>
      </c>
      <c r="E4940">
        <v>0.51467129999999905</v>
      </c>
      <c r="F4940" t="s">
        <v>59</v>
      </c>
      <c r="G4940">
        <v>-295.90679999999998</v>
      </c>
      <c r="H4940" s="1">
        <v>-9.3196040000000006E-6</v>
      </c>
      <c r="I4940">
        <v>143.07980000000001</v>
      </c>
      <c r="J4940">
        <v>-261.32709999999997</v>
      </c>
      <c r="K4940">
        <v>1.121351</v>
      </c>
      <c r="L4940">
        <v>141.14580000000001</v>
      </c>
      <c r="M4940">
        <v>-0.99983069999999996</v>
      </c>
      <c r="N4940">
        <v>-1.4877929999999999E-2</v>
      </c>
      <c r="O4940">
        <v>1.084661E-2</v>
      </c>
      <c r="P4940">
        <v>-0.99576759999999997</v>
      </c>
      <c r="Q4940">
        <v>-9.0783160000000002E-2</v>
      </c>
      <c r="R4940">
        <v>1.434703E-2</v>
      </c>
      <c r="S4940">
        <v>-3.0013730000000001</v>
      </c>
      <c r="T4940">
        <v>-9.6631999999999996E-2</v>
      </c>
      <c r="U4940">
        <v>0.1668549</v>
      </c>
      <c r="V4940">
        <v>3.609246E-3</v>
      </c>
      <c r="W4940">
        <v>-7.5953670000000001E-2</v>
      </c>
      <c r="X4940">
        <v>0.99710480000000001</v>
      </c>
      <c r="Y4940">
        <v>4.4640649999999997E-2</v>
      </c>
      <c r="Z4940">
        <v>8.6278989999999996E-4</v>
      </c>
      <c r="AA4940">
        <v>0.99900279999999997</v>
      </c>
      <c r="AB4940">
        <v>25</v>
      </c>
      <c r="AC4940">
        <v>-34.579700000000003</v>
      </c>
      <c r="AD4940">
        <v>-1.1213603196040001</v>
      </c>
      <c r="AE4940">
        <v>1.9339999999999899</v>
      </c>
      <c r="AF4940">
        <v>1.5571398751475201</v>
      </c>
      <c r="AG4940">
        <v>-1.1213603196040001</v>
      </c>
      <c r="AH4940">
        <v>34.562412743496303</v>
      </c>
      <c r="AI4940">
        <v>91.8563995031475</v>
      </c>
      <c r="AJ4940">
        <v>87.420398474903294</v>
      </c>
      <c r="AK4940">
        <v>34.615639647548797</v>
      </c>
      <c r="AL4940">
        <v>94.356019947908493</v>
      </c>
      <c r="AM4940">
        <v>89.792605892718399</v>
      </c>
      <c r="AN4940">
        <v>0.99999998441309801</v>
      </c>
    </row>
    <row r="4941" spans="1:40" x14ac:dyDescent="0.25">
      <c r="A4941" t="str">
        <f>"20190303154907818"</f>
        <v>20190303154907818</v>
      </c>
      <c r="B4941" t="str">
        <f>"1551599347805493"</f>
        <v>1551599347805493</v>
      </c>
      <c r="C4941" t="s">
        <v>40</v>
      </c>
      <c r="D4941">
        <v>4.9792820000000004</v>
      </c>
      <c r="E4941">
        <v>0.51463999999999999</v>
      </c>
      <c r="F4941" t="s">
        <v>59</v>
      </c>
      <c r="G4941">
        <v>-296.45440000000002</v>
      </c>
      <c r="H4941" s="1">
        <v>-9.2632790000000008E-6</v>
      </c>
      <c r="I4941">
        <v>143.0487</v>
      </c>
      <c r="J4941">
        <v>-261.5924</v>
      </c>
      <c r="K4941">
        <v>1.121362</v>
      </c>
      <c r="L4941">
        <v>141.1481</v>
      </c>
      <c r="M4941">
        <v>-0.99983690000000003</v>
      </c>
      <c r="N4941">
        <v>-1.4871570000000001E-2</v>
      </c>
      <c r="O4941">
        <v>1.0260099999999999E-2</v>
      </c>
      <c r="P4941">
        <v>-0.99579340000000005</v>
      </c>
      <c r="Q4941">
        <v>-9.0692980000000006E-2</v>
      </c>
      <c r="R4941">
        <v>1.3073090000000001E-2</v>
      </c>
      <c r="S4941">
        <v>-3.0016780000000001</v>
      </c>
      <c r="T4941">
        <v>-9.5821859999999995E-2</v>
      </c>
      <c r="U4941">
        <v>0.16259770000000001</v>
      </c>
      <c r="V4941">
        <v>2.9213419999999999E-3</v>
      </c>
      <c r="W4941">
        <v>-7.5870170000000001E-2</v>
      </c>
      <c r="X4941">
        <v>0.99711340000000004</v>
      </c>
      <c r="Y4941">
        <v>4.3809399999999998E-2</v>
      </c>
      <c r="Z4941">
        <v>8.4999610000000003E-4</v>
      </c>
      <c r="AA4941">
        <v>0.99903949999999997</v>
      </c>
      <c r="AB4941">
        <v>25</v>
      </c>
      <c r="AC4941">
        <v>-34.862000000000002</v>
      </c>
      <c r="AD4941">
        <v>-1.1213712632790001</v>
      </c>
      <c r="AE4941">
        <v>1.9005999999999901</v>
      </c>
      <c r="AF4941">
        <v>1.5411829550459899</v>
      </c>
      <c r="AG4941">
        <v>-1.1213712632790001</v>
      </c>
      <c r="AH4941">
        <v>34.843722801511099</v>
      </c>
      <c r="AI4941">
        <v>91.841507588284202</v>
      </c>
      <c r="AJ4941">
        <v>87.4673842672413</v>
      </c>
      <c r="AK4941">
        <v>34.895812600935102</v>
      </c>
      <c r="AL4941">
        <v>94.351221947979695</v>
      </c>
      <c r="AM4941">
        <v>89.832135353711394</v>
      </c>
      <c r="AN4941">
        <v>0.99999997469723401</v>
      </c>
    </row>
    <row r="4942" spans="1:40" x14ac:dyDescent="0.25">
      <c r="A4942" t="str">
        <f>"20190303154907837"</f>
        <v>20190303154907837</v>
      </c>
      <c r="B4942" t="str">
        <f>"1551599347825988"</f>
        <v>1551599347825988</v>
      </c>
      <c r="C4942" t="s">
        <v>40</v>
      </c>
      <c r="D4942">
        <v>5.044232</v>
      </c>
      <c r="E4942">
        <v>0.51469019999999999</v>
      </c>
      <c r="F4942" t="s">
        <v>59</v>
      </c>
      <c r="G4942">
        <v>-297.32659999999998</v>
      </c>
      <c r="H4942" s="1">
        <v>-9.1824950000000002E-6</v>
      </c>
      <c r="I4942">
        <v>143.03290000000001</v>
      </c>
      <c r="J4942">
        <v>-261.81720000000001</v>
      </c>
      <c r="K4942">
        <v>1.1213690000000001</v>
      </c>
      <c r="L4942">
        <v>141.1498</v>
      </c>
      <c r="M4942">
        <v>-0.99984189999999995</v>
      </c>
      <c r="N4942">
        <v>-1.486617E-2</v>
      </c>
      <c r="O4942">
        <v>9.7590869999999996E-3</v>
      </c>
      <c r="P4942">
        <v>-0.99588569999999998</v>
      </c>
      <c r="Q4942">
        <v>-8.9835760000000001E-2</v>
      </c>
      <c r="R4942">
        <v>1.1897670000000001E-2</v>
      </c>
      <c r="S4942">
        <v>-3.002014</v>
      </c>
      <c r="T4942">
        <v>-9.4205979999999995E-2</v>
      </c>
      <c r="U4942">
        <v>0.1583405</v>
      </c>
      <c r="V4942">
        <v>2.243592E-3</v>
      </c>
      <c r="W4942">
        <v>-7.5017840000000002E-2</v>
      </c>
      <c r="X4942">
        <v>0.9971797</v>
      </c>
      <c r="Y4942">
        <v>4.2892670000000001E-2</v>
      </c>
      <c r="Z4942">
        <v>8.3059449999999999E-4</v>
      </c>
      <c r="AA4942">
        <v>0.9990793</v>
      </c>
      <c r="AB4942">
        <v>25</v>
      </c>
      <c r="AC4942">
        <v>-35.5093999999999</v>
      </c>
      <c r="AD4942">
        <v>-1.121378182495</v>
      </c>
      <c r="AE4942">
        <v>1.88310000000001</v>
      </c>
      <c r="AF4942">
        <v>1.5349062533792801</v>
      </c>
      <c r="AG4942">
        <v>-1.121378182495</v>
      </c>
      <c r="AH4942">
        <v>35.4907929665914</v>
      </c>
      <c r="AI4942">
        <v>91.808044313466297</v>
      </c>
      <c r="AJ4942">
        <v>87.523614585307598</v>
      </c>
      <c r="AK4942">
        <v>35.541663039766298</v>
      </c>
      <c r="AL4942">
        <v>94.302247210887501</v>
      </c>
      <c r="AM4942">
        <v>89.871088294680803</v>
      </c>
      <c r="AN4942">
        <v>1.0000000320577001</v>
      </c>
    </row>
    <row r="4943" spans="1:40" x14ac:dyDescent="0.25">
      <c r="A4943" t="str">
        <f>"20190303154907862"</f>
        <v>20190303154907862</v>
      </c>
      <c r="B4943" t="str">
        <f>"1551599347856245"</f>
        <v>1551599347856245</v>
      </c>
      <c r="C4943" t="s">
        <v>40</v>
      </c>
      <c r="D4943">
        <v>5.0748709999999999</v>
      </c>
      <c r="E4943">
        <v>0.51471149999999999</v>
      </c>
      <c r="F4943" t="s">
        <v>59</v>
      </c>
      <c r="G4943">
        <v>-298.81319999999999</v>
      </c>
      <c r="H4943" s="1">
        <v>-9.0599510000000006E-6</v>
      </c>
      <c r="I4943">
        <v>143.0633</v>
      </c>
      <c r="J4943">
        <v>-262.07819999999998</v>
      </c>
      <c r="K4943">
        <v>1.121373</v>
      </c>
      <c r="L4943">
        <v>141.15170000000001</v>
      </c>
      <c r="M4943">
        <v>-0.9998475</v>
      </c>
      <c r="N4943">
        <v>-1.4859860000000001E-2</v>
      </c>
      <c r="O4943">
        <v>9.1786660000000003E-3</v>
      </c>
      <c r="P4943">
        <v>-0.99600549999999999</v>
      </c>
      <c r="Q4943">
        <v>-8.8553480000000004E-2</v>
      </c>
      <c r="R4943">
        <v>1.1469089999999999E-2</v>
      </c>
      <c r="S4943">
        <v>-3.002319</v>
      </c>
      <c r="T4943">
        <v>-9.1002700000000006E-2</v>
      </c>
      <c r="U4943">
        <v>0.1552887</v>
      </c>
      <c r="V4943">
        <v>2.3904619999999999E-3</v>
      </c>
      <c r="W4943">
        <v>-7.374021E-2</v>
      </c>
      <c r="X4943">
        <v>0.99727460000000001</v>
      </c>
      <c r="Y4943">
        <v>4.2456349999999997E-2</v>
      </c>
      <c r="Z4943">
        <v>8.1700939999999997E-4</v>
      </c>
      <c r="AA4943">
        <v>0.99909800000000004</v>
      </c>
      <c r="AB4943">
        <v>25</v>
      </c>
      <c r="AC4943">
        <v>-36.734999999999999</v>
      </c>
      <c r="AD4943">
        <v>-1.121382059951</v>
      </c>
      <c r="AE4943">
        <v>1.91159999999999</v>
      </c>
      <c r="AF4943">
        <v>1.5728422435712699</v>
      </c>
      <c r="AG4943">
        <v>-1.121382059951</v>
      </c>
      <c r="AH4943">
        <v>36.716877767069803</v>
      </c>
      <c r="AI4943">
        <v>91.747743352829502</v>
      </c>
      <c r="AJ4943">
        <v>87.5471182074604</v>
      </c>
      <c r="AK4943">
        <v>36.767654853274102</v>
      </c>
      <c r="AL4943">
        <v>94.228841288690106</v>
      </c>
      <c r="AM4943">
        <v>89.862662579217599</v>
      </c>
      <c r="AN4943">
        <v>0.99999998034228799</v>
      </c>
    </row>
    <row r="4944" spans="1:40" x14ac:dyDescent="0.25">
      <c r="A4944" t="str">
        <f>"20190303154907885"</f>
        <v>20190303154907885</v>
      </c>
      <c r="B4944" t="str">
        <f>"1551599347875765"</f>
        <v>1551599347875765</v>
      </c>
      <c r="C4944" t="s">
        <v>40</v>
      </c>
      <c r="D4944">
        <v>5.1192359999999999</v>
      </c>
      <c r="E4944">
        <v>0.51471299999999998</v>
      </c>
      <c r="F4944" t="s">
        <v>59</v>
      </c>
      <c r="G4944">
        <v>-300.44130000000001</v>
      </c>
      <c r="H4944" s="1">
        <v>-9.0610140000000001E-6</v>
      </c>
      <c r="I4944">
        <v>143.1234</v>
      </c>
      <c r="J4944">
        <v>-262.34109999999998</v>
      </c>
      <c r="K4944">
        <v>1.121375</v>
      </c>
      <c r="L4944">
        <v>141.1534</v>
      </c>
      <c r="M4944">
        <v>-0.99985279999999999</v>
      </c>
      <c r="N4944">
        <v>-1.485326E-2</v>
      </c>
      <c r="O4944">
        <v>8.6008819999999903E-3</v>
      </c>
      <c r="P4944">
        <v>-0.99608759999999996</v>
      </c>
      <c r="Q4944">
        <v>-8.7597339999999996E-2</v>
      </c>
      <c r="R4944">
        <v>1.168141E-2</v>
      </c>
      <c r="S4944">
        <v>-3.0024410000000001</v>
      </c>
      <c r="T4944">
        <v>-8.7763549999999996E-2</v>
      </c>
      <c r="U4944">
        <v>0.15431210000000001</v>
      </c>
      <c r="V4944">
        <v>3.1758379999999998E-3</v>
      </c>
      <c r="W4944">
        <v>-7.2788870000000006E-2</v>
      </c>
      <c r="X4944">
        <v>0.99734230000000001</v>
      </c>
      <c r="Y4944">
        <v>4.2708839999999998E-2</v>
      </c>
      <c r="Z4944">
        <v>8.1766640000000002E-4</v>
      </c>
      <c r="AA4944">
        <v>0.99908719999999995</v>
      </c>
      <c r="AB4944">
        <v>25</v>
      </c>
      <c r="AC4944">
        <v>-38.100200000000001</v>
      </c>
      <c r="AD4944">
        <v>-1.121384061014</v>
      </c>
      <c r="AE4944">
        <v>1.96999999999999</v>
      </c>
      <c r="AF4944">
        <v>1.6407781039788201</v>
      </c>
      <c r="AG4944">
        <v>-1.121384061014</v>
      </c>
      <c r="AH4944">
        <v>38.0828339069107</v>
      </c>
      <c r="AI4944">
        <v>91.6850771976722</v>
      </c>
      <c r="AJ4944">
        <v>87.532968363217606</v>
      </c>
      <c r="AK4944">
        <v>38.1346547562731</v>
      </c>
      <c r="AL4944">
        <v>94.174186619367006</v>
      </c>
      <c r="AM4944">
        <v>89.817553613435507</v>
      </c>
      <c r="AN4944">
        <v>0.99999998445608396</v>
      </c>
    </row>
    <row r="4945" spans="1:40" x14ac:dyDescent="0.25">
      <c r="A4945" t="str">
        <f>"20190303154907916"</f>
        <v>20190303154907916</v>
      </c>
      <c r="B4945" t="str">
        <f>"1551599347906024"</f>
        <v>1551599347906024</v>
      </c>
      <c r="C4945" t="s">
        <v>40</v>
      </c>
      <c r="D4945">
        <v>5.1396119999999996</v>
      </c>
      <c r="E4945">
        <v>0.51482399999999995</v>
      </c>
      <c r="F4945" t="s">
        <v>59</v>
      </c>
      <c r="G4945">
        <v>-301.6182</v>
      </c>
      <c r="H4945" s="1">
        <v>-9.2845599999999998E-6</v>
      </c>
      <c r="I4945">
        <v>143.17949999999999</v>
      </c>
      <c r="J4945">
        <v>-262.68720000000002</v>
      </c>
      <c r="K4945">
        <v>1.1213679999999999</v>
      </c>
      <c r="L4945">
        <v>141.15549999999999</v>
      </c>
      <c r="M4945">
        <v>-0.99985900000000005</v>
      </c>
      <c r="N4945">
        <v>-1.4844639999999999E-2</v>
      </c>
      <c r="O4945">
        <v>7.8569160000000002E-3</v>
      </c>
      <c r="P4945">
        <v>-0.99616000000000005</v>
      </c>
      <c r="Q4945">
        <v>-8.6754830000000005E-2</v>
      </c>
      <c r="R4945">
        <v>1.1801000000000001E-2</v>
      </c>
      <c r="S4945">
        <v>-3.002472</v>
      </c>
      <c r="T4945">
        <v>-8.5722450000000006E-2</v>
      </c>
      <c r="U4945">
        <v>0.15487670000000001</v>
      </c>
      <c r="V4945">
        <v>4.0334510000000004E-3</v>
      </c>
      <c r="W4945">
        <v>-7.1953329999999996E-2</v>
      </c>
      <c r="X4945">
        <v>0.99739990000000001</v>
      </c>
      <c r="Y4945">
        <v>4.3639400000000002E-2</v>
      </c>
      <c r="Z4945">
        <v>8.3910989999999997E-4</v>
      </c>
      <c r="AA4945">
        <v>0.99904700000000002</v>
      </c>
      <c r="AB4945">
        <v>25</v>
      </c>
      <c r="AC4945">
        <v>-38.930999999999898</v>
      </c>
      <c r="AD4945">
        <v>-1.1213772845600001</v>
      </c>
      <c r="AE4945">
        <v>2.024</v>
      </c>
      <c r="AF4945">
        <v>1.7166058262689401</v>
      </c>
      <c r="AG4945">
        <v>-1.1213772845600001</v>
      </c>
      <c r="AH4945">
        <v>38.913503382237003</v>
      </c>
      <c r="AI4945">
        <v>91.649042917838301</v>
      </c>
      <c r="AJ4945">
        <v>87.474127591075003</v>
      </c>
      <c r="AK4945">
        <v>38.9674860371628</v>
      </c>
      <c r="AL4945">
        <v>94.126187544390703</v>
      </c>
      <c r="AM4945">
        <v>89.768299095067206</v>
      </c>
      <c r="AN4945">
        <v>1.0000000554725299</v>
      </c>
    </row>
    <row r="4946" spans="1:40" x14ac:dyDescent="0.25">
      <c r="A4946" t="str">
        <f>"20190303154907938"</f>
        <v>20190303154907938</v>
      </c>
      <c r="B4946" t="str">
        <f>"1551599347935302"</f>
        <v>1551599347935302</v>
      </c>
      <c r="C4946" t="s">
        <v>40</v>
      </c>
      <c r="D4946">
        <v>5.1898460000000002</v>
      </c>
      <c r="E4946">
        <v>0.5149338</v>
      </c>
      <c r="F4946" t="s">
        <v>59</v>
      </c>
      <c r="G4946">
        <v>-302.55079999999998</v>
      </c>
      <c r="H4946" s="1">
        <v>-9.4626440000000002E-6</v>
      </c>
      <c r="I4946">
        <v>143.22739999999999</v>
      </c>
      <c r="J4946">
        <v>-262.92689999999999</v>
      </c>
      <c r="K4946">
        <v>1.121356</v>
      </c>
      <c r="L4946">
        <v>141.1568</v>
      </c>
      <c r="M4946">
        <v>-0.99986299999999995</v>
      </c>
      <c r="N4946">
        <v>-1.483864E-2</v>
      </c>
      <c r="O4946">
        <v>7.3618469999999899E-3</v>
      </c>
      <c r="P4946">
        <v>-0.99618479999999998</v>
      </c>
      <c r="Q4946">
        <v>-8.6516410000000002E-2</v>
      </c>
      <c r="R4946">
        <v>1.1448140000000001E-2</v>
      </c>
      <c r="S4946">
        <v>-3.0023499999999999</v>
      </c>
      <c r="T4946">
        <v>-8.4457279999999996E-2</v>
      </c>
      <c r="U4946">
        <v>0.15605160000000001</v>
      </c>
      <c r="V4946">
        <v>4.1713230000000002E-3</v>
      </c>
      <c r="W4946">
        <v>-7.172067E-2</v>
      </c>
      <c r="X4946">
        <v>0.99741599999999997</v>
      </c>
      <c r="Y4946">
        <v>4.4526089999999997E-2</v>
      </c>
      <c r="Z4946">
        <v>8.586841E-4</v>
      </c>
      <c r="AA4946">
        <v>0.99900789999999995</v>
      </c>
      <c r="AB4946">
        <v>25</v>
      </c>
      <c r="AC4946">
        <v>-39.6238999999999</v>
      </c>
      <c r="AD4946">
        <v>-1.1213654626439999</v>
      </c>
      <c r="AE4946">
        <v>2.0705999999999798</v>
      </c>
      <c r="AF4946">
        <v>1.77738708822925</v>
      </c>
      <c r="AG4946">
        <v>-1.1213654626439999</v>
      </c>
      <c r="AH4946">
        <v>39.606436592870402</v>
      </c>
      <c r="AI4946">
        <v>91.620135725567096</v>
      </c>
      <c r="AJ4946">
        <v>87.430506054649001</v>
      </c>
      <c r="AK4946">
        <v>39.662153054861797</v>
      </c>
      <c r="AL4946">
        <v>94.112822948773996</v>
      </c>
      <c r="AM4946">
        <v>89.760383020205694</v>
      </c>
      <c r="AN4946">
        <v>0.99999996574840899</v>
      </c>
    </row>
    <row r="4947" spans="1:40" x14ac:dyDescent="0.25">
      <c r="A4947" t="str">
        <f>"20190303154907960"</f>
        <v>20190303154907960</v>
      </c>
      <c r="B4947" t="str">
        <f>"1551599347955797"</f>
        <v>1551599347955797</v>
      </c>
      <c r="C4947" t="s">
        <v>40</v>
      </c>
      <c r="D4947">
        <v>5.2110200000000004</v>
      </c>
      <c r="E4947">
        <v>0.51489300000000005</v>
      </c>
      <c r="F4947" t="s">
        <v>59</v>
      </c>
      <c r="G4947">
        <v>-302.9984</v>
      </c>
      <c r="H4947" s="1">
        <v>-9.5444680000000007E-6</v>
      </c>
      <c r="I4947">
        <v>143.23660000000001</v>
      </c>
      <c r="J4947">
        <v>-263.16800000000001</v>
      </c>
      <c r="K4947">
        <v>1.1213500000000001</v>
      </c>
      <c r="L4947">
        <v>141.15799999999999</v>
      </c>
      <c r="M4947">
        <v>-0.99986629999999999</v>
      </c>
      <c r="N4947">
        <v>-1.483256E-2</v>
      </c>
      <c r="O4947">
        <v>6.8956640000000001E-3</v>
      </c>
      <c r="P4947">
        <v>-0.99629239999999997</v>
      </c>
      <c r="Q4947">
        <v>-8.5242200000000004E-2</v>
      </c>
      <c r="R4947">
        <v>1.164051E-2</v>
      </c>
      <c r="S4947">
        <v>-3.0024109999999999</v>
      </c>
      <c r="T4947">
        <v>-8.4019899999999995E-2</v>
      </c>
      <c r="U4947">
        <v>0.155838</v>
      </c>
      <c r="V4947">
        <v>4.8229140000000002E-3</v>
      </c>
      <c r="W4947">
        <v>-7.0450760000000001E-2</v>
      </c>
      <c r="X4947">
        <v>0.99750360000000005</v>
      </c>
      <c r="Y4947">
        <v>4.4919870000000001E-2</v>
      </c>
      <c r="Z4947">
        <v>8.7087789999999905E-4</v>
      </c>
      <c r="AA4947">
        <v>0.99899020000000005</v>
      </c>
      <c r="AB4947">
        <v>25</v>
      </c>
      <c r="AC4947">
        <v>-39.830399999999997</v>
      </c>
      <c r="AD4947">
        <v>-1.121359544468</v>
      </c>
      <c r="AE4947">
        <v>2.0786000000000202</v>
      </c>
      <c r="AF4947">
        <v>1.8024385665217999</v>
      </c>
      <c r="AG4947">
        <v>-1.121359544468</v>
      </c>
      <c r="AH4947">
        <v>39.8123177122269</v>
      </c>
      <c r="AI4947">
        <v>91.611724679222604</v>
      </c>
      <c r="AJ4947">
        <v>87.407795953393006</v>
      </c>
      <c r="AK4947">
        <v>39.868870985185303</v>
      </c>
      <c r="AL4947">
        <v>94.039877779522797</v>
      </c>
      <c r="AM4947">
        <v>89.722977978322703</v>
      </c>
      <c r="AN4947">
        <v>1.00000000104849</v>
      </c>
    </row>
    <row r="4948" spans="1:40" x14ac:dyDescent="0.25">
      <c r="A4948" t="str">
        <f>"20190303154907984"</f>
        <v>20190303154907984</v>
      </c>
      <c r="B4948" t="str">
        <f>"1551599347975317"</f>
        <v>1551599347975317</v>
      </c>
      <c r="C4948" t="s">
        <v>40</v>
      </c>
      <c r="D4948">
        <v>5.2302739999999996</v>
      </c>
      <c r="E4948">
        <v>0.51485899999999996</v>
      </c>
      <c r="F4948" t="s">
        <v>59</v>
      </c>
      <c r="G4948">
        <v>-304.73129999999998</v>
      </c>
      <c r="H4948" s="1">
        <v>-9.8381320000000008E-6</v>
      </c>
      <c r="I4948">
        <v>143.32140000000001</v>
      </c>
      <c r="J4948">
        <v>-263.42520000000002</v>
      </c>
      <c r="K4948">
        <v>1.1213340000000001</v>
      </c>
      <c r="L4948">
        <v>141.1592</v>
      </c>
      <c r="M4948">
        <v>-0.99986949999999997</v>
      </c>
      <c r="N4948">
        <v>-1.4818100000000001E-2</v>
      </c>
      <c r="O4948">
        <v>6.4521939999999996E-3</v>
      </c>
      <c r="P4948">
        <v>-0.99637379999999998</v>
      </c>
      <c r="Q4948">
        <v>-8.4241739999999996E-2</v>
      </c>
      <c r="R4948">
        <v>1.1946E-2</v>
      </c>
      <c r="S4948">
        <v>-3.0024109999999999</v>
      </c>
      <c r="T4948">
        <v>-8.1003790000000006E-2</v>
      </c>
      <c r="U4948">
        <v>0.15628049999999999</v>
      </c>
      <c r="V4948">
        <v>5.5627740000000004E-3</v>
      </c>
      <c r="W4948">
        <v>-6.9463570000000002E-2</v>
      </c>
      <c r="X4948">
        <v>0.99756900000000004</v>
      </c>
      <c r="Y4948">
        <v>4.5510910000000002E-2</v>
      </c>
      <c r="Z4948">
        <v>8.7256669999999999E-4</v>
      </c>
      <c r="AA4948">
        <v>0.9989635</v>
      </c>
      <c r="AB4948">
        <v>25</v>
      </c>
      <c r="AC4948">
        <v>-41.306099999999901</v>
      </c>
      <c r="AD4948">
        <v>-1.121343838132</v>
      </c>
      <c r="AE4948">
        <v>2.1622000000000101</v>
      </c>
      <c r="AF4948">
        <v>1.89421861113871</v>
      </c>
      <c r="AG4948">
        <v>-1.121343838132</v>
      </c>
      <c r="AH4948">
        <v>41.288847012317703</v>
      </c>
      <c r="AI4948">
        <v>91.554052210960094</v>
      </c>
      <c r="AJ4948">
        <v>87.373269213807006</v>
      </c>
      <c r="AK4948">
        <v>41.3474831610907</v>
      </c>
      <c r="AL4948">
        <v>93.983176960493395</v>
      </c>
      <c r="AM4948">
        <v>89.680503134089506</v>
      </c>
      <c r="AN4948">
        <v>1.00000002088636</v>
      </c>
    </row>
    <row r="4949" spans="1:40" x14ac:dyDescent="0.25">
      <c r="A4949" t="str">
        <f>"20190303154908005"</f>
        <v>20190303154908005</v>
      </c>
      <c r="B4949" t="str">
        <f>"1551599347995813"</f>
        <v>1551599347995813</v>
      </c>
      <c r="C4949" t="s">
        <v>40</v>
      </c>
      <c r="D4949">
        <v>5.286073</v>
      </c>
      <c r="E4949">
        <v>0.51477519999999999</v>
      </c>
      <c r="F4949" t="s">
        <v>59</v>
      </c>
      <c r="G4949">
        <v>-305.58800000000002</v>
      </c>
      <c r="H4949" s="1">
        <v>-9.9738299999999997E-6</v>
      </c>
      <c r="I4949">
        <v>143.364</v>
      </c>
      <c r="J4949">
        <v>-263.661</v>
      </c>
      <c r="K4949">
        <v>1.121292</v>
      </c>
      <c r="L4949">
        <v>141.16030000000001</v>
      </c>
      <c r="M4949">
        <v>-0.99987219999999999</v>
      </c>
      <c r="N4949">
        <v>-1.478601E-2</v>
      </c>
      <c r="O4949">
        <v>6.1012549999999999E-3</v>
      </c>
      <c r="P4949">
        <v>-0.9963592</v>
      </c>
      <c r="Q4949">
        <v>-8.4418960000000001E-2</v>
      </c>
      <c r="R4949">
        <v>1.193432E-2</v>
      </c>
      <c r="S4949">
        <v>-3.0022890000000002</v>
      </c>
      <c r="T4949">
        <v>-7.9847570000000007E-2</v>
      </c>
      <c r="U4949">
        <v>0.15699769999999999</v>
      </c>
      <c r="V4949">
        <v>5.8938539999999996E-3</v>
      </c>
      <c r="W4949">
        <v>-6.967342E-2</v>
      </c>
      <c r="X4949">
        <v>0.99755249999999995</v>
      </c>
      <c r="Y4949">
        <v>4.610185E-2</v>
      </c>
      <c r="Z4949">
        <v>8.8173579999999997E-4</v>
      </c>
      <c r="AA4949">
        <v>0.99893639999999995</v>
      </c>
      <c r="AB4949">
        <v>24</v>
      </c>
      <c r="AC4949">
        <v>-41.9269999999999</v>
      </c>
      <c r="AD4949">
        <v>-1.1213019738300001</v>
      </c>
      <c r="AE4949">
        <v>2.2036999999999898</v>
      </c>
      <c r="AF4949">
        <v>1.9464353705784201</v>
      </c>
      <c r="AG4949">
        <v>-1.1213019738300001</v>
      </c>
      <c r="AH4949">
        <v>41.909772890158997</v>
      </c>
      <c r="AI4949">
        <v>91.530941716456994</v>
      </c>
      <c r="AJ4949">
        <v>87.340895853084106</v>
      </c>
      <c r="AK4949">
        <v>41.9699296219693</v>
      </c>
      <c r="AL4949">
        <v>93.995229538233403</v>
      </c>
      <c r="AM4949">
        <v>89.661482448359394</v>
      </c>
      <c r="AN4949">
        <v>1.00000005661285</v>
      </c>
    </row>
    <row r="4950" spans="1:40" x14ac:dyDescent="0.25">
      <c r="A4950" t="str">
        <f>"20190303154908027"</f>
        <v>20190303154908027</v>
      </c>
      <c r="B4950" t="str">
        <f>"1551599348015333"</f>
        <v>1551599348015333</v>
      </c>
      <c r="C4950" t="s">
        <v>40</v>
      </c>
      <c r="D4950">
        <v>5.2865310000000001</v>
      </c>
      <c r="E4950">
        <v>0.51473310000000005</v>
      </c>
      <c r="F4950" t="s">
        <v>59</v>
      </c>
      <c r="G4950">
        <v>-304.70679999999999</v>
      </c>
      <c r="H4950" s="1">
        <v>-9.8263990000000002E-6</v>
      </c>
      <c r="I4950">
        <v>143.29390000000001</v>
      </c>
      <c r="J4950">
        <v>-263.89609999999999</v>
      </c>
      <c r="K4950">
        <v>1.121227</v>
      </c>
      <c r="L4950">
        <v>141.16130000000001</v>
      </c>
      <c r="M4950">
        <v>-0.99987470000000001</v>
      </c>
      <c r="N4950">
        <v>-1.4732E-2</v>
      </c>
      <c r="O4950">
        <v>5.8048709999999996E-3</v>
      </c>
      <c r="P4950">
        <v>-0.99625949999999996</v>
      </c>
      <c r="Q4950">
        <v>-8.5663909999999996E-2</v>
      </c>
      <c r="R4950">
        <v>1.1354370000000001E-2</v>
      </c>
      <c r="S4950">
        <v>-3.0021360000000001</v>
      </c>
      <c r="T4950">
        <v>-8.2013370000000002E-2</v>
      </c>
      <c r="U4950">
        <v>0.15605160000000001</v>
      </c>
      <c r="V4950">
        <v>5.6025190000000002E-3</v>
      </c>
      <c r="W4950">
        <v>-7.0974480000000006E-2</v>
      </c>
      <c r="X4950">
        <v>0.99746239999999997</v>
      </c>
      <c r="Y4950">
        <v>4.6085609999999999E-2</v>
      </c>
      <c r="Z4950">
        <v>8.9578520000000003E-4</v>
      </c>
      <c r="AA4950">
        <v>0.99893710000000002</v>
      </c>
      <c r="AB4950">
        <v>24</v>
      </c>
      <c r="AC4950">
        <v>-40.810699999999997</v>
      </c>
      <c r="AD4950">
        <v>-1.121236826399</v>
      </c>
      <c r="AE4950">
        <v>2.1325999999999898</v>
      </c>
      <c r="AF4950">
        <v>1.8942116120286501</v>
      </c>
      <c r="AG4950">
        <v>-1.121236826399</v>
      </c>
      <c r="AH4950">
        <v>40.791686307560802</v>
      </c>
      <c r="AI4950">
        <v>91.572792712713806</v>
      </c>
      <c r="AJ4950">
        <v>87.341310627906196</v>
      </c>
      <c r="AK4950">
        <v>40.851032807830798</v>
      </c>
      <c r="AL4950">
        <v>94.069960024711804</v>
      </c>
      <c r="AM4950">
        <v>89.678186047164601</v>
      </c>
      <c r="AN4950">
        <v>1.0000000022220801</v>
      </c>
    </row>
    <row r="4951" spans="1:40" x14ac:dyDescent="0.25">
      <c r="A4951" t="str">
        <f>"20190303154908049"</f>
        <v>20190303154908049</v>
      </c>
      <c r="B4951" t="str">
        <f>"1551599348045589"</f>
        <v>1551599348045589</v>
      </c>
      <c r="C4951" t="s">
        <v>40</v>
      </c>
      <c r="D4951">
        <v>5.3516370000000002</v>
      </c>
      <c r="E4951">
        <v>0.5146404</v>
      </c>
      <c r="F4951" t="s">
        <v>59</v>
      </c>
      <c r="G4951">
        <v>-302.50170000000003</v>
      </c>
      <c r="H4951" s="1">
        <v>-9.4302860000000002E-6</v>
      </c>
      <c r="I4951">
        <v>143.1378</v>
      </c>
      <c r="J4951">
        <v>-264.14370000000002</v>
      </c>
      <c r="K4951">
        <v>1.1211629999999999</v>
      </c>
      <c r="L4951">
        <v>141.16239999999999</v>
      </c>
      <c r="M4951">
        <v>-0.99987760000000003</v>
      </c>
      <c r="N4951">
        <v>-1.4634599999999999E-2</v>
      </c>
      <c r="O4951">
        <v>5.5635880000000004E-3</v>
      </c>
      <c r="P4951">
        <v>-0.99626689999999996</v>
      </c>
      <c r="Q4951">
        <v>-8.5467089999999996E-2</v>
      </c>
      <c r="R4951">
        <v>1.216802E-2</v>
      </c>
      <c r="S4951">
        <v>-3.0019840000000002</v>
      </c>
      <c r="T4951">
        <v>-8.7187769999999998E-2</v>
      </c>
      <c r="U4951">
        <v>0.1536865</v>
      </c>
      <c r="V4951">
        <v>6.6479010000000003E-3</v>
      </c>
      <c r="W4951">
        <v>-7.0875010000000002E-2</v>
      </c>
      <c r="X4951">
        <v>0.99746299999999999</v>
      </c>
      <c r="Y4951">
        <v>4.5542079999999999E-2</v>
      </c>
      <c r="Z4951">
        <v>9.1429E-4</v>
      </c>
      <c r="AA4951">
        <v>0.99896200000000002</v>
      </c>
      <c r="AB4951">
        <v>24</v>
      </c>
      <c r="AC4951">
        <v>-38.357999999999997</v>
      </c>
      <c r="AD4951">
        <v>-1.121172430286</v>
      </c>
      <c r="AE4951">
        <v>1.9754</v>
      </c>
      <c r="AF4951">
        <v>1.76043844942755</v>
      </c>
      <c r="AG4951">
        <v>-1.121172430286</v>
      </c>
      <c r="AH4951">
        <v>38.335732417981298</v>
      </c>
      <c r="AI4951">
        <v>91.673440687758102</v>
      </c>
      <c r="AJ4951">
        <v>87.370732869682399</v>
      </c>
      <c r="AK4951">
        <v>38.392506445603601</v>
      </c>
      <c r="AL4951">
        <v>94.064246641472707</v>
      </c>
      <c r="AM4951">
        <v>89.618140191364702</v>
      </c>
      <c r="AN4951">
        <v>0.99999994899960098</v>
      </c>
    </row>
    <row r="4952" spans="1:40" x14ac:dyDescent="0.25">
      <c r="A4952" t="str">
        <f>"20190303154908074"</f>
        <v>20190303154908074</v>
      </c>
      <c r="B4952" t="str">
        <f>"1551599348066085"</f>
        <v>1551599348066085</v>
      </c>
      <c r="C4952" t="s">
        <v>40</v>
      </c>
      <c r="D4952">
        <v>5.3595189999999997</v>
      </c>
      <c r="E4952">
        <v>0.49439909999999998</v>
      </c>
      <c r="F4952" t="s">
        <v>59</v>
      </c>
      <c r="G4952">
        <v>-302.13</v>
      </c>
      <c r="H4952" s="1">
        <v>-9.3611549999999997E-6</v>
      </c>
      <c r="I4952">
        <v>143.12559999999999</v>
      </c>
      <c r="J4952">
        <v>-264.41129999999998</v>
      </c>
      <c r="K4952">
        <v>1.1210880000000001</v>
      </c>
      <c r="L4952">
        <v>141.16370000000001</v>
      </c>
      <c r="M4952">
        <v>-0.99988069999999896</v>
      </c>
      <c r="N4952">
        <v>-1.4473649999999999E-2</v>
      </c>
      <c r="O4952">
        <v>5.4032739999999996E-3</v>
      </c>
      <c r="P4952">
        <v>-0.99644379999999999</v>
      </c>
      <c r="Q4952">
        <v>-8.3214769999999993E-2</v>
      </c>
      <c r="R4952">
        <v>1.324122E-2</v>
      </c>
      <c r="S4952">
        <v>-3.0017399999999999</v>
      </c>
      <c r="T4952">
        <v>-8.8596820000000007E-2</v>
      </c>
      <c r="U4952">
        <v>0.1551361</v>
      </c>
      <c r="V4952">
        <v>7.8698980000000002E-3</v>
      </c>
      <c r="W4952">
        <v>-6.8781529999999994E-2</v>
      </c>
      <c r="X4952">
        <v>0.99760070000000001</v>
      </c>
      <c r="Y4952">
        <v>4.6186489999999997E-2</v>
      </c>
      <c r="Z4952">
        <v>9.3441059999999998E-4</v>
      </c>
      <c r="AA4952">
        <v>0.99893240000000005</v>
      </c>
      <c r="AB4952">
        <v>24</v>
      </c>
      <c r="AC4952">
        <v>-37.718699999999998</v>
      </c>
      <c r="AD4952">
        <v>-1.1210973611549999</v>
      </c>
      <c r="AE4952">
        <v>1.96189999999998</v>
      </c>
      <c r="AF4952">
        <v>1.7564979828329199</v>
      </c>
      <c r="AG4952">
        <v>-1.1210973611549999</v>
      </c>
      <c r="AH4952">
        <v>37.695539467076699</v>
      </c>
      <c r="AI4952">
        <v>91.7016776823383</v>
      </c>
      <c r="AJ4952">
        <v>87.332119974076093</v>
      </c>
      <c r="AK4952">
        <v>37.753090471785498</v>
      </c>
      <c r="AL4952">
        <v>93.944005355932006</v>
      </c>
      <c r="AM4952">
        <v>89.548012960501694</v>
      </c>
      <c r="AN4952">
        <v>0.99999999540207996</v>
      </c>
    </row>
    <row r="4953" spans="1:40" x14ac:dyDescent="0.25">
      <c r="A4953" t="str">
        <f>"20190303154908097"</f>
        <v>20190303154908097</v>
      </c>
      <c r="B4953" t="str">
        <f>"1551599348085605"</f>
        <v>1551599348085605</v>
      </c>
      <c r="C4953" t="s">
        <v>40</v>
      </c>
      <c r="D4953">
        <v>5.388128</v>
      </c>
      <c r="E4953">
        <v>0.4940852</v>
      </c>
      <c r="F4953" t="s">
        <v>59</v>
      </c>
      <c r="G4953">
        <v>-289.7389</v>
      </c>
      <c r="H4953" s="1">
        <v>-9.2293949999999997E-6</v>
      </c>
      <c r="I4953">
        <v>141.13239999999999</v>
      </c>
      <c r="J4953">
        <v>-264.6499</v>
      </c>
      <c r="K4953">
        <v>1.1210020000000001</v>
      </c>
      <c r="L4953">
        <v>141.16480000000001</v>
      </c>
      <c r="M4953">
        <v>-0.99988370000000004</v>
      </c>
      <c r="N4953">
        <v>-1.428681E-2</v>
      </c>
      <c r="O4953">
        <v>5.3426489999999997E-3</v>
      </c>
      <c r="P4953">
        <v>-0.99653800000000003</v>
      </c>
      <c r="Q4953">
        <v>-8.2055110000000001E-2</v>
      </c>
      <c r="R4953">
        <v>1.337706E-2</v>
      </c>
      <c r="S4953">
        <v>-2.9996640000000001</v>
      </c>
      <c r="T4953">
        <v>-0.1327767</v>
      </c>
      <c r="U4953">
        <v>-3.7078860000000001E-3</v>
      </c>
      <c r="V4953">
        <v>8.0570030000000001E-3</v>
      </c>
      <c r="W4953">
        <v>-6.7808019999999997E-2</v>
      </c>
      <c r="X4953">
        <v>0.99766589999999999</v>
      </c>
      <c r="Y4953">
        <v>-6.5683649999999996E-3</v>
      </c>
      <c r="Z4953">
        <v>-3.5231439999999998E-4</v>
      </c>
      <c r="AA4953">
        <v>0.99997840000000005</v>
      </c>
      <c r="AB4953">
        <v>24</v>
      </c>
      <c r="AC4953">
        <v>-25.088999999999999</v>
      </c>
      <c r="AD4953">
        <v>-1.1210112293950001</v>
      </c>
      <c r="AE4953">
        <v>-3.2400000000023903E-2</v>
      </c>
      <c r="AF4953">
        <v>-0.166123283161177</v>
      </c>
      <c r="AG4953">
        <v>-1.1210112293950001</v>
      </c>
      <c r="AH4953">
        <v>25.038481343476999</v>
      </c>
      <c r="AI4953">
        <v>92.563451692064206</v>
      </c>
      <c r="AJ4953">
        <v>90.380135808379904</v>
      </c>
      <c r="AK4953">
        <v>25.064114010059999</v>
      </c>
      <c r="AL4953">
        <v>93.888096608170898</v>
      </c>
      <c r="AM4953">
        <v>89.537297774712002</v>
      </c>
      <c r="AN4953">
        <v>1.0000000454482301</v>
      </c>
    </row>
    <row r="4954" spans="1:40" x14ac:dyDescent="0.25">
      <c r="A4954" t="str">
        <f>"20190303154908115"</f>
        <v>20190303154908115</v>
      </c>
      <c r="B4954" t="str">
        <f>"1551599348106101"</f>
        <v>1551599348106101</v>
      </c>
      <c r="C4954" t="s">
        <v>40</v>
      </c>
      <c r="D4954">
        <v>5.4107409999999998</v>
      </c>
      <c r="E4954">
        <v>0.4936334</v>
      </c>
      <c r="F4954" t="s">
        <v>59</v>
      </c>
      <c r="G4954">
        <v>-289.33359999999999</v>
      </c>
      <c r="H4954" s="1">
        <v>-9.0128389999999995E-6</v>
      </c>
      <c r="I4954">
        <v>141.1155</v>
      </c>
      <c r="J4954">
        <v>-264.86649999999997</v>
      </c>
      <c r="K4954">
        <v>1.1209119999999999</v>
      </c>
      <c r="L4954">
        <v>141.16589999999999</v>
      </c>
      <c r="M4954">
        <v>-0.99988650000000001</v>
      </c>
      <c r="N4954">
        <v>-1.409636E-2</v>
      </c>
      <c r="O4954">
        <v>5.3378540000000004E-3</v>
      </c>
      <c r="P4954">
        <v>-0.99646000000000001</v>
      </c>
      <c r="Q4954">
        <v>-8.3165219999999998E-2</v>
      </c>
      <c r="R4954">
        <v>1.2292310000000001E-2</v>
      </c>
      <c r="S4954">
        <v>-2.9992679999999998</v>
      </c>
      <c r="T4954">
        <v>-0.1362121</v>
      </c>
      <c r="U4954">
        <v>-5.9967040000000003E-3</v>
      </c>
      <c r="V4954">
        <v>6.9701269999999996E-3</v>
      </c>
      <c r="W4954">
        <v>-6.9110039999999998E-2</v>
      </c>
      <c r="X4954">
        <v>0.99758469999999999</v>
      </c>
      <c r="Y4954">
        <v>-7.325219E-3</v>
      </c>
      <c r="Z4954">
        <v>-3.8499120000000001E-4</v>
      </c>
      <c r="AA4954">
        <v>0.99997309999999995</v>
      </c>
      <c r="AB4954">
        <v>24</v>
      </c>
      <c r="AC4954">
        <v>-24.467099999999999</v>
      </c>
      <c r="AD4954">
        <v>-1.1209210128389999</v>
      </c>
      <c r="AE4954">
        <v>-5.0399999999996198E-2</v>
      </c>
      <c r="AF4954">
        <v>-0.18063492606509199</v>
      </c>
      <c r="AG4954">
        <v>-1.1209210128389999</v>
      </c>
      <c r="AH4954">
        <v>24.415238174095101</v>
      </c>
      <c r="AI4954">
        <v>92.628572455492801</v>
      </c>
      <c r="AJ4954">
        <v>90.423892242732293</v>
      </c>
      <c r="AK4954">
        <v>24.441623268337299</v>
      </c>
      <c r="AL4954">
        <v>93.962872442727203</v>
      </c>
      <c r="AM4954">
        <v>89.599680747610293</v>
      </c>
      <c r="AN4954">
        <v>1.0000000069866399</v>
      </c>
    </row>
    <row r="4955" spans="1:40" x14ac:dyDescent="0.25">
      <c r="A4955" t="str">
        <f>"20190303154908139"</f>
        <v>20190303154908139</v>
      </c>
      <c r="B4955" t="str">
        <f>"1551599348135381"</f>
        <v>1551599348135381</v>
      </c>
      <c r="C4955" t="s">
        <v>40</v>
      </c>
      <c r="D4955">
        <v>5.4713089999999998</v>
      </c>
      <c r="E4955">
        <v>0.48746539999999999</v>
      </c>
      <c r="F4955" t="s">
        <v>59</v>
      </c>
      <c r="G4955">
        <v>-288.85849999999999</v>
      </c>
      <c r="H4955" s="1">
        <v>-8.7123139999999995E-6</v>
      </c>
      <c r="I4955">
        <v>141.06209999999999</v>
      </c>
      <c r="J4955">
        <v>-265.1198</v>
      </c>
      <c r="K4955">
        <v>1.1208119999999999</v>
      </c>
      <c r="L4955">
        <v>141.16720000000001</v>
      </c>
      <c r="M4955">
        <v>-0.99988940000000004</v>
      </c>
      <c r="N4955">
        <v>-1.386977E-2</v>
      </c>
      <c r="O4955">
        <v>5.3805759999999998E-3</v>
      </c>
      <c r="P4955">
        <v>-0.99625799999999998</v>
      </c>
      <c r="Q4955">
        <v>-8.578363E-2</v>
      </c>
      <c r="R4955">
        <v>1.0560730000000001E-2</v>
      </c>
      <c r="S4955">
        <v>-2.9991150000000002</v>
      </c>
      <c r="T4955">
        <v>-0.14012040000000001</v>
      </c>
      <c r="U4955">
        <v>-1.2969970000000001E-2</v>
      </c>
      <c r="V4955">
        <v>5.1888940000000003E-3</v>
      </c>
      <c r="W4955">
        <v>-7.1957690000000005E-2</v>
      </c>
      <c r="X4955">
        <v>0.99739420000000001</v>
      </c>
      <c r="Y4955">
        <v>-9.6889290000000006E-3</v>
      </c>
      <c r="Z4955">
        <v>-4.7009759999999998E-4</v>
      </c>
      <c r="AA4955">
        <v>0.99995299999999998</v>
      </c>
      <c r="AB4955">
        <v>24</v>
      </c>
      <c r="AC4955">
        <v>-23.738699999999898</v>
      </c>
      <c r="AD4955">
        <v>-1.1208207123139999</v>
      </c>
      <c r="AE4955">
        <v>-0.105100000000021</v>
      </c>
      <c r="AF4955">
        <v>-0.23232074616488599</v>
      </c>
      <c r="AG4955">
        <v>-1.1208207123139999</v>
      </c>
      <c r="AH4955">
        <v>23.6849920619096</v>
      </c>
      <c r="AI4955">
        <v>92.709198390741804</v>
      </c>
      <c r="AJ4955">
        <v>90.5619833583049</v>
      </c>
      <c r="AK4955">
        <v>23.712635049082401</v>
      </c>
      <c r="AL4955">
        <v>94.126438182974496</v>
      </c>
      <c r="AM4955">
        <v>89.701924229779394</v>
      </c>
      <c r="AN4955">
        <v>1.00000001198235</v>
      </c>
    </row>
    <row r="4956" spans="1:40" x14ac:dyDescent="0.25">
      <c r="A4956" t="str">
        <f>"20190303154908161"</f>
        <v>20190303154908161</v>
      </c>
      <c r="B4956" t="str">
        <f>"1551599348155878"</f>
        <v>1551599348155878</v>
      </c>
      <c r="C4956" t="s">
        <v>40</v>
      </c>
      <c r="D4956">
        <v>5.4826119999999996</v>
      </c>
      <c r="E4956">
        <v>0.48783169999999998</v>
      </c>
      <c r="F4956" t="s">
        <v>59</v>
      </c>
      <c r="G4956">
        <v>-280.7294</v>
      </c>
      <c r="H4956" s="1">
        <v>-4.3282590000000001E-6</v>
      </c>
      <c r="I4956">
        <v>140.81309999999999</v>
      </c>
      <c r="J4956">
        <v>-265.36829999999998</v>
      </c>
      <c r="K4956">
        <v>1.120736</v>
      </c>
      <c r="L4956">
        <v>141.1686</v>
      </c>
      <c r="M4956">
        <v>-0.9998918</v>
      </c>
      <c r="N4956">
        <v>-1.3658409999999999E-2</v>
      </c>
      <c r="O4956">
        <v>5.4727329999999996E-3</v>
      </c>
      <c r="P4956">
        <v>-0.99602469999999999</v>
      </c>
      <c r="Q4956">
        <v>-8.8660260000000005E-2</v>
      </c>
      <c r="R4956">
        <v>8.622546E-3</v>
      </c>
      <c r="S4956">
        <v>-2.993439</v>
      </c>
      <c r="T4956">
        <v>-0.21493770000000001</v>
      </c>
      <c r="U4956">
        <v>-6.7916870000000004E-2</v>
      </c>
      <c r="V4956">
        <v>3.1531530000000001E-3</v>
      </c>
      <c r="W4956">
        <v>-7.5048180000000006E-2</v>
      </c>
      <c r="X4956">
        <v>0.99717489999999998</v>
      </c>
      <c r="Y4956">
        <v>-2.805902E-2</v>
      </c>
      <c r="Z4956">
        <v>-1.5156270000000001E-3</v>
      </c>
      <c r="AA4956">
        <v>0.99960510000000002</v>
      </c>
      <c r="AB4956">
        <v>24</v>
      </c>
      <c r="AC4956">
        <v>-15.3611</v>
      </c>
      <c r="AD4956">
        <v>-1.1207403282590001</v>
      </c>
      <c r="AE4956">
        <v>-0.35550000000000598</v>
      </c>
      <c r="AF4956">
        <v>-0.437243463100918</v>
      </c>
      <c r="AG4956">
        <v>-1.1207403282590001</v>
      </c>
      <c r="AH4956">
        <v>15.277643151126</v>
      </c>
      <c r="AI4956">
        <v>94.193888532837605</v>
      </c>
      <c r="AJ4956">
        <v>91.639347648548295</v>
      </c>
      <c r="AK4956">
        <v>15.3249346159309</v>
      </c>
      <c r="AL4956">
        <v>94.303990718785002</v>
      </c>
      <c r="AM4956">
        <v>89.818826409561893</v>
      </c>
      <c r="AN4956">
        <v>0.99999997644258098</v>
      </c>
    </row>
    <row r="4957" spans="1:40" x14ac:dyDescent="0.25">
      <c r="A4957" t="str">
        <f>"20190303154908183"</f>
        <v>20190303154908183</v>
      </c>
      <c r="B4957" t="str">
        <f>"1551599348175397"</f>
        <v>1551599348175397</v>
      </c>
      <c r="C4957" t="s">
        <v>40</v>
      </c>
      <c r="D4957">
        <v>5.4461620000000002</v>
      </c>
      <c r="E4957">
        <v>0.48944539999999997</v>
      </c>
      <c r="F4957" t="s">
        <v>59</v>
      </c>
      <c r="G4957">
        <v>-280.45639999999997</v>
      </c>
      <c r="H4957" s="1">
        <v>-4.206789E-6</v>
      </c>
      <c r="I4957">
        <v>140.81190000000001</v>
      </c>
      <c r="J4957">
        <v>-265.60169999999999</v>
      </c>
      <c r="K4957">
        <v>1.120679</v>
      </c>
      <c r="L4957">
        <v>141.16999999999999</v>
      </c>
      <c r="M4957">
        <v>-0.99989360000000005</v>
      </c>
      <c r="N4957">
        <v>-1.3475269999999999E-2</v>
      </c>
      <c r="O4957">
        <v>5.5960219999999896E-3</v>
      </c>
      <c r="P4957">
        <v>-0.99573599999999995</v>
      </c>
      <c r="Q4957">
        <v>-9.2030379999999995E-2</v>
      </c>
      <c r="R4957">
        <v>6.3464910000000001E-3</v>
      </c>
      <c r="S4957">
        <v>-2.9927980000000001</v>
      </c>
      <c r="T4957">
        <v>-0.222304</v>
      </c>
      <c r="U4957">
        <v>-7.0770260000000001E-2</v>
      </c>
      <c r="V4957">
        <v>7.507169E-4</v>
      </c>
      <c r="W4957">
        <v>-7.8604160000000006E-2</v>
      </c>
      <c r="X4957">
        <v>0.99690559999999995</v>
      </c>
      <c r="Y4957">
        <v>-2.912971E-2</v>
      </c>
      <c r="Z4957">
        <v>-1.6165859999999999E-3</v>
      </c>
      <c r="AA4957">
        <v>0.99957430000000003</v>
      </c>
      <c r="AB4957">
        <v>24</v>
      </c>
      <c r="AC4957">
        <v>-14.8546999999999</v>
      </c>
      <c r="AD4957">
        <v>-1.120683206789</v>
      </c>
      <c r="AE4957">
        <v>-0.35809999999997899</v>
      </c>
      <c r="AF4957">
        <v>-0.43873349774970999</v>
      </c>
      <c r="AG4957">
        <v>-1.120683206789</v>
      </c>
      <c r="AH4957">
        <v>14.768455234117701</v>
      </c>
      <c r="AI4957">
        <v>94.337585742155596</v>
      </c>
      <c r="AJ4957">
        <v>91.701612412714596</v>
      </c>
      <c r="AK4957">
        <v>14.817411647590999</v>
      </c>
      <c r="AL4957">
        <v>94.508337425837297</v>
      </c>
      <c r="AM4957">
        <v>89.9568535858876</v>
      </c>
      <c r="AN4957">
        <v>0.99999997642826399</v>
      </c>
    </row>
    <row r="4958" spans="1:40" x14ac:dyDescent="0.25">
      <c r="A4958" t="str">
        <f>"20190303154908205"</f>
        <v>20190303154908205</v>
      </c>
      <c r="B4958" t="str">
        <f>"1551599348195893"</f>
        <v>1551599348195893</v>
      </c>
      <c r="C4958" t="s">
        <v>40</v>
      </c>
      <c r="D4958">
        <v>5.478472</v>
      </c>
      <c r="E4958">
        <v>0.49037150000000002</v>
      </c>
      <c r="F4958" t="s">
        <v>59</v>
      </c>
      <c r="G4958">
        <v>-281.17469999999997</v>
      </c>
      <c r="H4958" s="1">
        <v>-4.5323940000000003E-6</v>
      </c>
      <c r="I4958">
        <v>140.83369999999999</v>
      </c>
      <c r="J4958">
        <v>-265.839</v>
      </c>
      <c r="K4958">
        <v>1.1206320000000001</v>
      </c>
      <c r="L4958">
        <v>141.17150000000001</v>
      </c>
      <c r="M4958">
        <v>-0.99989510000000004</v>
      </c>
      <c r="N4958">
        <v>-1.330565E-2</v>
      </c>
      <c r="O4958">
        <v>5.7425740000000003E-3</v>
      </c>
      <c r="P4958">
        <v>-0.99545280000000003</v>
      </c>
      <c r="Q4958">
        <v>-9.5173309999999997E-2</v>
      </c>
      <c r="R4958">
        <v>4.0081960000000003E-3</v>
      </c>
      <c r="S4958">
        <v>-2.9933169999999998</v>
      </c>
      <c r="T4958">
        <v>-0.21540860000000001</v>
      </c>
      <c r="U4958">
        <v>-6.4651490000000006E-2</v>
      </c>
      <c r="V4958">
        <v>-1.734906E-3</v>
      </c>
      <c r="W4958">
        <v>-8.1919110000000003E-2</v>
      </c>
      <c r="X4958">
        <v>0.99663749999999995</v>
      </c>
      <c r="Y4958">
        <v>-2.7241620000000001E-2</v>
      </c>
      <c r="Z4958">
        <v>-1.4967120000000001E-3</v>
      </c>
      <c r="AA4958">
        <v>0.99962779999999996</v>
      </c>
      <c r="AB4958">
        <v>24</v>
      </c>
      <c r="AC4958">
        <v>-15.3356999999999</v>
      </c>
      <c r="AD4958">
        <v>-1.120636532394</v>
      </c>
      <c r="AE4958">
        <v>-0.33780000000001498</v>
      </c>
      <c r="AF4958">
        <v>-0.423607737981399</v>
      </c>
      <c r="AG4958">
        <v>-1.120636532394</v>
      </c>
      <c r="AH4958">
        <v>15.2521038843946</v>
      </c>
      <c r="AI4958">
        <v>94.200598083530593</v>
      </c>
      <c r="AJ4958">
        <v>91.590908239479802</v>
      </c>
      <c r="AK4958">
        <v>15.2990830657847</v>
      </c>
      <c r="AL4958">
        <v>94.698884657287707</v>
      </c>
      <c r="AM4958">
        <v>90.099738060475502</v>
      </c>
      <c r="AN4958">
        <v>1.0000000284441299</v>
      </c>
    </row>
    <row r="4959" spans="1:40" x14ac:dyDescent="0.25">
      <c r="A4959" t="str">
        <f>"20190303154908228"</f>
        <v>20190303154908228</v>
      </c>
      <c r="B4959" t="str">
        <f>"1551599348226151"</f>
        <v>1551599348226151</v>
      </c>
      <c r="C4959" t="s">
        <v>40</v>
      </c>
      <c r="D4959">
        <v>5.5427809999999997</v>
      </c>
      <c r="E4959">
        <v>0.49113059999999997</v>
      </c>
      <c r="F4959" t="s">
        <v>59</v>
      </c>
      <c r="G4959">
        <v>-281.48160000000001</v>
      </c>
      <c r="H4959" s="1">
        <v>-4.6691949999999998E-6</v>
      </c>
      <c r="I4959">
        <v>140.83590000000001</v>
      </c>
      <c r="J4959">
        <v>-266.09059999999999</v>
      </c>
      <c r="K4959">
        <v>1.120611</v>
      </c>
      <c r="L4959">
        <v>141.173</v>
      </c>
      <c r="M4959">
        <v>-0.99989620000000001</v>
      </c>
      <c r="N4959">
        <v>-1.3144589999999999E-2</v>
      </c>
      <c r="O4959">
        <v>5.9066860000000004E-3</v>
      </c>
      <c r="P4959">
        <v>-0.99527639999999995</v>
      </c>
      <c r="Q4959">
        <v>-9.7066550000000001E-2</v>
      </c>
      <c r="R4959">
        <v>1.8086109999999999E-3</v>
      </c>
      <c r="S4959">
        <v>-2.9935</v>
      </c>
      <c r="T4959">
        <v>-0.21445429999999999</v>
      </c>
      <c r="U4959">
        <v>-6.4224240000000002E-2</v>
      </c>
      <c r="V4959">
        <v>-4.0980080000000002E-3</v>
      </c>
      <c r="W4959">
        <v>-8.3974409999999999E-2</v>
      </c>
      <c r="X4959">
        <v>0.99645950000000005</v>
      </c>
      <c r="Y4959">
        <v>-2.7262310000000001E-2</v>
      </c>
      <c r="Z4959">
        <v>-1.4996670000000001E-3</v>
      </c>
      <c r="AA4959">
        <v>0.99962720000000005</v>
      </c>
      <c r="AB4959">
        <v>24</v>
      </c>
      <c r="AC4959">
        <v>-15.391</v>
      </c>
      <c r="AD4959">
        <v>-1.120615669195</v>
      </c>
      <c r="AE4959">
        <v>-0.33709999999999202</v>
      </c>
      <c r="AF4959">
        <v>-0.42575581057132</v>
      </c>
      <c r="AG4959">
        <v>-1.120615669195</v>
      </c>
      <c r="AH4959">
        <v>15.307629223115701</v>
      </c>
      <c r="AI4959">
        <v>94.185333276767196</v>
      </c>
      <c r="AJ4959">
        <v>91.593174447250604</v>
      </c>
      <c r="AK4959">
        <v>15.3544964072635</v>
      </c>
      <c r="AL4959">
        <v>94.817051961610602</v>
      </c>
      <c r="AM4959">
        <v>90.2356314923898</v>
      </c>
      <c r="AN4959">
        <v>1.0000000151723301</v>
      </c>
    </row>
    <row r="4960" spans="1:40" x14ac:dyDescent="0.25">
      <c r="A4960" t="str">
        <f>"20190303154908251"</f>
        <v>20190303154908251</v>
      </c>
      <c r="B4960" t="str">
        <f>"1551599348245669"</f>
        <v>1551599348245669</v>
      </c>
      <c r="C4960" t="s">
        <v>40</v>
      </c>
      <c r="D4960">
        <v>5.5246180000000003</v>
      </c>
      <c r="E4960">
        <v>0.49159900000000001</v>
      </c>
      <c r="F4960" t="s">
        <v>59</v>
      </c>
      <c r="G4960">
        <v>-282.13580000000002</v>
      </c>
      <c r="H4960" s="1">
        <v>-4.9563240000000001E-6</v>
      </c>
      <c r="I4960">
        <v>140.82669999999999</v>
      </c>
      <c r="J4960">
        <v>-266.34010000000001</v>
      </c>
      <c r="K4960">
        <v>1.120601</v>
      </c>
      <c r="L4960">
        <v>141.1747</v>
      </c>
      <c r="M4960">
        <v>-0.99989709999999998</v>
      </c>
      <c r="N4960">
        <v>-1.300316E-2</v>
      </c>
      <c r="O4960">
        <v>6.0672349999999998E-3</v>
      </c>
      <c r="P4960">
        <v>-0.99527659999999996</v>
      </c>
      <c r="Q4960">
        <v>-9.7079810000000002E-2</v>
      </c>
      <c r="R4960">
        <v>4.5105299999999998E-4</v>
      </c>
      <c r="S4960">
        <v>-2.9939879999999999</v>
      </c>
      <c r="T4960">
        <v>-0.20910380000000001</v>
      </c>
      <c r="U4960">
        <v>-6.4636230000000003E-2</v>
      </c>
      <c r="V4960">
        <v>-5.6150810000000001E-3</v>
      </c>
      <c r="W4960">
        <v>-8.4128259999999996E-2</v>
      </c>
      <c r="X4960">
        <v>0.99643910000000002</v>
      </c>
      <c r="Y4960">
        <v>-2.756016E-2</v>
      </c>
      <c r="Z4960">
        <v>-1.4849819999999999E-3</v>
      </c>
      <c r="AA4960">
        <v>0.99961909999999998</v>
      </c>
      <c r="AB4960">
        <v>24</v>
      </c>
      <c r="AC4960">
        <v>-15.7957</v>
      </c>
      <c r="AD4960">
        <v>-1.1206059563240001</v>
      </c>
      <c r="AE4960">
        <v>-0.34800000000001302</v>
      </c>
      <c r="AF4960">
        <v>-0.44161633303292602</v>
      </c>
      <c r="AG4960">
        <v>-1.1206059563240001</v>
      </c>
      <c r="AH4960">
        <v>15.714245998525</v>
      </c>
      <c r="AI4960">
        <v>94.077336932963703</v>
      </c>
      <c r="AJ4960">
        <v>91.609755507645502</v>
      </c>
      <c r="AK4960">
        <v>15.760339780509399</v>
      </c>
      <c r="AL4960">
        <v>94.825898358340893</v>
      </c>
      <c r="AM4960">
        <v>90.3228667337427</v>
      </c>
      <c r="AN4960">
        <v>0.99999998663703604</v>
      </c>
    </row>
    <row r="4961" spans="1:40" x14ac:dyDescent="0.25">
      <c r="A4961" t="str">
        <f>"20190303154908273"</f>
        <v>20190303154908273</v>
      </c>
      <c r="B4961" t="str">
        <f>"1551599348266165"</f>
        <v>1551599348266165</v>
      </c>
      <c r="C4961" t="s">
        <v>40</v>
      </c>
      <c r="D4961">
        <v>5.5507900000000001</v>
      </c>
      <c r="E4961">
        <v>0.4920852</v>
      </c>
      <c r="F4961" t="s">
        <v>59</v>
      </c>
      <c r="G4961">
        <v>-282.70859999999999</v>
      </c>
      <c r="H4961" s="1">
        <v>-5.2080069999999999E-6</v>
      </c>
      <c r="I4961">
        <v>140.8194</v>
      </c>
      <c r="J4961">
        <v>-266.58539999999999</v>
      </c>
      <c r="K4961">
        <v>1.120598</v>
      </c>
      <c r="L4961">
        <v>141.1764</v>
      </c>
      <c r="M4961">
        <v>-0.99989779999999995</v>
      </c>
      <c r="N4961">
        <v>-1.288079E-2</v>
      </c>
      <c r="O4961">
        <v>6.2249779999999999E-3</v>
      </c>
      <c r="P4961">
        <v>-0.99535569999999896</v>
      </c>
      <c r="Q4961">
        <v>-9.626651E-2</v>
      </c>
      <c r="R4961">
        <v>-6.0512130000000002E-4</v>
      </c>
      <c r="S4961">
        <v>-2.9942929999999999</v>
      </c>
      <c r="T4961">
        <v>-0.20499290000000001</v>
      </c>
      <c r="U4961">
        <v>-6.4987180000000005E-2</v>
      </c>
      <c r="V4961">
        <v>-6.8285059999999998E-3</v>
      </c>
      <c r="W4961">
        <v>-8.3435670000000003E-2</v>
      </c>
      <c r="X4961">
        <v>0.99648979999999998</v>
      </c>
      <c r="Y4961">
        <v>-2.7835169999999999E-2</v>
      </c>
      <c r="Z4961">
        <v>-1.47666299999999E-3</v>
      </c>
      <c r="AA4961">
        <v>0.99961140000000004</v>
      </c>
      <c r="AB4961">
        <v>24</v>
      </c>
      <c r="AC4961">
        <v>-16.123199999999901</v>
      </c>
      <c r="AD4961">
        <v>-1.1206032080069901</v>
      </c>
      <c r="AE4961">
        <v>-0.35699999999999898</v>
      </c>
      <c r="AF4961">
        <v>-0.45517029150135702</v>
      </c>
      <c r="AG4961">
        <v>-1.1206032080069901</v>
      </c>
      <c r="AH4961">
        <v>16.043204696779799</v>
      </c>
      <c r="AI4961">
        <v>93.993966429093504</v>
      </c>
      <c r="AJ4961">
        <v>91.625133074484197</v>
      </c>
      <c r="AK4961">
        <v>16.088733588658801</v>
      </c>
      <c r="AL4961">
        <v>94.786075651072295</v>
      </c>
      <c r="AM4961">
        <v>90.392616613222302</v>
      </c>
      <c r="AN4961">
        <v>1.0000000305132899</v>
      </c>
    </row>
    <row r="4962" spans="1:40" x14ac:dyDescent="0.25">
      <c r="A4962" t="str">
        <f>"20190303154908297"</f>
        <v>20190303154908297</v>
      </c>
      <c r="B4962" t="str">
        <f>"1551599348285685"</f>
        <v>1551599348285685</v>
      </c>
      <c r="C4962" t="s">
        <v>40</v>
      </c>
      <c r="D4962">
        <v>5.5443749999999996</v>
      </c>
      <c r="E4962">
        <v>0.49651220000000001</v>
      </c>
      <c r="F4962" t="s">
        <v>59</v>
      </c>
      <c r="G4962">
        <v>-283.43819999999999</v>
      </c>
      <c r="H4962" s="1">
        <v>-5.5297410000000003E-6</v>
      </c>
      <c r="I4962">
        <v>140.81379999999999</v>
      </c>
      <c r="J4962">
        <v>-266.83030000000002</v>
      </c>
      <c r="K4962">
        <v>1.1205959999999999</v>
      </c>
      <c r="L4962">
        <v>141.1781</v>
      </c>
      <c r="M4962">
        <v>-0.99989799999999995</v>
      </c>
      <c r="N4962">
        <v>-1.2773700000000001E-2</v>
      </c>
      <c r="O4962">
        <v>6.4044100000000001E-3</v>
      </c>
      <c r="P4962">
        <v>-0.99559679999999995</v>
      </c>
      <c r="Q4962">
        <v>-9.3740950000000003E-2</v>
      </c>
      <c r="R4962" s="1">
        <v>-3.0255409999999999E-5</v>
      </c>
      <c r="S4962">
        <v>-2.9946899999999999</v>
      </c>
      <c r="T4962">
        <v>-0.19912840000000001</v>
      </c>
      <c r="U4962">
        <v>-6.4422610000000005E-2</v>
      </c>
      <c r="V4962">
        <v>-6.4349330000000003E-3</v>
      </c>
      <c r="W4962">
        <v>-8.1013940000000007E-2</v>
      </c>
      <c r="X4962">
        <v>0.99669220000000003</v>
      </c>
      <c r="Y4962">
        <v>-2.7827830000000001E-2</v>
      </c>
      <c r="Z4962">
        <v>-1.44566799999999E-3</v>
      </c>
      <c r="AA4962">
        <v>0.99961169999999999</v>
      </c>
      <c r="AB4962">
        <v>24</v>
      </c>
      <c r="AC4962">
        <v>-16.607899999999901</v>
      </c>
      <c r="AD4962">
        <v>-1.1206015297409999</v>
      </c>
      <c r="AE4962">
        <v>-0.364300000000014</v>
      </c>
      <c r="AF4962">
        <v>-0.46853291337013098</v>
      </c>
      <c r="AG4962">
        <v>-1.1206015297409999</v>
      </c>
      <c r="AH4962">
        <v>16.530005379402901</v>
      </c>
      <c r="AI4962">
        <v>93.876707296516898</v>
      </c>
      <c r="AJ4962">
        <v>91.623579195958001</v>
      </c>
      <c r="AK4962">
        <v>16.5745693374657</v>
      </c>
      <c r="AL4962">
        <v>94.646849387639904</v>
      </c>
      <c r="AM4962">
        <v>90.369912977778895</v>
      </c>
      <c r="AN4962">
        <v>1.0000000041889301</v>
      </c>
    </row>
    <row r="4963" spans="1:40" x14ac:dyDescent="0.25">
      <c r="A4963" t="str">
        <f>"20190303154908317"</f>
        <v>20190303154908317</v>
      </c>
      <c r="B4963" t="str">
        <f>"1551599348305206"</f>
        <v>1551599348305206</v>
      </c>
      <c r="C4963" t="s">
        <v>40</v>
      </c>
      <c r="D4963">
        <v>5.5331650000000003</v>
      </c>
      <c r="E4963">
        <v>0.49625720000000001</v>
      </c>
      <c r="F4963" t="s">
        <v>59</v>
      </c>
      <c r="G4963">
        <v>-289.76389999999998</v>
      </c>
      <c r="H4963" s="1">
        <v>-9.1978869999999999E-6</v>
      </c>
      <c r="I4963">
        <v>140.9693</v>
      </c>
      <c r="J4963">
        <v>-267.06380000000001</v>
      </c>
      <c r="K4963">
        <v>1.1205689999999999</v>
      </c>
      <c r="L4963">
        <v>141.1798</v>
      </c>
      <c r="M4963">
        <v>-0.99989749999999999</v>
      </c>
      <c r="N4963">
        <v>-1.2689870000000001E-2</v>
      </c>
      <c r="O4963">
        <v>6.6229599999999998E-3</v>
      </c>
      <c r="P4963">
        <v>-0.99581710000000001</v>
      </c>
      <c r="Q4963">
        <v>-9.1366619999999996E-2</v>
      </c>
      <c r="R4963">
        <v>8.142844E-4</v>
      </c>
      <c r="S4963">
        <v>-2.9994809999999998</v>
      </c>
      <c r="T4963">
        <v>-0.14656350000000001</v>
      </c>
      <c r="U4963">
        <v>-2.7297970000000001E-2</v>
      </c>
      <c r="V4963">
        <v>-5.813889E-3</v>
      </c>
      <c r="W4963">
        <v>-7.8720319999999996E-2</v>
      </c>
      <c r="X4963">
        <v>0.99687979999999998</v>
      </c>
      <c r="Y4963">
        <v>-1.5695609999999999E-2</v>
      </c>
      <c r="Z4963">
        <v>-7.2230860000000005E-4</v>
      </c>
      <c r="AA4963">
        <v>0.9998766</v>
      </c>
      <c r="AB4963">
        <v>24</v>
      </c>
      <c r="AC4963">
        <v>-22.7000999999999</v>
      </c>
      <c r="AD4963">
        <v>-1.120578197887</v>
      </c>
      <c r="AE4963">
        <v>-0.210499999999996</v>
      </c>
      <c r="AF4963">
        <v>-0.35997222740743701</v>
      </c>
      <c r="AG4963">
        <v>-1.120578197887</v>
      </c>
      <c r="AH4963">
        <v>22.643034879736199</v>
      </c>
      <c r="AI4963">
        <v>92.832834518888703</v>
      </c>
      <c r="AJ4963">
        <v>90.910794519737095</v>
      </c>
      <c r="AK4963">
        <v>22.673603685057099</v>
      </c>
      <c r="AL4963">
        <v>94.515013426149295</v>
      </c>
      <c r="AM4963">
        <v>90.334150140873604</v>
      </c>
      <c r="AN4963">
        <v>1.00000001286712</v>
      </c>
    </row>
    <row r="4964" spans="1:40" x14ac:dyDescent="0.25">
      <c r="A4964" t="str">
        <f>"20190303154908340"</f>
        <v>20190303154908340</v>
      </c>
      <c r="B4964" t="str">
        <f>"1551599348336437"</f>
        <v>1551599348336437</v>
      </c>
      <c r="C4964" t="s">
        <v>40</v>
      </c>
      <c r="D4964">
        <v>5.5545980000000004</v>
      </c>
      <c r="E4964">
        <v>0.49627690000000002</v>
      </c>
      <c r="F4964" t="s">
        <v>59</v>
      </c>
      <c r="G4964">
        <v>-291.17939999999999</v>
      </c>
      <c r="H4964" s="1">
        <v>-9.1780099999999999E-6</v>
      </c>
      <c r="I4964">
        <v>140.96340000000001</v>
      </c>
      <c r="J4964">
        <v>-267.3057</v>
      </c>
      <c r="K4964">
        <v>1.120512</v>
      </c>
      <c r="L4964">
        <v>141.18170000000001</v>
      </c>
      <c r="M4964">
        <v>-0.99989649999999997</v>
      </c>
      <c r="N4964">
        <v>-1.2630509999999999E-2</v>
      </c>
      <c r="O4964">
        <v>6.9159219999999997E-3</v>
      </c>
      <c r="P4964">
        <v>-0.99589519999999998</v>
      </c>
      <c r="Q4964">
        <v>-9.0475570000000005E-2</v>
      </c>
      <c r="R4964">
        <v>2.6435619999999999E-3</v>
      </c>
      <c r="S4964">
        <v>-2.9998469999999999</v>
      </c>
      <c r="T4964">
        <v>-0.13939389999999999</v>
      </c>
      <c r="U4964">
        <v>-2.6916499999999999E-2</v>
      </c>
      <c r="V4964">
        <v>-4.2863909999999996E-3</v>
      </c>
      <c r="W4964">
        <v>-7.7887479999999995E-2</v>
      </c>
      <c r="X4964">
        <v>0.99695299999999998</v>
      </c>
      <c r="Y4964">
        <v>-1.586251E-2</v>
      </c>
      <c r="Z4964">
        <v>-7.0245029999999997E-4</v>
      </c>
      <c r="AA4964">
        <v>0.99987389999999998</v>
      </c>
      <c r="AB4964">
        <v>24</v>
      </c>
      <c r="AC4964">
        <v>-23.8736999999999</v>
      </c>
      <c r="AD4964">
        <v>-1.12052117801</v>
      </c>
      <c r="AE4964">
        <v>-0.21829999999999899</v>
      </c>
      <c r="AF4964">
        <v>-0.38257385346071898</v>
      </c>
      <c r="AG4964">
        <v>-1.12052117801</v>
      </c>
      <c r="AH4964">
        <v>23.819151563258401</v>
      </c>
      <c r="AI4964">
        <v>92.693025231998007</v>
      </c>
      <c r="AJ4964">
        <v>90.920183175345997</v>
      </c>
      <c r="AK4964">
        <v>23.848562045901101</v>
      </c>
      <c r="AL4964">
        <v>94.467148035967497</v>
      </c>
      <c r="AM4964">
        <v>90.246341201993999</v>
      </c>
      <c r="AN4964">
        <v>1.00000005844877</v>
      </c>
    </row>
    <row r="4965" spans="1:40" x14ac:dyDescent="0.25">
      <c r="A4965" t="str">
        <f>"20190303154908362"</f>
        <v>20190303154908362</v>
      </c>
      <c r="B4965" t="str">
        <f>"1551599348355957"</f>
        <v>1551599348355957</v>
      </c>
      <c r="C4965" t="s">
        <v>40</v>
      </c>
      <c r="D4965">
        <v>5.5431179999999998</v>
      </c>
      <c r="E4965">
        <v>0.49633430000000001</v>
      </c>
      <c r="F4965" t="s">
        <v>59</v>
      </c>
      <c r="G4965">
        <v>-290.7833</v>
      </c>
      <c r="H4965" s="1">
        <v>-9.2305099999999998E-6</v>
      </c>
      <c r="I4965">
        <v>141.01349999999999</v>
      </c>
      <c r="J4965">
        <v>-267.55450000000002</v>
      </c>
      <c r="K4965">
        <v>1.1204400000000001</v>
      </c>
      <c r="L4965">
        <v>141.18389999999999</v>
      </c>
      <c r="M4965">
        <v>-0.99989360000000005</v>
      </c>
      <c r="N4965">
        <v>-1.261835E-2</v>
      </c>
      <c r="O4965">
        <v>7.3212149999999998E-3</v>
      </c>
      <c r="P4965">
        <v>-0.99570879999999995</v>
      </c>
      <c r="Q4965">
        <v>-9.2477569999999995E-2</v>
      </c>
      <c r="R4965">
        <v>3.4508030000000001E-3</v>
      </c>
      <c r="S4965">
        <v>-2.9994200000000002</v>
      </c>
      <c r="T4965">
        <v>-0.14315449999999999</v>
      </c>
      <c r="U4965">
        <v>-2.1484380000000001E-2</v>
      </c>
      <c r="V4965">
        <v>-3.896428E-3</v>
      </c>
      <c r="W4965">
        <v>-7.9903269999999998E-2</v>
      </c>
      <c r="X4965">
        <v>0.99679499999999999</v>
      </c>
      <c r="Y4965">
        <v>-1.4458749999999999E-2</v>
      </c>
      <c r="Z4965">
        <v>-6.9300549999999996E-4</v>
      </c>
      <c r="AA4965">
        <v>0.99989519999999998</v>
      </c>
      <c r="AB4965">
        <v>24</v>
      </c>
      <c r="AC4965">
        <v>-23.2287999999999</v>
      </c>
      <c r="AD4965">
        <v>-1.12044923050999</v>
      </c>
      <c r="AE4965">
        <v>-0.1704</v>
      </c>
      <c r="AF4965">
        <v>-0.33968173158785703</v>
      </c>
      <c r="AG4965">
        <v>-1.12044923050999</v>
      </c>
      <c r="AH4965">
        <v>23.173017154898101</v>
      </c>
      <c r="AI4965">
        <v>92.767881880618106</v>
      </c>
      <c r="AJ4965">
        <v>90.8398101843772</v>
      </c>
      <c r="AK4965">
        <v>23.202575594492199</v>
      </c>
      <c r="AL4965">
        <v>94.583005746451306</v>
      </c>
      <c r="AM4965">
        <v>90.223965552105099</v>
      </c>
      <c r="AN4965">
        <v>0.99999999336642598</v>
      </c>
    </row>
    <row r="4966" spans="1:40" x14ac:dyDescent="0.25">
      <c r="A4966" t="str">
        <f>"20190303154908384"</f>
        <v>20190303154908384</v>
      </c>
      <c r="B4966" t="str">
        <f>"1551599348375477"</f>
        <v>1551599348375477</v>
      </c>
      <c r="C4966" t="s">
        <v>40</v>
      </c>
      <c r="D4966">
        <v>5.5222980000000002</v>
      </c>
      <c r="E4966">
        <v>0.49640319999999999</v>
      </c>
      <c r="F4966" t="s">
        <v>59</v>
      </c>
      <c r="G4966">
        <v>-289.67230000000001</v>
      </c>
      <c r="H4966" s="1">
        <v>-9.1707190000000004E-6</v>
      </c>
      <c r="I4966">
        <v>141.04509999999999</v>
      </c>
      <c r="J4966">
        <v>-267.79109999999997</v>
      </c>
      <c r="K4966">
        <v>1.1203689999999999</v>
      </c>
      <c r="L4966">
        <v>141.18610000000001</v>
      </c>
      <c r="M4966">
        <v>-0.99988920000000003</v>
      </c>
      <c r="N4966">
        <v>-1.267822E-2</v>
      </c>
      <c r="O4966">
        <v>7.8092939999999996E-3</v>
      </c>
      <c r="P4966">
        <v>-0.99535320000000005</v>
      </c>
      <c r="Q4966">
        <v>-9.6269980000000005E-2</v>
      </c>
      <c r="R4966">
        <v>2.1210019999999999E-3</v>
      </c>
      <c r="S4966">
        <v>-2.99884</v>
      </c>
      <c r="T4966">
        <v>-0.15191559999999901</v>
      </c>
      <c r="U4966">
        <v>-1.8814089999999999E-2</v>
      </c>
      <c r="V4966">
        <v>-5.7274509999999997E-3</v>
      </c>
      <c r="W4966">
        <v>-8.3638039999999997E-2</v>
      </c>
      <c r="X4966">
        <v>0.99647969999999997</v>
      </c>
      <c r="Y4966">
        <v>-1.4055079999999999E-2</v>
      </c>
      <c r="Z4966">
        <v>-7.4132509999999996E-4</v>
      </c>
      <c r="AA4966">
        <v>0.99990089999999998</v>
      </c>
      <c r="AB4966">
        <v>24</v>
      </c>
      <c r="AC4966">
        <v>-21.8812</v>
      </c>
      <c r="AD4966">
        <v>-1.1203781707189999</v>
      </c>
      <c r="AE4966">
        <v>-0.141000000000019</v>
      </c>
      <c r="AF4966">
        <v>-0.31107063938403301</v>
      </c>
      <c r="AG4966">
        <v>-1.1203781707189999</v>
      </c>
      <c r="AH4966">
        <v>21.8222219981599</v>
      </c>
      <c r="AI4966">
        <v>92.938753143395303</v>
      </c>
      <c r="AJ4966">
        <v>90.816682540955398</v>
      </c>
      <c r="AK4966">
        <v>21.853177918213198</v>
      </c>
      <c r="AL4966">
        <v>94.797711611786696</v>
      </c>
      <c r="AM4966">
        <v>90.329314441697704</v>
      </c>
      <c r="AN4966">
        <v>0.99999995897104299</v>
      </c>
    </row>
    <row r="4967" spans="1:40" x14ac:dyDescent="0.25">
      <c r="A4967" t="str">
        <f>"20190303154908406"</f>
        <v>20190303154908406</v>
      </c>
      <c r="B4967" t="str">
        <f>"1551599348395665"</f>
        <v>1551599348395665</v>
      </c>
      <c r="C4967" t="s">
        <v>40</v>
      </c>
      <c r="D4967">
        <v>5.5629200000000001</v>
      </c>
      <c r="E4967">
        <v>0.49647520000000001</v>
      </c>
      <c r="F4967" t="s">
        <v>59</v>
      </c>
      <c r="G4967">
        <v>-288.25319999999999</v>
      </c>
      <c r="H4967" s="1">
        <v>-8.3264450000000002E-6</v>
      </c>
      <c r="I4967">
        <v>141.0341</v>
      </c>
      <c r="J4967">
        <v>-268.02749999999997</v>
      </c>
      <c r="K4967">
        <v>1.120331</v>
      </c>
      <c r="L4967">
        <v>141.18860000000001</v>
      </c>
      <c r="M4967">
        <v>-0.99988290000000002</v>
      </c>
      <c r="N4967">
        <v>-1.2797330000000001E-2</v>
      </c>
      <c r="O4967">
        <v>8.3873650000000008E-3</v>
      </c>
      <c r="P4967">
        <v>-0.99511249999999996</v>
      </c>
      <c r="Q4967">
        <v>-9.8744499999999999E-2</v>
      </c>
      <c r="R4967">
        <v>9.4410730000000001E-4</v>
      </c>
      <c r="S4967">
        <v>-2.998138</v>
      </c>
      <c r="T4967">
        <v>-0.16415969999999999</v>
      </c>
      <c r="U4967">
        <v>-2.2262569999999999E-2</v>
      </c>
      <c r="V4967">
        <v>-7.4935219999999999E-3</v>
      </c>
      <c r="W4967">
        <v>-8.5994150000000005E-2</v>
      </c>
      <c r="X4967">
        <v>0.99626740000000003</v>
      </c>
      <c r="Y4967">
        <v>-1.5776289999999998E-2</v>
      </c>
      <c r="Z4967">
        <v>-8.8423600000000005E-4</v>
      </c>
      <c r="AA4967">
        <v>0.99987510000000002</v>
      </c>
      <c r="AB4967">
        <v>24</v>
      </c>
      <c r="AC4967">
        <v>-20.2257</v>
      </c>
      <c r="AD4967">
        <v>-1.1203393264449999</v>
      </c>
      <c r="AE4967">
        <v>-0.15450000000001199</v>
      </c>
      <c r="AF4967">
        <v>-0.32315731887707</v>
      </c>
      <c r="AG4967">
        <v>-1.1203393264449999</v>
      </c>
      <c r="AH4967">
        <v>20.1618343756586</v>
      </c>
      <c r="AI4967">
        <v>93.180095110718497</v>
      </c>
      <c r="AJ4967">
        <v>90.918267893071103</v>
      </c>
      <c r="AK4967">
        <v>20.195523173481099</v>
      </c>
      <c r="AL4967">
        <v>94.933195102607101</v>
      </c>
      <c r="AM4967">
        <v>90.430947643045897</v>
      </c>
      <c r="AN4967">
        <v>0.99999993950447097</v>
      </c>
    </row>
    <row r="4968" spans="1:40" x14ac:dyDescent="0.25">
      <c r="A4968" t="str">
        <f>"20190303154908429"</f>
        <v>20190303154908429</v>
      </c>
      <c r="B4968" t="str">
        <f>"1551599348425921"</f>
        <v>1551599348425921</v>
      </c>
      <c r="C4968" t="s">
        <v>40</v>
      </c>
      <c r="D4968">
        <v>5.5312429999999999</v>
      </c>
      <c r="E4968">
        <v>0.50076829999999894</v>
      </c>
      <c r="F4968" t="s">
        <v>59</v>
      </c>
      <c r="G4968">
        <v>-287.52210000000002</v>
      </c>
      <c r="H4968" s="1">
        <v>-7.8682989999999995E-6</v>
      </c>
      <c r="I4968">
        <v>141.0248</v>
      </c>
      <c r="J4968">
        <v>-268.27569999999997</v>
      </c>
      <c r="K4968">
        <v>1.120306</v>
      </c>
      <c r="L4968">
        <v>141.19149999999999</v>
      </c>
      <c r="M4968">
        <v>-0.99987470000000001</v>
      </c>
      <c r="N4968">
        <v>-1.2964410000000001E-2</v>
      </c>
      <c r="O4968">
        <v>9.0877330000000006E-3</v>
      </c>
      <c r="P4968">
        <v>-0.99495169999999999</v>
      </c>
      <c r="Q4968">
        <v>-0.1003454</v>
      </c>
      <c r="R4968">
        <v>-1.4102629999999999E-3</v>
      </c>
      <c r="S4968">
        <v>-2.997681</v>
      </c>
      <c r="T4968">
        <v>-0.17227390000000001</v>
      </c>
      <c r="U4968">
        <v>-2.5177000000000001E-2</v>
      </c>
      <c r="V4968">
        <v>-1.055676E-2</v>
      </c>
      <c r="W4968">
        <v>-8.7426219999999999E-2</v>
      </c>
      <c r="X4968">
        <v>0.99611510000000003</v>
      </c>
      <c r="Y4968">
        <v>-1.744209E-2</v>
      </c>
      <c r="Z4968">
        <v>-1.018031E-3</v>
      </c>
      <c r="AA4968">
        <v>0.99984740000000005</v>
      </c>
      <c r="AB4968">
        <v>24</v>
      </c>
      <c r="AC4968">
        <v>-19.246400000000001</v>
      </c>
      <c r="AD4968">
        <v>-1.1203138682989999</v>
      </c>
      <c r="AE4968">
        <v>-0.16669999999999099</v>
      </c>
      <c r="AF4968">
        <v>-0.34046046143106601</v>
      </c>
      <c r="AG4968">
        <v>-1.1203138682989999</v>
      </c>
      <c r="AH4968">
        <v>19.1791105583834</v>
      </c>
      <c r="AI4968">
        <v>93.342507544360799</v>
      </c>
      <c r="AJ4968">
        <v>91.016986624432903</v>
      </c>
      <c r="AK4968">
        <v>19.214819757156</v>
      </c>
      <c r="AL4968">
        <v>95.015556381686906</v>
      </c>
      <c r="AM4968">
        <v>90.607194037874393</v>
      </c>
      <c r="AN4968">
        <v>1.0000000407865901</v>
      </c>
    </row>
    <row r="4969" spans="1:40" x14ac:dyDescent="0.25">
      <c r="A4969" t="str">
        <f>"20190303154908443"</f>
        <v>20190303154908443</v>
      </c>
      <c r="B4969" t="str">
        <f>"1551599348436657"</f>
        <v>1551599348436657</v>
      </c>
      <c r="C4969" t="s">
        <v>40</v>
      </c>
      <c r="D4969">
        <v>5.526154</v>
      </c>
      <c r="E4969">
        <v>0.5017663</v>
      </c>
      <c r="F4969" t="s">
        <v>59</v>
      </c>
      <c r="G4969">
        <v>-288.71929999999998</v>
      </c>
      <c r="H4969" s="1">
        <v>-8.6721600000000003E-6</v>
      </c>
      <c r="I4969">
        <v>141.20590000000001</v>
      </c>
      <c r="J4969">
        <v>-268.42770000000002</v>
      </c>
      <c r="K4969">
        <v>1.1202989999999999</v>
      </c>
      <c r="L4969">
        <v>141.19329999999999</v>
      </c>
      <c r="M4969">
        <v>-0.99986900000000001</v>
      </c>
      <c r="N4969">
        <v>-1.307614E-2</v>
      </c>
      <c r="O4969">
        <v>9.5540989999999999E-3</v>
      </c>
      <c r="P4969">
        <v>-0.99491600000000002</v>
      </c>
      <c r="Q4969">
        <v>-0.10068290000000001</v>
      </c>
      <c r="R4969">
        <v>-2.3316529999999999E-3</v>
      </c>
      <c r="S4969">
        <v>-2.998688</v>
      </c>
      <c r="T4969">
        <v>-0.16432939999999999</v>
      </c>
      <c r="U4969">
        <v>2.120972E-3</v>
      </c>
      <c r="V4969">
        <v>-1.194774E-2</v>
      </c>
      <c r="W4969">
        <v>-8.7650569999999997E-2</v>
      </c>
      <c r="X4969">
        <v>0.99607959999999995</v>
      </c>
      <c r="Y4969">
        <v>-8.8229339999999993E-3</v>
      </c>
      <c r="Z4969">
        <v>-6.9761360000000002E-4</v>
      </c>
      <c r="AA4969">
        <v>0.99996079999999998</v>
      </c>
      <c r="AB4969">
        <v>24</v>
      </c>
      <c r="AC4969">
        <v>-20.291599999999899</v>
      </c>
      <c r="AD4969">
        <v>-1.1203076721599901</v>
      </c>
      <c r="AE4969">
        <v>1.26000000000203E-2</v>
      </c>
      <c r="AF4969">
        <v>-0.18073416752346499</v>
      </c>
      <c r="AG4969">
        <v>-1.1203076721599901</v>
      </c>
      <c r="AH4969">
        <v>20.229131881969799</v>
      </c>
      <c r="AI4969">
        <v>93.169727942457698</v>
      </c>
      <c r="AJ4969">
        <v>90.511886993336603</v>
      </c>
      <c r="AK4969">
        <v>20.2609360795038</v>
      </c>
      <c r="AL4969">
        <v>95.028460581021406</v>
      </c>
      <c r="AM4969">
        <v>90.687216412801305</v>
      </c>
      <c r="AN4969">
        <v>0.99999997022429499</v>
      </c>
    </row>
    <row r="4970" spans="1:40" x14ac:dyDescent="0.25">
      <c r="A4970" t="str">
        <f>"20190303154908463"</f>
        <v>20190303154908463</v>
      </c>
      <c r="B4970" t="str">
        <f>"1551599348456177"</f>
        <v>1551599348456177</v>
      </c>
      <c r="C4970" t="s">
        <v>40</v>
      </c>
      <c r="D4970">
        <v>5.6696770000000001</v>
      </c>
      <c r="E4970">
        <v>0.50303209999999998</v>
      </c>
      <c r="F4970" t="s">
        <v>59</v>
      </c>
      <c r="G4970">
        <v>-289.1071</v>
      </c>
      <c r="H4970" s="1">
        <v>-8.9254609999999995E-6</v>
      </c>
      <c r="I4970">
        <v>141.24260000000001</v>
      </c>
      <c r="J4970">
        <v>-268.63909999999998</v>
      </c>
      <c r="K4970">
        <v>1.1202909999999999</v>
      </c>
      <c r="L4970">
        <v>141.1961</v>
      </c>
      <c r="M4970">
        <v>-0.99985990000000002</v>
      </c>
      <c r="N4970">
        <v>-1.3234070000000001E-2</v>
      </c>
      <c r="O4970">
        <v>1.025208E-2</v>
      </c>
      <c r="P4970">
        <v>-0.99486699999999995</v>
      </c>
      <c r="Q4970">
        <v>-0.1011032</v>
      </c>
      <c r="R4970">
        <v>-4.2402799999999999E-3</v>
      </c>
      <c r="S4970">
        <v>-2.9988709999999998</v>
      </c>
      <c r="T4970">
        <v>-0.16246389999999999</v>
      </c>
      <c r="U4970">
        <v>7.1411130000000001E-3</v>
      </c>
      <c r="V4970">
        <v>-1.455731E-2</v>
      </c>
      <c r="W4970">
        <v>-8.7910150000000006E-2</v>
      </c>
      <c r="X4970">
        <v>0.99602199999999996</v>
      </c>
      <c r="Y4970">
        <v>-7.8489030000000008E-3</v>
      </c>
      <c r="Z4970">
        <v>-6.838177E-4</v>
      </c>
      <c r="AA4970">
        <v>0.99996890000000005</v>
      </c>
      <c r="AB4970">
        <v>24</v>
      </c>
      <c r="AC4970">
        <v>-20.468</v>
      </c>
      <c r="AD4970">
        <v>-1.120299925461</v>
      </c>
      <c r="AE4970">
        <v>4.6500000000008798E-2</v>
      </c>
      <c r="AF4970">
        <v>-0.16287245252332599</v>
      </c>
      <c r="AG4970">
        <v>-1.120299925461</v>
      </c>
      <c r="AH4970">
        <v>20.406267419206699</v>
      </c>
      <c r="AI4970">
        <v>93.142272250648304</v>
      </c>
      <c r="AJ4970">
        <v>90.457296073989497</v>
      </c>
      <c r="AK4970">
        <v>20.4376453962524</v>
      </c>
      <c r="AL4970">
        <v>95.043391069482198</v>
      </c>
      <c r="AM4970">
        <v>90.837343996971796</v>
      </c>
      <c r="AN4970">
        <v>0.99999996711572803</v>
      </c>
    </row>
    <row r="4971" spans="1:40" x14ac:dyDescent="0.25">
      <c r="A4971" t="str">
        <f>"20190303154908485"</f>
        <v>20190303154908485</v>
      </c>
      <c r="B4971" t="str">
        <f>"1551599348475696"</f>
        <v>1551599348475696</v>
      </c>
      <c r="C4971" t="s">
        <v>40</v>
      </c>
      <c r="D4971">
        <v>5.6557329999999997</v>
      </c>
      <c r="E4971">
        <v>0.50400319999999998</v>
      </c>
      <c r="F4971" t="s">
        <v>59</v>
      </c>
      <c r="G4971">
        <v>-289.18099999999998</v>
      </c>
      <c r="H4971" s="1">
        <v>-8.9767750000000001E-6</v>
      </c>
      <c r="I4971">
        <v>141.27520000000001</v>
      </c>
      <c r="J4971">
        <v>-268.8827</v>
      </c>
      <c r="K4971">
        <v>1.1202890000000001</v>
      </c>
      <c r="L4971">
        <v>141.1995</v>
      </c>
      <c r="M4971">
        <v>-0.99984850000000003</v>
      </c>
      <c r="N4971">
        <v>-1.340833E-2</v>
      </c>
      <c r="O4971">
        <v>1.1097330000000001E-2</v>
      </c>
      <c r="P4971">
        <v>-0.9949635</v>
      </c>
      <c r="Q4971">
        <v>-0.100124</v>
      </c>
      <c r="R4971">
        <v>-4.765315E-3</v>
      </c>
      <c r="S4971">
        <v>-2.998901</v>
      </c>
      <c r="T4971">
        <v>-0.1635519</v>
      </c>
      <c r="U4971">
        <v>1.1550899999999999E-2</v>
      </c>
      <c r="V4971">
        <v>-1.5928640000000001E-2</v>
      </c>
      <c r="W4971">
        <v>-8.6753609999999995E-2</v>
      </c>
      <c r="X4971">
        <v>0.9961025</v>
      </c>
      <c r="Y4971">
        <v>-7.2240430000000003E-3</v>
      </c>
      <c r="Z4971">
        <v>-7.0135270000000005E-4</v>
      </c>
      <c r="AA4971">
        <v>0.99997369999999997</v>
      </c>
      <c r="AB4971">
        <v>24</v>
      </c>
      <c r="AC4971">
        <v>-20.298299999999902</v>
      </c>
      <c r="AD4971">
        <v>-1.1202979767750001</v>
      </c>
      <c r="AE4971">
        <v>7.57000000000118E-2</v>
      </c>
      <c r="AF4971">
        <v>-0.14912759703587999</v>
      </c>
      <c r="AG4971">
        <v>-1.1202979767750001</v>
      </c>
      <c r="AH4971">
        <v>20.236248712188399</v>
      </c>
      <c r="AI4971">
        <v>93.168628434928294</v>
      </c>
      <c r="AJ4971">
        <v>90.4222238702597</v>
      </c>
      <c r="AK4971">
        <v>20.267784006607901</v>
      </c>
      <c r="AL4971">
        <v>94.976871635736202</v>
      </c>
      <c r="AM4971">
        <v>90.916136709130399</v>
      </c>
      <c r="AN4971">
        <v>1.00000005046326</v>
      </c>
    </row>
    <row r="4972" spans="1:40" x14ac:dyDescent="0.25">
      <c r="A4972" t="str">
        <f>"20190303154908508"</f>
        <v>20190303154908508</v>
      </c>
      <c r="B4972" t="str">
        <f>"1551599348495926"</f>
        <v>1551599348495926</v>
      </c>
      <c r="C4972" t="s">
        <v>40</v>
      </c>
      <c r="D4972">
        <v>5.5032569999999996</v>
      </c>
      <c r="E4972">
        <v>0.50534269999999903</v>
      </c>
      <c r="F4972" t="s">
        <v>59</v>
      </c>
      <c r="G4972">
        <v>-289.3098</v>
      </c>
      <c r="H4972" s="1">
        <v>-9.0566239999999996E-6</v>
      </c>
      <c r="I4972">
        <v>141.32079999999999</v>
      </c>
      <c r="J4972">
        <v>-269.13130000000001</v>
      </c>
      <c r="K4972">
        <v>1.120288</v>
      </c>
      <c r="L4972">
        <v>141.20330000000001</v>
      </c>
      <c r="M4972">
        <v>-0.99983619999999995</v>
      </c>
      <c r="N4972">
        <v>-1.357325E-2</v>
      </c>
      <c r="O4972">
        <v>1.198164E-2</v>
      </c>
      <c r="P4972">
        <v>-0.99493690000000001</v>
      </c>
      <c r="Q4972">
        <v>-0.1004343</v>
      </c>
      <c r="R4972">
        <v>-3.7139230000000001E-3</v>
      </c>
      <c r="S4972">
        <v>-2.9987180000000002</v>
      </c>
      <c r="T4972">
        <v>-0.16446069999999999</v>
      </c>
      <c r="U4972">
        <v>1.7807010000000002E-2</v>
      </c>
      <c r="V4972">
        <v>-1.5760299999999901E-2</v>
      </c>
      <c r="W4972">
        <v>-8.6899589999999999E-2</v>
      </c>
      <c r="X4972">
        <v>0.99609239999999999</v>
      </c>
      <c r="Y4972">
        <v>-6.0233639999999998E-3</v>
      </c>
      <c r="Z4972">
        <v>-7.0001660000000002E-4</v>
      </c>
      <c r="AA4972">
        <v>0.99998160000000003</v>
      </c>
      <c r="AB4972">
        <v>24</v>
      </c>
      <c r="AC4972">
        <v>-20.1784999999999</v>
      </c>
      <c r="AD4972">
        <v>-1.120297056624</v>
      </c>
      <c r="AE4972">
        <v>0.117499999999978</v>
      </c>
      <c r="AF4972">
        <v>-0.123920247906199</v>
      </c>
      <c r="AG4972">
        <v>-1.120297056624</v>
      </c>
      <c r="AH4972">
        <v>20.116454439297399</v>
      </c>
      <c r="AI4972">
        <v>93.187482353268805</v>
      </c>
      <c r="AJ4972">
        <v>90.352945764601799</v>
      </c>
      <c r="AK4972">
        <v>20.148006376097101</v>
      </c>
      <c r="AL4972">
        <v>94.985267644613003</v>
      </c>
      <c r="AM4972">
        <v>90.906465437383801</v>
      </c>
      <c r="AN4972">
        <v>0.99999999756800895</v>
      </c>
    </row>
    <row r="4973" spans="1:40" x14ac:dyDescent="0.25">
      <c r="A4973" t="str">
        <f>"20190303154908530"</f>
        <v>20190303154908530</v>
      </c>
      <c r="B4973" t="str">
        <f>"1551599348526182"</f>
        <v>1551599348526182</v>
      </c>
      <c r="C4973" t="s">
        <v>40</v>
      </c>
      <c r="D4973">
        <v>5.6599139999999997</v>
      </c>
      <c r="E4973">
        <v>0.50628099999999998</v>
      </c>
      <c r="F4973" t="s">
        <v>59</v>
      </c>
      <c r="G4973">
        <v>-290.05880000000002</v>
      </c>
      <c r="H4973" s="1">
        <v>-9.4137389999999994E-6</v>
      </c>
      <c r="I4973">
        <v>141.4237</v>
      </c>
      <c r="J4973">
        <v>-269.35969999999998</v>
      </c>
      <c r="K4973">
        <v>1.120293</v>
      </c>
      <c r="L4973">
        <v>141.20699999999999</v>
      </c>
      <c r="M4973">
        <v>-0.99982409999999999</v>
      </c>
      <c r="N4973">
        <v>-1.3711370000000001E-2</v>
      </c>
      <c r="O4973">
        <v>1.2800270000000001E-2</v>
      </c>
      <c r="P4973">
        <v>-0.99491410000000002</v>
      </c>
      <c r="Q4973">
        <v>-0.10071239999999999</v>
      </c>
      <c r="R4973">
        <v>-1.800142E-3</v>
      </c>
      <c r="S4973">
        <v>-2.9991460000000001</v>
      </c>
      <c r="T4973">
        <v>-0.1605511</v>
      </c>
      <c r="U4973">
        <v>3.158569E-2</v>
      </c>
      <c r="V4973">
        <v>-1.466197E-2</v>
      </c>
      <c r="W4973">
        <v>-8.704162E-2</v>
      </c>
      <c r="X4973">
        <v>0.9960968</v>
      </c>
      <c r="Y4973">
        <v>-2.2564460000000001E-3</v>
      </c>
      <c r="Z4973">
        <v>-5.8510289999999998E-4</v>
      </c>
      <c r="AA4973">
        <v>0.99999729999999998</v>
      </c>
      <c r="AB4973">
        <v>24</v>
      </c>
      <c r="AC4973">
        <v>-20.699100000000001</v>
      </c>
      <c r="AD4973">
        <v>-1.1203024137389901</v>
      </c>
      <c r="AE4973">
        <v>0.216700000000003</v>
      </c>
      <c r="AF4973">
        <v>-4.8155676325311501E-2</v>
      </c>
      <c r="AG4973">
        <v>-1.1203024137389901</v>
      </c>
      <c r="AH4973">
        <v>20.639724106790201</v>
      </c>
      <c r="AI4973">
        <v>93.106897126841801</v>
      </c>
      <c r="AJ4973">
        <v>90.133679694178895</v>
      </c>
      <c r="AK4973">
        <v>20.670162255575299</v>
      </c>
      <c r="AL4973">
        <v>94.993436174095507</v>
      </c>
      <c r="AM4973">
        <v>90.843299906249399</v>
      </c>
      <c r="AN4973">
        <v>1.0000000259733699</v>
      </c>
    </row>
    <row r="4974" spans="1:40" x14ac:dyDescent="0.25">
      <c r="A4974" t="str">
        <f>"20190303154908552"</f>
        <v>20190303154908552</v>
      </c>
      <c r="B4974" t="str">
        <f>"1551599348545702"</f>
        <v>1551599348545702</v>
      </c>
      <c r="C4974" t="s">
        <v>40</v>
      </c>
      <c r="D4974">
        <v>5.6713550000000001</v>
      </c>
      <c r="E4974">
        <v>0.50679739999999995</v>
      </c>
      <c r="F4974" t="s">
        <v>59</v>
      </c>
      <c r="G4974">
        <v>-289.37130000000002</v>
      </c>
      <c r="H4974" s="1">
        <v>-9.1398839999999999E-6</v>
      </c>
      <c r="I4974">
        <v>141.50739999999999</v>
      </c>
      <c r="J4974">
        <v>-269.60680000000002</v>
      </c>
      <c r="K4974">
        <v>1.120303</v>
      </c>
      <c r="L4974">
        <v>141.21119999999999</v>
      </c>
      <c r="M4974">
        <v>-0.99981059999999999</v>
      </c>
      <c r="N4974">
        <v>-1.3845400000000001E-2</v>
      </c>
      <c r="O4974">
        <v>1.368609E-2</v>
      </c>
      <c r="P4974">
        <v>-0.99481470000000005</v>
      </c>
      <c r="Q4974">
        <v>-0.10169889999999999</v>
      </c>
      <c r="R4974">
        <v>1.1737220000000001E-3</v>
      </c>
      <c r="S4974">
        <v>-2.9984130000000002</v>
      </c>
      <c r="T4974">
        <v>-0.16785899999999901</v>
      </c>
      <c r="U4974">
        <v>4.501343E-2</v>
      </c>
      <c r="V4974">
        <v>-1.256967E-2</v>
      </c>
      <c r="W4974">
        <v>-8.7898619999999997E-2</v>
      </c>
      <c r="X4974">
        <v>0.99605010000000005</v>
      </c>
      <c r="Y4974">
        <v>1.332995E-3</v>
      </c>
      <c r="Z4974">
        <v>-5.2959830000000004E-4</v>
      </c>
      <c r="AA4974">
        <v>0.99999899999999997</v>
      </c>
      <c r="AB4974">
        <v>24</v>
      </c>
      <c r="AC4974">
        <v>-19.764500000000002</v>
      </c>
      <c r="AD4974">
        <v>-1.1203121398839999</v>
      </c>
      <c r="AE4974">
        <v>0.29619999999999802</v>
      </c>
      <c r="AF4974">
        <v>2.5565506503055901E-2</v>
      </c>
      <c r="AG4974">
        <v>-1.1203121398839999</v>
      </c>
      <c r="AH4974">
        <v>19.703410516534198</v>
      </c>
      <c r="AI4974">
        <v>93.254262223068807</v>
      </c>
      <c r="AJ4974">
        <v>89.925657804241894</v>
      </c>
      <c r="AK4974">
        <v>19.735251173191799</v>
      </c>
      <c r="AL4974">
        <v>95.042727802289093</v>
      </c>
      <c r="AM4974">
        <v>90.723006617806206</v>
      </c>
      <c r="AN4974">
        <v>0.99999998285591096</v>
      </c>
    </row>
    <row r="4975" spans="1:40" x14ac:dyDescent="0.25">
      <c r="A4975" t="str">
        <f>"20190303154908567"</f>
        <v>20190303154908567</v>
      </c>
      <c r="B4975" t="str">
        <f>"1551599348556438"</f>
        <v>1551599348556438</v>
      </c>
      <c r="C4975" t="s">
        <v>40</v>
      </c>
      <c r="D4975">
        <v>5.667999</v>
      </c>
      <c r="E4975">
        <v>0.50697530000000002</v>
      </c>
      <c r="F4975" t="s">
        <v>59</v>
      </c>
      <c r="G4975">
        <v>-288.77089999999998</v>
      </c>
      <c r="H4975" s="1">
        <v>-8.8262349999999994E-6</v>
      </c>
      <c r="I4975">
        <v>141.58269999999999</v>
      </c>
      <c r="J4975">
        <v>-269.75560000000002</v>
      </c>
      <c r="K4975">
        <v>1.120309</v>
      </c>
      <c r="L4975">
        <v>141.21379999999999</v>
      </c>
      <c r="M4975">
        <v>-0.99980219999999997</v>
      </c>
      <c r="N4975">
        <v>-1.3918430000000001E-2</v>
      </c>
      <c r="O4975">
        <v>1.421732E-2</v>
      </c>
      <c r="P4975">
        <v>-0.99476779999999998</v>
      </c>
      <c r="Q4975">
        <v>-0.1021319</v>
      </c>
      <c r="R4975">
        <v>2.5587629999999999E-3</v>
      </c>
      <c r="S4975">
        <v>-2.9976500000000001</v>
      </c>
      <c r="T4975">
        <v>-0.17523939999999999</v>
      </c>
      <c r="U4975">
        <v>5.8120730000000002E-2</v>
      </c>
      <c r="V4975">
        <v>-1.171152E-2</v>
      </c>
      <c r="W4975">
        <v>-8.8260699999999997E-2</v>
      </c>
      <c r="X4975">
        <v>0.99602849999999998</v>
      </c>
      <c r="Y4975">
        <v>5.1702859999999996E-3</v>
      </c>
      <c r="Z4975">
        <v>-4.4553030000000002E-4</v>
      </c>
      <c r="AA4975">
        <v>0.9999865</v>
      </c>
      <c r="AB4975">
        <v>24</v>
      </c>
      <c r="AC4975">
        <v>-19.0152999999999</v>
      </c>
      <c r="AD4975">
        <v>-1.120317826235</v>
      </c>
      <c r="AE4975">
        <v>0.36889999999999601</v>
      </c>
      <c r="AF4975">
        <v>9.81493872117018E-2</v>
      </c>
      <c r="AG4975">
        <v>-1.120317826235</v>
      </c>
      <c r="AH4975">
        <v>18.952859123653599</v>
      </c>
      <c r="AI4975">
        <v>93.382815240995399</v>
      </c>
      <c r="AJ4975">
        <v>89.7032903931552</v>
      </c>
      <c r="AK4975">
        <v>18.986195361236799</v>
      </c>
      <c r="AL4975">
        <v>95.063554610801205</v>
      </c>
      <c r="AM4975">
        <v>90.673665207478905</v>
      </c>
      <c r="AN4975">
        <v>0.99999994183872298</v>
      </c>
    </row>
    <row r="4976" spans="1:40" x14ac:dyDescent="0.25">
      <c r="A4976" t="str">
        <f>"20190303154908586"</f>
        <v>20190303154908586</v>
      </c>
      <c r="B4976" t="str">
        <f>"1551599348575957"</f>
        <v>1551599348575957</v>
      </c>
      <c r="C4976" t="s">
        <v>40</v>
      </c>
      <c r="D4976">
        <v>5.7056699999999996</v>
      </c>
      <c r="E4976">
        <v>0.50735719999999995</v>
      </c>
      <c r="F4976" t="s">
        <v>59</v>
      </c>
      <c r="G4976">
        <v>-288.60309999999998</v>
      </c>
      <c r="H4976" s="1">
        <v>-8.7319629999999992E-6</v>
      </c>
      <c r="I4976">
        <v>141.61410000000001</v>
      </c>
      <c r="J4976">
        <v>-269.9563</v>
      </c>
      <c r="K4976">
        <v>1.1203179999999999</v>
      </c>
      <c r="L4976">
        <v>141.2175</v>
      </c>
      <c r="M4976">
        <v>-0.99979039999999997</v>
      </c>
      <c r="N4976">
        <v>-1.4008039999999999E-2</v>
      </c>
      <c r="O4976">
        <v>1.4929339999999999E-2</v>
      </c>
      <c r="P4976">
        <v>-0.99475840000000004</v>
      </c>
      <c r="Q4976">
        <v>-0.1021623</v>
      </c>
      <c r="R4976">
        <v>4.3358870000000001E-3</v>
      </c>
      <c r="S4976">
        <v>-2.9973450000000001</v>
      </c>
      <c r="T4976">
        <v>-0.178165299999999</v>
      </c>
      <c r="U4976">
        <v>6.3659670000000002E-2</v>
      </c>
      <c r="V4976">
        <v>-1.0641050000000001E-2</v>
      </c>
      <c r="W4976">
        <v>-8.8203409999999996E-2</v>
      </c>
      <c r="X4976">
        <v>0.99604559999999998</v>
      </c>
      <c r="Y4976">
        <v>6.3057230000000001E-3</v>
      </c>
      <c r="Z4976">
        <v>-4.4603919999999998E-4</v>
      </c>
      <c r="AA4976">
        <v>0.99997999999999998</v>
      </c>
      <c r="AB4976">
        <v>24</v>
      </c>
      <c r="AC4976">
        <v>-18.646799999999899</v>
      </c>
      <c r="AD4976">
        <v>-1.1203267319629999</v>
      </c>
      <c r="AE4976">
        <v>0.396600000000006</v>
      </c>
      <c r="AF4976">
        <v>0.117719301542781</v>
      </c>
      <c r="AG4976">
        <v>-1.1203267319629999</v>
      </c>
      <c r="AH4976">
        <v>18.5835906388448</v>
      </c>
      <c r="AI4976">
        <v>93.449877747059105</v>
      </c>
      <c r="AJ4976">
        <v>89.637059970672397</v>
      </c>
      <c r="AK4976">
        <v>18.617702083030199</v>
      </c>
      <c r="AL4976">
        <v>95.060259214747504</v>
      </c>
      <c r="AM4976">
        <v>90.612084487967806</v>
      </c>
      <c r="AN4976">
        <v>0.99999995538004405</v>
      </c>
    </row>
    <row r="4977" spans="1:40" x14ac:dyDescent="0.25">
      <c r="A4977" t="str">
        <f>"20190303154908607"</f>
        <v>20190303154908607</v>
      </c>
      <c r="B4977" t="str">
        <f>"1551599348596130"</f>
        <v>1551599348596130</v>
      </c>
      <c r="C4977" t="s">
        <v>40</v>
      </c>
      <c r="D4977">
        <v>5.6900440000000003</v>
      </c>
      <c r="E4977">
        <v>0.50773939999999995</v>
      </c>
      <c r="F4977" t="s">
        <v>59</v>
      </c>
      <c r="G4977">
        <v>-288.59339999999997</v>
      </c>
      <c r="H4977" s="1">
        <v>-8.7422459999999999E-6</v>
      </c>
      <c r="I4977">
        <v>141.66470000000001</v>
      </c>
      <c r="J4977">
        <v>-270.18979999999999</v>
      </c>
      <c r="K4977">
        <v>1.1203369999999999</v>
      </c>
      <c r="L4977">
        <v>141.22190000000001</v>
      </c>
      <c r="M4977">
        <v>-0.99977649999999996</v>
      </c>
      <c r="N4977">
        <v>-1.4099799999999999E-2</v>
      </c>
      <c r="O4977">
        <v>1.574774E-2</v>
      </c>
      <c r="P4977">
        <v>-0.99480100000000005</v>
      </c>
      <c r="Q4977">
        <v>-0.1016727</v>
      </c>
      <c r="R4977">
        <v>5.7892680000000002E-3</v>
      </c>
      <c r="S4977">
        <v>-2.9969480000000002</v>
      </c>
      <c r="T4977">
        <v>-0.1801547</v>
      </c>
      <c r="U4977">
        <v>7.191467E-2</v>
      </c>
      <c r="V4977">
        <v>-9.9998970000000006E-3</v>
      </c>
      <c r="W4977">
        <v>-8.7622899999999906E-2</v>
      </c>
      <c r="X4977">
        <v>0.99610350000000003</v>
      </c>
      <c r="Y4977">
        <v>8.2395899999999998E-3</v>
      </c>
      <c r="Z4977">
        <v>-4.1813560000000002E-4</v>
      </c>
      <c r="AA4977">
        <v>0.99996600000000002</v>
      </c>
      <c r="AB4977">
        <v>24</v>
      </c>
      <c r="AC4977">
        <v>-18.403599999999901</v>
      </c>
      <c r="AD4977">
        <v>-1.1203457422459999</v>
      </c>
      <c r="AE4977">
        <v>0.44280000000000502</v>
      </c>
      <c r="AF4977">
        <v>0.15233691254168899</v>
      </c>
      <c r="AG4977">
        <v>-1.1203457422459999</v>
      </c>
      <c r="AH4977">
        <v>18.340362245078701</v>
      </c>
      <c r="AI4977">
        <v>93.495525889132693</v>
      </c>
      <c r="AJ4977">
        <v>89.524106376985202</v>
      </c>
      <c r="AK4977">
        <v>18.37518077184</v>
      </c>
      <c r="AL4977">
        <v>95.026869051192193</v>
      </c>
      <c r="AM4977">
        <v>90.575173811879097</v>
      </c>
      <c r="AN4977">
        <v>0.99999997662833495</v>
      </c>
    </row>
    <row r="4978" spans="1:40" x14ac:dyDescent="0.25">
      <c r="A4978" t="str">
        <f>"20190303154908631"</f>
        <v>20190303154908631</v>
      </c>
      <c r="B4978" t="str">
        <f>"1551599348626387"</f>
        <v>1551599348626387</v>
      </c>
      <c r="C4978" t="s">
        <v>40</v>
      </c>
      <c r="D4978">
        <v>5.5775829999999997</v>
      </c>
      <c r="E4978">
        <v>0.50862549999999995</v>
      </c>
      <c r="F4978" t="s">
        <v>59</v>
      </c>
      <c r="G4978">
        <v>-288.71140000000003</v>
      </c>
      <c r="H4978" s="1">
        <v>-8.8308560000000001E-6</v>
      </c>
      <c r="I4978">
        <v>141.7115</v>
      </c>
      <c r="J4978">
        <v>-270.43209999999999</v>
      </c>
      <c r="K4978">
        <v>1.1203379999999901</v>
      </c>
      <c r="L4978">
        <v>141.22669999999999</v>
      </c>
      <c r="M4978">
        <v>-0.99976180000000003</v>
      </c>
      <c r="N4978">
        <v>-1.4182770000000001E-2</v>
      </c>
      <c r="O4978">
        <v>1.658712E-2</v>
      </c>
      <c r="P4978">
        <v>-0.99479309999999999</v>
      </c>
      <c r="Q4978">
        <v>-0.1017329</v>
      </c>
      <c r="R4978">
        <v>6.1039669999999897E-3</v>
      </c>
      <c r="S4978">
        <v>-2.9967039999999998</v>
      </c>
      <c r="T4978">
        <v>-0.18126619999999999</v>
      </c>
      <c r="U4978">
        <v>7.920837E-2</v>
      </c>
      <c r="V4978">
        <v>-1.051765E-2</v>
      </c>
      <c r="W4978">
        <v>-8.7600090000000005E-2</v>
      </c>
      <c r="X4978">
        <v>0.99610019999999999</v>
      </c>
      <c r="Y4978">
        <v>9.8315380000000008E-3</v>
      </c>
      <c r="Z4978">
        <v>-4.0023389999999998E-4</v>
      </c>
      <c r="AA4978">
        <v>0.99995160000000005</v>
      </c>
      <c r="AB4978">
        <v>24</v>
      </c>
      <c r="AC4978">
        <v>-18.279299999999999</v>
      </c>
      <c r="AD4978">
        <v>-1.1203468308559901</v>
      </c>
      <c r="AE4978">
        <v>0.484800000000007</v>
      </c>
      <c r="AF4978">
        <v>0.18082305081642</v>
      </c>
      <c r="AG4978">
        <v>-1.1203468308559901</v>
      </c>
      <c r="AH4978">
        <v>18.216444588527999</v>
      </c>
      <c r="AI4978">
        <v>93.519196264922996</v>
      </c>
      <c r="AJ4978">
        <v>89.431279943737806</v>
      </c>
      <c r="AK4978">
        <v>18.251759571176301</v>
      </c>
      <c r="AL4978">
        <v>95.025556958789593</v>
      </c>
      <c r="AM4978">
        <v>90.604953760548497</v>
      </c>
      <c r="AN4978">
        <v>1.0000000025847799</v>
      </c>
    </row>
    <row r="4979" spans="1:40" x14ac:dyDescent="0.25">
      <c r="A4979" t="str">
        <f>"20190303154908654"</f>
        <v>20190303154908654</v>
      </c>
      <c r="B4979" t="str">
        <f>"1551599348645907"</f>
        <v>1551599348645907</v>
      </c>
      <c r="C4979" t="s">
        <v>40</v>
      </c>
      <c r="D4979">
        <v>5.6015819999999996</v>
      </c>
      <c r="E4979">
        <v>0.50896169999999996</v>
      </c>
      <c r="F4979" t="s">
        <v>59</v>
      </c>
      <c r="G4979">
        <v>-289.05360000000002</v>
      </c>
      <c r="H4979" s="1">
        <v>-9.0453410000000001E-6</v>
      </c>
      <c r="I4979">
        <v>141.7688</v>
      </c>
      <c r="J4979">
        <v>-270.68209999999999</v>
      </c>
      <c r="K4979">
        <v>1.1203399999999999</v>
      </c>
      <c r="L4979">
        <v>141.2319</v>
      </c>
      <c r="M4979">
        <v>-0.99974620000000003</v>
      </c>
      <c r="N4979">
        <v>-1.4256660000000001E-2</v>
      </c>
      <c r="O4979">
        <v>1.7442360000000001E-2</v>
      </c>
      <c r="P4979">
        <v>-0.99477649999999995</v>
      </c>
      <c r="Q4979">
        <v>-0.1019409</v>
      </c>
      <c r="R4979">
        <v>5.266611E-3</v>
      </c>
      <c r="S4979">
        <v>-2.9967350000000001</v>
      </c>
      <c r="T4979">
        <v>-0.18029510000000001</v>
      </c>
      <c r="U4979">
        <v>8.7234500000000006E-2</v>
      </c>
      <c r="V4979">
        <v>-1.2204130000000001E-2</v>
      </c>
      <c r="W4979">
        <v>-8.7733039999999998E-2</v>
      </c>
      <c r="X4979">
        <v>0.99606930000000005</v>
      </c>
      <c r="Y4979">
        <v>1.164864E-2</v>
      </c>
      <c r="Z4979">
        <v>-3.6646729999999998E-4</v>
      </c>
      <c r="AA4979">
        <v>0.99993209999999999</v>
      </c>
      <c r="AB4979">
        <v>24</v>
      </c>
      <c r="AC4979">
        <v>-18.371500000000001</v>
      </c>
      <c r="AD4979">
        <v>-1.1203490453410001</v>
      </c>
      <c r="AE4979">
        <v>0.53690000000000204</v>
      </c>
      <c r="AF4979">
        <v>0.21554250796216801</v>
      </c>
      <c r="AG4979">
        <v>-1.1203490453410001</v>
      </c>
      <c r="AH4979">
        <v>18.310034793931798</v>
      </c>
      <c r="AI4979">
        <v>93.501190036931305</v>
      </c>
      <c r="AJ4979">
        <v>89.325555317468002</v>
      </c>
      <c r="AK4979">
        <v>18.345544819141502</v>
      </c>
      <c r="AL4979">
        <v>95.033203691748</v>
      </c>
      <c r="AM4979">
        <v>90.701969385942107</v>
      </c>
      <c r="AN4979">
        <v>1.00000003874959</v>
      </c>
    </row>
    <row r="4980" spans="1:40" x14ac:dyDescent="0.25">
      <c r="A4980" t="str">
        <f>"20190303154908678"</f>
        <v>20190303154908678</v>
      </c>
      <c r="B4980" t="str">
        <f>"1551599348666403"</f>
        <v>1551599348666403</v>
      </c>
      <c r="C4980" t="s">
        <v>40</v>
      </c>
      <c r="D4980">
        <v>5.555491</v>
      </c>
      <c r="E4980">
        <v>0.50943269999999996</v>
      </c>
      <c r="F4980" t="s">
        <v>59</v>
      </c>
      <c r="G4980">
        <v>-289.42750000000001</v>
      </c>
      <c r="H4980" s="1">
        <v>-9.2435679999999999E-6</v>
      </c>
      <c r="I4980">
        <v>141.77889999999999</v>
      </c>
      <c r="J4980">
        <v>-270.92579999999998</v>
      </c>
      <c r="K4980">
        <v>1.1203449999999999</v>
      </c>
      <c r="L4980">
        <v>141.2371</v>
      </c>
      <c r="M4980">
        <v>-0.99973060000000002</v>
      </c>
      <c r="N4980">
        <v>-1.431838E-2</v>
      </c>
      <c r="O4980">
        <v>1.8265920000000001E-2</v>
      </c>
      <c r="P4980">
        <v>-0.99472470000000002</v>
      </c>
      <c r="Q4980">
        <v>-0.10246710000000001</v>
      </c>
      <c r="R4980">
        <v>4.8369379999999998E-3</v>
      </c>
      <c r="S4980">
        <v>-2.9969480000000002</v>
      </c>
      <c r="T4980">
        <v>-0.17911769999999999</v>
      </c>
      <c r="U4980">
        <v>8.7448120000000004E-2</v>
      </c>
      <c r="V4980">
        <v>-1.345035E-2</v>
      </c>
      <c r="W4980">
        <v>-8.8197390000000001E-2</v>
      </c>
      <c r="X4980">
        <v>0.99601220000000001</v>
      </c>
      <c r="Y4980">
        <v>1.089648E-2</v>
      </c>
      <c r="Z4980">
        <v>-4.256428E-4</v>
      </c>
      <c r="AA4980">
        <v>0.99994050000000001</v>
      </c>
      <c r="AB4980">
        <v>24</v>
      </c>
      <c r="AC4980">
        <v>-18.5017</v>
      </c>
      <c r="AD4980">
        <v>-1.1203542435680001</v>
      </c>
      <c r="AE4980">
        <v>0.54179999999999495</v>
      </c>
      <c r="AF4980">
        <v>0.20298070600544699</v>
      </c>
      <c r="AG4980">
        <v>-1.1203542435680001</v>
      </c>
      <c r="AH4980">
        <v>18.440948739862598</v>
      </c>
      <c r="AI4980">
        <v>93.476442241534997</v>
      </c>
      <c r="AJ4980">
        <v>89.369367146014895</v>
      </c>
      <c r="AK4980">
        <v>18.476065198638199</v>
      </c>
      <c r="AL4980">
        <v>95.059912733326399</v>
      </c>
      <c r="AM4980">
        <v>90.773686755108102</v>
      </c>
      <c r="AN4980">
        <v>0.99999999703338704</v>
      </c>
    </row>
    <row r="4981" spans="1:40" x14ac:dyDescent="0.25">
      <c r="A4981" t="str">
        <f>"20190303154908700"</f>
        <v>20190303154908700</v>
      </c>
      <c r="B4981" t="str">
        <f>"1551599348696189"</f>
        <v>1551599348696189</v>
      </c>
      <c r="C4981" t="s">
        <v>40</v>
      </c>
      <c r="D4981">
        <v>5.5617299999999998</v>
      </c>
      <c r="E4981">
        <v>0.50992820000000005</v>
      </c>
      <c r="F4981" t="s">
        <v>59</v>
      </c>
      <c r="G4981">
        <v>-289.92329999999998</v>
      </c>
      <c r="H4981" s="1">
        <v>-9.5104949999999995E-6</v>
      </c>
      <c r="I4981">
        <v>141.80670000000001</v>
      </c>
      <c r="J4981">
        <v>-271.16289999999998</v>
      </c>
      <c r="K4981">
        <v>1.120349</v>
      </c>
      <c r="L4981">
        <v>141.2424</v>
      </c>
      <c r="M4981">
        <v>-0.99971509999999997</v>
      </c>
      <c r="N4981">
        <v>-1.4369659999999999E-2</v>
      </c>
      <c r="O4981">
        <v>1.9056150000000001E-2</v>
      </c>
      <c r="P4981">
        <v>-0.99465429999999999</v>
      </c>
      <c r="Q4981">
        <v>-0.1031613</v>
      </c>
      <c r="R4981">
        <v>4.5567680000000001E-3</v>
      </c>
      <c r="S4981">
        <v>-2.997223</v>
      </c>
      <c r="T4981">
        <v>-0.176757</v>
      </c>
      <c r="U4981">
        <v>8.9859010000000003E-2</v>
      </c>
      <c r="V4981">
        <v>-1.4514310000000001E-2</v>
      </c>
      <c r="W4981">
        <v>-8.8840569999999994E-2</v>
      </c>
      <c r="X4981">
        <v>0.99594009999999999</v>
      </c>
      <c r="Y4981">
        <v>1.090764E-2</v>
      </c>
      <c r="Z4981">
        <v>-4.4906029999999998E-4</v>
      </c>
      <c r="AA4981">
        <v>0.99994039999999995</v>
      </c>
      <c r="AB4981">
        <v>24</v>
      </c>
      <c r="AC4981">
        <v>-18.760400000000001</v>
      </c>
      <c r="AD4981">
        <v>-1.120358510495</v>
      </c>
      <c r="AE4981">
        <v>0.56430000000000202</v>
      </c>
      <c r="AF4981">
        <v>0.20592583197432501</v>
      </c>
      <c r="AG4981">
        <v>-1.120358510495</v>
      </c>
      <c r="AH4981">
        <v>18.7011118621066</v>
      </c>
      <c r="AI4981">
        <v>93.428208247388</v>
      </c>
      <c r="AJ4981">
        <v>89.369117498594505</v>
      </c>
      <c r="AK4981">
        <v>18.735773096388101</v>
      </c>
      <c r="AL4981">
        <v>95.096909462558799</v>
      </c>
      <c r="AM4981">
        <v>90.834939610290903</v>
      </c>
      <c r="AN4981">
        <v>0.99999999743035495</v>
      </c>
    </row>
    <row r="4982" spans="1:40" x14ac:dyDescent="0.25">
      <c r="A4982" t="str">
        <f>"20190303154908721"</f>
        <v>20190303154908721</v>
      </c>
      <c r="B4982" t="str">
        <f>"1551599348715710"</f>
        <v>1551599348715710</v>
      </c>
      <c r="C4982" t="s">
        <v>40</v>
      </c>
      <c r="D4982">
        <v>5.6933590000000001</v>
      </c>
      <c r="E4982">
        <v>0.51019999999999999</v>
      </c>
      <c r="F4982" t="s">
        <v>59</v>
      </c>
      <c r="G4982">
        <v>-290.23360000000002</v>
      </c>
      <c r="H4982" s="1">
        <v>-9.509446E-6</v>
      </c>
      <c r="I4982">
        <v>141.83580000000001</v>
      </c>
      <c r="J4982">
        <v>-271.38940000000002</v>
      </c>
      <c r="K4982">
        <v>1.1203590000000001</v>
      </c>
      <c r="L4982">
        <v>141.24760000000001</v>
      </c>
      <c r="M4982">
        <v>-0.99970020000000004</v>
      </c>
      <c r="N4982">
        <v>-1.4411240000000001E-2</v>
      </c>
      <c r="O4982">
        <v>1.979699E-2</v>
      </c>
      <c r="P4982">
        <v>-0.99461929999999998</v>
      </c>
      <c r="Q4982">
        <v>-0.1034747</v>
      </c>
      <c r="R4982">
        <v>5.0489899999999997E-3</v>
      </c>
      <c r="S4982">
        <v>-2.9974370000000001</v>
      </c>
      <c r="T4982">
        <v>-0.17609250000000001</v>
      </c>
      <c r="U4982">
        <v>9.3261720000000006E-2</v>
      </c>
      <c r="V4982">
        <v>-1.4756150000000001E-2</v>
      </c>
      <c r="W4982">
        <v>-8.9113280000000003E-2</v>
      </c>
      <c r="X4982">
        <v>0.99591220000000003</v>
      </c>
      <c r="Y4982">
        <v>1.129838E-2</v>
      </c>
      <c r="Z4982">
        <v>-4.6346959999999998E-4</v>
      </c>
      <c r="AA4982">
        <v>0.99993600000000005</v>
      </c>
      <c r="AB4982">
        <v>24</v>
      </c>
      <c r="AC4982">
        <v>-18.844200000000001</v>
      </c>
      <c r="AD4982">
        <v>-1.1203685094460001</v>
      </c>
      <c r="AE4982">
        <v>0.58819999999999995</v>
      </c>
      <c r="AF4982">
        <v>0.21423100506071999</v>
      </c>
      <c r="AG4982">
        <v>-1.1203685094460001</v>
      </c>
      <c r="AH4982">
        <v>18.785812264289</v>
      </c>
      <c r="AI4982">
        <v>93.412803366014998</v>
      </c>
      <c r="AJ4982">
        <v>89.346634566255702</v>
      </c>
      <c r="AK4982">
        <v>18.820410807142299</v>
      </c>
      <c r="AL4982">
        <v>95.112596723650697</v>
      </c>
      <c r="AM4982">
        <v>90.848873279438294</v>
      </c>
      <c r="AN4982">
        <v>1.0000000153720101</v>
      </c>
    </row>
    <row r="4983" spans="1:40" x14ac:dyDescent="0.25">
      <c r="A4983" t="str">
        <f>"20190303154908742"</f>
        <v>20190303154908742</v>
      </c>
      <c r="B4983" t="str">
        <f>"1551599348736205"</f>
        <v>1551599348736205</v>
      </c>
      <c r="C4983" t="s">
        <v>40</v>
      </c>
      <c r="D4983">
        <v>5.6877709999999997</v>
      </c>
      <c r="E4983">
        <v>0.51043499999999997</v>
      </c>
      <c r="F4983" t="s">
        <v>59</v>
      </c>
      <c r="G4983">
        <v>-290.38010000000003</v>
      </c>
      <c r="H4983" s="1">
        <v>-9.5023379999999994E-6</v>
      </c>
      <c r="I4983">
        <v>141.8622</v>
      </c>
      <c r="J4983">
        <v>-271.60980000000001</v>
      </c>
      <c r="K4983">
        <v>1.120376</v>
      </c>
      <c r="L4983">
        <v>141.25280000000001</v>
      </c>
      <c r="M4983">
        <v>-0.99968559999999995</v>
      </c>
      <c r="N4983">
        <v>-1.4445660000000001E-2</v>
      </c>
      <c r="O4983">
        <v>2.0496489999999999E-2</v>
      </c>
      <c r="P4983">
        <v>-0.99455959999999999</v>
      </c>
      <c r="Q4983">
        <v>-0.1039962</v>
      </c>
      <c r="R4983">
        <v>6.0236830000000002E-3</v>
      </c>
      <c r="S4983">
        <v>-2.9973450000000001</v>
      </c>
      <c r="T4983">
        <v>-0.1768306</v>
      </c>
      <c r="U4983">
        <v>9.7000119999999995E-2</v>
      </c>
      <c r="V4983">
        <v>-1.447295E-2</v>
      </c>
      <c r="W4983">
        <v>-8.9602080000000001E-2</v>
      </c>
      <c r="X4983">
        <v>0.99587250000000005</v>
      </c>
      <c r="Y4983">
        <v>1.1845049999999999E-2</v>
      </c>
      <c r="Z4983">
        <v>-4.7712420000000001E-4</v>
      </c>
      <c r="AA4983">
        <v>0.99992970000000003</v>
      </c>
      <c r="AB4983">
        <v>24</v>
      </c>
      <c r="AC4983">
        <v>-18.770299999999999</v>
      </c>
      <c r="AD4983">
        <v>-1.120385502338</v>
      </c>
      <c r="AE4983">
        <v>0.60939999999999295</v>
      </c>
      <c r="AF4983">
        <v>0.22371035706751399</v>
      </c>
      <c r="AG4983">
        <v>-1.120385502338</v>
      </c>
      <c r="AH4983">
        <v>18.712249894810299</v>
      </c>
      <c r="AI4983">
        <v>93.426217852752202</v>
      </c>
      <c r="AJ4983">
        <v>89.315045024180705</v>
      </c>
      <c r="AK4983">
        <v>18.747095938398999</v>
      </c>
      <c r="AL4983">
        <v>95.140715374717203</v>
      </c>
      <c r="AM4983">
        <v>90.832617206888898</v>
      </c>
      <c r="AN4983">
        <v>1.0000000176391299</v>
      </c>
    </row>
    <row r="4984" spans="1:40" x14ac:dyDescent="0.25">
      <c r="A4984" t="str">
        <f>"20190303154908764"</f>
        <v>20190303154908764</v>
      </c>
      <c r="B4984" t="str">
        <f>"1551599348755725"</f>
        <v>1551599348755725</v>
      </c>
      <c r="C4984" t="s">
        <v>40</v>
      </c>
      <c r="D4984">
        <v>5.7363540000000004</v>
      </c>
      <c r="E4984">
        <v>0.51052529999999996</v>
      </c>
      <c r="F4984" t="s">
        <v>59</v>
      </c>
      <c r="G4984">
        <v>-290.46980000000002</v>
      </c>
      <c r="H4984" s="1">
        <v>-9.5022440000000006E-6</v>
      </c>
      <c r="I4984">
        <v>141.8939</v>
      </c>
      <c r="J4984">
        <v>-271.8451</v>
      </c>
      <c r="K4984">
        <v>1.120403</v>
      </c>
      <c r="L4984">
        <v>141.2585</v>
      </c>
      <c r="M4984">
        <v>-0.99967010000000001</v>
      </c>
      <c r="N4984">
        <v>-1.447678E-2</v>
      </c>
      <c r="O4984">
        <v>2.1221230000000001E-2</v>
      </c>
      <c r="P4984">
        <v>-0.99451829999999997</v>
      </c>
      <c r="Q4984">
        <v>-0.10430929999999999</v>
      </c>
      <c r="R4984">
        <v>7.2984039999999997E-3</v>
      </c>
      <c r="S4984">
        <v>-2.9971619999999999</v>
      </c>
      <c r="T4984">
        <v>-0.17804790000000001</v>
      </c>
      <c r="U4984">
        <v>0.1018829</v>
      </c>
      <c r="V4984">
        <v>-1.391415E-2</v>
      </c>
      <c r="W4984">
        <v>-8.9885969999999996E-2</v>
      </c>
      <c r="X4984">
        <v>0.99585489999999999</v>
      </c>
      <c r="Y4984">
        <v>1.27481E-2</v>
      </c>
      <c r="Z4984">
        <v>-4.8139770000000002E-4</v>
      </c>
      <c r="AA4984">
        <v>0.99991859999999999</v>
      </c>
      <c r="AB4984">
        <v>23</v>
      </c>
      <c r="AC4984">
        <v>-18.624700000000001</v>
      </c>
      <c r="AD4984">
        <v>-1.1204125022439999</v>
      </c>
      <c r="AE4984">
        <v>0.63540000000000396</v>
      </c>
      <c r="AF4984">
        <v>0.23911214165806599</v>
      </c>
      <c r="AG4984">
        <v>-1.1204125022439999</v>
      </c>
      <c r="AH4984">
        <v>18.5668766309016</v>
      </c>
      <c r="AI4984">
        <v>93.453023021831498</v>
      </c>
      <c r="AJ4984">
        <v>89.2621613484405</v>
      </c>
      <c r="AK4984">
        <v>18.602188221244099</v>
      </c>
      <c r="AL4984">
        <v>95.1570468759558</v>
      </c>
      <c r="AM4984">
        <v>90.800488303122705</v>
      </c>
      <c r="AN4984">
        <v>1.00000003651353</v>
      </c>
    </row>
    <row r="4985" spans="1:40" x14ac:dyDescent="0.25">
      <c r="A4985" t="str">
        <f>"20190303154908786"</f>
        <v>20190303154908786</v>
      </c>
      <c r="B4985" t="str">
        <f>"1551599348776222"</f>
        <v>1551599348776222</v>
      </c>
      <c r="C4985" t="s">
        <v>40</v>
      </c>
      <c r="D4985">
        <v>5.6715299999999997</v>
      </c>
      <c r="E4985">
        <v>0.51059969999999999</v>
      </c>
      <c r="F4985" t="s">
        <v>59</v>
      </c>
      <c r="G4985">
        <v>-290.4366</v>
      </c>
      <c r="H4985" s="1">
        <v>-9.5124610000000008E-6</v>
      </c>
      <c r="I4985">
        <v>141.9194</v>
      </c>
      <c r="J4985">
        <v>-272.07420000000002</v>
      </c>
      <c r="K4985">
        <v>1.1204270000000001</v>
      </c>
      <c r="L4985">
        <v>141.26419999999999</v>
      </c>
      <c r="M4985">
        <v>-0.99965499999999996</v>
      </c>
      <c r="N4985">
        <v>-1.4502320000000001E-2</v>
      </c>
      <c r="O4985">
        <v>2.1900800000000002E-2</v>
      </c>
      <c r="P4985">
        <v>-0.99451970000000001</v>
      </c>
      <c r="Q4985">
        <v>-0.104155399999999</v>
      </c>
      <c r="R4985">
        <v>9.0786470000000005E-3</v>
      </c>
      <c r="S4985">
        <v>-2.996826</v>
      </c>
      <c r="T4985">
        <v>-0.1806035</v>
      </c>
      <c r="U4985">
        <v>0.10652159999999999</v>
      </c>
      <c r="V4985">
        <v>-1.2805550000000001E-2</v>
      </c>
      <c r="W4985">
        <v>-8.9708140000000006E-2</v>
      </c>
      <c r="X4985">
        <v>0.99588580000000004</v>
      </c>
      <c r="Y4985">
        <v>1.361682E-2</v>
      </c>
      <c r="Z4985">
        <v>-4.9197839999999896E-4</v>
      </c>
      <c r="AA4985">
        <v>0.9999072</v>
      </c>
      <c r="AB4985">
        <v>23</v>
      </c>
      <c r="AC4985">
        <v>-18.362399999999901</v>
      </c>
      <c r="AD4985">
        <v>-1.1204365124609901</v>
      </c>
      <c r="AE4985">
        <v>0.655200000000007</v>
      </c>
      <c r="AF4985">
        <v>0.25191255986996602</v>
      </c>
      <c r="AG4985">
        <v>-1.1204365124609901</v>
      </c>
      <c r="AH4985">
        <v>18.3042820129692</v>
      </c>
      <c r="AI4985">
        <v>93.502471640261902</v>
      </c>
      <c r="AJ4985">
        <v>89.211516992929603</v>
      </c>
      <c r="AK4985">
        <v>18.3402720243344</v>
      </c>
      <c r="AL4985">
        <v>95.146816674393506</v>
      </c>
      <c r="AM4985">
        <v>90.736694444818497</v>
      </c>
      <c r="AN4985">
        <v>1.0000000295673499</v>
      </c>
    </row>
    <row r="4986" spans="1:40" x14ac:dyDescent="0.25">
      <c r="A4986" t="str">
        <f>"20190303154908809"</f>
        <v>20190303154908809</v>
      </c>
      <c r="B4986" t="str">
        <f>"1551599348806478"</f>
        <v>1551599348806478</v>
      </c>
      <c r="C4986" t="s">
        <v>40</v>
      </c>
      <c r="D4986">
        <v>5.5456979999999998</v>
      </c>
      <c r="E4986">
        <v>0.5107931</v>
      </c>
      <c r="F4986" t="s">
        <v>59</v>
      </c>
      <c r="G4986">
        <v>-290.5376</v>
      </c>
      <c r="H4986" s="1">
        <v>-9.5131659999999993E-6</v>
      </c>
      <c r="I4986">
        <v>141.9581</v>
      </c>
      <c r="J4986">
        <v>-272.30880000000002</v>
      </c>
      <c r="K4986">
        <v>1.120457</v>
      </c>
      <c r="L4986">
        <v>141.27019999999999</v>
      </c>
      <c r="M4986">
        <v>-0.99963999999999997</v>
      </c>
      <c r="N4986">
        <v>-1.4523950000000001E-2</v>
      </c>
      <c r="O4986">
        <v>2.2559530000000001E-2</v>
      </c>
      <c r="P4986">
        <v>-0.99450459999999996</v>
      </c>
      <c r="Q4986">
        <v>-0.10412970000000001</v>
      </c>
      <c r="R4986">
        <v>1.0858609999999999E-2</v>
      </c>
      <c r="S4986">
        <v>-2.9964599999999999</v>
      </c>
      <c r="T4986">
        <v>-0.1818371</v>
      </c>
      <c r="U4986">
        <v>0.1126099</v>
      </c>
      <c r="V4986">
        <v>-1.167491E-2</v>
      </c>
      <c r="W4986">
        <v>-8.9662710000000007E-2</v>
      </c>
      <c r="X4986">
        <v>0.99590369999999995</v>
      </c>
      <c r="Y4986">
        <v>1.498874E-2</v>
      </c>
      <c r="Z4986">
        <v>-4.7642250000000001E-4</v>
      </c>
      <c r="AA4986">
        <v>0.99988750000000004</v>
      </c>
      <c r="AB4986">
        <v>23</v>
      </c>
      <c r="AC4986">
        <v>-18.2287999999999</v>
      </c>
      <c r="AD4986">
        <v>-1.1204665131659901</v>
      </c>
      <c r="AE4986">
        <v>0.68790000000001295</v>
      </c>
      <c r="AF4986">
        <v>0.27540929014023802</v>
      </c>
      <c r="AG4986">
        <v>-1.1204665131659901</v>
      </c>
      <c r="AH4986">
        <v>18.1711241710113</v>
      </c>
      <c r="AI4986">
        <v>93.528096440250494</v>
      </c>
      <c r="AJ4986">
        <v>89.131667271370901</v>
      </c>
      <c r="AK4986">
        <v>18.2077194926364</v>
      </c>
      <c r="AL4986">
        <v>95.144203644972904</v>
      </c>
      <c r="AM4986">
        <v>90.671643683020406</v>
      </c>
      <c r="AN4986">
        <v>0.99999994238086898</v>
      </c>
    </row>
    <row r="4987" spans="1:40" x14ac:dyDescent="0.25">
      <c r="A4987" t="str">
        <f>"20190303154908831"</f>
        <v>20190303154908831</v>
      </c>
      <c r="B4987" t="str">
        <f>"1551599348825997"</f>
        <v>1551599348825997</v>
      </c>
      <c r="C4987" t="s">
        <v>40</v>
      </c>
      <c r="D4987">
        <v>5.6089820000000001</v>
      </c>
      <c r="E4987">
        <v>0.51068670000000005</v>
      </c>
      <c r="F4987" t="s">
        <v>59</v>
      </c>
      <c r="G4987">
        <v>-290.93920000000003</v>
      </c>
      <c r="H4987" s="1">
        <v>-9.489017E-6</v>
      </c>
      <c r="I4987">
        <v>142.01349999999999</v>
      </c>
      <c r="J4987">
        <v>-272.55239999999998</v>
      </c>
      <c r="K4987">
        <v>1.1204970000000001</v>
      </c>
      <c r="L4987">
        <v>141.2765</v>
      </c>
      <c r="M4987">
        <v>-0.99962530000000005</v>
      </c>
      <c r="N4987">
        <v>-1.454218E-2</v>
      </c>
      <c r="O4987">
        <v>2.3192899999999999E-2</v>
      </c>
      <c r="P4987">
        <v>-0.99449279999999995</v>
      </c>
      <c r="Q4987">
        <v>-0.104101</v>
      </c>
      <c r="R4987">
        <v>1.2144769999999999E-2</v>
      </c>
      <c r="S4987">
        <v>-2.9963989999999998</v>
      </c>
      <c r="T4987">
        <v>-0.18020829999999999</v>
      </c>
      <c r="U4987">
        <v>0.11955259999999999</v>
      </c>
      <c r="V4987">
        <v>-1.101154E-2</v>
      </c>
      <c r="W4987">
        <v>-8.9617169999999996E-2</v>
      </c>
      <c r="X4987">
        <v>0.99591540000000001</v>
      </c>
      <c r="Y4987">
        <v>1.6666099999999899E-2</v>
      </c>
      <c r="Z4987">
        <v>-4.3391859999999998E-4</v>
      </c>
      <c r="AA4987">
        <v>0.999861</v>
      </c>
      <c r="AB4987">
        <v>23</v>
      </c>
      <c r="AC4987">
        <v>-18.386800000000001</v>
      </c>
      <c r="AD4987">
        <v>-1.12050648901699</v>
      </c>
      <c r="AE4987">
        <v>0.73699999999999399</v>
      </c>
      <c r="AF4987">
        <v>0.30916708881937999</v>
      </c>
      <c r="AG4987">
        <v>-1.12050648901699</v>
      </c>
      <c r="AH4987">
        <v>18.3309799670436</v>
      </c>
      <c r="AI4987">
        <v>93.497435293471895</v>
      </c>
      <c r="AJ4987">
        <v>89.033751056571703</v>
      </c>
      <c r="AK4987">
        <v>18.3677964283387</v>
      </c>
      <c r="AL4987">
        <v>95.141583615400805</v>
      </c>
      <c r="AM4987">
        <v>90.633476558258593</v>
      </c>
      <c r="AN4987">
        <v>0.99999998756456998</v>
      </c>
    </row>
    <row r="4988" spans="1:40" x14ac:dyDescent="0.25">
      <c r="A4988" t="str">
        <f>"20190303154908854"</f>
        <v>20190303154908854</v>
      </c>
      <c r="B4988" t="str">
        <f>"1551599348845517"</f>
        <v>1551599348845517</v>
      </c>
      <c r="C4988" t="s">
        <v>40</v>
      </c>
      <c r="D4988">
        <v>5.5878230000000002</v>
      </c>
      <c r="E4988">
        <v>0.51060819999999996</v>
      </c>
      <c r="F4988" t="s">
        <v>59</v>
      </c>
      <c r="G4988">
        <v>-291.012</v>
      </c>
      <c r="H4988" s="1">
        <v>-9.4868110000000005E-6</v>
      </c>
      <c r="I4988">
        <v>142.03149999999999</v>
      </c>
      <c r="J4988">
        <v>-272.77910000000003</v>
      </c>
      <c r="K4988">
        <v>1.1205320000000001</v>
      </c>
      <c r="L4988">
        <v>141.2824</v>
      </c>
      <c r="M4988">
        <v>-0.99961250000000001</v>
      </c>
      <c r="N4988">
        <v>-1.4556110000000001E-2</v>
      </c>
      <c r="O4988">
        <v>2.3729259999999999E-2</v>
      </c>
      <c r="P4988">
        <v>-0.99449299999999996</v>
      </c>
      <c r="Q4988">
        <v>-0.1039365</v>
      </c>
      <c r="R4988">
        <v>1.344622E-2</v>
      </c>
      <c r="S4988">
        <v>-2.9960939999999998</v>
      </c>
      <c r="T4988">
        <v>-0.18186369999999999</v>
      </c>
      <c r="U4988">
        <v>0.12254329999999999</v>
      </c>
      <c r="V4988">
        <v>-1.0236200000000001E-2</v>
      </c>
      <c r="W4988">
        <v>-8.9440160000000005E-2</v>
      </c>
      <c r="X4988">
        <v>0.99593960000000004</v>
      </c>
      <c r="Y4988">
        <v>1.712955E-2</v>
      </c>
      <c r="Z4988">
        <v>-4.4900749999999997E-4</v>
      </c>
      <c r="AA4988">
        <v>0.9998532</v>
      </c>
      <c r="AB4988">
        <v>23</v>
      </c>
      <c r="AC4988">
        <v>-18.232899999999901</v>
      </c>
      <c r="AD4988">
        <v>-1.120541486811</v>
      </c>
      <c r="AE4988">
        <v>0.74909999999999799</v>
      </c>
      <c r="AF4988">
        <v>0.31500222958804802</v>
      </c>
      <c r="AG4988">
        <v>-1.120541486811</v>
      </c>
      <c r="AH4988">
        <v>18.177003949756301</v>
      </c>
      <c r="AI4988">
        <v>93.527069315608003</v>
      </c>
      <c r="AJ4988">
        <v>89.007180065556</v>
      </c>
      <c r="AK4988">
        <v>18.2142337806937</v>
      </c>
      <c r="AL4988">
        <v>95.131400710862593</v>
      </c>
      <c r="AM4988">
        <v>90.588861420971298</v>
      </c>
      <c r="AN4988">
        <v>1.0000000044297099</v>
      </c>
    </row>
    <row r="4989" spans="1:40" x14ac:dyDescent="0.25">
      <c r="A4989" t="str">
        <f>"20190303154908875"</f>
        <v>20190303154908875</v>
      </c>
      <c r="B4989" t="str">
        <f>"1551599348866017"</f>
        <v>1551599348866017</v>
      </c>
      <c r="C4989" t="s">
        <v>40</v>
      </c>
      <c r="D4989">
        <v>5.5449469999999996</v>
      </c>
      <c r="E4989">
        <v>0.51050470000000003</v>
      </c>
      <c r="F4989" t="s">
        <v>59</v>
      </c>
      <c r="G4989">
        <v>-291.15870000000001</v>
      </c>
      <c r="H4989" s="1">
        <v>-9.4789169999999998E-6</v>
      </c>
      <c r="I4989">
        <v>142.05510000000001</v>
      </c>
      <c r="J4989">
        <v>-273.00459999999998</v>
      </c>
      <c r="K4989">
        <v>1.1205769999999999</v>
      </c>
      <c r="L4989">
        <v>141.28829999999999</v>
      </c>
      <c r="M4989">
        <v>-0.99960090000000001</v>
      </c>
      <c r="N4989">
        <v>-1.456729E-2</v>
      </c>
      <c r="O4989">
        <v>2.4204259999999998E-2</v>
      </c>
      <c r="P4989">
        <v>-0.99455740000000004</v>
      </c>
      <c r="Q4989">
        <v>-0.103163</v>
      </c>
      <c r="R4989">
        <v>1.459855E-2</v>
      </c>
      <c r="S4989">
        <v>-2.995819</v>
      </c>
      <c r="T4989">
        <v>-0.1826448</v>
      </c>
      <c r="U4989">
        <v>0.125946</v>
      </c>
      <c r="V4989">
        <v>-9.5482659999999997E-3</v>
      </c>
      <c r="W4989">
        <v>-8.8655860000000003E-2</v>
      </c>
      <c r="X4989">
        <v>0.99601660000000003</v>
      </c>
      <c r="Y4989">
        <v>1.7790830000000001E-2</v>
      </c>
      <c r="Z4989">
        <v>-4.4968580000000002E-4</v>
      </c>
      <c r="AA4989">
        <v>0.9998416</v>
      </c>
      <c r="AB4989">
        <v>23</v>
      </c>
      <c r="AC4989">
        <v>-18.1541</v>
      </c>
      <c r="AD4989">
        <v>-1.1205864789169999</v>
      </c>
      <c r="AE4989">
        <v>0.76680000000001702</v>
      </c>
      <c r="AF4989">
        <v>0.32588267384888198</v>
      </c>
      <c r="AG4989">
        <v>-1.1205864789169999</v>
      </c>
      <c r="AH4989">
        <v>18.0985070349609</v>
      </c>
      <c r="AI4989">
        <v>93.542427725951697</v>
      </c>
      <c r="AJ4989">
        <v>88.9684406407588</v>
      </c>
      <c r="AK4989">
        <v>18.136093032083199</v>
      </c>
      <c r="AL4989">
        <v>95.086284169760106</v>
      </c>
      <c r="AM4989">
        <v>90.549246453961899</v>
      </c>
      <c r="AN4989">
        <v>1.0000000491857499</v>
      </c>
    </row>
    <row r="4990" spans="1:40" x14ac:dyDescent="0.25">
      <c r="A4990" t="str">
        <f>"20190303154908891"</f>
        <v>20190303154908891</v>
      </c>
      <c r="B4990" t="str">
        <f>"1551599348885534"</f>
        <v>1551599348885534</v>
      </c>
      <c r="C4990" t="s">
        <v>40</v>
      </c>
      <c r="D4990">
        <v>5.5883219999999998</v>
      </c>
      <c r="E4990">
        <v>0.51034729999999995</v>
      </c>
      <c r="F4990" t="s">
        <v>59</v>
      </c>
      <c r="G4990">
        <v>-291.4873</v>
      </c>
      <c r="H4990" s="1">
        <v>-9.4540490000000003E-6</v>
      </c>
      <c r="I4990">
        <v>142.08179999999999</v>
      </c>
      <c r="J4990">
        <v>-273.1585</v>
      </c>
      <c r="K4990">
        <v>1.1206149999999999</v>
      </c>
      <c r="L4990">
        <v>141.29239999999999</v>
      </c>
      <c r="M4990">
        <v>-0.99959390000000004</v>
      </c>
      <c r="N4990">
        <v>-1.457348E-2</v>
      </c>
      <c r="O4990">
        <v>2.4488920000000001E-2</v>
      </c>
      <c r="P4990">
        <v>-0.99455059999999995</v>
      </c>
      <c r="Q4990">
        <v>-0.1031353</v>
      </c>
      <c r="R4990">
        <v>1.5244999999999899E-2</v>
      </c>
      <c r="S4990">
        <v>-2.9956969999999998</v>
      </c>
      <c r="T4990">
        <v>-0.18162610000000001</v>
      </c>
      <c r="U4990">
        <v>0.1286011</v>
      </c>
      <c r="V4990">
        <v>-9.1783160000000006E-3</v>
      </c>
      <c r="W4990">
        <v>-8.8622909999999999E-2</v>
      </c>
      <c r="X4990">
        <v>0.99602290000000004</v>
      </c>
      <c r="Y4990">
        <v>1.8391290000000001E-2</v>
      </c>
      <c r="Z4990">
        <v>-4.348318E-4</v>
      </c>
      <c r="AA4990">
        <v>0.99983080000000002</v>
      </c>
      <c r="AB4990">
        <v>23</v>
      </c>
      <c r="AC4990">
        <v>-18.328800000000001</v>
      </c>
      <c r="AD4990">
        <v>-1.120624454049</v>
      </c>
      <c r="AE4990">
        <v>0.78939999999999999</v>
      </c>
      <c r="AF4990">
        <v>0.338998166996344</v>
      </c>
      <c r="AG4990">
        <v>-1.120624454049</v>
      </c>
      <c r="AH4990">
        <v>18.274450223606401</v>
      </c>
      <c r="AI4990">
        <v>93.508491246729506</v>
      </c>
      <c r="AJ4990">
        <v>88.937262872088098</v>
      </c>
      <c r="AK4990">
        <v>18.3119155169335</v>
      </c>
      <c r="AL4990">
        <v>95.084389372573796</v>
      </c>
      <c r="AM4990">
        <v>90.527963649727297</v>
      </c>
      <c r="AN4990">
        <v>0.99999993949293497</v>
      </c>
    </row>
    <row r="4991" spans="1:40" x14ac:dyDescent="0.25">
      <c r="A4991" t="str">
        <f>"20190303154908911"</f>
        <v>20190303154908911</v>
      </c>
      <c r="B4991" t="str">
        <f>"1551599348906030"</f>
        <v>1551599348906030</v>
      </c>
      <c r="C4991" t="s">
        <v>40</v>
      </c>
      <c r="D4991">
        <v>5.5988910000000001</v>
      </c>
      <c r="E4991">
        <v>0.51021720000000004</v>
      </c>
      <c r="F4991" t="s">
        <v>59</v>
      </c>
      <c r="G4991">
        <v>-291.44690000000003</v>
      </c>
      <c r="H4991" s="1">
        <v>-9.4581039999999994E-6</v>
      </c>
      <c r="I4991">
        <v>142.0822</v>
      </c>
      <c r="J4991">
        <v>-273.36880000000002</v>
      </c>
      <c r="K4991">
        <v>1.1206640000000001</v>
      </c>
      <c r="L4991">
        <v>141.298</v>
      </c>
      <c r="M4991">
        <v>-0.99958530000000001</v>
      </c>
      <c r="N4991">
        <v>-1.458049E-2</v>
      </c>
      <c r="O4991">
        <v>2.482937E-2</v>
      </c>
      <c r="P4991">
        <v>-0.99457779999999996</v>
      </c>
      <c r="Q4991">
        <v>-0.1026991</v>
      </c>
      <c r="R4991">
        <v>1.6369310000000001E-2</v>
      </c>
      <c r="S4991">
        <v>-2.9953919999999998</v>
      </c>
      <c r="T4991">
        <v>-0.18354300000000001</v>
      </c>
      <c r="U4991">
        <v>0.12934880000000001</v>
      </c>
      <c r="V4991">
        <v>-8.3831189999999996E-3</v>
      </c>
      <c r="W4991">
        <v>-8.8180469999999997E-2</v>
      </c>
      <c r="X4991">
        <v>0.99606930000000005</v>
      </c>
      <c r="Y4991">
        <v>1.8304709999999998E-2</v>
      </c>
      <c r="Z4991">
        <v>-4.6358150000000003E-4</v>
      </c>
      <c r="AA4991">
        <v>0.99983230000000001</v>
      </c>
      <c r="AB4991">
        <v>23</v>
      </c>
      <c r="AC4991">
        <v>-18.078099999999999</v>
      </c>
      <c r="AD4991">
        <v>-1.1206734581040001</v>
      </c>
      <c r="AE4991">
        <v>0.78419999999999801</v>
      </c>
      <c r="AF4991">
        <v>0.33376240972108301</v>
      </c>
      <c r="AG4991">
        <v>-1.1206734581040001</v>
      </c>
      <c r="AH4991">
        <v>18.022869692088499</v>
      </c>
      <c r="AI4991">
        <v>93.557498472979702</v>
      </c>
      <c r="AJ4991">
        <v>88.939070628873694</v>
      </c>
      <c r="AK4991">
        <v>18.060762394867002</v>
      </c>
      <c r="AL4991">
        <v>95.058939171376295</v>
      </c>
      <c r="AM4991">
        <v>90.482201386646594</v>
      </c>
      <c r="AN4991">
        <v>1.00000006118803</v>
      </c>
    </row>
    <row r="4992" spans="1:40" x14ac:dyDescent="0.25">
      <c r="A4992" t="str">
        <f>"20190303154908934"</f>
        <v>20190303154908934</v>
      </c>
      <c r="B4992" t="str">
        <f>"1551599348925550"</f>
        <v>1551599348925550</v>
      </c>
      <c r="C4992" t="s">
        <v>40</v>
      </c>
      <c r="D4992">
        <v>5.6101380000000001</v>
      </c>
      <c r="E4992">
        <v>0.51005159999999905</v>
      </c>
      <c r="F4992" t="s">
        <v>59</v>
      </c>
      <c r="G4992">
        <v>-291.62670000000003</v>
      </c>
      <c r="H4992" s="1">
        <v>-9.4459159999999992E-6</v>
      </c>
      <c r="I4992">
        <v>142.1019</v>
      </c>
      <c r="J4992">
        <v>-273.60640000000001</v>
      </c>
      <c r="K4992">
        <v>1.1207260000000001</v>
      </c>
      <c r="L4992">
        <v>141.30439999999999</v>
      </c>
      <c r="M4992">
        <v>-0.99957750000000001</v>
      </c>
      <c r="N4992">
        <v>-1.458656E-2</v>
      </c>
      <c r="O4992">
        <v>2.5143860000000001E-2</v>
      </c>
      <c r="P4992">
        <v>-0.99457010000000001</v>
      </c>
      <c r="Q4992">
        <v>-0.1026533</v>
      </c>
      <c r="R4992">
        <v>1.7114250000000001E-2</v>
      </c>
      <c r="S4992">
        <v>-2.9951780000000001</v>
      </c>
      <c r="T4992">
        <v>-0.1838439</v>
      </c>
      <c r="U4992">
        <v>0.13188169999999999</v>
      </c>
      <c r="V4992">
        <v>-7.9404869999999995E-3</v>
      </c>
      <c r="W4992">
        <v>-8.8129739999999998E-2</v>
      </c>
      <c r="X4992">
        <v>0.9960774</v>
      </c>
      <c r="Y4992">
        <v>1.8836240000000001E-2</v>
      </c>
      <c r="Z4992">
        <v>-4.5950370000000002E-4</v>
      </c>
      <c r="AA4992">
        <v>0.99982249999999995</v>
      </c>
      <c r="AB4992">
        <v>23</v>
      </c>
      <c r="AC4992">
        <v>-18.020299999999999</v>
      </c>
      <c r="AD4992">
        <v>-1.1207354459159999</v>
      </c>
      <c r="AE4992">
        <v>0.79750000000001298</v>
      </c>
      <c r="AF4992">
        <v>0.34277648230018198</v>
      </c>
      <c r="AG4992">
        <v>-1.1207354459159999</v>
      </c>
      <c r="AH4992">
        <v>17.965302635234799</v>
      </c>
      <c r="AI4992">
        <v>93.569027873787903</v>
      </c>
      <c r="AJ4992">
        <v>88.906933913411905</v>
      </c>
      <c r="AK4992">
        <v>18.003489729275401</v>
      </c>
      <c r="AL4992">
        <v>95.056021280378701</v>
      </c>
      <c r="AM4992">
        <v>90.456738357298605</v>
      </c>
      <c r="AN4992">
        <v>1.00000004459851</v>
      </c>
    </row>
    <row r="4993" spans="1:40" x14ac:dyDescent="0.25">
      <c r="A4993" t="str">
        <f>"20190303154908953"</f>
        <v>20190303154908953</v>
      </c>
      <c r="B4993" t="str">
        <f>"1551599348946046"</f>
        <v>1551599348946046</v>
      </c>
      <c r="C4993" t="s">
        <v>40</v>
      </c>
      <c r="D4993">
        <v>5.6035629999999896</v>
      </c>
      <c r="E4993">
        <v>0.50983489999999998</v>
      </c>
      <c r="F4993" t="s">
        <v>59</v>
      </c>
      <c r="G4993">
        <v>-291.71480000000003</v>
      </c>
      <c r="H4993" s="1">
        <v>-9.4390129999999995E-6</v>
      </c>
      <c r="I4993">
        <v>142.10820000000001</v>
      </c>
      <c r="J4993">
        <v>-273.80770000000001</v>
      </c>
      <c r="K4993">
        <v>1.1207720000000001</v>
      </c>
      <c r="L4993">
        <v>141.30969999999999</v>
      </c>
      <c r="M4993">
        <v>-0.99957209999999996</v>
      </c>
      <c r="N4993">
        <v>-1.459033E-2</v>
      </c>
      <c r="O4993">
        <v>2.5351189999999999E-2</v>
      </c>
      <c r="P4993">
        <v>-0.99465479999999995</v>
      </c>
      <c r="Q4993">
        <v>-0.1016397</v>
      </c>
      <c r="R4993">
        <v>1.8202679999999999E-2</v>
      </c>
      <c r="S4993">
        <v>-2.9949650000000001</v>
      </c>
      <c r="T4993">
        <v>-0.18536030000000001</v>
      </c>
      <c r="U4993">
        <v>0.13294979999999901</v>
      </c>
      <c r="V4993">
        <v>-7.0519809999999997E-3</v>
      </c>
      <c r="W4993">
        <v>-8.7112019999999998E-2</v>
      </c>
      <c r="X4993">
        <v>0.99617359999999999</v>
      </c>
      <c r="Y4993">
        <v>1.8987670000000002E-2</v>
      </c>
      <c r="Z4993">
        <v>-4.7136759999999998E-4</v>
      </c>
      <c r="AA4993">
        <v>0.99981960000000003</v>
      </c>
      <c r="AB4993">
        <v>23</v>
      </c>
      <c r="AC4993">
        <v>-17.9071</v>
      </c>
      <c r="AD4993">
        <v>-1.120781439013</v>
      </c>
      <c r="AE4993">
        <v>0.79850000000001797</v>
      </c>
      <c r="AF4993">
        <v>0.34288813423266001</v>
      </c>
      <c r="AG4993">
        <v>-1.120781439013</v>
      </c>
      <c r="AH4993">
        <v>17.851795845601998</v>
      </c>
      <c r="AI4993">
        <v>93.591799815891804</v>
      </c>
      <c r="AJ4993">
        <v>88.899627373494695</v>
      </c>
      <c r="AK4993">
        <v>17.890230245015999</v>
      </c>
      <c r="AL4993">
        <v>94.997485116842</v>
      </c>
      <c r="AM4993">
        <v>90.405593964060301</v>
      </c>
      <c r="AN4993">
        <v>1.0000000379007301</v>
      </c>
    </row>
    <row r="4994" spans="1:40" x14ac:dyDescent="0.25">
      <c r="A4994" t="str">
        <f>"20190303154908976"</f>
        <v>20190303154908976</v>
      </c>
      <c r="B4994" t="str">
        <f>"1551599348965566"</f>
        <v>1551599348965566</v>
      </c>
      <c r="C4994" t="s">
        <v>40</v>
      </c>
      <c r="D4994">
        <v>5.6078210000000004</v>
      </c>
      <c r="E4994">
        <v>0.50958840000000005</v>
      </c>
      <c r="F4994" t="s">
        <v>59</v>
      </c>
      <c r="G4994">
        <v>-292.06240000000003</v>
      </c>
      <c r="H4994" s="1">
        <v>-9.4109690000000004E-6</v>
      </c>
      <c r="I4994">
        <v>142.1301</v>
      </c>
      <c r="J4994">
        <v>-274.03550000000001</v>
      </c>
      <c r="K4994">
        <v>1.1208260000000001</v>
      </c>
      <c r="L4994">
        <v>141.31569999999999</v>
      </c>
      <c r="M4994">
        <v>-0.99956780000000001</v>
      </c>
      <c r="N4994">
        <v>-1.459337E-2</v>
      </c>
      <c r="O4994">
        <v>2.5521459999999999E-2</v>
      </c>
      <c r="P4994">
        <v>-0.99468509999999999</v>
      </c>
      <c r="Q4994">
        <v>-0.10113460000000001</v>
      </c>
      <c r="R4994">
        <v>1.932555E-2</v>
      </c>
      <c r="S4994">
        <v>-2.994904</v>
      </c>
      <c r="T4994">
        <v>-0.18387809999999999</v>
      </c>
      <c r="U4994">
        <v>0.13459779999999999</v>
      </c>
      <c r="V4994">
        <v>-6.0898719999999996E-3</v>
      </c>
      <c r="W4994">
        <v>-8.6604109999999998E-2</v>
      </c>
      <c r="X4994">
        <v>0.9962242</v>
      </c>
      <c r="Y4994">
        <v>1.9366669999999999E-2</v>
      </c>
      <c r="Z4994">
        <v>-4.5700899999999997E-4</v>
      </c>
      <c r="AA4994">
        <v>0.99981240000000005</v>
      </c>
      <c r="AB4994">
        <v>23</v>
      </c>
      <c r="AC4994">
        <v>-18.026900000000001</v>
      </c>
      <c r="AD4994">
        <v>-1.120835410969</v>
      </c>
      <c r="AE4994">
        <v>0.81440000000000601</v>
      </c>
      <c r="AF4994">
        <v>0.35265237637612001</v>
      </c>
      <c r="AG4994">
        <v>-1.120835410969</v>
      </c>
      <c r="AH4994">
        <v>17.9724769770114</v>
      </c>
      <c r="AI4994">
        <v>93.567886943920101</v>
      </c>
      <c r="AJ4994">
        <v>88.875897836096101</v>
      </c>
      <c r="AK4994">
        <v>18.010845743780301</v>
      </c>
      <c r="AL4994">
        <v>94.968273770379895</v>
      </c>
      <c r="AM4994">
        <v>90.350242061227206</v>
      </c>
      <c r="AN4994">
        <v>1.00000000753775</v>
      </c>
    </row>
    <row r="4995" spans="1:40" x14ac:dyDescent="0.25">
      <c r="A4995" t="str">
        <f>"20190303154908998"</f>
        <v>20190303154908998</v>
      </c>
      <c r="B4995" t="str">
        <f>"1551599348995821"</f>
        <v>1551599348995821</v>
      </c>
      <c r="C4995" t="s">
        <v>40</v>
      </c>
      <c r="D4995">
        <v>5.6486179999999999</v>
      </c>
      <c r="E4995">
        <v>0.50928390000000001</v>
      </c>
      <c r="F4995" t="s">
        <v>59</v>
      </c>
      <c r="G4995">
        <v>-292.30270000000002</v>
      </c>
      <c r="H4995" s="1">
        <v>-9.3918340000000001E-6</v>
      </c>
      <c r="I4995">
        <v>142.14609999999999</v>
      </c>
      <c r="J4995">
        <v>-274.26409999999998</v>
      </c>
      <c r="K4995">
        <v>1.1208659999999999</v>
      </c>
      <c r="L4995">
        <v>141.32169999999999</v>
      </c>
      <c r="M4995">
        <v>-0.99956520000000004</v>
      </c>
      <c r="N4995">
        <v>-1.459527E-2</v>
      </c>
      <c r="O4995">
        <v>2.5622539999999999E-2</v>
      </c>
      <c r="P4995">
        <v>-0.99476030000000004</v>
      </c>
      <c r="Q4995">
        <v>-0.1002924</v>
      </c>
      <c r="R4995">
        <v>1.984199E-2</v>
      </c>
      <c r="S4995">
        <v>-2.994659</v>
      </c>
      <c r="T4995">
        <v>-0.18374599999999999</v>
      </c>
      <c r="U4995">
        <v>0.13613889999999901</v>
      </c>
      <c r="V4995">
        <v>-5.66703E-3</v>
      </c>
      <c r="W4995">
        <v>-8.5759539999999995E-2</v>
      </c>
      <c r="X4995">
        <v>0.99629970000000001</v>
      </c>
      <c r="Y4995">
        <v>1.9781839999999998E-2</v>
      </c>
      <c r="Z4995">
        <v>-4.452754E-4</v>
      </c>
      <c r="AA4995">
        <v>0.99980420000000003</v>
      </c>
      <c r="AB4995">
        <v>23</v>
      </c>
      <c r="AC4995">
        <v>-18.038599999999999</v>
      </c>
      <c r="AD4995">
        <v>-1.120875391834</v>
      </c>
      <c r="AE4995">
        <v>0.82439999999999702</v>
      </c>
      <c r="AF4995">
        <v>0.36049632028917999</v>
      </c>
      <c r="AG4995">
        <v>-1.120875391834</v>
      </c>
      <c r="AH4995">
        <v>17.984507015722201</v>
      </c>
      <c r="AI4995">
        <v>93.565603532095096</v>
      </c>
      <c r="AJ4995">
        <v>88.851669829857698</v>
      </c>
      <c r="AK4995">
        <v>18.023007846625401</v>
      </c>
      <c r="AL4995">
        <v>94.919703029287604</v>
      </c>
      <c r="AM4995">
        <v>90.325899324941702</v>
      </c>
      <c r="AN4995">
        <v>0.99999995307505996</v>
      </c>
    </row>
    <row r="4996" spans="1:40" x14ac:dyDescent="0.25">
      <c r="A4996" t="str">
        <f>"20190303154909022"</f>
        <v>20190303154909022</v>
      </c>
      <c r="B4996" t="str">
        <f>"1551599349016318"</f>
        <v>1551599349016318</v>
      </c>
      <c r="C4996" t="s">
        <v>40</v>
      </c>
      <c r="D4996">
        <v>5.6011049999999996</v>
      </c>
      <c r="E4996">
        <v>0.50900249999999903</v>
      </c>
      <c r="F4996" t="s">
        <v>59</v>
      </c>
      <c r="G4996">
        <v>-292.55459999999999</v>
      </c>
      <c r="H4996" s="1">
        <v>-9.3684580000000003E-6</v>
      </c>
      <c r="I4996">
        <v>142.14850000000001</v>
      </c>
      <c r="J4996">
        <v>-274.50240000000002</v>
      </c>
      <c r="K4996">
        <v>1.1209100000000001</v>
      </c>
      <c r="L4996">
        <v>141.3279</v>
      </c>
      <c r="M4996">
        <v>-0.99956409999999996</v>
      </c>
      <c r="N4996">
        <v>-1.4596140000000001E-2</v>
      </c>
      <c r="O4996">
        <v>2.5664909999999999E-2</v>
      </c>
      <c r="P4996">
        <v>-0.99486490000000005</v>
      </c>
      <c r="Q4996">
        <v>-9.9156010000000003E-2</v>
      </c>
      <c r="R4996">
        <v>2.0294989999999999E-2</v>
      </c>
      <c r="S4996">
        <v>-2.9945979999999999</v>
      </c>
      <c r="T4996">
        <v>-0.18351419999999999</v>
      </c>
      <c r="U4996">
        <v>0.1353607</v>
      </c>
      <c r="V4996">
        <v>-5.2504279999999997E-3</v>
      </c>
      <c r="W4996">
        <v>-8.462124E-2</v>
      </c>
      <c r="X4996">
        <v>0.99639929999999999</v>
      </c>
      <c r="Y4996">
        <v>1.9481869999999998E-2</v>
      </c>
      <c r="Z4996">
        <v>-4.5740139999999999E-4</v>
      </c>
      <c r="AA4996">
        <v>0.99981010000000003</v>
      </c>
      <c r="AB4996">
        <v>23</v>
      </c>
      <c r="AC4996">
        <v>-18.0521999999999</v>
      </c>
      <c r="AD4996">
        <v>-1.1209193684579899</v>
      </c>
      <c r="AE4996">
        <v>0.82060000000001299</v>
      </c>
      <c r="AF4996">
        <v>0.35560398940105598</v>
      </c>
      <c r="AG4996">
        <v>-1.1209193684579899</v>
      </c>
      <c r="AH4996">
        <v>17.998065552526199</v>
      </c>
      <c r="AI4996">
        <v>93.563084080911096</v>
      </c>
      <c r="AJ4996">
        <v>88.868102958692802</v>
      </c>
      <c r="AK4996">
        <v>18.036443054574001</v>
      </c>
      <c r="AL4996">
        <v>94.854245325915301</v>
      </c>
      <c r="AM4996">
        <v>90.301911674131702</v>
      </c>
      <c r="AN4996">
        <v>0.99999994314690299</v>
      </c>
    </row>
    <row r="4997" spans="1:40" x14ac:dyDescent="0.25">
      <c r="A4997" t="str">
        <f>"20190303154909043"</f>
        <v>20190303154909043</v>
      </c>
      <c r="B4997" t="str">
        <f>"1551599349035837"</f>
        <v>1551599349035837</v>
      </c>
      <c r="C4997" t="s">
        <v>40</v>
      </c>
      <c r="D4997">
        <v>5.6589309999999999</v>
      </c>
      <c r="E4997">
        <v>0.50868150000000001</v>
      </c>
      <c r="F4997" t="s">
        <v>59</v>
      </c>
      <c r="G4997">
        <v>-292.97579999999999</v>
      </c>
      <c r="H4997" s="1">
        <v>-9.3336660000000004E-6</v>
      </c>
      <c r="I4997">
        <v>142.1568</v>
      </c>
      <c r="J4997">
        <v>-274.72660000000002</v>
      </c>
      <c r="K4997">
        <v>1.120949</v>
      </c>
      <c r="L4997">
        <v>141.33369999999999</v>
      </c>
      <c r="M4997">
        <v>-0.99956420000000001</v>
      </c>
      <c r="N4997">
        <v>-1.4596059999999999E-2</v>
      </c>
      <c r="O4997">
        <v>2.565835E-2</v>
      </c>
      <c r="P4997">
        <v>-0.99499280000000001</v>
      </c>
      <c r="Q4997">
        <v>-9.7807489999999997E-2</v>
      </c>
      <c r="R4997">
        <v>2.0564700000000002E-2</v>
      </c>
      <c r="S4997">
        <v>-2.9946290000000002</v>
      </c>
      <c r="T4997">
        <v>-0.18170739999999999</v>
      </c>
      <c r="U4997">
        <v>0.13436890000000001</v>
      </c>
      <c r="V4997">
        <v>-4.9711490000000002E-3</v>
      </c>
      <c r="W4997">
        <v>-8.3271390000000001E-2</v>
      </c>
      <c r="X4997">
        <v>0.99651449999999997</v>
      </c>
      <c r="Y4997">
        <v>1.9158310000000001E-2</v>
      </c>
      <c r="Z4997">
        <v>-4.5969179999999998E-4</v>
      </c>
      <c r="AA4997">
        <v>0.99981640000000005</v>
      </c>
      <c r="AB4997">
        <v>23</v>
      </c>
      <c r="AC4997">
        <v>-18.249199999999899</v>
      </c>
      <c r="AD4997">
        <v>-1.1209583336660001</v>
      </c>
      <c r="AE4997">
        <v>0.82310000000001005</v>
      </c>
      <c r="AF4997">
        <v>0.353204752917192</v>
      </c>
      <c r="AG4997">
        <v>-1.1209583336660001</v>
      </c>
      <c r="AH4997">
        <v>18.195798105232701</v>
      </c>
      <c r="AI4997">
        <v>93.524608474205195</v>
      </c>
      <c r="AJ4997">
        <v>88.887952025033599</v>
      </c>
      <c r="AK4997">
        <v>18.233715196571701</v>
      </c>
      <c r="AL4997">
        <v>94.776630411982495</v>
      </c>
      <c r="AM4997">
        <v>90.285819719018903</v>
      </c>
      <c r="AN4997">
        <v>0.999999992712581</v>
      </c>
    </row>
    <row r="4998" spans="1:40" x14ac:dyDescent="0.25">
      <c r="A4998" t="str">
        <f>"20190303154909065"</f>
        <v>20190303154909065</v>
      </c>
      <c r="B4998" t="str">
        <f>"1551599349056333"</f>
        <v>1551599349056333</v>
      </c>
      <c r="C4998" t="s">
        <v>40</v>
      </c>
      <c r="D4998">
        <v>5.6192769999999896</v>
      </c>
      <c r="E4998">
        <v>0.50840099999999999</v>
      </c>
      <c r="F4998" t="s">
        <v>59</v>
      </c>
      <c r="G4998">
        <v>-293.29430000000002</v>
      </c>
      <c r="H4998" s="1">
        <v>-9.3053810000000004E-6</v>
      </c>
      <c r="I4998">
        <v>142.1557</v>
      </c>
      <c r="J4998">
        <v>-274.94810000000001</v>
      </c>
      <c r="K4998">
        <v>1.1209750000000001</v>
      </c>
      <c r="L4998">
        <v>141.33940000000001</v>
      </c>
      <c r="M4998">
        <v>-0.99956529999999999</v>
      </c>
      <c r="N4998">
        <v>-1.459529E-2</v>
      </c>
      <c r="O4998">
        <v>2.561954E-2</v>
      </c>
      <c r="P4998">
        <v>-0.99505089999999996</v>
      </c>
      <c r="Q4998">
        <v>-9.7022339999999999E-2</v>
      </c>
      <c r="R4998">
        <v>2.14653E-2</v>
      </c>
      <c r="S4998">
        <v>-2.9945979999999999</v>
      </c>
      <c r="T4998">
        <v>-0.1807879</v>
      </c>
      <c r="U4998">
        <v>0.1325684</v>
      </c>
      <c r="V4998">
        <v>-4.0300900000000001E-3</v>
      </c>
      <c r="W4998">
        <v>-8.2486080000000003E-2</v>
      </c>
      <c r="X4998">
        <v>0.99658409999999997</v>
      </c>
      <c r="Y4998">
        <v>1.859889E-2</v>
      </c>
      <c r="Z4998">
        <v>-4.7400140000000002E-4</v>
      </c>
      <c r="AA4998">
        <v>0.99982689999999996</v>
      </c>
      <c r="AB4998">
        <v>23</v>
      </c>
      <c r="AC4998">
        <v>-18.3462</v>
      </c>
      <c r="AD4998">
        <v>-1.120984305381</v>
      </c>
      <c r="AE4998">
        <v>0.81629999999998404</v>
      </c>
      <c r="AF4998">
        <v>0.34467649103805398</v>
      </c>
      <c r="AG4998">
        <v>-1.120984305381</v>
      </c>
      <c r="AH4998">
        <v>18.292932068502399</v>
      </c>
      <c r="AI4998">
        <v>93.506058992351697</v>
      </c>
      <c r="AJ4998">
        <v>88.920557316981103</v>
      </c>
      <c r="AK4998">
        <v>18.330487482858398</v>
      </c>
      <c r="AL4998">
        <v>94.731479943738094</v>
      </c>
      <c r="AM4998">
        <v>90.231697344341796</v>
      </c>
      <c r="AN4998">
        <v>1.0000000316959901</v>
      </c>
    </row>
    <row r="4999" spans="1:40" x14ac:dyDescent="0.25">
      <c r="A4999" t="str">
        <f>"20190303154909087"</f>
        <v>20190303154909087</v>
      </c>
      <c r="B4999" t="str">
        <f>"1551599349075854"</f>
        <v>1551599349075854</v>
      </c>
      <c r="C4999" t="s">
        <v>40</v>
      </c>
      <c r="D4999">
        <v>5.6647999999999996</v>
      </c>
      <c r="E4999">
        <v>0.50814199999999998</v>
      </c>
      <c r="F4999" t="s">
        <v>59</v>
      </c>
      <c r="G4999">
        <v>-293.48439999999999</v>
      </c>
      <c r="H4999" s="1">
        <v>-9.2903949999999997E-6</v>
      </c>
      <c r="I4999">
        <v>142.16220000000001</v>
      </c>
      <c r="J4999">
        <v>-275.17180000000002</v>
      </c>
      <c r="K4999">
        <v>1.1209979999999999</v>
      </c>
      <c r="L4999">
        <v>141.345</v>
      </c>
      <c r="M4999">
        <v>-0.99956730000000005</v>
      </c>
      <c r="N4999">
        <v>-1.459386E-2</v>
      </c>
      <c r="O4999">
        <v>2.554203E-2</v>
      </c>
      <c r="P4999">
        <v>-0.99502460000000004</v>
      </c>
      <c r="Q4999">
        <v>-9.7124340000000003E-2</v>
      </c>
      <c r="R4999">
        <v>2.2210270000000001E-2</v>
      </c>
      <c r="S4999">
        <v>-2.994354</v>
      </c>
      <c r="T4999">
        <v>-0.18108369999999999</v>
      </c>
      <c r="U4999">
        <v>0.13291929999999999</v>
      </c>
      <c r="V4999">
        <v>-3.2036740000000001E-3</v>
      </c>
      <c r="W4999">
        <v>-8.2589629999999997E-2</v>
      </c>
      <c r="X4999">
        <v>0.99657850000000003</v>
      </c>
      <c r="Y4999">
        <v>1.8796429999999999E-2</v>
      </c>
      <c r="Z4999">
        <v>-4.6477870000000002E-4</v>
      </c>
      <c r="AA4999">
        <v>0.99982320000000002</v>
      </c>
      <c r="AB4999">
        <v>23</v>
      </c>
      <c r="AC4999">
        <v>-18.3125999999999</v>
      </c>
      <c r="AD4999">
        <v>-1.1210072903949999</v>
      </c>
      <c r="AE4999">
        <v>0.81720000000001303</v>
      </c>
      <c r="AF4999">
        <v>0.34784170094348299</v>
      </c>
      <c r="AG4999">
        <v>-1.1210072903949999</v>
      </c>
      <c r="AH4999">
        <v>18.259212884753001</v>
      </c>
      <c r="AI4999">
        <v>93.512575445192297</v>
      </c>
      <c r="AJ4999">
        <v>88.908635813789701</v>
      </c>
      <c r="AK4999">
        <v>18.296898818235899</v>
      </c>
      <c r="AL4999">
        <v>94.737433344294402</v>
      </c>
      <c r="AM4999">
        <v>90.184186561158498</v>
      </c>
      <c r="AN4999">
        <v>1.00000000858644</v>
      </c>
    </row>
    <row r="5000" spans="1:40" x14ac:dyDescent="0.25">
      <c r="A5000" t="str">
        <f>"20190303154909112"</f>
        <v>20190303154909112</v>
      </c>
      <c r="B5000" t="str">
        <f>"1551599349106110"</f>
        <v>1551599349106110</v>
      </c>
      <c r="C5000" t="s">
        <v>40</v>
      </c>
      <c r="D5000">
        <v>5.6809729999999998</v>
      </c>
      <c r="E5000">
        <v>0.50765990000000005</v>
      </c>
      <c r="F5000" t="s">
        <v>59</v>
      </c>
      <c r="G5000">
        <v>-293.48129999999998</v>
      </c>
      <c r="H5000" s="1">
        <v>-9.289901E-6</v>
      </c>
      <c r="I5000">
        <v>142.1593</v>
      </c>
      <c r="J5000">
        <v>-275.42070000000001</v>
      </c>
      <c r="K5000">
        <v>1.1210290000000001</v>
      </c>
      <c r="L5000">
        <v>141.35130000000001</v>
      </c>
      <c r="M5000">
        <v>-0.99957079999999998</v>
      </c>
      <c r="N5000">
        <v>-1.459176E-2</v>
      </c>
      <c r="O5000">
        <v>2.5403149999999999E-2</v>
      </c>
      <c r="P5000">
        <v>-0.9950658</v>
      </c>
      <c r="Q5000">
        <v>-9.6456929999999996E-2</v>
      </c>
      <c r="R5000">
        <v>2.3243920000000001E-2</v>
      </c>
      <c r="S5000">
        <v>-2.9941409999999999</v>
      </c>
      <c r="T5000">
        <v>-0.1833169</v>
      </c>
      <c r="U5000">
        <v>0.13314819999999999</v>
      </c>
      <c r="V5000">
        <v>-2.0276500000000002E-3</v>
      </c>
      <c r="W5000">
        <v>-8.1923399999999993E-2</v>
      </c>
      <c r="X5000">
        <v>0.99663659999999998</v>
      </c>
      <c r="Y5000">
        <v>1.9014070000000001E-2</v>
      </c>
      <c r="Z5000">
        <v>-4.6221670000000002E-4</v>
      </c>
      <c r="AA5000">
        <v>0.99981909999999896</v>
      </c>
      <c r="AB5000">
        <v>23</v>
      </c>
      <c r="AC5000">
        <v>-18.060599999999901</v>
      </c>
      <c r="AD5000">
        <v>-1.1210382899010001</v>
      </c>
      <c r="AE5000">
        <v>0.80799999999999195</v>
      </c>
      <c r="AF5000">
        <v>0.347557820334912</v>
      </c>
      <c r="AG5000">
        <v>-1.1210382899010001</v>
      </c>
      <c r="AH5000">
        <v>18.006063117714699</v>
      </c>
      <c r="AI5000">
        <v>93.561914056832194</v>
      </c>
      <c r="AJ5000">
        <v>88.894198940358507</v>
      </c>
      <c r="AK5000">
        <v>18.044274224391099</v>
      </c>
      <c r="AL5000">
        <v>94.699131260640698</v>
      </c>
      <c r="AM5000">
        <v>90.116567690811195</v>
      </c>
      <c r="AN5000">
        <v>1.0000000336458199</v>
      </c>
    </row>
    <row r="5001" spans="1:40" x14ac:dyDescent="0.25">
      <c r="A5001" t="str">
        <f>"20190303154909135"</f>
        <v>20190303154909135</v>
      </c>
      <c r="B5001" t="str">
        <f>"1551599349125630"</f>
        <v>1551599349125630</v>
      </c>
      <c r="C5001" t="s">
        <v>40</v>
      </c>
      <c r="D5001">
        <v>5.7338040000000001</v>
      </c>
      <c r="E5001">
        <v>0.50733609999999996</v>
      </c>
      <c r="F5001" t="s">
        <v>59</v>
      </c>
      <c r="G5001">
        <v>-293.5043</v>
      </c>
      <c r="H5001" s="1">
        <v>-9.2856859999999999E-6</v>
      </c>
      <c r="I5001">
        <v>142.15090000000001</v>
      </c>
      <c r="J5001">
        <v>-275.65050000000002</v>
      </c>
      <c r="K5001">
        <v>1.1210709999999999</v>
      </c>
      <c r="L5001">
        <v>141.357</v>
      </c>
      <c r="M5001">
        <v>-0.99957549999999995</v>
      </c>
      <c r="N5001">
        <v>-1.457586E-2</v>
      </c>
      <c r="O5001">
        <v>2.522829E-2</v>
      </c>
      <c r="P5001">
        <v>-0.99521879999999996</v>
      </c>
      <c r="Q5001">
        <v>-9.4610050000000001E-2</v>
      </c>
      <c r="R5001">
        <v>2.426683E-2</v>
      </c>
      <c r="S5001">
        <v>-2.993805</v>
      </c>
      <c r="T5001">
        <v>-0.18559229999999999</v>
      </c>
      <c r="U5001">
        <v>0.13238529999999901</v>
      </c>
      <c r="V5001">
        <v>-8.2970889999999995E-4</v>
      </c>
      <c r="W5001">
        <v>-8.0089759999999996E-2</v>
      </c>
      <c r="X5001">
        <v>0.99678730000000004</v>
      </c>
      <c r="Y5001">
        <v>1.8939580000000001E-2</v>
      </c>
      <c r="Z5001">
        <v>-4.6950559999999999E-4</v>
      </c>
      <c r="AA5001">
        <v>0.9998205</v>
      </c>
      <c r="AB5001">
        <v>23</v>
      </c>
      <c r="AC5001">
        <v>-17.8537999999999</v>
      </c>
      <c r="AD5001">
        <v>-1.1210802856859901</v>
      </c>
      <c r="AE5001">
        <v>0.79390000000000704</v>
      </c>
      <c r="AF5001">
        <v>0.34183344094625501</v>
      </c>
      <c r="AG5001">
        <v>-1.1210802856859901</v>
      </c>
      <c r="AH5001">
        <v>17.798109988560601</v>
      </c>
      <c r="AI5001">
        <v>93.603563721190099</v>
      </c>
      <c r="AJ5001">
        <v>88.899703070602399</v>
      </c>
      <c r="AK5001">
        <v>17.836658607295298</v>
      </c>
      <c r="AL5001">
        <v>94.593725207357394</v>
      </c>
      <c r="AM5001">
        <v>90.047692027391506</v>
      </c>
      <c r="AN5001">
        <v>0.99999998975750304</v>
      </c>
    </row>
    <row r="5002" spans="1:40" x14ac:dyDescent="0.25">
      <c r="A5002" t="str">
        <f>"20190303154909155"</f>
        <v>20190303154909155</v>
      </c>
      <c r="B5002" t="str">
        <f>"1551599349146126"</f>
        <v>1551599349146126</v>
      </c>
      <c r="C5002" t="s">
        <v>40</v>
      </c>
      <c r="D5002">
        <v>5.7512689999999997</v>
      </c>
      <c r="E5002">
        <v>0.50702429999999998</v>
      </c>
      <c r="F5002" t="s">
        <v>59</v>
      </c>
      <c r="G5002">
        <v>-293.96600000000001</v>
      </c>
      <c r="H5002" s="1">
        <v>-9.2499969999999997E-6</v>
      </c>
      <c r="I5002">
        <v>142.1694</v>
      </c>
      <c r="J5002">
        <v>-275.8578</v>
      </c>
      <c r="K5002">
        <v>1.121092</v>
      </c>
      <c r="L5002">
        <v>141.36199999999999</v>
      </c>
      <c r="M5002">
        <v>-0.99958130000000001</v>
      </c>
      <c r="N5002">
        <v>-1.45021E-2</v>
      </c>
      <c r="O5002">
        <v>2.503764E-2</v>
      </c>
      <c r="P5002">
        <v>-0.99548519999999896</v>
      </c>
      <c r="Q5002">
        <v>-9.1660480000000003E-2</v>
      </c>
      <c r="R5002">
        <v>2.464912E-2</v>
      </c>
      <c r="S5002">
        <v>-2.993744</v>
      </c>
      <c r="T5002">
        <v>-0.18324489999999999</v>
      </c>
      <c r="U5002">
        <v>0.1327972</v>
      </c>
      <c r="V5002">
        <v>-2.603525E-4</v>
      </c>
      <c r="W5002">
        <v>-7.7209879999999995E-2</v>
      </c>
      <c r="X5002">
        <v>0.99701479999999998</v>
      </c>
      <c r="Y5002">
        <v>1.926777E-2</v>
      </c>
      <c r="Z5002">
        <v>-4.384697E-4</v>
      </c>
      <c r="AA5002">
        <v>0.99981430000000004</v>
      </c>
      <c r="AB5002">
        <v>23</v>
      </c>
      <c r="AC5002">
        <v>-18.1082</v>
      </c>
      <c r="AD5002">
        <v>-1.1211012499969999</v>
      </c>
      <c r="AE5002">
        <v>0.80740000000000101</v>
      </c>
      <c r="AF5002">
        <v>0.35236461638754302</v>
      </c>
      <c r="AG5002">
        <v>-1.1211012499969999</v>
      </c>
      <c r="AH5002">
        <v>18.053677076724501</v>
      </c>
      <c r="AI5002">
        <v>93.552728315977205</v>
      </c>
      <c r="AJ5002">
        <v>88.881865323693901</v>
      </c>
      <c r="AK5002">
        <v>18.091884501794599</v>
      </c>
      <c r="AL5002">
        <v>94.428207531275305</v>
      </c>
      <c r="AM5002">
        <v>90.014961762951302</v>
      </c>
      <c r="AN5002">
        <v>0.99999997238603899</v>
      </c>
    </row>
    <row r="5003" spans="1:40" x14ac:dyDescent="0.25">
      <c r="A5003" t="str">
        <f>"20190303154909177"</f>
        <v>20190303154909177</v>
      </c>
      <c r="B5003" t="str">
        <f>"1551599349165646"</f>
        <v>1551599349165646</v>
      </c>
      <c r="C5003" t="s">
        <v>40</v>
      </c>
      <c r="D5003">
        <v>5.635459</v>
      </c>
      <c r="E5003">
        <v>0.49613689999999999</v>
      </c>
      <c r="F5003" t="s">
        <v>59</v>
      </c>
      <c r="G5003">
        <v>-294.77719999999999</v>
      </c>
      <c r="H5003" s="1">
        <v>-9.1847009999999997E-6</v>
      </c>
      <c r="I5003">
        <v>142.19200000000001</v>
      </c>
      <c r="J5003">
        <v>-276.07279999999997</v>
      </c>
      <c r="K5003">
        <v>1.1210850000000001</v>
      </c>
      <c r="L5003">
        <v>141.36709999999999</v>
      </c>
      <c r="M5003">
        <v>-0.99958939999999996</v>
      </c>
      <c r="N5003">
        <v>-1.43304E-2</v>
      </c>
      <c r="O5003">
        <v>2.481597E-2</v>
      </c>
      <c r="P5003">
        <v>-0.9956393</v>
      </c>
      <c r="Q5003">
        <v>-9.0324160000000001E-2</v>
      </c>
      <c r="R5003">
        <v>2.332878E-2</v>
      </c>
      <c r="S5003">
        <v>-2.9939879999999999</v>
      </c>
      <c r="T5003">
        <v>-0.1774135</v>
      </c>
      <c r="U5003">
        <v>0.13134770000000001</v>
      </c>
      <c r="V5003">
        <v>-1.3591549999999999E-3</v>
      </c>
      <c r="W5003">
        <v>-7.6043609999999998E-2</v>
      </c>
      <c r="X5003">
        <v>0.99710359999999998</v>
      </c>
      <c r="Y5003">
        <v>1.9003760000000001E-2</v>
      </c>
      <c r="Z5003">
        <v>-4.1422190000000003E-4</v>
      </c>
      <c r="AA5003">
        <v>0.99981929999999997</v>
      </c>
      <c r="AB5003">
        <v>23</v>
      </c>
      <c r="AC5003">
        <v>-18.7044</v>
      </c>
      <c r="AD5003">
        <v>-1.1210941847010001</v>
      </c>
      <c r="AE5003">
        <v>0.82490000000001296</v>
      </c>
      <c r="AF5003">
        <v>0.35914273340668901</v>
      </c>
      <c r="AG5003">
        <v>-1.1210941847010001</v>
      </c>
      <c r="AH5003">
        <v>18.652233287360399</v>
      </c>
      <c r="AI5003">
        <v>93.438994112388897</v>
      </c>
      <c r="AJ5003">
        <v>88.896924558726695</v>
      </c>
      <c r="AK5003">
        <v>18.689345688922501</v>
      </c>
      <c r="AL5003">
        <v>94.361187862420294</v>
      </c>
      <c r="AM5003">
        <v>90.078100005829796</v>
      </c>
      <c r="AN5003">
        <v>1.0000000335285499</v>
      </c>
    </row>
    <row r="5004" spans="1:40" x14ac:dyDescent="0.25">
      <c r="A5004" t="str">
        <f>"20190303154909200"</f>
        <v>20190303154909200</v>
      </c>
      <c r="B5004" t="str">
        <f>"1551599349195903"</f>
        <v>1551599349195903</v>
      </c>
      <c r="C5004" t="s">
        <v>40</v>
      </c>
      <c r="D5004">
        <v>5.7344080000000002</v>
      </c>
      <c r="E5004">
        <v>0.49428670000000002</v>
      </c>
      <c r="F5004" t="s">
        <v>59</v>
      </c>
      <c r="G5004">
        <v>-288.62709999999998</v>
      </c>
      <c r="H5004" s="1">
        <v>-8.7203780000000002E-6</v>
      </c>
      <c r="I5004">
        <v>141.53219999999999</v>
      </c>
      <c r="J5004">
        <v>-276.31229999999999</v>
      </c>
      <c r="K5004">
        <v>1.1210439999999999</v>
      </c>
      <c r="L5004">
        <v>141.37270000000001</v>
      </c>
      <c r="M5004">
        <v>-0.99959989999999999</v>
      </c>
      <c r="N5004">
        <v>-1.404937E-2</v>
      </c>
      <c r="O5004">
        <v>2.4551130000000001E-2</v>
      </c>
      <c r="P5004">
        <v>-0.99570190000000003</v>
      </c>
      <c r="Q5004">
        <v>-9.0112810000000002E-2</v>
      </c>
      <c r="R5004">
        <v>2.1393519999999999E-2</v>
      </c>
      <c r="S5004">
        <v>-2.9880070000000001</v>
      </c>
      <c r="T5004">
        <v>-0.26682810000000001</v>
      </c>
      <c r="U5004">
        <v>3.9291380000000001E-2</v>
      </c>
      <c r="V5004">
        <v>-3.0289380000000001E-3</v>
      </c>
      <c r="W5004">
        <v>-7.6113029999999998E-2</v>
      </c>
      <c r="X5004">
        <v>0.99709460000000005</v>
      </c>
      <c r="Y5004">
        <v>-1.128551E-2</v>
      </c>
      <c r="Z5004">
        <v>-2.4256550000000001E-3</v>
      </c>
      <c r="AA5004">
        <v>0.99993339999999997</v>
      </c>
      <c r="AB5004">
        <v>23</v>
      </c>
      <c r="AC5004">
        <v>-12.3147999999999</v>
      </c>
      <c r="AD5004">
        <v>-1.1210527203780001</v>
      </c>
      <c r="AE5004">
        <v>0.15949999999997999</v>
      </c>
      <c r="AF5004">
        <v>-0.14174572036045999</v>
      </c>
      <c r="AG5004">
        <v>-1.1210527203780001</v>
      </c>
      <c r="AH5004">
        <v>12.2138047517603</v>
      </c>
      <c r="AI5004">
        <v>95.243888588620905</v>
      </c>
      <c r="AJ5004">
        <v>90.664908857199507</v>
      </c>
      <c r="AK5004">
        <v>12.265964192236501</v>
      </c>
      <c r="AL5004">
        <v>94.365177022770695</v>
      </c>
      <c r="AM5004">
        <v>90.174050516353802</v>
      </c>
      <c r="AN5004">
        <v>1.00000000457517</v>
      </c>
    </row>
    <row r="5005" spans="1:40" x14ac:dyDescent="0.25">
      <c r="A5005" t="str">
        <f>"20190303154909223"</f>
        <v>20190303154909223</v>
      </c>
      <c r="B5005" t="str">
        <f>"1551599349215422"</f>
        <v>1551599349215422</v>
      </c>
      <c r="C5005" t="s">
        <v>40</v>
      </c>
      <c r="D5005">
        <v>5.6149239999999896</v>
      </c>
      <c r="E5005">
        <v>0.49434929999999999</v>
      </c>
      <c r="F5005" t="s">
        <v>59</v>
      </c>
      <c r="G5005">
        <v>-287.9597</v>
      </c>
      <c r="H5005" s="1">
        <v>-8.2764889999999994E-6</v>
      </c>
      <c r="I5005">
        <v>141.44450000000001</v>
      </c>
      <c r="J5005">
        <v>-276.53399999999999</v>
      </c>
      <c r="K5005">
        <v>1.1209960000000001</v>
      </c>
      <c r="L5005">
        <v>141.37790000000001</v>
      </c>
      <c r="M5005">
        <v>-0.99961029999999995</v>
      </c>
      <c r="N5005">
        <v>-1.3753670000000001E-2</v>
      </c>
      <c r="O5005">
        <v>2.4292459999999998E-2</v>
      </c>
      <c r="P5005">
        <v>-0.99588869999999896</v>
      </c>
      <c r="Q5005">
        <v>-8.8506660000000001E-2</v>
      </c>
      <c r="R5005">
        <v>1.9293870000000001E-2</v>
      </c>
      <c r="S5005">
        <v>-2.9865110000000001</v>
      </c>
      <c r="T5005">
        <v>-0.2874506</v>
      </c>
      <c r="U5005">
        <v>1.8386840000000002E-2</v>
      </c>
      <c r="V5005">
        <v>-4.8760720000000004E-3</v>
      </c>
      <c r="W5005">
        <v>-7.4800790000000006E-2</v>
      </c>
      <c r="X5005">
        <v>0.99718660000000003</v>
      </c>
      <c r="Y5005">
        <v>-1.7962240000000001E-2</v>
      </c>
      <c r="Z5005">
        <v>-2.985302E-3</v>
      </c>
      <c r="AA5005">
        <v>0.99983420000000001</v>
      </c>
      <c r="AB5005">
        <v>23</v>
      </c>
      <c r="AC5005">
        <v>-11.425700000000001</v>
      </c>
      <c r="AD5005">
        <v>-1.12100427648899</v>
      </c>
      <c r="AE5005">
        <v>6.6599999999993997E-2</v>
      </c>
      <c r="AF5005">
        <v>-0.20899256007577199</v>
      </c>
      <c r="AG5005">
        <v>-1.12100427648899</v>
      </c>
      <c r="AH5005">
        <v>11.3150300645651</v>
      </c>
      <c r="AI5005">
        <v>95.656993774680302</v>
      </c>
      <c r="AJ5005">
        <v>91.058152753391099</v>
      </c>
      <c r="AK5005">
        <v>11.372345133704201</v>
      </c>
      <c r="AL5005">
        <v>94.289776154375502</v>
      </c>
      <c r="AM5005">
        <v>90.280164333885494</v>
      </c>
      <c r="AN5005">
        <v>1.00000002474116</v>
      </c>
    </row>
    <row r="5006" spans="1:40" x14ac:dyDescent="0.25">
      <c r="A5006" t="str">
        <f>"20190303154909244"</f>
        <v>20190303154909244</v>
      </c>
      <c r="B5006" t="str">
        <f>"1551599349235918"</f>
        <v>1551599349235918</v>
      </c>
      <c r="C5006" t="s">
        <v>40</v>
      </c>
      <c r="D5006">
        <v>5.6604859999999997</v>
      </c>
      <c r="E5006">
        <v>0.49230839999999998</v>
      </c>
      <c r="F5006" t="s">
        <v>42</v>
      </c>
      <c r="G5006">
        <v>-277.45400000000001</v>
      </c>
      <c r="H5006">
        <v>1.0338959999999999</v>
      </c>
      <c r="I5006">
        <v>141.3819</v>
      </c>
      <c r="J5006">
        <v>-276.75310000000002</v>
      </c>
      <c r="K5006">
        <v>1.1209530000000001</v>
      </c>
      <c r="L5006">
        <v>141.38290000000001</v>
      </c>
      <c r="M5006">
        <v>-0.99962059999999997</v>
      </c>
      <c r="N5006">
        <v>-1.346672E-2</v>
      </c>
      <c r="O5006">
        <v>2.40305E-2</v>
      </c>
      <c r="P5006">
        <v>-0.99617650000000002</v>
      </c>
      <c r="Q5006">
        <v>-8.5540669999999999E-2</v>
      </c>
      <c r="R5006">
        <v>1.775817E-2</v>
      </c>
      <c r="S5006">
        <v>-2.9870000000000001</v>
      </c>
      <c r="T5006">
        <v>-0.28284530000000002</v>
      </c>
      <c r="U5006">
        <v>1.2573239999999999E-2</v>
      </c>
      <c r="V5006">
        <v>-6.1592239999999996E-3</v>
      </c>
      <c r="W5006">
        <v>-7.2118249999999995E-2</v>
      </c>
      <c r="X5006">
        <v>0.99737710000000002</v>
      </c>
      <c r="Y5006">
        <v>-1.96449E-2</v>
      </c>
      <c r="Z5006">
        <v>-3.0078330000000001E-3</v>
      </c>
      <c r="AA5006">
        <v>0.99980250000000004</v>
      </c>
      <c r="AB5006">
        <v>23</v>
      </c>
      <c r="AC5006">
        <v>-0.70089999999998998</v>
      </c>
      <c r="AD5006">
        <v>-8.7057000000000107E-2</v>
      </c>
      <c r="AE5006">
        <v>-1.0000000000047701E-3</v>
      </c>
      <c r="AF5006">
        <v>-1.75731063586116E-2</v>
      </c>
      <c r="AG5006">
        <v>-8.7057000000000107E-2</v>
      </c>
      <c r="AH5006">
        <v>0.69002814812137903</v>
      </c>
      <c r="AI5006">
        <v>97.188390412293401</v>
      </c>
      <c r="AJ5006">
        <v>91.458849522698102</v>
      </c>
      <c r="AK5006">
        <v>0.695720188377419</v>
      </c>
      <c r="AL5006">
        <v>94.135661486837705</v>
      </c>
      <c r="AM5006">
        <v>90.353821091706095</v>
      </c>
      <c r="AN5006">
        <v>1.00000002881387</v>
      </c>
    </row>
    <row r="5007" spans="1:40" x14ac:dyDescent="0.25">
      <c r="A5007" t="str">
        <f>"20190303154909267"</f>
        <v>20190303154909267</v>
      </c>
      <c r="B5007" t="str">
        <f>"1551599349255437"</f>
        <v>1551599349255437</v>
      </c>
      <c r="C5007" t="s">
        <v>40</v>
      </c>
      <c r="D5007">
        <v>5.6282759999999996</v>
      </c>
      <c r="E5007">
        <v>0.49010740000000003</v>
      </c>
      <c r="F5007" t="s">
        <v>59</v>
      </c>
      <c r="G5007">
        <v>-289.2783</v>
      </c>
      <c r="H5007" s="1">
        <v>-9.0476910000000002E-6</v>
      </c>
      <c r="I5007">
        <v>141.34829999999999</v>
      </c>
      <c r="J5007">
        <v>-276.97489999999999</v>
      </c>
      <c r="K5007">
        <v>1.120916</v>
      </c>
      <c r="L5007">
        <v>141.3879</v>
      </c>
      <c r="M5007">
        <v>-0.99963060000000004</v>
      </c>
      <c r="N5007">
        <v>-1.3192000000000001E-2</v>
      </c>
      <c r="O5007">
        <v>2.3766639999999999E-2</v>
      </c>
      <c r="P5007">
        <v>-0.99640660000000003</v>
      </c>
      <c r="Q5007">
        <v>-8.3002980000000004E-2</v>
      </c>
      <c r="R5007">
        <v>1.6874810000000001E-2</v>
      </c>
      <c r="S5007">
        <v>-2.9887079999999999</v>
      </c>
      <c r="T5007">
        <v>-0.26747759999999998</v>
      </c>
      <c r="U5007">
        <v>-8.2550049999999993E-3</v>
      </c>
      <c r="V5007">
        <v>-6.7871429999999998E-3</v>
      </c>
      <c r="W5007">
        <v>-6.9852109999999995E-2</v>
      </c>
      <c r="X5007">
        <v>0.99753429999999998</v>
      </c>
      <c r="Y5007">
        <v>-2.6339999999999999E-2</v>
      </c>
      <c r="Z5007">
        <v>-3.1600669999999999E-3</v>
      </c>
      <c r="AA5007">
        <v>0.99964799999999998</v>
      </c>
      <c r="AB5007">
        <v>23</v>
      </c>
      <c r="AC5007">
        <v>-12.3034</v>
      </c>
      <c r="AD5007">
        <v>-1.120925047691</v>
      </c>
      <c r="AE5007">
        <v>-3.9600000000007102E-2</v>
      </c>
      <c r="AF5007">
        <v>-0.32929145958431999</v>
      </c>
      <c r="AG5007">
        <v>-1.120925047691</v>
      </c>
      <c r="AH5007">
        <v>12.197736915417201</v>
      </c>
      <c r="AI5007">
        <v>95.248613060797197</v>
      </c>
      <c r="AJ5007">
        <v>91.546387631969907</v>
      </c>
      <c r="AK5007">
        <v>12.2535583275075</v>
      </c>
      <c r="AL5007">
        <v>94.005492827871905</v>
      </c>
      <c r="AM5007">
        <v>90.389829851717593</v>
      </c>
      <c r="AN5007">
        <v>1.00000003112902</v>
      </c>
    </row>
    <row r="5008" spans="1:40" x14ac:dyDescent="0.25">
      <c r="A5008" t="str">
        <f>"20190303154909288"</f>
        <v>20190303154909288</v>
      </c>
      <c r="B5008" t="str">
        <f>"1551599349275934"</f>
        <v>1551599349275934</v>
      </c>
      <c r="C5008" t="s">
        <v>40</v>
      </c>
      <c r="D5008">
        <v>5.6346990000000003</v>
      </c>
      <c r="E5008">
        <v>0.4888285</v>
      </c>
      <c r="F5008" t="s">
        <v>59</v>
      </c>
      <c r="G5008">
        <v>-290.28280000000001</v>
      </c>
      <c r="H5008" s="1">
        <v>-9.3474729999999993E-6</v>
      </c>
      <c r="I5008">
        <v>141.26179999999999</v>
      </c>
      <c r="J5008">
        <v>-277.20209999999997</v>
      </c>
      <c r="K5008">
        <v>1.120876</v>
      </c>
      <c r="L5008">
        <v>141.3931</v>
      </c>
      <c r="M5008">
        <v>-0.99964010000000003</v>
      </c>
      <c r="N5008">
        <v>-1.293061E-2</v>
      </c>
      <c r="O5008">
        <v>2.3505709999999999E-2</v>
      </c>
      <c r="P5008">
        <v>-0.9965096</v>
      </c>
      <c r="Q5008">
        <v>-8.1844860000000005E-2</v>
      </c>
      <c r="R5008">
        <v>1.6431660000000001E-2</v>
      </c>
      <c r="S5008">
        <v>-2.990326</v>
      </c>
      <c r="T5008">
        <v>-0.25187359999999998</v>
      </c>
      <c r="U5008">
        <v>-2.835083E-2</v>
      </c>
      <c r="V5008">
        <v>-6.9740389999999996E-3</v>
      </c>
      <c r="W5008">
        <v>-6.8953600000000004E-2</v>
      </c>
      <c r="X5008">
        <v>0.99759549999999997</v>
      </c>
      <c r="Y5008">
        <v>-3.2790800000000002E-2</v>
      </c>
      <c r="Z5008">
        <v>-3.2636950000000001E-3</v>
      </c>
      <c r="AA5008">
        <v>0.99945689999999998</v>
      </c>
      <c r="AB5008">
        <v>23</v>
      </c>
      <c r="AC5008">
        <v>-13.0807</v>
      </c>
      <c r="AD5008">
        <v>-1.1208853474730001</v>
      </c>
      <c r="AE5008">
        <v>-0.13130000000000999</v>
      </c>
      <c r="AF5008">
        <v>-0.43556263965480702</v>
      </c>
      <c r="AG5008">
        <v>-1.1208853474730001</v>
      </c>
      <c r="AH5008">
        <v>12.9787084974281</v>
      </c>
      <c r="AI5008">
        <v>94.9332469083799</v>
      </c>
      <c r="AJ5008">
        <v>91.922112539972503</v>
      </c>
      <c r="AK5008">
        <v>13.034299867520801</v>
      </c>
      <c r="AL5008">
        <v>93.953887649891996</v>
      </c>
      <c r="AM5008">
        <v>90.400539589023793</v>
      </c>
      <c r="AN5008">
        <v>1.0000000088965899</v>
      </c>
    </row>
    <row r="5009" spans="1:40" x14ac:dyDescent="0.25">
      <c r="A5009" t="str">
        <f>"20190303154909313"</f>
        <v>20190303154909313</v>
      </c>
      <c r="B5009" t="str">
        <f>"1551599349306190"</f>
        <v>1551599349306190</v>
      </c>
      <c r="C5009" t="s">
        <v>40</v>
      </c>
      <c r="D5009">
        <v>5.5875149999999998</v>
      </c>
      <c r="E5009">
        <v>0.48760170000000003</v>
      </c>
      <c r="F5009" t="s">
        <v>59</v>
      </c>
      <c r="G5009">
        <v>-290.84620000000001</v>
      </c>
      <c r="H5009" s="1">
        <v>-9.2785529999999993E-6</v>
      </c>
      <c r="I5009">
        <v>141.2115</v>
      </c>
      <c r="J5009">
        <v>-277.45010000000002</v>
      </c>
      <c r="K5009">
        <v>1.1208469999999999</v>
      </c>
      <c r="L5009">
        <v>141.39850000000001</v>
      </c>
      <c r="M5009">
        <v>-0.99964980000000003</v>
      </c>
      <c r="N5009">
        <v>-1.2672060000000001E-2</v>
      </c>
      <c r="O5009">
        <v>2.3233940000000002E-2</v>
      </c>
      <c r="P5009">
        <v>-0.9964208</v>
      </c>
      <c r="Q5009">
        <v>-8.304491E-2</v>
      </c>
      <c r="R5009">
        <v>1.578386E-2</v>
      </c>
      <c r="S5009">
        <v>-2.9909970000000001</v>
      </c>
      <c r="T5009">
        <v>-0.2457145</v>
      </c>
      <c r="U5009">
        <v>-3.9794919999999998E-2</v>
      </c>
      <c r="V5009">
        <v>-7.3490830000000002E-3</v>
      </c>
      <c r="W5009">
        <v>-7.0412829999999996E-2</v>
      </c>
      <c r="X5009">
        <v>0.99749089999999996</v>
      </c>
      <c r="Y5009">
        <v>-3.6336569999999999E-2</v>
      </c>
      <c r="Z5009">
        <v>-3.3320110000000002E-3</v>
      </c>
      <c r="AA5009">
        <v>0.99933399999999994</v>
      </c>
      <c r="AB5009">
        <v>23</v>
      </c>
      <c r="AC5009">
        <v>-13.396099999999899</v>
      </c>
      <c r="AD5009">
        <v>-1.1208562785530001</v>
      </c>
      <c r="AE5009">
        <v>-0.18700000000001099</v>
      </c>
      <c r="AF5009">
        <v>-0.49475569587871299</v>
      </c>
      <c r="AG5009">
        <v>-1.1208562785530001</v>
      </c>
      <c r="AH5009">
        <v>13.295081032131399</v>
      </c>
      <c r="AI5009">
        <v>94.815669987232795</v>
      </c>
      <c r="AJ5009">
        <v>92.131189611610594</v>
      </c>
      <c r="AK5009">
        <v>13.3514149679618</v>
      </c>
      <c r="AL5009">
        <v>94.0376990003641</v>
      </c>
      <c r="AM5009">
        <v>90.422122969445596</v>
      </c>
      <c r="AN5009">
        <v>1.00000003561617</v>
      </c>
    </row>
    <row r="5010" spans="1:40" x14ac:dyDescent="0.25">
      <c r="A5010" t="str">
        <f>"20190303154909335"</f>
        <v>20190303154909335</v>
      </c>
      <c r="B5010" t="str">
        <f>"1551599349325711"</f>
        <v>1551599349325711</v>
      </c>
      <c r="C5010" t="s">
        <v>40</v>
      </c>
      <c r="D5010">
        <v>5.5570180000000002</v>
      </c>
      <c r="E5010">
        <v>0.48718050000000002</v>
      </c>
      <c r="F5010" t="s">
        <v>59</v>
      </c>
      <c r="G5010">
        <v>-291.00139999999999</v>
      </c>
      <c r="H5010" s="1">
        <v>-9.2506469999999994E-6</v>
      </c>
      <c r="I5010">
        <v>141.1651</v>
      </c>
      <c r="J5010">
        <v>-277.67509999999999</v>
      </c>
      <c r="K5010">
        <v>1.120817</v>
      </c>
      <c r="L5010">
        <v>141.40350000000001</v>
      </c>
      <c r="M5010">
        <v>-0.99965789999999999</v>
      </c>
      <c r="N5010">
        <v>-1.246397E-2</v>
      </c>
      <c r="O5010">
        <v>2.2996450000000002E-2</v>
      </c>
      <c r="P5010">
        <v>-0.99619369999999996</v>
      </c>
      <c r="Q5010">
        <v>-8.5568249999999998E-2</v>
      </c>
      <c r="R5010">
        <v>1.6623269999999999E-2</v>
      </c>
      <c r="S5010">
        <v>-2.9909669999999999</v>
      </c>
      <c r="T5010">
        <v>-0.2473899</v>
      </c>
      <c r="U5010">
        <v>-5.1528930000000001E-2</v>
      </c>
      <c r="V5010">
        <v>-6.2671879999999999E-3</v>
      </c>
      <c r="W5010">
        <v>-7.3145749999999995E-2</v>
      </c>
      <c r="X5010">
        <v>0.99730160000000001</v>
      </c>
      <c r="Y5010">
        <v>-4.0002040000000003E-2</v>
      </c>
      <c r="Z5010">
        <v>-3.5136690000000001E-3</v>
      </c>
      <c r="AA5010">
        <v>0.99919340000000001</v>
      </c>
      <c r="AB5010">
        <v>23</v>
      </c>
      <c r="AC5010">
        <v>-13.3263</v>
      </c>
      <c r="AD5010">
        <v>-1.1208262506469999</v>
      </c>
      <c r="AE5010">
        <v>-0.23840000000001199</v>
      </c>
      <c r="AF5010">
        <v>-0.54099263688517396</v>
      </c>
      <c r="AG5010">
        <v>-1.1208262506469999</v>
      </c>
      <c r="AH5010">
        <v>13.223779048855601</v>
      </c>
      <c r="AI5010">
        <v>94.840688913964001</v>
      </c>
      <c r="AJ5010">
        <v>92.342697901496294</v>
      </c>
      <c r="AK5010">
        <v>13.282215811010399</v>
      </c>
      <c r="AL5010">
        <v>94.194688799222604</v>
      </c>
      <c r="AM5010">
        <v>90.360050254742106</v>
      </c>
      <c r="AN5010">
        <v>1.0000000298755201</v>
      </c>
    </row>
    <row r="5011" spans="1:40" x14ac:dyDescent="0.25">
      <c r="A5011" t="str">
        <f>"20190303154909355"</f>
        <v>20190303154909355</v>
      </c>
      <c r="B5011" t="str">
        <f>"1551599349346206"</f>
        <v>1551599349346206</v>
      </c>
      <c r="C5011" t="s">
        <v>40</v>
      </c>
      <c r="D5011">
        <v>5.5630090000000001</v>
      </c>
      <c r="E5011">
        <v>0.48691000000000001</v>
      </c>
      <c r="F5011" t="s">
        <v>59</v>
      </c>
      <c r="G5011">
        <v>-290.87009999999998</v>
      </c>
      <c r="H5011" s="1">
        <v>-9.2655960000000006E-6</v>
      </c>
      <c r="I5011">
        <v>141.17269999999999</v>
      </c>
      <c r="J5011">
        <v>-277.88299999999998</v>
      </c>
      <c r="K5011">
        <v>1.1208020000000001</v>
      </c>
      <c r="L5011">
        <v>141.40799999999999</v>
      </c>
      <c r="M5011">
        <v>-0.99966500000000003</v>
      </c>
      <c r="N5011">
        <v>-1.2294029999999999E-2</v>
      </c>
      <c r="O5011">
        <v>2.278026E-2</v>
      </c>
      <c r="P5011">
        <v>-0.99610719999999997</v>
      </c>
      <c r="Q5011">
        <v>-8.6354459999999994E-2</v>
      </c>
      <c r="R5011">
        <v>1.7705439999999999E-2</v>
      </c>
      <c r="S5011">
        <v>-2.9904790000000001</v>
      </c>
      <c r="T5011">
        <v>-0.25402150000000001</v>
      </c>
      <c r="U5011">
        <v>-5.230713E-2</v>
      </c>
      <c r="V5011">
        <v>-4.9676269999999996E-3</v>
      </c>
      <c r="W5011">
        <v>-7.4101669999999994E-2</v>
      </c>
      <c r="X5011">
        <v>0.99723830000000002</v>
      </c>
      <c r="Y5011">
        <v>-4.0037429999999999E-2</v>
      </c>
      <c r="Z5011">
        <v>-3.5956730000000002E-3</v>
      </c>
      <c r="AA5011">
        <v>0.99919170000000002</v>
      </c>
      <c r="AB5011">
        <v>23</v>
      </c>
      <c r="AC5011">
        <v>-12.9870999999999</v>
      </c>
      <c r="AD5011">
        <v>-1.1208112655959901</v>
      </c>
      <c r="AE5011">
        <v>-0.23529999999999501</v>
      </c>
      <c r="AF5011">
        <v>-0.52718557741848204</v>
      </c>
      <c r="AG5011">
        <v>-1.1208112655959901</v>
      </c>
      <c r="AH5011">
        <v>12.8824514697771</v>
      </c>
      <c r="AI5011">
        <v>94.968243316874293</v>
      </c>
      <c r="AJ5011">
        <v>92.343394357019093</v>
      </c>
      <c r="AK5011">
        <v>12.9418583826778</v>
      </c>
      <c r="AL5011">
        <v>94.249608235497007</v>
      </c>
      <c r="AM5011">
        <v>90.285409923678202</v>
      </c>
      <c r="AN5011">
        <v>0.99999998090084496</v>
      </c>
    </row>
    <row r="5012" spans="1:40" x14ac:dyDescent="0.25">
      <c r="A5012" t="str">
        <f>"20190303154909377"</f>
        <v>20190303154909377</v>
      </c>
      <c r="B5012" t="str">
        <f>"1551599349365726"</f>
        <v>1551599349365726</v>
      </c>
      <c r="C5012" t="s">
        <v>40</v>
      </c>
      <c r="D5012">
        <v>5.5214939999999997</v>
      </c>
      <c r="E5012">
        <v>0.48675429999999997</v>
      </c>
      <c r="F5012" t="s">
        <v>59</v>
      </c>
      <c r="G5012">
        <v>-290.9871</v>
      </c>
      <c r="H5012" s="1">
        <v>-9.2571070000000007E-6</v>
      </c>
      <c r="I5012">
        <v>141.18360000000001</v>
      </c>
      <c r="J5012">
        <v>-278.10669999999999</v>
      </c>
      <c r="K5012">
        <v>1.1207910000000001</v>
      </c>
      <c r="L5012">
        <v>141.4128</v>
      </c>
      <c r="M5012">
        <v>-0.99967220000000001</v>
      </c>
      <c r="N5012">
        <v>-1.2131919999999999E-2</v>
      </c>
      <c r="O5012">
        <v>2.254768E-2</v>
      </c>
      <c r="P5012">
        <v>-0.99607369999999995</v>
      </c>
      <c r="Q5012">
        <v>-8.637309E-2</v>
      </c>
      <c r="R5012">
        <v>1.9411979999999999E-2</v>
      </c>
      <c r="S5012">
        <v>-2.9904169999999999</v>
      </c>
      <c r="T5012">
        <v>-0.25577430000000001</v>
      </c>
      <c r="U5012">
        <v>-5.1223749999999998E-2</v>
      </c>
      <c r="V5012">
        <v>-3.0293579999999998E-3</v>
      </c>
      <c r="W5012">
        <v>-7.4281239999999998E-2</v>
      </c>
      <c r="X5012">
        <v>0.99723269999999997</v>
      </c>
      <c r="Y5012">
        <v>-3.944338E-2</v>
      </c>
      <c r="Z5012">
        <v>-3.575146E-3</v>
      </c>
      <c r="AA5012">
        <v>0.99921539999999998</v>
      </c>
      <c r="AB5012">
        <v>23</v>
      </c>
      <c r="AC5012">
        <v>-12.8804</v>
      </c>
      <c r="AD5012">
        <v>-1.1208002571069999</v>
      </c>
      <c r="AE5012">
        <v>-0.22919999999999099</v>
      </c>
      <c r="AF5012">
        <v>-0.51568282259336495</v>
      </c>
      <c r="AG5012">
        <v>-1.1208002571069999</v>
      </c>
      <c r="AH5012">
        <v>12.7752558566915</v>
      </c>
      <c r="AI5012">
        <v>95.009783668796899</v>
      </c>
      <c r="AJ5012">
        <v>92.311532363905201</v>
      </c>
      <c r="AK5012">
        <v>12.8346906543859</v>
      </c>
      <c r="AL5012">
        <v>94.259925324118697</v>
      </c>
      <c r="AM5012">
        <v>90.174050544207802</v>
      </c>
      <c r="AN5012">
        <v>0.99999996878755903</v>
      </c>
    </row>
    <row r="5013" spans="1:40" x14ac:dyDescent="0.25">
      <c r="A5013" t="str">
        <f>"20190303154909401"</f>
        <v>20190303154909401</v>
      </c>
      <c r="B5013" t="str">
        <f>"1551599349395982"</f>
        <v>1551599349395982</v>
      </c>
      <c r="C5013" t="s">
        <v>40</v>
      </c>
      <c r="D5013">
        <v>5.5068299999999999</v>
      </c>
      <c r="E5013">
        <v>0.4865469</v>
      </c>
      <c r="F5013" t="s">
        <v>59</v>
      </c>
      <c r="G5013">
        <v>-291.2765</v>
      </c>
      <c r="H5013" s="1">
        <v>-9.2344230000000005E-6</v>
      </c>
      <c r="I5013">
        <v>141.20419999999999</v>
      </c>
      <c r="J5013">
        <v>-278.35090000000002</v>
      </c>
      <c r="K5013">
        <v>1.1207879999999999</v>
      </c>
      <c r="L5013">
        <v>141.41810000000001</v>
      </c>
      <c r="M5013">
        <v>-0.99967989999999995</v>
      </c>
      <c r="N5013">
        <v>-1.1977369999999999E-2</v>
      </c>
      <c r="O5013">
        <v>2.2292340000000001E-2</v>
      </c>
      <c r="P5013">
        <v>-0.99609049999999999</v>
      </c>
      <c r="Q5013">
        <v>-8.6032880000000006E-2</v>
      </c>
      <c r="R5013">
        <v>2.0056879999999999E-2</v>
      </c>
      <c r="S5013">
        <v>-2.990631</v>
      </c>
      <c r="T5013">
        <v>-0.2545134</v>
      </c>
      <c r="U5013">
        <v>-4.7378539999999997E-2</v>
      </c>
      <c r="V5013">
        <v>-2.1306580000000001E-3</v>
      </c>
      <c r="W5013">
        <v>-7.4094499999999994E-2</v>
      </c>
      <c r="X5013">
        <v>0.99724889999999999</v>
      </c>
      <c r="Y5013">
        <v>-3.7911680000000003E-2</v>
      </c>
      <c r="Z5013">
        <v>-3.4647240000000002E-3</v>
      </c>
      <c r="AA5013">
        <v>0.99927509999999997</v>
      </c>
      <c r="AB5013">
        <v>23</v>
      </c>
      <c r="AC5013">
        <v>-12.9255999999999</v>
      </c>
      <c r="AD5013">
        <v>-1.1207972344229999</v>
      </c>
      <c r="AE5013">
        <v>-0.21390000000002299</v>
      </c>
      <c r="AF5013">
        <v>-0.49826397564610098</v>
      </c>
      <c r="AG5013">
        <v>-1.1207972344229999</v>
      </c>
      <c r="AH5013">
        <v>12.8212438939821</v>
      </c>
      <c r="AI5013">
        <v>94.992187163253007</v>
      </c>
      <c r="AJ5013">
        <v>92.225530070004595</v>
      </c>
      <c r="AK5013">
        <v>12.8797806044625</v>
      </c>
      <c r="AL5013">
        <v>94.249196417066798</v>
      </c>
      <c r="AM5013">
        <v>90.122414299211997</v>
      </c>
      <c r="AN5013">
        <v>0.999999951592485</v>
      </c>
    </row>
    <row r="5014" spans="1:40" x14ac:dyDescent="0.25">
      <c r="A5014" t="str">
        <f>"20190303154909423"</f>
        <v>20190303154909423</v>
      </c>
      <c r="B5014" t="str">
        <f>"1551599349415502"</f>
        <v>1551599349415502</v>
      </c>
      <c r="C5014" t="s">
        <v>40</v>
      </c>
      <c r="D5014">
        <v>5.4684030000000003</v>
      </c>
      <c r="E5014">
        <v>0.48637180000000002</v>
      </c>
      <c r="F5014" t="s">
        <v>59</v>
      </c>
      <c r="G5014">
        <v>-291.67450000000002</v>
      </c>
      <c r="H5014" s="1">
        <v>-9.1979030000000004E-6</v>
      </c>
      <c r="I5014">
        <v>141.20859999999999</v>
      </c>
      <c r="J5014">
        <v>-278.56909999999999</v>
      </c>
      <c r="K5014">
        <v>1.1207860000000001</v>
      </c>
      <c r="L5014">
        <v>141.42259999999999</v>
      </c>
      <c r="M5014">
        <v>-0.99968619999999997</v>
      </c>
      <c r="N5014">
        <v>-1.185809E-2</v>
      </c>
      <c r="O5014">
        <v>2.206352E-2</v>
      </c>
      <c r="P5014">
        <v>-0.99614259999999999</v>
      </c>
      <c r="Q5014">
        <v>-8.5374240000000004E-2</v>
      </c>
      <c r="R5014">
        <v>2.0273360000000001E-2</v>
      </c>
      <c r="S5014">
        <v>-2.9910580000000002</v>
      </c>
      <c r="T5014">
        <v>-0.25161090000000003</v>
      </c>
      <c r="U5014">
        <v>-4.7027590000000001E-2</v>
      </c>
      <c r="V5014">
        <v>-1.6875359999999999E-3</v>
      </c>
      <c r="W5014">
        <v>-7.3554019999999998E-2</v>
      </c>
      <c r="X5014">
        <v>0.9972898</v>
      </c>
      <c r="Y5014">
        <v>-3.7570359999999997E-2</v>
      </c>
      <c r="Z5014">
        <v>-3.391926E-3</v>
      </c>
      <c r="AA5014">
        <v>0.99928819999999996</v>
      </c>
      <c r="AB5014">
        <v>23</v>
      </c>
      <c r="AC5014">
        <v>-13.105399999999999</v>
      </c>
      <c r="AD5014">
        <v>-1.120795197903</v>
      </c>
      <c r="AE5014">
        <v>-0.213999999999998</v>
      </c>
      <c r="AF5014">
        <v>-0.49946739264978202</v>
      </c>
      <c r="AG5014">
        <v>-1.120795197903</v>
      </c>
      <c r="AH5014">
        <v>13.002413742182499</v>
      </c>
      <c r="AI5014">
        <v>94.923048436784498</v>
      </c>
      <c r="AJ5014">
        <v>92.199846179538696</v>
      </c>
      <c r="AK5014">
        <v>13.0601842511835</v>
      </c>
      <c r="AL5014">
        <v>94.218144283029901</v>
      </c>
      <c r="AM5014">
        <v>90.096951355859005</v>
      </c>
      <c r="AN5014">
        <v>0.99999999340997503</v>
      </c>
    </row>
    <row r="5015" spans="1:40" x14ac:dyDescent="0.25">
      <c r="A5015" t="str">
        <f>"20190303154909445"</f>
        <v>20190303154909445</v>
      </c>
      <c r="B5015" t="str">
        <f>"1551599349435997"</f>
        <v>1551599349435997</v>
      </c>
      <c r="C5015" t="s">
        <v>40</v>
      </c>
      <c r="D5015">
        <v>5.4558600000000004</v>
      </c>
      <c r="E5015">
        <v>0.48633880000000002</v>
      </c>
      <c r="F5015" t="s">
        <v>59</v>
      </c>
      <c r="G5015">
        <v>-292.06990000000002</v>
      </c>
      <c r="H5015" s="1">
        <v>-9.1627880000000003E-6</v>
      </c>
      <c r="I5015">
        <v>141.2071</v>
      </c>
      <c r="J5015">
        <v>-278.79880000000003</v>
      </c>
      <c r="K5015">
        <v>1.120787</v>
      </c>
      <c r="L5015">
        <v>141.42740000000001</v>
      </c>
      <c r="M5015">
        <v>-0.99969280000000005</v>
      </c>
      <c r="N5015">
        <v>-1.1748750000000001E-2</v>
      </c>
      <c r="O5015">
        <v>2.1823660000000002E-2</v>
      </c>
      <c r="P5015">
        <v>-0.99618949999999995</v>
      </c>
      <c r="Q5015">
        <v>-8.471273E-2</v>
      </c>
      <c r="R5015">
        <v>2.0748860000000001E-2</v>
      </c>
      <c r="S5015">
        <v>-2.991241</v>
      </c>
      <c r="T5015">
        <v>-0.2483226</v>
      </c>
      <c r="U5015">
        <v>-4.7744750000000002E-2</v>
      </c>
      <c r="V5015">
        <v>-9.7425810000000002E-4</v>
      </c>
      <c r="W5015">
        <v>-7.3000679999999998E-2</v>
      </c>
      <c r="X5015">
        <v>0.99733139999999998</v>
      </c>
      <c r="Y5015">
        <v>-3.7575160000000003E-2</v>
      </c>
      <c r="Z5015">
        <v>-3.330539E-3</v>
      </c>
      <c r="AA5015">
        <v>0.99928830000000002</v>
      </c>
      <c r="AB5015">
        <v>23</v>
      </c>
      <c r="AC5015">
        <v>-13.271099999999899</v>
      </c>
      <c r="AD5015">
        <v>-1.1207961627880001</v>
      </c>
      <c r="AE5015">
        <v>-0.22030000000000799</v>
      </c>
      <c r="AF5015">
        <v>-0.50628145221717302</v>
      </c>
      <c r="AG5015">
        <v>-1.1207961627880001</v>
      </c>
      <c r="AH5015">
        <v>13.1692276440914</v>
      </c>
      <c r="AI5015">
        <v>94.860987595982806</v>
      </c>
      <c r="AJ5015">
        <v>92.201610686034897</v>
      </c>
      <c r="AK5015">
        <v>13.226528708972801</v>
      </c>
      <c r="AL5015">
        <v>94.186354808401802</v>
      </c>
      <c r="AM5015">
        <v>90.055970221663998</v>
      </c>
      <c r="AN5015">
        <v>0.99999998494263298</v>
      </c>
    </row>
    <row r="5016" spans="1:40" x14ac:dyDescent="0.25">
      <c r="A5016" t="str">
        <f>"20190303154909459"</f>
        <v>20190303154909459</v>
      </c>
      <c r="B5016" t="str">
        <f>"1551599349455519"</f>
        <v>1551599349455519</v>
      </c>
      <c r="C5016" t="s">
        <v>40</v>
      </c>
      <c r="D5016">
        <v>5.4679609999999998</v>
      </c>
      <c r="E5016">
        <v>0.486288</v>
      </c>
      <c r="F5016" t="s">
        <v>59</v>
      </c>
      <c r="G5016">
        <v>-292.46030000000002</v>
      </c>
      <c r="H5016" s="1">
        <v>-9.1305660000000006E-6</v>
      </c>
      <c r="I5016">
        <v>141.215</v>
      </c>
      <c r="J5016">
        <v>-278.9409</v>
      </c>
      <c r="K5016">
        <v>1.120789</v>
      </c>
      <c r="L5016">
        <v>141.43039999999999</v>
      </c>
      <c r="M5016">
        <v>-0.99969669999999999</v>
      </c>
      <c r="N5016">
        <v>-1.168743E-2</v>
      </c>
      <c r="O5016">
        <v>2.1677310000000002E-2</v>
      </c>
      <c r="P5016">
        <v>-0.99617849999999997</v>
      </c>
      <c r="Q5016">
        <v>-8.4763999999999895E-2</v>
      </c>
      <c r="R5016">
        <v>2.1058460000000001E-2</v>
      </c>
      <c r="S5016">
        <v>-2.9915769999999999</v>
      </c>
      <c r="T5016">
        <v>-0.24543019999999999</v>
      </c>
      <c r="U5016">
        <v>-4.6524049999999997E-2</v>
      </c>
      <c r="V5016">
        <v>-5.191382E-4</v>
      </c>
      <c r="W5016">
        <v>-7.3112990000000003E-2</v>
      </c>
      <c r="X5016">
        <v>0.99732350000000003</v>
      </c>
      <c r="Y5016">
        <v>-3.7026610000000001E-2</v>
      </c>
      <c r="Z5016">
        <v>-3.2553199999999999E-3</v>
      </c>
      <c r="AA5016">
        <v>0.999309</v>
      </c>
      <c r="AB5016">
        <v>23</v>
      </c>
      <c r="AC5016">
        <v>-13.519399999999999</v>
      </c>
      <c r="AD5016">
        <v>-1.120798130566</v>
      </c>
      <c r="AE5016">
        <v>-0.21539999999998799</v>
      </c>
      <c r="AF5016">
        <v>-0.50496393642289805</v>
      </c>
      <c r="AG5016">
        <v>-1.120798130566</v>
      </c>
      <c r="AH5016">
        <v>13.419346751163699</v>
      </c>
      <c r="AI5016">
        <v>94.770962566296106</v>
      </c>
      <c r="AJ5016">
        <v>92.154997453229697</v>
      </c>
      <c r="AK5016">
        <v>13.4755350266524</v>
      </c>
      <c r="AL5016">
        <v>94.192806996608397</v>
      </c>
      <c r="AM5016">
        <v>90.029824249762001</v>
      </c>
      <c r="AN5016">
        <v>0.99999997123173001</v>
      </c>
    </row>
    <row r="5017" spans="1:40" x14ac:dyDescent="0.25">
      <c r="A5017" t="str">
        <f>"20190303154909479"</f>
        <v>20190303154909479</v>
      </c>
      <c r="B5017" t="str">
        <f>"1551599349476015"</f>
        <v>1551599349476015</v>
      </c>
      <c r="C5017" t="s">
        <v>40</v>
      </c>
      <c r="D5017">
        <v>5.4644269999999997</v>
      </c>
      <c r="E5017">
        <v>0.48617660000000001</v>
      </c>
      <c r="F5017" t="s">
        <v>59</v>
      </c>
      <c r="G5017">
        <v>-292.66180000000003</v>
      </c>
      <c r="H5017" s="1">
        <v>-9.1138980000000005E-6</v>
      </c>
      <c r="I5017">
        <v>141.21889999999999</v>
      </c>
      <c r="J5017">
        <v>-279.14569999999998</v>
      </c>
      <c r="K5017">
        <v>1.120784</v>
      </c>
      <c r="L5017">
        <v>141.43459999999999</v>
      </c>
      <c r="M5017">
        <v>-0.99970199999999998</v>
      </c>
      <c r="N5017">
        <v>-1.160972E-2</v>
      </c>
      <c r="O5017">
        <v>2.1473590000000001E-2</v>
      </c>
      <c r="P5017">
        <v>-0.99615690000000001</v>
      </c>
      <c r="Q5017">
        <v>-8.4999340000000007E-2</v>
      </c>
      <c r="R5017">
        <v>2.1128149999999998E-2</v>
      </c>
      <c r="S5017">
        <v>-2.9916990000000001</v>
      </c>
      <c r="T5017">
        <v>-0.2443777</v>
      </c>
      <c r="U5017">
        <v>-4.6112060000000003E-2</v>
      </c>
      <c r="V5017">
        <v>-2.4663609999999998E-4</v>
      </c>
      <c r="W5017">
        <v>-7.3426000000000005E-2</v>
      </c>
      <c r="X5017">
        <v>0.99730059999999998</v>
      </c>
      <c r="Y5017">
        <v>-3.6688220000000001E-2</v>
      </c>
      <c r="Z5017">
        <v>-3.2113409999999999E-3</v>
      </c>
      <c r="AA5017">
        <v>0.99932160000000003</v>
      </c>
      <c r="AB5017">
        <v>23</v>
      </c>
      <c r="AC5017">
        <v>-13.5161</v>
      </c>
      <c r="AD5017">
        <v>-1.1207931138980001</v>
      </c>
      <c r="AE5017">
        <v>-0.215699999999998</v>
      </c>
      <c r="AF5017">
        <v>-0.50245491192508795</v>
      </c>
      <c r="AG5017">
        <v>-1.1207931138980001</v>
      </c>
      <c r="AH5017">
        <v>13.416122445610799</v>
      </c>
      <c r="AI5017">
        <v>94.772114310256995</v>
      </c>
      <c r="AJ5017">
        <v>92.144814754085601</v>
      </c>
      <c r="AK5017">
        <v>13.472229942303599</v>
      </c>
      <c r="AL5017">
        <v>94.210789519558304</v>
      </c>
      <c r="AM5017">
        <v>90.014169456347901</v>
      </c>
      <c r="AN5017">
        <v>0.99999996253286205</v>
      </c>
    </row>
    <row r="5018" spans="1:40" x14ac:dyDescent="0.25">
      <c r="A5018" t="str">
        <f>"20190303154909502"</f>
        <v>20190303154909502</v>
      </c>
      <c r="B5018" t="str">
        <f>"1551599349495534"</f>
        <v>1551599349495534</v>
      </c>
      <c r="C5018" t="s">
        <v>40</v>
      </c>
      <c r="D5018">
        <v>5.402647</v>
      </c>
      <c r="E5018">
        <v>0.48614479999999999</v>
      </c>
      <c r="F5018" t="s">
        <v>59</v>
      </c>
      <c r="G5018">
        <v>-292.85719999999998</v>
      </c>
      <c r="H5018" s="1">
        <v>-9.0971550000000001E-6</v>
      </c>
      <c r="I5018">
        <v>141.22049999999999</v>
      </c>
      <c r="J5018">
        <v>-279.3734</v>
      </c>
      <c r="K5018">
        <v>1.120771</v>
      </c>
      <c r="L5018">
        <v>141.4392</v>
      </c>
      <c r="M5018">
        <v>-0.99970729999999997</v>
      </c>
      <c r="N5018">
        <v>-1.153472E-2</v>
      </c>
      <c r="O5018">
        <v>2.1269969999999999E-2</v>
      </c>
      <c r="P5018">
        <v>-0.99612900000000004</v>
      </c>
      <c r="Q5018">
        <v>-8.5608660000000003E-2</v>
      </c>
      <c r="R5018">
        <v>1.9953329999999998E-2</v>
      </c>
      <c r="S5018">
        <v>-2.9916689999999999</v>
      </c>
      <c r="T5018">
        <v>-0.2445425</v>
      </c>
      <c r="U5018">
        <v>-4.6707150000000003E-2</v>
      </c>
      <c r="V5018">
        <v>-1.2195489999999999E-3</v>
      </c>
      <c r="W5018">
        <v>-7.411094E-2</v>
      </c>
      <c r="X5018">
        <v>0.99724919999999995</v>
      </c>
      <c r="Y5018">
        <v>-3.6683800000000003E-2</v>
      </c>
      <c r="Z5018">
        <v>-3.199309E-3</v>
      </c>
      <c r="AA5018">
        <v>0.99932180000000004</v>
      </c>
      <c r="AB5018">
        <v>23</v>
      </c>
      <c r="AC5018">
        <v>-13.483799999999899</v>
      </c>
      <c r="AD5018">
        <v>-1.1207800971549999</v>
      </c>
      <c r="AE5018">
        <v>-0.218700000000012</v>
      </c>
      <c r="AF5018">
        <v>-0.50200216927084096</v>
      </c>
      <c r="AG5018">
        <v>-1.1207800971549999</v>
      </c>
      <c r="AH5018">
        <v>13.383653523087</v>
      </c>
      <c r="AI5018">
        <v>94.783572400839304</v>
      </c>
      <c r="AJ5018">
        <v>92.148077748087999</v>
      </c>
      <c r="AK5018">
        <v>13.4398785645619</v>
      </c>
      <c r="AL5018">
        <v>94.250140994010096</v>
      </c>
      <c r="AM5018">
        <v>90.0700677180551</v>
      </c>
      <c r="AN5018">
        <v>0.99999994281404103</v>
      </c>
    </row>
    <row r="5019" spans="1:40" x14ac:dyDescent="0.25">
      <c r="A5019" t="str">
        <f>"20190303154909525"</f>
        <v>20190303154909525</v>
      </c>
      <c r="B5019" t="str">
        <f>"1551599349516030"</f>
        <v>1551599349516030</v>
      </c>
      <c r="C5019" t="s">
        <v>40</v>
      </c>
      <c r="D5019">
        <v>5.3543079999999996</v>
      </c>
      <c r="E5019">
        <v>0.48627530000000002</v>
      </c>
      <c r="F5019" t="s">
        <v>59</v>
      </c>
      <c r="G5019">
        <v>-292.96600000000001</v>
      </c>
      <c r="H5019" s="1">
        <v>-9.0847619999999992E-6</v>
      </c>
      <c r="I5019">
        <v>141.2097</v>
      </c>
      <c r="J5019">
        <v>-279.61250000000001</v>
      </c>
      <c r="K5019">
        <v>1.120743</v>
      </c>
      <c r="L5019">
        <v>141.44399999999999</v>
      </c>
      <c r="M5019">
        <v>-0.99971189999999999</v>
      </c>
      <c r="N5019">
        <v>-1.14676E-2</v>
      </c>
      <c r="O5019">
        <v>2.1093569999999999E-2</v>
      </c>
      <c r="P5019">
        <v>-0.99619800000000003</v>
      </c>
      <c r="Q5019">
        <v>-8.5222229999999996E-2</v>
      </c>
      <c r="R5019">
        <v>1.808448E-2</v>
      </c>
      <c r="S5019">
        <v>-2.9915159999999998</v>
      </c>
      <c r="T5019">
        <v>-0.24666679999999999</v>
      </c>
      <c r="U5019">
        <v>-5.0491330000000001E-2</v>
      </c>
      <c r="V5019">
        <v>-2.9181929999999999E-3</v>
      </c>
      <c r="W5019">
        <v>-7.379144E-2</v>
      </c>
      <c r="X5019">
        <v>0.99726950000000003</v>
      </c>
      <c r="Y5019">
        <v>-3.7764909999999999E-2</v>
      </c>
      <c r="Z5019">
        <v>-3.265848E-3</v>
      </c>
      <c r="AA5019">
        <v>0.99928130000000004</v>
      </c>
      <c r="AB5019">
        <v>23</v>
      </c>
      <c r="AC5019">
        <v>-13.353499999999899</v>
      </c>
      <c r="AD5019">
        <v>-1.1207520847620001</v>
      </c>
      <c r="AE5019">
        <v>-0.23429999999998999</v>
      </c>
      <c r="AF5019">
        <v>-0.51233149466692296</v>
      </c>
      <c r="AG5019">
        <v>-1.1207520847620001</v>
      </c>
      <c r="AH5019">
        <v>13.2522637211696</v>
      </c>
      <c r="AI5019">
        <v>94.830445199821995</v>
      </c>
      <c r="AJ5019">
        <v>92.213947880670105</v>
      </c>
      <c r="AK5019">
        <v>13.309435094374001</v>
      </c>
      <c r="AL5019">
        <v>94.231784172968602</v>
      </c>
      <c r="AM5019">
        <v>90.167657454166005</v>
      </c>
      <c r="AN5019">
        <v>1.0000000740489501</v>
      </c>
    </row>
    <row r="5020" spans="1:40" x14ac:dyDescent="0.25">
      <c r="A5020" t="str">
        <f>"20190303154909546"</f>
        <v>20190303154909546</v>
      </c>
      <c r="B5020" t="str">
        <f>"1551599349535550"</f>
        <v>1551599349535550</v>
      </c>
      <c r="C5020" t="s">
        <v>40</v>
      </c>
      <c r="D5020">
        <v>5.3865930000000004</v>
      </c>
      <c r="E5020">
        <v>0.48627579999999998</v>
      </c>
      <c r="F5020" t="s">
        <v>59</v>
      </c>
      <c r="G5020">
        <v>-293.45859999999999</v>
      </c>
      <c r="H5020" s="1">
        <v>-9.0360010000000006E-6</v>
      </c>
      <c r="I5020">
        <v>141.18889999999999</v>
      </c>
      <c r="J5020">
        <v>-279.81819999999999</v>
      </c>
      <c r="K5020">
        <v>1.120716</v>
      </c>
      <c r="L5020">
        <v>141.44820000000001</v>
      </c>
      <c r="M5020">
        <v>-0.99971509999999997</v>
      </c>
      <c r="N5020">
        <v>-1.1417450000000001E-2</v>
      </c>
      <c r="O5020">
        <v>2.096845E-2</v>
      </c>
      <c r="P5020">
        <v>-0.99633649999999996</v>
      </c>
      <c r="Q5020">
        <v>-8.4172090000000005E-2</v>
      </c>
      <c r="R5020">
        <v>1.5128330000000001E-2</v>
      </c>
      <c r="S5020">
        <v>-2.99173</v>
      </c>
      <c r="T5020">
        <v>-0.24216070000000001</v>
      </c>
      <c r="U5020">
        <v>-5.5114749999999997E-2</v>
      </c>
      <c r="V5020">
        <v>-5.75612E-3</v>
      </c>
      <c r="W5020">
        <v>-7.2790789999999994E-2</v>
      </c>
      <c r="X5020">
        <v>0.99733059999999996</v>
      </c>
      <c r="Y5020">
        <v>-3.9184620000000003E-2</v>
      </c>
      <c r="Z5020">
        <v>-3.2625530000000001E-3</v>
      </c>
      <c r="AA5020">
        <v>0.99922670000000002</v>
      </c>
      <c r="AB5020">
        <v>23</v>
      </c>
      <c r="AC5020">
        <v>-13.6404</v>
      </c>
      <c r="AD5020">
        <v>-1.1207250360009999</v>
      </c>
      <c r="AE5020">
        <v>-0.25930000000002401</v>
      </c>
      <c r="AF5020">
        <v>-0.54162464318878301</v>
      </c>
      <c r="AG5020">
        <v>-1.1207250360009999</v>
      </c>
      <c r="AH5020">
        <v>13.540588723239701</v>
      </c>
      <c r="AI5020">
        <v>94.727698723352404</v>
      </c>
      <c r="AJ5020">
        <v>92.290614665500996</v>
      </c>
      <c r="AK5020">
        <v>13.5976808622778</v>
      </c>
      <c r="AL5020">
        <v>94.174296943254902</v>
      </c>
      <c r="AM5020">
        <v>90.330680438855794</v>
      </c>
      <c r="AN5020">
        <v>0.99999997886131897</v>
      </c>
    </row>
    <row r="5021" spans="1:40" x14ac:dyDescent="0.25">
      <c r="A5021" t="str">
        <f>"20190303154909567"</f>
        <v>20190303154909567</v>
      </c>
      <c r="B5021" t="str">
        <f>"1551599349556046"</f>
        <v>1551599349556046</v>
      </c>
      <c r="C5021" t="s">
        <v>40</v>
      </c>
      <c r="D5021">
        <v>5.3092519999999999</v>
      </c>
      <c r="E5021">
        <v>0.48632110000000001</v>
      </c>
      <c r="F5021" t="s">
        <v>59</v>
      </c>
      <c r="G5021">
        <v>-293.94299999999998</v>
      </c>
      <c r="H5021" s="1">
        <v>-8.9821330000000002E-6</v>
      </c>
      <c r="I5021">
        <v>141.14599999999999</v>
      </c>
      <c r="J5021">
        <v>-280.0496</v>
      </c>
      <c r="K5021">
        <v>1.1206769999999999</v>
      </c>
      <c r="L5021">
        <v>141.4529</v>
      </c>
      <c r="M5021">
        <v>-0.99971770000000004</v>
      </c>
      <c r="N5021">
        <v>-1.1368959999999999E-2</v>
      </c>
      <c r="O5021">
        <v>2.086586E-2</v>
      </c>
      <c r="P5021">
        <v>-0.99640130000000005</v>
      </c>
      <c r="Q5021">
        <v>-8.3906220000000004E-2</v>
      </c>
      <c r="R5021">
        <v>1.2013360000000001E-2</v>
      </c>
      <c r="S5021">
        <v>-2.9919129999999998</v>
      </c>
      <c r="T5021">
        <v>-0.23739250000000001</v>
      </c>
      <c r="U5021">
        <v>-6.4010620000000004E-2</v>
      </c>
      <c r="V5021">
        <v>-8.7746339999999999E-3</v>
      </c>
      <c r="W5021">
        <v>-7.2573150000000003E-2</v>
      </c>
      <c r="X5021">
        <v>0.99732449999999995</v>
      </c>
      <c r="Y5021">
        <v>-4.2048219999999997E-2</v>
      </c>
      <c r="Z5021">
        <v>-3.320759E-3</v>
      </c>
      <c r="AA5021">
        <v>0.99911000000000005</v>
      </c>
      <c r="AB5021">
        <v>23</v>
      </c>
      <c r="AC5021">
        <v>-13.8933999999999</v>
      </c>
      <c r="AD5021">
        <v>-1.120685982133</v>
      </c>
      <c r="AE5021">
        <v>-0.30689999999998402</v>
      </c>
      <c r="AF5021">
        <v>-0.59289382158440496</v>
      </c>
      <c r="AG5021">
        <v>-1.120685982133</v>
      </c>
      <c r="AH5021">
        <v>13.794261367767</v>
      </c>
      <c r="AI5021">
        <v>94.640409465367398</v>
      </c>
      <c r="AJ5021">
        <v>92.461126203173293</v>
      </c>
      <c r="AK5021">
        <v>13.852404370234501</v>
      </c>
      <c r="AL5021">
        <v>94.161793902813599</v>
      </c>
      <c r="AM5021">
        <v>90.504085203282102</v>
      </c>
      <c r="AN5021">
        <v>1.0000000073015001</v>
      </c>
    </row>
    <row r="5022" spans="1:40" x14ac:dyDescent="0.25">
      <c r="A5022" t="str">
        <f>"20190303154909582"</f>
        <v>20190303154909582</v>
      </c>
      <c r="B5022" t="str">
        <f>"1551599349575566"</f>
        <v>1551599349575566</v>
      </c>
      <c r="C5022" t="s">
        <v>40</v>
      </c>
      <c r="D5022">
        <v>5.2987080000000004</v>
      </c>
      <c r="E5022">
        <v>0.48648989999999998</v>
      </c>
      <c r="F5022" t="s">
        <v>59</v>
      </c>
      <c r="G5022">
        <v>-294.24619999999999</v>
      </c>
      <c r="H5022" s="1">
        <v>-8.9451130000000007E-6</v>
      </c>
      <c r="I5022">
        <v>141.10659999999999</v>
      </c>
      <c r="J5022">
        <v>-280.19150000000002</v>
      </c>
      <c r="K5022">
        <v>1.120657</v>
      </c>
      <c r="L5022">
        <v>141.45580000000001</v>
      </c>
      <c r="M5022">
        <v>-0.99971909999999997</v>
      </c>
      <c r="N5022">
        <v>-1.134225E-2</v>
      </c>
      <c r="O5022">
        <v>2.0821449999999998E-2</v>
      </c>
      <c r="P5022">
        <v>-0.9963803</v>
      </c>
      <c r="Q5022">
        <v>-8.4388229999999995E-2</v>
      </c>
      <c r="R5022">
        <v>1.026446E-2</v>
      </c>
      <c r="S5022">
        <v>-2.9917910000000001</v>
      </c>
      <c r="T5022">
        <v>-0.23617170000000001</v>
      </c>
      <c r="U5022">
        <v>-7.2967530000000003E-2</v>
      </c>
      <c r="V5022">
        <v>-1.048197E-2</v>
      </c>
      <c r="W5022">
        <v>-7.3082090000000002E-2</v>
      </c>
      <c r="X5022">
        <v>0.99727080000000001</v>
      </c>
      <c r="Y5022">
        <v>-4.4985799999999999E-2</v>
      </c>
      <c r="Z5022">
        <v>-3.433232E-3</v>
      </c>
      <c r="AA5022">
        <v>0.99898169999999997</v>
      </c>
      <c r="AB5022">
        <v>23</v>
      </c>
      <c r="AC5022">
        <v>-14.054699999999899</v>
      </c>
      <c r="AD5022">
        <v>-1.1206659451129899</v>
      </c>
      <c r="AE5022">
        <v>-0.34920000000002399</v>
      </c>
      <c r="AF5022">
        <v>-0.63773019746971604</v>
      </c>
      <c r="AG5022">
        <v>-1.1206659451129899</v>
      </c>
      <c r="AH5022">
        <v>13.9557080391524</v>
      </c>
      <c r="AI5022">
        <v>94.586326809978701</v>
      </c>
      <c r="AJ5022">
        <v>92.616409490383603</v>
      </c>
      <c r="AK5022">
        <v>14.015148191844601</v>
      </c>
      <c r="AL5022">
        <v>94.1910318717065</v>
      </c>
      <c r="AM5022">
        <v>90.602194035546404</v>
      </c>
      <c r="AN5022">
        <v>0.99999995605324299</v>
      </c>
    </row>
    <row r="5023" spans="1:40" x14ac:dyDescent="0.25">
      <c r="A5023" t="str">
        <f>"20190303154909602"</f>
        <v>20190303154909602</v>
      </c>
      <c r="B5023" t="str">
        <f>"1551599349595432"</f>
        <v>1551599349595432</v>
      </c>
      <c r="C5023" t="s">
        <v>40</v>
      </c>
      <c r="D5023">
        <v>5.3873449999999998</v>
      </c>
      <c r="E5023">
        <v>0.48658960000000001</v>
      </c>
      <c r="F5023" t="s">
        <v>59</v>
      </c>
      <c r="G5023">
        <v>-294.38889999999998</v>
      </c>
      <c r="H5023" s="1">
        <v>-8.9283709999999998E-6</v>
      </c>
      <c r="I5023">
        <v>141.0907</v>
      </c>
      <c r="J5023">
        <v>-280.39929999999998</v>
      </c>
      <c r="K5023">
        <v>1.120622</v>
      </c>
      <c r="L5023">
        <v>141.46</v>
      </c>
      <c r="M5023">
        <v>-0.99971989999999999</v>
      </c>
      <c r="N5023">
        <v>-1.1308199999999999E-2</v>
      </c>
      <c r="O5023">
        <v>2.0789269999999999E-2</v>
      </c>
      <c r="P5023">
        <v>-0.99637569999999998</v>
      </c>
      <c r="Q5023">
        <v>-8.4697880000000003E-2</v>
      </c>
      <c r="R5023">
        <v>7.8725459999999994E-3</v>
      </c>
      <c r="S5023">
        <v>-2.9916990000000001</v>
      </c>
      <c r="T5023">
        <v>-0.23614840000000001</v>
      </c>
      <c r="U5023">
        <v>-7.6934810000000006E-2</v>
      </c>
      <c r="V5023">
        <v>-1.2845509999999999E-2</v>
      </c>
      <c r="W5023">
        <v>-7.3425619999999997E-2</v>
      </c>
      <c r="X5023">
        <v>0.99721800000000005</v>
      </c>
      <c r="Y5023">
        <v>-4.6273790000000002E-2</v>
      </c>
      <c r="Z5023">
        <v>-3.4887680000000002E-3</v>
      </c>
      <c r="AA5023">
        <v>0.99892270000000005</v>
      </c>
      <c r="AB5023">
        <v>23</v>
      </c>
      <c r="AC5023">
        <v>-13.9895999999999</v>
      </c>
      <c r="AD5023">
        <v>-1.1206309283710001</v>
      </c>
      <c r="AE5023">
        <v>-0.36930000000000901</v>
      </c>
      <c r="AF5023">
        <v>-0.65586675542862405</v>
      </c>
      <c r="AG5023">
        <v>-1.1206309283710001</v>
      </c>
      <c r="AH5023">
        <v>13.8898327944831</v>
      </c>
      <c r="AI5023">
        <v>94.607517741933805</v>
      </c>
      <c r="AJ5023">
        <v>92.703452658128199</v>
      </c>
      <c r="AK5023">
        <v>13.950391748520801</v>
      </c>
      <c r="AL5023">
        <v>94.210767386074593</v>
      </c>
      <c r="AM5023">
        <v>90.738005937690602</v>
      </c>
      <c r="AN5023">
        <v>1.0000000341617701</v>
      </c>
    </row>
    <row r="5024" spans="1:40" x14ac:dyDescent="0.25">
      <c r="A5024" t="str">
        <f>"20190303154909617"</f>
        <v>20190303154909617</v>
      </c>
      <c r="B5024" t="str">
        <f>"1551599349606168"</f>
        <v>1551599349606168</v>
      </c>
      <c r="C5024" t="s">
        <v>40</v>
      </c>
      <c r="D5024">
        <v>5.3854199999999999</v>
      </c>
      <c r="E5024">
        <v>0.48658059999999997</v>
      </c>
      <c r="F5024" t="s">
        <v>59</v>
      </c>
      <c r="G5024">
        <v>-294.60539999999997</v>
      </c>
      <c r="H5024" s="1">
        <v>-8.9024210000000005E-6</v>
      </c>
      <c r="I5024">
        <v>141.06440000000001</v>
      </c>
      <c r="J5024">
        <v>-280.56259999999997</v>
      </c>
      <c r="K5024">
        <v>1.120603</v>
      </c>
      <c r="L5024">
        <v>141.46340000000001</v>
      </c>
      <c r="M5024">
        <v>-0.99972039999999995</v>
      </c>
      <c r="N5024">
        <v>-1.128473E-2</v>
      </c>
      <c r="O5024">
        <v>2.0783590000000001E-2</v>
      </c>
      <c r="P5024">
        <v>-0.99637679999999995</v>
      </c>
      <c r="Q5024">
        <v>-8.4788100000000005E-2</v>
      </c>
      <c r="R5024">
        <v>6.660371E-3</v>
      </c>
      <c r="S5024">
        <v>-2.9915159999999998</v>
      </c>
      <c r="T5024">
        <v>-0.2359811</v>
      </c>
      <c r="U5024">
        <v>-8.3312990000000003E-2</v>
      </c>
      <c r="V5024">
        <v>-1.4055079999999999E-2</v>
      </c>
      <c r="W5024">
        <v>-7.3538980000000004E-2</v>
      </c>
      <c r="X5024">
        <v>0.99719329999999995</v>
      </c>
      <c r="Y5024">
        <v>-4.8390629999999997E-2</v>
      </c>
      <c r="Z5024">
        <v>-3.5813350000000002E-3</v>
      </c>
      <c r="AA5024">
        <v>0.99882210000000005</v>
      </c>
      <c r="AB5024">
        <v>23</v>
      </c>
      <c r="AC5024">
        <v>-14.0428</v>
      </c>
      <c r="AD5024">
        <v>-1.120611902421</v>
      </c>
      <c r="AE5024">
        <v>-0.39900000000000002</v>
      </c>
      <c r="AF5024">
        <v>-0.68642453537965298</v>
      </c>
      <c r="AG5024">
        <v>-1.120611902421</v>
      </c>
      <c r="AH5024">
        <v>13.9427573048975</v>
      </c>
      <c r="AI5024">
        <v>94.589583102467302</v>
      </c>
      <c r="AJ5024">
        <v>92.818488433041693</v>
      </c>
      <c r="AK5024">
        <v>14.004550365573801</v>
      </c>
      <c r="AL5024">
        <v>94.217280177244703</v>
      </c>
      <c r="AM5024">
        <v>90.807509882615705</v>
      </c>
      <c r="AN5024">
        <v>1.00000000220906</v>
      </c>
    </row>
    <row r="5025" spans="1:40" x14ac:dyDescent="0.25">
      <c r="A5025" t="str">
        <f>"20190303154909635"</f>
        <v>20190303154909635</v>
      </c>
      <c r="B5025" t="str">
        <f>"1551599349625688"</f>
        <v>1551599349625688</v>
      </c>
      <c r="C5025" t="s">
        <v>40</v>
      </c>
      <c r="D5025">
        <v>5.3505479999999999</v>
      </c>
      <c r="E5025">
        <v>0.48662450000000002</v>
      </c>
      <c r="F5025" t="s">
        <v>59</v>
      </c>
      <c r="G5025">
        <v>-294.75290000000001</v>
      </c>
      <c r="H5025" s="1">
        <v>-8.8858280000000005E-6</v>
      </c>
      <c r="I5025">
        <v>141.0506</v>
      </c>
      <c r="J5025">
        <v>-280.7389</v>
      </c>
      <c r="K5025">
        <v>1.120587</v>
      </c>
      <c r="L5025">
        <v>141.46709999999999</v>
      </c>
      <c r="M5025">
        <v>-0.99972039999999995</v>
      </c>
      <c r="N5025">
        <v>-1.1262289999999999E-2</v>
      </c>
      <c r="O5025">
        <v>2.0796129999999999E-2</v>
      </c>
      <c r="P5025">
        <v>-0.99635589999999996</v>
      </c>
      <c r="Q5025">
        <v>-8.5114449999999994E-2</v>
      </c>
      <c r="R5025">
        <v>5.5505650000000004E-3</v>
      </c>
      <c r="S5025">
        <v>-2.9913940000000001</v>
      </c>
      <c r="T5025">
        <v>-0.23623140000000001</v>
      </c>
      <c r="U5025">
        <v>-8.702087E-2</v>
      </c>
      <c r="V5025">
        <v>-1.517875E-2</v>
      </c>
      <c r="W5025">
        <v>-7.3887590000000003E-2</v>
      </c>
      <c r="X5025">
        <v>0.99715109999999996</v>
      </c>
      <c r="Y5025">
        <v>-4.9636390000000002E-2</v>
      </c>
      <c r="Z5025">
        <v>-3.6420799999999998E-3</v>
      </c>
      <c r="AA5025">
        <v>0.99876069999999995</v>
      </c>
      <c r="AB5025">
        <v>23</v>
      </c>
      <c r="AC5025">
        <v>-14.013999999999999</v>
      </c>
      <c r="AD5025">
        <v>-1.1205958858280001</v>
      </c>
      <c r="AE5025">
        <v>-0.41649999999998399</v>
      </c>
      <c r="AF5025">
        <v>-0.70337193340888204</v>
      </c>
      <c r="AG5025">
        <v>-1.1205958858280001</v>
      </c>
      <c r="AH5025">
        <v>13.9134226143668</v>
      </c>
      <c r="AI5025">
        <v>94.598851476351797</v>
      </c>
      <c r="AJ5025">
        <v>92.894037341608396</v>
      </c>
      <c r="AK5025">
        <v>13.976186749683</v>
      </c>
      <c r="AL5025">
        <v>94.237308372160598</v>
      </c>
      <c r="AM5025">
        <v>90.872095664086103</v>
      </c>
      <c r="AN5025">
        <v>1.0000000433193801</v>
      </c>
    </row>
    <row r="5026" spans="1:40" x14ac:dyDescent="0.25">
      <c r="A5026" t="str">
        <f>"20190303154909658"</f>
        <v>20190303154909658</v>
      </c>
      <c r="B5026" t="str">
        <f>"1551599349646185"</f>
        <v>1551599349646185</v>
      </c>
      <c r="C5026" t="s">
        <v>40</v>
      </c>
      <c r="D5026">
        <v>5.3389319999999998</v>
      </c>
      <c r="E5026">
        <v>0.48660029999999999</v>
      </c>
      <c r="F5026" t="s">
        <v>59</v>
      </c>
      <c r="G5026">
        <v>-294.86759999999998</v>
      </c>
      <c r="H5026" s="1">
        <v>-8.8734560000000003E-6</v>
      </c>
      <c r="I5026">
        <v>141.0419</v>
      </c>
      <c r="J5026">
        <v>-280.97059999999999</v>
      </c>
      <c r="K5026">
        <v>1.120568</v>
      </c>
      <c r="L5026">
        <v>141.47190000000001</v>
      </c>
      <c r="M5026">
        <v>-0.99971960000000004</v>
      </c>
      <c r="N5026">
        <v>-1.123643E-2</v>
      </c>
      <c r="O5026">
        <v>2.084217E-2</v>
      </c>
      <c r="P5026">
        <v>-0.99634270000000003</v>
      </c>
      <c r="Q5026">
        <v>-8.5292980000000004E-2</v>
      </c>
      <c r="R5026">
        <v>5.1486359999999998E-3</v>
      </c>
      <c r="S5026">
        <v>-2.9912109999999998</v>
      </c>
      <c r="T5026">
        <v>-0.23724200000000001</v>
      </c>
      <c r="U5026">
        <v>-9.0011599999999997E-2</v>
      </c>
      <c r="V5026">
        <v>-1.5629270000000001E-2</v>
      </c>
      <c r="W5026">
        <v>-7.4091459999999998E-2</v>
      </c>
      <c r="X5026">
        <v>0.99712900000000004</v>
      </c>
      <c r="Y5026">
        <v>-5.067613E-2</v>
      </c>
      <c r="Z5026">
        <v>-3.7076349999999999E-3</v>
      </c>
      <c r="AA5026">
        <v>0.99870820000000005</v>
      </c>
      <c r="AB5026">
        <v>23</v>
      </c>
      <c r="AC5026">
        <v>-13.896999999999901</v>
      </c>
      <c r="AD5026">
        <v>-1.120576873456</v>
      </c>
      <c r="AE5026">
        <v>-0.43000000000000599</v>
      </c>
      <c r="AF5026">
        <v>-0.71492458401366299</v>
      </c>
      <c r="AG5026">
        <v>-1.120576873456</v>
      </c>
      <c r="AH5026">
        <v>13.7954074366301</v>
      </c>
      <c r="AI5026">
        <v>94.6376445027214</v>
      </c>
      <c r="AJ5026">
        <v>92.966606845214798</v>
      </c>
      <c r="AK5026">
        <v>13.859295654281301</v>
      </c>
      <c r="AL5026">
        <v>94.249021421558794</v>
      </c>
      <c r="AM5026">
        <v>90.897996029694497</v>
      </c>
      <c r="AN5026">
        <v>1.0000000305833301</v>
      </c>
    </row>
    <row r="5027" spans="1:40" x14ac:dyDescent="0.25">
      <c r="A5027" t="str">
        <f>"20190303154909681"</f>
        <v>20190303154909681</v>
      </c>
      <c r="B5027" t="str">
        <f>"1551599349675464"</f>
        <v>1551599349675464</v>
      </c>
      <c r="C5027" t="s">
        <v>40</v>
      </c>
      <c r="D5027">
        <v>5.3187490000000004</v>
      </c>
      <c r="E5027">
        <v>0.50077919999999998</v>
      </c>
      <c r="F5027" t="s">
        <v>59</v>
      </c>
      <c r="G5027">
        <v>-295.05630000000002</v>
      </c>
      <c r="H5027" s="1">
        <v>-8.8567589999999907E-6</v>
      </c>
      <c r="I5027">
        <v>141.04140000000001</v>
      </c>
      <c r="J5027">
        <v>-281.20460000000003</v>
      </c>
      <c r="K5027">
        <v>1.1205430000000001</v>
      </c>
      <c r="L5027">
        <v>141.4769</v>
      </c>
      <c r="M5027">
        <v>-0.9997182</v>
      </c>
      <c r="N5027">
        <v>-1.121431E-2</v>
      </c>
      <c r="O5027">
        <v>2.0923979999999998E-2</v>
      </c>
      <c r="P5027">
        <v>-0.99636440000000004</v>
      </c>
      <c r="Q5027">
        <v>-8.5022169999999994E-2</v>
      </c>
      <c r="R5027">
        <v>5.4386740000000001E-3</v>
      </c>
      <c r="S5027">
        <v>-2.9911189999999999</v>
      </c>
      <c r="T5027">
        <v>-0.237956</v>
      </c>
      <c r="U5027">
        <v>-9.1415410000000002E-2</v>
      </c>
      <c r="V5027">
        <v>-1.542463E-2</v>
      </c>
      <c r="W5027">
        <v>-7.3841690000000001E-2</v>
      </c>
      <c r="X5027">
        <v>0.99715069999999995</v>
      </c>
      <c r="Y5027">
        <v>-5.122351E-2</v>
      </c>
      <c r="Z5027">
        <v>-3.7489889999999999E-3</v>
      </c>
      <c r="AA5027">
        <v>0.99868020000000002</v>
      </c>
      <c r="AB5027">
        <v>23</v>
      </c>
      <c r="AC5027">
        <v>-13.8516999999999</v>
      </c>
      <c r="AD5027">
        <v>-1.120551856759</v>
      </c>
      <c r="AE5027">
        <v>-0.43549999999999001</v>
      </c>
      <c r="AF5027">
        <v>-0.72054481049227304</v>
      </c>
      <c r="AG5027">
        <v>-1.120551856759</v>
      </c>
      <c r="AH5027">
        <v>13.7496621626709</v>
      </c>
      <c r="AI5027">
        <v>94.6527630137724</v>
      </c>
      <c r="AJ5027">
        <v>92.999815283853295</v>
      </c>
      <c r="AK5027">
        <v>13.814051935445899</v>
      </c>
      <c r="AL5027">
        <v>94.234671406205393</v>
      </c>
      <c r="AM5027">
        <v>90.886220829240202</v>
      </c>
      <c r="AN5027">
        <v>1.0000000164515901</v>
      </c>
    </row>
    <row r="5028" spans="1:40" x14ac:dyDescent="0.25">
      <c r="A5028" t="str">
        <f>"20190303154909704"</f>
        <v>20190303154909704</v>
      </c>
      <c r="B5028" t="str">
        <f>"1551599349695394"</f>
        <v>1551599349695394</v>
      </c>
      <c r="C5028" t="s">
        <v>40</v>
      </c>
      <c r="D5028">
        <v>5.2561429999999998</v>
      </c>
      <c r="E5028">
        <v>0.50546069999999999</v>
      </c>
      <c r="F5028" t="s">
        <v>59</v>
      </c>
      <c r="G5028">
        <v>-301.69760000000002</v>
      </c>
      <c r="H5028" s="1">
        <v>-8.8902940000000005E-6</v>
      </c>
      <c r="I5028">
        <v>141.631</v>
      </c>
      <c r="J5028">
        <v>-281.44319999999999</v>
      </c>
      <c r="K5028">
        <v>1.120512</v>
      </c>
      <c r="L5028">
        <v>141.482</v>
      </c>
      <c r="M5028">
        <v>-0.9997161</v>
      </c>
      <c r="N5028">
        <v>-1.1195490000000001E-2</v>
      </c>
      <c r="O5028">
        <v>2.1039809999999999E-2</v>
      </c>
      <c r="P5028">
        <v>-0.99639929999999999</v>
      </c>
      <c r="Q5028">
        <v>-8.4571740000000006E-2</v>
      </c>
      <c r="R5028">
        <v>6.0329270000000004E-3</v>
      </c>
      <c r="S5028">
        <v>-2.996826</v>
      </c>
      <c r="T5028">
        <v>-0.16386529999999999</v>
      </c>
      <c r="U5028">
        <v>2.2537229999999998E-2</v>
      </c>
      <c r="V5028">
        <v>-1.495058E-2</v>
      </c>
      <c r="W5028">
        <v>-7.3408899999999999E-2</v>
      </c>
      <c r="X5028">
        <v>0.99718989999999996</v>
      </c>
      <c r="Y5028">
        <v>-1.3477919999999999E-2</v>
      </c>
      <c r="Z5028">
        <v>-1.357776E-3</v>
      </c>
      <c r="AA5028">
        <v>0.99990829999999997</v>
      </c>
      <c r="AB5028">
        <v>23</v>
      </c>
      <c r="AC5028">
        <v>-20.2544</v>
      </c>
      <c r="AD5028">
        <v>-1.120520890294</v>
      </c>
      <c r="AE5028">
        <v>0.14899999999999999</v>
      </c>
      <c r="AF5028">
        <v>-0.276362582190952</v>
      </c>
      <c r="AG5028">
        <v>-1.120520890294</v>
      </c>
      <c r="AH5028">
        <v>20.191257778812801</v>
      </c>
      <c r="AI5028">
        <v>93.176094238964893</v>
      </c>
      <c r="AJ5028">
        <v>90.784172093218899</v>
      </c>
      <c r="AK5028">
        <v>20.224214052291099</v>
      </c>
      <c r="AL5028">
        <v>94.209806777207504</v>
      </c>
      <c r="AM5028">
        <v>90.858954709594499</v>
      </c>
      <c r="AN5028">
        <v>1.00000004155177</v>
      </c>
    </row>
    <row r="5029" spans="1:40" x14ac:dyDescent="0.25">
      <c r="A5029" t="str">
        <f>"20190303154909726"</f>
        <v>20190303154909726</v>
      </c>
      <c r="B5029" t="str">
        <f>"1551599349715890"</f>
        <v>1551599349715890</v>
      </c>
      <c r="C5029" t="s">
        <v>40</v>
      </c>
      <c r="D5029">
        <v>5.2358129999999896</v>
      </c>
      <c r="E5029">
        <v>0.50633079999999997</v>
      </c>
      <c r="F5029" t="s">
        <v>59</v>
      </c>
      <c r="G5029">
        <v>-306.4785</v>
      </c>
      <c r="H5029" s="1">
        <v>-9.6948989999999999E-6</v>
      </c>
      <c r="I5029">
        <v>141.9966</v>
      </c>
      <c r="J5029">
        <v>-281.6696</v>
      </c>
      <c r="K5029">
        <v>1.120498</v>
      </c>
      <c r="L5029">
        <v>141.48689999999999</v>
      </c>
      <c r="M5029">
        <v>-0.99971350000000003</v>
      </c>
      <c r="N5029">
        <v>-1.118045E-2</v>
      </c>
      <c r="O5029">
        <v>2.1166529999999999E-2</v>
      </c>
      <c r="P5029">
        <v>-0.99640890000000004</v>
      </c>
      <c r="Q5029">
        <v>-8.4402110000000002E-2</v>
      </c>
      <c r="R5029">
        <v>6.7834870000000004E-3</v>
      </c>
      <c r="S5029">
        <v>-2.9991150000000002</v>
      </c>
      <c r="T5029">
        <v>-0.1342332</v>
      </c>
      <c r="U5029">
        <v>6.1645510000000001E-2</v>
      </c>
      <c r="V5029">
        <v>-1.432927E-2</v>
      </c>
      <c r="W5029">
        <v>-7.3253570000000004E-2</v>
      </c>
      <c r="X5029">
        <v>0.99721040000000005</v>
      </c>
      <c r="Y5029">
        <v>-6.0508739999999995E-4</v>
      </c>
      <c r="Z5029">
        <v>-7.2703220000000003E-4</v>
      </c>
      <c r="AA5029">
        <v>0.99999950000000004</v>
      </c>
      <c r="AB5029">
        <v>23</v>
      </c>
      <c r="AC5029">
        <v>-24.808899999999898</v>
      </c>
      <c r="AD5029">
        <v>-1.120507694899</v>
      </c>
      <c r="AE5029">
        <v>0.50970000000000903</v>
      </c>
      <c r="AF5029">
        <v>-1.5533653068477701E-2</v>
      </c>
      <c r="AG5029">
        <v>-1.120507694899</v>
      </c>
      <c r="AH5029">
        <v>24.7636357702659</v>
      </c>
      <c r="AI5029">
        <v>92.590758043043806</v>
      </c>
      <c r="AJ5029">
        <v>90.035940305889099</v>
      </c>
      <c r="AK5029">
        <v>24.7889781021949</v>
      </c>
      <c r="AL5029">
        <v>94.200883182739204</v>
      </c>
      <c r="AM5029">
        <v>90.823246723859498</v>
      </c>
      <c r="AN5029">
        <v>0.99999999768231795</v>
      </c>
    </row>
    <row r="5030" spans="1:40" x14ac:dyDescent="0.25">
      <c r="A5030" t="str">
        <f>"20190303154909750"</f>
        <v>20190303154909750</v>
      </c>
      <c r="B5030" t="str">
        <f>"1551599349746146"</f>
        <v>1551599349746146</v>
      </c>
      <c r="C5030" t="s">
        <v>40</v>
      </c>
      <c r="D5030">
        <v>5.3212419999999998</v>
      </c>
      <c r="E5030">
        <v>0.50735209999999997</v>
      </c>
      <c r="F5030" t="s">
        <v>59</v>
      </c>
      <c r="G5030">
        <v>-310.23770000000002</v>
      </c>
      <c r="H5030" s="1">
        <v>-1.0119290000000001E-5</v>
      </c>
      <c r="I5030">
        <v>142.1609</v>
      </c>
      <c r="J5030">
        <v>-281.9101</v>
      </c>
      <c r="K5030">
        <v>1.120484</v>
      </c>
      <c r="L5030">
        <v>141.4922</v>
      </c>
      <c r="M5030">
        <v>-0.99971049999999995</v>
      </c>
      <c r="N5030">
        <v>-1.116985E-2</v>
      </c>
      <c r="O5030">
        <v>2.131431E-2</v>
      </c>
      <c r="P5030">
        <v>-0.99641840000000004</v>
      </c>
      <c r="Q5030">
        <v>-8.4210489999999999E-2</v>
      </c>
      <c r="R5030">
        <v>7.6831369999999996E-3</v>
      </c>
      <c r="S5030">
        <v>-3.0003660000000001</v>
      </c>
      <c r="T5030">
        <v>-0.1176813</v>
      </c>
      <c r="U5030">
        <v>7.0785520000000005E-2</v>
      </c>
      <c r="V5030">
        <v>-1.3579569999999999E-2</v>
      </c>
      <c r="W5030">
        <v>-7.3072109999999996E-2</v>
      </c>
      <c r="X5030">
        <v>0.99723419999999896</v>
      </c>
      <c r="Y5030">
        <v>2.2767899999999999E-3</v>
      </c>
      <c r="Z5030">
        <v>-5.4009279999999999E-4</v>
      </c>
      <c r="AA5030">
        <v>0.99999729999999998</v>
      </c>
      <c r="AB5030">
        <v>23</v>
      </c>
      <c r="AC5030">
        <v>-28.3276</v>
      </c>
      <c r="AD5030">
        <v>-1.12049411929</v>
      </c>
      <c r="AE5030">
        <v>0.66870000000000096</v>
      </c>
      <c r="AF5030">
        <v>6.4626139676354402E-2</v>
      </c>
      <c r="AG5030">
        <v>-1.12049411929</v>
      </c>
      <c r="AH5030">
        <v>28.291178276627701</v>
      </c>
      <c r="AI5030">
        <v>92.268052588608498</v>
      </c>
      <c r="AJ5030">
        <v>89.869118261073197</v>
      </c>
      <c r="AK5030">
        <v>28.313432357967901</v>
      </c>
      <c r="AL5030">
        <v>94.190458368322695</v>
      </c>
      <c r="AM5030">
        <v>90.780161734133003</v>
      </c>
      <c r="AN5030">
        <v>0.99999999381543803</v>
      </c>
    </row>
    <row r="5031" spans="1:40" x14ac:dyDescent="0.25">
      <c r="A5031" t="str">
        <f>"20190303154909770"</f>
        <v>20190303154909770</v>
      </c>
      <c r="B5031" t="str">
        <f>"1551599349765665"</f>
        <v>1551599349765665</v>
      </c>
      <c r="C5031" t="s">
        <v>40</v>
      </c>
      <c r="D5031">
        <v>5.3791349999999998</v>
      </c>
      <c r="E5031">
        <v>0.50811629999999997</v>
      </c>
      <c r="F5031" t="s">
        <v>59</v>
      </c>
      <c r="G5031">
        <v>-312.0813</v>
      </c>
      <c r="H5031" s="1">
        <v>-9.3989239999999997E-6</v>
      </c>
      <c r="I5031">
        <v>142.31299999999999</v>
      </c>
      <c r="J5031">
        <v>-282.12270000000001</v>
      </c>
      <c r="K5031">
        <v>1.1204730000000001</v>
      </c>
      <c r="L5031">
        <v>141.49690000000001</v>
      </c>
      <c r="M5031">
        <v>-0.99970749999999997</v>
      </c>
      <c r="N5031">
        <v>-1.117552E-2</v>
      </c>
      <c r="O5031">
        <v>2.145362E-2</v>
      </c>
      <c r="P5031">
        <v>-0.9963902</v>
      </c>
      <c r="Q5031">
        <v>-8.4457809999999994E-2</v>
      </c>
      <c r="R5031">
        <v>8.5841240000000003E-3</v>
      </c>
      <c r="S5031">
        <v>-3.0007320000000002</v>
      </c>
      <c r="T5031">
        <v>-0.1114405</v>
      </c>
      <c r="U5031">
        <v>8.1634520000000002E-2</v>
      </c>
      <c r="V5031">
        <v>-1.281756E-2</v>
      </c>
      <c r="W5031">
        <v>-7.3313980000000001E-2</v>
      </c>
      <c r="X5031">
        <v>0.99722650000000002</v>
      </c>
      <c r="Y5031">
        <v>5.743593E-3</v>
      </c>
      <c r="Z5031">
        <v>-4.1781130000000002E-4</v>
      </c>
      <c r="AA5031">
        <v>0.99998339999999997</v>
      </c>
      <c r="AB5031">
        <v>23</v>
      </c>
      <c r="AC5031">
        <v>-29.958599999999901</v>
      </c>
      <c r="AD5031">
        <v>-1.120482398924</v>
      </c>
      <c r="AE5031">
        <v>0.81609999999997695</v>
      </c>
      <c r="AF5031">
        <v>0.172909969730347</v>
      </c>
      <c r="AG5031">
        <v>-1.120482398924</v>
      </c>
      <c r="AH5031">
        <v>29.927380918421498</v>
      </c>
      <c r="AI5031">
        <v>92.144119152165203</v>
      </c>
      <c r="AJ5031">
        <v>89.668968651338304</v>
      </c>
      <c r="AK5031">
        <v>29.9488481798588</v>
      </c>
      <c r="AL5031">
        <v>94.204353907605494</v>
      </c>
      <c r="AM5031">
        <v>90.736394042801507</v>
      </c>
      <c r="AN5031">
        <v>0.99999996090502097</v>
      </c>
    </row>
    <row r="5032" spans="1:40" x14ac:dyDescent="0.25">
      <c r="A5032" t="str">
        <f>"20190303154909792"</f>
        <v>20190303154909792</v>
      </c>
      <c r="B5032" t="str">
        <f>"1551599349786162"</f>
        <v>1551599349786162</v>
      </c>
      <c r="C5032" t="s">
        <v>40</v>
      </c>
      <c r="D5032">
        <v>5.3643769999999904</v>
      </c>
      <c r="E5032">
        <v>0.50849500000000003</v>
      </c>
      <c r="F5032" t="s">
        <v>59</v>
      </c>
      <c r="G5032">
        <v>-312.06799999999998</v>
      </c>
      <c r="H5032" s="1">
        <v>-9.4268129999999998E-6</v>
      </c>
      <c r="I5032">
        <v>142.39959999999999</v>
      </c>
      <c r="J5032">
        <v>-282.351</v>
      </c>
      <c r="K5032">
        <v>1.1204780000000001</v>
      </c>
      <c r="L5032">
        <v>141.50200000000001</v>
      </c>
      <c r="M5032">
        <v>-0.99970360000000003</v>
      </c>
      <c r="N5032">
        <v>-1.121284E-2</v>
      </c>
      <c r="O5032">
        <v>2.161215E-2</v>
      </c>
      <c r="P5032">
        <v>-0.99631729999999996</v>
      </c>
      <c r="Q5032">
        <v>-8.511784E-2</v>
      </c>
      <c r="R5032">
        <v>1.0335E-2</v>
      </c>
      <c r="S5032">
        <v>-3.0005799999999998</v>
      </c>
      <c r="T5032">
        <v>-0.1122746</v>
      </c>
      <c r="U5032">
        <v>9.0454099999999996E-2</v>
      </c>
      <c r="V5032">
        <v>-1.1224049999999999E-2</v>
      </c>
      <c r="W5032">
        <v>-7.3937619999999996E-2</v>
      </c>
      <c r="X5032">
        <v>0.99719970000000002</v>
      </c>
      <c r="Y5032">
        <v>8.5207830000000005E-3</v>
      </c>
      <c r="Z5032">
        <v>-3.5870900000000002E-4</v>
      </c>
      <c r="AA5032">
        <v>0.99996359999999995</v>
      </c>
      <c r="AB5032">
        <v>23</v>
      </c>
      <c r="AC5032">
        <v>-29.716999999999899</v>
      </c>
      <c r="AD5032">
        <v>-1.1204874268130001</v>
      </c>
      <c r="AE5032">
        <v>0.89759999999998197</v>
      </c>
      <c r="AF5032">
        <v>0.25473988384491603</v>
      </c>
      <c r="AG5032">
        <v>-1.1204874268130001</v>
      </c>
      <c r="AH5032">
        <v>29.687290849122999</v>
      </c>
      <c r="AI5032">
        <v>92.161409145403795</v>
      </c>
      <c r="AJ5032">
        <v>89.508370026522996</v>
      </c>
      <c r="AK5032">
        <v>29.709520737340899</v>
      </c>
      <c r="AL5032">
        <v>94.2401829417567</v>
      </c>
      <c r="AM5032">
        <v>90.644869366539595</v>
      </c>
      <c r="AN5032">
        <v>0.99999999631487801</v>
      </c>
    </row>
    <row r="5033" spans="1:40" x14ac:dyDescent="0.25">
      <c r="A5033" t="str">
        <f>"20190303154909806"</f>
        <v>20190303154909806</v>
      </c>
      <c r="B5033" t="str">
        <f>"1551599349795923"</f>
        <v>1551599349795923</v>
      </c>
      <c r="C5033" t="s">
        <v>40</v>
      </c>
      <c r="D5033">
        <v>5.2650739999999896</v>
      </c>
      <c r="E5033">
        <v>0.50847299999999995</v>
      </c>
      <c r="F5033" t="s">
        <v>59</v>
      </c>
      <c r="G5033">
        <v>-311.67840000000001</v>
      </c>
      <c r="H5033" s="1">
        <v>-9.5910720000000005E-6</v>
      </c>
      <c r="I5033">
        <v>142.46619999999999</v>
      </c>
      <c r="J5033">
        <v>-282.49849999999998</v>
      </c>
      <c r="K5033">
        <v>1.120487</v>
      </c>
      <c r="L5033">
        <v>141.50530000000001</v>
      </c>
      <c r="M5033">
        <v>-0.99970079999999995</v>
      </c>
      <c r="N5033">
        <v>-1.1266109999999999E-2</v>
      </c>
      <c r="O5033">
        <v>2.1713699999999999E-2</v>
      </c>
      <c r="P5033">
        <v>-0.99630929999999995</v>
      </c>
      <c r="Q5033">
        <v>-8.5108210000000004E-2</v>
      </c>
      <c r="R5033">
        <v>1.1152169999999999E-2</v>
      </c>
      <c r="S5033">
        <v>-3.0002749999999998</v>
      </c>
      <c r="T5033">
        <v>-0.11462899999999999</v>
      </c>
      <c r="U5033">
        <v>9.8648070000000004E-2</v>
      </c>
      <c r="V5033">
        <v>-1.050799E-2</v>
      </c>
      <c r="W5033">
        <v>-7.387502E-2</v>
      </c>
      <c r="X5033">
        <v>0.99721219999999999</v>
      </c>
      <c r="Y5033">
        <v>1.1148160000000001E-2</v>
      </c>
      <c r="Z5033">
        <v>-3.0872810000000001E-4</v>
      </c>
      <c r="AA5033">
        <v>0.99993779999999999</v>
      </c>
      <c r="AB5033">
        <v>23</v>
      </c>
      <c r="AC5033">
        <v>-29.1799</v>
      </c>
      <c r="AD5033">
        <v>-1.1204965910719999</v>
      </c>
      <c r="AE5033">
        <v>0.96089999999997999</v>
      </c>
      <c r="AF5033">
        <v>0.32654865856238802</v>
      </c>
      <c r="AG5033">
        <v>-1.1204965910719999</v>
      </c>
      <c r="AH5033">
        <v>29.150948021499701</v>
      </c>
      <c r="AI5033">
        <v>92.201098720805305</v>
      </c>
      <c r="AJ5033">
        <v>89.358200035668801</v>
      </c>
      <c r="AK5033">
        <v>29.174302342801401</v>
      </c>
      <c r="AL5033">
        <v>94.236586144661899</v>
      </c>
      <c r="AM5033">
        <v>90.6037242585478</v>
      </c>
      <c r="AN5033">
        <v>1.0000000541313301</v>
      </c>
    </row>
    <row r="5034" spans="1:40" x14ac:dyDescent="0.25">
      <c r="A5034" t="str">
        <f>"20190303154909825"</f>
        <v>20190303154909825</v>
      </c>
      <c r="B5034" t="str">
        <f>"1551599349815442"</f>
        <v>1551599349815442</v>
      </c>
      <c r="C5034" t="s">
        <v>40</v>
      </c>
      <c r="D5034">
        <v>5.2840629999999997</v>
      </c>
      <c r="E5034">
        <v>0.50831409999999999</v>
      </c>
      <c r="F5034" t="s">
        <v>59</v>
      </c>
      <c r="G5034">
        <v>-312.03530000000001</v>
      </c>
      <c r="H5034" s="1">
        <v>-9.4657949999999997E-6</v>
      </c>
      <c r="I5034">
        <v>142.50059999999999</v>
      </c>
      <c r="J5034">
        <v>-282.68900000000002</v>
      </c>
      <c r="K5034">
        <v>1.12052</v>
      </c>
      <c r="L5034">
        <v>141.50960000000001</v>
      </c>
      <c r="M5034">
        <v>-0.99969680000000005</v>
      </c>
      <c r="N5034">
        <v>-1.1385940000000001E-2</v>
      </c>
      <c r="O5034">
        <v>2.1833890000000002E-2</v>
      </c>
      <c r="P5034">
        <v>-0.99626559999999997</v>
      </c>
      <c r="Q5034">
        <v>-8.5344879999999998E-2</v>
      </c>
      <c r="R5034">
        <v>1.3093509999999999E-2</v>
      </c>
      <c r="S5034">
        <v>-3.0002439999999999</v>
      </c>
      <c r="T5034">
        <v>-0.1138161</v>
      </c>
      <c r="U5034">
        <v>0.10110470000000001</v>
      </c>
      <c r="V5034">
        <v>-8.6847969999999993E-3</v>
      </c>
      <c r="W5034">
        <v>-7.3992840000000004E-2</v>
      </c>
      <c r="X5034">
        <v>0.99722089999999997</v>
      </c>
      <c r="Y5034">
        <v>1.1845390000000001E-2</v>
      </c>
      <c r="Z5034">
        <v>-2.8708720000000001E-4</v>
      </c>
      <c r="AA5034">
        <v>0.99992979999999998</v>
      </c>
      <c r="AB5034">
        <v>23</v>
      </c>
      <c r="AC5034">
        <v>-29.3462999999999</v>
      </c>
      <c r="AD5034">
        <v>-1.120529465795</v>
      </c>
      <c r="AE5034">
        <v>0.990999999999985</v>
      </c>
      <c r="AF5034">
        <v>0.34946939485907103</v>
      </c>
      <c r="AG5034">
        <v>-1.120529465795</v>
      </c>
      <c r="AH5034">
        <v>29.318246504326599</v>
      </c>
      <c r="AI5034">
        <v>92.188596861543999</v>
      </c>
      <c r="AJ5034">
        <v>89.317074670314199</v>
      </c>
      <c r="AK5034">
        <v>29.341732962286201</v>
      </c>
      <c r="AL5034">
        <v>94.243355724211696</v>
      </c>
      <c r="AM5034">
        <v>90.498976339252096</v>
      </c>
      <c r="AN5034">
        <v>0.99999994473350096</v>
      </c>
    </row>
    <row r="5035" spans="1:40" x14ac:dyDescent="0.25">
      <c r="A5035" t="str">
        <f>"20190303154909847"</f>
        <v>20190303154909847</v>
      </c>
      <c r="B5035" t="str">
        <f>"1551599349835938"</f>
        <v>1551599349835938</v>
      </c>
      <c r="C5035" t="s">
        <v>40</v>
      </c>
      <c r="D5035">
        <v>5.3256889999999997</v>
      </c>
      <c r="E5035">
        <v>0.50854579999999905</v>
      </c>
      <c r="F5035" t="s">
        <v>59</v>
      </c>
      <c r="G5035">
        <v>-312.52789999999999</v>
      </c>
      <c r="H5035" s="1">
        <v>-9.2965509999999993E-6</v>
      </c>
      <c r="I5035">
        <v>142.56200000000001</v>
      </c>
      <c r="J5035">
        <v>-282.91390000000001</v>
      </c>
      <c r="K5035">
        <v>1.1205799999999999</v>
      </c>
      <c r="L5035">
        <v>141.5147</v>
      </c>
      <c r="M5035">
        <v>-0.99969149999999996</v>
      </c>
      <c r="N5035">
        <v>-1.1612519999999999E-2</v>
      </c>
      <c r="O5035">
        <v>2.1952889999999999E-2</v>
      </c>
      <c r="P5035">
        <v>-0.99625379999999997</v>
      </c>
      <c r="Q5035">
        <v>-8.5222510000000001E-2</v>
      </c>
      <c r="R5035">
        <v>1.4680790000000001E-2</v>
      </c>
      <c r="S5035">
        <v>-3.0002140000000002</v>
      </c>
      <c r="T5035">
        <v>-0.1126659</v>
      </c>
      <c r="U5035">
        <v>0.1058197</v>
      </c>
      <c r="V5035">
        <v>-7.2132639999999996E-3</v>
      </c>
      <c r="W5035">
        <v>-7.3644959999999995E-2</v>
      </c>
      <c r="X5035">
        <v>0.99725839999999999</v>
      </c>
      <c r="Y5035">
        <v>1.329469E-2</v>
      </c>
      <c r="Z5035">
        <v>-2.4216259999999999E-4</v>
      </c>
      <c r="AA5035">
        <v>0.99991160000000001</v>
      </c>
      <c r="AB5035">
        <v>23</v>
      </c>
      <c r="AC5035">
        <v>-29.613999999999901</v>
      </c>
      <c r="AD5035">
        <v>-1.12058929655099</v>
      </c>
      <c r="AE5035">
        <v>1.0472999999999999</v>
      </c>
      <c r="AF5035">
        <v>0.39632404026255602</v>
      </c>
      <c r="AG5035">
        <v>-1.12058929655099</v>
      </c>
      <c r="AH5035">
        <v>29.587542933399401</v>
      </c>
      <c r="AI5035">
        <v>92.1687712938635</v>
      </c>
      <c r="AJ5035">
        <v>89.232571054842296</v>
      </c>
      <c r="AK5035">
        <v>29.611408104853599</v>
      </c>
      <c r="AL5035">
        <v>94.223369056237502</v>
      </c>
      <c r="AM5035">
        <v>90.414418546379693</v>
      </c>
      <c r="AN5035">
        <v>0.99999996384074696</v>
      </c>
    </row>
    <row r="5036" spans="1:40" x14ac:dyDescent="0.25">
      <c r="A5036" t="str">
        <f>"20190303154909870"</f>
        <v>20190303154909870</v>
      </c>
      <c r="B5036" t="str">
        <f>"1551599349866194"</f>
        <v>1551599349866194</v>
      </c>
      <c r="C5036" t="s">
        <v>40</v>
      </c>
      <c r="D5036">
        <v>5.3285349999999996</v>
      </c>
      <c r="E5036">
        <v>0.50903920000000002</v>
      </c>
      <c r="F5036" t="s">
        <v>59</v>
      </c>
      <c r="G5036">
        <v>-312.66820000000001</v>
      </c>
      <c r="H5036" s="1">
        <v>-9.2618100000000007E-6</v>
      </c>
      <c r="I5036">
        <v>142.63050000000001</v>
      </c>
      <c r="J5036">
        <v>-283.14510000000001</v>
      </c>
      <c r="K5036">
        <v>1.1206609999999999</v>
      </c>
      <c r="L5036">
        <v>141.51990000000001</v>
      </c>
      <c r="M5036">
        <v>-0.99968619999999997</v>
      </c>
      <c r="N5036">
        <v>-1.1900859999999999E-2</v>
      </c>
      <c r="O5036">
        <v>2.2047879999999999E-2</v>
      </c>
      <c r="P5036">
        <v>-0.99618569999999995</v>
      </c>
      <c r="Q5036">
        <v>-8.5986549999999995E-2</v>
      </c>
      <c r="R5036">
        <v>1.4855760000000001E-2</v>
      </c>
      <c r="S5036">
        <v>-3</v>
      </c>
      <c r="T5036">
        <v>-0.11298420000000001</v>
      </c>
      <c r="U5036">
        <v>0.11250309999999999</v>
      </c>
      <c r="V5036">
        <v>-7.1278919999999898E-3</v>
      </c>
      <c r="W5036">
        <v>-7.4122590000000002E-2</v>
      </c>
      <c r="X5036">
        <v>0.99722370000000005</v>
      </c>
      <c r="Y5036">
        <v>1.542454E-2</v>
      </c>
      <c r="Z5036">
        <v>-1.8523589999999999E-4</v>
      </c>
      <c r="AA5036">
        <v>0.99988100000000002</v>
      </c>
      <c r="AB5036">
        <v>23</v>
      </c>
      <c r="AC5036">
        <v>-29.523099999999999</v>
      </c>
      <c r="AD5036">
        <v>-1.12067026181</v>
      </c>
      <c r="AE5036">
        <v>1.1106</v>
      </c>
      <c r="AF5036">
        <v>0.45870219715520499</v>
      </c>
      <c r="AG5036">
        <v>-1.12067026181</v>
      </c>
      <c r="AH5036">
        <v>29.497967140138002</v>
      </c>
      <c r="AI5036">
        <v>92.175440076177296</v>
      </c>
      <c r="AJ5036">
        <v>89.109105324968596</v>
      </c>
      <c r="AK5036">
        <v>29.522811094847299</v>
      </c>
      <c r="AL5036">
        <v>94.250809931797093</v>
      </c>
      <c r="AM5036">
        <v>90.409528146593303</v>
      </c>
      <c r="AN5036">
        <v>1.0000000365171799</v>
      </c>
    </row>
    <row r="5037" spans="1:40" x14ac:dyDescent="0.25">
      <c r="A5037" t="str">
        <f>"20190303154909883"</f>
        <v>20190303154909883</v>
      </c>
      <c r="B5037" t="str">
        <f>"1551599349875954"</f>
        <v>1551599349875954</v>
      </c>
      <c r="C5037" t="s">
        <v>40</v>
      </c>
      <c r="D5037">
        <v>5.3184110000000002</v>
      </c>
      <c r="E5037">
        <v>0.50919499999999995</v>
      </c>
      <c r="F5037" t="s">
        <v>59</v>
      </c>
      <c r="G5037">
        <v>-311.62990000000002</v>
      </c>
      <c r="H5037" s="1">
        <v>-9.6529610000000006E-6</v>
      </c>
      <c r="I5037">
        <v>142.63159999999999</v>
      </c>
      <c r="J5037">
        <v>-283.2876</v>
      </c>
      <c r="K5037">
        <v>1.120708</v>
      </c>
      <c r="L5037">
        <v>141.5231</v>
      </c>
      <c r="M5037">
        <v>-0.99968299999999999</v>
      </c>
      <c r="N5037">
        <v>-1.208599E-2</v>
      </c>
      <c r="O5037">
        <v>2.2092520000000001E-2</v>
      </c>
      <c r="P5037">
        <v>-0.99617909999999998</v>
      </c>
      <c r="Q5037">
        <v>-8.6110829999999999E-2</v>
      </c>
      <c r="R5037">
        <v>1.4579730000000001E-2</v>
      </c>
      <c r="S5037">
        <v>-2.9995419999999999</v>
      </c>
      <c r="T5037">
        <v>-0.1180103</v>
      </c>
      <c r="U5037">
        <v>0.1170654</v>
      </c>
      <c r="V5037">
        <v>-7.4446169999999997E-3</v>
      </c>
      <c r="W5037">
        <v>-7.4062660000000002E-2</v>
      </c>
      <c r="X5037">
        <v>0.99722580000000005</v>
      </c>
      <c r="Y5037">
        <v>1.690235E-2</v>
      </c>
      <c r="Z5037">
        <v>-1.6700369999999901E-4</v>
      </c>
      <c r="AA5037">
        <v>0.99985710000000005</v>
      </c>
      <c r="AB5037">
        <v>23</v>
      </c>
      <c r="AC5037">
        <v>-28.342300000000002</v>
      </c>
      <c r="AD5037">
        <v>-1.1207176529609999</v>
      </c>
      <c r="AE5037">
        <v>1.10849999999999</v>
      </c>
      <c r="AF5037">
        <v>0.48127954865904499</v>
      </c>
      <c r="AG5037">
        <v>-1.1207176529609999</v>
      </c>
      <c r="AH5037">
        <v>28.315666438156601</v>
      </c>
      <c r="AI5037">
        <v>92.266223685894104</v>
      </c>
      <c r="AJ5037">
        <v>89.026241110625094</v>
      </c>
      <c r="AK5037">
        <v>28.341923080457398</v>
      </c>
      <c r="AL5037">
        <v>94.247366895406699</v>
      </c>
      <c r="AM5037">
        <v>90.427723801882607</v>
      </c>
      <c r="AN5037">
        <v>0.99999999805709605</v>
      </c>
    </row>
    <row r="5038" spans="1:40" x14ac:dyDescent="0.25">
      <c r="A5038" t="str">
        <f>"20190303154909903"</f>
        <v>20190303154909903</v>
      </c>
      <c r="B5038" t="str">
        <f>"1551599349895474"</f>
        <v>1551599349895474</v>
      </c>
      <c r="C5038" t="s">
        <v>40</v>
      </c>
      <c r="D5038">
        <v>5.3398279999999998</v>
      </c>
      <c r="E5038">
        <v>0.50947089999999995</v>
      </c>
      <c r="F5038" t="s">
        <v>59</v>
      </c>
      <c r="G5038">
        <v>-311.45069999999998</v>
      </c>
      <c r="H5038" s="1">
        <v>-9.7200360000000003E-6</v>
      </c>
      <c r="I5038">
        <v>142.62700000000001</v>
      </c>
      <c r="J5038">
        <v>-283.49239999999998</v>
      </c>
      <c r="K5038">
        <v>1.120768</v>
      </c>
      <c r="L5038">
        <v>141.52770000000001</v>
      </c>
      <c r="M5038">
        <v>-0.99967879999999998</v>
      </c>
      <c r="N5038">
        <v>-1.234408E-2</v>
      </c>
      <c r="O5038">
        <v>2.213269E-2</v>
      </c>
      <c r="P5038">
        <v>-0.99612500000000004</v>
      </c>
      <c r="Q5038">
        <v>-8.6884409999999995E-2</v>
      </c>
      <c r="R5038">
        <v>1.3650809999999999E-2</v>
      </c>
      <c r="S5038">
        <v>-2.9995120000000002</v>
      </c>
      <c r="T5038">
        <v>-0.1193622</v>
      </c>
      <c r="U5038">
        <v>0.11756900000000001</v>
      </c>
      <c r="V5038">
        <v>-8.4081539999999993E-3</v>
      </c>
      <c r="W5038">
        <v>-7.4580069999999998E-2</v>
      </c>
      <c r="X5038">
        <v>0.99717960000000005</v>
      </c>
      <c r="Y5038">
        <v>1.702965E-2</v>
      </c>
      <c r="Z5038">
        <v>-1.6304500000000001E-4</v>
      </c>
      <c r="AA5038">
        <v>0.99985500000000005</v>
      </c>
      <c r="AB5038">
        <v>23</v>
      </c>
      <c r="AC5038">
        <v>-27.958300000000001</v>
      </c>
      <c r="AD5038">
        <v>-1.1207777200360001</v>
      </c>
      <c r="AE5038">
        <v>1.09929999999999</v>
      </c>
      <c r="AF5038">
        <v>0.47942187528213598</v>
      </c>
      <c r="AG5038">
        <v>-1.1207777200360001</v>
      </c>
      <c r="AH5038">
        <v>27.9309667265236</v>
      </c>
      <c r="AI5038">
        <v>92.297520127997501</v>
      </c>
      <c r="AJ5038">
        <v>89.016641522941697</v>
      </c>
      <c r="AK5038">
        <v>27.957555156171999</v>
      </c>
      <c r="AL5038">
        <v>94.277094430577804</v>
      </c>
      <c r="AM5038">
        <v>90.483102864381394</v>
      </c>
      <c r="AN5038">
        <v>1.0000000192755201</v>
      </c>
    </row>
    <row r="5039" spans="1:40" x14ac:dyDescent="0.25">
      <c r="A5039" t="str">
        <f>"20190303154909927"</f>
        <v>20190303154909927</v>
      </c>
      <c r="B5039" t="str">
        <f>"1551599349915970"</f>
        <v>1551599349915970</v>
      </c>
      <c r="C5039" t="s">
        <v>40</v>
      </c>
      <c r="D5039">
        <v>5.3426749999999998</v>
      </c>
      <c r="E5039">
        <v>0.50935299999999994</v>
      </c>
      <c r="F5039" t="s">
        <v>59</v>
      </c>
      <c r="G5039">
        <v>-310.78559999999999</v>
      </c>
      <c r="H5039" s="1">
        <v>-1.000491E-5</v>
      </c>
      <c r="I5039">
        <v>142.5932</v>
      </c>
      <c r="J5039">
        <v>-283.72680000000003</v>
      </c>
      <c r="K5039">
        <v>1.1208279999999999</v>
      </c>
      <c r="L5039">
        <v>141.53290000000001</v>
      </c>
      <c r="M5039">
        <v>-0.99967539999999999</v>
      </c>
      <c r="N5039">
        <v>-1.261721E-2</v>
      </c>
      <c r="O5039">
        <v>2.2134879999999999E-2</v>
      </c>
      <c r="P5039">
        <v>-0.9961508</v>
      </c>
      <c r="Q5039">
        <v>-8.6832000000000006E-2</v>
      </c>
      <c r="R5039">
        <v>1.1993439999999999E-2</v>
      </c>
      <c r="S5039">
        <v>-2.999298</v>
      </c>
      <c r="T5039">
        <v>-0.1231641</v>
      </c>
      <c r="U5039">
        <v>0.1170959</v>
      </c>
      <c r="V5039">
        <v>-1.006262E-2</v>
      </c>
      <c r="W5039">
        <v>-7.4255970000000004E-2</v>
      </c>
      <c r="X5039">
        <v>0.99718839999999997</v>
      </c>
      <c r="Y5039">
        <v>1.6872410000000001E-2</v>
      </c>
      <c r="Z5039">
        <v>-1.762264E-4</v>
      </c>
      <c r="AA5039">
        <v>0.99985769999999996</v>
      </c>
      <c r="AB5039">
        <v>23</v>
      </c>
      <c r="AC5039">
        <v>-27.058799999999898</v>
      </c>
      <c r="AD5039">
        <v>-1.12083800491</v>
      </c>
      <c r="AE5039">
        <v>1.06029999999998</v>
      </c>
      <c r="AF5039">
        <v>0.46026071503413202</v>
      </c>
      <c r="AG5039">
        <v>-1.12083800491</v>
      </c>
      <c r="AH5039">
        <v>27.029334803143598</v>
      </c>
      <c r="AI5039">
        <v>92.374206530331193</v>
      </c>
      <c r="AJ5039">
        <v>89.024450722016496</v>
      </c>
      <c r="AK5039">
        <v>27.0564790329319</v>
      </c>
      <c r="AL5039">
        <v>94.258473507809299</v>
      </c>
      <c r="AM5039">
        <v>90.578151619613806</v>
      </c>
      <c r="AN5039">
        <v>0.99999995524823104</v>
      </c>
    </row>
    <row r="5040" spans="1:40" x14ac:dyDescent="0.25">
      <c r="A5040" t="str">
        <f>"20190303154909948"</f>
        <v>20190303154909948</v>
      </c>
      <c r="B5040" t="str">
        <f>"1551599349946226"</f>
        <v>1551599349946226</v>
      </c>
      <c r="C5040" t="s">
        <v>40</v>
      </c>
      <c r="D5040">
        <v>5.3459310000000002</v>
      </c>
      <c r="E5040">
        <v>0.50951780000000002</v>
      </c>
      <c r="F5040" t="s">
        <v>59</v>
      </c>
      <c r="G5040">
        <v>-310.12869999999998</v>
      </c>
      <c r="H5040" s="1">
        <v>-1.02723E-5</v>
      </c>
      <c r="I5040">
        <v>142.5127</v>
      </c>
      <c r="J5040">
        <v>-283.94749999999999</v>
      </c>
      <c r="K5040">
        <v>1.120879</v>
      </c>
      <c r="L5040">
        <v>141.5377</v>
      </c>
      <c r="M5040">
        <v>-0.99967340000000005</v>
      </c>
      <c r="N5040">
        <v>-1.285268E-2</v>
      </c>
      <c r="O5040">
        <v>2.2087430000000002E-2</v>
      </c>
      <c r="P5040">
        <v>-0.99616680000000002</v>
      </c>
      <c r="Q5040">
        <v>-8.6735469999999995E-2</v>
      </c>
      <c r="R5040">
        <v>1.135311E-2</v>
      </c>
      <c r="S5040">
        <v>-2.9991150000000002</v>
      </c>
      <c r="T5040">
        <v>-0.1273214</v>
      </c>
      <c r="U5040">
        <v>0.1112976</v>
      </c>
      <c r="V5040">
        <v>-1.06506E-2</v>
      </c>
      <c r="W5040">
        <v>-7.3925320000000003E-2</v>
      </c>
      <c r="X5040">
        <v>0.99720690000000001</v>
      </c>
      <c r="Y5040">
        <v>1.4993589999999999E-2</v>
      </c>
      <c r="Z5040">
        <v>-2.3856990000000001E-4</v>
      </c>
      <c r="AA5040">
        <v>0.99988759999999999</v>
      </c>
      <c r="AB5040">
        <v>23</v>
      </c>
      <c r="AC5040">
        <v>-26.181199999999901</v>
      </c>
      <c r="AD5040">
        <v>-1.1208892722999999</v>
      </c>
      <c r="AE5040">
        <v>0.97499999999999398</v>
      </c>
      <c r="AF5040">
        <v>0.39571458420705902</v>
      </c>
      <c r="AG5040">
        <v>-1.1208892722999999</v>
      </c>
      <c r="AH5040">
        <v>26.148486861891101</v>
      </c>
      <c r="AI5040">
        <v>92.454275553146502</v>
      </c>
      <c r="AJ5040">
        <v>89.132988264508597</v>
      </c>
      <c r="AK5040">
        <v>26.175491360419599</v>
      </c>
      <c r="AL5040">
        <v>94.239476276114601</v>
      </c>
      <c r="AM5040">
        <v>90.611920382213398</v>
      </c>
      <c r="AN5040">
        <v>0.99999999481253599</v>
      </c>
    </row>
    <row r="5041" spans="1:40" x14ac:dyDescent="0.25">
      <c r="A5041" t="str">
        <f>"20190303154909970"</f>
        <v>20190303154909970</v>
      </c>
      <c r="B5041" t="str">
        <f>"1551599349965745"</f>
        <v>1551599349965745</v>
      </c>
      <c r="C5041" t="s">
        <v>40</v>
      </c>
      <c r="D5041">
        <v>5.342517</v>
      </c>
      <c r="E5041">
        <v>0.5094959</v>
      </c>
      <c r="F5041" t="s">
        <v>59</v>
      </c>
      <c r="G5041">
        <v>-310.13150000000002</v>
      </c>
      <c r="H5041" s="1">
        <v>-1.0268899999999999E-5</v>
      </c>
      <c r="I5041">
        <v>142.50550000000001</v>
      </c>
      <c r="J5041">
        <v>-284.16800000000001</v>
      </c>
      <c r="K5041">
        <v>1.1209389999999999</v>
      </c>
      <c r="L5041">
        <v>141.54249999999999</v>
      </c>
      <c r="M5041">
        <v>-0.99967309999999998</v>
      </c>
      <c r="N5041">
        <v>-1.306652E-2</v>
      </c>
      <c r="O5041">
        <v>2.1983610000000001E-2</v>
      </c>
      <c r="P5041">
        <v>-0.99621899999999997</v>
      </c>
      <c r="Q5041">
        <v>-8.6118189999999997E-2</v>
      </c>
      <c r="R5041">
        <v>1.147425E-2</v>
      </c>
      <c r="S5041">
        <v>-2.9991460000000001</v>
      </c>
      <c r="T5041">
        <v>-0.1283878</v>
      </c>
      <c r="U5041">
        <v>0.1108551</v>
      </c>
      <c r="V5041">
        <v>-1.042157E-2</v>
      </c>
      <c r="W5041">
        <v>-7.3094930000000002E-2</v>
      </c>
      <c r="X5041">
        <v>0.99727049999999995</v>
      </c>
      <c r="Y5041">
        <v>1.494944E-2</v>
      </c>
      <c r="Z5041">
        <v>-2.3556719999999999E-4</v>
      </c>
      <c r="AA5041">
        <v>0.9998882</v>
      </c>
      <c r="AB5041">
        <v>23</v>
      </c>
      <c r="AC5041">
        <v>-25.9635</v>
      </c>
      <c r="AD5041">
        <v>-1.1209492689</v>
      </c>
      <c r="AE5041">
        <v>0.96300000000002195</v>
      </c>
      <c r="AF5041">
        <v>0.39121890570562001</v>
      </c>
      <c r="AG5041">
        <v>-1.1209492689</v>
      </c>
      <c r="AH5041">
        <v>25.930129077116899</v>
      </c>
      <c r="AI5041">
        <v>92.475051454869103</v>
      </c>
      <c r="AJ5041">
        <v>89.135619744313303</v>
      </c>
      <c r="AK5041">
        <v>25.957295187510901</v>
      </c>
      <c r="AL5041">
        <v>94.191769488880396</v>
      </c>
      <c r="AM5041">
        <v>90.598724460977806</v>
      </c>
      <c r="AN5041">
        <v>0.99999996404160896</v>
      </c>
    </row>
    <row r="5042" spans="1:40" x14ac:dyDescent="0.25">
      <c r="A5042" t="str">
        <f>"20190303154909993"</f>
        <v>20190303154909993</v>
      </c>
      <c r="B5042" t="str">
        <f>"1551599349986242"</f>
        <v>1551599349986242</v>
      </c>
      <c r="C5042" t="s">
        <v>40</v>
      </c>
      <c r="D5042">
        <v>5.2797489999999998</v>
      </c>
      <c r="E5042">
        <v>0.5094841</v>
      </c>
      <c r="F5042" t="s">
        <v>59</v>
      </c>
      <c r="G5042">
        <v>-310.20030000000003</v>
      </c>
      <c r="H5042" s="1">
        <v>-1.023893E-5</v>
      </c>
      <c r="I5042">
        <v>142.50729999999999</v>
      </c>
      <c r="J5042">
        <v>-284.39699999999999</v>
      </c>
      <c r="K5042">
        <v>1.1209960000000001</v>
      </c>
      <c r="L5042">
        <v>141.54740000000001</v>
      </c>
      <c r="M5042">
        <v>-0.99967410000000001</v>
      </c>
      <c r="N5042">
        <v>-1.3265010000000001E-2</v>
      </c>
      <c r="O5042">
        <v>2.1812290000000002E-2</v>
      </c>
      <c r="P5042">
        <v>-0.99631159999999996</v>
      </c>
      <c r="Q5042">
        <v>-8.5023219999999997E-2</v>
      </c>
      <c r="R5042">
        <v>1.1589810000000001E-2</v>
      </c>
      <c r="S5042">
        <v>-2.9989620000000001</v>
      </c>
      <c r="T5042">
        <v>-0.12913530000000001</v>
      </c>
      <c r="U5042">
        <v>0.11114499999999999</v>
      </c>
      <c r="V5042">
        <v>-1.013007E-2</v>
      </c>
      <c r="W5042">
        <v>-7.1801840000000006E-2</v>
      </c>
      <c r="X5042">
        <v>0.99736749999999996</v>
      </c>
      <c r="Y5042">
        <v>1.52189E-2</v>
      </c>
      <c r="Z5042">
        <v>-2.2068359999999999E-4</v>
      </c>
      <c r="AA5042">
        <v>0.9998842</v>
      </c>
      <c r="AB5042">
        <v>23</v>
      </c>
      <c r="AC5042">
        <v>-25.8033</v>
      </c>
      <c r="AD5042">
        <v>-1.12100623893</v>
      </c>
      <c r="AE5042">
        <v>0.95989999999997599</v>
      </c>
      <c r="AF5042">
        <v>0.39604654106841403</v>
      </c>
      <c r="AG5042">
        <v>-1.12100623893</v>
      </c>
      <c r="AH5042">
        <v>25.7695289804008</v>
      </c>
      <c r="AI5042">
        <v>92.490572793741805</v>
      </c>
      <c r="AJ5042">
        <v>89.119502379520796</v>
      </c>
      <c r="AK5042">
        <v>25.796940355827601</v>
      </c>
      <c r="AL5042">
        <v>94.117485418852894</v>
      </c>
      <c r="AM5042">
        <v>90.581922210107294</v>
      </c>
      <c r="AN5042">
        <v>1.0000000263009099</v>
      </c>
    </row>
    <row r="5043" spans="1:40" x14ac:dyDescent="0.25">
      <c r="A5043" t="str">
        <f>"20190303154910015"</f>
        <v>20190303154910015</v>
      </c>
      <c r="B5043" t="str">
        <f>"1551599350005762"</f>
        <v>1551599350005762</v>
      </c>
      <c r="C5043" t="s">
        <v>40</v>
      </c>
      <c r="D5043">
        <v>5.3568639999999998</v>
      </c>
      <c r="E5043">
        <v>0.50963440000000004</v>
      </c>
      <c r="F5043" t="s">
        <v>59</v>
      </c>
      <c r="G5043">
        <v>-311.15780000000001</v>
      </c>
      <c r="H5043" s="1">
        <v>-9.8241150000000007E-6</v>
      </c>
      <c r="I5043">
        <v>142.5403</v>
      </c>
      <c r="J5043">
        <v>-284.62099999999998</v>
      </c>
      <c r="K5043">
        <v>1.121057</v>
      </c>
      <c r="L5043">
        <v>141.5521</v>
      </c>
      <c r="M5043">
        <v>-0.99967689999999998</v>
      </c>
      <c r="N5043">
        <v>-1.343606E-2</v>
      </c>
      <c r="O5043">
        <v>2.1579230000000001E-2</v>
      </c>
      <c r="P5043">
        <v>-0.99630350000000001</v>
      </c>
      <c r="Q5043">
        <v>-8.5026580000000004E-2</v>
      </c>
      <c r="R5043">
        <v>1.2263339999999999E-2</v>
      </c>
      <c r="S5043">
        <v>-2.9990839999999999</v>
      </c>
      <c r="T5043">
        <v>-0.1256312</v>
      </c>
      <c r="U5043">
        <v>0.11126709999999999</v>
      </c>
      <c r="V5043">
        <v>-9.2156310000000002E-3</v>
      </c>
      <c r="W5043">
        <v>-7.1635290000000004E-2</v>
      </c>
      <c r="X5043">
        <v>0.99738830000000001</v>
      </c>
      <c r="Y5043">
        <v>1.549066E-2</v>
      </c>
      <c r="Z5043">
        <v>-1.8492390000000001E-4</v>
      </c>
      <c r="AA5043">
        <v>0.99987999999999999</v>
      </c>
      <c r="AB5043">
        <v>23</v>
      </c>
      <c r="AC5043">
        <v>-26.536799999999999</v>
      </c>
      <c r="AD5043">
        <v>-1.1210668241149999</v>
      </c>
      <c r="AE5043">
        <v>0.98820000000000596</v>
      </c>
      <c r="AF5043">
        <v>0.41453566965477301</v>
      </c>
      <c r="AG5043">
        <v>-1.1210668241149999</v>
      </c>
      <c r="AH5043">
        <v>26.5047085581716</v>
      </c>
      <c r="AI5043">
        <v>92.421693996547006</v>
      </c>
      <c r="AJ5043">
        <v>89.103962680593597</v>
      </c>
      <c r="AK5043">
        <v>26.5316453767791</v>
      </c>
      <c r="AL5043">
        <v>94.107918353582605</v>
      </c>
      <c r="AM5043">
        <v>90.529384329510805</v>
      </c>
      <c r="AN5043">
        <v>0.99999998180250005</v>
      </c>
    </row>
    <row r="5044" spans="1:40" x14ac:dyDescent="0.25">
      <c r="A5044" t="str">
        <f>"20190303154910036"</f>
        <v>20190303154910036</v>
      </c>
      <c r="B5044" t="str">
        <f>"1551599350026258"</f>
        <v>1551599350026258</v>
      </c>
      <c r="C5044" t="s">
        <v>40</v>
      </c>
      <c r="D5044">
        <v>5.4173869999999997</v>
      </c>
      <c r="E5044">
        <v>0.50962010000000002</v>
      </c>
      <c r="F5044" t="s">
        <v>59</v>
      </c>
      <c r="G5044">
        <v>-311.24470000000002</v>
      </c>
      <c r="H5044" s="1">
        <v>-9.7943349999999995E-6</v>
      </c>
      <c r="I5044">
        <v>142.56970000000001</v>
      </c>
      <c r="J5044">
        <v>-284.83850000000001</v>
      </c>
      <c r="K5044">
        <v>1.1211150000000001</v>
      </c>
      <c r="L5044">
        <v>141.5565</v>
      </c>
      <c r="M5044">
        <v>-0.99968120000000005</v>
      </c>
      <c r="N5044">
        <v>-1.35817E-2</v>
      </c>
      <c r="O5044">
        <v>2.128992E-2</v>
      </c>
      <c r="P5044">
        <v>-0.99625620000000004</v>
      </c>
      <c r="Q5044">
        <v>-8.5417549999999995E-2</v>
      </c>
      <c r="R5044">
        <v>1.33399E-2</v>
      </c>
      <c r="S5044">
        <v>-2.9989620000000001</v>
      </c>
      <c r="T5044">
        <v>-0.12627969999999999</v>
      </c>
      <c r="U5044">
        <v>0.114624</v>
      </c>
      <c r="V5044">
        <v>-7.8419739999999998E-3</v>
      </c>
      <c r="W5044">
        <v>-7.1881700000000007E-2</v>
      </c>
      <c r="X5044">
        <v>0.99738230000000005</v>
      </c>
      <c r="Y5044">
        <v>1.6897189999999999E-2</v>
      </c>
      <c r="Z5044">
        <v>-1.362611E-4</v>
      </c>
      <c r="AA5044">
        <v>0.9998572</v>
      </c>
      <c r="AB5044">
        <v>23</v>
      </c>
      <c r="AC5044">
        <v>-26.406199999999998</v>
      </c>
      <c r="AD5044">
        <v>-1.12112479433499</v>
      </c>
      <c r="AE5044">
        <v>1.0132000000000101</v>
      </c>
      <c r="AF5044">
        <v>0.44992279675212798</v>
      </c>
      <c r="AG5044">
        <v>-1.12112479433499</v>
      </c>
      <c r="AH5044">
        <v>26.374314615339699</v>
      </c>
      <c r="AI5044">
        <v>92.433721740651606</v>
      </c>
      <c r="AJ5044">
        <v>89.022678787201201</v>
      </c>
      <c r="AK5044">
        <v>26.401966266860398</v>
      </c>
      <c r="AL5044">
        <v>94.122073171443802</v>
      </c>
      <c r="AM5044">
        <v>90.450481981487101</v>
      </c>
      <c r="AN5044">
        <v>0.99999996385219703</v>
      </c>
    </row>
    <row r="5045" spans="1:40" x14ac:dyDescent="0.25">
      <c r="A5045" t="str">
        <f>"20190303154910059"</f>
        <v>20190303154910059</v>
      </c>
      <c r="B5045" t="str">
        <f>"1551599350055538"</f>
        <v>1551599350055538</v>
      </c>
      <c r="C5045" t="s">
        <v>40</v>
      </c>
      <c r="D5045">
        <v>5.4446279999999998</v>
      </c>
      <c r="E5045">
        <v>0.50938170000000005</v>
      </c>
      <c r="F5045" t="s">
        <v>59</v>
      </c>
      <c r="G5045">
        <v>-310.54520000000002</v>
      </c>
      <c r="H5045" s="1">
        <v>-1.010444E-5</v>
      </c>
      <c r="I5045">
        <v>142.5693</v>
      </c>
      <c r="J5045">
        <v>-285.065</v>
      </c>
      <c r="K5045">
        <v>1.121156</v>
      </c>
      <c r="L5045">
        <v>141.5609</v>
      </c>
      <c r="M5045">
        <v>-0.99968710000000005</v>
      </c>
      <c r="N5045">
        <v>-1.37147E-2</v>
      </c>
      <c r="O5045">
        <v>2.092507E-2</v>
      </c>
      <c r="P5045">
        <v>-0.99617009999999995</v>
      </c>
      <c r="Q5045">
        <v>-8.6325239999999998E-2</v>
      </c>
      <c r="R5045">
        <v>1.390154E-2</v>
      </c>
      <c r="S5045">
        <v>-2.9985050000000002</v>
      </c>
      <c r="T5045">
        <v>-0.13077159999999999</v>
      </c>
      <c r="U5045">
        <v>0.1181335</v>
      </c>
      <c r="V5045">
        <v>-6.9065730000000001E-3</v>
      </c>
      <c r="W5045">
        <v>-7.2657970000000002E-2</v>
      </c>
      <c r="X5045">
        <v>0.99733300000000003</v>
      </c>
      <c r="Y5045">
        <v>1.8433829999999998E-2</v>
      </c>
      <c r="Z5045" s="1">
        <v>-9.6659290000000004E-5</v>
      </c>
      <c r="AA5045">
        <v>0.99983010000000005</v>
      </c>
      <c r="AB5045">
        <v>23</v>
      </c>
      <c r="AC5045">
        <v>-25.4802</v>
      </c>
      <c r="AD5045">
        <v>-1.1211661044399901</v>
      </c>
      <c r="AE5045">
        <v>1.00839999999999</v>
      </c>
      <c r="AF5045">
        <v>0.47403775074168703</v>
      </c>
      <c r="AG5045">
        <v>-1.1211661044399901</v>
      </c>
      <c r="AH5045">
        <v>25.446532082028401</v>
      </c>
      <c r="AI5045">
        <v>92.522365119118703</v>
      </c>
      <c r="AJ5045">
        <v>88.932773189608895</v>
      </c>
      <c r="AK5045">
        <v>25.4756299279247</v>
      </c>
      <c r="AL5045">
        <v>94.166666637166998</v>
      </c>
      <c r="AM5045">
        <v>90.396769342113103</v>
      </c>
      <c r="AN5045">
        <v>0.999999997122062</v>
      </c>
    </row>
    <row r="5046" spans="1:40" x14ac:dyDescent="0.25">
      <c r="A5046" t="str">
        <f>"20190303154910082"</f>
        <v>20190303154910082</v>
      </c>
      <c r="B5046" t="str">
        <f>"1551599350076035"</f>
        <v>1551599350076035</v>
      </c>
      <c r="C5046" t="s">
        <v>40</v>
      </c>
      <c r="D5046">
        <v>5.4010049999999996</v>
      </c>
      <c r="E5046">
        <v>0.50947319999999996</v>
      </c>
      <c r="F5046" t="s">
        <v>59</v>
      </c>
      <c r="G5046">
        <v>-309.04629999999997</v>
      </c>
      <c r="H5046" s="1">
        <v>-1.021484E-5</v>
      </c>
      <c r="I5046">
        <v>142.50479999999999</v>
      </c>
      <c r="J5046">
        <v>-285.2944</v>
      </c>
      <c r="K5046">
        <v>1.1211930000000001</v>
      </c>
      <c r="L5046">
        <v>141.5652</v>
      </c>
      <c r="M5046">
        <v>-0.99969430000000004</v>
      </c>
      <c r="N5046">
        <v>-1.383143E-2</v>
      </c>
      <c r="O5046">
        <v>2.049163E-2</v>
      </c>
      <c r="P5046">
        <v>-0.99603399999999997</v>
      </c>
      <c r="Q5046">
        <v>-8.7858099999999995E-2</v>
      </c>
      <c r="R5046">
        <v>1.4043979999999999E-2</v>
      </c>
      <c r="S5046">
        <v>-2.9977109999999998</v>
      </c>
      <c r="T5046">
        <v>-0.14014839999999901</v>
      </c>
      <c r="U5046">
        <v>0.117981</v>
      </c>
      <c r="V5046">
        <v>-6.3214400000000002E-3</v>
      </c>
      <c r="W5046">
        <v>-7.4076290000000003E-2</v>
      </c>
      <c r="X5046">
        <v>0.99723260000000002</v>
      </c>
      <c r="Y5046">
        <v>1.882503E-2</v>
      </c>
      <c r="Z5046">
        <v>-1.037349E-4</v>
      </c>
      <c r="AA5046">
        <v>0.99982280000000001</v>
      </c>
      <c r="AB5046">
        <v>22</v>
      </c>
      <c r="AC5046">
        <v>-23.7518999999999</v>
      </c>
      <c r="AD5046">
        <v>-1.12120321484</v>
      </c>
      <c r="AE5046">
        <v>0.939599999999984</v>
      </c>
      <c r="AF5046">
        <v>0.45163613299522198</v>
      </c>
      <c r="AG5046">
        <v>-1.12120321484</v>
      </c>
      <c r="AH5046">
        <v>23.713409684338298</v>
      </c>
      <c r="AI5046">
        <v>92.7065185852707</v>
      </c>
      <c r="AJ5046">
        <v>88.908899373398299</v>
      </c>
      <c r="AK5046">
        <v>23.7441965689063</v>
      </c>
      <c r="AL5046">
        <v>94.248149733185102</v>
      </c>
      <c r="AM5046">
        <v>90.363192079039806</v>
      </c>
      <c r="AN5046">
        <v>1.0000000579232899</v>
      </c>
    </row>
    <row r="5047" spans="1:40" x14ac:dyDescent="0.25">
      <c r="A5047" t="str">
        <f>"20190303154910103"</f>
        <v>20190303154910103</v>
      </c>
      <c r="B5047" t="str">
        <f>"1551599350095555"</f>
        <v>1551599350095555</v>
      </c>
      <c r="C5047" t="s">
        <v>40</v>
      </c>
      <c r="D5047">
        <v>5.408258</v>
      </c>
      <c r="E5047">
        <v>0.50956309999999905</v>
      </c>
      <c r="F5047" t="s">
        <v>59</v>
      </c>
      <c r="G5047">
        <v>-308.35840000000002</v>
      </c>
      <c r="H5047" s="1">
        <v>-1.0108929999999999E-5</v>
      </c>
      <c r="I5047">
        <v>142.48079999999999</v>
      </c>
      <c r="J5047">
        <v>-285.50900000000001</v>
      </c>
      <c r="K5047">
        <v>1.1212089999999999</v>
      </c>
      <c r="L5047">
        <v>141.5692</v>
      </c>
      <c r="M5047">
        <v>-0.99970219999999999</v>
      </c>
      <c r="N5047">
        <v>-1.3925740000000001E-2</v>
      </c>
      <c r="O5047">
        <v>2.0040140000000001E-2</v>
      </c>
      <c r="P5047">
        <v>-0.99599079999999995</v>
      </c>
      <c r="Q5047">
        <v>-8.8386519999999996E-2</v>
      </c>
      <c r="R5047">
        <v>1.3787000000000001E-2</v>
      </c>
      <c r="S5047">
        <v>-2.9974059999999998</v>
      </c>
      <c r="T5047">
        <v>-0.14571190000000001</v>
      </c>
      <c r="U5047">
        <v>0.118988</v>
      </c>
      <c r="V5047">
        <v>-6.1229500000000003E-3</v>
      </c>
      <c r="W5047">
        <v>-7.4511480000000005E-2</v>
      </c>
      <c r="X5047">
        <v>0.99720140000000002</v>
      </c>
      <c r="Y5047">
        <v>1.9613740000000001E-2</v>
      </c>
      <c r="Z5047" s="1">
        <v>-8.119832E-5</v>
      </c>
      <c r="AA5047">
        <v>0.99980769999999997</v>
      </c>
      <c r="AB5047">
        <v>22</v>
      </c>
      <c r="AC5047">
        <v>-22.849399999999999</v>
      </c>
      <c r="AD5047">
        <v>-1.1212191089299901</v>
      </c>
      <c r="AE5047">
        <v>0.91159999999999197</v>
      </c>
      <c r="AF5047">
        <v>0.45237978079393498</v>
      </c>
      <c r="AG5047">
        <v>-1.1212191089299901</v>
      </c>
      <c r="AH5047">
        <v>22.808248956602402</v>
      </c>
      <c r="AI5047">
        <v>92.813756054389302</v>
      </c>
      <c r="AJ5047">
        <v>88.863742051543397</v>
      </c>
      <c r="AK5047">
        <v>22.840271456851301</v>
      </c>
      <c r="AL5047">
        <v>94.273153452144001</v>
      </c>
      <c r="AM5047">
        <v>90.351799330101301</v>
      </c>
      <c r="AN5047">
        <v>1.0000000416652199</v>
      </c>
    </row>
    <row r="5048" spans="1:40" x14ac:dyDescent="0.25">
      <c r="A5048" t="str">
        <f>"20190303154910126"</f>
        <v>20190303154910126</v>
      </c>
      <c r="B5048" t="str">
        <f>"1551599350116050"</f>
        <v>1551599350116050</v>
      </c>
      <c r="C5048" t="s">
        <v>40</v>
      </c>
      <c r="D5048">
        <v>5.4312899999999997</v>
      </c>
      <c r="E5048">
        <v>0.50940600000000003</v>
      </c>
      <c r="F5048" t="s">
        <v>59</v>
      </c>
      <c r="G5048">
        <v>-308.1071</v>
      </c>
      <c r="H5048" s="1">
        <v>-1.0068799999999999E-5</v>
      </c>
      <c r="I5048">
        <v>142.46719999999999</v>
      </c>
      <c r="J5048">
        <v>-285.73439999999999</v>
      </c>
      <c r="K5048">
        <v>1.1212200000000001</v>
      </c>
      <c r="L5048">
        <v>141.57310000000001</v>
      </c>
      <c r="M5048">
        <v>-0.99971100000000002</v>
      </c>
      <c r="N5048">
        <v>-1.401151E-2</v>
      </c>
      <c r="O5048">
        <v>1.9534889999999999E-2</v>
      </c>
      <c r="P5048">
        <v>-0.99595049999999996</v>
      </c>
      <c r="Q5048">
        <v>-8.893094E-2</v>
      </c>
      <c r="R5048">
        <v>1.320819E-2</v>
      </c>
      <c r="S5048">
        <v>-2.997223</v>
      </c>
      <c r="T5048">
        <v>-0.1487088</v>
      </c>
      <c r="U5048">
        <v>0.1191101</v>
      </c>
      <c r="V5048">
        <v>-6.1945380000000003E-3</v>
      </c>
      <c r="W5048">
        <v>-7.4971259999999998E-2</v>
      </c>
      <c r="X5048">
        <v>0.99716649999999996</v>
      </c>
      <c r="Y5048">
        <v>2.0160419999999998E-2</v>
      </c>
      <c r="Z5048" s="1">
        <v>-5.3535390000000002E-5</v>
      </c>
      <c r="AA5048">
        <v>0.99979669999999998</v>
      </c>
      <c r="AB5048">
        <v>22</v>
      </c>
      <c r="AC5048">
        <v>-22.372699999999998</v>
      </c>
      <c r="AD5048">
        <v>-1.1212300687999901</v>
      </c>
      <c r="AE5048">
        <v>0.89409999999998002</v>
      </c>
      <c r="AF5048">
        <v>0.45569550790316099</v>
      </c>
      <c r="AG5048">
        <v>-1.1212300687999901</v>
      </c>
      <c r="AH5048">
        <v>22.3299031304905</v>
      </c>
      <c r="AI5048">
        <v>92.873926626433303</v>
      </c>
      <c r="AJ5048">
        <v>88.830903763139702</v>
      </c>
      <c r="AK5048">
        <v>22.362678486267999</v>
      </c>
      <c r="AL5048">
        <v>94.299570779163105</v>
      </c>
      <c r="AM5048">
        <v>90.355924831001104</v>
      </c>
      <c r="AN5048">
        <v>1.0000000454246301</v>
      </c>
    </row>
    <row r="5049" spans="1:40" x14ac:dyDescent="0.25">
      <c r="A5049" t="str">
        <f>"20190303154910150"</f>
        <v>20190303154910150</v>
      </c>
      <c r="B5049" t="str">
        <f>"1551599350146307"</f>
        <v>1551599350146307</v>
      </c>
      <c r="C5049" t="s">
        <v>40</v>
      </c>
      <c r="D5049">
        <v>5.4336880000000001</v>
      </c>
      <c r="E5049">
        <v>0.50903220000000005</v>
      </c>
      <c r="F5049" t="s">
        <v>59</v>
      </c>
      <c r="G5049">
        <v>-307.73399999999998</v>
      </c>
      <c r="H5049" s="1">
        <v>-1.00029E-5</v>
      </c>
      <c r="I5049">
        <v>142.42580000000001</v>
      </c>
      <c r="J5049">
        <v>-285.96620000000001</v>
      </c>
      <c r="K5049">
        <v>1.1212169999999999</v>
      </c>
      <c r="L5049">
        <v>141.577</v>
      </c>
      <c r="M5049">
        <v>-0.99972030000000001</v>
      </c>
      <c r="N5049">
        <v>-1.4086899999999999E-2</v>
      </c>
      <c r="O5049">
        <v>1.899853E-2</v>
      </c>
      <c r="P5049">
        <v>-0.99594139999999998</v>
      </c>
      <c r="Q5049">
        <v>-8.9161069999999995E-2</v>
      </c>
      <c r="R5049">
        <v>1.2292630000000001E-2</v>
      </c>
      <c r="S5049">
        <v>-2.9969480000000002</v>
      </c>
      <c r="T5049">
        <v>-0.1527424</v>
      </c>
      <c r="U5049">
        <v>0.1161652</v>
      </c>
      <c r="V5049">
        <v>-6.574374E-3</v>
      </c>
      <c r="W5049">
        <v>-7.5126879999999993E-2</v>
      </c>
      <c r="X5049">
        <v>0.99715229999999999</v>
      </c>
      <c r="Y5049">
        <v>1.9719159999999999E-2</v>
      </c>
      <c r="Z5049" s="1">
        <v>-5.8646980000000001E-5</v>
      </c>
      <c r="AA5049">
        <v>0.99980559999999996</v>
      </c>
      <c r="AB5049">
        <v>22</v>
      </c>
      <c r="AC5049">
        <v>-21.767800000000001</v>
      </c>
      <c r="AD5049">
        <v>-1.1212270029</v>
      </c>
      <c r="AE5049">
        <v>0.84880000000001099</v>
      </c>
      <c r="AF5049">
        <v>0.433900099188054</v>
      </c>
      <c r="AG5049">
        <v>-1.1212270029</v>
      </c>
      <c r="AH5049">
        <v>21.722453009990801</v>
      </c>
      <c r="AI5049">
        <v>92.954170829915697</v>
      </c>
      <c r="AJ5049">
        <v>88.855684539279196</v>
      </c>
      <c r="AK5049">
        <v>21.755697737819599</v>
      </c>
      <c r="AL5049">
        <v>94.308512604149598</v>
      </c>
      <c r="AM5049">
        <v>90.377754155690496</v>
      </c>
      <c r="AN5049">
        <v>0.99999998994365802</v>
      </c>
    </row>
    <row r="5050" spans="1:40" x14ac:dyDescent="0.25">
      <c r="A5050" t="str">
        <f>"20190303154910283"</f>
        <v>20190303154910283</v>
      </c>
      <c r="B5050" t="str">
        <f>"1551599350275700"</f>
        <v>1551599350275700</v>
      </c>
      <c r="C5050" t="s">
        <v>40</v>
      </c>
      <c r="D5050">
        <v>5.4679149999999996</v>
      </c>
      <c r="E5050">
        <v>0.52789659999999905</v>
      </c>
      <c r="F5050" t="s">
        <v>59</v>
      </c>
      <c r="G5050">
        <v>-307.74650000000003</v>
      </c>
      <c r="H5050" s="1">
        <v>-9.9909930000000006E-6</v>
      </c>
      <c r="I5050">
        <v>142.37979999999999</v>
      </c>
      <c r="J5050">
        <v>-287.28410000000002</v>
      </c>
      <c r="K5050">
        <v>1.121221</v>
      </c>
      <c r="L5050">
        <v>141.59690000000001</v>
      </c>
      <c r="M5050">
        <v>-0.99976989999999999</v>
      </c>
      <c r="N5050">
        <v>-1.4290870000000001E-2</v>
      </c>
      <c r="O5050">
        <v>1.6000150000000001E-2</v>
      </c>
      <c r="P5050">
        <v>-0.9961525</v>
      </c>
      <c r="Q5050">
        <v>-8.7258379999999997E-2</v>
      </c>
      <c r="R5050">
        <v>8.1257559999999996E-3</v>
      </c>
      <c r="S5050">
        <v>-2.9970699999999999</v>
      </c>
      <c r="T5050">
        <v>-0.15428610000000001</v>
      </c>
      <c r="U5050">
        <v>0.110458399999999</v>
      </c>
      <c r="V5050">
        <v>-7.7652369999999899E-3</v>
      </c>
      <c r="W5050">
        <v>-7.3018949999999999E-2</v>
      </c>
      <c r="X5050">
        <v>0.99730030000000003</v>
      </c>
      <c r="Y5050">
        <v>2.0810660000000002E-2</v>
      </c>
      <c r="Z5050" s="1">
        <v>8.9749110000000005E-5</v>
      </c>
      <c r="AA5050">
        <v>0.99978350000000005</v>
      </c>
      <c r="AB5050">
        <v>22</v>
      </c>
      <c r="AC5050">
        <v>-20.462399999999999</v>
      </c>
      <c r="AD5050">
        <v>-1.1212309909930001</v>
      </c>
      <c r="AE5050">
        <v>0.78289999999998305</v>
      </c>
      <c r="AF5050">
        <v>0.45400373236894298</v>
      </c>
      <c r="AG5050">
        <v>-1.1212309909930001</v>
      </c>
      <c r="AH5050">
        <v>20.4111139096158</v>
      </c>
      <c r="AI5050">
        <v>93.143457264577094</v>
      </c>
      <c r="AJ5050">
        <v>88.725781981065396</v>
      </c>
      <c r="AK5050">
        <v>20.446927626308099</v>
      </c>
      <c r="AL5050">
        <v>94.187404436040296</v>
      </c>
      <c r="AM5050">
        <v>90.446110681235496</v>
      </c>
      <c r="AN5050">
        <v>0.99999997717242906</v>
      </c>
    </row>
    <row r="5051" spans="1:40" x14ac:dyDescent="0.25">
      <c r="A5051" t="str">
        <f>"20190303154910329"</f>
        <v>20190303154910329</v>
      </c>
      <c r="B5051" t="str">
        <f>"1551599350325480"</f>
        <v>1551599350325480</v>
      </c>
      <c r="C5051" t="s">
        <v>40</v>
      </c>
      <c r="D5051">
        <v>5.5711779999999997</v>
      </c>
      <c r="E5051">
        <v>0.52040640000000005</v>
      </c>
      <c r="F5051" t="s">
        <v>42</v>
      </c>
      <c r="G5051">
        <v>-288.1157</v>
      </c>
      <c r="H5051">
        <v>0.90399689999999999</v>
      </c>
      <c r="I5051">
        <v>141.66409999999999</v>
      </c>
      <c r="J5051">
        <v>-287.72800000000001</v>
      </c>
      <c r="K5051">
        <v>1.1211439999999999</v>
      </c>
      <c r="L5051">
        <v>141.6028</v>
      </c>
      <c r="M5051">
        <v>-0.99978900000000004</v>
      </c>
      <c r="N5051">
        <v>-1.400413E-2</v>
      </c>
      <c r="O5051">
        <v>1.503002E-2</v>
      </c>
      <c r="P5051">
        <v>-0.99615730000000002</v>
      </c>
      <c r="Q5051">
        <v>-8.7203119999999995E-2</v>
      </c>
      <c r="R5051">
        <v>8.1328730000000005E-3</v>
      </c>
      <c r="S5051">
        <v>-2.942383</v>
      </c>
      <c r="T5051">
        <v>-0.76852039999999999</v>
      </c>
      <c r="U5051">
        <v>0.23791499999999999</v>
      </c>
      <c r="V5051">
        <v>-6.7911919999999997E-3</v>
      </c>
      <c r="W5051">
        <v>-7.3248839999999996E-2</v>
      </c>
      <c r="X5051">
        <v>0.99729060000000003</v>
      </c>
      <c r="Y5051">
        <v>6.3806970000000005E-2</v>
      </c>
      <c r="Z5051">
        <v>4.9906239999999999E-3</v>
      </c>
      <c r="AA5051">
        <v>0.9979498</v>
      </c>
      <c r="AB5051">
        <v>22</v>
      </c>
      <c r="AC5051">
        <v>-0.38769999999999499</v>
      </c>
      <c r="AD5051">
        <v>-0.21714710000000001</v>
      </c>
      <c r="AE5051">
        <v>6.1299999999988503E-2</v>
      </c>
      <c r="AF5051">
        <v>4.2468014288754699E-2</v>
      </c>
      <c r="AG5051">
        <v>-0.21714710000000001</v>
      </c>
      <c r="AH5051">
        <v>0.297521173486824</v>
      </c>
      <c r="AI5051">
        <v>125.8492694612</v>
      </c>
      <c r="AJ5051">
        <v>81.876505131587294</v>
      </c>
      <c r="AK5051">
        <v>0.37077654179979702</v>
      </c>
      <c r="AL5051">
        <v>94.200611320941505</v>
      </c>
      <c r="AM5051">
        <v>90.390157718502294</v>
      </c>
      <c r="AN5051">
        <v>1.0000000268492399</v>
      </c>
    </row>
    <row r="5052" spans="1:40" x14ac:dyDescent="0.25">
      <c r="A5052" t="str">
        <f>"20190303154910351"</f>
        <v>20190303154910351</v>
      </c>
      <c r="B5052" t="str">
        <f>"1551599350345976"</f>
        <v>1551599350345976</v>
      </c>
      <c r="C5052" t="s">
        <v>40</v>
      </c>
      <c r="D5052">
        <v>5.4269959999999999</v>
      </c>
      <c r="E5052">
        <v>0.51800310000000005</v>
      </c>
      <c r="F5052" t="s">
        <v>61</v>
      </c>
      <c r="G5052">
        <v>-511.92919999999998</v>
      </c>
      <c r="H5052">
        <v>12.0937</v>
      </c>
      <c r="I5052">
        <v>155.9684</v>
      </c>
      <c r="J5052">
        <v>-287.95729999999998</v>
      </c>
      <c r="K5052">
        <v>1.121076</v>
      </c>
      <c r="L5052">
        <v>141.60560000000001</v>
      </c>
      <c r="M5052">
        <v>-0.99980029999999998</v>
      </c>
      <c r="N5052">
        <v>-1.3727700000000001E-2</v>
      </c>
      <c r="O5052">
        <v>1.4528309999999999E-2</v>
      </c>
      <c r="P5052">
        <v>-0.99603920000000001</v>
      </c>
      <c r="Q5052">
        <v>-8.8495219999999999E-2</v>
      </c>
      <c r="R5052">
        <v>8.6293329999999994E-3</v>
      </c>
      <c r="S5052">
        <v>-3.0229490000000001</v>
      </c>
      <c r="T5052">
        <v>0.14794560000000001</v>
      </c>
      <c r="U5052">
        <v>0.19369510000000001</v>
      </c>
      <c r="V5052">
        <v>-5.7928190000000003E-3</v>
      </c>
      <c r="W5052">
        <v>-7.4817250000000002E-2</v>
      </c>
      <c r="X5052">
        <v>0.99718050000000003</v>
      </c>
      <c r="Y5052">
        <v>4.9423130000000003E-2</v>
      </c>
      <c r="Z5052" s="1">
        <v>4.1192629999999998E-5</v>
      </c>
      <c r="AA5052">
        <v>0.9987779</v>
      </c>
      <c r="AB5052">
        <v>22</v>
      </c>
      <c r="AC5052">
        <v>-223.97190000000001</v>
      </c>
      <c r="AD5052">
        <v>10.972624</v>
      </c>
      <c r="AE5052">
        <v>14.362799999999901</v>
      </c>
      <c r="AF5052">
        <v>11.080558456775099</v>
      </c>
      <c r="AG5052">
        <v>10.972624</v>
      </c>
      <c r="AH5052">
        <v>223.62242039497099</v>
      </c>
      <c r="AI5052">
        <v>87.194321094421994</v>
      </c>
      <c r="AJ5052">
        <v>87.163296894214199</v>
      </c>
      <c r="AK5052">
        <v>224.16548386507799</v>
      </c>
      <c r="AL5052">
        <v>94.290721725847604</v>
      </c>
      <c r="AM5052">
        <v>90.332838785649997</v>
      </c>
      <c r="AN5052">
        <v>1.00000006361488</v>
      </c>
    </row>
    <row r="5053" spans="1:40" x14ac:dyDescent="0.25">
      <c r="A5053" t="str">
        <f>"20190303154910372"</f>
        <v>20190303154910372</v>
      </c>
      <c r="B5053" t="str">
        <f>"1551599350365496"</f>
        <v>1551599350365496</v>
      </c>
      <c r="C5053" t="s">
        <v>40</v>
      </c>
      <c r="D5053">
        <v>5.4176260000000003</v>
      </c>
      <c r="E5053">
        <v>0.51621909999999904</v>
      </c>
      <c r="F5053" t="s">
        <v>61</v>
      </c>
      <c r="G5053">
        <v>-511.92619999999999</v>
      </c>
      <c r="H5053">
        <v>3.0115750000000001</v>
      </c>
      <c r="I5053">
        <v>154.577</v>
      </c>
      <c r="J5053">
        <v>-288.15890000000002</v>
      </c>
      <c r="K5053">
        <v>1.12101299999999</v>
      </c>
      <c r="L5053">
        <v>141.608</v>
      </c>
      <c r="M5053">
        <v>-0.99981039999999999</v>
      </c>
      <c r="N5053">
        <v>-1.3451589999999999E-2</v>
      </c>
      <c r="O5053">
        <v>1.4082040000000001E-2</v>
      </c>
      <c r="P5053">
        <v>-0.99602199999999996</v>
      </c>
      <c r="Q5053">
        <v>-8.8606299999999999E-2</v>
      </c>
      <c r="R5053">
        <v>9.4378529999999995E-3</v>
      </c>
      <c r="S5053">
        <v>-3.0126949999999999</v>
      </c>
      <c r="T5053">
        <v>2.5430439999999999E-2</v>
      </c>
      <c r="U5053">
        <v>0.17448429999999901</v>
      </c>
      <c r="V5053">
        <v>-4.5407099999999999E-3</v>
      </c>
      <c r="W5053">
        <v>-7.52028E-2</v>
      </c>
      <c r="X5053">
        <v>0.99715790000000004</v>
      </c>
      <c r="Y5053">
        <v>4.3758239999999997E-2</v>
      </c>
      <c r="Z5053">
        <v>4.1808209999999999E-4</v>
      </c>
      <c r="AA5053">
        <v>0.99904199999999999</v>
      </c>
      <c r="AB5053">
        <v>22</v>
      </c>
      <c r="AC5053">
        <v>-223.76730000000001</v>
      </c>
      <c r="AD5053">
        <v>1.8905620000000001</v>
      </c>
      <c r="AE5053">
        <v>12.9689999999999</v>
      </c>
      <c r="AF5053">
        <v>9.8156304265727492</v>
      </c>
      <c r="AG5053">
        <v>1.8905620000000001</v>
      </c>
      <c r="AH5053">
        <v>223.91182466104399</v>
      </c>
      <c r="AI5053">
        <v>89.5167082970585</v>
      </c>
      <c r="AJ5053">
        <v>87.489929957579506</v>
      </c>
      <c r="AK5053">
        <v>224.134838988464</v>
      </c>
      <c r="AL5053">
        <v>94.312874890087997</v>
      </c>
      <c r="AM5053">
        <v>90.260903233867893</v>
      </c>
      <c r="AN5053">
        <v>0.99999997835377596</v>
      </c>
    </row>
    <row r="5054" spans="1:40" x14ac:dyDescent="0.25">
      <c r="A5054" t="str">
        <f>"20190303154910394"</f>
        <v>20190303154910394</v>
      </c>
      <c r="B5054" t="str">
        <f>"1551599350385992"</f>
        <v>1551599350385992</v>
      </c>
      <c r="C5054" t="s">
        <v>40</v>
      </c>
      <c r="D5054">
        <v>5.452102</v>
      </c>
      <c r="E5054">
        <v>0.51250819999999997</v>
      </c>
      <c r="F5054" t="s">
        <v>61</v>
      </c>
      <c r="G5054">
        <v>-511.92540000000002</v>
      </c>
      <c r="H5054">
        <v>0.5974834</v>
      </c>
      <c r="I5054">
        <v>153.67240000000001</v>
      </c>
      <c r="J5054">
        <v>-288.37880000000001</v>
      </c>
      <c r="K5054">
        <v>1.120954</v>
      </c>
      <c r="L5054">
        <v>141.6105</v>
      </c>
      <c r="M5054">
        <v>-0.99982139999999997</v>
      </c>
      <c r="N5054">
        <v>-1.314713E-2</v>
      </c>
      <c r="O5054">
        <v>1.3590619999999999E-2</v>
      </c>
      <c r="P5054">
        <v>-0.99610750000000003</v>
      </c>
      <c r="Q5054">
        <v>-8.7634779999999995E-2</v>
      </c>
      <c r="R5054">
        <v>9.4877239999999995E-3</v>
      </c>
      <c r="S5054">
        <v>-3.0098569999999998</v>
      </c>
      <c r="T5054">
        <v>-7.0413350000000001E-3</v>
      </c>
      <c r="U5054">
        <v>0.16227720000000001</v>
      </c>
      <c r="V5054">
        <v>-4.0036170000000001E-3</v>
      </c>
      <c r="W5054">
        <v>-7.4533390000000005E-2</v>
      </c>
      <c r="X5054">
        <v>0.9972105</v>
      </c>
      <c r="Y5054">
        <v>4.0260070000000002E-2</v>
      </c>
      <c r="Z5054">
        <v>4.5872639999999999E-4</v>
      </c>
      <c r="AA5054">
        <v>0.99918910000000005</v>
      </c>
      <c r="AB5054">
        <v>22</v>
      </c>
      <c r="AC5054">
        <v>-223.54660000000001</v>
      </c>
      <c r="AD5054">
        <v>-0.52347060000000001</v>
      </c>
      <c r="AE5054">
        <v>12.0619</v>
      </c>
      <c r="AF5054">
        <v>9.0223375706458793</v>
      </c>
      <c r="AG5054">
        <v>-0.52347060000000001</v>
      </c>
      <c r="AH5054">
        <v>223.688670230496</v>
      </c>
      <c r="AI5054">
        <v>90.1339729644464</v>
      </c>
      <c r="AJ5054">
        <v>87.690263855325298</v>
      </c>
      <c r="AK5054">
        <v>223.87116336454599</v>
      </c>
      <c r="AL5054">
        <v>94.274412403366597</v>
      </c>
      <c r="AM5054">
        <v>90.230030795306902</v>
      </c>
      <c r="AN5054">
        <v>1.00000001824211</v>
      </c>
    </row>
    <row r="5055" spans="1:40" x14ac:dyDescent="0.25">
      <c r="A5055" t="str">
        <f>"20190303154910428"</f>
        <v>20190303154910428</v>
      </c>
      <c r="B5055" t="str">
        <f>"1551599350426009"</f>
        <v>1551599350426009</v>
      </c>
      <c r="C5055" t="s">
        <v>40</v>
      </c>
      <c r="D5055">
        <v>5.4619819999999999</v>
      </c>
      <c r="E5055">
        <v>0.5088956</v>
      </c>
      <c r="F5055" t="s">
        <v>41</v>
      </c>
      <c r="G5055">
        <v>-377.45049999999998</v>
      </c>
      <c r="H5055" s="1">
        <v>-2.6491760000000002E-6</v>
      </c>
      <c r="I5055">
        <v>145.52850000000001</v>
      </c>
      <c r="J5055">
        <v>-288.7081</v>
      </c>
      <c r="K5055">
        <v>1.1209</v>
      </c>
      <c r="L5055">
        <v>141.61420000000001</v>
      </c>
      <c r="M5055">
        <v>-0.99983670000000002</v>
      </c>
      <c r="N5055">
        <v>-1.270071E-2</v>
      </c>
      <c r="O5055">
        <v>1.2857220000000001E-2</v>
      </c>
      <c r="P5055">
        <v>-0.99614669999999905</v>
      </c>
      <c r="Q5055">
        <v>-8.7191989999999997E-2</v>
      </c>
      <c r="R5055">
        <v>9.4703900000000004E-3</v>
      </c>
      <c r="S5055">
        <v>-3.0071409999999998</v>
      </c>
      <c r="T5055">
        <v>-3.7844540000000003E-2</v>
      </c>
      <c r="U5055">
        <v>0.13227839999999999</v>
      </c>
      <c r="V5055">
        <v>-3.2908299999999998E-3</v>
      </c>
      <c r="W5055">
        <v>-7.4534829999999996E-2</v>
      </c>
      <c r="X5055">
        <v>0.99721300000000002</v>
      </c>
      <c r="Y5055">
        <v>3.1091199999999999E-2</v>
      </c>
      <c r="Z5055">
        <v>3.9462770000000001E-4</v>
      </c>
      <c r="AA5055">
        <v>0.99951650000000003</v>
      </c>
      <c r="AB5055">
        <v>22</v>
      </c>
      <c r="AC5055">
        <v>-88.742399999999904</v>
      </c>
      <c r="AD5055">
        <v>-1.1209026491759999</v>
      </c>
      <c r="AE5055">
        <v>3.9142999999999901</v>
      </c>
      <c r="AF5055">
        <v>2.7724623664951098</v>
      </c>
      <c r="AG5055">
        <v>-1.1209026491759999</v>
      </c>
      <c r="AH5055">
        <v>88.771259477591101</v>
      </c>
      <c r="AI5055">
        <v>90.723075065209699</v>
      </c>
      <c r="AJ5055">
        <v>88.211146540117298</v>
      </c>
      <c r="AK5055">
        <v>88.821616060283205</v>
      </c>
      <c r="AL5055">
        <v>94.274495136572995</v>
      </c>
      <c r="AM5055">
        <v>90.189076943089702</v>
      </c>
      <c r="AN5055">
        <v>1.0000000189071001</v>
      </c>
    </row>
    <row r="5056" spans="1:40" x14ac:dyDescent="0.25">
      <c r="A5056" t="str">
        <f>"20190303154910451"</f>
        <v>20190303154910451</v>
      </c>
      <c r="B5056" t="str">
        <f>"1551599350445529"</f>
        <v>1551599350445529</v>
      </c>
      <c r="C5056" t="s">
        <v>40</v>
      </c>
      <c r="D5056">
        <v>5.4586649999999999</v>
      </c>
      <c r="E5056">
        <v>0.50749869999999997</v>
      </c>
      <c r="F5056" t="s">
        <v>41</v>
      </c>
      <c r="G5056">
        <v>-341.3698</v>
      </c>
      <c r="H5056" s="1">
        <v>-4.4844050000000001E-6</v>
      </c>
      <c r="I5056">
        <v>143.41899999999899</v>
      </c>
      <c r="J5056">
        <v>-288.9391</v>
      </c>
      <c r="K5056">
        <v>1.1208689999999999</v>
      </c>
      <c r="L5056">
        <v>141.6165</v>
      </c>
      <c r="M5056">
        <v>-0.99984709999999999</v>
      </c>
      <c r="N5056">
        <v>-1.2387240000000001E-2</v>
      </c>
      <c r="O5056">
        <v>1.234788E-2</v>
      </c>
      <c r="P5056">
        <v>-0.99612920000000005</v>
      </c>
      <c r="Q5056">
        <v>-8.7425269999999999E-2</v>
      </c>
      <c r="R5056">
        <v>9.1393269999999992E-3</v>
      </c>
      <c r="S5056">
        <v>-3.0050349999999999</v>
      </c>
      <c r="T5056">
        <v>-6.396222E-2</v>
      </c>
      <c r="U5056">
        <v>0.1029968</v>
      </c>
      <c r="V5056">
        <v>-3.1133380000000002E-3</v>
      </c>
      <c r="W5056">
        <v>-7.5080880000000003E-2</v>
      </c>
      <c r="X5056">
        <v>0.99717259999999996</v>
      </c>
      <c r="Y5056">
        <v>2.1903079999999998E-2</v>
      </c>
      <c r="Z5056">
        <v>2.5895950000000002E-4</v>
      </c>
      <c r="AA5056">
        <v>0.99976010000000004</v>
      </c>
      <c r="AB5056">
        <v>22</v>
      </c>
      <c r="AC5056">
        <v>-52.430700000000002</v>
      </c>
      <c r="AD5056">
        <v>-1.1208734844049999</v>
      </c>
      <c r="AE5056">
        <v>1.80249999999998</v>
      </c>
      <c r="AF5056">
        <v>1.1543779773142999</v>
      </c>
      <c r="AG5056">
        <v>-1.1208734844049999</v>
      </c>
      <c r="AH5056">
        <v>52.425029565819997</v>
      </c>
      <c r="AI5056">
        <v>91.224529218332904</v>
      </c>
      <c r="AJ5056">
        <v>88.738573922501701</v>
      </c>
      <c r="AK5056">
        <v>52.449715641361202</v>
      </c>
      <c r="AL5056">
        <v>94.305869434866395</v>
      </c>
      <c r="AM5056">
        <v>90.178886331198996</v>
      </c>
      <c r="AN5056">
        <v>1.0000000128029101</v>
      </c>
    </row>
    <row r="5057" spans="1:40" x14ac:dyDescent="0.25">
      <c r="A5057" t="str">
        <f>"20190303154910471"</f>
        <v>20190303154910471</v>
      </c>
      <c r="B5057" t="str">
        <f>"1551599350466025"</f>
        <v>1551599350466025</v>
      </c>
      <c r="C5057" t="s">
        <v>40</v>
      </c>
      <c r="D5057">
        <v>5.4494249999999997</v>
      </c>
      <c r="E5057">
        <v>0.50619349999999996</v>
      </c>
      <c r="F5057" t="s">
        <v>41</v>
      </c>
      <c r="G5057">
        <v>-334.7543</v>
      </c>
      <c r="H5057" s="1">
        <v>-3.3606590000000002E-6</v>
      </c>
      <c r="I5057">
        <v>143.0008</v>
      </c>
      <c r="J5057">
        <v>-289.1463</v>
      </c>
      <c r="K5057">
        <v>1.1208400000000001</v>
      </c>
      <c r="L5057">
        <v>141.61859999999999</v>
      </c>
      <c r="M5057">
        <v>-0.99985610000000003</v>
      </c>
      <c r="N5057">
        <v>-1.210138E-2</v>
      </c>
      <c r="O5057">
        <v>1.1893259999999999E-2</v>
      </c>
      <c r="P5057">
        <v>-0.99617310000000003</v>
      </c>
      <c r="Q5057">
        <v>-8.6945679999999997E-2</v>
      </c>
      <c r="R5057">
        <v>8.9384000000000009E-3</v>
      </c>
      <c r="S5057">
        <v>-3.0043950000000001</v>
      </c>
      <c r="T5057">
        <v>-7.3502659999999997E-2</v>
      </c>
      <c r="U5057">
        <v>9.0774540000000001E-2</v>
      </c>
      <c r="V5057">
        <v>-2.8613710000000001E-3</v>
      </c>
      <c r="W5057">
        <v>-7.4885699999999999E-2</v>
      </c>
      <c r="X5057">
        <v>0.99718799999999996</v>
      </c>
      <c r="Y5057">
        <v>1.830203E-2</v>
      </c>
      <c r="Z5057">
        <v>1.8764380000000001E-4</v>
      </c>
      <c r="AA5057">
        <v>0.99983250000000001</v>
      </c>
      <c r="AB5057">
        <v>22</v>
      </c>
      <c r="AC5057">
        <v>-45.607999999999997</v>
      </c>
      <c r="AD5057">
        <v>-1.120843360659</v>
      </c>
      <c r="AE5057">
        <v>1.3822000000000101</v>
      </c>
      <c r="AF5057">
        <v>0.83912839882894497</v>
      </c>
      <c r="AG5057">
        <v>-1.120843360659</v>
      </c>
      <c r="AH5057">
        <v>45.593702383327397</v>
      </c>
      <c r="AI5057">
        <v>91.407996972126995</v>
      </c>
      <c r="AJ5057">
        <v>88.945619990281401</v>
      </c>
      <c r="AK5057">
        <v>45.615196188641903</v>
      </c>
      <c r="AL5057">
        <v>94.2946550084107</v>
      </c>
      <c r="AM5057">
        <v>90.164406342603002</v>
      </c>
      <c r="AN5057">
        <v>0.99999998142624402</v>
      </c>
    </row>
    <row r="5058" spans="1:40" x14ac:dyDescent="0.25">
      <c r="A5058" t="str">
        <f>"20190303154910485"</f>
        <v>20190303154910485</v>
      </c>
      <c r="B5058" t="str">
        <f>"1551599350475784"</f>
        <v>1551599350475784</v>
      </c>
      <c r="C5058" t="s">
        <v>40</v>
      </c>
      <c r="D5058">
        <v>5.4917360000000004</v>
      </c>
      <c r="E5058">
        <v>0.50579379999999996</v>
      </c>
      <c r="F5058" t="s">
        <v>41</v>
      </c>
      <c r="G5058">
        <v>-332.29180000000002</v>
      </c>
      <c r="H5058" s="1">
        <v>-4.3894419999999997E-6</v>
      </c>
      <c r="I5058">
        <v>142.76349999999999</v>
      </c>
      <c r="J5058">
        <v>-289.28199999999998</v>
      </c>
      <c r="K5058">
        <v>1.120822</v>
      </c>
      <c r="L5058">
        <v>141.6199</v>
      </c>
      <c r="M5058">
        <v>-0.99986189999999997</v>
      </c>
      <c r="N5058">
        <v>-1.190595E-2</v>
      </c>
      <c r="O5058">
        <v>1.1595690000000001E-2</v>
      </c>
      <c r="P5058">
        <v>-0.99620310000000001</v>
      </c>
      <c r="Q5058">
        <v>-8.6637099999999995E-2</v>
      </c>
      <c r="R5058">
        <v>8.5870679999999998E-3</v>
      </c>
      <c r="S5058">
        <v>-3.0039980000000002</v>
      </c>
      <c r="T5058">
        <v>-7.8038570000000002E-2</v>
      </c>
      <c r="U5058">
        <v>7.9711909999999997E-2</v>
      </c>
      <c r="V5058">
        <v>-2.916077E-3</v>
      </c>
      <c r="W5058">
        <v>-7.4771779999999996E-2</v>
      </c>
      <c r="X5058">
        <v>0.99719639999999998</v>
      </c>
      <c r="Y5058">
        <v>1.4925529999999999E-2</v>
      </c>
      <c r="Z5058">
        <v>1.196129E-4</v>
      </c>
      <c r="AA5058">
        <v>0.99988860000000002</v>
      </c>
      <c r="AB5058">
        <v>22</v>
      </c>
      <c r="AC5058">
        <v>-43.009799999999998</v>
      </c>
      <c r="AD5058">
        <v>-1.1208263894419901</v>
      </c>
      <c r="AE5058">
        <v>1.14359999999999</v>
      </c>
      <c r="AF5058">
        <v>0.64432219239875899</v>
      </c>
      <c r="AG5058">
        <v>-1.1208263894419901</v>
      </c>
      <c r="AH5058">
        <v>42.990994610627503</v>
      </c>
      <c r="AI5058">
        <v>91.493263226857707</v>
      </c>
      <c r="AJ5058">
        <v>89.141350906958394</v>
      </c>
      <c r="AK5058">
        <v>43.010429206111098</v>
      </c>
      <c r="AL5058">
        <v>94.288109479388396</v>
      </c>
      <c r="AM5058">
        <v>90.167548166625394</v>
      </c>
      <c r="AN5058">
        <v>0.99999999138119899</v>
      </c>
    </row>
    <row r="5059" spans="1:40" x14ac:dyDescent="0.25">
      <c r="A5059" t="str">
        <f>"20190303154910498"</f>
        <v>20190303154910498</v>
      </c>
      <c r="B5059" t="str">
        <f>"1551599350485544"</f>
        <v>1551599350485544</v>
      </c>
      <c r="C5059" t="s">
        <v>40</v>
      </c>
      <c r="D5059">
        <v>5.483905</v>
      </c>
      <c r="E5059">
        <v>0.50542019999999999</v>
      </c>
      <c r="F5059" t="s">
        <v>41</v>
      </c>
      <c r="G5059">
        <v>-331.55619999999999</v>
      </c>
      <c r="H5059" s="1">
        <v>-4.6571230000000003E-6</v>
      </c>
      <c r="I5059">
        <v>142.6799</v>
      </c>
      <c r="J5059">
        <v>-289.40839999999997</v>
      </c>
      <c r="K5059">
        <v>1.120803</v>
      </c>
      <c r="L5059">
        <v>141.62100000000001</v>
      </c>
      <c r="M5059">
        <v>-0.99986739999999996</v>
      </c>
      <c r="N5059">
        <v>-1.17155E-2</v>
      </c>
      <c r="O5059">
        <v>1.131762E-2</v>
      </c>
      <c r="P5059">
        <v>-0.9962453</v>
      </c>
      <c r="Q5059">
        <v>-8.6152049999999994E-2</v>
      </c>
      <c r="R5059">
        <v>8.5633840000000003E-3</v>
      </c>
      <c r="S5059">
        <v>-3.0038450000000001</v>
      </c>
      <c r="T5059">
        <v>-7.9641820000000002E-2</v>
      </c>
      <c r="U5059">
        <v>7.5317380000000003E-2</v>
      </c>
      <c r="V5059">
        <v>-2.6631699999999999E-3</v>
      </c>
      <c r="W5059">
        <v>-7.4476050000000002E-2</v>
      </c>
      <c r="X5059">
        <v>0.99721930000000003</v>
      </c>
      <c r="Y5059">
        <v>1.374361E-2</v>
      </c>
      <c r="Z5059" s="1">
        <v>9.5292979999999996E-5</v>
      </c>
      <c r="AA5059">
        <v>0.9999055</v>
      </c>
      <c r="AB5059">
        <v>22</v>
      </c>
      <c r="AC5059">
        <v>-42.147799999999997</v>
      </c>
      <c r="AD5059">
        <v>-1.1208076571229999</v>
      </c>
      <c r="AE5059">
        <v>1.05889999999999</v>
      </c>
      <c r="AF5059">
        <v>0.581375825340539</v>
      </c>
      <c r="AG5059">
        <v>-1.1208076571229999</v>
      </c>
      <c r="AH5059">
        <v>42.127313674076603</v>
      </c>
      <c r="AI5059">
        <v>91.523863910058793</v>
      </c>
      <c r="AJ5059">
        <v>89.209342733747505</v>
      </c>
      <c r="AK5059">
        <v>42.146230733585099</v>
      </c>
      <c r="AL5059">
        <v>94.2711177564846</v>
      </c>
      <c r="AM5059">
        <v>90.153013523073199</v>
      </c>
      <c r="AN5059">
        <v>1.00000005339526</v>
      </c>
    </row>
    <row r="5060" spans="1:40" x14ac:dyDescent="0.25">
      <c r="A5060" t="str">
        <f>"20190303154910516"</f>
        <v>20190303154910516</v>
      </c>
      <c r="B5060" t="str">
        <f>"1551599350506040"</f>
        <v>1551599350506040</v>
      </c>
      <c r="C5060" t="s">
        <v>40</v>
      </c>
      <c r="D5060">
        <v>5.4708100000000002</v>
      </c>
      <c r="E5060">
        <v>0.50457450000000004</v>
      </c>
      <c r="F5060" t="s">
        <v>41</v>
      </c>
      <c r="G5060">
        <v>-331.15440000000001</v>
      </c>
      <c r="H5060" s="1">
        <v>-4.8017470000000004E-6</v>
      </c>
      <c r="I5060">
        <v>142.62540000000001</v>
      </c>
      <c r="J5060">
        <v>-289.5924</v>
      </c>
      <c r="K5060">
        <v>1.1207689999999999</v>
      </c>
      <c r="L5060">
        <v>141.62270000000001</v>
      </c>
      <c r="M5060">
        <v>-0.99987510000000002</v>
      </c>
      <c r="N5060">
        <v>-1.1422659999999999E-2</v>
      </c>
      <c r="O5060">
        <v>1.0911189999999999E-2</v>
      </c>
      <c r="P5060">
        <v>-0.99632120000000002</v>
      </c>
      <c r="Q5060">
        <v>-8.5333300000000001E-2</v>
      </c>
      <c r="R5060">
        <v>7.8875159999999903E-3</v>
      </c>
      <c r="S5060">
        <v>-3.0037539999999998</v>
      </c>
      <c r="T5060">
        <v>-8.0645679999999997E-2</v>
      </c>
      <c r="U5060">
        <v>7.2265629999999997E-2</v>
      </c>
      <c r="V5060">
        <v>-2.9348030000000002E-3</v>
      </c>
      <c r="W5060">
        <v>-7.3948810000000004E-2</v>
      </c>
      <c r="X5060">
        <v>0.99725770000000002</v>
      </c>
      <c r="Y5060">
        <v>1.3135859999999999E-2</v>
      </c>
      <c r="Z5060" s="1">
        <v>8.311239E-5</v>
      </c>
      <c r="AA5060">
        <v>0.99991370000000002</v>
      </c>
      <c r="AB5060">
        <v>22</v>
      </c>
      <c r="AC5060">
        <v>-41.561999999999998</v>
      </c>
      <c r="AD5060">
        <v>-1.1207738017469999</v>
      </c>
      <c r="AE5060">
        <v>1.0026999999999999</v>
      </c>
      <c r="AF5060">
        <v>0.54872099060039603</v>
      </c>
      <c r="AG5060">
        <v>-1.1207738017469999</v>
      </c>
      <c r="AH5060">
        <v>41.540277139220002</v>
      </c>
      <c r="AI5060">
        <v>91.545354063290105</v>
      </c>
      <c r="AJ5060">
        <v>89.243202726270397</v>
      </c>
      <c r="AK5060">
        <v>41.559016511984602</v>
      </c>
      <c r="AL5060">
        <v>94.240825911285796</v>
      </c>
      <c r="AM5060">
        <v>90.168613729609106</v>
      </c>
      <c r="AN5060">
        <v>0.99999997988917699</v>
      </c>
    </row>
    <row r="5061" spans="1:40" x14ac:dyDescent="0.25">
      <c r="A5061" t="str">
        <f>"20190303154910533"</f>
        <v>20190303154910533</v>
      </c>
      <c r="B5061" t="str">
        <f>"1551599350525560"</f>
        <v>1551599350525560</v>
      </c>
      <c r="C5061" t="s">
        <v>40</v>
      </c>
      <c r="D5061">
        <v>5.4827209999999997</v>
      </c>
      <c r="E5061">
        <v>0.5040867</v>
      </c>
      <c r="F5061" t="s">
        <v>41</v>
      </c>
      <c r="G5061">
        <v>-331.10890000000001</v>
      </c>
      <c r="H5061" s="1">
        <v>-4.7970360000000001E-6</v>
      </c>
      <c r="I5061">
        <v>142.50030000000001</v>
      </c>
      <c r="J5061">
        <v>-289.74959999999999</v>
      </c>
      <c r="K5061">
        <v>1.1207400000000001</v>
      </c>
      <c r="L5061">
        <v>141.624</v>
      </c>
      <c r="M5061">
        <v>-0.99988200000000005</v>
      </c>
      <c r="N5061">
        <v>-1.1164830000000001E-2</v>
      </c>
      <c r="O5061">
        <v>1.056233E-2</v>
      </c>
      <c r="P5061">
        <v>-0.99635629999999997</v>
      </c>
      <c r="Q5061">
        <v>-8.4975850000000006E-2</v>
      </c>
      <c r="R5061">
        <v>7.2994560000000002E-3</v>
      </c>
      <c r="S5061">
        <v>-3.0036619999999998</v>
      </c>
      <c r="T5061">
        <v>-8.1086519999999995E-2</v>
      </c>
      <c r="U5061">
        <v>6.3491820000000004E-2</v>
      </c>
      <c r="V5061">
        <v>-3.1754439999999999E-3</v>
      </c>
      <c r="W5061">
        <v>-7.3848349999999993E-2</v>
      </c>
      <c r="X5061">
        <v>0.99726440000000005</v>
      </c>
      <c r="Y5061">
        <v>1.0567490000000001E-2</v>
      </c>
      <c r="Z5061" s="1">
        <v>3.4478940000000002E-5</v>
      </c>
      <c r="AA5061">
        <v>0.99994419999999995</v>
      </c>
      <c r="AB5061">
        <v>22</v>
      </c>
      <c r="AC5061">
        <v>-41.359299999999998</v>
      </c>
      <c r="AD5061">
        <v>-1.1207447970360001</v>
      </c>
      <c r="AE5061">
        <v>0.87630000000001396</v>
      </c>
      <c r="AF5061">
        <v>0.439051110612585</v>
      </c>
      <c r="AG5061">
        <v>-1.1207447970360001</v>
      </c>
      <c r="AH5061">
        <v>41.335910023969603</v>
      </c>
      <c r="AI5061">
        <v>91.552998335752406</v>
      </c>
      <c r="AJ5061">
        <v>89.391453347052405</v>
      </c>
      <c r="AK5061">
        <v>41.353431445135598</v>
      </c>
      <c r="AL5061">
        <v>94.235054225673395</v>
      </c>
      <c r="AM5061">
        <v>90.1824380017962</v>
      </c>
      <c r="AN5061">
        <v>0.99999997287483899</v>
      </c>
    </row>
    <row r="5062" spans="1:40" x14ac:dyDescent="0.25">
      <c r="A5062" t="str">
        <f>"20190303154910552"</f>
        <v>20190303154910552</v>
      </c>
      <c r="B5062" t="str">
        <f>"1551599350546056"</f>
        <v>1551599350546056</v>
      </c>
      <c r="C5062" t="s">
        <v>40</v>
      </c>
      <c r="D5062">
        <v>5.4857469999999999</v>
      </c>
      <c r="E5062">
        <v>0.50372759999999905</v>
      </c>
      <c r="F5062" t="s">
        <v>41</v>
      </c>
      <c r="G5062">
        <v>-330.55399999999997</v>
      </c>
      <c r="H5062" s="1">
        <v>-4.9937460000000001E-6</v>
      </c>
      <c r="I5062">
        <v>142.40799999999999</v>
      </c>
      <c r="J5062">
        <v>-289.95229999999998</v>
      </c>
      <c r="K5062">
        <v>1.1207</v>
      </c>
      <c r="L5062">
        <v>141.62559999999999</v>
      </c>
      <c r="M5062">
        <v>-0.99989030000000001</v>
      </c>
      <c r="N5062">
        <v>-1.083368E-2</v>
      </c>
      <c r="O5062">
        <v>1.0111459999999999E-2</v>
      </c>
      <c r="P5062">
        <v>-0.99635649999999998</v>
      </c>
      <c r="Q5062">
        <v>-8.5034250000000006E-2</v>
      </c>
      <c r="R5062">
        <v>6.5587329999999998E-3</v>
      </c>
      <c r="S5062">
        <v>-3.0035099999999999</v>
      </c>
      <c r="T5062">
        <v>-8.2495209999999999E-2</v>
      </c>
      <c r="U5062">
        <v>5.7708740000000001E-2</v>
      </c>
      <c r="V5062">
        <v>-3.4663699999999999E-3</v>
      </c>
      <c r="W5062">
        <v>-7.4237259999999999E-2</v>
      </c>
      <c r="X5062">
        <v>0.99723459999999997</v>
      </c>
      <c r="Y5062">
        <v>9.0956700000000001E-3</v>
      </c>
      <c r="Z5062" s="1">
        <v>6.0587990000000001E-6</v>
      </c>
      <c r="AA5062">
        <v>0.99995860000000003</v>
      </c>
      <c r="AB5062">
        <v>22</v>
      </c>
      <c r="AC5062">
        <v>-40.601700000000001</v>
      </c>
      <c r="AD5062">
        <v>-1.1207049937459901</v>
      </c>
      <c r="AE5062">
        <v>0.78239999999999499</v>
      </c>
      <c r="AF5062">
        <v>0.37151053666353601</v>
      </c>
      <c r="AG5062">
        <v>-1.1207049937459901</v>
      </c>
      <c r="AH5062">
        <v>40.576632191395902</v>
      </c>
      <c r="AI5062">
        <v>91.582010468413003</v>
      </c>
      <c r="AJ5062">
        <v>89.475427360847306</v>
      </c>
      <c r="AK5062">
        <v>40.593805928462601</v>
      </c>
      <c r="AL5062">
        <v>94.257398273472006</v>
      </c>
      <c r="AM5062">
        <v>90.199158323772906</v>
      </c>
      <c r="AN5062">
        <v>1.0000000169652199</v>
      </c>
    </row>
    <row r="5063" spans="1:40" x14ac:dyDescent="0.25">
      <c r="A5063" t="str">
        <f>"20190303154910573"</f>
        <v>20190303154910573</v>
      </c>
      <c r="B5063" t="str">
        <f>"1551599350565576"</f>
        <v>1551599350565576</v>
      </c>
      <c r="C5063" t="s">
        <v>40</v>
      </c>
      <c r="D5063">
        <v>5.5185919999999999</v>
      </c>
      <c r="E5063">
        <v>0.50345050000000002</v>
      </c>
      <c r="F5063" t="s">
        <v>41</v>
      </c>
      <c r="G5063">
        <v>-329.82619999999997</v>
      </c>
      <c r="H5063" s="1">
        <v>-7.7721940000000001E-7</v>
      </c>
      <c r="I5063">
        <v>142.3236</v>
      </c>
      <c r="J5063">
        <v>-290.16210000000001</v>
      </c>
      <c r="K5063">
        <v>1.1206659999999999</v>
      </c>
      <c r="L5063">
        <v>141.62719999999999</v>
      </c>
      <c r="M5063">
        <v>-0.99989839999999997</v>
      </c>
      <c r="N5063">
        <v>-1.0505509999999999E-2</v>
      </c>
      <c r="O5063">
        <v>9.6451420000000006E-3</v>
      </c>
      <c r="P5063">
        <v>-0.99634990000000001</v>
      </c>
      <c r="Q5063">
        <v>-8.5176829999999995E-2</v>
      </c>
      <c r="R5063">
        <v>5.6491609999999998E-3</v>
      </c>
      <c r="S5063">
        <v>-3.0034179999999999</v>
      </c>
      <c r="T5063">
        <v>-8.4414600000000006E-2</v>
      </c>
      <c r="U5063">
        <v>5.2581790000000003E-2</v>
      </c>
      <c r="V5063">
        <v>-3.9103660000000002E-3</v>
      </c>
      <c r="W5063">
        <v>-7.4707560000000006E-2</v>
      </c>
      <c r="X5063">
        <v>0.99719780000000002</v>
      </c>
      <c r="Y5063">
        <v>7.8568549999999994E-3</v>
      </c>
      <c r="Z5063" s="1">
        <v>-1.8023459999999998E-5</v>
      </c>
      <c r="AA5063">
        <v>0.99996910000000006</v>
      </c>
      <c r="AB5063">
        <v>22</v>
      </c>
      <c r="AC5063">
        <v>-39.664099999999898</v>
      </c>
      <c r="AD5063">
        <v>-1.1206667772193999</v>
      </c>
      <c r="AE5063">
        <v>0.69640000000001101</v>
      </c>
      <c r="AF5063">
        <v>0.31353044320157702</v>
      </c>
      <c r="AG5063">
        <v>-1.1206667772193999</v>
      </c>
      <c r="AH5063">
        <v>39.637339920078396</v>
      </c>
      <c r="AI5063">
        <v>91.619441894742906</v>
      </c>
      <c r="AJ5063">
        <v>89.546801159219797</v>
      </c>
      <c r="AK5063">
        <v>39.654418559653898</v>
      </c>
      <c r="AL5063">
        <v>94.284419666989507</v>
      </c>
      <c r="AM5063">
        <v>90.224675906593305</v>
      </c>
      <c r="AN5063">
        <v>0.99999998140412305</v>
      </c>
    </row>
    <row r="5064" spans="1:40" x14ac:dyDescent="0.25">
      <c r="A5064" t="str">
        <f>"20190303154910594"</f>
        <v>20190303154910594</v>
      </c>
      <c r="B5064" t="str">
        <f>"1551599350586072"</f>
        <v>1551599350586072</v>
      </c>
      <c r="C5064" t="s">
        <v>40</v>
      </c>
      <c r="D5064">
        <v>5.5052240000000001</v>
      </c>
      <c r="E5064">
        <v>0.5032278</v>
      </c>
      <c r="F5064" t="s">
        <v>41</v>
      </c>
      <c r="G5064">
        <v>-328.90859999999998</v>
      </c>
      <c r="H5064" s="1">
        <v>-1.149116E-6</v>
      </c>
      <c r="I5064">
        <v>142.24199999999999</v>
      </c>
      <c r="J5064">
        <v>-290.37479999999999</v>
      </c>
      <c r="K5064">
        <v>1.1206309999999999</v>
      </c>
      <c r="L5064">
        <v>141.62880000000001</v>
      </c>
      <c r="M5064">
        <v>-0.99990599999999996</v>
      </c>
      <c r="N5064">
        <v>-1.019785E-2</v>
      </c>
      <c r="O5064">
        <v>9.173166E-3</v>
      </c>
      <c r="P5064">
        <v>-0.99630390000000002</v>
      </c>
      <c r="Q5064">
        <v>-8.5726789999999997E-2</v>
      </c>
      <c r="R5064">
        <v>5.4486839999999996E-3</v>
      </c>
      <c r="S5064">
        <v>-3.0032960000000002</v>
      </c>
      <c r="T5064">
        <v>-8.6864590000000005E-2</v>
      </c>
      <c r="U5064">
        <v>4.76532E-2</v>
      </c>
      <c r="V5064">
        <v>-3.63957E-3</v>
      </c>
      <c r="W5064">
        <v>-7.5564599999999996E-2</v>
      </c>
      <c r="X5064">
        <v>0.99713430000000003</v>
      </c>
      <c r="Y5064">
        <v>6.6896400000000002E-3</v>
      </c>
      <c r="Z5064" s="1">
        <v>-4.0864529999999997E-5</v>
      </c>
      <c r="AA5064">
        <v>0.99997760000000002</v>
      </c>
      <c r="AB5064">
        <v>22</v>
      </c>
      <c r="AC5064">
        <v>-38.5337999999999</v>
      </c>
      <c r="AD5064">
        <v>-1.1206321491159901</v>
      </c>
      <c r="AE5064">
        <v>0.61320000000000596</v>
      </c>
      <c r="AF5064">
        <v>0.25945951604308298</v>
      </c>
      <c r="AG5064">
        <v>-1.1206321491159901</v>
      </c>
      <c r="AH5064">
        <v>38.505246221024599</v>
      </c>
      <c r="AI5064">
        <v>91.666991478479801</v>
      </c>
      <c r="AJ5064">
        <v>89.613930264180993</v>
      </c>
      <c r="AK5064">
        <v>38.522423628269202</v>
      </c>
      <c r="AL5064">
        <v>94.333663415539206</v>
      </c>
      <c r="AM5064">
        <v>90.209130379106199</v>
      </c>
      <c r="AN5064">
        <v>1.0000000337397099</v>
      </c>
    </row>
    <row r="5065" spans="1:40" x14ac:dyDescent="0.25">
      <c r="A5065" t="str">
        <f>"20190303154910611"</f>
        <v>20190303154910611</v>
      </c>
      <c r="B5065" t="str">
        <f>"1551599350605593"</f>
        <v>1551599350605593</v>
      </c>
      <c r="C5065" t="s">
        <v>40</v>
      </c>
      <c r="D5065">
        <v>5.5260829999999999</v>
      </c>
      <c r="E5065">
        <v>0.50311249999999996</v>
      </c>
      <c r="F5065" t="s">
        <v>41</v>
      </c>
      <c r="G5065">
        <v>-327.86579999999998</v>
      </c>
      <c r="H5065" s="1">
        <v>-1.58374E-6</v>
      </c>
      <c r="I5065">
        <v>142.19409999999999</v>
      </c>
      <c r="J5065">
        <v>-290.5446</v>
      </c>
      <c r="K5065">
        <v>1.1206130000000001</v>
      </c>
      <c r="L5065">
        <v>141.62989999999999</v>
      </c>
      <c r="M5065">
        <v>-0.99991169999999996</v>
      </c>
      <c r="N5065">
        <v>-9.973506E-3</v>
      </c>
      <c r="O5065">
        <v>8.7971330000000004E-3</v>
      </c>
      <c r="P5065">
        <v>-0.99631570000000003</v>
      </c>
      <c r="Q5065">
        <v>-8.5602849999999994E-2</v>
      </c>
      <c r="R5065">
        <v>5.2320999999999999E-3</v>
      </c>
      <c r="S5065">
        <v>-3.0031430000000001</v>
      </c>
      <c r="T5065">
        <v>-8.976626E-2</v>
      </c>
      <c r="U5065">
        <v>4.5288090000000003E-2</v>
      </c>
      <c r="V5065">
        <v>-3.481212E-3</v>
      </c>
      <c r="W5065">
        <v>-7.5664190000000006E-2</v>
      </c>
      <c r="X5065">
        <v>0.99712730000000005</v>
      </c>
      <c r="Y5065">
        <v>6.2793650000000003E-3</v>
      </c>
      <c r="Z5065" s="1">
        <v>-5.0001079999999997E-5</v>
      </c>
      <c r="AA5065">
        <v>0.99998030000000004</v>
      </c>
      <c r="AB5065">
        <v>23</v>
      </c>
      <c r="AC5065">
        <v>-37.321199999999898</v>
      </c>
      <c r="AD5065">
        <v>-1.1206145837399999</v>
      </c>
      <c r="AE5065">
        <v>0.56419999999999904</v>
      </c>
      <c r="AF5065">
        <v>0.235629930140761</v>
      </c>
      <c r="AG5065">
        <v>-1.1206145837399999</v>
      </c>
      <c r="AH5065">
        <v>37.291106274826298</v>
      </c>
      <c r="AI5065">
        <v>91.721211721928896</v>
      </c>
      <c r="AJ5065">
        <v>89.637972101012707</v>
      </c>
      <c r="AK5065">
        <v>37.308684052237197</v>
      </c>
      <c r="AL5065">
        <v>94.339385942494303</v>
      </c>
      <c r="AM5065">
        <v>90.200032578398805</v>
      </c>
      <c r="AN5065">
        <v>1.0000000204453099</v>
      </c>
    </row>
    <row r="5066" spans="1:40" x14ac:dyDescent="0.25">
      <c r="A5066" t="str">
        <f>"20190303154910629"</f>
        <v>20190303154910629</v>
      </c>
      <c r="B5066" t="str">
        <f>"1551599350626089"</f>
        <v>1551599350626089</v>
      </c>
      <c r="C5066" t="s">
        <v>40</v>
      </c>
      <c r="D5066">
        <v>5.5156790000000004</v>
      </c>
      <c r="E5066">
        <v>0.5029595</v>
      </c>
      <c r="F5066" t="s">
        <v>41</v>
      </c>
      <c r="G5066">
        <v>-327.40570000000002</v>
      </c>
      <c r="H5066" s="1">
        <v>-1.7739179999999999E-6</v>
      </c>
      <c r="I5066">
        <v>142.167</v>
      </c>
      <c r="J5066">
        <v>-290.72480000000002</v>
      </c>
      <c r="K5066">
        <v>1.120603</v>
      </c>
      <c r="L5066">
        <v>141.6311</v>
      </c>
      <c r="M5066">
        <v>-0.9999171</v>
      </c>
      <c r="N5066">
        <v>-9.7554200000000008E-3</v>
      </c>
      <c r="O5066">
        <v>8.3993999999999996E-3</v>
      </c>
      <c r="P5066">
        <v>-0.99633660000000002</v>
      </c>
      <c r="Q5066">
        <v>-8.5367899999999997E-2</v>
      </c>
      <c r="R5066">
        <v>5.1011440000000002E-3</v>
      </c>
      <c r="S5066">
        <v>-3.0029910000000002</v>
      </c>
      <c r="T5066">
        <v>-9.1294169999999994E-2</v>
      </c>
      <c r="U5066">
        <v>4.3762210000000003E-2</v>
      </c>
      <c r="V5066">
        <v>-3.21543E-3</v>
      </c>
      <c r="W5066">
        <v>-7.5646329999999998E-2</v>
      </c>
      <c r="X5066">
        <v>0.9971295</v>
      </c>
      <c r="Y5066">
        <v>6.1699299999999997E-3</v>
      </c>
      <c r="Z5066" s="1">
        <v>-4.9479520000000001E-5</v>
      </c>
      <c r="AA5066">
        <v>0.99998100000000001</v>
      </c>
      <c r="AB5066">
        <v>23</v>
      </c>
      <c r="AC5066">
        <v>-36.680900000000001</v>
      </c>
      <c r="AD5066">
        <v>-1.1206047739180001</v>
      </c>
      <c r="AE5066">
        <v>0.53589999999999705</v>
      </c>
      <c r="AF5066">
        <v>0.227556534403792</v>
      </c>
      <c r="AG5066">
        <v>-1.1206047739180001</v>
      </c>
      <c r="AH5066">
        <v>36.649909037061001</v>
      </c>
      <c r="AI5066">
        <v>91.751291943687505</v>
      </c>
      <c r="AJ5066">
        <v>89.644259376722403</v>
      </c>
      <c r="AK5066">
        <v>36.667742901091202</v>
      </c>
      <c r="AL5066">
        <v>94.338359904936397</v>
      </c>
      <c r="AM5066">
        <v>90.184760284139202</v>
      </c>
      <c r="AN5066">
        <v>0.99999997300140098</v>
      </c>
    </row>
    <row r="5067" spans="1:40" x14ac:dyDescent="0.25">
      <c r="A5067" t="str">
        <f>"20190303154910653"</f>
        <v>20190303154910653</v>
      </c>
      <c r="B5067" t="str">
        <f>"1551599350646584"</f>
        <v>1551599350646584</v>
      </c>
      <c r="C5067" t="s">
        <v>40</v>
      </c>
      <c r="D5067">
        <v>5.5617910000000004</v>
      </c>
      <c r="E5067">
        <v>0.50286980000000003</v>
      </c>
      <c r="F5067" t="s">
        <v>41</v>
      </c>
      <c r="G5067">
        <v>-326.8519</v>
      </c>
      <c r="H5067" s="1">
        <v>-2.0038319999999998E-6</v>
      </c>
      <c r="I5067">
        <v>142.13820000000001</v>
      </c>
      <c r="J5067">
        <v>-290.97239999999999</v>
      </c>
      <c r="K5067">
        <v>1.120587</v>
      </c>
      <c r="L5067">
        <v>141.63249999999999</v>
      </c>
      <c r="M5067">
        <v>-0.99992420000000004</v>
      </c>
      <c r="N5067">
        <v>-9.4891249999999993E-3</v>
      </c>
      <c r="O5067">
        <v>7.8525709999999992E-3</v>
      </c>
      <c r="P5067">
        <v>-0.99635510000000005</v>
      </c>
      <c r="Q5067">
        <v>-8.5166820000000004E-2</v>
      </c>
      <c r="R5067">
        <v>4.797117E-3</v>
      </c>
      <c r="S5067">
        <v>-3.002869</v>
      </c>
      <c r="T5067">
        <v>-9.3144179999999993E-2</v>
      </c>
      <c r="U5067">
        <v>4.2160030000000001E-2</v>
      </c>
      <c r="V5067">
        <v>-2.9743529999999999E-3</v>
      </c>
      <c r="W5067">
        <v>-7.5710490000000005E-2</v>
      </c>
      <c r="X5067">
        <v>0.99712540000000005</v>
      </c>
      <c r="Y5067">
        <v>6.1838889999999997E-3</v>
      </c>
      <c r="Z5067" s="1">
        <v>-4.3766649999999999E-5</v>
      </c>
      <c r="AA5067">
        <v>0.99998089999999995</v>
      </c>
      <c r="AB5067">
        <v>23</v>
      </c>
      <c r="AC5067">
        <v>-35.8795</v>
      </c>
      <c r="AD5067">
        <v>-1.1205890038320001</v>
      </c>
      <c r="AE5067">
        <v>0.50570000000001802</v>
      </c>
      <c r="AF5067">
        <v>0.22370724658397501</v>
      </c>
      <c r="AG5067">
        <v>-1.1205890038320001</v>
      </c>
      <c r="AH5067">
        <v>35.847404892238103</v>
      </c>
      <c r="AI5067">
        <v>91.790446771868503</v>
      </c>
      <c r="AJ5067">
        <v>89.642447905821697</v>
      </c>
      <c r="AK5067">
        <v>35.865613087688097</v>
      </c>
      <c r="AL5067">
        <v>94.342046482381704</v>
      </c>
      <c r="AM5067">
        <v>90.170908662274002</v>
      </c>
      <c r="AN5067">
        <v>0.99999999419848395</v>
      </c>
    </row>
    <row r="5068" spans="1:40" x14ac:dyDescent="0.25">
      <c r="A5068" t="str">
        <f>"20190303154910674"</f>
        <v>20190303154910674</v>
      </c>
      <c r="B5068" t="str">
        <f>"1551599350666104"</f>
        <v>1551599350666104</v>
      </c>
      <c r="C5068" t="s">
        <v>40</v>
      </c>
      <c r="D5068">
        <v>5.5786709999999999</v>
      </c>
      <c r="E5068">
        <v>0.50275239999999999</v>
      </c>
      <c r="F5068" t="s">
        <v>41</v>
      </c>
      <c r="G5068">
        <v>-327.0188</v>
      </c>
      <c r="H5068" s="1">
        <v>-1.927032E-6</v>
      </c>
      <c r="I5068">
        <v>142.11859999999999</v>
      </c>
      <c r="J5068">
        <v>-291.18639999999999</v>
      </c>
      <c r="K5068">
        <v>1.120573</v>
      </c>
      <c r="L5068">
        <v>141.6337</v>
      </c>
      <c r="M5068">
        <v>-0.99992979999999998</v>
      </c>
      <c r="N5068">
        <v>-9.288625E-3</v>
      </c>
      <c r="O5068">
        <v>7.3792939999999998E-3</v>
      </c>
      <c r="P5068">
        <v>-0.99638170000000004</v>
      </c>
      <c r="Q5068">
        <v>-8.4872219999999998E-2</v>
      </c>
      <c r="R5068">
        <v>4.5502720000000002E-3</v>
      </c>
      <c r="S5068">
        <v>-3.0028079999999999</v>
      </c>
      <c r="T5068">
        <v>-9.3349580000000001E-2</v>
      </c>
      <c r="U5068">
        <v>4.0496829999999998E-2</v>
      </c>
      <c r="V5068">
        <v>-2.749001E-3</v>
      </c>
      <c r="W5068">
        <v>-7.5615440000000006E-2</v>
      </c>
      <c r="X5068">
        <v>0.9971333</v>
      </c>
      <c r="Y5068">
        <v>6.10371E-3</v>
      </c>
      <c r="Z5068" s="1">
        <v>-3.7596050000000001E-5</v>
      </c>
      <c r="AA5068">
        <v>0.99998129999999996</v>
      </c>
      <c r="AB5068">
        <v>23</v>
      </c>
      <c r="AC5068">
        <v>-35.8324</v>
      </c>
      <c r="AD5068">
        <v>-1.120574927032</v>
      </c>
      <c r="AE5068">
        <v>0.48489999999998101</v>
      </c>
      <c r="AF5068">
        <v>0.220242265971411</v>
      </c>
      <c r="AG5068">
        <v>-1.120574927032</v>
      </c>
      <c r="AH5068">
        <v>35.799997394178803</v>
      </c>
      <c r="AI5068">
        <v>91.792794668390101</v>
      </c>
      <c r="AJ5068">
        <v>89.647519719699503</v>
      </c>
      <c r="AK5068">
        <v>35.818207775460003</v>
      </c>
      <c r="AL5068">
        <v>94.336584685777893</v>
      </c>
      <c r="AM5068">
        <v>90.157958575985901</v>
      </c>
      <c r="AN5068">
        <v>1.00000003487089</v>
      </c>
    </row>
    <row r="5069" spans="1:40" x14ac:dyDescent="0.25">
      <c r="A5069" t="str">
        <f>"20190303154910696"</f>
        <v>20190303154910696</v>
      </c>
      <c r="B5069" t="str">
        <f>"1551599350685624"</f>
        <v>1551599350685624</v>
      </c>
      <c r="C5069" t="s">
        <v>40</v>
      </c>
      <c r="D5069">
        <v>5.621658</v>
      </c>
      <c r="E5069">
        <v>0.50235240000000003</v>
      </c>
      <c r="F5069" t="s">
        <v>41</v>
      </c>
      <c r="G5069">
        <v>-327.31369999999998</v>
      </c>
      <c r="H5069" s="1">
        <v>-1.795661E-6</v>
      </c>
      <c r="I5069">
        <v>142.1003</v>
      </c>
      <c r="J5069">
        <v>-291.40839999999997</v>
      </c>
      <c r="K5069">
        <v>1.1205670000000001</v>
      </c>
      <c r="L5069">
        <v>141.63480000000001</v>
      </c>
      <c r="M5069">
        <v>-0.99993480000000001</v>
      </c>
      <c r="N5069">
        <v>-9.1072930000000007E-3</v>
      </c>
      <c r="O5069">
        <v>6.888679E-3</v>
      </c>
      <c r="P5069">
        <v>-0.99642379999999997</v>
      </c>
      <c r="Q5069">
        <v>-8.4383799999999995E-2</v>
      </c>
      <c r="R5069">
        <v>4.3882210000000003E-3</v>
      </c>
      <c r="S5069">
        <v>-3.0028079999999999</v>
      </c>
      <c r="T5069">
        <v>-9.3139650000000004E-2</v>
      </c>
      <c r="U5069">
        <v>3.8787839999999997E-2</v>
      </c>
      <c r="V5069">
        <v>-2.4224099999999998E-3</v>
      </c>
      <c r="W5069">
        <v>-7.5307269999999996E-2</v>
      </c>
      <c r="X5069">
        <v>0.99715750000000003</v>
      </c>
      <c r="Y5069">
        <v>6.0253219999999996E-3</v>
      </c>
      <c r="Z5069" s="1">
        <v>-3.0013170000000001E-5</v>
      </c>
      <c r="AA5069">
        <v>0.99998180000000003</v>
      </c>
      <c r="AB5069">
        <v>23</v>
      </c>
      <c r="AC5069">
        <v>-35.905299999999997</v>
      </c>
      <c r="AD5069">
        <v>-1.120568795661</v>
      </c>
      <c r="AE5069">
        <v>0.46549999999999098</v>
      </c>
      <c r="AF5069">
        <v>0.21792638479596299</v>
      </c>
      <c r="AG5069">
        <v>-1.120568795661</v>
      </c>
      <c r="AH5069">
        <v>35.872720572796403</v>
      </c>
      <c r="AI5069">
        <v>91.789153638415101</v>
      </c>
      <c r="AJ5069">
        <v>89.651933048469701</v>
      </c>
      <c r="AK5069">
        <v>35.890879727709802</v>
      </c>
      <c r="AL5069">
        <v>94.318877221117503</v>
      </c>
      <c r="AM5069">
        <v>90.139189241636501</v>
      </c>
      <c r="AN5069">
        <v>1.0000000663956501</v>
      </c>
    </row>
    <row r="5070" spans="1:40" x14ac:dyDescent="0.25">
      <c r="A5070" t="str">
        <f>"20190303154910718"</f>
        <v>20190303154910718</v>
      </c>
      <c r="B5070" t="str">
        <f>"1551599350715880"</f>
        <v>1551599350715880</v>
      </c>
      <c r="C5070" t="s">
        <v>40</v>
      </c>
      <c r="D5070">
        <v>5.5472460000000003</v>
      </c>
      <c r="E5070">
        <v>0.50199159999999998</v>
      </c>
      <c r="F5070" t="s">
        <v>41</v>
      </c>
      <c r="G5070">
        <v>-327.36829999999998</v>
      </c>
      <c r="H5070" s="1">
        <v>-1.759743E-6</v>
      </c>
      <c r="I5070">
        <v>142.05330000000001</v>
      </c>
      <c r="J5070">
        <v>-291.63799999999998</v>
      </c>
      <c r="K5070">
        <v>1.1205639999999999</v>
      </c>
      <c r="L5070">
        <v>141.63579999999999</v>
      </c>
      <c r="M5070">
        <v>-0.99993969999999999</v>
      </c>
      <c r="N5070">
        <v>-8.9447139999999994E-3</v>
      </c>
      <c r="O5070">
        <v>6.3803159999999996E-3</v>
      </c>
      <c r="P5070">
        <v>-0.99638470000000001</v>
      </c>
      <c r="Q5070">
        <v>-8.488105E-2</v>
      </c>
      <c r="R5070">
        <v>3.6067260000000002E-3</v>
      </c>
      <c r="S5070">
        <v>-3.0026860000000002</v>
      </c>
      <c r="T5070">
        <v>-9.3568680000000001E-2</v>
      </c>
      <c r="U5070">
        <v>3.4957889999999998E-2</v>
      </c>
      <c r="V5070">
        <v>-2.6956760000000001E-3</v>
      </c>
      <c r="W5070">
        <v>-7.5967209999999993E-2</v>
      </c>
      <c r="X5070">
        <v>0.99710670000000001</v>
      </c>
      <c r="Y5070">
        <v>5.2593319999999898E-3</v>
      </c>
      <c r="Z5070" s="1">
        <v>-3.6250849999999999E-5</v>
      </c>
      <c r="AA5070">
        <v>0.99998620000000005</v>
      </c>
      <c r="AB5070">
        <v>23</v>
      </c>
      <c r="AC5070">
        <v>-35.7303</v>
      </c>
      <c r="AD5070">
        <v>-1.1205657597430001</v>
      </c>
      <c r="AE5070">
        <v>0.41750000000001802</v>
      </c>
      <c r="AF5070">
        <v>0.18932560209093699</v>
      </c>
      <c r="AG5070">
        <v>-1.1205657597430001</v>
      </c>
      <c r="AH5070">
        <v>35.697131042044298</v>
      </c>
      <c r="AI5070">
        <v>91.797951506248594</v>
      </c>
      <c r="AJ5070">
        <v>89.696125264724202</v>
      </c>
      <c r="AK5070">
        <v>35.715216315156198</v>
      </c>
      <c r="AL5070">
        <v>94.356797792888102</v>
      </c>
      <c r="AM5070">
        <v>90.154898649710802</v>
      </c>
      <c r="AN5070">
        <v>1.0000000274245799</v>
      </c>
    </row>
    <row r="5071" spans="1:40" x14ac:dyDescent="0.25">
      <c r="A5071" t="str">
        <f>"20190303154910734"</f>
        <v>20190303154910734</v>
      </c>
      <c r="B5071" t="str">
        <f>"1551599350725641"</f>
        <v>1551599350725641</v>
      </c>
      <c r="C5071" t="s">
        <v>40</v>
      </c>
      <c r="D5071">
        <v>5.5408109999999997</v>
      </c>
      <c r="E5071">
        <v>0.50185670000000004</v>
      </c>
      <c r="F5071" t="s">
        <v>41</v>
      </c>
      <c r="G5071">
        <v>-326.53429999999997</v>
      </c>
      <c r="H5071" s="1">
        <v>-2.098244E-6</v>
      </c>
      <c r="I5071">
        <v>141.98099999999999</v>
      </c>
      <c r="J5071">
        <v>-291.7971</v>
      </c>
      <c r="K5071">
        <v>1.1205609999999999</v>
      </c>
      <c r="L5071">
        <v>141.63640000000001</v>
      </c>
      <c r="M5071">
        <v>-0.99994280000000002</v>
      </c>
      <c r="N5071">
        <v>-8.8472109999999902E-3</v>
      </c>
      <c r="O5071">
        <v>6.0282160000000003E-3</v>
      </c>
      <c r="P5071">
        <v>-0.99637869999999995</v>
      </c>
      <c r="Q5071">
        <v>-8.4965170000000007E-2</v>
      </c>
      <c r="R5071">
        <v>3.2694640000000001E-3</v>
      </c>
      <c r="S5071">
        <v>-3.0025940000000002</v>
      </c>
      <c r="T5071">
        <v>-9.6417429999999998E-2</v>
      </c>
      <c r="U5071">
        <v>2.970886E-2</v>
      </c>
      <c r="V5071">
        <v>-2.6818509999999999E-3</v>
      </c>
      <c r="W5071">
        <v>-7.614862E-2</v>
      </c>
      <c r="X5071">
        <v>0.9970928</v>
      </c>
      <c r="Y5071">
        <v>3.8646679999999999E-3</v>
      </c>
      <c r="Z5071" s="1">
        <v>-6.1059519999999995E-5</v>
      </c>
      <c r="AA5071">
        <v>0.99999249999999995</v>
      </c>
      <c r="AB5071">
        <v>23</v>
      </c>
      <c r="AC5071">
        <v>-34.737199999999902</v>
      </c>
      <c r="AD5071">
        <v>-1.120563098244</v>
      </c>
      <c r="AE5071">
        <v>0.34459999999998497</v>
      </c>
      <c r="AF5071">
        <v>0.135041709815548</v>
      </c>
      <c r="AG5071">
        <v>-1.120563098244</v>
      </c>
      <c r="AH5071">
        <v>34.702538344093199</v>
      </c>
      <c r="AI5071">
        <v>91.849454047971193</v>
      </c>
      <c r="AJ5071">
        <v>89.777039912793796</v>
      </c>
      <c r="AK5071">
        <v>34.720888027868703</v>
      </c>
      <c r="AL5071">
        <v>94.367222448797307</v>
      </c>
      <c r="AM5071">
        <v>90.154106391145703</v>
      </c>
      <c r="AN5071">
        <v>0.99999992823226203</v>
      </c>
    </row>
    <row r="5072" spans="1:40" x14ac:dyDescent="0.25">
      <c r="A5072" t="str">
        <f>"20190303154910753"</f>
        <v>20190303154910753</v>
      </c>
      <c r="B5072" t="str">
        <f>"1551599350746137"</f>
        <v>1551599350746137</v>
      </c>
      <c r="C5072" t="s">
        <v>40</v>
      </c>
      <c r="D5072">
        <v>5.5657610000000002</v>
      </c>
      <c r="E5072">
        <v>0.50165799999999905</v>
      </c>
      <c r="F5072" t="s">
        <v>41</v>
      </c>
      <c r="G5072">
        <v>-326.38040000000001</v>
      </c>
      <c r="H5072" s="1">
        <v>-2.1572630000000001E-6</v>
      </c>
      <c r="I5072">
        <v>141.9546</v>
      </c>
      <c r="J5072">
        <v>-291.99990000000003</v>
      </c>
      <c r="K5072">
        <v>1.1205529999999999</v>
      </c>
      <c r="L5072">
        <v>141.6371</v>
      </c>
      <c r="M5072">
        <v>-0.99994620000000001</v>
      </c>
      <c r="N5072">
        <v>-8.7359729999999993E-3</v>
      </c>
      <c r="O5072">
        <v>5.5795559999999899E-3</v>
      </c>
      <c r="P5072">
        <v>-0.99633959999999999</v>
      </c>
      <c r="Q5072">
        <v>-8.5430439999999996E-2</v>
      </c>
      <c r="R5072">
        <v>3.0241949999999999E-3</v>
      </c>
      <c r="S5072">
        <v>-3.0025330000000001</v>
      </c>
      <c r="T5072">
        <v>-9.7288009999999994E-2</v>
      </c>
      <c r="U5072">
        <v>2.7633669999999999E-2</v>
      </c>
      <c r="V5072">
        <v>-2.4791990000000001E-3</v>
      </c>
      <c r="W5072">
        <v>-7.6725020000000005E-2</v>
      </c>
      <c r="X5072">
        <v>0.99704919999999997</v>
      </c>
      <c r="Y5072">
        <v>3.6225350000000001E-3</v>
      </c>
      <c r="Z5072" s="1">
        <v>-5.7500559999999899E-5</v>
      </c>
      <c r="AA5072">
        <v>0.99999340000000003</v>
      </c>
      <c r="AB5072">
        <v>23</v>
      </c>
      <c r="AC5072">
        <v>-34.380499999999898</v>
      </c>
      <c r="AD5072">
        <v>-1.1205551572629999</v>
      </c>
      <c r="AE5072">
        <v>0.31749999999999501</v>
      </c>
      <c r="AF5072">
        <v>0.12552646403194601</v>
      </c>
      <c r="AG5072">
        <v>-1.1205551572629999</v>
      </c>
      <c r="AH5072">
        <v>34.345254948099999</v>
      </c>
      <c r="AI5072">
        <v>91.8686682274503</v>
      </c>
      <c r="AJ5072">
        <v>89.790593938129405</v>
      </c>
      <c r="AK5072">
        <v>34.3637590813873</v>
      </c>
      <c r="AL5072">
        <v>94.400344362858405</v>
      </c>
      <c r="AM5072">
        <v>90.142467740328598</v>
      </c>
      <c r="AN5072">
        <v>0.99999999117116101</v>
      </c>
    </row>
    <row r="5073" spans="1:40" x14ac:dyDescent="0.25">
      <c r="A5073" t="str">
        <f>"20190303154910774"</f>
        <v>20190303154910774</v>
      </c>
      <c r="B5073" t="str">
        <f>"1551599350765656"</f>
        <v>1551599350765656</v>
      </c>
      <c r="C5073" t="s">
        <v>40</v>
      </c>
      <c r="D5073">
        <v>5.6000550000000002</v>
      </c>
      <c r="E5073">
        <v>0.50142679999999995</v>
      </c>
      <c r="F5073" t="s">
        <v>41</v>
      </c>
      <c r="G5073">
        <v>-325.79289999999997</v>
      </c>
      <c r="H5073" s="1">
        <v>-2.4013499999999999E-6</v>
      </c>
      <c r="I5073">
        <v>141.9247</v>
      </c>
      <c r="J5073">
        <v>-292.2167</v>
      </c>
      <c r="K5073">
        <v>1.1205480000000001</v>
      </c>
      <c r="L5073">
        <v>141.6378</v>
      </c>
      <c r="M5073">
        <v>-0.9999498</v>
      </c>
      <c r="N5073">
        <v>-8.6326659999999902E-3</v>
      </c>
      <c r="O5073">
        <v>5.0996790000000002E-3</v>
      </c>
      <c r="P5073">
        <v>-0.99624420000000002</v>
      </c>
      <c r="Q5073">
        <v>-8.653769E-2</v>
      </c>
      <c r="R5073">
        <v>3.0265090000000001E-3</v>
      </c>
      <c r="S5073">
        <v>-3.0024109999999999</v>
      </c>
      <c r="T5073">
        <v>-9.9558350000000004E-2</v>
      </c>
      <c r="U5073">
        <v>2.555847E-2</v>
      </c>
      <c r="V5073">
        <v>-1.9973999999999999E-3</v>
      </c>
      <c r="W5073">
        <v>-7.7935679999999993E-2</v>
      </c>
      <c r="X5073">
        <v>0.99695639999999996</v>
      </c>
      <c r="Y5073">
        <v>3.4117169999999999E-3</v>
      </c>
      <c r="Z5073" s="1">
        <v>-5.3755850000000001E-5</v>
      </c>
      <c r="AA5073">
        <v>0.99999420000000006</v>
      </c>
      <c r="AB5073">
        <v>23</v>
      </c>
      <c r="AC5073">
        <v>-33.576199999999901</v>
      </c>
      <c r="AD5073">
        <v>-1.1205504013499901</v>
      </c>
      <c r="AE5073">
        <v>0.28690000000000199</v>
      </c>
      <c r="AF5073">
        <v>0.115533388285529</v>
      </c>
      <c r="AG5073">
        <v>-1.1205504013499901</v>
      </c>
      <c r="AH5073">
        <v>33.539873175897299</v>
      </c>
      <c r="AI5073">
        <v>91.913500277397105</v>
      </c>
      <c r="AJ5073">
        <v>89.802636422469902</v>
      </c>
      <c r="AK5073">
        <v>33.558785344839997</v>
      </c>
      <c r="AL5073">
        <v>94.469918322211797</v>
      </c>
      <c r="AM5073">
        <v>90.114791817250406</v>
      </c>
      <c r="AN5073">
        <v>1.0000000116623899</v>
      </c>
    </row>
    <row r="5074" spans="1:40" x14ac:dyDescent="0.25">
      <c r="A5074" t="str">
        <f>"20190303154910788"</f>
        <v>20190303154910788</v>
      </c>
      <c r="B5074" t="str">
        <f>"1551599350776392"</f>
        <v>1551599350776392</v>
      </c>
      <c r="C5074" t="s">
        <v>40</v>
      </c>
      <c r="D5074">
        <v>5.6599110000000001</v>
      </c>
      <c r="E5074">
        <v>0.50142679999999995</v>
      </c>
      <c r="F5074" t="s">
        <v>41</v>
      </c>
      <c r="G5074">
        <v>-324.32859999999999</v>
      </c>
      <c r="H5074" s="1">
        <v>-3.020471E-6</v>
      </c>
      <c r="I5074">
        <v>141.89070000000001</v>
      </c>
      <c r="J5074">
        <v>-292.35989999999998</v>
      </c>
      <c r="K5074">
        <v>1.120544</v>
      </c>
      <c r="L5074">
        <v>141.63820000000001</v>
      </c>
      <c r="M5074">
        <v>-0.9999519</v>
      </c>
      <c r="N5074">
        <v>-8.5727419999999995E-3</v>
      </c>
      <c r="O5074">
        <v>4.7827959999999997E-3</v>
      </c>
      <c r="P5074">
        <v>-0.99621839999999995</v>
      </c>
      <c r="Q5074">
        <v>-8.6840239999999999E-2</v>
      </c>
      <c r="R5074">
        <v>2.8083790000000002E-3</v>
      </c>
      <c r="S5074">
        <v>-3.002167</v>
      </c>
      <c r="T5074">
        <v>-0.1047614</v>
      </c>
      <c r="U5074">
        <v>2.3651120000000001E-2</v>
      </c>
      <c r="V5074">
        <v>-1.8989409999999999E-3</v>
      </c>
      <c r="W5074">
        <v>-7.8298110000000004E-2</v>
      </c>
      <c r="X5074">
        <v>0.99692820000000004</v>
      </c>
      <c r="Y5074">
        <v>3.0941710000000002E-3</v>
      </c>
      <c r="Z5074" s="1">
        <v>-5.8612620000000003E-5</v>
      </c>
      <c r="AA5074">
        <v>0.99999519999999997</v>
      </c>
      <c r="AB5074">
        <v>23</v>
      </c>
      <c r="AC5074">
        <v>-31.968699999999998</v>
      </c>
      <c r="AD5074">
        <v>-1.120547020471</v>
      </c>
      <c r="AE5074">
        <v>0.252499999999997</v>
      </c>
      <c r="AF5074">
        <v>9.9469534926854702E-2</v>
      </c>
      <c r="AG5074">
        <v>-1.120547020471</v>
      </c>
      <c r="AH5074">
        <v>31.9303149158583</v>
      </c>
      <c r="AI5074">
        <v>92.009875792225202</v>
      </c>
      <c r="AJ5074">
        <v>89.821512374036203</v>
      </c>
      <c r="AK5074">
        <v>31.950125671730099</v>
      </c>
      <c r="AL5074">
        <v>94.490747653243503</v>
      </c>
      <c r="AM5074">
        <v>90.109136418509493</v>
      </c>
      <c r="AN5074">
        <v>1.0000000179808599</v>
      </c>
    </row>
    <row r="5075" spans="1:40" x14ac:dyDescent="0.25">
      <c r="A5075" t="str">
        <f>"20190303154910801"</f>
        <v>20190303154910801</v>
      </c>
      <c r="B5075" t="str">
        <f>"1551599350795913"</f>
        <v>1551599350795913</v>
      </c>
      <c r="C5075" t="s">
        <v>40</v>
      </c>
      <c r="D5075">
        <v>5.6158489999999999</v>
      </c>
      <c r="E5075">
        <v>0.48028939999999998</v>
      </c>
      <c r="F5075" t="s">
        <v>41</v>
      </c>
      <c r="G5075">
        <v>-324.19650000000001</v>
      </c>
      <c r="H5075" s="1">
        <v>-3.0744799999999998E-6</v>
      </c>
      <c r="I5075">
        <v>141.88059999999999</v>
      </c>
      <c r="J5075">
        <v>-292.50150000000002</v>
      </c>
      <c r="K5075">
        <v>1.12053799999999</v>
      </c>
      <c r="L5075">
        <v>141.63849999999999</v>
      </c>
      <c r="M5075">
        <v>-0.9999538</v>
      </c>
      <c r="N5075">
        <v>-8.5182319999999902E-3</v>
      </c>
      <c r="O5075">
        <v>4.4697010000000004E-3</v>
      </c>
      <c r="P5075">
        <v>-0.9962202</v>
      </c>
      <c r="Q5075">
        <v>-8.6825459999999993E-2</v>
      </c>
      <c r="R5075">
        <v>2.585384E-3</v>
      </c>
      <c r="S5075">
        <v>-3.0021059999999999</v>
      </c>
      <c r="T5075">
        <v>-0.105665</v>
      </c>
      <c r="U5075">
        <v>2.2872920000000001E-2</v>
      </c>
      <c r="V5075">
        <v>-1.809565E-3</v>
      </c>
      <c r="W5075">
        <v>-7.8337619999999997E-2</v>
      </c>
      <c r="X5075">
        <v>0.99692519999999996</v>
      </c>
      <c r="Y5075">
        <v>3.1481E-3</v>
      </c>
      <c r="Z5075" s="1">
        <v>-5.0404890000000002E-5</v>
      </c>
      <c r="AA5075">
        <v>0.99999510000000003</v>
      </c>
      <c r="AB5075">
        <v>23</v>
      </c>
      <c r="AC5075">
        <v>-31.695</v>
      </c>
      <c r="AD5075">
        <v>-1.12054107447999</v>
      </c>
      <c r="AE5075">
        <v>0.24209999999999299</v>
      </c>
      <c r="AF5075">
        <v>0.100299921026639</v>
      </c>
      <c r="AG5075">
        <v>-1.12054107447999</v>
      </c>
      <c r="AH5075">
        <v>31.656200858363601</v>
      </c>
      <c r="AI5075">
        <v>92.027253951678702</v>
      </c>
      <c r="AJ5075">
        <v>89.818463909934295</v>
      </c>
      <c r="AK5075">
        <v>31.6761854578296</v>
      </c>
      <c r="AL5075">
        <v>94.493018664031496</v>
      </c>
      <c r="AM5075">
        <v>90.104000102903996</v>
      </c>
      <c r="AN5075">
        <v>0.999999955813895</v>
      </c>
    </row>
    <row r="5076" spans="1:40" x14ac:dyDescent="0.25">
      <c r="A5076" t="str">
        <f>"20190303154910820"</f>
        <v>20190303154910820</v>
      </c>
      <c r="B5076" t="str">
        <f>"1551599350816408"</f>
        <v>1551599350816408</v>
      </c>
      <c r="C5076" t="s">
        <v>40</v>
      </c>
      <c r="D5076">
        <v>5.613804</v>
      </c>
      <c r="E5076">
        <v>0.47972930000000003</v>
      </c>
      <c r="F5076" t="s">
        <v>59</v>
      </c>
      <c r="G5076">
        <v>-307.56360000000001</v>
      </c>
      <c r="H5076" s="1">
        <v>-9.521453E-6</v>
      </c>
      <c r="I5076">
        <v>140.8897</v>
      </c>
      <c r="J5076">
        <v>-292.69479999999999</v>
      </c>
      <c r="K5076">
        <v>1.1205339999999999</v>
      </c>
      <c r="L5076">
        <v>141.63890000000001</v>
      </c>
      <c r="M5076">
        <v>-0.99995630000000002</v>
      </c>
      <c r="N5076">
        <v>-8.453449E-3</v>
      </c>
      <c r="O5076">
        <v>4.0426849999999999E-3</v>
      </c>
      <c r="P5076">
        <v>-0.99625759999999997</v>
      </c>
      <c r="Q5076">
        <v>-8.6400580000000005E-2</v>
      </c>
      <c r="R5076">
        <v>2.470669E-3</v>
      </c>
      <c r="S5076">
        <v>-2.9923709999999999</v>
      </c>
      <c r="T5076">
        <v>-0.2226187</v>
      </c>
      <c r="U5076">
        <v>-0.1487579</v>
      </c>
      <c r="V5076">
        <v>-1.4991900000000001E-3</v>
      </c>
      <c r="W5076">
        <v>-7.7976799999999999E-2</v>
      </c>
      <c r="X5076">
        <v>0.99695400000000001</v>
      </c>
      <c r="Y5076">
        <v>-5.3515390000000003E-2</v>
      </c>
      <c r="Z5076">
        <v>-2.47942E-3</v>
      </c>
      <c r="AA5076">
        <v>0.99856389999999995</v>
      </c>
      <c r="AB5076">
        <v>23</v>
      </c>
      <c r="AC5076">
        <v>-14.8688</v>
      </c>
      <c r="AD5076">
        <v>-1.120543521453</v>
      </c>
      <c r="AE5076">
        <v>-0.74920000000000098</v>
      </c>
      <c r="AF5076">
        <v>-0.80474694927303903</v>
      </c>
      <c r="AG5076">
        <v>-1.120543521453</v>
      </c>
      <c r="AH5076">
        <v>14.7819092221866</v>
      </c>
      <c r="AI5076">
        <v>94.328633549683005</v>
      </c>
      <c r="AJ5076">
        <v>93.116182813211196</v>
      </c>
      <c r="AK5076">
        <v>14.8461468296929</v>
      </c>
      <c r="AL5076">
        <v>94.472281776945806</v>
      </c>
      <c r="AM5076">
        <v>90.086159637195905</v>
      </c>
      <c r="AN5076">
        <v>0.99999995351244697</v>
      </c>
    </row>
    <row r="5077" spans="1:40" x14ac:dyDescent="0.25">
      <c r="A5077" t="str">
        <f>"20190303154910841"</f>
        <v>20190303154910841</v>
      </c>
      <c r="B5077" t="str">
        <f>"1551599350835929"</f>
        <v>1551599350835929</v>
      </c>
      <c r="C5077" t="s">
        <v>40</v>
      </c>
      <c r="D5077">
        <v>5.636209</v>
      </c>
      <c r="E5077">
        <v>0.47900110000000001</v>
      </c>
      <c r="F5077" t="s">
        <v>59</v>
      </c>
      <c r="G5077">
        <v>-308.02949999999998</v>
      </c>
      <c r="H5077" s="1">
        <v>-9.5772789999999998E-6</v>
      </c>
      <c r="I5077">
        <v>140.85249999999999</v>
      </c>
      <c r="J5077">
        <v>-292.91890000000001</v>
      </c>
      <c r="K5077">
        <v>1.120533</v>
      </c>
      <c r="L5077">
        <v>141.63919999999999</v>
      </c>
      <c r="M5077">
        <v>-0.99995860000000003</v>
      </c>
      <c r="N5077">
        <v>-8.3893690000000007E-3</v>
      </c>
      <c r="O5077">
        <v>3.547414E-3</v>
      </c>
      <c r="P5077">
        <v>-0.99625889999999995</v>
      </c>
      <c r="Q5077">
        <v>-8.6400450000000004E-2</v>
      </c>
      <c r="R5077">
        <v>1.88904E-3</v>
      </c>
      <c r="S5077">
        <v>-2.9926759999999999</v>
      </c>
      <c r="T5077">
        <v>-0.21868190000000001</v>
      </c>
      <c r="U5077">
        <v>-0.1534729</v>
      </c>
      <c r="V5077">
        <v>-1.5866529999999999E-3</v>
      </c>
      <c r="W5077">
        <v>-7.8040609999999996E-2</v>
      </c>
      <c r="X5077">
        <v>0.99694890000000003</v>
      </c>
      <c r="Y5077">
        <v>-5.4588780000000003E-2</v>
      </c>
      <c r="Z5077">
        <v>-2.448988E-3</v>
      </c>
      <c r="AA5077">
        <v>0.99850589999999995</v>
      </c>
      <c r="AB5077">
        <v>23</v>
      </c>
      <c r="AC5077">
        <v>-15.1105999999999</v>
      </c>
      <c r="AD5077">
        <v>-1.1205425772790001</v>
      </c>
      <c r="AE5077">
        <v>-0.78669999999999596</v>
      </c>
      <c r="AF5077">
        <v>-0.83571719843860803</v>
      </c>
      <c r="AG5077">
        <v>-1.1205425772790001</v>
      </c>
      <c r="AH5077">
        <v>15.025311411112201</v>
      </c>
      <c r="AI5077">
        <v>94.258493951483601</v>
      </c>
      <c r="AJ5077">
        <v>93.183546789933004</v>
      </c>
      <c r="AK5077">
        <v>15.0901962182127</v>
      </c>
      <c r="AL5077">
        <v>94.475948869384993</v>
      </c>
      <c r="AM5077">
        <v>90.091186663326198</v>
      </c>
      <c r="AN5077">
        <v>0.99999998174406202</v>
      </c>
    </row>
    <row r="5078" spans="1:40" x14ac:dyDescent="0.25">
      <c r="A5078" t="str">
        <f>"20190303154910864"</f>
        <v>20190303154910864</v>
      </c>
      <c r="B5078" t="str">
        <f>"1551599350856424"</f>
        <v>1551599350856424</v>
      </c>
      <c r="C5078" t="s">
        <v>40</v>
      </c>
      <c r="D5078">
        <v>5.6296269999999904</v>
      </c>
      <c r="E5078">
        <v>0.47902030000000001</v>
      </c>
      <c r="F5078" t="s">
        <v>59</v>
      </c>
      <c r="G5078">
        <v>-308.27519999999998</v>
      </c>
      <c r="H5078" s="1">
        <v>-9.6007389999999994E-6</v>
      </c>
      <c r="I5078">
        <v>140.81270000000001</v>
      </c>
      <c r="J5078">
        <v>-293.15499999999997</v>
      </c>
      <c r="K5078">
        <v>1.1205270000000001</v>
      </c>
      <c r="L5078">
        <v>141.6395</v>
      </c>
      <c r="M5078">
        <v>-0.99996070000000004</v>
      </c>
      <c r="N5078">
        <v>-8.3331129999999996E-3</v>
      </c>
      <c r="O5078">
        <v>3.026118E-3</v>
      </c>
      <c r="P5078">
        <v>-0.99623329999999999</v>
      </c>
      <c r="Q5078">
        <v>-8.6704509999999999E-2</v>
      </c>
      <c r="R5078">
        <v>1.3497649999999999E-3</v>
      </c>
      <c r="S5078">
        <v>-2.9926149999999998</v>
      </c>
      <c r="T5078">
        <v>-0.21836939999999999</v>
      </c>
      <c r="U5078">
        <v>-0.16107179999999999</v>
      </c>
      <c r="V5078">
        <v>-1.6056229999999901E-3</v>
      </c>
      <c r="W5078">
        <v>-7.8401020000000002E-2</v>
      </c>
      <c r="X5078">
        <v>0.99692060000000005</v>
      </c>
      <c r="Y5078">
        <v>-5.6593350000000001E-2</v>
      </c>
      <c r="Z5078">
        <v>-2.4920849999999998E-3</v>
      </c>
      <c r="AA5078">
        <v>0.99839420000000001</v>
      </c>
      <c r="AB5078">
        <v>23</v>
      </c>
      <c r="AC5078">
        <v>-15.120200000000001</v>
      </c>
      <c r="AD5078">
        <v>-1.1205366007390001</v>
      </c>
      <c r="AE5078">
        <v>-0.82679999999999099</v>
      </c>
      <c r="AF5078">
        <v>-0.86780148362606402</v>
      </c>
      <c r="AG5078">
        <v>-1.1205366007390001</v>
      </c>
      <c r="AH5078">
        <v>15.035299753968699</v>
      </c>
      <c r="AI5078">
        <v>94.255150489174099</v>
      </c>
      <c r="AJ5078">
        <v>93.303310260240295</v>
      </c>
      <c r="AK5078">
        <v>15.1019508799449</v>
      </c>
      <c r="AL5078">
        <v>94.496662267836996</v>
      </c>
      <c r="AM5078">
        <v>90.092279507359507</v>
      </c>
      <c r="AN5078">
        <v>0.999999990333309</v>
      </c>
    </row>
    <row r="5079" spans="1:40" x14ac:dyDescent="0.25">
      <c r="A5079" t="str">
        <f>"20190303154910885"</f>
        <v>20190303154910885</v>
      </c>
      <c r="B5079" t="str">
        <f>"1551599350875945"</f>
        <v>1551599350875945</v>
      </c>
      <c r="C5079" t="s">
        <v>40</v>
      </c>
      <c r="D5079">
        <v>5.6276999999999999</v>
      </c>
      <c r="E5079">
        <v>0.47893750000000002</v>
      </c>
      <c r="F5079" t="s">
        <v>59</v>
      </c>
      <c r="G5079">
        <v>-308.4128</v>
      </c>
      <c r="H5079" s="1">
        <v>-9.6199960000000001E-6</v>
      </c>
      <c r="I5079">
        <v>140.81100000000001</v>
      </c>
      <c r="J5079">
        <v>-293.3775</v>
      </c>
      <c r="K5079">
        <v>1.1205210000000001</v>
      </c>
      <c r="L5079">
        <v>141.6396</v>
      </c>
      <c r="M5079">
        <v>-0.99996249999999998</v>
      </c>
      <c r="N5079">
        <v>-8.2889090000000006E-3</v>
      </c>
      <c r="O5079">
        <v>2.5348670000000001E-3</v>
      </c>
      <c r="P5079">
        <v>-0.99619749999999996</v>
      </c>
      <c r="Q5079">
        <v>-8.7124380000000001E-2</v>
      </c>
      <c r="R5079">
        <v>3.8243499999999998E-4</v>
      </c>
      <c r="S5079">
        <v>-2.9924010000000001</v>
      </c>
      <c r="T5079">
        <v>-0.21976209999999999</v>
      </c>
      <c r="U5079">
        <v>-0.1624756</v>
      </c>
      <c r="V5079">
        <v>-2.083292E-3</v>
      </c>
      <c r="W5079">
        <v>-7.8865610000000003E-2</v>
      </c>
      <c r="X5079">
        <v>0.99688310000000002</v>
      </c>
      <c r="Y5079">
        <v>-5.6572749999999998E-2</v>
      </c>
      <c r="Z5079">
        <v>-2.4728350000000001E-3</v>
      </c>
      <c r="AA5079">
        <v>0.99839540000000004</v>
      </c>
      <c r="AB5079">
        <v>24</v>
      </c>
      <c r="AC5079">
        <v>-15.035299999999999</v>
      </c>
      <c r="AD5079">
        <v>-1.1205306199959999</v>
      </c>
      <c r="AE5079">
        <v>-0.82859999999999401</v>
      </c>
      <c r="AF5079">
        <v>-0.86193822974361001</v>
      </c>
      <c r="AG5079">
        <v>-1.1205306199959999</v>
      </c>
      <c r="AH5079">
        <v>14.9503650111546</v>
      </c>
      <c r="AI5079">
        <v>94.279227945178903</v>
      </c>
      <c r="AJ5079">
        <v>93.299639446888193</v>
      </c>
      <c r="AK5079">
        <v>15.0170549825522</v>
      </c>
      <c r="AL5079">
        <v>94.523363859987299</v>
      </c>
      <c r="AM5079">
        <v>90.119736873188401</v>
      </c>
      <c r="AN5079">
        <v>1.00000001980591</v>
      </c>
    </row>
    <row r="5080" spans="1:40" x14ac:dyDescent="0.25">
      <c r="A5080" t="str">
        <f>"20190303154910899"</f>
        <v>20190303154910899</v>
      </c>
      <c r="B5080" t="str">
        <f>"1551599350896440"</f>
        <v>1551599350896440</v>
      </c>
      <c r="C5080" t="s">
        <v>40</v>
      </c>
      <c r="D5080">
        <v>5.6258249999999999</v>
      </c>
      <c r="E5080">
        <v>0.47883550000000003</v>
      </c>
      <c r="F5080" t="s">
        <v>59</v>
      </c>
      <c r="G5080">
        <v>-308.53559999999999</v>
      </c>
      <c r="H5080" s="1">
        <v>-9.6338239999999998E-6</v>
      </c>
      <c r="I5080">
        <v>140.79820000000001</v>
      </c>
      <c r="J5080">
        <v>-293.53210000000001</v>
      </c>
      <c r="K5080">
        <v>1.120519</v>
      </c>
      <c r="L5080">
        <v>141.6396</v>
      </c>
      <c r="M5080">
        <v>-0.99996350000000001</v>
      </c>
      <c r="N5080">
        <v>-8.2621580000000003E-3</v>
      </c>
      <c r="O5080">
        <v>2.1938019999999999E-3</v>
      </c>
      <c r="P5080">
        <v>-0.99616979999999999</v>
      </c>
      <c r="Q5080">
        <v>-8.7441649999999996E-2</v>
      </c>
      <c r="R5080">
        <v>-1.02404E-4</v>
      </c>
      <c r="S5080">
        <v>-2.9921259999999998</v>
      </c>
      <c r="T5080">
        <v>-0.2211862</v>
      </c>
      <c r="U5080">
        <v>-0.16607669999999999</v>
      </c>
      <c r="V5080">
        <v>-2.2272619999999998E-3</v>
      </c>
      <c r="W5080">
        <v>-7.9209909999999994E-2</v>
      </c>
      <c r="X5080">
        <v>0.99685550000000001</v>
      </c>
      <c r="Y5080">
        <v>-5.743115E-2</v>
      </c>
      <c r="Z5080">
        <v>-2.4997560000000001E-3</v>
      </c>
      <c r="AA5080">
        <v>0.99834630000000002</v>
      </c>
      <c r="AB5080">
        <v>24</v>
      </c>
      <c r="AC5080">
        <v>-15.003499999999899</v>
      </c>
      <c r="AD5080">
        <v>-1.1205286338239999</v>
      </c>
      <c r="AE5080">
        <v>-0.84139999999999204</v>
      </c>
      <c r="AF5080">
        <v>-0.86947925331618503</v>
      </c>
      <c r="AG5080">
        <v>-1.1205286338239999</v>
      </c>
      <c r="AH5080">
        <v>14.918665932930001</v>
      </c>
      <c r="AI5080">
        <v>94.288123967786404</v>
      </c>
      <c r="AJ5080">
        <v>93.335499387105799</v>
      </c>
      <c r="AK5080">
        <v>14.9859324637986</v>
      </c>
      <c r="AL5080">
        <v>94.543152660735501</v>
      </c>
      <c r="AM5080">
        <v>90.128015043425194</v>
      </c>
      <c r="AN5080">
        <v>1.0000000292092299</v>
      </c>
    </row>
    <row r="5081" spans="1:40" x14ac:dyDescent="0.25">
      <c r="A5081" t="str">
        <f>"20190303154910914"</f>
        <v>20190303154910914</v>
      </c>
      <c r="B5081" t="str">
        <f>"1551599350906201"</f>
        <v>1551599350906201</v>
      </c>
      <c r="C5081" t="s">
        <v>40</v>
      </c>
      <c r="D5081">
        <v>5.644666</v>
      </c>
      <c r="E5081">
        <v>0.47868250000000001</v>
      </c>
      <c r="F5081" t="s">
        <v>59</v>
      </c>
      <c r="G5081">
        <v>-308.64190000000002</v>
      </c>
      <c r="H5081" s="1">
        <v>-9.6463939999999999E-6</v>
      </c>
      <c r="I5081">
        <v>140.78919999999999</v>
      </c>
      <c r="J5081">
        <v>-293.67809999999997</v>
      </c>
      <c r="K5081">
        <v>1.120517</v>
      </c>
      <c r="L5081">
        <v>141.6396</v>
      </c>
      <c r="M5081">
        <v>-0.99996450000000003</v>
      </c>
      <c r="N5081">
        <v>-8.2408869999999902E-3</v>
      </c>
      <c r="O5081">
        <v>1.8717269999999999E-3</v>
      </c>
      <c r="P5081">
        <v>-0.99616110000000002</v>
      </c>
      <c r="Q5081">
        <v>-8.7540809999999997E-2</v>
      </c>
      <c r="R5081">
        <v>-5.2729739999999995E-4</v>
      </c>
      <c r="S5081">
        <v>-2.992035</v>
      </c>
      <c r="T5081">
        <v>-0.22188620000000001</v>
      </c>
      <c r="U5081">
        <v>-0.16841130000000001</v>
      </c>
      <c r="V5081">
        <v>-2.331339E-3</v>
      </c>
      <c r="W5081">
        <v>-7.9330410000000004E-2</v>
      </c>
      <c r="X5081">
        <v>0.99684569999999995</v>
      </c>
      <c r="Y5081">
        <v>-5.7886109999999998E-2</v>
      </c>
      <c r="Z5081">
        <v>-2.503941E-3</v>
      </c>
      <c r="AA5081">
        <v>0.99831999999999999</v>
      </c>
      <c r="AB5081">
        <v>24</v>
      </c>
      <c r="AC5081">
        <v>-14.963800000000001</v>
      </c>
      <c r="AD5081">
        <v>-1.120526646394</v>
      </c>
      <c r="AE5081">
        <v>-0.85040000000000704</v>
      </c>
      <c r="AF5081">
        <v>-0.87352517842740995</v>
      </c>
      <c r="AG5081">
        <v>-1.120526646394</v>
      </c>
      <c r="AH5081">
        <v>14.8790181865142</v>
      </c>
      <c r="AI5081">
        <v>94.299393359512493</v>
      </c>
      <c r="AJ5081">
        <v>93.3598939476976</v>
      </c>
      <c r="AK5081">
        <v>14.9466989130458</v>
      </c>
      <c r="AL5081">
        <v>94.550078504877007</v>
      </c>
      <c r="AM5081">
        <v>90.133998312657397</v>
      </c>
      <c r="AN5081">
        <v>1.00000004935039</v>
      </c>
    </row>
    <row r="5082" spans="1:40" x14ac:dyDescent="0.25">
      <c r="A5082" t="str">
        <f>"20190303154910931"</f>
        <v>20190303154910931</v>
      </c>
      <c r="B5082" t="str">
        <f>"1551599350925721"</f>
        <v>1551599350925721</v>
      </c>
      <c r="C5082" t="s">
        <v>40</v>
      </c>
      <c r="D5082">
        <v>5.6389110000000002</v>
      </c>
      <c r="E5082">
        <v>0.4785971</v>
      </c>
      <c r="F5082" t="s">
        <v>59</v>
      </c>
      <c r="G5082">
        <v>-308.69040000000001</v>
      </c>
      <c r="H5082" s="1">
        <v>-9.6512449999999998E-6</v>
      </c>
      <c r="I5082">
        <v>140.78210000000001</v>
      </c>
      <c r="J5082">
        <v>-293.86619999999999</v>
      </c>
      <c r="K5082">
        <v>1.1205099999999999</v>
      </c>
      <c r="L5082">
        <v>141.6395</v>
      </c>
      <c r="M5082">
        <v>-0.99996529999999995</v>
      </c>
      <c r="N5082">
        <v>-8.2182880000000007E-3</v>
      </c>
      <c r="O5082">
        <v>1.456972E-3</v>
      </c>
      <c r="P5082">
        <v>-0.99620929999999996</v>
      </c>
      <c r="Q5082">
        <v>-8.6984569999999997E-2</v>
      </c>
      <c r="R5082">
        <v>-1.113667E-3</v>
      </c>
      <c r="S5082">
        <v>-2.9918520000000002</v>
      </c>
      <c r="T5082">
        <v>-0.22331309999999999</v>
      </c>
      <c r="U5082">
        <v>-0.17089840000000001</v>
      </c>
      <c r="V5082">
        <v>-2.5044659999999999E-3</v>
      </c>
      <c r="W5082">
        <v>-7.8796450000000004E-2</v>
      </c>
      <c r="X5082">
        <v>0.99688759999999998</v>
      </c>
      <c r="Y5082">
        <v>-5.830018E-2</v>
      </c>
      <c r="Z5082">
        <v>-2.507684E-3</v>
      </c>
      <c r="AA5082">
        <v>0.99829599999999996</v>
      </c>
      <c r="AB5082">
        <v>24</v>
      </c>
      <c r="AC5082">
        <v>-14.824199999999999</v>
      </c>
      <c r="AD5082">
        <v>-1.120519651245</v>
      </c>
      <c r="AE5082">
        <v>-0.85739999999998395</v>
      </c>
      <c r="AF5082">
        <v>-0.87402125629664895</v>
      </c>
      <c r="AG5082">
        <v>-1.120519651245</v>
      </c>
      <c r="AH5082">
        <v>14.739005594896801</v>
      </c>
      <c r="AI5082">
        <v>94.339902631501204</v>
      </c>
      <c r="AJ5082">
        <v>93.393658640469198</v>
      </c>
      <c r="AK5082">
        <v>14.8073550430752</v>
      </c>
      <c r="AL5082">
        <v>94.519388913201098</v>
      </c>
      <c r="AM5082">
        <v>90.143943038153097</v>
      </c>
      <c r="AN5082">
        <v>1.00000001995815</v>
      </c>
    </row>
    <row r="5083" spans="1:40" x14ac:dyDescent="0.25">
      <c r="A5083" t="str">
        <f>"20190303154910955"</f>
        <v>20190303154910955</v>
      </c>
      <c r="B5083" t="str">
        <f>"1551599350946216"</f>
        <v>1551599350946216</v>
      </c>
      <c r="C5083" t="s">
        <v>40</v>
      </c>
      <c r="D5083">
        <v>5.5925960000000003</v>
      </c>
      <c r="E5083">
        <v>0.47858539999999999</v>
      </c>
      <c r="F5083" t="s">
        <v>59</v>
      </c>
      <c r="G5083">
        <v>-308.94650000000001</v>
      </c>
      <c r="H5083" s="1">
        <v>-9.6830020000000008E-6</v>
      </c>
      <c r="I5083">
        <v>140.76519999999999</v>
      </c>
      <c r="J5083">
        <v>-294.11329999999998</v>
      </c>
      <c r="K5083">
        <v>1.120511</v>
      </c>
      <c r="L5083">
        <v>141.63919999999999</v>
      </c>
      <c r="M5083">
        <v>-0.99996600000000002</v>
      </c>
      <c r="N5083">
        <v>-8.2007820000000002E-3</v>
      </c>
      <c r="O5083">
        <v>9.1213190000000003E-4</v>
      </c>
      <c r="P5083">
        <v>-0.99622200000000005</v>
      </c>
      <c r="Q5083">
        <v>-8.6825749999999993E-2</v>
      </c>
      <c r="R5083">
        <v>-1.840981E-3</v>
      </c>
      <c r="S5083">
        <v>-2.9917910000000001</v>
      </c>
      <c r="T5083">
        <v>-0.22230030000000001</v>
      </c>
      <c r="U5083">
        <v>-0.17344670000000001</v>
      </c>
      <c r="V5083">
        <v>-2.6889330000000001E-3</v>
      </c>
      <c r="W5083">
        <v>-7.8655149999999993E-2</v>
      </c>
      <c r="X5083">
        <v>0.99689819999999996</v>
      </c>
      <c r="Y5083">
        <v>-5.8606749999999999E-2</v>
      </c>
      <c r="Z5083">
        <v>-2.47357E-3</v>
      </c>
      <c r="AA5083">
        <v>0.99827809999999995</v>
      </c>
      <c r="AB5083">
        <v>24</v>
      </c>
      <c r="AC5083">
        <v>-14.8332</v>
      </c>
      <c r="AD5083">
        <v>-1.120520683002</v>
      </c>
      <c r="AE5083">
        <v>-0.873999999999995</v>
      </c>
      <c r="AF5083">
        <v>-0.88251129596012901</v>
      </c>
      <c r="AG5083">
        <v>-1.120520683002</v>
      </c>
      <c r="AH5083">
        <v>14.748525278745401</v>
      </c>
      <c r="AI5083">
        <v>94.336978225051396</v>
      </c>
      <c r="AJ5083">
        <v>93.424339226964406</v>
      </c>
      <c r="AK5083">
        <v>14.817334128861599</v>
      </c>
      <c r="AL5083">
        <v>94.511268166409906</v>
      </c>
      <c r="AM5083">
        <v>90.154543501700402</v>
      </c>
      <c r="AN5083">
        <v>0.99999994207271803</v>
      </c>
    </row>
    <row r="5084" spans="1:40" x14ac:dyDescent="0.25">
      <c r="A5084" t="str">
        <f>"20190303154910977"</f>
        <v>20190303154910977</v>
      </c>
      <c r="B5084" t="str">
        <f>"1551599350965738"</f>
        <v>1551599350965738</v>
      </c>
      <c r="C5084" t="s">
        <v>40</v>
      </c>
      <c r="D5084">
        <v>5.5848839999999997</v>
      </c>
      <c r="E5084">
        <v>0.47853220000000002</v>
      </c>
      <c r="F5084" t="s">
        <v>59</v>
      </c>
      <c r="G5084">
        <v>-309.13279999999997</v>
      </c>
      <c r="H5084" s="1">
        <v>-9.707363E-6</v>
      </c>
      <c r="I5084">
        <v>140.75720000000001</v>
      </c>
      <c r="J5084">
        <v>-294.35230000000001</v>
      </c>
      <c r="K5084">
        <v>1.120522</v>
      </c>
      <c r="L5084">
        <v>141.6388</v>
      </c>
      <c r="M5084">
        <v>-0.99996640000000003</v>
      </c>
      <c r="N5084">
        <v>-8.2055459999999993E-3</v>
      </c>
      <c r="O5084">
        <v>3.8561040000000002E-4</v>
      </c>
      <c r="P5084">
        <v>-0.99630940000000001</v>
      </c>
      <c r="Q5084">
        <v>-8.5786039999999994E-2</v>
      </c>
      <c r="R5084">
        <v>-2.894036E-3</v>
      </c>
      <c r="S5084">
        <v>-2.9916079999999998</v>
      </c>
      <c r="T5084">
        <v>-0.22318660000000001</v>
      </c>
      <c r="U5084">
        <v>-0.1756897</v>
      </c>
      <c r="V5084">
        <v>-3.218271E-3</v>
      </c>
      <c r="W5084">
        <v>-7.7610449999999997E-2</v>
      </c>
      <c r="X5084">
        <v>0.99697860000000005</v>
      </c>
      <c r="Y5084">
        <v>-5.8829680000000002E-2</v>
      </c>
      <c r="Z5084">
        <v>-2.457042E-3</v>
      </c>
      <c r="AA5084">
        <v>0.99826499999999996</v>
      </c>
      <c r="AB5084">
        <v>24</v>
      </c>
      <c r="AC5084">
        <v>-14.7804999999999</v>
      </c>
      <c r="AD5084">
        <v>-1.1205317073629999</v>
      </c>
      <c r="AE5084">
        <v>-0.88159999999999095</v>
      </c>
      <c r="AF5084">
        <v>-0.88224700524507804</v>
      </c>
      <c r="AG5084">
        <v>-1.1205317073629999</v>
      </c>
      <c r="AH5084">
        <v>14.6959948694424</v>
      </c>
      <c r="AI5084">
        <v>94.352413096315502</v>
      </c>
      <c r="AJ5084">
        <v>93.435523447798303</v>
      </c>
      <c r="AK5084">
        <v>14.765033568811999</v>
      </c>
      <c r="AL5084">
        <v>94.451227303027295</v>
      </c>
      <c r="AM5084">
        <v>90.184951517680702</v>
      </c>
      <c r="AN5084">
        <v>1.00000003403769</v>
      </c>
    </row>
    <row r="5085" spans="1:40" x14ac:dyDescent="0.25">
      <c r="A5085" t="str">
        <f>"20190303154910997"</f>
        <v>20190303154910997</v>
      </c>
      <c r="B5085" t="str">
        <f>"1551599350986233"</f>
        <v>1551599350986233</v>
      </c>
      <c r="C5085" t="s">
        <v>40</v>
      </c>
      <c r="D5085">
        <v>5.5839080000000001</v>
      </c>
      <c r="E5085">
        <v>0.47849370000000002</v>
      </c>
      <c r="F5085" t="s">
        <v>59</v>
      </c>
      <c r="G5085">
        <v>-309.49869999999999</v>
      </c>
      <c r="H5085" s="1">
        <v>-9.7519610000000008E-6</v>
      </c>
      <c r="I5085">
        <v>140.7304</v>
      </c>
      <c r="J5085">
        <v>-294.57339999999999</v>
      </c>
      <c r="K5085">
        <v>1.120528</v>
      </c>
      <c r="L5085">
        <v>141.63839999999999</v>
      </c>
      <c r="M5085">
        <v>-0.99996609999999997</v>
      </c>
      <c r="N5085">
        <v>-8.2422050000000007E-3</v>
      </c>
      <c r="O5085">
        <v>-1.007013E-4</v>
      </c>
      <c r="P5085">
        <v>-0.99635879999999999</v>
      </c>
      <c r="Q5085">
        <v>-8.5179779999999997E-2</v>
      </c>
      <c r="R5085">
        <v>-3.714976E-3</v>
      </c>
      <c r="S5085">
        <v>-2.9915470000000002</v>
      </c>
      <c r="T5085">
        <v>-0.22131500000000001</v>
      </c>
      <c r="U5085">
        <v>-0.17941279999999901</v>
      </c>
      <c r="V5085">
        <v>-3.5545540000000001E-3</v>
      </c>
      <c r="W5085">
        <v>-7.6967499999999994E-2</v>
      </c>
      <c r="X5085">
        <v>0.99702729999999995</v>
      </c>
      <c r="Y5085">
        <v>-5.9584980000000003E-2</v>
      </c>
      <c r="Z5085">
        <v>-2.4386239999999999E-3</v>
      </c>
      <c r="AA5085">
        <v>0.99822029999999995</v>
      </c>
      <c r="AB5085">
        <v>24</v>
      </c>
      <c r="AC5085">
        <v>-14.925299999999901</v>
      </c>
      <c r="AD5085">
        <v>-1.120537751961</v>
      </c>
      <c r="AE5085">
        <v>-0.90799999999998704</v>
      </c>
      <c r="AF5085">
        <v>-0.90143477675775197</v>
      </c>
      <c r="AG5085">
        <v>-1.120537751961</v>
      </c>
      <c r="AH5085">
        <v>14.8420431772323</v>
      </c>
      <c r="AI5085">
        <v>94.309588558217897</v>
      </c>
      <c r="AJ5085">
        <v>93.475602480659404</v>
      </c>
      <c r="AK5085">
        <v>14.911553748189499</v>
      </c>
      <c r="AL5085">
        <v>94.414278458839405</v>
      </c>
      <c r="AM5085">
        <v>90.204267304810301</v>
      </c>
      <c r="AN5085">
        <v>1.0000000339278301</v>
      </c>
    </row>
    <row r="5086" spans="1:40" x14ac:dyDescent="0.25">
      <c r="A5086" t="str">
        <f>"20190303154911020"</f>
        <v>20190303154911020</v>
      </c>
      <c r="B5086" t="str">
        <f>"1551599351016488"</f>
        <v>1551599351016488</v>
      </c>
      <c r="C5086" t="s">
        <v>40</v>
      </c>
      <c r="D5086">
        <v>5.5643229999999999</v>
      </c>
      <c r="E5086">
        <v>0.47866710000000001</v>
      </c>
      <c r="F5086" t="s">
        <v>59</v>
      </c>
      <c r="G5086">
        <v>-309.79180000000002</v>
      </c>
      <c r="H5086" s="1">
        <v>-9.7885249999999996E-6</v>
      </c>
      <c r="I5086">
        <v>140.71190000000001</v>
      </c>
      <c r="J5086">
        <v>-294.80799999999999</v>
      </c>
      <c r="K5086">
        <v>1.120549</v>
      </c>
      <c r="L5086">
        <v>141.6378</v>
      </c>
      <c r="M5086">
        <v>-0.99996499999999999</v>
      </c>
      <c r="N5086">
        <v>-8.3339529999999998E-3</v>
      </c>
      <c r="O5086">
        <v>-6.1528050000000001E-4</v>
      </c>
      <c r="P5086">
        <v>-0.9963552</v>
      </c>
      <c r="Q5086">
        <v>-8.5185650000000002E-2</v>
      </c>
      <c r="R5086">
        <v>-4.4142590000000002E-3</v>
      </c>
      <c r="S5086">
        <v>-2.9914860000000001</v>
      </c>
      <c r="T5086">
        <v>-0.22026470000000001</v>
      </c>
      <c r="U5086">
        <v>-0.18212890000000001</v>
      </c>
      <c r="V5086">
        <v>-3.740943E-3</v>
      </c>
      <c r="W5086">
        <v>-7.6882080000000005E-2</v>
      </c>
      <c r="X5086">
        <v>0.99703319999999995</v>
      </c>
      <c r="Y5086">
        <v>-5.997686E-2</v>
      </c>
      <c r="Z5086">
        <v>-2.413498E-3</v>
      </c>
      <c r="AA5086">
        <v>0.9981968</v>
      </c>
      <c r="AB5086">
        <v>24</v>
      </c>
      <c r="AC5086">
        <v>-14.9838</v>
      </c>
      <c r="AD5086">
        <v>-1.1205587885249999</v>
      </c>
      <c r="AE5086">
        <v>-0.92589999999998396</v>
      </c>
      <c r="AF5086">
        <v>-0.91160129988446004</v>
      </c>
      <c r="AG5086">
        <v>-1.1205587885249999</v>
      </c>
      <c r="AH5086">
        <v>14.9013444022562</v>
      </c>
      <c r="AI5086">
        <v>94.2924682648583</v>
      </c>
      <c r="AJ5086">
        <v>93.500750936570199</v>
      </c>
      <c r="AK5086">
        <v>14.971196809979601</v>
      </c>
      <c r="AL5086">
        <v>94.409369746109206</v>
      </c>
      <c r="AM5086">
        <v>90.214977033338101</v>
      </c>
      <c r="AN5086">
        <v>1.00000002539094</v>
      </c>
    </row>
    <row r="5087" spans="1:40" x14ac:dyDescent="0.25">
      <c r="A5087" t="str">
        <f>"20190303154911041"</f>
        <v>20190303154911041</v>
      </c>
      <c r="B5087" t="str">
        <f>"1551599351036009"</f>
        <v>1551599351036009</v>
      </c>
      <c r="C5087" t="s">
        <v>40</v>
      </c>
      <c r="D5087">
        <v>5.5860260000000004</v>
      </c>
      <c r="E5087">
        <v>0.47865259999999998</v>
      </c>
      <c r="F5087" t="s">
        <v>59</v>
      </c>
      <c r="G5087">
        <v>-309.93869999999998</v>
      </c>
      <c r="H5087" s="1">
        <v>-9.8098519999999994E-6</v>
      </c>
      <c r="I5087">
        <v>140.71260000000001</v>
      </c>
      <c r="J5087">
        <v>-295.04599999999999</v>
      </c>
      <c r="K5087">
        <v>1.120582</v>
      </c>
      <c r="L5087">
        <v>141.637</v>
      </c>
      <c r="M5087">
        <v>-0.9999633</v>
      </c>
      <c r="N5087">
        <v>-8.5204959999999903E-3</v>
      </c>
      <c r="O5087">
        <v>-1.137936E-3</v>
      </c>
      <c r="P5087">
        <v>-0.99630399999999997</v>
      </c>
      <c r="Q5087">
        <v>-8.5748660000000004E-2</v>
      </c>
      <c r="R5087">
        <v>-5.0728910000000004E-3</v>
      </c>
      <c r="S5087">
        <v>-2.9912109999999998</v>
      </c>
      <c r="T5087">
        <v>-0.2215241</v>
      </c>
      <c r="U5087">
        <v>-0.18289179999999999</v>
      </c>
      <c r="V5087">
        <v>-3.877751E-3</v>
      </c>
      <c r="W5087">
        <v>-7.7259590000000003E-2</v>
      </c>
      <c r="X5087">
        <v>0.99700350000000004</v>
      </c>
      <c r="Y5087">
        <v>-5.9713879999999997E-2</v>
      </c>
      <c r="Z5087">
        <v>-2.3867010000000002E-3</v>
      </c>
      <c r="AA5087">
        <v>0.99821269999999995</v>
      </c>
      <c r="AB5087">
        <v>24</v>
      </c>
      <c r="AC5087">
        <v>-14.8926999999999</v>
      </c>
      <c r="AD5087">
        <v>-1.120591809852</v>
      </c>
      <c r="AE5087">
        <v>-0.92439999999999101</v>
      </c>
      <c r="AF5087">
        <v>-0.90236253938359201</v>
      </c>
      <c r="AG5087">
        <v>-1.120591809852</v>
      </c>
      <c r="AH5087">
        <v>14.8102129174843</v>
      </c>
      <c r="AI5087">
        <v>94.318972951210995</v>
      </c>
      <c r="AJ5087">
        <v>93.486629854084697</v>
      </c>
      <c r="AK5087">
        <v>14.8799324870111</v>
      </c>
      <c r="AL5087">
        <v>94.431063981445604</v>
      </c>
      <c r="AM5087">
        <v>90.2228454022259</v>
      </c>
      <c r="AN5087">
        <v>1.0000000301060099</v>
      </c>
    </row>
    <row r="5088" spans="1:40" x14ac:dyDescent="0.25">
      <c r="A5088" t="str">
        <f>"20190303154911064"</f>
        <v>20190303154911064</v>
      </c>
      <c r="B5088" t="str">
        <f>"1551599351055528"</f>
        <v>1551599351055528</v>
      </c>
      <c r="C5088" t="s">
        <v>40</v>
      </c>
      <c r="D5088">
        <v>5.5776019999999997</v>
      </c>
      <c r="E5088">
        <v>0.47865679999999999</v>
      </c>
      <c r="F5088" t="s">
        <v>59</v>
      </c>
      <c r="G5088">
        <v>-309.9298</v>
      </c>
      <c r="H5088" s="1">
        <v>-9.8095539999999992E-6</v>
      </c>
      <c r="I5088">
        <v>140.7159</v>
      </c>
      <c r="J5088">
        <v>-295.28730000000002</v>
      </c>
      <c r="K5088">
        <v>1.1206499999999999</v>
      </c>
      <c r="L5088">
        <v>141.6361</v>
      </c>
      <c r="M5088">
        <v>-0.99995970000000001</v>
      </c>
      <c r="N5088">
        <v>-8.829379E-3</v>
      </c>
      <c r="O5088">
        <v>-1.666474E-3</v>
      </c>
      <c r="P5088">
        <v>-0.99623649999999997</v>
      </c>
      <c r="Q5088">
        <v>-8.6513350000000003E-2</v>
      </c>
      <c r="R5088">
        <v>-5.3459010000000001E-3</v>
      </c>
      <c r="S5088">
        <v>-2.9908450000000002</v>
      </c>
      <c r="T5088">
        <v>-0.2251793</v>
      </c>
      <c r="U5088">
        <v>-0.18508910000000001</v>
      </c>
      <c r="V5088">
        <v>-3.622803E-3</v>
      </c>
      <c r="W5088">
        <v>-7.7716699999999903E-2</v>
      </c>
      <c r="X5088">
        <v>0.99696890000000005</v>
      </c>
      <c r="Y5088">
        <v>-5.991842E-2</v>
      </c>
      <c r="Z5088">
        <v>-2.4049919999999999E-3</v>
      </c>
      <c r="AA5088">
        <v>0.99820039999999999</v>
      </c>
      <c r="AB5088">
        <v>24</v>
      </c>
      <c r="AC5088">
        <v>-14.642499999999901</v>
      </c>
      <c r="AD5088">
        <v>-1.1206598095539999</v>
      </c>
      <c r="AE5088">
        <v>-0.92019999999999402</v>
      </c>
      <c r="AF5088">
        <v>-0.89060020047214195</v>
      </c>
      <c r="AG5088">
        <v>-1.1206598095539999</v>
      </c>
      <c r="AH5088">
        <v>14.5590680105709</v>
      </c>
      <c r="AI5088">
        <v>94.3933871520845</v>
      </c>
      <c r="AJ5088">
        <v>93.5005075544953</v>
      </c>
      <c r="AK5088">
        <v>14.629268897052199</v>
      </c>
      <c r="AL5088">
        <v>94.457333579274106</v>
      </c>
      <c r="AM5088">
        <v>90.208201487810101</v>
      </c>
      <c r="AN5088">
        <v>0.99999999886383795</v>
      </c>
    </row>
    <row r="5089" spans="1:40" x14ac:dyDescent="0.25">
      <c r="A5089" t="str">
        <f>"20190303154911085"</f>
        <v>20190303154911085</v>
      </c>
      <c r="B5089" t="str">
        <f>"1551599351076025"</f>
        <v>1551599351076025</v>
      </c>
      <c r="C5089" t="s">
        <v>40</v>
      </c>
      <c r="D5089">
        <v>5.574192</v>
      </c>
      <c r="E5089">
        <v>0.47873579999999999</v>
      </c>
      <c r="F5089" t="s">
        <v>59</v>
      </c>
      <c r="G5089">
        <v>-309.95580000000001</v>
      </c>
      <c r="H5089" s="1">
        <v>-9.8158440000000005E-6</v>
      </c>
      <c r="I5089">
        <v>140.72450000000001</v>
      </c>
      <c r="J5089">
        <v>-295.5145</v>
      </c>
      <c r="K5089">
        <v>1.1207260000000001</v>
      </c>
      <c r="L5089">
        <v>141.63509999999999</v>
      </c>
      <c r="M5089">
        <v>-0.99995540000000005</v>
      </c>
      <c r="N5089">
        <v>-9.1992059999999997E-3</v>
      </c>
      <c r="O5089">
        <v>-2.1546920000000002E-3</v>
      </c>
      <c r="P5089">
        <v>-0.99617619999999896</v>
      </c>
      <c r="Q5089">
        <v>-8.7186130000000001E-2</v>
      </c>
      <c r="R5089">
        <v>-5.6508009999999996E-3</v>
      </c>
      <c r="S5089">
        <v>-2.9905400000000002</v>
      </c>
      <c r="T5089">
        <v>-0.2284735</v>
      </c>
      <c r="U5089">
        <v>-0.18585209999999999</v>
      </c>
      <c r="V5089">
        <v>-3.4406459999999999E-3</v>
      </c>
      <c r="W5089">
        <v>-7.8021140000000003E-2</v>
      </c>
      <c r="X5089">
        <v>0.99694570000000005</v>
      </c>
      <c r="Y5089">
        <v>-5.9686820000000002E-2</v>
      </c>
      <c r="Z5089">
        <v>-2.4053130000000001E-3</v>
      </c>
      <c r="AA5089">
        <v>0.99821420000000005</v>
      </c>
      <c r="AB5089">
        <v>24</v>
      </c>
      <c r="AC5089">
        <v>-14.4413</v>
      </c>
      <c r="AD5089">
        <v>-1.1207358158439999</v>
      </c>
      <c r="AE5089">
        <v>-0.91059999999998797</v>
      </c>
      <c r="AF5089">
        <v>-0.87423557727578804</v>
      </c>
      <c r="AG5089">
        <v>-1.1207358158439999</v>
      </c>
      <c r="AH5089">
        <v>14.3571020017888</v>
      </c>
      <c r="AI5089">
        <v>94.455319569534495</v>
      </c>
      <c r="AJ5089">
        <v>93.484563759241496</v>
      </c>
      <c r="AK5089">
        <v>14.427290615471</v>
      </c>
      <c r="AL5089">
        <v>94.474830129390497</v>
      </c>
      <c r="AM5089">
        <v>90.197737662075994</v>
      </c>
      <c r="AN5089">
        <v>0.99999993254014097</v>
      </c>
    </row>
    <row r="5090" spans="1:40" x14ac:dyDescent="0.25">
      <c r="A5090" t="str">
        <f>"20190303154911109"</f>
        <v>20190303154911109</v>
      </c>
      <c r="B5090" t="str">
        <f>"1551599351106281"</f>
        <v>1551599351106281</v>
      </c>
      <c r="C5090" t="s">
        <v>40</v>
      </c>
      <c r="D5090">
        <v>5.662147</v>
      </c>
      <c r="E5090">
        <v>0.50784459999999998</v>
      </c>
      <c r="F5090" t="s">
        <v>59</v>
      </c>
      <c r="G5090">
        <v>-309.99119999999999</v>
      </c>
      <c r="H5090" s="1">
        <v>-9.8040919999999996E-6</v>
      </c>
      <c r="I5090">
        <v>140.73390000000001</v>
      </c>
      <c r="J5090">
        <v>-295.75839999999999</v>
      </c>
      <c r="K5090">
        <v>1.120808</v>
      </c>
      <c r="L5090">
        <v>141.63399999999999</v>
      </c>
      <c r="M5090">
        <v>-0.99994970000000005</v>
      </c>
      <c r="N5090">
        <v>-9.6671210000000007E-3</v>
      </c>
      <c r="O5090">
        <v>-2.6805930000000002E-3</v>
      </c>
      <c r="P5090">
        <v>-0.99617409999999995</v>
      </c>
      <c r="Q5090">
        <v>-8.7142620000000004E-2</v>
      </c>
      <c r="R5090">
        <v>-6.5830109999999997E-3</v>
      </c>
      <c r="S5090">
        <v>-2.9902039999999999</v>
      </c>
      <c r="T5090">
        <v>-0.23149140000000001</v>
      </c>
      <c r="U5090">
        <v>-0.18615719999999999</v>
      </c>
      <c r="V5090">
        <v>-3.8501009999999999E-3</v>
      </c>
      <c r="W5090">
        <v>-7.7511399999999994E-2</v>
      </c>
      <c r="X5090">
        <v>0.99698399999999998</v>
      </c>
      <c r="Y5090">
        <v>-5.9266930000000002E-2</v>
      </c>
      <c r="Z5090">
        <v>-2.3945720000000002E-3</v>
      </c>
      <c r="AA5090">
        <v>0.99823930000000005</v>
      </c>
      <c r="AB5090">
        <v>24</v>
      </c>
      <c r="AC5090">
        <v>-14.2327999999999</v>
      </c>
      <c r="AD5090">
        <v>-1.120817804092</v>
      </c>
      <c r="AE5090">
        <v>-0.90009999999998003</v>
      </c>
      <c r="AF5090">
        <v>-0.85665136895209104</v>
      </c>
      <c r="AG5090">
        <v>-1.120817804092</v>
      </c>
      <c r="AH5090">
        <v>14.147775338312499</v>
      </c>
      <c r="AI5090">
        <v>94.521390488955603</v>
      </c>
      <c r="AJ5090">
        <v>93.465043380847504</v>
      </c>
      <c r="AK5090">
        <v>14.217933434267501</v>
      </c>
      <c r="AL5090">
        <v>94.445535301557797</v>
      </c>
      <c r="AM5090">
        <v>90.221260763890101</v>
      </c>
      <c r="AN5090">
        <v>0.99999996833183402</v>
      </c>
    </row>
    <row r="5091" spans="1:40" x14ac:dyDescent="0.25">
      <c r="A5091" t="str">
        <f>"20190303154911144"</f>
        <v>20190303154911144</v>
      </c>
      <c r="B5091" t="str">
        <f>"1551599351135561"</f>
        <v>1551599351135561</v>
      </c>
      <c r="C5091" t="s">
        <v>40</v>
      </c>
      <c r="D5091">
        <v>5.5992709999999999</v>
      </c>
      <c r="E5091">
        <v>0.51365950000000005</v>
      </c>
      <c r="F5091" t="s">
        <v>59</v>
      </c>
      <c r="G5091">
        <v>-312.2115</v>
      </c>
      <c r="H5091" s="1">
        <v>-9.2339740000000006E-6</v>
      </c>
      <c r="I5091">
        <v>141.87370000000001</v>
      </c>
      <c r="J5091">
        <v>-296.12990000000002</v>
      </c>
      <c r="K5091">
        <v>1.120933</v>
      </c>
      <c r="L5091">
        <v>141.63200000000001</v>
      </c>
      <c r="M5091">
        <v>-0.99993940000000003</v>
      </c>
      <c r="N5091">
        <v>-1.04525E-2</v>
      </c>
      <c r="O5091">
        <v>-3.4931509999999999E-3</v>
      </c>
      <c r="P5091">
        <v>-0.99617979999999995</v>
      </c>
      <c r="Q5091">
        <v>-8.6995299999999998E-2</v>
      </c>
      <c r="R5091">
        <v>-7.6228469999999899E-3</v>
      </c>
      <c r="S5091">
        <v>-2.9939580000000001</v>
      </c>
      <c r="T5091">
        <v>-0.20395460000000001</v>
      </c>
      <c r="U5091">
        <v>4.3624879999999998E-2</v>
      </c>
      <c r="V5091">
        <v>-4.0833409999999999E-3</v>
      </c>
      <c r="W5091">
        <v>-7.6580960000000003E-2</v>
      </c>
      <c r="X5091">
        <v>0.99705500000000002</v>
      </c>
      <c r="Y5091">
        <v>1.8008360000000001E-2</v>
      </c>
      <c r="Z5091">
        <v>9.0808909999999998E-4</v>
      </c>
      <c r="AA5091">
        <v>0.99983739999999999</v>
      </c>
      <c r="AB5091">
        <v>24</v>
      </c>
      <c r="AC5091">
        <v>-16.081599999999899</v>
      </c>
      <c r="AD5091">
        <v>-1.1209422339740001</v>
      </c>
      <c r="AE5091">
        <v>0.24170000000000799</v>
      </c>
      <c r="AF5091">
        <v>0.296437110488739</v>
      </c>
      <c r="AG5091">
        <v>-1.1209422339740001</v>
      </c>
      <c r="AH5091">
        <v>16.0029238585198</v>
      </c>
      <c r="AI5091">
        <v>94.006115755038493</v>
      </c>
      <c r="AJ5091">
        <v>88.938778113556694</v>
      </c>
      <c r="AK5091">
        <v>16.044873276968001</v>
      </c>
      <c r="AL5091">
        <v>94.392065959229598</v>
      </c>
      <c r="AM5091">
        <v>90.234647935789695</v>
      </c>
      <c r="AN5091">
        <v>0.99999999506662196</v>
      </c>
    </row>
    <row r="5092" spans="1:40" x14ac:dyDescent="0.25">
      <c r="A5092" t="str">
        <f>"20190303154911165"</f>
        <v>20190303154911165</v>
      </c>
      <c r="B5092" t="str">
        <f>"1551599351156057"</f>
        <v>1551599351156057</v>
      </c>
      <c r="C5092" t="s">
        <v>40</v>
      </c>
      <c r="D5092">
        <v>5.5603249999999997</v>
      </c>
      <c r="E5092">
        <v>0.51546539999999996</v>
      </c>
      <c r="F5092" t="s">
        <v>59</v>
      </c>
      <c r="G5092">
        <v>-313.80500000000001</v>
      </c>
      <c r="H5092" s="1">
        <v>-8.7057579999999905E-6</v>
      </c>
      <c r="I5092">
        <v>142.14510000000001</v>
      </c>
      <c r="J5092">
        <v>-296.35919999999999</v>
      </c>
      <c r="K5092">
        <v>1.120994</v>
      </c>
      <c r="L5092">
        <v>141.63059999999999</v>
      </c>
      <c r="M5092">
        <v>-0.9999323</v>
      </c>
      <c r="N5092">
        <v>-1.0929110000000001E-2</v>
      </c>
      <c r="O5092">
        <v>-3.993005E-3</v>
      </c>
      <c r="P5092">
        <v>-0.99619329999999995</v>
      </c>
      <c r="Q5092">
        <v>-8.6771699999999993E-2</v>
      </c>
      <c r="R5092">
        <v>-8.3479479999999991E-3</v>
      </c>
      <c r="S5092">
        <v>-2.9956049999999999</v>
      </c>
      <c r="T5092">
        <v>-0.18997919999999999</v>
      </c>
      <c r="U5092">
        <v>8.6959839999999997E-2</v>
      </c>
      <c r="V5092">
        <v>-4.3117800000000003E-3</v>
      </c>
      <c r="W5092">
        <v>-7.5882050000000006E-2</v>
      </c>
      <c r="X5092">
        <v>0.99710750000000004</v>
      </c>
      <c r="Y5092">
        <v>3.2925240000000001E-2</v>
      </c>
      <c r="Z5092">
        <v>1.4322919999999999E-3</v>
      </c>
      <c r="AA5092">
        <v>0.99945680000000003</v>
      </c>
      <c r="AB5092">
        <v>24</v>
      </c>
      <c r="AC5092">
        <v>-17.445799999999998</v>
      </c>
      <c r="AD5092">
        <v>-1.1210027057580001</v>
      </c>
      <c r="AE5092">
        <v>0.51450000000002605</v>
      </c>
      <c r="AF5092">
        <v>0.58176129415081701</v>
      </c>
      <c r="AG5092">
        <v>-1.1210027057580001</v>
      </c>
      <c r="AH5092">
        <v>17.3719421635403</v>
      </c>
      <c r="AI5092">
        <v>93.690085906581999</v>
      </c>
      <c r="AJ5092">
        <v>88.081963760929298</v>
      </c>
      <c r="AK5092">
        <v>17.417791702827198</v>
      </c>
      <c r="AL5092">
        <v>94.351904384544298</v>
      </c>
      <c r="AM5092">
        <v>90.247761907642897</v>
      </c>
      <c r="AN5092">
        <v>1.0000000217576099</v>
      </c>
    </row>
    <row r="5093" spans="1:40" x14ac:dyDescent="0.25">
      <c r="A5093" t="str">
        <f>"20190303154911187"</f>
        <v>20190303154911187</v>
      </c>
      <c r="B5093" t="str">
        <f>"1551599351176552"</f>
        <v>1551599351176552</v>
      </c>
      <c r="C5093" t="s">
        <v>40</v>
      </c>
      <c r="D5093">
        <v>5.549607</v>
      </c>
      <c r="E5093">
        <v>0.51667319999999906</v>
      </c>
      <c r="F5093" t="s">
        <v>59</v>
      </c>
      <c r="G5093">
        <v>-314.44299999999998</v>
      </c>
      <c r="H5093" s="1">
        <v>-8.4879179999999997E-6</v>
      </c>
      <c r="I5093">
        <v>142.22970000000001</v>
      </c>
      <c r="J5093">
        <v>-296.58839999999998</v>
      </c>
      <c r="K5093">
        <v>1.1210359999999999</v>
      </c>
      <c r="L5093">
        <v>141.62909999999999</v>
      </c>
      <c r="M5093">
        <v>-0.99992530000000002</v>
      </c>
      <c r="N5093">
        <v>-1.137174E-2</v>
      </c>
      <c r="O5093">
        <v>-4.483122E-3</v>
      </c>
      <c r="P5093">
        <v>-0.99620140000000001</v>
      </c>
      <c r="Q5093">
        <v>-8.662127E-2</v>
      </c>
      <c r="R5093">
        <v>-8.9402309999999999E-3</v>
      </c>
      <c r="S5093">
        <v>-2.996124</v>
      </c>
      <c r="T5093">
        <v>-0.1857278</v>
      </c>
      <c r="U5093">
        <v>9.925842E-2</v>
      </c>
      <c r="V5093">
        <v>-4.4170559999999999E-3</v>
      </c>
      <c r="W5093">
        <v>-7.5290140000000005E-2</v>
      </c>
      <c r="X5093">
        <v>0.99715189999999998</v>
      </c>
      <c r="Y5093">
        <v>3.7500539999999999E-2</v>
      </c>
      <c r="Z5093">
        <v>1.601056E-3</v>
      </c>
      <c r="AA5093">
        <v>0.99929539999999994</v>
      </c>
      <c r="AB5093">
        <v>24</v>
      </c>
      <c r="AC5093">
        <v>-17.854600000000001</v>
      </c>
      <c r="AD5093">
        <v>-1.1210444879179999</v>
      </c>
      <c r="AE5093">
        <v>0.60060000000001401</v>
      </c>
      <c r="AF5093">
        <v>0.67797375987256903</v>
      </c>
      <c r="AG5093">
        <v>-1.1210444879179999</v>
      </c>
      <c r="AH5093">
        <v>17.781706904809401</v>
      </c>
      <c r="AI5093">
        <v>93.604815347785404</v>
      </c>
      <c r="AJ5093">
        <v>87.816507240613703</v>
      </c>
      <c r="AK5093">
        <v>17.829904363498802</v>
      </c>
      <c r="AL5093">
        <v>94.317893178472104</v>
      </c>
      <c r="AM5093">
        <v>90.253799858767294</v>
      </c>
      <c r="AN5093">
        <v>1.0000000136192599</v>
      </c>
    </row>
    <row r="5094" spans="1:40" x14ac:dyDescent="0.25">
      <c r="A5094" t="str">
        <f>"20190303154911210"</f>
        <v>20190303154911210</v>
      </c>
      <c r="B5094" t="str">
        <f>"1551599351205833"</f>
        <v>1551599351205833</v>
      </c>
      <c r="C5094" t="s">
        <v>40</v>
      </c>
      <c r="D5094">
        <v>5.6282959999999997</v>
      </c>
      <c r="E5094">
        <v>0.51845980000000003</v>
      </c>
      <c r="F5094" t="s">
        <v>59</v>
      </c>
      <c r="G5094">
        <v>-314.78890000000001</v>
      </c>
      <c r="H5094" s="1">
        <v>-8.3707439999999997E-6</v>
      </c>
      <c r="I5094">
        <v>142.2791</v>
      </c>
      <c r="J5094">
        <v>-296.83510000000001</v>
      </c>
      <c r="K5094">
        <v>1.12107</v>
      </c>
      <c r="L5094">
        <v>141.62729999999999</v>
      </c>
      <c r="M5094">
        <v>-0.99991790000000003</v>
      </c>
      <c r="N5094">
        <v>-1.1803289999999999E-2</v>
      </c>
      <c r="O5094">
        <v>-4.9906159999999998E-3</v>
      </c>
      <c r="P5094">
        <v>-0.99617250000000002</v>
      </c>
      <c r="Q5094">
        <v>-8.6758580000000002E-2</v>
      </c>
      <c r="R5094">
        <v>-1.065753E-2</v>
      </c>
      <c r="S5094">
        <v>-2.9963679999999999</v>
      </c>
      <c r="T5094">
        <v>-0.18455869999999999</v>
      </c>
      <c r="U5094">
        <v>0.10700990000000001</v>
      </c>
      <c r="V5094">
        <v>-5.6301229999999999E-3</v>
      </c>
      <c r="W5094">
        <v>-7.4998120000000001E-2</v>
      </c>
      <c r="X5094">
        <v>0.99716780000000005</v>
      </c>
      <c r="Y5094">
        <v>4.0580049999999999E-2</v>
      </c>
      <c r="Z5094">
        <v>1.7361779999999999E-3</v>
      </c>
      <c r="AA5094">
        <v>0.99917480000000003</v>
      </c>
      <c r="AB5094">
        <v>24</v>
      </c>
      <c r="AC5094">
        <v>-17.953800000000001</v>
      </c>
      <c r="AD5094">
        <v>-1.121078370744</v>
      </c>
      <c r="AE5094">
        <v>0.65180000000000804</v>
      </c>
      <c r="AF5094">
        <v>0.73852289421240402</v>
      </c>
      <c r="AG5094">
        <v>-1.121078370744</v>
      </c>
      <c r="AH5094">
        <v>17.880697250568002</v>
      </c>
      <c r="AI5094">
        <v>93.584568615293406</v>
      </c>
      <c r="AJ5094">
        <v>87.6348680744711</v>
      </c>
      <c r="AK5094">
        <v>17.931022473498199</v>
      </c>
      <c r="AL5094">
        <v>94.301114203265996</v>
      </c>
      <c r="AM5094">
        <v>90.323495060992599</v>
      </c>
      <c r="AN5094">
        <v>1.0000000188226801</v>
      </c>
    </row>
    <row r="5095" spans="1:40" x14ac:dyDescent="0.25">
      <c r="A5095" t="str">
        <f>"20190303154911232"</f>
        <v>20190303154911232</v>
      </c>
      <c r="B5095" t="str">
        <f>"1551599351226329"</f>
        <v>1551599351226329</v>
      </c>
      <c r="C5095" t="s">
        <v>40</v>
      </c>
      <c r="D5095">
        <v>5.6122880000000004</v>
      </c>
      <c r="E5095">
        <v>0.51914919999999998</v>
      </c>
      <c r="F5095" t="s">
        <v>59</v>
      </c>
      <c r="G5095">
        <v>-315.09390000000002</v>
      </c>
      <c r="H5095" s="1">
        <v>-8.2616790000000001E-6</v>
      </c>
      <c r="I5095">
        <v>142.3355</v>
      </c>
      <c r="J5095">
        <v>-297.06310000000002</v>
      </c>
      <c r="K5095">
        <v>1.121073</v>
      </c>
      <c r="L5095">
        <v>141.62569999999999</v>
      </c>
      <c r="M5095">
        <v>-0.99991140000000001</v>
      </c>
      <c r="N5095">
        <v>-1.2161190000000001E-2</v>
      </c>
      <c r="O5095">
        <v>-5.4368280000000003E-3</v>
      </c>
      <c r="P5095">
        <v>-0.99610019999999999</v>
      </c>
      <c r="Q5095">
        <v>-8.7323319999999996E-2</v>
      </c>
      <c r="R5095">
        <v>-1.2617160000000001E-2</v>
      </c>
      <c r="S5095">
        <v>-2.9967350000000001</v>
      </c>
      <c r="T5095">
        <v>-0.1839973</v>
      </c>
      <c r="U5095">
        <v>0.1162262</v>
      </c>
      <c r="V5095">
        <v>-7.1482309999999997E-3</v>
      </c>
      <c r="W5095">
        <v>-7.5207510000000005E-2</v>
      </c>
      <c r="X5095">
        <v>0.99714230000000004</v>
      </c>
      <c r="Y5095">
        <v>4.4081780000000001E-2</v>
      </c>
      <c r="Z5095">
        <v>1.887311E-3</v>
      </c>
      <c r="AA5095">
        <v>0.99902610000000003</v>
      </c>
      <c r="AB5095">
        <v>24</v>
      </c>
      <c r="AC5095">
        <v>-18.030799999999999</v>
      </c>
      <c r="AD5095">
        <v>-1.121081261679</v>
      </c>
      <c r="AE5095">
        <v>0.70980000000000099</v>
      </c>
      <c r="AF5095">
        <v>0.80472099180436496</v>
      </c>
      <c r="AG5095">
        <v>-1.121081261679</v>
      </c>
      <c r="AH5095">
        <v>17.957361202716601</v>
      </c>
      <c r="AI5095">
        <v>93.568777104538299</v>
      </c>
      <c r="AJ5095">
        <v>87.434128036828497</v>
      </c>
      <c r="AK5095">
        <v>18.010308726803299</v>
      </c>
      <c r="AL5095">
        <v>94.313145354307295</v>
      </c>
      <c r="AM5095">
        <v>90.410730195288906</v>
      </c>
      <c r="AN5095">
        <v>1.00000001660805</v>
      </c>
    </row>
    <row r="5096" spans="1:40" x14ac:dyDescent="0.25">
      <c r="A5096" t="str">
        <f>"20190303154911253"</f>
        <v>20190303154911253</v>
      </c>
      <c r="B5096" t="str">
        <f>"1551599351245849"</f>
        <v>1551599351245849</v>
      </c>
      <c r="C5096" t="s">
        <v>40</v>
      </c>
      <c r="D5096">
        <v>5.6246910000000003</v>
      </c>
      <c r="E5096">
        <v>0.51989609999999997</v>
      </c>
      <c r="F5096" t="s">
        <v>59</v>
      </c>
      <c r="G5096">
        <v>-315.26850000000002</v>
      </c>
      <c r="H5096" s="1">
        <v>-8.1823899999999906E-6</v>
      </c>
      <c r="I5096">
        <v>142.32839999999999</v>
      </c>
      <c r="J5096">
        <v>-297.29320000000001</v>
      </c>
      <c r="K5096">
        <v>1.1210690000000001</v>
      </c>
      <c r="L5096">
        <v>141.62389999999999</v>
      </c>
      <c r="M5096">
        <v>-0.99990500000000004</v>
      </c>
      <c r="N5096">
        <v>-1.248352E-2</v>
      </c>
      <c r="O5096">
        <v>-5.8594729999999996E-3</v>
      </c>
      <c r="P5096">
        <v>-0.99601530000000005</v>
      </c>
      <c r="Q5096">
        <v>-8.7893319999999997E-2</v>
      </c>
      <c r="R5096">
        <v>-1.511798E-2</v>
      </c>
      <c r="S5096">
        <v>-2.9970400000000001</v>
      </c>
      <c r="T5096">
        <v>-0.18455659999999999</v>
      </c>
      <c r="U5096">
        <v>0.11569210000000001</v>
      </c>
      <c r="V5096">
        <v>-9.232044E-3</v>
      </c>
      <c r="W5096">
        <v>-7.545781E-2</v>
      </c>
      <c r="X5096">
        <v>0.9971063</v>
      </c>
      <c r="Y5096">
        <v>4.4320390000000001E-2</v>
      </c>
      <c r="Z5096">
        <v>1.927177E-3</v>
      </c>
      <c r="AA5096">
        <v>0.99901549999999995</v>
      </c>
      <c r="AB5096">
        <v>24</v>
      </c>
      <c r="AC5096">
        <v>-17.975300000000001</v>
      </c>
      <c r="AD5096">
        <v>-1.1210771823899901</v>
      </c>
      <c r="AE5096">
        <v>0.70449999999999502</v>
      </c>
      <c r="AF5096">
        <v>0.80668890309108998</v>
      </c>
      <c r="AG5096">
        <v>-1.1210771823899901</v>
      </c>
      <c r="AH5096">
        <v>17.9013385889833</v>
      </c>
      <c r="AI5096">
        <v>93.579863614581498</v>
      </c>
      <c r="AJ5096">
        <v>87.419823022493404</v>
      </c>
      <c r="AK5096">
        <v>17.9545393790169</v>
      </c>
      <c r="AL5096">
        <v>94.3275272420249</v>
      </c>
      <c r="AM5096">
        <v>90.530477084660504</v>
      </c>
      <c r="AN5096">
        <v>1.00000004261305</v>
      </c>
    </row>
    <row r="5097" spans="1:40" x14ac:dyDescent="0.25">
      <c r="A5097" t="str">
        <f>"20190303154911276"</f>
        <v>20190303154911276</v>
      </c>
      <c r="B5097" t="str">
        <f>"1551599351266345"</f>
        <v>1551599351266345</v>
      </c>
      <c r="C5097" t="s">
        <v>40</v>
      </c>
      <c r="D5097">
        <v>5.5882680000000002</v>
      </c>
      <c r="E5097">
        <v>0.52040609999999998</v>
      </c>
      <c r="F5097" t="s">
        <v>59</v>
      </c>
      <c r="G5097">
        <v>-315.35950000000003</v>
      </c>
      <c r="H5097" s="1">
        <v>-8.1374329999999996E-6</v>
      </c>
      <c r="I5097">
        <v>142.31100000000001</v>
      </c>
      <c r="J5097">
        <v>-297.52480000000003</v>
      </c>
      <c r="K5097">
        <v>1.1210469999999999</v>
      </c>
      <c r="L5097">
        <v>141.62200000000001</v>
      </c>
      <c r="M5097">
        <v>-0.99989899999999998</v>
      </c>
      <c r="N5097">
        <v>-1.277052E-2</v>
      </c>
      <c r="O5097">
        <v>-6.2488730000000003E-3</v>
      </c>
      <c r="P5097">
        <v>-0.99596169999999995</v>
      </c>
      <c r="Q5097">
        <v>-8.8195819999999994E-2</v>
      </c>
      <c r="R5097">
        <v>-1.6795589999999999E-2</v>
      </c>
      <c r="S5097">
        <v>-2.9973450000000001</v>
      </c>
      <c r="T5097">
        <v>-0.18599499999999999</v>
      </c>
      <c r="U5097">
        <v>0.1139984</v>
      </c>
      <c r="V5097">
        <v>-1.052765E-2</v>
      </c>
      <c r="W5097">
        <v>-7.5474620000000006E-2</v>
      </c>
      <c r="X5097">
        <v>0.99709210000000004</v>
      </c>
      <c r="Y5097">
        <v>4.4139930000000001E-2</v>
      </c>
      <c r="Z5097">
        <v>1.9575360000000002E-3</v>
      </c>
      <c r="AA5097">
        <v>0.99902340000000001</v>
      </c>
      <c r="AB5097">
        <v>24</v>
      </c>
      <c r="AC5097">
        <v>-17.834699999999899</v>
      </c>
      <c r="AD5097">
        <v>-1.121055137433</v>
      </c>
      <c r="AE5097">
        <v>0.68899999999999195</v>
      </c>
      <c r="AF5097">
        <v>0.79729686528424504</v>
      </c>
      <c r="AG5097">
        <v>-1.121055137433</v>
      </c>
      <c r="AH5097">
        <v>17.759978334722401</v>
      </c>
      <c r="AI5097">
        <v>93.608239216863893</v>
      </c>
      <c r="AJ5097">
        <v>87.429552388908405</v>
      </c>
      <c r="AK5097">
        <v>17.813177070987901</v>
      </c>
      <c r="AL5097">
        <v>94.328493528007598</v>
      </c>
      <c r="AM5097">
        <v>90.604926566354294</v>
      </c>
      <c r="AN5097">
        <v>0.99999995278053699</v>
      </c>
    </row>
    <row r="5098" spans="1:40" x14ac:dyDescent="0.25">
      <c r="A5098" t="str">
        <f>"20190303154911299"</f>
        <v>20190303154911299</v>
      </c>
      <c r="B5098" t="str">
        <f>"1551599351295628"</f>
        <v>1551599351295628</v>
      </c>
      <c r="C5098" t="s">
        <v>40</v>
      </c>
      <c r="D5098">
        <v>5.792408</v>
      </c>
      <c r="E5098">
        <v>0.51619459999999995</v>
      </c>
      <c r="F5098" t="s">
        <v>59</v>
      </c>
      <c r="G5098">
        <v>-315.51749999999998</v>
      </c>
      <c r="H5098" s="1">
        <v>-8.0643679999999994E-6</v>
      </c>
      <c r="I5098">
        <v>142.2996</v>
      </c>
      <c r="J5098">
        <v>-297.76609999999999</v>
      </c>
      <c r="K5098">
        <v>1.1210199999999999</v>
      </c>
      <c r="L5098">
        <v>141.62010000000001</v>
      </c>
      <c r="M5098">
        <v>-0.99989340000000004</v>
      </c>
      <c r="N5098">
        <v>-1.3032709999999999E-2</v>
      </c>
      <c r="O5098">
        <v>-6.6068809999999898E-3</v>
      </c>
      <c r="P5098">
        <v>-0.99588350000000003</v>
      </c>
      <c r="Q5098">
        <v>-8.8917869999999996E-2</v>
      </c>
      <c r="R5098">
        <v>-1.7607709999999999E-2</v>
      </c>
      <c r="S5098">
        <v>-2.997528</v>
      </c>
      <c r="T5098">
        <v>-0.18676400000000001</v>
      </c>
      <c r="U5098">
        <v>0.1128845</v>
      </c>
      <c r="V5098">
        <v>-1.099082E-2</v>
      </c>
      <c r="W5098">
        <v>-7.5935320000000001E-2</v>
      </c>
      <c r="X5098">
        <v>0.99705220000000006</v>
      </c>
      <c r="Y5098">
        <v>4.412311E-2</v>
      </c>
      <c r="Z5098">
        <v>1.9858269999999999E-3</v>
      </c>
      <c r="AA5098">
        <v>0.99902420000000003</v>
      </c>
      <c r="AB5098">
        <v>24</v>
      </c>
      <c r="AC5098">
        <v>-17.751399999999901</v>
      </c>
      <c r="AD5098">
        <v>-1.121028064368</v>
      </c>
      <c r="AE5098">
        <v>0.67949999999999</v>
      </c>
      <c r="AF5098">
        <v>0.79361609538487399</v>
      </c>
      <c r="AG5098">
        <v>-1.121028064368</v>
      </c>
      <c r="AH5098">
        <v>17.6761314257649</v>
      </c>
      <c r="AI5098">
        <v>93.625221317344</v>
      </c>
      <c r="AJ5098">
        <v>87.429282725373398</v>
      </c>
      <c r="AK5098">
        <v>17.729414897533101</v>
      </c>
      <c r="AL5098">
        <v>94.354965325270797</v>
      </c>
      <c r="AM5098">
        <v>90.631563818277101</v>
      </c>
      <c r="AN5098">
        <v>1.0000000302362999</v>
      </c>
    </row>
    <row r="5099" spans="1:40" x14ac:dyDescent="0.25">
      <c r="A5099" t="str">
        <f>"20190303154911322"</f>
        <v>20190303154911322</v>
      </c>
      <c r="B5099" t="str">
        <f>"1551599351316125"</f>
        <v>1551599351316125</v>
      </c>
      <c r="C5099" t="s">
        <v>40</v>
      </c>
      <c r="D5099">
        <v>5.7689589999999997</v>
      </c>
      <c r="E5099">
        <v>0.51636610000000005</v>
      </c>
      <c r="F5099" t="s">
        <v>42</v>
      </c>
      <c r="G5099">
        <v>-298.51729999999998</v>
      </c>
      <c r="H5099">
        <v>1.047318</v>
      </c>
      <c r="I5099">
        <v>141.63929999999999</v>
      </c>
      <c r="J5099">
        <v>-298.00670000000002</v>
      </c>
      <c r="K5099">
        <v>1.1209750000000001</v>
      </c>
      <c r="L5099">
        <v>141.6181</v>
      </c>
      <c r="M5099">
        <v>-0.9998882</v>
      </c>
      <c r="N5099">
        <v>-1.325872E-2</v>
      </c>
      <c r="O5099">
        <v>-6.9032080000000001E-3</v>
      </c>
      <c r="P5099">
        <v>-0.99578520000000004</v>
      </c>
      <c r="Q5099">
        <v>-8.9914289999999994E-2</v>
      </c>
      <c r="R5099">
        <v>-1.8089870000000001E-2</v>
      </c>
      <c r="S5099">
        <v>-2.987549</v>
      </c>
      <c r="T5099">
        <v>-0.29317700000000002</v>
      </c>
      <c r="U5099">
        <v>7.6156619999999994E-2</v>
      </c>
      <c r="V5099">
        <v>-1.118604E-2</v>
      </c>
      <c r="W5099">
        <v>-7.6706419999999997E-2</v>
      </c>
      <c r="X5099">
        <v>0.99699099999999996</v>
      </c>
      <c r="Y5099">
        <v>3.2183749999999997E-2</v>
      </c>
      <c r="Z5099">
        <v>2.3734730000000001E-3</v>
      </c>
      <c r="AA5099">
        <v>0.99947920000000001</v>
      </c>
      <c r="AB5099">
        <v>23</v>
      </c>
      <c r="AC5099">
        <v>-0.51059999999995398</v>
      </c>
      <c r="AD5099">
        <v>-7.3657E-2</v>
      </c>
      <c r="AE5099">
        <v>2.11999999999932E-2</v>
      </c>
      <c r="AF5099">
        <v>2.4221409322754701E-2</v>
      </c>
      <c r="AG5099">
        <v>-7.3657E-2</v>
      </c>
      <c r="AH5099">
        <v>0.50005340263279696</v>
      </c>
      <c r="AI5099">
        <v>98.369640934624499</v>
      </c>
      <c r="AJ5099">
        <v>87.226894760631296</v>
      </c>
      <c r="AK5099">
        <v>0.50602908592611495</v>
      </c>
      <c r="AL5099">
        <v>94.399275348140606</v>
      </c>
      <c r="AM5099">
        <v>90.642820236043704</v>
      </c>
      <c r="AN5099">
        <v>1.0000000282205399</v>
      </c>
    </row>
    <row r="5100" spans="1:40" x14ac:dyDescent="0.25">
      <c r="A5100" t="str">
        <f>"20190303154911346"</f>
        <v>20190303154911346</v>
      </c>
      <c r="B5100" t="str">
        <f>"1551599351335644"</f>
        <v>1551599351335644</v>
      </c>
      <c r="C5100" t="s">
        <v>40</v>
      </c>
      <c r="D5100">
        <v>5.7718920000000002</v>
      </c>
      <c r="E5100">
        <v>0.51626779999999906</v>
      </c>
      <c r="F5100" t="s">
        <v>42</v>
      </c>
      <c r="G5100">
        <v>-298.92309999999998</v>
      </c>
      <c r="H5100">
        <v>1.0295240000000001</v>
      </c>
      <c r="I5100">
        <v>141.6414</v>
      </c>
      <c r="J5100">
        <v>-298.25029999999998</v>
      </c>
      <c r="K5100">
        <v>1.120933</v>
      </c>
      <c r="L5100">
        <v>141.61609999999999</v>
      </c>
      <c r="M5100">
        <v>-0.99988410000000005</v>
      </c>
      <c r="N5100">
        <v>-1.345499E-2</v>
      </c>
      <c r="O5100">
        <v>-7.1362819999999999E-3</v>
      </c>
      <c r="P5100">
        <v>-0.99572939999999999</v>
      </c>
      <c r="Q5100">
        <v>-9.0625319999999995E-2</v>
      </c>
      <c r="R5100">
        <v>-1.7608820000000001E-2</v>
      </c>
      <c r="S5100">
        <v>-2.987152</v>
      </c>
      <c r="T5100">
        <v>-0.29812339999999998</v>
      </c>
      <c r="U5100">
        <v>7.6019290000000003E-2</v>
      </c>
      <c r="V5100">
        <v>-1.048107E-2</v>
      </c>
      <c r="W5100">
        <v>-7.7221100000000001E-2</v>
      </c>
      <c r="X5100">
        <v>0.99695889999999998</v>
      </c>
      <c r="Y5100">
        <v>3.2365480000000002E-2</v>
      </c>
      <c r="Z5100">
        <v>2.4437500000000002E-3</v>
      </c>
      <c r="AA5100">
        <v>0.9994731</v>
      </c>
      <c r="AB5100">
        <v>23</v>
      </c>
      <c r="AC5100">
        <v>-0.67279999999999496</v>
      </c>
      <c r="AD5100">
        <v>-9.1409000000000004E-2</v>
      </c>
      <c r="AE5100">
        <v>2.5300000000015602E-2</v>
      </c>
      <c r="AF5100">
        <v>2.9556274335291701E-2</v>
      </c>
      <c r="AG5100">
        <v>-9.1409000000000004E-2</v>
      </c>
      <c r="AH5100">
        <v>0.66042872345619996</v>
      </c>
      <c r="AI5100">
        <v>97.872381227539094</v>
      </c>
      <c r="AJ5100">
        <v>87.437542460977795</v>
      </c>
      <c r="AK5100">
        <v>0.66737941038030901</v>
      </c>
      <c r="AL5100">
        <v>94.428852193770794</v>
      </c>
      <c r="AM5100">
        <v>90.602330701139195</v>
      </c>
      <c r="AN5100">
        <v>0.99999999970138198</v>
      </c>
    </row>
    <row r="5101" spans="1:40" x14ac:dyDescent="0.25">
      <c r="A5101" t="str">
        <f>"20190303154911366"</f>
        <v>20190303154911366</v>
      </c>
      <c r="B5101" t="str">
        <f>"1551599351356140"</f>
        <v>1551599351356140</v>
      </c>
      <c r="C5101" t="s">
        <v>40</v>
      </c>
      <c r="D5101">
        <v>5.7822690000000003</v>
      </c>
      <c r="E5101">
        <v>0.51657500000000001</v>
      </c>
      <c r="F5101" t="s">
        <v>42</v>
      </c>
      <c r="G5101">
        <v>-299.13209999999998</v>
      </c>
      <c r="H5101">
        <v>1.0312749999999999</v>
      </c>
      <c r="I5101">
        <v>141.63910000000001</v>
      </c>
      <c r="J5101">
        <v>-298.46910000000003</v>
      </c>
      <c r="K5101">
        <v>1.1209009999999999</v>
      </c>
      <c r="L5101">
        <v>141.61429999999999</v>
      </c>
      <c r="M5101">
        <v>-0.99988089999999996</v>
      </c>
      <c r="N5101">
        <v>-1.3608759999999999E-2</v>
      </c>
      <c r="O5101">
        <v>-7.3011650000000001E-3</v>
      </c>
      <c r="P5101">
        <v>-0.9956583</v>
      </c>
      <c r="Q5101">
        <v>-9.1456109999999993E-2</v>
      </c>
      <c r="R5101">
        <v>-1.7341180000000001E-2</v>
      </c>
      <c r="S5101">
        <v>-2.9866030000000001</v>
      </c>
      <c r="T5101">
        <v>-0.30376160000000002</v>
      </c>
      <c r="U5101">
        <v>7.6660160000000005E-2</v>
      </c>
      <c r="V5101">
        <v>-1.005554E-2</v>
      </c>
      <c r="W5101">
        <v>-7.7898549999999997E-2</v>
      </c>
      <c r="X5101">
        <v>0.99691059999999998</v>
      </c>
      <c r="Y5101">
        <v>3.273856E-2</v>
      </c>
      <c r="Z5101">
        <v>2.5252389999999999E-3</v>
      </c>
      <c r="AA5101">
        <v>0.99946080000000004</v>
      </c>
      <c r="AB5101">
        <v>23</v>
      </c>
      <c r="AC5101">
        <v>-0.66299999999995396</v>
      </c>
      <c r="AD5101">
        <v>-8.96259999999999E-2</v>
      </c>
      <c r="AE5101">
        <v>2.4800000000027401E-2</v>
      </c>
      <c r="AF5101">
        <v>2.9109250598815702E-2</v>
      </c>
      <c r="AG5101">
        <v>-8.96259999999999E-2</v>
      </c>
      <c r="AH5101">
        <v>0.65092269719772</v>
      </c>
      <c r="AI5101">
        <v>97.832069254330193</v>
      </c>
      <c r="AJ5101">
        <v>87.439439858894104</v>
      </c>
      <c r="AK5101">
        <v>0.65770854188886696</v>
      </c>
      <c r="AL5101">
        <v>94.467784399978996</v>
      </c>
      <c r="AM5101">
        <v>90.577905847115204</v>
      </c>
      <c r="AN5101">
        <v>1.0000000211845701</v>
      </c>
    </row>
    <row r="5102" spans="1:40" x14ac:dyDescent="0.25">
      <c r="A5102" t="str">
        <f>"20190303154911387"</f>
        <v>20190303154911387</v>
      </c>
      <c r="B5102" t="str">
        <f>"1551599351375661"</f>
        <v>1551599351375661</v>
      </c>
      <c r="C5102" t="s">
        <v>40</v>
      </c>
      <c r="D5102">
        <v>5.7888919999999997</v>
      </c>
      <c r="E5102">
        <v>0.51677709999999999</v>
      </c>
      <c r="F5102" t="s">
        <v>42</v>
      </c>
      <c r="G5102">
        <v>-299.33999999999997</v>
      </c>
      <c r="H5102">
        <v>1.0312140000000001</v>
      </c>
      <c r="I5102">
        <v>141.6377</v>
      </c>
      <c r="J5102">
        <v>-298.68979999999999</v>
      </c>
      <c r="K5102">
        <v>1.1208800000000001</v>
      </c>
      <c r="L5102">
        <v>141.61250000000001</v>
      </c>
      <c r="M5102">
        <v>-0.99987809999999999</v>
      </c>
      <c r="N5102">
        <v>-1.374395E-2</v>
      </c>
      <c r="O5102">
        <v>-7.4278740000000001E-3</v>
      </c>
      <c r="P5102">
        <v>-0.99567410000000001</v>
      </c>
      <c r="Q5102">
        <v>-9.1380400000000001E-2</v>
      </c>
      <c r="R5102">
        <v>-1.6826520000000001E-2</v>
      </c>
      <c r="S5102">
        <v>-2.986237</v>
      </c>
      <c r="T5102">
        <v>-0.30756339999999999</v>
      </c>
      <c r="U5102">
        <v>7.9925540000000003E-2</v>
      </c>
      <c r="V5102">
        <v>-9.4196599999999998E-3</v>
      </c>
      <c r="W5102">
        <v>-7.7687140000000002E-2</v>
      </c>
      <c r="X5102">
        <v>0.99693330000000002</v>
      </c>
      <c r="Y5102">
        <v>3.3947199999999997E-2</v>
      </c>
      <c r="Z5102">
        <v>2.6383299999999999E-3</v>
      </c>
      <c r="AA5102">
        <v>0.99942019999999998</v>
      </c>
      <c r="AB5102">
        <v>23</v>
      </c>
      <c r="AC5102">
        <v>-0.65019999999998301</v>
      </c>
      <c r="AD5102">
        <v>-8.9665999999999996E-2</v>
      </c>
      <c r="AE5102">
        <v>2.5199999999983898E-2</v>
      </c>
      <c r="AF5102">
        <v>2.9469752828218201E-2</v>
      </c>
      <c r="AG5102">
        <v>-8.9665999999999996E-2</v>
      </c>
      <c r="AH5102">
        <v>0.63788190543217504</v>
      </c>
      <c r="AI5102">
        <v>97.993130064154499</v>
      </c>
      <c r="AJ5102">
        <v>87.354850975807395</v>
      </c>
      <c r="AK5102">
        <v>0.64482694047747302</v>
      </c>
      <c r="AL5102">
        <v>94.455634716012895</v>
      </c>
      <c r="AM5102">
        <v>90.541350862915706</v>
      </c>
      <c r="AN5102">
        <v>1.0000000131823901</v>
      </c>
    </row>
    <row r="5103" spans="1:40" x14ac:dyDescent="0.25">
      <c r="A5103" t="str">
        <f>"20190303154911412"</f>
        <v>20190303154911412</v>
      </c>
      <c r="B5103" t="str">
        <f>"1551599351405917"</f>
        <v>1551599351405917</v>
      </c>
      <c r="C5103" t="s">
        <v>40</v>
      </c>
      <c r="D5103">
        <v>5.8076530000000002</v>
      </c>
      <c r="E5103">
        <v>0.51691129999999996</v>
      </c>
      <c r="F5103" t="s">
        <v>42</v>
      </c>
      <c r="G5103">
        <v>-299.54820000000001</v>
      </c>
      <c r="H5103">
        <v>1.03304</v>
      </c>
      <c r="I5103">
        <v>141.63659999999999</v>
      </c>
      <c r="J5103">
        <v>-298.94420000000002</v>
      </c>
      <c r="K5103">
        <v>1.1208640000000001</v>
      </c>
      <c r="L5103">
        <v>141.6105</v>
      </c>
      <c r="M5103">
        <v>-0.99987530000000002</v>
      </c>
      <c r="N5103">
        <v>-1.387789E-2</v>
      </c>
      <c r="O5103">
        <v>-7.5324619999999898E-3</v>
      </c>
      <c r="P5103">
        <v>-0.99579629999999997</v>
      </c>
      <c r="Q5103">
        <v>-9.0216489999999996E-2</v>
      </c>
      <c r="R5103">
        <v>-1.5837049999999998E-2</v>
      </c>
      <c r="S5103">
        <v>-2.986389</v>
      </c>
      <c r="T5103">
        <v>-0.30562869999999998</v>
      </c>
      <c r="U5103">
        <v>8.3099370000000006E-2</v>
      </c>
      <c r="V5103">
        <v>-8.3299819999999997E-3</v>
      </c>
      <c r="W5103">
        <v>-7.6387579999999997E-2</v>
      </c>
      <c r="X5103">
        <v>0.99704340000000002</v>
      </c>
      <c r="Y5103">
        <v>3.5107140000000002E-2</v>
      </c>
      <c r="Z5103">
        <v>2.7002580000000001E-3</v>
      </c>
      <c r="AA5103">
        <v>0.99937989999999999</v>
      </c>
      <c r="AB5103">
        <v>23</v>
      </c>
      <c r="AC5103">
        <v>-0.60399999999998499</v>
      </c>
      <c r="AD5103">
        <v>-8.7823999999999902E-2</v>
      </c>
      <c r="AE5103">
        <v>2.6099999999985302E-2</v>
      </c>
      <c r="AF5103">
        <v>3.0015882277656801E-2</v>
      </c>
      <c r="AG5103">
        <v>-8.7823999999999902E-2</v>
      </c>
      <c r="AH5103">
        <v>0.59130792701872903</v>
      </c>
      <c r="AI5103">
        <v>98.437388313432393</v>
      </c>
      <c r="AJ5103">
        <v>87.094054696891007</v>
      </c>
      <c r="AK5103">
        <v>0.59854746906163903</v>
      </c>
      <c r="AL5103">
        <v>94.380953545604299</v>
      </c>
      <c r="AM5103">
        <v>90.478676964132603</v>
      </c>
      <c r="AN5103">
        <v>0.99999999623096802</v>
      </c>
    </row>
    <row r="5104" spans="1:40" x14ac:dyDescent="0.25">
      <c r="A5104" t="str">
        <f>"20190303154911432"</f>
        <v>20190303154911432</v>
      </c>
      <c r="B5104" t="str">
        <f>"1551599351426413"</f>
        <v>1551599351426413</v>
      </c>
      <c r="C5104" t="s">
        <v>40</v>
      </c>
      <c r="D5104">
        <v>5.8190609999999996</v>
      </c>
      <c r="E5104">
        <v>0.5170652</v>
      </c>
      <c r="F5104" t="s">
        <v>42</v>
      </c>
      <c r="G5104">
        <v>-299.75779999999997</v>
      </c>
      <c r="H5104">
        <v>1.0383089999999999</v>
      </c>
      <c r="I5104">
        <v>141.6344</v>
      </c>
      <c r="J5104">
        <v>-299.15710000000001</v>
      </c>
      <c r="K5104">
        <v>1.1208579999999999</v>
      </c>
      <c r="L5104">
        <v>141.6088</v>
      </c>
      <c r="M5104">
        <v>-0.99987349999999997</v>
      </c>
      <c r="N5104">
        <v>-1.397439E-2</v>
      </c>
      <c r="O5104">
        <v>-7.5959499999999998E-3</v>
      </c>
      <c r="P5104">
        <v>-0.99580170000000001</v>
      </c>
      <c r="Q5104">
        <v>-9.0388319999999994E-2</v>
      </c>
      <c r="R5104">
        <v>-1.446219E-2</v>
      </c>
      <c r="S5104">
        <v>-2.9866329999999999</v>
      </c>
      <c r="T5104">
        <v>-0.30310330000000002</v>
      </c>
      <c r="U5104">
        <v>8.7112430000000005E-2</v>
      </c>
      <c r="V5104">
        <v>-6.8946190000000003E-3</v>
      </c>
      <c r="W5104">
        <v>-7.6462859999999994E-2</v>
      </c>
      <c r="X5104">
        <v>0.99704859999999995</v>
      </c>
      <c r="Y5104">
        <v>3.6505349999999999E-2</v>
      </c>
      <c r="Z5104">
        <v>2.7660190000000002E-3</v>
      </c>
      <c r="AA5104">
        <v>0.99932960000000004</v>
      </c>
      <c r="AB5104">
        <v>23</v>
      </c>
      <c r="AC5104">
        <v>-0.60069999999996004</v>
      </c>
      <c r="AD5104">
        <v>-8.25489999999999E-2</v>
      </c>
      <c r="AE5104">
        <v>2.5599999999997101E-2</v>
      </c>
      <c r="AF5104">
        <v>2.96045370283619E-2</v>
      </c>
      <c r="AG5104">
        <v>-8.25489999999999E-2</v>
      </c>
      <c r="AH5104">
        <v>0.58937818328964897</v>
      </c>
      <c r="AI5104">
        <v>97.963137568954295</v>
      </c>
      <c r="AJ5104">
        <v>87.124442885187307</v>
      </c>
      <c r="AK5104">
        <v>0.59586693896496001</v>
      </c>
      <c r="AL5104">
        <v>94.3852793731335</v>
      </c>
      <c r="AM5104">
        <v>90.396195605436404</v>
      </c>
      <c r="AN5104">
        <v>1.0000000077462401</v>
      </c>
    </row>
    <row r="5105" spans="1:40" x14ac:dyDescent="0.25">
      <c r="A5105" t="str">
        <f>"20190303154911455"</f>
        <v>20190303154911455</v>
      </c>
      <c r="B5105" t="str">
        <f>"1551599351445933"</f>
        <v>1551599351445933</v>
      </c>
      <c r="C5105" t="s">
        <v>40</v>
      </c>
      <c r="D5105">
        <v>5.8055700000000003</v>
      </c>
      <c r="E5105">
        <v>0.51726779999999895</v>
      </c>
      <c r="F5105" t="s">
        <v>42</v>
      </c>
      <c r="G5105">
        <v>-299.96499999999997</v>
      </c>
      <c r="H5105">
        <v>1.039415</v>
      </c>
      <c r="I5105">
        <v>141.63419999999999</v>
      </c>
      <c r="J5105">
        <v>-299.38760000000002</v>
      </c>
      <c r="K5105">
        <v>1.120857</v>
      </c>
      <c r="L5105">
        <v>141.6069</v>
      </c>
      <c r="M5105">
        <v>-0.99987190000000004</v>
      </c>
      <c r="N5105">
        <v>-1.406466E-2</v>
      </c>
      <c r="O5105">
        <v>-7.6498159999999898E-3</v>
      </c>
      <c r="P5105">
        <v>-0.99575349999999996</v>
      </c>
      <c r="Q5105">
        <v>-9.1160119999999997E-2</v>
      </c>
      <c r="R5105">
        <v>-1.2828320000000001E-2</v>
      </c>
      <c r="S5105">
        <v>-2.9866640000000002</v>
      </c>
      <c r="T5105">
        <v>-0.30119899999999999</v>
      </c>
      <c r="U5105">
        <v>9.2514040000000006E-2</v>
      </c>
      <c r="V5105">
        <v>-5.2094120000000001E-3</v>
      </c>
      <c r="W5105">
        <v>-7.7145259999999993E-2</v>
      </c>
      <c r="X5105">
        <v>0.99700619999999995</v>
      </c>
      <c r="Y5105">
        <v>3.8356500000000002E-2</v>
      </c>
      <c r="Z5105">
        <v>2.8613419999999998E-3</v>
      </c>
      <c r="AA5105">
        <v>0.99926000000000004</v>
      </c>
      <c r="AB5105">
        <v>23</v>
      </c>
      <c r="AC5105">
        <v>-0.57739999999995395</v>
      </c>
      <c r="AD5105">
        <v>-8.1442000000000001E-2</v>
      </c>
      <c r="AE5105">
        <v>2.7299999999996698E-2</v>
      </c>
      <c r="AF5105">
        <v>3.1099301760557099E-2</v>
      </c>
      <c r="AG5105">
        <v>-8.1442000000000001E-2</v>
      </c>
      <c r="AH5105">
        <v>0.56593999557988595</v>
      </c>
      <c r="AI5105">
        <v>98.176801750253205</v>
      </c>
      <c r="AJ5105">
        <v>86.854669316259802</v>
      </c>
      <c r="AK5105">
        <v>0.57261509282497502</v>
      </c>
      <c r="AL5105">
        <v>94.424494118873497</v>
      </c>
      <c r="AM5105">
        <v>90.299370861612005</v>
      </c>
      <c r="AN5105">
        <v>0.99999994597614505</v>
      </c>
    </row>
    <row r="5106" spans="1:40" x14ac:dyDescent="0.25">
      <c r="A5106" t="str">
        <f>"20190303154911477"</f>
        <v>20190303154911477</v>
      </c>
      <c r="B5106" t="str">
        <f>"1551599351466429"</f>
        <v>1551599351466429</v>
      </c>
      <c r="C5106" t="s">
        <v>40</v>
      </c>
      <c r="D5106">
        <v>5.8150940000000002</v>
      </c>
      <c r="E5106">
        <v>0.51734340000000001</v>
      </c>
      <c r="F5106" t="s">
        <v>42</v>
      </c>
      <c r="G5106">
        <v>-300.17200000000003</v>
      </c>
      <c r="H5106">
        <v>1.0411170000000001</v>
      </c>
      <c r="I5106">
        <v>141.63310000000001</v>
      </c>
      <c r="J5106">
        <v>-299.6096</v>
      </c>
      <c r="K5106">
        <v>1.1208549999999999</v>
      </c>
      <c r="L5106">
        <v>141.6052</v>
      </c>
      <c r="M5106">
        <v>-0.9998705</v>
      </c>
      <c r="N5106">
        <v>-1.4139260000000001E-2</v>
      </c>
      <c r="O5106">
        <v>-7.6947279999999996E-3</v>
      </c>
      <c r="P5106">
        <v>-0.99565780000000004</v>
      </c>
      <c r="Q5106">
        <v>-9.2362020000000003E-2</v>
      </c>
      <c r="R5106">
        <v>-1.1618389999999999E-2</v>
      </c>
      <c r="S5106">
        <v>-2.9862669999999998</v>
      </c>
      <c r="T5106">
        <v>-0.30364910000000001</v>
      </c>
      <c r="U5106">
        <v>9.8861690000000002E-2</v>
      </c>
      <c r="V5106">
        <v>-3.9558800000000002E-3</v>
      </c>
      <c r="W5106">
        <v>-7.8274090000000004E-2</v>
      </c>
      <c r="X5106">
        <v>0.99692400000000003</v>
      </c>
      <c r="Y5106">
        <v>4.0510379999999999E-2</v>
      </c>
      <c r="Z5106">
        <v>3.0127330000000001E-3</v>
      </c>
      <c r="AA5106">
        <v>0.99917460000000002</v>
      </c>
      <c r="AB5106">
        <v>23</v>
      </c>
      <c r="AC5106">
        <v>-0.56240000000002499</v>
      </c>
      <c r="AD5106">
        <v>-7.9737999999999795E-2</v>
      </c>
      <c r="AE5106">
        <v>2.7900000000016599E-2</v>
      </c>
      <c r="AF5106">
        <v>3.1593584977615601E-2</v>
      </c>
      <c r="AG5106">
        <v>-7.9737999999999795E-2</v>
      </c>
      <c r="AH5106">
        <v>0.551117261190186</v>
      </c>
      <c r="AI5106">
        <v>98.219359273123402</v>
      </c>
      <c r="AJ5106">
        <v>86.719028481352595</v>
      </c>
      <c r="AK5106">
        <v>0.55775132347445799</v>
      </c>
      <c r="AL5106">
        <v>94.489367378866206</v>
      </c>
      <c r="AM5106">
        <v>90.227353377645599</v>
      </c>
      <c r="AN5106">
        <v>0.99999997196394996</v>
      </c>
    </row>
    <row r="5107" spans="1:40" x14ac:dyDescent="0.25">
      <c r="A5107" t="str">
        <f>"20190303154911500"</f>
        <v>20190303154911500</v>
      </c>
      <c r="B5107" t="str">
        <f>"1551599351495709"</f>
        <v>1551599351495709</v>
      </c>
      <c r="C5107" t="s">
        <v>40</v>
      </c>
      <c r="D5107">
        <v>5.5497310000000004</v>
      </c>
      <c r="E5107">
        <v>0.51747670000000001</v>
      </c>
      <c r="F5107" t="s">
        <v>42</v>
      </c>
      <c r="G5107">
        <v>-300.37849999999997</v>
      </c>
      <c r="H5107">
        <v>1.041936</v>
      </c>
      <c r="I5107">
        <v>141.6319</v>
      </c>
      <c r="J5107">
        <v>-299.85120000000001</v>
      </c>
      <c r="K5107">
        <v>1.1208659999999999</v>
      </c>
      <c r="L5107">
        <v>141.60329999999999</v>
      </c>
      <c r="M5107">
        <v>-0.99986909999999896</v>
      </c>
      <c r="N5107">
        <v>-1.420896E-2</v>
      </c>
      <c r="O5107">
        <v>-7.7424219999999997E-3</v>
      </c>
      <c r="P5107">
        <v>-0.99564940000000002</v>
      </c>
      <c r="Q5107">
        <v>-9.2482549999999997E-2</v>
      </c>
      <c r="R5107">
        <v>-1.137633E-2</v>
      </c>
      <c r="S5107">
        <v>-2.9858699999999998</v>
      </c>
      <c r="T5107">
        <v>-0.30645329999999998</v>
      </c>
      <c r="U5107">
        <v>0.1031189</v>
      </c>
      <c r="V5107">
        <v>-3.6663640000000001E-3</v>
      </c>
      <c r="W5107">
        <v>-7.8325229999999996E-2</v>
      </c>
      <c r="X5107">
        <v>0.9969211</v>
      </c>
      <c r="Y5107">
        <v>4.197153E-2</v>
      </c>
      <c r="Z5107">
        <v>3.1293750000000002E-3</v>
      </c>
      <c r="AA5107">
        <v>0.9991139</v>
      </c>
      <c r="AB5107">
        <v>23</v>
      </c>
      <c r="AC5107">
        <v>-0.52729999999996802</v>
      </c>
      <c r="AD5107">
        <v>-7.8929999999999903E-2</v>
      </c>
      <c r="AE5107">
        <v>2.8600000000011502E-2</v>
      </c>
      <c r="AF5107">
        <v>3.1967953669432503E-2</v>
      </c>
      <c r="AG5107">
        <v>-7.8929999999999903E-2</v>
      </c>
      <c r="AH5107">
        <v>0.51554519807361399</v>
      </c>
      <c r="AI5107">
        <v>98.687966612126999</v>
      </c>
      <c r="AJ5107">
        <v>86.451743327327407</v>
      </c>
      <c r="AK5107">
        <v>0.52253109593456104</v>
      </c>
      <c r="AL5107">
        <v>94.492306464564606</v>
      </c>
      <c r="AM5107">
        <v>90.210715006720804</v>
      </c>
      <c r="AN5107">
        <v>0.99999998175237104</v>
      </c>
    </row>
    <row r="5108" spans="1:40" x14ac:dyDescent="0.25">
      <c r="A5108" t="str">
        <f>"20190303154911523"</f>
        <v>20190303154911523</v>
      </c>
      <c r="B5108" t="str">
        <f>"1551599351516204"</f>
        <v>1551599351516204</v>
      </c>
      <c r="C5108" t="s">
        <v>40</v>
      </c>
      <c r="D5108">
        <v>5.675109</v>
      </c>
      <c r="E5108">
        <v>0.52177969999999996</v>
      </c>
      <c r="F5108" t="s">
        <v>42</v>
      </c>
      <c r="G5108">
        <v>-300.58690000000001</v>
      </c>
      <c r="H5108">
        <v>1.045131</v>
      </c>
      <c r="I5108">
        <v>141.6293</v>
      </c>
      <c r="J5108">
        <v>-300.08190000000002</v>
      </c>
      <c r="K5108">
        <v>1.1208750000000001</v>
      </c>
      <c r="L5108">
        <v>141.60140000000001</v>
      </c>
      <c r="M5108">
        <v>-0.99986799999999998</v>
      </c>
      <c r="N5108">
        <v>-1.4264539999999999E-2</v>
      </c>
      <c r="O5108">
        <v>-7.7899619999999897E-3</v>
      </c>
      <c r="P5108">
        <v>-0.99559920000000002</v>
      </c>
      <c r="Q5108">
        <v>-9.3028200000000005E-2</v>
      </c>
      <c r="R5108">
        <v>-1.131329E-2</v>
      </c>
      <c r="S5108">
        <v>-2.9857480000000001</v>
      </c>
      <c r="T5108">
        <v>-0.3074269</v>
      </c>
      <c r="U5108">
        <v>0.1049194</v>
      </c>
      <c r="V5108">
        <v>-3.5559400000000001E-3</v>
      </c>
      <c r="W5108">
        <v>-7.881618E-2</v>
      </c>
      <c r="X5108">
        <v>0.99688279999999996</v>
      </c>
      <c r="Y5108">
        <v>4.2616340000000003E-2</v>
      </c>
      <c r="Z5108">
        <v>3.1814270000000001E-3</v>
      </c>
      <c r="AA5108">
        <v>0.99908640000000004</v>
      </c>
      <c r="AB5108">
        <v>23</v>
      </c>
      <c r="AC5108">
        <v>-0.50499999999999501</v>
      </c>
      <c r="AD5108">
        <v>-7.5744000000000006E-2</v>
      </c>
      <c r="AE5108">
        <v>2.7899999999988202E-2</v>
      </c>
      <c r="AF5108">
        <v>3.1135184759873601E-2</v>
      </c>
      <c r="AG5108">
        <v>-7.5744000000000006E-2</v>
      </c>
      <c r="AH5108">
        <v>0.49369473678644998</v>
      </c>
      <c r="AI5108">
        <v>98.705432873707394</v>
      </c>
      <c r="AJ5108">
        <v>86.391382903346496</v>
      </c>
      <c r="AK5108">
        <v>0.50044085204614697</v>
      </c>
      <c r="AL5108">
        <v>94.520523085034</v>
      </c>
      <c r="AM5108">
        <v>90.204376572736095</v>
      </c>
      <c r="AN5108">
        <v>0.99999997593745704</v>
      </c>
    </row>
    <row r="5109" spans="1:40" x14ac:dyDescent="0.25">
      <c r="A5109" t="str">
        <f>"20190303154911535"</f>
        <v>20190303154911535</v>
      </c>
      <c r="B5109" t="str">
        <f>"1551599351525965"</f>
        <v>1551599351525965</v>
      </c>
      <c r="C5109" t="s">
        <v>40</v>
      </c>
      <c r="D5109">
        <v>5.6701699999999997</v>
      </c>
      <c r="E5109">
        <v>0.51608809999999905</v>
      </c>
      <c r="F5109" t="s">
        <v>41</v>
      </c>
      <c r="G5109">
        <v>-328.52260000000001</v>
      </c>
      <c r="H5109" s="1">
        <v>-1.4995269999999999E-6</v>
      </c>
      <c r="I5109">
        <v>142.9365</v>
      </c>
      <c r="J5109">
        <v>-300.2235</v>
      </c>
      <c r="K5109">
        <v>1.120881</v>
      </c>
      <c r="L5109">
        <v>141.6003</v>
      </c>
      <c r="M5109">
        <v>-0.99986730000000001</v>
      </c>
      <c r="N5109">
        <v>-1.4294370000000001E-2</v>
      </c>
      <c r="O5109">
        <v>-7.8216919999999999E-3</v>
      </c>
      <c r="P5109">
        <v>-0.99557739999999995</v>
      </c>
      <c r="Q5109">
        <v>-9.3254110000000001E-2</v>
      </c>
      <c r="R5109">
        <v>-1.1378350000000001E-2</v>
      </c>
      <c r="S5109">
        <v>-3.0038450000000001</v>
      </c>
      <c r="T5109">
        <v>-0.1183848</v>
      </c>
      <c r="U5109">
        <v>0.1410217</v>
      </c>
      <c r="V5109">
        <v>-3.5886830000000001E-3</v>
      </c>
      <c r="W5109">
        <v>-7.9012659999999998E-2</v>
      </c>
      <c r="X5109">
        <v>0.99686719999999895</v>
      </c>
      <c r="Y5109">
        <v>5.4647689999999999E-2</v>
      </c>
      <c r="Z5109">
        <v>1.6631370000000001E-3</v>
      </c>
      <c r="AA5109">
        <v>0.99850430000000001</v>
      </c>
      <c r="AB5109">
        <v>23</v>
      </c>
      <c r="AC5109">
        <v>-28.299099999999999</v>
      </c>
      <c r="AD5109">
        <v>-1.1208824995269999</v>
      </c>
      <c r="AE5109">
        <v>1.3361999999999901</v>
      </c>
      <c r="AF5109">
        <v>1.5550943186488799</v>
      </c>
      <c r="AG5109">
        <v>-1.1208824995269999</v>
      </c>
      <c r="AH5109">
        <v>28.2435710459315</v>
      </c>
      <c r="AI5109">
        <v>92.269230653561806</v>
      </c>
      <c r="AJ5109">
        <v>86.848469864870793</v>
      </c>
      <c r="AK5109">
        <v>28.308549968944298</v>
      </c>
      <c r="AL5109">
        <v>94.531815455909296</v>
      </c>
      <c r="AM5109">
        <v>90.206261678259295</v>
      </c>
      <c r="AN5109">
        <v>1.00000004676089</v>
      </c>
    </row>
    <row r="5110" spans="1:40" x14ac:dyDescent="0.25">
      <c r="A5110" t="str">
        <f>"20190303154911553"</f>
        <v>20190303154911553</v>
      </c>
      <c r="B5110" t="str">
        <f>"1551599351546460"</f>
        <v>1551599351546460</v>
      </c>
      <c r="C5110" t="s">
        <v>40</v>
      </c>
      <c r="D5110">
        <v>5.6309480000000001</v>
      </c>
      <c r="E5110">
        <v>0.50678040000000002</v>
      </c>
      <c r="F5110" t="s">
        <v>41</v>
      </c>
      <c r="G5110">
        <v>-322.01010000000002</v>
      </c>
      <c r="H5110" s="1">
        <v>-4.0665279999999999E-6</v>
      </c>
      <c r="I5110">
        <v>142.29169999999999</v>
      </c>
      <c r="J5110">
        <v>-300.38720000000001</v>
      </c>
      <c r="K5110">
        <v>1.1208880000000001</v>
      </c>
      <c r="L5110">
        <v>141.59889999999999</v>
      </c>
      <c r="M5110">
        <v>-0.99986649999999999</v>
      </c>
      <c r="N5110">
        <v>-1.4325340000000001E-2</v>
      </c>
      <c r="O5110">
        <v>-7.8602369999999904E-3</v>
      </c>
      <c r="P5110">
        <v>-0.99554149999999997</v>
      </c>
      <c r="Q5110">
        <v>-9.3573760000000006E-2</v>
      </c>
      <c r="R5110">
        <v>-1.1889490000000001E-2</v>
      </c>
      <c r="S5110">
        <v>-2.9999690000000001</v>
      </c>
      <c r="T5110">
        <v>-0.15434419999999999</v>
      </c>
      <c r="U5110">
        <v>9.5214839999999995E-2</v>
      </c>
      <c r="V5110">
        <v>-4.0610809999999898E-3</v>
      </c>
      <c r="W5110">
        <v>-7.930189E-2</v>
      </c>
      <c r="X5110">
        <v>0.99684240000000002</v>
      </c>
      <c r="Y5110">
        <v>3.9506569999999998E-2</v>
      </c>
      <c r="Z5110">
        <v>1.5901660000000001E-3</v>
      </c>
      <c r="AA5110">
        <v>0.99921800000000005</v>
      </c>
      <c r="AB5110">
        <v>23</v>
      </c>
      <c r="AC5110">
        <v>-21.622900000000001</v>
      </c>
      <c r="AD5110">
        <v>-1.12089206652799</v>
      </c>
      <c r="AE5110">
        <v>0.69280000000000497</v>
      </c>
      <c r="AF5110">
        <v>0.86044733136807905</v>
      </c>
      <c r="AG5110">
        <v>-1.12089206652799</v>
      </c>
      <c r="AH5110">
        <v>21.5589120942753</v>
      </c>
      <c r="AI5110">
        <v>92.973881891456799</v>
      </c>
      <c r="AJ5110">
        <v>87.714455705669494</v>
      </c>
      <c r="AK5110">
        <v>21.6051720503113</v>
      </c>
      <c r="AL5110">
        <v>94.548439370042502</v>
      </c>
      <c r="AM5110">
        <v>90.233418556727401</v>
      </c>
      <c r="AN5110">
        <v>1.00000002628711</v>
      </c>
    </row>
    <row r="5111" spans="1:40" x14ac:dyDescent="0.25">
      <c r="A5111" t="str">
        <f>"20190303154911569"</f>
        <v>20190303154911569</v>
      </c>
      <c r="B5111" t="str">
        <f>"1551599351565981"</f>
        <v>1551599351565981</v>
      </c>
      <c r="C5111" t="s">
        <v>40</v>
      </c>
      <c r="D5111">
        <v>5.5817959999999998</v>
      </c>
      <c r="E5111">
        <v>0.50160569999999904</v>
      </c>
      <c r="F5111" t="s">
        <v>59</v>
      </c>
      <c r="G5111">
        <v>-318.27350000000001</v>
      </c>
      <c r="H5111" s="1">
        <v>-6.6874149999999999E-6</v>
      </c>
      <c r="I5111">
        <v>141.7133</v>
      </c>
      <c r="J5111">
        <v>-300.56119999999999</v>
      </c>
      <c r="K5111">
        <v>1.120887</v>
      </c>
      <c r="L5111">
        <v>141.5975</v>
      </c>
      <c r="M5111">
        <v>-0.99986580000000003</v>
      </c>
      <c r="N5111">
        <v>-1.435463E-2</v>
      </c>
      <c r="O5111">
        <v>-7.902816E-3</v>
      </c>
      <c r="P5111">
        <v>-0.99546299999999999</v>
      </c>
      <c r="Q5111">
        <v>-9.4289349999999994E-2</v>
      </c>
      <c r="R5111">
        <v>-1.2767789999999999E-2</v>
      </c>
      <c r="S5111">
        <v>-2.9960019999999998</v>
      </c>
      <c r="T5111">
        <v>-0.18775310000000001</v>
      </c>
      <c r="U5111">
        <v>1.9149780000000002E-2</v>
      </c>
      <c r="V5111">
        <v>-4.8973929999999999E-3</v>
      </c>
      <c r="W5111">
        <v>-7.9989299999999999E-2</v>
      </c>
      <c r="X5111">
        <v>0.99678370000000005</v>
      </c>
      <c r="Y5111">
        <v>1.425133E-2</v>
      </c>
      <c r="Z5111">
        <v>9.2992439999999997E-4</v>
      </c>
      <c r="AA5111">
        <v>0.99989799999999995</v>
      </c>
      <c r="AB5111">
        <v>23</v>
      </c>
      <c r="AC5111">
        <v>-17.712299999999999</v>
      </c>
      <c r="AD5111">
        <v>-1.120893687415</v>
      </c>
      <c r="AE5111">
        <v>0.11580000000000699</v>
      </c>
      <c r="AF5111">
        <v>0.25476760050339498</v>
      </c>
      <c r="AG5111">
        <v>-1.120893687415</v>
      </c>
      <c r="AH5111">
        <v>17.640189429304101</v>
      </c>
      <c r="AI5111">
        <v>93.635424777279098</v>
      </c>
      <c r="AJ5111">
        <v>89.172565944309298</v>
      </c>
      <c r="AK5111">
        <v>17.6776014292235</v>
      </c>
      <c r="AL5111">
        <v>94.587950660489994</v>
      </c>
      <c r="AM5111">
        <v>90.281503090091803</v>
      </c>
      <c r="AN5111">
        <v>1.00000000857918</v>
      </c>
    </row>
    <row r="5112" spans="1:40" x14ac:dyDescent="0.25">
      <c r="A5112" t="str">
        <f>"20190303154911590"</f>
        <v>20190303154911590</v>
      </c>
      <c r="B5112" t="str">
        <f>"1551599351585501"</f>
        <v>1551599351585501</v>
      </c>
      <c r="C5112" t="s">
        <v>40</v>
      </c>
      <c r="D5112">
        <v>5.6442170000000003</v>
      </c>
      <c r="E5112">
        <v>0.49911220000000001</v>
      </c>
      <c r="F5112" t="s">
        <v>59</v>
      </c>
      <c r="G5112">
        <v>-315.98610000000002</v>
      </c>
      <c r="H5112" s="1">
        <v>-7.6371959999999994E-6</v>
      </c>
      <c r="I5112">
        <v>141.46870000000001</v>
      </c>
      <c r="J5112">
        <v>-300.7681</v>
      </c>
      <c r="K5112">
        <v>1.1208899999999999</v>
      </c>
      <c r="L5112">
        <v>141.5958</v>
      </c>
      <c r="M5112">
        <v>-0.999865</v>
      </c>
      <c r="N5112">
        <v>-1.4384889999999999E-2</v>
      </c>
      <c r="O5112">
        <v>-7.9539620000000002E-3</v>
      </c>
      <c r="P5112">
        <v>-0.99541800000000003</v>
      </c>
      <c r="Q5112">
        <v>-9.46491E-2</v>
      </c>
      <c r="R5112">
        <v>-1.3603550000000001E-2</v>
      </c>
      <c r="S5112">
        <v>-2.992737</v>
      </c>
      <c r="T5112">
        <v>-0.21747520000000001</v>
      </c>
      <c r="U5112">
        <v>-2.4993899999999999E-2</v>
      </c>
      <c r="V5112">
        <v>-5.6819660000000001E-3</v>
      </c>
      <c r="W5112">
        <v>-8.0319429999999997E-2</v>
      </c>
      <c r="X5112">
        <v>0.996753</v>
      </c>
      <c r="Y5112">
        <v>-4.0865319999999999E-4</v>
      </c>
      <c r="Z5112">
        <v>4.451414E-4</v>
      </c>
      <c r="AA5112">
        <v>0.99999979999999999</v>
      </c>
      <c r="AB5112">
        <v>23</v>
      </c>
      <c r="AC5112">
        <v>-15.218</v>
      </c>
      <c r="AD5112">
        <v>-1.120897637196</v>
      </c>
      <c r="AE5112">
        <v>-0.127099999999984</v>
      </c>
      <c r="AF5112">
        <v>-6.00748251133574E-3</v>
      </c>
      <c r="AG5112">
        <v>-1.120897637196</v>
      </c>
      <c r="AH5112">
        <v>15.136417008768101</v>
      </c>
      <c r="AI5112">
        <v>94.235195663161605</v>
      </c>
      <c r="AJ5112">
        <v>90.022740082750403</v>
      </c>
      <c r="AK5112">
        <v>15.177864390823901</v>
      </c>
      <c r="AL5112">
        <v>94.606926722999702</v>
      </c>
      <c r="AM5112">
        <v>90.326609646403796</v>
      </c>
      <c r="AN5112">
        <v>1.0000000192910701</v>
      </c>
    </row>
    <row r="5113" spans="1:40" x14ac:dyDescent="0.25">
      <c r="A5113" t="str">
        <f>"20190303154911612"</f>
        <v>20190303154911612</v>
      </c>
      <c r="B5113" t="str">
        <f>"1551599351606401"</f>
        <v>1551599351606401</v>
      </c>
      <c r="C5113" t="s">
        <v>40</v>
      </c>
      <c r="D5113">
        <v>5.6284580000000002</v>
      </c>
      <c r="E5113">
        <v>0.4974306</v>
      </c>
      <c r="F5113" t="s">
        <v>59</v>
      </c>
      <c r="G5113">
        <v>-315.73009999999999</v>
      </c>
      <c r="H5113" s="1">
        <v>-7.7216760000000003E-6</v>
      </c>
      <c r="I5113">
        <v>141.3586</v>
      </c>
      <c r="J5113">
        <v>-300.99250000000001</v>
      </c>
      <c r="K5113">
        <v>1.1209009999999999</v>
      </c>
      <c r="L5113">
        <v>141.59389999999999</v>
      </c>
      <c r="M5113">
        <v>-0.99986430000000004</v>
      </c>
      <c r="N5113">
        <v>-1.441272E-2</v>
      </c>
      <c r="O5113">
        <v>-8.0056260000000001E-3</v>
      </c>
      <c r="P5113">
        <v>-0.99547129999999995</v>
      </c>
      <c r="Q5113">
        <v>-9.3884549999999997E-2</v>
      </c>
      <c r="R5113">
        <v>-1.493104E-2</v>
      </c>
      <c r="S5113">
        <v>-2.9918520000000002</v>
      </c>
      <c r="T5113">
        <v>-0.22413910000000001</v>
      </c>
      <c r="U5113">
        <v>-4.7439580000000002E-2</v>
      </c>
      <c r="V5113">
        <v>-6.9580800000000002E-3</v>
      </c>
      <c r="W5113">
        <v>-7.9526310000000003E-2</v>
      </c>
      <c r="X5113">
        <v>0.99680849999999999</v>
      </c>
      <c r="Y5113">
        <v>-7.83674E-3</v>
      </c>
      <c r="Z5113">
        <v>1.33912E-4</v>
      </c>
      <c r="AA5113">
        <v>0.99996929999999995</v>
      </c>
      <c r="AB5113">
        <v>23</v>
      </c>
      <c r="AC5113">
        <v>-14.737599999999899</v>
      </c>
      <c r="AD5113">
        <v>-1.1209087216760001</v>
      </c>
      <c r="AE5113">
        <v>-0.23529999999999501</v>
      </c>
      <c r="AF5113">
        <v>-0.116622052793452</v>
      </c>
      <c r="AG5113">
        <v>-1.1209087216760001</v>
      </c>
      <c r="AH5113">
        <v>14.6542614487258</v>
      </c>
      <c r="AI5113">
        <v>94.373915625806006</v>
      </c>
      <c r="AJ5113">
        <v>90.455963638165201</v>
      </c>
      <c r="AK5113">
        <v>14.6975309379888</v>
      </c>
      <c r="AL5113">
        <v>94.561338468730199</v>
      </c>
      <c r="AM5113">
        <v>90.399938546479405</v>
      </c>
      <c r="AN5113">
        <v>1.0000000172658701</v>
      </c>
    </row>
    <row r="5114" spans="1:40" x14ac:dyDescent="0.25">
      <c r="A5114" t="str">
        <f>"20190303154911634"</f>
        <v>20190303154911634</v>
      </c>
      <c r="B5114" t="str">
        <f>"1551599351625921"</f>
        <v>1551599351625921</v>
      </c>
      <c r="C5114" t="s">
        <v>40</v>
      </c>
      <c r="D5114">
        <v>5.6747680000000003</v>
      </c>
      <c r="E5114">
        <v>0.49543680000000001</v>
      </c>
      <c r="F5114" t="s">
        <v>59</v>
      </c>
      <c r="G5114">
        <v>-315.80860000000001</v>
      </c>
      <c r="H5114" s="1">
        <v>-7.6641039999999993E-6</v>
      </c>
      <c r="I5114">
        <v>141.2724</v>
      </c>
      <c r="J5114">
        <v>-301.22059999999999</v>
      </c>
      <c r="K5114">
        <v>1.1209039999999999</v>
      </c>
      <c r="L5114">
        <v>141.59209999999999</v>
      </c>
      <c r="M5114">
        <v>-0.99986339999999996</v>
      </c>
      <c r="N5114">
        <v>-1.443646E-2</v>
      </c>
      <c r="O5114">
        <v>-8.0469219999999998E-3</v>
      </c>
      <c r="P5114">
        <v>-0.99550649999999996</v>
      </c>
      <c r="Q5114">
        <v>-9.3270820000000004E-2</v>
      </c>
      <c r="R5114">
        <v>-1.635466E-2</v>
      </c>
      <c r="S5114">
        <v>-2.9913020000000001</v>
      </c>
      <c r="T5114">
        <v>-0.22630549999999999</v>
      </c>
      <c r="U5114">
        <v>-6.4926150000000002E-2</v>
      </c>
      <c r="V5114">
        <v>-8.3416640000000004E-3</v>
      </c>
      <c r="W5114">
        <v>-7.888821E-2</v>
      </c>
      <c r="X5114">
        <v>0.99684859999999997</v>
      </c>
      <c r="Y5114">
        <v>-1.362199E-2</v>
      </c>
      <c r="Z5114">
        <v>-1.212001E-4</v>
      </c>
      <c r="AA5114">
        <v>0.9999072</v>
      </c>
      <c r="AB5114">
        <v>23</v>
      </c>
      <c r="AC5114">
        <v>-14.587999999999999</v>
      </c>
      <c r="AD5114">
        <v>-1.120911664104</v>
      </c>
      <c r="AE5114">
        <v>-0.319699999999983</v>
      </c>
      <c r="AF5114">
        <v>-0.20110216267443201</v>
      </c>
      <c r="AG5114">
        <v>-1.120911664104</v>
      </c>
      <c r="AH5114">
        <v>14.5045059909329</v>
      </c>
      <c r="AI5114">
        <v>94.418625202468405</v>
      </c>
      <c r="AJ5114">
        <v>90.794343974396796</v>
      </c>
      <c r="AK5114">
        <v>14.549143585777299</v>
      </c>
      <c r="AL5114">
        <v>94.524662735478898</v>
      </c>
      <c r="AM5114">
        <v>90.479441899177502</v>
      </c>
      <c r="AN5114">
        <v>1.00000003217862</v>
      </c>
    </row>
    <row r="5115" spans="1:40" x14ac:dyDescent="0.25">
      <c r="A5115" t="str">
        <f>"20190303154911650"</f>
        <v>20190303154911650</v>
      </c>
      <c r="B5115" t="str">
        <f>"1551599351646417"</f>
        <v>1551599351646417</v>
      </c>
      <c r="C5115" t="s">
        <v>40</v>
      </c>
      <c r="D5115">
        <v>5.691147</v>
      </c>
      <c r="E5115">
        <v>0.49424489999999999</v>
      </c>
      <c r="F5115" t="s">
        <v>59</v>
      </c>
      <c r="G5115">
        <v>-315.52910000000003</v>
      </c>
      <c r="H5115" s="1">
        <v>-7.7647780000000004E-6</v>
      </c>
      <c r="I5115">
        <v>141.1841</v>
      </c>
      <c r="J5115">
        <v>-301.38130000000001</v>
      </c>
      <c r="K5115">
        <v>1.120903</v>
      </c>
      <c r="L5115">
        <v>141.5907</v>
      </c>
      <c r="M5115">
        <v>-0.9998631</v>
      </c>
      <c r="N5115">
        <v>-1.4450650000000001E-2</v>
      </c>
      <c r="O5115">
        <v>-8.0680019999999995E-3</v>
      </c>
      <c r="P5115">
        <v>-0.9955505</v>
      </c>
      <c r="Q5115">
        <v>-9.265901E-2</v>
      </c>
      <c r="R5115">
        <v>-1.7147079999999999E-2</v>
      </c>
      <c r="S5115">
        <v>-2.9902340000000001</v>
      </c>
      <c r="T5115">
        <v>-0.2342514</v>
      </c>
      <c r="U5115">
        <v>-8.5250850000000003E-2</v>
      </c>
      <c r="V5115">
        <v>-9.1135820000000003E-3</v>
      </c>
      <c r="W5115">
        <v>-7.8261419999999998E-2</v>
      </c>
      <c r="X5115">
        <v>0.99689119999999998</v>
      </c>
      <c r="Y5115">
        <v>-2.037419E-2</v>
      </c>
      <c r="Z5115">
        <v>-4.2968660000000002E-4</v>
      </c>
      <c r="AA5115">
        <v>0.99979229999999997</v>
      </c>
      <c r="AB5115">
        <v>23</v>
      </c>
      <c r="AC5115">
        <v>-14.1478</v>
      </c>
      <c r="AD5115">
        <v>-1.1209107647779999</v>
      </c>
      <c r="AE5115">
        <v>-0.40659999999999702</v>
      </c>
      <c r="AF5115">
        <v>-0.29060768289543898</v>
      </c>
      <c r="AG5115">
        <v>-1.1209107647779999</v>
      </c>
      <c r="AH5115">
        <v>14.062420797939</v>
      </c>
      <c r="AI5115">
        <v>94.556422604061396</v>
      </c>
      <c r="AJ5115">
        <v>91.183880376997394</v>
      </c>
      <c r="AK5115">
        <v>14.1100167422388</v>
      </c>
      <c r="AL5115">
        <v>94.488639144711897</v>
      </c>
      <c r="AM5115">
        <v>90.523783576968896</v>
      </c>
      <c r="AN5115">
        <v>0.99999998593736295</v>
      </c>
    </row>
    <row r="5116" spans="1:40" x14ac:dyDescent="0.25">
      <c r="A5116" t="str">
        <f>"20190303154911669"</f>
        <v>20190303154911669</v>
      </c>
      <c r="B5116" t="str">
        <f>"1551599351665937"</f>
        <v>1551599351665937</v>
      </c>
      <c r="C5116" t="s">
        <v>40</v>
      </c>
      <c r="D5116">
        <v>5.6304239999999997</v>
      </c>
      <c r="E5116">
        <v>0.493728</v>
      </c>
      <c r="F5116" t="s">
        <v>59</v>
      </c>
      <c r="G5116">
        <v>-315.33769999999998</v>
      </c>
      <c r="H5116" s="1">
        <v>-7.8372890000000002E-6</v>
      </c>
      <c r="I5116">
        <v>141.13740000000001</v>
      </c>
      <c r="J5116">
        <v>-301.56049999999999</v>
      </c>
      <c r="K5116">
        <v>1.1209039999999999</v>
      </c>
      <c r="L5116">
        <v>141.58930000000001</v>
      </c>
      <c r="M5116">
        <v>-0.99986269999999999</v>
      </c>
      <c r="N5116">
        <v>-1.446445E-2</v>
      </c>
      <c r="O5116">
        <v>-8.0835669999999998E-3</v>
      </c>
      <c r="P5116">
        <v>-0.99548300000000001</v>
      </c>
      <c r="Q5116">
        <v>-9.3068070000000003E-2</v>
      </c>
      <c r="R5116">
        <v>-1.8758560000000001E-2</v>
      </c>
      <c r="S5116">
        <v>-2.9893489999999998</v>
      </c>
      <c r="T5116">
        <v>-0.2400901</v>
      </c>
      <c r="U5116">
        <v>-9.7106929999999994E-2</v>
      </c>
      <c r="V5116">
        <v>-1.071185E-2</v>
      </c>
      <c r="W5116">
        <v>-7.8657260000000007E-2</v>
      </c>
      <c r="X5116">
        <v>0.99684419999999996</v>
      </c>
      <c r="Y5116">
        <v>-2.4311099999999999E-2</v>
      </c>
      <c r="Z5116">
        <v>-6.1942010000000001E-4</v>
      </c>
      <c r="AA5116">
        <v>0.99970420000000004</v>
      </c>
      <c r="AB5116">
        <v>23</v>
      </c>
      <c r="AC5116">
        <v>-13.777199999999899</v>
      </c>
      <c r="AD5116">
        <v>-1.1209118372889999</v>
      </c>
      <c r="AE5116">
        <v>-0.45189999999999397</v>
      </c>
      <c r="AF5116">
        <v>-0.338267923420773</v>
      </c>
      <c r="AG5116">
        <v>-1.1209118372889999</v>
      </c>
      <c r="AH5116">
        <v>13.6898812139742</v>
      </c>
      <c r="AI5116">
        <v>94.679449243860603</v>
      </c>
      <c r="AJ5116">
        <v>91.4154528491637</v>
      </c>
      <c r="AK5116">
        <v>13.7398586669482</v>
      </c>
      <c r="AL5116">
        <v>94.511389022109299</v>
      </c>
      <c r="AM5116">
        <v>90.615663083690194</v>
      </c>
      <c r="AN5116">
        <v>1.00000003367738</v>
      </c>
    </row>
    <row r="5117" spans="1:40" x14ac:dyDescent="0.25">
      <c r="A5117" t="str">
        <f>"20190303154911691"</f>
        <v>20190303154911691</v>
      </c>
      <c r="B5117" t="str">
        <f>"1551599351686434"</f>
        <v>1551599351686434</v>
      </c>
      <c r="C5117" t="s">
        <v>40</v>
      </c>
      <c r="D5117">
        <v>5.6446680000000002</v>
      </c>
      <c r="E5117">
        <v>0.4934962</v>
      </c>
      <c r="F5117" t="s">
        <v>59</v>
      </c>
      <c r="G5117">
        <v>-315.25069999999999</v>
      </c>
      <c r="H5117" s="1">
        <v>-7.8668469999999992E-6</v>
      </c>
      <c r="I5117">
        <v>141.10310000000001</v>
      </c>
      <c r="J5117">
        <v>-301.7919</v>
      </c>
      <c r="K5117">
        <v>1.1209020000000001</v>
      </c>
      <c r="L5117">
        <v>141.5874</v>
      </c>
      <c r="M5117">
        <v>-0.99986260000000005</v>
      </c>
      <c r="N5117">
        <v>-1.447933E-2</v>
      </c>
      <c r="O5117">
        <v>-8.0865680000000006E-3</v>
      </c>
      <c r="P5117">
        <v>-0.99546469999999998</v>
      </c>
      <c r="Q5117">
        <v>-9.3033630000000006E-2</v>
      </c>
      <c r="R5117">
        <v>-1.9866490000000001E-2</v>
      </c>
      <c r="S5117">
        <v>-2.9887389999999998</v>
      </c>
      <c r="T5117">
        <v>-0.2447087</v>
      </c>
      <c r="U5117">
        <v>-0.10612489999999999</v>
      </c>
      <c r="V5117">
        <v>-1.1819420000000001E-2</v>
      </c>
      <c r="W5117">
        <v>-7.8607769999999993E-2</v>
      </c>
      <c r="X5117">
        <v>0.99683549999999999</v>
      </c>
      <c r="Y5117">
        <v>-2.7313219999999999E-2</v>
      </c>
      <c r="Z5117">
        <v>-7.7028399999999999E-4</v>
      </c>
      <c r="AA5117">
        <v>0.99962660000000003</v>
      </c>
      <c r="AB5117">
        <v>23</v>
      </c>
      <c r="AC5117">
        <v>-13.458799999999901</v>
      </c>
      <c r="AD5117">
        <v>-1.1209098668469999</v>
      </c>
      <c r="AE5117">
        <v>-0.48429999999999002</v>
      </c>
      <c r="AF5117">
        <v>-0.37285437362576801</v>
      </c>
      <c r="AG5117">
        <v>-1.1209098668469999</v>
      </c>
      <c r="AH5117">
        <v>13.3696603522309</v>
      </c>
      <c r="AI5117">
        <v>94.790605777539596</v>
      </c>
      <c r="AJ5117">
        <v>91.5974561565626</v>
      </c>
      <c r="AK5117">
        <v>13.421746430608099</v>
      </c>
      <c r="AL5117">
        <v>94.508545037977498</v>
      </c>
      <c r="AM5117">
        <v>90.679320860512206</v>
      </c>
      <c r="AN5117">
        <v>0.99999994712687801</v>
      </c>
    </row>
    <row r="5118" spans="1:40" x14ac:dyDescent="0.25">
      <c r="A5118" t="str">
        <f>"20190303154911713"</f>
        <v>20190303154911713</v>
      </c>
      <c r="B5118" t="str">
        <f>"1551599351706374"</f>
        <v>1551599351706374</v>
      </c>
      <c r="C5118" t="s">
        <v>40</v>
      </c>
      <c r="D5118">
        <v>5.72628</v>
      </c>
      <c r="E5118">
        <v>0.49305670000000001</v>
      </c>
      <c r="F5118" t="s">
        <v>59</v>
      </c>
      <c r="G5118">
        <v>-315.4117</v>
      </c>
      <c r="H5118" s="1">
        <v>-7.7893729999999998E-6</v>
      </c>
      <c r="I5118">
        <v>141.08019999999999</v>
      </c>
      <c r="J5118">
        <v>-302.01139999999998</v>
      </c>
      <c r="K5118">
        <v>1.1208959999999999</v>
      </c>
      <c r="L5118">
        <v>141.5856</v>
      </c>
      <c r="M5118">
        <v>-0.99986260000000005</v>
      </c>
      <c r="N5118">
        <v>-1.449082E-2</v>
      </c>
      <c r="O5118">
        <v>-8.0623169999999994E-3</v>
      </c>
      <c r="P5118">
        <v>-0.99544129999999997</v>
      </c>
      <c r="Q5118">
        <v>-9.3271450000000006E-2</v>
      </c>
      <c r="R5118">
        <v>-1.993027E-2</v>
      </c>
      <c r="S5118">
        <v>-2.988464</v>
      </c>
      <c r="T5118">
        <v>-0.24595059999999999</v>
      </c>
      <c r="U5118">
        <v>-0.1112823</v>
      </c>
      <c r="V5118">
        <v>-1.1909990000000001E-2</v>
      </c>
      <c r="W5118">
        <v>-7.8834020000000005E-2</v>
      </c>
      <c r="X5118">
        <v>0.99681660000000005</v>
      </c>
      <c r="Y5118">
        <v>-2.9055750000000002E-2</v>
      </c>
      <c r="Z5118">
        <v>-8.5872529999999996E-4</v>
      </c>
      <c r="AA5118">
        <v>0.99957739999999995</v>
      </c>
      <c r="AB5118">
        <v>23</v>
      </c>
      <c r="AC5118">
        <v>-13.4003</v>
      </c>
      <c r="AD5118">
        <v>-1.1209037893729901</v>
      </c>
      <c r="AE5118">
        <v>-0.50540000000000795</v>
      </c>
      <c r="AF5118">
        <v>-0.39457785751423702</v>
      </c>
      <c r="AG5118">
        <v>-1.1209037893729901</v>
      </c>
      <c r="AH5118">
        <v>13.3109360917377</v>
      </c>
      <c r="AI5118">
        <v>94.811374093673294</v>
      </c>
      <c r="AJ5118">
        <v>91.697929233740396</v>
      </c>
      <c r="AK5118">
        <v>13.363874312077201</v>
      </c>
      <c r="AL5118">
        <v>94.5215483580197</v>
      </c>
      <c r="AM5118">
        <v>90.684538853107597</v>
      </c>
      <c r="AN5118">
        <v>0.99999999230336001</v>
      </c>
    </row>
    <row r="5119" spans="1:40" x14ac:dyDescent="0.25">
      <c r="A5119" t="str">
        <f>"20190303154911734"</f>
        <v>20190303154911734</v>
      </c>
      <c r="B5119" t="str">
        <f>"1551599351725894"</f>
        <v>1551599351725894</v>
      </c>
      <c r="C5119" t="s">
        <v>40</v>
      </c>
      <c r="D5119">
        <v>5.6492170000000002</v>
      </c>
      <c r="E5119">
        <v>0.49288149999999997</v>
      </c>
      <c r="F5119" t="s">
        <v>59</v>
      </c>
      <c r="G5119">
        <v>-315.52589999999998</v>
      </c>
      <c r="H5119" s="1">
        <v>-7.7348760000000004E-6</v>
      </c>
      <c r="I5119">
        <v>141.06559999999999</v>
      </c>
      <c r="J5119">
        <v>-302.23219999999998</v>
      </c>
      <c r="K5119">
        <v>1.1208910000000001</v>
      </c>
      <c r="L5119">
        <v>141.5839</v>
      </c>
      <c r="M5119">
        <v>-0.99986280000000005</v>
      </c>
      <c r="N5119">
        <v>-1.450016E-2</v>
      </c>
      <c r="O5119">
        <v>-8.0010989999999994E-3</v>
      </c>
      <c r="P5119">
        <v>-0.99543139999999997</v>
      </c>
      <c r="Q5119">
        <v>-9.3457949999999998E-2</v>
      </c>
      <c r="R5119">
        <v>-1.9542940000000002E-2</v>
      </c>
      <c r="S5119">
        <v>-2.9882200000000001</v>
      </c>
      <c r="T5119">
        <v>-0.2478447</v>
      </c>
      <c r="U5119">
        <v>-0.11497499999999999</v>
      </c>
      <c r="V5119">
        <v>-1.1588040000000001E-2</v>
      </c>
      <c r="W5119">
        <v>-7.9010819999999995E-2</v>
      </c>
      <c r="X5119">
        <v>0.99680639999999998</v>
      </c>
      <c r="Y5119">
        <v>-3.0346729999999999E-2</v>
      </c>
      <c r="Z5119">
        <v>-9.3003819999999996E-4</v>
      </c>
      <c r="AA5119">
        <v>0.99953899999999996</v>
      </c>
      <c r="AB5119">
        <v>23</v>
      </c>
      <c r="AC5119">
        <v>-13.293699999999999</v>
      </c>
      <c r="AD5119">
        <v>-1.120898734876</v>
      </c>
      <c r="AE5119">
        <v>-0.51830000000000997</v>
      </c>
      <c r="AF5119">
        <v>-0.40900458924053701</v>
      </c>
      <c r="AG5119">
        <v>-1.120898734876</v>
      </c>
      <c r="AH5119">
        <v>13.2036922005147</v>
      </c>
      <c r="AI5119">
        <v>94.850050992829907</v>
      </c>
      <c r="AJ5119">
        <v>91.7742571786723</v>
      </c>
      <c r="AK5119">
        <v>13.2574954819453</v>
      </c>
      <c r="AL5119">
        <v>94.531709932867898</v>
      </c>
      <c r="AM5119">
        <v>90.666042952489207</v>
      </c>
      <c r="AN5119">
        <v>0.99999999571453602</v>
      </c>
    </row>
    <row r="5120" spans="1:40" x14ac:dyDescent="0.25">
      <c r="A5120" t="str">
        <f>"20190303154911758"</f>
        <v>20190303154911758</v>
      </c>
      <c r="B5120" t="str">
        <f>"1551599351746390"</f>
        <v>1551599351746390</v>
      </c>
      <c r="C5120" t="s">
        <v>40</v>
      </c>
      <c r="D5120">
        <v>5.6711419999999997</v>
      </c>
      <c r="E5120">
        <v>0.4923498</v>
      </c>
      <c r="F5120" t="s">
        <v>59</v>
      </c>
      <c r="G5120">
        <v>-315.67809999999997</v>
      </c>
      <c r="H5120" s="1">
        <v>-7.6672119999999995E-6</v>
      </c>
      <c r="I5120">
        <v>141.06489999999999</v>
      </c>
      <c r="J5120">
        <v>-302.45940000000002</v>
      </c>
      <c r="K5120">
        <v>1.1208670000000001</v>
      </c>
      <c r="L5120">
        <v>141.5822</v>
      </c>
      <c r="M5120">
        <v>-0.99986370000000002</v>
      </c>
      <c r="N5120">
        <v>-1.45077E-2</v>
      </c>
      <c r="O5120">
        <v>-7.8913090000000009E-3</v>
      </c>
      <c r="P5120">
        <v>-0.9955079</v>
      </c>
      <c r="Q5120">
        <v>-9.2798489999999997E-2</v>
      </c>
      <c r="R5120">
        <v>-1.8775190000000001E-2</v>
      </c>
      <c r="S5120">
        <v>-2.9881289999999998</v>
      </c>
      <c r="T5120">
        <v>-0.24910209999999999</v>
      </c>
      <c r="U5120">
        <v>-0.1153412</v>
      </c>
      <c r="V5120">
        <v>-1.0934579999999999E-2</v>
      </c>
      <c r="W5120">
        <v>-7.8342190000000006E-2</v>
      </c>
      <c r="X5120">
        <v>0.99686660000000005</v>
      </c>
      <c r="Y5120">
        <v>-3.0577839999999998E-2</v>
      </c>
      <c r="Z5120">
        <v>-9.5206999999999996E-4</v>
      </c>
      <c r="AA5120">
        <v>0.99953190000000003</v>
      </c>
      <c r="AB5120">
        <v>22</v>
      </c>
      <c r="AC5120">
        <v>-13.218699999999901</v>
      </c>
      <c r="AD5120">
        <v>-1.120874667212</v>
      </c>
      <c r="AE5120">
        <v>-0.51730000000000498</v>
      </c>
      <c r="AF5120">
        <v>-0.41001650938570999</v>
      </c>
      <c r="AG5120">
        <v>-1.120874667212</v>
      </c>
      <c r="AH5120">
        <v>13.1281223876253</v>
      </c>
      <c r="AI5120">
        <v>94.877692414992794</v>
      </c>
      <c r="AJ5120">
        <v>91.788875890356096</v>
      </c>
      <c r="AK5120">
        <v>13.182263499947</v>
      </c>
      <c r="AL5120">
        <v>94.493280929469904</v>
      </c>
      <c r="AM5120">
        <v>90.628449343140602</v>
      </c>
      <c r="AN5120">
        <v>1.0000000409846601</v>
      </c>
    </row>
    <row r="5121" spans="1:40" x14ac:dyDescent="0.25">
      <c r="A5121" t="str">
        <f>"20190303154911780"</f>
        <v>20190303154911780</v>
      </c>
      <c r="B5121" t="str">
        <f>"1551599351775670"</f>
        <v>1551599351775670</v>
      </c>
      <c r="C5121" t="s">
        <v>40</v>
      </c>
      <c r="D5121">
        <v>5.5742379999999896</v>
      </c>
      <c r="E5121">
        <v>0.49206480000000002</v>
      </c>
      <c r="F5121" t="s">
        <v>59</v>
      </c>
      <c r="G5121">
        <v>-315.77249999999998</v>
      </c>
      <c r="H5121" s="1">
        <v>-7.624109E-6</v>
      </c>
      <c r="I5121">
        <v>141.06020000000001</v>
      </c>
      <c r="J5121">
        <v>-302.68799999999999</v>
      </c>
      <c r="K5121">
        <v>1.120835</v>
      </c>
      <c r="L5121">
        <v>141.5805</v>
      </c>
      <c r="M5121">
        <v>-0.99986489999999995</v>
      </c>
      <c r="N5121">
        <v>-1.451362E-2</v>
      </c>
      <c r="O5121">
        <v>-7.7278540000000001E-3</v>
      </c>
      <c r="P5121">
        <v>-0.99558489999999999</v>
      </c>
      <c r="Q5121">
        <v>-9.2240240000000001E-2</v>
      </c>
      <c r="R5121">
        <v>-1.7390829999999999E-2</v>
      </c>
      <c r="S5121">
        <v>-2.9879150000000001</v>
      </c>
      <c r="T5121">
        <v>-0.25156299999999998</v>
      </c>
      <c r="U5121">
        <v>-0.117157</v>
      </c>
      <c r="V5121">
        <v>-9.7195519999999994E-3</v>
      </c>
      <c r="W5121">
        <v>-7.7776499999999998E-2</v>
      </c>
      <c r="X5121">
        <v>0.99692340000000002</v>
      </c>
      <c r="Y5121">
        <v>-3.1345060000000001E-2</v>
      </c>
      <c r="Z5121">
        <v>-1.007481E-3</v>
      </c>
      <c r="AA5121">
        <v>0.99950810000000001</v>
      </c>
      <c r="AB5121">
        <v>22</v>
      </c>
      <c r="AC5121">
        <v>-13.084499999999901</v>
      </c>
      <c r="AD5121">
        <v>-1.1208426241089999</v>
      </c>
      <c r="AE5121">
        <v>-0.52029999999999099</v>
      </c>
      <c r="AF5121">
        <v>-0.41611013586958501</v>
      </c>
      <c r="AG5121">
        <v>-1.1208426241089999</v>
      </c>
      <c r="AH5121">
        <v>12.992939356995301</v>
      </c>
      <c r="AI5121">
        <v>94.927929746756007</v>
      </c>
      <c r="AJ5121">
        <v>91.834320006063393</v>
      </c>
      <c r="AK5121">
        <v>13.047831581061599</v>
      </c>
      <c r="AL5121">
        <v>94.460770444931796</v>
      </c>
      <c r="AM5121">
        <v>90.558590223253105</v>
      </c>
      <c r="AN5121">
        <v>0.99999995955544396</v>
      </c>
    </row>
    <row r="5122" spans="1:40" x14ac:dyDescent="0.25">
      <c r="A5122" t="str">
        <f>"20190303154911802"</f>
        <v>20190303154911802</v>
      </c>
      <c r="B5122" t="str">
        <f>"1551599351796167"</f>
        <v>1551599351796167</v>
      </c>
      <c r="C5122" t="s">
        <v>40</v>
      </c>
      <c r="D5122">
        <v>5.6036950000000001</v>
      </c>
      <c r="E5122">
        <v>0.49180309999999999</v>
      </c>
      <c r="F5122" t="s">
        <v>59</v>
      </c>
      <c r="G5122">
        <v>-315.9538</v>
      </c>
      <c r="H5122" s="1">
        <v>-7.5458800000000003E-6</v>
      </c>
      <c r="I5122">
        <v>141.0684</v>
      </c>
      <c r="J5122">
        <v>-302.9008</v>
      </c>
      <c r="K5122">
        <v>1.120803</v>
      </c>
      <c r="L5122">
        <v>141.57910000000001</v>
      </c>
      <c r="M5122">
        <v>-0.99986640000000004</v>
      </c>
      <c r="N5122">
        <v>-1.4517520000000001E-2</v>
      </c>
      <c r="O5122">
        <v>-7.52243599999999E-3</v>
      </c>
      <c r="P5122">
        <v>-0.99562249999999997</v>
      </c>
      <c r="Q5122">
        <v>-9.2046909999999996E-2</v>
      </c>
      <c r="R5122">
        <v>-1.6235940000000001E-2</v>
      </c>
      <c r="S5122">
        <v>-2.9879150000000001</v>
      </c>
      <c r="T5122">
        <v>-0.25245250000000002</v>
      </c>
      <c r="U5122">
        <v>-0.115356399999999</v>
      </c>
      <c r="V5122">
        <v>-8.776074E-3</v>
      </c>
      <c r="W5122">
        <v>-7.7578380000000002E-2</v>
      </c>
      <c r="X5122">
        <v>0.99694760000000004</v>
      </c>
      <c r="Y5122">
        <v>-3.0949440000000002E-2</v>
      </c>
      <c r="Z5122">
        <v>-1.0047159999999999E-3</v>
      </c>
      <c r="AA5122">
        <v>0.99952039999999998</v>
      </c>
      <c r="AB5122">
        <v>22</v>
      </c>
      <c r="AC5122">
        <v>-13.0529999999999</v>
      </c>
      <c r="AD5122">
        <v>-1.12081054588</v>
      </c>
      <c r="AE5122">
        <v>-0.51070000000001403</v>
      </c>
      <c r="AF5122">
        <v>-0.40947044154042</v>
      </c>
      <c r="AG5122">
        <v>-1.12081054588</v>
      </c>
      <c r="AH5122">
        <v>12.9610570092338</v>
      </c>
      <c r="AI5122">
        <v>94.939918867572501</v>
      </c>
      <c r="AJ5122">
        <v>91.809507319873305</v>
      </c>
      <c r="AK5122">
        <v>13.015870355794901</v>
      </c>
      <c r="AL5122">
        <v>94.449384552506999</v>
      </c>
      <c r="AM5122">
        <v>90.504358516979096</v>
      </c>
      <c r="AN5122">
        <v>0.99999997083201797</v>
      </c>
    </row>
    <row r="5123" spans="1:40" x14ac:dyDescent="0.25">
      <c r="A5123" t="str">
        <f>"20190303154911817"</f>
        <v>20190303154911817</v>
      </c>
      <c r="B5123" t="str">
        <f>"1551599351805926"</f>
        <v>1551599351805926</v>
      </c>
      <c r="C5123" t="s">
        <v>40</v>
      </c>
      <c r="D5123">
        <v>5.624987</v>
      </c>
      <c r="E5123">
        <v>0.49158879999999999</v>
      </c>
      <c r="F5123" t="s">
        <v>59</v>
      </c>
      <c r="G5123">
        <v>-316.11079999999998</v>
      </c>
      <c r="H5123" s="1">
        <v>-7.477992E-6</v>
      </c>
      <c r="I5123">
        <v>141.07509999999999</v>
      </c>
      <c r="J5123">
        <v>-303.05810000000002</v>
      </c>
      <c r="K5123">
        <v>1.1207819999999999</v>
      </c>
      <c r="L5123">
        <v>141.57810000000001</v>
      </c>
      <c r="M5123">
        <v>-0.99986759999999997</v>
      </c>
      <c r="N5123">
        <v>-1.451963E-2</v>
      </c>
      <c r="O5123">
        <v>-7.3413069999999896E-3</v>
      </c>
      <c r="P5123">
        <v>-0.99565959999999998</v>
      </c>
      <c r="Q5123">
        <v>-9.1783779999999995E-2</v>
      </c>
      <c r="R5123">
        <v>-1.5414580000000001E-2</v>
      </c>
      <c r="S5123">
        <v>-2.9879150000000001</v>
      </c>
      <c r="T5123">
        <v>-0.2535115</v>
      </c>
      <c r="U5123">
        <v>-0.1140137</v>
      </c>
      <c r="V5123">
        <v>-8.1397039999999993E-3</v>
      </c>
      <c r="W5123">
        <v>-7.7312500000000006E-2</v>
      </c>
      <c r="X5123">
        <v>0.99697369999999996</v>
      </c>
      <c r="Y5123">
        <v>-3.0681839999999998E-2</v>
      </c>
      <c r="Z5123">
        <v>-1.0070070000000001E-3</v>
      </c>
      <c r="AA5123">
        <v>0.99952870000000005</v>
      </c>
      <c r="AB5123">
        <v>22</v>
      </c>
      <c r="AC5123">
        <v>-13.0526999999999</v>
      </c>
      <c r="AD5123">
        <v>-1.120789477992</v>
      </c>
      <c r="AE5123">
        <v>-0.50300000000001399</v>
      </c>
      <c r="AF5123">
        <v>-0.40417686019730698</v>
      </c>
      <c r="AG5123">
        <v>-1.120789477992</v>
      </c>
      <c r="AH5123">
        <v>12.960623580442601</v>
      </c>
      <c r="AI5123">
        <v>94.940053645464303</v>
      </c>
      <c r="AJ5123">
        <v>91.786189186260302</v>
      </c>
      <c r="AK5123">
        <v>13.0152714755483</v>
      </c>
      <c r="AL5123">
        <v>94.434104649589599</v>
      </c>
      <c r="AM5123">
        <v>90.467775954082896</v>
      </c>
      <c r="AN5123">
        <v>1.0000000179645701</v>
      </c>
    </row>
    <row r="5124" spans="1:40" x14ac:dyDescent="0.25">
      <c r="A5124" t="str">
        <f>"20190303154911834"</f>
        <v>20190303154911834</v>
      </c>
      <c r="B5124" t="str">
        <f>"1551599351826422"</f>
        <v>1551599351826422</v>
      </c>
      <c r="C5124" t="s">
        <v>40</v>
      </c>
      <c r="D5124">
        <v>5.6053810000000004</v>
      </c>
      <c r="E5124">
        <v>0.49164940000000001</v>
      </c>
      <c r="F5124" t="s">
        <v>59</v>
      </c>
      <c r="G5124">
        <v>-316.23660000000001</v>
      </c>
      <c r="H5124" s="1">
        <v>-7.4232660000000001E-6</v>
      </c>
      <c r="I5124">
        <v>141.07900000000001</v>
      </c>
      <c r="J5124">
        <v>-303.2287</v>
      </c>
      <c r="K5124">
        <v>1.120757</v>
      </c>
      <c r="L5124">
        <v>141.5771</v>
      </c>
      <c r="M5124">
        <v>-0.99986929999999996</v>
      </c>
      <c r="N5124">
        <v>-1.4521249999999999E-2</v>
      </c>
      <c r="O5124">
        <v>-7.1232869999999998E-3</v>
      </c>
      <c r="P5124">
        <v>-0.99573020000000001</v>
      </c>
      <c r="Q5124">
        <v>-9.1194570000000003E-2</v>
      </c>
      <c r="R5124">
        <v>-1.433796E-2</v>
      </c>
      <c r="S5124">
        <v>-2.9879150000000001</v>
      </c>
      <c r="T5124">
        <v>-0.25411240000000002</v>
      </c>
      <c r="U5124">
        <v>-0.1131592</v>
      </c>
      <c r="V5124">
        <v>-7.2829009999999996E-3</v>
      </c>
      <c r="W5124">
        <v>-7.6720880000000005E-2</v>
      </c>
      <c r="X5124">
        <v>0.99702599999999997</v>
      </c>
      <c r="Y5124">
        <v>-3.0613629999999999E-2</v>
      </c>
      <c r="Z5124">
        <v>-1.0205959999999999E-3</v>
      </c>
      <c r="AA5124">
        <v>0.99953080000000005</v>
      </c>
      <c r="AB5124">
        <v>22</v>
      </c>
      <c r="AC5124">
        <v>-13.007899999999999</v>
      </c>
      <c r="AD5124">
        <v>-1.1207644232659999</v>
      </c>
      <c r="AE5124">
        <v>-0.49809999999999299</v>
      </c>
      <c r="AF5124">
        <v>-0.40243545082295901</v>
      </c>
      <c r="AG5124">
        <v>-1.1207644232659999</v>
      </c>
      <c r="AH5124">
        <v>12.9153802133516</v>
      </c>
      <c r="AI5124">
        <v>94.957166536357207</v>
      </c>
      <c r="AJ5124">
        <v>91.7847244502954</v>
      </c>
      <c r="AK5124">
        <v>12.970162421495401</v>
      </c>
      <c r="AL5124">
        <v>94.4001064650069</v>
      </c>
      <c r="AM5124">
        <v>90.418516737255899</v>
      </c>
      <c r="AN5124">
        <v>0.99999998937547496</v>
      </c>
    </row>
    <row r="5125" spans="1:40" x14ac:dyDescent="0.25">
      <c r="A5125" t="str">
        <f>"20190303154911850"</f>
        <v>20190303154911850</v>
      </c>
      <c r="B5125" t="str">
        <f>"1551599351845943"</f>
        <v>1551599351845943</v>
      </c>
      <c r="C5125" t="s">
        <v>40</v>
      </c>
      <c r="D5125">
        <v>5.9374029999999998</v>
      </c>
      <c r="E5125">
        <v>0.51421419999999995</v>
      </c>
      <c r="F5125" t="s">
        <v>59</v>
      </c>
      <c r="G5125">
        <v>-316.46260000000001</v>
      </c>
      <c r="H5125" s="1">
        <v>-7.3264449999999996E-6</v>
      </c>
      <c r="I5125">
        <v>141.09190000000001</v>
      </c>
      <c r="J5125">
        <v>-303.37860000000001</v>
      </c>
      <c r="K5125">
        <v>1.120738</v>
      </c>
      <c r="L5125">
        <v>141.5763</v>
      </c>
      <c r="M5125">
        <v>-0.99987119999999996</v>
      </c>
      <c r="N5125">
        <v>-1.4494099999999999E-2</v>
      </c>
      <c r="O5125">
        <v>-6.9149779999999996E-3</v>
      </c>
      <c r="P5125">
        <v>-0.99577610000000005</v>
      </c>
      <c r="Q5125">
        <v>-9.0790930000000006E-2</v>
      </c>
      <c r="R5125">
        <v>-1.3677369999999999E-2</v>
      </c>
      <c r="S5125">
        <v>-2.9880979999999999</v>
      </c>
      <c r="T5125">
        <v>-0.25305899999999998</v>
      </c>
      <c r="U5125">
        <v>-0.1095734</v>
      </c>
      <c r="V5125">
        <v>-6.8323999999999998E-3</v>
      </c>
      <c r="W5125">
        <v>-7.634378E-2</v>
      </c>
      <c r="X5125">
        <v>0.99705820000000001</v>
      </c>
      <c r="Y5125">
        <v>-2.962623E-2</v>
      </c>
      <c r="Z5125">
        <v>-9.8277780000000006E-4</v>
      </c>
      <c r="AA5125">
        <v>0.99956049999999996</v>
      </c>
      <c r="AB5125">
        <v>22</v>
      </c>
      <c r="AC5125">
        <v>-13.084</v>
      </c>
      <c r="AD5125">
        <v>-1.120745326445</v>
      </c>
      <c r="AE5125">
        <v>-0.484399999999993</v>
      </c>
      <c r="AF5125">
        <v>-0.39103813918209002</v>
      </c>
      <c r="AG5125">
        <v>-1.120745326445</v>
      </c>
      <c r="AH5125">
        <v>12.991843267611699</v>
      </c>
      <c r="AI5125">
        <v>94.928211007849995</v>
      </c>
      <c r="AJ5125">
        <v>91.724010400090606</v>
      </c>
      <c r="AK5125">
        <v>13.045956170523899</v>
      </c>
      <c r="AL5125">
        <v>94.3784363859873</v>
      </c>
      <c r="AM5125">
        <v>90.392616556046207</v>
      </c>
      <c r="AN5125">
        <v>1.00000005431084</v>
      </c>
    </row>
    <row r="5126" spans="1:40" x14ac:dyDescent="0.25">
      <c r="A5126" t="str">
        <f>"20190303154911868"</f>
        <v>20190303154911868</v>
      </c>
      <c r="B5126" t="str">
        <f>"1551599351855703"</f>
        <v>1551599351855703</v>
      </c>
      <c r="C5126" t="s">
        <v>40</v>
      </c>
      <c r="D5126">
        <v>5.7127299999999996</v>
      </c>
      <c r="E5126">
        <v>0.51536570000000004</v>
      </c>
      <c r="F5126" t="s">
        <v>41</v>
      </c>
      <c r="G5126">
        <v>-324.06569999999999</v>
      </c>
      <c r="H5126" s="1">
        <v>-3.1836080000000001E-6</v>
      </c>
      <c r="I5126">
        <v>142.07990000000001</v>
      </c>
      <c r="J5126">
        <v>-303.55970000000002</v>
      </c>
      <c r="K5126">
        <v>1.1207119999999999</v>
      </c>
      <c r="L5126">
        <v>141.5754</v>
      </c>
      <c r="M5126">
        <v>-0.99987420000000005</v>
      </c>
      <c r="N5126">
        <v>-1.4401000000000001E-2</v>
      </c>
      <c r="O5126">
        <v>-6.6461869999999996E-3</v>
      </c>
      <c r="P5126">
        <v>-0.99580950000000001</v>
      </c>
      <c r="Q5126">
        <v>-9.058505E-2</v>
      </c>
      <c r="R5126">
        <v>-1.2569510000000001E-2</v>
      </c>
      <c r="S5126">
        <v>-2.998901</v>
      </c>
      <c r="T5126">
        <v>-0.16246840000000001</v>
      </c>
      <c r="U5126">
        <v>7.3013309999999998E-2</v>
      </c>
      <c r="V5126">
        <v>-5.9937840000000003E-3</v>
      </c>
      <c r="W5126">
        <v>-7.6230729999999997E-2</v>
      </c>
      <c r="X5126">
        <v>0.99707219999999996</v>
      </c>
      <c r="Y5126">
        <v>3.0921199999999999E-2</v>
      </c>
      <c r="Z5126">
        <v>1.3238569999999999E-3</v>
      </c>
      <c r="AA5126">
        <v>0.99952099999999999</v>
      </c>
      <c r="AB5126">
        <v>22</v>
      </c>
      <c r="AC5126">
        <v>-20.505999999999901</v>
      </c>
      <c r="AD5126">
        <v>-1.120715183608</v>
      </c>
      <c r="AE5126">
        <v>0.50450000000000705</v>
      </c>
      <c r="AF5126">
        <v>0.63888254311961301</v>
      </c>
      <c r="AG5126">
        <v>-1.120715183608</v>
      </c>
      <c r="AH5126">
        <v>20.4411737372481</v>
      </c>
      <c r="AI5126">
        <v>93.136648672207798</v>
      </c>
      <c r="AJ5126">
        <v>88.209820951519404</v>
      </c>
      <c r="AK5126">
        <v>20.481839692347801</v>
      </c>
      <c r="AL5126">
        <v>94.371940358187203</v>
      </c>
      <c r="AM5126">
        <v>90.344422790974903</v>
      </c>
      <c r="AN5126">
        <v>1.0000000108278999</v>
      </c>
    </row>
    <row r="5127" spans="1:40" x14ac:dyDescent="0.25">
      <c r="A5127" t="str">
        <f>"20190303154911883"</f>
        <v>20190303154911883</v>
      </c>
      <c r="B5127" t="str">
        <f>"1551599351876199"</f>
        <v>1551599351876199</v>
      </c>
      <c r="C5127" t="s">
        <v>40</v>
      </c>
      <c r="D5127">
        <v>5.8155769999999896</v>
      </c>
      <c r="E5127">
        <v>0.5161985</v>
      </c>
      <c r="F5127" t="s">
        <v>41</v>
      </c>
      <c r="G5127">
        <v>-321.01459999999997</v>
      </c>
      <c r="H5127" s="1">
        <v>-4.3664789999999997E-6</v>
      </c>
      <c r="I5127">
        <v>142.0728</v>
      </c>
      <c r="J5127">
        <v>-303.71080000000001</v>
      </c>
      <c r="K5127">
        <v>1.1206750000000001</v>
      </c>
      <c r="L5127">
        <v>141.5746</v>
      </c>
      <c r="M5127">
        <v>-0.99987769999999998</v>
      </c>
      <c r="N5127">
        <v>-1.426534E-2</v>
      </c>
      <c r="O5127">
        <v>-6.4128509999999998E-3</v>
      </c>
      <c r="P5127">
        <v>-0.99586209999999997</v>
      </c>
      <c r="Q5127">
        <v>-9.0106629999999993E-2</v>
      </c>
      <c r="R5127">
        <v>-1.181423E-2</v>
      </c>
      <c r="S5127">
        <v>-2.996216</v>
      </c>
      <c r="T5127">
        <v>-0.19237699999999999</v>
      </c>
      <c r="U5127">
        <v>8.5403439999999997E-2</v>
      </c>
      <c r="V5127">
        <v>-5.4714169999999897E-3</v>
      </c>
      <c r="W5127">
        <v>-7.5887170000000004E-2</v>
      </c>
      <c r="X5127">
        <v>0.99710140000000003</v>
      </c>
      <c r="Y5127">
        <v>3.4806950000000003E-2</v>
      </c>
      <c r="Z5127">
        <v>1.68454E-3</v>
      </c>
      <c r="AA5127">
        <v>0.99939259999999996</v>
      </c>
      <c r="AB5127">
        <v>22</v>
      </c>
      <c r="AC5127">
        <v>-17.303799999999899</v>
      </c>
      <c r="AD5127">
        <v>-1.120679366479</v>
      </c>
      <c r="AE5127">
        <v>0.49819999999999698</v>
      </c>
      <c r="AF5127">
        <v>0.60662535507608695</v>
      </c>
      <c r="AG5127">
        <v>-1.120679366479</v>
      </c>
      <c r="AH5127">
        <v>17.2280457941925</v>
      </c>
      <c r="AI5127">
        <v>93.719531461348893</v>
      </c>
      <c r="AJ5127">
        <v>87.983362758243999</v>
      </c>
      <c r="AK5127">
        <v>17.275111532220699</v>
      </c>
      <c r="AL5127">
        <v>94.352198680239596</v>
      </c>
      <c r="AM5127">
        <v>90.314397267573</v>
      </c>
      <c r="AN5127">
        <v>1.0000000004282701</v>
      </c>
    </row>
    <row r="5128" spans="1:40" x14ac:dyDescent="0.25">
      <c r="A5128" t="str">
        <f>"20190303154911895"</f>
        <v>20190303154911895</v>
      </c>
      <c r="B5128" t="str">
        <f>"1551599351885959"</f>
        <v>1551599351885959</v>
      </c>
      <c r="C5128" t="s">
        <v>40</v>
      </c>
      <c r="D5128">
        <v>5.6863919999999997</v>
      </c>
      <c r="E5128">
        <v>0.51702729999999997</v>
      </c>
      <c r="F5128" t="s">
        <v>41</v>
      </c>
      <c r="G5128">
        <v>-321.94459999999998</v>
      </c>
      <c r="H5128" s="1">
        <v>-4.0634940000000004E-6</v>
      </c>
      <c r="I5128">
        <v>142.14879999999999</v>
      </c>
      <c r="J5128">
        <v>-303.83589999999998</v>
      </c>
      <c r="K5128">
        <v>1.120641</v>
      </c>
      <c r="L5128">
        <v>141.57399999999899</v>
      </c>
      <c r="M5128">
        <v>-0.99988120000000003</v>
      </c>
      <c r="N5128">
        <v>-1.4106459999999999E-2</v>
      </c>
      <c r="O5128">
        <v>-6.2179480000000001E-3</v>
      </c>
      <c r="P5128">
        <v>-0.99587300000000001</v>
      </c>
      <c r="Q5128">
        <v>-9.0056109999999995E-2</v>
      </c>
      <c r="R5128">
        <v>-1.127627E-2</v>
      </c>
      <c r="S5128">
        <v>-2.996918</v>
      </c>
      <c r="T5128">
        <v>-0.1841962</v>
      </c>
      <c r="U5128">
        <v>9.4390870000000002E-2</v>
      </c>
      <c r="V5128">
        <v>-5.1276200000000003E-3</v>
      </c>
      <c r="W5128">
        <v>-7.5995220000000002E-2</v>
      </c>
      <c r="X5128">
        <v>0.99709499999999995</v>
      </c>
      <c r="Y5128">
        <v>3.7601089999999997E-2</v>
      </c>
      <c r="Z5128">
        <v>1.713827E-3</v>
      </c>
      <c r="AA5128">
        <v>0.99929140000000005</v>
      </c>
      <c r="AB5128">
        <v>22</v>
      </c>
      <c r="AC5128">
        <v>-18.108699999999999</v>
      </c>
      <c r="AD5128">
        <v>-1.1206450634939999</v>
      </c>
      <c r="AE5128">
        <v>0.57480000000000997</v>
      </c>
      <c r="AF5128">
        <v>0.68477920146594196</v>
      </c>
      <c r="AG5128">
        <v>-1.1206450634939999</v>
      </c>
      <c r="AH5128">
        <v>18.035773845003899</v>
      </c>
      <c r="AI5128">
        <v>93.552924425538606</v>
      </c>
      <c r="AJ5128">
        <v>87.825647979528199</v>
      </c>
      <c r="AK5128">
        <v>18.083525820514701</v>
      </c>
      <c r="AL5128">
        <v>94.358407409209605</v>
      </c>
      <c r="AM5128">
        <v>90.294644336929593</v>
      </c>
      <c r="AN5128">
        <v>1.0000000024873501</v>
      </c>
    </row>
    <row r="5129" spans="1:40" x14ac:dyDescent="0.25">
      <c r="A5129" t="str">
        <f>"20190303154911913"</f>
        <v>20190303154911913</v>
      </c>
      <c r="B5129" t="str">
        <f>"1551599351906454"</f>
        <v>1551599351906454</v>
      </c>
      <c r="C5129" t="s">
        <v>40</v>
      </c>
      <c r="D5129">
        <v>5.7693699999999897</v>
      </c>
      <c r="E5129">
        <v>0.5165805</v>
      </c>
      <c r="F5129" t="s">
        <v>41</v>
      </c>
      <c r="G5129">
        <v>-322.32659999999998</v>
      </c>
      <c r="H5129" s="1">
        <v>-3.943813E-6</v>
      </c>
      <c r="I5129">
        <v>142.20699999999999</v>
      </c>
      <c r="J5129">
        <v>-304.00639999999999</v>
      </c>
      <c r="K5129">
        <v>1.120595</v>
      </c>
      <c r="L5129">
        <v>141.57329999999999</v>
      </c>
      <c r="M5129">
        <v>-0.99988619999999995</v>
      </c>
      <c r="N5129">
        <v>-1.386126E-2</v>
      </c>
      <c r="O5129">
        <v>-5.9530470000000004E-3</v>
      </c>
      <c r="P5129">
        <v>-0.99590089999999998</v>
      </c>
      <c r="Q5129">
        <v>-8.9827980000000002E-2</v>
      </c>
      <c r="R5129">
        <v>-1.060737E-2</v>
      </c>
      <c r="S5129">
        <v>-2.9971619999999999</v>
      </c>
      <c r="T5129">
        <v>-0.18164620000000001</v>
      </c>
      <c r="U5129">
        <v>0.1026154</v>
      </c>
      <c r="V5129">
        <v>-4.7215779999999997E-3</v>
      </c>
      <c r="W5129">
        <v>-7.6011579999999995E-2</v>
      </c>
      <c r="X5129">
        <v>0.99709579999999998</v>
      </c>
      <c r="Y5129">
        <v>4.0070219999999997E-2</v>
      </c>
      <c r="Z5129">
        <v>1.7688269999999999E-3</v>
      </c>
      <c r="AA5129">
        <v>0.99919530000000001</v>
      </c>
      <c r="AB5129">
        <v>22</v>
      </c>
      <c r="AC5129">
        <v>-18.3202</v>
      </c>
      <c r="AD5129">
        <v>-1.120598943813</v>
      </c>
      <c r="AE5129">
        <v>0.63370000000000404</v>
      </c>
      <c r="AF5129">
        <v>0.73999491446713495</v>
      </c>
      <c r="AG5129">
        <v>-1.120598943813</v>
      </c>
      <c r="AH5129">
        <v>18.247910441919799</v>
      </c>
      <c r="AI5129">
        <v>93.511225730926</v>
      </c>
      <c r="AJ5129">
        <v>87.677796197387494</v>
      </c>
      <c r="AK5129">
        <v>18.297255804153799</v>
      </c>
      <c r="AL5129">
        <v>94.359347306027203</v>
      </c>
      <c r="AM5129">
        <v>90.271312415549204</v>
      </c>
      <c r="AN5129">
        <v>1.0000000439852701</v>
      </c>
    </row>
    <row r="5130" spans="1:40" x14ac:dyDescent="0.25">
      <c r="A5130" t="str">
        <f>"20190303154911925"</f>
        <v>20190303154911925</v>
      </c>
      <c r="B5130" t="str">
        <f>"1551599351916215"</f>
        <v>1551599351916215</v>
      </c>
      <c r="C5130" t="s">
        <v>40</v>
      </c>
      <c r="D5130">
        <v>5.676806</v>
      </c>
      <c r="E5130">
        <v>0.51638039999999996</v>
      </c>
      <c r="F5130" t="s">
        <v>41</v>
      </c>
      <c r="G5130">
        <v>-322.43799999999999</v>
      </c>
      <c r="H5130" s="1">
        <v>-3.9037100000000003E-6</v>
      </c>
      <c r="I5130">
        <v>142.19460000000001</v>
      </c>
      <c r="J5130">
        <v>-304.1352</v>
      </c>
      <c r="K5130">
        <v>1.120557</v>
      </c>
      <c r="L5130">
        <v>141.5727</v>
      </c>
      <c r="M5130">
        <v>-0.9998901</v>
      </c>
      <c r="N5130">
        <v>-1.3664269999999999E-2</v>
      </c>
      <c r="O5130">
        <v>-5.7546610000000003E-3</v>
      </c>
      <c r="P5130">
        <v>-0.99591430000000003</v>
      </c>
      <c r="Q5130">
        <v>-8.9738910000000005E-2</v>
      </c>
      <c r="R5130">
        <v>-1.009755E-2</v>
      </c>
      <c r="S5130">
        <v>-2.9969790000000001</v>
      </c>
      <c r="T5130">
        <v>-0.18221000000000001</v>
      </c>
      <c r="U5130">
        <v>0.1010437</v>
      </c>
      <c r="V5130">
        <v>-4.4086940000000003E-3</v>
      </c>
      <c r="W5130">
        <v>-7.6119039999999999E-2</v>
      </c>
      <c r="X5130">
        <v>0.997089</v>
      </c>
      <c r="Y5130">
        <v>3.9352089999999999E-2</v>
      </c>
      <c r="Z5130">
        <v>1.7349710000000001E-3</v>
      </c>
      <c r="AA5130">
        <v>0.99922390000000005</v>
      </c>
      <c r="AB5130">
        <v>22</v>
      </c>
      <c r="AC5130">
        <v>-18.302799999999898</v>
      </c>
      <c r="AD5130">
        <v>-1.1205609037099999</v>
      </c>
      <c r="AE5130">
        <v>0.62190000000001</v>
      </c>
      <c r="AF5130">
        <v>0.72451337077005296</v>
      </c>
      <c r="AG5130">
        <v>-1.1205609037099999</v>
      </c>
      <c r="AH5130">
        <v>18.230662296587202</v>
      </c>
      <c r="AI5130">
        <v>93.514534329684395</v>
      </c>
      <c r="AJ5130">
        <v>87.724178961915598</v>
      </c>
      <c r="AK5130">
        <v>18.279431723539801</v>
      </c>
      <c r="AL5130">
        <v>94.365522351270599</v>
      </c>
      <c r="AM5130">
        <v>90.253335372526095</v>
      </c>
      <c r="AN5130">
        <v>1.0000000093771499</v>
      </c>
    </row>
    <row r="5131" spans="1:40" x14ac:dyDescent="0.25">
      <c r="A5131" t="str">
        <f>"20190303154911941"</f>
        <v>20190303154911941</v>
      </c>
      <c r="B5131" t="str">
        <f>"1551599351935735"</f>
        <v>1551599351935735</v>
      </c>
      <c r="C5131" t="s">
        <v>40</v>
      </c>
      <c r="D5131">
        <v>5.6842319999999997</v>
      </c>
      <c r="E5131">
        <v>0.51610540000000005</v>
      </c>
      <c r="F5131" t="s">
        <v>41</v>
      </c>
      <c r="G5131">
        <v>-322.73230000000001</v>
      </c>
      <c r="H5131" s="1">
        <v>-3.7871149999999999E-6</v>
      </c>
      <c r="I5131">
        <v>142.19829999999999</v>
      </c>
      <c r="J5131">
        <v>-304.28449999999998</v>
      </c>
      <c r="K5131">
        <v>1.1205210000000001</v>
      </c>
      <c r="L5131">
        <v>141.57210000000001</v>
      </c>
      <c r="M5131">
        <v>-0.99989459999999997</v>
      </c>
      <c r="N5131">
        <v>-1.343051E-2</v>
      </c>
      <c r="O5131">
        <v>-5.5264009999999898E-3</v>
      </c>
      <c r="P5131">
        <v>-0.99595230000000001</v>
      </c>
      <c r="Q5131">
        <v>-8.9349739999999997E-2</v>
      </c>
      <c r="R5131">
        <v>-9.8011869999999994E-3</v>
      </c>
      <c r="S5131">
        <v>-2.9970699999999999</v>
      </c>
      <c r="T5131">
        <v>-0.18058750000000001</v>
      </c>
      <c r="U5131">
        <v>0.10083010000000001</v>
      </c>
      <c r="V5131">
        <v>-4.3383789999999998E-3</v>
      </c>
      <c r="W5131">
        <v>-7.5962630000000003E-2</v>
      </c>
      <c r="X5131">
        <v>0.99710120000000002</v>
      </c>
      <c r="Y5131">
        <v>3.9054510000000001E-2</v>
      </c>
      <c r="Z5131">
        <v>1.6963E-3</v>
      </c>
      <c r="AA5131">
        <v>0.9992356</v>
      </c>
      <c r="AB5131">
        <v>22</v>
      </c>
      <c r="AC5131">
        <v>-18.447800000000001</v>
      </c>
      <c r="AD5131">
        <v>-1.1205247871149999</v>
      </c>
      <c r="AE5131">
        <v>0.62619999999998299</v>
      </c>
      <c r="AF5131">
        <v>0.72547608663559005</v>
      </c>
      <c r="AG5131">
        <v>-1.1205247871149999</v>
      </c>
      <c r="AH5131">
        <v>18.376337968878602</v>
      </c>
      <c r="AI5131">
        <v>93.486666417592403</v>
      </c>
      <c r="AJ5131">
        <v>87.739204450453101</v>
      </c>
      <c r="AK5131">
        <v>18.424757488153499</v>
      </c>
      <c r="AL5131">
        <v>94.356534855927507</v>
      </c>
      <c r="AM5131">
        <v>90.249291885388004</v>
      </c>
      <c r="AN5131">
        <v>0.99999997286515196</v>
      </c>
    </row>
    <row r="5132" spans="1:40" x14ac:dyDescent="0.25">
      <c r="A5132" t="str">
        <f>"20190303154911970"</f>
        <v>20190303154911970</v>
      </c>
      <c r="B5132" t="str">
        <f>"1551599351965990"</f>
        <v>1551599351965990</v>
      </c>
      <c r="C5132" t="s">
        <v>40</v>
      </c>
      <c r="D5132">
        <v>5.6941389999999998</v>
      </c>
      <c r="E5132">
        <v>0.51575209999999905</v>
      </c>
      <c r="F5132" t="s">
        <v>41</v>
      </c>
      <c r="G5132">
        <v>-323.11489999999998</v>
      </c>
      <c r="H5132" s="1">
        <v>-3.622804E-6</v>
      </c>
      <c r="I5132">
        <v>142.1977</v>
      </c>
      <c r="J5132">
        <v>-304.58120000000002</v>
      </c>
      <c r="K5132">
        <v>1.120463</v>
      </c>
      <c r="L5132">
        <v>141.571</v>
      </c>
      <c r="M5132">
        <v>-0.99990299999999999</v>
      </c>
      <c r="N5132">
        <v>-1.298173E-2</v>
      </c>
      <c r="O5132">
        <v>-5.0866110000000004E-3</v>
      </c>
      <c r="P5132">
        <v>-0.99604199999999998</v>
      </c>
      <c r="Q5132">
        <v>-8.8243530000000001E-2</v>
      </c>
      <c r="R5132">
        <v>-1.0665849999999999E-2</v>
      </c>
      <c r="S5132">
        <v>-2.997131</v>
      </c>
      <c r="T5132">
        <v>-0.17834810000000001</v>
      </c>
      <c r="U5132">
        <v>9.9578860000000005E-2</v>
      </c>
      <c r="V5132">
        <v>-5.6385519999999998E-3</v>
      </c>
      <c r="W5132">
        <v>-7.5302259999999996E-2</v>
      </c>
      <c r="X5132">
        <v>0.99714480000000005</v>
      </c>
      <c r="Y5132">
        <v>3.8202439999999997E-2</v>
      </c>
      <c r="Z5132">
        <v>1.6200069999999999E-3</v>
      </c>
      <c r="AA5132">
        <v>0.99926870000000001</v>
      </c>
      <c r="AB5132">
        <v>22</v>
      </c>
      <c r="AC5132">
        <v>-18.5336999999999</v>
      </c>
      <c r="AD5132">
        <v>-1.1204666228039999</v>
      </c>
      <c r="AE5132">
        <v>0.62669999999999904</v>
      </c>
      <c r="AF5132">
        <v>0.71835104771522496</v>
      </c>
      <c r="AG5132">
        <v>-1.1204666228039999</v>
      </c>
      <c r="AH5132">
        <v>18.4628695663169</v>
      </c>
      <c r="AI5132">
        <v>93.470262819588001</v>
      </c>
      <c r="AJ5132">
        <v>87.771866769958095</v>
      </c>
      <c r="AK5132">
        <v>18.510781353130501</v>
      </c>
      <c r="AL5132">
        <v>94.318589691536204</v>
      </c>
      <c r="AM5132">
        <v>90.323986836043602</v>
      </c>
      <c r="AN5132">
        <v>0.99999998789840205</v>
      </c>
    </row>
    <row r="5133" spans="1:40" x14ac:dyDescent="0.25">
      <c r="A5133" t="str">
        <f>"20190303154911991"</f>
        <v>20190303154911991</v>
      </c>
      <c r="B5133" t="str">
        <f>"1551599351985510"</f>
        <v>1551599351985510</v>
      </c>
      <c r="C5133" t="s">
        <v>40</v>
      </c>
      <c r="D5133">
        <v>5.6910410000000002</v>
      </c>
      <c r="E5133">
        <v>0.51567549999999995</v>
      </c>
      <c r="F5133" t="s">
        <v>41</v>
      </c>
      <c r="G5133">
        <v>-323.89210000000003</v>
      </c>
      <c r="H5133" s="1">
        <v>-3.2840459999999998E-6</v>
      </c>
      <c r="I5133">
        <v>142.17740000000001</v>
      </c>
      <c r="J5133">
        <v>-304.79259999999999</v>
      </c>
      <c r="K5133">
        <v>1.120431</v>
      </c>
      <c r="L5133">
        <v>141.5703</v>
      </c>
      <c r="M5133">
        <v>-0.99990820000000002</v>
      </c>
      <c r="N5133">
        <v>-1.2682229999999999E-2</v>
      </c>
      <c r="O5133">
        <v>-4.7827850000000003E-3</v>
      </c>
      <c r="P5133">
        <v>-0.99609369999999997</v>
      </c>
      <c r="Q5133">
        <v>-8.7546890000000002E-2</v>
      </c>
      <c r="R5133">
        <v>-1.154253E-2</v>
      </c>
      <c r="S5133">
        <v>-2.997528</v>
      </c>
      <c r="T5133">
        <v>-0.173925</v>
      </c>
      <c r="U5133">
        <v>9.4146729999999998E-2</v>
      </c>
      <c r="V5133">
        <v>-6.8165069999999899E-3</v>
      </c>
      <c r="W5133">
        <v>-7.4903120000000004E-2</v>
      </c>
      <c r="X5133">
        <v>0.99716749999999998</v>
      </c>
      <c r="Y5133">
        <v>3.6094250000000001E-2</v>
      </c>
      <c r="Z5133">
        <v>1.4917960000000001E-3</v>
      </c>
      <c r="AA5133">
        <v>0.99934730000000005</v>
      </c>
      <c r="AB5133">
        <v>22</v>
      </c>
      <c r="AC5133">
        <v>-19.099499999999999</v>
      </c>
      <c r="AD5133">
        <v>-1.120434284046</v>
      </c>
      <c r="AE5133">
        <v>0.60710000000000197</v>
      </c>
      <c r="AF5133">
        <v>0.69605624368879304</v>
      </c>
      <c r="AG5133">
        <v>-1.120434284046</v>
      </c>
      <c r="AH5133">
        <v>19.0309515986702</v>
      </c>
      <c r="AI5133">
        <v>93.367114352626999</v>
      </c>
      <c r="AJ5133">
        <v>87.905342999857695</v>
      </c>
      <c r="AK5133">
        <v>19.076608347139999</v>
      </c>
      <c r="AL5133">
        <v>94.295655906904102</v>
      </c>
      <c r="AM5133">
        <v>90.391660376847298</v>
      </c>
      <c r="AN5133">
        <v>0.99999998260483203</v>
      </c>
    </row>
    <row r="5134" spans="1:40" x14ac:dyDescent="0.25">
      <c r="A5134" t="str">
        <f>"20190303154912013"</f>
        <v>20190303154912013</v>
      </c>
      <c r="B5134" t="str">
        <f>"1551599352006006"</f>
        <v>1551599352006006</v>
      </c>
      <c r="C5134" t="s">
        <v>40</v>
      </c>
      <c r="D5134">
        <v>5.7392820000000002</v>
      </c>
      <c r="E5134">
        <v>0.51545339999999995</v>
      </c>
      <c r="F5134" t="s">
        <v>41</v>
      </c>
      <c r="G5134">
        <v>-324.3682</v>
      </c>
      <c r="H5134" s="1">
        <v>-3.0764540000000001E-6</v>
      </c>
      <c r="I5134">
        <v>142.16499999999999</v>
      </c>
      <c r="J5134">
        <v>-305.01139999999998</v>
      </c>
      <c r="K5134">
        <v>1.1204080000000001</v>
      </c>
      <c r="L5134">
        <v>141.56960000000001</v>
      </c>
      <c r="M5134">
        <v>-0.99991319999999995</v>
      </c>
      <c r="N5134">
        <v>-1.2397170000000001E-2</v>
      </c>
      <c r="O5134">
        <v>-4.4769019999999996E-3</v>
      </c>
      <c r="P5134">
        <v>-0.9961314</v>
      </c>
      <c r="Q5134">
        <v>-8.700397E-2</v>
      </c>
      <c r="R5134">
        <v>-1.235209E-2</v>
      </c>
      <c r="S5134">
        <v>-2.9977420000000001</v>
      </c>
      <c r="T5134">
        <v>-0.17158010000000001</v>
      </c>
      <c r="U5134">
        <v>9.1079709999999994E-2</v>
      </c>
      <c r="V5134">
        <v>-7.9297710000000004E-3</v>
      </c>
      <c r="W5134">
        <v>-7.4643520000000005E-2</v>
      </c>
      <c r="X5134">
        <v>0.99717869999999997</v>
      </c>
      <c r="Y5134">
        <v>3.4769939999999999E-2</v>
      </c>
      <c r="Z5134">
        <v>1.410332E-3</v>
      </c>
      <c r="AA5134">
        <v>0.99939440000000002</v>
      </c>
      <c r="AB5134">
        <v>22</v>
      </c>
      <c r="AC5134">
        <v>-19.3568</v>
      </c>
      <c r="AD5134">
        <v>-1.1204110764540001</v>
      </c>
      <c r="AE5134">
        <v>0.59539999999998305</v>
      </c>
      <c r="AF5134">
        <v>0.67978383515570595</v>
      </c>
      <c r="AG5134">
        <v>-1.1204110764540001</v>
      </c>
      <c r="AH5134">
        <v>19.289375538103901</v>
      </c>
      <c r="AI5134">
        <v>93.322195979756401</v>
      </c>
      <c r="AJ5134">
        <v>87.9816540723684</v>
      </c>
      <c r="AK5134">
        <v>19.333841721002599</v>
      </c>
      <c r="AL5134">
        <v>94.280740314712006</v>
      </c>
      <c r="AM5134">
        <v>90.455618269820306</v>
      </c>
      <c r="AN5134">
        <v>0.999999948039895</v>
      </c>
    </row>
    <row r="5135" spans="1:40" x14ac:dyDescent="0.25">
      <c r="A5135" t="str">
        <f>"20190303154912035"</f>
        <v>20190303154912035</v>
      </c>
      <c r="B5135" t="str">
        <f>"1551599352025527"</f>
        <v>1551599352025527</v>
      </c>
      <c r="C5135" t="s">
        <v>40</v>
      </c>
      <c r="D5135">
        <v>5.7429379999999997</v>
      </c>
      <c r="E5135">
        <v>0.51527639999999997</v>
      </c>
      <c r="F5135" t="s">
        <v>41</v>
      </c>
      <c r="G5135">
        <v>-324.70089999999999</v>
      </c>
      <c r="H5135" s="1">
        <v>-2.9270889999999998E-6</v>
      </c>
      <c r="I5135">
        <v>142.14009999999999</v>
      </c>
      <c r="J5135">
        <v>-305.23050000000001</v>
      </c>
      <c r="K5135">
        <v>1.120393</v>
      </c>
      <c r="L5135">
        <v>141.56899999999999</v>
      </c>
      <c r="M5135">
        <v>-0.99991750000000001</v>
      </c>
      <c r="N5135">
        <v>-1.214049E-2</v>
      </c>
      <c r="O5135">
        <v>-4.1768049999999996E-3</v>
      </c>
      <c r="P5135">
        <v>-0.99619159999999995</v>
      </c>
      <c r="Q5135">
        <v>-8.6319460000000001E-2</v>
      </c>
      <c r="R5135">
        <v>-1.230701E-2</v>
      </c>
      <c r="S5135">
        <v>-2.997833</v>
      </c>
      <c r="T5135">
        <v>-0.17058899999999999</v>
      </c>
      <c r="U5135">
        <v>8.6868290000000001E-2</v>
      </c>
      <c r="V5135">
        <v>-8.1829969999999991E-3</v>
      </c>
      <c r="W5135">
        <v>-7.4214219999999997E-2</v>
      </c>
      <c r="X5135">
        <v>0.99720880000000001</v>
      </c>
      <c r="Y5135">
        <v>3.30709E-2</v>
      </c>
      <c r="Z5135">
        <v>1.3277439999999901E-3</v>
      </c>
      <c r="AA5135">
        <v>0.99945209999999995</v>
      </c>
      <c r="AB5135">
        <v>22</v>
      </c>
      <c r="AC5135">
        <v>-19.470399999999898</v>
      </c>
      <c r="AD5135">
        <v>-1.120395927089</v>
      </c>
      <c r="AE5135">
        <v>0.57110000000000105</v>
      </c>
      <c r="AF5135">
        <v>0.65027370749483304</v>
      </c>
      <c r="AG5135">
        <v>-1.120395927089</v>
      </c>
      <c r="AH5135">
        <v>19.4036492882612</v>
      </c>
      <c r="AI5135">
        <v>93.302825053846504</v>
      </c>
      <c r="AJ5135">
        <v>88.080567245523795</v>
      </c>
      <c r="AK5135">
        <v>19.4468441817673</v>
      </c>
      <c r="AL5135">
        <v>94.256074380546494</v>
      </c>
      <c r="AM5135">
        <v>90.470152959585306</v>
      </c>
      <c r="AN5135">
        <v>1.0000000513437699</v>
      </c>
    </row>
    <row r="5136" spans="1:40" x14ac:dyDescent="0.25">
      <c r="A5136" t="str">
        <f>"20190303154912057"</f>
        <v>20190303154912057</v>
      </c>
      <c r="B5136" t="str">
        <f>"1551599352046023"</f>
        <v>1551599352046023</v>
      </c>
      <c r="C5136" t="s">
        <v>40</v>
      </c>
      <c r="D5136">
        <v>5.7380990000000001</v>
      </c>
      <c r="E5136">
        <v>0.51515900000000003</v>
      </c>
      <c r="F5136" t="s">
        <v>41</v>
      </c>
      <c r="G5136">
        <v>-325.13389999999998</v>
      </c>
      <c r="H5136" s="1">
        <v>-2.7406850000000001E-6</v>
      </c>
      <c r="I5136">
        <v>142.13749999999999</v>
      </c>
      <c r="J5136">
        <v>-305.45729999999998</v>
      </c>
      <c r="K5136">
        <v>1.1203809999999901</v>
      </c>
      <c r="L5136">
        <v>141.5684</v>
      </c>
      <c r="M5136">
        <v>-0.99992170000000002</v>
      </c>
      <c r="N5136">
        <v>-1.1904980000000001E-2</v>
      </c>
      <c r="O5136">
        <v>-3.8703100000000001E-3</v>
      </c>
      <c r="P5136">
        <v>-0.99624659999999998</v>
      </c>
      <c r="Q5136">
        <v>-8.5741579999999998E-2</v>
      </c>
      <c r="R5136">
        <v>-1.189108E-2</v>
      </c>
      <c r="S5136">
        <v>-2.997925</v>
      </c>
      <c r="T5136">
        <v>-0.16875870000000001</v>
      </c>
      <c r="U5136">
        <v>8.5647580000000001E-2</v>
      </c>
      <c r="V5136">
        <v>-8.0719350000000006E-3</v>
      </c>
      <c r="W5136">
        <v>-7.3870699999999997E-2</v>
      </c>
      <c r="X5136">
        <v>0.99723519999999999</v>
      </c>
      <c r="Y5136">
        <v>3.236025E-2</v>
      </c>
      <c r="Z5136">
        <v>1.274372E-3</v>
      </c>
      <c r="AA5136">
        <v>0.99947549999999996</v>
      </c>
      <c r="AB5136">
        <v>22</v>
      </c>
      <c r="AC5136">
        <v>-19.676600000000001</v>
      </c>
      <c r="AD5136">
        <v>-1.1203837406849999</v>
      </c>
      <c r="AE5136">
        <v>0.56909999999999095</v>
      </c>
      <c r="AF5136">
        <v>0.64317215214024204</v>
      </c>
      <c r="AG5136">
        <v>-1.1203837406849999</v>
      </c>
      <c r="AH5136">
        <v>19.6107220430189</v>
      </c>
      <c r="AI5136">
        <v>93.2680678445263</v>
      </c>
      <c r="AJ5136">
        <v>88.121545681683799</v>
      </c>
      <c r="AK5136">
        <v>19.653227449765801</v>
      </c>
      <c r="AL5136">
        <v>94.236338007514405</v>
      </c>
      <c r="AM5136">
        <v>90.463759911390596</v>
      </c>
      <c r="AN5136">
        <v>1.00000004028608</v>
      </c>
    </row>
    <row r="5137" spans="1:40" x14ac:dyDescent="0.25">
      <c r="A5137" t="str">
        <f>"20190303154912081"</f>
        <v>20190303154912081</v>
      </c>
      <c r="B5137" t="str">
        <f>"1551599352076279"</f>
        <v>1551599352076279</v>
      </c>
      <c r="C5137" t="s">
        <v>40</v>
      </c>
      <c r="D5137">
        <v>5.6351870000000002</v>
      </c>
      <c r="E5137">
        <v>0.5150633</v>
      </c>
      <c r="F5137" t="s">
        <v>41</v>
      </c>
      <c r="G5137">
        <v>-325.53269999999998</v>
      </c>
      <c r="H5137" s="1">
        <v>-2.5715299999999998E-6</v>
      </c>
      <c r="I5137">
        <v>142.1448</v>
      </c>
      <c r="J5137">
        <v>-305.68619999999999</v>
      </c>
      <c r="K5137">
        <v>1.120374</v>
      </c>
      <c r="L5137">
        <v>141.56790000000001</v>
      </c>
      <c r="M5137">
        <v>-0.99992530000000002</v>
      </c>
      <c r="N5137">
        <v>-1.1696089999999999E-2</v>
      </c>
      <c r="O5137">
        <v>-3.563171E-3</v>
      </c>
      <c r="P5137">
        <v>-0.99619539999999995</v>
      </c>
      <c r="Q5137">
        <v>-8.6457859999999997E-2</v>
      </c>
      <c r="R5137">
        <v>-1.0945430000000001E-2</v>
      </c>
      <c r="S5137">
        <v>-2.997925</v>
      </c>
      <c r="T5137">
        <v>-0.16731109999999999</v>
      </c>
      <c r="U5137">
        <v>8.6090089999999994E-2</v>
      </c>
      <c r="V5137">
        <v>-7.4327960000000002E-3</v>
      </c>
      <c r="W5137">
        <v>-7.4796310000000005E-2</v>
      </c>
      <c r="X5137">
        <v>0.99717109999999998</v>
      </c>
      <c r="Y5137">
        <v>3.2202439999999999E-2</v>
      </c>
      <c r="Z5137">
        <v>1.2432750000000001E-3</v>
      </c>
      <c r="AA5137">
        <v>0.99948060000000005</v>
      </c>
      <c r="AB5137">
        <v>22</v>
      </c>
      <c r="AC5137">
        <v>-19.846499999999899</v>
      </c>
      <c r="AD5137">
        <v>-1.12037657153</v>
      </c>
      <c r="AE5137">
        <v>0.57689999999999397</v>
      </c>
      <c r="AF5137">
        <v>0.64556207860862402</v>
      </c>
      <c r="AG5137">
        <v>-1.12037657153</v>
      </c>
      <c r="AH5137">
        <v>19.781331554830999</v>
      </c>
      <c r="AI5137">
        <v>93.239938240843401</v>
      </c>
      <c r="AJ5137">
        <v>88.130820485885195</v>
      </c>
      <c r="AK5137">
        <v>19.823548424576298</v>
      </c>
      <c r="AL5137">
        <v>94.289518989647505</v>
      </c>
      <c r="AM5137">
        <v>90.427068086831795</v>
      </c>
      <c r="AN5137">
        <v>0.99999996856060103</v>
      </c>
    </row>
    <row r="5138" spans="1:40" x14ac:dyDescent="0.25">
      <c r="A5138" t="str">
        <f>"20190303154912103"</f>
        <v>20190303154912103</v>
      </c>
      <c r="B5138" t="str">
        <f>"1551599352095798"</f>
        <v>1551599352095798</v>
      </c>
      <c r="C5138" t="s">
        <v>40</v>
      </c>
      <c r="D5138">
        <v>5.6862750000000002</v>
      </c>
      <c r="E5138">
        <v>0.51498440000000001</v>
      </c>
      <c r="F5138" t="s">
        <v>41</v>
      </c>
      <c r="G5138">
        <v>-325.41379999999998</v>
      </c>
      <c r="H5138" s="1">
        <v>-2.6235080000000002E-6</v>
      </c>
      <c r="I5138">
        <v>142.14850000000001</v>
      </c>
      <c r="J5138">
        <v>-305.91399999999999</v>
      </c>
      <c r="K5138">
        <v>1.1203730000000001</v>
      </c>
      <c r="L5138">
        <v>141.56739999999999</v>
      </c>
      <c r="M5138">
        <v>-0.9999285</v>
      </c>
      <c r="N5138">
        <v>-1.1516490000000001E-2</v>
      </c>
      <c r="O5138">
        <v>-3.258964E-3</v>
      </c>
      <c r="P5138">
        <v>-0.99615310000000001</v>
      </c>
      <c r="Q5138">
        <v>-8.7078089999999997E-2</v>
      </c>
      <c r="R5138">
        <v>-9.8334600000000005E-3</v>
      </c>
      <c r="S5138">
        <v>-2.9976500000000001</v>
      </c>
      <c r="T5138">
        <v>-0.1702437</v>
      </c>
      <c r="U5138">
        <v>8.824158E-2</v>
      </c>
      <c r="V5138">
        <v>-6.6240630000000003E-3</v>
      </c>
      <c r="W5138">
        <v>-7.5596609999999995E-2</v>
      </c>
      <c r="X5138">
        <v>0.99711649999999996</v>
      </c>
      <c r="Y5138">
        <v>3.261526E-2</v>
      </c>
      <c r="Z5138">
        <v>1.2606360000000001E-3</v>
      </c>
      <c r="AA5138">
        <v>0.9994672</v>
      </c>
      <c r="AB5138">
        <v>22</v>
      </c>
      <c r="AC5138">
        <v>-19.4998</v>
      </c>
      <c r="AD5138">
        <v>-1.120375623508</v>
      </c>
      <c r="AE5138">
        <v>0.58110000000002004</v>
      </c>
      <c r="AF5138">
        <v>0.64253104862008203</v>
      </c>
      <c r="AG5138">
        <v>-1.120375623508</v>
      </c>
      <c r="AH5138">
        <v>19.433705613494102</v>
      </c>
      <c r="AI5138">
        <v>93.297717792903001</v>
      </c>
      <c r="AJ5138">
        <v>88.106335848804605</v>
      </c>
      <c r="AK5138">
        <v>19.4765757143843</v>
      </c>
      <c r="AL5138">
        <v>94.335502773524993</v>
      </c>
      <c r="AM5138">
        <v>90.380622795911805</v>
      </c>
      <c r="AN5138">
        <v>1.00000002011318</v>
      </c>
    </row>
    <row r="5139" spans="1:40" x14ac:dyDescent="0.25">
      <c r="A5139" t="str">
        <f>"20190303154912125"</f>
        <v>20190303154912125</v>
      </c>
      <c r="B5139" t="str">
        <f>"1551599352116298"</f>
        <v>1551599352116298</v>
      </c>
      <c r="C5139" t="s">
        <v>40</v>
      </c>
      <c r="D5139">
        <v>5.6400769999999998</v>
      </c>
      <c r="E5139">
        <v>0.51494149999999905</v>
      </c>
      <c r="F5139" t="s">
        <v>41</v>
      </c>
      <c r="G5139">
        <v>-325.31119999999999</v>
      </c>
      <c r="H5139" s="1">
        <v>-2.6696319999999999E-6</v>
      </c>
      <c r="I5139">
        <v>142.15629999999999</v>
      </c>
      <c r="J5139">
        <v>-306.12830000000002</v>
      </c>
      <c r="K5139">
        <v>1.120368</v>
      </c>
      <c r="L5139">
        <v>141.56710000000001</v>
      </c>
      <c r="M5139">
        <v>-0.99993089999999996</v>
      </c>
      <c r="N5139">
        <v>-1.136791E-2</v>
      </c>
      <c r="O5139">
        <v>-2.9744889999999999E-3</v>
      </c>
      <c r="P5139">
        <v>-0.99622409999999995</v>
      </c>
      <c r="Q5139">
        <v>-8.6347510000000002E-2</v>
      </c>
      <c r="R5139">
        <v>-9.0485459999999993E-3</v>
      </c>
      <c r="S5139">
        <v>-2.9973450000000001</v>
      </c>
      <c r="T5139">
        <v>-0.17312629999999901</v>
      </c>
      <c r="U5139">
        <v>9.1003420000000002E-2</v>
      </c>
      <c r="V5139">
        <v>-6.1208180000000001E-3</v>
      </c>
      <c r="W5139">
        <v>-7.5013750000000004E-2</v>
      </c>
      <c r="X5139">
        <v>0.99716369999999999</v>
      </c>
      <c r="Y5139">
        <v>3.3251040000000003E-2</v>
      </c>
      <c r="Z5139">
        <v>1.2863449999999999E-3</v>
      </c>
      <c r="AA5139">
        <v>0.99944619999999995</v>
      </c>
      <c r="AB5139">
        <v>23</v>
      </c>
      <c r="AC5139">
        <v>-19.182899999999901</v>
      </c>
      <c r="AD5139">
        <v>-1.1203706696319999</v>
      </c>
      <c r="AE5139">
        <v>0.58919999999997597</v>
      </c>
      <c r="AF5139">
        <v>0.64406550518022199</v>
      </c>
      <c r="AG5139">
        <v>-1.1203706696319999</v>
      </c>
      <c r="AH5139">
        <v>19.115917524236199</v>
      </c>
      <c r="AI5139">
        <v>93.352330877033495</v>
      </c>
      <c r="AJ5139">
        <v>88.070284572477405</v>
      </c>
      <c r="AK5139">
        <v>19.159549932233102</v>
      </c>
      <c r="AL5139">
        <v>94.302012408163904</v>
      </c>
      <c r="AM5139">
        <v>90.351690132888706</v>
      </c>
      <c r="AN5139">
        <v>0.99999998584987004</v>
      </c>
    </row>
    <row r="5140" spans="1:40" x14ac:dyDescent="0.25">
      <c r="A5140" t="str">
        <f>"20190303154912147"</f>
        <v>20190303154912147</v>
      </c>
      <c r="B5140" t="str">
        <f>"1551599352135814"</f>
        <v>1551599352135814</v>
      </c>
      <c r="C5140" t="s">
        <v>40</v>
      </c>
      <c r="D5140">
        <v>5.6577349999999997</v>
      </c>
      <c r="E5140">
        <v>0.51497720000000002</v>
      </c>
      <c r="F5140" t="s">
        <v>41</v>
      </c>
      <c r="G5140">
        <v>-325.7122</v>
      </c>
      <c r="H5140" s="1">
        <v>-2.5024960000000001E-6</v>
      </c>
      <c r="I5140">
        <v>142.1747</v>
      </c>
      <c r="J5140">
        <v>-306.35599999999999</v>
      </c>
      <c r="K5140">
        <v>1.1203650000000001</v>
      </c>
      <c r="L5140">
        <v>141.5668</v>
      </c>
      <c r="M5140">
        <v>-0.99993350000000003</v>
      </c>
      <c r="N5140">
        <v>-1.1230540000000001E-2</v>
      </c>
      <c r="O5140">
        <v>-2.676014E-3</v>
      </c>
      <c r="P5140">
        <v>-0.99621789999999999</v>
      </c>
      <c r="Q5140">
        <v>-8.6505499999999999E-2</v>
      </c>
      <c r="R5140">
        <v>-8.2010299999999998E-3</v>
      </c>
      <c r="S5140">
        <v>-2.9973450000000001</v>
      </c>
      <c r="T5140">
        <v>-0.1714753</v>
      </c>
      <c r="U5140">
        <v>9.3002319999999999E-2</v>
      </c>
      <c r="V5140">
        <v>-5.5705569999999899E-3</v>
      </c>
      <c r="W5140">
        <v>-7.5309150000000005E-2</v>
      </c>
      <c r="X5140">
        <v>0.99714469999999999</v>
      </c>
      <c r="Y5140">
        <v>3.3619540000000003E-2</v>
      </c>
      <c r="Z5140">
        <v>1.272579E-3</v>
      </c>
      <c r="AA5140">
        <v>0.99943389999999999</v>
      </c>
      <c r="AB5140">
        <v>23</v>
      </c>
      <c r="AC5140">
        <v>-19.356200000000001</v>
      </c>
      <c r="AD5140">
        <v>-1.120367502496</v>
      </c>
      <c r="AE5140">
        <v>0.6079</v>
      </c>
      <c r="AF5140">
        <v>0.65749791453582695</v>
      </c>
      <c r="AG5140">
        <v>-1.120367502496</v>
      </c>
      <c r="AH5140">
        <v>19.289940856804499</v>
      </c>
      <c r="AI5140">
        <v>93.322102623936104</v>
      </c>
      <c r="AJ5140">
        <v>88.047828291633905</v>
      </c>
      <c r="AK5140">
        <v>19.333632486092299</v>
      </c>
      <c r="AL5140">
        <v>94.318985418906394</v>
      </c>
      <c r="AM5140">
        <v>90.320080009824096</v>
      </c>
      <c r="AN5140">
        <v>1.00000002595855</v>
      </c>
    </row>
    <row r="5141" spans="1:40" x14ac:dyDescent="0.25">
      <c r="A5141" t="str">
        <f>"20190303154912170"</f>
        <v>20190303154912170</v>
      </c>
      <c r="B5141" t="str">
        <f>"1551599352166071"</f>
        <v>1551599352166071</v>
      </c>
      <c r="C5141" t="s">
        <v>40</v>
      </c>
      <c r="D5141">
        <v>5.6338679999999997</v>
      </c>
      <c r="E5141">
        <v>0.51493449999999996</v>
      </c>
      <c r="F5141" t="s">
        <v>41</v>
      </c>
      <c r="G5141">
        <v>-325.98860000000002</v>
      </c>
      <c r="H5141" s="1">
        <v>-2.3891050000000001E-6</v>
      </c>
      <c r="I5141">
        <v>142.1942</v>
      </c>
      <c r="J5141">
        <v>-306.59519999999998</v>
      </c>
      <c r="K5141">
        <v>1.1203559999999999</v>
      </c>
      <c r="L5141">
        <v>141.56649999999999</v>
      </c>
      <c r="M5141">
        <v>-0.99993560000000004</v>
      </c>
      <c r="N5141">
        <v>-1.1105800000000001E-2</v>
      </c>
      <c r="O5141">
        <v>-2.367718E-3</v>
      </c>
      <c r="P5141">
        <v>-0.99615679999999995</v>
      </c>
      <c r="Q5141">
        <v>-8.727174E-2</v>
      </c>
      <c r="R5141">
        <v>-7.4321930000000001E-3</v>
      </c>
      <c r="S5141">
        <v>-2.9973139999999998</v>
      </c>
      <c r="T5141">
        <v>-0.1710479</v>
      </c>
      <c r="U5141">
        <v>9.5794679999999993E-2</v>
      </c>
      <c r="V5141">
        <v>-5.1089969999999997E-3</v>
      </c>
      <c r="W5141">
        <v>-7.620072E-2</v>
      </c>
      <c r="X5141">
        <v>0.99707939999999995</v>
      </c>
      <c r="Y5141">
        <v>3.4241420000000002E-2</v>
      </c>
      <c r="Z5141">
        <v>1.2750680000000001E-3</v>
      </c>
      <c r="AA5141">
        <v>0.99941279999999999</v>
      </c>
      <c r="AB5141">
        <v>23</v>
      </c>
      <c r="AC5141">
        <v>-19.3934</v>
      </c>
      <c r="AD5141">
        <v>-1.120358389105</v>
      </c>
      <c r="AE5141">
        <v>0.62770000000000403</v>
      </c>
      <c r="AF5141">
        <v>0.67138086103539096</v>
      </c>
      <c r="AG5141">
        <v>-1.120358389105</v>
      </c>
      <c r="AH5141">
        <v>19.327423814413098</v>
      </c>
      <c r="AI5141">
        <v>93.315573169205507</v>
      </c>
      <c r="AJ5141">
        <v>88.010504201105107</v>
      </c>
      <c r="AK5141">
        <v>19.371506562024202</v>
      </c>
      <c r="AL5141">
        <v>94.370215983960406</v>
      </c>
      <c r="AM5141">
        <v>90.2935788301955</v>
      </c>
      <c r="AN5141">
        <v>0.99999999074161205</v>
      </c>
    </row>
    <row r="5142" spans="1:40" x14ac:dyDescent="0.25">
      <c r="A5142" t="str">
        <f>"20190303154912193"</f>
        <v>20190303154912193</v>
      </c>
      <c r="B5142" t="str">
        <f>"1551599352185591"</f>
        <v>1551599352185591</v>
      </c>
      <c r="C5142" t="s">
        <v>40</v>
      </c>
      <c r="D5142">
        <v>5.6220889999999999</v>
      </c>
      <c r="E5142">
        <v>0.51487720000000003</v>
      </c>
      <c r="F5142" t="s">
        <v>41</v>
      </c>
      <c r="G5142">
        <v>-325.96929999999998</v>
      </c>
      <c r="H5142" s="1">
        <v>-2.398946E-6</v>
      </c>
      <c r="I5142">
        <v>142.2002</v>
      </c>
      <c r="J5142">
        <v>-306.82350000000002</v>
      </c>
      <c r="K5142">
        <v>1.12035</v>
      </c>
      <c r="L5142">
        <v>141.56630000000001</v>
      </c>
      <c r="M5142">
        <v>-0.99993730000000003</v>
      </c>
      <c r="N5142">
        <v>-1.10034E-2</v>
      </c>
      <c r="O5142">
        <v>-2.0782539999999999E-3</v>
      </c>
      <c r="P5142">
        <v>-0.99609800000000004</v>
      </c>
      <c r="Q5142">
        <v>-8.799013E-2</v>
      </c>
      <c r="R5142">
        <v>-6.8324040000000003E-3</v>
      </c>
      <c r="S5142">
        <v>-2.9971009999999998</v>
      </c>
      <c r="T5142">
        <v>-0.17331589999999999</v>
      </c>
      <c r="U5142">
        <v>9.8037719999999995E-2</v>
      </c>
      <c r="V5142">
        <v>-4.7977530000000001E-3</v>
      </c>
      <c r="W5142">
        <v>-7.7022010000000002E-2</v>
      </c>
      <c r="X5142">
        <v>0.99701790000000001</v>
      </c>
      <c r="Y5142">
        <v>3.4699340000000002E-2</v>
      </c>
      <c r="Z5142">
        <v>1.290544E-3</v>
      </c>
      <c r="AA5142">
        <v>0.99939699999999998</v>
      </c>
      <c r="AB5142">
        <v>23</v>
      </c>
      <c r="AC5142">
        <v>-19.145799999999898</v>
      </c>
      <c r="AD5142">
        <v>-1.120352398946</v>
      </c>
      <c r="AE5142">
        <v>0.63389999999998203</v>
      </c>
      <c r="AF5142">
        <v>0.67139438751210601</v>
      </c>
      <c r="AG5142">
        <v>-1.120352398946</v>
      </c>
      <c r="AH5142">
        <v>19.079181297250098</v>
      </c>
      <c r="AI5142">
        <v>93.358543652973097</v>
      </c>
      <c r="AJ5142">
        <v>87.984599167098494</v>
      </c>
      <c r="AK5142">
        <v>19.1238364062953</v>
      </c>
      <c r="AL5142">
        <v>94.417410876293104</v>
      </c>
      <c r="AM5142">
        <v>90.275711074247297</v>
      </c>
      <c r="AN5142">
        <v>1.0000000506893401</v>
      </c>
    </row>
    <row r="5143" spans="1:40" x14ac:dyDescent="0.25">
      <c r="A5143" t="str">
        <f>"20190303154912215"</f>
        <v>20190303154912215</v>
      </c>
      <c r="B5143" t="str">
        <f>"1551599352206402"</f>
        <v>1551599352206402</v>
      </c>
      <c r="C5143" t="s">
        <v>40</v>
      </c>
      <c r="D5143">
        <v>5.656174</v>
      </c>
      <c r="E5143">
        <v>0.51482410000000001</v>
      </c>
      <c r="F5143" t="s">
        <v>41</v>
      </c>
      <c r="G5143">
        <v>-325.95749999999998</v>
      </c>
      <c r="H5143" s="1">
        <v>-2.4042179999999999E-6</v>
      </c>
      <c r="I5143">
        <v>142.20079999999999</v>
      </c>
      <c r="J5143">
        <v>-307.04289999999997</v>
      </c>
      <c r="K5143">
        <v>1.1203459999999901</v>
      </c>
      <c r="L5143">
        <v>141.56620000000001</v>
      </c>
      <c r="M5143">
        <v>-0.99993889999999996</v>
      </c>
      <c r="N5143">
        <v>-1.0918539999999999E-2</v>
      </c>
      <c r="O5143">
        <v>-1.8048560000000001E-3</v>
      </c>
      <c r="P5143">
        <v>-0.99601629999999997</v>
      </c>
      <c r="Q5143">
        <v>-8.893943E-2</v>
      </c>
      <c r="R5143">
        <v>-6.4570519999999996E-3</v>
      </c>
      <c r="S5143">
        <v>-2.996918</v>
      </c>
      <c r="T5143">
        <v>-0.17547950000000001</v>
      </c>
      <c r="U5143">
        <v>9.9395750000000005E-2</v>
      </c>
      <c r="V5143">
        <v>-4.6946829999999998E-3</v>
      </c>
      <c r="W5143">
        <v>-7.8056849999999997E-2</v>
      </c>
      <c r="X5143">
        <v>0.99693790000000004</v>
      </c>
      <c r="Y5143">
        <v>3.4878810000000003E-2</v>
      </c>
      <c r="Z5143">
        <v>1.29652E-3</v>
      </c>
      <c r="AA5143">
        <v>0.99939069999999997</v>
      </c>
      <c r="AB5143">
        <v>23</v>
      </c>
      <c r="AC5143">
        <v>-18.9146</v>
      </c>
      <c r="AD5143">
        <v>-1.1203484042180001</v>
      </c>
      <c r="AE5143">
        <v>0.63459999999997696</v>
      </c>
      <c r="AF5143">
        <v>0.66640372899605804</v>
      </c>
      <c r="AG5143">
        <v>-1.1203484042180001</v>
      </c>
      <c r="AH5143">
        <v>18.847373561327501</v>
      </c>
      <c r="AI5143">
        <v>93.399722600163599</v>
      </c>
      <c r="AJ5143">
        <v>87.974984610281595</v>
      </c>
      <c r="AK5143">
        <v>18.8923996526932</v>
      </c>
      <c r="AL5143">
        <v>94.476881919907498</v>
      </c>
      <c r="AM5143">
        <v>90.2698097181066</v>
      </c>
      <c r="AN5143">
        <v>1.0000000441684</v>
      </c>
    </row>
    <row r="5144" spans="1:40" x14ac:dyDescent="0.25">
      <c r="A5144" t="str">
        <f>"20190303154912236"</f>
        <v>20190303154912236</v>
      </c>
      <c r="B5144" t="str">
        <f>"1551599352225922"</f>
        <v>1551599352225922</v>
      </c>
      <c r="C5144" t="s">
        <v>40</v>
      </c>
      <c r="D5144">
        <v>5.6128470000000004</v>
      </c>
      <c r="E5144">
        <v>0.51478089999999999</v>
      </c>
      <c r="F5144" t="s">
        <v>41</v>
      </c>
      <c r="G5144">
        <v>-325.87169999999998</v>
      </c>
      <c r="H5144" s="1">
        <v>-2.4395210000000001E-6</v>
      </c>
      <c r="I5144">
        <v>142.1952</v>
      </c>
      <c r="J5144">
        <v>-307.26139999999998</v>
      </c>
      <c r="K5144">
        <v>1.1203369999999999</v>
      </c>
      <c r="L5144">
        <v>141.56610000000001</v>
      </c>
      <c r="M5144">
        <v>-0.99994000000000005</v>
      </c>
      <c r="N5144">
        <v>-1.0845530000000001E-2</v>
      </c>
      <c r="O5144">
        <v>-1.537847E-3</v>
      </c>
      <c r="P5144">
        <v>-0.99598209999999998</v>
      </c>
      <c r="Q5144">
        <v>-8.9302140000000002E-2</v>
      </c>
      <c r="R5144">
        <v>-6.6998669999999896E-3</v>
      </c>
      <c r="S5144">
        <v>-2.9967039999999998</v>
      </c>
      <c r="T5144">
        <v>-0.17831029999999901</v>
      </c>
      <c r="U5144">
        <v>0.1001282</v>
      </c>
      <c r="V5144">
        <v>-5.2031580000000003E-3</v>
      </c>
      <c r="W5144">
        <v>-7.8492519999999996E-2</v>
      </c>
      <c r="X5144">
        <v>0.99690109999999998</v>
      </c>
      <c r="Y5144">
        <v>3.4856520000000002E-2</v>
      </c>
      <c r="Z5144">
        <v>1.2998249999999999E-3</v>
      </c>
      <c r="AA5144">
        <v>0.99939149999999999</v>
      </c>
      <c r="AB5144">
        <v>23</v>
      </c>
      <c r="AC5144">
        <v>-18.610299999999899</v>
      </c>
      <c r="AD5144">
        <v>-1.120339439521</v>
      </c>
      <c r="AE5144">
        <v>0.629099999999994</v>
      </c>
      <c r="AF5144">
        <v>0.65534843797794295</v>
      </c>
      <c r="AG5144">
        <v>-1.120339439521</v>
      </c>
      <c r="AH5144">
        <v>18.542189611185201</v>
      </c>
      <c r="AI5144">
        <v>93.455517935410896</v>
      </c>
      <c r="AJ5144">
        <v>87.975801285380996</v>
      </c>
      <c r="AK5144">
        <v>18.587561368077601</v>
      </c>
      <c r="AL5144">
        <v>94.501921102915503</v>
      </c>
      <c r="AM5144">
        <v>90.299042990845805</v>
      </c>
      <c r="AN5144">
        <v>0.99999997586516598</v>
      </c>
    </row>
    <row r="5145" spans="1:40" x14ac:dyDescent="0.25">
      <c r="A5145" t="str">
        <f>"20190303154912260"</f>
        <v>20190303154912260</v>
      </c>
      <c r="B5145" t="str">
        <f>"1551599352256179"</f>
        <v>1551599352256179</v>
      </c>
      <c r="C5145" t="s">
        <v>40</v>
      </c>
      <c r="D5145">
        <v>5.6193</v>
      </c>
      <c r="E5145">
        <v>0.51479920000000001</v>
      </c>
      <c r="F5145" t="s">
        <v>41</v>
      </c>
      <c r="G5145">
        <v>-326.04079999999999</v>
      </c>
      <c r="H5145" s="1">
        <v>-2.3648429999999999E-6</v>
      </c>
      <c r="I5145">
        <v>142.18719999999999</v>
      </c>
      <c r="J5145">
        <v>-307.49869999999999</v>
      </c>
      <c r="K5145">
        <v>1.1203399999999999</v>
      </c>
      <c r="L5145">
        <v>141.566</v>
      </c>
      <c r="M5145">
        <v>-0.99994119999999997</v>
      </c>
      <c r="N5145">
        <v>-1.0777520000000001E-2</v>
      </c>
      <c r="O5145">
        <v>-1.255745E-3</v>
      </c>
      <c r="P5145">
        <v>-0.99596669999999998</v>
      </c>
      <c r="Q5145">
        <v>-8.9482530000000005E-2</v>
      </c>
      <c r="R5145">
        <v>-6.5884940000000003E-3</v>
      </c>
      <c r="S5145">
        <v>-2.9967350000000001</v>
      </c>
      <c r="T5145">
        <v>-0.17877970000000001</v>
      </c>
      <c r="U5145">
        <v>9.9136349999999998E-2</v>
      </c>
      <c r="V5145">
        <v>-5.3718059999999998E-3</v>
      </c>
      <c r="W5145">
        <v>-7.8740879999999999E-2</v>
      </c>
      <c r="X5145">
        <v>0.99688069999999895</v>
      </c>
      <c r="Y5145">
        <v>3.4245150000000002E-2</v>
      </c>
      <c r="Z5145">
        <v>1.266412E-3</v>
      </c>
      <c r="AA5145">
        <v>0.99941270000000004</v>
      </c>
      <c r="AB5145">
        <v>23</v>
      </c>
      <c r="AC5145">
        <v>-18.542100000000001</v>
      </c>
      <c r="AD5145">
        <v>-1.120342364843</v>
      </c>
      <c r="AE5145">
        <v>0.62119999999998698</v>
      </c>
      <c r="AF5145">
        <v>0.64214332533727403</v>
      </c>
      <c r="AG5145">
        <v>-1.120342364843</v>
      </c>
      <c r="AH5145">
        <v>18.473936907137102</v>
      </c>
      <c r="AI5145">
        <v>93.468333176137705</v>
      </c>
      <c r="AJ5145">
        <v>88.0092334577065</v>
      </c>
      <c r="AK5145">
        <v>18.519013470312601</v>
      </c>
      <c r="AL5145">
        <v>94.516194898979194</v>
      </c>
      <c r="AM5145">
        <v>90.308741891760405</v>
      </c>
      <c r="AN5145">
        <v>1.0000000562576801</v>
      </c>
    </row>
    <row r="5146" spans="1:40" x14ac:dyDescent="0.25">
      <c r="A5146" t="str">
        <f>"20190303154912282"</f>
        <v>20190303154912282</v>
      </c>
      <c r="B5146" t="str">
        <f>"1551599352275698"</f>
        <v>1551599352275698</v>
      </c>
      <c r="C5146" t="s">
        <v>40</v>
      </c>
      <c r="D5146">
        <v>5.6124910000000003</v>
      </c>
      <c r="E5146">
        <v>0.51471409999999995</v>
      </c>
      <c r="F5146" t="s">
        <v>41</v>
      </c>
      <c r="G5146">
        <v>-326.31400000000002</v>
      </c>
      <c r="H5146" s="1">
        <v>-2.2489000000000002E-6</v>
      </c>
      <c r="I5146">
        <v>142.1919</v>
      </c>
      <c r="J5146">
        <v>-307.72050000000002</v>
      </c>
      <c r="K5146">
        <v>1.1203379999999901</v>
      </c>
      <c r="L5146">
        <v>141.566</v>
      </c>
      <c r="M5146">
        <v>-0.999942</v>
      </c>
      <c r="N5146">
        <v>-1.0723750000000001E-2</v>
      </c>
      <c r="O5146">
        <v>-1.0011499999999999E-3</v>
      </c>
      <c r="P5146">
        <v>-0.99594090000000002</v>
      </c>
      <c r="Q5146">
        <v>-8.9748620000000001E-2</v>
      </c>
      <c r="R5146">
        <v>-6.8661429999999999E-3</v>
      </c>
      <c r="S5146">
        <v>-2.9967649999999999</v>
      </c>
      <c r="T5146">
        <v>-0.17844090000000001</v>
      </c>
      <c r="U5146">
        <v>9.9700929999999993E-2</v>
      </c>
      <c r="V5146">
        <v>-5.9026209999999898E-3</v>
      </c>
      <c r="W5146">
        <v>-7.9060690000000003E-2</v>
      </c>
      <c r="X5146">
        <v>0.99685230000000002</v>
      </c>
      <c r="Y5146">
        <v>3.4179180000000003E-2</v>
      </c>
      <c r="Z5146">
        <v>1.2487399999999999E-3</v>
      </c>
      <c r="AA5146">
        <v>0.99941489999999999</v>
      </c>
      <c r="AB5146">
        <v>23</v>
      </c>
      <c r="AC5146">
        <v>-18.593499999999999</v>
      </c>
      <c r="AD5146">
        <v>-1.1203402488999901</v>
      </c>
      <c r="AE5146">
        <v>0.62590000000000101</v>
      </c>
      <c r="AF5146">
        <v>0.64218675935232705</v>
      </c>
      <c r="AG5146">
        <v>-1.1203402488999901</v>
      </c>
      <c r="AH5146">
        <v>18.525680943649</v>
      </c>
      <c r="AI5146">
        <v>93.458674148872007</v>
      </c>
      <c r="AJ5146">
        <v>88.014655237270006</v>
      </c>
      <c r="AK5146">
        <v>18.5706332830378</v>
      </c>
      <c r="AL5146">
        <v>94.534576352930699</v>
      </c>
      <c r="AM5146">
        <v>90.339259205125003</v>
      </c>
      <c r="AN5146">
        <v>0.99999997082661696</v>
      </c>
    </row>
    <row r="5147" spans="1:40" x14ac:dyDescent="0.25">
      <c r="A5147" t="str">
        <f>"20190303154912304"</f>
        <v>20190303154912304</v>
      </c>
      <c r="B5147" t="str">
        <f>"1551599352296194"</f>
        <v>1551599352296194</v>
      </c>
      <c r="C5147" t="s">
        <v>40</v>
      </c>
      <c r="D5147">
        <v>5.6100009999999996</v>
      </c>
      <c r="E5147">
        <v>0.5146965</v>
      </c>
      <c r="F5147" t="s">
        <v>41</v>
      </c>
      <c r="G5147">
        <v>-326.57589999999999</v>
      </c>
      <c r="H5147" s="1">
        <v>-2.134238E-6</v>
      </c>
      <c r="I5147">
        <v>142.1833</v>
      </c>
      <c r="J5147">
        <v>-307.94749999999999</v>
      </c>
      <c r="K5147">
        <v>1.1203459999999901</v>
      </c>
      <c r="L5147">
        <v>141.56610000000001</v>
      </c>
      <c r="M5147">
        <v>-0.99994280000000002</v>
      </c>
      <c r="N5147">
        <v>-1.06769E-2</v>
      </c>
      <c r="O5147">
        <v>-7.5269219999999997E-4</v>
      </c>
      <c r="P5147">
        <v>-0.99592349999999996</v>
      </c>
      <c r="Q5147">
        <v>-8.9866150000000006E-2</v>
      </c>
      <c r="R5147">
        <v>-7.7795E-3</v>
      </c>
      <c r="S5147">
        <v>-2.9968870000000001</v>
      </c>
      <c r="T5147">
        <v>-0.17806839999999999</v>
      </c>
      <c r="U5147">
        <v>9.8114010000000001E-2</v>
      </c>
      <c r="V5147">
        <v>-7.0623439999999999E-3</v>
      </c>
      <c r="W5147">
        <v>-7.9224740000000002E-2</v>
      </c>
      <c r="X5147">
        <v>0.99683180000000005</v>
      </c>
      <c r="Y5147">
        <v>3.3403080000000002E-2</v>
      </c>
      <c r="Z5147">
        <v>1.2064319999999999E-3</v>
      </c>
      <c r="AA5147">
        <v>0.99944120000000003</v>
      </c>
      <c r="AB5147">
        <v>23</v>
      </c>
      <c r="AC5147">
        <v>-18.628399999999999</v>
      </c>
      <c r="AD5147">
        <v>-1.1203481342379999</v>
      </c>
      <c r="AE5147">
        <v>0.61719999999999597</v>
      </c>
      <c r="AF5147">
        <v>0.62894962501644702</v>
      </c>
      <c r="AG5147">
        <v>-1.1203481342379999</v>
      </c>
      <c r="AH5147">
        <v>18.560868106315201</v>
      </c>
      <c r="AI5147">
        <v>93.452249235339096</v>
      </c>
      <c r="AJ5147">
        <v>88.059230013944401</v>
      </c>
      <c r="AK5147">
        <v>18.6052837235213</v>
      </c>
      <c r="AL5147">
        <v>94.544005001205207</v>
      </c>
      <c r="AM5147">
        <v>90.405921776001804</v>
      </c>
      <c r="AN5147">
        <v>1.00000003681104</v>
      </c>
    </row>
    <row r="5148" spans="1:40" x14ac:dyDescent="0.25">
      <c r="A5148" t="str">
        <f>"20190303154912325"</f>
        <v>20190303154912325</v>
      </c>
      <c r="B5148" t="str">
        <f>"1551599352315714"</f>
        <v>1551599352315714</v>
      </c>
      <c r="C5148" t="s">
        <v>40</v>
      </c>
      <c r="D5148">
        <v>5.6202949999999996</v>
      </c>
      <c r="E5148">
        <v>0.51463990000000004</v>
      </c>
      <c r="F5148" t="s">
        <v>41</v>
      </c>
      <c r="G5148">
        <v>-326.87860000000001</v>
      </c>
      <c r="H5148" s="1">
        <v>-2.0002119999999998E-6</v>
      </c>
      <c r="I5148">
        <v>142.16759999999999</v>
      </c>
      <c r="J5148">
        <v>-308.1669</v>
      </c>
      <c r="K5148">
        <v>1.120355</v>
      </c>
      <c r="L5148">
        <v>141.56620000000001</v>
      </c>
      <c r="M5148">
        <v>-0.99994329999999998</v>
      </c>
      <c r="N5148">
        <v>-1.06383E-2</v>
      </c>
      <c r="O5148">
        <v>-5.2264130000000001E-4</v>
      </c>
      <c r="P5148">
        <v>-0.99594039999999995</v>
      </c>
      <c r="Q5148">
        <v>-8.9650419999999995E-2</v>
      </c>
      <c r="R5148">
        <v>-8.1057460000000005E-3</v>
      </c>
      <c r="S5148">
        <v>-2.9970089999999998</v>
      </c>
      <c r="T5148">
        <v>-0.17736489999999999</v>
      </c>
      <c r="U5148">
        <v>9.5230099999999998E-2</v>
      </c>
      <c r="V5148">
        <v>-7.6157309999999997E-3</v>
      </c>
      <c r="W5148">
        <v>-7.9047249999999999E-2</v>
      </c>
      <c r="X5148">
        <v>0.9968418</v>
      </c>
      <c r="Y5148">
        <v>3.2214350000000003E-2</v>
      </c>
      <c r="Z5148">
        <v>1.1490789999999999E-3</v>
      </c>
      <c r="AA5148">
        <v>0.99948029999999999</v>
      </c>
      <c r="AB5148">
        <v>23</v>
      </c>
      <c r="AC5148">
        <v>-18.7117</v>
      </c>
      <c r="AD5148">
        <v>-1.120357000212</v>
      </c>
      <c r="AE5148">
        <v>0.60139999999998395</v>
      </c>
      <c r="AF5148">
        <v>0.608998983884531</v>
      </c>
      <c r="AG5148">
        <v>-1.120357000212</v>
      </c>
      <c r="AH5148">
        <v>18.644611581389999</v>
      </c>
      <c r="AI5148">
        <v>93.4369469058189</v>
      </c>
      <c r="AJ5148">
        <v>88.129182253431196</v>
      </c>
      <c r="AK5148">
        <v>18.6881679303028</v>
      </c>
      <c r="AL5148">
        <v>94.533803653647993</v>
      </c>
      <c r="AM5148">
        <v>90.437723172296202</v>
      </c>
      <c r="AN5148">
        <v>1.0000000206592301</v>
      </c>
    </row>
    <row r="5149" spans="1:40" x14ac:dyDescent="0.25">
      <c r="A5149" t="str">
        <f>"20190303154912348"</f>
        <v>20190303154912348</v>
      </c>
      <c r="B5149" t="str">
        <f>"1551599352345970"</f>
        <v>1551599352345970</v>
      </c>
      <c r="C5149" t="s">
        <v>40</v>
      </c>
      <c r="D5149">
        <v>5.5911119999999999</v>
      </c>
      <c r="E5149">
        <v>0.51448090000000002</v>
      </c>
      <c r="F5149" t="s">
        <v>41</v>
      </c>
      <c r="G5149">
        <v>-327.23399999999998</v>
      </c>
      <c r="H5149" s="1">
        <v>-1.8464630000000001E-6</v>
      </c>
      <c r="I5149">
        <v>142.16290000000001</v>
      </c>
      <c r="J5149">
        <v>-308.40550000000002</v>
      </c>
      <c r="K5149">
        <v>1.1203590000000001</v>
      </c>
      <c r="L5149">
        <v>141.56639999999999</v>
      </c>
      <c r="M5149">
        <v>-0.99994380000000005</v>
      </c>
      <c r="N5149">
        <v>-1.0602840000000001E-2</v>
      </c>
      <c r="O5149">
        <v>-2.8678349999999999E-4</v>
      </c>
      <c r="P5149">
        <v>-0.99594090000000002</v>
      </c>
      <c r="Q5149">
        <v>-8.9619699999999997E-2</v>
      </c>
      <c r="R5149">
        <v>-8.3803149999999993E-3</v>
      </c>
      <c r="S5149">
        <v>-2.997131</v>
      </c>
      <c r="T5149">
        <v>-0.17610780000000001</v>
      </c>
      <c r="U5149">
        <v>9.3795779999999995E-2</v>
      </c>
      <c r="V5149">
        <v>-8.1233799999999995E-3</v>
      </c>
      <c r="W5149">
        <v>-7.9051860000000002E-2</v>
      </c>
      <c r="X5149">
        <v>0.99683739999999998</v>
      </c>
      <c r="Y5149">
        <v>3.1502090000000003E-2</v>
      </c>
      <c r="Z5149">
        <v>1.1055049999999999E-3</v>
      </c>
      <c r="AA5149">
        <v>0.99950309999999998</v>
      </c>
      <c r="AB5149">
        <v>23</v>
      </c>
      <c r="AC5149">
        <v>-18.828499999999998</v>
      </c>
      <c r="AD5149">
        <v>-1.1203608464629999</v>
      </c>
      <c r="AE5149">
        <v>0.59650000000002001</v>
      </c>
      <c r="AF5149">
        <v>0.59977849851840404</v>
      </c>
      <c r="AG5149">
        <v>-1.1203608464629999</v>
      </c>
      <c r="AH5149">
        <v>18.761964990272102</v>
      </c>
      <c r="AI5149">
        <v>93.415588576509407</v>
      </c>
      <c r="AJ5149">
        <v>88.169004282946901</v>
      </c>
      <c r="AK5149">
        <v>18.804953415783</v>
      </c>
      <c r="AL5149">
        <v>94.534068737667397</v>
      </c>
      <c r="AM5149">
        <v>90.466901710155696</v>
      </c>
      <c r="AN5149">
        <v>0.99999999395542105</v>
      </c>
    </row>
    <row r="5150" spans="1:40" x14ac:dyDescent="0.25">
      <c r="A5150" t="str">
        <f>"20190303154912372"</f>
        <v>20190303154912372</v>
      </c>
      <c r="B5150" t="str">
        <f>"1551599352366466"</f>
        <v>1551599352366466</v>
      </c>
      <c r="C5150" t="s">
        <v>40</v>
      </c>
      <c r="D5150">
        <v>5.6381620000000003</v>
      </c>
      <c r="E5150">
        <v>0.51446000000000003</v>
      </c>
      <c r="F5150" t="s">
        <v>41</v>
      </c>
      <c r="G5150">
        <v>-327.51940000000002</v>
      </c>
      <c r="H5150" s="1">
        <v>-1.72102E-6</v>
      </c>
      <c r="I5150">
        <v>142.1515</v>
      </c>
      <c r="J5150">
        <v>-308.64269999999999</v>
      </c>
      <c r="K5150">
        <v>1.12036</v>
      </c>
      <c r="L5150">
        <v>141.56659999999999</v>
      </c>
      <c r="M5150">
        <v>-0.99994430000000001</v>
      </c>
      <c r="N5150">
        <v>-1.057114E-2</v>
      </c>
      <c r="O5150" s="1">
        <v>-7.0631140000000005E-5</v>
      </c>
      <c r="P5150">
        <v>-0.99587329999999996</v>
      </c>
      <c r="Q5150">
        <v>-9.0391139999999995E-2</v>
      </c>
      <c r="R5150">
        <v>-8.1154539999999994E-3</v>
      </c>
      <c r="S5150">
        <v>-2.997223</v>
      </c>
      <c r="T5150">
        <v>-0.17568220000000001</v>
      </c>
      <c r="U5150">
        <v>9.1766360000000005E-2</v>
      </c>
      <c r="V5150">
        <v>-8.072002E-3</v>
      </c>
      <c r="W5150">
        <v>-7.9855819999999994E-2</v>
      </c>
      <c r="X5150">
        <v>0.99677369999999998</v>
      </c>
      <c r="Y5150">
        <v>3.0611329999999999E-2</v>
      </c>
      <c r="Z5150">
        <v>1.0615570000000001E-3</v>
      </c>
      <c r="AA5150">
        <v>0.99953080000000005</v>
      </c>
      <c r="AB5150">
        <v>23</v>
      </c>
      <c r="AC5150">
        <v>-18.8767</v>
      </c>
      <c r="AD5150">
        <v>-1.1203617210200001</v>
      </c>
      <c r="AE5150">
        <v>0.58490000000000397</v>
      </c>
      <c r="AF5150">
        <v>0.58417750082855502</v>
      </c>
      <c r="AG5150">
        <v>-1.1203617210200001</v>
      </c>
      <c r="AH5150">
        <v>18.810460307661401</v>
      </c>
      <c r="AI5150">
        <v>93.406903814737007</v>
      </c>
      <c r="AJ5150">
        <v>88.221194465926303</v>
      </c>
      <c r="AK5150">
        <v>18.852848345131001</v>
      </c>
      <c r="AL5150">
        <v>94.580278503600994</v>
      </c>
      <c r="AM5150">
        <v>90.463978470939594</v>
      </c>
      <c r="AN5150">
        <v>0.99999995910792405</v>
      </c>
    </row>
    <row r="5151" spans="1:40" x14ac:dyDescent="0.25">
      <c r="A5151" t="str">
        <f>"20190303154912395"</f>
        <v>20190303154912395</v>
      </c>
      <c r="B5151" t="str">
        <f>"1551599352385986"</f>
        <v>1551599352385986</v>
      </c>
      <c r="C5151" t="s">
        <v>40</v>
      </c>
      <c r="D5151">
        <v>5.6451650000000004</v>
      </c>
      <c r="E5151">
        <v>0.51440719999999995</v>
      </c>
      <c r="F5151" t="s">
        <v>41</v>
      </c>
      <c r="G5151">
        <v>-327.55689999999998</v>
      </c>
      <c r="H5151" s="1">
        <v>-1.70425E-6</v>
      </c>
      <c r="I5151">
        <v>142.149</v>
      </c>
      <c r="J5151">
        <v>-308.88</v>
      </c>
      <c r="K5151">
        <v>1.12036</v>
      </c>
      <c r="L5151">
        <v>141.5668</v>
      </c>
      <c r="M5151">
        <v>-0.99994459999999996</v>
      </c>
      <c r="N5151">
        <v>-1.053434E-2</v>
      </c>
      <c r="O5151">
        <v>1.2495919999999999E-4</v>
      </c>
      <c r="P5151">
        <v>-0.99590339999999999</v>
      </c>
      <c r="Q5151">
        <v>-9.010978E-2</v>
      </c>
      <c r="R5151">
        <v>-7.5372379999999999E-3</v>
      </c>
      <c r="S5151">
        <v>-2.9970400000000001</v>
      </c>
      <c r="T5151">
        <v>-0.17752609999999999</v>
      </c>
      <c r="U5151">
        <v>9.2300419999999994E-2</v>
      </c>
      <c r="V5151">
        <v>-7.6862090000000003E-3</v>
      </c>
      <c r="W5151">
        <v>-7.9611210000000002E-2</v>
      </c>
      <c r="X5151">
        <v>0.99679640000000003</v>
      </c>
      <c r="Y5151">
        <v>3.0594710000000001E-2</v>
      </c>
      <c r="Z5151">
        <v>1.0603909999999999E-3</v>
      </c>
      <c r="AA5151">
        <v>0.99953130000000001</v>
      </c>
      <c r="AB5151">
        <v>23</v>
      </c>
      <c r="AC5151">
        <v>-18.6768999999999</v>
      </c>
      <c r="AD5151">
        <v>-1.12036170425</v>
      </c>
      <c r="AE5151">
        <v>0.58220000000000005</v>
      </c>
      <c r="AF5151">
        <v>0.57778893035168299</v>
      </c>
      <c r="AG5151">
        <v>-1.12036170425</v>
      </c>
      <c r="AH5151">
        <v>18.610071523896199</v>
      </c>
      <c r="AI5151">
        <v>93.443501626372196</v>
      </c>
      <c r="AJ5151">
        <v>88.221702887284493</v>
      </c>
      <c r="AK5151">
        <v>18.652715955616699</v>
      </c>
      <c r="AL5151">
        <v>94.566218235699907</v>
      </c>
      <c r="AM5151">
        <v>90.4417939393241</v>
      </c>
      <c r="AN5151">
        <v>1.0000000428097</v>
      </c>
    </row>
    <row r="5152" spans="1:40" x14ac:dyDescent="0.25">
      <c r="A5152" t="str">
        <f>"20190303154912415"</f>
        <v>20190303154912415</v>
      </c>
      <c r="B5152" t="str">
        <f>"1551599352405506"</f>
        <v>1551599352405506</v>
      </c>
      <c r="C5152" t="s">
        <v>40</v>
      </c>
      <c r="D5152">
        <v>5.6218000000000004</v>
      </c>
      <c r="E5152">
        <v>0.51435909999999996</v>
      </c>
      <c r="F5152" t="s">
        <v>41</v>
      </c>
      <c r="G5152">
        <v>-327.9151</v>
      </c>
      <c r="H5152" s="1">
        <v>-1.554011E-6</v>
      </c>
      <c r="I5152">
        <v>142.1618</v>
      </c>
      <c r="J5152">
        <v>-309.08679999999998</v>
      </c>
      <c r="K5152">
        <v>1.120366</v>
      </c>
      <c r="L5152">
        <v>141.56700000000001</v>
      </c>
      <c r="M5152">
        <v>-0.99994499999999997</v>
      </c>
      <c r="N5152">
        <v>-1.0486509999999999E-2</v>
      </c>
      <c r="O5152">
        <v>2.7590040000000001E-4</v>
      </c>
      <c r="P5152">
        <v>-0.99591620000000003</v>
      </c>
      <c r="Q5152">
        <v>-9.0027529999999995E-2</v>
      </c>
      <c r="R5152">
        <v>-6.7847460000000004E-3</v>
      </c>
      <c r="S5152">
        <v>-2.9971009999999998</v>
      </c>
      <c r="T5152">
        <v>-0.17640320000000001</v>
      </c>
      <c r="U5152">
        <v>9.3688960000000002E-2</v>
      </c>
      <c r="V5152">
        <v>-7.0816330000000004E-3</v>
      </c>
      <c r="W5152">
        <v>-7.9576939999999999E-2</v>
      </c>
      <c r="X5152">
        <v>0.99680360000000001</v>
      </c>
      <c r="Y5152">
        <v>3.0906159999999998E-2</v>
      </c>
      <c r="Z5152">
        <v>1.057456E-3</v>
      </c>
      <c r="AA5152">
        <v>0.99952169999999896</v>
      </c>
      <c r="AB5152">
        <v>23</v>
      </c>
      <c r="AC5152">
        <v>-18.828299999999999</v>
      </c>
      <c r="AD5152">
        <v>-1.1203675540109901</v>
      </c>
      <c r="AE5152">
        <v>0.594799999999992</v>
      </c>
      <c r="AF5152">
        <v>0.587526728018404</v>
      </c>
      <c r="AG5152">
        <v>-1.1203675540109901</v>
      </c>
      <c r="AH5152">
        <v>18.762097189009499</v>
      </c>
      <c r="AI5152">
        <v>93.415655327396394</v>
      </c>
      <c r="AJ5152">
        <v>88.206394267455394</v>
      </c>
      <c r="AK5152">
        <v>18.804698935161198</v>
      </c>
      <c r="AL5152">
        <v>94.564248528044999</v>
      </c>
      <c r="AM5152">
        <v>90.407041925724897</v>
      </c>
      <c r="AN5152">
        <v>1.00000002793933</v>
      </c>
    </row>
    <row r="5153" spans="1:40" x14ac:dyDescent="0.25">
      <c r="A5153" t="str">
        <f>"20190303154912437"</f>
        <v>20190303154912437</v>
      </c>
      <c r="B5153" t="str">
        <f>"1551599352426003"</f>
        <v>1551599352426003</v>
      </c>
      <c r="C5153" t="s">
        <v>40</v>
      </c>
      <c r="D5153">
        <v>5.7686500000000001</v>
      </c>
      <c r="E5153">
        <v>0.51428560000000001</v>
      </c>
      <c r="F5153" t="s">
        <v>41</v>
      </c>
      <c r="G5153">
        <v>-328.14339999999999</v>
      </c>
      <c r="H5153" s="1">
        <v>-1.459554E-6</v>
      </c>
      <c r="I5153">
        <v>142.1748</v>
      </c>
      <c r="J5153">
        <v>-309.31389999999999</v>
      </c>
      <c r="K5153">
        <v>1.1203620000000001</v>
      </c>
      <c r="L5153">
        <v>141.56729999999999</v>
      </c>
      <c r="M5153">
        <v>-0.99994570000000005</v>
      </c>
      <c r="N5153">
        <v>-1.040774E-2</v>
      </c>
      <c r="O5153">
        <v>4.2070680000000002E-4</v>
      </c>
      <c r="P5153">
        <v>-0.99595080000000002</v>
      </c>
      <c r="Q5153">
        <v>-8.9675260000000007E-2</v>
      </c>
      <c r="R5153">
        <v>-6.3575100000000002E-3</v>
      </c>
      <c r="S5153">
        <v>-2.9970089999999998</v>
      </c>
      <c r="T5153">
        <v>-0.17619979999999999</v>
      </c>
      <c r="U5153">
        <v>9.5596310000000004E-2</v>
      </c>
      <c r="V5153">
        <v>-6.7956429999999996E-3</v>
      </c>
      <c r="W5153">
        <v>-7.9303180000000001E-2</v>
      </c>
      <c r="X5153">
        <v>0.99682740000000003</v>
      </c>
      <c r="Y5153">
        <v>3.1397220000000003E-2</v>
      </c>
      <c r="Z5153">
        <v>1.0651879999999999E-3</v>
      </c>
      <c r="AA5153">
        <v>0.99950640000000002</v>
      </c>
      <c r="AB5153">
        <v>23</v>
      </c>
      <c r="AC5153">
        <v>-18.829499999999999</v>
      </c>
      <c r="AD5153">
        <v>-1.120363459554</v>
      </c>
      <c r="AE5153">
        <v>0.60750000000001503</v>
      </c>
      <c r="AF5153">
        <v>0.59746481173143895</v>
      </c>
      <c r="AG5153">
        <v>-1.120363459554</v>
      </c>
      <c r="AH5153">
        <v>18.763394918372398</v>
      </c>
      <c r="AI5153">
        <v>93.4153504987205</v>
      </c>
      <c r="AJ5153">
        <v>88.176201600152496</v>
      </c>
      <c r="AK5153">
        <v>18.8063065843766</v>
      </c>
      <c r="AL5153">
        <v>94.548513542597803</v>
      </c>
      <c r="AM5153">
        <v>90.390594832425293</v>
      </c>
      <c r="AN5153">
        <v>1.00000002025632</v>
      </c>
    </row>
    <row r="5154" spans="1:40" x14ac:dyDescent="0.25">
      <c r="A5154" t="str">
        <f>"20190303154912460"</f>
        <v>20190303154912460</v>
      </c>
      <c r="B5154" t="str">
        <f>"1551599352456258"</f>
        <v>1551599352456258</v>
      </c>
      <c r="C5154" t="s">
        <v>40</v>
      </c>
      <c r="D5154">
        <v>5.5849989999999998</v>
      </c>
      <c r="E5154">
        <v>0.51406010000000002</v>
      </c>
      <c r="F5154" t="s">
        <v>41</v>
      </c>
      <c r="G5154">
        <v>-328.53469999999999</v>
      </c>
      <c r="H5154" s="1">
        <v>-1.2943269999999999E-6</v>
      </c>
      <c r="I5154">
        <v>142.1848</v>
      </c>
      <c r="J5154">
        <v>-309.55349999999999</v>
      </c>
      <c r="K5154">
        <v>1.1203449999999999</v>
      </c>
      <c r="L5154">
        <v>141.5675</v>
      </c>
      <c r="M5154">
        <v>-0.99994700000000003</v>
      </c>
      <c r="N5154">
        <v>-1.029367E-2</v>
      </c>
      <c r="O5154">
        <v>5.5071609999999996E-4</v>
      </c>
      <c r="P5154">
        <v>-0.99597749999999996</v>
      </c>
      <c r="Q5154">
        <v>-8.9389319999999994E-2</v>
      </c>
      <c r="R5154">
        <v>-6.206451E-3</v>
      </c>
      <c r="S5154">
        <v>-2.9971009999999998</v>
      </c>
      <c r="T5154">
        <v>-0.17469879999999999</v>
      </c>
      <c r="U5154">
        <v>9.6298220000000004E-2</v>
      </c>
      <c r="V5154">
        <v>-6.7710189999999996E-3</v>
      </c>
      <c r="W5154">
        <v>-7.9131010000000002E-2</v>
      </c>
      <c r="X5154">
        <v>0.99684130000000004</v>
      </c>
      <c r="Y5154">
        <v>3.1501170000000002E-2</v>
      </c>
      <c r="Z5154">
        <v>1.053013E-3</v>
      </c>
      <c r="AA5154">
        <v>0.99950309999999998</v>
      </c>
      <c r="AB5154">
        <v>23</v>
      </c>
      <c r="AC5154">
        <v>-18.981200000000001</v>
      </c>
      <c r="AD5154">
        <v>-1.1203462943269999</v>
      </c>
      <c r="AE5154">
        <v>0.61729999999999996</v>
      </c>
      <c r="AF5154">
        <v>0.60474150944915805</v>
      </c>
      <c r="AG5154">
        <v>-1.1203462943269999</v>
      </c>
      <c r="AH5154">
        <v>18.915707569622899</v>
      </c>
      <c r="AI5154">
        <v>93.387848197301693</v>
      </c>
      <c r="AJ5154">
        <v>88.168858431173106</v>
      </c>
      <c r="AK5154">
        <v>18.958504186036201</v>
      </c>
      <c r="AL5154">
        <v>94.538617601919</v>
      </c>
      <c r="AM5154">
        <v>90.389174129804701</v>
      </c>
      <c r="AN5154">
        <v>1.0000000704137999</v>
      </c>
    </row>
    <row r="5155" spans="1:40" x14ac:dyDescent="0.25">
      <c r="A5155" t="str">
        <f>"20190303154912482"</f>
        <v>20190303154912482</v>
      </c>
      <c r="B5155" t="str">
        <f>"1551599352475778"</f>
        <v>1551599352475778</v>
      </c>
      <c r="C5155" t="s">
        <v>40</v>
      </c>
      <c r="D5155">
        <v>5.5460349999999998</v>
      </c>
      <c r="E5155">
        <v>0.48419279999999998</v>
      </c>
      <c r="F5155" t="s">
        <v>41</v>
      </c>
      <c r="G5155">
        <v>-329.23869999999999</v>
      </c>
      <c r="H5155" s="1">
        <v>-9.9376049999999999E-7</v>
      </c>
      <c r="I5155">
        <v>142.19030000000001</v>
      </c>
      <c r="J5155">
        <v>-309.78190000000001</v>
      </c>
      <c r="K5155">
        <v>1.120323</v>
      </c>
      <c r="L5155">
        <v>141.56780000000001</v>
      </c>
      <c r="M5155">
        <v>-0.99994810000000001</v>
      </c>
      <c r="N5155">
        <v>-1.01581E-2</v>
      </c>
      <c r="O5155">
        <v>6.5099949999999896E-4</v>
      </c>
      <c r="P5155">
        <v>-0.99599479999999996</v>
      </c>
      <c r="Q5155">
        <v>-8.9229180000000005E-2</v>
      </c>
      <c r="R5155">
        <v>-5.7067860000000002E-3</v>
      </c>
      <c r="S5155">
        <v>-2.9974059999999998</v>
      </c>
      <c r="T5155">
        <v>-0.1705922</v>
      </c>
      <c r="U5155">
        <v>9.483337E-2</v>
      </c>
      <c r="V5155">
        <v>-6.3684269999999899E-3</v>
      </c>
      <c r="W5155">
        <v>-7.9106170000000003E-2</v>
      </c>
      <c r="X5155">
        <v>0.9968458</v>
      </c>
      <c r="Y5155">
        <v>3.0913739999999999E-2</v>
      </c>
      <c r="Z5155">
        <v>1.005571E-3</v>
      </c>
      <c r="AA5155">
        <v>0.99952160000000001</v>
      </c>
      <c r="AB5155">
        <v>23</v>
      </c>
      <c r="AC5155">
        <v>-19.456799999999902</v>
      </c>
      <c r="AD5155">
        <v>-1.1203239937604901</v>
      </c>
      <c r="AE5155">
        <v>0.62250000000000205</v>
      </c>
      <c r="AF5155">
        <v>0.60781970201713198</v>
      </c>
      <c r="AG5155">
        <v>-1.1203239937604901</v>
      </c>
      <c r="AH5155">
        <v>19.392970178973702</v>
      </c>
      <c r="AI5155">
        <v>93.304659936748806</v>
      </c>
      <c r="AJ5155">
        <v>88.2048078991848</v>
      </c>
      <c r="AK5155">
        <v>19.434810598606798</v>
      </c>
      <c r="AL5155">
        <v>94.537190465045398</v>
      </c>
      <c r="AM5155">
        <v>90.366033568323701</v>
      </c>
      <c r="AN5155">
        <v>0.99999994598608</v>
      </c>
    </row>
    <row r="5156" spans="1:40" x14ac:dyDescent="0.25">
      <c r="A5156" t="str">
        <f>"20190303154912505"</f>
        <v>20190303154912505</v>
      </c>
      <c r="B5156" t="str">
        <f>"1551599352496274"</f>
        <v>1551599352496274</v>
      </c>
      <c r="C5156" t="s">
        <v>40</v>
      </c>
      <c r="D5156">
        <v>5.5488670000000004</v>
      </c>
      <c r="E5156">
        <v>0.48160809999999998</v>
      </c>
      <c r="F5156" t="s">
        <v>41</v>
      </c>
      <c r="G5156">
        <v>-329.06699999999898</v>
      </c>
      <c r="H5156" s="1">
        <v>-6.5891579999999998E-7</v>
      </c>
      <c r="I5156">
        <v>140.6549</v>
      </c>
      <c r="J5156">
        <v>-310.01220000000001</v>
      </c>
      <c r="K5156">
        <v>1.1203080000000001</v>
      </c>
      <c r="L5156">
        <v>141.56799999999899</v>
      </c>
      <c r="M5156">
        <v>-0.9999498</v>
      </c>
      <c r="N5156">
        <v>-1.000415E-2</v>
      </c>
      <c r="O5156">
        <v>7.3196449999999896E-4</v>
      </c>
      <c r="P5156">
        <v>-0.99598560000000003</v>
      </c>
      <c r="Q5156">
        <v>-8.9361079999999996E-2</v>
      </c>
      <c r="R5156">
        <v>-5.2703169999999896E-3</v>
      </c>
      <c r="S5156">
        <v>-2.9956670000000001</v>
      </c>
      <c r="T5156">
        <v>-0.1740276</v>
      </c>
      <c r="U5156">
        <v>-0.14179990000000001</v>
      </c>
      <c r="V5156">
        <v>-6.0103630000000003E-3</v>
      </c>
      <c r="W5156">
        <v>-7.9391829999999997E-2</v>
      </c>
      <c r="X5156">
        <v>0.99682530000000003</v>
      </c>
      <c r="Y5156">
        <v>-4.791786E-2</v>
      </c>
      <c r="Z5156">
        <v>-1.665115E-3</v>
      </c>
      <c r="AA5156">
        <v>0.99884989999999996</v>
      </c>
      <c r="AB5156">
        <v>23</v>
      </c>
      <c r="AC5156">
        <v>-19.054799999999901</v>
      </c>
      <c r="AD5156">
        <v>-1.1203086589158</v>
      </c>
      <c r="AE5156">
        <v>-0.91309999999998503</v>
      </c>
      <c r="AF5156">
        <v>-0.92386165684936505</v>
      </c>
      <c r="AG5156">
        <v>-1.1203086589158</v>
      </c>
      <c r="AH5156">
        <v>18.9886381186497</v>
      </c>
      <c r="AI5156">
        <v>93.372493578294694</v>
      </c>
      <c r="AJ5156">
        <v>92.785437563158197</v>
      </c>
      <c r="AK5156">
        <v>19.044080168211799</v>
      </c>
      <c r="AL5156">
        <v>94.553609277365695</v>
      </c>
      <c r="AM5156">
        <v>90.345460995190706</v>
      </c>
      <c r="AN5156">
        <v>0.99999993292711298</v>
      </c>
    </row>
    <row r="5157" spans="1:40" x14ac:dyDescent="0.25">
      <c r="A5157" t="str">
        <f>"20190303154912526"</f>
        <v>20190303154912526</v>
      </c>
      <c r="B5157" t="str">
        <f>"1551599352515794"</f>
        <v>1551599352515794</v>
      </c>
      <c r="C5157" t="s">
        <v>40</v>
      </c>
      <c r="D5157">
        <v>5.5335489999999998</v>
      </c>
      <c r="E5157">
        <v>0.4811646</v>
      </c>
      <c r="F5157" t="s">
        <v>41</v>
      </c>
      <c r="G5157">
        <v>-327.22399999999999</v>
      </c>
      <c r="H5157" s="1">
        <v>-1.4456599999999999E-6</v>
      </c>
      <c r="I5157">
        <v>140.6403</v>
      </c>
      <c r="J5157">
        <v>-310.23630000000003</v>
      </c>
      <c r="K5157">
        <v>1.120287</v>
      </c>
      <c r="L5157">
        <v>141.56829999999999</v>
      </c>
      <c r="M5157">
        <v>-0.99995120000000004</v>
      </c>
      <c r="N5157">
        <v>-9.8479150000000005E-3</v>
      </c>
      <c r="O5157">
        <v>7.9688019999999999E-4</v>
      </c>
      <c r="P5157">
        <v>-0.99597279999999999</v>
      </c>
      <c r="Q5157">
        <v>-8.9517310000000003E-2</v>
      </c>
      <c r="R5157">
        <v>-4.9912410000000004E-3</v>
      </c>
      <c r="S5157">
        <v>-2.9937130000000001</v>
      </c>
      <c r="T5157">
        <v>-0.19486049999999999</v>
      </c>
      <c r="U5157">
        <v>-0.1613617</v>
      </c>
      <c r="V5157">
        <v>-5.793945E-3</v>
      </c>
      <c r="W5157">
        <v>-7.9704090000000005E-2</v>
      </c>
      <c r="X5157">
        <v>0.99680170000000001</v>
      </c>
      <c r="Y5157">
        <v>-5.4484159999999997E-2</v>
      </c>
      <c r="Z5157">
        <v>-2.0827760000000002E-3</v>
      </c>
      <c r="AA5157">
        <v>0.99851239999999997</v>
      </c>
      <c r="AB5157">
        <v>23</v>
      </c>
      <c r="AC5157">
        <v>-16.987699999999901</v>
      </c>
      <c r="AD5157">
        <v>-1.12028844566</v>
      </c>
      <c r="AE5157">
        <v>-0.92799999999999705</v>
      </c>
      <c r="AF5157">
        <v>-0.93747257509641302</v>
      </c>
      <c r="AG5157">
        <v>-1.12028844566</v>
      </c>
      <c r="AH5157">
        <v>16.913616410778399</v>
      </c>
      <c r="AI5157">
        <v>93.783710970005899</v>
      </c>
      <c r="AJ5157">
        <v>93.172492303163295</v>
      </c>
      <c r="AK5157">
        <v>16.9765815499319</v>
      </c>
      <c r="AL5157">
        <v>94.571557163571995</v>
      </c>
      <c r="AM5157">
        <v>90.333029986530306</v>
      </c>
      <c r="AN5157">
        <v>0.99999997044213995</v>
      </c>
    </row>
    <row r="5158" spans="1:40" x14ac:dyDescent="0.25">
      <c r="A5158" t="str">
        <f>"20190303154912540"</f>
        <v>20190303154912540</v>
      </c>
      <c r="B5158" t="str">
        <f>"1551599352536291"</f>
        <v>1551599352536291</v>
      </c>
      <c r="C5158" t="s">
        <v>40</v>
      </c>
      <c r="D5158">
        <v>5.6222560000000001</v>
      </c>
      <c r="E5158">
        <v>0.48076920000000001</v>
      </c>
      <c r="F5158" t="s">
        <v>41</v>
      </c>
      <c r="G5158">
        <v>-327.25740000000002</v>
      </c>
      <c r="H5158" s="1">
        <v>-1.429935E-6</v>
      </c>
      <c r="I5158">
        <v>140.63509999999999</v>
      </c>
      <c r="J5158">
        <v>-310.37869999999998</v>
      </c>
      <c r="K5158">
        <v>1.120274</v>
      </c>
      <c r="L5158">
        <v>141.5684</v>
      </c>
      <c r="M5158">
        <v>-0.99995210000000001</v>
      </c>
      <c r="N5158">
        <v>-9.7484119999999997E-3</v>
      </c>
      <c r="O5158">
        <v>8.3265899999999905E-4</v>
      </c>
      <c r="P5158">
        <v>-0.99595520000000004</v>
      </c>
      <c r="Q5158">
        <v>-8.9713009999999996E-2</v>
      </c>
      <c r="R5158">
        <v>-4.9850479999999997E-3</v>
      </c>
      <c r="S5158">
        <v>-2.9936219999999998</v>
      </c>
      <c r="T5158">
        <v>-0.19703300000000001</v>
      </c>
      <c r="U5158">
        <v>-0.16410829999999901</v>
      </c>
      <c r="V5158">
        <v>-5.8228019999999898E-3</v>
      </c>
      <c r="W5158">
        <v>-7.9999199999999895E-2</v>
      </c>
      <c r="X5158">
        <v>0.99677789999999999</v>
      </c>
      <c r="Y5158">
        <v>-5.5429890000000002E-2</v>
      </c>
      <c r="Z5158">
        <v>-2.138118E-3</v>
      </c>
      <c r="AA5158">
        <v>0.99846029999999997</v>
      </c>
      <c r="AB5158">
        <v>23</v>
      </c>
      <c r="AC5158">
        <v>-16.878699999999998</v>
      </c>
      <c r="AD5158">
        <v>-1.120275429935</v>
      </c>
      <c r="AE5158">
        <v>-0.93330000000000202</v>
      </c>
      <c r="AF5158">
        <v>-0.943212116223761</v>
      </c>
      <c r="AG5158">
        <v>-1.120275429935</v>
      </c>
      <c r="AH5158">
        <v>16.804116120229299</v>
      </c>
      <c r="AI5158">
        <v>93.808101877349699</v>
      </c>
      <c r="AJ5158">
        <v>93.212631112803905</v>
      </c>
      <c r="AK5158">
        <v>16.867809126180401</v>
      </c>
      <c r="AL5158">
        <v>94.588519846154895</v>
      </c>
      <c r="AM5158">
        <v>90.334696610664494</v>
      </c>
      <c r="AN5158">
        <v>0.99999997947608998</v>
      </c>
    </row>
    <row r="5159" spans="1:40" x14ac:dyDescent="0.25">
      <c r="A5159" t="str">
        <f>"20190303154912552"</f>
        <v>20190303154912552</v>
      </c>
      <c r="B5159" t="str">
        <f>"1551599352546050"</f>
        <v>1551599352546050</v>
      </c>
      <c r="C5159" t="s">
        <v>40</v>
      </c>
      <c r="D5159">
        <v>5.5760189999999996</v>
      </c>
      <c r="E5159">
        <v>0.48050939999999998</v>
      </c>
      <c r="F5159" t="s">
        <v>41</v>
      </c>
      <c r="G5159">
        <v>-326.49689999999998</v>
      </c>
      <c r="H5159" s="1">
        <v>-1.764639E-6</v>
      </c>
      <c r="I5159">
        <v>140.6669</v>
      </c>
      <c r="J5159">
        <v>-310.50599999999997</v>
      </c>
      <c r="K5159">
        <v>1.120261</v>
      </c>
      <c r="L5159">
        <v>141.5686</v>
      </c>
      <c r="M5159">
        <v>-0.99995299999999998</v>
      </c>
      <c r="N5159">
        <v>-9.6602200000000006E-3</v>
      </c>
      <c r="O5159">
        <v>8.5987300000000004E-4</v>
      </c>
      <c r="P5159">
        <v>-0.9959789</v>
      </c>
      <c r="Q5159">
        <v>-8.9465950000000002E-2</v>
      </c>
      <c r="R5159">
        <v>-4.6533349999999998E-3</v>
      </c>
      <c r="S5159">
        <v>-2.9926149999999998</v>
      </c>
      <c r="T5159">
        <v>-0.2079983</v>
      </c>
      <c r="U5159">
        <v>-0.16737369999999999</v>
      </c>
      <c r="V5159">
        <v>-5.518205E-3</v>
      </c>
      <c r="W5159">
        <v>-7.983991E-2</v>
      </c>
      <c r="X5159">
        <v>0.99679240000000002</v>
      </c>
      <c r="Y5159">
        <v>-5.6543669999999997E-2</v>
      </c>
      <c r="Z5159">
        <v>-2.2861679999999999E-3</v>
      </c>
      <c r="AA5159">
        <v>0.99839750000000005</v>
      </c>
      <c r="AB5159">
        <v>23</v>
      </c>
      <c r="AC5159">
        <v>-15.9909</v>
      </c>
      <c r="AD5159">
        <v>-1.120262764639</v>
      </c>
      <c r="AE5159">
        <v>-0.90170000000000505</v>
      </c>
      <c r="AF5159">
        <v>-0.91099357457269203</v>
      </c>
      <c r="AG5159">
        <v>-1.120262764639</v>
      </c>
      <c r="AH5159">
        <v>15.912270708429</v>
      </c>
      <c r="AI5159">
        <v>94.020556255094704</v>
      </c>
      <c r="AJ5159">
        <v>93.2766644374761</v>
      </c>
      <c r="AK5159">
        <v>15.977648670974</v>
      </c>
      <c r="AL5159">
        <v>94.579363933674699</v>
      </c>
      <c r="AM5159">
        <v>90.317184026658396</v>
      </c>
      <c r="AN5159">
        <v>0.99999997525649398</v>
      </c>
    </row>
    <row r="5160" spans="1:40" x14ac:dyDescent="0.25">
      <c r="A5160" t="str">
        <f>"20190303154912566"</f>
        <v>20190303154912566</v>
      </c>
      <c r="B5160" t="str">
        <f>"1551599352555811"</f>
        <v>1551599352555811</v>
      </c>
      <c r="C5160" t="s">
        <v>40</v>
      </c>
      <c r="D5160">
        <v>5.568308</v>
      </c>
      <c r="E5160">
        <v>0.4800355</v>
      </c>
      <c r="F5160" t="s">
        <v>41</v>
      </c>
      <c r="G5160">
        <v>-326.15559999999999</v>
      </c>
      <c r="H5160" s="1">
        <v>-1.9164410000000001E-6</v>
      </c>
      <c r="I5160">
        <v>140.68709999999999</v>
      </c>
      <c r="J5160">
        <v>-310.65219999999999</v>
      </c>
      <c r="K5160">
        <v>1.120247</v>
      </c>
      <c r="L5160">
        <v>141.56870000000001</v>
      </c>
      <c r="M5160">
        <v>-0.99995400000000001</v>
      </c>
      <c r="N5160">
        <v>-9.5604049999999993E-3</v>
      </c>
      <c r="O5160">
        <v>8.8827000000000003E-4</v>
      </c>
      <c r="P5160">
        <v>-0.99598319999999996</v>
      </c>
      <c r="Q5160">
        <v>-8.9400110000000005E-2</v>
      </c>
      <c r="R5160">
        <v>-5.0045250000000001E-3</v>
      </c>
      <c r="S5160">
        <v>-2.9920960000000001</v>
      </c>
      <c r="T5160">
        <v>-0.21418709999999999</v>
      </c>
      <c r="U5160">
        <v>-0.1685181</v>
      </c>
      <c r="V5160">
        <v>-5.8965320000000003E-3</v>
      </c>
      <c r="W5160">
        <v>-7.9873550000000001E-2</v>
      </c>
      <c r="X5160">
        <v>0.99678750000000005</v>
      </c>
      <c r="Y5160">
        <v>-5.6952370000000002E-2</v>
      </c>
      <c r="Z5160">
        <v>-2.3620759999999998E-3</v>
      </c>
      <c r="AA5160">
        <v>0.99837410000000004</v>
      </c>
      <c r="AB5160">
        <v>23</v>
      </c>
      <c r="AC5160">
        <v>-15.503399999999999</v>
      </c>
      <c r="AD5160">
        <v>-1.1202489164410001</v>
      </c>
      <c r="AE5160">
        <v>-0.88160000000002003</v>
      </c>
      <c r="AF5160">
        <v>-0.89073571463838896</v>
      </c>
      <c r="AG5160">
        <v>-1.1202489164410001</v>
      </c>
      <c r="AH5160">
        <v>15.422346243748001</v>
      </c>
      <c r="AI5160">
        <v>94.147668277769498</v>
      </c>
      <c r="AJ5160">
        <v>93.305512797341805</v>
      </c>
      <c r="AK5160">
        <v>15.488612959531499</v>
      </c>
      <c r="AL5160">
        <v>94.581297716394999</v>
      </c>
      <c r="AM5160">
        <v>90.338931273345807</v>
      </c>
      <c r="AN5160">
        <v>0.99999993661773701</v>
      </c>
    </row>
    <row r="5161" spans="1:40" x14ac:dyDescent="0.25">
      <c r="A5161" t="str">
        <f>"20190303154912585"</f>
        <v>20190303154912585</v>
      </c>
      <c r="B5161" t="str">
        <f>"1551599352576306"</f>
        <v>1551599352576306</v>
      </c>
      <c r="C5161" t="s">
        <v>40</v>
      </c>
      <c r="D5161">
        <v>5.5789859999999996</v>
      </c>
      <c r="E5161">
        <v>0.47962179999999999</v>
      </c>
      <c r="F5161" t="s">
        <v>41</v>
      </c>
      <c r="G5161">
        <v>-326.06990000000002</v>
      </c>
      <c r="H5161" s="1">
        <v>-1.9498450000000001E-6</v>
      </c>
      <c r="I5161">
        <v>140.67449999999999</v>
      </c>
      <c r="J5161">
        <v>-310.84699999999998</v>
      </c>
      <c r="K5161">
        <v>1.1202319999999999</v>
      </c>
      <c r="L5161">
        <v>141.56899999999999</v>
      </c>
      <c r="M5161">
        <v>-0.99995520000000004</v>
      </c>
      <c r="N5161">
        <v>-9.4320910000000001E-3</v>
      </c>
      <c r="O5161">
        <v>9.2120310000000003E-4</v>
      </c>
      <c r="P5161">
        <v>-0.99598660000000006</v>
      </c>
      <c r="Q5161">
        <v>-8.9373720000000004E-2</v>
      </c>
      <c r="R5161">
        <v>-4.8204520000000002E-3</v>
      </c>
      <c r="S5161">
        <v>-2.9917600000000002</v>
      </c>
      <c r="T5161">
        <v>-0.21738099999999999</v>
      </c>
      <c r="U5161">
        <v>-0.17350769999999999</v>
      </c>
      <c r="V5161">
        <v>-5.7448630000000002E-3</v>
      </c>
      <c r="W5161">
        <v>-7.9975060000000001E-2</v>
      </c>
      <c r="X5161">
        <v>0.99678029999999995</v>
      </c>
      <c r="Y5161">
        <v>-5.8641560000000002E-2</v>
      </c>
      <c r="Z5161">
        <v>-2.4611860000000002E-3</v>
      </c>
      <c r="AA5161">
        <v>0.9982761</v>
      </c>
      <c r="AB5161">
        <v>23</v>
      </c>
      <c r="AC5161">
        <v>-15.222899999999999</v>
      </c>
      <c r="AD5161">
        <v>-1.12023394984499</v>
      </c>
      <c r="AE5161">
        <v>-0.89449999999999297</v>
      </c>
      <c r="AF5161">
        <v>-0.90364694243089705</v>
      </c>
      <c r="AG5161">
        <v>-1.12023394984499</v>
      </c>
      <c r="AH5161">
        <v>15.140361972979299</v>
      </c>
      <c r="AI5161">
        <v>94.224108867191404</v>
      </c>
      <c r="AJ5161">
        <v>93.415625620844395</v>
      </c>
      <c r="AK5161">
        <v>15.208618036224999</v>
      </c>
      <c r="AL5161">
        <v>94.587132231401398</v>
      </c>
      <c r="AM5161">
        <v>90.330215955635893</v>
      </c>
      <c r="AN5161">
        <v>0.99999999007049101</v>
      </c>
    </row>
    <row r="5162" spans="1:40" x14ac:dyDescent="0.25">
      <c r="A5162" t="str">
        <f>"20190303154912605"</f>
        <v>20190303154912605</v>
      </c>
      <c r="B5162" t="str">
        <f>"1551599352595827"</f>
        <v>1551599352595827</v>
      </c>
      <c r="C5162" t="s">
        <v>40</v>
      </c>
      <c r="D5162">
        <v>5.6041639999999999</v>
      </c>
      <c r="E5162">
        <v>0.47947479999999998</v>
      </c>
      <c r="F5162" t="s">
        <v>41</v>
      </c>
      <c r="G5162">
        <v>-325.8553</v>
      </c>
      <c r="H5162" s="1">
        <v>-2.0444069999999998E-6</v>
      </c>
      <c r="I5162">
        <v>140.68389999999999</v>
      </c>
      <c r="J5162">
        <v>-311.06760000000003</v>
      </c>
      <c r="K5162">
        <v>1.120223</v>
      </c>
      <c r="L5162">
        <v>141.5692</v>
      </c>
      <c r="M5162">
        <v>-0.99995650000000003</v>
      </c>
      <c r="N5162">
        <v>-9.2963549999999992E-3</v>
      </c>
      <c r="O5162">
        <v>9.5381009999999996E-4</v>
      </c>
      <c r="P5162">
        <v>-0.99600739999999999</v>
      </c>
      <c r="Q5162">
        <v>-8.9127170000000006E-2</v>
      </c>
      <c r="R5162">
        <v>-5.1148699999999997E-3</v>
      </c>
      <c r="S5162">
        <v>-2.9912109999999998</v>
      </c>
      <c r="T5162">
        <v>-0.22326779999999999</v>
      </c>
      <c r="U5162">
        <v>-0.17637630000000001</v>
      </c>
      <c r="V5162">
        <v>-6.0709750000000002E-3</v>
      </c>
      <c r="W5162">
        <v>-7.9863660000000003E-2</v>
      </c>
      <c r="X5162">
        <v>0.99678730000000004</v>
      </c>
      <c r="Y5162">
        <v>-5.9626760000000001E-2</v>
      </c>
      <c r="Z5162">
        <v>-2.5603169999999999E-3</v>
      </c>
      <c r="AA5162">
        <v>0.99821749999999998</v>
      </c>
      <c r="AB5162">
        <v>23</v>
      </c>
      <c r="AC5162">
        <v>-14.7876999999999</v>
      </c>
      <c r="AD5162">
        <v>-1.1202250444070001</v>
      </c>
      <c r="AE5162">
        <v>-0.88529999999999998</v>
      </c>
      <c r="AF5162">
        <v>-0.89429117123222901</v>
      </c>
      <c r="AG5162">
        <v>-1.1202250444070001</v>
      </c>
      <c r="AH5162">
        <v>14.702776153087701</v>
      </c>
      <c r="AI5162">
        <v>94.349020867237002</v>
      </c>
      <c r="AJ5162">
        <v>93.480707345071593</v>
      </c>
      <c r="AK5162">
        <v>14.7724841329028</v>
      </c>
      <c r="AL5162">
        <v>94.580728994575395</v>
      </c>
      <c r="AM5162">
        <v>90.348958041602799</v>
      </c>
      <c r="AN5162">
        <v>0.999999991183668</v>
      </c>
    </row>
    <row r="5163" spans="1:40" x14ac:dyDescent="0.25">
      <c r="A5163" t="str">
        <f>"20190303154912628"</f>
        <v>20190303154912628</v>
      </c>
      <c r="B5163" t="str">
        <f>"1551599352616323"</f>
        <v>1551599352616323</v>
      </c>
      <c r="C5163" t="s">
        <v>40</v>
      </c>
      <c r="D5163">
        <v>5.5842169999999998</v>
      </c>
      <c r="E5163">
        <v>0.4791532</v>
      </c>
      <c r="F5163" t="s">
        <v>41</v>
      </c>
      <c r="G5163">
        <v>-325.90640000000002</v>
      </c>
      <c r="H5163" s="1">
        <v>-2.0224700000000001E-6</v>
      </c>
      <c r="I5163">
        <v>140.68379999999999</v>
      </c>
      <c r="J5163">
        <v>-311.29399999999998</v>
      </c>
      <c r="K5163">
        <v>1.1202129999999999</v>
      </c>
      <c r="L5163">
        <v>141.56950000000001</v>
      </c>
      <c r="M5163">
        <v>-0.9999576</v>
      </c>
      <c r="N5163">
        <v>-9.1668659999999992E-3</v>
      </c>
      <c r="O5163">
        <v>9.8508259999999996E-4</v>
      </c>
      <c r="P5163">
        <v>-0.99600429999999995</v>
      </c>
      <c r="Q5163">
        <v>-8.9138789999999996E-2</v>
      </c>
      <c r="R5163">
        <v>-5.450089E-3</v>
      </c>
      <c r="S5163">
        <v>-2.990936</v>
      </c>
      <c r="T5163">
        <v>-0.22579560000000001</v>
      </c>
      <c r="U5163">
        <v>-0.17845150000000001</v>
      </c>
      <c r="V5163">
        <v>-6.437361E-3</v>
      </c>
      <c r="W5163">
        <v>-8.0004389999999995E-2</v>
      </c>
      <c r="X5163">
        <v>0.99677369999999998</v>
      </c>
      <c r="Y5163">
        <v>-6.0347360000000003E-2</v>
      </c>
      <c r="Z5163">
        <v>-2.615137E-3</v>
      </c>
      <c r="AA5163">
        <v>0.99817400000000001</v>
      </c>
      <c r="AB5163">
        <v>23</v>
      </c>
      <c r="AC5163">
        <v>-14.6123999999999</v>
      </c>
      <c r="AD5163">
        <v>-1.1202150224699901</v>
      </c>
      <c r="AE5163">
        <v>-0.88570000000001403</v>
      </c>
      <c r="AF5163">
        <v>-0.89485473582133102</v>
      </c>
      <c r="AG5163">
        <v>-1.1202150224699901</v>
      </c>
      <c r="AH5163">
        <v>14.526460100023799</v>
      </c>
      <c r="AI5163">
        <v>94.401354261535502</v>
      </c>
      <c r="AJ5163">
        <v>93.525063378014295</v>
      </c>
      <c r="AK5163">
        <v>14.5970438696461</v>
      </c>
      <c r="AL5163">
        <v>94.588818185635304</v>
      </c>
      <c r="AM5163">
        <v>90.370022291741407</v>
      </c>
      <c r="AN5163">
        <v>0.99999997552380204</v>
      </c>
    </row>
    <row r="5164" spans="1:40" x14ac:dyDescent="0.25">
      <c r="A5164" t="str">
        <f>"20190303154912642"</f>
        <v>20190303154912642</v>
      </c>
      <c r="B5164" t="str">
        <f>"1551599352635843"</f>
        <v>1551599352635843</v>
      </c>
      <c r="C5164" t="s">
        <v>40</v>
      </c>
      <c r="D5164">
        <v>5.6325839999999996</v>
      </c>
      <c r="E5164">
        <v>0.47885699999999998</v>
      </c>
      <c r="F5164" t="s">
        <v>41</v>
      </c>
      <c r="G5164">
        <v>-325.69779999999997</v>
      </c>
      <c r="H5164" s="1">
        <v>-2.1142509999999999E-6</v>
      </c>
      <c r="I5164">
        <v>140.69239999999999</v>
      </c>
      <c r="J5164">
        <v>-311.45119999999997</v>
      </c>
      <c r="K5164">
        <v>1.120204</v>
      </c>
      <c r="L5164">
        <v>141.56960000000001</v>
      </c>
      <c r="M5164">
        <v>-0.99995829999999997</v>
      </c>
      <c r="N5164">
        <v>-9.0818889999999992E-3</v>
      </c>
      <c r="O5164">
        <v>1.005967E-3</v>
      </c>
      <c r="P5164">
        <v>-0.99602950000000001</v>
      </c>
      <c r="Q5164">
        <v>-8.8866840000000002E-2</v>
      </c>
      <c r="R5164">
        <v>-5.3012659999999998E-3</v>
      </c>
      <c r="S5164">
        <v>-2.9902039999999999</v>
      </c>
      <c r="T5164">
        <v>-0.23255590000000001</v>
      </c>
      <c r="U5164">
        <v>-0.1820679</v>
      </c>
      <c r="V5164">
        <v>-6.3091270000000003E-3</v>
      </c>
      <c r="W5164">
        <v>-7.9816940000000003E-2</v>
      </c>
      <c r="X5164">
        <v>0.99678960000000005</v>
      </c>
      <c r="Y5164">
        <v>-6.1570310000000003E-2</v>
      </c>
      <c r="Z5164">
        <v>-2.737682E-3</v>
      </c>
      <c r="AA5164">
        <v>0.99809899999999996</v>
      </c>
      <c r="AB5164">
        <v>24</v>
      </c>
      <c r="AC5164">
        <v>-14.246600000000001</v>
      </c>
      <c r="AD5164">
        <v>-1.120206114251</v>
      </c>
      <c r="AE5164">
        <v>-0.87720000000001597</v>
      </c>
      <c r="AF5164">
        <v>-0.88607417587524795</v>
      </c>
      <c r="AG5164">
        <v>-1.120206114251</v>
      </c>
      <c r="AH5164">
        <v>14.158504110646</v>
      </c>
      <c r="AI5164">
        <v>94.514962571734202</v>
      </c>
      <c r="AJ5164">
        <v>93.581041216864804</v>
      </c>
      <c r="AK5164">
        <v>14.230362884857801</v>
      </c>
      <c r="AL5164">
        <v>94.578043394810095</v>
      </c>
      <c r="AM5164">
        <v>90.362645760300197</v>
      </c>
      <c r="AN5164">
        <v>1.0000000278313099</v>
      </c>
    </row>
    <row r="5165" spans="1:40" x14ac:dyDescent="0.25">
      <c r="A5165" t="str">
        <f>"20190303154912662"</f>
        <v>20190303154912662</v>
      </c>
      <c r="B5165" t="str">
        <f>"1551599352656340"</f>
        <v>1551599352656340</v>
      </c>
      <c r="C5165" t="s">
        <v>40</v>
      </c>
      <c r="D5165">
        <v>5.5973269999999999</v>
      </c>
      <c r="E5165">
        <v>0.47866180000000003</v>
      </c>
      <c r="F5165" t="s">
        <v>41</v>
      </c>
      <c r="G5165">
        <v>-325.7244</v>
      </c>
      <c r="H5165" s="1">
        <v>-2.1023549999999998E-6</v>
      </c>
      <c r="I5165">
        <v>140.69059999999999</v>
      </c>
      <c r="J5165">
        <v>-311.66090000000003</v>
      </c>
      <c r="K5165">
        <v>1.1201859999999999</v>
      </c>
      <c r="L5165">
        <v>141.56989999999999</v>
      </c>
      <c r="M5165">
        <v>-0.9999593</v>
      </c>
      <c r="N5165">
        <v>-8.9747690000000005E-3</v>
      </c>
      <c r="O5165">
        <v>1.0339279999999999E-3</v>
      </c>
      <c r="P5165">
        <v>-0.99606119999999998</v>
      </c>
      <c r="Q5165">
        <v>-8.8491150000000005E-2</v>
      </c>
      <c r="R5165">
        <v>-5.6391779999999999E-3</v>
      </c>
      <c r="S5165">
        <v>-2.9900509999999998</v>
      </c>
      <c r="T5165">
        <v>-0.2346693</v>
      </c>
      <c r="U5165">
        <v>-0.18412780000000001</v>
      </c>
      <c r="V5165">
        <v>-6.6752560000000001E-3</v>
      </c>
      <c r="W5165">
        <v>-7.9547709999999994E-2</v>
      </c>
      <c r="X5165">
        <v>0.99680869999999999</v>
      </c>
      <c r="Y5165">
        <v>-6.2280469999999997E-2</v>
      </c>
      <c r="Z5165">
        <v>-2.7898519999999998E-3</v>
      </c>
      <c r="AA5165">
        <v>0.99805480000000002</v>
      </c>
      <c r="AB5165">
        <v>24</v>
      </c>
      <c r="AC5165">
        <v>-14.0634999999999</v>
      </c>
      <c r="AD5165">
        <v>-1.120188102355</v>
      </c>
      <c r="AE5165">
        <v>-0.87929999999999997</v>
      </c>
      <c r="AF5165">
        <v>-0.88822737585867395</v>
      </c>
      <c r="AG5165">
        <v>-1.120188102355</v>
      </c>
      <c r="AH5165">
        <v>13.974269273103999</v>
      </c>
      <c r="AI5165">
        <v>94.573882836037697</v>
      </c>
      <c r="AJ5165">
        <v>93.636920760618693</v>
      </c>
      <c r="AK5165">
        <v>14.047205094719001</v>
      </c>
      <c r="AL5165">
        <v>94.5625686162184</v>
      </c>
      <c r="AM5165">
        <v>90.383682725630095</v>
      </c>
      <c r="AN5165">
        <v>0.99999999080229895</v>
      </c>
    </row>
    <row r="5166" spans="1:40" x14ac:dyDescent="0.25">
      <c r="A5166" t="str">
        <f>"20190303154912685"</f>
        <v>20190303154912685</v>
      </c>
      <c r="B5166" t="str">
        <f>"1551599352675858"</f>
        <v>1551599352675858</v>
      </c>
      <c r="C5166" t="s">
        <v>40</v>
      </c>
      <c r="D5166">
        <v>5.5795560000000002</v>
      </c>
      <c r="E5166">
        <v>0.4784581</v>
      </c>
      <c r="F5166" t="s">
        <v>41</v>
      </c>
      <c r="G5166">
        <v>-325.76639999999998</v>
      </c>
      <c r="H5166" s="1">
        <v>-2.0839399999999999E-6</v>
      </c>
      <c r="I5166">
        <v>140.6892</v>
      </c>
      <c r="J5166">
        <v>-311.90199999999999</v>
      </c>
      <c r="K5166">
        <v>1.120174</v>
      </c>
      <c r="L5166">
        <v>141.5702</v>
      </c>
      <c r="M5166">
        <v>-0.99996039999999997</v>
      </c>
      <c r="N5166">
        <v>-8.8601050000000001E-3</v>
      </c>
      <c r="O5166">
        <v>1.066338E-3</v>
      </c>
      <c r="P5166">
        <v>-0.99607060000000003</v>
      </c>
      <c r="Q5166">
        <v>-8.8349609999999995E-2</v>
      </c>
      <c r="R5166">
        <v>-6.1934729999999997E-3</v>
      </c>
      <c r="S5166">
        <v>-2.989716</v>
      </c>
      <c r="T5166">
        <v>-0.2374291</v>
      </c>
      <c r="U5166">
        <v>-0.18666079999999999</v>
      </c>
      <c r="V5166">
        <v>-7.2618099999999996E-3</v>
      </c>
      <c r="W5166">
        <v>-7.9520350000000004E-2</v>
      </c>
      <c r="X5166">
        <v>0.99680679999999999</v>
      </c>
      <c r="Y5166">
        <v>-6.3154290000000002E-2</v>
      </c>
      <c r="Z5166">
        <v>-2.8569279999999999E-3</v>
      </c>
      <c r="AA5166">
        <v>0.99799970000000005</v>
      </c>
      <c r="AB5166">
        <v>24</v>
      </c>
      <c r="AC5166">
        <v>-13.8643999999999</v>
      </c>
      <c r="AD5166">
        <v>-1.1201760839399999</v>
      </c>
      <c r="AE5166">
        <v>-0.88100000000000001</v>
      </c>
      <c r="AF5166">
        <v>-0.88999780163165498</v>
      </c>
      <c r="AG5166">
        <v>-1.1201760839399999</v>
      </c>
      <c r="AH5166">
        <v>13.773900225497</v>
      </c>
      <c r="AI5166">
        <v>94.639770576132193</v>
      </c>
      <c r="AJ5166">
        <v>93.697015919263805</v>
      </c>
      <c r="AK5166">
        <v>13.8480041149577</v>
      </c>
      <c r="AL5166">
        <v>94.560995942245896</v>
      </c>
      <c r="AM5166">
        <v>90.417396534861396</v>
      </c>
      <c r="AN5166">
        <v>1.0000000082374101</v>
      </c>
    </row>
    <row r="5167" spans="1:40" x14ac:dyDescent="0.25">
      <c r="A5167" t="str">
        <f>"20190303154912706"</f>
        <v>20190303154912706</v>
      </c>
      <c r="B5167" t="str">
        <f>"1551599352696355"</f>
        <v>1551599352696355</v>
      </c>
      <c r="C5167" t="s">
        <v>40</v>
      </c>
      <c r="D5167">
        <v>5.6473019999999998</v>
      </c>
      <c r="E5167">
        <v>0.47823379999999999</v>
      </c>
      <c r="F5167" t="s">
        <v>41</v>
      </c>
      <c r="G5167">
        <v>-325.84589999999997</v>
      </c>
      <c r="H5167" s="1">
        <v>-2.0484350000000001E-6</v>
      </c>
      <c r="I5167">
        <v>140.68379999999999</v>
      </c>
      <c r="J5167">
        <v>-312.12860000000001</v>
      </c>
      <c r="K5167">
        <v>1.120155</v>
      </c>
      <c r="L5167">
        <v>141.57050000000001</v>
      </c>
      <c r="M5167">
        <v>-0.99996110000000005</v>
      </c>
      <c r="N5167">
        <v>-8.7586230000000001E-3</v>
      </c>
      <c r="O5167">
        <v>1.0974349999999999E-3</v>
      </c>
      <c r="P5167">
        <v>-0.99607400000000001</v>
      </c>
      <c r="Q5167">
        <v>-8.8260640000000001E-2</v>
      </c>
      <c r="R5167">
        <v>-6.8296709999999998E-3</v>
      </c>
      <c r="S5167">
        <v>-2.9893800000000001</v>
      </c>
      <c r="T5167">
        <v>-0.24015249999999999</v>
      </c>
      <c r="U5167">
        <v>-0.19001770000000001</v>
      </c>
      <c r="V5167">
        <v>-7.9296179999999994E-3</v>
      </c>
      <c r="W5167">
        <v>-7.9532439999999996E-2</v>
      </c>
      <c r="X5167">
        <v>0.99680069999999998</v>
      </c>
      <c r="Y5167">
        <v>-6.4299700000000001E-2</v>
      </c>
      <c r="Z5167">
        <v>-2.9367479999999999E-3</v>
      </c>
      <c r="AA5167">
        <v>0.99792630000000004</v>
      </c>
      <c r="AB5167">
        <v>24</v>
      </c>
      <c r="AC5167">
        <v>-13.7172999999999</v>
      </c>
      <c r="AD5167">
        <v>-1.1201570484350001</v>
      </c>
      <c r="AE5167">
        <v>-0.88670000000001803</v>
      </c>
      <c r="AF5167">
        <v>-0.89580517185637198</v>
      </c>
      <c r="AG5167">
        <v>-1.1201570484350001</v>
      </c>
      <c r="AH5167">
        <v>13.6258344034842</v>
      </c>
      <c r="AI5167">
        <v>94.689543916178494</v>
      </c>
      <c r="AJ5167">
        <v>93.761391711516495</v>
      </c>
      <c r="AK5167">
        <v>13.7011160826502</v>
      </c>
      <c r="AL5167">
        <v>94.561691061948395</v>
      </c>
      <c r="AM5167">
        <v>90.455782245168706</v>
      </c>
      <c r="AN5167">
        <v>0.99999996168723404</v>
      </c>
    </row>
    <row r="5168" spans="1:40" x14ac:dyDescent="0.25">
      <c r="A5168" t="str">
        <f>"20190303154912721"</f>
        <v>20190303154912721</v>
      </c>
      <c r="B5168" t="str">
        <f>"1551599352715875"</f>
        <v>1551599352715875</v>
      </c>
      <c r="C5168" t="s">
        <v>40</v>
      </c>
      <c r="D5168">
        <v>5.642436</v>
      </c>
      <c r="E5168">
        <v>0.47807270000000002</v>
      </c>
      <c r="F5168" t="s">
        <v>41</v>
      </c>
      <c r="G5168">
        <v>-325.96539999999999</v>
      </c>
      <c r="H5168" s="1">
        <v>-1.994418E-6</v>
      </c>
      <c r="I5168">
        <v>140.67349999999999</v>
      </c>
      <c r="J5168">
        <v>-312.2953</v>
      </c>
      <c r="K5168">
        <v>1.1201460000000001</v>
      </c>
      <c r="L5168">
        <v>141.57069999999999</v>
      </c>
      <c r="M5168">
        <v>-0.99996169999999995</v>
      </c>
      <c r="N5168">
        <v>-8.6876450000000008E-3</v>
      </c>
      <c r="O5168">
        <v>1.120642E-3</v>
      </c>
      <c r="P5168">
        <v>-0.99607650000000003</v>
      </c>
      <c r="Q5168">
        <v>-8.8216539999999996E-2</v>
      </c>
      <c r="R5168">
        <v>-7.0664029999999997E-3</v>
      </c>
      <c r="S5168">
        <v>-2.9890439999999998</v>
      </c>
      <c r="T5168">
        <v>-0.24197859999999999</v>
      </c>
      <c r="U5168">
        <v>-0.19375609999999999</v>
      </c>
      <c r="V5168">
        <v>-8.1895930000000002E-3</v>
      </c>
      <c r="W5168">
        <v>-7.9559030000000003E-2</v>
      </c>
      <c r="X5168">
        <v>0.99679649999999997</v>
      </c>
      <c r="Y5168">
        <v>-6.5565040000000005E-2</v>
      </c>
      <c r="Z5168">
        <v>-3.013206E-3</v>
      </c>
      <c r="AA5168">
        <v>0.9978437</v>
      </c>
      <c r="AB5168">
        <v>24</v>
      </c>
      <c r="AC5168">
        <v>-13.6700999999999</v>
      </c>
      <c r="AD5168">
        <v>-1.1201479944179999</v>
      </c>
      <c r="AE5168">
        <v>-0.897199999999997</v>
      </c>
      <c r="AF5168">
        <v>-0.90645907507349599</v>
      </c>
      <c r="AG5168">
        <v>-1.1201479944179999</v>
      </c>
      <c r="AH5168">
        <v>13.578306749368499</v>
      </c>
      <c r="AI5168">
        <v>94.705533542855505</v>
      </c>
      <c r="AJ5168">
        <v>93.819278247882295</v>
      </c>
      <c r="AK5168">
        <v>13.6545528584472</v>
      </c>
      <c r="AL5168">
        <v>94.563219290632105</v>
      </c>
      <c r="AM5168">
        <v>90.470726529849699</v>
      </c>
      <c r="AN5168">
        <v>0.99999998555014802</v>
      </c>
    </row>
    <row r="5169" spans="1:40" x14ac:dyDescent="0.25">
      <c r="A5169" t="str">
        <f>"20190303154912735"</f>
        <v>20190303154912735</v>
      </c>
      <c r="B5169" t="str">
        <f>"1551599352725635"</f>
        <v>1551599352725635</v>
      </c>
      <c r="C5169" t="s">
        <v>40</v>
      </c>
      <c r="D5169">
        <v>5.6079239999999997</v>
      </c>
      <c r="E5169">
        <v>0.47800900000000002</v>
      </c>
      <c r="F5169" t="s">
        <v>41</v>
      </c>
      <c r="G5169">
        <v>-325.9966</v>
      </c>
      <c r="H5169" s="1">
        <v>-1.9809529999999999E-6</v>
      </c>
      <c r="I5169">
        <v>140.67320000000001</v>
      </c>
      <c r="J5169">
        <v>-312.44499999999999</v>
      </c>
      <c r="K5169">
        <v>1.1201479999999999</v>
      </c>
      <c r="L5169">
        <v>141.57089999999999</v>
      </c>
      <c r="M5169">
        <v>-0.99996229999999997</v>
      </c>
      <c r="N5169">
        <v>-8.6267940000000001E-3</v>
      </c>
      <c r="O5169">
        <v>1.142192E-3</v>
      </c>
      <c r="P5169">
        <v>-0.9960833</v>
      </c>
      <c r="Q5169">
        <v>-8.8132219999999997E-2</v>
      </c>
      <c r="R5169">
        <v>-7.1221660000000001E-3</v>
      </c>
      <c r="S5169">
        <v>-2.9887999999999999</v>
      </c>
      <c r="T5169">
        <v>-0.2443495</v>
      </c>
      <c r="U5169">
        <v>-0.19575500000000001</v>
      </c>
      <c r="V5169">
        <v>-8.2670859999999999E-3</v>
      </c>
      <c r="W5169">
        <v>-7.9535300000000003E-2</v>
      </c>
      <c r="X5169">
        <v>0.99679770000000001</v>
      </c>
      <c r="Y5169">
        <v>-6.6249379999999997E-2</v>
      </c>
      <c r="Z5169">
        <v>-3.0706140000000002E-3</v>
      </c>
      <c r="AA5169">
        <v>0.99779839999999997</v>
      </c>
      <c r="AB5169">
        <v>24</v>
      </c>
      <c r="AC5169">
        <v>-13.551600000000001</v>
      </c>
      <c r="AD5169">
        <v>-1.120149980953</v>
      </c>
      <c r="AE5169">
        <v>-0.89769999999998595</v>
      </c>
      <c r="AF5169">
        <v>-0.90700857587088002</v>
      </c>
      <c r="AG5169">
        <v>-1.120149980953</v>
      </c>
      <c r="AH5169">
        <v>13.4590106297783</v>
      </c>
      <c r="AI5169">
        <v>94.746860822688305</v>
      </c>
      <c r="AJ5169">
        <v>93.855358202471706</v>
      </c>
      <c r="AK5169">
        <v>13.5359657087707</v>
      </c>
      <c r="AL5169">
        <v>94.561855585761805</v>
      </c>
      <c r="AM5169">
        <v>90.475179945487596</v>
      </c>
      <c r="AN5169">
        <v>0.99999993169115298</v>
      </c>
    </row>
    <row r="5170" spans="1:40" x14ac:dyDescent="0.25">
      <c r="A5170" t="str">
        <f>"20190303154912751"</f>
        <v>20190303154912751</v>
      </c>
      <c r="B5170" t="str">
        <f>"1551599352746131"</f>
        <v>1551599352746131</v>
      </c>
      <c r="C5170" t="s">
        <v>40</v>
      </c>
      <c r="D5170">
        <v>5.6477729999999999</v>
      </c>
      <c r="E5170">
        <v>0.47782340000000001</v>
      </c>
      <c r="F5170" t="s">
        <v>41</v>
      </c>
      <c r="G5170">
        <v>-326.08870000000002</v>
      </c>
      <c r="H5170" s="1">
        <v>-1.941569E-6</v>
      </c>
      <c r="I5170">
        <v>140.6737</v>
      </c>
      <c r="J5170">
        <v>-312.61869999999999</v>
      </c>
      <c r="K5170">
        <v>1.120134</v>
      </c>
      <c r="L5170">
        <v>141.5711</v>
      </c>
      <c r="M5170">
        <v>-0.99996280000000004</v>
      </c>
      <c r="N5170">
        <v>-8.5570919999999901E-3</v>
      </c>
      <c r="O5170">
        <v>1.1675909999999999E-3</v>
      </c>
      <c r="P5170">
        <v>-0.99604649999999995</v>
      </c>
      <c r="Q5170">
        <v>-8.855362E-2</v>
      </c>
      <c r="R5170">
        <v>-7.0596110000000004E-3</v>
      </c>
      <c r="S5170">
        <v>-2.9886780000000002</v>
      </c>
      <c r="T5170">
        <v>-0.2453707</v>
      </c>
      <c r="U5170">
        <v>-0.1965027</v>
      </c>
      <c r="V5170">
        <v>-8.2296880000000006E-3</v>
      </c>
      <c r="W5170">
        <v>-8.0026449999999999E-2</v>
      </c>
      <c r="X5170">
        <v>0.99675879999999994</v>
      </c>
      <c r="Y5170">
        <v>-6.6523079999999998E-2</v>
      </c>
      <c r="Z5170">
        <v>-3.094355E-3</v>
      </c>
      <c r="AA5170">
        <v>0.99778009999999995</v>
      </c>
      <c r="AB5170">
        <v>24</v>
      </c>
      <c r="AC5170">
        <v>-13.47</v>
      </c>
      <c r="AD5170">
        <v>-1.120135941569</v>
      </c>
      <c r="AE5170">
        <v>-0.89740000000000397</v>
      </c>
      <c r="AF5170">
        <v>-0.906883820552561</v>
      </c>
      <c r="AG5170">
        <v>-1.120135941569</v>
      </c>
      <c r="AH5170">
        <v>13.376847844448999</v>
      </c>
      <c r="AI5170">
        <v>94.775693369726099</v>
      </c>
      <c r="AJ5170">
        <v>93.878434463740106</v>
      </c>
      <c r="AK5170">
        <v>13.4542633036935</v>
      </c>
      <c r="AL5170">
        <v>94.590085932256798</v>
      </c>
      <c r="AM5170">
        <v>90.473048921225299</v>
      </c>
      <c r="AN5170">
        <v>1.0000000329208001</v>
      </c>
    </row>
    <row r="5171" spans="1:40" x14ac:dyDescent="0.25">
      <c r="A5171" t="str">
        <f>"20190303154912766"</f>
        <v>20190303154912766</v>
      </c>
      <c r="B5171" t="str">
        <f>"1551599352755890"</f>
        <v>1551599352755890</v>
      </c>
      <c r="C5171" t="s">
        <v>40</v>
      </c>
      <c r="D5171">
        <v>5.6366949999999996</v>
      </c>
      <c r="E5171">
        <v>0.47774260000000002</v>
      </c>
      <c r="F5171" t="s">
        <v>41</v>
      </c>
      <c r="G5171">
        <v>-326.0924</v>
      </c>
      <c r="H5171" s="1">
        <v>-1.9414659999999999E-6</v>
      </c>
      <c r="I5171">
        <v>140.67930000000001</v>
      </c>
      <c r="J5171">
        <v>-312.76769999999999</v>
      </c>
      <c r="K5171">
        <v>1.120125</v>
      </c>
      <c r="L5171">
        <v>141.57130000000001</v>
      </c>
      <c r="M5171">
        <v>-0.9999633</v>
      </c>
      <c r="N5171">
        <v>-8.4976050000000001E-3</v>
      </c>
      <c r="O5171">
        <v>1.189723E-3</v>
      </c>
      <c r="P5171">
        <v>-0.99602619999999997</v>
      </c>
      <c r="Q5171">
        <v>-8.8816400000000004E-2</v>
      </c>
      <c r="R5171">
        <v>-6.6054080000000001E-3</v>
      </c>
      <c r="S5171">
        <v>-2.9884029999999999</v>
      </c>
      <c r="T5171">
        <v>-0.248441</v>
      </c>
      <c r="U5171">
        <v>-0.1977844</v>
      </c>
      <c r="V5171">
        <v>-7.7979190000000004E-3</v>
      </c>
      <c r="W5171">
        <v>-8.0348740000000002E-2</v>
      </c>
      <c r="X5171">
        <v>0.99673630000000002</v>
      </c>
      <c r="Y5171">
        <v>-6.6969630000000002E-2</v>
      </c>
      <c r="Z5171">
        <v>-3.1498899999999998E-3</v>
      </c>
      <c r="AA5171">
        <v>0.99775000000000003</v>
      </c>
      <c r="AB5171">
        <v>24</v>
      </c>
      <c r="AC5171">
        <v>-13.3247</v>
      </c>
      <c r="AD5171">
        <v>-1.120126941466</v>
      </c>
      <c r="AE5171">
        <v>-0.89199999999999502</v>
      </c>
      <c r="AF5171">
        <v>-0.90151031762328504</v>
      </c>
      <c r="AG5171">
        <v>-1.120126941466</v>
      </c>
      <c r="AH5171">
        <v>13.2305494676949</v>
      </c>
      <c r="AI5171">
        <v>94.828102591202494</v>
      </c>
      <c r="AJ5171">
        <v>93.898025523930301</v>
      </c>
      <c r="AK5171">
        <v>13.3084501139277</v>
      </c>
      <c r="AL5171">
        <v>94.608611644401705</v>
      </c>
      <c r="AM5171">
        <v>90.448241658895398</v>
      </c>
      <c r="AN5171">
        <v>0.99999998964900405</v>
      </c>
    </row>
    <row r="5172" spans="1:40" x14ac:dyDescent="0.25">
      <c r="A5172" t="str">
        <f>"20190303154912782"</f>
        <v>20190303154912782</v>
      </c>
      <c r="B5172" t="str">
        <f>"1551599352776387"</f>
        <v>1551599352776387</v>
      </c>
      <c r="C5172" t="s">
        <v>40</v>
      </c>
      <c r="D5172">
        <v>5.8590439999999999</v>
      </c>
      <c r="E5172">
        <v>0.47782029999999998</v>
      </c>
      <c r="F5172" t="s">
        <v>41</v>
      </c>
      <c r="G5172">
        <v>-326.13060000000002</v>
      </c>
      <c r="H5172" s="1">
        <v>-1.9278209999999999E-6</v>
      </c>
      <c r="I5172">
        <v>140.68960000000001</v>
      </c>
      <c r="J5172">
        <v>-312.9391</v>
      </c>
      <c r="K5172">
        <v>1.1201139999999901</v>
      </c>
      <c r="L5172">
        <v>141.57149999999999</v>
      </c>
      <c r="M5172">
        <v>-0.99996390000000002</v>
      </c>
      <c r="N5172">
        <v>-8.4291069999999999E-3</v>
      </c>
      <c r="O5172">
        <v>1.215645E-3</v>
      </c>
      <c r="P5172">
        <v>-0.99603120000000001</v>
      </c>
      <c r="Q5172">
        <v>-8.8770420000000003E-2</v>
      </c>
      <c r="R5172">
        <v>-6.4823320000000004E-3</v>
      </c>
      <c r="S5172">
        <v>-2.9883120000000001</v>
      </c>
      <c r="T5172">
        <v>-0.25049080000000001</v>
      </c>
      <c r="U5172">
        <v>-0.1971436</v>
      </c>
      <c r="V5172">
        <v>-7.7009469999999997E-3</v>
      </c>
      <c r="W5172">
        <v>-8.0370960000000005E-2</v>
      </c>
      <c r="X5172">
        <v>0.99673529999999999</v>
      </c>
      <c r="Y5172">
        <v>-6.6781220000000002E-2</v>
      </c>
      <c r="Z5172">
        <v>-3.1646980000000001E-3</v>
      </c>
      <c r="AA5172">
        <v>0.99776260000000006</v>
      </c>
      <c r="AB5172">
        <v>24</v>
      </c>
      <c r="AC5172">
        <v>-13.1915</v>
      </c>
      <c r="AD5172">
        <v>-1.12011592782099</v>
      </c>
      <c r="AE5172">
        <v>-0.88189999999997304</v>
      </c>
      <c r="AF5172">
        <v>-0.89153668422717303</v>
      </c>
      <c r="AG5172">
        <v>-1.12011592782099</v>
      </c>
      <c r="AH5172">
        <v>13.096412647077701</v>
      </c>
      <c r="AI5172">
        <v>94.8772891367406</v>
      </c>
      <c r="AJ5172">
        <v>93.894394790222606</v>
      </c>
      <c r="AK5172">
        <v>13.174426802469201</v>
      </c>
      <c r="AL5172">
        <v>94.609888714644697</v>
      </c>
      <c r="AM5172">
        <v>90.442668160825704</v>
      </c>
      <c r="AN5172">
        <v>1.0000000270310501</v>
      </c>
    </row>
    <row r="5173" spans="1:40" x14ac:dyDescent="0.25">
      <c r="A5173" t="str">
        <f>"20190303154912820"</f>
        <v>20190303154912820</v>
      </c>
      <c r="B5173" t="str">
        <f>"1551599352816403"</f>
        <v>1551599352816403</v>
      </c>
      <c r="C5173" t="s">
        <v>40</v>
      </c>
      <c r="D5173">
        <v>5.8729209999999998</v>
      </c>
      <c r="E5173">
        <v>0.54495909999999903</v>
      </c>
      <c r="F5173" t="s">
        <v>41</v>
      </c>
      <c r="G5173">
        <v>-326.31740000000002</v>
      </c>
      <c r="H5173" s="1">
        <v>-1.8488289999999999E-6</v>
      </c>
      <c r="I5173">
        <v>140.69380000000001</v>
      </c>
      <c r="J5173">
        <v>-313.34840000000003</v>
      </c>
      <c r="K5173">
        <v>1.120093</v>
      </c>
      <c r="L5173">
        <v>141.57210000000001</v>
      </c>
      <c r="M5173">
        <v>-0.99996510000000005</v>
      </c>
      <c r="N5173">
        <v>-8.2643969999999997E-3</v>
      </c>
      <c r="O5173">
        <v>1.2785019999999999E-3</v>
      </c>
      <c r="P5173">
        <v>-0.9959867</v>
      </c>
      <c r="Q5173">
        <v>-8.9310280000000006E-2</v>
      </c>
      <c r="R5173">
        <v>-5.860545E-3</v>
      </c>
      <c r="S5173">
        <v>-2.9883730000000002</v>
      </c>
      <c r="T5173">
        <v>-0.25020589999999998</v>
      </c>
      <c r="U5173">
        <v>-0.1960297</v>
      </c>
      <c r="V5173">
        <v>-7.1420850000000003E-3</v>
      </c>
      <c r="W5173">
        <v>-8.1075419999999995E-2</v>
      </c>
      <c r="X5173">
        <v>0.99668239999999997</v>
      </c>
      <c r="Y5173">
        <v>-6.6474290000000005E-2</v>
      </c>
      <c r="Z5173">
        <v>-3.1467180000000002E-3</v>
      </c>
      <c r="AA5173">
        <v>0.99778319999999998</v>
      </c>
      <c r="AB5173">
        <v>24</v>
      </c>
      <c r="AC5173">
        <v>-12.9689999999999</v>
      </c>
      <c r="AD5173">
        <v>-1.1200948488289999</v>
      </c>
      <c r="AE5173">
        <v>-0.87829999999999497</v>
      </c>
      <c r="AF5173">
        <v>-0.88828502802440501</v>
      </c>
      <c r="AG5173">
        <v>-1.1200948488289999</v>
      </c>
      <c r="AH5173">
        <v>12.872286892292299</v>
      </c>
      <c r="AI5173">
        <v>94.961382666831994</v>
      </c>
      <c r="AJ5173">
        <v>93.947583328393506</v>
      </c>
      <c r="AK5173">
        <v>12.9514258905677</v>
      </c>
      <c r="AL5173">
        <v>94.650383485209701</v>
      </c>
      <c r="AM5173">
        <v>90.410566418520105</v>
      </c>
      <c r="AN5173">
        <v>1.0000000197880401</v>
      </c>
    </row>
    <row r="5174" spans="1:40" x14ac:dyDescent="0.25">
      <c r="A5174" t="str">
        <f>"20190303154912841"</f>
        <v>20190303154912841</v>
      </c>
      <c r="B5174" t="str">
        <f>"1551599352835923"</f>
        <v>1551599352835923</v>
      </c>
      <c r="C5174" t="s">
        <v>40</v>
      </c>
      <c r="D5174">
        <v>5.592994</v>
      </c>
      <c r="E5174">
        <v>0.55014719999999995</v>
      </c>
      <c r="F5174" t="s">
        <v>42</v>
      </c>
      <c r="G5174">
        <v>-314.04070000000002</v>
      </c>
      <c r="H5174">
        <v>0.95098389999999999</v>
      </c>
      <c r="I5174">
        <v>141.6507</v>
      </c>
      <c r="J5174">
        <v>-313.57819999999998</v>
      </c>
      <c r="K5174">
        <v>1.120079</v>
      </c>
      <c r="L5174">
        <v>141.57239999999999</v>
      </c>
      <c r="M5174">
        <v>-0.99996580000000002</v>
      </c>
      <c r="N5174">
        <v>-8.1778709999999998E-3</v>
      </c>
      <c r="O5174">
        <v>1.313727E-3</v>
      </c>
      <c r="P5174">
        <v>-0.99600979999999995</v>
      </c>
      <c r="Q5174">
        <v>-8.9047989999999994E-2</v>
      </c>
      <c r="R5174">
        <v>-5.9201139999999998E-3</v>
      </c>
      <c r="S5174">
        <v>-2.9494630000000002</v>
      </c>
      <c r="T5174">
        <v>-0.72050029999999998</v>
      </c>
      <c r="U5174">
        <v>0.33416750000000001</v>
      </c>
      <c r="V5174">
        <v>-7.2362879999999996E-3</v>
      </c>
      <c r="W5174">
        <v>-8.0899150000000003E-2</v>
      </c>
      <c r="X5174">
        <v>0.99669600000000003</v>
      </c>
      <c r="Y5174">
        <v>0.1080608</v>
      </c>
      <c r="Z5174">
        <v>1.3112759999999999E-2</v>
      </c>
      <c r="AA5174">
        <v>0.99405779999999999</v>
      </c>
      <c r="AB5174">
        <v>24</v>
      </c>
      <c r="AC5174">
        <v>-0.462500000000034</v>
      </c>
      <c r="AD5174">
        <v>-0.1690951</v>
      </c>
      <c r="AE5174">
        <v>7.8300000000012901E-2</v>
      </c>
      <c r="AF5174">
        <v>6.8757488286603594E-2</v>
      </c>
      <c r="AG5174">
        <v>-0.1690951</v>
      </c>
      <c r="AH5174">
        <v>0.40940194011419201</v>
      </c>
      <c r="AI5174">
        <v>112.16229675106101</v>
      </c>
      <c r="AJ5174">
        <v>80.466363778039295</v>
      </c>
      <c r="AK5174">
        <v>0.44825293485793999</v>
      </c>
      <c r="AL5174">
        <v>94.6402508753078</v>
      </c>
      <c r="AM5174">
        <v>90.415975861319296</v>
      </c>
      <c r="AN5174">
        <v>0.99999997637536997</v>
      </c>
    </row>
    <row r="5175" spans="1:40" x14ac:dyDescent="0.25">
      <c r="A5175" t="str">
        <f>"20190303154912911"</f>
        <v>20190303154912911</v>
      </c>
      <c r="B5175" t="str">
        <f>"1551599352906194"</f>
        <v>1551599352906194</v>
      </c>
      <c r="C5175" t="s">
        <v>40</v>
      </c>
      <c r="D5175">
        <v>5.6229979999999999</v>
      </c>
      <c r="E5175">
        <v>0.55300669999999996</v>
      </c>
      <c r="F5175" t="s">
        <v>42</v>
      </c>
      <c r="G5175">
        <v>-314.4667</v>
      </c>
      <c r="H5175">
        <v>0.93018869999999998</v>
      </c>
      <c r="I5175">
        <v>141.6858</v>
      </c>
      <c r="J5175">
        <v>-314.34800000000001</v>
      </c>
      <c r="K5175">
        <v>1.120039</v>
      </c>
      <c r="L5175">
        <v>141.5736</v>
      </c>
      <c r="M5175">
        <v>-0.99996750000000001</v>
      </c>
      <c r="N5175">
        <v>-7.9280150000000001E-3</v>
      </c>
      <c r="O5175">
        <v>1.4313170000000001E-3</v>
      </c>
      <c r="P5175">
        <v>-0.99588989999999999</v>
      </c>
      <c r="Q5175">
        <v>-9.0358179999999996E-2</v>
      </c>
      <c r="R5175">
        <v>-6.2382469999999997E-3</v>
      </c>
      <c r="S5175">
        <v>-2.9577330000000002</v>
      </c>
      <c r="T5175">
        <v>-0.63212740000000001</v>
      </c>
      <c r="U5175">
        <v>0.37670900000000002</v>
      </c>
      <c r="V5175">
        <v>-7.6720690000000001E-3</v>
      </c>
      <c r="W5175">
        <v>-8.2459260000000006E-2</v>
      </c>
      <c r="X5175">
        <v>0.99656489999999998</v>
      </c>
      <c r="Y5175">
        <v>0.122134199999999</v>
      </c>
      <c r="Z5175">
        <v>1.305683E-2</v>
      </c>
      <c r="AA5175">
        <v>0.99242770000000002</v>
      </c>
      <c r="AB5175">
        <v>24</v>
      </c>
      <c r="AC5175">
        <v>-0.11869999999998899</v>
      </c>
      <c r="AD5175">
        <v>-0.1898503</v>
      </c>
      <c r="AE5175">
        <v>0.11220000000000099</v>
      </c>
      <c r="AF5175">
        <v>4.7651719366987103E-2</v>
      </c>
      <c r="AG5175">
        <v>-0.1898503</v>
      </c>
      <c r="AH5175">
        <v>5.0557056101781801E-2</v>
      </c>
      <c r="AI5175">
        <v>159.900232017664</v>
      </c>
      <c r="AJ5175">
        <v>46.694502312729099</v>
      </c>
      <c r="AK5175">
        <v>0.202162901370154</v>
      </c>
      <c r="AL5175">
        <v>94.729938191837405</v>
      </c>
      <c r="AM5175">
        <v>90.441083656452406</v>
      </c>
      <c r="AN5175">
        <v>0.99999999505724901</v>
      </c>
    </row>
    <row r="5176" spans="1:40" x14ac:dyDescent="0.25">
      <c r="A5176" t="str">
        <f>"20190303154912929"</f>
        <v>20190303154912929</v>
      </c>
      <c r="B5176" t="str">
        <f>"1551599352925715"</f>
        <v>1551599352925715</v>
      </c>
      <c r="C5176" t="s">
        <v>40</v>
      </c>
      <c r="D5176">
        <v>5.8583069999999999</v>
      </c>
      <c r="E5176">
        <v>0.55142780000000002</v>
      </c>
      <c r="F5176" t="s">
        <v>42</v>
      </c>
      <c r="G5176">
        <v>-315.12740000000002</v>
      </c>
      <c r="H5176">
        <v>0.93765140000000002</v>
      </c>
      <c r="I5176">
        <v>141.67869999999999</v>
      </c>
      <c r="J5176">
        <v>-314.54700000000003</v>
      </c>
      <c r="K5176">
        <v>1.120034</v>
      </c>
      <c r="L5176">
        <v>141.57390000000001</v>
      </c>
      <c r="M5176">
        <v>-0.99996799999999997</v>
      </c>
      <c r="N5176">
        <v>-7.8747390000000004E-3</v>
      </c>
      <c r="O5176">
        <v>1.4613289999999999E-3</v>
      </c>
      <c r="P5176">
        <v>-0.99587630000000005</v>
      </c>
      <c r="Q5176">
        <v>-9.0538560000000004E-2</v>
      </c>
      <c r="R5176">
        <v>-5.8119560000000001E-3</v>
      </c>
      <c r="S5176">
        <v>-2.9521790000000001</v>
      </c>
      <c r="T5176">
        <v>-0.69078919999999999</v>
      </c>
      <c r="U5176">
        <v>0.39692690000000003</v>
      </c>
      <c r="V5176">
        <v>-7.2751359999999998E-3</v>
      </c>
      <c r="W5176">
        <v>-8.2692849999999998E-2</v>
      </c>
      <c r="X5176">
        <v>0.99654849999999995</v>
      </c>
      <c r="Y5176">
        <v>0.1283165</v>
      </c>
      <c r="Z5176">
        <v>1.493849E-2</v>
      </c>
      <c r="AA5176">
        <v>0.99162079999999997</v>
      </c>
      <c r="AB5176">
        <v>25</v>
      </c>
      <c r="AC5176">
        <v>-0.58039999999999703</v>
      </c>
      <c r="AD5176">
        <v>-0.18238259999999901</v>
      </c>
      <c r="AE5176">
        <v>0.104799999999983</v>
      </c>
      <c r="AF5176">
        <v>9.4878780150730396E-2</v>
      </c>
      <c r="AG5176">
        <v>-0.18238259999999901</v>
      </c>
      <c r="AH5176">
        <v>0.52988178766608796</v>
      </c>
      <c r="AI5176">
        <v>108.71671206878599</v>
      </c>
      <c r="AJ5176">
        <v>79.848396724092296</v>
      </c>
      <c r="AK5176">
        <v>0.56836617123634203</v>
      </c>
      <c r="AL5176">
        <v>94.743367878612005</v>
      </c>
      <c r="AM5176">
        <v>90.418270845195096</v>
      </c>
      <c r="AN5176">
        <v>0.99999997394859497</v>
      </c>
    </row>
    <row r="5177" spans="1:40" x14ac:dyDescent="0.25">
      <c r="A5177" t="str">
        <f>"20190303154912944"</f>
        <v>20190303154912944</v>
      </c>
      <c r="B5177" t="str">
        <f>"1551599352936451"</f>
        <v>1551599352936451</v>
      </c>
      <c r="C5177" t="s">
        <v>40</v>
      </c>
      <c r="D5177">
        <v>5.6093409999999997</v>
      </c>
      <c r="E5177">
        <v>0.55192430000000003</v>
      </c>
      <c r="F5177" t="s">
        <v>42</v>
      </c>
      <c r="G5177">
        <v>-315.34230000000002</v>
      </c>
      <c r="H5177">
        <v>0.92534970000000005</v>
      </c>
      <c r="I5177">
        <v>141.678</v>
      </c>
      <c r="J5177">
        <v>-314.70949999999999</v>
      </c>
      <c r="K5177">
        <v>1.1200300000000001</v>
      </c>
      <c r="L5177">
        <v>141.57419999999999</v>
      </c>
      <c r="M5177">
        <v>-0.99996819999999997</v>
      </c>
      <c r="N5177">
        <v>-7.8336129999999997E-3</v>
      </c>
      <c r="O5177">
        <v>1.4859280000000001E-3</v>
      </c>
      <c r="P5177">
        <v>-0.99586830000000004</v>
      </c>
      <c r="Q5177">
        <v>-9.0630559999999999E-2</v>
      </c>
      <c r="R5177">
        <v>-5.689291E-3</v>
      </c>
      <c r="S5177">
        <v>-2.949036</v>
      </c>
      <c r="T5177">
        <v>-0.72191209999999995</v>
      </c>
      <c r="U5177">
        <v>0.38569639999999999</v>
      </c>
      <c r="V5177">
        <v>-7.1776419999999997E-3</v>
      </c>
      <c r="W5177">
        <v>-8.2825899999999994E-2</v>
      </c>
      <c r="X5177">
        <v>0.99653820000000004</v>
      </c>
      <c r="Y5177">
        <v>0.12451379999999999</v>
      </c>
      <c r="Z5177">
        <v>1.5108949999999999E-2</v>
      </c>
      <c r="AA5177">
        <v>0.99210290000000001</v>
      </c>
      <c r="AB5177">
        <v>25</v>
      </c>
      <c r="AC5177">
        <v>-0.632800000000031</v>
      </c>
      <c r="AD5177">
        <v>-0.194680299999999</v>
      </c>
      <c r="AE5177">
        <v>0.103800000000006</v>
      </c>
      <c r="AF5177">
        <v>9.4179250407123605E-2</v>
      </c>
      <c r="AG5177">
        <v>-0.194680299999999</v>
      </c>
      <c r="AH5177">
        <v>0.57953864179796999</v>
      </c>
      <c r="AI5177">
        <v>108.344139241741</v>
      </c>
      <c r="AJ5177">
        <v>80.769707174762203</v>
      </c>
      <c r="AK5177">
        <v>0.61857512700752304</v>
      </c>
      <c r="AL5177">
        <v>94.751017122255305</v>
      </c>
      <c r="AM5177">
        <v>90.412670063441396</v>
      </c>
      <c r="AN5177">
        <v>1.0000000161573599</v>
      </c>
    </row>
    <row r="5178" spans="1:40" x14ac:dyDescent="0.25">
      <c r="A5178" t="str">
        <f>"20190303154912962"</f>
        <v>20190303154912962</v>
      </c>
      <c r="B5178" t="str">
        <f>"1551599352955971"</f>
        <v>1551599352955971</v>
      </c>
      <c r="C5178" t="s">
        <v>40</v>
      </c>
      <c r="D5178">
        <v>5.5967570000000002</v>
      </c>
      <c r="E5178">
        <v>0.55279919999999905</v>
      </c>
      <c r="F5178" t="s">
        <v>42</v>
      </c>
      <c r="G5178">
        <v>-315.55759999999998</v>
      </c>
      <c r="H5178">
        <v>0.91151289999999996</v>
      </c>
      <c r="I5178">
        <v>141.6867</v>
      </c>
      <c r="J5178">
        <v>-314.92219999999998</v>
      </c>
      <c r="K5178">
        <v>1.1200129999999999</v>
      </c>
      <c r="L5178">
        <v>141.5745</v>
      </c>
      <c r="M5178">
        <v>-0.99996859999999999</v>
      </c>
      <c r="N5178">
        <v>-7.78299599999999E-3</v>
      </c>
      <c r="O5178">
        <v>1.5179529999999901E-3</v>
      </c>
      <c r="P5178">
        <v>-0.99587040000000004</v>
      </c>
      <c r="Q5178">
        <v>-9.0629639999999997E-2</v>
      </c>
      <c r="R5178">
        <v>-5.358804E-3</v>
      </c>
      <c r="S5178">
        <v>-2.9487299999999999</v>
      </c>
      <c r="T5178">
        <v>-0.72499720000000001</v>
      </c>
      <c r="U5178">
        <v>0.39016719999999999</v>
      </c>
      <c r="V5178">
        <v>-6.878721E-3</v>
      </c>
      <c r="W5178">
        <v>-8.2875450000000003E-2</v>
      </c>
      <c r="X5178">
        <v>0.99653619999999998</v>
      </c>
      <c r="Y5178">
        <v>0.12590280000000001</v>
      </c>
      <c r="Z5178">
        <v>1.533205E-2</v>
      </c>
      <c r="AA5178">
        <v>0.99192409999999998</v>
      </c>
      <c r="AB5178">
        <v>25</v>
      </c>
      <c r="AC5178">
        <v>-0.63540000000000396</v>
      </c>
      <c r="AD5178">
        <v>-0.20850009999999899</v>
      </c>
      <c r="AE5178">
        <v>0.11220000000000099</v>
      </c>
      <c r="AF5178">
        <v>0.10071833784694501</v>
      </c>
      <c r="AG5178">
        <v>-0.20850009999999899</v>
      </c>
      <c r="AH5178">
        <v>0.57547822263139803</v>
      </c>
      <c r="AI5178">
        <v>109.64061599335101</v>
      </c>
      <c r="AJ5178">
        <v>80.072822379361099</v>
      </c>
      <c r="AK5178">
        <v>0.62031577442593999</v>
      </c>
      <c r="AL5178">
        <v>94.753865868467898</v>
      </c>
      <c r="AM5178">
        <v>90.395485304443795</v>
      </c>
      <c r="AN5178">
        <v>1.00000002746286</v>
      </c>
    </row>
    <row r="5179" spans="1:40" x14ac:dyDescent="0.25">
      <c r="A5179" t="str">
        <f>"20190303154912986"</f>
        <v>20190303154912986</v>
      </c>
      <c r="B5179" t="str">
        <f>"1551599352976467"</f>
        <v>1551599352976467</v>
      </c>
      <c r="C5179" t="s">
        <v>40</v>
      </c>
      <c r="D5179">
        <v>5.7646569999999997</v>
      </c>
      <c r="E5179">
        <v>0.55546689999999999</v>
      </c>
      <c r="F5179" t="s">
        <v>42</v>
      </c>
      <c r="G5179">
        <v>-315.77820000000003</v>
      </c>
      <c r="H5179">
        <v>0.90823279999999995</v>
      </c>
      <c r="I5179">
        <v>141.6901</v>
      </c>
      <c r="J5179">
        <v>-315.17329999999998</v>
      </c>
      <c r="K5179">
        <v>1.1200049999999999</v>
      </c>
      <c r="L5179">
        <v>141.57490000000001</v>
      </c>
      <c r="M5179">
        <v>-0.99996890000000005</v>
      </c>
      <c r="N5179">
        <v>-7.7290719999999896E-3</v>
      </c>
      <c r="O5179">
        <v>1.556247E-3</v>
      </c>
      <c r="P5179">
        <v>-0.99585299999999999</v>
      </c>
      <c r="Q5179">
        <v>-9.0812550000000006E-2</v>
      </c>
      <c r="R5179">
        <v>-5.4689889999999996E-3</v>
      </c>
      <c r="S5179">
        <v>-2.948242</v>
      </c>
      <c r="T5179">
        <v>-0.72936199999999995</v>
      </c>
      <c r="U5179">
        <v>0.39787289999999997</v>
      </c>
      <c r="V5179">
        <v>-7.0273139999999998E-3</v>
      </c>
      <c r="W5179">
        <v>-8.3112199999999997E-2</v>
      </c>
      <c r="X5179">
        <v>0.99651540000000005</v>
      </c>
      <c r="Y5179">
        <v>0.12831719999999999</v>
      </c>
      <c r="Z5179">
        <v>1.5708699999999999E-2</v>
      </c>
      <c r="AA5179">
        <v>0.99160870000000001</v>
      </c>
      <c r="AB5179">
        <v>25</v>
      </c>
      <c r="AC5179">
        <v>-0.60490000000004296</v>
      </c>
      <c r="AD5179">
        <v>-0.21177219999999899</v>
      </c>
      <c r="AE5179">
        <v>0.11519999999998699</v>
      </c>
      <c r="AF5179">
        <v>0.102173717737516</v>
      </c>
      <c r="AG5179">
        <v>-0.21177219999999899</v>
      </c>
      <c r="AH5179">
        <v>0.54108138703573805</v>
      </c>
      <c r="AI5179">
        <v>111.036255012742</v>
      </c>
      <c r="AJ5179">
        <v>79.306612242146301</v>
      </c>
      <c r="AK5179">
        <v>0.58996271126713096</v>
      </c>
      <c r="AL5179">
        <v>94.767477822329198</v>
      </c>
      <c r="AM5179">
        <v>90.404036665643403</v>
      </c>
      <c r="AN5179">
        <v>0.99999998168402704</v>
      </c>
    </row>
    <row r="5180" spans="1:40" x14ac:dyDescent="0.25">
      <c r="A5180" t="str">
        <f>"20190303154913008"</f>
        <v>20190303154913008</v>
      </c>
      <c r="B5180" t="str">
        <f>"1551599353005747"</f>
        <v>1551599353005747</v>
      </c>
      <c r="C5180" t="s">
        <v>40</v>
      </c>
      <c r="D5180">
        <v>5.7271340000000004</v>
      </c>
      <c r="E5180">
        <v>0.55788549999999903</v>
      </c>
      <c r="F5180" t="s">
        <v>42</v>
      </c>
      <c r="G5180">
        <v>-316.00259999999997</v>
      </c>
      <c r="H5180">
        <v>0.91206710000000002</v>
      </c>
      <c r="I5180">
        <v>141.69299999999899</v>
      </c>
      <c r="J5180">
        <v>-315.42430000000002</v>
      </c>
      <c r="K5180">
        <v>1.119996</v>
      </c>
      <c r="L5180">
        <v>141.5754</v>
      </c>
      <c r="M5180">
        <v>-0.9999692</v>
      </c>
      <c r="N5180">
        <v>-7.6824149999999997E-3</v>
      </c>
      <c r="O5180">
        <v>1.594156E-3</v>
      </c>
      <c r="P5180">
        <v>-0.99583580000000005</v>
      </c>
      <c r="Q5180">
        <v>-9.098494E-2</v>
      </c>
      <c r="R5180">
        <v>-5.7363580000000004E-3</v>
      </c>
      <c r="S5180">
        <v>-2.9473880000000001</v>
      </c>
      <c r="T5180">
        <v>-0.73904780000000003</v>
      </c>
      <c r="U5180">
        <v>0.4186859</v>
      </c>
      <c r="V5180">
        <v>-7.3322429999999996E-3</v>
      </c>
      <c r="W5180">
        <v>-8.3331189999999999E-2</v>
      </c>
      <c r="X5180">
        <v>0.99649489999999996</v>
      </c>
      <c r="Y5180">
        <v>0.1348829</v>
      </c>
      <c r="Z5180">
        <v>1.672243E-2</v>
      </c>
      <c r="AA5180">
        <v>0.9907205</v>
      </c>
      <c r="AB5180">
        <v>25</v>
      </c>
      <c r="AC5180">
        <v>-0.57829999999995596</v>
      </c>
      <c r="AD5180">
        <v>-0.2079289</v>
      </c>
      <c r="AE5180">
        <v>0.117599999999981</v>
      </c>
      <c r="AF5180">
        <v>0.103792695278803</v>
      </c>
      <c r="AG5180">
        <v>-0.2079289</v>
      </c>
      <c r="AH5180">
        <v>0.51460204962559497</v>
      </c>
      <c r="AI5180">
        <v>111.60760196413</v>
      </c>
      <c r="AJ5180">
        <v>78.596713203440402</v>
      </c>
      <c r="AK5180">
        <v>0.56464379968907097</v>
      </c>
      <c r="AL5180">
        <v>94.780068770955694</v>
      </c>
      <c r="AM5180">
        <v>90.421576665264297</v>
      </c>
      <c r="AN5180">
        <v>0.99999996737011798</v>
      </c>
    </row>
    <row r="5181" spans="1:40" x14ac:dyDescent="0.25">
      <c r="A5181" t="str">
        <f>"20190303154913031"</f>
        <v>20190303154913031</v>
      </c>
      <c r="B5181" t="str">
        <f>"1551599353026243"</f>
        <v>1551599353026243</v>
      </c>
      <c r="C5181" t="s">
        <v>40</v>
      </c>
      <c r="D5181">
        <v>5.7087729999999999</v>
      </c>
      <c r="E5181">
        <v>0.55962179999999995</v>
      </c>
      <c r="F5181" t="s">
        <v>42</v>
      </c>
      <c r="G5181">
        <v>-316.22669999999999</v>
      </c>
      <c r="H5181">
        <v>0.91382249999999998</v>
      </c>
      <c r="I5181">
        <v>141.69470000000001</v>
      </c>
      <c r="J5181">
        <v>-315.67739999999998</v>
      </c>
      <c r="K5181">
        <v>1.1199939999999999</v>
      </c>
      <c r="L5181">
        <v>141.57579999999999</v>
      </c>
      <c r="M5181">
        <v>-0.99996949999999996</v>
      </c>
      <c r="N5181">
        <v>-7.6428310000000001E-3</v>
      </c>
      <c r="O5181">
        <v>1.63257299999999E-3</v>
      </c>
      <c r="P5181">
        <v>-0.99584629999999996</v>
      </c>
      <c r="Q5181">
        <v>-9.083331E-2</v>
      </c>
      <c r="R5181">
        <v>-6.2986309999999998E-3</v>
      </c>
      <c r="S5181">
        <v>-2.9459529999999998</v>
      </c>
      <c r="T5181">
        <v>-0.75687869999999902</v>
      </c>
      <c r="U5181">
        <v>0.43730160000000001</v>
      </c>
      <c r="V5181">
        <v>-7.9324500000000006E-3</v>
      </c>
      <c r="W5181">
        <v>-8.3218849999999997E-2</v>
      </c>
      <c r="X5181">
        <v>0.99649969999999999</v>
      </c>
      <c r="Y5181">
        <v>0.1406559</v>
      </c>
      <c r="Z5181">
        <v>1.7838400000000001E-2</v>
      </c>
      <c r="AA5181">
        <v>0.98989780000000005</v>
      </c>
      <c r="AB5181">
        <v>25</v>
      </c>
      <c r="AC5181">
        <v>-0.549300000000016</v>
      </c>
      <c r="AD5181">
        <v>-0.20617150000000001</v>
      </c>
      <c r="AE5181">
        <v>0.118900000000024</v>
      </c>
      <c r="AF5181">
        <v>0.104006734590934</v>
      </c>
      <c r="AG5181">
        <v>-0.20617150000000001</v>
      </c>
      <c r="AH5181">
        <v>0.48431812725302997</v>
      </c>
      <c r="AI5181">
        <v>112.597344832936</v>
      </c>
      <c r="AJ5181">
        <v>77.879877563769895</v>
      </c>
      <c r="AK5181">
        <v>0.53655208194396298</v>
      </c>
      <c r="AL5181">
        <v>94.773609684706898</v>
      </c>
      <c r="AM5181">
        <v>90.456082733001793</v>
      </c>
      <c r="AN5181">
        <v>0.99999997642920702</v>
      </c>
    </row>
    <row r="5182" spans="1:40" x14ac:dyDescent="0.25">
      <c r="A5182" t="str">
        <f>"20190303154913052"</f>
        <v>20190303154913052</v>
      </c>
      <c r="B5182" t="str">
        <f>"1551599353045763"</f>
        <v>1551599353045763</v>
      </c>
      <c r="C5182" t="s">
        <v>40</v>
      </c>
      <c r="D5182">
        <v>5.6229509999999996</v>
      </c>
      <c r="E5182">
        <v>0.56113959999999996</v>
      </c>
      <c r="F5182" t="s">
        <v>42</v>
      </c>
      <c r="G5182">
        <v>-316.45299999999997</v>
      </c>
      <c r="H5182">
        <v>0.9193363</v>
      </c>
      <c r="I5182">
        <v>141.6944</v>
      </c>
      <c r="J5182">
        <v>-315.91609999999997</v>
      </c>
      <c r="K5182">
        <v>1.11999</v>
      </c>
      <c r="L5182">
        <v>141.5762</v>
      </c>
      <c r="M5182">
        <v>-0.99996960000000001</v>
      </c>
      <c r="N5182">
        <v>-7.6117160000000001E-3</v>
      </c>
      <c r="O5182">
        <v>1.6688709999999999E-3</v>
      </c>
      <c r="P5182">
        <v>-0.99582550000000003</v>
      </c>
      <c r="Q5182">
        <v>-9.1026280000000001E-2</v>
      </c>
      <c r="R5182">
        <v>-6.7515439999999999E-3</v>
      </c>
      <c r="S5182">
        <v>-2.9458310000000001</v>
      </c>
      <c r="T5182">
        <v>-0.76210690000000003</v>
      </c>
      <c r="U5182">
        <v>0.44947809999999999</v>
      </c>
      <c r="V5182">
        <v>-8.4221880000000006E-3</v>
      </c>
      <c r="W5182">
        <v>-8.3442970000000005E-2</v>
      </c>
      <c r="X5182">
        <v>0.9964769</v>
      </c>
      <c r="Y5182">
        <v>0.14444360000000001</v>
      </c>
      <c r="Z5182">
        <v>1.8432799999999999E-2</v>
      </c>
      <c r="AA5182">
        <v>0.98934129999999998</v>
      </c>
      <c r="AB5182">
        <v>25</v>
      </c>
      <c r="AC5182">
        <v>-0.53690000000000204</v>
      </c>
      <c r="AD5182">
        <v>-0.20065369999999999</v>
      </c>
      <c r="AE5182">
        <v>0.118200000000001</v>
      </c>
      <c r="AF5182">
        <v>0.10351416709983099</v>
      </c>
      <c r="AG5182">
        <v>-0.20065369999999999</v>
      </c>
      <c r="AH5182">
        <v>0.47395823748835902</v>
      </c>
      <c r="AI5182">
        <v>112.47036327095699</v>
      </c>
      <c r="AJ5182">
        <v>77.679857098842604</v>
      </c>
      <c r="AK5182">
        <v>0.52498904845447303</v>
      </c>
      <c r="AL5182">
        <v>94.786495820783898</v>
      </c>
      <c r="AM5182">
        <v>90.4842503991661</v>
      </c>
      <c r="AN5182">
        <v>0.99999993736336701</v>
      </c>
    </row>
    <row r="5183" spans="1:40" x14ac:dyDescent="0.25">
      <c r="A5183" t="str">
        <f>"20190303154913074"</f>
        <v>20190303154913074</v>
      </c>
      <c r="B5183" t="str">
        <f>"1551599353066259"</f>
        <v>1551599353066259</v>
      </c>
      <c r="C5183" t="s">
        <v>40</v>
      </c>
      <c r="D5183">
        <v>5.622484</v>
      </c>
      <c r="E5183">
        <v>0.56205939999999999</v>
      </c>
      <c r="F5183" t="s">
        <v>42</v>
      </c>
      <c r="G5183">
        <v>-316.67880000000002</v>
      </c>
      <c r="H5183">
        <v>0.92186880000000004</v>
      </c>
      <c r="I5183">
        <v>141.69550000000001</v>
      </c>
      <c r="J5183">
        <v>-316.16160000000002</v>
      </c>
      <c r="K5183">
        <v>1.1199840000000001</v>
      </c>
      <c r="L5183">
        <v>141.57669999999999</v>
      </c>
      <c r="M5183">
        <v>-0.99996980000000002</v>
      </c>
      <c r="N5183">
        <v>-7.5855530000000001E-3</v>
      </c>
      <c r="O5183">
        <v>1.7060440000000001E-3</v>
      </c>
      <c r="P5183">
        <v>-0.9958186</v>
      </c>
      <c r="Q5183">
        <v>-9.1089370000000003E-2</v>
      </c>
      <c r="R5183">
        <v>-6.9367710000000004E-3</v>
      </c>
      <c r="S5183">
        <v>-2.94577</v>
      </c>
      <c r="T5183">
        <v>-0.76532979999999995</v>
      </c>
      <c r="U5183">
        <v>0.46020509999999898</v>
      </c>
      <c r="V5183">
        <v>-8.6440230000000007E-3</v>
      </c>
      <c r="W5183">
        <v>-8.3532129999999996E-2</v>
      </c>
      <c r="X5183">
        <v>0.99646760000000001</v>
      </c>
      <c r="Y5183">
        <v>0.14778179999999999</v>
      </c>
      <c r="Z5183">
        <v>1.8927699999999999E-2</v>
      </c>
      <c r="AA5183">
        <v>0.98883889999999997</v>
      </c>
      <c r="AB5183">
        <v>25</v>
      </c>
      <c r="AC5183">
        <v>-0.51720000000000199</v>
      </c>
      <c r="AD5183">
        <v>-0.19811519999999999</v>
      </c>
      <c r="AE5183">
        <v>0.118800000000021</v>
      </c>
      <c r="AF5183">
        <v>0.103492977439213</v>
      </c>
      <c r="AG5183">
        <v>-0.19811519999999999</v>
      </c>
      <c r="AH5183">
        <v>0.454109827196438</v>
      </c>
      <c r="AI5183">
        <v>113.04318930561</v>
      </c>
      <c r="AJ5183">
        <v>77.161402060547104</v>
      </c>
      <c r="AK5183">
        <v>0.50613848303270903</v>
      </c>
      <c r="AL5183">
        <v>94.791621876161102</v>
      </c>
      <c r="AM5183">
        <v>90.497009249052894</v>
      </c>
      <c r="AN5183">
        <v>1.0000000068628601</v>
      </c>
    </row>
    <row r="5184" spans="1:40" x14ac:dyDescent="0.25">
      <c r="A5184" t="str">
        <f>"20190303154913087"</f>
        <v>20190303154913087</v>
      </c>
      <c r="B5184" t="str">
        <f>"1551599353076019"</f>
        <v>1551599353076019</v>
      </c>
      <c r="C5184" t="s">
        <v>40</v>
      </c>
      <c r="D5184">
        <v>5.4361540000000002</v>
      </c>
      <c r="E5184">
        <v>0.56282679999999996</v>
      </c>
      <c r="F5184" t="s">
        <v>42</v>
      </c>
      <c r="G5184">
        <v>-316.90570000000002</v>
      </c>
      <c r="H5184">
        <v>0.92545270000000002</v>
      </c>
      <c r="I5184">
        <v>141.69489999999999</v>
      </c>
      <c r="J5184">
        <v>-316.31740000000002</v>
      </c>
      <c r="K5184">
        <v>1.119983</v>
      </c>
      <c r="L5184">
        <v>141.577</v>
      </c>
      <c r="M5184">
        <v>-0.99996989999999997</v>
      </c>
      <c r="N5184">
        <v>-7.571843E-3</v>
      </c>
      <c r="O5184">
        <v>1.7297E-3</v>
      </c>
      <c r="P5184">
        <v>-0.99579530000000005</v>
      </c>
      <c r="Q5184">
        <v>-9.1359599999999999E-2</v>
      </c>
      <c r="R5184">
        <v>-6.746274E-3</v>
      </c>
      <c r="S5184">
        <v>-2.9454039999999999</v>
      </c>
      <c r="T5184">
        <v>-0.77004340000000004</v>
      </c>
      <c r="U5184">
        <v>0.46705629999999998</v>
      </c>
      <c r="V5184">
        <v>-8.4770409999999994E-3</v>
      </c>
      <c r="W5184">
        <v>-8.3816210000000002E-2</v>
      </c>
      <c r="X5184">
        <v>0.99644520000000003</v>
      </c>
      <c r="Y5184">
        <v>0.14989340000000001</v>
      </c>
      <c r="Z5184">
        <v>1.9307399999999999E-2</v>
      </c>
      <c r="AA5184">
        <v>0.98851359999999999</v>
      </c>
      <c r="AB5184">
        <v>25</v>
      </c>
      <c r="AC5184">
        <v>-0.58830000000000304</v>
      </c>
      <c r="AD5184">
        <v>-0.19453029999999999</v>
      </c>
      <c r="AE5184">
        <v>0.117899999999991</v>
      </c>
      <c r="AF5184">
        <v>0.105764505316556</v>
      </c>
      <c r="AG5184">
        <v>-0.19453029999999999</v>
      </c>
      <c r="AH5184">
        <v>0.53252529767016699</v>
      </c>
      <c r="AI5184">
        <v>109.71257289995501</v>
      </c>
      <c r="AJ5184">
        <v>78.766701581568398</v>
      </c>
      <c r="AK5184">
        <v>0.57672468376309904</v>
      </c>
      <c r="AL5184">
        <v>94.807955644503195</v>
      </c>
      <c r="AM5184">
        <v>90.4874196345895</v>
      </c>
      <c r="AN5184">
        <v>1.0000000269429501</v>
      </c>
    </row>
    <row r="5185" spans="1:40" x14ac:dyDescent="0.25">
      <c r="A5185" t="str">
        <f>"20190303154913101"</f>
        <v>20190303154913101</v>
      </c>
      <c r="B5185" t="str">
        <f>"1551599353096515"</f>
        <v>1551599353096515</v>
      </c>
      <c r="C5185" t="s">
        <v>40</v>
      </c>
      <c r="D5185">
        <v>5.5561699999999998</v>
      </c>
      <c r="E5185">
        <v>0.56314409999999904</v>
      </c>
      <c r="F5185" t="s">
        <v>42</v>
      </c>
      <c r="G5185">
        <v>-317.12520000000001</v>
      </c>
      <c r="H5185">
        <v>0.9090203</v>
      </c>
      <c r="I5185">
        <v>141.7071</v>
      </c>
      <c r="J5185">
        <v>-316.47030000000001</v>
      </c>
      <c r="K5185">
        <v>1.119972</v>
      </c>
      <c r="L5185">
        <v>141.57730000000001</v>
      </c>
      <c r="M5185">
        <v>-0.99996989999999997</v>
      </c>
      <c r="N5185">
        <v>-7.55997599999999E-3</v>
      </c>
      <c r="O5185">
        <v>1.752991E-3</v>
      </c>
      <c r="P5185">
        <v>-0.9958342</v>
      </c>
      <c r="Q5185">
        <v>-9.0909320000000002E-2</v>
      </c>
      <c r="R5185">
        <v>-7.0598750000000002E-3</v>
      </c>
      <c r="S5185">
        <v>-2.9452820000000002</v>
      </c>
      <c r="T5185">
        <v>-0.76923920000000001</v>
      </c>
      <c r="U5185">
        <v>0.47392269999999997</v>
      </c>
      <c r="V5185">
        <v>-8.8142419999999999E-3</v>
      </c>
      <c r="W5185">
        <v>-8.3377480000000004E-2</v>
      </c>
      <c r="X5185">
        <v>0.996479</v>
      </c>
      <c r="Y5185">
        <v>0.15206320000000001</v>
      </c>
      <c r="Z5185">
        <v>1.9564720000000001E-2</v>
      </c>
      <c r="AA5185">
        <v>0.98817710000000003</v>
      </c>
      <c r="AB5185">
        <v>25</v>
      </c>
      <c r="AC5185">
        <v>-0.65489999999999704</v>
      </c>
      <c r="AD5185">
        <v>-0.21095169999999899</v>
      </c>
      <c r="AE5185">
        <v>0.12979999999998801</v>
      </c>
      <c r="AF5185">
        <v>0.116973676852225</v>
      </c>
      <c r="AG5185">
        <v>-0.21095169999999899</v>
      </c>
      <c r="AH5185">
        <v>0.59565897519029798</v>
      </c>
      <c r="AI5185">
        <v>109.162908775438</v>
      </c>
      <c r="AJ5185">
        <v>78.889808777361694</v>
      </c>
      <c r="AK5185">
        <v>0.64264537307443104</v>
      </c>
      <c r="AL5185">
        <v>94.782730356023393</v>
      </c>
      <c r="AM5185">
        <v>90.506790103743</v>
      </c>
      <c r="AN5185">
        <v>0.99999994623709099</v>
      </c>
    </row>
    <row r="5186" spans="1:40" x14ac:dyDescent="0.25">
      <c r="A5186" t="str">
        <f>"20190303154913113"</f>
        <v>20190303154913113</v>
      </c>
      <c r="B5186" t="str">
        <f>"1551599353106275"</f>
        <v>1551599353106275</v>
      </c>
      <c r="C5186" t="s">
        <v>40</v>
      </c>
      <c r="D5186">
        <v>5.4931140000000003</v>
      </c>
      <c r="E5186">
        <v>0.56350210000000001</v>
      </c>
      <c r="F5186" t="s">
        <v>42</v>
      </c>
      <c r="G5186">
        <v>-317.34449999999998</v>
      </c>
      <c r="H5186">
        <v>0.89045409999999903</v>
      </c>
      <c r="I5186">
        <v>141.71860000000001</v>
      </c>
      <c r="J5186">
        <v>-316.61219999999997</v>
      </c>
      <c r="K5186">
        <v>1.1199749999999999</v>
      </c>
      <c r="L5186">
        <v>141.57749999999999</v>
      </c>
      <c r="M5186">
        <v>-0.99996989999999997</v>
      </c>
      <c r="N5186">
        <v>-7.551388E-3</v>
      </c>
      <c r="O5186">
        <v>1.77424299999999E-3</v>
      </c>
      <c r="P5186">
        <v>-0.99582870000000001</v>
      </c>
      <c r="Q5186">
        <v>-9.0971910000000003E-2</v>
      </c>
      <c r="R5186">
        <v>-7.0051330000000002E-3</v>
      </c>
      <c r="S5186">
        <v>-2.9452820000000002</v>
      </c>
      <c r="T5186">
        <v>-0.77333260000000004</v>
      </c>
      <c r="U5186">
        <v>0.4756012</v>
      </c>
      <c r="V5186">
        <v>-8.7804519999999994E-3</v>
      </c>
      <c r="W5186">
        <v>-8.3448640000000004E-2</v>
      </c>
      <c r="X5186">
        <v>0.99647339999999995</v>
      </c>
      <c r="Y5186">
        <v>0.1525244</v>
      </c>
      <c r="Z5186">
        <v>1.971666E-2</v>
      </c>
      <c r="AA5186">
        <v>0.98810299999999995</v>
      </c>
      <c r="AB5186">
        <v>25</v>
      </c>
      <c r="AC5186">
        <v>-0.73230000000000905</v>
      </c>
      <c r="AD5186">
        <v>-0.2295209</v>
      </c>
      <c r="AE5186">
        <v>0.14110000000002201</v>
      </c>
      <c r="AF5186">
        <v>0.12770448148743799</v>
      </c>
      <c r="AG5186">
        <v>-0.2295209</v>
      </c>
      <c r="AH5186">
        <v>0.66916671068508904</v>
      </c>
      <c r="AI5186">
        <v>108.619427176503</v>
      </c>
      <c r="AJ5186">
        <v>79.195530162289401</v>
      </c>
      <c r="AK5186">
        <v>0.71886880918418405</v>
      </c>
      <c r="AL5186">
        <v>94.786821503321505</v>
      </c>
      <c r="AM5186">
        <v>90.504850226946402</v>
      </c>
      <c r="AN5186">
        <v>1.0000000043813599</v>
      </c>
    </row>
    <row r="5187" spans="1:40" x14ac:dyDescent="0.25">
      <c r="A5187" t="str">
        <f>"20190303154913141"</f>
        <v>20190303154913141</v>
      </c>
      <c r="B5187" t="str">
        <f>"1551599353136531"</f>
        <v>1551599353136531</v>
      </c>
      <c r="C5187" t="s">
        <v>40</v>
      </c>
      <c r="D5187">
        <v>5.4294580000000003</v>
      </c>
      <c r="E5187">
        <v>0.56435449999999998</v>
      </c>
      <c r="F5187" t="s">
        <v>42</v>
      </c>
      <c r="G5187">
        <v>-317.35759999999999</v>
      </c>
      <c r="H5187">
        <v>0.92367710000000003</v>
      </c>
      <c r="I5187">
        <v>141.69890000000001</v>
      </c>
      <c r="J5187">
        <v>-316.92290000000003</v>
      </c>
      <c r="K5187">
        <v>1.119988</v>
      </c>
      <c r="L5187">
        <v>141.57810000000001</v>
      </c>
      <c r="M5187">
        <v>-0.99997000000000003</v>
      </c>
      <c r="N5187">
        <v>-7.5364459999999996E-3</v>
      </c>
      <c r="O5187">
        <v>1.8209109999999999E-3</v>
      </c>
      <c r="P5187">
        <v>-0.99590690000000004</v>
      </c>
      <c r="Q5187">
        <v>-9.0079320000000004E-2</v>
      </c>
      <c r="R5187">
        <v>-7.4262649999999996E-3</v>
      </c>
      <c r="S5187">
        <v>-2.9450989999999999</v>
      </c>
      <c r="T5187">
        <v>-0.7755358</v>
      </c>
      <c r="U5187">
        <v>0.478653</v>
      </c>
      <c r="V5187">
        <v>-9.2482099999999998E-3</v>
      </c>
      <c r="W5187">
        <v>-8.2570329999999997E-2</v>
      </c>
      <c r="X5187">
        <v>0.99654229999999999</v>
      </c>
      <c r="Y5187">
        <v>0.15342839999999999</v>
      </c>
      <c r="Z5187">
        <v>1.9876029999999999E-2</v>
      </c>
      <c r="AA5187">
        <v>0.9879599</v>
      </c>
      <c r="AB5187">
        <v>25</v>
      </c>
      <c r="AC5187">
        <v>-0.434699999999963</v>
      </c>
      <c r="AD5187">
        <v>-0.19631089999999901</v>
      </c>
      <c r="AE5187">
        <v>0.120800000000002</v>
      </c>
      <c r="AF5187">
        <v>0.100904655786882</v>
      </c>
      <c r="AG5187">
        <v>-0.19631089999999901</v>
      </c>
      <c r="AH5187">
        <v>0.36568640644214101</v>
      </c>
      <c r="AI5187">
        <v>117.361087832946</v>
      </c>
      <c r="AJ5187">
        <v>74.574104529950304</v>
      </c>
      <c r="AK5187">
        <v>0.42713729276995499</v>
      </c>
      <c r="AL5187">
        <v>94.736323918416204</v>
      </c>
      <c r="AM5187">
        <v>90.531706672114694</v>
      </c>
      <c r="AN5187">
        <v>0.99999997223690096</v>
      </c>
    </row>
    <row r="5188" spans="1:40" x14ac:dyDescent="0.25">
      <c r="A5188" t="str">
        <f>"20190303154913163"</f>
        <v>20190303154913163</v>
      </c>
      <c r="B5188" t="str">
        <f>"1551599353156051"</f>
        <v>1551599353156051</v>
      </c>
      <c r="C5188" t="s">
        <v>40</v>
      </c>
      <c r="D5188">
        <v>5.3312280000000003</v>
      </c>
      <c r="E5188">
        <v>0.56469990000000003</v>
      </c>
      <c r="F5188" t="s">
        <v>42</v>
      </c>
      <c r="G5188">
        <v>-317.79930000000002</v>
      </c>
      <c r="H5188">
        <v>0.88888509999999998</v>
      </c>
      <c r="I5188">
        <v>141.72239999999999</v>
      </c>
      <c r="J5188">
        <v>-317.18150000000003</v>
      </c>
      <c r="K5188">
        <v>1.119977</v>
      </c>
      <c r="L5188">
        <v>141.5787</v>
      </c>
      <c r="M5188">
        <v>-0.99996989999999997</v>
      </c>
      <c r="N5188">
        <v>-7.5290590000000003E-3</v>
      </c>
      <c r="O5188">
        <v>1.860219E-3</v>
      </c>
      <c r="P5188">
        <v>-0.99593039999999999</v>
      </c>
      <c r="Q5188">
        <v>-8.9817960000000002E-2</v>
      </c>
      <c r="R5188">
        <v>-7.4441109999999998E-3</v>
      </c>
      <c r="S5188">
        <v>-2.9456790000000002</v>
      </c>
      <c r="T5188">
        <v>-0.77676239999999996</v>
      </c>
      <c r="U5188">
        <v>0.48411559999999998</v>
      </c>
      <c r="V5188">
        <v>-9.3054279999999993E-3</v>
      </c>
      <c r="W5188">
        <v>-8.2316159999999999E-2</v>
      </c>
      <c r="X5188">
        <v>0.99656279999999997</v>
      </c>
      <c r="Y5188">
        <v>0.15507570000000001</v>
      </c>
      <c r="Z5188">
        <v>2.0107369999999999E-2</v>
      </c>
      <c r="AA5188">
        <v>0.98769799999999996</v>
      </c>
      <c r="AB5188">
        <v>25</v>
      </c>
      <c r="AC5188">
        <v>-0.61779999999998803</v>
      </c>
      <c r="AD5188">
        <v>-0.23109189999999899</v>
      </c>
      <c r="AE5188">
        <v>0.143699999999995</v>
      </c>
      <c r="AF5188">
        <v>0.125846090033427</v>
      </c>
      <c r="AG5188">
        <v>-0.23109189999999899</v>
      </c>
      <c r="AH5188">
        <v>0.54563985814878402</v>
      </c>
      <c r="AI5188">
        <v>112.42546798525299</v>
      </c>
      <c r="AJ5188">
        <v>77.012442005903793</v>
      </c>
      <c r="AK5188">
        <v>0.60577517233948797</v>
      </c>
      <c r="AL5188">
        <v>94.721711278700496</v>
      </c>
      <c r="AM5188">
        <v>90.534985107244594</v>
      </c>
      <c r="AN5188">
        <v>0.99999997776562399</v>
      </c>
    </row>
    <row r="5189" spans="1:40" x14ac:dyDescent="0.25">
      <c r="A5189" t="str">
        <f>"20190303154913186"</f>
        <v>20190303154913186</v>
      </c>
      <c r="B5189" t="str">
        <f>"1551599353176547"</f>
        <v>1551599353176547</v>
      </c>
      <c r="C5189" t="s">
        <v>40</v>
      </c>
      <c r="D5189">
        <v>5.2689859999999999</v>
      </c>
      <c r="E5189">
        <v>0.56489860000000003</v>
      </c>
      <c r="F5189" t="s">
        <v>42</v>
      </c>
      <c r="G5189">
        <v>-318.03059999999999</v>
      </c>
      <c r="H5189">
        <v>0.89564909999999998</v>
      </c>
      <c r="I5189">
        <v>141.7192</v>
      </c>
      <c r="J5189">
        <v>-317.4357</v>
      </c>
      <c r="K5189">
        <v>1.1199760000000001</v>
      </c>
      <c r="L5189">
        <v>141.57919999999999</v>
      </c>
      <c r="M5189">
        <v>-0.99997000000000003</v>
      </c>
      <c r="N5189">
        <v>-7.5252139999999997E-3</v>
      </c>
      <c r="O5189">
        <v>1.898262E-3</v>
      </c>
      <c r="P5189">
        <v>-0.99591589999999997</v>
      </c>
      <c r="Q5189">
        <v>-9.0001269999999994E-2</v>
      </c>
      <c r="R5189">
        <v>-7.1689569999999897E-3</v>
      </c>
      <c r="S5189">
        <v>-2.9456790000000002</v>
      </c>
      <c r="T5189">
        <v>-0.77815909999999999</v>
      </c>
      <c r="U5189">
        <v>0.48730469999999998</v>
      </c>
      <c r="V5189">
        <v>-9.0676890000000003E-3</v>
      </c>
      <c r="W5189">
        <v>-8.2503419999999994E-2</v>
      </c>
      <c r="X5189">
        <v>0.99654949999999998</v>
      </c>
      <c r="Y5189">
        <v>0.15603029999999901</v>
      </c>
      <c r="Z5189">
        <v>2.0256739999999999E-2</v>
      </c>
      <c r="AA5189">
        <v>0.98754450000000005</v>
      </c>
      <c r="AB5189">
        <v>25</v>
      </c>
      <c r="AC5189">
        <v>-0.59489999999999499</v>
      </c>
      <c r="AD5189">
        <v>-0.2243269</v>
      </c>
      <c r="AE5189">
        <v>0.140000000000014</v>
      </c>
      <c r="AF5189">
        <v>0.12238189636041</v>
      </c>
      <c r="AG5189">
        <v>-0.2243269</v>
      </c>
      <c r="AH5189">
        <v>0.52449883339074099</v>
      </c>
      <c r="AI5189">
        <v>112.612204681245</v>
      </c>
      <c r="AJ5189">
        <v>76.866098361735993</v>
      </c>
      <c r="AK5189">
        <v>0.58343715415512298</v>
      </c>
      <c r="AL5189">
        <v>94.732477135423494</v>
      </c>
      <c r="AM5189">
        <v>90.521324803421805</v>
      </c>
      <c r="AN5189">
        <v>0.99999997162287302</v>
      </c>
    </row>
    <row r="5190" spans="1:40" x14ac:dyDescent="0.25">
      <c r="A5190" t="str">
        <f>"20190303154913209"</f>
        <v>20190303154913209</v>
      </c>
      <c r="B5190" t="str">
        <f>"1551599353205827"</f>
        <v>1551599353205827</v>
      </c>
      <c r="C5190" t="s">
        <v>40</v>
      </c>
      <c r="D5190">
        <v>5.1788889999999999</v>
      </c>
      <c r="E5190">
        <v>0.56533</v>
      </c>
      <c r="F5190" t="s">
        <v>42</v>
      </c>
      <c r="G5190">
        <v>-318.26170000000002</v>
      </c>
      <c r="H5190">
        <v>0.90035299999999996</v>
      </c>
      <c r="I5190">
        <v>141.7167</v>
      </c>
      <c r="J5190">
        <v>-317.69819999999999</v>
      </c>
      <c r="K5190">
        <v>1.119977</v>
      </c>
      <c r="L5190">
        <v>141.5797</v>
      </c>
      <c r="M5190">
        <v>-0.99996980000000002</v>
      </c>
      <c r="N5190">
        <v>-7.5244209999999999E-3</v>
      </c>
      <c r="O5190">
        <v>1.9381999999999999E-3</v>
      </c>
      <c r="P5190">
        <v>-0.99589030000000001</v>
      </c>
      <c r="Q5190">
        <v>-9.0312820000000002E-2</v>
      </c>
      <c r="R5190">
        <v>-6.811208E-3</v>
      </c>
      <c r="S5190">
        <v>-2.945068</v>
      </c>
      <c r="T5190">
        <v>-0.78298429999999997</v>
      </c>
      <c r="U5190">
        <v>0.48928830000000001</v>
      </c>
      <c r="V5190">
        <v>-8.7500330000000008E-3</v>
      </c>
      <c r="W5190">
        <v>-8.2815970000000003E-2</v>
      </c>
      <c r="X5190">
        <v>0.99652640000000003</v>
      </c>
      <c r="Y5190">
        <v>0.15658759999999999</v>
      </c>
      <c r="Z5190">
        <v>2.0441919999999999E-2</v>
      </c>
      <c r="AA5190">
        <v>0.98745249999999996</v>
      </c>
      <c r="AB5190">
        <v>26</v>
      </c>
      <c r="AC5190">
        <v>-0.56350000000003297</v>
      </c>
      <c r="AD5190">
        <v>-0.21962399999999899</v>
      </c>
      <c r="AE5190">
        <v>0.13700000000000001</v>
      </c>
      <c r="AF5190">
        <v>0.11885982074142901</v>
      </c>
      <c r="AG5190">
        <v>-0.21962399999999899</v>
      </c>
      <c r="AH5190">
        <v>0.49304804783300199</v>
      </c>
      <c r="AI5190">
        <v>113.414349595001</v>
      </c>
      <c r="AJ5190">
        <v>76.446233321828302</v>
      </c>
      <c r="AK5190">
        <v>0.55268321472125304</v>
      </c>
      <c r="AL5190">
        <v>94.750446495785795</v>
      </c>
      <c r="AM5190">
        <v>90.5030745578173</v>
      </c>
      <c r="AN5190">
        <v>0.99999995693074994</v>
      </c>
    </row>
    <row r="5191" spans="1:40" x14ac:dyDescent="0.25">
      <c r="A5191" t="str">
        <f>"20190303154913241"</f>
        <v>20190303154913241</v>
      </c>
      <c r="B5191" t="str">
        <f>"1551599353236084"</f>
        <v>1551599353236084</v>
      </c>
      <c r="C5191" t="s">
        <v>40</v>
      </c>
      <c r="D5191">
        <v>5.1723470000000002</v>
      </c>
      <c r="E5191">
        <v>0.56592319999999996</v>
      </c>
      <c r="F5191" t="s">
        <v>42</v>
      </c>
      <c r="G5191">
        <v>-318.49419999999998</v>
      </c>
      <c r="H5191">
        <v>0.90672039999999998</v>
      </c>
      <c r="I5191">
        <v>141.7132</v>
      </c>
      <c r="J5191">
        <v>-318.07100000000003</v>
      </c>
      <c r="K5191">
        <v>1.1199730000000001</v>
      </c>
      <c r="L5191">
        <v>141.5805</v>
      </c>
      <c r="M5191">
        <v>-0.99996969999999996</v>
      </c>
      <c r="N5191">
        <v>-7.5275569999999998E-3</v>
      </c>
      <c r="O5191">
        <v>1.9946349999999998E-3</v>
      </c>
      <c r="P5191">
        <v>-0.99597349999999996</v>
      </c>
      <c r="Q5191">
        <v>-8.9381349999999998E-2</v>
      </c>
      <c r="R5191">
        <v>-6.9414189999999999E-3</v>
      </c>
      <c r="S5191">
        <v>-2.9442140000000001</v>
      </c>
      <c r="T5191">
        <v>-0.78868819999999995</v>
      </c>
      <c r="U5191">
        <v>0.49342350000000001</v>
      </c>
      <c r="V5191">
        <v>-8.9365209999999994E-3</v>
      </c>
      <c r="W5191">
        <v>-8.1880759999999997E-2</v>
      </c>
      <c r="X5191">
        <v>0.99660210000000005</v>
      </c>
      <c r="Y5191">
        <v>0.15780810000000001</v>
      </c>
      <c r="Z5191">
        <v>2.0735279999999998E-2</v>
      </c>
      <c r="AA5191">
        <v>0.98725209999999997</v>
      </c>
      <c r="AB5191">
        <v>26</v>
      </c>
      <c r="AC5191">
        <v>-0.42320000000000801</v>
      </c>
      <c r="AD5191">
        <v>-0.21325259999999899</v>
      </c>
      <c r="AE5191">
        <v>0.13269999999999901</v>
      </c>
      <c r="AF5191">
        <v>0.10709611037639701</v>
      </c>
      <c r="AG5191">
        <v>-0.21325259999999899</v>
      </c>
      <c r="AH5191">
        <v>0.34394699658710598</v>
      </c>
      <c r="AI5191">
        <v>120.624778551178</v>
      </c>
      <c r="AJ5191">
        <v>72.7047758039635</v>
      </c>
      <c r="AK5191">
        <v>0.41862367912697401</v>
      </c>
      <c r="AL5191">
        <v>94.696679936221898</v>
      </c>
      <c r="AM5191">
        <v>90.513756908644496</v>
      </c>
      <c r="AN5191">
        <v>1.00000003299508</v>
      </c>
    </row>
    <row r="5192" spans="1:40" x14ac:dyDescent="0.25">
      <c r="A5192" t="str">
        <f>"20190303154913274"</f>
        <v>20190303154913274</v>
      </c>
      <c r="B5192" t="str">
        <f>"1551599353266343"</f>
        <v>1551599353266343</v>
      </c>
      <c r="C5192" t="s">
        <v>40</v>
      </c>
      <c r="D5192">
        <v>5.1001919999999998</v>
      </c>
      <c r="E5192">
        <v>0.56626919999999903</v>
      </c>
      <c r="F5192" t="s">
        <v>42</v>
      </c>
      <c r="G5192">
        <v>-318.9477</v>
      </c>
      <c r="H5192">
        <v>0.88527</v>
      </c>
      <c r="I5192">
        <v>141.72880000000001</v>
      </c>
      <c r="J5192">
        <v>-318.4522</v>
      </c>
      <c r="K5192">
        <v>1.1199709999999901</v>
      </c>
      <c r="L5192">
        <v>141.5813</v>
      </c>
      <c r="M5192">
        <v>-0.99996949999999996</v>
      </c>
      <c r="N5192">
        <v>-7.5359059999999898E-3</v>
      </c>
      <c r="O5192">
        <v>2.052005E-3</v>
      </c>
      <c r="P5192">
        <v>-0.99591980000000002</v>
      </c>
      <c r="Q5192">
        <v>-9.0026519999999999E-2</v>
      </c>
      <c r="R5192">
        <v>-6.2437990000000004E-3</v>
      </c>
      <c r="S5192">
        <v>-2.9448240000000001</v>
      </c>
      <c r="T5192">
        <v>-0.78834950000000004</v>
      </c>
      <c r="U5192">
        <v>0.4976044</v>
      </c>
      <c r="V5192">
        <v>-8.2959639999999994E-3</v>
      </c>
      <c r="W5192">
        <v>-8.2518069999999999E-2</v>
      </c>
      <c r="X5192">
        <v>0.99655499999999997</v>
      </c>
      <c r="Y5192">
        <v>0.15904740000000001</v>
      </c>
      <c r="Z5192">
        <v>2.0873610000000001E-2</v>
      </c>
      <c r="AA5192">
        <v>0.98705030000000005</v>
      </c>
      <c r="AB5192">
        <v>26</v>
      </c>
      <c r="AC5192">
        <v>-0.495499999999992</v>
      </c>
      <c r="AD5192">
        <v>-0.23470099999999899</v>
      </c>
      <c r="AE5192">
        <v>0.14750000000000699</v>
      </c>
      <c r="AF5192">
        <v>0.121452121980859</v>
      </c>
      <c r="AG5192">
        <v>-0.23470099999999899</v>
      </c>
      <c r="AH5192">
        <v>0.41107981909433</v>
      </c>
      <c r="AI5192">
        <v>118.702495958931</v>
      </c>
      <c r="AJ5192">
        <v>73.540405534370393</v>
      </c>
      <c r="AK5192">
        <v>0.48869396865654102</v>
      </c>
      <c r="AL5192">
        <v>94.733319438773293</v>
      </c>
      <c r="AM5192">
        <v>90.476955857652698</v>
      </c>
      <c r="AN5192">
        <v>0.99999996146010595</v>
      </c>
    </row>
    <row r="5193" spans="1:40" x14ac:dyDescent="0.25">
      <c r="A5193" t="str">
        <f>"20190303154913297"</f>
        <v>20190303154913297</v>
      </c>
      <c r="B5193" t="str">
        <f>"1551599353285859"</f>
        <v>1551599353285859</v>
      </c>
      <c r="C5193" t="s">
        <v>40</v>
      </c>
      <c r="D5193">
        <v>5.1083049999999997</v>
      </c>
      <c r="E5193">
        <v>0.56645769999999995</v>
      </c>
      <c r="F5193" t="s">
        <v>42</v>
      </c>
      <c r="G5193">
        <v>-319.19330000000002</v>
      </c>
      <c r="H5193">
        <v>0.91998179999999996</v>
      </c>
      <c r="I5193">
        <v>141.708</v>
      </c>
      <c r="J5193">
        <v>-318.7174</v>
      </c>
      <c r="K5193">
        <v>1.1199749999999999</v>
      </c>
      <c r="L5193">
        <v>141.58189999999999</v>
      </c>
      <c r="M5193">
        <v>-0.99996949999999996</v>
      </c>
      <c r="N5193">
        <v>-7.5438500000000004E-3</v>
      </c>
      <c r="O5193">
        <v>2.091734E-3</v>
      </c>
      <c r="P5193">
        <v>-0.99588620000000005</v>
      </c>
      <c r="Q5193">
        <v>-9.0438320000000003E-2</v>
      </c>
      <c r="R5193">
        <v>-5.674073E-3</v>
      </c>
      <c r="S5193">
        <v>-2.9436339999999999</v>
      </c>
      <c r="T5193">
        <v>-0.79435979999999995</v>
      </c>
      <c r="U5193">
        <v>0.50190729999999995</v>
      </c>
      <c r="V5193">
        <v>-7.765859E-3</v>
      </c>
      <c r="W5193">
        <v>-8.2922220000000005E-2</v>
      </c>
      <c r="X5193">
        <v>0.99652580000000002</v>
      </c>
      <c r="Y5193">
        <v>0.16034570000000001</v>
      </c>
      <c r="Z5193">
        <v>2.1194919999999999E-2</v>
      </c>
      <c r="AA5193">
        <v>0.98683330000000002</v>
      </c>
      <c r="AB5193">
        <v>26</v>
      </c>
      <c r="AC5193">
        <v>-0.47590000000002403</v>
      </c>
      <c r="AD5193">
        <v>-0.19999319999999901</v>
      </c>
      <c r="AE5193">
        <v>0.12610000000000801</v>
      </c>
      <c r="AF5193">
        <v>0.107383998507342</v>
      </c>
      <c r="AG5193">
        <v>-0.19999319999999901</v>
      </c>
      <c r="AH5193">
        <v>0.40871722992716297</v>
      </c>
      <c r="AI5193">
        <v>115.326203371326</v>
      </c>
      <c r="AJ5193">
        <v>75.279142641133504</v>
      </c>
      <c r="AK5193">
        <v>0.46752366487804498</v>
      </c>
      <c r="AL5193">
        <v>94.7565548039898</v>
      </c>
      <c r="AM5193">
        <v>90.446493144542799</v>
      </c>
      <c r="AN5193">
        <v>1.00000003660068</v>
      </c>
    </row>
    <row r="5194" spans="1:40" x14ac:dyDescent="0.25">
      <c r="A5194" t="str">
        <f>"20190303154913320"</f>
        <v>20190303154913320</v>
      </c>
      <c r="B5194" t="str">
        <f>"1551599353316115"</f>
        <v>1551599353316115</v>
      </c>
      <c r="C5194" t="s">
        <v>40</v>
      </c>
      <c r="D5194">
        <v>5.0826159999999998</v>
      </c>
      <c r="E5194">
        <v>0.56676119999999997</v>
      </c>
      <c r="F5194" t="s">
        <v>42</v>
      </c>
      <c r="G5194">
        <v>-319.42880000000002</v>
      </c>
      <c r="H5194">
        <v>0.92721430000000005</v>
      </c>
      <c r="I5194">
        <v>141.70429999999999</v>
      </c>
      <c r="J5194">
        <v>-318.98070000000001</v>
      </c>
      <c r="K5194">
        <v>1.1199779999999999</v>
      </c>
      <c r="L5194">
        <v>141.58250000000001</v>
      </c>
      <c r="M5194">
        <v>-0.9999692</v>
      </c>
      <c r="N5194">
        <v>-7.5533350000000004E-3</v>
      </c>
      <c r="O5194">
        <v>2.1317530000000001E-3</v>
      </c>
      <c r="P5194">
        <v>-0.99586989999999997</v>
      </c>
      <c r="Q5194">
        <v>-9.0628040000000007E-2</v>
      </c>
      <c r="R5194">
        <v>-5.4587910000000002E-3</v>
      </c>
      <c r="S5194">
        <v>-2.9429020000000001</v>
      </c>
      <c r="T5194">
        <v>-0.79740759999999999</v>
      </c>
      <c r="U5194">
        <v>0.50541689999999995</v>
      </c>
      <c r="V5194">
        <v>-7.5908779999999997E-3</v>
      </c>
      <c r="W5194">
        <v>-8.3102629999999997E-2</v>
      </c>
      <c r="X5194">
        <v>0.99651210000000001</v>
      </c>
      <c r="Y5194">
        <v>0.16140929999999901</v>
      </c>
      <c r="Z5194">
        <v>2.1409399999999999E-2</v>
      </c>
      <c r="AA5194">
        <v>0.98665530000000001</v>
      </c>
      <c r="AB5194">
        <v>26</v>
      </c>
      <c r="AC5194">
        <v>-0.44810000000000999</v>
      </c>
      <c r="AD5194">
        <v>-0.19276370000000001</v>
      </c>
      <c r="AE5194">
        <v>0.12179999999997899</v>
      </c>
      <c r="AF5194">
        <v>0.103081182695727</v>
      </c>
      <c r="AG5194">
        <v>-0.19276370000000001</v>
      </c>
      <c r="AH5194">
        <v>0.38245310967269203</v>
      </c>
      <c r="AI5194">
        <v>115.949997164382</v>
      </c>
      <c r="AJ5194">
        <v>74.915723207606803</v>
      </c>
      <c r="AK5194">
        <v>0.44051555632230699</v>
      </c>
      <c r="AL5194">
        <v>94.766927429551401</v>
      </c>
      <c r="AM5194">
        <v>90.436439116233302</v>
      </c>
      <c r="AN5194">
        <v>1.0000000169940599</v>
      </c>
    </row>
    <row r="5195" spans="1:40" x14ac:dyDescent="0.25">
      <c r="A5195" t="str">
        <f>"20190303154913342"</f>
        <v>20190303154913342</v>
      </c>
      <c r="B5195" t="str">
        <f>"1551599353336611"</f>
        <v>1551599353336611</v>
      </c>
      <c r="C5195" t="s">
        <v>40</v>
      </c>
      <c r="D5195">
        <v>5.0610689999999998</v>
      </c>
      <c r="E5195">
        <v>0.56695519999999999</v>
      </c>
      <c r="F5195" t="s">
        <v>42</v>
      </c>
      <c r="G5195">
        <v>-319.66500000000002</v>
      </c>
      <c r="H5195">
        <v>0.93396829999999997</v>
      </c>
      <c r="I5195">
        <v>141.70099999999999</v>
      </c>
      <c r="J5195">
        <v>-319.24090000000001</v>
      </c>
      <c r="K5195">
        <v>1.1199809999999999</v>
      </c>
      <c r="L5195">
        <v>141.5831</v>
      </c>
      <c r="M5195">
        <v>-0.99996910000000006</v>
      </c>
      <c r="N5195">
        <v>-7.5640269999999897E-3</v>
      </c>
      <c r="O5195">
        <v>2.170993E-3</v>
      </c>
      <c r="P5195">
        <v>-0.9958707</v>
      </c>
      <c r="Q5195">
        <v>-9.0617950000000003E-2</v>
      </c>
      <c r="R5195">
        <v>-5.4793589999999996E-3</v>
      </c>
      <c r="S5195">
        <v>-2.9424440000000001</v>
      </c>
      <c r="T5195">
        <v>-0.79979359999999999</v>
      </c>
      <c r="U5195">
        <v>0.50849909999999998</v>
      </c>
      <c r="V5195">
        <v>-7.6502879999999999E-3</v>
      </c>
      <c r="W5195">
        <v>-8.3081870000000002E-2</v>
      </c>
      <c r="X5195">
        <v>0.99651339999999999</v>
      </c>
      <c r="Y5195">
        <v>0.16233349999999999</v>
      </c>
      <c r="Z5195">
        <v>2.1587749999999999E-2</v>
      </c>
      <c r="AA5195">
        <v>0.98649980000000004</v>
      </c>
      <c r="AB5195">
        <v>26</v>
      </c>
      <c r="AC5195">
        <v>-0.42410000000000903</v>
      </c>
      <c r="AD5195">
        <v>-0.186012699999999</v>
      </c>
      <c r="AE5195">
        <v>0.117899999999991</v>
      </c>
      <c r="AF5195">
        <v>9.9254669960017305E-2</v>
      </c>
      <c r="AG5195">
        <v>-0.186012699999999</v>
      </c>
      <c r="AH5195">
        <v>0.36005796170932403</v>
      </c>
      <c r="AI5195">
        <v>116.47523649219499</v>
      </c>
      <c r="AJ5195">
        <v>74.588436651030904</v>
      </c>
      <c r="AK5195">
        <v>0.41724567087081299</v>
      </c>
      <c r="AL5195">
        <v>94.765733730724406</v>
      </c>
      <c r="AM5195">
        <v>90.439854199120106</v>
      </c>
      <c r="AN5195">
        <v>1.0000000402043601</v>
      </c>
    </row>
    <row r="5196" spans="1:40" x14ac:dyDescent="0.25">
      <c r="A5196" t="str">
        <f>"20190303154913363"</f>
        <v>20190303154913363</v>
      </c>
      <c r="B5196" t="str">
        <f>"1551599353356135"</f>
        <v>1551599353356135</v>
      </c>
      <c r="C5196" t="s">
        <v>40</v>
      </c>
      <c r="D5196">
        <v>5.0877119999999998</v>
      </c>
      <c r="E5196">
        <v>0.56713290000000005</v>
      </c>
      <c r="F5196" t="s">
        <v>42</v>
      </c>
      <c r="G5196">
        <v>-320.11290000000002</v>
      </c>
      <c r="H5196">
        <v>0.88304340000000003</v>
      </c>
      <c r="I5196">
        <v>141.7345</v>
      </c>
      <c r="J5196">
        <v>-319.5009</v>
      </c>
      <c r="K5196">
        <v>1.1199779999999999</v>
      </c>
      <c r="L5196">
        <v>141.58369999999999</v>
      </c>
      <c r="M5196">
        <v>-0.99996890000000005</v>
      </c>
      <c r="N5196">
        <v>-7.5757580000000001E-3</v>
      </c>
      <c r="O5196">
        <v>2.2105269999999999E-3</v>
      </c>
      <c r="P5196">
        <v>-0.99590129999999999</v>
      </c>
      <c r="Q5196">
        <v>-9.0283219999999997E-2</v>
      </c>
      <c r="R5196">
        <v>-5.4564899999999996E-3</v>
      </c>
      <c r="S5196">
        <v>-2.9425659999999998</v>
      </c>
      <c r="T5196">
        <v>-0.79957769999999995</v>
      </c>
      <c r="U5196">
        <v>0.5103607</v>
      </c>
      <c r="V5196">
        <v>-7.6671409999999997E-3</v>
      </c>
      <c r="W5196">
        <v>-8.2735210000000003E-2</v>
      </c>
      <c r="X5196">
        <v>0.99654209999999999</v>
      </c>
      <c r="Y5196">
        <v>0.1628791</v>
      </c>
      <c r="Z5196">
        <v>2.1645660000000001E-2</v>
      </c>
      <c r="AA5196">
        <v>0.98640859999999997</v>
      </c>
      <c r="AB5196">
        <v>26</v>
      </c>
      <c r="AC5196">
        <v>-0.61200000000002297</v>
      </c>
      <c r="AD5196">
        <v>-0.2369346</v>
      </c>
      <c r="AE5196">
        <v>0.15080000000000299</v>
      </c>
      <c r="AF5196">
        <v>0.13094383147521199</v>
      </c>
      <c r="AG5196">
        <v>-0.2369346</v>
      </c>
      <c r="AH5196">
        <v>0.53651939550807803</v>
      </c>
      <c r="AI5196">
        <v>113.22037141368899</v>
      </c>
      <c r="AJ5196">
        <v>76.284427112497099</v>
      </c>
      <c r="AK5196">
        <v>0.60094704711390501</v>
      </c>
      <c r="AL5196">
        <v>94.745803013490004</v>
      </c>
      <c r="AM5196">
        <v>90.440810431098399</v>
      </c>
      <c r="AN5196">
        <v>1.0000000285486299</v>
      </c>
    </row>
    <row r="5197" spans="1:40" x14ac:dyDescent="0.25">
      <c r="A5197" t="str">
        <f>"20190303154913387"</f>
        <v>20190303154913387</v>
      </c>
      <c r="B5197" t="str">
        <f>"1551599353376628"</f>
        <v>1551599353376628</v>
      </c>
      <c r="C5197" t="s">
        <v>40</v>
      </c>
      <c r="D5197">
        <v>5.0269019999999998</v>
      </c>
      <c r="E5197">
        <v>0.56741989999999998</v>
      </c>
      <c r="F5197" t="s">
        <v>42</v>
      </c>
      <c r="G5197">
        <v>-320.35039999999998</v>
      </c>
      <c r="H5197">
        <v>0.88921360000000005</v>
      </c>
      <c r="I5197">
        <v>141.73140000000001</v>
      </c>
      <c r="J5197">
        <v>-319.76580000000001</v>
      </c>
      <c r="K5197">
        <v>1.119977</v>
      </c>
      <c r="L5197">
        <v>141.58439999999999</v>
      </c>
      <c r="M5197">
        <v>-0.99996879999999999</v>
      </c>
      <c r="N5197">
        <v>-7.5886319999999997E-3</v>
      </c>
      <c r="O5197">
        <v>2.2505340000000002E-3</v>
      </c>
      <c r="P5197">
        <v>-0.99590380000000001</v>
      </c>
      <c r="Q5197">
        <v>-9.0201009999999998E-2</v>
      </c>
      <c r="R5197">
        <v>-6.3049119999999898E-3</v>
      </c>
      <c r="S5197">
        <v>-2.942688</v>
      </c>
      <c r="T5197">
        <v>-0.79929659999999902</v>
      </c>
      <c r="U5197">
        <v>0.51182559999999999</v>
      </c>
      <c r="V5197">
        <v>-8.5548569999999904E-3</v>
      </c>
      <c r="W5197">
        <v>-8.2640069999999996E-2</v>
      </c>
      <c r="X5197">
        <v>0.99654279999999995</v>
      </c>
      <c r="Y5197">
        <v>0.16330020000000001</v>
      </c>
      <c r="Z5197">
        <v>2.1685090000000001E-2</v>
      </c>
      <c r="AA5197">
        <v>0.9863381</v>
      </c>
      <c r="AB5197">
        <v>26</v>
      </c>
      <c r="AC5197">
        <v>-0.58459999999996604</v>
      </c>
      <c r="AD5197">
        <v>-0.23076339999999901</v>
      </c>
      <c r="AE5197">
        <v>0.147000000000019</v>
      </c>
      <c r="AF5197">
        <v>0.12706273197076401</v>
      </c>
      <c r="AG5197">
        <v>-0.23076339999999901</v>
      </c>
      <c r="AH5197">
        <v>0.51016418406369701</v>
      </c>
      <c r="AI5197">
        <v>113.69776575496699</v>
      </c>
      <c r="AJ5197">
        <v>76.014326487005206</v>
      </c>
      <c r="AK5197">
        <v>0.57416389588410399</v>
      </c>
      <c r="AL5197">
        <v>94.740333014741196</v>
      </c>
      <c r="AM5197">
        <v>90.491845568882098</v>
      </c>
      <c r="AN5197">
        <v>1.0000000594898599</v>
      </c>
    </row>
    <row r="5198" spans="1:40" x14ac:dyDescent="0.25">
      <c r="A5198" t="str">
        <f>"20190303154913411"</f>
        <v>20190303154913411</v>
      </c>
      <c r="B5198" t="str">
        <f>"1551599353405907"</f>
        <v>1551599353405907</v>
      </c>
      <c r="C5198" t="s">
        <v>40</v>
      </c>
      <c r="D5198">
        <v>5.0475820000000002</v>
      </c>
      <c r="E5198">
        <v>0.56792580000000004</v>
      </c>
      <c r="F5198" t="s">
        <v>42</v>
      </c>
      <c r="G5198">
        <v>-320.58909999999997</v>
      </c>
      <c r="H5198">
        <v>0.89652659999999995</v>
      </c>
      <c r="I5198">
        <v>141.7278</v>
      </c>
      <c r="J5198">
        <v>-320.05059999999997</v>
      </c>
      <c r="K5198">
        <v>1.1199779999999999</v>
      </c>
      <c r="L5198">
        <v>141.58500000000001</v>
      </c>
      <c r="M5198">
        <v>-0.99996859999999999</v>
      </c>
      <c r="N5198">
        <v>-7.6034179999999998E-3</v>
      </c>
      <c r="O5198">
        <v>2.2930979999999999E-3</v>
      </c>
      <c r="P5198">
        <v>-0.99590279999999998</v>
      </c>
      <c r="Q5198">
        <v>-9.0182620000000005E-2</v>
      </c>
      <c r="R5198">
        <v>-6.7147569999999896E-3</v>
      </c>
      <c r="S5198">
        <v>-2.9432680000000002</v>
      </c>
      <c r="T5198">
        <v>-0.79888749999999997</v>
      </c>
      <c r="U5198">
        <v>0.51176449999999996</v>
      </c>
      <c r="V5198">
        <v>-9.0072590000000001E-3</v>
      </c>
      <c r="W5198">
        <v>-8.2606879999999994E-2</v>
      </c>
      <c r="X5198">
        <v>0.99654149999999997</v>
      </c>
      <c r="Y5198">
        <v>0.16321769999999999</v>
      </c>
      <c r="Z5198">
        <v>2.164984E-2</v>
      </c>
      <c r="AA5198">
        <v>0.98635249999999997</v>
      </c>
      <c r="AB5198">
        <v>26</v>
      </c>
      <c r="AC5198">
        <v>-0.53849999999999898</v>
      </c>
      <c r="AD5198">
        <v>-0.22345139999999999</v>
      </c>
      <c r="AE5198">
        <v>0.14279999999999399</v>
      </c>
      <c r="AF5198">
        <v>0.121946902765876</v>
      </c>
      <c r="AG5198">
        <v>-0.22345139999999999</v>
      </c>
      <c r="AH5198">
        <v>0.464156260748045</v>
      </c>
      <c r="AI5198">
        <v>114.967279963568</v>
      </c>
      <c r="AJ5198">
        <v>75.279468925622595</v>
      </c>
      <c r="AK5198">
        <v>0.52937945714558798</v>
      </c>
      <c r="AL5198">
        <v>94.738425153279294</v>
      </c>
      <c r="AM5198">
        <v>90.5178548738199</v>
      </c>
      <c r="AN5198">
        <v>0.99999999428013797</v>
      </c>
    </row>
    <row r="5199" spans="1:40" x14ac:dyDescent="0.25">
      <c r="A5199" t="str">
        <f>"20190303154913431"</f>
        <v>20190303154913431</v>
      </c>
      <c r="B5199" t="str">
        <f>"1551599353426403"</f>
        <v>1551599353426403</v>
      </c>
      <c r="C5199" t="s">
        <v>40</v>
      </c>
      <c r="D5199">
        <v>5.0830909999999996</v>
      </c>
      <c r="E5199">
        <v>0.56817359999999995</v>
      </c>
      <c r="F5199" t="s">
        <v>42</v>
      </c>
      <c r="G5199">
        <v>-320.83019999999999</v>
      </c>
      <c r="H5199">
        <v>0.90856099999999995</v>
      </c>
      <c r="I5199">
        <v>141.72149999999999</v>
      </c>
      <c r="J5199">
        <v>-320.29320000000001</v>
      </c>
      <c r="K5199">
        <v>1.119969</v>
      </c>
      <c r="L5199">
        <v>141.5856</v>
      </c>
      <c r="M5199">
        <v>-0.99996830000000003</v>
      </c>
      <c r="N5199">
        <v>-7.6166659999999898E-3</v>
      </c>
      <c r="O5199">
        <v>2.329766E-3</v>
      </c>
      <c r="P5199">
        <v>-0.99588569999999998</v>
      </c>
      <c r="Q5199">
        <v>-9.0333159999999996E-2</v>
      </c>
      <c r="R5199">
        <v>-7.1787930000000002E-3</v>
      </c>
      <c r="S5199">
        <v>-2.9435730000000002</v>
      </c>
      <c r="T5199">
        <v>-0.79826319999999995</v>
      </c>
      <c r="U5199">
        <v>0.51480099999999995</v>
      </c>
      <c r="V5199">
        <v>-9.5079980000000001E-3</v>
      </c>
      <c r="W5199">
        <v>-8.2744349999999994E-2</v>
      </c>
      <c r="X5199">
        <v>0.99652549999999995</v>
      </c>
      <c r="Y5199">
        <v>0.16413079999999999</v>
      </c>
      <c r="Z5199">
        <v>2.174622E-2</v>
      </c>
      <c r="AA5199">
        <v>0.98619880000000004</v>
      </c>
      <c r="AB5199">
        <v>26</v>
      </c>
      <c r="AC5199">
        <v>-0.53699999999997705</v>
      </c>
      <c r="AD5199">
        <v>-0.21140799999999901</v>
      </c>
      <c r="AE5199">
        <v>0.135899999999992</v>
      </c>
      <c r="AF5199">
        <v>0.1175294246549</v>
      </c>
      <c r="AG5199">
        <v>-0.21140799999999901</v>
      </c>
      <c r="AH5199">
        <v>0.46900141834666198</v>
      </c>
      <c r="AI5199">
        <v>113.616971619221</v>
      </c>
      <c r="AJ5199">
        <v>75.931673755215797</v>
      </c>
      <c r="AK5199">
        <v>0.52770146724724198</v>
      </c>
      <c r="AL5199">
        <v>94.746328392757306</v>
      </c>
      <c r="AM5199">
        <v>90.546650965982195</v>
      </c>
      <c r="AN5199">
        <v>1.0000000508165601</v>
      </c>
    </row>
    <row r="5200" spans="1:40" x14ac:dyDescent="0.25">
      <c r="A5200" t="str">
        <f>"20190303154913453"</f>
        <v>20190303154913453</v>
      </c>
      <c r="B5200" t="str">
        <f>"1551599353445923"</f>
        <v>1551599353445923</v>
      </c>
      <c r="C5200" t="s">
        <v>40</v>
      </c>
      <c r="D5200">
        <v>5.1063080000000003</v>
      </c>
      <c r="E5200">
        <v>0.56836739999999997</v>
      </c>
      <c r="F5200" t="s">
        <v>42</v>
      </c>
      <c r="G5200">
        <v>-321.0677</v>
      </c>
      <c r="H5200">
        <v>0.90984960000000004</v>
      </c>
      <c r="I5200">
        <v>141.72139999999999</v>
      </c>
      <c r="J5200">
        <v>-320.55810000000002</v>
      </c>
      <c r="K5200">
        <v>1.1199699999999999</v>
      </c>
      <c r="L5200">
        <v>141.58629999999999</v>
      </c>
      <c r="M5200">
        <v>-0.99996810000000003</v>
      </c>
      <c r="N5200">
        <v>-7.6317290000000003E-3</v>
      </c>
      <c r="O5200">
        <v>2.3695859999999999E-3</v>
      </c>
      <c r="P5200">
        <v>-0.99589989999999995</v>
      </c>
      <c r="Q5200">
        <v>-9.014308E-2</v>
      </c>
      <c r="R5200">
        <v>-7.6029849999999996E-3</v>
      </c>
      <c r="S5200">
        <v>-2.9436650000000002</v>
      </c>
      <c r="T5200">
        <v>-0.79854569999999903</v>
      </c>
      <c r="U5200">
        <v>0.51564030000000005</v>
      </c>
      <c r="V5200">
        <v>-9.9719439999999999E-3</v>
      </c>
      <c r="W5200">
        <v>-8.2539100000000004E-2</v>
      </c>
      <c r="X5200">
        <v>0.99653789999999998</v>
      </c>
      <c r="Y5200">
        <v>0.16434889999999999</v>
      </c>
      <c r="Z5200">
        <v>2.1773109999999998E-2</v>
      </c>
      <c r="AA5200">
        <v>0.98616190000000004</v>
      </c>
      <c r="AB5200">
        <v>26</v>
      </c>
      <c r="AC5200">
        <v>-0.50959999999997696</v>
      </c>
      <c r="AD5200">
        <v>-0.21012040000000001</v>
      </c>
      <c r="AE5200">
        <v>0.135099999999994</v>
      </c>
      <c r="AF5200">
        <v>0.115539023527947</v>
      </c>
      <c r="AG5200">
        <v>-0.21012040000000001</v>
      </c>
      <c r="AH5200">
        <v>0.44002248224128399</v>
      </c>
      <c r="AI5200">
        <v>114.790585604114</v>
      </c>
      <c r="AJ5200">
        <v>75.287661357272896</v>
      </c>
      <c r="AK5200">
        <v>0.50111838255219898</v>
      </c>
      <c r="AL5200">
        <v>94.734528479486798</v>
      </c>
      <c r="AM5200">
        <v>90.573316113491501</v>
      </c>
      <c r="AN5200">
        <v>0.999999964416178</v>
      </c>
    </row>
    <row r="5201" spans="1:40" x14ac:dyDescent="0.25">
      <c r="A5201" t="str">
        <f>"20190303154913475"</f>
        <v>20190303154913475</v>
      </c>
      <c r="B5201" t="str">
        <f>"1551599353466419"</f>
        <v>1551599353466419</v>
      </c>
      <c r="C5201" t="s">
        <v>40</v>
      </c>
      <c r="D5201">
        <v>5.0826120000000001</v>
      </c>
      <c r="E5201">
        <v>0.56854300000000002</v>
      </c>
      <c r="F5201" t="s">
        <v>42</v>
      </c>
      <c r="G5201">
        <v>-321.30799999999999</v>
      </c>
      <c r="H5201">
        <v>0.9166069</v>
      </c>
      <c r="I5201">
        <v>141.71780000000001</v>
      </c>
      <c r="J5201">
        <v>-320.81939999999997</v>
      </c>
      <c r="K5201">
        <v>1.1199669999999999</v>
      </c>
      <c r="L5201">
        <v>141.58690000000001</v>
      </c>
      <c r="M5201">
        <v>-0.99996790000000002</v>
      </c>
      <c r="N5201">
        <v>-7.647076E-3</v>
      </c>
      <c r="O5201">
        <v>2.4088080000000001E-3</v>
      </c>
      <c r="P5201">
        <v>-0.99586949999999996</v>
      </c>
      <c r="Q5201">
        <v>-9.0482580000000007E-2</v>
      </c>
      <c r="R5201">
        <v>-7.543704E-3</v>
      </c>
      <c r="S5201">
        <v>-2.9440309999999998</v>
      </c>
      <c r="T5201">
        <v>-0.79838999999999904</v>
      </c>
      <c r="U5201">
        <v>0.5161133</v>
      </c>
      <c r="V5201">
        <v>-9.9517170000000005E-3</v>
      </c>
      <c r="W5201">
        <v>-8.2863519999999996E-2</v>
      </c>
      <c r="X5201">
        <v>0.99651120000000004</v>
      </c>
      <c r="Y5201">
        <v>0.16444439999999999</v>
      </c>
      <c r="Z5201">
        <v>2.1770620000000001E-2</v>
      </c>
      <c r="AA5201">
        <v>0.98614610000000003</v>
      </c>
      <c r="AB5201">
        <v>27</v>
      </c>
      <c r="AC5201">
        <v>-0.48860000000001902</v>
      </c>
      <c r="AD5201">
        <v>-0.20336009999999999</v>
      </c>
      <c r="AE5201">
        <v>0.13089999999999599</v>
      </c>
      <c r="AF5201">
        <v>0.11167297903055801</v>
      </c>
      <c r="AG5201">
        <v>-0.20336009999999999</v>
      </c>
      <c r="AH5201">
        <v>0.42088621741631399</v>
      </c>
      <c r="AI5201">
        <v>115.033146409772</v>
      </c>
      <c r="AJ5201">
        <v>75.140204227276897</v>
      </c>
      <c r="AK5201">
        <v>0.480594831982807</v>
      </c>
      <c r="AL5201">
        <v>94.753180169726704</v>
      </c>
      <c r="AM5201">
        <v>90.572168610674197</v>
      </c>
      <c r="AN5201">
        <v>0.99999998567173898</v>
      </c>
    </row>
    <row r="5202" spans="1:40" x14ac:dyDescent="0.25">
      <c r="A5202" t="str">
        <f>"20190303154913499"</f>
        <v>20190303154913499</v>
      </c>
      <c r="B5202" t="str">
        <f>"1551599353495700"</f>
        <v>1551599353495700</v>
      </c>
      <c r="C5202" t="s">
        <v>40</v>
      </c>
      <c r="D5202">
        <v>4.9985179999999998</v>
      </c>
      <c r="E5202">
        <v>0.56853799999999999</v>
      </c>
      <c r="F5202" t="s">
        <v>42</v>
      </c>
      <c r="G5202">
        <v>-321.54840000000002</v>
      </c>
      <c r="H5202">
        <v>0.92203780000000002</v>
      </c>
      <c r="I5202">
        <v>141.71549999999999</v>
      </c>
      <c r="J5202">
        <v>-321.10419999999999</v>
      </c>
      <c r="K5202">
        <v>1.119969</v>
      </c>
      <c r="L5202">
        <v>141.58770000000001</v>
      </c>
      <c r="M5202">
        <v>-0.99996770000000001</v>
      </c>
      <c r="N5202">
        <v>-7.6642580000000002E-3</v>
      </c>
      <c r="O5202">
        <v>2.4516590000000001E-3</v>
      </c>
      <c r="P5202">
        <v>-0.99581790000000003</v>
      </c>
      <c r="Q5202">
        <v>-9.1035539999999998E-2</v>
      </c>
      <c r="R5202">
        <v>-7.6869950000000003E-3</v>
      </c>
      <c r="S5202">
        <v>-2.943756</v>
      </c>
      <c r="T5202">
        <v>-0.79934369999999999</v>
      </c>
      <c r="U5202">
        <v>0.51776120000000003</v>
      </c>
      <c r="V5202">
        <v>-1.013753E-2</v>
      </c>
      <c r="W5202">
        <v>-8.3399730000000005E-2</v>
      </c>
      <c r="X5202">
        <v>0.99646460000000003</v>
      </c>
      <c r="Y5202">
        <v>0.16492309999999999</v>
      </c>
      <c r="Z5202">
        <v>2.1851659999999998E-2</v>
      </c>
      <c r="AA5202">
        <v>0.9860643</v>
      </c>
      <c r="AB5202">
        <v>27</v>
      </c>
      <c r="AC5202">
        <v>-0.44420000000002302</v>
      </c>
      <c r="AD5202">
        <v>-0.1979312</v>
      </c>
      <c r="AE5202">
        <v>0.12779999999997901</v>
      </c>
      <c r="AF5202">
        <v>0.107075854668889</v>
      </c>
      <c r="AG5202">
        <v>-0.1979312</v>
      </c>
      <c r="AH5202">
        <v>0.37563169952984699</v>
      </c>
      <c r="AI5202">
        <v>116.873286732964</v>
      </c>
      <c r="AJ5202">
        <v>74.089510926984204</v>
      </c>
      <c r="AK5202">
        <v>0.43788260102245902</v>
      </c>
      <c r="AL5202">
        <v>94.784009424490506</v>
      </c>
      <c r="AM5202">
        <v>90.582878354155298</v>
      </c>
      <c r="AN5202">
        <v>0.99999999176586596</v>
      </c>
    </row>
    <row r="5203" spans="1:40" x14ac:dyDescent="0.25">
      <c r="A5203" t="str">
        <f>"20190303154913522"</f>
        <v>20190303154913522</v>
      </c>
      <c r="B5203" t="str">
        <f>"1551599353516195"</f>
        <v>1551599353516195</v>
      </c>
      <c r="C5203" t="s">
        <v>40</v>
      </c>
      <c r="D5203">
        <v>4.9875420000000004</v>
      </c>
      <c r="E5203">
        <v>0.53447630000000002</v>
      </c>
      <c r="F5203" t="s">
        <v>42</v>
      </c>
      <c r="G5203">
        <v>-321.7919</v>
      </c>
      <c r="H5203">
        <v>0.93301959999999995</v>
      </c>
      <c r="I5203">
        <v>141.70869999999999</v>
      </c>
      <c r="J5203">
        <v>-321.3698</v>
      </c>
      <c r="K5203">
        <v>1.1199680000000001</v>
      </c>
      <c r="L5203">
        <v>141.58840000000001</v>
      </c>
      <c r="M5203">
        <v>-0.99996759999999996</v>
      </c>
      <c r="N5203">
        <v>-7.680788E-3</v>
      </c>
      <c r="O5203">
        <v>2.4913549999999998E-3</v>
      </c>
      <c r="P5203">
        <v>-0.99582000000000004</v>
      </c>
      <c r="Q5203">
        <v>-9.1010969999999997E-2</v>
      </c>
      <c r="R5203">
        <v>-7.745114E-3</v>
      </c>
      <c r="S5203">
        <v>-2.9434200000000001</v>
      </c>
      <c r="T5203">
        <v>-0.80021989999999998</v>
      </c>
      <c r="U5203">
        <v>0.51737979999999995</v>
      </c>
      <c r="V5203">
        <v>-1.023545E-2</v>
      </c>
      <c r="W5203">
        <v>-8.3358639999999998E-2</v>
      </c>
      <c r="X5203">
        <v>0.99646710000000005</v>
      </c>
      <c r="Y5203">
        <v>0.16477169999999999</v>
      </c>
      <c r="Z5203">
        <v>2.1847180000000001E-2</v>
      </c>
      <c r="AA5203">
        <v>0.98608980000000002</v>
      </c>
      <c r="AB5203">
        <v>27</v>
      </c>
      <c r="AC5203">
        <v>-0.42209999999999998</v>
      </c>
      <c r="AD5203">
        <v>-0.18694839999999999</v>
      </c>
      <c r="AE5203">
        <v>0.120299999999986</v>
      </c>
      <c r="AF5203">
        <v>0.100935773717898</v>
      </c>
      <c r="AG5203">
        <v>-0.18694839999999999</v>
      </c>
      <c r="AH5203">
        <v>0.35753314130983199</v>
      </c>
      <c r="AI5203">
        <v>116.71224459502599</v>
      </c>
      <c r="AJ5203">
        <v>74.235008212186699</v>
      </c>
      <c r="AK5203">
        <v>0.415893834786556</v>
      </c>
      <c r="AL5203">
        <v>94.781646614469906</v>
      </c>
      <c r="AM5203">
        <v>90.588506597571296</v>
      </c>
      <c r="AN5203">
        <v>1.00000005434087</v>
      </c>
    </row>
    <row r="5204" spans="1:40" x14ac:dyDescent="0.25">
      <c r="A5204" t="str">
        <f>"20190303154913542"</f>
        <v>20190303154913542</v>
      </c>
      <c r="B5204" t="str">
        <f>"1551599353535715"</f>
        <v>1551599353535715</v>
      </c>
      <c r="C5204" t="s">
        <v>40</v>
      </c>
      <c r="D5204">
        <v>5.0092780000000001</v>
      </c>
      <c r="E5204">
        <v>0.52591060000000001</v>
      </c>
      <c r="F5204" t="s">
        <v>42</v>
      </c>
      <c r="G5204">
        <v>-322.28910000000002</v>
      </c>
      <c r="H5204">
        <v>0.97188589999999997</v>
      </c>
      <c r="I5204">
        <v>141.66560000000001</v>
      </c>
      <c r="J5204">
        <v>-321.62709999999998</v>
      </c>
      <c r="K5204">
        <v>1.1199680000000001</v>
      </c>
      <c r="L5204">
        <v>141.589</v>
      </c>
      <c r="M5204">
        <v>-0.99996719999999895</v>
      </c>
      <c r="N5204">
        <v>-7.6970909999999997E-3</v>
      </c>
      <c r="O5204">
        <v>2.5299770000000001E-3</v>
      </c>
      <c r="P5204">
        <v>-0.99581019999999998</v>
      </c>
      <c r="Q5204">
        <v>-9.111358E-2</v>
      </c>
      <c r="R5204">
        <v>-7.7779210000000001E-3</v>
      </c>
      <c r="S5204">
        <v>-2.970825</v>
      </c>
      <c r="T5204">
        <v>-0.47857650000000002</v>
      </c>
      <c r="U5204">
        <v>0.24946589999999999</v>
      </c>
      <c r="V5204">
        <v>-1.0306640000000001E-2</v>
      </c>
      <c r="W5204">
        <v>-8.344509E-2</v>
      </c>
      <c r="X5204">
        <v>0.99645910000000004</v>
      </c>
      <c r="Y5204">
        <v>8.0109890000000003E-2</v>
      </c>
      <c r="Z5204">
        <v>6.3261510000000003E-3</v>
      </c>
      <c r="AA5204">
        <v>0.99676600000000004</v>
      </c>
      <c r="AB5204">
        <v>27</v>
      </c>
      <c r="AC5204">
        <v>-0.66200000000003401</v>
      </c>
      <c r="AD5204">
        <v>-0.14808209999999999</v>
      </c>
      <c r="AE5204">
        <v>7.6600000000013296E-2</v>
      </c>
      <c r="AF5204">
        <v>7.1399463722470802E-2</v>
      </c>
      <c r="AG5204">
        <v>-0.14808209999999999</v>
      </c>
      <c r="AH5204">
        <v>0.63103395528419604</v>
      </c>
      <c r="AI5204">
        <v>103.125580026836</v>
      </c>
      <c r="AJ5204">
        <v>83.544620966540904</v>
      </c>
      <c r="AK5204">
        <v>0.65209665271482797</v>
      </c>
      <c r="AL5204">
        <v>94.786617297652796</v>
      </c>
      <c r="AM5204">
        <v>90.592604267958805</v>
      </c>
      <c r="AN5204">
        <v>1.000000023923</v>
      </c>
    </row>
    <row r="5205" spans="1:40" x14ac:dyDescent="0.25">
      <c r="A5205" t="str">
        <f>"20190303154913565"</f>
        <v>20190303154913565</v>
      </c>
      <c r="B5205" t="str">
        <f>"1551599353556212"</f>
        <v>1551599353556212</v>
      </c>
      <c r="C5205" t="s">
        <v>40</v>
      </c>
      <c r="D5205">
        <v>5.0254880000000002</v>
      </c>
      <c r="E5205">
        <v>0.52280899999999997</v>
      </c>
      <c r="F5205" t="s">
        <v>42</v>
      </c>
      <c r="G5205">
        <v>-322.54849999999999</v>
      </c>
      <c r="H5205">
        <v>1.0099739999999999</v>
      </c>
      <c r="I5205">
        <v>141.64570000000001</v>
      </c>
      <c r="J5205">
        <v>-321.89839999999998</v>
      </c>
      <c r="K5205">
        <v>1.119966</v>
      </c>
      <c r="L5205">
        <v>141.5898</v>
      </c>
      <c r="M5205">
        <v>-0.99996689999999999</v>
      </c>
      <c r="N5205">
        <v>-7.7145089999999996E-3</v>
      </c>
      <c r="O5205">
        <v>2.5708599999999999E-3</v>
      </c>
      <c r="P5205">
        <v>-0.99577159999999998</v>
      </c>
      <c r="Q5205">
        <v>-9.1510359999999999E-2</v>
      </c>
      <c r="R5205">
        <v>-8.0198939999999996E-3</v>
      </c>
      <c r="S5205">
        <v>-2.9814759999999998</v>
      </c>
      <c r="T5205">
        <v>-0.3559698</v>
      </c>
      <c r="U5205">
        <v>0.18241879999999999</v>
      </c>
      <c r="V5205">
        <v>-1.05895E-2</v>
      </c>
      <c r="W5205">
        <v>-8.3824780000000002E-2</v>
      </c>
      <c r="X5205">
        <v>0.99642430000000004</v>
      </c>
      <c r="Y5205">
        <v>5.808166E-2</v>
      </c>
      <c r="Z5205">
        <v>3.391102E-3</v>
      </c>
      <c r="AA5205">
        <v>0.99830609999999997</v>
      </c>
      <c r="AB5205">
        <v>27</v>
      </c>
      <c r="AC5205">
        <v>-0.650100000000009</v>
      </c>
      <c r="AD5205">
        <v>-0.10999200000000001</v>
      </c>
      <c r="AE5205">
        <v>5.59000000000082E-2</v>
      </c>
      <c r="AF5205">
        <v>5.2730072729167098E-2</v>
      </c>
      <c r="AG5205">
        <v>-0.10999200000000001</v>
      </c>
      <c r="AH5205">
        <v>0.63227485772624703</v>
      </c>
      <c r="AI5205">
        <v>99.835074587513901</v>
      </c>
      <c r="AJ5205">
        <v>85.2327134786172</v>
      </c>
      <c r="AK5205">
        <v>0.64393337881085899</v>
      </c>
      <c r="AL5205">
        <v>94.808448251587706</v>
      </c>
      <c r="AM5205">
        <v>90.6088880173224</v>
      </c>
      <c r="AN5205">
        <v>1.0000000584413899</v>
      </c>
    </row>
    <row r="5206" spans="1:40" x14ac:dyDescent="0.25">
      <c r="A5206" t="str">
        <f>"20190303154913588"</f>
        <v>20190303154913588</v>
      </c>
      <c r="B5206" t="str">
        <f>"1551599353586467"</f>
        <v>1551599353586467</v>
      </c>
      <c r="C5206" t="s">
        <v>40</v>
      </c>
      <c r="D5206">
        <v>5.0386439999999997</v>
      </c>
      <c r="E5206">
        <v>0.52027319999999999</v>
      </c>
      <c r="F5206" t="s">
        <v>42</v>
      </c>
      <c r="G5206">
        <v>-322.7971</v>
      </c>
      <c r="H5206">
        <v>1.0249649999999999</v>
      </c>
      <c r="I5206">
        <v>141.63730000000001</v>
      </c>
      <c r="J5206">
        <v>-322.173</v>
      </c>
      <c r="K5206">
        <v>1.119958</v>
      </c>
      <c r="L5206">
        <v>141.59049999999999</v>
      </c>
      <c r="M5206">
        <v>-0.99996680000000004</v>
      </c>
      <c r="N5206">
        <v>-7.7323629999999999E-3</v>
      </c>
      <c r="O5206">
        <v>2.6118600000000001E-3</v>
      </c>
      <c r="P5206">
        <v>-0.99571449999999995</v>
      </c>
      <c r="Q5206">
        <v>-9.2131199999999996E-2</v>
      </c>
      <c r="R5206">
        <v>-8.0577640000000002E-3</v>
      </c>
      <c r="S5206">
        <v>-2.984985</v>
      </c>
      <c r="T5206">
        <v>-0.31560310000000003</v>
      </c>
      <c r="U5206">
        <v>0.15742490000000001</v>
      </c>
      <c r="V5206">
        <v>-1.06683E-2</v>
      </c>
      <c r="W5206">
        <v>-8.4428219999999998E-2</v>
      </c>
      <c r="X5206">
        <v>0.99637249999999999</v>
      </c>
      <c r="Y5206">
        <v>4.9772669999999998E-2</v>
      </c>
      <c r="Z5206">
        <v>2.5601970000000002E-3</v>
      </c>
      <c r="AA5206">
        <v>0.99875729999999996</v>
      </c>
      <c r="AB5206">
        <v>27</v>
      </c>
      <c r="AC5206">
        <v>-0.62409999999999799</v>
      </c>
      <c r="AD5206">
        <v>-9.4993000000000105E-2</v>
      </c>
      <c r="AE5206">
        <v>4.6800000000018799E-2</v>
      </c>
      <c r="AF5206">
        <v>4.4152555613026799E-2</v>
      </c>
      <c r="AG5206">
        <v>-9.4993000000000105E-2</v>
      </c>
      <c r="AH5206">
        <v>0.61016333568575098</v>
      </c>
      <c r="AI5206">
        <v>98.826316842058404</v>
      </c>
      <c r="AJ5206">
        <v>85.861184544119595</v>
      </c>
      <c r="AK5206">
        <v>0.61908998896067102</v>
      </c>
      <c r="AL5206">
        <v>94.843145866658105</v>
      </c>
      <c r="AM5206">
        <v>90.613450499446799</v>
      </c>
      <c r="AN5206">
        <v>1.0000000478567499</v>
      </c>
    </row>
    <row r="5207" spans="1:40" x14ac:dyDescent="0.25">
      <c r="A5207" t="str">
        <f>"20190303154913611"</f>
        <v>20190303154913611</v>
      </c>
      <c r="B5207" t="str">
        <f>"1551599353605988"</f>
        <v>1551599353605988</v>
      </c>
      <c r="C5207" t="s">
        <v>40</v>
      </c>
      <c r="D5207">
        <v>4.9883860000000002</v>
      </c>
      <c r="E5207">
        <v>0.51932599999999995</v>
      </c>
      <c r="F5207" t="s">
        <v>42</v>
      </c>
      <c r="G5207">
        <v>-323.0455</v>
      </c>
      <c r="H5207">
        <v>1.037963</v>
      </c>
      <c r="I5207">
        <v>141.631</v>
      </c>
      <c r="J5207">
        <v>-322.44959999999998</v>
      </c>
      <c r="K5207">
        <v>1.119953</v>
      </c>
      <c r="L5207">
        <v>141.59129999999999</v>
      </c>
      <c r="M5207">
        <v>-0.99996660000000004</v>
      </c>
      <c r="N5207">
        <v>-7.7505119999999898E-3</v>
      </c>
      <c r="O5207">
        <v>2.6516600000000001E-3</v>
      </c>
      <c r="P5207">
        <v>-0.99565079999999995</v>
      </c>
      <c r="Q5207">
        <v>-9.286266E-2</v>
      </c>
      <c r="R5207">
        <v>-7.5168750000000001E-3</v>
      </c>
      <c r="S5207">
        <v>-2.9880369999999998</v>
      </c>
      <c r="T5207">
        <v>-0.28084619999999999</v>
      </c>
      <c r="U5207">
        <v>0.1374359</v>
      </c>
      <c r="V5207">
        <v>-1.0166440000000001E-2</v>
      </c>
      <c r="W5207">
        <v>-8.5142109999999993E-2</v>
      </c>
      <c r="X5207">
        <v>0.99631700000000001</v>
      </c>
      <c r="Y5207">
        <v>4.310224E-2</v>
      </c>
      <c r="Z5207">
        <v>1.9595519999999998E-3</v>
      </c>
      <c r="AA5207">
        <v>0.99906870000000003</v>
      </c>
      <c r="AB5207">
        <v>27</v>
      </c>
      <c r="AC5207">
        <v>-0.59590000000002796</v>
      </c>
      <c r="AD5207">
        <v>-8.1989999999999993E-2</v>
      </c>
      <c r="AE5207">
        <v>3.9700000000010498E-2</v>
      </c>
      <c r="AF5207">
        <v>3.7414522193745102E-2</v>
      </c>
      <c r="AG5207">
        <v>-8.1989999999999993E-2</v>
      </c>
      <c r="AH5207">
        <v>0.58497786180358302</v>
      </c>
      <c r="AI5207">
        <v>97.962493234398096</v>
      </c>
      <c r="AJ5207">
        <v>86.340411473090796</v>
      </c>
      <c r="AK5207">
        <v>0.59187946861779095</v>
      </c>
      <c r="AL5207">
        <v>94.884196552480901</v>
      </c>
      <c r="AM5207">
        <v>90.584627070609599</v>
      </c>
      <c r="AN5207">
        <v>1.00000004994326</v>
      </c>
    </row>
    <row r="5208" spans="1:40" x14ac:dyDescent="0.25">
      <c r="A5208" t="str">
        <f>"20190303154913633"</f>
        <v>20190303154913633</v>
      </c>
      <c r="B5208" t="str">
        <f>"1551599353626483"</f>
        <v>1551599353626483</v>
      </c>
      <c r="C5208" t="s">
        <v>40</v>
      </c>
      <c r="D5208">
        <v>5.0246180000000003</v>
      </c>
      <c r="E5208">
        <v>0.51874719999999996</v>
      </c>
      <c r="F5208" t="s">
        <v>42</v>
      </c>
      <c r="G5208">
        <v>-323.29129999999998</v>
      </c>
      <c r="H5208">
        <v>1.0444089999999999</v>
      </c>
      <c r="I5208">
        <v>141.6285</v>
      </c>
      <c r="J5208">
        <v>-322.71499999999997</v>
      </c>
      <c r="K5208">
        <v>1.119958</v>
      </c>
      <c r="L5208">
        <v>141.59200000000001</v>
      </c>
      <c r="M5208">
        <v>-0.99996620000000003</v>
      </c>
      <c r="N5208">
        <v>-7.7680930000000002E-3</v>
      </c>
      <c r="O5208">
        <v>2.6859639999999999E-3</v>
      </c>
      <c r="P5208">
        <v>-0.99561460000000002</v>
      </c>
      <c r="Q5208">
        <v>-9.3282459999999998E-2</v>
      </c>
      <c r="R5208">
        <v>-7.0749899999999998E-3</v>
      </c>
      <c r="S5208">
        <v>-2.9890750000000001</v>
      </c>
      <c r="T5208">
        <v>-0.26832</v>
      </c>
      <c r="U5208">
        <v>0.131683299999999</v>
      </c>
      <c r="V5208">
        <v>-9.7580029999999995E-3</v>
      </c>
      <c r="W5208">
        <v>-8.5544789999999996E-2</v>
      </c>
      <c r="X5208">
        <v>0.99628649999999996</v>
      </c>
      <c r="Y5208">
        <v>4.1158050000000002E-2</v>
      </c>
      <c r="Z5208">
        <v>1.7833180000000001E-3</v>
      </c>
      <c r="AA5208">
        <v>0.99915109999999996</v>
      </c>
      <c r="AB5208">
        <v>27</v>
      </c>
      <c r="AC5208">
        <v>-0.57630000000000303</v>
      </c>
      <c r="AD5208">
        <v>-7.5549000000000005E-2</v>
      </c>
      <c r="AE5208">
        <v>3.6499999999989499E-2</v>
      </c>
      <c r="AF5208">
        <v>3.4363705208751601E-2</v>
      </c>
      <c r="AG5208">
        <v>-7.5549000000000005E-2</v>
      </c>
      <c r="AH5208">
        <v>0.56669596233047204</v>
      </c>
      <c r="AI5208">
        <v>97.579843487119902</v>
      </c>
      <c r="AJ5208">
        <v>86.529907614285406</v>
      </c>
      <c r="AK5208">
        <v>0.57274150308698102</v>
      </c>
      <c r="AL5208">
        <v>94.907353342725401</v>
      </c>
      <c r="AM5208">
        <v>90.561158373155493</v>
      </c>
      <c r="AN5208">
        <v>0.99999995990046997</v>
      </c>
    </row>
    <row r="5209" spans="1:40" x14ac:dyDescent="0.25">
      <c r="A5209" t="str">
        <f>"20190303154913654"</f>
        <v>20190303154913654</v>
      </c>
      <c r="B5209" t="str">
        <f>"1551599353646004"</f>
        <v>1551599353646004</v>
      </c>
      <c r="C5209" t="s">
        <v>40</v>
      </c>
      <c r="D5209">
        <v>5.0651489999999999</v>
      </c>
      <c r="E5209">
        <v>0.51821410000000001</v>
      </c>
      <c r="F5209" t="s">
        <v>42</v>
      </c>
      <c r="G5209">
        <v>-323.53800000000001</v>
      </c>
      <c r="H5209">
        <v>1.0487120000000001</v>
      </c>
      <c r="I5209">
        <v>141.6277</v>
      </c>
      <c r="J5209">
        <v>-322.98039999999997</v>
      </c>
      <c r="K5209">
        <v>1.119964</v>
      </c>
      <c r="L5209">
        <v>141.59280000000001</v>
      </c>
      <c r="M5209">
        <v>-0.99996609999999997</v>
      </c>
      <c r="N5209">
        <v>-7.7858390000000001E-3</v>
      </c>
      <c r="O5209">
        <v>2.712075E-3</v>
      </c>
      <c r="P5209">
        <v>-0.99563630000000003</v>
      </c>
      <c r="Q5209">
        <v>-9.3115000000000003E-2</v>
      </c>
      <c r="R5209">
        <v>-6.1844409999999997E-3</v>
      </c>
      <c r="S5209">
        <v>-2.989868</v>
      </c>
      <c r="T5209">
        <v>-0.25892080000000001</v>
      </c>
      <c r="U5209">
        <v>0.1285095</v>
      </c>
      <c r="V5209">
        <v>-8.8925710000000002E-3</v>
      </c>
      <c r="W5209">
        <v>-8.5359660000000004E-2</v>
      </c>
      <c r="X5209">
        <v>0.99631049999999999</v>
      </c>
      <c r="Y5209">
        <v>4.0077340000000003E-2</v>
      </c>
      <c r="Z5209">
        <v>1.674467E-3</v>
      </c>
      <c r="AA5209">
        <v>0.99919519999999995</v>
      </c>
      <c r="AB5209">
        <v>27</v>
      </c>
      <c r="AC5209">
        <v>-0.55760000000003596</v>
      </c>
      <c r="AD5209">
        <v>-7.1251999999999802E-2</v>
      </c>
      <c r="AE5209">
        <v>3.48999999999932E-2</v>
      </c>
      <c r="AF5209">
        <v>3.2853219593239003E-2</v>
      </c>
      <c r="AG5209">
        <v>-7.1251999999999802E-2</v>
      </c>
      <c r="AH5209">
        <v>0.54876698026654802</v>
      </c>
      <c r="AI5209">
        <v>97.384830948768297</v>
      </c>
      <c r="AJ5209">
        <v>86.573943269435603</v>
      </c>
      <c r="AK5209">
        <v>0.55434770692455104</v>
      </c>
      <c r="AL5209">
        <v>94.896707130977802</v>
      </c>
      <c r="AM5209">
        <v>90.511379994575705</v>
      </c>
      <c r="AN5209">
        <v>0.99999998089227704</v>
      </c>
    </row>
    <row r="5210" spans="1:40" x14ac:dyDescent="0.25">
      <c r="A5210" t="str">
        <f>"20190303154913678"</f>
        <v>20190303154913678</v>
      </c>
      <c r="B5210" t="str">
        <f>"1551599353666499"</f>
        <v>1551599353666499</v>
      </c>
      <c r="C5210" t="s">
        <v>40</v>
      </c>
      <c r="D5210">
        <v>5.0745630000000004</v>
      </c>
      <c r="E5210">
        <v>0.51746610000000004</v>
      </c>
      <c r="F5210" t="s">
        <v>42</v>
      </c>
      <c r="G5210">
        <v>-323.78539999999998</v>
      </c>
      <c r="H5210">
        <v>1.0527359999999999</v>
      </c>
      <c r="I5210">
        <v>141.62710000000001</v>
      </c>
      <c r="J5210">
        <v>-323.25760000000002</v>
      </c>
      <c r="K5210">
        <v>1.1199709999999901</v>
      </c>
      <c r="L5210">
        <v>141.59360000000001</v>
      </c>
      <c r="M5210">
        <v>-0.99996580000000002</v>
      </c>
      <c r="N5210">
        <v>-7.804414E-3</v>
      </c>
      <c r="O5210">
        <v>2.7314850000000001E-3</v>
      </c>
      <c r="P5210">
        <v>-0.99564710000000001</v>
      </c>
      <c r="Q5210">
        <v>-9.3019790000000005E-2</v>
      </c>
      <c r="R5210">
        <v>-5.8495500000000002E-3</v>
      </c>
      <c r="S5210">
        <v>-2.99057</v>
      </c>
      <c r="T5210">
        <v>-0.2498271</v>
      </c>
      <c r="U5210">
        <v>0.1270905</v>
      </c>
      <c r="V5210">
        <v>-8.5753019999999999E-3</v>
      </c>
      <c r="W5210">
        <v>-8.5246020000000006E-2</v>
      </c>
      <c r="X5210">
        <v>0.99632299999999996</v>
      </c>
      <c r="Y5210">
        <v>3.9586719999999999E-2</v>
      </c>
      <c r="Z5210">
        <v>1.59832299999999E-3</v>
      </c>
      <c r="AA5210">
        <v>0.99921490000000002</v>
      </c>
      <c r="AB5210">
        <v>27</v>
      </c>
      <c r="AC5210">
        <v>-0.52779999999995597</v>
      </c>
      <c r="AD5210">
        <v>-6.7234999999999698E-2</v>
      </c>
      <c r="AE5210">
        <v>3.3500000000003603E-2</v>
      </c>
      <c r="AF5210">
        <v>3.15482576032836E-2</v>
      </c>
      <c r="AG5210">
        <v>-6.7234999999999698E-2</v>
      </c>
      <c r="AH5210">
        <v>0.51949327787798205</v>
      </c>
      <c r="AI5210">
        <v>97.361054756472299</v>
      </c>
      <c r="AJ5210">
        <v>86.524758121009</v>
      </c>
      <c r="AK5210">
        <v>0.52477528861715095</v>
      </c>
      <c r="AL5210">
        <v>94.890172272418496</v>
      </c>
      <c r="AM5210">
        <v>90.493129718691804</v>
      </c>
      <c r="AN5210">
        <v>0.99999997002961505</v>
      </c>
    </row>
    <row r="5211" spans="1:40" x14ac:dyDescent="0.25">
      <c r="A5211" t="str">
        <f>"20190303154913701"</f>
        <v>20190303154913701</v>
      </c>
      <c r="B5211" t="str">
        <f>"1551599353695780"</f>
        <v>1551599353695780</v>
      </c>
      <c r="C5211" t="s">
        <v>40</v>
      </c>
      <c r="D5211">
        <v>5.0434049999999999</v>
      </c>
      <c r="E5211">
        <v>0.51662569999999997</v>
      </c>
      <c r="F5211" t="s">
        <v>41</v>
      </c>
      <c r="G5211">
        <v>-337.04790000000003</v>
      </c>
      <c r="H5211" s="1">
        <v>-2.0520450000000002E-6</v>
      </c>
      <c r="I5211">
        <v>142.15729999999999</v>
      </c>
      <c r="J5211">
        <v>-323.55079999999998</v>
      </c>
      <c r="K5211">
        <v>1.119977</v>
      </c>
      <c r="L5211">
        <v>141.59440000000001</v>
      </c>
      <c r="M5211">
        <v>-0.99996569999999996</v>
      </c>
      <c r="N5211">
        <v>-7.8240689999999995E-3</v>
      </c>
      <c r="O5211">
        <v>2.7437960000000002E-3</v>
      </c>
      <c r="P5211">
        <v>-0.99565300000000001</v>
      </c>
      <c r="Q5211">
        <v>-9.2956689999999995E-2</v>
      </c>
      <c r="R5211">
        <v>-5.8811189999999998E-3</v>
      </c>
      <c r="S5211">
        <v>-2.9912109999999998</v>
      </c>
      <c r="T5211">
        <v>-0.24293029999999999</v>
      </c>
      <c r="U5211">
        <v>0.12226869999999999</v>
      </c>
      <c r="V5211">
        <v>-8.6181209999999994E-3</v>
      </c>
      <c r="W5211">
        <v>-8.5163440000000007E-2</v>
      </c>
      <c r="X5211">
        <v>0.99632969999999998</v>
      </c>
      <c r="Y5211">
        <v>3.7970610000000002E-2</v>
      </c>
      <c r="Z5211">
        <v>1.4866390000000001E-3</v>
      </c>
      <c r="AA5211">
        <v>0.99927779999999999</v>
      </c>
      <c r="AB5211">
        <v>27</v>
      </c>
      <c r="AC5211">
        <v>-13.4971</v>
      </c>
      <c r="AD5211">
        <v>-1.1199790520449999</v>
      </c>
      <c r="AE5211">
        <v>0.56289999999998397</v>
      </c>
      <c r="AF5211">
        <v>0.52227356249410595</v>
      </c>
      <c r="AG5211">
        <v>-1.1199790520449999</v>
      </c>
      <c r="AH5211">
        <v>13.406443216410601</v>
      </c>
      <c r="AI5211">
        <v>94.771818418831202</v>
      </c>
      <c r="AJ5211">
        <v>87.769061773221495</v>
      </c>
      <c r="AK5211">
        <v>13.4632775528822</v>
      </c>
      <c r="AL5211">
        <v>94.885423482123997</v>
      </c>
      <c r="AM5211">
        <v>90.495588605083597</v>
      </c>
      <c r="AN5211">
        <v>0.99999997731214596</v>
      </c>
    </row>
    <row r="5212" spans="1:40" x14ac:dyDescent="0.25">
      <c r="A5212" t="str">
        <f>"20190303154913723"</f>
        <v>20190303154913723</v>
      </c>
      <c r="B5212" t="str">
        <f>"1551599353716257"</f>
        <v>1551599353716257</v>
      </c>
      <c r="C5212" t="s">
        <v>40</v>
      </c>
      <c r="D5212">
        <v>4.9939249999999999</v>
      </c>
      <c r="E5212">
        <v>0.51621070000000002</v>
      </c>
      <c r="F5212" t="s">
        <v>42</v>
      </c>
      <c r="G5212">
        <v>-324.5129</v>
      </c>
      <c r="H5212">
        <v>1.044214</v>
      </c>
      <c r="I5212">
        <v>141.63159999999999</v>
      </c>
      <c r="J5212">
        <v>-323.80959999999999</v>
      </c>
      <c r="K5212">
        <v>1.1199779999999999</v>
      </c>
      <c r="L5212">
        <v>141.5951</v>
      </c>
      <c r="M5212">
        <v>-0.99996560000000001</v>
      </c>
      <c r="N5212">
        <v>-7.8414490000000003E-3</v>
      </c>
      <c r="O5212">
        <v>2.7490499999999998E-3</v>
      </c>
      <c r="P5212">
        <v>-0.9956431</v>
      </c>
      <c r="Q5212">
        <v>-9.3066289999999996E-2</v>
      </c>
      <c r="R5212">
        <v>-5.7920159999999997E-3</v>
      </c>
      <c r="S5212">
        <v>-2.9917910000000001</v>
      </c>
      <c r="T5212">
        <v>-0.2356665</v>
      </c>
      <c r="U5212">
        <v>0.1154633</v>
      </c>
      <c r="V5212">
        <v>-8.5330119999999995E-3</v>
      </c>
      <c r="W5212">
        <v>-8.5255910000000004E-2</v>
      </c>
      <c r="X5212">
        <v>0.99632259999999995</v>
      </c>
      <c r="Y5212">
        <v>3.570284E-2</v>
      </c>
      <c r="Z5212">
        <v>1.3491449999999999E-3</v>
      </c>
      <c r="AA5212">
        <v>0.99936150000000001</v>
      </c>
      <c r="AB5212">
        <v>27</v>
      </c>
      <c r="AC5212">
        <v>-0.70330000000001203</v>
      </c>
      <c r="AD5212">
        <v>-7.5764000000000095E-2</v>
      </c>
      <c r="AE5212">
        <v>3.6499999999989499E-2</v>
      </c>
      <c r="AF5212">
        <v>3.4170908362294798E-2</v>
      </c>
      <c r="AG5212">
        <v>-7.5764000000000095E-2</v>
      </c>
      <c r="AH5212">
        <v>0.69534983803841599</v>
      </c>
      <c r="AI5212">
        <v>96.210873038537898</v>
      </c>
      <c r="AJ5212">
        <v>87.186631858030395</v>
      </c>
      <c r="AK5212">
        <v>0.70029938735826103</v>
      </c>
      <c r="AL5212">
        <v>94.8907405919621</v>
      </c>
      <c r="AM5212">
        <v>90.490698114036306</v>
      </c>
      <c r="AN5212">
        <v>1.0000000528772299</v>
      </c>
    </row>
    <row r="5213" spans="1:40" x14ac:dyDescent="0.25">
      <c r="A5213" t="str">
        <f>"20190303154913735"</f>
        <v>20190303154913735</v>
      </c>
      <c r="B5213" t="str">
        <f>"1551599353726018"</f>
        <v>1551599353726018</v>
      </c>
      <c r="C5213" t="s">
        <v>40</v>
      </c>
      <c r="D5213">
        <v>5.0051620000000003</v>
      </c>
      <c r="E5213">
        <v>0.51601330000000001</v>
      </c>
      <c r="F5213" t="s">
        <v>42</v>
      </c>
      <c r="G5213">
        <v>-324.76060000000001</v>
      </c>
      <c r="H5213">
        <v>1.0462910000000001</v>
      </c>
      <c r="I5213">
        <v>141.63079999999999</v>
      </c>
      <c r="J5213">
        <v>-323.9726</v>
      </c>
      <c r="K5213">
        <v>1.119982</v>
      </c>
      <c r="L5213">
        <v>141.59549999999999</v>
      </c>
      <c r="M5213">
        <v>-0.9999654</v>
      </c>
      <c r="N5213">
        <v>-7.8524200000000006E-3</v>
      </c>
      <c r="O5213">
        <v>2.7503599999999999E-3</v>
      </c>
      <c r="P5213">
        <v>-0.99562050000000002</v>
      </c>
      <c r="Q5213">
        <v>-9.3290399999999996E-2</v>
      </c>
      <c r="R5213">
        <v>-6.0591639999999997E-3</v>
      </c>
      <c r="S5213">
        <v>-2.9921259999999998</v>
      </c>
      <c r="T5213">
        <v>-0.2318287</v>
      </c>
      <c r="U5213">
        <v>0.11250309999999999</v>
      </c>
      <c r="V5213">
        <v>-8.8012730000000001E-3</v>
      </c>
      <c r="W5213">
        <v>-8.5469310000000007E-2</v>
      </c>
      <c r="X5213">
        <v>0.99630189999999996</v>
      </c>
      <c r="Y5213">
        <v>3.4716669999999998E-2</v>
      </c>
      <c r="Z5213">
        <v>1.2878729999999999E-3</v>
      </c>
      <c r="AA5213">
        <v>0.99939639999999996</v>
      </c>
      <c r="AB5213">
        <v>27</v>
      </c>
      <c r="AC5213">
        <v>-0.78800000000001003</v>
      </c>
      <c r="AD5213">
        <v>-7.3690999999999895E-2</v>
      </c>
      <c r="AE5213">
        <v>3.53000000000065E-2</v>
      </c>
      <c r="AF5213">
        <v>3.2845843377567602E-2</v>
      </c>
      <c r="AG5213">
        <v>-7.3690999999999895E-2</v>
      </c>
      <c r="AH5213">
        <v>0.78127527963031695</v>
      </c>
      <c r="AI5213">
        <v>95.383550914109904</v>
      </c>
      <c r="AJ5213">
        <v>87.592627501052405</v>
      </c>
      <c r="AK5213">
        <v>0.78542999399667202</v>
      </c>
      <c r="AL5213">
        <v>94.903012707173303</v>
      </c>
      <c r="AM5213">
        <v>90.506134415893101</v>
      </c>
      <c r="AN5213">
        <v>0.99999997065095203</v>
      </c>
    </row>
    <row r="5214" spans="1:40" x14ac:dyDescent="0.25">
      <c r="A5214" t="str">
        <f>"20190303154913750"</f>
        <v>20190303154913750</v>
      </c>
      <c r="B5214" t="str">
        <f>"1551599353746514"</f>
        <v>1551599353746514</v>
      </c>
      <c r="C5214" t="s">
        <v>40</v>
      </c>
      <c r="D5214">
        <v>5.0444430000000002</v>
      </c>
      <c r="E5214">
        <v>0.51573100000000005</v>
      </c>
      <c r="F5214" t="s">
        <v>41</v>
      </c>
      <c r="G5214">
        <v>-338.49759999999998</v>
      </c>
      <c r="H5214" s="1">
        <v>-1.359499E-6</v>
      </c>
      <c r="I5214">
        <v>142.13</v>
      </c>
      <c r="J5214">
        <v>-324.14519999999999</v>
      </c>
      <c r="K5214">
        <v>1.119982</v>
      </c>
      <c r="L5214">
        <v>141.596</v>
      </c>
      <c r="M5214">
        <v>-0.9999654</v>
      </c>
      <c r="N5214">
        <v>-7.8640510000000004E-3</v>
      </c>
      <c r="O5214">
        <v>2.7503039999999999E-3</v>
      </c>
      <c r="P5214">
        <v>-0.99564070000000005</v>
      </c>
      <c r="Q5214">
        <v>-9.3070189999999997E-2</v>
      </c>
      <c r="R5214">
        <v>-6.1607900000000002E-3</v>
      </c>
      <c r="S5214">
        <v>-2.9922490000000002</v>
      </c>
      <c r="T5214">
        <v>-0.23072419999999999</v>
      </c>
      <c r="U5214">
        <v>0.11010739999999899</v>
      </c>
      <c r="V5214">
        <v>-8.9021659999999996E-3</v>
      </c>
      <c r="W5214">
        <v>-8.5237359999999998E-2</v>
      </c>
      <c r="X5214">
        <v>0.99632089999999995</v>
      </c>
      <c r="Y5214">
        <v>3.3919730000000002E-2</v>
      </c>
      <c r="Z5214">
        <v>1.248903E-3</v>
      </c>
      <c r="AA5214">
        <v>0.99942379999999997</v>
      </c>
      <c r="AB5214">
        <v>27</v>
      </c>
      <c r="AC5214">
        <v>-14.3523999999999</v>
      </c>
      <c r="AD5214">
        <v>-1.1199833594990001</v>
      </c>
      <c r="AE5214">
        <v>0.53399999999999104</v>
      </c>
      <c r="AF5214">
        <v>0.49153429228979001</v>
      </c>
      <c r="AG5214">
        <v>-1.1199833594990001</v>
      </c>
      <c r="AH5214">
        <v>14.267056790423799</v>
      </c>
      <c r="AI5214">
        <v>94.485940779398106</v>
      </c>
      <c r="AJ5214">
        <v>88.026803566873596</v>
      </c>
      <c r="AK5214">
        <v>14.3193881903952</v>
      </c>
      <c r="AL5214">
        <v>94.889674151413701</v>
      </c>
      <c r="AM5214">
        <v>90.511926395937195</v>
      </c>
      <c r="AN5214">
        <v>0.99999999593803501</v>
      </c>
    </row>
    <row r="5215" spans="1:40" x14ac:dyDescent="0.25">
      <c r="A5215" t="str">
        <f>"20190303154913767"</f>
        <v>20190303154913767</v>
      </c>
      <c r="B5215" t="str">
        <f>"1551599353756273"</f>
        <v>1551599353756273</v>
      </c>
      <c r="C5215" t="s">
        <v>40</v>
      </c>
      <c r="D5215">
        <v>5.0326659999999999</v>
      </c>
      <c r="E5215">
        <v>0.51568879999999995</v>
      </c>
      <c r="F5215" t="s">
        <v>42</v>
      </c>
      <c r="G5215">
        <v>-325.01780000000002</v>
      </c>
      <c r="H5215">
        <v>1.0536319999999999</v>
      </c>
      <c r="I5215">
        <v>141.6276</v>
      </c>
      <c r="J5215">
        <v>-324.3544</v>
      </c>
      <c r="K5215">
        <v>1.1199889999999999</v>
      </c>
      <c r="L5215">
        <v>141.5966</v>
      </c>
      <c r="M5215">
        <v>-0.9999652</v>
      </c>
      <c r="N5215">
        <v>-7.8781579999999997E-3</v>
      </c>
      <c r="O5215">
        <v>2.7483910000000002E-3</v>
      </c>
      <c r="P5215">
        <v>-0.99570119999999895</v>
      </c>
      <c r="Q5215">
        <v>-9.2399419999999996E-2</v>
      </c>
      <c r="R5215">
        <v>-6.4525769999999897E-3</v>
      </c>
      <c r="S5215">
        <v>-2.9925540000000002</v>
      </c>
      <c r="T5215">
        <v>-0.2276473</v>
      </c>
      <c r="U5215">
        <v>0.10755919999999999</v>
      </c>
      <c r="V5215">
        <v>-9.1920290000000009E-3</v>
      </c>
      <c r="W5215">
        <v>-8.4552089999999996E-2</v>
      </c>
      <c r="X5215">
        <v>0.99637659999999995</v>
      </c>
      <c r="Y5215">
        <v>3.3073270000000002E-2</v>
      </c>
      <c r="Z5215">
        <v>1.1991899999999999E-3</v>
      </c>
      <c r="AA5215">
        <v>0.99945220000000001</v>
      </c>
      <c r="AB5215">
        <v>28</v>
      </c>
      <c r="AC5215">
        <v>-0.66340000000002397</v>
      </c>
      <c r="AD5215">
        <v>-6.6356999999999999E-2</v>
      </c>
      <c r="AE5215">
        <v>3.1000000000005901E-2</v>
      </c>
      <c r="AF5215">
        <v>2.8888143990884199E-2</v>
      </c>
      <c r="AG5215">
        <v>-6.6356999999999999E-2</v>
      </c>
      <c r="AH5215">
        <v>0.65692440641258698</v>
      </c>
      <c r="AI5215">
        <v>95.762443734509603</v>
      </c>
      <c r="AJ5215">
        <v>87.482049632376899</v>
      </c>
      <c r="AK5215">
        <v>0.66089897265222597</v>
      </c>
      <c r="AL5215">
        <v>94.850269091457406</v>
      </c>
      <c r="AM5215">
        <v>90.528564727755494</v>
      </c>
      <c r="AN5215">
        <v>0.99999993917402996</v>
      </c>
    </row>
    <row r="5216" spans="1:40" x14ac:dyDescent="0.25">
      <c r="A5216" t="str">
        <f>"20190303154913789"</f>
        <v>20190303154913789</v>
      </c>
      <c r="B5216" t="str">
        <f>"1551599353786530"</f>
        <v>1551599353786530</v>
      </c>
      <c r="C5216" t="s">
        <v>40</v>
      </c>
      <c r="D5216">
        <v>5.1348900000000004</v>
      </c>
      <c r="E5216">
        <v>0.51498310000000003</v>
      </c>
      <c r="F5216" t="s">
        <v>42</v>
      </c>
      <c r="G5216">
        <v>-325.2602</v>
      </c>
      <c r="H5216">
        <v>1.05223</v>
      </c>
      <c r="I5216">
        <v>141.62880000000001</v>
      </c>
      <c r="J5216">
        <v>-324.63049999999998</v>
      </c>
      <c r="K5216">
        <v>1.119996</v>
      </c>
      <c r="L5216">
        <v>141.59729999999999</v>
      </c>
      <c r="M5216">
        <v>-0.99996510000000005</v>
      </c>
      <c r="N5216">
        <v>-7.8967859999999994E-3</v>
      </c>
      <c r="O5216">
        <v>2.7412069999999998E-3</v>
      </c>
      <c r="P5216">
        <v>-0.99573409999999996</v>
      </c>
      <c r="Q5216">
        <v>-9.1978309999999994E-2</v>
      </c>
      <c r="R5216">
        <v>-7.3346879999999998E-3</v>
      </c>
      <c r="S5216">
        <v>-2.9928590000000002</v>
      </c>
      <c r="T5216">
        <v>-0.22387789999999999</v>
      </c>
      <c r="U5216">
        <v>0.1063843</v>
      </c>
      <c r="V5216">
        <v>-1.0067080000000001E-2</v>
      </c>
      <c r="W5216">
        <v>-8.4112229999999996E-2</v>
      </c>
      <c r="X5216">
        <v>0.9964054</v>
      </c>
      <c r="Y5216">
        <v>3.268915E-2</v>
      </c>
      <c r="Z5216">
        <v>1.1667750000000001E-3</v>
      </c>
      <c r="AA5216">
        <v>0.99946489999999999</v>
      </c>
      <c r="AB5216">
        <v>28</v>
      </c>
      <c r="AC5216">
        <v>-0.62970000000001303</v>
      </c>
      <c r="AD5216">
        <v>-6.7765999999999896E-2</v>
      </c>
      <c r="AE5216">
        <v>3.1500000000022503E-2</v>
      </c>
      <c r="AF5216">
        <v>2.94336614364759E-2</v>
      </c>
      <c r="AG5216">
        <v>-6.7765999999999896E-2</v>
      </c>
      <c r="AH5216">
        <v>0.62259157952260102</v>
      </c>
      <c r="AI5216">
        <v>96.205030450522699</v>
      </c>
      <c r="AJ5216">
        <v>87.293298023944999</v>
      </c>
      <c r="AK5216">
        <v>0.62696000356801396</v>
      </c>
      <c r="AL5216">
        <v>94.824976733855905</v>
      </c>
      <c r="AM5216">
        <v>90.578862349462497</v>
      </c>
      <c r="AN5216">
        <v>0.99999996724222895</v>
      </c>
    </row>
    <row r="5217" spans="1:40" x14ac:dyDescent="0.25">
      <c r="A5217" t="str">
        <f>"20190303154913805"</f>
        <v>20190303154913805</v>
      </c>
      <c r="B5217" t="str">
        <f>"1551599353796290"</f>
        <v>1551599353796290</v>
      </c>
      <c r="C5217" t="s">
        <v>40</v>
      </c>
      <c r="D5217">
        <v>5.1241209999999997</v>
      </c>
      <c r="E5217">
        <v>0.51476959999999905</v>
      </c>
      <c r="F5217" t="s">
        <v>41</v>
      </c>
      <c r="G5217">
        <v>-340.01799999999997</v>
      </c>
      <c r="H5217" s="1">
        <v>-4.7107620000000001E-6</v>
      </c>
      <c r="I5217">
        <v>142.1018</v>
      </c>
      <c r="J5217">
        <v>-324.82</v>
      </c>
      <c r="K5217">
        <v>1.1200000000000001</v>
      </c>
      <c r="L5217">
        <v>141.59780000000001</v>
      </c>
      <c r="M5217">
        <v>-0.99996499999999999</v>
      </c>
      <c r="N5217">
        <v>-7.9095940000000007E-3</v>
      </c>
      <c r="O5217">
        <v>2.732908E-3</v>
      </c>
      <c r="P5217">
        <v>-0.99574629999999997</v>
      </c>
      <c r="Q5217">
        <v>-9.1830480000000006E-2</v>
      </c>
      <c r="R5217">
        <v>-7.5359869999999897E-3</v>
      </c>
      <c r="S5217">
        <v>-2.9934080000000001</v>
      </c>
      <c r="T5217">
        <v>-0.21787909999999999</v>
      </c>
      <c r="U5217">
        <v>9.8159789999999997E-2</v>
      </c>
      <c r="V5217">
        <v>-1.025917E-2</v>
      </c>
      <c r="W5217">
        <v>-8.3951590000000006E-2</v>
      </c>
      <c r="X5217">
        <v>0.996417</v>
      </c>
      <c r="Y5217">
        <v>2.9960649999999998E-2</v>
      </c>
      <c r="Z5217">
        <v>1.0303109999999999E-3</v>
      </c>
      <c r="AA5217">
        <v>0.99955050000000001</v>
      </c>
      <c r="AB5217">
        <v>28</v>
      </c>
      <c r="AC5217">
        <v>-15.198</v>
      </c>
      <c r="AD5217">
        <v>-1.1200047107619999</v>
      </c>
      <c r="AE5217">
        <v>0.50399999999999001</v>
      </c>
      <c r="AF5217">
        <v>0.459966822317463</v>
      </c>
      <c r="AG5217">
        <v>-1.1200047107619999</v>
      </c>
      <c r="AH5217">
        <v>15.1173111959941</v>
      </c>
      <c r="AI5217">
        <v>94.235210478922198</v>
      </c>
      <c r="AJ5217">
        <v>88.257227812333895</v>
      </c>
      <c r="AK5217">
        <v>15.165720484905799</v>
      </c>
      <c r="AL5217">
        <v>94.815740013466296</v>
      </c>
      <c r="AM5217">
        <v>90.589899984349003</v>
      </c>
      <c r="AN5217">
        <v>0.99999997896080794</v>
      </c>
    </row>
    <row r="5218" spans="1:40" x14ac:dyDescent="0.25">
      <c r="A5218" t="str">
        <f>"20190303154913825"</f>
        <v>20190303154913825</v>
      </c>
      <c r="B5218" t="str">
        <f>"1551599353815810"</f>
        <v>1551599353815810</v>
      </c>
      <c r="C5218" t="s">
        <v>40</v>
      </c>
      <c r="D5218">
        <v>5.1168449999999996</v>
      </c>
      <c r="E5218">
        <v>0.51434899999999995</v>
      </c>
      <c r="F5218" t="s">
        <v>42</v>
      </c>
      <c r="G5218">
        <v>-325.75709999999998</v>
      </c>
      <c r="H5218">
        <v>1.0524039999999999</v>
      </c>
      <c r="I5218">
        <v>141.62799999999999</v>
      </c>
      <c r="J5218">
        <v>-325.07119999999998</v>
      </c>
      <c r="K5218">
        <v>1.1200190000000001</v>
      </c>
      <c r="L5218">
        <v>141.5985</v>
      </c>
      <c r="M5218">
        <v>-0.99996479999999999</v>
      </c>
      <c r="N5218">
        <v>-7.9266049999999998E-3</v>
      </c>
      <c r="O5218">
        <v>2.715804E-3</v>
      </c>
      <c r="P5218">
        <v>-0.99581430000000004</v>
      </c>
      <c r="Q5218">
        <v>-9.1043379999999993E-2</v>
      </c>
      <c r="R5218">
        <v>-8.0576899999999993E-3</v>
      </c>
      <c r="S5218">
        <v>-2.9935909999999999</v>
      </c>
      <c r="T5218">
        <v>-0.2159847</v>
      </c>
      <c r="U5218">
        <v>9.5840449999999994E-2</v>
      </c>
      <c r="V5218">
        <v>-1.076306E-2</v>
      </c>
      <c r="W5218">
        <v>-8.3147159999999998E-2</v>
      </c>
      <c r="X5218">
        <v>0.99647920000000001</v>
      </c>
      <c r="Y5218">
        <v>2.920559E-2</v>
      </c>
      <c r="Z5218">
        <v>9.9375169999999999E-4</v>
      </c>
      <c r="AA5218">
        <v>0.99957289999999999</v>
      </c>
      <c r="AB5218">
        <v>28</v>
      </c>
      <c r="AC5218">
        <v>-0.68590000000000295</v>
      </c>
      <c r="AD5218">
        <v>-6.7614999999999897E-2</v>
      </c>
      <c r="AE5218">
        <v>2.94999999999845E-2</v>
      </c>
      <c r="AF5218">
        <v>2.7371564382920599E-2</v>
      </c>
      <c r="AG5218">
        <v>-6.7614999999999897E-2</v>
      </c>
      <c r="AH5218">
        <v>0.67938767805668598</v>
      </c>
      <c r="AI5218">
        <v>95.678980477090704</v>
      </c>
      <c r="AJ5218">
        <v>87.692882181486596</v>
      </c>
      <c r="AK5218">
        <v>0.68329247607230603</v>
      </c>
      <c r="AL5218">
        <v>94.769487538026596</v>
      </c>
      <c r="AM5218">
        <v>90.6188327192922</v>
      </c>
      <c r="AN5218">
        <v>1.00000004485463</v>
      </c>
    </row>
    <row r="5219" spans="1:40" x14ac:dyDescent="0.25">
      <c r="A5219" t="str">
        <f>"20190303154913845"</f>
        <v>20190303154913845</v>
      </c>
      <c r="B5219" t="str">
        <f>"1551599353836305"</f>
        <v>1551599353836305</v>
      </c>
      <c r="C5219" t="s">
        <v>40</v>
      </c>
      <c r="D5219">
        <v>5.1297319999999997</v>
      </c>
      <c r="E5219">
        <v>0.51396560000000002</v>
      </c>
      <c r="F5219" t="s">
        <v>41</v>
      </c>
      <c r="G5219">
        <v>-340.94979999999998</v>
      </c>
      <c r="H5219" s="1">
        <v>-4.3899519999999998E-6</v>
      </c>
      <c r="I5219">
        <v>142.08070000000001</v>
      </c>
      <c r="J5219">
        <v>-325.32589999999999</v>
      </c>
      <c r="K5219">
        <v>1.120031</v>
      </c>
      <c r="L5219">
        <v>141.59909999999999</v>
      </c>
      <c r="M5219">
        <v>-0.99996490000000005</v>
      </c>
      <c r="N5219">
        <v>-7.9438870000000002E-3</v>
      </c>
      <c r="O5219">
        <v>2.6897330000000001E-3</v>
      </c>
      <c r="P5219">
        <v>-0.99584110000000003</v>
      </c>
      <c r="Q5219">
        <v>-9.0738150000000004E-2</v>
      </c>
      <c r="R5219">
        <v>-8.2061219999999997E-3</v>
      </c>
      <c r="S5219">
        <v>-2.994049</v>
      </c>
      <c r="T5219">
        <v>-0.21119109999999999</v>
      </c>
      <c r="U5219">
        <v>9.0957640000000006E-2</v>
      </c>
      <c r="V5219">
        <v>-1.088451E-2</v>
      </c>
      <c r="W5219">
        <v>-8.2824700000000001E-2</v>
      </c>
      <c r="X5219">
        <v>0.99650470000000002</v>
      </c>
      <c r="Y5219">
        <v>2.7605770000000002E-2</v>
      </c>
      <c r="Z5219">
        <v>9.1390329999999997E-4</v>
      </c>
      <c r="AA5219">
        <v>0.99961849999999997</v>
      </c>
      <c r="AB5219">
        <v>28</v>
      </c>
      <c r="AC5219">
        <v>-15.6238999999999</v>
      </c>
      <c r="AD5219">
        <v>-1.1200353899519999</v>
      </c>
      <c r="AE5219">
        <v>0.48160000000001402</v>
      </c>
      <c r="AF5219">
        <v>0.43732749181263297</v>
      </c>
      <c r="AG5219">
        <v>-1.1200353899519999</v>
      </c>
      <c r="AH5219">
        <v>15.5453262002118</v>
      </c>
      <c r="AI5219">
        <v>94.119395869142096</v>
      </c>
      <c r="AJ5219">
        <v>88.388556660228105</v>
      </c>
      <c r="AK5219">
        <v>15.5917574788999</v>
      </c>
      <c r="AL5219">
        <v>94.750948158138101</v>
      </c>
      <c r="AM5219">
        <v>90.625799041224397</v>
      </c>
      <c r="AN5219">
        <v>1.0000000103050599</v>
      </c>
    </row>
    <row r="5220" spans="1:40" x14ac:dyDescent="0.25">
      <c r="A5220" t="str">
        <f>"20190303154913860"</f>
        <v>20190303154913860</v>
      </c>
      <c r="B5220" t="str">
        <f>"1551599353855825"</f>
        <v>1551599353855825</v>
      </c>
      <c r="C5220" t="s">
        <v>40</v>
      </c>
      <c r="D5220">
        <v>5.1377739999999896</v>
      </c>
      <c r="E5220">
        <v>0.5137391</v>
      </c>
      <c r="F5220" t="s">
        <v>41</v>
      </c>
      <c r="G5220">
        <v>-341.35599999999999</v>
      </c>
      <c r="H5220" s="1">
        <v>-4.2492830000000003E-6</v>
      </c>
      <c r="I5220">
        <v>142.06710000000001</v>
      </c>
      <c r="J5220">
        <v>-325.5204</v>
      </c>
      <c r="K5220">
        <v>1.120042</v>
      </c>
      <c r="L5220">
        <v>141.59960000000001</v>
      </c>
      <c r="M5220">
        <v>-0.99996479999999999</v>
      </c>
      <c r="N5220">
        <v>-7.9570749999999992E-3</v>
      </c>
      <c r="O5220">
        <v>2.6648230000000002E-3</v>
      </c>
      <c r="P5220">
        <v>-0.99583639999999995</v>
      </c>
      <c r="Q5220">
        <v>-9.0762029999999994E-2</v>
      </c>
      <c r="R5220">
        <v>-8.5157069999999904E-3</v>
      </c>
      <c r="S5220">
        <v>-2.994202</v>
      </c>
      <c r="T5220">
        <v>-0.2092069</v>
      </c>
      <c r="U5220">
        <v>8.7432860000000001E-2</v>
      </c>
      <c r="V5220">
        <v>-1.1167710000000001E-2</v>
      </c>
      <c r="W5220">
        <v>-8.2835649999999997E-2</v>
      </c>
      <c r="X5220">
        <v>0.99650070000000002</v>
      </c>
      <c r="Y5220">
        <v>2.6457700000000001E-2</v>
      </c>
      <c r="Z5220">
        <v>8.6366959999999995E-4</v>
      </c>
      <c r="AA5220">
        <v>0.99964960000000003</v>
      </c>
      <c r="AB5220">
        <v>28</v>
      </c>
      <c r="AC5220">
        <v>-15.835599999999999</v>
      </c>
      <c r="AD5220">
        <v>-1.1200462492829999</v>
      </c>
      <c r="AE5220">
        <v>0.46750000000000103</v>
      </c>
      <c r="AF5220">
        <v>0.42318272830905002</v>
      </c>
      <c r="AG5220">
        <v>-1.1200462492829999</v>
      </c>
      <c r="AH5220">
        <v>15.758025874170199</v>
      </c>
      <c r="AI5220">
        <v>94.064161814385997</v>
      </c>
      <c r="AJ5220">
        <v>88.4616881469086</v>
      </c>
      <c r="AK5220">
        <v>15.8034479362287</v>
      </c>
      <c r="AL5220">
        <v>94.751577502740702</v>
      </c>
      <c r="AM5220">
        <v>90.642082703958096</v>
      </c>
      <c r="AN5220">
        <v>1.0000000538790199</v>
      </c>
    </row>
    <row r="5221" spans="1:40" x14ac:dyDescent="0.25">
      <c r="A5221" t="str">
        <f>"20190303154913879"</f>
        <v>20190303154913879</v>
      </c>
      <c r="B5221" t="str">
        <f>"1551599353876321"</f>
        <v>1551599353876321</v>
      </c>
      <c r="C5221" t="s">
        <v>40</v>
      </c>
      <c r="D5221">
        <v>5.1733310000000001</v>
      </c>
      <c r="E5221">
        <v>0.51353890000000002</v>
      </c>
      <c r="F5221" t="s">
        <v>41</v>
      </c>
      <c r="G5221">
        <v>-341.64940000000001</v>
      </c>
      <c r="H5221" s="1">
        <v>-4.1474100000000002E-6</v>
      </c>
      <c r="I5221">
        <v>142.0556</v>
      </c>
      <c r="J5221">
        <v>-325.74250000000001</v>
      </c>
      <c r="K5221">
        <v>1.120053</v>
      </c>
      <c r="L5221">
        <v>141.6002</v>
      </c>
      <c r="M5221">
        <v>-0.99996479999999999</v>
      </c>
      <c r="N5221">
        <v>-7.9720260000000001E-3</v>
      </c>
      <c r="O5221">
        <v>2.6285079999999999E-3</v>
      </c>
      <c r="P5221">
        <v>-0.9958555</v>
      </c>
      <c r="Q5221">
        <v>-9.0513410000000002E-2</v>
      </c>
      <c r="R5221">
        <v>-8.9041550000000004E-3</v>
      </c>
      <c r="S5221">
        <v>-2.994354</v>
      </c>
      <c r="T5221">
        <v>-0.20793829999999999</v>
      </c>
      <c r="U5221">
        <v>8.467102E-2</v>
      </c>
      <c r="V5221">
        <v>-1.151863E-2</v>
      </c>
      <c r="W5221">
        <v>-8.2572229999999996E-2</v>
      </c>
      <c r="X5221">
        <v>0.99651849999999997</v>
      </c>
      <c r="Y5221">
        <v>2.5574280000000001E-2</v>
      </c>
      <c r="Z5221">
        <v>8.2749039999999998E-4</v>
      </c>
      <c r="AA5221">
        <v>0.99967260000000002</v>
      </c>
      <c r="AB5221">
        <v>28</v>
      </c>
      <c r="AC5221">
        <v>-15.9069</v>
      </c>
      <c r="AD5221">
        <v>-1.1200571474100001</v>
      </c>
      <c r="AE5221">
        <v>0.45539999999999697</v>
      </c>
      <c r="AF5221">
        <v>0.41154689411209799</v>
      </c>
      <c r="AG5221">
        <v>-1.1200571474100001</v>
      </c>
      <c r="AH5221">
        <v>15.829622616702601</v>
      </c>
      <c r="AI5221">
        <v>94.045971405501206</v>
      </c>
      <c r="AJ5221">
        <v>88.510729529523601</v>
      </c>
      <c r="AK5221">
        <v>15.874534671817701</v>
      </c>
      <c r="AL5221">
        <v>94.736433086074001</v>
      </c>
      <c r="AM5221">
        <v>90.6622451011783</v>
      </c>
      <c r="AN5221">
        <v>0.99999998642324905</v>
      </c>
    </row>
    <row r="5222" spans="1:40" x14ac:dyDescent="0.25">
      <c r="A5222" t="str">
        <f>"20190303154913891"</f>
        <v>20190303154913891</v>
      </c>
      <c r="B5222" t="str">
        <f>"1551599353886081"</f>
        <v>1551599353886081</v>
      </c>
      <c r="C5222" t="s">
        <v>40</v>
      </c>
      <c r="D5222">
        <v>5.1761249999999999</v>
      </c>
      <c r="E5222">
        <v>0.51344699999999999</v>
      </c>
      <c r="F5222" t="s">
        <v>41</v>
      </c>
      <c r="G5222">
        <v>-342.00779999999997</v>
      </c>
      <c r="H5222" s="1">
        <v>-4.0234439999999998E-6</v>
      </c>
      <c r="I5222">
        <v>142.04429999999999</v>
      </c>
      <c r="J5222">
        <v>-325.91750000000002</v>
      </c>
      <c r="K5222">
        <v>1.1200600000000001</v>
      </c>
      <c r="L5222">
        <v>141.60059999999999</v>
      </c>
      <c r="M5222">
        <v>-0.99996479999999999</v>
      </c>
      <c r="N5222">
        <v>-7.9838870000000003E-3</v>
      </c>
      <c r="O5222">
        <v>2.5942510000000001E-3</v>
      </c>
      <c r="P5222">
        <v>-0.99584760000000005</v>
      </c>
      <c r="Q5222">
        <v>-9.0580930000000004E-2</v>
      </c>
      <c r="R5222">
        <v>-9.1123720000000005E-3</v>
      </c>
      <c r="S5222">
        <v>-2.9944760000000001</v>
      </c>
      <c r="T5222">
        <v>-0.20620540000000001</v>
      </c>
      <c r="U5222">
        <v>8.1771849999999993E-2</v>
      </c>
      <c r="V5222">
        <v>-1.169154E-2</v>
      </c>
      <c r="W5222">
        <v>-8.2628160000000006E-2</v>
      </c>
      <c r="X5222">
        <v>0.99651190000000001</v>
      </c>
      <c r="Y5222">
        <v>2.464363E-2</v>
      </c>
      <c r="Z5222">
        <v>7.8815679999999998E-4</v>
      </c>
      <c r="AA5222">
        <v>0.99969600000000003</v>
      </c>
      <c r="AB5222">
        <v>28</v>
      </c>
      <c r="AC5222">
        <v>-16.0902999999999</v>
      </c>
      <c r="AD5222">
        <v>-1.120064023444</v>
      </c>
      <c r="AE5222">
        <v>0.44370000000000598</v>
      </c>
      <c r="AF5222">
        <v>0.40001800269614801</v>
      </c>
      <c r="AG5222">
        <v>-1.120064023444</v>
      </c>
      <c r="AH5222">
        <v>16.0138574117221</v>
      </c>
      <c r="AI5222">
        <v>93.999703573126396</v>
      </c>
      <c r="AJ5222">
        <v>88.569078177329104</v>
      </c>
      <c r="AK5222">
        <v>16.057963352245601</v>
      </c>
      <c r="AL5222">
        <v>94.739648392348698</v>
      </c>
      <c r="AM5222">
        <v>90.672189829593194</v>
      </c>
      <c r="AN5222">
        <v>1.00000003588708</v>
      </c>
    </row>
    <row r="5223" spans="1:40" x14ac:dyDescent="0.25">
      <c r="A5223" t="str">
        <f>"20190303154913905"</f>
        <v>20190303154913905</v>
      </c>
      <c r="B5223" t="str">
        <f>"1551599353895841"</f>
        <v>1551599353895841</v>
      </c>
      <c r="C5223" t="s">
        <v>40</v>
      </c>
      <c r="D5223">
        <v>5.1775149999999996</v>
      </c>
      <c r="E5223">
        <v>0.51334399999999902</v>
      </c>
      <c r="F5223" t="s">
        <v>41</v>
      </c>
      <c r="G5223">
        <v>-342.19830000000002</v>
      </c>
      <c r="H5223" s="1">
        <v>-3.9575279999999997E-6</v>
      </c>
      <c r="I5223">
        <v>142.03829999999999</v>
      </c>
      <c r="J5223">
        <v>-326.07929999999999</v>
      </c>
      <c r="K5223">
        <v>1.1200650000000001</v>
      </c>
      <c r="L5223">
        <v>141.601</v>
      </c>
      <c r="M5223">
        <v>-0.99996490000000005</v>
      </c>
      <c r="N5223">
        <v>-7.9948599999999995E-3</v>
      </c>
      <c r="O5223">
        <v>2.5596460000000001E-3</v>
      </c>
      <c r="P5223">
        <v>-0.99586140000000001</v>
      </c>
      <c r="Q5223">
        <v>-9.0428170000000002E-2</v>
      </c>
      <c r="R5223">
        <v>-9.1383479999999993E-3</v>
      </c>
      <c r="S5223">
        <v>-2.994507</v>
      </c>
      <c r="T5223">
        <v>-0.20601249999999999</v>
      </c>
      <c r="U5223">
        <v>8.0505370000000007E-2</v>
      </c>
      <c r="V5223">
        <v>-1.168219E-2</v>
      </c>
      <c r="W5223">
        <v>-8.2464490000000001E-2</v>
      </c>
      <c r="X5223">
        <v>0.99652549999999995</v>
      </c>
      <c r="Y5223">
        <v>2.42565E-2</v>
      </c>
      <c r="Z5223">
        <v>7.7494539999999903E-4</v>
      </c>
      <c r="AA5223">
        <v>0.99970550000000002</v>
      </c>
      <c r="AB5223">
        <v>28</v>
      </c>
      <c r="AC5223">
        <v>-16.119</v>
      </c>
      <c r="AD5223">
        <v>-1.1200689575279901</v>
      </c>
      <c r="AE5223">
        <v>0.43729999999999303</v>
      </c>
      <c r="AF5223">
        <v>0.39413662657783799</v>
      </c>
      <c r="AG5223">
        <v>-1.1200689575279901</v>
      </c>
      <c r="AH5223">
        <v>16.042661346378601</v>
      </c>
      <c r="AI5223">
        <v>93.992603588405402</v>
      </c>
      <c r="AJ5223">
        <v>88.592638532446102</v>
      </c>
      <c r="AK5223">
        <v>16.086543482818701</v>
      </c>
      <c r="AL5223">
        <v>94.730238996773096</v>
      </c>
      <c r="AM5223">
        <v>90.671643147334905</v>
      </c>
      <c r="AN5223">
        <v>0.999999968912202</v>
      </c>
    </row>
    <row r="5224" spans="1:40" x14ac:dyDescent="0.25">
      <c r="A5224" t="str">
        <f>"20190303154913918"</f>
        <v>20190303154913918</v>
      </c>
      <c r="B5224" t="str">
        <f>"1551599353905602"</f>
        <v>1551599353905602</v>
      </c>
      <c r="C5224" t="s">
        <v>40</v>
      </c>
      <c r="D5224">
        <v>5.1933499999999997</v>
      </c>
      <c r="E5224">
        <v>0.51325889999999996</v>
      </c>
      <c r="F5224" t="s">
        <v>41</v>
      </c>
      <c r="G5224">
        <v>-342.39980000000003</v>
      </c>
      <c r="H5224" s="1">
        <v>-3.8863099999999901E-6</v>
      </c>
      <c r="I5224">
        <v>142.035</v>
      </c>
      <c r="J5224">
        <v>-326.24400000000003</v>
      </c>
      <c r="K5224">
        <v>1.1200680000000001</v>
      </c>
      <c r="L5224">
        <v>141.60140000000001</v>
      </c>
      <c r="M5224">
        <v>-0.99996479999999999</v>
      </c>
      <c r="N5224">
        <v>-8.0060259999999994E-3</v>
      </c>
      <c r="O5224">
        <v>2.5211119999999998E-3</v>
      </c>
      <c r="P5224">
        <v>-0.99584139999999999</v>
      </c>
      <c r="Q5224">
        <v>-9.0664069999999999E-2</v>
      </c>
      <c r="R5224">
        <v>-8.9393300000000005E-3</v>
      </c>
      <c r="S5224">
        <v>-2.9945680000000001</v>
      </c>
      <c r="T5224">
        <v>-0.2055159</v>
      </c>
      <c r="U5224">
        <v>7.9650879999999993E-2</v>
      </c>
      <c r="V5224">
        <v>-1.144392E-2</v>
      </c>
      <c r="W5224">
        <v>-8.2689550000000001E-2</v>
      </c>
      <c r="X5224">
        <v>0.99650970000000005</v>
      </c>
      <c r="Y5224">
        <v>2.401025E-2</v>
      </c>
      <c r="Z5224">
        <v>7.6642399999999895E-4</v>
      </c>
      <c r="AA5224">
        <v>0.99971140000000003</v>
      </c>
      <c r="AB5224">
        <v>28</v>
      </c>
      <c r="AC5224">
        <v>-16.155799999999999</v>
      </c>
      <c r="AD5224">
        <v>-1.1200718863099901</v>
      </c>
      <c r="AE5224">
        <v>0.433599999999984</v>
      </c>
      <c r="AF5224">
        <v>0.39098877595981602</v>
      </c>
      <c r="AG5224">
        <v>-1.1200718863099901</v>
      </c>
      <c r="AH5224">
        <v>16.079609777750701</v>
      </c>
      <c r="AI5224">
        <v>93.983493624154605</v>
      </c>
      <c r="AJ5224">
        <v>88.607081051885004</v>
      </c>
      <c r="AK5224">
        <v>16.123314915307098</v>
      </c>
      <c r="AL5224">
        <v>94.743177774150496</v>
      </c>
      <c r="AM5224">
        <v>90.6579559584832</v>
      </c>
      <c r="AN5224">
        <v>1.00000005358912</v>
      </c>
    </row>
    <row r="5225" spans="1:40" x14ac:dyDescent="0.25">
      <c r="A5225" t="str">
        <f>"20190303154913934"</f>
        <v>20190303154913934</v>
      </c>
      <c r="B5225" t="str">
        <f>"1551599353926098"</f>
        <v>1551599353926098</v>
      </c>
      <c r="C5225" t="s">
        <v>40</v>
      </c>
      <c r="D5225">
        <v>5.1883819999999998</v>
      </c>
      <c r="E5225">
        <v>0.51301090000000005</v>
      </c>
      <c r="F5225" t="s">
        <v>41</v>
      </c>
      <c r="G5225">
        <v>-342.52030000000002</v>
      </c>
      <c r="H5225" s="1">
        <v>-3.8342630000000003E-6</v>
      </c>
      <c r="I5225">
        <v>142.03360000000001</v>
      </c>
      <c r="J5225">
        <v>-326.44510000000002</v>
      </c>
      <c r="K5225">
        <v>1.120061</v>
      </c>
      <c r="L5225">
        <v>141.6019</v>
      </c>
      <c r="M5225">
        <v>-0.99996490000000005</v>
      </c>
      <c r="N5225">
        <v>-8.0196260000000002E-3</v>
      </c>
      <c r="O5225">
        <v>2.4700540000000002E-3</v>
      </c>
      <c r="P5225">
        <v>-0.99581839999999999</v>
      </c>
      <c r="Q5225">
        <v>-9.0916810000000001E-2</v>
      </c>
      <c r="R5225">
        <v>-8.9484939999999995E-3</v>
      </c>
      <c r="S5225">
        <v>-2.9945369999999998</v>
      </c>
      <c r="T5225">
        <v>-0.20607320000000001</v>
      </c>
      <c r="U5225">
        <v>7.9544069999999995E-2</v>
      </c>
      <c r="V5225">
        <v>-1.140092E-2</v>
      </c>
      <c r="W5225">
        <v>-8.2929009999999997E-2</v>
      </c>
      <c r="X5225">
        <v>0.99649019999999999</v>
      </c>
      <c r="Y5225">
        <v>2.402549E-2</v>
      </c>
      <c r="Z5225">
        <v>7.7207220000000002E-4</v>
      </c>
      <c r="AA5225">
        <v>0.99971100000000002</v>
      </c>
      <c r="AB5225">
        <v>28</v>
      </c>
      <c r="AC5225">
        <v>-16.075199999999899</v>
      </c>
      <c r="AD5225">
        <v>-1.120064834263</v>
      </c>
      <c r="AE5225">
        <v>0.43170000000000602</v>
      </c>
      <c r="AF5225">
        <v>0.39009830426727699</v>
      </c>
      <c r="AG5225">
        <v>-1.120064834263</v>
      </c>
      <c r="AH5225">
        <v>15.998602876754299</v>
      </c>
      <c r="AI5225">
        <v>94.003566437247699</v>
      </c>
      <c r="AJ5225">
        <v>88.603218128922293</v>
      </c>
      <c r="AK5225">
        <v>16.042506535078498</v>
      </c>
      <c r="AL5225">
        <v>94.756945551235603</v>
      </c>
      <c r="AM5225">
        <v>90.655496761359004</v>
      </c>
      <c r="AN5225">
        <v>0.99999996018623205</v>
      </c>
    </row>
    <row r="5226" spans="1:40" x14ac:dyDescent="0.25">
      <c r="A5226" t="str">
        <f>"20190303154913948"</f>
        <v>20190303154913948</v>
      </c>
      <c r="B5226" t="str">
        <f>"1551599353946594"</f>
        <v>1551599353946594</v>
      </c>
      <c r="C5226" t="s">
        <v>40</v>
      </c>
      <c r="D5226">
        <v>5.2117329999999997</v>
      </c>
      <c r="E5226">
        <v>0.51287229999999995</v>
      </c>
      <c r="F5226" t="s">
        <v>41</v>
      </c>
      <c r="G5226">
        <v>-342.64839999999998</v>
      </c>
      <c r="H5226" s="1">
        <v>-3.7760669999999999E-6</v>
      </c>
      <c r="I5226">
        <v>142.0215</v>
      </c>
      <c r="J5226">
        <v>-326.6241</v>
      </c>
      <c r="K5226">
        <v>1.120066</v>
      </c>
      <c r="L5226">
        <v>141.60220000000001</v>
      </c>
      <c r="M5226">
        <v>-0.99996490000000005</v>
      </c>
      <c r="N5226">
        <v>-8.0317059999999996E-3</v>
      </c>
      <c r="O5226">
        <v>2.4222929999999998E-3</v>
      </c>
      <c r="P5226">
        <v>-0.99578390000000006</v>
      </c>
      <c r="Q5226">
        <v>-9.1306769999999995E-2</v>
      </c>
      <c r="R5226">
        <v>-8.8244039999999992E-3</v>
      </c>
      <c r="S5226">
        <v>-2.994354</v>
      </c>
      <c r="T5226">
        <v>-0.20698800000000001</v>
      </c>
      <c r="U5226">
        <v>7.7560420000000005E-2</v>
      </c>
      <c r="V5226">
        <v>-1.122856E-2</v>
      </c>
      <c r="W5226">
        <v>-8.3307229999999996E-2</v>
      </c>
      <c r="X5226">
        <v>0.99646069999999998</v>
      </c>
      <c r="Y5226">
        <v>2.3414069999999999E-2</v>
      </c>
      <c r="Z5226">
        <v>7.5454899999999997E-4</v>
      </c>
      <c r="AA5226">
        <v>0.99972559999999999</v>
      </c>
      <c r="AB5226">
        <v>28</v>
      </c>
      <c r="AC5226">
        <v>-16.024299999999901</v>
      </c>
      <c r="AD5226">
        <v>-1.120069776067</v>
      </c>
      <c r="AE5226">
        <v>0.41929999999999201</v>
      </c>
      <c r="AF5226">
        <v>0.37863332612788297</v>
      </c>
      <c r="AG5226">
        <v>-1.120069776067</v>
      </c>
      <c r="AH5226">
        <v>15.947406813526101</v>
      </c>
      <c r="AI5226">
        <v>94.016456457305793</v>
      </c>
      <c r="AJ5226">
        <v>88.639903227336703</v>
      </c>
      <c r="AK5226">
        <v>15.9911758033927</v>
      </c>
      <c r="AL5226">
        <v>94.778690773973807</v>
      </c>
      <c r="AM5226">
        <v>90.645606866115301</v>
      </c>
      <c r="AN5226">
        <v>1.00000005088721</v>
      </c>
    </row>
    <row r="5227" spans="1:40" x14ac:dyDescent="0.25">
      <c r="A5227" t="str">
        <f>"20190303154913962"</f>
        <v>20190303154913962</v>
      </c>
      <c r="B5227" t="str">
        <f>"1551599353956353"</f>
        <v>1551599353956353</v>
      </c>
      <c r="C5227" t="s">
        <v>40</v>
      </c>
      <c r="D5227">
        <v>5.2611679999999996</v>
      </c>
      <c r="E5227">
        <v>0.51277810000000001</v>
      </c>
      <c r="F5227" t="s">
        <v>41</v>
      </c>
      <c r="G5227">
        <v>-342.7638</v>
      </c>
      <c r="H5227" s="1">
        <v>-3.725112E-6</v>
      </c>
      <c r="I5227">
        <v>142.01589999999999</v>
      </c>
      <c r="J5227">
        <v>-326.79539999999997</v>
      </c>
      <c r="K5227">
        <v>1.1200669999999999</v>
      </c>
      <c r="L5227">
        <v>141.6026</v>
      </c>
      <c r="M5227">
        <v>-0.99996499999999999</v>
      </c>
      <c r="N5227">
        <v>-8.0432750000000008E-3</v>
      </c>
      <c r="O5227">
        <v>2.3752560000000001E-3</v>
      </c>
      <c r="P5227">
        <v>-0.99579519999999999</v>
      </c>
      <c r="Q5227">
        <v>-9.1201130000000005E-2</v>
      </c>
      <c r="R5227">
        <v>-8.6204790000000003E-3</v>
      </c>
      <c r="S5227">
        <v>-2.9942929999999999</v>
      </c>
      <c r="T5227">
        <v>-0.20779990000000001</v>
      </c>
      <c r="U5227">
        <v>7.6766970000000004E-2</v>
      </c>
      <c r="V5227">
        <v>-1.0977310000000001E-2</v>
      </c>
      <c r="W5227">
        <v>-8.3190020000000003E-2</v>
      </c>
      <c r="X5227">
        <v>0.99647330000000001</v>
      </c>
      <c r="Y5227">
        <v>2.3196939999999999E-2</v>
      </c>
      <c r="Z5227">
        <v>7.5171979999999895E-4</v>
      </c>
      <c r="AA5227">
        <v>0.99973060000000002</v>
      </c>
      <c r="AB5227">
        <v>28</v>
      </c>
      <c r="AC5227">
        <v>-15.968400000000001</v>
      </c>
      <c r="AD5227">
        <v>-1.1200707251119999</v>
      </c>
      <c r="AE5227">
        <v>0.41329999999999201</v>
      </c>
      <c r="AF5227">
        <v>0.373532015729855</v>
      </c>
      <c r="AG5227">
        <v>-1.1200707251119999</v>
      </c>
      <c r="AH5227">
        <v>15.8912037576349</v>
      </c>
      <c r="AI5227">
        <v>94.0306407707684</v>
      </c>
      <c r="AJ5227">
        <v>88.653477228134506</v>
      </c>
      <c r="AK5227">
        <v>15.935006792050499</v>
      </c>
      <c r="AL5227">
        <v>94.771951703831803</v>
      </c>
      <c r="AM5227">
        <v>90.631153983627499</v>
      </c>
      <c r="AN5227">
        <v>1.0000000591876601</v>
      </c>
    </row>
    <row r="5228" spans="1:40" x14ac:dyDescent="0.25">
      <c r="A5228" t="str">
        <f>"20190303154913979"</f>
        <v>20190303154913979</v>
      </c>
      <c r="B5228" t="str">
        <f>"1551599353975873"</f>
        <v>1551599353975873</v>
      </c>
      <c r="C5228" t="s">
        <v>40</v>
      </c>
      <c r="D5228">
        <v>5.2610789999999996</v>
      </c>
      <c r="E5228">
        <v>0.51260190000000005</v>
      </c>
      <c r="F5228" t="s">
        <v>42</v>
      </c>
      <c r="G5228">
        <v>-327.7756</v>
      </c>
      <c r="H5228">
        <v>1.052109</v>
      </c>
      <c r="I5228">
        <v>141.62780000000001</v>
      </c>
      <c r="J5228">
        <v>-327.01580000000001</v>
      </c>
      <c r="K5228">
        <v>1.120072</v>
      </c>
      <c r="L5228">
        <v>141.60310000000001</v>
      </c>
      <c r="M5228">
        <v>-0.99996499999999999</v>
      </c>
      <c r="N5228">
        <v>-8.0581509999999995E-3</v>
      </c>
      <c r="O5228">
        <v>2.3130109999999998E-3</v>
      </c>
      <c r="P5228">
        <v>-0.9958264</v>
      </c>
      <c r="Q5228">
        <v>-9.0884510000000002E-2</v>
      </c>
      <c r="R5228">
        <v>-8.3857269999999904E-3</v>
      </c>
      <c r="S5228">
        <v>-2.9942630000000001</v>
      </c>
      <c r="T5228">
        <v>-0.20762169999999999</v>
      </c>
      <c r="U5228">
        <v>7.6675419999999994E-2</v>
      </c>
      <c r="V5228">
        <v>-1.068064E-2</v>
      </c>
      <c r="W5228">
        <v>-8.2858349999999997E-2</v>
      </c>
      <c r="X5228">
        <v>0.9965041</v>
      </c>
      <c r="Y5228">
        <v>2.3228749999999999E-2</v>
      </c>
      <c r="Z5228">
        <v>7.5642669999999995E-4</v>
      </c>
      <c r="AA5228">
        <v>0.99972989999999995</v>
      </c>
      <c r="AB5228">
        <v>28</v>
      </c>
      <c r="AC5228">
        <v>-0.75979999999998404</v>
      </c>
      <c r="AD5228">
        <v>-6.7962999999999996E-2</v>
      </c>
      <c r="AE5228">
        <v>2.4699999999995701E-2</v>
      </c>
      <c r="AF5228">
        <v>2.2760535622303801E-2</v>
      </c>
      <c r="AG5228">
        <v>-6.7962999999999996E-2</v>
      </c>
      <c r="AH5228">
        <v>0.75383004274152299</v>
      </c>
      <c r="AI5228">
        <v>95.149349444612099</v>
      </c>
      <c r="AJ5228">
        <v>88.270582898640001</v>
      </c>
      <c r="AK5228">
        <v>0.75722965122246799</v>
      </c>
      <c r="AL5228">
        <v>94.752882851646405</v>
      </c>
      <c r="AM5228">
        <v>90.614078921229293</v>
      </c>
      <c r="AN5228">
        <v>1.0000000017761701</v>
      </c>
    </row>
    <row r="5229" spans="1:40" x14ac:dyDescent="0.25">
      <c r="A5229" t="str">
        <f>"20190303154913993"</f>
        <v>20190303154913993</v>
      </c>
      <c r="B5229" t="str">
        <f>"1551599353985634"</f>
        <v>1551599353985634</v>
      </c>
      <c r="C5229" t="s">
        <v>40</v>
      </c>
      <c r="D5229">
        <v>5.2064240000000002</v>
      </c>
      <c r="E5229">
        <v>0.51249129999999998</v>
      </c>
      <c r="F5229" t="s">
        <v>41</v>
      </c>
      <c r="G5229">
        <v>-343.23</v>
      </c>
      <c r="H5229" s="1">
        <v>-3.5248020000000002E-6</v>
      </c>
      <c r="I5229">
        <v>142.01480000000001</v>
      </c>
      <c r="J5229">
        <v>-327.19369999999998</v>
      </c>
      <c r="K5229">
        <v>1.120077</v>
      </c>
      <c r="L5229">
        <v>141.60339999999999</v>
      </c>
      <c r="M5229">
        <v>-0.99996490000000005</v>
      </c>
      <c r="N5229">
        <v>-8.0702359999999997E-3</v>
      </c>
      <c r="O5229">
        <v>2.2621109999999998E-3</v>
      </c>
      <c r="P5229">
        <v>-0.99584010000000001</v>
      </c>
      <c r="Q5229">
        <v>-9.0756859999999995E-2</v>
      </c>
      <c r="R5229">
        <v>-8.1053659999999993E-3</v>
      </c>
      <c r="S5229">
        <v>-2.994354</v>
      </c>
      <c r="T5229">
        <v>-0.20685149999999999</v>
      </c>
      <c r="U5229">
        <v>7.6049800000000001E-2</v>
      </c>
      <c r="V5229">
        <v>-1.0349560000000001E-2</v>
      </c>
      <c r="W5229">
        <v>-8.27185E-2</v>
      </c>
      <c r="X5229">
        <v>0.99651920000000005</v>
      </c>
      <c r="Y5229">
        <v>2.3070839999999999E-2</v>
      </c>
      <c r="Z5229">
        <v>7.5120860000000005E-4</v>
      </c>
      <c r="AA5229">
        <v>0.9997336</v>
      </c>
      <c r="AB5229">
        <v>28</v>
      </c>
      <c r="AC5229">
        <v>-16.036300000000001</v>
      </c>
      <c r="AD5229">
        <v>-1.1200805248019901</v>
      </c>
      <c r="AE5229">
        <v>0.41140000000001398</v>
      </c>
      <c r="AF5229">
        <v>0.37330190456379397</v>
      </c>
      <c r="AG5229">
        <v>-1.1200805248019901</v>
      </c>
      <c r="AH5229">
        <v>15.959382303636</v>
      </c>
      <c r="AI5229">
        <v>94.013524013783794</v>
      </c>
      <c r="AJ5229">
        <v>88.660053144700996</v>
      </c>
      <c r="AK5229">
        <v>16.002994038854101</v>
      </c>
      <c r="AL5229">
        <v>94.744842492262507</v>
      </c>
      <c r="AM5229">
        <v>90.5950359900542</v>
      </c>
      <c r="AN5229">
        <v>0.99999998980154103</v>
      </c>
    </row>
    <row r="5230" spans="1:40" x14ac:dyDescent="0.25">
      <c r="A5230" t="str">
        <f>"20190303154914009"</f>
        <v>20190303154914009</v>
      </c>
      <c r="B5230" t="str">
        <f>"1551599354006130"</f>
        <v>1551599354006130</v>
      </c>
      <c r="C5230" t="s">
        <v>40</v>
      </c>
      <c r="D5230">
        <v>5.2806610000000003</v>
      </c>
      <c r="E5230">
        <v>0.51231590000000005</v>
      </c>
      <c r="F5230" t="s">
        <v>41</v>
      </c>
      <c r="G5230">
        <v>-343.43259999999998</v>
      </c>
      <c r="H5230" s="1">
        <v>-3.4381850000000002E-6</v>
      </c>
      <c r="I5230">
        <v>142.01599999999999</v>
      </c>
      <c r="J5230">
        <v>-327.3895</v>
      </c>
      <c r="K5230">
        <v>1.120079</v>
      </c>
      <c r="L5230">
        <v>141.60380000000001</v>
      </c>
      <c r="M5230">
        <v>-0.99996499999999999</v>
      </c>
      <c r="N5230">
        <v>-8.0834740000000002E-3</v>
      </c>
      <c r="O5230">
        <v>2.205963E-3</v>
      </c>
      <c r="P5230">
        <v>-0.99584850000000003</v>
      </c>
      <c r="Q5230">
        <v>-9.0684940000000006E-2</v>
      </c>
      <c r="R5230">
        <v>-7.8951059999999903E-3</v>
      </c>
      <c r="S5230">
        <v>-2.9943240000000002</v>
      </c>
      <c r="T5230">
        <v>-0.20653389999999999</v>
      </c>
      <c r="U5230">
        <v>7.6095579999999996E-2</v>
      </c>
      <c r="V5230">
        <v>-1.008306E-2</v>
      </c>
      <c r="W5230">
        <v>-8.2633300000000007E-2</v>
      </c>
      <c r="X5230">
        <v>0.996529</v>
      </c>
      <c r="Y5230">
        <v>2.3142369999999999E-2</v>
      </c>
      <c r="Z5230">
        <v>7.5658490000000001E-4</v>
      </c>
      <c r="AA5230">
        <v>0.99973190000000001</v>
      </c>
      <c r="AB5230">
        <v>28</v>
      </c>
      <c r="AC5230">
        <v>-16.0430999999999</v>
      </c>
      <c r="AD5230">
        <v>-1.1200824381849901</v>
      </c>
      <c r="AE5230">
        <v>0.41219999999998402</v>
      </c>
      <c r="AF5230">
        <v>0.37498074967468997</v>
      </c>
      <c r="AG5230">
        <v>-1.1200824381849901</v>
      </c>
      <c r="AH5230">
        <v>15.9661956090549</v>
      </c>
      <c r="AI5230">
        <v>94.011814819787006</v>
      </c>
      <c r="AJ5230">
        <v>88.654603392672101</v>
      </c>
      <c r="AK5230">
        <v>16.009828152030899</v>
      </c>
      <c r="AL5230">
        <v>94.739944125477194</v>
      </c>
      <c r="AM5230">
        <v>90.579709239478106</v>
      </c>
      <c r="AN5230">
        <v>0.999999989104426</v>
      </c>
    </row>
    <row r="5231" spans="1:40" x14ac:dyDescent="0.25">
      <c r="A5231" t="str">
        <f>"20190303154914027"</f>
        <v>20190303154914027</v>
      </c>
      <c r="B5231" t="str">
        <f>"1551599354016400"</f>
        <v>1551599354016400</v>
      </c>
      <c r="C5231" t="s">
        <v>40</v>
      </c>
      <c r="D5231">
        <v>5.2640279999999997</v>
      </c>
      <c r="E5231">
        <v>0.51225220000000005</v>
      </c>
      <c r="F5231" t="s">
        <v>41</v>
      </c>
      <c r="G5231">
        <v>-343.60140000000001</v>
      </c>
      <c r="H5231" s="1">
        <v>-3.3645079999999999E-6</v>
      </c>
      <c r="I5231">
        <v>142.0112</v>
      </c>
      <c r="J5231">
        <v>-327.60969999999998</v>
      </c>
      <c r="K5231">
        <v>1.120088</v>
      </c>
      <c r="L5231">
        <v>141.60419999999999</v>
      </c>
      <c r="M5231">
        <v>-0.99996499999999999</v>
      </c>
      <c r="N5231">
        <v>-8.0982629999999996E-3</v>
      </c>
      <c r="O5231">
        <v>2.1427769999999998E-3</v>
      </c>
      <c r="P5231">
        <v>-0.9958515</v>
      </c>
      <c r="Q5231">
        <v>-9.0715859999999995E-2</v>
      </c>
      <c r="R5231">
        <v>-7.1222689999999996E-3</v>
      </c>
      <c r="S5231">
        <v>-2.9942929999999999</v>
      </c>
      <c r="T5231">
        <v>-0.20687649999999999</v>
      </c>
      <c r="U5231">
        <v>7.525635E-2</v>
      </c>
      <c r="V5231">
        <v>-9.2472000000000006E-3</v>
      </c>
      <c r="W5231">
        <v>-8.2649379999999995E-2</v>
      </c>
      <c r="X5231">
        <v>0.99653579999999997</v>
      </c>
      <c r="Y5231">
        <v>2.2926040000000002E-2</v>
      </c>
      <c r="Z5231">
        <v>7.5337349999999995E-4</v>
      </c>
      <c r="AA5231">
        <v>0.99973690000000004</v>
      </c>
      <c r="AB5231">
        <v>28</v>
      </c>
      <c r="AC5231">
        <v>-15.9917</v>
      </c>
      <c r="AD5231">
        <v>-1.120091364508</v>
      </c>
      <c r="AE5231">
        <v>0.40700000000001002</v>
      </c>
      <c r="AF5231">
        <v>0.370912819065215</v>
      </c>
      <c r="AG5231">
        <v>-1.120091364508</v>
      </c>
      <c r="AH5231">
        <v>15.9145111532688</v>
      </c>
      <c r="AI5231">
        <v>94.024849755885398</v>
      </c>
      <c r="AJ5231">
        <v>88.664873071442301</v>
      </c>
      <c r="AK5231">
        <v>15.9581905688493</v>
      </c>
      <c r="AL5231">
        <v>94.740868477551601</v>
      </c>
      <c r="AM5231">
        <v>90.531652075120505</v>
      </c>
      <c r="AN5231">
        <v>1.00000001570193</v>
      </c>
    </row>
    <row r="5232" spans="1:40" x14ac:dyDescent="0.25">
      <c r="A5232" t="str">
        <f>"20190303154914046"</f>
        <v>20190303154914046</v>
      </c>
      <c r="B5232" t="str">
        <f>"1551599354035920"</f>
        <v>1551599354035920</v>
      </c>
      <c r="C5232" t="s">
        <v>40</v>
      </c>
      <c r="D5232">
        <v>5.2832049999999997</v>
      </c>
      <c r="E5232">
        <v>0.51209099999999996</v>
      </c>
      <c r="F5232" t="s">
        <v>41</v>
      </c>
      <c r="G5232">
        <v>-343.82560000000001</v>
      </c>
      <c r="H5232" s="1">
        <v>-3.2711490000000002E-6</v>
      </c>
      <c r="I5232">
        <v>142.02180000000001</v>
      </c>
      <c r="J5232">
        <v>-327.86810000000003</v>
      </c>
      <c r="K5232">
        <v>1.12009</v>
      </c>
      <c r="L5232">
        <v>141.60470000000001</v>
      </c>
      <c r="M5232">
        <v>-0.99996510000000005</v>
      </c>
      <c r="N5232">
        <v>-8.1155169999999992E-3</v>
      </c>
      <c r="O5232">
        <v>2.0692689999999999E-3</v>
      </c>
      <c r="P5232">
        <v>-0.99589070000000002</v>
      </c>
      <c r="Q5232">
        <v>-9.0308730000000004E-2</v>
      </c>
      <c r="R5232">
        <v>-6.7895530000000003E-3</v>
      </c>
      <c r="S5232">
        <v>-2.9941710000000001</v>
      </c>
      <c r="T5232">
        <v>-0.20681920000000001</v>
      </c>
      <c r="U5232">
        <v>7.7117920000000006E-2</v>
      </c>
      <c r="V5232">
        <v>-8.841224E-3</v>
      </c>
      <c r="W5232">
        <v>-8.2224690000000003E-2</v>
      </c>
      <c r="X5232">
        <v>0.99657459999999998</v>
      </c>
      <c r="Y5232">
        <v>2.361974E-2</v>
      </c>
      <c r="Z5232">
        <v>7.846722E-4</v>
      </c>
      <c r="AA5232">
        <v>0.99972070000000002</v>
      </c>
      <c r="AB5232">
        <v>28</v>
      </c>
      <c r="AC5232">
        <v>-15.9574999999999</v>
      </c>
      <c r="AD5232">
        <v>-1.1200932711489999</v>
      </c>
      <c r="AE5232">
        <v>0.41710000000000402</v>
      </c>
      <c r="AF5232">
        <v>0.38219588850979502</v>
      </c>
      <c r="AG5232">
        <v>-1.1200932711489999</v>
      </c>
      <c r="AH5232">
        <v>15.8801416154562</v>
      </c>
      <c r="AI5232">
        <v>94.033466474793798</v>
      </c>
      <c r="AJ5232">
        <v>88.621297894869599</v>
      </c>
      <c r="AK5232">
        <v>15.9241822509104</v>
      </c>
      <c r="AL5232">
        <v>94.716452501254594</v>
      </c>
      <c r="AM5232">
        <v>90.508292637342393</v>
      </c>
      <c r="AN5232">
        <v>1.0000000001262801</v>
      </c>
    </row>
    <row r="5233" spans="1:40" x14ac:dyDescent="0.25">
      <c r="A5233" t="str">
        <f>"20190303154914068"</f>
        <v>20190303154914068</v>
      </c>
      <c r="B5233" t="str">
        <f>"1551599354056416"</f>
        <v>1551599354056416</v>
      </c>
      <c r="C5233" t="s">
        <v>40</v>
      </c>
      <c r="D5233">
        <v>5.3191110000000004</v>
      </c>
      <c r="E5233">
        <v>0.511934</v>
      </c>
      <c r="F5233" t="s">
        <v>41</v>
      </c>
      <c r="G5233">
        <v>-344.15530000000001</v>
      </c>
      <c r="H5233" s="1">
        <v>-3.129752E-6</v>
      </c>
      <c r="I5233">
        <v>142.02199999999999</v>
      </c>
      <c r="J5233">
        <v>-328.14460000000003</v>
      </c>
      <c r="K5233">
        <v>1.1200840000000001</v>
      </c>
      <c r="L5233">
        <v>141.6052</v>
      </c>
      <c r="M5233">
        <v>-0.99996499999999999</v>
      </c>
      <c r="N5233">
        <v>-8.1338750000000005E-3</v>
      </c>
      <c r="O5233">
        <v>1.9915240000000002E-3</v>
      </c>
      <c r="P5233">
        <v>-0.99589499999999997</v>
      </c>
      <c r="Q5233">
        <v>-9.0275049999999996E-2</v>
      </c>
      <c r="R5233">
        <v>-6.5958910000000004E-3</v>
      </c>
      <c r="S5233">
        <v>-2.9942319999999998</v>
      </c>
      <c r="T5233">
        <v>-0.20591760000000001</v>
      </c>
      <c r="U5233">
        <v>7.6736449999999998E-2</v>
      </c>
      <c r="V5233">
        <v>-8.5703940000000003E-3</v>
      </c>
      <c r="W5233">
        <v>-8.2172670000000003E-2</v>
      </c>
      <c r="X5233">
        <v>0.9965813</v>
      </c>
      <c r="Y5233">
        <v>2.3570109999999998E-2</v>
      </c>
      <c r="Z5233">
        <v>7.8479289999999996E-4</v>
      </c>
      <c r="AA5233">
        <v>0.99972190000000005</v>
      </c>
      <c r="AB5233">
        <v>28</v>
      </c>
      <c r="AC5233">
        <v>-16.0106999999999</v>
      </c>
      <c r="AD5233">
        <v>-1.1200871297519901</v>
      </c>
      <c r="AE5233">
        <v>0.41680000000002299</v>
      </c>
      <c r="AF5233">
        <v>0.38303902186195998</v>
      </c>
      <c r="AG5233">
        <v>-1.1200871297519901</v>
      </c>
      <c r="AH5233">
        <v>15.9335688552232</v>
      </c>
      <c r="AI5233">
        <v>94.019966882944999</v>
      </c>
      <c r="AJ5233">
        <v>88.622888989608199</v>
      </c>
      <c r="AK5233">
        <v>15.9774819835493</v>
      </c>
      <c r="AL5233">
        <v>94.713461649776306</v>
      </c>
      <c r="AM5233">
        <v>90.492719761173106</v>
      </c>
      <c r="AN5233">
        <v>1.00000004342896</v>
      </c>
    </row>
    <row r="5234" spans="1:40" x14ac:dyDescent="0.25">
      <c r="A5234" t="str">
        <f>"20190303154914090"</f>
        <v>20190303154914090</v>
      </c>
      <c r="B5234" t="str">
        <f>"1551599354085696"</f>
        <v>1551599354085696</v>
      </c>
      <c r="C5234" t="s">
        <v>40</v>
      </c>
      <c r="D5234">
        <v>5.3298160000000001</v>
      </c>
      <c r="E5234">
        <v>0.51167370000000001</v>
      </c>
      <c r="F5234" t="s">
        <v>41</v>
      </c>
      <c r="G5234">
        <v>-344.41469999999998</v>
      </c>
      <c r="H5234" s="1">
        <v>-3.0176370000000001E-6</v>
      </c>
      <c r="I5234">
        <v>142.0189</v>
      </c>
      <c r="J5234">
        <v>-328.43630000000002</v>
      </c>
      <c r="K5234">
        <v>1.12009</v>
      </c>
      <c r="L5234">
        <v>141.60570000000001</v>
      </c>
      <c r="M5234">
        <v>-0.99996499999999999</v>
      </c>
      <c r="N5234">
        <v>-8.1531590000000001E-3</v>
      </c>
      <c r="O5234">
        <v>1.9101389999999999E-3</v>
      </c>
      <c r="P5234">
        <v>-0.99592480000000005</v>
      </c>
      <c r="Q5234">
        <v>-8.9947269999999996E-2</v>
      </c>
      <c r="R5234">
        <v>-6.5872450000000003E-3</v>
      </c>
      <c r="S5234">
        <v>-2.9941409999999999</v>
      </c>
      <c r="T5234">
        <v>-0.20612720000000001</v>
      </c>
      <c r="U5234">
        <v>7.6141360000000005E-2</v>
      </c>
      <c r="V5234">
        <v>-8.4803499999999993E-3</v>
      </c>
      <c r="W5234">
        <v>-8.1825430000000005E-2</v>
      </c>
      <c r="X5234">
        <v>0.99661060000000001</v>
      </c>
      <c r="Y5234">
        <v>2.3453720000000001E-2</v>
      </c>
      <c r="Z5234">
        <v>7.8622019999999998E-4</v>
      </c>
      <c r="AA5234">
        <v>0.99972459999999996</v>
      </c>
      <c r="AB5234">
        <v>29</v>
      </c>
      <c r="AC5234">
        <v>-15.978399999999899</v>
      </c>
      <c r="AD5234">
        <v>-1.1200930176369901</v>
      </c>
      <c r="AE5234">
        <v>0.41319999999998902</v>
      </c>
      <c r="AF5234">
        <v>0.38080720474090002</v>
      </c>
      <c r="AG5234">
        <v>-1.1200930176369901</v>
      </c>
      <c r="AH5234">
        <v>15.9010733286168</v>
      </c>
      <c r="AI5234">
        <v>94.028184982777802</v>
      </c>
      <c r="AJ5234">
        <v>88.628112996182296</v>
      </c>
      <c r="AK5234">
        <v>15.945022906768999</v>
      </c>
      <c r="AL5234">
        <v>94.6934992298021</v>
      </c>
      <c r="AM5234">
        <v>90.487528967857799</v>
      </c>
      <c r="AN5234">
        <v>1.0000000026815801</v>
      </c>
    </row>
    <row r="5235" spans="1:40" x14ac:dyDescent="0.25">
      <c r="A5235" t="str">
        <f>"20190303154914105"</f>
        <v>20190303154914105</v>
      </c>
      <c r="B5235" t="str">
        <f>"1551599354096432"</f>
        <v>1551599354096432</v>
      </c>
      <c r="C5235" t="s">
        <v>40</v>
      </c>
      <c r="D5235">
        <v>5.3673710000000003</v>
      </c>
      <c r="E5235">
        <v>0.511575</v>
      </c>
      <c r="F5235" t="s">
        <v>41</v>
      </c>
      <c r="G5235">
        <v>-344.76900000000001</v>
      </c>
      <c r="H5235" s="1">
        <v>-2.8630209999999999E-6</v>
      </c>
      <c r="I5235">
        <v>142.00899999999999</v>
      </c>
      <c r="J5235">
        <v>-328.6121</v>
      </c>
      <c r="K5235">
        <v>1.120093</v>
      </c>
      <c r="L5235">
        <v>141.60599999999999</v>
      </c>
      <c r="M5235">
        <v>-0.99996490000000005</v>
      </c>
      <c r="N5235">
        <v>-8.1646759999999992E-3</v>
      </c>
      <c r="O5235">
        <v>1.861213E-3</v>
      </c>
      <c r="P5235">
        <v>-0.99591430000000003</v>
      </c>
      <c r="Q5235">
        <v>-9.0056609999999995E-2</v>
      </c>
      <c r="R5235">
        <v>-6.6560839999999996E-3</v>
      </c>
      <c r="S5235">
        <v>-2.9942319999999998</v>
      </c>
      <c r="T5235">
        <v>-0.2053441</v>
      </c>
      <c r="U5235">
        <v>7.3959349999999993E-2</v>
      </c>
      <c r="V5235">
        <v>-8.5002410000000004E-3</v>
      </c>
      <c r="W5235">
        <v>-8.1923389999999999E-2</v>
      </c>
      <c r="X5235">
        <v>0.9966024</v>
      </c>
      <c r="Y5235">
        <v>2.277587E-2</v>
      </c>
      <c r="Z5235">
        <v>7.6077179999999901E-4</v>
      </c>
      <c r="AA5235">
        <v>0.99974030000000003</v>
      </c>
      <c r="AB5235">
        <v>29</v>
      </c>
      <c r="AC5235">
        <v>-16.1569</v>
      </c>
      <c r="AD5235">
        <v>-1.1200958630210001</v>
      </c>
      <c r="AE5235">
        <v>0.40299999999999098</v>
      </c>
      <c r="AF5235">
        <v>0.37114421283432097</v>
      </c>
      <c r="AG5235">
        <v>-1.1200958630210001</v>
      </c>
      <c r="AH5235">
        <v>16.080385948132601</v>
      </c>
      <c r="AI5235">
        <v>93.983503129194801</v>
      </c>
      <c r="AJ5235">
        <v>88.6778164266874</v>
      </c>
      <c r="AK5235">
        <v>16.123621646825399</v>
      </c>
      <c r="AL5235">
        <v>94.699130750932</v>
      </c>
      <c r="AM5235">
        <v>90.4886764517355</v>
      </c>
      <c r="AN5235">
        <v>1.00000001980595</v>
      </c>
    </row>
    <row r="5236" spans="1:40" x14ac:dyDescent="0.25">
      <c r="A5236" t="str">
        <f>"20190303154914117"</f>
        <v>20190303154914117</v>
      </c>
      <c r="B5236" t="str">
        <f>"1551599354106193"</f>
        <v>1551599354106193</v>
      </c>
      <c r="C5236" t="s">
        <v>40</v>
      </c>
      <c r="D5236">
        <v>5.3432519999999997</v>
      </c>
      <c r="E5236">
        <v>0.51149279999999997</v>
      </c>
      <c r="F5236" t="s">
        <v>41</v>
      </c>
      <c r="G5236">
        <v>-344.93119999999999</v>
      </c>
      <c r="H5236" s="1">
        <v>-2.7921980000000001E-6</v>
      </c>
      <c r="I5236">
        <v>142.0043</v>
      </c>
      <c r="J5236">
        <v>-328.7894</v>
      </c>
      <c r="K5236">
        <v>1.1200939999999999</v>
      </c>
      <c r="L5236">
        <v>141.6063</v>
      </c>
      <c r="M5236">
        <v>-0.99996499999999999</v>
      </c>
      <c r="N5236">
        <v>-8.1760919999999994E-3</v>
      </c>
      <c r="O5236">
        <v>1.811633E-3</v>
      </c>
      <c r="P5236">
        <v>-0.99591819999999998</v>
      </c>
      <c r="Q5236">
        <v>-9.0002399999999899E-2</v>
      </c>
      <c r="R5236">
        <v>-6.82958E-3</v>
      </c>
      <c r="S5236">
        <v>-2.9942319999999998</v>
      </c>
      <c r="T5236">
        <v>-0.20551610000000001</v>
      </c>
      <c r="U5236">
        <v>7.3104859999999994E-2</v>
      </c>
      <c r="V5236">
        <v>-8.6247930000000004E-3</v>
      </c>
      <c r="W5236">
        <v>-8.1857769999999996E-2</v>
      </c>
      <c r="X5236">
        <v>0.99660669999999996</v>
      </c>
      <c r="Y5236">
        <v>2.2540729999999998E-2</v>
      </c>
      <c r="Z5236">
        <v>7.5544239999999997E-4</v>
      </c>
      <c r="AA5236">
        <v>0.99974569999999996</v>
      </c>
      <c r="AB5236">
        <v>29</v>
      </c>
      <c r="AC5236">
        <v>-16.1417999999999</v>
      </c>
      <c r="AD5236">
        <v>-1.1200967921979901</v>
      </c>
      <c r="AE5236">
        <v>0.39799999999999602</v>
      </c>
      <c r="AF5236">
        <v>0.36698932943082901</v>
      </c>
      <c r="AG5236">
        <v>-1.1200967921979901</v>
      </c>
      <c r="AH5236">
        <v>16.0651857533243</v>
      </c>
      <c r="AI5236">
        <v>93.987284894325398</v>
      </c>
      <c r="AJ5236">
        <v>88.691376270339006</v>
      </c>
      <c r="AK5236">
        <v>16.108367120246001</v>
      </c>
      <c r="AL5236">
        <v>94.695358434130796</v>
      </c>
      <c r="AM5236">
        <v>90.495834416831897</v>
      </c>
      <c r="AN5236">
        <v>0.99999999802427697</v>
      </c>
    </row>
    <row r="5237" spans="1:40" x14ac:dyDescent="0.25">
      <c r="A5237" t="str">
        <f>"20190303154914134"</f>
        <v>20190303154914134</v>
      </c>
      <c r="B5237" t="str">
        <f>"1551599354125713"</f>
        <v>1551599354125713</v>
      </c>
      <c r="C5237" t="s">
        <v>40</v>
      </c>
      <c r="D5237">
        <v>5.3926850000000002</v>
      </c>
      <c r="E5237">
        <v>0.51130710000000001</v>
      </c>
      <c r="F5237" t="s">
        <v>41</v>
      </c>
      <c r="G5237">
        <v>-345.11200000000002</v>
      </c>
      <c r="H5237" s="1">
        <v>-2.7129720000000002E-6</v>
      </c>
      <c r="I5237">
        <v>141.99809999999999</v>
      </c>
      <c r="J5237">
        <v>-328.99590000000001</v>
      </c>
      <c r="K5237">
        <v>1.1200889999999999</v>
      </c>
      <c r="L5237">
        <v>141.60659999999999</v>
      </c>
      <c r="M5237">
        <v>-0.99996499999999999</v>
      </c>
      <c r="N5237">
        <v>-8.1895400000000004E-3</v>
      </c>
      <c r="O5237">
        <v>1.754355E-3</v>
      </c>
      <c r="P5237">
        <v>-0.99591929999999995</v>
      </c>
      <c r="Q5237">
        <v>-8.9957339999999997E-2</v>
      </c>
      <c r="R5237">
        <v>-7.255699E-3</v>
      </c>
      <c r="S5237">
        <v>-2.9941710000000001</v>
      </c>
      <c r="T5237">
        <v>-0.20546790000000001</v>
      </c>
      <c r="U5237">
        <v>7.1884160000000002E-2</v>
      </c>
      <c r="V5237">
        <v>-8.9936069999999903E-3</v>
      </c>
      <c r="W5237">
        <v>-8.1799350000000007E-2</v>
      </c>
      <c r="X5237">
        <v>0.9966083</v>
      </c>
      <c r="Y5237">
        <v>2.2191969999999998E-2</v>
      </c>
      <c r="Z5237">
        <v>7.4555889999999999E-4</v>
      </c>
      <c r="AA5237">
        <v>0.99975349999999996</v>
      </c>
      <c r="AB5237">
        <v>29</v>
      </c>
      <c r="AC5237">
        <v>-16.1160999999999</v>
      </c>
      <c r="AD5237">
        <v>-1.1200917129719901</v>
      </c>
      <c r="AE5237">
        <v>0.39150000000000701</v>
      </c>
      <c r="AF5237">
        <v>0.36148001080603798</v>
      </c>
      <c r="AG5237">
        <v>-1.1200917129719901</v>
      </c>
      <c r="AH5237">
        <v>16.0393306189779</v>
      </c>
      <c r="AI5237">
        <v>93.993701183585003</v>
      </c>
      <c r="AJ5237">
        <v>88.708937798353702</v>
      </c>
      <c r="AK5237">
        <v>16.082456278459599</v>
      </c>
      <c r="AL5237">
        <v>94.691999654998895</v>
      </c>
      <c r="AM5237">
        <v>90.517035365280293</v>
      </c>
      <c r="AN5237">
        <v>1.0000000611280799</v>
      </c>
    </row>
    <row r="5238" spans="1:40" x14ac:dyDescent="0.25">
      <c r="A5238" t="str">
        <f>"20190303154914150"</f>
        <v>20190303154914150</v>
      </c>
      <c r="B5238" t="str">
        <f>"1551599354146209"</f>
        <v>1551599354146209</v>
      </c>
      <c r="C5238" t="s">
        <v>40</v>
      </c>
      <c r="D5238">
        <v>5.417967</v>
      </c>
      <c r="E5238">
        <v>0.51113189999999997</v>
      </c>
      <c r="F5238" t="s">
        <v>41</v>
      </c>
      <c r="G5238">
        <v>-345.29809999999998</v>
      </c>
      <c r="H5238" s="1">
        <v>-2.6290140000000001E-6</v>
      </c>
      <c r="I5238">
        <v>141.98249999999999</v>
      </c>
      <c r="J5238">
        <v>-329.19479999999999</v>
      </c>
      <c r="K5238">
        <v>1.120088</v>
      </c>
      <c r="L5238">
        <v>141.6069</v>
      </c>
      <c r="M5238">
        <v>-0.99996499999999999</v>
      </c>
      <c r="N5238">
        <v>-8.2025969999999903E-3</v>
      </c>
      <c r="O5238">
        <v>1.6990460000000001E-3</v>
      </c>
      <c r="P5238">
        <v>-0.99590809999999996</v>
      </c>
      <c r="Q5238">
        <v>-9.0049249999999997E-2</v>
      </c>
      <c r="R5238">
        <v>-7.6276909999999998E-3</v>
      </c>
      <c r="S5238">
        <v>-2.994202</v>
      </c>
      <c r="T5238">
        <v>-0.2057273</v>
      </c>
      <c r="U5238">
        <v>6.9061280000000003E-2</v>
      </c>
      <c r="V5238">
        <v>-9.3105159999999996E-3</v>
      </c>
      <c r="W5238">
        <v>-8.1878389999999995E-2</v>
      </c>
      <c r="X5238">
        <v>0.99659880000000001</v>
      </c>
      <c r="Y5238">
        <v>2.1307070000000001E-2</v>
      </c>
      <c r="Z5238">
        <v>7.1588049999999996E-4</v>
      </c>
      <c r="AA5238">
        <v>0.99977269999999896</v>
      </c>
      <c r="AB5238">
        <v>29</v>
      </c>
      <c r="AC5238">
        <v>-16.103299999999901</v>
      </c>
      <c r="AD5238">
        <v>-1.120090629014</v>
      </c>
      <c r="AE5238">
        <v>0.375599999999991</v>
      </c>
      <c r="AF5238">
        <v>0.34656249327646399</v>
      </c>
      <c r="AG5238">
        <v>-1.120090629014</v>
      </c>
      <c r="AH5238">
        <v>16.026419371593001</v>
      </c>
      <c r="AI5238">
        <v>93.996984567232502</v>
      </c>
      <c r="AJ5238">
        <v>88.761203390370795</v>
      </c>
      <c r="AK5238">
        <v>16.0692509611719</v>
      </c>
      <c r="AL5238">
        <v>94.696544020462298</v>
      </c>
      <c r="AM5238">
        <v>90.535258273491905</v>
      </c>
      <c r="AN5238">
        <v>0.99999996230930799</v>
      </c>
    </row>
    <row r="5239" spans="1:40" x14ac:dyDescent="0.25">
      <c r="A5239" t="str">
        <f>"20190303154914163"</f>
        <v>20190303154914163</v>
      </c>
      <c r="B5239" t="str">
        <f>"1551599354155968"</f>
        <v>1551599354155968</v>
      </c>
      <c r="C5239" t="s">
        <v>40</v>
      </c>
      <c r="D5239">
        <v>5.3550680000000002</v>
      </c>
      <c r="E5239">
        <v>0.51113189999999997</v>
      </c>
      <c r="F5239" t="s">
        <v>41</v>
      </c>
      <c r="G5239">
        <v>-345.459</v>
      </c>
      <c r="H5239" s="1">
        <v>-2.5562120000000001E-6</v>
      </c>
      <c r="I5239">
        <v>141.9683</v>
      </c>
      <c r="J5239">
        <v>-329.3716</v>
      </c>
      <c r="K5239">
        <v>1.1200950000000001</v>
      </c>
      <c r="L5239">
        <v>141.6071</v>
      </c>
      <c r="M5239">
        <v>-0.99996499999999999</v>
      </c>
      <c r="N5239">
        <v>-8.2142559999999996E-3</v>
      </c>
      <c r="O5239">
        <v>1.649644E-3</v>
      </c>
      <c r="P5239">
        <v>-0.99591730000000001</v>
      </c>
      <c r="Q5239">
        <v>-8.9922650000000007E-2</v>
      </c>
      <c r="R5239">
        <v>-7.911441E-3</v>
      </c>
      <c r="S5239">
        <v>-2.994202</v>
      </c>
      <c r="T5239">
        <v>-0.20620749999999999</v>
      </c>
      <c r="U5239">
        <v>6.6558839999999994E-2</v>
      </c>
      <c r="V5239">
        <v>-9.5444299999999996E-3</v>
      </c>
      <c r="W5239">
        <v>-8.1740140000000003E-2</v>
      </c>
      <c r="X5239">
        <v>0.99660800000000005</v>
      </c>
      <c r="Y5239">
        <v>2.0523059999999999E-2</v>
      </c>
      <c r="Z5239">
        <v>6.9026709999999998E-4</v>
      </c>
      <c r="AA5239">
        <v>0.99978909999999999</v>
      </c>
      <c r="AB5239">
        <v>29</v>
      </c>
      <c r="AC5239">
        <v>-16.087399999999999</v>
      </c>
      <c r="AD5239">
        <v>-1.1200975562119999</v>
      </c>
      <c r="AE5239">
        <v>0.36119999999999602</v>
      </c>
      <c r="AF5239">
        <v>0.33304642141797602</v>
      </c>
      <c r="AG5239">
        <v>-1.1200975562119999</v>
      </c>
      <c r="AH5239">
        <v>16.0103987186084</v>
      </c>
      <c r="AI5239">
        <v>94.001065349670398</v>
      </c>
      <c r="AJ5239">
        <v>88.808311836583897</v>
      </c>
      <c r="AK5239">
        <v>16.052987434837998</v>
      </c>
      <c r="AL5239">
        <v>94.688595937720706</v>
      </c>
      <c r="AM5239">
        <v>90.548700029573396</v>
      </c>
      <c r="AN5239">
        <v>1.0000000261476201</v>
      </c>
    </row>
    <row r="5240" spans="1:40" x14ac:dyDescent="0.25">
      <c r="A5240" t="str">
        <f>"20190303154914180"</f>
        <v>20190303154914180</v>
      </c>
      <c r="B5240" t="str">
        <f>"1551599354176464"</f>
        <v>1551599354176464</v>
      </c>
      <c r="C5240" t="s">
        <v>40</v>
      </c>
      <c r="D5240">
        <v>5.3127810000000002</v>
      </c>
      <c r="E5240">
        <v>0.4859097</v>
      </c>
      <c r="F5240" t="s">
        <v>41</v>
      </c>
      <c r="G5240">
        <v>-345.66230000000002</v>
      </c>
      <c r="H5240" s="1">
        <v>-2.4680509999999998E-6</v>
      </c>
      <c r="I5240">
        <v>141.9648</v>
      </c>
      <c r="J5240">
        <v>-329.58659999999998</v>
      </c>
      <c r="K5240">
        <v>1.120096</v>
      </c>
      <c r="L5240">
        <v>141.60749999999999</v>
      </c>
      <c r="M5240">
        <v>-0.99996490000000005</v>
      </c>
      <c r="N5240">
        <v>-8.2284719999999902E-3</v>
      </c>
      <c r="O5240">
        <v>1.5897400000000001E-3</v>
      </c>
      <c r="P5240">
        <v>-0.99588960000000004</v>
      </c>
      <c r="Q5240">
        <v>-9.0206980000000006E-2</v>
      </c>
      <c r="R5240">
        <v>-8.1663789999999997E-3</v>
      </c>
      <c r="S5240">
        <v>-2.994202</v>
      </c>
      <c r="T5240">
        <v>-0.20587269999999999</v>
      </c>
      <c r="U5240">
        <v>6.5750119999999995E-2</v>
      </c>
      <c r="V5240">
        <v>-9.7400049999999995E-3</v>
      </c>
      <c r="W5240">
        <v>-8.2010540000000007E-2</v>
      </c>
      <c r="X5240">
        <v>0.99658389999999997</v>
      </c>
      <c r="Y5240">
        <v>2.0313640000000001E-2</v>
      </c>
      <c r="Z5240">
        <v>6.8504600000000003E-4</v>
      </c>
      <c r="AA5240">
        <v>0.99979340000000005</v>
      </c>
      <c r="AB5240">
        <v>29</v>
      </c>
      <c r="AC5240">
        <v>-16.075700000000001</v>
      </c>
      <c r="AD5240">
        <v>-1.120098468051</v>
      </c>
      <c r="AE5240">
        <v>0.357300000000009</v>
      </c>
      <c r="AF5240">
        <v>0.33014052085904699</v>
      </c>
      <c r="AG5240">
        <v>-1.120098468051</v>
      </c>
      <c r="AH5240">
        <v>15.9986157599725</v>
      </c>
      <c r="AI5240">
        <v>94.004019542946097</v>
      </c>
      <c r="AJ5240">
        <v>88.8178368347332</v>
      </c>
      <c r="AK5240">
        <v>16.041175754192199</v>
      </c>
      <c r="AL5240">
        <v>94.704140874599702</v>
      </c>
      <c r="AM5240">
        <v>90.559956278079</v>
      </c>
      <c r="AN5240">
        <v>1.0000000330538501</v>
      </c>
    </row>
    <row r="5241" spans="1:40" x14ac:dyDescent="0.25">
      <c r="A5241" t="str">
        <f>"20190303154914195"</f>
        <v>20190303154914195</v>
      </c>
      <c r="B5241" t="str">
        <f>"1551599354186225"</f>
        <v>1551599354186225</v>
      </c>
      <c r="C5241" t="s">
        <v>40</v>
      </c>
      <c r="D5241">
        <v>5.3542360000000002</v>
      </c>
      <c r="E5241">
        <v>0.48273820000000001</v>
      </c>
      <c r="F5241" t="s">
        <v>41</v>
      </c>
      <c r="G5241">
        <v>-347.96319999999997</v>
      </c>
      <c r="H5241" s="1">
        <v>-1.164138E-6</v>
      </c>
      <c r="I5241">
        <v>140.774</v>
      </c>
      <c r="J5241">
        <v>-329.77679999999998</v>
      </c>
      <c r="K5241">
        <v>1.1200920000000001</v>
      </c>
      <c r="L5241">
        <v>141.60769999999999</v>
      </c>
      <c r="M5241">
        <v>-0.99996479999999999</v>
      </c>
      <c r="N5241">
        <v>-8.2410390000000004E-3</v>
      </c>
      <c r="O5241">
        <v>1.537173E-3</v>
      </c>
      <c r="P5241">
        <v>-0.99586889999999995</v>
      </c>
      <c r="Q5241">
        <v>-9.042145E-2</v>
      </c>
      <c r="R5241">
        <v>-8.3143249999999991E-3</v>
      </c>
      <c r="S5241">
        <v>-2.99472</v>
      </c>
      <c r="T5241">
        <v>-0.182536</v>
      </c>
      <c r="U5241">
        <v>-0.13580320000000001</v>
      </c>
      <c r="V5241">
        <v>-9.8358330000000004E-3</v>
      </c>
      <c r="W5241">
        <v>-8.2212679999999996E-2</v>
      </c>
      <c r="X5241">
        <v>0.99656630000000002</v>
      </c>
      <c r="Y5241">
        <v>-4.6736149999999997E-2</v>
      </c>
      <c r="Z5241">
        <v>-1.696087E-3</v>
      </c>
      <c r="AA5241">
        <v>0.99890579999999995</v>
      </c>
      <c r="AB5241">
        <v>29</v>
      </c>
      <c r="AC5241">
        <v>-18.1863999999999</v>
      </c>
      <c r="AD5241">
        <v>-1.1200931641380001</v>
      </c>
      <c r="AE5241">
        <v>-0.833699999999993</v>
      </c>
      <c r="AF5241">
        <v>-0.85840626282841404</v>
      </c>
      <c r="AG5241">
        <v>-1.1200931641380001</v>
      </c>
      <c r="AH5241">
        <v>18.1165200212216</v>
      </c>
      <c r="AI5241">
        <v>93.533977675027401</v>
      </c>
      <c r="AJ5241">
        <v>92.712789123367301</v>
      </c>
      <c r="AK5241">
        <v>18.171399717350699</v>
      </c>
      <c r="AL5241">
        <v>94.715761903233101</v>
      </c>
      <c r="AM5241">
        <v>90.565475092999606</v>
      </c>
      <c r="AN5241">
        <v>1.0000000293296301</v>
      </c>
    </row>
    <row r="5242" spans="1:40" x14ac:dyDescent="0.25">
      <c r="A5242" t="str">
        <f>"20190303154914210"</f>
        <v>20190303154914210</v>
      </c>
      <c r="B5242" t="str">
        <f>"1551599354205745"</f>
        <v>1551599354205745</v>
      </c>
      <c r="C5242" t="s">
        <v>40</v>
      </c>
      <c r="D5242">
        <v>5.343197</v>
      </c>
      <c r="E5242">
        <v>0.47886529999999999</v>
      </c>
      <c r="F5242" t="s">
        <v>41</v>
      </c>
      <c r="G5242">
        <v>-348.37630000000001</v>
      </c>
      <c r="H5242" s="1">
        <v>-9.4158019999999998E-7</v>
      </c>
      <c r="I5242">
        <v>140.6036</v>
      </c>
      <c r="J5242">
        <v>-329.97739999999999</v>
      </c>
      <c r="K5242">
        <v>1.1200939999999999</v>
      </c>
      <c r="L5242">
        <v>141.608</v>
      </c>
      <c r="M5242">
        <v>-0.99996490000000005</v>
      </c>
      <c r="N5242">
        <v>-8.2542899999999992E-3</v>
      </c>
      <c r="O5242">
        <v>1.481326E-3</v>
      </c>
      <c r="P5242">
        <v>-0.99587829999999999</v>
      </c>
      <c r="Q5242">
        <v>-9.0340760000000006E-2</v>
      </c>
      <c r="R5242">
        <v>-8.0765430000000003E-3</v>
      </c>
      <c r="S5242">
        <v>-2.9946899999999999</v>
      </c>
      <c r="T5242">
        <v>-0.1803457</v>
      </c>
      <c r="U5242">
        <v>-0.16165160000000001</v>
      </c>
      <c r="V5242">
        <v>-9.542231E-3</v>
      </c>
      <c r="W5242">
        <v>-8.2118650000000001E-2</v>
      </c>
      <c r="X5242">
        <v>0.99657689999999999</v>
      </c>
      <c r="Y5242">
        <v>-5.5264540000000001E-2</v>
      </c>
      <c r="Z5242">
        <v>-1.9666969999999999E-3</v>
      </c>
      <c r="AA5242">
        <v>0.99846979999999996</v>
      </c>
      <c r="AB5242">
        <v>29</v>
      </c>
      <c r="AC5242">
        <v>-18.398900000000001</v>
      </c>
      <c r="AD5242">
        <v>-1.1200949415802</v>
      </c>
      <c r="AE5242">
        <v>-1.0044</v>
      </c>
      <c r="AF5242">
        <v>-1.0278564959985099</v>
      </c>
      <c r="AG5242">
        <v>-1.1200949415802</v>
      </c>
      <c r="AH5242">
        <v>18.329660826804101</v>
      </c>
      <c r="AI5242">
        <v>93.491429373095499</v>
      </c>
      <c r="AJ5242">
        <v>93.209564367940203</v>
      </c>
      <c r="AK5242">
        <v>18.392595457960699</v>
      </c>
      <c r="AL5242">
        <v>94.710356136036197</v>
      </c>
      <c r="AM5242">
        <v>90.548590737115603</v>
      </c>
      <c r="AN5242">
        <v>1.0000000222319401</v>
      </c>
    </row>
    <row r="5243" spans="1:40" x14ac:dyDescent="0.25">
      <c r="A5243" t="str">
        <f>"20190303154914225"</f>
        <v>20190303154914225</v>
      </c>
      <c r="B5243" t="str">
        <f>"1551599354216480"</f>
        <v>1551599354216480</v>
      </c>
      <c r="C5243" t="s">
        <v>40</v>
      </c>
      <c r="D5243">
        <v>5.3571229999999996</v>
      </c>
      <c r="E5243">
        <v>0.47815150000000001</v>
      </c>
      <c r="F5243" t="s">
        <v>41</v>
      </c>
      <c r="G5243">
        <v>-348.01240000000001</v>
      </c>
      <c r="H5243" s="1">
        <v>-1.0574560000000001E-6</v>
      </c>
      <c r="I5243">
        <v>140.45230000000001</v>
      </c>
      <c r="J5243">
        <v>-330.1694</v>
      </c>
      <c r="K5243">
        <v>1.120101</v>
      </c>
      <c r="L5243">
        <v>141.60820000000001</v>
      </c>
      <c r="M5243">
        <v>-0.99996479999999999</v>
      </c>
      <c r="N5243">
        <v>-8.2669530000000005E-3</v>
      </c>
      <c r="O5243">
        <v>1.4282240000000001E-3</v>
      </c>
      <c r="P5243">
        <v>-0.99588270000000001</v>
      </c>
      <c r="Q5243">
        <v>-9.0287060000000002E-2</v>
      </c>
      <c r="R5243">
        <v>-8.1185860000000006E-3</v>
      </c>
      <c r="S5243">
        <v>-2.9939879999999999</v>
      </c>
      <c r="T5243">
        <v>-0.18594830000000001</v>
      </c>
      <c r="U5243">
        <v>-0.19183349999999999</v>
      </c>
      <c r="V5243">
        <v>-9.5308800000000003E-3</v>
      </c>
      <c r="W5243">
        <v>-8.2052299999999995E-2</v>
      </c>
      <c r="X5243">
        <v>0.99658239999999998</v>
      </c>
      <c r="Y5243">
        <v>-6.5223110000000001E-2</v>
      </c>
      <c r="Z5243">
        <v>-2.368312E-3</v>
      </c>
      <c r="AA5243">
        <v>0.99786790000000003</v>
      </c>
      <c r="AB5243">
        <v>29</v>
      </c>
      <c r="AC5243">
        <v>-17.843</v>
      </c>
      <c r="AD5243">
        <v>-1.1201020574560001</v>
      </c>
      <c r="AE5243">
        <v>-1.1558999999999999</v>
      </c>
      <c r="AF5243">
        <v>-1.1767655282946099</v>
      </c>
      <c r="AG5243">
        <v>-1.1201020574560001</v>
      </c>
      <c r="AH5243">
        <v>17.771590056048598</v>
      </c>
      <c r="AI5243">
        <v>93.598589735268106</v>
      </c>
      <c r="AJ5243">
        <v>93.788373189365899</v>
      </c>
      <c r="AK5243">
        <v>17.845694686616799</v>
      </c>
      <c r="AL5243">
        <v>94.706542034900707</v>
      </c>
      <c r="AM5243">
        <v>90.547935174756702</v>
      </c>
      <c r="AN5243">
        <v>0.99999994879930998</v>
      </c>
    </row>
    <row r="5244" spans="1:40" x14ac:dyDescent="0.25">
      <c r="A5244" t="str">
        <f>"20190303154914247"</f>
        <v>20190303154914247</v>
      </c>
      <c r="B5244" t="str">
        <f>"1551599354236000"</f>
        <v>1551599354236000</v>
      </c>
      <c r="C5244" t="s">
        <v>40</v>
      </c>
      <c r="D5244">
        <v>5.4264489999999999</v>
      </c>
      <c r="E5244">
        <v>0.47643219999999997</v>
      </c>
      <c r="F5244" t="s">
        <v>41</v>
      </c>
      <c r="G5244">
        <v>-348.35860000000002</v>
      </c>
      <c r="H5244" s="1">
        <v>-8.9703400000000004E-7</v>
      </c>
      <c r="I5244">
        <v>140.4076</v>
      </c>
      <c r="J5244">
        <v>-330.45319999999998</v>
      </c>
      <c r="K5244">
        <v>1.120098</v>
      </c>
      <c r="L5244">
        <v>141.60849999999999</v>
      </c>
      <c r="M5244">
        <v>-0.99996479999999999</v>
      </c>
      <c r="N5244">
        <v>-8.2856249999999996E-3</v>
      </c>
      <c r="O5244">
        <v>1.349465E-3</v>
      </c>
      <c r="P5244">
        <v>-0.99590400000000001</v>
      </c>
      <c r="Q5244">
        <v>-9.0074550000000003E-2</v>
      </c>
      <c r="R5244">
        <v>-7.8543499999999995E-3</v>
      </c>
      <c r="S5244">
        <v>-2.99411</v>
      </c>
      <c r="T5244">
        <v>-0.1843805</v>
      </c>
      <c r="U5244">
        <v>-0.1976166</v>
      </c>
      <c r="V5244">
        <v>-9.188903E-3</v>
      </c>
      <c r="W5244">
        <v>-8.1820970000000007E-2</v>
      </c>
      <c r="X5244">
        <v>0.99660470000000001</v>
      </c>
      <c r="Y5244">
        <v>-6.7059519999999997E-2</v>
      </c>
      <c r="Z5244">
        <v>-2.4108020000000001E-3</v>
      </c>
      <c r="AA5244">
        <v>0.99774609999999997</v>
      </c>
      <c r="AB5244">
        <v>29</v>
      </c>
      <c r="AC5244">
        <v>-17.9054</v>
      </c>
      <c r="AD5244">
        <v>-1.120098897034</v>
      </c>
      <c r="AE5244">
        <v>-1.2008999999999901</v>
      </c>
      <c r="AF5244">
        <v>-1.22030838097276</v>
      </c>
      <c r="AG5244">
        <v>-1.120098897034</v>
      </c>
      <c r="AH5244">
        <v>17.834284448059901</v>
      </c>
      <c r="AI5244">
        <v>93.585432898569195</v>
      </c>
      <c r="AJ5244">
        <v>93.914354234424806</v>
      </c>
      <c r="AK5244">
        <v>17.911043405065001</v>
      </c>
      <c r="AL5244">
        <v>94.693242760871499</v>
      </c>
      <c r="AM5244">
        <v>90.528264056734102</v>
      </c>
      <c r="AN5244">
        <v>1.0000000175660799</v>
      </c>
    </row>
    <row r="5245" spans="1:40" x14ac:dyDescent="0.25">
      <c r="A5245" t="str">
        <f>"20190303154914262"</f>
        <v>20190303154914262</v>
      </c>
      <c r="B5245" t="str">
        <f>"1551599354256497"</f>
        <v>1551599354256497</v>
      </c>
      <c r="C5245" t="s">
        <v>40</v>
      </c>
      <c r="D5245">
        <v>5.4322619999999997</v>
      </c>
      <c r="E5245">
        <v>0.47519489999999998</v>
      </c>
      <c r="F5245" t="s">
        <v>41</v>
      </c>
      <c r="G5245">
        <v>-347.78039999999999</v>
      </c>
      <c r="H5245" s="1">
        <v>-1.1401479999999999E-6</v>
      </c>
      <c r="I5245">
        <v>140.38910000000001</v>
      </c>
      <c r="J5245">
        <v>-330.65069999999997</v>
      </c>
      <c r="K5245">
        <v>1.120093</v>
      </c>
      <c r="L5245">
        <v>141.6087</v>
      </c>
      <c r="M5245">
        <v>-0.99996470000000004</v>
      </c>
      <c r="N5245">
        <v>-8.2985890000000003E-3</v>
      </c>
      <c r="O5245">
        <v>1.294812E-3</v>
      </c>
      <c r="P5245">
        <v>-0.99586830000000004</v>
      </c>
      <c r="Q5245">
        <v>-9.0457960000000004E-2</v>
      </c>
      <c r="R5245">
        <v>-7.9767329999999997E-3</v>
      </c>
      <c r="S5245">
        <v>-2.9931950000000001</v>
      </c>
      <c r="T5245">
        <v>-0.19349340000000001</v>
      </c>
      <c r="U5245">
        <v>-0.21063229999999999</v>
      </c>
      <c r="V5245">
        <v>-9.2565779999999997E-3</v>
      </c>
      <c r="W5245">
        <v>-8.2191749999999994E-2</v>
      </c>
      <c r="X5245">
        <v>0.99657359999999995</v>
      </c>
      <c r="Y5245">
        <v>-7.1319110000000005E-2</v>
      </c>
      <c r="Z5245">
        <v>-2.6693860000000002E-3</v>
      </c>
      <c r="AA5245">
        <v>0.99744999999999995</v>
      </c>
      <c r="AB5245">
        <v>29</v>
      </c>
      <c r="AC5245">
        <v>-17.1297</v>
      </c>
      <c r="AD5245">
        <v>-1.120094140148</v>
      </c>
      <c r="AE5245">
        <v>-1.21959999999998</v>
      </c>
      <c r="AF5245">
        <v>-1.2365191355760301</v>
      </c>
      <c r="AG5245">
        <v>-1.120094140148</v>
      </c>
      <c r="AH5245">
        <v>17.055549434337401</v>
      </c>
      <c r="AI5245">
        <v>93.747599009398002</v>
      </c>
      <c r="AJ5245">
        <v>94.146661428527096</v>
      </c>
      <c r="AK5245">
        <v>17.1369588014492</v>
      </c>
      <c r="AL5245">
        <v>94.714558513236099</v>
      </c>
      <c r="AM5245">
        <v>90.532171031491799</v>
      </c>
      <c r="AN5245">
        <v>1.00000005411064</v>
      </c>
    </row>
    <row r="5246" spans="1:40" x14ac:dyDescent="0.25">
      <c r="A5246" t="str">
        <f>"20190303154914276"</f>
        <v>20190303154914276</v>
      </c>
      <c r="B5246" t="str">
        <f>"1551599354266256"</f>
        <v>1551599354266256</v>
      </c>
      <c r="C5246" t="s">
        <v>40</v>
      </c>
      <c r="D5246">
        <v>5.4767580000000002</v>
      </c>
      <c r="E5246">
        <v>0.47477740000000002</v>
      </c>
      <c r="F5246" t="s">
        <v>41</v>
      </c>
      <c r="G5246">
        <v>-347.36989999999997</v>
      </c>
      <c r="H5246" s="1">
        <v>-1.3123130000000001E-6</v>
      </c>
      <c r="I5246">
        <v>140.37430000000001</v>
      </c>
      <c r="J5246">
        <v>-330.8365</v>
      </c>
      <c r="K5246">
        <v>1.120093</v>
      </c>
      <c r="L5246">
        <v>141.60890000000001</v>
      </c>
      <c r="M5246">
        <v>-0.99996479999999999</v>
      </c>
      <c r="N5246">
        <v>-8.3107430000000006E-3</v>
      </c>
      <c r="O5246">
        <v>1.242904E-3</v>
      </c>
      <c r="P5246">
        <v>-0.99584269999999997</v>
      </c>
      <c r="Q5246">
        <v>-9.0778250000000005E-2</v>
      </c>
      <c r="R5246">
        <v>-7.5672489999999999E-3</v>
      </c>
      <c r="S5246">
        <v>-2.9924620000000002</v>
      </c>
      <c r="T5246">
        <v>-0.20047999999999999</v>
      </c>
      <c r="U5246">
        <v>-0.22093199999999999</v>
      </c>
      <c r="V5246">
        <v>-8.7949310000000006E-3</v>
      </c>
      <c r="W5246">
        <v>-8.2500089999999998E-2</v>
      </c>
      <c r="X5246">
        <v>0.9965522</v>
      </c>
      <c r="Y5246">
        <v>-7.4679209999999996E-2</v>
      </c>
      <c r="Z5246">
        <v>-2.8792750000000002E-3</v>
      </c>
      <c r="AA5246">
        <v>0.99720350000000002</v>
      </c>
      <c r="AB5246">
        <v>29</v>
      </c>
      <c r="AC5246">
        <v>-16.533399999999901</v>
      </c>
      <c r="AD5246">
        <v>-1.1200943123130001</v>
      </c>
      <c r="AE5246">
        <v>-1.2345999999999999</v>
      </c>
      <c r="AF5246">
        <v>-1.2494463907616</v>
      </c>
      <c r="AG5246">
        <v>-1.1200943123130001</v>
      </c>
      <c r="AH5246">
        <v>16.456739927582799</v>
      </c>
      <c r="AI5246">
        <v>93.882574926332794</v>
      </c>
      <c r="AJ5246">
        <v>94.341742477647998</v>
      </c>
      <c r="AK5246">
        <v>16.5420680870307</v>
      </c>
      <c r="AL5246">
        <v>94.7322857832891</v>
      </c>
      <c r="AM5246">
        <v>90.505642700185604</v>
      </c>
      <c r="AN5246">
        <v>0.99999995149306997</v>
      </c>
    </row>
    <row r="5247" spans="1:40" x14ac:dyDescent="0.25">
      <c r="A5247" t="str">
        <f>"20190303154914291"</f>
        <v>20190303154914291</v>
      </c>
      <c r="B5247" t="str">
        <f>"1551599354286752"</f>
        <v>1551599354286752</v>
      </c>
      <c r="C5247" t="s">
        <v>40</v>
      </c>
      <c r="D5247">
        <v>5.4956009999999997</v>
      </c>
      <c r="E5247">
        <v>0.47413939999999999</v>
      </c>
      <c r="F5247" t="s">
        <v>41</v>
      </c>
      <c r="G5247">
        <v>-347.26139999999998</v>
      </c>
      <c r="H5247" s="1">
        <v>-1.3615269999999999E-6</v>
      </c>
      <c r="I5247">
        <v>140.3844</v>
      </c>
      <c r="J5247">
        <v>-331.03919999999999</v>
      </c>
      <c r="K5247">
        <v>1.12009</v>
      </c>
      <c r="L5247">
        <v>141.60910000000001</v>
      </c>
      <c r="M5247">
        <v>-0.99996470000000004</v>
      </c>
      <c r="N5247">
        <v>-8.3240620000000001E-3</v>
      </c>
      <c r="O5247">
        <v>1.1865210000000001E-3</v>
      </c>
      <c r="P5247">
        <v>-0.99583350000000004</v>
      </c>
      <c r="Q5247">
        <v>-9.0890009999999993E-2</v>
      </c>
      <c r="R5247">
        <v>-7.4194059999999999E-3</v>
      </c>
      <c r="S5247">
        <v>-2.9922179999999998</v>
      </c>
      <c r="T5247">
        <v>-0.2040544</v>
      </c>
      <c r="U5247">
        <v>-0.223053</v>
      </c>
      <c r="V5247">
        <v>-8.5910009999999992E-3</v>
      </c>
      <c r="W5247">
        <v>-8.2598569999999996E-2</v>
      </c>
      <c r="X5247">
        <v>0.99654589999999998</v>
      </c>
      <c r="Y5247">
        <v>-7.5323870000000001E-2</v>
      </c>
      <c r="Z5247">
        <v>-2.9470389999999998E-3</v>
      </c>
      <c r="AA5247">
        <v>0.99715480000000001</v>
      </c>
      <c r="AB5247">
        <v>29</v>
      </c>
      <c r="AC5247">
        <v>-16.222199999999901</v>
      </c>
      <c r="AD5247">
        <v>-1.1200913615270001</v>
      </c>
      <c r="AE5247">
        <v>-1.2247000000000099</v>
      </c>
      <c r="AF5247">
        <v>-1.2380787401889399</v>
      </c>
      <c r="AG5247">
        <v>-1.1200913615270001</v>
      </c>
      <c r="AH5247">
        <v>16.144204678227901</v>
      </c>
      <c r="AI5247">
        <v>93.957261488805699</v>
      </c>
      <c r="AJ5247">
        <v>94.385357667486701</v>
      </c>
      <c r="AK5247">
        <v>16.230304627997299</v>
      </c>
      <c r="AL5247">
        <v>94.737947223308893</v>
      </c>
      <c r="AM5247">
        <v>90.493921961712203</v>
      </c>
      <c r="AN5247">
        <v>1.0000000299355101</v>
      </c>
    </row>
    <row r="5248" spans="1:40" x14ac:dyDescent="0.25">
      <c r="A5248" t="str">
        <f>"20190303154914315"</f>
        <v>20190303154914315</v>
      </c>
      <c r="B5248" t="str">
        <f>"1551599354306272"</f>
        <v>1551599354306272</v>
      </c>
      <c r="C5248" t="s">
        <v>40</v>
      </c>
      <c r="D5248">
        <v>5.4912380000000001</v>
      </c>
      <c r="E5248">
        <v>0.47355350000000002</v>
      </c>
      <c r="F5248" t="s">
        <v>41</v>
      </c>
      <c r="G5248">
        <v>-347.09230000000002</v>
      </c>
      <c r="H5248" s="1">
        <v>-1.4349720000000001E-6</v>
      </c>
      <c r="I5248">
        <v>140.3877</v>
      </c>
      <c r="J5248">
        <v>-331.33850000000001</v>
      </c>
      <c r="K5248">
        <v>1.1200909999999999</v>
      </c>
      <c r="L5248">
        <v>141.60939999999999</v>
      </c>
      <c r="M5248">
        <v>-0.99996470000000004</v>
      </c>
      <c r="N5248">
        <v>-8.3434900000000003E-3</v>
      </c>
      <c r="O5248">
        <v>1.103705E-3</v>
      </c>
      <c r="P5248">
        <v>-0.99581459999999999</v>
      </c>
      <c r="Q5248">
        <v>-9.1151389999999999E-2</v>
      </c>
      <c r="R5248">
        <v>-6.7145140000000004E-3</v>
      </c>
      <c r="S5248">
        <v>-2.9917910000000001</v>
      </c>
      <c r="T5248">
        <v>-0.2087513</v>
      </c>
      <c r="U5248">
        <v>-0.2276154</v>
      </c>
      <c r="V5248">
        <v>-7.8034509999999899E-3</v>
      </c>
      <c r="W5248">
        <v>-8.2840650000000002E-2</v>
      </c>
      <c r="X5248">
        <v>0.99653230000000004</v>
      </c>
      <c r="Y5248">
        <v>-7.6751319999999998E-2</v>
      </c>
      <c r="Z5248">
        <v>-3.0592639999999999E-3</v>
      </c>
      <c r="AA5248">
        <v>0.99704559999999998</v>
      </c>
      <c r="AB5248">
        <v>29</v>
      </c>
      <c r="AC5248">
        <v>-15.7538</v>
      </c>
      <c r="AD5248">
        <v>-1.1200924349719901</v>
      </c>
      <c r="AE5248">
        <v>-1.22169999999999</v>
      </c>
      <c r="AF5248">
        <v>-1.2328921663649799</v>
      </c>
      <c r="AG5248">
        <v>-1.1200924349719901</v>
      </c>
      <c r="AH5248">
        <v>15.673682249431399</v>
      </c>
      <c r="AI5248">
        <v>94.075049279619805</v>
      </c>
      <c r="AJ5248">
        <v>94.497626242200297</v>
      </c>
      <c r="AK5248">
        <v>15.761946117561299</v>
      </c>
      <c r="AL5248">
        <v>94.751865006970405</v>
      </c>
      <c r="AM5248">
        <v>90.448651458355002</v>
      </c>
      <c r="AN5248">
        <v>1.0000000460416001</v>
      </c>
    </row>
    <row r="5249" spans="1:40" x14ac:dyDescent="0.25">
      <c r="A5249" t="str">
        <f>"20190303154914328"</f>
        <v>20190303154914328</v>
      </c>
      <c r="B5249" t="str">
        <f>"1551599354325793"</f>
        <v>1551599354325793</v>
      </c>
      <c r="C5249" t="s">
        <v>40</v>
      </c>
      <c r="D5249">
        <v>5.4845169999999897</v>
      </c>
      <c r="E5249">
        <v>0.47298849999999998</v>
      </c>
      <c r="F5249" t="s">
        <v>41</v>
      </c>
      <c r="G5249">
        <v>-347.08080000000001</v>
      </c>
      <c r="H5249" s="1">
        <v>-1.4424799999999901E-6</v>
      </c>
      <c r="I5249">
        <v>140.39750000000001</v>
      </c>
      <c r="J5249">
        <v>-331.52190000000002</v>
      </c>
      <c r="K5249">
        <v>1.120088</v>
      </c>
      <c r="L5249">
        <v>141.6096</v>
      </c>
      <c r="M5249">
        <v>-0.99996459999999998</v>
      </c>
      <c r="N5249">
        <v>-8.3552929999999997E-3</v>
      </c>
      <c r="O5249">
        <v>1.053109E-3</v>
      </c>
      <c r="P5249">
        <v>-0.99583630000000001</v>
      </c>
      <c r="Q5249">
        <v>-9.0920260000000003E-2</v>
      </c>
      <c r="R5249">
        <v>-6.6298779999999996E-3</v>
      </c>
      <c r="S5249">
        <v>-2.9916079999999998</v>
      </c>
      <c r="T5249">
        <v>-0.21285799999999999</v>
      </c>
      <c r="U5249">
        <v>-0.23028560000000001</v>
      </c>
      <c r="V5249">
        <v>-7.6686539999999996E-3</v>
      </c>
      <c r="W5249">
        <v>-8.2597610000000002E-2</v>
      </c>
      <c r="X5249">
        <v>0.99655349999999998</v>
      </c>
      <c r="Y5249">
        <v>-7.7580060000000006E-2</v>
      </c>
      <c r="Z5249">
        <v>-3.1434280000000002E-3</v>
      </c>
      <c r="AA5249">
        <v>0.99698109999999995</v>
      </c>
      <c r="AB5249">
        <v>29</v>
      </c>
      <c r="AC5249">
        <v>-15.5588999999999</v>
      </c>
      <c r="AD5249">
        <v>-1.1200894424800001</v>
      </c>
      <c r="AE5249">
        <v>-1.21209999999999</v>
      </c>
      <c r="AF5249">
        <v>-1.22218920955392</v>
      </c>
      <c r="AG5249">
        <v>-1.1200894424800001</v>
      </c>
      <c r="AH5249">
        <v>15.4778830827433</v>
      </c>
      <c r="AI5249">
        <v>94.126313966770098</v>
      </c>
      <c r="AJ5249">
        <v>94.514912112212699</v>
      </c>
      <c r="AK5249">
        <v>15.566412931249699</v>
      </c>
      <c r="AL5249">
        <v>94.737892049943397</v>
      </c>
      <c r="AM5249">
        <v>90.440892371849003</v>
      </c>
      <c r="AN5249">
        <v>1.0000000258970601</v>
      </c>
    </row>
    <row r="5250" spans="1:40" x14ac:dyDescent="0.25">
      <c r="A5250" t="str">
        <f>"20190303154914341"</f>
        <v>20190303154914341</v>
      </c>
      <c r="B5250" t="str">
        <f>"1551599354336529"</f>
        <v>1551599354336529</v>
      </c>
      <c r="C5250" t="s">
        <v>40</v>
      </c>
      <c r="D5250">
        <v>5.5432610000000002</v>
      </c>
      <c r="E5250">
        <v>0.4726706</v>
      </c>
      <c r="F5250" t="s">
        <v>41</v>
      </c>
      <c r="G5250">
        <v>-347.1019</v>
      </c>
      <c r="H5250" s="1">
        <v>-1.4309750000000001E-6</v>
      </c>
      <c r="I5250">
        <v>140.38810000000001</v>
      </c>
      <c r="J5250">
        <v>-331.69220000000001</v>
      </c>
      <c r="K5250">
        <v>1.1200889999999999</v>
      </c>
      <c r="L5250">
        <v>141.6097</v>
      </c>
      <c r="M5250">
        <v>-0.99996450000000003</v>
      </c>
      <c r="N5250">
        <v>-8.3662479999999997E-3</v>
      </c>
      <c r="O5250">
        <v>1.0059139999999999E-3</v>
      </c>
      <c r="P5250">
        <v>-0.99583849999999996</v>
      </c>
      <c r="Q5250">
        <v>-9.0910569999999996E-2</v>
      </c>
      <c r="R5250">
        <v>-6.4069189999999996E-3</v>
      </c>
      <c r="S5250">
        <v>-2.991333</v>
      </c>
      <c r="T5250">
        <v>-0.2150561</v>
      </c>
      <c r="U5250">
        <v>-0.23449710000000001</v>
      </c>
      <c r="V5250">
        <v>-7.3982809999999996E-3</v>
      </c>
      <c r="W5250">
        <v>-8.2576919999999998E-2</v>
      </c>
      <c r="X5250">
        <v>0.99655720000000003</v>
      </c>
      <c r="Y5250">
        <v>-7.8927010000000006E-2</v>
      </c>
      <c r="Z5250">
        <v>-3.2240400000000001E-3</v>
      </c>
      <c r="AA5250">
        <v>0.99687519999999996</v>
      </c>
      <c r="AB5250">
        <v>29</v>
      </c>
      <c r="AC5250">
        <v>-15.4096999999999</v>
      </c>
      <c r="AD5250">
        <v>-1.1200904309749999</v>
      </c>
      <c r="AE5250">
        <v>-1.22159999999999</v>
      </c>
      <c r="AF5250">
        <v>-1.2306393395334301</v>
      </c>
      <c r="AG5250">
        <v>-1.1200904309749999</v>
      </c>
      <c r="AH5250">
        <v>15.3279844266719</v>
      </c>
      <c r="AI5250">
        <v>94.166094361470698</v>
      </c>
      <c r="AJ5250">
        <v>94.5902656035272</v>
      </c>
      <c r="AK5250">
        <v>15.418047293411201</v>
      </c>
      <c r="AL5250">
        <v>94.736702813609597</v>
      </c>
      <c r="AM5250">
        <v>90.425346874083004</v>
      </c>
      <c r="AN5250">
        <v>0.99999996757513998</v>
      </c>
    </row>
    <row r="5251" spans="1:40" x14ac:dyDescent="0.25">
      <c r="A5251" t="str">
        <f>"20190303154914358"</f>
        <v>20190303154914358</v>
      </c>
      <c r="B5251" t="str">
        <f>"1551599354346289"</f>
        <v>1551599354346289</v>
      </c>
      <c r="C5251" t="s">
        <v>40</v>
      </c>
      <c r="D5251">
        <v>5.5368879999999896</v>
      </c>
      <c r="E5251">
        <v>0.47247090000000003</v>
      </c>
      <c r="F5251" t="s">
        <v>41</v>
      </c>
      <c r="G5251">
        <v>-347.17840000000001</v>
      </c>
      <c r="H5251" s="1">
        <v>-1.397296E-6</v>
      </c>
      <c r="I5251">
        <v>140.38499999999999</v>
      </c>
      <c r="J5251">
        <v>-331.91129999999998</v>
      </c>
      <c r="K5251">
        <v>1.120096</v>
      </c>
      <c r="L5251">
        <v>141.60990000000001</v>
      </c>
      <c r="M5251">
        <v>-0.99996450000000003</v>
      </c>
      <c r="N5251">
        <v>-8.3802570000000003E-3</v>
      </c>
      <c r="O5251">
        <v>9.4535449999999998E-4</v>
      </c>
      <c r="P5251">
        <v>-0.9958574</v>
      </c>
      <c r="Q5251">
        <v>-9.0724680000000002E-2</v>
      </c>
      <c r="R5251">
        <v>-6.1058869999999999E-3</v>
      </c>
      <c r="S5251">
        <v>-2.9913020000000001</v>
      </c>
      <c r="T5251">
        <v>-0.21635650000000001</v>
      </c>
      <c r="U5251">
        <v>-0.23655699999999999</v>
      </c>
      <c r="V5251">
        <v>-7.0372489999999998E-3</v>
      </c>
      <c r="W5251">
        <v>-8.2376870000000005E-2</v>
      </c>
      <c r="X5251">
        <v>0.99657640000000003</v>
      </c>
      <c r="Y5251">
        <v>-7.9545359999999996E-2</v>
      </c>
      <c r="Z5251">
        <v>-3.2630810000000001E-3</v>
      </c>
      <c r="AA5251">
        <v>0.99682590000000004</v>
      </c>
      <c r="AB5251">
        <v>29</v>
      </c>
      <c r="AC5251">
        <v>-15.267099999999999</v>
      </c>
      <c r="AD5251">
        <v>-1.120097397296</v>
      </c>
      <c r="AE5251">
        <v>-1.2249000000000101</v>
      </c>
      <c r="AF5251">
        <v>-1.23273977742333</v>
      </c>
      <c r="AG5251">
        <v>-1.120097397296</v>
      </c>
      <c r="AH5251">
        <v>15.1847234466261</v>
      </c>
      <c r="AI5251">
        <v>94.2049842129762</v>
      </c>
      <c r="AJ5251">
        <v>94.641258668360294</v>
      </c>
      <c r="AK5251">
        <v>15.275800852616101</v>
      </c>
      <c r="AL5251">
        <v>94.725201471560695</v>
      </c>
      <c r="AM5251">
        <v>90.404583096210303</v>
      </c>
      <c r="AN5251">
        <v>0.99999999631072201</v>
      </c>
    </row>
    <row r="5252" spans="1:40" x14ac:dyDescent="0.25">
      <c r="A5252" t="str">
        <f>"20190303154914381"</f>
        <v>20190303154914381</v>
      </c>
      <c r="B5252" t="str">
        <f>"1551599354376544"</f>
        <v>1551599354376544</v>
      </c>
      <c r="C5252" t="s">
        <v>40</v>
      </c>
      <c r="D5252">
        <v>5.573035</v>
      </c>
      <c r="E5252">
        <v>0.47188330000000001</v>
      </c>
      <c r="F5252" t="s">
        <v>41</v>
      </c>
      <c r="G5252">
        <v>-347.37090000000001</v>
      </c>
      <c r="H5252" s="1">
        <v>-1.3144850000000001E-6</v>
      </c>
      <c r="I5252">
        <v>140.38409999999999</v>
      </c>
      <c r="J5252">
        <v>-332.21300000000002</v>
      </c>
      <c r="K5252">
        <v>1.120099</v>
      </c>
      <c r="L5252">
        <v>141.61009999999999</v>
      </c>
      <c r="M5252">
        <v>-0.99996439999999998</v>
      </c>
      <c r="N5252">
        <v>-8.3997749999999999E-3</v>
      </c>
      <c r="O5252">
        <v>8.6170559999999895E-4</v>
      </c>
      <c r="P5252">
        <v>-0.99581779999999998</v>
      </c>
      <c r="Q5252">
        <v>-9.1162359999999998E-2</v>
      </c>
      <c r="R5252">
        <v>-6.0384660000000001E-3</v>
      </c>
      <c r="S5252">
        <v>-2.9912719999999999</v>
      </c>
      <c r="T5252">
        <v>-0.21672739999999999</v>
      </c>
      <c r="U5252">
        <v>-0.2371521</v>
      </c>
      <c r="V5252">
        <v>-6.885894E-3</v>
      </c>
      <c r="W5252">
        <v>-8.2795399999999894E-2</v>
      </c>
      <c r="X5252">
        <v>0.99654279999999995</v>
      </c>
      <c r="Y5252">
        <v>-7.9658880000000001E-2</v>
      </c>
      <c r="Z5252">
        <v>-3.2681089999999999E-3</v>
      </c>
      <c r="AA5252">
        <v>0.99681679999999995</v>
      </c>
      <c r="AB5252">
        <v>29</v>
      </c>
      <c r="AC5252">
        <v>-15.1578999999999</v>
      </c>
      <c r="AD5252">
        <v>-1.1201003144849999</v>
      </c>
      <c r="AE5252">
        <v>-1.22599999999999</v>
      </c>
      <c r="AF5252">
        <v>-1.2323759485674799</v>
      </c>
      <c r="AG5252">
        <v>-1.1201003144849999</v>
      </c>
      <c r="AH5252">
        <v>15.0750549256162</v>
      </c>
      <c r="AI5252">
        <v>94.235281388633894</v>
      </c>
      <c r="AJ5252">
        <v>94.673500316323697</v>
      </c>
      <c r="AK5252">
        <v>15.1667615595243</v>
      </c>
      <c r="AL5252">
        <v>94.749263545467997</v>
      </c>
      <c r="AM5252">
        <v>90.3958950740044</v>
      </c>
      <c r="AN5252">
        <v>1.00000002301458</v>
      </c>
    </row>
    <row r="5253" spans="1:40" x14ac:dyDescent="0.25">
      <c r="A5253" t="str">
        <f>"20190303154914395"</f>
        <v>20190303154914395</v>
      </c>
      <c r="B5253" t="str">
        <f>"1551599354386304"</f>
        <v>1551599354386304</v>
      </c>
      <c r="C5253" t="s">
        <v>40</v>
      </c>
      <c r="D5253">
        <v>5.5489009999999999</v>
      </c>
      <c r="E5253">
        <v>0.47178379999999998</v>
      </c>
      <c r="F5253" t="s">
        <v>41</v>
      </c>
      <c r="G5253">
        <v>-347.3766</v>
      </c>
      <c r="H5253" s="1">
        <v>-1.3122360000000001E-6</v>
      </c>
      <c r="I5253">
        <v>140.38489999999999</v>
      </c>
      <c r="J5253">
        <v>-332.40030000000002</v>
      </c>
      <c r="K5253">
        <v>1.120098</v>
      </c>
      <c r="L5253">
        <v>141.61019999999999</v>
      </c>
      <c r="M5253">
        <v>-0.99996419999999997</v>
      </c>
      <c r="N5253">
        <v>-8.4116439999999994E-3</v>
      </c>
      <c r="O5253">
        <v>8.0973839999999998E-4</v>
      </c>
      <c r="P5253">
        <v>-0.9958378</v>
      </c>
      <c r="Q5253">
        <v>-9.0940270000000004E-2</v>
      </c>
      <c r="R5253">
        <v>-6.0598809999999996E-3</v>
      </c>
      <c r="S5253">
        <v>-2.9909059999999998</v>
      </c>
      <c r="T5253">
        <v>-0.2209325</v>
      </c>
      <c r="U5253">
        <v>-0.2416382</v>
      </c>
      <c r="V5253">
        <v>-6.8560909999999999E-3</v>
      </c>
      <c r="W5253">
        <v>-8.2561330000000002E-2</v>
      </c>
      <c r="X5253">
        <v>0.99656239999999996</v>
      </c>
      <c r="Y5253">
        <v>-8.108928E-2</v>
      </c>
      <c r="Z5253">
        <v>-3.3810020000000001E-3</v>
      </c>
      <c r="AA5253">
        <v>0.99670110000000001</v>
      </c>
      <c r="AB5253">
        <v>30</v>
      </c>
      <c r="AC5253">
        <v>-14.976299999999901</v>
      </c>
      <c r="AD5253">
        <v>-1.1200993122359999</v>
      </c>
      <c r="AE5253">
        <v>-1.2253000000000001</v>
      </c>
      <c r="AF5253">
        <v>-1.23058906261729</v>
      </c>
      <c r="AG5253">
        <v>-1.1200993122359999</v>
      </c>
      <c r="AH5253">
        <v>14.892551416875</v>
      </c>
      <c r="AI5253">
        <v>94.286679807768493</v>
      </c>
      <c r="AJ5253">
        <v>94.723686273481206</v>
      </c>
      <c r="AK5253">
        <v>14.985228046799</v>
      </c>
      <c r="AL5253">
        <v>94.735806366710705</v>
      </c>
      <c r="AM5253">
        <v>90.394173893028807</v>
      </c>
      <c r="AN5253">
        <v>0.99999999814446405</v>
      </c>
    </row>
    <row r="5254" spans="1:40" x14ac:dyDescent="0.25">
      <c r="A5254" t="str">
        <f>"20190303154914410"</f>
        <v>20190303154914410</v>
      </c>
      <c r="B5254" t="str">
        <f>"1551599354405825"</f>
        <v>1551599354405825</v>
      </c>
      <c r="C5254" t="s">
        <v>40</v>
      </c>
      <c r="D5254">
        <v>5.5582520000000004</v>
      </c>
      <c r="E5254">
        <v>0.47146519999999997</v>
      </c>
      <c r="F5254" t="s">
        <v>41</v>
      </c>
      <c r="G5254">
        <v>-347.52109999999999</v>
      </c>
      <c r="H5254" s="1">
        <v>-1.2498990000000001E-6</v>
      </c>
      <c r="I5254">
        <v>140.3836</v>
      </c>
      <c r="J5254">
        <v>-332.59870000000001</v>
      </c>
      <c r="K5254">
        <v>1.120099</v>
      </c>
      <c r="L5254">
        <v>141.6103</v>
      </c>
      <c r="M5254">
        <v>-0.99996439999999998</v>
      </c>
      <c r="N5254">
        <v>-8.4241790000000004E-3</v>
      </c>
      <c r="O5254">
        <v>7.5472750000000002E-4</v>
      </c>
      <c r="P5254">
        <v>-0.99584629999999996</v>
      </c>
      <c r="Q5254">
        <v>-9.0840519999999994E-2</v>
      </c>
      <c r="R5254">
        <v>-6.2166690000000002E-3</v>
      </c>
      <c r="S5254">
        <v>-2.990875</v>
      </c>
      <c r="T5254">
        <v>-0.2215548</v>
      </c>
      <c r="U5254">
        <v>-0.2425995</v>
      </c>
      <c r="V5254">
        <v>-6.957848E-3</v>
      </c>
      <c r="W5254">
        <v>-8.2449019999999998E-2</v>
      </c>
      <c r="X5254">
        <v>0.99657099999999998</v>
      </c>
      <c r="Y5254">
        <v>-8.1351499999999993E-2</v>
      </c>
      <c r="Z5254">
        <v>-3.397246E-3</v>
      </c>
      <c r="AA5254">
        <v>0.99667969999999895</v>
      </c>
      <c r="AB5254">
        <v>30</v>
      </c>
      <c r="AC5254">
        <v>-14.9223999999999</v>
      </c>
      <c r="AD5254">
        <v>-1.120100249899</v>
      </c>
      <c r="AE5254">
        <v>-1.2266999999999899</v>
      </c>
      <c r="AF5254">
        <v>-1.2310727751211901</v>
      </c>
      <c r="AG5254">
        <v>-1.120100249899</v>
      </c>
      <c r="AH5254">
        <v>14.838427595942299</v>
      </c>
      <c r="AI5254">
        <v>94.302142927539904</v>
      </c>
      <c r="AJ5254">
        <v>94.7426927361509</v>
      </c>
      <c r="AK5254">
        <v>14.931480109737601</v>
      </c>
      <c r="AL5254">
        <v>94.729349429875299</v>
      </c>
      <c r="AM5254">
        <v>90.400020517904906</v>
      </c>
      <c r="AN5254">
        <v>1.0000000052943701</v>
      </c>
    </row>
    <row r="5255" spans="1:40" x14ac:dyDescent="0.25">
      <c r="A5255" t="str">
        <f>"20190303154914426"</f>
        <v>20190303154914426</v>
      </c>
      <c r="B5255" t="str">
        <f>"1551599354415584"</f>
        <v>1551599354415584</v>
      </c>
      <c r="C5255" t="s">
        <v>40</v>
      </c>
      <c r="D5255">
        <v>5.5135990000000001</v>
      </c>
      <c r="E5255">
        <v>0.47133199999999997</v>
      </c>
      <c r="F5255" t="s">
        <v>41</v>
      </c>
      <c r="G5255">
        <v>-347.65120000000002</v>
      </c>
      <c r="H5255" s="1">
        <v>-1.1915890000000001E-6</v>
      </c>
      <c r="I5255">
        <v>140.3741</v>
      </c>
      <c r="J5255">
        <v>-332.80720000000002</v>
      </c>
      <c r="K5255">
        <v>1.120104</v>
      </c>
      <c r="L5255">
        <v>141.6104</v>
      </c>
      <c r="M5255">
        <v>-0.99996419999999997</v>
      </c>
      <c r="N5255">
        <v>-8.4372960000000004E-3</v>
      </c>
      <c r="O5255">
        <v>6.9703210000000002E-4</v>
      </c>
      <c r="P5255">
        <v>-0.99583509999999997</v>
      </c>
      <c r="Q5255">
        <v>-9.0914099999999998E-2</v>
      </c>
      <c r="R5255">
        <v>-6.8850509999999997E-3</v>
      </c>
      <c r="S5255">
        <v>-2.9906619999999999</v>
      </c>
      <c r="T5255">
        <v>-0.22254479999999999</v>
      </c>
      <c r="U5255">
        <v>-0.24559020000000001</v>
      </c>
      <c r="V5255">
        <v>-7.568918E-3</v>
      </c>
      <c r="W5255">
        <v>-8.2509699999999894E-2</v>
      </c>
      <c r="X5255">
        <v>0.99656149999999999</v>
      </c>
      <c r="Y5255">
        <v>-8.2284910000000003E-2</v>
      </c>
      <c r="Z5255">
        <v>-3.446298E-3</v>
      </c>
      <c r="AA5255">
        <v>0.99660289999999996</v>
      </c>
      <c r="AB5255">
        <v>30</v>
      </c>
      <c r="AC5255">
        <v>-14.8439999999999</v>
      </c>
      <c r="AD5255">
        <v>-1.1201051915889999</v>
      </c>
      <c r="AE5255">
        <v>-1.2363</v>
      </c>
      <c r="AF5255">
        <v>-1.23963697168525</v>
      </c>
      <c r="AG5255">
        <v>-1.1201051915889999</v>
      </c>
      <c r="AH5255">
        <v>14.7596723270865</v>
      </c>
      <c r="AI5255">
        <v>94.324665259782293</v>
      </c>
      <c r="AJ5255">
        <v>94.800896832077697</v>
      </c>
      <c r="AK5255">
        <v>14.8539308825899</v>
      </c>
      <c r="AL5255">
        <v>94.732838138495197</v>
      </c>
      <c r="AM5255">
        <v>90.435154999005803</v>
      </c>
      <c r="AN5255">
        <v>0.99999998119801503</v>
      </c>
    </row>
    <row r="5256" spans="1:40" x14ac:dyDescent="0.25">
      <c r="A5256" t="str">
        <f>"20190303154914448"</f>
        <v>20190303154914448</v>
      </c>
      <c r="B5256" t="str">
        <f>"1551599354436080"</f>
        <v>1551599354436080</v>
      </c>
      <c r="C5256" t="s">
        <v>40</v>
      </c>
      <c r="D5256">
        <v>5.561795</v>
      </c>
      <c r="E5256">
        <v>0.47112409999999999</v>
      </c>
      <c r="F5256" t="s">
        <v>41</v>
      </c>
      <c r="G5256">
        <v>-347.767</v>
      </c>
      <c r="H5256" s="1">
        <v>-1.139895E-6</v>
      </c>
      <c r="I5256">
        <v>140.36660000000001</v>
      </c>
      <c r="J5256">
        <v>-333.10610000000003</v>
      </c>
      <c r="K5256">
        <v>1.120107</v>
      </c>
      <c r="L5256">
        <v>141.6105</v>
      </c>
      <c r="M5256">
        <v>-0.99996410000000002</v>
      </c>
      <c r="N5256">
        <v>-8.4559990000000005E-3</v>
      </c>
      <c r="O5256">
        <v>6.1457760000000004E-4</v>
      </c>
      <c r="P5256">
        <v>-0.99582510000000002</v>
      </c>
      <c r="Q5256">
        <v>-9.0960399999999997E-2</v>
      </c>
      <c r="R5256">
        <v>-7.650128E-3</v>
      </c>
      <c r="S5256">
        <v>-2.9903870000000001</v>
      </c>
      <c r="T5256">
        <v>-0.22390350000000001</v>
      </c>
      <c r="U5256">
        <v>-0.24859619999999999</v>
      </c>
      <c r="V5256">
        <v>-8.252232E-3</v>
      </c>
      <c r="W5256">
        <v>-8.2537529999999998E-2</v>
      </c>
      <c r="X5256">
        <v>0.99655380000000005</v>
      </c>
      <c r="Y5256">
        <v>-8.3199490000000001E-2</v>
      </c>
      <c r="Z5256">
        <v>-3.498686E-3</v>
      </c>
      <c r="AA5256">
        <v>0.99652680000000005</v>
      </c>
      <c r="AB5256">
        <v>30</v>
      </c>
      <c r="AC5256">
        <v>-14.6608999999999</v>
      </c>
      <c r="AD5256">
        <v>-1.1201081398949999</v>
      </c>
      <c r="AE5256">
        <v>-1.24389999999999</v>
      </c>
      <c r="AF5256">
        <v>-1.2456910678720801</v>
      </c>
      <c r="AG5256">
        <v>-1.1201081398949999</v>
      </c>
      <c r="AH5256">
        <v>14.575660925495299</v>
      </c>
      <c r="AI5256">
        <v>94.378521262182005</v>
      </c>
      <c r="AJ5256">
        <v>94.884843868917699</v>
      </c>
      <c r="AK5256">
        <v>14.6716147678654</v>
      </c>
      <c r="AL5256">
        <v>94.734438002038203</v>
      </c>
      <c r="AM5256">
        <v>90.474442281373101</v>
      </c>
      <c r="AN5256">
        <v>1.00000000974296</v>
      </c>
    </row>
    <row r="5257" spans="1:40" x14ac:dyDescent="0.25">
      <c r="A5257" t="str">
        <f>"20190303154914464"</f>
        <v>20190303154914464</v>
      </c>
      <c r="B5257" t="str">
        <f>"1551599354455600"</f>
        <v>1551599354455600</v>
      </c>
      <c r="C5257" t="s">
        <v>40</v>
      </c>
      <c r="D5257">
        <v>5.5668980000000001</v>
      </c>
      <c r="E5257">
        <v>0.47098570000000001</v>
      </c>
      <c r="F5257" t="s">
        <v>41</v>
      </c>
      <c r="G5257">
        <v>-347.9513</v>
      </c>
      <c r="H5257" s="1">
        <v>-1.057896E-6</v>
      </c>
      <c r="I5257">
        <v>140.35560000000001</v>
      </c>
      <c r="J5257">
        <v>-333.31369999999998</v>
      </c>
      <c r="K5257">
        <v>1.1201099999999999</v>
      </c>
      <c r="L5257">
        <v>141.61060000000001</v>
      </c>
      <c r="M5257">
        <v>-0.99996410000000002</v>
      </c>
      <c r="N5257">
        <v>-8.4689190000000001E-3</v>
      </c>
      <c r="O5257">
        <v>5.5700239999999896E-4</v>
      </c>
      <c r="P5257">
        <v>-0.99580880000000005</v>
      </c>
      <c r="Q5257">
        <v>-9.1099929999999996E-2</v>
      </c>
      <c r="R5257">
        <v>-8.1169759999999997E-3</v>
      </c>
      <c r="S5257">
        <v>-2.990021</v>
      </c>
      <c r="T5257">
        <v>-0.22560559999999999</v>
      </c>
      <c r="U5257">
        <v>-0.25273129999999999</v>
      </c>
      <c r="V5257">
        <v>-8.6612819999999993E-3</v>
      </c>
      <c r="W5257">
        <v>-8.2664379999999996E-2</v>
      </c>
      <c r="X5257">
        <v>0.99653979999999998</v>
      </c>
      <c r="Y5257">
        <v>-8.4512870000000004E-2</v>
      </c>
      <c r="Z5257">
        <v>-3.5744629999999999E-3</v>
      </c>
      <c r="AA5257">
        <v>0.99641599999999997</v>
      </c>
      <c r="AB5257">
        <v>30</v>
      </c>
      <c r="AC5257">
        <v>-14.637600000000001</v>
      </c>
      <c r="AD5257">
        <v>-1.1201110578960001</v>
      </c>
      <c r="AE5257">
        <v>-1.2549999999999899</v>
      </c>
      <c r="AF5257">
        <v>-1.25585298043844</v>
      </c>
      <c r="AG5257">
        <v>-1.1201110578960001</v>
      </c>
      <c r="AH5257">
        <v>14.5523058657674</v>
      </c>
      <c r="AI5257">
        <v>94.385221225764298</v>
      </c>
      <c r="AJ5257">
        <v>94.932361937972203</v>
      </c>
      <c r="AK5257">
        <v>14.649280579651199</v>
      </c>
      <c r="AL5257">
        <v>94.741730962439306</v>
      </c>
      <c r="AM5257">
        <v>90.497965468810804</v>
      </c>
      <c r="AN5257">
        <v>0.99999999525535399</v>
      </c>
    </row>
    <row r="5258" spans="1:40" x14ac:dyDescent="0.25">
      <c r="A5258" t="str">
        <f>"20190303154914481"</f>
        <v>20190303154914481</v>
      </c>
      <c r="B5258" t="str">
        <f>"1551599354476097"</f>
        <v>1551599354476097</v>
      </c>
      <c r="C5258" t="s">
        <v>40</v>
      </c>
      <c r="D5258">
        <v>5.5681620000000001</v>
      </c>
      <c r="E5258">
        <v>0.4708638</v>
      </c>
      <c r="F5258" t="s">
        <v>41</v>
      </c>
      <c r="G5258">
        <v>-348.0675</v>
      </c>
      <c r="H5258" s="1">
        <v>-1.006899E-6</v>
      </c>
      <c r="I5258">
        <v>140.35120000000001</v>
      </c>
      <c r="J5258">
        <v>-333.54930000000002</v>
      </c>
      <c r="K5258">
        <v>1.1201139999999901</v>
      </c>
      <c r="L5258">
        <v>141.61060000000001</v>
      </c>
      <c r="M5258">
        <v>-0.99996390000000002</v>
      </c>
      <c r="N5258">
        <v>-8.4835510000000006E-3</v>
      </c>
      <c r="O5258">
        <v>4.919096E-4</v>
      </c>
      <c r="P5258">
        <v>-0.99582789999999999</v>
      </c>
      <c r="Q5258">
        <v>-9.083447E-2</v>
      </c>
      <c r="R5258">
        <v>-8.7145929999999996E-3</v>
      </c>
      <c r="S5258">
        <v>-2.9897459999999998</v>
      </c>
      <c r="T5258">
        <v>-0.22698309999999999</v>
      </c>
      <c r="U5258">
        <v>-0.25518800000000003</v>
      </c>
      <c r="V5258">
        <v>-9.1941790000000002E-3</v>
      </c>
      <c r="W5258">
        <v>-8.2384269999999996E-2</v>
      </c>
      <c r="X5258">
        <v>0.99655819999999995</v>
      </c>
      <c r="Y5258">
        <v>-8.5263140000000001E-2</v>
      </c>
      <c r="Z5258">
        <v>-3.6220900000000001E-3</v>
      </c>
      <c r="AA5258">
        <v>0.99635189999999996</v>
      </c>
      <c r="AB5258">
        <v>30</v>
      </c>
      <c r="AC5258">
        <v>-14.518199999999901</v>
      </c>
      <c r="AD5258">
        <v>-1.12011500689899</v>
      </c>
      <c r="AE5258">
        <v>-1.2593999999999901</v>
      </c>
      <c r="AF5258">
        <v>-1.25910290832975</v>
      </c>
      <c r="AG5258">
        <v>-1.12011500689899</v>
      </c>
      <c r="AH5258">
        <v>14.432311943827401</v>
      </c>
      <c r="AI5258">
        <v>94.421195076835801</v>
      </c>
      <c r="AJ5258">
        <v>94.985970925180695</v>
      </c>
      <c r="AK5258">
        <v>14.5303690870668</v>
      </c>
      <c r="AL5258">
        <v>94.725627014783498</v>
      </c>
      <c r="AM5258">
        <v>90.528592015207295</v>
      </c>
      <c r="AN5258">
        <v>0.99999997342907798</v>
      </c>
    </row>
    <row r="5259" spans="1:40" x14ac:dyDescent="0.25">
      <c r="A5259" t="str">
        <f>"20190303154914494"</f>
        <v>20190303154914494</v>
      </c>
      <c r="B5259" t="str">
        <f>"1551599354485857"</f>
        <v>1551599354485857</v>
      </c>
      <c r="C5259" t="s">
        <v>40</v>
      </c>
      <c r="D5259">
        <v>5.5526660000000003</v>
      </c>
      <c r="E5259">
        <v>0.47076269999999998</v>
      </c>
      <c r="F5259" t="s">
        <v>41</v>
      </c>
      <c r="G5259">
        <v>-348.28949999999998</v>
      </c>
      <c r="H5259" s="1">
        <v>-9.0843829999999997E-7</v>
      </c>
      <c r="I5259">
        <v>140.33920000000001</v>
      </c>
      <c r="J5259">
        <v>-333.7242</v>
      </c>
      <c r="K5259">
        <v>1.1201159999999999</v>
      </c>
      <c r="L5259">
        <v>141.61070000000001</v>
      </c>
      <c r="M5259">
        <v>-0.99996379999999996</v>
      </c>
      <c r="N5259">
        <v>-8.4943769999999991E-3</v>
      </c>
      <c r="O5259">
        <v>4.4346320000000002E-4</v>
      </c>
      <c r="P5259">
        <v>-0.99582780000000004</v>
      </c>
      <c r="Q5259">
        <v>-9.0790940000000001E-2</v>
      </c>
      <c r="R5259">
        <v>-9.1814589999999995E-3</v>
      </c>
      <c r="S5259">
        <v>-2.9895939999999999</v>
      </c>
      <c r="T5259">
        <v>-0.22718140000000001</v>
      </c>
      <c r="U5259">
        <v>-0.25785829999999998</v>
      </c>
      <c r="V5259">
        <v>-9.6123949999999993E-3</v>
      </c>
      <c r="W5259">
        <v>-8.233E-2</v>
      </c>
      <c r="X5259">
        <v>0.99655879999999997</v>
      </c>
      <c r="Y5259">
        <v>-8.6099540000000002E-2</v>
      </c>
      <c r="Z5259">
        <v>-3.6574279999999999E-3</v>
      </c>
      <c r="AA5259">
        <v>0.99627980000000005</v>
      </c>
      <c r="AB5259">
        <v>30</v>
      </c>
      <c r="AC5259">
        <v>-14.565299999999899</v>
      </c>
      <c r="AD5259">
        <v>-1.12011690843829</v>
      </c>
      <c r="AE5259">
        <v>-1.2715000000000001</v>
      </c>
      <c r="AF5259">
        <v>-1.27050224735207</v>
      </c>
      <c r="AG5259">
        <v>-1.12011690843829</v>
      </c>
      <c r="AH5259">
        <v>14.479747827925101</v>
      </c>
      <c r="AI5259">
        <v>94.406584656328903</v>
      </c>
      <c r="AJ5259">
        <v>95.014483907719196</v>
      </c>
      <c r="AK5259">
        <v>14.5784750577486</v>
      </c>
      <c r="AL5259">
        <v>94.722506684780001</v>
      </c>
      <c r="AM5259">
        <v>90.552634310557906</v>
      </c>
      <c r="AN5259">
        <v>1.0000000344475299</v>
      </c>
    </row>
    <row r="5260" spans="1:40" x14ac:dyDescent="0.25">
      <c r="A5260" t="str">
        <f>"20190303154914508"</f>
        <v>20190303154914508</v>
      </c>
      <c r="B5260" t="str">
        <f>"1551599354495617"</f>
        <v>1551599354495617</v>
      </c>
      <c r="C5260" t="s">
        <v>40</v>
      </c>
      <c r="D5260">
        <v>5.5652400000000002</v>
      </c>
      <c r="E5260">
        <v>0.47068510000000002</v>
      </c>
      <c r="F5260" t="s">
        <v>41</v>
      </c>
      <c r="G5260">
        <v>-348.42149999999998</v>
      </c>
      <c r="H5260" s="1">
        <v>-8.4969389999999999E-7</v>
      </c>
      <c r="I5260">
        <v>140.3312</v>
      </c>
      <c r="J5260">
        <v>-333.89710000000002</v>
      </c>
      <c r="K5260">
        <v>1.1201159999999999</v>
      </c>
      <c r="L5260">
        <v>141.61070000000001</v>
      </c>
      <c r="M5260">
        <v>-0.99996379999999996</v>
      </c>
      <c r="N5260">
        <v>-8.5050739999999996E-3</v>
      </c>
      <c r="O5260">
        <v>3.9591129999999998E-4</v>
      </c>
      <c r="P5260">
        <v>-0.99589919999999998</v>
      </c>
      <c r="Q5260">
        <v>-8.9980930000000001E-2</v>
      </c>
      <c r="R5260">
        <v>-9.3739549999999998E-3</v>
      </c>
      <c r="S5260">
        <v>-2.9894409999999998</v>
      </c>
      <c r="T5260">
        <v>-0.22783239999999999</v>
      </c>
      <c r="U5260">
        <v>-0.26022339999999999</v>
      </c>
      <c r="V5260">
        <v>-9.7579880000000004E-3</v>
      </c>
      <c r="W5260">
        <v>-8.1508769999999994E-2</v>
      </c>
      <c r="X5260">
        <v>0.99662479999999998</v>
      </c>
      <c r="Y5260">
        <v>-8.6835049999999997E-2</v>
      </c>
      <c r="Z5260">
        <v>-3.695233E-3</v>
      </c>
      <c r="AA5260">
        <v>0.99621590000000004</v>
      </c>
      <c r="AB5260">
        <v>30</v>
      </c>
      <c r="AC5260">
        <v>-14.524399999999901</v>
      </c>
      <c r="AD5260">
        <v>-1.12011684969389</v>
      </c>
      <c r="AE5260">
        <v>-1.2795000000000101</v>
      </c>
      <c r="AF5260">
        <v>-1.2777098932675</v>
      </c>
      <c r="AG5260">
        <v>-1.12011684969389</v>
      </c>
      <c r="AH5260">
        <v>14.4386803312418</v>
      </c>
      <c r="AI5260">
        <v>94.418780201142795</v>
      </c>
      <c r="AJ5260">
        <v>95.057053915412695</v>
      </c>
      <c r="AK5260">
        <v>14.5383181295537</v>
      </c>
      <c r="AL5260">
        <v>94.675295410979999</v>
      </c>
      <c r="AM5260">
        <v>90.560967040270498</v>
      </c>
      <c r="AN5260">
        <v>0.99999994494587896</v>
      </c>
    </row>
    <row r="5261" spans="1:40" x14ac:dyDescent="0.25">
      <c r="A5261" t="str">
        <f>"20190303154914521"</f>
        <v>20190303154914521</v>
      </c>
      <c r="B5261" t="str">
        <f>"1551599354516113"</f>
        <v>1551599354516113</v>
      </c>
      <c r="C5261" t="s">
        <v>40</v>
      </c>
      <c r="D5261">
        <v>5.5485949999999997</v>
      </c>
      <c r="E5261">
        <v>0.47057159999999898</v>
      </c>
      <c r="F5261" t="s">
        <v>41</v>
      </c>
      <c r="G5261">
        <v>-348.72250000000003</v>
      </c>
      <c r="H5261" s="1">
        <v>-7.1617400000000004E-7</v>
      </c>
      <c r="I5261">
        <v>140.31460000000001</v>
      </c>
      <c r="J5261">
        <v>-334.08580000000001</v>
      </c>
      <c r="K5261">
        <v>1.12012</v>
      </c>
      <c r="L5261">
        <v>141.61070000000001</v>
      </c>
      <c r="M5261">
        <v>-0.99996379999999996</v>
      </c>
      <c r="N5261">
        <v>-8.516727E-3</v>
      </c>
      <c r="O5261">
        <v>3.4358689999999998E-4</v>
      </c>
      <c r="P5261">
        <v>-0.99592449999999999</v>
      </c>
      <c r="Q5261">
        <v>-8.9686589999999997E-2</v>
      </c>
      <c r="R5261">
        <v>-9.5272689999999997E-3</v>
      </c>
      <c r="S5261">
        <v>-2.9895320000000001</v>
      </c>
      <c r="T5261">
        <v>-0.2258722</v>
      </c>
      <c r="U5261">
        <v>-0.26133729999999999</v>
      </c>
      <c r="V5261">
        <v>-9.8594589999999992E-3</v>
      </c>
      <c r="W5261">
        <v>-8.1202620000000003E-2</v>
      </c>
      <c r="X5261">
        <v>0.9966488</v>
      </c>
      <c r="Y5261">
        <v>-8.7152320000000005E-2</v>
      </c>
      <c r="Z5261">
        <v>-3.676833E-3</v>
      </c>
      <c r="AA5261">
        <v>0.99618819999999997</v>
      </c>
      <c r="AB5261">
        <v>30</v>
      </c>
      <c r="AC5261">
        <v>-14.636699999999999</v>
      </c>
      <c r="AD5261">
        <v>-1.1201207161740001</v>
      </c>
      <c r="AE5261">
        <v>-1.29609999999999</v>
      </c>
      <c r="AF5261">
        <v>-1.2936119002205499</v>
      </c>
      <c r="AG5261">
        <v>-1.1201207161740001</v>
      </c>
      <c r="AH5261">
        <v>14.551693851568199</v>
      </c>
      <c r="AI5261">
        <v>94.384455970935804</v>
      </c>
      <c r="AJ5261">
        <v>95.080107904398304</v>
      </c>
      <c r="AK5261">
        <v>14.651958780892199</v>
      </c>
      <c r="AL5261">
        <v>94.657695932005694</v>
      </c>
      <c r="AM5261">
        <v>90.566786376648807</v>
      </c>
      <c r="AN5261">
        <v>0.99999995248403695</v>
      </c>
    </row>
    <row r="5262" spans="1:40" x14ac:dyDescent="0.25">
      <c r="A5262" t="str">
        <f>"20190303154914536"</f>
        <v>20190303154914536</v>
      </c>
      <c r="B5262" t="str">
        <f>"1551599354525873"</f>
        <v>1551599354525873</v>
      </c>
      <c r="C5262" t="s">
        <v>40</v>
      </c>
      <c r="D5262">
        <v>5.5879789999999998</v>
      </c>
      <c r="E5262">
        <v>0.47046280000000001</v>
      </c>
      <c r="F5262" t="s">
        <v>41</v>
      </c>
      <c r="G5262">
        <v>-348.91449999999998</v>
      </c>
      <c r="H5262" s="1">
        <v>-6.3191809999999899E-7</v>
      </c>
      <c r="I5262">
        <v>140.3075</v>
      </c>
      <c r="J5262">
        <v>-334.28640000000001</v>
      </c>
      <c r="K5262">
        <v>1.120128</v>
      </c>
      <c r="L5262">
        <v>141.61070000000001</v>
      </c>
      <c r="M5262">
        <v>-0.99996359999999995</v>
      </c>
      <c r="N5262">
        <v>-8.5291029999999997E-3</v>
      </c>
      <c r="O5262">
        <v>2.8827900000000001E-4</v>
      </c>
      <c r="P5262">
        <v>-0.99596260000000003</v>
      </c>
      <c r="Q5262">
        <v>-8.9280769999999995E-2</v>
      </c>
      <c r="R5262">
        <v>-9.3676469999999998E-3</v>
      </c>
      <c r="S5262">
        <v>-2.9894409999999998</v>
      </c>
      <c r="T5262">
        <v>-0.2258153</v>
      </c>
      <c r="U5262">
        <v>-0.26271060000000002</v>
      </c>
      <c r="V5262">
        <v>-9.6440320000000003E-3</v>
      </c>
      <c r="W5262">
        <v>-8.0784120000000001E-2</v>
      </c>
      <c r="X5262">
        <v>0.99668500000000004</v>
      </c>
      <c r="Y5262">
        <v>-8.7552930000000001E-2</v>
      </c>
      <c r="Z5262">
        <v>-3.6896820000000001E-3</v>
      </c>
      <c r="AA5262">
        <v>0.99615310000000001</v>
      </c>
      <c r="AB5262">
        <v>30</v>
      </c>
      <c r="AC5262">
        <v>-14.6280999999999</v>
      </c>
      <c r="AD5262">
        <v>-1.1201286319181001</v>
      </c>
      <c r="AE5262">
        <v>-1.3031999999999999</v>
      </c>
      <c r="AF5262">
        <v>-1.2998553344756201</v>
      </c>
      <c r="AG5262">
        <v>-1.1201286319181001</v>
      </c>
      <c r="AH5262">
        <v>14.543120985260501</v>
      </c>
      <c r="AI5262">
        <v>94.386875154441199</v>
      </c>
      <c r="AJ5262">
        <v>95.107490186154493</v>
      </c>
      <c r="AK5262">
        <v>14.643998089133101</v>
      </c>
      <c r="AL5262">
        <v>94.633638225364606</v>
      </c>
      <c r="AM5262">
        <v>90.554382866328595</v>
      </c>
      <c r="AN5262">
        <v>1.00000003531119</v>
      </c>
    </row>
    <row r="5263" spans="1:40" x14ac:dyDescent="0.25">
      <c r="A5263" t="str">
        <f>"20190303154914552"</f>
        <v>20190303154914552</v>
      </c>
      <c r="B5263" t="str">
        <f>"1551599354546369"</f>
        <v>1551599354546369</v>
      </c>
      <c r="C5263" t="s">
        <v>40</v>
      </c>
      <c r="D5263">
        <v>5.622223</v>
      </c>
      <c r="E5263">
        <v>0.4929732</v>
      </c>
      <c r="F5263" t="s">
        <v>41</v>
      </c>
      <c r="G5263">
        <v>-349.16129999999998</v>
      </c>
      <c r="H5263" s="1">
        <v>-5.2432019999999895E-7</v>
      </c>
      <c r="I5263">
        <v>140.30109999999999</v>
      </c>
      <c r="J5263">
        <v>-334.48599999999999</v>
      </c>
      <c r="K5263">
        <v>1.120131</v>
      </c>
      <c r="L5263">
        <v>141.61070000000001</v>
      </c>
      <c r="M5263">
        <v>-0.99996359999999995</v>
      </c>
      <c r="N5263">
        <v>-8.5414240000000006E-3</v>
      </c>
      <c r="O5263">
        <v>2.332685E-4</v>
      </c>
      <c r="P5263">
        <v>-0.9959884</v>
      </c>
      <c r="Q5263">
        <v>-8.9028029999999994E-2</v>
      </c>
      <c r="R5263">
        <v>-9.0232999999999997E-3</v>
      </c>
      <c r="S5263">
        <v>-2.9895019999999999</v>
      </c>
      <c r="T5263">
        <v>-0.2251213</v>
      </c>
      <c r="U5263">
        <v>-0.26319890000000001</v>
      </c>
      <c r="V5263">
        <v>-9.2454900000000003E-3</v>
      </c>
      <c r="W5263">
        <v>-8.0518859999999998E-2</v>
      </c>
      <c r="X5263">
        <v>0.99671019999999999</v>
      </c>
      <c r="Y5263">
        <v>-8.7659199999999896E-2</v>
      </c>
      <c r="Z5263">
        <v>-3.6807430000000002E-3</v>
      </c>
      <c r="AA5263">
        <v>0.99614369999999997</v>
      </c>
      <c r="AB5263">
        <v>30</v>
      </c>
      <c r="AC5263">
        <v>-14.675299999999901</v>
      </c>
      <c r="AD5263">
        <v>-1.1201315243201999</v>
      </c>
      <c r="AE5263">
        <v>-1.3096000000000101</v>
      </c>
      <c r="AF5263">
        <v>-1.3054778610633599</v>
      </c>
      <c r="AG5263">
        <v>-1.1201315243201999</v>
      </c>
      <c r="AH5263">
        <v>14.590661741548599</v>
      </c>
      <c r="AI5263">
        <v>94.372611798930507</v>
      </c>
      <c r="AJ5263">
        <v>95.1128404301312</v>
      </c>
      <c r="AK5263">
        <v>14.691711171058</v>
      </c>
      <c r="AL5263">
        <v>94.6183904647106</v>
      </c>
      <c r="AM5263">
        <v>90.531460763590701</v>
      </c>
      <c r="AN5263">
        <v>0.99999999434253894</v>
      </c>
    </row>
    <row r="5264" spans="1:40" x14ac:dyDescent="0.25">
      <c r="A5264" t="str">
        <f>"20190303154914564"</f>
        <v>20190303154914564</v>
      </c>
      <c r="B5264" t="str">
        <f>"1551599354556129"</f>
        <v>1551599354556129</v>
      </c>
      <c r="C5264" t="s">
        <v>40</v>
      </c>
      <c r="D5264">
        <v>5.638452</v>
      </c>
      <c r="E5264">
        <v>0.50233220000000001</v>
      </c>
      <c r="F5264" t="s">
        <v>41</v>
      </c>
      <c r="G5264">
        <v>-363.5745</v>
      </c>
      <c r="H5264" s="1">
        <v>-3.0602860000000002E-6</v>
      </c>
      <c r="I5264">
        <v>140.8244</v>
      </c>
      <c r="J5264">
        <v>-334.66759999999999</v>
      </c>
      <c r="K5264">
        <v>1.120134</v>
      </c>
      <c r="L5264">
        <v>141.61070000000001</v>
      </c>
      <c r="M5264">
        <v>-0.99996350000000001</v>
      </c>
      <c r="N5264">
        <v>-8.5526259999999903E-3</v>
      </c>
      <c r="O5264">
        <v>1.8332959999999999E-4</v>
      </c>
      <c r="P5264">
        <v>-0.99602329999999994</v>
      </c>
      <c r="Q5264">
        <v>-8.8668049999999998E-2</v>
      </c>
      <c r="R5264">
        <v>-8.7058080000000006E-3</v>
      </c>
      <c r="S5264">
        <v>-3.0010379999999999</v>
      </c>
      <c r="T5264">
        <v>-0.1155635</v>
      </c>
      <c r="U5264">
        <v>-8.1115720000000002E-2</v>
      </c>
      <c r="V5264">
        <v>-8.8778980000000004E-3</v>
      </c>
      <c r="W5264">
        <v>-8.0147360000000001E-2</v>
      </c>
      <c r="X5264">
        <v>0.9967435</v>
      </c>
      <c r="Y5264">
        <v>-2.7177940000000001E-2</v>
      </c>
      <c r="Z5264">
        <v>-6.4477860000000003E-4</v>
      </c>
      <c r="AA5264">
        <v>0.99963040000000003</v>
      </c>
      <c r="AB5264">
        <v>30</v>
      </c>
      <c r="AC5264">
        <v>-28.9069</v>
      </c>
      <c r="AD5264">
        <v>-1.1201370602859999</v>
      </c>
      <c r="AE5264">
        <v>-0.78630000000001099</v>
      </c>
      <c r="AF5264">
        <v>-0.79041370373229103</v>
      </c>
      <c r="AG5264">
        <v>-1.1201370602859999</v>
      </c>
      <c r="AH5264">
        <v>28.8634475411742</v>
      </c>
      <c r="AI5264">
        <v>92.221596043118495</v>
      </c>
      <c r="AJ5264">
        <v>91.568629448993207</v>
      </c>
      <c r="AK5264">
        <v>28.8959870019868</v>
      </c>
      <c r="AL5264">
        <v>94.597035991668406</v>
      </c>
      <c r="AM5264">
        <v>90.510314474751695</v>
      </c>
      <c r="AN5264">
        <v>1.0000000105900499</v>
      </c>
    </row>
    <row r="5265" spans="1:40" x14ac:dyDescent="0.25">
      <c r="A5265" t="str">
        <f>"20190303154914582"</f>
        <v>20190303154914582</v>
      </c>
      <c r="B5265" t="str">
        <f>"1551599354575648"</f>
        <v>1551599354575648</v>
      </c>
      <c r="C5265" t="s">
        <v>40</v>
      </c>
      <c r="D5265">
        <v>5.6320819999999996</v>
      </c>
      <c r="E5265">
        <v>0.51043899999999998</v>
      </c>
      <c r="F5265" t="s">
        <v>41</v>
      </c>
      <c r="G5265">
        <v>-359.77839999999998</v>
      </c>
      <c r="H5265" s="1">
        <v>-5.9503879999999995E-7</v>
      </c>
      <c r="I5265">
        <v>141.5617</v>
      </c>
      <c r="J5265">
        <v>-334.8954</v>
      </c>
      <c r="K5265">
        <v>1.120136</v>
      </c>
      <c r="L5265">
        <v>141.61070000000001</v>
      </c>
      <c r="M5265">
        <v>-0.99996339999999995</v>
      </c>
      <c r="N5265">
        <v>-8.5666330000000006E-3</v>
      </c>
      <c r="O5265">
        <v>1.203861E-4</v>
      </c>
      <c r="P5265">
        <v>-0.99603989999999998</v>
      </c>
      <c r="Q5265">
        <v>-8.8529199999999905E-2</v>
      </c>
      <c r="R5265">
        <v>-8.2161460000000006E-3</v>
      </c>
      <c r="S5265">
        <v>-3.0000309999999999</v>
      </c>
      <c r="T5265">
        <v>-0.13382479999999999</v>
      </c>
      <c r="U5265">
        <v>-5.8441159999999999E-3</v>
      </c>
      <c r="V5265">
        <v>-8.3252420000000001E-3</v>
      </c>
      <c r="W5265">
        <v>-7.9994339999999997E-2</v>
      </c>
      <c r="X5265">
        <v>0.99676050000000005</v>
      </c>
      <c r="Y5265">
        <v>-2.0658780000000002E-3</v>
      </c>
      <c r="Z5265" s="1">
        <v>-5.924501E-5</v>
      </c>
      <c r="AA5265">
        <v>0.9999979</v>
      </c>
      <c r="AB5265">
        <v>30</v>
      </c>
      <c r="AC5265">
        <v>-24.8829999999999</v>
      </c>
      <c r="AD5265">
        <v>-1.1201365950388</v>
      </c>
      <c r="AE5265">
        <v>-4.9000000000006497E-2</v>
      </c>
      <c r="AF5265">
        <v>-5.1890523302772197E-2</v>
      </c>
      <c r="AG5265">
        <v>-1.1201365950388</v>
      </c>
      <c r="AH5265">
        <v>24.8326718782074</v>
      </c>
      <c r="AI5265">
        <v>92.582705761415895</v>
      </c>
      <c r="AJ5265">
        <v>90.119725483800096</v>
      </c>
      <c r="AK5265">
        <v>24.857976410574299</v>
      </c>
      <c r="AL5265">
        <v>94.588240632473799</v>
      </c>
      <c r="AM5265">
        <v>90.478540370005703</v>
      </c>
      <c r="AN5265">
        <v>0.99999994922332003</v>
      </c>
    </row>
    <row r="5266" spans="1:40" x14ac:dyDescent="0.25">
      <c r="A5266" t="str">
        <f>"20190303154914596"</f>
        <v>20190303154914596</v>
      </c>
      <c r="B5266" t="str">
        <f>"1551599354586385"</f>
        <v>1551599354586385</v>
      </c>
      <c r="C5266" t="s">
        <v>40</v>
      </c>
      <c r="D5266">
        <v>5.7246220000000001</v>
      </c>
      <c r="E5266">
        <v>0.51174200000000003</v>
      </c>
      <c r="F5266" t="s">
        <v>41</v>
      </c>
      <c r="G5266">
        <v>-359.38060000000002</v>
      </c>
      <c r="H5266" s="1">
        <v>-9.0954049999999999E-7</v>
      </c>
      <c r="I5266">
        <v>142.10239999999999</v>
      </c>
      <c r="J5266">
        <v>-335.08940000000001</v>
      </c>
      <c r="K5266">
        <v>1.120134</v>
      </c>
      <c r="L5266">
        <v>141.61070000000001</v>
      </c>
      <c r="M5266">
        <v>-0.9999633</v>
      </c>
      <c r="N5266">
        <v>-8.5784009999999994E-3</v>
      </c>
      <c r="O5266" s="1">
        <v>6.6868799999999999E-5</v>
      </c>
      <c r="P5266">
        <v>-0.99603149999999996</v>
      </c>
      <c r="Q5266">
        <v>-8.8634770000000002E-2</v>
      </c>
      <c r="R5266">
        <v>-8.0700909999999997E-3</v>
      </c>
      <c r="S5266">
        <v>-3.0001829999999998</v>
      </c>
      <c r="T5266">
        <v>-0.13725129999999999</v>
      </c>
      <c r="U5266">
        <v>6.0256959999999998E-2</v>
      </c>
      <c r="V5266">
        <v>-8.1260329999999995E-3</v>
      </c>
      <c r="W5266">
        <v>-8.0088220000000002E-2</v>
      </c>
      <c r="X5266">
        <v>0.99675460000000005</v>
      </c>
      <c r="Y5266">
        <v>1.998875E-2</v>
      </c>
      <c r="Z5266">
        <v>5.4024919999999998E-4</v>
      </c>
      <c r="AA5266">
        <v>0.99980009999999997</v>
      </c>
      <c r="AB5266">
        <v>30</v>
      </c>
      <c r="AC5266">
        <v>-24.2912</v>
      </c>
      <c r="AD5266">
        <v>-1.1201349095405</v>
      </c>
      <c r="AE5266">
        <v>0.49169999999997999</v>
      </c>
      <c r="AF5266">
        <v>0.48903616066261701</v>
      </c>
      <c r="AG5266">
        <v>-1.1201349095405</v>
      </c>
      <c r="AH5266">
        <v>24.2397108810185</v>
      </c>
      <c r="AI5266">
        <v>92.645260442692205</v>
      </c>
      <c r="AJ5266">
        <v>88.8442144597104</v>
      </c>
      <c r="AK5266">
        <v>24.2705056020136</v>
      </c>
      <c r="AL5266">
        <v>94.593636898112806</v>
      </c>
      <c r="AM5266">
        <v>90.467092984270906</v>
      </c>
      <c r="AN5266">
        <v>0.99999994400812098</v>
      </c>
    </row>
    <row r="5267" spans="1:40" x14ac:dyDescent="0.25">
      <c r="A5267" t="str">
        <f>"20190303154914610"</f>
        <v>20190303154914610</v>
      </c>
      <c r="B5267" t="str">
        <f>"1551599354605904"</f>
        <v>1551599354605904</v>
      </c>
      <c r="C5267" t="s">
        <v>40</v>
      </c>
      <c r="D5267">
        <v>5.6969120000000002</v>
      </c>
      <c r="E5267">
        <v>0.51352140000000002</v>
      </c>
      <c r="F5267" t="s">
        <v>41</v>
      </c>
      <c r="G5267">
        <v>-358.4194</v>
      </c>
      <c r="H5267" s="1">
        <v>-1.337858E-6</v>
      </c>
      <c r="I5267">
        <v>142.16239999999999</v>
      </c>
      <c r="J5267">
        <v>-335.27809999999999</v>
      </c>
      <c r="K5267">
        <v>1.120134</v>
      </c>
      <c r="L5267">
        <v>141.61070000000001</v>
      </c>
      <c r="M5267">
        <v>-0.99996320000000005</v>
      </c>
      <c r="N5267">
        <v>-8.5899080000000003E-3</v>
      </c>
      <c r="O5267" s="1">
        <v>1.472356E-5</v>
      </c>
      <c r="P5267">
        <v>-0.99603520000000001</v>
      </c>
      <c r="Q5267">
        <v>-8.8613609999999995E-2</v>
      </c>
      <c r="R5267">
        <v>-7.8564380000000003E-3</v>
      </c>
      <c r="S5267">
        <v>-2.9997250000000002</v>
      </c>
      <c r="T5267">
        <v>-0.14402470000000001</v>
      </c>
      <c r="U5267">
        <v>7.0953370000000002E-2</v>
      </c>
      <c r="V5267">
        <v>-7.8608419999999998E-3</v>
      </c>
      <c r="W5267">
        <v>-8.005553E-2</v>
      </c>
      <c r="X5267">
        <v>0.99675939999999996</v>
      </c>
      <c r="Y5267">
        <v>2.3599930000000002E-2</v>
      </c>
      <c r="Z5267">
        <v>6.6700759999999896E-4</v>
      </c>
      <c r="AA5267">
        <v>0.99972130000000003</v>
      </c>
      <c r="AB5267">
        <v>30</v>
      </c>
      <c r="AC5267">
        <v>-23.141300000000001</v>
      </c>
      <c r="AD5267">
        <v>-1.1201353378579999</v>
      </c>
      <c r="AE5267">
        <v>0.55169999999998198</v>
      </c>
      <c r="AF5267">
        <v>0.55007120052486502</v>
      </c>
      <c r="AG5267">
        <v>-1.1201353378579999</v>
      </c>
      <c r="AH5267">
        <v>23.0872462763746</v>
      </c>
      <c r="AI5267">
        <v>92.776882695849295</v>
      </c>
      <c r="AJ5267">
        <v>88.635142701651603</v>
      </c>
      <c r="AK5267">
        <v>23.1209476909304</v>
      </c>
      <c r="AL5267">
        <v>94.591757648856003</v>
      </c>
      <c r="AM5267">
        <v>90.451847991527302</v>
      </c>
      <c r="AN5267">
        <v>0.99999999110444404</v>
      </c>
    </row>
    <row r="5268" spans="1:40" x14ac:dyDescent="0.25">
      <c r="A5268" t="str">
        <f>"20190303154914627"</f>
        <v>20190303154914627</v>
      </c>
      <c r="B5268" t="str">
        <f>"1551599354615664"</f>
        <v>1551599354615664</v>
      </c>
      <c r="C5268" t="s">
        <v>40</v>
      </c>
      <c r="D5268">
        <v>5.6954739999999999</v>
      </c>
      <c r="E5268">
        <v>0.51414819999999894</v>
      </c>
      <c r="F5268" t="s">
        <v>41</v>
      </c>
      <c r="G5268">
        <v>-357.67720000000003</v>
      </c>
      <c r="H5268" s="1">
        <v>-1.6798899999999999E-6</v>
      </c>
      <c r="I5268">
        <v>142.25120000000001</v>
      </c>
      <c r="J5268">
        <v>-335.49880000000002</v>
      </c>
      <c r="K5268">
        <v>1.1201299999999901</v>
      </c>
      <c r="L5268">
        <v>141.61060000000001</v>
      </c>
      <c r="M5268">
        <v>-0.99996289999999999</v>
      </c>
      <c r="N5268">
        <v>-8.6033869999999901E-3</v>
      </c>
      <c r="O5268" s="1">
        <v>-4.6013510000000003E-5</v>
      </c>
      <c r="P5268">
        <v>-0.99601110000000004</v>
      </c>
      <c r="Q5268">
        <v>-8.8901590000000003E-2</v>
      </c>
      <c r="R5268">
        <v>-7.6349369999999996E-3</v>
      </c>
      <c r="S5268">
        <v>-2.9992679999999998</v>
      </c>
      <c r="T5268">
        <v>-0.14998810000000001</v>
      </c>
      <c r="U5268">
        <v>8.5784910000000006E-2</v>
      </c>
      <c r="V5268">
        <v>-7.578825E-3</v>
      </c>
      <c r="W5268">
        <v>-8.0330209999999999E-2</v>
      </c>
      <c r="X5268">
        <v>0.9967395</v>
      </c>
      <c r="Y5268">
        <v>2.8594359999999999E-2</v>
      </c>
      <c r="Z5268">
        <v>8.3940950000000001E-4</v>
      </c>
      <c r="AA5268">
        <v>0.9995908</v>
      </c>
      <c r="AB5268">
        <v>30</v>
      </c>
      <c r="AC5268">
        <v>-22.1784</v>
      </c>
      <c r="AD5268">
        <v>-1.1201316798899901</v>
      </c>
      <c r="AE5268">
        <v>0.64060000000000605</v>
      </c>
      <c r="AF5268">
        <v>0.63998941404633602</v>
      </c>
      <c r="AG5268">
        <v>-1.1201316798899901</v>
      </c>
      <c r="AH5268">
        <v>22.1219885965427</v>
      </c>
      <c r="AI5268">
        <v>92.897446679542</v>
      </c>
      <c r="AJ5268">
        <v>88.3428945625203</v>
      </c>
      <c r="AK5268">
        <v>22.159572669524799</v>
      </c>
      <c r="AL5268">
        <v>94.607546434912905</v>
      </c>
      <c r="AM5268">
        <v>90.435646744244096</v>
      </c>
      <c r="AN5268">
        <v>1.00000000604363</v>
      </c>
    </row>
    <row r="5269" spans="1:40" x14ac:dyDescent="0.25">
      <c r="A5269" t="str">
        <f>"20190303154914650"</f>
        <v>20190303154914650</v>
      </c>
      <c r="B5269" t="str">
        <f>"1551599354645921"</f>
        <v>1551599354645921</v>
      </c>
      <c r="C5269" t="s">
        <v>40</v>
      </c>
      <c r="D5269">
        <v>5.6615609999999998</v>
      </c>
      <c r="E5269">
        <v>0.51578679999999999</v>
      </c>
      <c r="F5269" t="s">
        <v>41</v>
      </c>
      <c r="G5269">
        <v>-357.35599999999999</v>
      </c>
      <c r="H5269" s="1">
        <v>-1.824536E-6</v>
      </c>
      <c r="I5269">
        <v>142.27699999999999</v>
      </c>
      <c r="J5269">
        <v>-335.81709999999998</v>
      </c>
      <c r="K5269">
        <v>1.120131</v>
      </c>
      <c r="L5269">
        <v>141.6105</v>
      </c>
      <c r="M5269">
        <v>-0.99996280000000004</v>
      </c>
      <c r="N5269">
        <v>-8.6228139999999995E-3</v>
      </c>
      <c r="O5269">
        <v>-1.339569E-4</v>
      </c>
      <c r="P5269">
        <v>-0.99603280000000005</v>
      </c>
      <c r="Q5269">
        <v>-8.8629659999999999E-2</v>
      </c>
      <c r="R5269">
        <v>-7.9753710000000002E-3</v>
      </c>
      <c r="S5269">
        <v>-2.998993</v>
      </c>
      <c r="T5269">
        <v>-0.15369189999999999</v>
      </c>
      <c r="U5269">
        <v>9.144592E-2</v>
      </c>
      <c r="V5269">
        <v>-7.8313849999999997E-3</v>
      </c>
      <c r="W5269">
        <v>-8.0038789999999999E-2</v>
      </c>
      <c r="X5269">
        <v>0.99676100000000001</v>
      </c>
      <c r="Y5269">
        <v>3.056499E-2</v>
      </c>
      <c r="Z5269">
        <v>9.2011640000000004E-4</v>
      </c>
      <c r="AA5269">
        <v>0.99953230000000004</v>
      </c>
      <c r="AB5269">
        <v>30</v>
      </c>
      <c r="AC5269">
        <v>-21.538900000000002</v>
      </c>
      <c r="AD5269">
        <v>-1.120132824536</v>
      </c>
      <c r="AE5269">
        <v>0.66650000000001297</v>
      </c>
      <c r="AF5269">
        <v>0.66758161740536004</v>
      </c>
      <c r="AG5269">
        <v>-1.120132824536</v>
      </c>
      <c r="AH5269">
        <v>21.480770679991</v>
      </c>
      <c r="AI5269">
        <v>92.983594972602901</v>
      </c>
      <c r="AJ5269">
        <v>88.219928771829203</v>
      </c>
      <c r="AK5269">
        <v>21.5203130034593</v>
      </c>
      <c r="AL5269">
        <v>94.590795320758801</v>
      </c>
      <c r="AM5269">
        <v>90.450154124960704</v>
      </c>
      <c r="AN5269">
        <v>1.0000000148083401</v>
      </c>
    </row>
    <row r="5270" spans="1:40" x14ac:dyDescent="0.25">
      <c r="A5270" t="str">
        <f>"20190303154914672"</f>
        <v>20190303154914672</v>
      </c>
      <c r="B5270" t="str">
        <f>"1551599354666417"</f>
        <v>1551599354666417</v>
      </c>
      <c r="C5270" t="s">
        <v>40</v>
      </c>
      <c r="D5270">
        <v>5.6802510000000002</v>
      </c>
      <c r="E5270">
        <v>0.51645790000000003</v>
      </c>
      <c r="F5270" t="s">
        <v>41</v>
      </c>
      <c r="G5270">
        <v>-357.00659999999999</v>
      </c>
      <c r="H5270" s="1">
        <v>-1.991525E-6</v>
      </c>
      <c r="I5270">
        <v>142.34119999999999</v>
      </c>
      <c r="J5270">
        <v>-336.1112</v>
      </c>
      <c r="K5270">
        <v>1.120134</v>
      </c>
      <c r="L5270">
        <v>141.6104</v>
      </c>
      <c r="M5270">
        <v>-0.99996269999999998</v>
      </c>
      <c r="N5270">
        <v>-8.6407140000000007E-3</v>
      </c>
      <c r="O5270">
        <v>-2.1497970000000001E-4</v>
      </c>
      <c r="P5270">
        <v>-0.99604950000000003</v>
      </c>
      <c r="Q5270">
        <v>-8.8430170000000002E-2</v>
      </c>
      <c r="R5270">
        <v>-8.0962699999999992E-3</v>
      </c>
      <c r="S5270">
        <v>-2.9986570000000001</v>
      </c>
      <c r="T5270">
        <v>-0.15851760000000001</v>
      </c>
      <c r="U5270">
        <v>0.1034241</v>
      </c>
      <c r="V5270">
        <v>-7.8714459999999903E-3</v>
      </c>
      <c r="W5270">
        <v>-7.9821320000000001E-2</v>
      </c>
      <c r="X5270">
        <v>0.9967781</v>
      </c>
      <c r="Y5270">
        <v>3.462809E-2</v>
      </c>
      <c r="Z5270">
        <v>1.0736319999999999E-3</v>
      </c>
      <c r="AA5270">
        <v>0.9993997</v>
      </c>
      <c r="AB5270">
        <v>30</v>
      </c>
      <c r="AC5270">
        <v>-20.895399999999899</v>
      </c>
      <c r="AD5270">
        <v>-1.120135991525</v>
      </c>
      <c r="AE5270">
        <v>0.73079999999998702</v>
      </c>
      <c r="AF5270">
        <v>0.73318785583907098</v>
      </c>
      <c r="AG5270">
        <v>-1.120135991525</v>
      </c>
      <c r="AH5270">
        <v>20.835440925952401</v>
      </c>
      <c r="AI5270">
        <v>93.075421132304498</v>
      </c>
      <c r="AJ5270">
        <v>87.984624225477901</v>
      </c>
      <c r="AK5270">
        <v>20.878406731604599</v>
      </c>
      <c r="AL5270">
        <v>94.578295319296004</v>
      </c>
      <c r="AM5270">
        <v>90.452449005337698</v>
      </c>
      <c r="AN5270">
        <v>0.999999991714141</v>
      </c>
    </row>
    <row r="5271" spans="1:40" x14ac:dyDescent="0.25">
      <c r="A5271" t="str">
        <f>"20190303154914694"</f>
        <v>20190303154914694</v>
      </c>
      <c r="B5271" t="str">
        <f>"1551599354685937"</f>
        <v>1551599354685937</v>
      </c>
      <c r="C5271" t="s">
        <v>40</v>
      </c>
      <c r="D5271">
        <v>5.7083709999999996</v>
      </c>
      <c r="E5271">
        <v>0.51713750000000003</v>
      </c>
      <c r="F5271" t="s">
        <v>41</v>
      </c>
      <c r="G5271">
        <v>-356.95100000000002</v>
      </c>
      <c r="H5271" s="1">
        <v>-2.0213419999999999E-6</v>
      </c>
      <c r="I5271">
        <v>142.36369999999999</v>
      </c>
      <c r="J5271">
        <v>-336.41199999999998</v>
      </c>
      <c r="K5271">
        <v>1.1201299999999901</v>
      </c>
      <c r="L5271">
        <v>141.61019999999999</v>
      </c>
      <c r="M5271">
        <v>-0.99996269999999998</v>
      </c>
      <c r="N5271">
        <v>-8.6589749999999993E-3</v>
      </c>
      <c r="O5271">
        <v>-2.9779360000000001E-4</v>
      </c>
      <c r="P5271">
        <v>-0.99603149999999996</v>
      </c>
      <c r="Q5271">
        <v>-8.8642269999999995E-2</v>
      </c>
      <c r="R5271">
        <v>-8.0032860000000001E-3</v>
      </c>
      <c r="S5271">
        <v>-2.9984739999999999</v>
      </c>
      <c r="T5271">
        <v>-0.16116810000000001</v>
      </c>
      <c r="U5271">
        <v>0.10839840000000001</v>
      </c>
      <c r="V5271">
        <v>-7.6964160000000002E-3</v>
      </c>
      <c r="W5271">
        <v>-8.0015349999999999E-2</v>
      </c>
      <c r="X5271">
        <v>0.99676390000000004</v>
      </c>
      <c r="Y5271">
        <v>3.6364010000000002E-2</v>
      </c>
      <c r="Z5271">
        <v>1.1472979999999999E-3</v>
      </c>
      <c r="AA5271">
        <v>0.99933799999999995</v>
      </c>
      <c r="AB5271">
        <v>30</v>
      </c>
      <c r="AC5271">
        <v>-20.538999999999898</v>
      </c>
      <c r="AD5271">
        <v>-1.1201320213420001</v>
      </c>
      <c r="AE5271">
        <v>0.75350000000000195</v>
      </c>
      <c r="AF5271">
        <v>0.75736699384668504</v>
      </c>
      <c r="AG5271">
        <v>-1.1201320213420001</v>
      </c>
      <c r="AH5271">
        <v>20.477949683299599</v>
      </c>
      <c r="AI5271">
        <v>93.128791053609802</v>
      </c>
      <c r="AJ5271">
        <v>87.881908899131702</v>
      </c>
      <c r="AK5271">
        <v>20.522541844039502</v>
      </c>
      <c r="AL5271">
        <v>94.589448138668104</v>
      </c>
      <c r="AM5271">
        <v>90.442395025435601</v>
      </c>
      <c r="AN5271">
        <v>0.99999998169903803</v>
      </c>
    </row>
    <row r="5272" spans="1:40" x14ac:dyDescent="0.25">
      <c r="A5272" t="str">
        <f>"20190303154914715"</f>
        <v>20190303154914715</v>
      </c>
      <c r="B5272" t="str">
        <f>"1551599354706433"</f>
        <v>1551599354706433</v>
      </c>
      <c r="C5272" t="s">
        <v>40</v>
      </c>
      <c r="D5272">
        <v>5.6603309999999896</v>
      </c>
      <c r="E5272">
        <v>0.51757410000000004</v>
      </c>
      <c r="F5272" t="s">
        <v>41</v>
      </c>
      <c r="G5272">
        <v>-356.85050000000001</v>
      </c>
      <c r="H5272" s="1">
        <v>-2.0707879999999998E-6</v>
      </c>
      <c r="I5272">
        <v>142.38749999999999</v>
      </c>
      <c r="J5272">
        <v>-336.70049999999998</v>
      </c>
      <c r="K5272">
        <v>1.1201299999999901</v>
      </c>
      <c r="L5272">
        <v>141.61009999999999</v>
      </c>
      <c r="M5272">
        <v>-0.99996240000000003</v>
      </c>
      <c r="N5272">
        <v>-8.676451E-3</v>
      </c>
      <c r="O5272">
        <v>-3.7726449999999999E-4</v>
      </c>
      <c r="P5272">
        <v>-0.99602100000000005</v>
      </c>
      <c r="Q5272">
        <v>-8.8778170000000003E-2</v>
      </c>
      <c r="R5272">
        <v>-7.7987100000000004E-3</v>
      </c>
      <c r="S5272">
        <v>-2.9982600000000001</v>
      </c>
      <c r="T5272">
        <v>-0.16432049999999901</v>
      </c>
      <c r="U5272">
        <v>0.1140289</v>
      </c>
      <c r="V5272">
        <v>-7.412119E-3</v>
      </c>
      <c r="W5272">
        <v>-8.0133860000000001E-2</v>
      </c>
      <c r="X5272">
        <v>0.99675659999999999</v>
      </c>
      <c r="Y5272">
        <v>3.8314309999999997E-2</v>
      </c>
      <c r="Z5272">
        <v>1.2325540000000001E-3</v>
      </c>
      <c r="AA5272">
        <v>0.99926499999999996</v>
      </c>
      <c r="AB5272">
        <v>30</v>
      </c>
      <c r="AC5272">
        <v>-20.149999999999999</v>
      </c>
      <c r="AD5272">
        <v>-1.12013207078799</v>
      </c>
      <c r="AE5272">
        <v>0.77739999999999998</v>
      </c>
      <c r="AF5272">
        <v>0.78258734265976804</v>
      </c>
      <c r="AG5272">
        <v>-1.12013207078799</v>
      </c>
      <c r="AH5272">
        <v>20.087722196448901</v>
      </c>
      <c r="AI5272">
        <v>93.189209106970594</v>
      </c>
      <c r="AJ5272">
        <v>87.768971163087997</v>
      </c>
      <c r="AK5272">
        <v>20.1341431863043</v>
      </c>
      <c r="AL5272">
        <v>94.596259833485306</v>
      </c>
      <c r="AM5272">
        <v>90.426057182082303</v>
      </c>
      <c r="AN5272">
        <v>1.0000000473350601</v>
      </c>
    </row>
    <row r="5273" spans="1:40" x14ac:dyDescent="0.25">
      <c r="A5273" t="str">
        <f>"20190303154914731"</f>
        <v>20190303154914731</v>
      </c>
      <c r="B5273" t="str">
        <f>"1551599354725953"</f>
        <v>1551599354725953</v>
      </c>
      <c r="C5273" t="s">
        <v>40</v>
      </c>
      <c r="D5273">
        <v>5.7202320000000002</v>
      </c>
      <c r="E5273">
        <v>0.51792070000000001</v>
      </c>
      <c r="F5273" t="s">
        <v>41</v>
      </c>
      <c r="G5273">
        <v>-356.71940000000001</v>
      </c>
      <c r="H5273" s="1">
        <v>-2.1299970000000001E-6</v>
      </c>
      <c r="I5273">
        <v>142.39859999999999</v>
      </c>
      <c r="J5273">
        <v>-336.92149999999998</v>
      </c>
      <c r="K5273">
        <v>1.120131</v>
      </c>
      <c r="L5273">
        <v>141.60990000000001</v>
      </c>
      <c r="M5273">
        <v>-0.99996220000000002</v>
      </c>
      <c r="N5273">
        <v>-8.6897799999999994E-3</v>
      </c>
      <c r="O5273">
        <v>-4.3788300000000002E-4</v>
      </c>
      <c r="P5273">
        <v>-0.99602049999999998</v>
      </c>
      <c r="Q5273">
        <v>-8.8795910000000006E-2</v>
      </c>
      <c r="R5273">
        <v>-7.6531350000000001E-3</v>
      </c>
      <c r="S5273">
        <v>-2.9979550000000001</v>
      </c>
      <c r="T5273">
        <v>-0.16774739999999999</v>
      </c>
      <c r="U5273">
        <v>0.118103</v>
      </c>
      <c r="V5273">
        <v>-7.2063159999999999E-3</v>
      </c>
      <c r="W5273">
        <v>-8.0138319999999999E-2</v>
      </c>
      <c r="X5273">
        <v>0.99675769999999997</v>
      </c>
      <c r="Y5273">
        <v>3.9729349999999997E-2</v>
      </c>
      <c r="Z5273">
        <v>1.3037249999999999E-3</v>
      </c>
      <c r="AA5273">
        <v>0.99920960000000003</v>
      </c>
      <c r="AB5273">
        <v>30</v>
      </c>
      <c r="AC5273">
        <v>-19.797899999999998</v>
      </c>
      <c r="AD5273">
        <v>-1.1201331299969901</v>
      </c>
      <c r="AE5273">
        <v>0.78869999999997698</v>
      </c>
      <c r="AF5273">
        <v>0.79482910869497203</v>
      </c>
      <c r="AG5273">
        <v>-1.1201331299969901</v>
      </c>
      <c r="AH5273">
        <v>19.734480521911301</v>
      </c>
      <c r="AI5273">
        <v>93.246008279140497</v>
      </c>
      <c r="AJ5273">
        <v>87.693592565912496</v>
      </c>
      <c r="AK5273">
        <v>19.782218606886399</v>
      </c>
      <c r="AL5273">
        <v>94.596516429383101</v>
      </c>
      <c r="AM5273">
        <v>90.414227348332901</v>
      </c>
      <c r="AN5273">
        <v>0.99999999691600205</v>
      </c>
    </row>
    <row r="5274" spans="1:40" x14ac:dyDescent="0.25">
      <c r="A5274" t="str">
        <f>"20190303154914743"</f>
        <v>20190303154914743</v>
      </c>
      <c r="B5274" t="str">
        <f>"1551599354735713"</f>
        <v>1551599354735713</v>
      </c>
      <c r="C5274" t="s">
        <v>40</v>
      </c>
      <c r="D5274">
        <v>5.7212800000000001</v>
      </c>
      <c r="E5274">
        <v>0.5181365</v>
      </c>
      <c r="F5274" t="s">
        <v>41</v>
      </c>
      <c r="G5274">
        <v>-356.75099999999998</v>
      </c>
      <c r="H5274" s="1">
        <v>-2.1200949999999999E-6</v>
      </c>
      <c r="I5274">
        <v>142.41239999999999</v>
      </c>
      <c r="J5274">
        <v>-337.08949999999999</v>
      </c>
      <c r="K5274">
        <v>1.120134</v>
      </c>
      <c r="L5274">
        <v>141.60980000000001</v>
      </c>
      <c r="M5274">
        <v>-0.99996220000000002</v>
      </c>
      <c r="N5274">
        <v>-8.6998919999999903E-3</v>
      </c>
      <c r="O5274">
        <v>-4.8418190000000001E-4</v>
      </c>
      <c r="P5274">
        <v>-0.99602449999999998</v>
      </c>
      <c r="Q5274">
        <v>-8.8755879999999995E-2</v>
      </c>
      <c r="R5274">
        <v>-7.5958409999999999E-3</v>
      </c>
      <c r="S5274">
        <v>-2.997833</v>
      </c>
      <c r="T5274">
        <v>-0.16934250000000001</v>
      </c>
      <c r="U5274">
        <v>0.121337899999999</v>
      </c>
      <c r="V5274">
        <v>-7.1027310000000001E-3</v>
      </c>
      <c r="W5274">
        <v>-8.0088149999999997E-2</v>
      </c>
      <c r="X5274">
        <v>0.9967625</v>
      </c>
      <c r="Y5274">
        <v>4.0850270000000001E-2</v>
      </c>
      <c r="Z5274">
        <v>1.3534370000000001E-3</v>
      </c>
      <c r="AA5274">
        <v>0.99916430000000001</v>
      </c>
      <c r="AB5274">
        <v>30</v>
      </c>
      <c r="AC5274">
        <v>-19.661499999999901</v>
      </c>
      <c r="AD5274">
        <v>-1.120136120095</v>
      </c>
      <c r="AE5274">
        <v>0.80259999999998399</v>
      </c>
      <c r="AF5274">
        <v>0.80949699394490604</v>
      </c>
      <c r="AG5274">
        <v>-1.120136120095</v>
      </c>
      <c r="AH5274">
        <v>19.597606949581198</v>
      </c>
      <c r="AI5274">
        <v>93.268501995030704</v>
      </c>
      <c r="AJ5274">
        <v>87.634690275043596</v>
      </c>
      <c r="AK5274">
        <v>19.6462767073312</v>
      </c>
      <c r="AL5274">
        <v>94.593632520133198</v>
      </c>
      <c r="AM5274">
        <v>90.408271400169397</v>
      </c>
      <c r="AN5274">
        <v>1.00000002098216</v>
      </c>
    </row>
    <row r="5275" spans="1:40" x14ac:dyDescent="0.25">
      <c r="A5275" t="str">
        <f>"20190303154914760"</f>
        <v>20190303154914760</v>
      </c>
      <c r="B5275" t="str">
        <f>"1551599354756209"</f>
        <v>1551599354756209</v>
      </c>
      <c r="C5275" t="s">
        <v>40</v>
      </c>
      <c r="D5275">
        <v>5.7058299999999997</v>
      </c>
      <c r="E5275">
        <v>0.51849069999999997</v>
      </c>
      <c r="F5275" t="s">
        <v>41</v>
      </c>
      <c r="G5275">
        <v>-356.93079999999998</v>
      </c>
      <c r="H5275" s="1">
        <v>-2.0463990000000002E-6</v>
      </c>
      <c r="I5275">
        <v>142.42519999999999</v>
      </c>
      <c r="J5275">
        <v>-337.3134</v>
      </c>
      <c r="K5275">
        <v>1.120136</v>
      </c>
      <c r="L5275">
        <v>141.6096</v>
      </c>
      <c r="M5275">
        <v>-0.99996200000000002</v>
      </c>
      <c r="N5275">
        <v>-8.7133439999999996E-3</v>
      </c>
      <c r="O5275">
        <v>-5.4575290000000002E-4</v>
      </c>
      <c r="P5275">
        <v>-0.99603560000000002</v>
      </c>
      <c r="Q5275">
        <v>-8.8616280000000006E-2</v>
      </c>
      <c r="R5275">
        <v>-7.7694919999999898E-3</v>
      </c>
      <c r="S5275">
        <v>-2.997833</v>
      </c>
      <c r="T5275">
        <v>-0.16924239999999999</v>
      </c>
      <c r="U5275">
        <v>0.1232147</v>
      </c>
      <c r="V5275">
        <v>-7.2154640000000004E-3</v>
      </c>
      <c r="W5275">
        <v>-7.9935069999999997E-2</v>
      </c>
      <c r="X5275">
        <v>0.99677400000000005</v>
      </c>
      <c r="Y5275">
        <v>4.1535030000000001E-2</v>
      </c>
      <c r="Z5275">
        <v>1.3782250000000001E-3</v>
      </c>
      <c r="AA5275">
        <v>0.99913609999999997</v>
      </c>
      <c r="AB5275">
        <v>31</v>
      </c>
      <c r="AC5275">
        <v>-19.6173999999999</v>
      </c>
      <c r="AD5275">
        <v>-1.1201380463990001</v>
      </c>
      <c r="AE5275">
        <v>0.815599999999989</v>
      </c>
      <c r="AF5275">
        <v>0.82362588646401902</v>
      </c>
      <c r="AG5275">
        <v>-1.1201380463990001</v>
      </c>
      <c r="AH5275">
        <v>19.553311897680999</v>
      </c>
      <c r="AI5275">
        <v>93.275784712356</v>
      </c>
      <c r="AJ5275">
        <v>87.588009248733698</v>
      </c>
      <c r="AK5275">
        <v>19.6026803017301</v>
      </c>
      <c r="AL5275">
        <v>94.584833372217702</v>
      </c>
      <c r="AM5275">
        <v>90.414746385438093</v>
      </c>
      <c r="AN5275">
        <v>1.00000004270631</v>
      </c>
    </row>
    <row r="5276" spans="1:40" x14ac:dyDescent="0.25">
      <c r="A5276" t="str">
        <f>"20190303154914774"</f>
        <v>20190303154914774</v>
      </c>
      <c r="B5276" t="str">
        <f>"1551599354765969"</f>
        <v>1551599354765969</v>
      </c>
      <c r="C5276" t="s">
        <v>40</v>
      </c>
      <c r="D5276">
        <v>5.7025290000000002</v>
      </c>
      <c r="E5276">
        <v>0.51864979999999905</v>
      </c>
      <c r="F5276" t="s">
        <v>41</v>
      </c>
      <c r="G5276">
        <v>-357.19549999999998</v>
      </c>
      <c r="H5276" s="1">
        <v>-1.9371460000000001E-6</v>
      </c>
      <c r="I5276">
        <v>142.44149999999999</v>
      </c>
      <c r="J5276">
        <v>-337.51330000000002</v>
      </c>
      <c r="K5276">
        <v>1.1201380000000001</v>
      </c>
      <c r="L5276">
        <v>141.6095</v>
      </c>
      <c r="M5276">
        <v>-0.99996189999999996</v>
      </c>
      <c r="N5276">
        <v>-8.7252719999999992E-3</v>
      </c>
      <c r="O5276">
        <v>-6.0111940000000003E-4</v>
      </c>
      <c r="P5276">
        <v>-0.99604979999999999</v>
      </c>
      <c r="Q5276">
        <v>-8.8454859999999996E-2</v>
      </c>
      <c r="R5276">
        <v>-7.8110159999999996E-3</v>
      </c>
      <c r="S5276">
        <v>-2.9978940000000001</v>
      </c>
      <c r="T5276">
        <v>-0.16889849999999901</v>
      </c>
      <c r="U5276">
        <v>0.12544249999999901</v>
      </c>
      <c r="V5276">
        <v>-7.201781E-3</v>
      </c>
      <c r="W5276">
        <v>-7.9761609999999997E-2</v>
      </c>
      <c r="X5276">
        <v>0.99678800000000001</v>
      </c>
      <c r="Y5276">
        <v>4.2329470000000001E-2</v>
      </c>
      <c r="Z5276">
        <v>1.40444299999999E-3</v>
      </c>
      <c r="AA5276">
        <v>0.99910270000000001</v>
      </c>
      <c r="AB5276">
        <v>31</v>
      </c>
      <c r="AC5276">
        <v>-19.682199999999899</v>
      </c>
      <c r="AD5276">
        <v>-1.1201399371459999</v>
      </c>
      <c r="AE5276">
        <v>0.83199999999999297</v>
      </c>
      <c r="AF5276">
        <v>0.84111223309668304</v>
      </c>
      <c r="AG5276">
        <v>-1.1201399371459999</v>
      </c>
      <c r="AH5276">
        <v>19.618268062277401</v>
      </c>
      <c r="AI5276">
        <v>93.264863669121894</v>
      </c>
      <c r="AJ5276">
        <v>87.545008311127106</v>
      </c>
      <c r="AK5276">
        <v>19.6682135698906</v>
      </c>
      <c r="AL5276">
        <v>94.574862984977798</v>
      </c>
      <c r="AM5276">
        <v>90.413954097210294</v>
      </c>
      <c r="AN5276">
        <v>1.00000004851168</v>
      </c>
    </row>
    <row r="5277" spans="1:40" x14ac:dyDescent="0.25">
      <c r="A5277" t="str">
        <f>"20190303154914793"</f>
        <v>20190303154914793</v>
      </c>
      <c r="B5277" t="str">
        <f>"1551599354786465"</f>
        <v>1551599354786465</v>
      </c>
      <c r="C5277" t="s">
        <v>40</v>
      </c>
      <c r="D5277">
        <v>5.7104460000000001</v>
      </c>
      <c r="E5277">
        <v>0.51893529999999999</v>
      </c>
      <c r="F5277" t="s">
        <v>41</v>
      </c>
      <c r="G5277">
        <v>-357.42759999999998</v>
      </c>
      <c r="H5277" s="1">
        <v>-1.83981E-6</v>
      </c>
      <c r="I5277">
        <v>142.44980000000001</v>
      </c>
      <c r="J5277">
        <v>-337.76979999999998</v>
      </c>
      <c r="K5277">
        <v>1.1201399999999999</v>
      </c>
      <c r="L5277">
        <v>141.60919999999999</v>
      </c>
      <c r="M5277">
        <v>-0.99996169999999995</v>
      </c>
      <c r="N5277">
        <v>-8.7404819999999904E-3</v>
      </c>
      <c r="O5277">
        <v>-6.7164030000000003E-4</v>
      </c>
      <c r="P5277">
        <v>-0.99607679999999998</v>
      </c>
      <c r="Q5277">
        <v>-8.8121850000000002E-2</v>
      </c>
      <c r="R5277">
        <v>-8.124203E-3</v>
      </c>
      <c r="S5277">
        <v>-2.997925</v>
      </c>
      <c r="T5277">
        <v>-0.168628</v>
      </c>
      <c r="U5277">
        <v>0.1265259</v>
      </c>
      <c r="V5277">
        <v>-7.444394E-3</v>
      </c>
      <c r="W5277">
        <v>-7.9413259999999999E-2</v>
      </c>
      <c r="X5277">
        <v>0.99681399999999998</v>
      </c>
      <c r="Y5277">
        <v>4.2759270000000002E-2</v>
      </c>
      <c r="Z5277">
        <v>1.4200770000000001E-3</v>
      </c>
      <c r="AA5277">
        <v>0.99908439999999998</v>
      </c>
      <c r="AB5277">
        <v>31</v>
      </c>
      <c r="AC5277">
        <v>-19.657800000000002</v>
      </c>
      <c r="AD5277">
        <v>-1.12014183980999</v>
      </c>
      <c r="AE5277">
        <v>0.840600000000023</v>
      </c>
      <c r="AF5277">
        <v>0.85104502289425799</v>
      </c>
      <c r="AG5277">
        <v>-1.12014183980999</v>
      </c>
      <c r="AH5277">
        <v>19.593727141773901</v>
      </c>
      <c r="AI5277">
        <v>93.268870782391105</v>
      </c>
      <c r="AJ5277">
        <v>87.512945925236593</v>
      </c>
      <c r="AK5277">
        <v>19.644162967115001</v>
      </c>
      <c r="AL5277">
        <v>94.554840627967295</v>
      </c>
      <c r="AM5277">
        <v>90.427887677858905</v>
      </c>
      <c r="AN5277">
        <v>1.0000000177309201</v>
      </c>
    </row>
    <row r="5278" spans="1:40" x14ac:dyDescent="0.25">
      <c r="A5278" t="str">
        <f>"20190303154914808"</f>
        <v>20190303154914808</v>
      </c>
      <c r="B5278" t="str">
        <f>"1551599354805985"</f>
        <v>1551599354805985</v>
      </c>
      <c r="C5278" t="s">
        <v>40</v>
      </c>
      <c r="D5278">
        <v>5.721997</v>
      </c>
      <c r="E5278">
        <v>0.51919510000000002</v>
      </c>
      <c r="F5278" t="s">
        <v>41</v>
      </c>
      <c r="G5278">
        <v>-357.77949999999998</v>
      </c>
      <c r="H5278" s="1">
        <v>-1.69219E-6</v>
      </c>
      <c r="I5278">
        <v>142.4624</v>
      </c>
      <c r="J5278">
        <v>-337.97640000000001</v>
      </c>
      <c r="K5278">
        <v>1.1201410000000001</v>
      </c>
      <c r="L5278">
        <v>141.60900000000001</v>
      </c>
      <c r="M5278">
        <v>-0.99996149999999995</v>
      </c>
      <c r="N5278">
        <v>-8.752747E-3</v>
      </c>
      <c r="O5278">
        <v>-7.2855819999999999E-4</v>
      </c>
      <c r="P5278">
        <v>-0.99607469999999998</v>
      </c>
      <c r="Q5278">
        <v>-8.8119669999999997E-2</v>
      </c>
      <c r="R5278">
        <v>-8.3794630000000002E-3</v>
      </c>
      <c r="S5278">
        <v>-2.997986</v>
      </c>
      <c r="T5278">
        <v>-0.16782749999999999</v>
      </c>
      <c r="U5278">
        <v>0.12783810000000001</v>
      </c>
      <c r="V5278">
        <v>-7.643085E-3</v>
      </c>
      <c r="W5278">
        <v>-7.939889E-2</v>
      </c>
      <c r="X5278">
        <v>0.99681359999999997</v>
      </c>
      <c r="Y5278">
        <v>4.3251530000000003E-2</v>
      </c>
      <c r="Z5278">
        <v>1.4330269999999999E-3</v>
      </c>
      <c r="AA5278">
        <v>0.99906320000000004</v>
      </c>
      <c r="AB5278">
        <v>31</v>
      </c>
      <c r="AC5278">
        <v>-19.803099999999901</v>
      </c>
      <c r="AD5278">
        <v>-1.12014269219</v>
      </c>
      <c r="AE5278">
        <v>0.85339999999999305</v>
      </c>
      <c r="AF5278">
        <v>0.86506540113913499</v>
      </c>
      <c r="AG5278">
        <v>-1.12014269219</v>
      </c>
      <c r="AH5278">
        <v>19.7394339784571</v>
      </c>
      <c r="AI5278">
        <v>93.244740851785295</v>
      </c>
      <c r="AJ5278">
        <v>87.490662477064603</v>
      </c>
      <c r="AK5278">
        <v>19.790106406711999</v>
      </c>
      <c r="AL5278">
        <v>94.554014866309402</v>
      </c>
      <c r="AM5278">
        <v>90.439307741627701</v>
      </c>
      <c r="AN5278">
        <v>0.99999997681325403</v>
      </c>
    </row>
    <row r="5279" spans="1:40" x14ac:dyDescent="0.25">
      <c r="A5279" t="str">
        <f>"20190303154914826"</f>
        <v>20190303154914826</v>
      </c>
      <c r="B5279" t="str">
        <f>"1551599354815745"</f>
        <v>1551599354815745</v>
      </c>
      <c r="C5279" t="s">
        <v>40</v>
      </c>
      <c r="D5279">
        <v>5.6700869999999997</v>
      </c>
      <c r="E5279">
        <v>0.51927060000000003</v>
      </c>
      <c r="F5279" t="s">
        <v>41</v>
      </c>
      <c r="G5279">
        <v>-357.91359999999997</v>
      </c>
      <c r="H5279" s="1">
        <v>-1.6361309999999999E-6</v>
      </c>
      <c r="I5279">
        <v>142.46789999999999</v>
      </c>
      <c r="J5279">
        <v>-338.21609999999998</v>
      </c>
      <c r="K5279">
        <v>1.120142</v>
      </c>
      <c r="L5279">
        <v>141.6088</v>
      </c>
      <c r="M5279">
        <v>-0.9999614</v>
      </c>
      <c r="N5279">
        <v>-8.7669569999999902E-3</v>
      </c>
      <c r="O5279">
        <v>-7.9454500000000002E-4</v>
      </c>
      <c r="P5279">
        <v>-0.99607120000000005</v>
      </c>
      <c r="Q5279">
        <v>-8.8141440000000001E-2</v>
      </c>
      <c r="R5279">
        <v>-8.5679220000000004E-3</v>
      </c>
      <c r="S5279">
        <v>-2.9980470000000001</v>
      </c>
      <c r="T5279">
        <v>-0.16844120000000001</v>
      </c>
      <c r="U5279">
        <v>0.12916559999999999</v>
      </c>
      <c r="V5279">
        <v>-7.7657119999999897E-3</v>
      </c>
      <c r="W5279">
        <v>-7.9406539999999998E-2</v>
      </c>
      <c r="X5279">
        <v>0.99681200000000003</v>
      </c>
      <c r="Y5279">
        <v>4.3756610000000001E-2</v>
      </c>
      <c r="Z5279">
        <v>1.4573660000000001E-3</v>
      </c>
      <c r="AA5279">
        <v>0.99904110000000002</v>
      </c>
      <c r="AB5279">
        <v>31</v>
      </c>
      <c r="AC5279">
        <v>-19.697499999999899</v>
      </c>
      <c r="AD5279">
        <v>-1.120143636131</v>
      </c>
      <c r="AE5279">
        <v>0.85909999999998299</v>
      </c>
      <c r="AF5279">
        <v>0.87193648529853596</v>
      </c>
      <c r="AG5279">
        <v>-1.120143636131</v>
      </c>
      <c r="AH5279">
        <v>19.6334393319123</v>
      </c>
      <c r="AI5279">
        <v>93.262139107073196</v>
      </c>
      <c r="AJ5279">
        <v>87.457120271079006</v>
      </c>
      <c r="AK5279">
        <v>19.684687830896401</v>
      </c>
      <c r="AL5279">
        <v>94.554454762233107</v>
      </c>
      <c r="AM5279">
        <v>90.446356505803195</v>
      </c>
      <c r="AN5279">
        <v>0.999999934110817</v>
      </c>
    </row>
    <row r="5280" spans="1:40" x14ac:dyDescent="0.25">
      <c r="A5280" t="str">
        <f>"20190303154914843"</f>
        <v>20190303154914843</v>
      </c>
      <c r="B5280" t="str">
        <f>"1551599354836241"</f>
        <v>1551599354836241</v>
      </c>
      <c r="C5280" t="s">
        <v>40</v>
      </c>
      <c r="D5280">
        <v>5.7102649999999997</v>
      </c>
      <c r="E5280">
        <v>0.51940509999999995</v>
      </c>
      <c r="F5280" t="s">
        <v>41</v>
      </c>
      <c r="G5280">
        <v>-358.10910000000001</v>
      </c>
      <c r="H5280" s="1">
        <v>-1.551704E-6</v>
      </c>
      <c r="I5280">
        <v>142.4659</v>
      </c>
      <c r="J5280">
        <v>-338.4359</v>
      </c>
      <c r="K5280">
        <v>1.120144</v>
      </c>
      <c r="L5280">
        <v>141.6086</v>
      </c>
      <c r="M5280">
        <v>-0.99996110000000005</v>
      </c>
      <c r="N5280">
        <v>-8.7798640000000001E-3</v>
      </c>
      <c r="O5280">
        <v>-8.5480429999999904E-4</v>
      </c>
      <c r="P5280">
        <v>-0.99606059999999996</v>
      </c>
      <c r="Q5280">
        <v>-8.8209629999999997E-2</v>
      </c>
      <c r="R5280">
        <v>-9.0842990000000005E-3</v>
      </c>
      <c r="S5280">
        <v>-2.997986</v>
      </c>
      <c r="T5280">
        <v>-0.16881189999999999</v>
      </c>
      <c r="U5280">
        <v>0.12918089999999999</v>
      </c>
      <c r="V5280">
        <v>-8.2219790000000008E-3</v>
      </c>
      <c r="W5280">
        <v>-7.9462030000000003E-2</v>
      </c>
      <c r="X5280">
        <v>0.99680400000000002</v>
      </c>
      <c r="Y5280">
        <v>4.3822220000000002E-2</v>
      </c>
      <c r="Z5280">
        <v>1.4654550000000001E-3</v>
      </c>
      <c r="AA5280">
        <v>0.99903830000000005</v>
      </c>
      <c r="AB5280">
        <v>31</v>
      </c>
      <c r="AC5280">
        <v>-19.673200000000001</v>
      </c>
      <c r="AD5280">
        <v>-1.120145551704</v>
      </c>
      <c r="AE5280">
        <v>0.85730000000000905</v>
      </c>
      <c r="AF5280">
        <v>0.87129776890137201</v>
      </c>
      <c r="AG5280">
        <v>-1.120145551704</v>
      </c>
      <c r="AH5280">
        <v>19.609010102942801</v>
      </c>
      <c r="AI5280">
        <v>93.266196626125705</v>
      </c>
      <c r="AJ5280">
        <v>87.455819067901601</v>
      </c>
      <c r="AK5280">
        <v>19.660294074006298</v>
      </c>
      <c r="AL5280">
        <v>94.557643815033302</v>
      </c>
      <c r="AM5280">
        <v>90.472584392664899</v>
      </c>
      <c r="AN5280">
        <v>1.00000001478319</v>
      </c>
    </row>
    <row r="5281" spans="1:40" x14ac:dyDescent="0.25">
      <c r="A5281" t="str">
        <f>"20190303154914862"</f>
        <v>20190303154914862</v>
      </c>
      <c r="B5281" t="str">
        <f>"1551599354855760"</f>
        <v>1551599354855760</v>
      </c>
      <c r="C5281" t="s">
        <v>40</v>
      </c>
      <c r="D5281">
        <v>5.7191910000000004</v>
      </c>
      <c r="E5281">
        <v>0.51953199999999999</v>
      </c>
      <c r="F5281" t="s">
        <v>41</v>
      </c>
      <c r="G5281">
        <v>-358.15780000000001</v>
      </c>
      <c r="H5281" s="1">
        <v>-1.5278889999999999E-6</v>
      </c>
      <c r="I5281">
        <v>142.45490000000001</v>
      </c>
      <c r="J5281">
        <v>-338.70690000000002</v>
      </c>
      <c r="K5281">
        <v>1.120147</v>
      </c>
      <c r="L5281">
        <v>141.60830000000001</v>
      </c>
      <c r="M5281">
        <v>-0.99996110000000005</v>
      </c>
      <c r="N5281">
        <v>-8.7955450000000001E-3</v>
      </c>
      <c r="O5281">
        <v>-9.2914400000000002E-4</v>
      </c>
      <c r="P5281">
        <v>-0.99607409999999996</v>
      </c>
      <c r="Q5281">
        <v>-8.8023740000000003E-2</v>
      </c>
      <c r="R5281">
        <v>-9.4003249999999993E-3</v>
      </c>
      <c r="S5281">
        <v>-2.9979550000000001</v>
      </c>
      <c r="T5281">
        <v>-0.17027529999999999</v>
      </c>
      <c r="U5281">
        <v>0.1286621</v>
      </c>
      <c r="V5281">
        <v>-8.4640500000000007E-3</v>
      </c>
      <c r="W5281">
        <v>-7.9260410000000003E-2</v>
      </c>
      <c r="X5281">
        <v>0.99681799999999998</v>
      </c>
      <c r="Y5281">
        <v>4.3723129999999999E-2</v>
      </c>
      <c r="Z5281">
        <v>1.477204E-3</v>
      </c>
      <c r="AA5281">
        <v>0.9990426</v>
      </c>
      <c r="AB5281">
        <v>31</v>
      </c>
      <c r="AC5281">
        <v>-19.450899999999901</v>
      </c>
      <c r="AD5281">
        <v>-1.120148527889</v>
      </c>
      <c r="AE5281">
        <v>0.84659999999999502</v>
      </c>
      <c r="AF5281">
        <v>0.86182024814267499</v>
      </c>
      <c r="AG5281">
        <v>-1.120148527889</v>
      </c>
      <c r="AH5281">
        <v>19.3859342859046</v>
      </c>
      <c r="AI5281">
        <v>93.303703768917501</v>
      </c>
      <c r="AJ5281">
        <v>87.454537338045796</v>
      </c>
      <c r="AK5281">
        <v>19.437384469162801</v>
      </c>
      <c r="AL5281">
        <v>94.546055406809003</v>
      </c>
      <c r="AM5281">
        <v>90.486490701718907</v>
      </c>
      <c r="AN5281">
        <v>0.99999998892988495</v>
      </c>
    </row>
    <row r="5282" spans="1:40" x14ac:dyDescent="0.25">
      <c r="A5282" t="str">
        <f>"20190303154914883"</f>
        <v>20190303154914883</v>
      </c>
      <c r="B5282" t="str">
        <f>"1551599354876257"</f>
        <v>1551599354876257</v>
      </c>
      <c r="C5282" t="s">
        <v>40</v>
      </c>
      <c r="D5282">
        <v>5.713635</v>
      </c>
      <c r="E5282">
        <v>0.51960150000000005</v>
      </c>
      <c r="F5282" t="s">
        <v>41</v>
      </c>
      <c r="G5282">
        <v>-358.35770000000002</v>
      </c>
      <c r="H5282" s="1">
        <v>-1.4414300000000001E-6</v>
      </c>
      <c r="I5282">
        <v>142.4521</v>
      </c>
      <c r="J5282">
        <v>-339.00490000000002</v>
      </c>
      <c r="K5282">
        <v>1.1201479999999999</v>
      </c>
      <c r="L5282">
        <v>141.6079</v>
      </c>
      <c r="M5282">
        <v>-0.99996070000000004</v>
      </c>
      <c r="N5282">
        <v>-8.8126850000000007E-3</v>
      </c>
      <c r="O5282">
        <v>-1.0112369999999999E-3</v>
      </c>
      <c r="P5282">
        <v>-0.99610149999999997</v>
      </c>
      <c r="Q5282">
        <v>-8.7704699999999997E-2</v>
      </c>
      <c r="R5282">
        <v>-9.4825169999999993E-3</v>
      </c>
      <c r="S5282">
        <v>-2.997925</v>
      </c>
      <c r="T5282">
        <v>-0.1708905</v>
      </c>
      <c r="U5282">
        <v>0.1287537</v>
      </c>
      <c r="V5282">
        <v>-8.4642769999999992E-3</v>
      </c>
      <c r="W5282">
        <v>-7.8924060000000004E-2</v>
      </c>
      <c r="X5282">
        <v>0.99684470000000003</v>
      </c>
      <c r="Y5282">
        <v>4.3835150000000003E-2</v>
      </c>
      <c r="Z5282">
        <v>1.489874E-3</v>
      </c>
      <c r="AA5282">
        <v>0.99903770000000003</v>
      </c>
      <c r="AB5282">
        <v>31</v>
      </c>
      <c r="AC5282">
        <v>-19.352799999999998</v>
      </c>
      <c r="AD5282">
        <v>-1.1201494414299999</v>
      </c>
      <c r="AE5282">
        <v>0.84419999999999995</v>
      </c>
      <c r="AF5282">
        <v>0.86089195487012704</v>
      </c>
      <c r="AG5282">
        <v>-1.1201494414299999</v>
      </c>
      <c r="AH5282">
        <v>19.287443267510898</v>
      </c>
      <c r="AI5282">
        <v>93.320512779043696</v>
      </c>
      <c r="AJ5282">
        <v>87.444308324908803</v>
      </c>
      <c r="AK5282">
        <v>19.3391141867084</v>
      </c>
      <c r="AL5282">
        <v>94.526723343326097</v>
      </c>
      <c r="AM5282">
        <v>90.4864907182981</v>
      </c>
      <c r="AN5282">
        <v>1.00000000357505</v>
      </c>
    </row>
    <row r="5283" spans="1:40" x14ac:dyDescent="0.25">
      <c r="A5283" t="str">
        <f>"20190303154914897"</f>
        <v>20190303154914897</v>
      </c>
      <c r="B5283" t="str">
        <f>"1551599354886017"</f>
        <v>1551599354886017</v>
      </c>
      <c r="C5283" t="s">
        <v>40</v>
      </c>
      <c r="D5283">
        <v>5.7028569999999998</v>
      </c>
      <c r="E5283">
        <v>0.51958570000000004</v>
      </c>
      <c r="F5283" t="s">
        <v>41</v>
      </c>
      <c r="G5283">
        <v>-358.56509999999997</v>
      </c>
      <c r="H5283" s="1">
        <v>-1.3519370000000001E-6</v>
      </c>
      <c r="I5283">
        <v>142.4503</v>
      </c>
      <c r="J5283">
        <v>-339.21170000000001</v>
      </c>
      <c r="K5283">
        <v>1.1201490000000001</v>
      </c>
      <c r="L5283">
        <v>141.60759999999999</v>
      </c>
      <c r="M5283">
        <v>-0.99996070000000004</v>
      </c>
      <c r="N5283">
        <v>-8.8246239999999997E-3</v>
      </c>
      <c r="O5283">
        <v>-1.067917E-3</v>
      </c>
      <c r="P5283">
        <v>-0.99609510000000001</v>
      </c>
      <c r="Q5283">
        <v>-8.7792560000000006E-2</v>
      </c>
      <c r="R5283">
        <v>-9.3531719999999999E-3</v>
      </c>
      <c r="S5283">
        <v>-2.9978639999999999</v>
      </c>
      <c r="T5283">
        <v>-0.1716781</v>
      </c>
      <c r="U5283">
        <v>0.12911989999999901</v>
      </c>
      <c r="V5283">
        <v>-8.2783730000000003E-3</v>
      </c>
      <c r="W5283">
        <v>-7.9000050000000002E-2</v>
      </c>
      <c r="X5283">
        <v>0.99684019999999995</v>
      </c>
      <c r="Y5283">
        <v>4.4013330000000003E-2</v>
      </c>
      <c r="Z5283">
        <v>1.50478E-3</v>
      </c>
      <c r="AA5283">
        <v>0.99902979999999997</v>
      </c>
      <c r="AB5283">
        <v>31</v>
      </c>
      <c r="AC5283">
        <v>-19.353399999999901</v>
      </c>
      <c r="AD5283">
        <v>-1.120150351937</v>
      </c>
      <c r="AE5283">
        <v>0.842700000000007</v>
      </c>
      <c r="AF5283">
        <v>0.86049099948605101</v>
      </c>
      <c r="AG5283">
        <v>-1.120150351937</v>
      </c>
      <c r="AH5283">
        <v>19.2879974761073</v>
      </c>
      <c r="AI5283">
        <v>93.320423532397896</v>
      </c>
      <c r="AJ5283">
        <v>87.445570348406306</v>
      </c>
      <c r="AK5283">
        <v>19.339649123225101</v>
      </c>
      <c r="AL5283">
        <v>94.531091076181895</v>
      </c>
      <c r="AM5283">
        <v>90.475808389951297</v>
      </c>
      <c r="AN5283">
        <v>0.99999996184778395</v>
      </c>
    </row>
    <row r="5284" spans="1:40" x14ac:dyDescent="0.25">
      <c r="A5284" t="str">
        <f>"20190303154914911"</f>
        <v>20190303154914911</v>
      </c>
      <c r="B5284" t="str">
        <f>"1551599354906513"</f>
        <v>1551599354906513</v>
      </c>
      <c r="C5284" t="s">
        <v>40</v>
      </c>
      <c r="D5284">
        <v>5.7176229999999997</v>
      </c>
      <c r="E5284">
        <v>0.51957699999999996</v>
      </c>
      <c r="F5284" t="s">
        <v>41</v>
      </c>
      <c r="G5284">
        <v>-358.5498</v>
      </c>
      <c r="H5284" s="1">
        <v>-1.35609E-6</v>
      </c>
      <c r="I5284">
        <v>142.44120000000001</v>
      </c>
      <c r="J5284">
        <v>-339.39550000000003</v>
      </c>
      <c r="K5284">
        <v>1.1201479999999999</v>
      </c>
      <c r="L5284">
        <v>141.60740000000001</v>
      </c>
      <c r="M5284">
        <v>-0.99996039999999997</v>
      </c>
      <c r="N5284">
        <v>-8.8353010000000003E-3</v>
      </c>
      <c r="O5284">
        <v>-1.1182709999999999E-3</v>
      </c>
      <c r="P5284">
        <v>-0.99609360000000002</v>
      </c>
      <c r="Q5284">
        <v>-8.7802249999999998E-2</v>
      </c>
      <c r="R5284">
        <v>-9.4069500000000007E-3</v>
      </c>
      <c r="S5284">
        <v>-2.997681</v>
      </c>
      <c r="T5284">
        <v>-0.17363979999999901</v>
      </c>
      <c r="U5284">
        <v>0.1292267</v>
      </c>
      <c r="V5284">
        <v>-8.2821749999999993E-3</v>
      </c>
      <c r="W5284">
        <v>-7.8999109999999997E-2</v>
      </c>
      <c r="X5284">
        <v>0.99684030000000001</v>
      </c>
      <c r="Y5284">
        <v>4.409971E-2</v>
      </c>
      <c r="Z5284">
        <v>1.5254929999999999E-3</v>
      </c>
      <c r="AA5284">
        <v>0.99902590000000002</v>
      </c>
      <c r="AB5284">
        <v>31</v>
      </c>
      <c r="AC5284">
        <v>-19.1542999999999</v>
      </c>
      <c r="AD5284">
        <v>-1.12014935609</v>
      </c>
      <c r="AE5284">
        <v>0.83379999999999599</v>
      </c>
      <c r="AF5284">
        <v>0.85231066788368504</v>
      </c>
      <c r="AG5284">
        <v>-1.12014935609</v>
      </c>
      <c r="AH5284">
        <v>19.088198424451601</v>
      </c>
      <c r="AI5284">
        <v>93.355091216296302</v>
      </c>
      <c r="AJ5284">
        <v>87.443373753395704</v>
      </c>
      <c r="AK5284">
        <v>19.140023175163002</v>
      </c>
      <c r="AL5284">
        <v>94.531036790911998</v>
      </c>
      <c r="AM5284">
        <v>90.476026856184703</v>
      </c>
      <c r="AN5284">
        <v>1.0000000187538001</v>
      </c>
    </row>
    <row r="5285" spans="1:40" x14ac:dyDescent="0.25">
      <c r="A5285" t="str">
        <f>"20190303154914926"</f>
        <v>20190303154914926</v>
      </c>
      <c r="B5285" t="str">
        <f>"1551599354916273"</f>
        <v>1551599354916273</v>
      </c>
      <c r="C5285" t="s">
        <v>40</v>
      </c>
      <c r="D5285">
        <v>5.7445779999999997</v>
      </c>
      <c r="E5285">
        <v>0.51957390000000003</v>
      </c>
      <c r="F5285" t="s">
        <v>41</v>
      </c>
      <c r="G5285">
        <v>-358.46850000000001</v>
      </c>
      <c r="H5285" s="1">
        <v>-1.387505E-6</v>
      </c>
      <c r="I5285">
        <v>142.4282</v>
      </c>
      <c r="J5285">
        <v>-339.59679999999997</v>
      </c>
      <c r="K5285">
        <v>1.12015</v>
      </c>
      <c r="L5285">
        <v>141.6071</v>
      </c>
      <c r="M5285">
        <v>-0.99996039999999997</v>
      </c>
      <c r="N5285">
        <v>-8.8485609999999996E-3</v>
      </c>
      <c r="O5285">
        <v>-1.174001E-3</v>
      </c>
      <c r="P5285">
        <v>-0.99606609999999995</v>
      </c>
      <c r="Q5285">
        <v>-8.813021E-2</v>
      </c>
      <c r="R5285">
        <v>-9.2623849999999997E-3</v>
      </c>
      <c r="S5285">
        <v>-2.9974669999999999</v>
      </c>
      <c r="T5285">
        <v>-0.17604040000000001</v>
      </c>
      <c r="U5285">
        <v>0.12901309999999999</v>
      </c>
      <c r="V5285">
        <v>-8.0823330000000006E-3</v>
      </c>
      <c r="W5285">
        <v>-7.9314049999999997E-2</v>
      </c>
      <c r="X5285">
        <v>0.99681690000000001</v>
      </c>
      <c r="Y5285">
        <v>4.4085069999999997E-2</v>
      </c>
      <c r="Z5285">
        <v>1.5466550000000001E-3</v>
      </c>
      <c r="AA5285">
        <v>0.99902659999999999</v>
      </c>
      <c r="AB5285">
        <v>31</v>
      </c>
      <c r="AC5285">
        <v>-18.871700000000001</v>
      </c>
      <c r="AD5285">
        <v>-1.120151387505</v>
      </c>
      <c r="AE5285">
        <v>0.82110000000000105</v>
      </c>
      <c r="AF5285">
        <v>0.840300777336909</v>
      </c>
      <c r="AG5285">
        <v>-1.120151387505</v>
      </c>
      <c r="AH5285">
        <v>18.804596712035099</v>
      </c>
      <c r="AI5285">
        <v>93.405573746155497</v>
      </c>
      <c r="AJ5285">
        <v>87.441387291656</v>
      </c>
      <c r="AK5285">
        <v>18.856662006558999</v>
      </c>
      <c r="AL5285">
        <v>94.549138465549007</v>
      </c>
      <c r="AM5285">
        <v>90.464552137821201</v>
      </c>
      <c r="AN5285">
        <v>0.99999998737986695</v>
      </c>
    </row>
    <row r="5286" spans="1:40" x14ac:dyDescent="0.25">
      <c r="A5286" t="str">
        <f>"20190303154914938"</f>
        <v>20190303154914938</v>
      </c>
      <c r="B5286" t="str">
        <f>"1551599354935793"</f>
        <v>1551599354935793</v>
      </c>
      <c r="C5286" t="s">
        <v>40</v>
      </c>
      <c r="D5286">
        <v>5.7308490000000001</v>
      </c>
      <c r="E5286">
        <v>0.5195727</v>
      </c>
      <c r="F5286" t="s">
        <v>41</v>
      </c>
      <c r="G5286">
        <v>-358.4796</v>
      </c>
      <c r="H5286" s="1">
        <v>-1.3812549999999901E-6</v>
      </c>
      <c r="I5286">
        <v>142.42259999999999</v>
      </c>
      <c r="J5286">
        <v>-339.779</v>
      </c>
      <c r="K5286">
        <v>1.1201509999999999</v>
      </c>
      <c r="L5286">
        <v>141.6069</v>
      </c>
      <c r="M5286">
        <v>-0.99995990000000001</v>
      </c>
      <c r="N5286">
        <v>-8.8628530000000004E-3</v>
      </c>
      <c r="O5286">
        <v>-1.223657E-3</v>
      </c>
      <c r="P5286">
        <v>-0.99606779999999995</v>
      </c>
      <c r="Q5286">
        <v>-8.8143399999999997E-2</v>
      </c>
      <c r="R5286">
        <v>-8.9328959999999992E-3</v>
      </c>
      <c r="S5286">
        <v>-2.9973139999999998</v>
      </c>
      <c r="T5286">
        <v>-0.17780470000000001</v>
      </c>
      <c r="U5286">
        <v>0.1294556</v>
      </c>
      <c r="V5286">
        <v>-7.7030279999999998E-3</v>
      </c>
      <c r="W5286">
        <v>-7.9312939999999998E-2</v>
      </c>
      <c r="X5286">
        <v>0.99682000000000004</v>
      </c>
      <c r="Y5286">
        <v>4.4281929999999997E-2</v>
      </c>
      <c r="Z5286">
        <v>1.5698540000000001E-3</v>
      </c>
      <c r="AA5286">
        <v>0.99901779999999996</v>
      </c>
      <c r="AB5286">
        <v>31</v>
      </c>
      <c r="AC5286">
        <v>-18.700600000000001</v>
      </c>
      <c r="AD5286">
        <v>-1.1201523812549901</v>
      </c>
      <c r="AE5286">
        <v>0.81569999999999199</v>
      </c>
      <c r="AF5286">
        <v>0.83559106661257398</v>
      </c>
      <c r="AG5286">
        <v>-1.1201523812549901</v>
      </c>
      <c r="AH5286">
        <v>18.632861501287099</v>
      </c>
      <c r="AI5286">
        <v>93.436865984750696</v>
      </c>
      <c r="AJ5286">
        <v>87.432289925032293</v>
      </c>
      <c r="AK5286">
        <v>18.6851941791885</v>
      </c>
      <c r="AL5286">
        <v>94.549074628109494</v>
      </c>
      <c r="AM5286">
        <v>90.442750154463496</v>
      </c>
      <c r="AN5286">
        <v>0.99999999574590603</v>
      </c>
    </row>
    <row r="5287" spans="1:40" x14ac:dyDescent="0.25">
      <c r="A5287" t="str">
        <f>"20190303154914955"</f>
        <v>20190303154914955</v>
      </c>
      <c r="B5287" t="str">
        <f>"1551599354946531"</f>
        <v>1551599354946531</v>
      </c>
      <c r="C5287" t="s">
        <v>40</v>
      </c>
      <c r="D5287">
        <v>5.7221570000000002</v>
      </c>
      <c r="E5287">
        <v>0.51955519999999999</v>
      </c>
      <c r="F5287" t="s">
        <v>41</v>
      </c>
      <c r="G5287">
        <v>-358.51</v>
      </c>
      <c r="H5287" s="1">
        <v>-1.368083E-6</v>
      </c>
      <c r="I5287">
        <v>142.4221</v>
      </c>
      <c r="J5287">
        <v>-339.99599999999998</v>
      </c>
      <c r="K5287">
        <v>1.120153</v>
      </c>
      <c r="L5287">
        <v>141.60650000000001</v>
      </c>
      <c r="M5287">
        <v>-0.99995979999999995</v>
      </c>
      <c r="N5287">
        <v>-8.8840280000000004E-3</v>
      </c>
      <c r="O5287">
        <v>-1.2834770000000001E-3</v>
      </c>
      <c r="P5287">
        <v>-0.99607330000000005</v>
      </c>
      <c r="Q5287">
        <v>-8.8097510000000004E-2</v>
      </c>
      <c r="R5287">
        <v>-8.7667200000000004E-3</v>
      </c>
      <c r="S5287">
        <v>-2.997131</v>
      </c>
      <c r="T5287">
        <v>-0.17923439999999999</v>
      </c>
      <c r="U5287">
        <v>0.13046259999999901</v>
      </c>
      <c r="V5287">
        <v>-7.4772909999999996E-3</v>
      </c>
      <c r="W5287">
        <v>-7.9245860000000001E-2</v>
      </c>
      <c r="X5287">
        <v>0.99682709999999997</v>
      </c>
      <c r="Y5287">
        <v>4.4677059999999998E-2</v>
      </c>
      <c r="Z5287">
        <v>1.598085E-3</v>
      </c>
      <c r="AA5287">
        <v>0.9990002</v>
      </c>
      <c r="AB5287">
        <v>31</v>
      </c>
      <c r="AC5287">
        <v>-18.513999999999999</v>
      </c>
      <c r="AD5287">
        <v>-1.120154368083</v>
      </c>
      <c r="AE5287">
        <v>0.815599999999989</v>
      </c>
      <c r="AF5287">
        <v>0.836307080202634</v>
      </c>
      <c r="AG5287">
        <v>-1.120154368083</v>
      </c>
      <c r="AH5287">
        <v>18.445546462283801</v>
      </c>
      <c r="AI5287">
        <v>93.471611640696807</v>
      </c>
      <c r="AJ5287">
        <v>87.404030657300197</v>
      </c>
      <c r="AK5287">
        <v>18.498441546060199</v>
      </c>
      <c r="AL5287">
        <v>94.545218882106596</v>
      </c>
      <c r="AM5287">
        <v>90.429772807743603</v>
      </c>
      <c r="AN5287">
        <v>1.0000000417511199</v>
      </c>
    </row>
    <row r="5288" spans="1:40" x14ac:dyDescent="0.25">
      <c r="A5288" t="str">
        <f>"20190303154914968"</f>
        <v>20190303154914968</v>
      </c>
      <c r="B5288" t="str">
        <f>"1551599354966048"</f>
        <v>1551599354966048</v>
      </c>
      <c r="C5288" t="s">
        <v>40</v>
      </c>
      <c r="D5288">
        <v>5.7114520000000004</v>
      </c>
      <c r="E5288">
        <v>0.51957010000000003</v>
      </c>
      <c r="F5288" t="s">
        <v>41</v>
      </c>
      <c r="G5288">
        <v>-358.67340000000002</v>
      </c>
      <c r="H5288" s="1">
        <v>-1.297887E-6</v>
      </c>
      <c r="I5288">
        <v>142.42179999999999</v>
      </c>
      <c r="J5288">
        <v>-340.18920000000003</v>
      </c>
      <c r="K5288">
        <v>1.120155</v>
      </c>
      <c r="L5288">
        <v>141.6062</v>
      </c>
      <c r="M5288">
        <v>-0.99995959999999995</v>
      </c>
      <c r="N5288">
        <v>-8.9068419999999999E-3</v>
      </c>
      <c r="O5288">
        <v>-1.3366280000000001E-3</v>
      </c>
      <c r="P5288">
        <v>-0.99607809999999997</v>
      </c>
      <c r="Q5288">
        <v>-8.8047120000000006E-2</v>
      </c>
      <c r="R5288">
        <v>-8.750285E-3</v>
      </c>
      <c r="S5288">
        <v>-2.9970699999999999</v>
      </c>
      <c r="T5288">
        <v>-0.17974619999999999</v>
      </c>
      <c r="U5288">
        <v>0.1308289</v>
      </c>
      <c r="V5288">
        <v>-7.4074609999999997E-3</v>
      </c>
      <c r="W5288">
        <v>-7.9172670000000001E-2</v>
      </c>
      <c r="X5288">
        <v>0.99683339999999998</v>
      </c>
      <c r="Y5288">
        <v>4.4851929999999998E-2</v>
      </c>
      <c r="Z5288">
        <v>1.6113410000000001E-3</v>
      </c>
      <c r="AA5288">
        <v>0.99899230000000006</v>
      </c>
      <c r="AB5288">
        <v>31</v>
      </c>
      <c r="AC5288">
        <v>-18.484199999999898</v>
      </c>
      <c r="AD5288">
        <v>-1.1201562978869899</v>
      </c>
      <c r="AE5288">
        <v>0.815599999999989</v>
      </c>
      <c r="AF5288">
        <v>0.83723800642317003</v>
      </c>
      <c r="AG5288">
        <v>-1.1201562978869899</v>
      </c>
      <c r="AH5288">
        <v>18.415594350909601</v>
      </c>
      <c r="AI5288">
        <v>93.4772306550568</v>
      </c>
      <c r="AJ5288">
        <v>87.396923833613897</v>
      </c>
      <c r="AK5288">
        <v>18.468617514809999</v>
      </c>
      <c r="AL5288">
        <v>94.541012355139998</v>
      </c>
      <c r="AM5288">
        <v>90.425756641409393</v>
      </c>
      <c r="AN5288">
        <v>1.0000000047544699</v>
      </c>
    </row>
    <row r="5289" spans="1:40" x14ac:dyDescent="0.25">
      <c r="A5289" t="str">
        <f>"20190303154914984"</f>
        <v>20190303154914984</v>
      </c>
      <c r="B5289" t="str">
        <f>"1551599354975809"</f>
        <v>1551599354975809</v>
      </c>
      <c r="C5289" t="s">
        <v>40</v>
      </c>
      <c r="D5289">
        <v>5.69543</v>
      </c>
      <c r="E5289">
        <v>0.51957419999999999</v>
      </c>
      <c r="F5289" t="s">
        <v>41</v>
      </c>
      <c r="G5289">
        <v>-358.7527</v>
      </c>
      <c r="H5289" s="1">
        <v>-1.262545E-6</v>
      </c>
      <c r="I5289">
        <v>142.41679999999999</v>
      </c>
      <c r="J5289">
        <v>-340.40379999999999</v>
      </c>
      <c r="K5289">
        <v>1.1201570000000001</v>
      </c>
      <c r="L5289">
        <v>141.60589999999999</v>
      </c>
      <c r="M5289">
        <v>-0.99995919999999905</v>
      </c>
      <c r="N5289">
        <v>-8.9372480000000001E-3</v>
      </c>
      <c r="O5289">
        <v>-1.3955370000000001E-3</v>
      </c>
      <c r="P5289">
        <v>-0.99605770000000005</v>
      </c>
      <c r="Q5289">
        <v>-8.8256080000000001E-2</v>
      </c>
      <c r="R5289">
        <v>-8.957975E-3</v>
      </c>
      <c r="S5289">
        <v>-2.9969790000000001</v>
      </c>
      <c r="T5289">
        <v>-0.18084339999999999</v>
      </c>
      <c r="U5289">
        <v>0.13087460000000001</v>
      </c>
      <c r="V5289">
        <v>-7.5566069999999999E-3</v>
      </c>
      <c r="W5289">
        <v>-7.9351489999999997E-2</v>
      </c>
      <c r="X5289">
        <v>0.99681810000000004</v>
      </c>
      <c r="Y5289">
        <v>4.4925979999999997E-2</v>
      </c>
      <c r="Z5289">
        <v>1.6262869999999999E-3</v>
      </c>
      <c r="AA5289">
        <v>0.99898900000000002</v>
      </c>
      <c r="AB5289">
        <v>31</v>
      </c>
      <c r="AC5289">
        <v>-18.3489</v>
      </c>
      <c r="AD5289">
        <v>-1.1201582625449999</v>
      </c>
      <c r="AE5289">
        <v>0.81090000000000295</v>
      </c>
      <c r="AF5289">
        <v>0.83340689377023103</v>
      </c>
      <c r="AG5289">
        <v>-1.1201582625449999</v>
      </c>
      <c r="AH5289">
        <v>18.279757826145801</v>
      </c>
      <c r="AI5289">
        <v>93.502991548977306</v>
      </c>
      <c r="AJ5289">
        <v>87.389590483774995</v>
      </c>
      <c r="AK5289">
        <v>18.332999420887798</v>
      </c>
      <c r="AL5289">
        <v>94.551290148923997</v>
      </c>
      <c r="AM5289">
        <v>90.434335406923097</v>
      </c>
      <c r="AN5289">
        <v>1.00000004288109</v>
      </c>
    </row>
    <row r="5290" spans="1:40" x14ac:dyDescent="0.25">
      <c r="A5290" t="str">
        <f>"20190303154914998"</f>
        <v>20190303154914998</v>
      </c>
      <c r="B5290" t="str">
        <f>"1551599354986546"</f>
        <v>1551599354986546</v>
      </c>
      <c r="C5290" t="s">
        <v>40</v>
      </c>
      <c r="D5290">
        <v>5.684355</v>
      </c>
      <c r="E5290">
        <v>0.5195862</v>
      </c>
      <c r="F5290" t="s">
        <v>41</v>
      </c>
      <c r="G5290">
        <v>-358.84190000000001</v>
      </c>
      <c r="H5290" s="1">
        <v>-1.221674E-6</v>
      </c>
      <c r="I5290">
        <v>142.40710000000001</v>
      </c>
      <c r="J5290">
        <v>-340.60050000000001</v>
      </c>
      <c r="K5290">
        <v>1.120153</v>
      </c>
      <c r="L5290">
        <v>141.60560000000001</v>
      </c>
      <c r="M5290">
        <v>-0.99995880000000004</v>
      </c>
      <c r="N5290">
        <v>-8.9719559999999997E-3</v>
      </c>
      <c r="O5290">
        <v>-1.4493399999999999E-3</v>
      </c>
      <c r="P5290">
        <v>-0.99599740000000003</v>
      </c>
      <c r="Q5290">
        <v>-8.893028E-2</v>
      </c>
      <c r="R5290">
        <v>-8.9835890000000002E-3</v>
      </c>
      <c r="S5290">
        <v>-2.9968870000000001</v>
      </c>
      <c r="T5290">
        <v>-0.1820678</v>
      </c>
      <c r="U5290">
        <v>0.13023379999999901</v>
      </c>
      <c r="V5290">
        <v>-7.5286519999999899E-3</v>
      </c>
      <c r="W5290">
        <v>-7.9991640000000003E-2</v>
      </c>
      <c r="X5290">
        <v>0.99676710000000002</v>
      </c>
      <c r="Y5290">
        <v>4.4766819999999999E-2</v>
      </c>
      <c r="Z5290">
        <v>1.6340269999999999E-3</v>
      </c>
      <c r="AA5290">
        <v>0.99899610000000005</v>
      </c>
      <c r="AB5290">
        <v>31</v>
      </c>
      <c r="AC5290">
        <v>-18.241399999999999</v>
      </c>
      <c r="AD5290">
        <v>-1.1201542216739999</v>
      </c>
      <c r="AE5290">
        <v>0.80150000000000399</v>
      </c>
      <c r="AF5290">
        <v>0.82483387833359001</v>
      </c>
      <c r="AG5290">
        <v>-1.1201542216739999</v>
      </c>
      <c r="AH5290">
        <v>18.171827937375099</v>
      </c>
      <c r="AI5290">
        <v>93.523764364488201</v>
      </c>
      <c r="AJ5290">
        <v>87.401082400179803</v>
      </c>
      <c r="AK5290">
        <v>18.224994567701501</v>
      </c>
      <c r="AL5290">
        <v>94.588085215211393</v>
      </c>
      <c r="AM5290">
        <v>90.432750822570995</v>
      </c>
      <c r="AN5290">
        <v>0.99999999735661804</v>
      </c>
    </row>
    <row r="5291" spans="1:40" x14ac:dyDescent="0.25">
      <c r="A5291" t="str">
        <f>"20190303154915010"</f>
        <v>20190303154915010</v>
      </c>
      <c r="B5291" t="str">
        <f>"1551599355006065"</f>
        <v>1551599355006065</v>
      </c>
      <c r="C5291" t="s">
        <v>40</v>
      </c>
      <c r="D5291">
        <v>5.7036920000000002</v>
      </c>
      <c r="E5291">
        <v>0.5195845</v>
      </c>
      <c r="F5291" t="s">
        <v>41</v>
      </c>
      <c r="G5291">
        <v>-358.76609999999999</v>
      </c>
      <c r="H5291" s="1">
        <v>-1.251026E-6</v>
      </c>
      <c r="I5291">
        <v>142.39510000000001</v>
      </c>
      <c r="J5291">
        <v>-340.78199999999998</v>
      </c>
      <c r="K5291">
        <v>1.120155</v>
      </c>
      <c r="L5291">
        <v>141.6053</v>
      </c>
      <c r="M5291">
        <v>-0.99995840000000003</v>
      </c>
      <c r="N5291">
        <v>-9.0104320000000005E-3</v>
      </c>
      <c r="O5291">
        <v>-1.4991080000000001E-3</v>
      </c>
      <c r="P5291">
        <v>-0.99599420000000005</v>
      </c>
      <c r="Q5291">
        <v>-8.8945960000000004E-2</v>
      </c>
      <c r="R5291">
        <v>-9.1775320000000004E-3</v>
      </c>
      <c r="S5291">
        <v>-2.9967039999999998</v>
      </c>
      <c r="T5291">
        <v>-0.18478739999999999</v>
      </c>
      <c r="U5291">
        <v>0.130249</v>
      </c>
      <c r="V5291">
        <v>-7.6731550000000001E-3</v>
      </c>
      <c r="W5291">
        <v>-7.996897E-2</v>
      </c>
      <c r="X5291">
        <v>0.99676779999999998</v>
      </c>
      <c r="Y5291">
        <v>4.482129E-2</v>
      </c>
      <c r="Z5291">
        <v>1.661027E-3</v>
      </c>
      <c r="AA5291">
        <v>0.99899360000000004</v>
      </c>
      <c r="AB5291">
        <v>31</v>
      </c>
      <c r="AC5291">
        <v>-17.984100000000002</v>
      </c>
      <c r="AD5291">
        <v>-1.1201562510259999</v>
      </c>
      <c r="AE5291">
        <v>0.78980000000001305</v>
      </c>
      <c r="AF5291">
        <v>0.81360995871179698</v>
      </c>
      <c r="AG5291">
        <v>-1.1201562510259999</v>
      </c>
      <c r="AH5291">
        <v>17.913533324770398</v>
      </c>
      <c r="AI5291">
        <v>93.574444550346001</v>
      </c>
      <c r="AJ5291">
        <v>87.399485563415496</v>
      </c>
      <c r="AK5291">
        <v>17.966952645601499</v>
      </c>
      <c r="AL5291">
        <v>94.586782223860894</v>
      </c>
      <c r="AM5291">
        <v>90.441056295206295</v>
      </c>
      <c r="AN5291">
        <v>0.99999998029367698</v>
      </c>
    </row>
    <row r="5292" spans="1:40" x14ac:dyDescent="0.25">
      <c r="A5292" t="str">
        <f>"20190303154915032"</f>
        <v>20190303154915032</v>
      </c>
      <c r="B5292" t="str">
        <f>"1551599355026561"</f>
        <v>1551599355026561</v>
      </c>
      <c r="C5292" t="s">
        <v>40</v>
      </c>
      <c r="D5292">
        <v>5.8049169999999997</v>
      </c>
      <c r="E5292">
        <v>0.53300009999999998</v>
      </c>
      <c r="F5292" t="s">
        <v>41</v>
      </c>
      <c r="G5292">
        <v>-358.80790000000002</v>
      </c>
      <c r="H5292" s="1">
        <v>-1.230526E-6</v>
      </c>
      <c r="I5292">
        <v>142.38550000000001</v>
      </c>
      <c r="J5292">
        <v>-341.0711</v>
      </c>
      <c r="K5292">
        <v>1.1201730000000001</v>
      </c>
      <c r="L5292">
        <v>141.60480000000001</v>
      </c>
      <c r="M5292">
        <v>-0.9999574</v>
      </c>
      <c r="N5292">
        <v>-9.0905989999999996E-3</v>
      </c>
      <c r="O5292">
        <v>-1.5780359999999999E-3</v>
      </c>
      <c r="P5292">
        <v>-0.99594970000000005</v>
      </c>
      <c r="Q5292">
        <v>-8.9447899999999997E-2</v>
      </c>
      <c r="R5292">
        <v>-9.1193149999999994E-3</v>
      </c>
      <c r="S5292">
        <v>-2.996613</v>
      </c>
      <c r="T5292">
        <v>-0.18621460000000001</v>
      </c>
      <c r="U5292">
        <v>0.129715</v>
      </c>
      <c r="V5292">
        <v>-7.5360130000000003E-3</v>
      </c>
      <c r="W5292">
        <v>-8.0391379999999998E-2</v>
      </c>
      <c r="X5292">
        <v>0.99673489999999998</v>
      </c>
      <c r="Y5292">
        <v>4.4722320000000003E-2</v>
      </c>
      <c r="Z5292">
        <v>1.674769E-3</v>
      </c>
      <c r="AA5292">
        <v>0.99899800000000005</v>
      </c>
      <c r="AB5292">
        <v>31</v>
      </c>
      <c r="AC5292">
        <v>-17.736799999999999</v>
      </c>
      <c r="AD5292">
        <v>-1.1201742305259901</v>
      </c>
      <c r="AE5292">
        <v>0.78069999999999595</v>
      </c>
      <c r="AF5292">
        <v>0.80548295636384903</v>
      </c>
      <c r="AG5292">
        <v>-1.1201742305259901</v>
      </c>
      <c r="AH5292">
        <v>17.665222605955599</v>
      </c>
      <c r="AI5292">
        <v>93.624584356346901</v>
      </c>
      <c r="AJ5292">
        <v>87.389286804986199</v>
      </c>
      <c r="AK5292">
        <v>17.719020368454199</v>
      </c>
      <c r="AL5292">
        <v>94.6110625565763</v>
      </c>
      <c r="AM5292">
        <v>90.433187913913102</v>
      </c>
      <c r="AN5292">
        <v>1.00000001317412</v>
      </c>
    </row>
    <row r="5293" spans="1:40" x14ac:dyDescent="0.25">
      <c r="A5293" t="str">
        <f>"20190303154915052"</f>
        <v>20190303154915052</v>
      </c>
      <c r="B5293" t="str">
        <f>"1551599355046119"</f>
        <v>1551599355046119</v>
      </c>
      <c r="C5293" t="s">
        <v>40</v>
      </c>
      <c r="D5293">
        <v>5.5491029999999997</v>
      </c>
      <c r="E5293">
        <v>0.56810869999999902</v>
      </c>
      <c r="F5293" t="s">
        <v>42</v>
      </c>
      <c r="G5293">
        <v>-341.91090000000003</v>
      </c>
      <c r="H5293">
        <v>1.028959</v>
      </c>
      <c r="I5293">
        <v>141.6712</v>
      </c>
      <c r="J5293">
        <v>-341.35079999999999</v>
      </c>
      <c r="K5293">
        <v>1.1201920000000001</v>
      </c>
      <c r="L5293">
        <v>141.60419999999999</v>
      </c>
      <c r="M5293">
        <v>-0.99995630000000002</v>
      </c>
      <c r="N5293">
        <v>-9.2073869999999992E-3</v>
      </c>
      <c r="O5293">
        <v>-1.6543969999999999E-3</v>
      </c>
      <c r="P5293">
        <v>-0.99592020000000003</v>
      </c>
      <c r="Q5293">
        <v>-8.9777369999999995E-2</v>
      </c>
      <c r="R5293">
        <v>-9.1179250000000007E-3</v>
      </c>
      <c r="S5293">
        <v>-2.9851679999999998</v>
      </c>
      <c r="T5293">
        <v>-0.32426820000000001</v>
      </c>
      <c r="U5293">
        <v>0.23498540000000001</v>
      </c>
      <c r="V5293">
        <v>-7.4584129999999997E-3</v>
      </c>
      <c r="W5293">
        <v>-8.0604690000000007E-2</v>
      </c>
      <c r="X5293">
        <v>0.9967182</v>
      </c>
      <c r="Y5293">
        <v>7.9610680000000003E-2</v>
      </c>
      <c r="Z5293">
        <v>4.836613E-3</v>
      </c>
      <c r="AA5293">
        <v>0.99681430000000004</v>
      </c>
      <c r="AB5293">
        <v>31</v>
      </c>
      <c r="AC5293">
        <v>-0.56010000000003302</v>
      </c>
      <c r="AD5293">
        <v>-9.1233000000000106E-2</v>
      </c>
      <c r="AE5293">
        <v>6.7000000000007207E-2</v>
      </c>
      <c r="AF5293">
        <v>6.6195053753616603E-2</v>
      </c>
      <c r="AG5293">
        <v>-9.1233000000000106E-2</v>
      </c>
      <c r="AH5293">
        <v>0.54571367733420895</v>
      </c>
      <c r="AI5293">
        <v>99.423177243371498</v>
      </c>
      <c r="AJ5293">
        <v>83.083812339430295</v>
      </c>
      <c r="AK5293">
        <v>0.55723304196724499</v>
      </c>
      <c r="AL5293">
        <v>94.623324370607307</v>
      </c>
      <c r="AM5293">
        <v>90.428734632152</v>
      </c>
      <c r="AN5293">
        <v>0.99999995709285605</v>
      </c>
    </row>
    <row r="5294" spans="1:40" x14ac:dyDescent="0.25">
      <c r="A5294" t="str">
        <f>"20190303154915074"</f>
        <v>20190303154915074</v>
      </c>
      <c r="B5294" t="str">
        <f>"1551599355065638"</f>
        <v>1551599355065638</v>
      </c>
      <c r="C5294" t="s">
        <v>40</v>
      </c>
      <c r="D5294">
        <v>5.5787610000000001</v>
      </c>
      <c r="E5294">
        <v>0.57190589999999997</v>
      </c>
      <c r="F5294" t="s">
        <v>42</v>
      </c>
      <c r="G5294">
        <v>-342.15410000000003</v>
      </c>
      <c r="H5294">
        <v>0.95081110000000002</v>
      </c>
      <c r="I5294">
        <v>141.74289999999999</v>
      </c>
      <c r="J5294">
        <v>-341.65980000000002</v>
      </c>
      <c r="K5294">
        <v>1.120228</v>
      </c>
      <c r="L5294">
        <v>141.6036</v>
      </c>
      <c r="M5294">
        <v>-0.99995429999999996</v>
      </c>
      <c r="N5294">
        <v>-9.4040909999999998E-3</v>
      </c>
      <c r="O5294">
        <v>-1.740215E-3</v>
      </c>
      <c r="P5294">
        <v>-0.99587859999999995</v>
      </c>
      <c r="Q5294">
        <v>-9.0211730000000004E-2</v>
      </c>
      <c r="R5294">
        <v>-9.3733029999999995E-3</v>
      </c>
      <c r="S5294">
        <v>-2.9606629999999998</v>
      </c>
      <c r="T5294">
        <v>-0.62425390000000003</v>
      </c>
      <c r="U5294">
        <v>0.51089479999999998</v>
      </c>
      <c r="V5294">
        <v>-7.6284129999999997E-3</v>
      </c>
      <c r="W5294">
        <v>-8.0843399999999996E-2</v>
      </c>
      <c r="X5294">
        <v>0.99669759999999996</v>
      </c>
      <c r="Y5294">
        <v>0.1679735</v>
      </c>
      <c r="Z5294">
        <v>1.854022E-2</v>
      </c>
      <c r="AA5294">
        <v>0.98561719999999997</v>
      </c>
      <c r="AB5294">
        <v>31</v>
      </c>
      <c r="AC5294">
        <v>-0.49430000000000901</v>
      </c>
      <c r="AD5294">
        <v>-0.16941690000000001</v>
      </c>
      <c r="AE5294">
        <v>0.13929999999999099</v>
      </c>
      <c r="AF5294">
        <v>0.126403697247741</v>
      </c>
      <c r="AG5294">
        <v>-0.16941690000000001</v>
      </c>
      <c r="AH5294">
        <v>0.44556651667661401</v>
      </c>
      <c r="AI5294">
        <v>110.09217381419801</v>
      </c>
      <c r="AJ5294">
        <v>74.161779998262901</v>
      </c>
      <c r="AK5294">
        <v>0.49316275352751499</v>
      </c>
      <c r="AL5294">
        <v>94.637046136018</v>
      </c>
      <c r="AM5294">
        <v>90.438515488650793</v>
      </c>
      <c r="AN5294">
        <v>0.99999997692710896</v>
      </c>
    </row>
    <row r="5295" spans="1:40" x14ac:dyDescent="0.25">
      <c r="A5295" t="str">
        <f>"20190303154915095"</f>
        <v>20190303154915095</v>
      </c>
      <c r="B5295" t="str">
        <f>"1551599355086134"</f>
        <v>1551599355086134</v>
      </c>
      <c r="C5295" t="s">
        <v>40</v>
      </c>
      <c r="D5295">
        <v>5.3695019999999998</v>
      </c>
      <c r="E5295">
        <v>0.57509030000000005</v>
      </c>
      <c r="F5295" t="s">
        <v>42</v>
      </c>
      <c r="G5295">
        <v>-342.42140000000001</v>
      </c>
      <c r="H5295">
        <v>0.92390989999999995</v>
      </c>
      <c r="I5295">
        <v>141.74299999999999</v>
      </c>
      <c r="J5295">
        <v>-341.95519999999999</v>
      </c>
      <c r="K5295">
        <v>1.120285</v>
      </c>
      <c r="L5295">
        <v>141.60299999999901</v>
      </c>
      <c r="M5295">
        <v>-0.99995140000000005</v>
      </c>
      <c r="N5295">
        <v>-9.6872450000000006E-3</v>
      </c>
      <c r="O5295">
        <v>-1.819687E-3</v>
      </c>
      <c r="P5295">
        <v>-0.99582969999999904</v>
      </c>
      <c r="Q5295">
        <v>-9.0727749999999996E-2</v>
      </c>
      <c r="R5295">
        <v>-9.5807440000000004E-3</v>
      </c>
      <c r="S5295">
        <v>-2.948639</v>
      </c>
      <c r="T5295">
        <v>-0.7600595</v>
      </c>
      <c r="U5295">
        <v>0.53887940000000001</v>
      </c>
      <c r="V5295">
        <v>-7.7561100000000001E-3</v>
      </c>
      <c r="W5295">
        <v>-8.1077670000000004E-2</v>
      </c>
      <c r="X5295">
        <v>0.99667760000000005</v>
      </c>
      <c r="Y5295">
        <v>0.1757312</v>
      </c>
      <c r="Z5295">
        <v>2.3422700000000001E-2</v>
      </c>
      <c r="AA5295">
        <v>0.98415949999999996</v>
      </c>
      <c r="AB5295">
        <v>31</v>
      </c>
      <c r="AC5295">
        <v>-0.46620000000001399</v>
      </c>
      <c r="AD5295">
        <v>-0.196375099999999</v>
      </c>
      <c r="AE5295">
        <v>0.140000000000014</v>
      </c>
      <c r="AF5295">
        <v>0.121133294549508</v>
      </c>
      <c r="AG5295">
        <v>-0.196375099999999</v>
      </c>
      <c r="AH5295">
        <v>0.40072510056551602</v>
      </c>
      <c r="AI5295">
        <v>115.130622560547</v>
      </c>
      <c r="AJ5295">
        <v>73.180706467764594</v>
      </c>
      <c r="AK5295">
        <v>0.46240356959226703</v>
      </c>
      <c r="AL5295">
        <v>94.6505129556664</v>
      </c>
      <c r="AM5295">
        <v>90.445864739125398</v>
      </c>
      <c r="AN5295">
        <v>0.99999999207835999</v>
      </c>
    </row>
    <row r="5296" spans="1:40" x14ac:dyDescent="0.25">
      <c r="A5296" t="str">
        <f>"20190303154915110"</f>
        <v>20190303154915110</v>
      </c>
      <c r="B5296" t="str">
        <f>"1551599355105655"</f>
        <v>1551599355105655</v>
      </c>
      <c r="C5296" t="s">
        <v>40</v>
      </c>
      <c r="D5296">
        <v>5.3628999999999998</v>
      </c>
      <c r="E5296">
        <v>0.57914600000000005</v>
      </c>
      <c r="F5296" t="s">
        <v>42</v>
      </c>
      <c r="G5296">
        <v>-342.69889999999998</v>
      </c>
      <c r="H5296">
        <v>0.91973439999999995</v>
      </c>
      <c r="I5296">
        <v>141.74520000000001</v>
      </c>
      <c r="J5296">
        <v>-342.16829999999999</v>
      </c>
      <c r="K5296">
        <v>1.120339</v>
      </c>
      <c r="L5296">
        <v>141.6026</v>
      </c>
      <c r="M5296">
        <v>-0.99994870000000002</v>
      </c>
      <c r="N5296">
        <v>-9.9592510000000006E-3</v>
      </c>
      <c r="O5296">
        <v>-1.875402E-3</v>
      </c>
      <c r="P5296">
        <v>-0.99576260000000005</v>
      </c>
      <c r="Q5296">
        <v>-9.142575E-2</v>
      </c>
      <c r="R5296">
        <v>-9.8998019999999992E-3</v>
      </c>
      <c r="S5296">
        <v>-2.9456479999999998</v>
      </c>
      <c r="T5296">
        <v>-0.7943363</v>
      </c>
      <c r="U5296">
        <v>0.56297299999999995</v>
      </c>
      <c r="V5296">
        <v>-8.0200700000000007E-3</v>
      </c>
      <c r="W5296">
        <v>-8.1505229999999998E-2</v>
      </c>
      <c r="X5296">
        <v>0.99664059999999999</v>
      </c>
      <c r="Y5296">
        <v>0.18294730000000001</v>
      </c>
      <c r="Z5296">
        <v>2.5437649999999999E-2</v>
      </c>
      <c r="AA5296">
        <v>0.98279360000000004</v>
      </c>
      <c r="AB5296">
        <v>31</v>
      </c>
      <c r="AC5296">
        <v>-0.53059999999999197</v>
      </c>
      <c r="AD5296">
        <v>-0.20060459999999899</v>
      </c>
      <c r="AE5296">
        <v>0.14260000000001499</v>
      </c>
      <c r="AF5296">
        <v>0.12670406578739399</v>
      </c>
      <c r="AG5296">
        <v>-0.20060459999999899</v>
      </c>
      <c r="AH5296">
        <v>0.46794961938671398</v>
      </c>
      <c r="AI5296">
        <v>112.47921443411801</v>
      </c>
      <c r="AJ5296">
        <v>74.849615361513401</v>
      </c>
      <c r="AK5296">
        <v>0.52466462822682003</v>
      </c>
      <c r="AL5296">
        <v>94.675091860612497</v>
      </c>
      <c r="AM5296">
        <v>90.461055112539697</v>
      </c>
      <c r="AN5296">
        <v>0.99999995480425696</v>
      </c>
    </row>
    <row r="5297" spans="1:40" x14ac:dyDescent="0.25">
      <c r="A5297" t="str">
        <f>"20190303154915125"</f>
        <v>20190303154915125</v>
      </c>
      <c r="B5297" t="str">
        <f>"1551599355116390"</f>
        <v>1551599355116390</v>
      </c>
      <c r="C5297" t="s">
        <v>40</v>
      </c>
      <c r="D5297">
        <v>5.3489719999999998</v>
      </c>
      <c r="E5297">
        <v>0.58047159999999998</v>
      </c>
      <c r="F5297" t="s">
        <v>42</v>
      </c>
      <c r="G5297">
        <v>-342.97109999999998</v>
      </c>
      <c r="H5297">
        <v>0.90175119999999997</v>
      </c>
      <c r="I5297">
        <v>141.76480000000001</v>
      </c>
      <c r="J5297">
        <v>-342.36759999999998</v>
      </c>
      <c r="K5297">
        <v>1.1203959999999999</v>
      </c>
      <c r="L5297">
        <v>141.60210000000001</v>
      </c>
      <c r="M5297">
        <v>-0.99994559999999999</v>
      </c>
      <c r="N5297">
        <v>-1.024894E-2</v>
      </c>
      <c r="O5297">
        <v>-1.927778E-3</v>
      </c>
      <c r="P5297">
        <v>-0.99572629999999995</v>
      </c>
      <c r="Q5297">
        <v>-9.1801030000000006E-2</v>
      </c>
      <c r="R5297">
        <v>-1.0085190000000001E-2</v>
      </c>
      <c r="S5297">
        <v>-2.9450379999999998</v>
      </c>
      <c r="T5297">
        <v>-0.80191179999999995</v>
      </c>
      <c r="U5297">
        <v>0.59422299999999995</v>
      </c>
      <c r="V5297">
        <v>-8.1535519999999997E-3</v>
      </c>
      <c r="W5297">
        <v>-8.1592109999999995E-2</v>
      </c>
      <c r="X5297">
        <v>0.99663250000000003</v>
      </c>
      <c r="Y5297">
        <v>0.19259780000000001</v>
      </c>
      <c r="Z5297">
        <v>2.701487E-2</v>
      </c>
      <c r="AA5297">
        <v>0.98090580000000005</v>
      </c>
      <c r="AB5297">
        <v>31</v>
      </c>
      <c r="AC5297">
        <v>-0.60349999999999604</v>
      </c>
      <c r="AD5297">
        <v>-0.2186448</v>
      </c>
      <c r="AE5297">
        <v>0.16270000000000001</v>
      </c>
      <c r="AF5297">
        <v>0.145998261060099</v>
      </c>
      <c r="AG5297">
        <v>-0.2186448</v>
      </c>
      <c r="AH5297">
        <v>0.53742394108888702</v>
      </c>
      <c r="AI5297">
        <v>111.435419623008</v>
      </c>
      <c r="AJ5297">
        <v>74.801647322846406</v>
      </c>
      <c r="AK5297">
        <v>0.59828549477245796</v>
      </c>
      <c r="AL5297">
        <v>94.680085923196501</v>
      </c>
      <c r="AM5297">
        <v>90.468732151079607</v>
      </c>
      <c r="AN5297">
        <v>1.00000004644035</v>
      </c>
    </row>
    <row r="5298" spans="1:40" x14ac:dyDescent="0.25">
      <c r="A5298" t="str">
        <f>"20190303154915140"</f>
        <v>20190303154915140</v>
      </c>
      <c r="B5298" t="str">
        <f>"1551599355135911"</f>
        <v>1551599355135911</v>
      </c>
      <c r="C5298" t="s">
        <v>40</v>
      </c>
      <c r="D5298">
        <v>5.343629</v>
      </c>
      <c r="E5298">
        <v>0.58234779999999997</v>
      </c>
      <c r="F5298" t="s">
        <v>42</v>
      </c>
      <c r="G5298">
        <v>-343.24169999999998</v>
      </c>
      <c r="H5298">
        <v>0.88170700000000002</v>
      </c>
      <c r="I5298">
        <v>141.78149999999999</v>
      </c>
      <c r="J5298">
        <v>-342.58800000000002</v>
      </c>
      <c r="K5298">
        <v>1.12046</v>
      </c>
      <c r="L5298">
        <v>141.60169999999999</v>
      </c>
      <c r="M5298">
        <v>-0.99994190000000005</v>
      </c>
      <c r="N5298">
        <v>-1.060114E-2</v>
      </c>
      <c r="O5298">
        <v>-1.9870740000000001E-3</v>
      </c>
      <c r="P5298">
        <v>-0.99564750000000002</v>
      </c>
      <c r="Q5298">
        <v>-9.2565750000000002E-2</v>
      </c>
      <c r="R5298">
        <v>-1.083657E-2</v>
      </c>
      <c r="S5298">
        <v>-2.944855</v>
      </c>
      <c r="T5298">
        <v>-0.8042068</v>
      </c>
      <c r="U5298">
        <v>0.60432430000000004</v>
      </c>
      <c r="V5298">
        <v>-8.84613699999999E-3</v>
      </c>
      <c r="W5298">
        <v>-8.200665E-2</v>
      </c>
      <c r="X5298">
        <v>0.99659249999999999</v>
      </c>
      <c r="Y5298">
        <v>0.1957371</v>
      </c>
      <c r="Z5298">
        <v>2.7563669999999998E-2</v>
      </c>
      <c r="AA5298">
        <v>0.98026899999999995</v>
      </c>
      <c r="AB5298">
        <v>31</v>
      </c>
      <c r="AC5298">
        <v>-0.65369999999995798</v>
      </c>
      <c r="AD5298">
        <v>-0.23875299999999999</v>
      </c>
      <c r="AE5298">
        <v>0.17979999999999999</v>
      </c>
      <c r="AF5298">
        <v>0.161117884145974</v>
      </c>
      <c r="AG5298">
        <v>-0.23875299999999999</v>
      </c>
      <c r="AH5298">
        <v>0.58125764923011203</v>
      </c>
      <c r="AI5298">
        <v>111.595018378864</v>
      </c>
      <c r="AJ5298">
        <v>74.507243069216301</v>
      </c>
      <c r="AK5298">
        <v>0.64870827217570703</v>
      </c>
      <c r="AL5298">
        <v>94.703917500670201</v>
      </c>
      <c r="AM5298">
        <v>90.508565942669193</v>
      </c>
      <c r="AN5298">
        <v>0.99999997792014705</v>
      </c>
    </row>
    <row r="5299" spans="1:40" x14ac:dyDescent="0.25">
      <c r="A5299" t="str">
        <f>"20190303154915154"</f>
        <v>20190303154915154</v>
      </c>
      <c r="B5299" t="str">
        <f>"1551599355145671"</f>
        <v>1551599355145671</v>
      </c>
      <c r="C5299" t="s">
        <v>40</v>
      </c>
      <c r="D5299">
        <v>5.3417219999999999</v>
      </c>
      <c r="E5299">
        <v>0.58311420000000003</v>
      </c>
      <c r="F5299" t="s">
        <v>42</v>
      </c>
      <c r="G5299">
        <v>-343.51330000000002</v>
      </c>
      <c r="H5299">
        <v>0.865726</v>
      </c>
      <c r="I5299">
        <v>141.79599999999999</v>
      </c>
      <c r="J5299">
        <v>-342.79059999999998</v>
      </c>
      <c r="K5299">
        <v>1.1205179999999999</v>
      </c>
      <c r="L5299">
        <v>141.60120000000001</v>
      </c>
      <c r="M5299">
        <v>-0.99993810000000005</v>
      </c>
      <c r="N5299">
        <v>-1.093762E-2</v>
      </c>
      <c r="O5299">
        <v>-2.042529E-3</v>
      </c>
      <c r="P5299">
        <v>-0.99561659999999996</v>
      </c>
      <c r="Q5299">
        <v>-9.2896160000000005E-2</v>
      </c>
      <c r="R5299">
        <v>-1.08638E-2</v>
      </c>
      <c r="S5299">
        <v>-2.9445190000000001</v>
      </c>
      <c r="T5299">
        <v>-0.81067250000000002</v>
      </c>
      <c r="U5299">
        <v>0.61730959999999901</v>
      </c>
      <c r="V5299">
        <v>-8.8181000000000006E-3</v>
      </c>
      <c r="W5299">
        <v>-8.2001980000000002E-2</v>
      </c>
      <c r="X5299">
        <v>0.99659319999999896</v>
      </c>
      <c r="Y5299">
        <v>0.1996916</v>
      </c>
      <c r="Z5299">
        <v>2.8360590000000001E-2</v>
      </c>
      <c r="AA5299">
        <v>0.97944830000000005</v>
      </c>
      <c r="AB5299">
        <v>31</v>
      </c>
      <c r="AC5299">
        <v>-0.72270000000003098</v>
      </c>
      <c r="AD5299">
        <v>-0.25479200000000002</v>
      </c>
      <c r="AE5299">
        <v>0.19479999999998601</v>
      </c>
      <c r="AF5299">
        <v>0.175893841424141</v>
      </c>
      <c r="AG5299">
        <v>-0.25479200000000002</v>
      </c>
      <c r="AH5299">
        <v>0.64729433253944102</v>
      </c>
      <c r="AI5299">
        <v>110.79936210661801</v>
      </c>
      <c r="AJ5299">
        <v>74.797703199508604</v>
      </c>
      <c r="AK5299">
        <v>0.71752878663689901</v>
      </c>
      <c r="AL5299">
        <v>94.703648709151594</v>
      </c>
      <c r="AM5299">
        <v>90.506953818896207</v>
      </c>
      <c r="AN5299">
        <v>1.00000004494888</v>
      </c>
    </row>
    <row r="5300" spans="1:40" x14ac:dyDescent="0.25">
      <c r="A5300" t="str">
        <f>"20190303154915168"</f>
        <v>20190303154915168</v>
      </c>
      <c r="B5300" t="str">
        <f>"1551599355156406"</f>
        <v>1551599355156406</v>
      </c>
      <c r="C5300" t="s">
        <v>40</v>
      </c>
      <c r="D5300">
        <v>5.3333349999999999</v>
      </c>
      <c r="E5300">
        <v>0.58378379999999996</v>
      </c>
      <c r="F5300" t="s">
        <v>42</v>
      </c>
      <c r="G5300">
        <v>-343.53269999999998</v>
      </c>
      <c r="H5300">
        <v>0.9156185</v>
      </c>
      <c r="I5300">
        <v>141.7587</v>
      </c>
      <c r="J5300">
        <v>-342.97</v>
      </c>
      <c r="K5300">
        <v>1.120565</v>
      </c>
      <c r="L5300">
        <v>141.60079999999999</v>
      </c>
      <c r="M5300">
        <v>-0.99993480000000001</v>
      </c>
      <c r="N5300">
        <v>-1.123243E-2</v>
      </c>
      <c r="O5300">
        <v>-2.0917290000000001E-3</v>
      </c>
      <c r="P5300">
        <v>-0.99559520000000001</v>
      </c>
      <c r="Q5300">
        <v>-9.3128500000000003E-2</v>
      </c>
      <c r="R5300">
        <v>-1.08404E-2</v>
      </c>
      <c r="S5300">
        <v>-2.9441220000000001</v>
      </c>
      <c r="T5300">
        <v>-0.81297459999999999</v>
      </c>
      <c r="U5300">
        <v>0.62336729999999996</v>
      </c>
      <c r="V5300">
        <v>-8.7459149999999999E-3</v>
      </c>
      <c r="W5300">
        <v>-8.1940669999999993E-2</v>
      </c>
      <c r="X5300">
        <v>0.99659880000000001</v>
      </c>
      <c r="Y5300">
        <v>0.20157600000000001</v>
      </c>
      <c r="Z5300">
        <v>2.87397E-2</v>
      </c>
      <c r="AA5300">
        <v>0.97905120000000001</v>
      </c>
      <c r="AB5300">
        <v>31</v>
      </c>
      <c r="AC5300">
        <v>-0.56269999999994902</v>
      </c>
      <c r="AD5300">
        <v>-0.2049465</v>
      </c>
      <c r="AE5300">
        <v>0.157900000000012</v>
      </c>
      <c r="AF5300">
        <v>0.14165680143099399</v>
      </c>
      <c r="AG5300">
        <v>-0.2049465</v>
      </c>
      <c r="AH5300">
        <v>0.50078544188071905</v>
      </c>
      <c r="AI5300">
        <v>111.494439419005</v>
      </c>
      <c r="AJ5300">
        <v>74.205423200034403</v>
      </c>
      <c r="AK5300">
        <v>0.55933511963185101</v>
      </c>
      <c r="AL5300">
        <v>94.700124413982195</v>
      </c>
      <c r="AM5300">
        <v>90.502801281782794</v>
      </c>
      <c r="AN5300">
        <v>0.99999996629533705</v>
      </c>
    </row>
    <row r="5301" spans="1:40" x14ac:dyDescent="0.25">
      <c r="A5301" t="str">
        <f>"20190303154915184"</f>
        <v>20190303154915184</v>
      </c>
      <c r="B5301" t="str">
        <f>"1551599355175926"</f>
        <v>1551599355175926</v>
      </c>
      <c r="C5301" t="s">
        <v>40</v>
      </c>
      <c r="D5301">
        <v>5.32958</v>
      </c>
      <c r="E5301">
        <v>0.58470580000000005</v>
      </c>
      <c r="F5301" t="s">
        <v>42</v>
      </c>
      <c r="G5301">
        <v>-343.80029999999999</v>
      </c>
      <c r="H5301">
        <v>0.89087799999999995</v>
      </c>
      <c r="I5301">
        <v>141.77809999999999</v>
      </c>
      <c r="J5301">
        <v>-343.19260000000003</v>
      </c>
      <c r="K5301">
        <v>1.1206199999999999</v>
      </c>
      <c r="L5301">
        <v>141.6003</v>
      </c>
      <c r="M5301">
        <v>-0.9999304</v>
      </c>
      <c r="N5301">
        <v>-1.15914E-2</v>
      </c>
      <c r="O5301">
        <v>-2.152911E-3</v>
      </c>
      <c r="P5301">
        <v>-0.99565539999999997</v>
      </c>
      <c r="Q5301">
        <v>-9.2499319999999996E-2</v>
      </c>
      <c r="R5301">
        <v>-1.069461E-2</v>
      </c>
      <c r="S5301">
        <v>-2.9439090000000001</v>
      </c>
      <c r="T5301">
        <v>-0.81433690000000003</v>
      </c>
      <c r="U5301">
        <v>0.62849429999999995</v>
      </c>
      <c r="V5301">
        <v>-8.5398880000000007E-3</v>
      </c>
      <c r="W5301">
        <v>-8.0953029999999995E-2</v>
      </c>
      <c r="X5301">
        <v>0.99668129999999999</v>
      </c>
      <c r="Y5301">
        <v>0.20318629999999999</v>
      </c>
      <c r="Z5301">
        <v>2.9060010000000001E-2</v>
      </c>
      <c r="AA5301">
        <v>0.97870869999999999</v>
      </c>
      <c r="AB5301">
        <v>31</v>
      </c>
      <c r="AC5301">
        <v>-0.60769999999996505</v>
      </c>
      <c r="AD5301">
        <v>-0.229742</v>
      </c>
      <c r="AE5301">
        <v>0.17779999999998999</v>
      </c>
      <c r="AF5301">
        <v>0.15827109520760299</v>
      </c>
      <c r="AG5301">
        <v>-0.229742</v>
      </c>
      <c r="AH5301">
        <v>0.53666242364274297</v>
      </c>
      <c r="AI5301">
        <v>112.323527455346</v>
      </c>
      <c r="AJ5301">
        <v>73.568293779839394</v>
      </c>
      <c r="AK5301">
        <v>0.60484517282715999</v>
      </c>
      <c r="AL5301">
        <v>94.643348168412103</v>
      </c>
      <c r="AM5301">
        <v>90.490916771765995</v>
      </c>
      <c r="AN5301">
        <v>0.99999996826146098</v>
      </c>
    </row>
    <row r="5302" spans="1:40" x14ac:dyDescent="0.25">
      <c r="A5302" t="str">
        <f>"20190303154915200"</f>
        <v>20190303154915200</v>
      </c>
      <c r="B5302" t="str">
        <f>"1551599355196423"</f>
        <v>1551599355196423</v>
      </c>
      <c r="C5302" t="s">
        <v>40</v>
      </c>
      <c r="D5302">
        <v>5.340236</v>
      </c>
      <c r="E5302">
        <v>0.58534269999999999</v>
      </c>
      <c r="F5302" t="s">
        <v>42</v>
      </c>
      <c r="G5302">
        <v>-344.07190000000003</v>
      </c>
      <c r="H5302">
        <v>0.87747839999999999</v>
      </c>
      <c r="I5302">
        <v>141.79069999999999</v>
      </c>
      <c r="J5302">
        <v>-343.41059999999999</v>
      </c>
      <c r="K5302">
        <v>1.120665</v>
      </c>
      <c r="L5302">
        <v>141.59970000000001</v>
      </c>
      <c r="M5302">
        <v>-0.9999266</v>
      </c>
      <c r="N5302">
        <v>-1.192907E-2</v>
      </c>
      <c r="O5302">
        <v>-2.211892E-3</v>
      </c>
      <c r="P5302">
        <v>-0.99569770000000002</v>
      </c>
      <c r="Q5302">
        <v>-9.2043239999999998E-2</v>
      </c>
      <c r="R5302">
        <v>-1.0697E-2</v>
      </c>
      <c r="S5302">
        <v>-2.9443049999999999</v>
      </c>
      <c r="T5302">
        <v>-0.81417109999999904</v>
      </c>
      <c r="U5302">
        <v>0.63621519999999898</v>
      </c>
      <c r="V5302">
        <v>-8.4834009999999998E-3</v>
      </c>
      <c r="W5302">
        <v>-8.0159839999999996E-2</v>
      </c>
      <c r="X5302">
        <v>0.99674589999999996</v>
      </c>
      <c r="Y5302">
        <v>0.20557839999999999</v>
      </c>
      <c r="Z5302">
        <v>2.9429710000000001E-2</v>
      </c>
      <c r="AA5302">
        <v>0.97819809999999996</v>
      </c>
      <c r="AB5302">
        <v>31</v>
      </c>
      <c r="AC5302">
        <v>-0.66130000000003897</v>
      </c>
      <c r="AD5302">
        <v>-0.2431866</v>
      </c>
      <c r="AE5302">
        <v>0.190999999999974</v>
      </c>
      <c r="AF5302">
        <v>0.17110497617943299</v>
      </c>
      <c r="AG5302">
        <v>-0.2431866</v>
      </c>
      <c r="AH5302">
        <v>0.58753904624419095</v>
      </c>
      <c r="AI5302">
        <v>111.672783172138</v>
      </c>
      <c r="AJ5302">
        <v>73.763217049699193</v>
      </c>
      <c r="AK5302">
        <v>0.658497354705741</v>
      </c>
      <c r="AL5302">
        <v>94.597753498455802</v>
      </c>
      <c r="AM5302">
        <v>90.487638160461103</v>
      </c>
      <c r="AN5302">
        <v>0.99999997860408096</v>
      </c>
    </row>
    <row r="5303" spans="1:40" x14ac:dyDescent="0.25">
      <c r="A5303" t="str">
        <f>"20190303154915213"</f>
        <v>20190303154915213</v>
      </c>
      <c r="B5303" t="str">
        <f>"1551599355206182"</f>
        <v>1551599355206182</v>
      </c>
      <c r="C5303" t="s">
        <v>40</v>
      </c>
      <c r="D5303">
        <v>5.3980860000000002</v>
      </c>
      <c r="E5303">
        <v>0.58519030000000005</v>
      </c>
      <c r="F5303" t="s">
        <v>42</v>
      </c>
      <c r="G5303">
        <v>-344.09300000000002</v>
      </c>
      <c r="H5303">
        <v>0.9318149</v>
      </c>
      <c r="I5303">
        <v>141.74879999999999</v>
      </c>
      <c r="J5303">
        <v>-343.60140000000001</v>
      </c>
      <c r="K5303">
        <v>1.1206969999999901</v>
      </c>
      <c r="L5303">
        <v>141.5993</v>
      </c>
      <c r="M5303">
        <v>-0.99992300000000001</v>
      </c>
      <c r="N5303">
        <v>-1.2204889999999999E-2</v>
      </c>
      <c r="O5303">
        <v>-2.2625670000000001E-3</v>
      </c>
      <c r="P5303">
        <v>-0.99571600000000005</v>
      </c>
      <c r="Q5303">
        <v>-9.1841569999999997E-2</v>
      </c>
      <c r="R5303">
        <v>-1.0714649999999999E-2</v>
      </c>
      <c r="S5303">
        <v>-2.9445190000000001</v>
      </c>
      <c r="T5303">
        <v>-0.81478240000000002</v>
      </c>
      <c r="U5303">
        <v>0.64118960000000003</v>
      </c>
      <c r="V5303">
        <v>-8.4509330000000007E-3</v>
      </c>
      <c r="W5303">
        <v>-7.9683050000000005E-2</v>
      </c>
      <c r="X5303">
        <v>0.99678440000000001</v>
      </c>
      <c r="Y5303">
        <v>0.207117</v>
      </c>
      <c r="Z5303">
        <v>2.9701680000000001E-2</v>
      </c>
      <c r="AA5303">
        <v>0.97786519999999999</v>
      </c>
      <c r="AB5303">
        <v>31</v>
      </c>
      <c r="AC5303">
        <v>-0.49160000000000498</v>
      </c>
      <c r="AD5303">
        <v>-0.188882099999999</v>
      </c>
      <c r="AE5303">
        <v>0.149499999999989</v>
      </c>
      <c r="AF5303">
        <v>0.13268288384917801</v>
      </c>
      <c r="AG5303">
        <v>-0.188882099999999</v>
      </c>
      <c r="AH5303">
        <v>0.43278002021649198</v>
      </c>
      <c r="AI5303">
        <v>112.64927455348101</v>
      </c>
      <c r="AJ5303">
        <v>72.955364490865094</v>
      </c>
      <c r="AK5303">
        <v>0.490489287615471</v>
      </c>
      <c r="AL5303">
        <v>94.570347800320604</v>
      </c>
      <c r="AM5303">
        <v>90.485753180809894</v>
      </c>
      <c r="AN5303">
        <v>0.99999997340461599</v>
      </c>
    </row>
    <row r="5304" spans="1:40" x14ac:dyDescent="0.25">
      <c r="A5304" t="str">
        <f>"20190303154915229"</f>
        <v>20190303154915229</v>
      </c>
      <c r="B5304" t="str">
        <f>"1551599355225703"</f>
        <v>1551599355225703</v>
      </c>
      <c r="C5304" t="s">
        <v>40</v>
      </c>
      <c r="D5304">
        <v>5.3499230000000004</v>
      </c>
      <c r="E5304">
        <v>0.58498859999999997</v>
      </c>
      <c r="F5304" t="s">
        <v>42</v>
      </c>
      <c r="G5304">
        <v>-344.36090000000002</v>
      </c>
      <c r="H5304">
        <v>0.91059349999999994</v>
      </c>
      <c r="I5304">
        <v>141.76439999999999</v>
      </c>
      <c r="J5304">
        <v>-343.81970000000001</v>
      </c>
      <c r="K5304">
        <v>1.12073</v>
      </c>
      <c r="L5304">
        <v>141.59870000000001</v>
      </c>
      <c r="M5304">
        <v>-0.99991920000000001</v>
      </c>
      <c r="N5304">
        <v>-1.2504120000000001E-2</v>
      </c>
      <c r="O5304">
        <v>-2.3202240000000001E-3</v>
      </c>
      <c r="P5304">
        <v>-0.99579459999999997</v>
      </c>
      <c r="Q5304">
        <v>-9.0980560000000002E-2</v>
      </c>
      <c r="R5304">
        <v>-1.0772550000000001E-2</v>
      </c>
      <c r="S5304">
        <v>-2.9446409999999998</v>
      </c>
      <c r="T5304">
        <v>-0.81463799999999997</v>
      </c>
      <c r="U5304">
        <v>0.64001459999999999</v>
      </c>
      <c r="V5304">
        <v>-8.4512379999999998E-3</v>
      </c>
      <c r="W5304">
        <v>-7.8522819999999993E-2</v>
      </c>
      <c r="X5304">
        <v>0.99687650000000005</v>
      </c>
      <c r="Y5304">
        <v>0.20679649999999999</v>
      </c>
      <c r="Z5304">
        <v>2.969774E-2</v>
      </c>
      <c r="AA5304">
        <v>0.97793319999999995</v>
      </c>
      <c r="AB5304">
        <v>31</v>
      </c>
      <c r="AC5304">
        <v>-0.54120000000000301</v>
      </c>
      <c r="AD5304">
        <v>-0.2101365</v>
      </c>
      <c r="AE5304">
        <v>0.165699999999986</v>
      </c>
      <c r="AF5304">
        <v>0.146730178071656</v>
      </c>
      <c r="AG5304">
        <v>-0.2101365</v>
      </c>
      <c r="AH5304">
        <v>0.47529916649946302</v>
      </c>
      <c r="AI5304">
        <v>112.901251697894</v>
      </c>
      <c r="AJ5304">
        <v>72.843956791313602</v>
      </c>
      <c r="AK5304">
        <v>0.53999665875288005</v>
      </c>
      <c r="AL5304">
        <v>94.503662401894701</v>
      </c>
      <c r="AM5304">
        <v>90.485725833623306</v>
      </c>
      <c r="AN5304">
        <v>1.0000000064683601</v>
      </c>
    </row>
    <row r="5305" spans="1:40" x14ac:dyDescent="0.25">
      <c r="A5305" t="str">
        <f>"20190303154915248"</f>
        <v>20190303154915248</v>
      </c>
      <c r="B5305" t="str">
        <f>"1551599355236440"</f>
        <v>1551599355236440</v>
      </c>
      <c r="C5305" t="s">
        <v>40</v>
      </c>
      <c r="D5305">
        <v>5.3670799999999996</v>
      </c>
      <c r="E5305">
        <v>0.58491930000000003</v>
      </c>
      <c r="F5305" t="s">
        <v>42</v>
      </c>
      <c r="G5305">
        <v>-344.63139999999999</v>
      </c>
      <c r="H5305">
        <v>0.89736249999999995</v>
      </c>
      <c r="I5305">
        <v>141.7749</v>
      </c>
      <c r="J5305">
        <v>-344.06029999999998</v>
      </c>
      <c r="K5305">
        <v>1.120757</v>
      </c>
      <c r="L5305">
        <v>141.59809999999999</v>
      </c>
      <c r="M5305">
        <v>-0.9999152</v>
      </c>
      <c r="N5305">
        <v>-1.2810179999999999E-2</v>
      </c>
      <c r="O5305">
        <v>-2.3834519999999999E-3</v>
      </c>
      <c r="P5305">
        <v>-0.99579629999999997</v>
      </c>
      <c r="Q5305">
        <v>-9.0978100000000006E-2</v>
      </c>
      <c r="R5305">
        <v>-1.061904E-2</v>
      </c>
      <c r="S5305">
        <v>-2.9455260000000001</v>
      </c>
      <c r="T5305">
        <v>-0.81057239999999997</v>
      </c>
      <c r="U5305">
        <v>0.63851930000000001</v>
      </c>
      <c r="V5305">
        <v>-8.2346769999999993E-3</v>
      </c>
      <c r="W5305">
        <v>-7.8215170000000001E-2</v>
      </c>
      <c r="X5305">
        <v>0.99690250000000002</v>
      </c>
      <c r="Y5305">
        <v>0.2064057</v>
      </c>
      <c r="Z5305">
        <v>2.9547319999999998E-2</v>
      </c>
      <c r="AA5305">
        <v>0.97802029999999995</v>
      </c>
      <c r="AB5305">
        <v>31</v>
      </c>
      <c r="AC5305">
        <v>-0.57110000000000105</v>
      </c>
      <c r="AD5305">
        <v>-0.2233945</v>
      </c>
      <c r="AE5305">
        <v>0.176800000000014</v>
      </c>
      <c r="AF5305">
        <v>0.156332348037794</v>
      </c>
      <c r="AG5305">
        <v>-0.2233945</v>
      </c>
      <c r="AH5305">
        <v>0.50075700151140401</v>
      </c>
      <c r="AI5305">
        <v>113.066429328143</v>
      </c>
      <c r="AJ5305">
        <v>72.662051946813406</v>
      </c>
      <c r="AK5305">
        <v>0.57017758657803497</v>
      </c>
      <c r="AL5305">
        <v>94.485980965091201</v>
      </c>
      <c r="AM5305">
        <v>90.473267453239799</v>
      </c>
      <c r="AN5305">
        <v>1.00000000861483</v>
      </c>
    </row>
    <row r="5306" spans="1:40" x14ac:dyDescent="0.25">
      <c r="A5306" t="str">
        <f>"20190303154915265"</f>
        <v>20190303154915265</v>
      </c>
      <c r="B5306" t="str">
        <f>"1551599355255959"</f>
        <v>1551599355255959</v>
      </c>
      <c r="C5306" t="s">
        <v>40</v>
      </c>
      <c r="D5306">
        <v>5.3633620000000004</v>
      </c>
      <c r="E5306">
        <v>0.58480369999999904</v>
      </c>
      <c r="F5306" t="s">
        <v>42</v>
      </c>
      <c r="G5306">
        <v>-344.90309999999999</v>
      </c>
      <c r="H5306">
        <v>0.88886500000000002</v>
      </c>
      <c r="I5306">
        <v>141.7809</v>
      </c>
      <c r="J5306">
        <v>-344.30099999999999</v>
      </c>
      <c r="K5306">
        <v>1.1207769999999999</v>
      </c>
      <c r="L5306">
        <v>141.59739999999999</v>
      </c>
      <c r="M5306">
        <v>-0.99991140000000001</v>
      </c>
      <c r="N5306">
        <v>-1.309045E-2</v>
      </c>
      <c r="O5306">
        <v>-2.4469100000000001E-3</v>
      </c>
      <c r="P5306">
        <v>-0.99582490000000001</v>
      </c>
      <c r="Q5306">
        <v>-9.0675930000000002E-2</v>
      </c>
      <c r="R5306">
        <v>-1.0517439999999999E-2</v>
      </c>
      <c r="S5306">
        <v>-2.9454349999999998</v>
      </c>
      <c r="T5306">
        <v>-0.8104053</v>
      </c>
      <c r="U5306">
        <v>0.63838200000000001</v>
      </c>
      <c r="V5306">
        <v>-8.0696199999999996E-3</v>
      </c>
      <c r="W5306">
        <v>-7.7633190000000005E-2</v>
      </c>
      <c r="X5306">
        <v>0.99694930000000004</v>
      </c>
      <c r="Y5306">
        <v>0.20642240000000001</v>
      </c>
      <c r="Z5306">
        <v>2.9590310000000002E-2</v>
      </c>
      <c r="AA5306">
        <v>0.97801539999999998</v>
      </c>
      <c r="AB5306">
        <v>31</v>
      </c>
      <c r="AC5306">
        <v>-0.60210000000000696</v>
      </c>
      <c r="AD5306">
        <v>-0.23191200000000001</v>
      </c>
      <c r="AE5306">
        <v>0.18350000000000899</v>
      </c>
      <c r="AF5306">
        <v>0.16286425297270099</v>
      </c>
      <c r="AG5306">
        <v>-0.23191200000000001</v>
      </c>
      <c r="AH5306">
        <v>0.52973792399143804</v>
      </c>
      <c r="AI5306">
        <v>112.70717700458</v>
      </c>
      <c r="AJ5306">
        <v>72.910317229021103</v>
      </c>
      <c r="AK5306">
        <v>0.60077467386293404</v>
      </c>
      <c r="AL5306">
        <v>94.452534442711197</v>
      </c>
      <c r="AM5306">
        <v>90.463759863371905</v>
      </c>
      <c r="AN5306">
        <v>0.99999996886350395</v>
      </c>
    </row>
    <row r="5307" spans="1:40" x14ac:dyDescent="0.25">
      <c r="A5307" t="str">
        <f>"20190303154915286"</f>
        <v>20190303154915286</v>
      </c>
      <c r="B5307" t="str">
        <f>"1551599355276454"</f>
        <v>1551599355276454</v>
      </c>
      <c r="C5307" t="s">
        <v>40</v>
      </c>
      <c r="D5307">
        <v>5.5170409999999999</v>
      </c>
      <c r="E5307">
        <v>0.58484449999999999</v>
      </c>
      <c r="F5307" t="s">
        <v>42</v>
      </c>
      <c r="G5307">
        <v>-345.17450000000002</v>
      </c>
      <c r="H5307">
        <v>0.88065159999999998</v>
      </c>
      <c r="I5307">
        <v>141.7868</v>
      </c>
      <c r="J5307">
        <v>-344.5924</v>
      </c>
      <c r="K5307">
        <v>1.1207879999999999</v>
      </c>
      <c r="L5307">
        <v>141.5966</v>
      </c>
      <c r="M5307">
        <v>-0.99990710000000005</v>
      </c>
      <c r="N5307">
        <v>-1.339388E-2</v>
      </c>
      <c r="O5307">
        <v>-2.5242680000000001E-3</v>
      </c>
      <c r="P5307">
        <v>-0.99578599999999995</v>
      </c>
      <c r="Q5307">
        <v>-9.1094910000000001E-2</v>
      </c>
      <c r="R5307">
        <v>-1.0587259999999999E-2</v>
      </c>
      <c r="S5307">
        <v>-2.9456180000000001</v>
      </c>
      <c r="T5307">
        <v>-0.8097472</v>
      </c>
      <c r="U5307">
        <v>0.6372833</v>
      </c>
      <c r="V5307">
        <v>-8.0628920000000003E-3</v>
      </c>
      <c r="W5307">
        <v>-7.7750120000000006E-2</v>
      </c>
      <c r="X5307">
        <v>0.9969403</v>
      </c>
      <c r="Y5307">
        <v>0.20614850000000001</v>
      </c>
      <c r="Z5307">
        <v>2.9580240000000001E-2</v>
      </c>
      <c r="AA5307">
        <v>0.97807350000000004</v>
      </c>
      <c r="AB5307">
        <v>31</v>
      </c>
      <c r="AC5307">
        <v>-0.58210000000002504</v>
      </c>
      <c r="AD5307">
        <v>-0.240136399999999</v>
      </c>
      <c r="AE5307">
        <v>0.190200000000004</v>
      </c>
      <c r="AF5307">
        <v>0.166124315616445</v>
      </c>
      <c r="AG5307">
        <v>-0.240136399999999</v>
      </c>
      <c r="AH5307">
        <v>0.50410311130591101</v>
      </c>
      <c r="AI5307">
        <v>114.343417371961</v>
      </c>
      <c r="AJ5307">
        <v>71.760657934507506</v>
      </c>
      <c r="AK5307">
        <v>0.58256564065544703</v>
      </c>
      <c r="AL5307">
        <v>94.459254091901997</v>
      </c>
      <c r="AM5307">
        <v>90.463377406053198</v>
      </c>
      <c r="AN5307">
        <v>1.00000002657575</v>
      </c>
    </row>
    <row r="5308" spans="1:40" x14ac:dyDescent="0.25">
      <c r="A5308" t="str">
        <f>"20190303154915301"</f>
        <v>20190303154915301</v>
      </c>
      <c r="B5308" t="str">
        <f>"1551599355295975"</f>
        <v>1551599355295975</v>
      </c>
      <c r="C5308" t="s">
        <v>40</v>
      </c>
      <c r="D5308">
        <v>5.3483960000000002</v>
      </c>
      <c r="E5308">
        <v>0.58494880000000005</v>
      </c>
      <c r="F5308" t="s">
        <v>42</v>
      </c>
      <c r="G5308">
        <v>-345.4504</v>
      </c>
      <c r="H5308">
        <v>0.88546589999999903</v>
      </c>
      <c r="I5308">
        <v>141.7826</v>
      </c>
      <c r="J5308">
        <v>-344.8141</v>
      </c>
      <c r="K5308">
        <v>1.1207990000000001</v>
      </c>
      <c r="L5308">
        <v>141.596</v>
      </c>
      <c r="M5308">
        <v>-0.99990429999999997</v>
      </c>
      <c r="N5308">
        <v>-1.360309E-2</v>
      </c>
      <c r="O5308">
        <v>-2.584093E-3</v>
      </c>
      <c r="P5308">
        <v>-0.99574839999999998</v>
      </c>
      <c r="Q5308">
        <v>-9.1499200000000003E-2</v>
      </c>
      <c r="R5308">
        <v>-1.063357E-2</v>
      </c>
      <c r="S5308">
        <v>-2.9456180000000001</v>
      </c>
      <c r="T5308">
        <v>-0.80783549999999904</v>
      </c>
      <c r="U5308">
        <v>0.63783259999999997</v>
      </c>
      <c r="V5308">
        <v>-8.049456E-3</v>
      </c>
      <c r="W5308">
        <v>-7.7946280000000007E-2</v>
      </c>
      <c r="X5308">
        <v>0.99692510000000001</v>
      </c>
      <c r="Y5308">
        <v>0.20639969999999999</v>
      </c>
      <c r="Z5308">
        <v>2.958744E-2</v>
      </c>
      <c r="AA5308">
        <v>0.97802029999999995</v>
      </c>
      <c r="AB5308">
        <v>31</v>
      </c>
      <c r="AC5308">
        <v>-0.63630000000000497</v>
      </c>
      <c r="AD5308">
        <v>-0.23533309999999999</v>
      </c>
      <c r="AE5308">
        <v>0.18659999999999799</v>
      </c>
      <c r="AF5308">
        <v>0.167186023331728</v>
      </c>
      <c r="AG5308">
        <v>-0.23533309999999999</v>
      </c>
      <c r="AH5308">
        <v>0.564690552901567</v>
      </c>
      <c r="AI5308">
        <v>111.781710745095</v>
      </c>
      <c r="AJ5308">
        <v>73.507736806912106</v>
      </c>
      <c r="AK5308">
        <v>0.63419890798499901</v>
      </c>
      <c r="AL5308">
        <v>94.470527403138803</v>
      </c>
      <c r="AM5308">
        <v>90.462612320696707</v>
      </c>
      <c r="AN5308">
        <v>1.0000000356588701</v>
      </c>
    </row>
    <row r="5309" spans="1:40" x14ac:dyDescent="0.25">
      <c r="A5309" t="str">
        <f>"20190303154915315"</f>
        <v>20190303154915315</v>
      </c>
      <c r="B5309" t="str">
        <f>"1551599355305735"</f>
        <v>1551599355305735</v>
      </c>
      <c r="C5309" t="s">
        <v>40</v>
      </c>
      <c r="D5309">
        <v>5.3194800000000004</v>
      </c>
      <c r="E5309">
        <v>0.58499669999999904</v>
      </c>
      <c r="F5309" t="s">
        <v>42</v>
      </c>
      <c r="G5309">
        <v>-345.7192</v>
      </c>
      <c r="H5309">
        <v>0.87346509999999999</v>
      </c>
      <c r="I5309">
        <v>141.79259999999999</v>
      </c>
      <c r="J5309">
        <v>-345.00490000000002</v>
      </c>
      <c r="K5309">
        <v>1.1208</v>
      </c>
      <c r="L5309">
        <v>141.59549999999999</v>
      </c>
      <c r="M5309">
        <v>-0.99990179999999995</v>
      </c>
      <c r="N5309">
        <v>-1.376457E-2</v>
      </c>
      <c r="O5309">
        <v>-2.6355020000000001E-3</v>
      </c>
      <c r="P5309">
        <v>-0.99575720000000001</v>
      </c>
      <c r="Q5309">
        <v>-9.1368679999999994E-2</v>
      </c>
      <c r="R5309">
        <v>-1.093359E-2</v>
      </c>
      <c r="S5309">
        <v>-2.9456790000000002</v>
      </c>
      <c r="T5309">
        <v>-0.80492589999999997</v>
      </c>
      <c r="U5309">
        <v>0.63862609999999997</v>
      </c>
      <c r="V5309">
        <v>-8.2987389999999994E-3</v>
      </c>
      <c r="W5309">
        <v>-7.7654630000000002E-2</v>
      </c>
      <c r="X5309">
        <v>0.99694579999999999</v>
      </c>
      <c r="Y5309">
        <v>0.20673330000000001</v>
      </c>
      <c r="Z5309">
        <v>2.956435E-2</v>
      </c>
      <c r="AA5309">
        <v>0.9779506</v>
      </c>
      <c r="AB5309">
        <v>31</v>
      </c>
      <c r="AC5309">
        <v>-0.71429999999997995</v>
      </c>
      <c r="AD5309">
        <v>-0.2473349</v>
      </c>
      <c r="AE5309">
        <v>0.19710000000000599</v>
      </c>
      <c r="AF5309">
        <v>0.17903498210492999</v>
      </c>
      <c r="AG5309">
        <v>-0.2473349</v>
      </c>
      <c r="AH5309">
        <v>0.64222498810530904</v>
      </c>
      <c r="AI5309">
        <v>110.353668669668</v>
      </c>
      <c r="AJ5309">
        <v>74.422965613755906</v>
      </c>
      <c r="AK5309">
        <v>0.711112517765077</v>
      </c>
      <c r="AL5309">
        <v>94.453766358447197</v>
      </c>
      <c r="AM5309">
        <v>90.476928372740403</v>
      </c>
      <c r="AN5309">
        <v>1.0000000193835299</v>
      </c>
    </row>
    <row r="5310" spans="1:40" x14ac:dyDescent="0.25">
      <c r="A5310" t="str">
        <f>"20190303154915331"</f>
        <v>20190303154915331</v>
      </c>
      <c r="B5310" t="str">
        <f>"1551599355325962"</f>
        <v>1551599355325962</v>
      </c>
      <c r="C5310" t="s">
        <v>40</v>
      </c>
      <c r="D5310">
        <v>5.2912080000000001</v>
      </c>
      <c r="E5310">
        <v>0.58502390000000004</v>
      </c>
      <c r="F5310" t="s">
        <v>42</v>
      </c>
      <c r="G5310">
        <v>-345.73770000000002</v>
      </c>
      <c r="H5310">
        <v>0.92108040000000002</v>
      </c>
      <c r="I5310">
        <v>141.75450000000001</v>
      </c>
      <c r="J5310">
        <v>-345.21190000000001</v>
      </c>
      <c r="K5310">
        <v>1.120808</v>
      </c>
      <c r="L5310">
        <v>141.5949</v>
      </c>
      <c r="M5310">
        <v>-0.9998996</v>
      </c>
      <c r="N5310">
        <v>-1.392527E-2</v>
      </c>
      <c r="O5310">
        <v>-2.6912110000000002E-3</v>
      </c>
      <c r="P5310">
        <v>-0.99575239999999998</v>
      </c>
      <c r="Q5310">
        <v>-9.1382290000000005E-2</v>
      </c>
      <c r="R5310">
        <v>-1.125311E-2</v>
      </c>
      <c r="S5310">
        <v>-2.9461360000000001</v>
      </c>
      <c r="T5310">
        <v>-0.80293819999999905</v>
      </c>
      <c r="U5310">
        <v>0.63821410000000001</v>
      </c>
      <c r="V5310">
        <v>-8.562676E-3</v>
      </c>
      <c r="W5310">
        <v>-7.7508099999999996E-2</v>
      </c>
      <c r="X5310">
        <v>0.99695500000000004</v>
      </c>
      <c r="Y5310">
        <v>0.2066606</v>
      </c>
      <c r="Z5310">
        <v>2.9513930000000001E-2</v>
      </c>
      <c r="AA5310">
        <v>0.97796740000000004</v>
      </c>
      <c r="AB5310">
        <v>31</v>
      </c>
      <c r="AC5310">
        <v>-0.52580000000000304</v>
      </c>
      <c r="AD5310">
        <v>-0.19972760000000001</v>
      </c>
      <c r="AE5310">
        <v>0.15960000000001101</v>
      </c>
      <c r="AF5310">
        <v>0.142224344857835</v>
      </c>
      <c r="AG5310">
        <v>-0.19972760000000001</v>
      </c>
      <c r="AH5310">
        <v>0.46405852041444401</v>
      </c>
      <c r="AI5310">
        <v>112.367203610386</v>
      </c>
      <c r="AJ5310">
        <v>72.960780429594294</v>
      </c>
      <c r="AK5310">
        <v>0.52485158744281601</v>
      </c>
      <c r="AL5310">
        <v>94.445345297829107</v>
      </c>
      <c r="AM5310">
        <v>90.492091551795099</v>
      </c>
      <c r="AN5310">
        <v>1.0000000485054401</v>
      </c>
    </row>
    <row r="5311" spans="1:40" x14ac:dyDescent="0.25">
      <c r="A5311" t="str">
        <f>"20190303154915346"</f>
        <v>20190303154915346</v>
      </c>
      <c r="B5311" t="str">
        <f>"1551599355336632"</f>
        <v>1551599355336632</v>
      </c>
      <c r="C5311" t="s">
        <v>40</v>
      </c>
      <c r="D5311">
        <v>5.2772920000000001</v>
      </c>
      <c r="E5311">
        <v>0.58506230000000004</v>
      </c>
      <c r="F5311" t="s">
        <v>42</v>
      </c>
      <c r="G5311">
        <v>-346.00470000000001</v>
      </c>
      <c r="H5311">
        <v>0.90546070000000001</v>
      </c>
      <c r="I5311">
        <v>141.7664</v>
      </c>
      <c r="J5311">
        <v>-345.4128</v>
      </c>
      <c r="K5311">
        <v>1.1208129999999901</v>
      </c>
      <c r="L5311">
        <v>141.5943</v>
      </c>
      <c r="M5311">
        <v>-0.99989729999999999</v>
      </c>
      <c r="N5311">
        <v>-1.4068829999999999E-2</v>
      </c>
      <c r="O5311">
        <v>-2.7451440000000001E-3</v>
      </c>
      <c r="P5311">
        <v>-0.99570080000000005</v>
      </c>
      <c r="Q5311">
        <v>-9.1922130000000005E-2</v>
      </c>
      <c r="R5311">
        <v>-1.141644E-2</v>
      </c>
      <c r="S5311">
        <v>-2.9465330000000001</v>
      </c>
      <c r="T5311">
        <v>-0.80035970000000001</v>
      </c>
      <c r="U5311">
        <v>0.63742069999999995</v>
      </c>
      <c r="V5311">
        <v>-8.6722190000000001E-3</v>
      </c>
      <c r="W5311">
        <v>-7.7905479999999999E-2</v>
      </c>
      <c r="X5311">
        <v>0.996923</v>
      </c>
      <c r="Y5311">
        <v>0.206484</v>
      </c>
      <c r="Z5311">
        <v>2.9427660000000001E-2</v>
      </c>
      <c r="AA5311">
        <v>0.97800739999999997</v>
      </c>
      <c r="AB5311">
        <v>31</v>
      </c>
      <c r="AC5311">
        <v>-0.59190000000000897</v>
      </c>
      <c r="AD5311">
        <v>-0.215352299999999</v>
      </c>
      <c r="AE5311">
        <v>0.1721</v>
      </c>
      <c r="AF5311">
        <v>0.15482692048788099</v>
      </c>
      <c r="AG5311">
        <v>-0.215352299999999</v>
      </c>
      <c r="AH5311">
        <v>0.52709104110398597</v>
      </c>
      <c r="AI5311">
        <v>111.405469128596</v>
      </c>
      <c r="AJ5311">
        <v>73.630456793326303</v>
      </c>
      <c r="AK5311">
        <v>0.59006182221453296</v>
      </c>
      <c r="AL5311">
        <v>94.468182901181905</v>
      </c>
      <c r="AM5311">
        <v>90.498402599682606</v>
      </c>
      <c r="AN5311">
        <v>0.99999996956270598</v>
      </c>
    </row>
    <row r="5312" spans="1:40" x14ac:dyDescent="0.25">
      <c r="A5312" t="str">
        <f>"20190303154915363"</f>
        <v>20190303154915363</v>
      </c>
      <c r="B5312" t="str">
        <f>"1551599355356539"</f>
        <v>1551599355356539</v>
      </c>
      <c r="C5312" t="s">
        <v>40</v>
      </c>
      <c r="D5312">
        <v>5.2208899999999998</v>
      </c>
      <c r="E5312">
        <v>0.58516060000000003</v>
      </c>
      <c r="F5312" t="s">
        <v>42</v>
      </c>
      <c r="G5312">
        <v>-346.27030000000002</v>
      </c>
      <c r="H5312">
        <v>0.88780360000000003</v>
      </c>
      <c r="I5312">
        <v>141.7801</v>
      </c>
      <c r="J5312">
        <v>-345.65050000000002</v>
      </c>
      <c r="K5312">
        <v>1.120814</v>
      </c>
      <c r="L5312">
        <v>141.59360000000001</v>
      </c>
      <c r="M5312">
        <v>-0.99989499999999998</v>
      </c>
      <c r="N5312">
        <v>-1.422208E-2</v>
      </c>
      <c r="O5312">
        <v>-2.8089320000000001E-3</v>
      </c>
      <c r="P5312">
        <v>-0.99570049999999999</v>
      </c>
      <c r="Q5312">
        <v>-9.1875310000000002E-2</v>
      </c>
      <c r="R5312">
        <v>-1.1826100000000001E-2</v>
      </c>
      <c r="S5312">
        <v>-2.9463499999999998</v>
      </c>
      <c r="T5312">
        <v>-0.80065159999999902</v>
      </c>
      <c r="U5312">
        <v>0.63708500000000001</v>
      </c>
      <c r="V5312">
        <v>-9.0184289999999997E-3</v>
      </c>
      <c r="W5312">
        <v>-7.7705860000000002E-2</v>
      </c>
      <c r="X5312">
        <v>0.99693549999999997</v>
      </c>
      <c r="Y5312">
        <v>0.20644129999999999</v>
      </c>
      <c r="Z5312">
        <v>2.9465379999999999E-2</v>
      </c>
      <c r="AA5312">
        <v>0.97801519999999997</v>
      </c>
      <c r="AB5312">
        <v>31</v>
      </c>
      <c r="AC5312">
        <v>-0.61979999999999702</v>
      </c>
      <c r="AD5312">
        <v>-0.23301039999999901</v>
      </c>
      <c r="AE5312">
        <v>0.186499999999995</v>
      </c>
      <c r="AF5312">
        <v>0.166643441050042</v>
      </c>
      <c r="AG5312">
        <v>-0.23301039999999901</v>
      </c>
      <c r="AH5312">
        <v>0.54822387096169201</v>
      </c>
      <c r="AI5312">
        <v>112.129403819879</v>
      </c>
      <c r="AJ5312">
        <v>73.092317832183099</v>
      </c>
      <c r="AK5312">
        <v>0.61855743116171602</v>
      </c>
      <c r="AL5312">
        <v>94.456710773949496</v>
      </c>
      <c r="AM5312">
        <v>90.518292131634993</v>
      </c>
      <c r="AN5312">
        <v>0.99999996195010799</v>
      </c>
    </row>
    <row r="5313" spans="1:40" x14ac:dyDescent="0.25">
      <c r="A5313" t="str">
        <f>"20190303154915378"</f>
        <v>20190303154915378</v>
      </c>
      <c r="B5313" t="str">
        <f>"1551599355366299"</f>
        <v>1551599355366299</v>
      </c>
      <c r="C5313" t="s">
        <v>40</v>
      </c>
      <c r="D5313">
        <v>5.2253590000000001</v>
      </c>
      <c r="E5313">
        <v>0.5851575</v>
      </c>
      <c r="F5313" t="s">
        <v>42</v>
      </c>
      <c r="G5313">
        <v>-346.53919999999999</v>
      </c>
      <c r="H5313">
        <v>0.88006569999999995</v>
      </c>
      <c r="I5313">
        <v>141.78559999999999</v>
      </c>
      <c r="J5313">
        <v>-345.84890000000001</v>
      </c>
      <c r="K5313">
        <v>1.1208199999999999</v>
      </c>
      <c r="L5313">
        <v>141.59289999999999</v>
      </c>
      <c r="M5313">
        <v>-0.99989320000000004</v>
      </c>
      <c r="N5313">
        <v>-1.4336649999999999E-2</v>
      </c>
      <c r="O5313">
        <v>-2.8619650000000002E-3</v>
      </c>
      <c r="P5313">
        <v>-0.99567430000000001</v>
      </c>
      <c r="Q5313">
        <v>-9.2145740000000004E-2</v>
      </c>
      <c r="R5313">
        <v>-1.1925979999999999E-2</v>
      </c>
      <c r="S5313">
        <v>-2.9468380000000001</v>
      </c>
      <c r="T5313">
        <v>-0.79825459999999904</v>
      </c>
      <c r="U5313">
        <v>0.63629150000000001</v>
      </c>
      <c r="V5313">
        <v>-9.0653810000000008E-3</v>
      </c>
      <c r="W5313">
        <v>-7.7862429999999996E-2</v>
      </c>
      <c r="X5313">
        <v>0.99692289999999995</v>
      </c>
      <c r="Y5313">
        <v>0.20625569999999999</v>
      </c>
      <c r="Z5313">
        <v>2.9379880000000001E-2</v>
      </c>
      <c r="AA5313">
        <v>0.97805699999999995</v>
      </c>
      <c r="AB5313">
        <v>30</v>
      </c>
      <c r="AC5313">
        <v>-0.69029999999997904</v>
      </c>
      <c r="AD5313">
        <v>-0.2407543</v>
      </c>
      <c r="AE5313">
        <v>0.19270000000000201</v>
      </c>
      <c r="AF5313">
        <v>0.174934510980329</v>
      </c>
      <c r="AG5313">
        <v>-0.2407543</v>
      </c>
      <c r="AH5313">
        <v>0.61980374730037602</v>
      </c>
      <c r="AI5313">
        <v>110.49734275087199</v>
      </c>
      <c r="AJ5313">
        <v>74.238716587882905</v>
      </c>
      <c r="AK5313">
        <v>0.687547381107662</v>
      </c>
      <c r="AL5313">
        <v>94.465708649164796</v>
      </c>
      <c r="AM5313">
        <v>90.520996914809402</v>
      </c>
      <c r="AN5313">
        <v>1.00000000384129</v>
      </c>
    </row>
    <row r="5314" spans="1:40" x14ac:dyDescent="0.25">
      <c r="A5314" t="str">
        <f>"20190303154915397"</f>
        <v>20190303154915397</v>
      </c>
      <c r="B5314" t="str">
        <f>"1551599355386795"</f>
        <v>1551599355386795</v>
      </c>
      <c r="C5314" t="s">
        <v>40</v>
      </c>
      <c r="D5314">
        <v>5.1965170000000001</v>
      </c>
      <c r="E5314">
        <v>0.58518359999999903</v>
      </c>
      <c r="F5314" t="s">
        <v>42</v>
      </c>
      <c r="G5314">
        <v>-346.55810000000002</v>
      </c>
      <c r="H5314">
        <v>0.92867460000000002</v>
      </c>
      <c r="I5314">
        <v>141.74610000000001</v>
      </c>
      <c r="J5314">
        <v>-346.10500000000002</v>
      </c>
      <c r="K5314">
        <v>1.120824</v>
      </c>
      <c r="L5314">
        <v>141.59209999999999</v>
      </c>
      <c r="M5314">
        <v>-0.99989110000000003</v>
      </c>
      <c r="N5314">
        <v>-1.4468699999999999E-2</v>
      </c>
      <c r="O5314">
        <v>-2.9307420000000001E-3</v>
      </c>
      <c r="P5314">
        <v>-0.99570040000000004</v>
      </c>
      <c r="Q5314">
        <v>-9.1848940000000004E-2</v>
      </c>
      <c r="R5314">
        <v>-1.2030229999999999E-2</v>
      </c>
      <c r="S5314">
        <v>-2.946777</v>
      </c>
      <c r="T5314">
        <v>-0.79834119999999997</v>
      </c>
      <c r="U5314">
        <v>0.63590999999999998</v>
      </c>
      <c r="V5314">
        <v>-9.1013380000000005E-3</v>
      </c>
      <c r="W5314">
        <v>-7.7433589999999997E-2</v>
      </c>
      <c r="X5314">
        <v>0.99695599999999995</v>
      </c>
      <c r="Y5314">
        <v>0.2062002</v>
      </c>
      <c r="Z5314">
        <v>2.940678E-2</v>
      </c>
      <c r="AA5314">
        <v>0.97806780000000004</v>
      </c>
      <c r="AB5314">
        <v>30</v>
      </c>
      <c r="AC5314">
        <v>-0.453100000000006</v>
      </c>
      <c r="AD5314">
        <v>-0.1921494</v>
      </c>
      <c r="AE5314">
        <v>0.15400000000002401</v>
      </c>
      <c r="AF5314">
        <v>0.133762500996121</v>
      </c>
      <c r="AG5314">
        <v>-0.1921494</v>
      </c>
      <c r="AH5314">
        <v>0.38980342337471502</v>
      </c>
      <c r="AI5314">
        <v>114.997353514788</v>
      </c>
      <c r="AJ5314">
        <v>71.060150924377396</v>
      </c>
      <c r="AK5314">
        <v>0.45470925597324802</v>
      </c>
      <c r="AL5314">
        <v>94.441063400317901</v>
      </c>
      <c r="AM5314">
        <v>90.523045921275596</v>
      </c>
      <c r="AN5314">
        <v>1.00000003057483</v>
      </c>
    </row>
    <row r="5315" spans="1:40" x14ac:dyDescent="0.25">
      <c r="A5315" t="str">
        <f>"20190303154915412"</f>
        <v>20190303154915412</v>
      </c>
      <c r="B5315" t="str">
        <f>"1551599355406316"</f>
        <v>1551599355406316</v>
      </c>
      <c r="C5315" t="s">
        <v>40</v>
      </c>
      <c r="D5315">
        <v>5.0360079999999998</v>
      </c>
      <c r="E5315">
        <v>0.58517969999999997</v>
      </c>
      <c r="F5315" t="s">
        <v>42</v>
      </c>
      <c r="G5315">
        <v>-346.82819999999998</v>
      </c>
      <c r="H5315">
        <v>0.92529859999999997</v>
      </c>
      <c r="I5315">
        <v>141.7482</v>
      </c>
      <c r="J5315">
        <v>-346.3116</v>
      </c>
      <c r="K5315">
        <v>1.1208279999999999</v>
      </c>
      <c r="L5315">
        <v>141.5915</v>
      </c>
      <c r="M5315">
        <v>-0.99988960000000005</v>
      </c>
      <c r="N5315">
        <v>-1.456325E-2</v>
      </c>
      <c r="O5315">
        <v>-2.9861419999999998E-3</v>
      </c>
      <c r="P5315">
        <v>-0.99568789999999996</v>
      </c>
      <c r="Q5315">
        <v>-9.1972100000000001E-2</v>
      </c>
      <c r="R5315">
        <v>-1.21227E-2</v>
      </c>
      <c r="S5315">
        <v>-2.9471440000000002</v>
      </c>
      <c r="T5315">
        <v>-0.7968305</v>
      </c>
      <c r="U5315">
        <v>0.63551329999999995</v>
      </c>
      <c r="V5315">
        <v>-9.1388719999999993E-3</v>
      </c>
      <c r="W5315">
        <v>-7.7462660000000003E-2</v>
      </c>
      <c r="X5315">
        <v>0.99695339999999999</v>
      </c>
      <c r="Y5315">
        <v>0.2061308</v>
      </c>
      <c r="Z5315">
        <v>2.9366610000000001E-2</v>
      </c>
      <c r="AA5315">
        <v>0.9780837</v>
      </c>
      <c r="AB5315">
        <v>30</v>
      </c>
      <c r="AC5315">
        <v>-0.51659999999998196</v>
      </c>
      <c r="AD5315">
        <v>-0.19552939999999999</v>
      </c>
      <c r="AE5315">
        <v>0.15670000000000001</v>
      </c>
      <c r="AF5315">
        <v>0.139890374351479</v>
      </c>
      <c r="AG5315">
        <v>-0.19552939999999999</v>
      </c>
      <c r="AH5315">
        <v>0.456272868831402</v>
      </c>
      <c r="AI5315">
        <v>112.27950772992899</v>
      </c>
      <c r="AJ5315">
        <v>72.954791874457101</v>
      </c>
      <c r="AK5315">
        <v>0.51573829985002495</v>
      </c>
      <c r="AL5315">
        <v>94.442733999098095</v>
      </c>
      <c r="AM5315">
        <v>90.525204216415503</v>
      </c>
      <c r="AN5315">
        <v>1.00000003222363</v>
      </c>
    </row>
    <row r="5316" spans="1:40" x14ac:dyDescent="0.25">
      <c r="A5316" t="str">
        <f>"20190303154915430"</f>
        <v>20190303154915430</v>
      </c>
      <c r="B5316" t="str">
        <f>"1551599355425835"</f>
        <v>1551599355425835</v>
      </c>
      <c r="C5316" t="s">
        <v>40</v>
      </c>
      <c r="D5316">
        <v>5.1750819999999997</v>
      </c>
      <c r="E5316">
        <v>0.58449110000000004</v>
      </c>
      <c r="F5316" t="s">
        <v>42</v>
      </c>
      <c r="G5316">
        <v>-347.09309999999999</v>
      </c>
      <c r="H5316">
        <v>0.90980570000000005</v>
      </c>
      <c r="I5316">
        <v>141.75989999999999</v>
      </c>
      <c r="J5316">
        <v>-346.5598</v>
      </c>
      <c r="K5316">
        <v>1.1208389999999999</v>
      </c>
      <c r="L5316">
        <v>141.5907</v>
      </c>
      <c r="M5316">
        <v>-0.99988790000000005</v>
      </c>
      <c r="N5316">
        <v>-1.466537E-2</v>
      </c>
      <c r="O5316">
        <v>-3.0529250000000002E-3</v>
      </c>
      <c r="P5316">
        <v>-0.995703</v>
      </c>
      <c r="Q5316">
        <v>-9.1838900000000001E-2</v>
      </c>
      <c r="R5316">
        <v>-1.1897970000000001E-2</v>
      </c>
      <c r="S5316">
        <v>-2.947235</v>
      </c>
      <c r="T5316">
        <v>-0.79584569999999999</v>
      </c>
      <c r="U5316">
        <v>0.63511660000000003</v>
      </c>
      <c r="V5316">
        <v>-8.8476219999999994E-3</v>
      </c>
      <c r="W5316">
        <v>-7.7227370000000004E-2</v>
      </c>
      <c r="X5316">
        <v>0.99697420000000003</v>
      </c>
      <c r="Y5316">
        <v>0.20607909999999999</v>
      </c>
      <c r="Z5316">
        <v>2.935275E-2</v>
      </c>
      <c r="AA5316">
        <v>0.97809500000000005</v>
      </c>
      <c r="AB5316">
        <v>30</v>
      </c>
      <c r="AC5316">
        <v>-0.533299999999997</v>
      </c>
      <c r="AD5316">
        <v>-0.21103330000000001</v>
      </c>
      <c r="AE5316">
        <v>0.169199999999989</v>
      </c>
      <c r="AF5316">
        <v>0.14955123683965199</v>
      </c>
      <c r="AG5316">
        <v>-0.21103330000000001</v>
      </c>
      <c r="AH5316">
        <v>0.46642395347744597</v>
      </c>
      <c r="AI5316">
        <v>113.30852983535</v>
      </c>
      <c r="AJ5316">
        <v>72.222398844089696</v>
      </c>
      <c r="AK5316">
        <v>0.53334035148926295</v>
      </c>
      <c r="AL5316">
        <v>94.429212729217397</v>
      </c>
      <c r="AM5316">
        <v>90.508456579862198</v>
      </c>
      <c r="AN5316">
        <v>0.99999995127890395</v>
      </c>
    </row>
    <row r="5317" spans="1:40" x14ac:dyDescent="0.25">
      <c r="A5317" t="str">
        <f>"20190303154915447"</f>
        <v>20190303154915447</v>
      </c>
      <c r="B5317" t="str">
        <f>"1551599355436571"</f>
        <v>1551599355436571</v>
      </c>
      <c r="C5317" t="s">
        <v>40</v>
      </c>
      <c r="D5317">
        <v>5.4310460000000003</v>
      </c>
      <c r="E5317">
        <v>0.58449110000000004</v>
      </c>
      <c r="F5317" t="s">
        <v>42</v>
      </c>
      <c r="G5317">
        <v>-347.3612</v>
      </c>
      <c r="H5317">
        <v>0.90397209999999995</v>
      </c>
      <c r="I5317">
        <v>141.76230000000001</v>
      </c>
      <c r="J5317">
        <v>-346.77179999999998</v>
      </c>
      <c r="K5317">
        <v>1.1208450000000001</v>
      </c>
      <c r="L5317">
        <v>141.59</v>
      </c>
      <c r="M5317">
        <v>-0.99988659999999996</v>
      </c>
      <c r="N5317">
        <v>-1.4743300000000001E-2</v>
      </c>
      <c r="O5317">
        <v>-3.1099970000000002E-3</v>
      </c>
      <c r="P5317">
        <v>-0.99572240000000001</v>
      </c>
      <c r="Q5317">
        <v>-9.1670749999999995E-2</v>
      </c>
      <c r="R5317">
        <v>-1.1573450000000001E-2</v>
      </c>
      <c r="S5317">
        <v>-2.9469599999999998</v>
      </c>
      <c r="T5317">
        <v>-0.79753419999999997</v>
      </c>
      <c r="U5317">
        <v>0.63020319999999996</v>
      </c>
      <c r="V5317">
        <v>-8.4665179999999993E-3</v>
      </c>
      <c r="W5317">
        <v>-7.6981190000000005E-2</v>
      </c>
      <c r="X5317">
        <v>0.99699660000000001</v>
      </c>
      <c r="Y5317">
        <v>0.20460900000000001</v>
      </c>
      <c r="Z5317">
        <v>2.92345E-2</v>
      </c>
      <c r="AA5317">
        <v>0.97840709999999997</v>
      </c>
      <c r="AB5317">
        <v>30</v>
      </c>
      <c r="AC5317">
        <v>-0.58940000000001103</v>
      </c>
      <c r="AD5317">
        <v>-0.21687290000000001</v>
      </c>
      <c r="AE5317">
        <v>0.172300000000007</v>
      </c>
      <c r="AF5317">
        <v>0.15482125159392299</v>
      </c>
      <c r="AG5317">
        <v>-0.21687290000000001</v>
      </c>
      <c r="AH5317">
        <v>0.52355698926292604</v>
      </c>
      <c r="AI5317">
        <v>111.66426617034701</v>
      </c>
      <c r="AJ5317">
        <v>73.526503178458199</v>
      </c>
      <c r="AK5317">
        <v>0.58746522935879297</v>
      </c>
      <c r="AL5317">
        <v>94.415065309079097</v>
      </c>
      <c r="AM5317">
        <v>90.486545378661305</v>
      </c>
      <c r="AN5317">
        <v>1.0000000029762099</v>
      </c>
    </row>
    <row r="5318" spans="1:40" x14ac:dyDescent="0.25">
      <c r="A5318" t="str">
        <f>"20190303154915636"</f>
        <v>20190303154915636</v>
      </c>
      <c r="B5318" t="str">
        <f>"1551599355626330"</f>
        <v>1551599355626330</v>
      </c>
      <c r="C5318" t="s">
        <v>40</v>
      </c>
      <c r="D5318">
        <v>5.0720599999999996</v>
      </c>
      <c r="E5318">
        <v>0.49984600000000001</v>
      </c>
      <c r="F5318" t="s">
        <v>59</v>
      </c>
      <c r="G5318">
        <v>-411.43369999999999</v>
      </c>
      <c r="H5318" s="1">
        <v>-1.0812580000000001E-5</v>
      </c>
      <c r="I5318">
        <v>140.37090000000001</v>
      </c>
      <c r="J5318">
        <v>-349.31459999999998</v>
      </c>
      <c r="K5318">
        <v>1.1209150000000001</v>
      </c>
      <c r="L5318">
        <v>141.5805</v>
      </c>
      <c r="M5318">
        <v>-0.99987689999999996</v>
      </c>
      <c r="N5318">
        <v>-1.52207E-2</v>
      </c>
      <c r="O5318">
        <v>-3.7943289999999999E-3</v>
      </c>
      <c r="P5318">
        <v>-0.99586669999999999</v>
      </c>
      <c r="Q5318">
        <v>-9.0087120000000007E-2</v>
      </c>
      <c r="R5318">
        <v>-1.1575429999999999E-2</v>
      </c>
      <c r="S5318">
        <v>-3.0068359999999998</v>
      </c>
      <c r="T5318">
        <v>-5.407584E-2</v>
      </c>
      <c r="U5318">
        <v>-5.8395389999999998E-2</v>
      </c>
      <c r="V5318">
        <v>-7.786963E-3</v>
      </c>
      <c r="W5318">
        <v>-7.4919340000000001E-2</v>
      </c>
      <c r="X5318">
        <v>0.99715920000000002</v>
      </c>
      <c r="Y5318">
        <v>-1.5618379999999999E-2</v>
      </c>
      <c r="Z5318">
        <v>-2.488398E-4</v>
      </c>
      <c r="AA5318">
        <v>0.99987800000000004</v>
      </c>
      <c r="AB5318">
        <v>30</v>
      </c>
      <c r="AC5318">
        <v>-62.119100000000003</v>
      </c>
      <c r="AD5318">
        <v>-1.1209258125799999</v>
      </c>
      <c r="AE5318">
        <v>-1.20959999999999</v>
      </c>
      <c r="AF5318">
        <v>-0.97354678653538695</v>
      </c>
      <c r="AG5318">
        <v>-1.1209258125799999</v>
      </c>
      <c r="AH5318">
        <v>62.103028916878202</v>
      </c>
      <c r="AI5318">
        <v>91.033918294436404</v>
      </c>
      <c r="AJ5318">
        <v>90.898113254842897</v>
      </c>
      <c r="AK5318">
        <v>62.120773245939901</v>
      </c>
      <c r="AL5318">
        <v>94.296587757101307</v>
      </c>
      <c r="AM5318">
        <v>90.447422082747593</v>
      </c>
      <c r="AN5318">
        <v>1.0000000072217099</v>
      </c>
    </row>
    <row r="5319" spans="1:40" x14ac:dyDescent="0.25">
      <c r="A5319" t="str">
        <f>"20190303154915651"</f>
        <v>20190303154915651</v>
      </c>
      <c r="B5319" t="str">
        <f>"1551599355645851"</f>
        <v>1551599355645851</v>
      </c>
      <c r="C5319" t="s">
        <v>40</v>
      </c>
      <c r="D5319">
        <v>5.1042800000000002</v>
      </c>
      <c r="E5319">
        <v>0.50008430000000004</v>
      </c>
      <c r="F5319" t="s">
        <v>41</v>
      </c>
      <c r="G5319">
        <v>-392.18520000000001</v>
      </c>
      <c r="H5319" s="1">
        <v>-3.7327209999999998E-6</v>
      </c>
      <c r="I5319">
        <v>141.11150000000001</v>
      </c>
      <c r="J5319">
        <v>-349.51179999999999</v>
      </c>
      <c r="K5319">
        <v>1.120919</v>
      </c>
      <c r="L5319">
        <v>141.5797</v>
      </c>
      <c r="M5319">
        <v>-0.9998766</v>
      </c>
      <c r="N5319">
        <v>-1.5235800000000001E-2</v>
      </c>
      <c r="O5319">
        <v>-3.8476059999999999E-3</v>
      </c>
      <c r="P5319">
        <v>-0.99586379999999997</v>
      </c>
      <c r="Q5319">
        <v>-9.0100780000000005E-2</v>
      </c>
      <c r="R5319">
        <v>-1.1715349999999999E-2</v>
      </c>
      <c r="S5319">
        <v>-3.0049739999999998</v>
      </c>
      <c r="T5319">
        <v>-7.8569890000000003E-2</v>
      </c>
      <c r="U5319">
        <v>-3.2867430000000003E-2</v>
      </c>
      <c r="V5319">
        <v>-7.8735009999999998E-3</v>
      </c>
      <c r="W5319">
        <v>-7.4917949999999997E-2</v>
      </c>
      <c r="X5319">
        <v>0.99715860000000001</v>
      </c>
      <c r="Y5319">
        <v>-7.0855149999999997E-3</v>
      </c>
      <c r="Z5319">
        <v>-1.046469E-4</v>
      </c>
      <c r="AA5319">
        <v>0.9999749</v>
      </c>
      <c r="AB5319">
        <v>30</v>
      </c>
      <c r="AC5319">
        <v>-42.673400000000001</v>
      </c>
      <c r="AD5319">
        <v>-1.1209227327210001</v>
      </c>
      <c r="AE5319">
        <v>-0.46819999999999601</v>
      </c>
      <c r="AF5319">
        <v>-0.30377748051921299</v>
      </c>
      <c r="AG5319">
        <v>-1.1209227327210001</v>
      </c>
      <c r="AH5319">
        <v>42.6454647132473</v>
      </c>
      <c r="AI5319">
        <v>91.505616824070898</v>
      </c>
      <c r="AJ5319">
        <v>90.408129522829697</v>
      </c>
      <c r="AK5319">
        <v>42.661275287305102</v>
      </c>
      <c r="AL5319">
        <v>94.296507998356205</v>
      </c>
      <c r="AM5319">
        <v>90.452394436079302</v>
      </c>
      <c r="AN5319">
        <v>0.99999998240207899</v>
      </c>
    </row>
    <row r="5320" spans="1:40" x14ac:dyDescent="0.25">
      <c r="A5320" t="str">
        <f>"20190303154915670"</f>
        <v>20190303154915670</v>
      </c>
      <c r="B5320" t="str">
        <f>"1551599355666346"</f>
        <v>1551599355666346</v>
      </c>
      <c r="C5320" t="s">
        <v>40</v>
      </c>
      <c r="D5320">
        <v>5.1370430000000002</v>
      </c>
      <c r="E5320">
        <v>0.4982163</v>
      </c>
      <c r="F5320" t="s">
        <v>41</v>
      </c>
      <c r="G5320">
        <v>-389.7878</v>
      </c>
      <c r="H5320" s="1">
        <v>-4.8392219999999999E-7</v>
      </c>
      <c r="I5320">
        <v>141.1593</v>
      </c>
      <c r="J5320">
        <v>-349.7466</v>
      </c>
      <c r="K5320">
        <v>1.1209260000000001</v>
      </c>
      <c r="L5320">
        <v>141.5787</v>
      </c>
      <c r="M5320">
        <v>-0.99987610000000005</v>
      </c>
      <c r="N5320">
        <v>-1.5251610000000001E-2</v>
      </c>
      <c r="O5320">
        <v>-3.911019E-3</v>
      </c>
      <c r="P5320">
        <v>-0.9958825</v>
      </c>
      <c r="Q5320">
        <v>-8.9964150000000007E-2</v>
      </c>
      <c r="R5320">
        <v>-1.1179100000000001E-2</v>
      </c>
      <c r="S5320">
        <v>-3.004486</v>
      </c>
      <c r="T5320">
        <v>-8.3617810000000001E-2</v>
      </c>
      <c r="U5320">
        <v>-3.1356809999999999E-2</v>
      </c>
      <c r="V5320">
        <v>-7.2744759999999898E-3</v>
      </c>
      <c r="W5320">
        <v>-7.4765219999999993E-2</v>
      </c>
      <c r="X5320">
        <v>0.99717460000000002</v>
      </c>
      <c r="Y5320">
        <v>-6.5211560000000002E-3</v>
      </c>
      <c r="Z5320" s="1">
        <v>-9.1296909999999902E-5</v>
      </c>
      <c r="AA5320">
        <v>0.9999787</v>
      </c>
      <c r="AB5320">
        <v>30</v>
      </c>
      <c r="AC5320">
        <v>-40.041200000000003</v>
      </c>
      <c r="AD5320">
        <v>-1.1209264839222</v>
      </c>
      <c r="AE5320">
        <v>-0.419399999999996</v>
      </c>
      <c r="AF5320">
        <v>-0.26257094077092602</v>
      </c>
      <c r="AG5320">
        <v>-1.1209264839222</v>
      </c>
      <c r="AH5320">
        <v>40.011181544214502</v>
      </c>
      <c r="AI5320">
        <v>91.604705933501194</v>
      </c>
      <c r="AJ5320">
        <v>90.375994664273506</v>
      </c>
      <c r="AK5320">
        <v>40.027741233367003</v>
      </c>
      <c r="AL5320">
        <v>94.287732658034002</v>
      </c>
      <c r="AM5320">
        <v>90.4179703127881</v>
      </c>
      <c r="AN5320">
        <v>0.99999996950394099</v>
      </c>
    </row>
    <row r="5321" spans="1:40" x14ac:dyDescent="0.25">
      <c r="A5321" t="str">
        <f>"20190303154915689"</f>
        <v>20190303154915689</v>
      </c>
      <c r="B5321" t="str">
        <f>"1551599355685866"</f>
        <v>1551599355685866</v>
      </c>
      <c r="C5321" t="s">
        <v>40</v>
      </c>
      <c r="D5321">
        <v>5.17957</v>
      </c>
      <c r="E5321">
        <v>0.4958651</v>
      </c>
      <c r="F5321" t="s">
        <v>41</v>
      </c>
      <c r="G5321">
        <v>-386.50599999999997</v>
      </c>
      <c r="H5321" s="1">
        <v>-1.857108E-6</v>
      </c>
      <c r="I5321">
        <v>141.02889999999999</v>
      </c>
      <c r="J5321">
        <v>-350.0127</v>
      </c>
      <c r="K5321">
        <v>1.1209340000000001</v>
      </c>
      <c r="L5321">
        <v>141.57759999999999</v>
      </c>
      <c r="M5321">
        <v>-0.99987570000000003</v>
      </c>
      <c r="N5321">
        <v>-1.5266709999999999E-2</v>
      </c>
      <c r="O5321">
        <v>-3.9832469999999997E-3</v>
      </c>
      <c r="P5321">
        <v>-0.99586850000000005</v>
      </c>
      <c r="Q5321">
        <v>-9.0156230000000004E-2</v>
      </c>
      <c r="R5321">
        <v>-1.0884380000000001E-2</v>
      </c>
      <c r="S5321">
        <v>-3.0036320000000001</v>
      </c>
      <c r="T5321">
        <v>-9.1591720000000001E-2</v>
      </c>
      <c r="U5321">
        <v>-4.4921879999999997E-2</v>
      </c>
      <c r="V5321">
        <v>-6.9073049999999999E-3</v>
      </c>
      <c r="W5321">
        <v>-7.4942399999999895E-2</v>
      </c>
      <c r="X5321">
        <v>0.99716400000000005</v>
      </c>
      <c r="Y5321">
        <v>-1.096361E-2</v>
      </c>
      <c r="Z5321">
        <v>-1.9021709999999999E-4</v>
      </c>
      <c r="AA5321">
        <v>0.99993989999999999</v>
      </c>
      <c r="AB5321">
        <v>30</v>
      </c>
      <c r="AC5321">
        <v>-36.493299999999898</v>
      </c>
      <c r="AD5321">
        <v>-1.1209358571079999</v>
      </c>
      <c r="AE5321">
        <v>-0.54869999999999597</v>
      </c>
      <c r="AF5321">
        <v>-0.40293682204496101</v>
      </c>
      <c r="AG5321">
        <v>-1.1209358571079999</v>
      </c>
      <c r="AH5321">
        <v>36.460803821312602</v>
      </c>
      <c r="AI5321">
        <v>91.760815620971599</v>
      </c>
      <c r="AJ5321">
        <v>90.633163208439996</v>
      </c>
      <c r="AK5321">
        <v>36.480255900617699</v>
      </c>
      <c r="AL5321">
        <v>94.2979125016343</v>
      </c>
      <c r="AM5321">
        <v>90.396878642461999</v>
      </c>
      <c r="AN5321">
        <v>1.00000005853805</v>
      </c>
    </row>
    <row r="5322" spans="1:40" x14ac:dyDescent="0.25">
      <c r="A5322" t="str">
        <f>"20190303154915711"</f>
        <v>20190303154915711</v>
      </c>
      <c r="B5322" t="str">
        <f>"1551599355706362"</f>
        <v>1551599355706362</v>
      </c>
      <c r="C5322" t="s">
        <v>40</v>
      </c>
      <c r="D5322">
        <v>5.1723619999999997</v>
      </c>
      <c r="E5322">
        <v>0.49458350000000001</v>
      </c>
      <c r="F5322" t="s">
        <v>41</v>
      </c>
      <c r="G5322">
        <v>-382.74250000000001</v>
      </c>
      <c r="H5322" s="1">
        <v>-3.4351840000000001E-6</v>
      </c>
      <c r="I5322">
        <v>140.89189999999999</v>
      </c>
      <c r="J5322">
        <v>-350.29649999999998</v>
      </c>
      <c r="K5322">
        <v>1.120941</v>
      </c>
      <c r="L5322">
        <v>141.57640000000001</v>
      </c>
      <c r="M5322">
        <v>-0.99987499999999996</v>
      </c>
      <c r="N5322">
        <v>-1.5279890000000001E-2</v>
      </c>
      <c r="O5322">
        <v>-4.0602269999999996E-3</v>
      </c>
      <c r="P5322">
        <v>-0.99588259999999995</v>
      </c>
      <c r="Q5322">
        <v>-9.0007809999999994E-2</v>
      </c>
      <c r="R5322">
        <v>-1.0787039999999999E-2</v>
      </c>
      <c r="S5322">
        <v>-3.0024410000000001</v>
      </c>
      <c r="T5322">
        <v>-0.1028285</v>
      </c>
      <c r="U5322">
        <v>-6.2896729999999998E-2</v>
      </c>
      <c r="V5322">
        <v>-6.7338349999999996E-3</v>
      </c>
      <c r="W5322">
        <v>-7.4780630000000001E-2</v>
      </c>
      <c r="X5322">
        <v>0.99717719999999999</v>
      </c>
      <c r="Y5322">
        <v>-1.6870380000000001E-2</v>
      </c>
      <c r="Z5322">
        <v>-3.4076879999999998E-4</v>
      </c>
      <c r="AA5322">
        <v>0.99985760000000001</v>
      </c>
      <c r="AB5322">
        <v>30</v>
      </c>
      <c r="AC5322">
        <v>-32.445999999999998</v>
      </c>
      <c r="AD5322">
        <v>-1.1209444351840001</v>
      </c>
      <c r="AE5322">
        <v>-0.68450000000001399</v>
      </c>
      <c r="AF5322">
        <v>-0.55208219573456296</v>
      </c>
      <c r="AG5322">
        <v>-1.1209444351840001</v>
      </c>
      <c r="AH5322">
        <v>32.409846014763097</v>
      </c>
      <c r="AI5322">
        <v>91.980586057633502</v>
      </c>
      <c r="AJ5322">
        <v>90.975904690205098</v>
      </c>
      <c r="AK5322">
        <v>32.433924059204898</v>
      </c>
      <c r="AL5322">
        <v>94.288618244352094</v>
      </c>
      <c r="AM5322">
        <v>90.386906620930304</v>
      </c>
      <c r="AN5322">
        <v>0.99999992767841905</v>
      </c>
    </row>
    <row r="5323" spans="1:40" x14ac:dyDescent="0.25">
      <c r="A5323" t="str">
        <f>"20190303154915732"</f>
        <v>20190303154915732</v>
      </c>
      <c r="B5323" t="str">
        <f>"1551599355725860"</f>
        <v>1551599355725860</v>
      </c>
      <c r="C5323" t="s">
        <v>40</v>
      </c>
      <c r="D5323">
        <v>5.1880499999999996</v>
      </c>
      <c r="E5323">
        <v>0.49378480000000002</v>
      </c>
      <c r="F5323" t="s">
        <v>41</v>
      </c>
      <c r="G5323">
        <v>-381.20269999999999</v>
      </c>
      <c r="H5323" s="1">
        <v>-4.0779200000000001E-6</v>
      </c>
      <c r="I5323">
        <v>140.82490000000001</v>
      </c>
      <c r="J5323">
        <v>-350.58539999999999</v>
      </c>
      <c r="K5323">
        <v>1.1209439999999999</v>
      </c>
      <c r="L5323">
        <v>141.57509999999999</v>
      </c>
      <c r="M5323">
        <v>-0.99987470000000001</v>
      </c>
      <c r="N5323">
        <v>-1.529062E-2</v>
      </c>
      <c r="O5323">
        <v>-4.1387419999999999E-3</v>
      </c>
      <c r="P5323">
        <v>-0.99586269999999999</v>
      </c>
      <c r="Q5323">
        <v>-9.0211150000000004E-2</v>
      </c>
      <c r="R5323">
        <v>-1.093792E-2</v>
      </c>
      <c r="S5323">
        <v>-3.0018009999999999</v>
      </c>
      <c r="T5323">
        <v>-0.1088732</v>
      </c>
      <c r="U5323">
        <v>-7.2982790000000006E-2</v>
      </c>
      <c r="V5323">
        <v>-6.8064859999999996E-3</v>
      </c>
      <c r="W5323">
        <v>-7.4973520000000002E-2</v>
      </c>
      <c r="X5323">
        <v>0.99716229999999995</v>
      </c>
      <c r="Y5323">
        <v>-2.0149690000000001E-2</v>
      </c>
      <c r="Z5323">
        <v>-4.3261969999999999E-4</v>
      </c>
      <c r="AA5323">
        <v>0.99979689999999999</v>
      </c>
      <c r="AB5323">
        <v>30</v>
      </c>
      <c r="AC5323">
        <v>-30.6173</v>
      </c>
      <c r="AD5323">
        <v>-1.1209480779199901</v>
      </c>
      <c r="AE5323">
        <v>-0.750199999999978</v>
      </c>
      <c r="AF5323">
        <v>-0.62262759925959699</v>
      </c>
      <c r="AG5323">
        <v>-1.1209480779199901</v>
      </c>
      <c r="AH5323">
        <v>30.579178958057199</v>
      </c>
      <c r="AI5323">
        <v>92.098930065353997</v>
      </c>
      <c r="AJ5323">
        <v>91.166447439870794</v>
      </c>
      <c r="AK5323">
        <v>30.606051288423998</v>
      </c>
      <c r="AL5323">
        <v>94.299700808308799</v>
      </c>
      <c r="AM5323">
        <v>90.391086651139503</v>
      </c>
      <c r="AN5323">
        <v>1.0000000047470701</v>
      </c>
    </row>
    <row r="5324" spans="1:40" x14ac:dyDescent="0.25">
      <c r="A5324" t="str">
        <f>"20190303154915748"</f>
        <v>20190303154915748</v>
      </c>
      <c r="B5324" t="str">
        <f>"1551599355736596"</f>
        <v>1551599355736596</v>
      </c>
      <c r="C5324" t="s">
        <v>40</v>
      </c>
      <c r="D5324">
        <v>5.2556820000000002</v>
      </c>
      <c r="E5324">
        <v>0.49331000000000003</v>
      </c>
      <c r="F5324" t="s">
        <v>41</v>
      </c>
      <c r="G5324">
        <v>-380.81380000000001</v>
      </c>
      <c r="H5324" s="1">
        <v>-4.2038049999999998E-6</v>
      </c>
      <c r="I5324">
        <v>140.77029999999999</v>
      </c>
      <c r="J5324">
        <v>-350.78660000000002</v>
      </c>
      <c r="K5324">
        <v>1.1209480000000001</v>
      </c>
      <c r="L5324">
        <v>141.57429999999999</v>
      </c>
      <c r="M5324">
        <v>-0.99987429999999999</v>
      </c>
      <c r="N5324">
        <v>-1.529668E-2</v>
      </c>
      <c r="O5324">
        <v>-4.1930250000000004E-3</v>
      </c>
      <c r="P5324">
        <v>-0.99584649999999997</v>
      </c>
      <c r="Q5324">
        <v>-9.0366589999999997E-2</v>
      </c>
      <c r="R5324">
        <v>-1.1134E-2</v>
      </c>
      <c r="S5324">
        <v>-3.0015260000000001</v>
      </c>
      <c r="T5324">
        <v>-0.1113046</v>
      </c>
      <c r="U5324">
        <v>-7.991028E-2</v>
      </c>
      <c r="V5324">
        <v>-6.9485769999999896E-3</v>
      </c>
      <c r="W5324">
        <v>-7.5123159999999994E-2</v>
      </c>
      <c r="X5324">
        <v>0.99715010000000004</v>
      </c>
      <c r="Y5324">
        <v>-2.2400779999999999E-2</v>
      </c>
      <c r="Z5324">
        <v>-4.9529130000000002E-4</v>
      </c>
      <c r="AA5324">
        <v>0.99974890000000005</v>
      </c>
      <c r="AB5324">
        <v>29</v>
      </c>
      <c r="AC5324">
        <v>-30.027200000000001</v>
      </c>
      <c r="AD5324">
        <v>-1.1209522038049999</v>
      </c>
      <c r="AE5324">
        <v>-0.80400000000000205</v>
      </c>
      <c r="AF5324">
        <v>-0.677130422510825</v>
      </c>
      <c r="AG5324">
        <v>-1.1209522038049999</v>
      </c>
      <c r="AH5324">
        <v>29.988544853726101</v>
      </c>
      <c r="AI5324">
        <v>92.140137171572803</v>
      </c>
      <c r="AJ5324">
        <v>91.293498041445801</v>
      </c>
      <c r="AK5324">
        <v>30.017126143191099</v>
      </c>
      <c r="AL5324">
        <v>94.3082986139393</v>
      </c>
      <c r="AM5324">
        <v>90.3992555300606</v>
      </c>
      <c r="AN5324">
        <v>1.00000004691035</v>
      </c>
    </row>
    <row r="5325" spans="1:40" x14ac:dyDescent="0.25">
      <c r="A5325" t="str">
        <f>"20190303154915762"</f>
        <v>20190303154915762</v>
      </c>
      <c r="B5325" t="str">
        <f>"1551599355756116"</f>
        <v>1551599355756116</v>
      </c>
      <c r="C5325" t="s">
        <v>40</v>
      </c>
      <c r="D5325">
        <v>5.2407839999999997</v>
      </c>
      <c r="E5325">
        <v>0.49276769999999998</v>
      </c>
      <c r="F5325" t="s">
        <v>41</v>
      </c>
      <c r="G5325">
        <v>-380.61849999999998</v>
      </c>
      <c r="H5325" s="1">
        <v>-4.264583E-6</v>
      </c>
      <c r="I5325">
        <v>140.73840000000001</v>
      </c>
      <c r="J5325">
        <v>-350.98869999999999</v>
      </c>
      <c r="K5325">
        <v>1.1209530000000001</v>
      </c>
      <c r="L5325">
        <v>141.57339999999999</v>
      </c>
      <c r="M5325">
        <v>-0.99987389999999998</v>
      </c>
      <c r="N5325">
        <v>-1.5301810000000001E-2</v>
      </c>
      <c r="O5325">
        <v>-4.2475380000000004E-3</v>
      </c>
      <c r="P5325">
        <v>-0.99584050000000002</v>
      </c>
      <c r="Q5325">
        <v>-9.0413090000000002E-2</v>
      </c>
      <c r="R5325">
        <v>-1.128608E-2</v>
      </c>
      <c r="S5325">
        <v>-3.0013730000000001</v>
      </c>
      <c r="T5325">
        <v>-0.1127787</v>
      </c>
      <c r="U5325">
        <v>-8.4091189999999996E-2</v>
      </c>
      <c r="V5325">
        <v>-7.0465040000000003E-3</v>
      </c>
      <c r="W5325">
        <v>-7.5164620000000001E-2</v>
      </c>
      <c r="X5325">
        <v>0.99714619999999998</v>
      </c>
      <c r="Y5325">
        <v>-2.373745E-2</v>
      </c>
      <c r="Z5325">
        <v>-5.3293999999999998E-4</v>
      </c>
      <c r="AA5325">
        <v>0.99971810000000005</v>
      </c>
      <c r="AB5325">
        <v>29</v>
      </c>
      <c r="AC5325">
        <v>-29.6297999999999</v>
      </c>
      <c r="AD5325">
        <v>-1.1209572645829999</v>
      </c>
      <c r="AE5325">
        <v>-0.83499999999997898</v>
      </c>
      <c r="AF5325">
        <v>-0.70811133580556496</v>
      </c>
      <c r="AG5325">
        <v>-1.1209572645829999</v>
      </c>
      <c r="AH5325">
        <v>29.590761088728101</v>
      </c>
      <c r="AI5325">
        <v>92.168821161647401</v>
      </c>
      <c r="AJ5325">
        <v>91.370834937255594</v>
      </c>
      <c r="AK5325">
        <v>29.6204508517866</v>
      </c>
      <c r="AL5325">
        <v>94.310681212854206</v>
      </c>
      <c r="AM5325">
        <v>90.404883676208598</v>
      </c>
      <c r="AN5325">
        <v>0.99999995874640202</v>
      </c>
    </row>
    <row r="5326" spans="1:40" x14ac:dyDescent="0.25">
      <c r="A5326" t="str">
        <f>"20190303154915776"</f>
        <v>20190303154915776</v>
      </c>
      <c r="B5326" t="str">
        <f>"1551599355765875"</f>
        <v>1551599355765875</v>
      </c>
      <c r="C5326" t="s">
        <v>40</v>
      </c>
      <c r="D5326">
        <v>5.2719420000000001</v>
      </c>
      <c r="E5326">
        <v>0.4924423</v>
      </c>
      <c r="F5326" t="s">
        <v>41</v>
      </c>
      <c r="G5326">
        <v>-380.50479999999999</v>
      </c>
      <c r="H5326" s="1">
        <v>-4.2963629999999997E-6</v>
      </c>
      <c r="I5326">
        <v>140.69929999999999</v>
      </c>
      <c r="J5326">
        <v>-351.16390000000001</v>
      </c>
      <c r="K5326">
        <v>1.1209559999999901</v>
      </c>
      <c r="L5326">
        <v>141.57259999999999</v>
      </c>
      <c r="M5326">
        <v>-0.99987369999999998</v>
      </c>
      <c r="N5326">
        <v>-1.5305350000000001E-2</v>
      </c>
      <c r="O5326">
        <v>-4.2948860000000004E-3</v>
      </c>
      <c r="P5326">
        <v>-0.99578979999999995</v>
      </c>
      <c r="Q5326">
        <v>-9.0932070000000004E-2</v>
      </c>
      <c r="R5326">
        <v>-1.1581579999999999E-2</v>
      </c>
      <c r="S5326">
        <v>-3.0011899999999998</v>
      </c>
      <c r="T5326">
        <v>-0.11397889999999999</v>
      </c>
      <c r="U5326">
        <v>-8.8867189999999999E-2</v>
      </c>
      <c r="V5326">
        <v>-7.2948919999999999E-3</v>
      </c>
      <c r="W5326">
        <v>-7.5680810000000001E-2</v>
      </c>
      <c r="X5326">
        <v>0.99710540000000003</v>
      </c>
      <c r="Y5326">
        <v>-2.527944E-2</v>
      </c>
      <c r="Z5326">
        <v>-5.7605669999999897E-4</v>
      </c>
      <c r="AA5326">
        <v>0.99968029999999997</v>
      </c>
      <c r="AB5326">
        <v>29</v>
      </c>
      <c r="AC5326">
        <v>-29.340899999999898</v>
      </c>
      <c r="AD5326">
        <v>-1.1209602963630001</v>
      </c>
      <c r="AE5326">
        <v>-0.87329999999999997</v>
      </c>
      <c r="AF5326">
        <v>-0.74617321803099101</v>
      </c>
      <c r="AG5326">
        <v>-1.1209602963630001</v>
      </c>
      <c r="AH5326">
        <v>29.301649678876899</v>
      </c>
      <c r="AI5326">
        <v>92.190122605713498</v>
      </c>
      <c r="AJ5326">
        <v>91.4587348792505</v>
      </c>
      <c r="AK5326">
        <v>29.332575753945601</v>
      </c>
      <c r="AL5326">
        <v>94.340341070781506</v>
      </c>
      <c r="AM5326">
        <v>90.419172403080296</v>
      </c>
      <c r="AN5326">
        <v>0.99999998958035397</v>
      </c>
    </row>
    <row r="5327" spans="1:40" x14ac:dyDescent="0.25">
      <c r="A5327" t="str">
        <f>"20190303154915793"</f>
        <v>20190303154915793</v>
      </c>
      <c r="B5327" t="str">
        <f>"1551599355786372"</f>
        <v>1551599355786372</v>
      </c>
      <c r="C5327" t="s">
        <v>40</v>
      </c>
      <c r="D5327">
        <v>5.2913489999999896</v>
      </c>
      <c r="E5327">
        <v>0.4918787</v>
      </c>
      <c r="F5327" t="s">
        <v>41</v>
      </c>
      <c r="G5327">
        <v>-380.25080000000003</v>
      </c>
      <c r="H5327" s="1">
        <v>-4.3791939999999998E-6</v>
      </c>
      <c r="I5327">
        <v>140.6789</v>
      </c>
      <c r="J5327">
        <v>-351.37450000000001</v>
      </c>
      <c r="K5327">
        <v>1.1209579999999999</v>
      </c>
      <c r="L5327">
        <v>141.57159999999999</v>
      </c>
      <c r="M5327">
        <v>-0.99987329999999996</v>
      </c>
      <c r="N5327">
        <v>-1.530864E-2</v>
      </c>
      <c r="O5327">
        <v>-4.3516509999999998E-3</v>
      </c>
      <c r="P5327">
        <v>-0.99575769999999997</v>
      </c>
      <c r="Q5327">
        <v>-9.1282249999999995E-2</v>
      </c>
      <c r="R5327">
        <v>-1.15814E-2</v>
      </c>
      <c r="S5327">
        <v>-3.0010379999999999</v>
      </c>
      <c r="T5327">
        <v>-0.1156553</v>
      </c>
      <c r="U5327">
        <v>-9.2193600000000001E-2</v>
      </c>
      <c r="V5327">
        <v>-7.2381199999999998E-3</v>
      </c>
      <c r="W5327">
        <v>-7.6028100000000001E-2</v>
      </c>
      <c r="X5327">
        <v>0.99707939999999995</v>
      </c>
      <c r="Y5327">
        <v>-2.632957E-2</v>
      </c>
      <c r="Z5327">
        <v>-6.0773269999999996E-4</v>
      </c>
      <c r="AA5327">
        <v>0.99965320000000002</v>
      </c>
      <c r="AB5327">
        <v>29</v>
      </c>
      <c r="AC5327">
        <v>-28.876300000000001</v>
      </c>
      <c r="AD5327">
        <v>-1.120962379194</v>
      </c>
      <c r="AE5327">
        <v>-0.89269999999998995</v>
      </c>
      <c r="AF5327">
        <v>-0.76586421538373495</v>
      </c>
      <c r="AG5327">
        <v>-1.120962379194</v>
      </c>
      <c r="AH5327">
        <v>28.836498011784499</v>
      </c>
      <c r="AI5327">
        <v>92.225356415191797</v>
      </c>
      <c r="AJ5327">
        <v>91.521352354733907</v>
      </c>
      <c r="AK5327">
        <v>28.868438167583999</v>
      </c>
      <c r="AL5327">
        <v>94.360296788203598</v>
      </c>
      <c r="AM5327">
        <v>90.415921182418103</v>
      </c>
      <c r="AN5327">
        <v>0.99999999613755197</v>
      </c>
    </row>
    <row r="5328" spans="1:40" x14ac:dyDescent="0.25">
      <c r="A5328" t="str">
        <f>"20190303154915806"</f>
        <v>20190303154915806</v>
      </c>
      <c r="B5328" t="str">
        <f>"1551599355796132"</f>
        <v>1551599355796132</v>
      </c>
      <c r="C5328" t="s">
        <v>40</v>
      </c>
      <c r="D5328">
        <v>5.3090109999999999</v>
      </c>
      <c r="E5328">
        <v>0.49170449999999999</v>
      </c>
      <c r="F5328" t="s">
        <v>41</v>
      </c>
      <c r="G5328">
        <v>-379.42899999999997</v>
      </c>
      <c r="H5328" s="1">
        <v>-5.0668669999999999E-7</v>
      </c>
      <c r="I5328">
        <v>140.66640000000001</v>
      </c>
      <c r="J5328">
        <v>-351.55500000000001</v>
      </c>
      <c r="K5328">
        <v>1.12096</v>
      </c>
      <c r="L5328">
        <v>141.57079999999999</v>
      </c>
      <c r="M5328">
        <v>-0.99987300000000001</v>
      </c>
      <c r="N5328">
        <v>-1.5310850000000001E-2</v>
      </c>
      <c r="O5328">
        <v>-4.4004200000000004E-3</v>
      </c>
      <c r="P5328">
        <v>-0.99574600000000002</v>
      </c>
      <c r="Q5328">
        <v>-9.1412229999999997E-2</v>
      </c>
      <c r="R5328">
        <v>-1.156127E-2</v>
      </c>
      <c r="S5328">
        <v>-3.000702</v>
      </c>
      <c r="T5328">
        <v>-0.1198974</v>
      </c>
      <c r="U5328">
        <v>-9.6817020000000004E-2</v>
      </c>
      <c r="V5328">
        <v>-7.1695860000000004E-3</v>
      </c>
      <c r="W5328">
        <v>-7.6156059999999998E-2</v>
      </c>
      <c r="X5328">
        <v>0.99707009999999996</v>
      </c>
      <c r="Y5328">
        <v>-2.7819699999999999E-2</v>
      </c>
      <c r="Z5328">
        <v>-6.6021859999999995E-4</v>
      </c>
      <c r="AA5328">
        <v>0.99961270000000002</v>
      </c>
      <c r="AB5328">
        <v>29</v>
      </c>
      <c r="AC5328">
        <v>-27.873999999999999</v>
      </c>
      <c r="AD5328">
        <v>-1.1209605066867001</v>
      </c>
      <c r="AE5328">
        <v>-0.904399999999981</v>
      </c>
      <c r="AF5328">
        <v>-0.78045865954548599</v>
      </c>
      <c r="AG5328">
        <v>-1.1209605066867001</v>
      </c>
      <c r="AH5328">
        <v>27.832744596406901</v>
      </c>
      <c r="AI5328">
        <v>92.305429071969002</v>
      </c>
      <c r="AJ5328">
        <v>91.606211429848997</v>
      </c>
      <c r="AK5328">
        <v>27.866240147275501</v>
      </c>
      <c r="AL5328">
        <v>94.367649803946307</v>
      </c>
      <c r="AM5328">
        <v>90.411987019661396</v>
      </c>
      <c r="AN5328">
        <v>0.99999996637607103</v>
      </c>
    </row>
    <row r="5329" spans="1:40" x14ac:dyDescent="0.25">
      <c r="A5329" t="str">
        <f>"20190303154915823"</f>
        <v>20190303154915823</v>
      </c>
      <c r="B5329" t="str">
        <f>"1551599355816629"</f>
        <v>1551599355816629</v>
      </c>
      <c r="C5329" t="s">
        <v>40</v>
      </c>
      <c r="D5329">
        <v>5.307442</v>
      </c>
      <c r="E5329">
        <v>0.49146240000000002</v>
      </c>
      <c r="F5329" t="s">
        <v>41</v>
      </c>
      <c r="G5329">
        <v>-379.06920000000002</v>
      </c>
      <c r="H5329" s="1">
        <v>-6.6196299999999895E-7</v>
      </c>
      <c r="I5329">
        <v>140.66970000000001</v>
      </c>
      <c r="J5329">
        <v>-351.75889999999998</v>
      </c>
      <c r="K5329">
        <v>1.1209530000000001</v>
      </c>
      <c r="L5329">
        <v>141.56979999999999</v>
      </c>
      <c r="M5329">
        <v>-0.99987289999999995</v>
      </c>
      <c r="N5329">
        <v>-1.531273E-2</v>
      </c>
      <c r="O5329">
        <v>-4.4556209999999999E-3</v>
      </c>
      <c r="P5329">
        <v>-0.99575199999999997</v>
      </c>
      <c r="Q5329">
        <v>-9.1329960000000002E-2</v>
      </c>
      <c r="R5329">
        <v>-1.1702000000000001E-2</v>
      </c>
      <c r="S5329">
        <v>-3.0004879999999998</v>
      </c>
      <c r="T5329">
        <v>-0.12224359999999999</v>
      </c>
      <c r="U5329">
        <v>-9.8251340000000006E-2</v>
      </c>
      <c r="V5329">
        <v>-7.2552110000000001E-3</v>
      </c>
      <c r="W5329">
        <v>-7.6071810000000004E-2</v>
      </c>
      <c r="X5329">
        <v>0.99707599999999996</v>
      </c>
      <c r="Y5329">
        <v>-2.8242710000000001E-2</v>
      </c>
      <c r="Z5329">
        <v>-6.7815710000000001E-4</v>
      </c>
      <c r="AA5329">
        <v>0.99960090000000001</v>
      </c>
      <c r="AB5329">
        <v>29</v>
      </c>
      <c r="AC5329">
        <v>-27.310300000000002</v>
      </c>
      <c r="AD5329">
        <v>-1.1209536619630001</v>
      </c>
      <c r="AE5329">
        <v>-0.90009999999998003</v>
      </c>
      <c r="AF5329">
        <v>-0.77708472377270299</v>
      </c>
      <c r="AG5329">
        <v>-1.1209536619630001</v>
      </c>
      <c r="AH5329">
        <v>27.268151033275501</v>
      </c>
      <c r="AI5329">
        <v>92.353065730911396</v>
      </c>
      <c r="AJ5329">
        <v>91.632366925537994</v>
      </c>
      <c r="AK5329">
        <v>27.302242738531799</v>
      </c>
      <c r="AL5329">
        <v>94.362808207280594</v>
      </c>
      <c r="AM5329">
        <v>90.416904662640903</v>
      </c>
      <c r="AN5329">
        <v>1.0000000540696601</v>
      </c>
    </row>
    <row r="5330" spans="1:40" x14ac:dyDescent="0.25">
      <c r="A5330" t="str">
        <f>"20190303154915843"</f>
        <v>20190303154915843</v>
      </c>
      <c r="B5330" t="str">
        <f>"1551599355836655"</f>
        <v>1551599355836655</v>
      </c>
      <c r="C5330" t="s">
        <v>40</v>
      </c>
      <c r="D5330">
        <v>5.3438410000000003</v>
      </c>
      <c r="E5330">
        <v>0.49135669999999998</v>
      </c>
      <c r="F5330" t="s">
        <v>41</v>
      </c>
      <c r="G5330">
        <v>-378.78550000000001</v>
      </c>
      <c r="H5330" s="1">
        <v>-7.8164509999999997E-7</v>
      </c>
      <c r="I5330">
        <v>140.66210000000001</v>
      </c>
      <c r="J5330">
        <v>-352.04109999999997</v>
      </c>
      <c r="K5330">
        <v>1.1209559999999901</v>
      </c>
      <c r="L5330">
        <v>141.5685</v>
      </c>
      <c r="M5330">
        <v>-0.9998726</v>
      </c>
      <c r="N5330">
        <v>-1.531419E-2</v>
      </c>
      <c r="O5330">
        <v>-4.5321570000000002E-3</v>
      </c>
      <c r="P5330">
        <v>-0.99575539999999996</v>
      </c>
      <c r="Q5330">
        <v>-9.1312829999999998E-2</v>
      </c>
      <c r="R5330">
        <v>-1.155344E-2</v>
      </c>
      <c r="S5330">
        <v>-3.0002439999999999</v>
      </c>
      <c r="T5330">
        <v>-0.1244384</v>
      </c>
      <c r="U5330">
        <v>-0.1007538</v>
      </c>
      <c r="V5330">
        <v>-7.0303369999999898E-3</v>
      </c>
      <c r="W5330">
        <v>-7.605315E-2</v>
      </c>
      <c r="X5330">
        <v>0.99707900000000005</v>
      </c>
      <c r="Y5330">
        <v>-2.899989E-2</v>
      </c>
      <c r="Z5330">
        <v>-7.0476969999999997E-4</v>
      </c>
      <c r="AA5330">
        <v>0.9995792</v>
      </c>
      <c r="AB5330">
        <v>29</v>
      </c>
      <c r="AC5330">
        <v>-26.744399999999999</v>
      </c>
      <c r="AD5330">
        <v>-1.1209567816450901</v>
      </c>
      <c r="AE5330">
        <v>-0.90639999999998999</v>
      </c>
      <c r="AF5330">
        <v>-0.78379131820825698</v>
      </c>
      <c r="AG5330">
        <v>-1.1209567816450901</v>
      </c>
      <c r="AH5330">
        <v>26.7013796379456</v>
      </c>
      <c r="AI5330">
        <v>92.402901956844602</v>
      </c>
      <c r="AJ5330">
        <v>91.681375398605297</v>
      </c>
      <c r="AK5330">
        <v>26.736389949028499</v>
      </c>
      <c r="AL5330">
        <v>94.361736111829202</v>
      </c>
      <c r="AM5330">
        <v>90.403981994962905</v>
      </c>
      <c r="AN5330">
        <v>1.0000000197521199</v>
      </c>
    </row>
    <row r="5331" spans="1:40" x14ac:dyDescent="0.25">
      <c r="A5331" t="str">
        <f>"20190303154915861"</f>
        <v>20190303154915861</v>
      </c>
      <c r="B5331" t="str">
        <f>"1551599355856176"</f>
        <v>1551599355856176</v>
      </c>
      <c r="C5331" t="s">
        <v>40</v>
      </c>
      <c r="D5331">
        <v>5.365062</v>
      </c>
      <c r="E5331">
        <v>0.4911819</v>
      </c>
      <c r="F5331" t="s">
        <v>41</v>
      </c>
      <c r="G5331">
        <v>-378.74020000000002</v>
      </c>
      <c r="H5331" s="1">
        <v>-8.0265869999999996E-7</v>
      </c>
      <c r="I5331">
        <v>140.66820000000001</v>
      </c>
      <c r="J5331">
        <v>-352.26710000000003</v>
      </c>
      <c r="K5331">
        <v>1.120957</v>
      </c>
      <c r="L5331">
        <v>141.56739999999999</v>
      </c>
      <c r="M5331">
        <v>-0.99987230000000005</v>
      </c>
      <c r="N5331">
        <v>-1.5314619999999999E-2</v>
      </c>
      <c r="O5331">
        <v>-4.5933090000000003E-3</v>
      </c>
      <c r="P5331">
        <v>-0.99575400000000003</v>
      </c>
      <c r="Q5331">
        <v>-9.1329750000000001E-2</v>
      </c>
      <c r="R5331">
        <v>-1.153884E-2</v>
      </c>
      <c r="S5331">
        <v>-3.0000309999999999</v>
      </c>
      <c r="T5331">
        <v>-0.1259556</v>
      </c>
      <c r="U5331">
        <v>-0.1011505</v>
      </c>
      <c r="V5331">
        <v>-6.9552090000000004E-3</v>
      </c>
      <c r="W5331">
        <v>-7.6069639999999994E-2</v>
      </c>
      <c r="X5331">
        <v>0.99707820000000003</v>
      </c>
      <c r="Y5331">
        <v>-2.907245E-2</v>
      </c>
      <c r="Z5331">
        <v>-7.1029070000000005E-4</v>
      </c>
      <c r="AA5331">
        <v>0.99957700000000005</v>
      </c>
      <c r="AB5331">
        <v>29</v>
      </c>
      <c r="AC5331">
        <v>-26.473099999999899</v>
      </c>
      <c r="AD5331">
        <v>-1.1209578026586999</v>
      </c>
      <c r="AE5331">
        <v>-0.89919999999997902</v>
      </c>
      <c r="AF5331">
        <v>-0.77618707315522495</v>
      </c>
      <c r="AG5331">
        <v>-1.1209578026586999</v>
      </c>
      <c r="AH5331">
        <v>26.429618990819101</v>
      </c>
      <c r="AI5331">
        <v>92.427581418537301</v>
      </c>
      <c r="AJ5331">
        <v>91.682183330019697</v>
      </c>
      <c r="AK5331">
        <v>26.464764740457099</v>
      </c>
      <c r="AL5331">
        <v>94.362683964719295</v>
      </c>
      <c r="AM5331">
        <v>90.399665400301302</v>
      </c>
      <c r="AN5331">
        <v>0.99999995098859995</v>
      </c>
    </row>
    <row r="5332" spans="1:40" x14ac:dyDescent="0.25">
      <c r="A5332" t="str">
        <f>"20190303154915878"</f>
        <v>20190303154915878</v>
      </c>
      <c r="B5332" t="str">
        <f>"1551599355865935"</f>
        <v>1551599355865935</v>
      </c>
      <c r="C5332" t="s">
        <v>40</v>
      </c>
      <c r="D5332">
        <v>5.3869610000000003</v>
      </c>
      <c r="E5332">
        <v>0.49112620000000001</v>
      </c>
      <c r="F5332" t="s">
        <v>41</v>
      </c>
      <c r="G5332">
        <v>-378.5027</v>
      </c>
      <c r="H5332" s="1">
        <v>-9.052708E-7</v>
      </c>
      <c r="I5332">
        <v>140.67080000000001</v>
      </c>
      <c r="J5332">
        <v>-352.48880000000003</v>
      </c>
      <c r="K5332">
        <v>1.1209579999999999</v>
      </c>
      <c r="L5332">
        <v>141.56630000000001</v>
      </c>
      <c r="M5332">
        <v>-0.99987199999999998</v>
      </c>
      <c r="N5332">
        <v>-1.5314319999999999E-2</v>
      </c>
      <c r="O5332">
        <v>-4.6534979999999998E-3</v>
      </c>
      <c r="P5332">
        <v>-0.99571160000000003</v>
      </c>
      <c r="Q5332">
        <v>-9.1780440000000005E-2</v>
      </c>
      <c r="R5332">
        <v>-1.1628110000000001E-2</v>
      </c>
      <c r="S5332">
        <v>-2.9998469999999999</v>
      </c>
      <c r="T5332">
        <v>-0.1281735</v>
      </c>
      <c r="U5332">
        <v>-0.1025085</v>
      </c>
      <c r="V5332">
        <v>-6.9844440000000002E-3</v>
      </c>
      <c r="W5332">
        <v>-7.6521210000000006E-2</v>
      </c>
      <c r="X5332">
        <v>0.99704349999999997</v>
      </c>
      <c r="Y5332">
        <v>-2.9464879999999999E-2</v>
      </c>
      <c r="Z5332">
        <v>-7.2738749999999997E-4</v>
      </c>
      <c r="AA5332">
        <v>0.9995655</v>
      </c>
      <c r="AB5332">
        <v>29</v>
      </c>
      <c r="AC5332">
        <v>-26.0138999999999</v>
      </c>
      <c r="AD5332">
        <v>-1.1209589052708</v>
      </c>
      <c r="AE5332">
        <v>-0.89549999999999796</v>
      </c>
      <c r="AF5332">
        <v>-0.77298688989544295</v>
      </c>
      <c r="AG5332">
        <v>-1.1209589052708</v>
      </c>
      <c r="AH5332">
        <v>25.9696222728404</v>
      </c>
      <c r="AI5332">
        <v>92.470501546228206</v>
      </c>
      <c r="AJ5332">
        <v>91.704907893266693</v>
      </c>
      <c r="AK5332">
        <v>26.005294433889102</v>
      </c>
      <c r="AL5332">
        <v>94.388632398024399</v>
      </c>
      <c r="AM5332">
        <v>90.401359236330606</v>
      </c>
      <c r="AN5332">
        <v>1.0000000094650501</v>
      </c>
    </row>
    <row r="5333" spans="1:40" x14ac:dyDescent="0.25">
      <c r="A5333" t="str">
        <f>"20190303154915901"</f>
        <v>20190303154915901</v>
      </c>
      <c r="B5333" t="str">
        <f>"1551599355896192"</f>
        <v>1551599355896192</v>
      </c>
      <c r="C5333" t="s">
        <v>40</v>
      </c>
      <c r="D5333">
        <v>5.3612789999999997</v>
      </c>
      <c r="E5333">
        <v>0.49078100000000002</v>
      </c>
      <c r="F5333" t="s">
        <v>41</v>
      </c>
      <c r="G5333">
        <v>-378.13010000000003</v>
      </c>
      <c r="H5333" s="1">
        <v>-1.068191E-6</v>
      </c>
      <c r="I5333">
        <v>140.6824</v>
      </c>
      <c r="J5333">
        <v>-352.78370000000001</v>
      </c>
      <c r="K5333">
        <v>1.1209610000000001</v>
      </c>
      <c r="L5333">
        <v>141.56479999999999</v>
      </c>
      <c r="M5333">
        <v>-0.99987170000000003</v>
      </c>
      <c r="N5333">
        <v>-1.5313159999999999E-2</v>
      </c>
      <c r="O5333">
        <v>-4.7338220000000004E-3</v>
      </c>
      <c r="P5333">
        <v>-0.99569660000000004</v>
      </c>
      <c r="Q5333">
        <v>-9.1887490000000002E-2</v>
      </c>
      <c r="R5333">
        <v>-1.204798E-2</v>
      </c>
      <c r="S5333">
        <v>-2.9996339999999999</v>
      </c>
      <c r="T5333">
        <v>-0.13113529999999901</v>
      </c>
      <c r="U5333">
        <v>-0.1033936</v>
      </c>
      <c r="V5333">
        <v>-7.324789E-3</v>
      </c>
      <c r="W5333">
        <v>-7.6629630000000004E-2</v>
      </c>
      <c r="X5333">
        <v>0.99703269999999999</v>
      </c>
      <c r="Y5333">
        <v>-2.9679959999999998E-2</v>
      </c>
      <c r="Z5333">
        <v>-7.4140100000000004E-4</v>
      </c>
      <c r="AA5333">
        <v>0.99955919999999998</v>
      </c>
      <c r="AB5333">
        <v>29</v>
      </c>
      <c r="AC5333">
        <v>-25.346399999999999</v>
      </c>
      <c r="AD5333">
        <v>-1.120962068191</v>
      </c>
      <c r="AE5333">
        <v>-0.88239999999998897</v>
      </c>
      <c r="AF5333">
        <v>-0.76090425355533897</v>
      </c>
      <c r="AG5333">
        <v>-1.120962068191</v>
      </c>
      <c r="AH5333">
        <v>25.3008671906274</v>
      </c>
      <c r="AI5333">
        <v>92.535701693723595</v>
      </c>
      <c r="AJ5333">
        <v>91.722607583071294</v>
      </c>
      <c r="AK5333">
        <v>25.337115302243198</v>
      </c>
      <c r="AL5333">
        <v>94.394862834886098</v>
      </c>
      <c r="AM5333">
        <v>90.420920944121093</v>
      </c>
      <c r="AN5333">
        <v>0.99999997879855995</v>
      </c>
    </row>
    <row r="5334" spans="1:40" x14ac:dyDescent="0.25">
      <c r="A5334" t="str">
        <f>"20190303154915921"</f>
        <v>20190303154915921</v>
      </c>
      <c r="B5334" t="str">
        <f>"1551599355916688"</f>
        <v>1551599355916688</v>
      </c>
      <c r="C5334" t="s">
        <v>40</v>
      </c>
      <c r="D5334">
        <v>5.4101269999999904</v>
      </c>
      <c r="E5334">
        <v>0.49061300000000002</v>
      </c>
      <c r="F5334" t="s">
        <v>41</v>
      </c>
      <c r="G5334">
        <v>-377.78899999999999</v>
      </c>
      <c r="H5334" s="1">
        <v>-1.21085E-6</v>
      </c>
      <c r="I5334">
        <v>140.6687</v>
      </c>
      <c r="J5334">
        <v>-353.05680000000001</v>
      </c>
      <c r="K5334">
        <v>1.120967</v>
      </c>
      <c r="L5334">
        <v>141.5634</v>
      </c>
      <c r="M5334">
        <v>-0.99987139999999997</v>
      </c>
      <c r="N5334">
        <v>-1.531128E-2</v>
      </c>
      <c r="O5334">
        <v>-4.8081859999999999E-3</v>
      </c>
      <c r="P5334">
        <v>-0.99568420000000002</v>
      </c>
      <c r="Q5334">
        <v>-9.19624E-2</v>
      </c>
      <c r="R5334">
        <v>-1.2506069999999999E-2</v>
      </c>
      <c r="S5334">
        <v>-2.999298</v>
      </c>
      <c r="T5334">
        <v>-0.13445570000000001</v>
      </c>
      <c r="U5334">
        <v>-0.10748290000000001</v>
      </c>
      <c r="V5334">
        <v>-7.7088819999999898E-3</v>
      </c>
      <c r="W5334">
        <v>-7.6706590000000005E-2</v>
      </c>
      <c r="X5334">
        <v>0.99702389999999996</v>
      </c>
      <c r="Y5334">
        <v>-3.0967350000000001E-2</v>
      </c>
      <c r="Z5334">
        <v>-7.8908590000000001E-4</v>
      </c>
      <c r="AA5334">
        <v>0.99952010000000002</v>
      </c>
      <c r="AB5334">
        <v>29</v>
      </c>
      <c r="AC5334">
        <v>-24.732199999999899</v>
      </c>
      <c r="AD5334">
        <v>-1.1209682108499901</v>
      </c>
      <c r="AE5334">
        <v>-0.89470000000000005</v>
      </c>
      <c r="AF5334">
        <v>-0.77417042839644701</v>
      </c>
      <c r="AG5334">
        <v>-1.1209682108499901</v>
      </c>
      <c r="AH5334">
        <v>24.685571463093002</v>
      </c>
      <c r="AI5334">
        <v>92.598730983925506</v>
      </c>
      <c r="AJ5334">
        <v>91.796278639633101</v>
      </c>
      <c r="AK5334">
        <v>24.723133863679401</v>
      </c>
      <c r="AL5334">
        <v>94.399285274698698</v>
      </c>
      <c r="AM5334">
        <v>90.442996002426</v>
      </c>
      <c r="AN5334">
        <v>0.999999992491164</v>
      </c>
    </row>
    <row r="5335" spans="1:40" x14ac:dyDescent="0.25">
      <c r="A5335" t="str">
        <f>"20190303154915936"</f>
        <v>20190303154915936</v>
      </c>
      <c r="B5335" t="str">
        <f>"1551599355925979"</f>
        <v>1551599355925979</v>
      </c>
      <c r="C5335" t="s">
        <v>40</v>
      </c>
      <c r="D5335">
        <v>5.4046949999999896</v>
      </c>
      <c r="E5335">
        <v>0.49058550000000001</v>
      </c>
      <c r="F5335" t="s">
        <v>41</v>
      </c>
      <c r="G5335">
        <v>-377.7047</v>
      </c>
      <c r="H5335" s="1">
        <v>-1.2441789999999999E-6</v>
      </c>
      <c r="I5335">
        <v>140.65809999999999</v>
      </c>
      <c r="J5335">
        <v>-353.25360000000001</v>
      </c>
      <c r="K5335">
        <v>1.12097</v>
      </c>
      <c r="L5335">
        <v>141.5624</v>
      </c>
      <c r="M5335">
        <v>-0.99987110000000001</v>
      </c>
      <c r="N5335">
        <v>-1.530951E-2</v>
      </c>
      <c r="O5335">
        <v>-4.8619270000000003E-3</v>
      </c>
      <c r="P5335">
        <v>-0.99565530000000002</v>
      </c>
      <c r="Q5335">
        <v>-9.2238860000000006E-2</v>
      </c>
      <c r="R5335">
        <v>-1.2766390000000001E-2</v>
      </c>
      <c r="S5335">
        <v>-2.9990230000000002</v>
      </c>
      <c r="T5335">
        <v>-0.1363933</v>
      </c>
      <c r="U5335">
        <v>-0.11015320000000001</v>
      </c>
      <c r="V5335">
        <v>-7.9159959999999998E-3</v>
      </c>
      <c r="W5335">
        <v>-7.6985230000000002E-2</v>
      </c>
      <c r="X5335">
        <v>0.99700080000000002</v>
      </c>
      <c r="Y5335">
        <v>-3.180359E-2</v>
      </c>
      <c r="Z5335">
        <v>-8.1976450000000001E-4</v>
      </c>
      <c r="AA5335">
        <v>0.99949379999999999</v>
      </c>
      <c r="AB5335">
        <v>29</v>
      </c>
      <c r="AC5335">
        <v>-24.4511</v>
      </c>
      <c r="AD5335">
        <v>-1.1209712441790001</v>
      </c>
      <c r="AE5335">
        <v>-0.90430000000000599</v>
      </c>
      <c r="AF5335">
        <v>-0.78375088577703</v>
      </c>
      <c r="AG5335">
        <v>-1.1209712441790001</v>
      </c>
      <c r="AH5335">
        <v>24.403985771008902</v>
      </c>
      <c r="AI5335">
        <v>92.628618965612503</v>
      </c>
      <c r="AJ5335">
        <v>91.839461352640399</v>
      </c>
      <c r="AK5335">
        <v>24.442286380223099</v>
      </c>
      <c r="AL5335">
        <v>94.415297521932004</v>
      </c>
      <c r="AM5335">
        <v>90.4549079911001</v>
      </c>
      <c r="AN5335">
        <v>0.99999999191573197</v>
      </c>
    </row>
    <row r="5336" spans="1:40" x14ac:dyDescent="0.25">
      <c r="A5336" t="str">
        <f>"20190303154915955"</f>
        <v>20190303154915955</v>
      </c>
      <c r="B5336" t="str">
        <f>"1551599355946475"</f>
        <v>1551599355946475</v>
      </c>
      <c r="C5336" t="s">
        <v>40</v>
      </c>
      <c r="D5336">
        <v>5.4237599999999997</v>
      </c>
      <c r="E5336">
        <v>0.49046380000000001</v>
      </c>
      <c r="F5336" t="s">
        <v>41</v>
      </c>
      <c r="G5336">
        <v>-377.59160000000003</v>
      </c>
      <c r="H5336" s="1">
        <v>-1.293194E-6</v>
      </c>
      <c r="I5336">
        <v>140.65979999999999</v>
      </c>
      <c r="J5336">
        <v>-353.48009999999999</v>
      </c>
      <c r="K5336">
        <v>1.1209720000000001</v>
      </c>
      <c r="L5336">
        <v>141.56129999999999</v>
      </c>
      <c r="M5336">
        <v>-0.99987079999999995</v>
      </c>
      <c r="N5336">
        <v>-1.530712E-2</v>
      </c>
      <c r="O5336">
        <v>-4.9235310000000001E-3</v>
      </c>
      <c r="P5336">
        <v>-0.99566500000000002</v>
      </c>
      <c r="Q5336">
        <v>-9.2100829999999995E-2</v>
      </c>
      <c r="R5336">
        <v>-1.30013E-2</v>
      </c>
      <c r="S5336">
        <v>-2.9988709999999998</v>
      </c>
      <c r="T5336">
        <v>-0.13812360000000001</v>
      </c>
      <c r="U5336">
        <v>-0.1112061</v>
      </c>
      <c r="V5336">
        <v>-8.0891269999999998E-3</v>
      </c>
      <c r="W5336">
        <v>-7.6849440000000005E-2</v>
      </c>
      <c r="X5336">
        <v>0.9970099</v>
      </c>
      <c r="Y5336">
        <v>-3.2093030000000002E-2</v>
      </c>
      <c r="Z5336">
        <v>-8.3308419999999995E-4</v>
      </c>
      <c r="AA5336">
        <v>0.9994845</v>
      </c>
      <c r="AB5336">
        <v>29</v>
      </c>
      <c r="AC5336">
        <v>-24.111499999999999</v>
      </c>
      <c r="AD5336">
        <v>-1.120973293194</v>
      </c>
      <c r="AE5336">
        <v>-0.90149999999999797</v>
      </c>
      <c r="AF5336">
        <v>-0.78107556566960501</v>
      </c>
      <c r="AG5336">
        <v>-1.120973293194</v>
      </c>
      <c r="AH5336">
        <v>24.063707248426699</v>
      </c>
      <c r="AI5336">
        <v>92.665711747116603</v>
      </c>
      <c r="AJ5336">
        <v>91.859091218691901</v>
      </c>
      <c r="AK5336">
        <v>24.102461839018101</v>
      </c>
      <c r="AL5336">
        <v>94.407494150229397</v>
      </c>
      <c r="AM5336">
        <v>90.464852623594197</v>
      </c>
      <c r="AN5336">
        <v>1.0000000055509699</v>
      </c>
    </row>
    <row r="5337" spans="1:40" x14ac:dyDescent="0.25">
      <c r="A5337" t="str">
        <f>"20190303154915971"</f>
        <v>20190303154915971</v>
      </c>
      <c r="B5337" t="str">
        <f>"1551599355966972"</f>
        <v>1551599355966972</v>
      </c>
      <c r="C5337" t="s">
        <v>40</v>
      </c>
      <c r="D5337">
        <v>5.4296259999999998</v>
      </c>
      <c r="E5337">
        <v>0.49033500000000002</v>
      </c>
      <c r="F5337" t="s">
        <v>41</v>
      </c>
      <c r="G5337">
        <v>-377.52670000000001</v>
      </c>
      <c r="H5337" s="1">
        <v>-1.3199409999999999E-6</v>
      </c>
      <c r="I5337">
        <v>140.6557</v>
      </c>
      <c r="J5337">
        <v>-353.7002</v>
      </c>
      <c r="K5337">
        <v>1.120976</v>
      </c>
      <c r="L5337">
        <v>141.56010000000001</v>
      </c>
      <c r="M5337">
        <v>-0.9998707</v>
      </c>
      <c r="N5337">
        <v>-1.5304480000000001E-2</v>
      </c>
      <c r="O5337">
        <v>-4.983347E-3</v>
      </c>
      <c r="P5337">
        <v>-0.99563299999999999</v>
      </c>
      <c r="Q5337">
        <v>-9.2447589999999996E-2</v>
      </c>
      <c r="R5337">
        <v>-1.299579E-2</v>
      </c>
      <c r="S5337">
        <v>-2.9986570000000001</v>
      </c>
      <c r="T5337">
        <v>-0.13978779999999999</v>
      </c>
      <c r="U5337">
        <v>-0.112915</v>
      </c>
      <c r="V5337">
        <v>-8.0247319999999997E-3</v>
      </c>
      <c r="W5337">
        <v>-7.7199249999999997E-2</v>
      </c>
      <c r="X5337">
        <v>0.99698339999999996</v>
      </c>
      <c r="Y5337">
        <v>-3.2603119999999999E-2</v>
      </c>
      <c r="Z5337">
        <v>-8.5314080000000001E-4</v>
      </c>
      <c r="AA5337">
        <v>0.99946800000000002</v>
      </c>
      <c r="AB5337">
        <v>29</v>
      </c>
      <c r="AC5337">
        <v>-23.826499999999999</v>
      </c>
      <c r="AD5337">
        <v>-1.120977319941</v>
      </c>
      <c r="AE5337">
        <v>-0.90440000000000897</v>
      </c>
      <c r="AF5337">
        <v>-0.78390651534472899</v>
      </c>
      <c r="AG5337">
        <v>-1.120977319941</v>
      </c>
      <c r="AH5337">
        <v>23.7781550935523</v>
      </c>
      <c r="AI5337">
        <v>92.697642186525002</v>
      </c>
      <c r="AJ5337">
        <v>91.888215187530506</v>
      </c>
      <c r="AK5337">
        <v>23.817467523430199</v>
      </c>
      <c r="AL5337">
        <v>94.427596486061304</v>
      </c>
      <c r="AM5337">
        <v>90.461164495260107</v>
      </c>
      <c r="AN5337">
        <v>1.00000001019989</v>
      </c>
    </row>
    <row r="5338" spans="1:40" x14ac:dyDescent="0.25">
      <c r="A5338" t="str">
        <f>"20190303154915985"</f>
        <v>20190303154915985</v>
      </c>
      <c r="B5338" t="str">
        <f>"1551599355975756"</f>
        <v>1551599355975756</v>
      </c>
      <c r="C5338" t="s">
        <v>40</v>
      </c>
      <c r="D5338">
        <v>5.4226850000000004</v>
      </c>
      <c r="E5338">
        <v>0.4903013</v>
      </c>
      <c r="F5338" t="s">
        <v>41</v>
      </c>
      <c r="G5338">
        <v>-377.2276</v>
      </c>
      <c r="H5338" s="1">
        <v>-1.4508430000000001E-6</v>
      </c>
      <c r="I5338">
        <v>140.66550000000001</v>
      </c>
      <c r="J5338">
        <v>-353.87310000000002</v>
      </c>
      <c r="K5338">
        <v>1.120978</v>
      </c>
      <c r="L5338">
        <v>141.5592</v>
      </c>
      <c r="M5338">
        <v>-0.99987029999999999</v>
      </c>
      <c r="N5338">
        <v>-1.530222E-2</v>
      </c>
      <c r="O5338">
        <v>-5.0302929999999999E-3</v>
      </c>
      <c r="P5338">
        <v>-0.9956644</v>
      </c>
      <c r="Q5338">
        <v>-9.2085109999999998E-2</v>
      </c>
      <c r="R5338">
        <v>-1.314425E-2</v>
      </c>
      <c r="S5338">
        <v>-2.9984130000000002</v>
      </c>
      <c r="T5338">
        <v>-0.1428614</v>
      </c>
      <c r="U5338">
        <v>-0.1139984</v>
      </c>
      <c r="V5338">
        <v>-8.1262160000000003E-3</v>
      </c>
      <c r="W5338">
        <v>-7.6838589999999998E-2</v>
      </c>
      <c r="X5338">
        <v>0.99701039999999996</v>
      </c>
      <c r="Y5338">
        <v>-3.2917750000000003E-2</v>
      </c>
      <c r="Z5338">
        <v>-8.7309919999999997E-4</v>
      </c>
      <c r="AA5338">
        <v>0.9994577</v>
      </c>
      <c r="AB5338">
        <v>29</v>
      </c>
      <c r="AC5338">
        <v>-23.354499999999899</v>
      </c>
      <c r="AD5338">
        <v>-1.120979450843</v>
      </c>
      <c r="AE5338">
        <v>-0.89369999999999505</v>
      </c>
      <c r="AF5338">
        <v>-0.77441343670110296</v>
      </c>
      <c r="AG5338">
        <v>-1.120979450843</v>
      </c>
      <c r="AH5338">
        <v>23.305087635638699</v>
      </c>
      <c r="AI5338">
        <v>92.752299400206894</v>
      </c>
      <c r="AJ5338">
        <v>91.903202502788005</v>
      </c>
      <c r="AK5338">
        <v>23.344879969812499</v>
      </c>
      <c r="AL5338">
        <v>94.406870799951903</v>
      </c>
      <c r="AM5338">
        <v>90.466983664786895</v>
      </c>
      <c r="AN5338">
        <v>0.99999997100391202</v>
      </c>
    </row>
    <row r="5339" spans="1:40" x14ac:dyDescent="0.25">
      <c r="A5339" t="str">
        <f>"20190303154916000"</f>
        <v>20190303154916000</v>
      </c>
      <c r="B5339" t="str">
        <f>"1551599355996251"</f>
        <v>1551599355996251</v>
      </c>
      <c r="C5339" t="s">
        <v>40</v>
      </c>
      <c r="D5339">
        <v>5.4424279999999996</v>
      </c>
      <c r="E5339">
        <v>0.49005779999999899</v>
      </c>
      <c r="F5339" t="s">
        <v>41</v>
      </c>
      <c r="G5339">
        <v>-377.42099999999999</v>
      </c>
      <c r="H5339" s="1">
        <v>-1.3659929999999999E-6</v>
      </c>
      <c r="I5339">
        <v>140.6584</v>
      </c>
      <c r="J5339">
        <v>-354.06110000000001</v>
      </c>
      <c r="K5339">
        <v>1.1209830000000001</v>
      </c>
      <c r="L5339">
        <v>141.5582</v>
      </c>
      <c r="M5339">
        <v>-0.99987000000000004</v>
      </c>
      <c r="N5339">
        <v>-1.52996E-2</v>
      </c>
      <c r="O5339">
        <v>-5.0814069999999996E-3</v>
      </c>
      <c r="P5339">
        <v>-0.99568950000000001</v>
      </c>
      <c r="Q5339">
        <v>-9.1826019999999994E-2</v>
      </c>
      <c r="R5339">
        <v>-1.305927E-2</v>
      </c>
      <c r="S5339">
        <v>-2.998291</v>
      </c>
      <c r="T5339">
        <v>-0.14273139999999901</v>
      </c>
      <c r="U5339">
        <v>-0.1146851</v>
      </c>
      <c r="V5339">
        <v>-7.9899319999999999E-3</v>
      </c>
      <c r="W5339">
        <v>-7.6581739999999995E-2</v>
      </c>
      <c r="X5339">
        <v>0.99703129999999995</v>
      </c>
      <c r="Y5339">
        <v>-3.309658E-2</v>
      </c>
      <c r="Z5339">
        <v>-8.7654189999999998E-4</v>
      </c>
      <c r="AA5339">
        <v>0.9994518</v>
      </c>
      <c r="AB5339">
        <v>29</v>
      </c>
      <c r="AC5339">
        <v>-23.3598999999999</v>
      </c>
      <c r="AD5339">
        <v>-1.1209843659929899</v>
      </c>
      <c r="AE5339">
        <v>-0.89979999999999805</v>
      </c>
      <c r="AF5339">
        <v>-0.77928144644011699</v>
      </c>
      <c r="AG5339">
        <v>-1.1209843659929899</v>
      </c>
      <c r="AH5339">
        <v>23.310570957699699</v>
      </c>
      <c r="AI5339">
        <v>92.751646634446004</v>
      </c>
      <c r="AJ5339">
        <v>91.914707102368894</v>
      </c>
      <c r="AK5339">
        <v>23.3505161376685</v>
      </c>
      <c r="AL5339">
        <v>94.392110726642002</v>
      </c>
      <c r="AM5339">
        <v>90.459142639622399</v>
      </c>
      <c r="AN5339">
        <v>1.0000000075472399</v>
      </c>
    </row>
    <row r="5340" spans="1:40" x14ac:dyDescent="0.25">
      <c r="A5340" t="str">
        <f>"20190303154916023"</f>
        <v>20190303154916023</v>
      </c>
      <c r="B5340" t="str">
        <f>"1551599356015772"</f>
        <v>1551599356015772</v>
      </c>
      <c r="C5340" t="s">
        <v>40</v>
      </c>
      <c r="D5340">
        <v>5.4319369999999996</v>
      </c>
      <c r="E5340">
        <v>0.48982569999999998</v>
      </c>
      <c r="F5340" t="s">
        <v>41</v>
      </c>
      <c r="G5340">
        <v>-377.53649999999999</v>
      </c>
      <c r="H5340" s="1">
        <v>-1.313468E-6</v>
      </c>
      <c r="I5340">
        <v>140.64709999999999</v>
      </c>
      <c r="J5340">
        <v>-354.35449999999997</v>
      </c>
      <c r="K5340">
        <v>1.120992</v>
      </c>
      <c r="L5340">
        <v>141.5566</v>
      </c>
      <c r="M5340">
        <v>-0.99986969999999997</v>
      </c>
      <c r="N5340">
        <v>-1.5295110000000001E-2</v>
      </c>
      <c r="O5340">
        <v>-5.1614699999999996E-3</v>
      </c>
      <c r="P5340">
        <v>-0.99571160000000003</v>
      </c>
      <c r="Q5340">
        <v>-9.1661320000000004E-2</v>
      </c>
      <c r="R5340">
        <v>-1.252545E-2</v>
      </c>
      <c r="S5340">
        <v>-2.9982600000000001</v>
      </c>
      <c r="T5340">
        <v>-0.14317170000000001</v>
      </c>
      <c r="U5340">
        <v>-0.1163483</v>
      </c>
      <c r="V5340">
        <v>-7.3767279999999999E-3</v>
      </c>
      <c r="W5340">
        <v>-7.6421149999999993E-2</v>
      </c>
      <c r="X5340">
        <v>0.9970483</v>
      </c>
      <c r="Y5340">
        <v>-3.3569630000000003E-2</v>
      </c>
      <c r="Z5340">
        <v>-8.9043770000000002E-4</v>
      </c>
      <c r="AA5340">
        <v>0.99943599999999999</v>
      </c>
      <c r="AB5340">
        <v>29</v>
      </c>
      <c r="AC5340">
        <v>-23.181999999999999</v>
      </c>
      <c r="AD5340">
        <v>-1.1209933134679999</v>
      </c>
      <c r="AE5340">
        <v>-0.90950000000000797</v>
      </c>
      <c r="AF5340">
        <v>-0.78798096507220805</v>
      </c>
      <c r="AG5340">
        <v>-1.1209933134679999</v>
      </c>
      <c r="AH5340">
        <v>23.132378229463601</v>
      </c>
      <c r="AI5340">
        <v>92.772773061952805</v>
      </c>
      <c r="AJ5340">
        <v>91.950968152609406</v>
      </c>
      <c r="AK5340">
        <v>23.172925205099101</v>
      </c>
      <c r="AL5340">
        <v>94.382882761046602</v>
      </c>
      <c r="AM5340">
        <v>90.423898891747399</v>
      </c>
      <c r="AN5340">
        <v>0.99999996040809802</v>
      </c>
    </row>
    <row r="5341" spans="1:40" x14ac:dyDescent="0.25">
      <c r="A5341" t="str">
        <f>"20190303154916045"</f>
        <v>20190303154916045</v>
      </c>
      <c r="B5341" t="str">
        <f>"1551599356036267"</f>
        <v>1551599356036267</v>
      </c>
      <c r="C5341" t="s">
        <v>40</v>
      </c>
      <c r="D5341">
        <v>5.4733199999999904</v>
      </c>
      <c r="E5341">
        <v>0.48955359999999998</v>
      </c>
      <c r="F5341" t="s">
        <v>41</v>
      </c>
      <c r="G5341">
        <v>-377.65480000000002</v>
      </c>
      <c r="H5341" s="1">
        <v>-1.2636029999999999E-6</v>
      </c>
      <c r="I5341">
        <v>140.65039999999999</v>
      </c>
      <c r="J5341">
        <v>-354.62950000000001</v>
      </c>
      <c r="K5341">
        <v>1.1209929999999999</v>
      </c>
      <c r="L5341">
        <v>141.55510000000001</v>
      </c>
      <c r="M5341">
        <v>-0.99986949999999997</v>
      </c>
      <c r="N5341">
        <v>-1.529058E-2</v>
      </c>
      <c r="O5341">
        <v>-5.2366469999999997E-3</v>
      </c>
      <c r="P5341">
        <v>-0.99575950000000002</v>
      </c>
      <c r="Q5341">
        <v>-9.1199630000000004E-2</v>
      </c>
      <c r="R5341">
        <v>-1.2072289999999999E-2</v>
      </c>
      <c r="S5341">
        <v>-2.9981689999999999</v>
      </c>
      <c r="T5341">
        <v>-0.14424439999999999</v>
      </c>
      <c r="U5341">
        <v>-0.1165924</v>
      </c>
      <c r="V5341">
        <v>-6.8482889999999996E-3</v>
      </c>
      <c r="W5341">
        <v>-7.5963269999999999E-2</v>
      </c>
      <c r="X5341">
        <v>0.9970871</v>
      </c>
      <c r="Y5341">
        <v>-3.3576349999999998E-2</v>
      </c>
      <c r="Z5341">
        <v>-8.9225519999999996E-4</v>
      </c>
      <c r="AA5341">
        <v>0.99943579999999999</v>
      </c>
      <c r="AB5341">
        <v>29</v>
      </c>
      <c r="AC5341">
        <v>-23.025300000000001</v>
      </c>
      <c r="AD5341">
        <v>-1.1209942636029999</v>
      </c>
      <c r="AE5341">
        <v>-0.90470000000001904</v>
      </c>
      <c r="AF5341">
        <v>-0.78224686973525703</v>
      </c>
      <c r="AG5341">
        <v>-1.1209942636029999</v>
      </c>
      <c r="AH5341">
        <v>22.975348735191599</v>
      </c>
      <c r="AI5341">
        <v>92.791698192587205</v>
      </c>
      <c r="AJ5341">
        <v>91.950009041846201</v>
      </c>
      <c r="AK5341">
        <v>23.0159767945641</v>
      </c>
      <c r="AL5341">
        <v>94.356571507721597</v>
      </c>
      <c r="AM5341">
        <v>90.393518165879001</v>
      </c>
      <c r="AN5341">
        <v>1.0000000012188599</v>
      </c>
    </row>
    <row r="5342" spans="1:40" x14ac:dyDescent="0.25">
      <c r="A5342" t="str">
        <f>"20190303154916059"</f>
        <v>20190303154916059</v>
      </c>
      <c r="B5342" t="str">
        <f>"1551599356056764"</f>
        <v>1551599356056764</v>
      </c>
      <c r="C5342" t="s">
        <v>40</v>
      </c>
      <c r="D5342">
        <v>5.4665819999999998</v>
      </c>
      <c r="E5342">
        <v>0.48932540000000002</v>
      </c>
      <c r="F5342" t="s">
        <v>41</v>
      </c>
      <c r="G5342">
        <v>-377.87150000000003</v>
      </c>
      <c r="H5342" s="1">
        <v>-1.168755E-6</v>
      </c>
      <c r="I5342">
        <v>140.64349999999999</v>
      </c>
      <c r="J5342">
        <v>-354.82979999999998</v>
      </c>
      <c r="K5342">
        <v>1.1209929999999999</v>
      </c>
      <c r="L5342">
        <v>141.554</v>
      </c>
      <c r="M5342">
        <v>-0.99986920000000001</v>
      </c>
      <c r="N5342">
        <v>-1.5287139999999999E-2</v>
      </c>
      <c r="O5342">
        <v>-5.2908549999999997E-3</v>
      </c>
      <c r="P5342">
        <v>-0.99575880000000005</v>
      </c>
      <c r="Q5342">
        <v>-9.122044E-2</v>
      </c>
      <c r="R5342">
        <v>-1.1976840000000001E-2</v>
      </c>
      <c r="S5342">
        <v>-2.9980769999999999</v>
      </c>
      <c r="T5342">
        <v>-0.144601799999999</v>
      </c>
      <c r="U5342">
        <v>-0.1175842</v>
      </c>
      <c r="V5342">
        <v>-6.6985109999999999E-3</v>
      </c>
      <c r="W5342">
        <v>-7.5987479999999996E-2</v>
      </c>
      <c r="X5342">
        <v>0.99708629999999998</v>
      </c>
      <c r="Y5342">
        <v>-3.3852880000000002E-2</v>
      </c>
      <c r="Z5342">
        <v>-9.0056339999999998E-4</v>
      </c>
      <c r="AA5342">
        <v>0.99942640000000005</v>
      </c>
      <c r="AB5342">
        <v>29</v>
      </c>
      <c r="AC5342">
        <v>-23.041699999999999</v>
      </c>
      <c r="AD5342">
        <v>-1.120994168755</v>
      </c>
      <c r="AE5342">
        <v>-0.91050000000001297</v>
      </c>
      <c r="AF5342">
        <v>-0.78670358226288895</v>
      </c>
      <c r="AG5342">
        <v>-1.120994168755</v>
      </c>
      <c r="AH5342">
        <v>22.991860989335098</v>
      </c>
      <c r="AI5342">
        <v>92.789680104003594</v>
      </c>
      <c r="AJ5342">
        <v>91.959702893200401</v>
      </c>
      <c r="AK5342">
        <v>23.032611710477699</v>
      </c>
      <c r="AL5342">
        <v>94.357962540681598</v>
      </c>
      <c r="AM5342">
        <v>90.384912154102494</v>
      </c>
      <c r="AN5342">
        <v>1.0000000284070201</v>
      </c>
    </row>
    <row r="5343" spans="1:40" x14ac:dyDescent="0.25">
      <c r="A5343" t="str">
        <f>"20190303154916080"</f>
        <v>20190303154916080</v>
      </c>
      <c r="B5343" t="str">
        <f>"1551599356066523"</f>
        <v>1551599356066523</v>
      </c>
      <c r="C5343" t="s">
        <v>40</v>
      </c>
      <c r="D5343">
        <v>5.4717460000000004</v>
      </c>
      <c r="E5343">
        <v>0.4892184</v>
      </c>
      <c r="F5343" t="s">
        <v>41</v>
      </c>
      <c r="G5343">
        <v>-377.82209999999998</v>
      </c>
      <c r="H5343" s="1">
        <v>-1.1891969999999999E-6</v>
      </c>
      <c r="I5343">
        <v>140.6405</v>
      </c>
      <c r="J5343">
        <v>-355.06909999999999</v>
      </c>
      <c r="K5343">
        <v>1.1209910000000001</v>
      </c>
      <c r="L5343">
        <v>141.55269999999999</v>
      </c>
      <c r="M5343">
        <v>-0.99986889999999995</v>
      </c>
      <c r="N5343">
        <v>-1.5282789999999999E-2</v>
      </c>
      <c r="O5343">
        <v>-5.3561399999999997E-3</v>
      </c>
      <c r="P5343">
        <v>-0.99575789999999997</v>
      </c>
      <c r="Q5343">
        <v>-9.1244889999999995E-2</v>
      </c>
      <c r="R5343">
        <v>-1.1867549999999999E-2</v>
      </c>
      <c r="S5343">
        <v>-2.997986</v>
      </c>
      <c r="T5343">
        <v>-0.14616789999999999</v>
      </c>
      <c r="U5343">
        <v>-0.1190948</v>
      </c>
      <c r="V5343">
        <v>-6.5244830000000002E-3</v>
      </c>
      <c r="W5343">
        <v>-7.6016269999999997E-2</v>
      </c>
      <c r="X5343">
        <v>0.9970852</v>
      </c>
      <c r="Y5343">
        <v>-3.4290080000000001E-2</v>
      </c>
      <c r="Z5343">
        <v>-9.1835820000000005E-4</v>
      </c>
      <c r="AA5343">
        <v>0.99941150000000001</v>
      </c>
      <c r="AB5343">
        <v>29</v>
      </c>
      <c r="AC5343">
        <v>-22.752999999999901</v>
      </c>
      <c r="AD5343">
        <v>-1.1209921891970001</v>
      </c>
      <c r="AE5343">
        <v>-0.91219999999998402</v>
      </c>
      <c r="AF5343">
        <v>-0.78839381180604895</v>
      </c>
      <c r="AG5343">
        <v>-1.1209921891970001</v>
      </c>
      <c r="AH5343">
        <v>22.702541986393701</v>
      </c>
      <c r="AI5343">
        <v>92.825119723958295</v>
      </c>
      <c r="AJ5343">
        <v>91.988917918526496</v>
      </c>
      <c r="AK5343">
        <v>22.7438695242192</v>
      </c>
      <c r="AL5343">
        <v>94.359617129951999</v>
      </c>
      <c r="AM5343">
        <v>90.3749127998706</v>
      </c>
      <c r="AN5343">
        <v>0.99999996912108402</v>
      </c>
    </row>
    <row r="5344" spans="1:40" x14ac:dyDescent="0.25">
      <c r="A5344" t="str">
        <f>"20190303154916102"</f>
        <v>20190303154916102</v>
      </c>
      <c r="B5344" t="str">
        <f>"1551599356096779"</f>
        <v>1551599356096779</v>
      </c>
      <c r="C5344" t="s">
        <v>40</v>
      </c>
      <c r="D5344">
        <v>5.460248</v>
      </c>
      <c r="E5344">
        <v>0.48893589999999998</v>
      </c>
      <c r="F5344" t="s">
        <v>41</v>
      </c>
      <c r="G5344">
        <v>-377.97430000000003</v>
      </c>
      <c r="H5344" s="1">
        <v>-1.1233830000000001E-6</v>
      </c>
      <c r="I5344">
        <v>140.6387</v>
      </c>
      <c r="J5344">
        <v>-355.36470000000003</v>
      </c>
      <c r="K5344">
        <v>1.120987</v>
      </c>
      <c r="L5344">
        <v>141.55099999999999</v>
      </c>
      <c r="M5344">
        <v>-0.99986850000000005</v>
      </c>
      <c r="N5344">
        <v>-1.527717E-2</v>
      </c>
      <c r="O5344">
        <v>-5.4367900000000004E-3</v>
      </c>
      <c r="P5344">
        <v>-0.99578279999999997</v>
      </c>
      <c r="Q5344">
        <v>-9.0978909999999996E-2</v>
      </c>
      <c r="R5344">
        <v>-1.1807669999999999E-2</v>
      </c>
      <c r="S5344">
        <v>-2.9979550000000001</v>
      </c>
      <c r="T5344">
        <v>-0.14672170000000001</v>
      </c>
      <c r="U5344">
        <v>-0.1196136</v>
      </c>
      <c r="V5344">
        <v>-6.3843529999999997E-3</v>
      </c>
      <c r="W5344">
        <v>-7.5755520000000007E-2</v>
      </c>
      <c r="X5344">
        <v>0.99710600000000005</v>
      </c>
      <c r="Y5344">
        <v>-3.4382139999999999E-2</v>
      </c>
      <c r="Z5344">
        <v>-9.2065300000000001E-4</v>
      </c>
      <c r="AA5344">
        <v>0.99940839999999997</v>
      </c>
      <c r="AB5344">
        <v>29</v>
      </c>
      <c r="AC5344">
        <v>-22.6096</v>
      </c>
      <c r="AD5344">
        <v>-1.1209881233829999</v>
      </c>
      <c r="AE5344">
        <v>-0.91230000000001599</v>
      </c>
      <c r="AF5344">
        <v>-0.78741604164003498</v>
      </c>
      <c r="AG5344">
        <v>-1.1209881233829999</v>
      </c>
      <c r="AH5344">
        <v>22.558862392512701</v>
      </c>
      <c r="AI5344">
        <v>92.843055910406505</v>
      </c>
      <c r="AJ5344">
        <v>91.999094910638604</v>
      </c>
      <c r="AK5344">
        <v>22.600418377537199</v>
      </c>
      <c r="AL5344">
        <v>94.3446338429154</v>
      </c>
      <c r="AM5344">
        <v>90.366853156136699</v>
      </c>
      <c r="AN5344">
        <v>1.00000001700484</v>
      </c>
    </row>
    <row r="5345" spans="1:40" x14ac:dyDescent="0.25">
      <c r="A5345" t="str">
        <f>"20190303154916123"</f>
        <v>20190303154916123</v>
      </c>
      <c r="B5345" t="str">
        <f>"1551599356116299"</f>
        <v>1551599356116299</v>
      </c>
      <c r="C5345" t="s">
        <v>40</v>
      </c>
      <c r="D5345">
        <v>5.4812979999999998</v>
      </c>
      <c r="E5345">
        <v>0.48888809999999999</v>
      </c>
      <c r="F5345" t="s">
        <v>41</v>
      </c>
      <c r="G5345">
        <v>-378.13130000000001</v>
      </c>
      <c r="H5345" s="1">
        <v>-1.052857E-6</v>
      </c>
      <c r="I5345">
        <v>140.6268</v>
      </c>
      <c r="J5345">
        <v>-355.62950000000001</v>
      </c>
      <c r="K5345">
        <v>1.120986</v>
      </c>
      <c r="L5345">
        <v>141.54949999999999</v>
      </c>
      <c r="M5345">
        <v>-0.99986830000000004</v>
      </c>
      <c r="N5345">
        <v>-1.527178E-2</v>
      </c>
      <c r="O5345">
        <v>-5.5091019999999897E-3</v>
      </c>
      <c r="P5345">
        <v>-0.99579410000000002</v>
      </c>
      <c r="Q5345">
        <v>-9.085472E-2</v>
      </c>
      <c r="R5345">
        <v>-1.1821389999999999E-2</v>
      </c>
      <c r="S5345">
        <v>-2.9977420000000001</v>
      </c>
      <c r="T5345">
        <v>-0.14760329999999999</v>
      </c>
      <c r="U5345">
        <v>-0.12167360000000001</v>
      </c>
      <c r="V5345">
        <v>-6.3259279999999998E-3</v>
      </c>
      <c r="W5345">
        <v>-7.5636529999999993E-2</v>
      </c>
      <c r="X5345">
        <v>0.99711539999999999</v>
      </c>
      <c r="Y5345">
        <v>-3.4996880000000001E-2</v>
      </c>
      <c r="Z5345">
        <v>-9.4138329999999995E-4</v>
      </c>
      <c r="AA5345">
        <v>0.99938700000000003</v>
      </c>
      <c r="AB5345">
        <v>28</v>
      </c>
      <c r="AC5345">
        <v>-22.501799999999999</v>
      </c>
      <c r="AD5345">
        <v>-1.1209870528569901</v>
      </c>
      <c r="AE5345">
        <v>-0.92269999999999197</v>
      </c>
      <c r="AF5345">
        <v>-0.79673282494071396</v>
      </c>
      <c r="AG5345">
        <v>-1.1209870528569901</v>
      </c>
      <c r="AH5345">
        <v>22.450917150554801</v>
      </c>
      <c r="AI5345">
        <v>92.856641738006601</v>
      </c>
      <c r="AJ5345">
        <v>92.032446117203904</v>
      </c>
      <c r="AK5345">
        <v>22.493000601700199</v>
      </c>
      <c r="AL5345">
        <v>94.337796625797097</v>
      </c>
      <c r="AM5345">
        <v>90.363492644137494</v>
      </c>
      <c r="AN5345">
        <v>1.0000000114763301</v>
      </c>
    </row>
    <row r="5346" spans="1:40" x14ac:dyDescent="0.25">
      <c r="A5346" t="str">
        <f>"20190303154916139"</f>
        <v>20190303154916139</v>
      </c>
      <c r="B5346" t="str">
        <f>"1551599356135819"</f>
        <v>1551599356135819</v>
      </c>
      <c r="C5346" t="s">
        <v>40</v>
      </c>
      <c r="D5346">
        <v>5.5009290000000002</v>
      </c>
      <c r="E5346">
        <v>0.513513</v>
      </c>
      <c r="F5346" t="s">
        <v>41</v>
      </c>
      <c r="G5346">
        <v>-378.30759999999998</v>
      </c>
      <c r="H5346" s="1">
        <v>-9.7684990000000008E-7</v>
      </c>
      <c r="I5346">
        <v>140.62540000000001</v>
      </c>
      <c r="J5346">
        <v>-355.8476</v>
      </c>
      <c r="K5346">
        <v>1.120984</v>
      </c>
      <c r="L5346">
        <v>141.54820000000001</v>
      </c>
      <c r="M5346">
        <v>-0.99986810000000004</v>
      </c>
      <c r="N5346">
        <v>-1.5267330000000001E-2</v>
      </c>
      <c r="O5346">
        <v>-5.5686640000000001E-3</v>
      </c>
      <c r="P5346">
        <v>-0.99578049999999996</v>
      </c>
      <c r="Q5346">
        <v>-9.1005939999999994E-2</v>
      </c>
      <c r="R5346">
        <v>-1.18017E-2</v>
      </c>
      <c r="S5346">
        <v>-2.9977109999999998</v>
      </c>
      <c r="T5346">
        <v>-0.14817749999999999</v>
      </c>
      <c r="U5346">
        <v>-0.1221313</v>
      </c>
      <c r="V5346">
        <v>-6.2474039999999998E-3</v>
      </c>
      <c r="W5346">
        <v>-7.5792360000000003E-2</v>
      </c>
      <c r="X5346">
        <v>0.99710399999999999</v>
      </c>
      <c r="Y5346">
        <v>-3.5089660000000002E-2</v>
      </c>
      <c r="Z5346">
        <v>-9.4454559999999996E-4</v>
      </c>
      <c r="AA5346">
        <v>0.99938369999999999</v>
      </c>
      <c r="AB5346">
        <v>28</v>
      </c>
      <c r="AC5346">
        <v>-22.459999999999901</v>
      </c>
      <c r="AD5346">
        <v>-1.1209849768498901</v>
      </c>
      <c r="AE5346">
        <v>-0.92279999999999496</v>
      </c>
      <c r="AF5346">
        <v>-0.79572010851652897</v>
      </c>
      <c r="AG5346">
        <v>-1.1209849768498901</v>
      </c>
      <c r="AH5346">
        <v>22.409063315128599</v>
      </c>
      <c r="AI5346">
        <v>92.861960852493596</v>
      </c>
      <c r="AJ5346">
        <v>92.033652901639599</v>
      </c>
      <c r="AK5346">
        <v>22.4511891994804</v>
      </c>
      <c r="AL5346">
        <v>94.346750999957806</v>
      </c>
      <c r="AM5346">
        <v>90.358984818231704</v>
      </c>
      <c r="AN5346">
        <v>0.99999994935355296</v>
      </c>
    </row>
    <row r="5347" spans="1:40" x14ac:dyDescent="0.25">
      <c r="A5347" t="str">
        <f>"20190303154916156"</f>
        <v>20190303154916156</v>
      </c>
      <c r="B5347" t="str">
        <f>"1551599356146555"</f>
        <v>1551599356146555</v>
      </c>
      <c r="C5347" t="s">
        <v>40</v>
      </c>
      <c r="D5347">
        <v>5.4648309999999896</v>
      </c>
      <c r="E5347">
        <v>0.51579529999999996</v>
      </c>
      <c r="F5347" t="s">
        <v>41</v>
      </c>
      <c r="G5347">
        <v>-380.3141</v>
      </c>
      <c r="H5347" s="1">
        <v>-4.6196289999999999E-6</v>
      </c>
      <c r="I5347">
        <v>142.1559</v>
      </c>
      <c r="J5347">
        <v>-356.04430000000002</v>
      </c>
      <c r="K5347">
        <v>1.1209769999999999</v>
      </c>
      <c r="L5347">
        <v>141.547</v>
      </c>
      <c r="M5347">
        <v>-0.99986770000000003</v>
      </c>
      <c r="N5347">
        <v>-1.5263199999999999E-2</v>
      </c>
      <c r="O5347">
        <v>-5.6222690000000001E-3</v>
      </c>
      <c r="P5347">
        <v>-0.9957338</v>
      </c>
      <c r="Q5347">
        <v>-9.1525110000000007E-2</v>
      </c>
      <c r="R5347">
        <v>-1.171824E-2</v>
      </c>
      <c r="S5347">
        <v>-3.001007</v>
      </c>
      <c r="T5347">
        <v>-0.13749800000000001</v>
      </c>
      <c r="U5347">
        <v>7.455444E-2</v>
      </c>
      <c r="V5347">
        <v>-6.1107019999999904E-3</v>
      </c>
      <c r="W5347">
        <v>-7.6316300000000004E-2</v>
      </c>
      <c r="X5347">
        <v>0.99706490000000003</v>
      </c>
      <c r="Y5347">
        <v>3.0411130000000001E-2</v>
      </c>
      <c r="Z5347">
        <v>1.1001540000000001E-3</v>
      </c>
      <c r="AA5347">
        <v>0.99953689999999995</v>
      </c>
      <c r="AB5347">
        <v>28</v>
      </c>
      <c r="AC5347">
        <v>-24.269799999999901</v>
      </c>
      <c r="AD5347">
        <v>-1.1209816196289999</v>
      </c>
      <c r="AE5347">
        <v>0.60890000000000499</v>
      </c>
      <c r="AF5347">
        <v>0.74377187906276399</v>
      </c>
      <c r="AG5347">
        <v>-1.1209816196289999</v>
      </c>
      <c r="AH5347">
        <v>24.214367007219199</v>
      </c>
      <c r="AI5347">
        <v>92.649314729047404</v>
      </c>
      <c r="AJ5347">
        <v>88.240647999920199</v>
      </c>
      <c r="AK5347">
        <v>24.251708516307399</v>
      </c>
      <c r="AL5347">
        <v>94.3768576759973</v>
      </c>
      <c r="AM5347">
        <v>90.3511436928449</v>
      </c>
      <c r="AN5347">
        <v>0.99999996656831502</v>
      </c>
    </row>
    <row r="5348" spans="1:40" x14ac:dyDescent="0.25">
      <c r="A5348" t="str">
        <f>"20190303154916171"</f>
        <v>20190303154916171</v>
      </c>
      <c r="B5348" t="str">
        <f>"1551599356166076"</f>
        <v>1551599356166076</v>
      </c>
      <c r="C5348" t="s">
        <v>40</v>
      </c>
      <c r="D5348">
        <v>5.4678300000000002</v>
      </c>
      <c r="E5348">
        <v>0.5177853</v>
      </c>
      <c r="F5348" t="s">
        <v>41</v>
      </c>
      <c r="G5348">
        <v>-378.90440000000001</v>
      </c>
      <c r="H5348" s="1">
        <v>-1.154221E-6</v>
      </c>
      <c r="I5348">
        <v>142.2542</v>
      </c>
      <c r="J5348">
        <v>-356.2475</v>
      </c>
      <c r="K5348">
        <v>1.1209739999999999</v>
      </c>
      <c r="L5348">
        <v>141.54580000000001</v>
      </c>
      <c r="M5348">
        <v>-0.99986759999999997</v>
      </c>
      <c r="N5348">
        <v>-1.5258880000000001E-2</v>
      </c>
      <c r="O5348">
        <v>-5.6777819999999897E-3</v>
      </c>
      <c r="P5348">
        <v>-0.99568719999999999</v>
      </c>
      <c r="Q5348">
        <v>-9.2056319999999997E-2</v>
      </c>
      <c r="R5348">
        <v>-1.1526740000000001E-2</v>
      </c>
      <c r="S5348">
        <v>-3.0004270000000002</v>
      </c>
      <c r="T5348">
        <v>-0.1471305</v>
      </c>
      <c r="U5348">
        <v>9.2834470000000002E-2</v>
      </c>
      <c r="V5348">
        <v>-5.8641830000000002E-3</v>
      </c>
      <c r="W5348">
        <v>-7.6852420000000005E-2</v>
      </c>
      <c r="X5348">
        <v>0.9970253</v>
      </c>
      <c r="Y5348">
        <v>3.6540070000000001E-2</v>
      </c>
      <c r="Z5348">
        <v>1.365836E-3</v>
      </c>
      <c r="AA5348">
        <v>0.99933119999999998</v>
      </c>
      <c r="AB5348">
        <v>28</v>
      </c>
      <c r="AC5348">
        <v>-22.6569</v>
      </c>
      <c r="AD5348">
        <v>-1.120975154221</v>
      </c>
      <c r="AE5348">
        <v>0.70839999999998304</v>
      </c>
      <c r="AF5348">
        <v>0.83500248409404798</v>
      </c>
      <c r="AG5348">
        <v>-1.120975154221</v>
      </c>
      <c r="AH5348">
        <v>22.597250659692602</v>
      </c>
      <c r="AI5348">
        <v>92.837993168040299</v>
      </c>
      <c r="AJ5348">
        <v>87.883797369937696</v>
      </c>
      <c r="AK5348">
        <v>22.6404406278191</v>
      </c>
      <c r="AL5348">
        <v>94.407665131262604</v>
      </c>
      <c r="AM5348">
        <v>90.336991510455505</v>
      </c>
      <c r="AN5348">
        <v>1.0000000659710899</v>
      </c>
    </row>
    <row r="5349" spans="1:40" x14ac:dyDescent="0.25">
      <c r="A5349" t="str">
        <f>"20190303154916185"</f>
        <v>20190303154916185</v>
      </c>
      <c r="B5349" t="str">
        <f>"1551599356175835"</f>
        <v>1551599356175835</v>
      </c>
      <c r="C5349" t="s">
        <v>40</v>
      </c>
      <c r="D5349">
        <v>5.4823269999999997</v>
      </c>
      <c r="E5349">
        <v>0.5182504</v>
      </c>
      <c r="F5349" t="s">
        <v>41</v>
      </c>
      <c r="G5349">
        <v>-378.07619999999997</v>
      </c>
      <c r="H5349" s="1">
        <v>-1.5324440000000001E-6</v>
      </c>
      <c r="I5349">
        <v>142.34030000000001</v>
      </c>
      <c r="J5349">
        <v>-356.41820000000001</v>
      </c>
      <c r="K5349">
        <v>1.120973</v>
      </c>
      <c r="L5349">
        <v>141.54480000000001</v>
      </c>
      <c r="M5349">
        <v>-0.99986730000000001</v>
      </c>
      <c r="N5349">
        <v>-1.525522E-2</v>
      </c>
      <c r="O5349">
        <v>-5.7244790000000002E-3</v>
      </c>
      <c r="P5349">
        <v>-0.99564960000000002</v>
      </c>
      <c r="Q5349">
        <v>-9.250382E-2</v>
      </c>
      <c r="R5349">
        <v>-1.1191950000000001E-2</v>
      </c>
      <c r="S5349">
        <v>-3</v>
      </c>
      <c r="T5349">
        <v>-0.15406020000000001</v>
      </c>
      <c r="U5349">
        <v>0.1092072</v>
      </c>
      <c r="V5349">
        <v>-5.4831790000000004E-3</v>
      </c>
      <c r="W5349">
        <v>-7.7304079999999997E-2</v>
      </c>
      <c r="X5349">
        <v>0.99699249999999995</v>
      </c>
      <c r="Y5349">
        <v>4.2023560000000001E-2</v>
      </c>
      <c r="Z5349">
        <v>1.6053230000000001E-3</v>
      </c>
      <c r="AA5349">
        <v>0.99911530000000004</v>
      </c>
      <c r="AB5349">
        <v>28</v>
      </c>
      <c r="AC5349">
        <v>-21.657999999999902</v>
      </c>
      <c r="AD5349">
        <v>-1.1209745324439999</v>
      </c>
      <c r="AE5349">
        <v>0.79550000000000398</v>
      </c>
      <c r="AF5349">
        <v>0.91702884203763602</v>
      </c>
      <c r="AG5349">
        <v>-1.1209745324439999</v>
      </c>
      <c r="AH5349">
        <v>21.5953171737799</v>
      </c>
      <c r="AI5349">
        <v>92.968784494010706</v>
      </c>
      <c r="AJ5349">
        <v>87.568438812148997</v>
      </c>
      <c r="AK5349">
        <v>21.6438270561301</v>
      </c>
      <c r="AL5349">
        <v>94.433620781742903</v>
      </c>
      <c r="AM5349">
        <v>90.315107533491997</v>
      </c>
      <c r="AN5349">
        <v>1.0000000155464199</v>
      </c>
    </row>
    <row r="5350" spans="1:40" x14ac:dyDescent="0.25">
      <c r="A5350" t="str">
        <f>"20190303154916201"</f>
        <v>20190303154916201</v>
      </c>
      <c r="B5350" t="str">
        <f>"1551599356196332"</f>
        <v>1551599356196332</v>
      </c>
      <c r="C5350" t="s">
        <v>40</v>
      </c>
      <c r="D5350">
        <v>5.3990109999999998</v>
      </c>
      <c r="E5350">
        <v>0.51825829999999995</v>
      </c>
      <c r="F5350" t="s">
        <v>41</v>
      </c>
      <c r="G5350">
        <v>-378.19510000000002</v>
      </c>
      <c r="H5350" s="1">
        <v>-1.489743E-6</v>
      </c>
      <c r="I5350">
        <v>142.3716</v>
      </c>
      <c r="J5350">
        <v>-356.61619999999999</v>
      </c>
      <c r="K5350">
        <v>1.1209830000000001</v>
      </c>
      <c r="L5350">
        <v>141.5436</v>
      </c>
      <c r="M5350">
        <v>-0.99986699999999995</v>
      </c>
      <c r="N5350">
        <v>-1.5250959999999999E-2</v>
      </c>
      <c r="O5350">
        <v>-5.7783219999999998E-3</v>
      </c>
      <c r="P5350">
        <v>-0.99566379999999999</v>
      </c>
      <c r="Q5350">
        <v>-9.2430929999999994E-2</v>
      </c>
      <c r="R5350">
        <v>-1.0484429999999999E-2</v>
      </c>
      <c r="S5350">
        <v>-3</v>
      </c>
      <c r="T5350">
        <v>-0.1544266</v>
      </c>
      <c r="U5350">
        <v>0.11390690000000001</v>
      </c>
      <c r="V5350">
        <v>-4.7220830000000002E-3</v>
      </c>
      <c r="W5350">
        <v>-7.7235209999999999E-2</v>
      </c>
      <c r="X5350">
        <v>0.99700169999999999</v>
      </c>
      <c r="Y5350">
        <v>4.3637189999999999E-2</v>
      </c>
      <c r="Z5350">
        <v>1.6642460000000001E-3</v>
      </c>
      <c r="AA5350">
        <v>0.99904610000000005</v>
      </c>
      <c r="AB5350">
        <v>28</v>
      </c>
      <c r="AC5350">
        <v>-21.578900000000001</v>
      </c>
      <c r="AD5350">
        <v>-1.1209844897429999</v>
      </c>
      <c r="AE5350">
        <v>0.82800000000000296</v>
      </c>
      <c r="AF5350">
        <v>0.95013024549571301</v>
      </c>
      <c r="AG5350">
        <v>-1.1209844897429999</v>
      </c>
      <c r="AH5350">
        <v>21.515777262847202</v>
      </c>
      <c r="AI5350">
        <v>92.979548225003597</v>
      </c>
      <c r="AJ5350">
        <v>87.471478380349595</v>
      </c>
      <c r="AK5350">
        <v>21.565899585551801</v>
      </c>
      <c r="AL5350">
        <v>94.429663134074602</v>
      </c>
      <c r="AM5350">
        <v>90.271367043175502</v>
      </c>
      <c r="AN5350">
        <v>0.999999982767246</v>
      </c>
    </row>
    <row r="5351" spans="1:40" x14ac:dyDescent="0.25">
      <c r="A5351" t="str">
        <f>"20190303154916217"</f>
        <v>20190303154916217</v>
      </c>
      <c r="B5351" t="str">
        <f>"1551599356206091"</f>
        <v>1551599356206091</v>
      </c>
      <c r="C5351" t="s">
        <v>40</v>
      </c>
      <c r="D5351">
        <v>5.4280350000000004</v>
      </c>
      <c r="E5351">
        <v>0.5185187</v>
      </c>
      <c r="F5351" t="s">
        <v>41</v>
      </c>
      <c r="G5351">
        <v>-377.54719999999998</v>
      </c>
      <c r="H5351" s="1">
        <v>-1.7624780000000001E-6</v>
      </c>
      <c r="I5351">
        <v>142.3519</v>
      </c>
      <c r="J5351">
        <v>-356.83499999999998</v>
      </c>
      <c r="K5351">
        <v>1.120987</v>
      </c>
      <c r="L5351">
        <v>141.54230000000001</v>
      </c>
      <c r="M5351">
        <v>-0.99986679999999994</v>
      </c>
      <c r="N5351">
        <v>-1.524617E-2</v>
      </c>
      <c r="O5351">
        <v>-5.8366759999999998E-3</v>
      </c>
      <c r="P5351">
        <v>-0.99568809999999996</v>
      </c>
      <c r="Q5351">
        <v>-9.2239249999999995E-2</v>
      </c>
      <c r="R5351">
        <v>-9.8583679999999993E-3</v>
      </c>
      <c r="S5351">
        <v>-2.9993289999999999</v>
      </c>
      <c r="T5351">
        <v>-0.160633</v>
      </c>
      <c r="U5351">
        <v>0.11584469999999999</v>
      </c>
      <c r="V5351">
        <v>-4.0375539999999996E-3</v>
      </c>
      <c r="W5351">
        <v>-7.7047939999999995E-2</v>
      </c>
      <c r="X5351">
        <v>0.99701919999999999</v>
      </c>
      <c r="Y5351">
        <v>4.4341279999999997E-2</v>
      </c>
      <c r="Z5351">
        <v>1.7479069999999999E-3</v>
      </c>
      <c r="AA5351">
        <v>0.99901490000000004</v>
      </c>
      <c r="AB5351">
        <v>28</v>
      </c>
      <c r="AC5351">
        <v>-20.712199999999999</v>
      </c>
      <c r="AD5351">
        <v>-1.1209887624779999</v>
      </c>
      <c r="AE5351">
        <v>0.809599999999989</v>
      </c>
      <c r="AF5351">
        <v>0.92777714653097398</v>
      </c>
      <c r="AG5351">
        <v>-1.1209887624779999</v>
      </c>
      <c r="AH5351">
        <v>20.6467348976085</v>
      </c>
      <c r="AI5351">
        <v>93.104624964619603</v>
      </c>
      <c r="AJ5351">
        <v>87.427100253094906</v>
      </c>
      <c r="AK5351">
        <v>20.697947921747101</v>
      </c>
      <c r="AL5351">
        <v>94.418901270067707</v>
      </c>
      <c r="AM5351">
        <v>90.232025159775901</v>
      </c>
      <c r="AN5351">
        <v>0.99999998603459295</v>
      </c>
    </row>
    <row r="5352" spans="1:40" x14ac:dyDescent="0.25">
      <c r="A5352" t="str">
        <f>"20190303154916235"</f>
        <v>20190303154916235</v>
      </c>
      <c r="B5352" t="str">
        <f>"1551599356226588"</f>
        <v>1551599356226588</v>
      </c>
      <c r="C5352" t="s">
        <v>40</v>
      </c>
      <c r="D5352">
        <v>5.4467699999999999</v>
      </c>
      <c r="E5352">
        <v>0.51915089999999997</v>
      </c>
      <c r="F5352" t="s">
        <v>41</v>
      </c>
      <c r="G5352">
        <v>-377.87909999999999</v>
      </c>
      <c r="H5352" s="1">
        <v>-1.6283740000000001E-6</v>
      </c>
      <c r="I5352">
        <v>142.38310000000001</v>
      </c>
      <c r="J5352">
        <v>-357.03890000000001</v>
      </c>
      <c r="K5352">
        <v>1.120989</v>
      </c>
      <c r="L5352">
        <v>141.541</v>
      </c>
      <c r="M5352">
        <v>-0.99986649999999999</v>
      </c>
      <c r="N5352">
        <v>-1.524154E-2</v>
      </c>
      <c r="O5352">
        <v>-5.887621E-3</v>
      </c>
      <c r="P5352">
        <v>-0.9957047</v>
      </c>
      <c r="Q5352">
        <v>-9.2148599999999997E-2</v>
      </c>
      <c r="R5352">
        <v>-9.0010090000000008E-3</v>
      </c>
      <c r="S5352">
        <v>-2.9994200000000002</v>
      </c>
      <c r="T5352">
        <v>-0.159775</v>
      </c>
      <c r="U5352">
        <v>0.1198578</v>
      </c>
      <c r="V5352">
        <v>-3.1300049999999999E-3</v>
      </c>
      <c r="W5352">
        <v>-7.6961630000000003E-2</v>
      </c>
      <c r="X5352">
        <v>0.9970291</v>
      </c>
      <c r="Y5352">
        <v>4.572383E-2</v>
      </c>
      <c r="Z5352">
        <v>1.789031E-3</v>
      </c>
      <c r="AA5352">
        <v>0.99895250000000002</v>
      </c>
      <c r="AB5352">
        <v>28</v>
      </c>
      <c r="AC5352">
        <v>-20.8401999999999</v>
      </c>
      <c r="AD5352">
        <v>-1.1209906283740001</v>
      </c>
      <c r="AE5352">
        <v>0.84210000000001595</v>
      </c>
      <c r="AF5352">
        <v>0.96201993733133695</v>
      </c>
      <c r="AG5352">
        <v>-1.1209906283740001</v>
      </c>
      <c r="AH5352">
        <v>20.774869290708398</v>
      </c>
      <c r="AI5352">
        <v>93.085326397449705</v>
      </c>
      <c r="AJ5352">
        <v>87.348703676438603</v>
      </c>
      <c r="AK5352">
        <v>20.8273209125596</v>
      </c>
      <c r="AL5352">
        <v>94.413941468590707</v>
      </c>
      <c r="AM5352">
        <v>90.179869862589996</v>
      </c>
      <c r="AN5352">
        <v>0.99999995783518203</v>
      </c>
    </row>
    <row r="5353" spans="1:40" x14ac:dyDescent="0.25">
      <c r="A5353" t="str">
        <f>"20190303154916250"</f>
        <v>20190303154916250</v>
      </c>
      <c r="B5353" t="str">
        <f>"1551599356246108"</f>
        <v>1551599356246108</v>
      </c>
      <c r="C5353" t="s">
        <v>40</v>
      </c>
      <c r="D5353">
        <v>5.4719600000000002</v>
      </c>
      <c r="E5353">
        <v>0.51941700000000002</v>
      </c>
      <c r="F5353" t="s">
        <v>41</v>
      </c>
      <c r="G5353">
        <v>-378.2149</v>
      </c>
      <c r="H5353" s="1">
        <v>-1.4997189999999999E-6</v>
      </c>
      <c r="I5353">
        <v>142.441</v>
      </c>
      <c r="J5353">
        <v>-357.23579999999998</v>
      </c>
      <c r="K5353">
        <v>1.1209849999999999</v>
      </c>
      <c r="L5353">
        <v>141.53980000000001</v>
      </c>
      <c r="M5353">
        <v>-0.99986640000000004</v>
      </c>
      <c r="N5353">
        <v>-1.523709E-2</v>
      </c>
      <c r="O5353">
        <v>-5.9306539999999996E-3</v>
      </c>
      <c r="P5353">
        <v>-0.99567870000000003</v>
      </c>
      <c r="Q5353">
        <v>-9.2447399999999999E-2</v>
      </c>
      <c r="R5353">
        <v>-8.8215040000000008E-3</v>
      </c>
      <c r="S5353">
        <v>-2.99939</v>
      </c>
      <c r="T5353">
        <v>-0.15877869999999999</v>
      </c>
      <c r="U5353">
        <v>0.12748719999999999</v>
      </c>
      <c r="V5353">
        <v>-2.9083910000000002E-3</v>
      </c>
      <c r="W5353">
        <v>-7.7265169999999994E-2</v>
      </c>
      <c r="X5353">
        <v>0.99700639999999996</v>
      </c>
      <c r="Y5353">
        <v>4.8300080000000002E-2</v>
      </c>
      <c r="Z5353">
        <v>1.868771E-3</v>
      </c>
      <c r="AA5353">
        <v>0.99883109999999997</v>
      </c>
      <c r="AB5353">
        <v>28</v>
      </c>
      <c r="AC5353">
        <v>-20.979099999999999</v>
      </c>
      <c r="AD5353">
        <v>-1.120986499719</v>
      </c>
      <c r="AE5353">
        <v>0.90119999999998801</v>
      </c>
      <c r="AF5353">
        <v>1.0227037846803799</v>
      </c>
      <c r="AG5353">
        <v>-1.120986499719</v>
      </c>
      <c r="AH5353">
        <v>20.913783891005199</v>
      </c>
      <c r="AI5353">
        <v>93.064483950985704</v>
      </c>
      <c r="AJ5353">
        <v>87.200412399999706</v>
      </c>
      <c r="AK5353">
        <v>20.968759868037498</v>
      </c>
      <c r="AL5353">
        <v>94.431384502432707</v>
      </c>
      <c r="AM5353">
        <v>90.1671384023211</v>
      </c>
      <c r="AN5353">
        <v>1.00000006343714</v>
      </c>
    </row>
    <row r="5354" spans="1:40" x14ac:dyDescent="0.25">
      <c r="A5354" t="str">
        <f>"20190303154916265"</f>
        <v>20190303154916265</v>
      </c>
      <c r="B5354" t="str">
        <f>"1551599356255868"</f>
        <v>1551599356255868</v>
      </c>
      <c r="C5354" t="s">
        <v>40</v>
      </c>
      <c r="D5354">
        <v>5.4425569999999999</v>
      </c>
      <c r="E5354">
        <v>0.5195533</v>
      </c>
      <c r="F5354" t="s">
        <v>41</v>
      </c>
      <c r="G5354">
        <v>-378.3159</v>
      </c>
      <c r="H5354" s="1">
        <v>-1.4598350000000001E-6</v>
      </c>
      <c r="I5354">
        <v>142.4539</v>
      </c>
      <c r="J5354">
        <v>-357.41730000000001</v>
      </c>
      <c r="K5354">
        <v>1.1209769999999999</v>
      </c>
      <c r="L5354">
        <v>141.53870000000001</v>
      </c>
      <c r="M5354">
        <v>-0.99986620000000004</v>
      </c>
      <c r="N5354">
        <v>-1.523299E-2</v>
      </c>
      <c r="O5354">
        <v>-5.9641190000000004E-3</v>
      </c>
      <c r="P5354">
        <v>-0.99567139999999998</v>
      </c>
      <c r="Q5354">
        <v>-9.2527929999999994E-2</v>
      </c>
      <c r="R5354">
        <v>-8.7850889999999994E-3</v>
      </c>
      <c r="S5354">
        <v>-2.9993590000000001</v>
      </c>
      <c r="T5354">
        <v>-0.15949869999999999</v>
      </c>
      <c r="U5354">
        <v>0.13008119999999901</v>
      </c>
      <c r="V5354">
        <v>-2.8399129999999999E-3</v>
      </c>
      <c r="W5354">
        <v>-7.7349829999999994E-2</v>
      </c>
      <c r="X5354">
        <v>0.997</v>
      </c>
      <c r="Y5354">
        <v>4.9193769999999998E-2</v>
      </c>
      <c r="Z5354">
        <v>1.907717E-3</v>
      </c>
      <c r="AA5354">
        <v>0.99878739999999999</v>
      </c>
      <c r="AB5354">
        <v>28</v>
      </c>
      <c r="AC5354">
        <v>-20.898599999999899</v>
      </c>
      <c r="AD5354">
        <v>-1.1209784598350001</v>
      </c>
      <c r="AE5354">
        <v>0.91519999999999802</v>
      </c>
      <c r="AF5354">
        <v>1.0368624354923699</v>
      </c>
      <c r="AG5354">
        <v>-1.1209784598350001</v>
      </c>
      <c r="AH5354">
        <v>20.8329447743765</v>
      </c>
      <c r="AI5354">
        <v>93.076199030369096</v>
      </c>
      <c r="AJ5354">
        <v>87.1507215064767</v>
      </c>
      <c r="AK5354">
        <v>20.888831091992</v>
      </c>
      <c r="AL5354">
        <v>94.436249868706</v>
      </c>
      <c r="AM5354">
        <v>90.163204201616793</v>
      </c>
      <c r="AN5354">
        <v>1.00000003065343</v>
      </c>
    </row>
    <row r="5355" spans="1:40" x14ac:dyDescent="0.25">
      <c r="A5355" t="str">
        <f>"20190303154916280"</f>
        <v>20190303154916280</v>
      </c>
      <c r="B5355" t="str">
        <f>"1551599356276364"</f>
        <v>1551599356276364</v>
      </c>
      <c r="C5355" t="s">
        <v>40</v>
      </c>
      <c r="D5355">
        <v>5.4229209999999997</v>
      </c>
      <c r="E5355">
        <v>0.51991679999999996</v>
      </c>
      <c r="F5355" t="s">
        <v>41</v>
      </c>
      <c r="G5355">
        <v>-378.46260000000001</v>
      </c>
      <c r="H5355" s="1">
        <v>-1.3985710000000001E-6</v>
      </c>
      <c r="I5355">
        <v>142.46019999999999</v>
      </c>
      <c r="J5355">
        <v>-357.61189999999999</v>
      </c>
      <c r="K5355">
        <v>1.1209690000000001</v>
      </c>
      <c r="L5355">
        <v>141.53749999999999</v>
      </c>
      <c r="M5355">
        <v>-0.99986609999999998</v>
      </c>
      <c r="N5355">
        <v>-1.522856E-2</v>
      </c>
      <c r="O5355">
        <v>-5.992285E-3</v>
      </c>
      <c r="P5355">
        <v>-0.99563120000000005</v>
      </c>
      <c r="Q5355">
        <v>-9.2886689999999994E-2</v>
      </c>
      <c r="R5355">
        <v>-9.5045070000000006E-3</v>
      </c>
      <c r="S5355">
        <v>-2.9993590000000001</v>
      </c>
      <c r="T5355">
        <v>-0.15976109999999999</v>
      </c>
      <c r="U5355">
        <v>0.13134770000000001</v>
      </c>
      <c r="V5355">
        <v>-3.5334300000000002E-3</v>
      </c>
      <c r="W5355">
        <v>-7.7713500000000005E-2</v>
      </c>
      <c r="X5355">
        <v>0.99696949999999995</v>
      </c>
      <c r="Y5355">
        <v>4.9641739999999997E-2</v>
      </c>
      <c r="Z5355">
        <v>1.9266940000000001E-3</v>
      </c>
      <c r="AA5355">
        <v>0.99876520000000002</v>
      </c>
      <c r="AB5355">
        <v>28</v>
      </c>
      <c r="AC5355">
        <v>-20.8507</v>
      </c>
      <c r="AD5355">
        <v>-1.120970398571</v>
      </c>
      <c r="AE5355">
        <v>0.92269999999999197</v>
      </c>
      <c r="AF5355">
        <v>1.04462783997773</v>
      </c>
      <c r="AG5355">
        <v>-1.120970398571</v>
      </c>
      <c r="AH5355">
        <v>20.7848382710016</v>
      </c>
      <c r="AI5355">
        <v>93.0832079962953</v>
      </c>
      <c r="AJ5355">
        <v>87.122785069299695</v>
      </c>
      <c r="AK5355">
        <v>20.8412409397862</v>
      </c>
      <c r="AL5355">
        <v>94.457149543913005</v>
      </c>
      <c r="AM5355">
        <v>90.203065167530895</v>
      </c>
      <c r="AN5355">
        <v>1.0000000285700299</v>
      </c>
    </row>
    <row r="5356" spans="1:40" x14ac:dyDescent="0.25">
      <c r="A5356" t="str">
        <f>"20190303154916303"</f>
        <v>20190303154916303</v>
      </c>
      <c r="B5356" t="str">
        <f>"1551599356295884"</f>
        <v>1551599356295884</v>
      </c>
      <c r="C5356" t="s">
        <v>40</v>
      </c>
      <c r="D5356">
        <v>5.3878089999999998</v>
      </c>
      <c r="E5356">
        <v>0.52006909999999995</v>
      </c>
      <c r="F5356" t="s">
        <v>41</v>
      </c>
      <c r="G5356">
        <v>-378.61849999999998</v>
      </c>
      <c r="H5356" s="1">
        <v>-1.3323200000000001E-6</v>
      </c>
      <c r="I5356">
        <v>142.46260000000001</v>
      </c>
      <c r="J5356">
        <v>-357.8895</v>
      </c>
      <c r="K5356">
        <v>1.12096</v>
      </c>
      <c r="L5356">
        <v>141.53579999999999</v>
      </c>
      <c r="M5356">
        <v>-0.99986609999999998</v>
      </c>
      <c r="N5356">
        <v>-1.522216E-2</v>
      </c>
      <c r="O5356">
        <v>-6.019155E-3</v>
      </c>
      <c r="P5356">
        <v>-0.99562709999999999</v>
      </c>
      <c r="Q5356">
        <v>-9.2809020000000006E-2</v>
      </c>
      <c r="R5356">
        <v>-1.0650150000000001E-2</v>
      </c>
      <c r="S5356">
        <v>-2.9995120000000002</v>
      </c>
      <c r="T5356">
        <v>-0.16006239999999999</v>
      </c>
      <c r="U5356">
        <v>0.13211059999999999</v>
      </c>
      <c r="V5356">
        <v>-4.6544280000000004E-3</v>
      </c>
      <c r="W5356">
        <v>-7.7642089999999997E-2</v>
      </c>
      <c r="X5356">
        <v>0.99697040000000003</v>
      </c>
      <c r="Y5356">
        <v>4.9919060000000001E-2</v>
      </c>
      <c r="Z5356">
        <v>1.9400999999999999E-3</v>
      </c>
      <c r="AA5356">
        <v>0.99875139999999996</v>
      </c>
      <c r="AB5356">
        <v>28</v>
      </c>
      <c r="AC5356">
        <v>-20.7289999999999</v>
      </c>
      <c r="AD5356">
        <v>-1.1209613323200001</v>
      </c>
      <c r="AE5356">
        <v>0.92680000000001395</v>
      </c>
      <c r="AF5356">
        <v>1.0485086634510401</v>
      </c>
      <c r="AG5356">
        <v>-1.1209613323200001</v>
      </c>
      <c r="AH5356">
        <v>20.662741329500001</v>
      </c>
      <c r="AI5356">
        <v>93.101290705758203</v>
      </c>
      <c r="AJ5356">
        <v>87.095078704404401</v>
      </c>
      <c r="AK5356">
        <v>20.7196719080134</v>
      </c>
      <c r="AL5356">
        <v>94.453045922131295</v>
      </c>
      <c r="AM5356">
        <v>90.267487523199506</v>
      </c>
      <c r="AN5356">
        <v>0.99999996815786696</v>
      </c>
    </row>
    <row r="5357" spans="1:40" x14ac:dyDescent="0.25">
      <c r="A5357" t="str">
        <f>"20190303154916324"</f>
        <v>20190303154916324</v>
      </c>
      <c r="B5357" t="str">
        <f>"1551599356316380"</f>
        <v>1551599356316380</v>
      </c>
      <c r="C5357" t="s">
        <v>40</v>
      </c>
      <c r="D5357">
        <v>5.4189550000000004</v>
      </c>
      <c r="E5357">
        <v>0.52026899999999998</v>
      </c>
      <c r="F5357" t="s">
        <v>41</v>
      </c>
      <c r="G5357">
        <v>-379.02890000000002</v>
      </c>
      <c r="H5357" s="1">
        <v>-1.153275E-6</v>
      </c>
      <c r="I5357">
        <v>142.4513</v>
      </c>
      <c r="J5357">
        <v>-358.1558</v>
      </c>
      <c r="K5357">
        <v>1.120941</v>
      </c>
      <c r="L5357">
        <v>141.5341</v>
      </c>
      <c r="M5357">
        <v>-0.99986609999999998</v>
      </c>
      <c r="N5357">
        <v>-1.5215960000000001E-2</v>
      </c>
      <c r="O5357">
        <v>-6.034869E-3</v>
      </c>
      <c r="P5357">
        <v>-0.99558069999999999</v>
      </c>
      <c r="Q5357">
        <v>-9.3171690000000001E-2</v>
      </c>
      <c r="R5357">
        <v>-1.1759199999999999E-2</v>
      </c>
      <c r="S5357">
        <v>-2.9997560000000001</v>
      </c>
      <c r="T5357">
        <v>-0.15906879999999901</v>
      </c>
      <c r="U5357">
        <v>0.12992860000000001</v>
      </c>
      <c r="V5357">
        <v>-5.7509900000000001E-3</v>
      </c>
      <c r="W5357">
        <v>-7.8011349999999993E-2</v>
      </c>
      <c r="X5357">
        <v>0.99693589999999999</v>
      </c>
      <c r="Y5357">
        <v>4.9208429999999997E-2</v>
      </c>
      <c r="Z5357">
        <v>1.905987E-3</v>
      </c>
      <c r="AA5357">
        <v>0.99878670000000003</v>
      </c>
      <c r="AB5357">
        <v>28</v>
      </c>
      <c r="AC5357">
        <v>-20.873100000000001</v>
      </c>
      <c r="AD5357">
        <v>-1.1209421532749999</v>
      </c>
      <c r="AE5357">
        <v>0.91720000000000801</v>
      </c>
      <c r="AF5357">
        <v>1.04017024176893</v>
      </c>
      <c r="AG5357">
        <v>-1.1209421532749999</v>
      </c>
      <c r="AH5357">
        <v>20.807291787236601</v>
      </c>
      <c r="AI5357">
        <v>93.079851067550194</v>
      </c>
      <c r="AJ5357">
        <v>87.138128602764098</v>
      </c>
      <c r="AK5357">
        <v>20.863409523902199</v>
      </c>
      <c r="AL5357">
        <v>94.474267111642106</v>
      </c>
      <c r="AM5357">
        <v>90.330516535750107</v>
      </c>
      <c r="AN5357">
        <v>1.0000000166617999</v>
      </c>
    </row>
    <row r="5358" spans="1:40" x14ac:dyDescent="0.25">
      <c r="A5358" t="str">
        <f>"20190303154916340"</f>
        <v>20190303154916340</v>
      </c>
      <c r="B5358" t="str">
        <f>"1551599356335900"</f>
        <v>1551599356335900</v>
      </c>
      <c r="C5358" t="s">
        <v>40</v>
      </c>
      <c r="D5358">
        <v>5.4239930000000003</v>
      </c>
      <c r="E5358">
        <v>0.52037049999999996</v>
      </c>
      <c r="F5358" t="s">
        <v>41</v>
      </c>
      <c r="G5358">
        <v>-379.23829999999998</v>
      </c>
      <c r="H5358" s="1">
        <v>-1.0589210000000001E-6</v>
      </c>
      <c r="I5358">
        <v>142.43440000000001</v>
      </c>
      <c r="J5358">
        <v>-358.36450000000002</v>
      </c>
      <c r="K5358">
        <v>1.120935</v>
      </c>
      <c r="L5358">
        <v>141.53290000000001</v>
      </c>
      <c r="M5358">
        <v>-0.99986620000000004</v>
      </c>
      <c r="N5358">
        <v>-1.521108E-2</v>
      </c>
      <c r="O5358">
        <v>-6.0412679999999998E-3</v>
      </c>
      <c r="P5358">
        <v>-0.99553970000000003</v>
      </c>
      <c r="Q5358">
        <v>-9.3550499999999995E-2</v>
      </c>
      <c r="R5358">
        <v>-1.222055E-2</v>
      </c>
      <c r="S5358">
        <v>-2.9999389999999999</v>
      </c>
      <c r="T5358">
        <v>-0.15950449999999999</v>
      </c>
      <c r="U5358">
        <v>0.1281128</v>
      </c>
      <c r="V5358">
        <v>-6.2071629999999999E-3</v>
      </c>
      <c r="W5358">
        <v>-7.839546E-2</v>
      </c>
      <c r="X5358">
        <v>0.99690299999999998</v>
      </c>
      <c r="Y5358">
        <v>4.8609380000000001E-2</v>
      </c>
      <c r="Z5358">
        <v>1.8900259999999999E-3</v>
      </c>
      <c r="AA5358">
        <v>0.99881609999999998</v>
      </c>
      <c r="AB5358">
        <v>28</v>
      </c>
      <c r="AC5358">
        <v>-20.8737999999999</v>
      </c>
      <c r="AD5358">
        <v>-1.120936058921</v>
      </c>
      <c r="AE5358">
        <v>0.90149999999999797</v>
      </c>
      <c r="AF5358">
        <v>1.0246529890279299</v>
      </c>
      <c r="AG5358">
        <v>-1.120936058921</v>
      </c>
      <c r="AH5358">
        <v>20.808078436454</v>
      </c>
      <c r="AI5358">
        <v>93.079831889451796</v>
      </c>
      <c r="AJ5358">
        <v>87.180858992792494</v>
      </c>
      <c r="AK5358">
        <v>20.863425883917799</v>
      </c>
      <c r="AL5358">
        <v>94.496342747336001</v>
      </c>
      <c r="AM5358">
        <v>90.356744484478</v>
      </c>
      <c r="AN5358">
        <v>0.99999998421505898</v>
      </c>
    </row>
    <row r="5359" spans="1:40" x14ac:dyDescent="0.25">
      <c r="A5359" t="str">
        <f>"20190303154916357"</f>
        <v>20190303154916357</v>
      </c>
      <c r="B5359" t="str">
        <f>"1551599356346636"</f>
        <v>1551599356346636</v>
      </c>
      <c r="C5359" t="s">
        <v>40</v>
      </c>
      <c r="D5359">
        <v>5.4140959999999998</v>
      </c>
      <c r="E5359">
        <v>0.52045419999999998</v>
      </c>
      <c r="F5359" t="s">
        <v>41</v>
      </c>
      <c r="G5359">
        <v>-379.11360000000002</v>
      </c>
      <c r="H5359" s="1">
        <v>-1.107284E-6</v>
      </c>
      <c r="I5359">
        <v>142.41499999999999</v>
      </c>
      <c r="J5359">
        <v>-358.57429999999999</v>
      </c>
      <c r="K5359">
        <v>1.1209260000000001</v>
      </c>
      <c r="L5359">
        <v>141.5316</v>
      </c>
      <c r="M5359">
        <v>-0.99986620000000004</v>
      </c>
      <c r="N5359">
        <v>-1.520612E-2</v>
      </c>
      <c r="O5359">
        <v>-6.0423539999999998E-3</v>
      </c>
      <c r="P5359">
        <v>-0.99547589999999997</v>
      </c>
      <c r="Q5359">
        <v>-9.4188030000000006E-2</v>
      </c>
      <c r="R5359">
        <v>-1.252707E-2</v>
      </c>
      <c r="S5359">
        <v>-2.9997560000000001</v>
      </c>
      <c r="T5359">
        <v>-0.16205720000000001</v>
      </c>
      <c r="U5359">
        <v>0.1275482</v>
      </c>
      <c r="V5359">
        <v>-6.513914E-3</v>
      </c>
      <c r="W5359">
        <v>-7.9038689999999995E-2</v>
      </c>
      <c r="X5359">
        <v>0.99685029999999997</v>
      </c>
      <c r="Y5359">
        <v>4.8423040000000001E-2</v>
      </c>
      <c r="Z5359">
        <v>1.909401E-3</v>
      </c>
      <c r="AA5359">
        <v>0.99882510000000002</v>
      </c>
      <c r="AB5359">
        <v>28</v>
      </c>
      <c r="AC5359">
        <v>-20.539300000000001</v>
      </c>
      <c r="AD5359">
        <v>-1.1209271072839999</v>
      </c>
      <c r="AE5359">
        <v>0.88339999999999397</v>
      </c>
      <c r="AF5359">
        <v>1.0045175984065</v>
      </c>
      <c r="AG5359">
        <v>-1.1209271072839999</v>
      </c>
      <c r="AH5359">
        <v>20.4727231014685</v>
      </c>
      <c r="AI5359">
        <v>93.130183993730697</v>
      </c>
      <c r="AJ5359">
        <v>87.190969768462097</v>
      </c>
      <c r="AK5359">
        <v>20.527979062118</v>
      </c>
      <c r="AL5359">
        <v>94.533311605926599</v>
      </c>
      <c r="AM5359">
        <v>90.374393696156005</v>
      </c>
      <c r="AN5359">
        <v>1.0000000331012999</v>
      </c>
    </row>
    <row r="5360" spans="1:40" x14ac:dyDescent="0.25">
      <c r="A5360" t="str">
        <f>"20190303154916372"</f>
        <v>20190303154916372</v>
      </c>
      <c r="B5360" t="str">
        <f>"1551599356366156"</f>
        <v>1551599356366156</v>
      </c>
      <c r="C5360" t="s">
        <v>40</v>
      </c>
      <c r="D5360">
        <v>5.364617</v>
      </c>
      <c r="E5360">
        <v>0.52047449999999995</v>
      </c>
      <c r="F5360" t="s">
        <v>41</v>
      </c>
      <c r="G5360">
        <v>-379.10250000000002</v>
      </c>
      <c r="H5360" s="1">
        <v>-1.108882E-6</v>
      </c>
      <c r="I5360">
        <v>142.4032</v>
      </c>
      <c r="J5360">
        <v>-358.75900000000001</v>
      </c>
      <c r="K5360">
        <v>1.1209209999999901</v>
      </c>
      <c r="L5360">
        <v>141.53049999999999</v>
      </c>
      <c r="M5360">
        <v>-0.99986629999999999</v>
      </c>
      <c r="N5360">
        <v>-1.5201620000000001E-2</v>
      </c>
      <c r="O5360">
        <v>-6.0380989999999999E-3</v>
      </c>
      <c r="P5360">
        <v>-0.99542399999999998</v>
      </c>
      <c r="Q5360">
        <v>-9.4714889999999996E-2</v>
      </c>
      <c r="R5360">
        <v>-1.266395E-2</v>
      </c>
      <c r="S5360">
        <v>-2.9997560000000001</v>
      </c>
      <c r="T5360">
        <v>-0.16379959999999999</v>
      </c>
      <c r="U5360">
        <v>0.12738039999999901</v>
      </c>
      <c r="V5360">
        <v>-6.6557559999999997E-3</v>
      </c>
      <c r="W5360">
        <v>-7.9570760000000004E-2</v>
      </c>
      <c r="X5360">
        <v>0.996807</v>
      </c>
      <c r="Y5360">
        <v>4.8361250000000001E-2</v>
      </c>
      <c r="Z5360">
        <v>1.924533E-3</v>
      </c>
      <c r="AA5360">
        <v>0.9988281</v>
      </c>
      <c r="AB5360">
        <v>28</v>
      </c>
      <c r="AC5360">
        <v>-20.343499999999999</v>
      </c>
      <c r="AD5360">
        <v>-1.1209221088819901</v>
      </c>
      <c r="AE5360">
        <v>0.87270000000000802</v>
      </c>
      <c r="AF5360">
        <v>0.99252657970507296</v>
      </c>
      <c r="AG5360">
        <v>-1.1209221088819901</v>
      </c>
      <c r="AH5360">
        <v>20.276413208842801</v>
      </c>
      <c r="AI5360">
        <v>93.160432190226501</v>
      </c>
      <c r="AJ5360">
        <v>87.197619281182298</v>
      </c>
      <c r="AK5360">
        <v>20.331613511999802</v>
      </c>
      <c r="AL5360">
        <v>94.563893441105506</v>
      </c>
      <c r="AM5360">
        <v>90.382562583512296</v>
      </c>
      <c r="AN5360">
        <v>1.00000000009195</v>
      </c>
    </row>
    <row r="5361" spans="1:40" x14ac:dyDescent="0.25">
      <c r="A5361" t="str">
        <f>"20190303154916391"</f>
        <v>20190303154916391</v>
      </c>
      <c r="B5361" t="str">
        <f>"1551599356386651"</f>
        <v>1551599356386651</v>
      </c>
      <c r="C5361" t="s">
        <v>40</v>
      </c>
      <c r="D5361">
        <v>5.3815670000000004</v>
      </c>
      <c r="E5361">
        <v>0.52074929999999997</v>
      </c>
      <c r="F5361" t="s">
        <v>41</v>
      </c>
      <c r="G5361">
        <v>-379.19940000000003</v>
      </c>
      <c r="H5361" s="1">
        <v>-1.065483E-6</v>
      </c>
      <c r="I5361">
        <v>142.3964</v>
      </c>
      <c r="J5361">
        <v>-358.99189999999999</v>
      </c>
      <c r="K5361">
        <v>1.120911</v>
      </c>
      <c r="L5361">
        <v>141.5291</v>
      </c>
      <c r="M5361">
        <v>-0.99986649999999999</v>
      </c>
      <c r="N5361">
        <v>-1.519592E-2</v>
      </c>
      <c r="O5361">
        <v>-6.0259390000000001E-3</v>
      </c>
      <c r="P5361">
        <v>-0.99530850000000004</v>
      </c>
      <c r="Q5361">
        <v>-9.5973719999999998E-2</v>
      </c>
      <c r="R5361">
        <v>-1.226378E-2</v>
      </c>
      <c r="S5361">
        <v>-2.9997560000000001</v>
      </c>
      <c r="T5361">
        <v>-0.16450200000000001</v>
      </c>
      <c r="U5361">
        <v>0.1270905</v>
      </c>
      <c r="V5361">
        <v>-6.2691589999999998E-3</v>
      </c>
      <c r="W5361">
        <v>-8.0836839999999993E-2</v>
      </c>
      <c r="X5361">
        <v>0.99670760000000003</v>
      </c>
      <c r="Y5361">
        <v>4.8252209999999997E-2</v>
      </c>
      <c r="Z5361">
        <v>1.9271939999999999E-3</v>
      </c>
      <c r="AA5361">
        <v>0.99883330000000004</v>
      </c>
      <c r="AB5361">
        <v>28</v>
      </c>
      <c r="AC5361">
        <v>-20.2075</v>
      </c>
      <c r="AD5361">
        <v>-1.120912065483</v>
      </c>
      <c r="AE5361">
        <v>0.86729999999999996</v>
      </c>
      <c r="AF5361">
        <v>0.98603906195373103</v>
      </c>
      <c r="AG5361">
        <v>-1.120912065483</v>
      </c>
      <c r="AH5361">
        <v>20.1400505018666</v>
      </c>
      <c r="AI5361">
        <v>93.181756889830297</v>
      </c>
      <c r="AJ5361">
        <v>87.197087396689895</v>
      </c>
      <c r="AK5361">
        <v>20.195305174915799</v>
      </c>
      <c r="AL5361">
        <v>94.636669080763198</v>
      </c>
      <c r="AM5361">
        <v>90.3603781239499</v>
      </c>
      <c r="AN5361">
        <v>0.99999996847675598</v>
      </c>
    </row>
    <row r="5362" spans="1:40" x14ac:dyDescent="0.25">
      <c r="A5362" t="str">
        <f>"20190303154916408"</f>
        <v>20190303154916408</v>
      </c>
      <c r="B5362" t="str">
        <f>"1551599356396412"</f>
        <v>1551599356396412</v>
      </c>
      <c r="C5362" t="s">
        <v>40</v>
      </c>
      <c r="D5362">
        <v>5.3851290000000001</v>
      </c>
      <c r="E5362">
        <v>0.52088179999999995</v>
      </c>
      <c r="F5362" t="s">
        <v>41</v>
      </c>
      <c r="G5362">
        <v>-378.92320000000001</v>
      </c>
      <c r="H5362" s="1">
        <v>-1.1838439999999999E-6</v>
      </c>
      <c r="I5362">
        <v>142.39580000000001</v>
      </c>
      <c r="J5362">
        <v>-359.18869999999998</v>
      </c>
      <c r="K5362">
        <v>1.12090499999999</v>
      </c>
      <c r="L5362">
        <v>141.52789999999999</v>
      </c>
      <c r="M5362">
        <v>-0.99986649999999999</v>
      </c>
      <c r="N5362">
        <v>-1.519125E-2</v>
      </c>
      <c r="O5362">
        <v>-6.0100830000000003E-3</v>
      </c>
      <c r="P5362">
        <v>-0.99526550000000003</v>
      </c>
      <c r="Q5362">
        <v>-9.6437350000000005E-2</v>
      </c>
      <c r="R5362">
        <v>-1.2104119999999999E-2</v>
      </c>
      <c r="S5362">
        <v>-2.9995120000000002</v>
      </c>
      <c r="T5362">
        <v>-0.16868910000000001</v>
      </c>
      <c r="U5362">
        <v>0.13044739999999999</v>
      </c>
      <c r="V5362">
        <v>-6.1268199999999998E-3</v>
      </c>
      <c r="W5362">
        <v>-8.1305710000000003E-2</v>
      </c>
      <c r="X5362">
        <v>0.99667039999999996</v>
      </c>
      <c r="Y5362">
        <v>4.934881E-2</v>
      </c>
      <c r="Z5362">
        <v>2.0076970000000001E-3</v>
      </c>
      <c r="AA5362">
        <v>0.99877959999999999</v>
      </c>
      <c r="AB5362">
        <v>28</v>
      </c>
      <c r="AC5362">
        <v>-19.734500000000001</v>
      </c>
      <c r="AD5362">
        <v>-1.12090618384399</v>
      </c>
      <c r="AE5362">
        <v>0.86790000000001999</v>
      </c>
      <c r="AF5362">
        <v>0.98333771407522497</v>
      </c>
      <c r="AG5362">
        <v>-1.12090618384399</v>
      </c>
      <c r="AH5362">
        <v>19.665604776656298</v>
      </c>
      <c r="AI5362">
        <v>93.258170853028204</v>
      </c>
      <c r="AJ5362">
        <v>87.137427737268496</v>
      </c>
      <c r="AK5362">
        <v>19.7220535179416</v>
      </c>
      <c r="AL5362">
        <v>94.663621828020794</v>
      </c>
      <c r="AM5362">
        <v>90.3522092219158</v>
      </c>
      <c r="AN5362">
        <v>1.0000000213190301</v>
      </c>
    </row>
    <row r="5363" spans="1:40" x14ac:dyDescent="0.25">
      <c r="A5363" t="str">
        <f>"20190303154916422"</f>
        <v>20190303154916422</v>
      </c>
      <c r="B5363" t="str">
        <f>"1551599356415931"</f>
        <v>1551599356415931</v>
      </c>
      <c r="C5363" t="s">
        <v>40</v>
      </c>
      <c r="D5363">
        <v>5.3893069999999996</v>
      </c>
      <c r="E5363">
        <v>0.52102609999999905</v>
      </c>
      <c r="F5363" t="s">
        <v>41</v>
      </c>
      <c r="G5363">
        <v>-378.9271</v>
      </c>
      <c r="H5363" s="1">
        <v>-1.182328E-6</v>
      </c>
      <c r="I5363">
        <v>142.3964</v>
      </c>
      <c r="J5363">
        <v>-359.37990000000002</v>
      </c>
      <c r="K5363">
        <v>1.1209</v>
      </c>
      <c r="L5363">
        <v>141.52680000000001</v>
      </c>
      <c r="M5363">
        <v>-0.99986679999999994</v>
      </c>
      <c r="N5363">
        <v>-1.518686E-2</v>
      </c>
      <c r="O5363">
        <v>-5.9914749999999996E-3</v>
      </c>
      <c r="P5363">
        <v>-0.995251</v>
      </c>
      <c r="Q5363">
        <v>-9.6612859999999995E-2</v>
      </c>
      <c r="R5363">
        <v>-1.190865E-2</v>
      </c>
      <c r="S5363">
        <v>-2.9993590000000001</v>
      </c>
      <c r="T5363">
        <v>-0.1703279</v>
      </c>
      <c r="U5363">
        <v>0.13198850000000001</v>
      </c>
      <c r="V5363">
        <v>-5.9508900000000003E-3</v>
      </c>
      <c r="W5363">
        <v>-8.1485740000000001E-2</v>
      </c>
      <c r="X5363">
        <v>0.99665669999999995</v>
      </c>
      <c r="Y5363">
        <v>4.9841780000000002E-2</v>
      </c>
      <c r="Z5363">
        <v>2.0413689999999999E-3</v>
      </c>
      <c r="AA5363">
        <v>0.99875499999999995</v>
      </c>
      <c r="AB5363">
        <v>28</v>
      </c>
      <c r="AC5363">
        <v>-19.547199999999901</v>
      </c>
      <c r="AD5363">
        <v>-1.120901182328</v>
      </c>
      <c r="AE5363">
        <v>0.86959999999999105</v>
      </c>
      <c r="AF5363">
        <v>0.98348687881542995</v>
      </c>
      <c r="AG5363">
        <v>-1.120901182328</v>
      </c>
      <c r="AH5363">
        <v>19.477717077110899</v>
      </c>
      <c r="AI5363">
        <v>93.289436164192196</v>
      </c>
      <c r="AJ5363">
        <v>87.109423461158002</v>
      </c>
      <c r="AK5363">
        <v>19.534715980462099</v>
      </c>
      <c r="AL5363">
        <v>94.673971422667506</v>
      </c>
      <c r="AM5363">
        <v>90.3421005744094</v>
      </c>
      <c r="AN5363">
        <v>0.99999995828501398</v>
      </c>
    </row>
    <row r="5364" spans="1:40" x14ac:dyDescent="0.25">
      <c r="A5364" t="str">
        <f>"20190303154916434"</f>
        <v>20190303154916434</v>
      </c>
      <c r="B5364" t="str">
        <f>"1551599356426667"</f>
        <v>1551599356426667</v>
      </c>
      <c r="C5364" t="s">
        <v>40</v>
      </c>
      <c r="D5364">
        <v>5.353777</v>
      </c>
      <c r="E5364">
        <v>0.52085689999999996</v>
      </c>
      <c r="F5364" t="s">
        <v>41</v>
      </c>
      <c r="G5364">
        <v>-378.95600000000002</v>
      </c>
      <c r="H5364" s="1">
        <v>-1.170699E-6</v>
      </c>
      <c r="I5364">
        <v>142.39920000000001</v>
      </c>
      <c r="J5364">
        <v>-359.52879999999999</v>
      </c>
      <c r="K5364">
        <v>1.1208979999999999</v>
      </c>
      <c r="L5364">
        <v>141.52590000000001</v>
      </c>
      <c r="M5364">
        <v>-0.99986699999999995</v>
      </c>
      <c r="N5364">
        <v>-1.518342E-2</v>
      </c>
      <c r="O5364">
        <v>-5.9751589999999999E-3</v>
      </c>
      <c r="P5364">
        <v>-0.99527790000000005</v>
      </c>
      <c r="Q5364">
        <v>-9.6408339999999995E-2</v>
      </c>
      <c r="R5364">
        <v>-1.129168E-2</v>
      </c>
      <c r="S5364">
        <v>-2.9992679999999998</v>
      </c>
      <c r="T5364">
        <v>-0.171735</v>
      </c>
      <c r="U5364">
        <v>0.133682299999999</v>
      </c>
      <c r="V5364">
        <v>-5.3507449999999996E-3</v>
      </c>
      <c r="W5364">
        <v>-8.1284300000000004E-2</v>
      </c>
      <c r="X5364">
        <v>0.99667660000000002</v>
      </c>
      <c r="Y5364">
        <v>5.0386979999999998E-2</v>
      </c>
      <c r="Z5364">
        <v>2.0748559999999999E-3</v>
      </c>
      <c r="AA5364">
        <v>0.99872760000000005</v>
      </c>
      <c r="AB5364">
        <v>28</v>
      </c>
      <c r="AC5364">
        <v>-19.4271999999999</v>
      </c>
      <c r="AD5364">
        <v>-1.1208991706989999</v>
      </c>
      <c r="AE5364">
        <v>0.87329999999999997</v>
      </c>
      <c r="AF5364">
        <v>0.98610227760070501</v>
      </c>
      <c r="AG5364">
        <v>-1.1208991706989999</v>
      </c>
      <c r="AH5364">
        <v>19.3573239980166</v>
      </c>
      <c r="AI5364">
        <v>93.309768538675996</v>
      </c>
      <c r="AJ5364">
        <v>87.083754924962605</v>
      </c>
      <c r="AK5364">
        <v>19.414808910132201</v>
      </c>
      <c r="AL5364">
        <v>94.662391121151501</v>
      </c>
      <c r="AM5364">
        <v>90.307594419755006</v>
      </c>
      <c r="AN5364">
        <v>1.0000000064430501</v>
      </c>
    </row>
    <row r="5365" spans="1:40" x14ac:dyDescent="0.25">
      <c r="A5365" t="str">
        <f>"20190303154916457"</f>
        <v>20190303154916457</v>
      </c>
      <c r="B5365" t="str">
        <f>"1551599356446188"</f>
        <v>1551599356446188</v>
      </c>
      <c r="C5365" t="s">
        <v>40</v>
      </c>
      <c r="D5365">
        <v>5.4066510000000001</v>
      </c>
      <c r="E5365">
        <v>0.50435410000000003</v>
      </c>
      <c r="F5365" t="s">
        <v>41</v>
      </c>
      <c r="G5365">
        <v>-379.101</v>
      </c>
      <c r="H5365" s="1">
        <v>-1.10885E-6</v>
      </c>
      <c r="I5365">
        <v>142.4007</v>
      </c>
      <c r="J5365">
        <v>-359.81259999999997</v>
      </c>
      <c r="K5365">
        <v>1.1208959999999999</v>
      </c>
      <c r="L5365">
        <v>141.52420000000001</v>
      </c>
      <c r="M5365">
        <v>-0.99986730000000001</v>
      </c>
      <c r="N5365">
        <v>-1.517686E-2</v>
      </c>
      <c r="O5365">
        <v>-5.9414860000000002E-3</v>
      </c>
      <c r="P5365">
        <v>-0.9952839</v>
      </c>
      <c r="Q5365">
        <v>-9.6404779999999995E-2</v>
      </c>
      <c r="R5365">
        <v>-1.0793290000000001E-2</v>
      </c>
      <c r="S5365">
        <v>-2.9990839999999999</v>
      </c>
      <c r="T5365">
        <v>-0.17175770000000001</v>
      </c>
      <c r="U5365">
        <v>0.13406370000000001</v>
      </c>
      <c r="V5365">
        <v>-4.8873709999999997E-3</v>
      </c>
      <c r="W5365">
        <v>-8.1287209999999999E-2</v>
      </c>
      <c r="X5365">
        <v>0.99667870000000003</v>
      </c>
      <c r="Y5365">
        <v>5.0482649999999997E-2</v>
      </c>
      <c r="Z5365">
        <v>2.0771169999999999E-3</v>
      </c>
      <c r="AA5365">
        <v>0.99872280000000002</v>
      </c>
      <c r="AB5365">
        <v>28</v>
      </c>
      <c r="AC5365">
        <v>-19.288399999999999</v>
      </c>
      <c r="AD5365">
        <v>-1.1208971088499999</v>
      </c>
      <c r="AE5365">
        <v>0.87649999999999195</v>
      </c>
      <c r="AF5365">
        <v>0.98777058130803197</v>
      </c>
      <c r="AG5365">
        <v>-1.1208971088499999</v>
      </c>
      <c r="AH5365">
        <v>19.218084225269699</v>
      </c>
      <c r="AI5365">
        <v>93.333611231073405</v>
      </c>
      <c r="AJ5365">
        <v>87.057702167506093</v>
      </c>
      <c r="AK5365">
        <v>19.276069680811101</v>
      </c>
      <c r="AL5365">
        <v>94.662558603914505</v>
      </c>
      <c r="AM5365">
        <v>90.280956628009307</v>
      </c>
      <c r="AN5365">
        <v>0.99999996396928204</v>
      </c>
    </row>
    <row r="5366" spans="1:40" x14ac:dyDescent="0.25">
      <c r="A5366" t="str">
        <f>"20190303154916475"</f>
        <v>20190303154916475</v>
      </c>
      <c r="B5366" t="str">
        <f>"1551599356466684"</f>
        <v>1551599356466684</v>
      </c>
      <c r="C5366" t="s">
        <v>40</v>
      </c>
      <c r="D5366">
        <v>5.3564749999999997</v>
      </c>
      <c r="E5366">
        <v>0.50360609999999995</v>
      </c>
      <c r="F5366" t="s">
        <v>41</v>
      </c>
      <c r="G5366">
        <v>-379.11700000000002</v>
      </c>
      <c r="H5366" s="1">
        <v>-8.7553290000000004E-7</v>
      </c>
      <c r="I5366">
        <v>141.54949999999999</v>
      </c>
      <c r="J5366">
        <v>-360.02330000000001</v>
      </c>
      <c r="K5366">
        <v>1.1208940000000001</v>
      </c>
      <c r="L5366">
        <v>141.523</v>
      </c>
      <c r="M5366">
        <v>-0.99986759999999997</v>
      </c>
      <c r="N5366">
        <v>-1.517197E-2</v>
      </c>
      <c r="O5366">
        <v>-5.9137340000000004E-3</v>
      </c>
      <c r="P5366">
        <v>-0.99531720000000001</v>
      </c>
      <c r="Q5366">
        <v>-9.6084589999999998E-2</v>
      </c>
      <c r="R5366">
        <v>-1.055622E-2</v>
      </c>
      <c r="S5366">
        <v>-2.9974059999999998</v>
      </c>
      <c r="T5366">
        <v>-0.174042899999999</v>
      </c>
      <c r="U5366">
        <v>3.9367680000000002E-3</v>
      </c>
      <c r="V5366">
        <v>-4.6783809999999997E-3</v>
      </c>
      <c r="W5366">
        <v>-8.0971429999999997E-2</v>
      </c>
      <c r="X5366">
        <v>0.99670550000000002</v>
      </c>
      <c r="Y5366">
        <v>7.2070249999999997E-3</v>
      </c>
      <c r="Z5366">
        <v>5.1720889999999999E-4</v>
      </c>
      <c r="AA5366">
        <v>0.99997389999999997</v>
      </c>
      <c r="AB5366">
        <v>28</v>
      </c>
      <c r="AC5366">
        <v>-19.093699999999899</v>
      </c>
      <c r="AD5366">
        <v>-1.1208948755329</v>
      </c>
      <c r="AE5366">
        <v>2.6499999999998601E-2</v>
      </c>
      <c r="AF5366">
        <v>0.13894872194064301</v>
      </c>
      <c r="AG5366">
        <v>-1.1208948755329</v>
      </c>
      <c r="AH5366">
        <v>19.027635030027501</v>
      </c>
      <c r="AI5366">
        <v>93.371238944951003</v>
      </c>
      <c r="AJ5366">
        <v>89.581606762206704</v>
      </c>
      <c r="AK5366">
        <v>19.061128164546201</v>
      </c>
      <c r="AL5366">
        <v>94.644405471311003</v>
      </c>
      <c r="AM5366">
        <v>90.268935525783704</v>
      </c>
      <c r="AN5366">
        <v>1.0000000567276299</v>
      </c>
    </row>
    <row r="5367" spans="1:40" x14ac:dyDescent="0.25">
      <c r="A5367" t="str">
        <f>"20190303154916494"</f>
        <v>20190303154916494</v>
      </c>
      <c r="B5367" t="str">
        <f>"1551599356486204"</f>
        <v>1551599356486204</v>
      </c>
      <c r="C5367" t="s">
        <v>40</v>
      </c>
      <c r="D5367">
        <v>5.386107</v>
      </c>
      <c r="E5367">
        <v>0.50374770000000002</v>
      </c>
      <c r="F5367" t="s">
        <v>41</v>
      </c>
      <c r="G5367">
        <v>-379.1816</v>
      </c>
      <c r="H5367" s="1">
        <v>-8.3860599999999996E-7</v>
      </c>
      <c r="I5367">
        <v>141.51490000000001</v>
      </c>
      <c r="J5367">
        <v>-360.2482</v>
      </c>
      <c r="K5367">
        <v>1.1208959999999999</v>
      </c>
      <c r="L5367">
        <v>141.52170000000001</v>
      </c>
      <c r="M5367">
        <v>-0.99986759999999997</v>
      </c>
      <c r="N5367">
        <v>-1.516672E-2</v>
      </c>
      <c r="O5367">
        <v>-5.8814770000000004E-3</v>
      </c>
      <c r="P5367">
        <v>-0.99529829999999997</v>
      </c>
      <c r="Q5367">
        <v>-9.6280309999999994E-2</v>
      </c>
      <c r="R5367">
        <v>-1.055971E-2</v>
      </c>
      <c r="S5367">
        <v>-2.9971619999999999</v>
      </c>
      <c r="T5367">
        <v>-0.17535529999999999</v>
      </c>
      <c r="U5367">
        <v>-1.2512210000000001E-3</v>
      </c>
      <c r="V5367">
        <v>-4.714424E-3</v>
      </c>
      <c r="W5367">
        <v>-8.1172629999999996E-2</v>
      </c>
      <c r="X5367">
        <v>0.99668889999999999</v>
      </c>
      <c r="Y5367">
        <v>5.4474390000000001E-3</v>
      </c>
      <c r="Z5367">
        <v>4.5523850000000002E-4</v>
      </c>
      <c r="AA5367">
        <v>0.99998500000000001</v>
      </c>
      <c r="AB5367">
        <v>28</v>
      </c>
      <c r="AC5367">
        <v>-18.933399999999999</v>
      </c>
      <c r="AD5367">
        <v>-1.1208968386060001</v>
      </c>
      <c r="AE5367">
        <v>-6.7999999999983603E-3</v>
      </c>
      <c r="AF5367">
        <v>0.104204069601996</v>
      </c>
      <c r="AG5367">
        <v>-1.1208968386060001</v>
      </c>
      <c r="AH5367">
        <v>18.866985798520201</v>
      </c>
      <c r="AI5367">
        <v>93.399922071317903</v>
      </c>
      <c r="AJ5367">
        <v>89.683553443431293</v>
      </c>
      <c r="AK5367">
        <v>18.900540239169899</v>
      </c>
      <c r="AL5367">
        <v>94.655971753503394</v>
      </c>
      <c r="AM5367">
        <v>90.271011931163898</v>
      </c>
      <c r="AN5367">
        <v>0.99999999251898897</v>
      </c>
    </row>
    <row r="5368" spans="1:40" x14ac:dyDescent="0.25">
      <c r="A5368" t="str">
        <f>"20190303154916510"</f>
        <v>20190303154916510</v>
      </c>
      <c r="B5368" t="str">
        <f>"1551599356506700"</f>
        <v>1551599356506700</v>
      </c>
      <c r="C5368" t="s">
        <v>40</v>
      </c>
      <c r="D5368">
        <v>5.4409000000000001</v>
      </c>
      <c r="E5368">
        <v>0.50393719999999997</v>
      </c>
      <c r="F5368" t="s">
        <v>41</v>
      </c>
      <c r="G5368">
        <v>-379.27420000000001</v>
      </c>
      <c r="H5368" s="1">
        <v>-8.0057949999999997E-7</v>
      </c>
      <c r="I5368">
        <v>141.5213</v>
      </c>
      <c r="J5368">
        <v>-360.44990000000001</v>
      </c>
      <c r="K5368">
        <v>1.1208990000000001</v>
      </c>
      <c r="L5368">
        <v>141.5206</v>
      </c>
      <c r="M5368">
        <v>-0.99986790000000003</v>
      </c>
      <c r="N5368">
        <v>-1.516199E-2</v>
      </c>
      <c r="O5368">
        <v>-5.8510350000000001E-3</v>
      </c>
      <c r="P5368">
        <v>-0.99528589999999995</v>
      </c>
      <c r="Q5368">
        <v>-9.6414799999999995E-2</v>
      </c>
      <c r="R5368">
        <v>-1.0500499999999999E-2</v>
      </c>
      <c r="S5368">
        <v>-2.9970699999999999</v>
      </c>
      <c r="T5368">
        <v>-0.17656949999999999</v>
      </c>
      <c r="U5368" s="1">
        <v>-6.1035159999999999E-5</v>
      </c>
      <c r="V5368">
        <v>-4.6853789999999999E-3</v>
      </c>
      <c r="W5368">
        <v>-8.1311990000000001E-2</v>
      </c>
      <c r="X5368">
        <v>0.9966777</v>
      </c>
      <c r="Y5368">
        <v>5.8130710000000004E-3</v>
      </c>
      <c r="Z5368">
        <v>4.7095299999999997E-4</v>
      </c>
      <c r="AA5368">
        <v>0.99998299999999996</v>
      </c>
      <c r="AB5368">
        <v>27</v>
      </c>
      <c r="AC5368">
        <v>-18.824299999999901</v>
      </c>
      <c r="AD5368">
        <v>-1.1208998005794999</v>
      </c>
      <c r="AE5368">
        <v>6.9999999999481501E-4</v>
      </c>
      <c r="AF5368">
        <v>0.110462629903239</v>
      </c>
      <c r="AG5368">
        <v>-1.1208998005794999</v>
      </c>
      <c r="AH5368">
        <v>18.757466188135599</v>
      </c>
      <c r="AI5368">
        <v>93.419728184987505</v>
      </c>
      <c r="AJ5368">
        <v>89.662589325171993</v>
      </c>
      <c r="AK5368">
        <v>18.791252117796599</v>
      </c>
      <c r="AL5368">
        <v>94.663982869975001</v>
      </c>
      <c r="AM5368">
        <v>90.269345310526901</v>
      </c>
      <c r="AN5368">
        <v>1.00000001508571</v>
      </c>
    </row>
    <row r="5369" spans="1:40" x14ac:dyDescent="0.25">
      <c r="A5369" t="str">
        <f>"20190303154916525"</f>
        <v>20190303154916525</v>
      </c>
      <c r="B5369" t="str">
        <f>"1551599356516460"</f>
        <v>1551599356516460</v>
      </c>
      <c r="C5369" t="s">
        <v>40</v>
      </c>
      <c r="D5369">
        <v>5.4139489999999997</v>
      </c>
      <c r="E5369">
        <v>0.50384319999999905</v>
      </c>
      <c r="F5369" t="s">
        <v>41</v>
      </c>
      <c r="G5369">
        <v>-379.35019999999997</v>
      </c>
      <c r="H5369" s="1">
        <v>-7.7040580000000004E-7</v>
      </c>
      <c r="I5369">
        <v>141.53039999999999</v>
      </c>
      <c r="J5369">
        <v>-360.63830000000002</v>
      </c>
      <c r="K5369">
        <v>1.120903</v>
      </c>
      <c r="L5369">
        <v>141.51949999999999</v>
      </c>
      <c r="M5369">
        <v>-0.99986819999999998</v>
      </c>
      <c r="N5369">
        <v>-1.515757E-2</v>
      </c>
      <c r="O5369">
        <v>-5.8215609999999899E-3</v>
      </c>
      <c r="P5369">
        <v>-0.99527790000000005</v>
      </c>
      <c r="Q5369">
        <v>-9.6474560000000001E-2</v>
      </c>
      <c r="R5369">
        <v>-1.071654E-2</v>
      </c>
      <c r="S5369">
        <v>-2.9970089999999998</v>
      </c>
      <c r="T5369">
        <v>-0.17774089999999901</v>
      </c>
      <c r="U5369">
        <v>1.5716549999999999E-3</v>
      </c>
      <c r="V5369">
        <v>-4.930584E-3</v>
      </c>
      <c r="W5369">
        <v>-8.1376240000000002E-2</v>
      </c>
      <c r="X5369">
        <v>0.99667130000000004</v>
      </c>
      <c r="Y5369">
        <v>6.3269969999999896E-3</v>
      </c>
      <c r="Z5369">
        <v>4.9221780000000004E-4</v>
      </c>
      <c r="AA5369">
        <v>0.99997990000000003</v>
      </c>
      <c r="AB5369">
        <v>27</v>
      </c>
      <c r="AC5369">
        <v>-18.711899999999901</v>
      </c>
      <c r="AD5369">
        <v>-1.1209037704058</v>
      </c>
      <c r="AE5369">
        <v>1.08999999999923E-2</v>
      </c>
      <c r="AF5369">
        <v>0.11941628186877</v>
      </c>
      <c r="AG5369">
        <v>-1.1209037704058</v>
      </c>
      <c r="AH5369">
        <v>18.644615064072099</v>
      </c>
      <c r="AI5369">
        <v>93.440378636145297</v>
      </c>
      <c r="AJ5369">
        <v>89.633033163940198</v>
      </c>
      <c r="AK5369">
        <v>18.678660455137301</v>
      </c>
      <c r="AL5369">
        <v>94.667676239350001</v>
      </c>
      <c r="AM5369">
        <v>90.283442845383902</v>
      </c>
      <c r="AN5369">
        <v>1.0000000416693999</v>
      </c>
    </row>
    <row r="5370" spans="1:40" x14ac:dyDescent="0.25">
      <c r="A5370" t="str">
        <f>"20190303154916548"</f>
        <v>20190303154916548</v>
      </c>
      <c r="B5370" t="str">
        <f>"1551599356535980"</f>
        <v>1551599356535980</v>
      </c>
      <c r="C5370" t="s">
        <v>40</v>
      </c>
      <c r="D5370">
        <v>5.4155189999999997</v>
      </c>
      <c r="E5370">
        <v>0.50376030000000005</v>
      </c>
      <c r="F5370" t="s">
        <v>41</v>
      </c>
      <c r="G5370">
        <v>-379.24540000000002</v>
      </c>
      <c r="H5370" s="1">
        <v>-8.1243399999999898E-7</v>
      </c>
      <c r="I5370">
        <v>141.51939999999999</v>
      </c>
      <c r="J5370">
        <v>-360.91980000000001</v>
      </c>
      <c r="K5370">
        <v>1.12090499999999</v>
      </c>
      <c r="L5370">
        <v>141.5179</v>
      </c>
      <c r="M5370">
        <v>-0.9998686</v>
      </c>
      <c r="N5370">
        <v>-1.515093E-2</v>
      </c>
      <c r="O5370">
        <v>-5.7777710000000001E-3</v>
      </c>
      <c r="P5370">
        <v>-0.99529239999999997</v>
      </c>
      <c r="Q5370">
        <v>-9.6289340000000001E-2</v>
      </c>
      <c r="R5370">
        <v>-1.102972E-2</v>
      </c>
      <c r="S5370">
        <v>-2.9967039999999998</v>
      </c>
      <c r="T5370">
        <v>-0.1805235</v>
      </c>
      <c r="U5370">
        <v>0</v>
      </c>
      <c r="V5370">
        <v>-5.2875739999999997E-3</v>
      </c>
      <c r="W5370">
        <v>-8.1197359999999996E-2</v>
      </c>
      <c r="X5370">
        <v>0.99668400000000001</v>
      </c>
      <c r="Y5370">
        <v>5.7594959999999898E-3</v>
      </c>
      <c r="Z5370">
        <v>4.7725939999999998E-4</v>
      </c>
      <c r="AA5370">
        <v>0.99998330000000002</v>
      </c>
      <c r="AB5370">
        <v>27</v>
      </c>
      <c r="AC5370">
        <v>-18.325600000000001</v>
      </c>
      <c r="AD5370">
        <v>-1.1209058124339999</v>
      </c>
      <c r="AE5370">
        <v>1.4999999999929499E-3</v>
      </c>
      <c r="AF5370">
        <v>0.10699294977641299</v>
      </c>
      <c r="AG5370">
        <v>-1.1209058124339999</v>
      </c>
      <c r="AH5370">
        <v>18.256980649583401</v>
      </c>
      <c r="AI5370">
        <v>93.5132621914737</v>
      </c>
      <c r="AJ5370">
        <v>89.664228472403906</v>
      </c>
      <c r="AK5370">
        <v>18.291670775817899</v>
      </c>
      <c r="AL5370">
        <v>94.657393416273905</v>
      </c>
      <c r="AM5370">
        <v>90.303960765802998</v>
      </c>
      <c r="AN5370">
        <v>0.99999998278288704</v>
      </c>
    </row>
    <row r="5371" spans="1:40" x14ac:dyDescent="0.25">
      <c r="A5371" t="str">
        <f>"20190303154916570"</f>
        <v>20190303154916570</v>
      </c>
      <c r="B5371" t="str">
        <f>"1551599356566235"</f>
        <v>1551599356566235</v>
      </c>
      <c r="C5371" t="s">
        <v>40</v>
      </c>
      <c r="D5371">
        <v>5.4946539999999997</v>
      </c>
      <c r="E5371">
        <v>0.50363649999999904</v>
      </c>
      <c r="F5371" t="s">
        <v>41</v>
      </c>
      <c r="G5371">
        <v>-379.3245</v>
      </c>
      <c r="H5371" s="1">
        <v>-7.752129E-7</v>
      </c>
      <c r="I5371">
        <v>141.50700000000001</v>
      </c>
      <c r="J5371">
        <v>-361.18619999999999</v>
      </c>
      <c r="K5371">
        <v>1.1209039999999999</v>
      </c>
      <c r="L5371">
        <v>141.5164</v>
      </c>
      <c r="M5371">
        <v>-0.99986889999999995</v>
      </c>
      <c r="N5371">
        <v>-1.5144629999999999E-2</v>
      </c>
      <c r="O5371">
        <v>-5.7370809999999998E-3</v>
      </c>
      <c r="P5371">
        <v>-0.9953301</v>
      </c>
      <c r="Q5371">
        <v>-9.5841019999999999E-2</v>
      </c>
      <c r="R5371">
        <v>-1.1523759999999999E-2</v>
      </c>
      <c r="S5371">
        <v>-2.9965519999999999</v>
      </c>
      <c r="T5371">
        <v>-0.18249979999999999</v>
      </c>
      <c r="U5371">
        <v>-1.7547610000000001E-3</v>
      </c>
      <c r="V5371">
        <v>-5.8219709999999996E-3</v>
      </c>
      <c r="W5371">
        <v>-8.0754729999999997E-2</v>
      </c>
      <c r="X5371">
        <v>0.99671699999999996</v>
      </c>
      <c r="Y5371">
        <v>5.1342710000000001E-3</v>
      </c>
      <c r="Z5371">
        <v>4.5737890000000002E-4</v>
      </c>
      <c r="AA5371">
        <v>0.99998670000000001</v>
      </c>
      <c r="AB5371">
        <v>27</v>
      </c>
      <c r="AC5371">
        <v>-18.138300000000001</v>
      </c>
      <c r="AD5371">
        <v>-1.1209047752129</v>
      </c>
      <c r="AE5371">
        <v>-9.3999999999994002E-3</v>
      </c>
      <c r="AF5371">
        <v>9.4312805994247198E-2</v>
      </c>
      <c r="AG5371">
        <v>-1.1209047752129</v>
      </c>
      <c r="AH5371">
        <v>18.069050530496298</v>
      </c>
      <c r="AI5371">
        <v>93.549718791763397</v>
      </c>
      <c r="AJ5371">
        <v>89.700942965642994</v>
      </c>
      <c r="AK5371">
        <v>18.10403020032</v>
      </c>
      <c r="AL5371">
        <v>94.631948946997895</v>
      </c>
      <c r="AM5371">
        <v>90.334669292370293</v>
      </c>
      <c r="AN5371">
        <v>0.99999999992634803</v>
      </c>
    </row>
    <row r="5372" spans="1:40" x14ac:dyDescent="0.25">
      <c r="A5372" t="str">
        <f>"20190303154916587"</f>
        <v>20190303154916587</v>
      </c>
      <c r="B5372" t="str">
        <f>"1551599356575996"</f>
        <v>1551599356575996</v>
      </c>
      <c r="C5372" t="s">
        <v>40</v>
      </c>
      <c r="D5372">
        <v>5.4106290000000001</v>
      </c>
      <c r="E5372">
        <v>0.50362429999999903</v>
      </c>
      <c r="F5372" t="s">
        <v>41</v>
      </c>
      <c r="G5372">
        <v>-379.81709999999998</v>
      </c>
      <c r="H5372" s="1">
        <v>-5.5955039999999997E-7</v>
      </c>
      <c r="I5372">
        <v>141.49080000000001</v>
      </c>
      <c r="J5372">
        <v>-361.3997</v>
      </c>
      <c r="K5372">
        <v>1.120906</v>
      </c>
      <c r="L5372">
        <v>141.51519999999999</v>
      </c>
      <c r="M5372">
        <v>-0.99986920000000001</v>
      </c>
      <c r="N5372">
        <v>-1.513951E-2</v>
      </c>
      <c r="O5372">
        <v>-5.7056939999999999E-3</v>
      </c>
      <c r="P5372">
        <v>-0.99533550000000004</v>
      </c>
      <c r="Q5372">
        <v>-9.5750169999999996E-2</v>
      </c>
      <c r="R5372">
        <v>-1.180382E-2</v>
      </c>
      <c r="S5372">
        <v>-2.9966740000000001</v>
      </c>
      <c r="T5372">
        <v>-0.1802907</v>
      </c>
      <c r="U5372">
        <v>-4.1046140000000004E-3</v>
      </c>
      <c r="V5372">
        <v>-6.132841E-3</v>
      </c>
      <c r="W5372">
        <v>-8.066885E-2</v>
      </c>
      <c r="X5372">
        <v>0.99672210000000006</v>
      </c>
      <c r="Y5372">
        <v>4.3210820000000004E-3</v>
      </c>
      <c r="Z5372">
        <v>4.1925170000000001E-4</v>
      </c>
      <c r="AA5372">
        <v>0.99999059999999995</v>
      </c>
      <c r="AB5372">
        <v>27</v>
      </c>
      <c r="AC5372">
        <v>-18.417399999999901</v>
      </c>
      <c r="AD5372">
        <v>-1.1209065595504</v>
      </c>
      <c r="AE5372">
        <v>-2.43999999999857E-2</v>
      </c>
      <c r="AF5372">
        <v>8.0398677738306001E-2</v>
      </c>
      <c r="AG5372">
        <v>-1.1209065595504</v>
      </c>
      <c r="AH5372">
        <v>18.349272037556702</v>
      </c>
      <c r="AI5372">
        <v>93.495664184065404</v>
      </c>
      <c r="AJ5372">
        <v>89.748955957222293</v>
      </c>
      <c r="AK5372">
        <v>18.3836525144185</v>
      </c>
      <c r="AL5372">
        <v>94.627012233401501</v>
      </c>
      <c r="AM5372">
        <v>90.352537052594897</v>
      </c>
      <c r="AN5372">
        <v>1.0000000098637301</v>
      </c>
    </row>
    <row r="5373" spans="1:40" x14ac:dyDescent="0.25">
      <c r="A5373" t="str">
        <f>"20190303154916603"</f>
        <v>20190303154916603</v>
      </c>
      <c r="B5373" t="str">
        <f>"1551599356596491"</f>
        <v>1551599356596491</v>
      </c>
      <c r="C5373" t="s">
        <v>40</v>
      </c>
      <c r="D5373">
        <v>5.4282329999999996</v>
      </c>
      <c r="E5373">
        <v>0.50372229999999996</v>
      </c>
      <c r="F5373" t="s">
        <v>41</v>
      </c>
      <c r="G5373">
        <v>-379.8931</v>
      </c>
      <c r="H5373" s="1">
        <v>-5.250055E-7</v>
      </c>
      <c r="I5373">
        <v>141.48349999999999</v>
      </c>
      <c r="J5373">
        <v>-361.58640000000003</v>
      </c>
      <c r="K5373">
        <v>1.1209009999999999</v>
      </c>
      <c r="L5373">
        <v>141.51419999999999</v>
      </c>
      <c r="M5373">
        <v>-0.99986949999999997</v>
      </c>
      <c r="N5373">
        <v>-1.5134959999999999E-2</v>
      </c>
      <c r="O5373">
        <v>-5.6787189999999996E-3</v>
      </c>
      <c r="P5373">
        <v>-0.99535439999999997</v>
      </c>
      <c r="Q5373">
        <v>-9.5458080000000001E-2</v>
      </c>
      <c r="R5373">
        <v>-1.255936E-2</v>
      </c>
      <c r="S5373">
        <v>-2.9965820000000001</v>
      </c>
      <c r="T5373">
        <v>-0.18162610000000001</v>
      </c>
      <c r="U5373">
        <v>-5.1269530000000001E-3</v>
      </c>
      <c r="V5373">
        <v>-6.9153019999999999E-3</v>
      </c>
      <c r="W5373">
        <v>-8.0380880000000002E-2</v>
      </c>
      <c r="X5373">
        <v>0.99674019999999997</v>
      </c>
      <c r="Y5373">
        <v>3.9535220000000001E-3</v>
      </c>
      <c r="Z5373">
        <v>4.0764039999999999E-4</v>
      </c>
      <c r="AA5373">
        <v>0.99999210000000005</v>
      </c>
      <c r="AB5373">
        <v>27</v>
      </c>
      <c r="AC5373">
        <v>-18.3066999999999</v>
      </c>
      <c r="AD5373">
        <v>-1.1209015250055001</v>
      </c>
      <c r="AE5373">
        <v>-3.0699999999995901E-2</v>
      </c>
      <c r="AF5373">
        <v>7.2997325974988994E-2</v>
      </c>
      <c r="AG5373">
        <v>-1.1209015250055001</v>
      </c>
      <c r="AH5373">
        <v>18.238204377199601</v>
      </c>
      <c r="AI5373">
        <v>93.516888752308503</v>
      </c>
      <c r="AJ5373">
        <v>89.770678282014103</v>
      </c>
      <c r="AK5373">
        <v>18.272762455164301</v>
      </c>
      <c r="AL5373">
        <v>94.610459212005196</v>
      </c>
      <c r="AM5373">
        <v>90.397507055066697</v>
      </c>
      <c r="AN5373">
        <v>0.99999996678368197</v>
      </c>
    </row>
    <row r="5374" spans="1:40" x14ac:dyDescent="0.25">
      <c r="A5374" t="str">
        <f>"20190303154916618"</f>
        <v>20190303154916618</v>
      </c>
      <c r="B5374" t="str">
        <f>"1551599356606252"</f>
        <v>1551599356606252</v>
      </c>
      <c r="C5374" t="s">
        <v>40</v>
      </c>
      <c r="D5374">
        <v>5.4427539999999999</v>
      </c>
      <c r="E5374">
        <v>0.50378279999999998</v>
      </c>
      <c r="F5374" t="s">
        <v>41</v>
      </c>
      <c r="G5374">
        <v>-380.01139999999998</v>
      </c>
      <c r="H5374" s="1">
        <v>-4.6016320000000002E-6</v>
      </c>
      <c r="I5374">
        <v>141.4736</v>
      </c>
      <c r="J5374">
        <v>-361.78309999999999</v>
      </c>
      <c r="K5374">
        <v>1.1208990000000001</v>
      </c>
      <c r="L5374">
        <v>141.51310000000001</v>
      </c>
      <c r="M5374">
        <v>-0.99986960000000003</v>
      </c>
      <c r="N5374">
        <v>-1.513015E-2</v>
      </c>
      <c r="O5374">
        <v>-5.6504329999999998E-3</v>
      </c>
      <c r="P5374">
        <v>-0.99535320000000005</v>
      </c>
      <c r="Q5374">
        <v>-9.5420350000000001E-2</v>
      </c>
      <c r="R5374">
        <v>-1.292661E-2</v>
      </c>
      <c r="S5374">
        <v>-2.996429</v>
      </c>
      <c r="T5374">
        <v>-0.1822917</v>
      </c>
      <c r="U5374">
        <v>-6.5765379999999998E-3</v>
      </c>
      <c r="V5374">
        <v>-7.3107559999999999E-3</v>
      </c>
      <c r="W5374">
        <v>-8.0347909999999995E-2</v>
      </c>
      <c r="X5374">
        <v>0.99673999999999996</v>
      </c>
      <c r="Y5374">
        <v>3.4424690000000001E-3</v>
      </c>
      <c r="Z5374">
        <v>3.8868479999999998E-4</v>
      </c>
      <c r="AA5374">
        <v>0.99999400000000005</v>
      </c>
      <c r="AB5374">
        <v>27</v>
      </c>
      <c r="AC5374">
        <v>-18.228299999999901</v>
      </c>
      <c r="AD5374">
        <v>-1.12090360163199</v>
      </c>
      <c r="AE5374">
        <v>-3.9500000000003803E-2</v>
      </c>
      <c r="AF5374">
        <v>6.3270959362415197E-2</v>
      </c>
      <c r="AG5374">
        <v>-1.12090360163199</v>
      </c>
      <c r="AH5374">
        <v>18.159565232358698</v>
      </c>
      <c r="AI5374">
        <v>93.532093363358001</v>
      </c>
      <c r="AJ5374">
        <v>89.800372739004303</v>
      </c>
      <c r="AK5374">
        <v>18.194236382072798</v>
      </c>
      <c r="AL5374">
        <v>94.608564206921201</v>
      </c>
      <c r="AM5374">
        <v>90.420237928276606</v>
      </c>
      <c r="AN5374">
        <v>0.99999993069732696</v>
      </c>
    </row>
    <row r="5375" spans="1:40" x14ac:dyDescent="0.25">
      <c r="A5375" t="str">
        <f>"20190303154916636"</f>
        <v>20190303154916636</v>
      </c>
      <c r="B5375" t="str">
        <f>"1551599356625771"</f>
        <v>1551599356625771</v>
      </c>
      <c r="C5375" t="s">
        <v>40</v>
      </c>
      <c r="D5375">
        <v>5.4539730000000004</v>
      </c>
      <c r="E5375">
        <v>0.50367359999999906</v>
      </c>
      <c r="F5375" t="s">
        <v>41</v>
      </c>
      <c r="G5375">
        <v>-380.21980000000002</v>
      </c>
      <c r="H5375" s="1">
        <v>-4.5298350000000001E-6</v>
      </c>
      <c r="I5375">
        <v>141.46870000000001</v>
      </c>
      <c r="J5375">
        <v>-361.98779999999999</v>
      </c>
      <c r="K5375">
        <v>1.120897</v>
      </c>
      <c r="L5375">
        <v>141.512</v>
      </c>
      <c r="M5375">
        <v>-0.99986980000000003</v>
      </c>
      <c r="N5375">
        <v>-1.512516E-2</v>
      </c>
      <c r="O5375">
        <v>-5.6213130000000002E-3</v>
      </c>
      <c r="P5375">
        <v>-0.99530819999999998</v>
      </c>
      <c r="Q5375">
        <v>-9.5801549999999999E-2</v>
      </c>
      <c r="R5375">
        <v>-1.3556779999999999E-2</v>
      </c>
      <c r="S5375">
        <v>-2.996429</v>
      </c>
      <c r="T5375">
        <v>-0.1821767</v>
      </c>
      <c r="U5375">
        <v>-7.2021480000000002E-3</v>
      </c>
      <c r="V5375">
        <v>-7.970197E-3</v>
      </c>
      <c r="W5375">
        <v>-8.0734600000000004E-2</v>
      </c>
      <c r="X5375">
        <v>0.99670369999999997</v>
      </c>
      <c r="Y5375">
        <v>3.2051580000000001E-3</v>
      </c>
      <c r="Z5375">
        <v>3.780891E-4</v>
      </c>
      <c r="AA5375">
        <v>0.99999479999999996</v>
      </c>
      <c r="AB5375">
        <v>27</v>
      </c>
      <c r="AC5375">
        <v>-18.231999999999999</v>
      </c>
      <c r="AD5375">
        <v>-1.120901529835</v>
      </c>
      <c r="AE5375">
        <v>-4.3299999999987897E-2</v>
      </c>
      <c r="AF5375">
        <v>5.8977268958337499E-2</v>
      </c>
      <c r="AG5375">
        <v>-1.120901529835</v>
      </c>
      <c r="AH5375">
        <v>18.163302439787</v>
      </c>
      <c r="AI5375">
        <v>93.531364753774199</v>
      </c>
      <c r="AJ5375">
        <v>89.813958021459996</v>
      </c>
      <c r="AK5375">
        <v>18.1979519198456</v>
      </c>
      <c r="AL5375">
        <v>94.630792116966902</v>
      </c>
      <c r="AM5375">
        <v>90.458159146691202</v>
      </c>
      <c r="AN5375">
        <v>0.999999932635532</v>
      </c>
    </row>
    <row r="5376" spans="1:40" x14ac:dyDescent="0.25">
      <c r="A5376" t="str">
        <f>"20190303154916659"</f>
        <v>20190303154916659</v>
      </c>
      <c r="B5376" t="str">
        <f>"1551599356656028"</f>
        <v>1551599356656028</v>
      </c>
      <c r="C5376" t="s">
        <v>40</v>
      </c>
      <c r="D5376">
        <v>5.4587879999999904</v>
      </c>
      <c r="E5376">
        <v>0.50382320000000003</v>
      </c>
      <c r="F5376" t="s">
        <v>41</v>
      </c>
      <c r="G5376">
        <v>-380.10649999999998</v>
      </c>
      <c r="H5376" s="1">
        <v>-4.5653540000000004E-6</v>
      </c>
      <c r="I5376">
        <v>141.45160000000001</v>
      </c>
      <c r="J5376">
        <v>-362.27080000000001</v>
      </c>
      <c r="K5376">
        <v>1.1208959999999999</v>
      </c>
      <c r="L5376">
        <v>141.5104</v>
      </c>
      <c r="M5376">
        <v>-0.99987009999999998</v>
      </c>
      <c r="N5376">
        <v>-1.511823E-2</v>
      </c>
      <c r="O5376">
        <v>-5.5809780000000003E-3</v>
      </c>
      <c r="P5376">
        <v>-0.99531449999999999</v>
      </c>
      <c r="Q5376">
        <v>-9.5757129999999996E-2</v>
      </c>
      <c r="R5376">
        <v>-1.341089E-2</v>
      </c>
      <c r="S5376">
        <v>-2.9961549999999999</v>
      </c>
      <c r="T5376">
        <v>-0.18535579999999999</v>
      </c>
      <c r="U5376">
        <v>-9.9639889999999995E-3</v>
      </c>
      <c r="V5376">
        <v>-7.8642360000000001E-3</v>
      </c>
      <c r="W5376">
        <v>-8.0697050000000006E-2</v>
      </c>
      <c r="X5376">
        <v>0.99670769999999997</v>
      </c>
      <c r="Y5376">
        <v>2.244631E-3</v>
      </c>
      <c r="Z5376">
        <v>3.4696690000000002E-4</v>
      </c>
      <c r="AA5376">
        <v>0.99999740000000004</v>
      </c>
      <c r="AB5376">
        <v>27</v>
      </c>
      <c r="AC5376">
        <v>-17.8356999999999</v>
      </c>
      <c r="AD5376">
        <v>-1.1209005653539901</v>
      </c>
      <c r="AE5376">
        <v>-5.8799999999990797E-2</v>
      </c>
      <c r="AF5376">
        <v>4.05926233349082E-2</v>
      </c>
      <c r="AG5376">
        <v>-1.1209005653539901</v>
      </c>
      <c r="AH5376">
        <v>17.765584057773602</v>
      </c>
      <c r="AI5376">
        <v>93.610221145150703</v>
      </c>
      <c r="AJ5376">
        <v>89.869084971176093</v>
      </c>
      <c r="AK5376">
        <v>17.800956231402299</v>
      </c>
      <c r="AL5376">
        <v>94.628633074591903</v>
      </c>
      <c r="AM5376">
        <v>90.452066520337596</v>
      </c>
      <c r="AN5376">
        <v>1.00000004966292</v>
      </c>
    </row>
    <row r="5377" spans="1:40" x14ac:dyDescent="0.25">
      <c r="A5377" t="str">
        <f>"20190303154916683"</f>
        <v>20190303154916683</v>
      </c>
      <c r="B5377" t="str">
        <f>"1551599356676524"</f>
        <v>1551599356676524</v>
      </c>
      <c r="C5377" t="s">
        <v>40</v>
      </c>
      <c r="D5377">
        <v>5.4248479999999999</v>
      </c>
      <c r="E5377">
        <v>0.50366029999999995</v>
      </c>
      <c r="F5377" t="s">
        <v>41</v>
      </c>
      <c r="G5377">
        <v>-380.25420000000003</v>
      </c>
      <c r="H5377" s="1">
        <v>-4.5166299999999996E-6</v>
      </c>
      <c r="I5377">
        <v>141.46039999999999</v>
      </c>
      <c r="J5377">
        <v>-362.54750000000001</v>
      </c>
      <c r="K5377">
        <v>1.120903</v>
      </c>
      <c r="L5377">
        <v>141.50890000000001</v>
      </c>
      <c r="M5377">
        <v>-0.9998705</v>
      </c>
      <c r="N5377">
        <v>-1.511125E-2</v>
      </c>
      <c r="O5377">
        <v>-5.5411180000000003E-3</v>
      </c>
      <c r="P5377">
        <v>-0.99533150000000004</v>
      </c>
      <c r="Q5377">
        <v>-9.5633480000000007E-2</v>
      </c>
      <c r="R5377">
        <v>-1.302001E-2</v>
      </c>
      <c r="S5377">
        <v>-2.9960330000000002</v>
      </c>
      <c r="T5377">
        <v>-0.18674160000000001</v>
      </c>
      <c r="U5377">
        <v>-8.3160400000000002E-3</v>
      </c>
      <c r="V5377">
        <v>-7.512609E-3</v>
      </c>
      <c r="W5377">
        <v>-8.0580170000000007E-2</v>
      </c>
      <c r="X5377">
        <v>0.99671980000000004</v>
      </c>
      <c r="Y5377">
        <v>2.7532870000000001E-3</v>
      </c>
      <c r="Z5377">
        <v>3.6791290000000001E-4</v>
      </c>
      <c r="AA5377">
        <v>0.99999610000000005</v>
      </c>
      <c r="AB5377">
        <v>27</v>
      </c>
      <c r="AC5377">
        <v>-17.706700000000001</v>
      </c>
      <c r="AD5377">
        <v>-1.12090751662999</v>
      </c>
      <c r="AE5377">
        <v>-4.8500000000018403E-2</v>
      </c>
      <c r="AF5377">
        <v>4.9428779415637898E-2</v>
      </c>
      <c r="AG5377">
        <v>-1.12090751662999</v>
      </c>
      <c r="AH5377">
        <v>17.636022548946698</v>
      </c>
      <c r="AI5377">
        <v>93.636690119156199</v>
      </c>
      <c r="AJ5377">
        <v>89.839416567784099</v>
      </c>
      <c r="AK5377">
        <v>17.6716770062161</v>
      </c>
      <c r="AL5377">
        <v>94.621914780602197</v>
      </c>
      <c r="AM5377">
        <v>90.431849189508299</v>
      </c>
      <c r="AN5377">
        <v>0.99999998140162705</v>
      </c>
    </row>
    <row r="5378" spans="1:40" x14ac:dyDescent="0.25">
      <c r="A5378" t="str">
        <f>"20190303154916705"</f>
        <v>20190303154916705</v>
      </c>
      <c r="B5378" t="str">
        <f>"1551599356696045"</f>
        <v>1551599356696045</v>
      </c>
      <c r="C5378" t="s">
        <v>40</v>
      </c>
      <c r="D5378">
        <v>5.4125449999999997</v>
      </c>
      <c r="E5378">
        <v>0.50364940000000002</v>
      </c>
      <c r="F5378" t="s">
        <v>41</v>
      </c>
      <c r="G5378">
        <v>-380.56389999999999</v>
      </c>
      <c r="H5378" s="1">
        <v>-4.4108049999999997E-6</v>
      </c>
      <c r="I5378">
        <v>141.4579</v>
      </c>
      <c r="J5378">
        <v>-362.81849999999997</v>
      </c>
      <c r="K5378">
        <v>1.120908</v>
      </c>
      <c r="L5378">
        <v>141.50749999999999</v>
      </c>
      <c r="M5378">
        <v>-0.99987079999999995</v>
      </c>
      <c r="N5378">
        <v>-1.510453E-2</v>
      </c>
      <c r="O5378">
        <v>-5.5022119999999898E-3</v>
      </c>
      <c r="P5378">
        <v>-0.99542149999999996</v>
      </c>
      <c r="Q5378">
        <v>-9.4784019999999997E-2</v>
      </c>
      <c r="R5378">
        <v>-1.233487E-2</v>
      </c>
      <c r="S5378">
        <v>-2.9960939999999998</v>
      </c>
      <c r="T5378">
        <v>-0.18640580000000001</v>
      </c>
      <c r="U5378">
        <v>-8.4686280000000006E-3</v>
      </c>
      <c r="V5378">
        <v>-6.865754E-3</v>
      </c>
      <c r="W5378">
        <v>-7.9736310000000005E-2</v>
      </c>
      <c r="X5378">
        <v>0.99679240000000002</v>
      </c>
      <c r="Y5378">
        <v>2.6638130000000001E-3</v>
      </c>
      <c r="Z5378">
        <v>3.618704E-4</v>
      </c>
      <c r="AA5378">
        <v>0.99999640000000001</v>
      </c>
      <c r="AB5378">
        <v>27</v>
      </c>
      <c r="AC5378">
        <v>-17.7454</v>
      </c>
      <c r="AD5378">
        <v>-1.1209124108049999</v>
      </c>
      <c r="AE5378">
        <v>-4.9599999999998E-2</v>
      </c>
      <c r="AF5378">
        <v>4.7859882925833402E-2</v>
      </c>
      <c r="AG5378">
        <v>-1.1209124108049999</v>
      </c>
      <c r="AH5378">
        <v>17.674882216293799</v>
      </c>
      <c r="AI5378">
        <v>93.628732694825402</v>
      </c>
      <c r="AJ5378">
        <v>89.8448553962548</v>
      </c>
      <c r="AK5378">
        <v>17.710454442530501</v>
      </c>
      <c r="AL5378">
        <v>94.573408748616799</v>
      </c>
      <c r="AM5378">
        <v>90.3946383485697</v>
      </c>
      <c r="AN5378">
        <v>1.00000005320408</v>
      </c>
    </row>
    <row r="5379" spans="1:40" x14ac:dyDescent="0.25">
      <c r="A5379" t="str">
        <f>"20190303154916727"</f>
        <v>20190303154916727</v>
      </c>
      <c r="B5379" t="str">
        <f>"1551599356716539"</f>
        <v>1551599356716539</v>
      </c>
      <c r="C5379" t="s">
        <v>40</v>
      </c>
      <c r="D5379">
        <v>5.421227</v>
      </c>
      <c r="E5379">
        <v>0.50364179999999903</v>
      </c>
      <c r="F5379" t="s">
        <v>41</v>
      </c>
      <c r="G5379">
        <v>-380.9008</v>
      </c>
      <c r="H5379" s="1">
        <v>-4.2978499999999999E-6</v>
      </c>
      <c r="I5379">
        <v>141.4675</v>
      </c>
      <c r="J5379">
        <v>-363.07650000000001</v>
      </c>
      <c r="K5379">
        <v>1.120911</v>
      </c>
      <c r="L5379">
        <v>141.5061</v>
      </c>
      <c r="M5379">
        <v>-0.99987110000000001</v>
      </c>
      <c r="N5379">
        <v>-1.5098210000000001E-2</v>
      </c>
      <c r="O5379">
        <v>-5.4656890000000001E-3</v>
      </c>
      <c r="P5379">
        <v>-0.99545430000000001</v>
      </c>
      <c r="Q5379">
        <v>-9.4525949999999997E-2</v>
      </c>
      <c r="R5379">
        <v>-1.165625E-2</v>
      </c>
      <c r="S5379">
        <v>-2.9960330000000002</v>
      </c>
      <c r="T5379">
        <v>-0.18572250000000001</v>
      </c>
      <c r="U5379">
        <v>-6.607056E-3</v>
      </c>
      <c r="V5379">
        <v>-6.2232619999999898E-3</v>
      </c>
      <c r="W5379">
        <v>-7.9484189999999996E-2</v>
      </c>
      <c r="X5379">
        <v>0.9968167</v>
      </c>
      <c r="Y5379">
        <v>3.2473129999999999E-3</v>
      </c>
      <c r="Z5379">
        <v>3.8111880000000001E-4</v>
      </c>
      <c r="AA5379">
        <v>0.99999459999999996</v>
      </c>
      <c r="AB5379">
        <v>27</v>
      </c>
      <c r="AC5379">
        <v>-17.824299999999901</v>
      </c>
      <c r="AD5379">
        <v>-1.1209152978500001</v>
      </c>
      <c r="AE5379">
        <v>-3.8600000000002403E-2</v>
      </c>
      <c r="AF5379">
        <v>5.8602004714420203E-2</v>
      </c>
      <c r="AG5379">
        <v>-1.1209152978500001</v>
      </c>
      <c r="AH5379">
        <v>17.754032011431999</v>
      </c>
      <c r="AI5379">
        <v>93.612601128633301</v>
      </c>
      <c r="AJ5379">
        <v>89.810880404794801</v>
      </c>
      <c r="AK5379">
        <v>17.789478293723601</v>
      </c>
      <c r="AL5379">
        <v>94.558917588366299</v>
      </c>
      <c r="AM5379">
        <v>90.357700683495906</v>
      </c>
      <c r="AN5379">
        <v>0.999999999424383</v>
      </c>
    </row>
    <row r="5380" spans="1:40" x14ac:dyDescent="0.25">
      <c r="A5380" t="str">
        <f>"20190303154916749"</f>
        <v>20190303154916749</v>
      </c>
      <c r="B5380" t="str">
        <f>"1551599356736400"</f>
        <v>1551599356736400</v>
      </c>
      <c r="C5380" t="s">
        <v>40</v>
      </c>
      <c r="D5380">
        <v>5.3817009999999996</v>
      </c>
      <c r="E5380">
        <v>0.50331870000000001</v>
      </c>
      <c r="F5380" t="s">
        <v>41</v>
      </c>
      <c r="G5380">
        <v>-381.06529999999998</v>
      </c>
      <c r="H5380" s="1">
        <v>-4.2438599999999999E-6</v>
      </c>
      <c r="I5380">
        <v>141.4786</v>
      </c>
      <c r="J5380">
        <v>-363.34210000000002</v>
      </c>
      <c r="K5380">
        <v>1.1209150000000001</v>
      </c>
      <c r="L5380">
        <v>141.50470000000001</v>
      </c>
      <c r="M5380">
        <v>-0.99987159999999997</v>
      </c>
      <c r="N5380">
        <v>-1.5091780000000001E-2</v>
      </c>
      <c r="O5380">
        <v>-5.4279740000000003E-3</v>
      </c>
      <c r="P5380">
        <v>-0.99547169999999896</v>
      </c>
      <c r="Q5380">
        <v>-9.4397960000000003E-2</v>
      </c>
      <c r="R5380">
        <v>-1.122303E-2</v>
      </c>
      <c r="S5380">
        <v>-2.995911</v>
      </c>
      <c r="T5380">
        <v>-0.18668209999999999</v>
      </c>
      <c r="U5380">
        <v>-4.5623779999999997E-3</v>
      </c>
      <c r="V5380">
        <v>-5.827853E-3</v>
      </c>
      <c r="W5380">
        <v>-7.9362440000000006E-2</v>
      </c>
      <c r="X5380">
        <v>0.99682879999999996</v>
      </c>
      <c r="Y5380">
        <v>3.8903200000000001E-3</v>
      </c>
      <c r="Z5380">
        <v>4.0652039999999998E-4</v>
      </c>
      <c r="AA5380">
        <v>0.9999924</v>
      </c>
      <c r="AB5380">
        <v>27</v>
      </c>
      <c r="AC5380">
        <v>-17.723199999999899</v>
      </c>
      <c r="AD5380">
        <v>-1.12091924386</v>
      </c>
      <c r="AE5380">
        <v>-2.6100000000013699E-2</v>
      </c>
      <c r="AF5380">
        <v>6.9833055052301696E-2</v>
      </c>
      <c r="AG5380">
        <v>-1.12091924386</v>
      </c>
      <c r="AH5380">
        <v>17.6524700967374</v>
      </c>
      <c r="AI5380">
        <v>93.633334531599004</v>
      </c>
      <c r="AJ5380">
        <v>89.773339457264797</v>
      </c>
      <c r="AK5380">
        <v>17.688160931058999</v>
      </c>
      <c r="AL5380">
        <v>94.551919678792203</v>
      </c>
      <c r="AM5380">
        <v>90.334969832535194</v>
      </c>
      <c r="AN5380">
        <v>1.00000000863139</v>
      </c>
    </row>
    <row r="5381" spans="1:40" x14ac:dyDescent="0.25">
      <c r="A5381" t="str">
        <f>"20190303154916765"</f>
        <v>20190303154916765</v>
      </c>
      <c r="B5381" t="str">
        <f>"1551599356755921"</f>
        <v>1551599356755921</v>
      </c>
      <c r="C5381" t="s">
        <v>40</v>
      </c>
      <c r="D5381">
        <v>5.4187149999999997</v>
      </c>
      <c r="E5381">
        <v>0.50326199999999999</v>
      </c>
      <c r="F5381" t="s">
        <v>41</v>
      </c>
      <c r="G5381">
        <v>-381.44900000000001</v>
      </c>
      <c r="H5381" s="1">
        <v>-4.1116069999999997E-6</v>
      </c>
      <c r="I5381">
        <v>141.4692</v>
      </c>
      <c r="J5381">
        <v>-363.53870000000001</v>
      </c>
      <c r="K5381">
        <v>1.120916</v>
      </c>
      <c r="L5381">
        <v>141.50360000000001</v>
      </c>
      <c r="M5381">
        <v>-0.99987150000000002</v>
      </c>
      <c r="N5381">
        <v>-1.5087059999999999E-2</v>
      </c>
      <c r="O5381">
        <v>-5.3996900000000004E-3</v>
      </c>
      <c r="P5381">
        <v>-0.99547560000000002</v>
      </c>
      <c r="Q5381">
        <v>-9.438589E-2</v>
      </c>
      <c r="R5381">
        <v>-1.0931089999999999E-2</v>
      </c>
      <c r="S5381">
        <v>-2.9959720000000001</v>
      </c>
      <c r="T5381">
        <v>-0.1854682</v>
      </c>
      <c r="U5381">
        <v>-5.859375E-3</v>
      </c>
      <c r="V5381">
        <v>-5.5640500000000001E-3</v>
      </c>
      <c r="W5381">
        <v>-7.9355079999999995E-2</v>
      </c>
      <c r="X5381">
        <v>0.99683089999999996</v>
      </c>
      <c r="Y5381">
        <v>3.4304940000000001E-3</v>
      </c>
      <c r="Z5381">
        <v>3.845319E-4</v>
      </c>
      <c r="AA5381">
        <v>0.99999400000000005</v>
      </c>
      <c r="AB5381">
        <v>27</v>
      </c>
      <c r="AC5381">
        <v>-17.910299999999999</v>
      </c>
      <c r="AD5381">
        <v>-1.120920111607</v>
      </c>
      <c r="AE5381">
        <v>-3.4400000000005003E-2</v>
      </c>
      <c r="AF5381">
        <v>6.2078433132810702E-2</v>
      </c>
      <c r="AG5381">
        <v>-1.120920111607</v>
      </c>
      <c r="AH5381">
        <v>17.840345834207401</v>
      </c>
      <c r="AI5381">
        <v>93.595182089389496</v>
      </c>
      <c r="AJ5381">
        <v>89.800630666300094</v>
      </c>
      <c r="AK5381">
        <v>17.8756329989343</v>
      </c>
      <c r="AL5381">
        <v>94.551496617323807</v>
      </c>
      <c r="AM5381">
        <v>90.319806770910603</v>
      </c>
      <c r="AN5381">
        <v>1.0000000152845001</v>
      </c>
    </row>
    <row r="5382" spans="1:40" x14ac:dyDescent="0.25">
      <c r="A5382" t="str">
        <f>"20190303154916779"</f>
        <v>20190303154916779</v>
      </c>
      <c r="B5382" t="str">
        <f>"1551599356776416"</f>
        <v>1551599356776416</v>
      </c>
      <c r="C5382" t="s">
        <v>40</v>
      </c>
      <c r="D5382">
        <v>5.4199640000000002</v>
      </c>
      <c r="E5382">
        <v>0.50318850000000004</v>
      </c>
      <c r="F5382" t="s">
        <v>41</v>
      </c>
      <c r="G5382">
        <v>-381.50130000000001</v>
      </c>
      <c r="H5382" s="1">
        <v>-4.0940360000000003E-6</v>
      </c>
      <c r="I5382">
        <v>141.47030000000001</v>
      </c>
      <c r="J5382">
        <v>-363.70830000000001</v>
      </c>
      <c r="K5382">
        <v>1.120916</v>
      </c>
      <c r="L5382">
        <v>141.5027</v>
      </c>
      <c r="M5382">
        <v>-0.99987179999999998</v>
      </c>
      <c r="N5382">
        <v>-1.5082999999999999E-2</v>
      </c>
      <c r="O5382">
        <v>-5.3755809999999999E-3</v>
      </c>
      <c r="P5382">
        <v>-0.99547070000000004</v>
      </c>
      <c r="Q5382">
        <v>-9.4444860000000005E-2</v>
      </c>
      <c r="R5382">
        <v>-1.08843E-2</v>
      </c>
      <c r="S5382">
        <v>-2.995819</v>
      </c>
      <c r="T5382">
        <v>-0.1869497</v>
      </c>
      <c r="U5382">
        <v>-5.53894E-3</v>
      </c>
      <c r="V5382">
        <v>-5.5412069999999898E-3</v>
      </c>
      <c r="W5382">
        <v>-7.9418169999999996E-2</v>
      </c>
      <c r="X5382">
        <v>0.99682599999999999</v>
      </c>
      <c r="Y5382">
        <v>3.512823E-3</v>
      </c>
      <c r="Z5382">
        <v>3.9012749999999999E-4</v>
      </c>
      <c r="AA5382">
        <v>0.99999369999999999</v>
      </c>
      <c r="AB5382">
        <v>27</v>
      </c>
      <c r="AC5382">
        <v>-17.792999999999999</v>
      </c>
      <c r="AD5382">
        <v>-1.120920094036</v>
      </c>
      <c r="AE5382">
        <v>-3.2399999999995502E-2</v>
      </c>
      <c r="AF5382">
        <v>6.3008997596726596E-2</v>
      </c>
      <c r="AG5382">
        <v>-1.120920094036</v>
      </c>
      <c r="AH5382">
        <v>17.722581238223199</v>
      </c>
      <c r="AI5382">
        <v>93.619007379503898</v>
      </c>
      <c r="AJ5382">
        <v>89.796297482047095</v>
      </c>
      <c r="AK5382">
        <v>17.7581056911038</v>
      </c>
      <c r="AL5382">
        <v>94.555122865517603</v>
      </c>
      <c r="AM5382">
        <v>90.318495408785296</v>
      </c>
      <c r="AN5382">
        <v>1.0000000124885799</v>
      </c>
    </row>
    <row r="5383" spans="1:40" x14ac:dyDescent="0.25">
      <c r="A5383" t="str">
        <f>"20190303154916793"</f>
        <v>20190303154916793</v>
      </c>
      <c r="B5383" t="str">
        <f>"1551599356786176"</f>
        <v>1551599356786176</v>
      </c>
      <c r="C5383" t="s">
        <v>40</v>
      </c>
      <c r="D5383">
        <v>5.3458649999999999</v>
      </c>
      <c r="E5383">
        <v>0.50307899999999905</v>
      </c>
      <c r="F5383" t="s">
        <v>41</v>
      </c>
      <c r="G5383">
        <v>-381.5059</v>
      </c>
      <c r="H5383" s="1">
        <v>-4.0918569999999996E-6</v>
      </c>
      <c r="I5383">
        <v>141.46690000000001</v>
      </c>
      <c r="J5383">
        <v>-363.87079999999997</v>
      </c>
      <c r="K5383">
        <v>1.1209180000000001</v>
      </c>
      <c r="L5383">
        <v>141.50190000000001</v>
      </c>
      <c r="M5383">
        <v>-0.99987199999999998</v>
      </c>
      <c r="N5383">
        <v>-1.507913E-2</v>
      </c>
      <c r="O5383">
        <v>-5.3524289999999997E-3</v>
      </c>
      <c r="P5383">
        <v>-0.99550430000000001</v>
      </c>
      <c r="Q5383">
        <v>-9.4090279999999998E-2</v>
      </c>
      <c r="R5383">
        <v>-1.0878499999999999E-2</v>
      </c>
      <c r="S5383">
        <v>-2.9956969999999998</v>
      </c>
      <c r="T5383">
        <v>-0.18867490000000001</v>
      </c>
      <c r="U5383">
        <v>-6.0119630000000004E-3</v>
      </c>
      <c r="V5383">
        <v>-5.5579979999999998E-3</v>
      </c>
      <c r="W5383">
        <v>-7.9066960000000006E-2</v>
      </c>
      <c r="X5383">
        <v>0.99685380000000001</v>
      </c>
      <c r="Y5383">
        <v>3.331873E-3</v>
      </c>
      <c r="Z5383">
        <v>3.8609000000000001E-4</v>
      </c>
      <c r="AA5383">
        <v>0.99999439999999995</v>
      </c>
      <c r="AB5383">
        <v>27</v>
      </c>
      <c r="AC5383">
        <v>-17.635100000000001</v>
      </c>
      <c r="AD5383">
        <v>-1.120922091857</v>
      </c>
      <c r="AE5383">
        <v>-3.4999999999996499E-2</v>
      </c>
      <c r="AF5383">
        <v>5.91628287125762E-2</v>
      </c>
      <c r="AG5383">
        <v>-1.120922091857</v>
      </c>
      <c r="AH5383">
        <v>17.564073880098</v>
      </c>
      <c r="AI5383">
        <v>93.651588062666093</v>
      </c>
      <c r="AJ5383">
        <v>89.807005618842794</v>
      </c>
      <c r="AK5383">
        <v>17.5999050520693</v>
      </c>
      <c r="AL5383">
        <v>94.534936651925094</v>
      </c>
      <c r="AM5383">
        <v>90.319451586740399</v>
      </c>
      <c r="AN5383">
        <v>0.99999998703992399</v>
      </c>
    </row>
    <row r="5384" spans="1:40" x14ac:dyDescent="0.25">
      <c r="A5384" t="str">
        <f>"20190303154916816"</f>
        <v>20190303154916816</v>
      </c>
      <c r="B5384" t="str">
        <f>"1551599356806672"</f>
        <v>1551599356806672</v>
      </c>
      <c r="C5384" t="s">
        <v>40</v>
      </c>
      <c r="D5384">
        <v>5.4443979999999996</v>
      </c>
      <c r="E5384">
        <v>0.50305449999999996</v>
      </c>
      <c r="F5384" t="s">
        <v>41</v>
      </c>
      <c r="G5384">
        <v>-381.654</v>
      </c>
      <c r="H5384" s="1">
        <v>-4.0405020000000002E-6</v>
      </c>
      <c r="I5384">
        <v>141.4616</v>
      </c>
      <c r="J5384">
        <v>-364.13900000000001</v>
      </c>
      <c r="K5384">
        <v>1.120919</v>
      </c>
      <c r="L5384">
        <v>141.50049999999999</v>
      </c>
      <c r="M5384">
        <v>-0.99987239999999999</v>
      </c>
      <c r="N5384">
        <v>-1.5069310000000001E-2</v>
      </c>
      <c r="O5384">
        <v>-5.3142140000000003E-3</v>
      </c>
      <c r="P5384">
        <v>-0.99554989999999999</v>
      </c>
      <c r="Q5384">
        <v>-9.3559619999999996E-2</v>
      </c>
      <c r="R5384">
        <v>-1.1296489999999999E-2</v>
      </c>
      <c r="S5384">
        <v>-2.9956670000000001</v>
      </c>
      <c r="T5384">
        <v>-0.18882599999999999</v>
      </c>
      <c r="U5384">
        <v>-6.7749019999999898E-3</v>
      </c>
      <c r="V5384">
        <v>-6.0136199999999999E-3</v>
      </c>
      <c r="W5384">
        <v>-7.8545400000000001E-2</v>
      </c>
      <c r="X5384">
        <v>0.99689240000000001</v>
      </c>
      <c r="Y5384">
        <v>3.0396899999999998E-3</v>
      </c>
      <c r="Z5384">
        <v>3.7324869999999998E-4</v>
      </c>
      <c r="AA5384">
        <v>0.99999530000000003</v>
      </c>
      <c r="AB5384">
        <v>27</v>
      </c>
      <c r="AC5384">
        <v>-17.514999999999901</v>
      </c>
      <c r="AD5384">
        <v>-1.1209230405020001</v>
      </c>
      <c r="AE5384">
        <v>-3.8899999999983899E-2</v>
      </c>
      <c r="AF5384">
        <v>5.3968531727776201E-2</v>
      </c>
      <c r="AG5384">
        <v>-1.1209230405020001</v>
      </c>
      <c r="AH5384">
        <v>17.443515792225998</v>
      </c>
      <c r="AI5384">
        <v>93.676762797507394</v>
      </c>
      <c r="AJ5384">
        <v>89.8227330278431</v>
      </c>
      <c r="AK5384">
        <v>17.4795773478303</v>
      </c>
      <c r="AL5384">
        <v>94.504960176473702</v>
      </c>
      <c r="AM5384">
        <v>90.345624930331596</v>
      </c>
      <c r="AN5384">
        <v>1.00000000033221</v>
      </c>
    </row>
    <row r="5385" spans="1:40" x14ac:dyDescent="0.25">
      <c r="A5385" t="str">
        <f>"20190303154916836"</f>
        <v>20190303154916836</v>
      </c>
      <c r="B5385" t="str">
        <f>"1551599356826192"</f>
        <v>1551599356826192</v>
      </c>
      <c r="C5385" t="s">
        <v>40</v>
      </c>
      <c r="D5385">
        <v>5.4275479999999998</v>
      </c>
      <c r="E5385">
        <v>0.50296809999999903</v>
      </c>
      <c r="F5385" t="s">
        <v>41</v>
      </c>
      <c r="G5385">
        <v>-381.97930000000002</v>
      </c>
      <c r="H5385" s="1">
        <v>-3.9113589999999999E-6</v>
      </c>
      <c r="I5385">
        <v>141.45099999999999</v>
      </c>
      <c r="J5385">
        <v>-364.39499999999998</v>
      </c>
      <c r="K5385">
        <v>1.1209169999999999</v>
      </c>
      <c r="L5385">
        <v>141.4992</v>
      </c>
      <c r="M5385">
        <v>-0.99987280000000001</v>
      </c>
      <c r="N5385">
        <v>-1.5051169999999999E-2</v>
      </c>
      <c r="O5385">
        <v>-5.2773669999999998E-3</v>
      </c>
      <c r="P5385">
        <v>-0.99555749999999998</v>
      </c>
      <c r="Q5385">
        <v>-9.3373860000000003E-2</v>
      </c>
      <c r="R5385">
        <v>-1.211739E-2</v>
      </c>
      <c r="S5385">
        <v>-2.9955750000000001</v>
      </c>
      <c r="T5385">
        <v>-0.18821560000000001</v>
      </c>
      <c r="U5385">
        <v>-8.3007810000000001E-3</v>
      </c>
      <c r="V5385">
        <v>-6.8712499999999998E-3</v>
      </c>
      <c r="W5385">
        <v>-7.8377470000000005E-2</v>
      </c>
      <c r="X5385">
        <v>0.99690009999999996</v>
      </c>
      <c r="Y5385">
        <v>2.494862E-3</v>
      </c>
      <c r="Z5385">
        <v>3.4897820000000002E-4</v>
      </c>
      <c r="AA5385">
        <v>0.99999680000000002</v>
      </c>
      <c r="AB5385">
        <v>27</v>
      </c>
      <c r="AC5385">
        <v>-17.584299999999999</v>
      </c>
      <c r="AD5385">
        <v>-1.120920911359</v>
      </c>
      <c r="AE5385">
        <v>-4.8200000000008403E-2</v>
      </c>
      <c r="AF5385">
        <v>4.4429451172015903E-2</v>
      </c>
      <c r="AG5385">
        <v>-1.120920911359</v>
      </c>
      <c r="AH5385">
        <v>17.5131454227066</v>
      </c>
      <c r="AI5385">
        <v>93.662183192730595</v>
      </c>
      <c r="AJ5385">
        <v>89.854645495389505</v>
      </c>
      <c r="AK5385">
        <v>17.549037018096499</v>
      </c>
      <c r="AL5385">
        <v>94.495308628328601</v>
      </c>
      <c r="AM5385">
        <v>90.394911577001096</v>
      </c>
      <c r="AN5385">
        <v>1.0000000256300801</v>
      </c>
    </row>
    <row r="5386" spans="1:40" x14ac:dyDescent="0.25">
      <c r="A5386" t="str">
        <f>"20190303154916860"</f>
        <v>20190303154916860</v>
      </c>
      <c r="B5386" t="str">
        <f>"1551599356856448"</f>
        <v>1551599356856448</v>
      </c>
      <c r="C5386" t="s">
        <v>40</v>
      </c>
      <c r="D5386">
        <v>5.472874</v>
      </c>
      <c r="E5386">
        <v>0.50278559999999906</v>
      </c>
      <c r="F5386" t="s">
        <v>41</v>
      </c>
      <c r="G5386">
        <v>-382.11450000000002</v>
      </c>
      <c r="H5386" s="1">
        <v>-3.8482440000000002E-6</v>
      </c>
      <c r="I5386">
        <v>141.43180000000001</v>
      </c>
      <c r="J5386">
        <v>-364.67340000000002</v>
      </c>
      <c r="K5386">
        <v>1.12090499999999</v>
      </c>
      <c r="L5386">
        <v>141.49780000000001</v>
      </c>
      <c r="M5386">
        <v>-0.99987380000000003</v>
      </c>
      <c r="N5386">
        <v>-1.5012269999999999E-2</v>
      </c>
      <c r="O5386">
        <v>-5.237149E-3</v>
      </c>
      <c r="P5386">
        <v>-0.99559739999999997</v>
      </c>
      <c r="Q5386">
        <v>-9.2955220000000005E-2</v>
      </c>
      <c r="R5386">
        <v>-1.205315E-2</v>
      </c>
      <c r="S5386">
        <v>-2.9954830000000001</v>
      </c>
      <c r="T5386">
        <v>-0.18949279999999999</v>
      </c>
      <c r="U5386">
        <v>-1.138306E-2</v>
      </c>
      <c r="V5386">
        <v>-6.846736E-3</v>
      </c>
      <c r="W5386">
        <v>-7.7997090000000005E-2</v>
      </c>
      <c r="X5386">
        <v>0.99693010000000004</v>
      </c>
      <c r="Y5386">
        <v>1.4280849999999999E-3</v>
      </c>
      <c r="Z5386">
        <v>3.0825740000000001E-4</v>
      </c>
      <c r="AA5386">
        <v>0.99999890000000002</v>
      </c>
      <c r="AB5386">
        <v>27</v>
      </c>
      <c r="AC5386">
        <v>-17.441099999999999</v>
      </c>
      <c r="AD5386">
        <v>-1.12090884824399</v>
      </c>
      <c r="AE5386">
        <v>-6.6000000000002501E-2</v>
      </c>
      <c r="AF5386">
        <v>2.5248535189463E-2</v>
      </c>
      <c r="AG5386">
        <v>-1.12090884824399</v>
      </c>
      <c r="AH5386">
        <v>17.369464519466501</v>
      </c>
      <c r="AI5386">
        <v>93.692361787166107</v>
      </c>
      <c r="AJ5386">
        <v>89.916713984779904</v>
      </c>
      <c r="AK5386">
        <v>17.405613227565599</v>
      </c>
      <c r="AL5386">
        <v>94.473447543559203</v>
      </c>
      <c r="AM5386">
        <v>90.393490886394503</v>
      </c>
      <c r="AN5386">
        <v>1.00000002406416</v>
      </c>
    </row>
    <row r="5387" spans="1:40" x14ac:dyDescent="0.25">
      <c r="A5387" t="str">
        <f>"20190303154916882"</f>
        <v>20190303154916882</v>
      </c>
      <c r="B5387" t="str">
        <f>"1551599356875968"</f>
        <v>1551599356875968</v>
      </c>
      <c r="C5387" t="s">
        <v>40</v>
      </c>
      <c r="D5387">
        <v>5.4644779999999997</v>
      </c>
      <c r="E5387">
        <v>0.50271149999999998</v>
      </c>
      <c r="F5387" t="s">
        <v>41</v>
      </c>
      <c r="G5387">
        <v>-382.26499999999999</v>
      </c>
      <c r="H5387" s="1">
        <v>-3.781386E-6</v>
      </c>
      <c r="I5387">
        <v>141.42310000000001</v>
      </c>
      <c r="J5387">
        <v>-364.93389999999999</v>
      </c>
      <c r="K5387">
        <v>1.1208929999999999</v>
      </c>
      <c r="L5387">
        <v>141.49639999999999</v>
      </c>
      <c r="M5387">
        <v>-0.99987470000000001</v>
      </c>
      <c r="N5387">
        <v>-1.495642E-2</v>
      </c>
      <c r="O5387">
        <v>-5.2001390000000003E-3</v>
      </c>
      <c r="P5387">
        <v>-0.99551679999999998</v>
      </c>
      <c r="Q5387">
        <v>-9.3793050000000003E-2</v>
      </c>
      <c r="R5387">
        <v>-1.221933E-2</v>
      </c>
      <c r="S5387">
        <v>-2.9952999999999999</v>
      </c>
      <c r="T5387">
        <v>-0.1908571</v>
      </c>
      <c r="U5387">
        <v>-1.269531E-2</v>
      </c>
      <c r="V5387">
        <v>-7.0501729999999999E-3</v>
      </c>
      <c r="W5387">
        <v>-7.889169E-2</v>
      </c>
      <c r="X5387">
        <v>0.99685820000000003</v>
      </c>
      <c r="Y5387">
        <v>9.5379419999999996E-4</v>
      </c>
      <c r="Z5387">
        <v>2.9078639999999999E-4</v>
      </c>
      <c r="AA5387">
        <v>0.99999950000000004</v>
      </c>
      <c r="AB5387">
        <v>27</v>
      </c>
      <c r="AC5387">
        <v>-17.3310999999999</v>
      </c>
      <c r="AD5387">
        <v>-1.120896781386</v>
      </c>
      <c r="AE5387">
        <v>-7.3299999999988999E-2</v>
      </c>
      <c r="AF5387">
        <v>1.6765069713021299E-2</v>
      </c>
      <c r="AG5387">
        <v>-1.120896781386</v>
      </c>
      <c r="AH5387">
        <v>17.259054969819601</v>
      </c>
      <c r="AI5387">
        <v>93.715878853347405</v>
      </c>
      <c r="AJ5387">
        <v>89.944344146457794</v>
      </c>
      <c r="AK5387">
        <v>17.295423357447401</v>
      </c>
      <c r="AL5387">
        <v>94.524863178371405</v>
      </c>
      <c r="AM5387">
        <v>90.405211516538799</v>
      </c>
      <c r="AN5387">
        <v>0.99999993729881098</v>
      </c>
    </row>
    <row r="5388" spans="1:40" x14ac:dyDescent="0.25">
      <c r="A5388" t="str">
        <f>"20190303154916905"</f>
        <v>20190303154916905</v>
      </c>
      <c r="B5388" t="str">
        <f>"1551599356896464"</f>
        <v>1551599356896464</v>
      </c>
      <c r="C5388" t="s">
        <v>40</v>
      </c>
      <c r="D5388">
        <v>5.4746370000000004</v>
      </c>
      <c r="E5388">
        <v>0.50264719999999996</v>
      </c>
      <c r="F5388" t="s">
        <v>41</v>
      </c>
      <c r="G5388">
        <v>-382.17899999999997</v>
      </c>
      <c r="H5388" s="1">
        <v>-3.8166519999999998E-6</v>
      </c>
      <c r="I5388">
        <v>141.417</v>
      </c>
      <c r="J5388">
        <v>-365.19690000000003</v>
      </c>
      <c r="K5388">
        <v>1.120879</v>
      </c>
      <c r="L5388">
        <v>141.49510000000001</v>
      </c>
      <c r="M5388">
        <v>-0.99987590000000004</v>
      </c>
      <c r="N5388">
        <v>-1.489297E-2</v>
      </c>
      <c r="O5388">
        <v>-5.1625990000000004E-3</v>
      </c>
      <c r="P5388">
        <v>-0.9955193</v>
      </c>
      <c r="Q5388">
        <v>-9.3760679999999999E-2</v>
      </c>
      <c r="R5388">
        <v>-1.2264300000000001E-2</v>
      </c>
      <c r="S5388">
        <v>-2.9950260000000002</v>
      </c>
      <c r="T5388">
        <v>-0.19467119999999999</v>
      </c>
      <c r="U5388">
        <v>-1.377869E-2</v>
      </c>
      <c r="V5388">
        <v>-7.1323890000000003E-3</v>
      </c>
      <c r="W5388">
        <v>-7.8922530000000005E-2</v>
      </c>
      <c r="X5388">
        <v>0.9968553</v>
      </c>
      <c r="Y5388">
        <v>5.5479119999999997E-4</v>
      </c>
      <c r="Z5388">
        <v>2.805215E-4</v>
      </c>
      <c r="AA5388">
        <v>0.99999979999999999</v>
      </c>
      <c r="AB5388">
        <v>27</v>
      </c>
      <c r="AC5388">
        <v>-16.982099999999999</v>
      </c>
      <c r="AD5388">
        <v>-1.120882816652</v>
      </c>
      <c r="AE5388">
        <v>-7.8100000000006206E-2</v>
      </c>
      <c r="AF5388">
        <v>9.54096185237268E-3</v>
      </c>
      <c r="AG5388">
        <v>-1.120882816652</v>
      </c>
      <c r="AH5388">
        <v>16.908616071085699</v>
      </c>
      <c r="AI5388">
        <v>93.792623733650601</v>
      </c>
      <c r="AJ5388">
        <v>89.967669927194507</v>
      </c>
      <c r="AK5388">
        <v>16.945730044999401</v>
      </c>
      <c r="AL5388">
        <v>94.526635137259902</v>
      </c>
      <c r="AM5388">
        <v>90.4099379462575</v>
      </c>
      <c r="AN5388">
        <v>1.00000006292626</v>
      </c>
    </row>
    <row r="5389" spans="1:40" x14ac:dyDescent="0.25">
      <c r="A5389" t="str">
        <f>"20190303154916927"</f>
        <v>20190303154916927</v>
      </c>
      <c r="B5389" t="str">
        <f>"1551599356915985"</f>
        <v>1551599356915985</v>
      </c>
      <c r="C5389" t="s">
        <v>40</v>
      </c>
      <c r="D5389">
        <v>5.5160530000000003</v>
      </c>
      <c r="E5389">
        <v>0.50266060000000001</v>
      </c>
      <c r="F5389" t="s">
        <v>41</v>
      </c>
      <c r="G5389">
        <v>-382.32459999999998</v>
      </c>
      <c r="H5389" s="1">
        <v>-3.7529800000000002E-6</v>
      </c>
      <c r="I5389">
        <v>141.4126</v>
      </c>
      <c r="J5389">
        <v>-365.46350000000001</v>
      </c>
      <c r="K5389">
        <v>1.120868</v>
      </c>
      <c r="L5389">
        <v>141.49379999999999</v>
      </c>
      <c r="M5389">
        <v>-0.99987709999999996</v>
      </c>
      <c r="N5389">
        <v>-1.4830879999999999E-2</v>
      </c>
      <c r="O5389">
        <v>-5.1245960000000004E-3</v>
      </c>
      <c r="P5389">
        <v>-0.99550159999999999</v>
      </c>
      <c r="Q5389">
        <v>-9.401321E-2</v>
      </c>
      <c r="R5389">
        <v>-1.1765879999999999E-2</v>
      </c>
      <c r="S5389">
        <v>-2.994904</v>
      </c>
      <c r="T5389">
        <v>-0.1959949</v>
      </c>
      <c r="U5389">
        <v>-1.441956E-2</v>
      </c>
      <c r="V5389">
        <v>-6.6720950000000003E-3</v>
      </c>
      <c r="W5389">
        <v>-7.9237279999999993E-2</v>
      </c>
      <c r="X5389">
        <v>0.99683339999999998</v>
      </c>
      <c r="Y5389">
        <v>3.0316970000000002E-4</v>
      </c>
      <c r="Z5389">
        <v>2.7122259999999999E-4</v>
      </c>
      <c r="AA5389">
        <v>0.99999990000000005</v>
      </c>
      <c r="AB5389">
        <v>26</v>
      </c>
      <c r="AC5389">
        <v>-16.861099999999901</v>
      </c>
      <c r="AD5389">
        <v>-1.1208717529799901</v>
      </c>
      <c r="AE5389">
        <v>-8.1199999999995498E-2</v>
      </c>
      <c r="AF5389">
        <v>5.1939254684120299E-3</v>
      </c>
      <c r="AG5389">
        <v>-1.1208717529799901</v>
      </c>
      <c r="AH5389">
        <v>16.787111449244801</v>
      </c>
      <c r="AI5389">
        <v>93.819956478995906</v>
      </c>
      <c r="AJ5389">
        <v>89.982272709640995</v>
      </c>
      <c r="AK5389">
        <v>16.8244908176401</v>
      </c>
      <c r="AL5389">
        <v>94.544726172531497</v>
      </c>
      <c r="AM5389">
        <v>90.383491539698994</v>
      </c>
      <c r="AN5389">
        <v>0.99999994537452197</v>
      </c>
    </row>
    <row r="5390" spans="1:40" x14ac:dyDescent="0.25">
      <c r="A5390" t="str">
        <f>"20190303154916950"</f>
        <v>20190303154916950</v>
      </c>
      <c r="B5390" t="str">
        <f>"1551599356946241"</f>
        <v>1551599356946241</v>
      </c>
      <c r="C5390" t="s">
        <v>40</v>
      </c>
      <c r="D5390">
        <v>5.5001249999999997</v>
      </c>
      <c r="E5390">
        <v>0.50256959999999995</v>
      </c>
      <c r="F5390" t="s">
        <v>41</v>
      </c>
      <c r="G5390">
        <v>-382.42959999999999</v>
      </c>
      <c r="H5390" s="1">
        <v>-3.7100469999999999E-6</v>
      </c>
      <c r="I5390">
        <v>141.4204</v>
      </c>
      <c r="J5390">
        <v>-365.73099999999999</v>
      </c>
      <c r="K5390">
        <v>1.1208629999999999</v>
      </c>
      <c r="L5390">
        <v>141.4924</v>
      </c>
      <c r="M5390">
        <v>-0.99987780000000004</v>
      </c>
      <c r="N5390">
        <v>-1.478368E-2</v>
      </c>
      <c r="O5390">
        <v>-5.0862290000000003E-3</v>
      </c>
      <c r="P5390">
        <v>-0.99556659999999997</v>
      </c>
      <c r="Q5390">
        <v>-9.3343839999999997E-2</v>
      </c>
      <c r="R5390">
        <v>-1.1589489999999999E-2</v>
      </c>
      <c r="S5390">
        <v>-2.9947509999999999</v>
      </c>
      <c r="T5390">
        <v>-0.19785050000000001</v>
      </c>
      <c r="U5390">
        <v>-1.293945E-2</v>
      </c>
      <c r="V5390">
        <v>-6.5331470000000004E-3</v>
      </c>
      <c r="W5390">
        <v>-7.8614119999999996E-2</v>
      </c>
      <c r="X5390">
        <v>0.99688370000000004</v>
      </c>
      <c r="Y5390">
        <v>7.5742149999999896E-4</v>
      </c>
      <c r="Z5390">
        <v>2.9112129999999997E-4</v>
      </c>
      <c r="AA5390">
        <v>0.99999959999999999</v>
      </c>
      <c r="AB5390">
        <v>26</v>
      </c>
      <c r="AC5390">
        <v>-16.698599999999999</v>
      </c>
      <c r="AD5390">
        <v>-1.120866710047</v>
      </c>
      <c r="AE5390">
        <v>-7.2000000000002701E-2</v>
      </c>
      <c r="AF5390">
        <v>1.28850629745793E-2</v>
      </c>
      <c r="AG5390">
        <v>-1.120866710047</v>
      </c>
      <c r="AH5390">
        <v>16.623852001089102</v>
      </c>
      <c r="AI5390">
        <v>93.8573405100435</v>
      </c>
      <c r="AJ5390">
        <v>89.955590342159297</v>
      </c>
      <c r="AK5390">
        <v>16.6616014704666</v>
      </c>
      <c r="AL5390">
        <v>94.508909817258797</v>
      </c>
      <c r="AM5390">
        <v>90.375486519868801</v>
      </c>
      <c r="AN5390">
        <v>0.99999998659939404</v>
      </c>
    </row>
    <row r="5391" spans="1:40" x14ac:dyDescent="0.25">
      <c r="A5391" t="str">
        <f>"20190303154916971"</f>
        <v>20190303154916971</v>
      </c>
      <c r="B5391" t="str">
        <f>"1551599356965760"</f>
        <v>1551599356965760</v>
      </c>
      <c r="C5391" t="s">
        <v>40</v>
      </c>
      <c r="D5391">
        <v>5.5569329999999999</v>
      </c>
      <c r="E5391">
        <v>0.50261659999999997</v>
      </c>
      <c r="F5391" t="s">
        <v>41</v>
      </c>
      <c r="G5391">
        <v>-382.7704</v>
      </c>
      <c r="H5391" s="1">
        <v>-3.5630399999999999E-6</v>
      </c>
      <c r="I5391">
        <v>141.41739999999999</v>
      </c>
      <c r="J5391">
        <v>-365.98320000000001</v>
      </c>
      <c r="K5391">
        <v>1.1208610000000001</v>
      </c>
      <c r="L5391">
        <v>141.49119999999999</v>
      </c>
      <c r="M5391">
        <v>-0.99987839999999995</v>
      </c>
      <c r="N5391">
        <v>-1.4761069999999999E-2</v>
      </c>
      <c r="O5391">
        <v>-5.0500689999999999E-3</v>
      </c>
      <c r="P5391">
        <v>-0.99559240000000004</v>
      </c>
      <c r="Q5391">
        <v>-9.3081759999999999E-2</v>
      </c>
      <c r="R5391">
        <v>-1.1465650000000001E-2</v>
      </c>
      <c r="S5391">
        <v>-2.9947810000000001</v>
      </c>
      <c r="T5391">
        <v>-0.19700000000000001</v>
      </c>
      <c r="U5391">
        <v>-1.3168330000000001E-2</v>
      </c>
      <c r="V5391">
        <v>-6.4458040000000003E-3</v>
      </c>
      <c r="W5391">
        <v>-7.8374269999999996E-2</v>
      </c>
      <c r="X5391">
        <v>0.99690319999999999</v>
      </c>
      <c r="Y5391">
        <v>6.4530239999999997E-4</v>
      </c>
      <c r="Z5391">
        <v>2.833213E-4</v>
      </c>
      <c r="AA5391">
        <v>0.99999979999999999</v>
      </c>
      <c r="AB5391">
        <v>26</v>
      </c>
      <c r="AC5391">
        <v>-16.787199999999899</v>
      </c>
      <c r="AD5391">
        <v>-1.12086456303999</v>
      </c>
      <c r="AE5391">
        <v>-7.3800000000005597E-2</v>
      </c>
      <c r="AF5391">
        <v>1.0937926841295E-2</v>
      </c>
      <c r="AG5391">
        <v>-1.12086456303999</v>
      </c>
      <c r="AH5391">
        <v>16.7128525061012</v>
      </c>
      <c r="AI5391">
        <v>93.8368536397535</v>
      </c>
      <c r="AJ5391">
        <v>89.962502095023893</v>
      </c>
      <c r="AK5391">
        <v>16.750399872767701</v>
      </c>
      <c r="AL5391">
        <v>94.495124685704397</v>
      </c>
      <c r="AM5391">
        <v>90.370459457069998</v>
      </c>
      <c r="AN5391">
        <v>1.0000000323787299</v>
      </c>
    </row>
    <row r="5392" spans="1:40" x14ac:dyDescent="0.25">
      <c r="A5392" t="str">
        <f>"20190303154916994"</f>
        <v>20190303154916994</v>
      </c>
      <c r="B5392" t="str">
        <f>"1551599356986257"</f>
        <v>1551599356986257</v>
      </c>
      <c r="C5392" t="s">
        <v>40</v>
      </c>
      <c r="D5392">
        <v>5.5076010000000002</v>
      </c>
      <c r="E5392">
        <v>0.52185769999999998</v>
      </c>
      <c r="F5392" t="s">
        <v>41</v>
      </c>
      <c r="G5392">
        <v>-383.16340000000002</v>
      </c>
      <c r="H5392" s="1">
        <v>-3.3949490000000002E-6</v>
      </c>
      <c r="I5392">
        <v>141.41929999999999</v>
      </c>
      <c r="J5392">
        <v>-366.24250000000001</v>
      </c>
      <c r="K5392">
        <v>1.12087</v>
      </c>
      <c r="L5392">
        <v>141.48990000000001</v>
      </c>
      <c r="M5392">
        <v>-0.99987859999999995</v>
      </c>
      <c r="N5392">
        <v>-1.475831E-2</v>
      </c>
      <c r="O5392">
        <v>-5.0126240000000002E-3</v>
      </c>
      <c r="P5392">
        <v>-0.99562660000000003</v>
      </c>
      <c r="Q5392">
        <v>-9.2675779999999999E-2</v>
      </c>
      <c r="R5392">
        <v>-1.1788140000000001E-2</v>
      </c>
      <c r="S5392">
        <v>-2.9948730000000001</v>
      </c>
      <c r="T5392">
        <v>-0.1953915</v>
      </c>
      <c r="U5392">
        <v>-1.2527470000000001E-2</v>
      </c>
      <c r="V5392">
        <v>-6.8053929999999999E-3</v>
      </c>
      <c r="W5392">
        <v>-7.7970510000000007E-2</v>
      </c>
      <c r="X5392">
        <v>0.99693240000000005</v>
      </c>
      <c r="Y5392">
        <v>8.2172149999999895E-4</v>
      </c>
      <c r="Z5392">
        <v>2.8561059999999999E-4</v>
      </c>
      <c r="AA5392">
        <v>0.99999959999999999</v>
      </c>
      <c r="AB5392">
        <v>26</v>
      </c>
      <c r="AC5392">
        <v>-16.9209</v>
      </c>
      <c r="AD5392">
        <v>-1.120873394949</v>
      </c>
      <c r="AE5392">
        <v>-7.0600000000013097E-2</v>
      </c>
      <c r="AF5392">
        <v>1.41660692455449E-2</v>
      </c>
      <c r="AG5392">
        <v>-1.120873394949</v>
      </c>
      <c r="AH5392">
        <v>16.847117507415501</v>
      </c>
      <c r="AI5392">
        <v>93.806395027524204</v>
      </c>
      <c r="AJ5392">
        <v>89.951822275329306</v>
      </c>
      <c r="AK5392">
        <v>16.884369285042499</v>
      </c>
      <c r="AL5392">
        <v>94.471920247914198</v>
      </c>
      <c r="AM5392">
        <v>90.3911140217606</v>
      </c>
      <c r="AN5392">
        <v>0.99999996198665098</v>
      </c>
    </row>
    <row r="5393" spans="1:40" x14ac:dyDescent="0.25">
      <c r="A5393" t="str">
        <f>"20190303154917016"</f>
        <v>20190303154917016</v>
      </c>
      <c r="B5393" t="str">
        <f>"1551599357005776"</f>
        <v>1551599357005776</v>
      </c>
      <c r="C5393" t="s">
        <v>40</v>
      </c>
      <c r="D5393">
        <v>5.4441620000000004</v>
      </c>
      <c r="E5393">
        <v>0.52254209999999901</v>
      </c>
      <c r="F5393" t="s">
        <v>41</v>
      </c>
      <c r="G5393">
        <v>-389.03960000000001</v>
      </c>
      <c r="H5393" s="1">
        <v>-1.1770590000000001E-6</v>
      </c>
      <c r="I5393">
        <v>142.55799999999999</v>
      </c>
      <c r="J5393">
        <v>-366.50810000000001</v>
      </c>
      <c r="K5393">
        <v>1.1208769999999999</v>
      </c>
      <c r="L5393">
        <v>141.48859999999999</v>
      </c>
      <c r="M5393">
        <v>-0.99987859999999995</v>
      </c>
      <c r="N5393">
        <v>-1.476821E-2</v>
      </c>
      <c r="O5393">
        <v>-4.9744359999999996E-3</v>
      </c>
      <c r="P5393">
        <v>-0.99559240000000004</v>
      </c>
      <c r="Q5393">
        <v>-9.3026849999999994E-2</v>
      </c>
      <c r="R5393">
        <v>-1.1909049999999999E-2</v>
      </c>
      <c r="S5393">
        <v>-3.001099</v>
      </c>
      <c r="T5393">
        <v>-0.1475562</v>
      </c>
      <c r="U5393">
        <v>0.1406097</v>
      </c>
      <c r="V5393">
        <v>-6.9639790000000003E-3</v>
      </c>
      <c r="W5393">
        <v>-7.831217E-2</v>
      </c>
      <c r="X5393">
        <v>0.99690460000000003</v>
      </c>
      <c r="Y5393">
        <v>5.1686360000000001E-2</v>
      </c>
      <c r="Z5393">
        <v>1.822277E-3</v>
      </c>
      <c r="AA5393">
        <v>0.99866169999999999</v>
      </c>
      <c r="AB5393">
        <v>26</v>
      </c>
      <c r="AC5393">
        <v>-22.531499999999902</v>
      </c>
      <c r="AD5393">
        <v>-1.1208781770589999</v>
      </c>
      <c r="AE5393">
        <v>1.0693999999999999</v>
      </c>
      <c r="AF5393">
        <v>1.1785703449356899</v>
      </c>
      <c r="AG5393">
        <v>-1.1208781770589999</v>
      </c>
      <c r="AH5393">
        <v>22.470416573083</v>
      </c>
      <c r="AI5393">
        <v>92.851770258332195</v>
      </c>
      <c r="AJ5393">
        <v>86.997595201891698</v>
      </c>
      <c r="AK5393">
        <v>22.529203645793899</v>
      </c>
      <c r="AL5393">
        <v>94.491555626417096</v>
      </c>
      <c r="AM5393">
        <v>90.400239015028504</v>
      </c>
      <c r="AN5393">
        <v>1.0000000372373901</v>
      </c>
    </row>
    <row r="5394" spans="1:40" x14ac:dyDescent="0.25">
      <c r="A5394" t="str">
        <f>"20190303154917038"</f>
        <v>20190303154917038</v>
      </c>
      <c r="B5394" t="str">
        <f>"1551599357036033"</f>
        <v>1551599357036033</v>
      </c>
      <c r="C5394" t="s">
        <v>40</v>
      </c>
      <c r="D5394">
        <v>5.4427629999999896</v>
      </c>
      <c r="E5394">
        <v>0.51855899999999999</v>
      </c>
      <c r="F5394" t="s">
        <v>41</v>
      </c>
      <c r="G5394">
        <v>-389.12290000000002</v>
      </c>
      <c r="H5394" s="1">
        <v>-1.148996E-6</v>
      </c>
      <c r="I5394">
        <v>142.58670000000001</v>
      </c>
      <c r="J5394">
        <v>-366.77100000000002</v>
      </c>
      <c r="K5394">
        <v>1.120881</v>
      </c>
      <c r="L5394">
        <v>141.48740000000001</v>
      </c>
      <c r="M5394">
        <v>-0.99987859999999995</v>
      </c>
      <c r="N5394">
        <v>-1.4783370000000001E-2</v>
      </c>
      <c r="O5394">
        <v>-4.9367600000000001E-3</v>
      </c>
      <c r="P5394">
        <v>-0.99554810000000005</v>
      </c>
      <c r="Q5394">
        <v>-9.3490299999999998E-2</v>
      </c>
      <c r="R5394">
        <v>-1.199653E-2</v>
      </c>
      <c r="S5394">
        <v>-3.00116</v>
      </c>
      <c r="T5394">
        <v>-0.14874960000000001</v>
      </c>
      <c r="U5394">
        <v>0.1457367</v>
      </c>
      <c r="V5394">
        <v>-7.0896999999999896E-3</v>
      </c>
      <c r="W5394">
        <v>-7.8761079999999997E-2</v>
      </c>
      <c r="X5394">
        <v>0.99686830000000004</v>
      </c>
      <c r="Y5394">
        <v>5.3346009999999999E-2</v>
      </c>
      <c r="Z5394">
        <v>1.8868069999999999E-3</v>
      </c>
      <c r="AA5394">
        <v>0.99857430000000003</v>
      </c>
      <c r="AB5394">
        <v>26</v>
      </c>
      <c r="AC5394">
        <v>-22.351900000000001</v>
      </c>
      <c r="AD5394">
        <v>-1.1208821489959999</v>
      </c>
      <c r="AE5394">
        <v>1.09929999999999</v>
      </c>
      <c r="AF5394">
        <v>1.20661762614153</v>
      </c>
      <c r="AG5394">
        <v>-1.1208821489959999</v>
      </c>
      <c r="AH5394">
        <v>22.290281253461799</v>
      </c>
      <c r="AI5394">
        <v>92.874531514517201</v>
      </c>
      <c r="AJ5394">
        <v>86.901488685956494</v>
      </c>
      <c r="AK5394">
        <v>22.351038929904</v>
      </c>
      <c r="AL5394">
        <v>94.517356181231705</v>
      </c>
      <c r="AM5394">
        <v>90.407479141930907</v>
      </c>
      <c r="AN5394">
        <v>0.99999998955687297</v>
      </c>
    </row>
    <row r="5395" spans="1:40" x14ac:dyDescent="0.25">
      <c r="A5395" t="str">
        <f>"20190303154917062"</f>
        <v>20190303154917062</v>
      </c>
      <c r="B5395" t="str">
        <f>"1551599357056528"</f>
        <v>1551599357056528</v>
      </c>
      <c r="C5395" t="s">
        <v>40</v>
      </c>
      <c r="D5395">
        <v>5.5319459999999996</v>
      </c>
      <c r="E5395">
        <v>0.52000150000000001</v>
      </c>
      <c r="F5395" t="s">
        <v>41</v>
      </c>
      <c r="G5395">
        <v>-385.00779999999997</v>
      </c>
      <c r="H5395" s="1">
        <v>-2.8051570000000001E-6</v>
      </c>
      <c r="I5395">
        <v>142.1765</v>
      </c>
      <c r="J5395">
        <v>-367.03789999999998</v>
      </c>
      <c r="K5395">
        <v>1.1208880000000001</v>
      </c>
      <c r="L5395">
        <v>141.48609999999999</v>
      </c>
      <c r="M5395">
        <v>-0.99987859999999995</v>
      </c>
      <c r="N5395">
        <v>-1.480044E-2</v>
      </c>
      <c r="O5395">
        <v>-4.8986180000000004E-3</v>
      </c>
      <c r="P5395">
        <v>-0.99554339999999997</v>
      </c>
      <c r="Q5395">
        <v>-9.3581750000000005E-2</v>
      </c>
      <c r="R5395">
        <v>-1.1648789999999999E-2</v>
      </c>
      <c r="S5395">
        <v>-2.9974980000000002</v>
      </c>
      <c r="T5395">
        <v>-0.18423439999999999</v>
      </c>
      <c r="U5395">
        <v>0.1132813</v>
      </c>
      <c r="V5395">
        <v>-6.7802089999999997E-3</v>
      </c>
      <c r="W5395">
        <v>-7.8835639999999998E-2</v>
      </c>
      <c r="X5395">
        <v>0.99686459999999999</v>
      </c>
      <c r="Y5395">
        <v>4.2555309999999999E-2</v>
      </c>
      <c r="Z5395">
        <v>1.8497730000000001E-3</v>
      </c>
      <c r="AA5395">
        <v>0.99909239999999999</v>
      </c>
      <c r="AB5395">
        <v>26</v>
      </c>
      <c r="AC5395">
        <v>-17.9698999999999</v>
      </c>
      <c r="AD5395">
        <v>-1.1208908051569999</v>
      </c>
      <c r="AE5395">
        <v>0.690400000000011</v>
      </c>
      <c r="AF5395">
        <v>0.77541650277743401</v>
      </c>
      <c r="AG5395">
        <v>-1.1208908051569999</v>
      </c>
      <c r="AH5395">
        <v>17.896772417342898</v>
      </c>
      <c r="AI5395">
        <v>93.580454277123195</v>
      </c>
      <c r="AJ5395">
        <v>87.519087664271893</v>
      </c>
      <c r="AK5395">
        <v>17.9485968785315</v>
      </c>
      <c r="AL5395">
        <v>94.521641295931801</v>
      </c>
      <c r="AM5395">
        <v>90.3896932137514</v>
      </c>
      <c r="AN5395">
        <v>1.0000000300507199</v>
      </c>
    </row>
    <row r="5396" spans="1:40" x14ac:dyDescent="0.25">
      <c r="A5396" t="str">
        <f>"20190303154917083"</f>
        <v>20190303154917083</v>
      </c>
      <c r="B5396" t="str">
        <f>"1551599357076049"</f>
        <v>1551599357076049</v>
      </c>
      <c r="C5396" t="s">
        <v>40</v>
      </c>
      <c r="D5396">
        <v>5.4793099999999999</v>
      </c>
      <c r="E5396">
        <v>0.52051150000000002</v>
      </c>
      <c r="F5396" t="s">
        <v>41</v>
      </c>
      <c r="G5396">
        <v>-386.31400000000002</v>
      </c>
      <c r="H5396" s="1">
        <v>-2.2763979999999999E-6</v>
      </c>
      <c r="I5396">
        <v>142.29509999999999</v>
      </c>
      <c r="J5396">
        <v>-367.29349999999999</v>
      </c>
      <c r="K5396">
        <v>1.1208959999999999</v>
      </c>
      <c r="L5396">
        <v>141.48490000000001</v>
      </c>
      <c r="M5396">
        <v>-0.9998785</v>
      </c>
      <c r="N5396">
        <v>-1.481679E-2</v>
      </c>
      <c r="O5396">
        <v>-4.8619049999999997E-3</v>
      </c>
      <c r="P5396">
        <v>-0.99555159999999998</v>
      </c>
      <c r="Q5396">
        <v>-9.3461290000000002E-2</v>
      </c>
      <c r="R5396">
        <v>-1.192971E-2</v>
      </c>
      <c r="S5396">
        <v>-2.9985050000000002</v>
      </c>
      <c r="T5396">
        <v>-0.17436170000000001</v>
      </c>
      <c r="U5396">
        <v>0.12585450000000001</v>
      </c>
      <c r="V5396">
        <v>-7.0968639999999996E-3</v>
      </c>
      <c r="W5396">
        <v>-7.8698690000000002E-2</v>
      </c>
      <c r="X5396">
        <v>0.99687320000000001</v>
      </c>
      <c r="Y5396">
        <v>4.6689750000000002E-2</v>
      </c>
      <c r="Z5396">
        <v>1.9125850000000001E-3</v>
      </c>
      <c r="AA5396">
        <v>0.99890760000000001</v>
      </c>
      <c r="AB5396">
        <v>26</v>
      </c>
      <c r="AC5396">
        <v>-19.020499999999998</v>
      </c>
      <c r="AD5396">
        <v>-1.120898276398</v>
      </c>
      <c r="AE5396">
        <v>0.81019999999998005</v>
      </c>
      <c r="AF5396">
        <v>0.89955803976829496</v>
      </c>
      <c r="AG5396">
        <v>-1.120898276398</v>
      </c>
      <c r="AH5396">
        <v>18.950641676905398</v>
      </c>
      <c r="AI5396">
        <v>93.381205870859404</v>
      </c>
      <c r="AJ5396">
        <v>87.282296787757701</v>
      </c>
      <c r="AK5396">
        <v>19.0050634721226</v>
      </c>
      <c r="AL5396">
        <v>94.513770260680801</v>
      </c>
      <c r="AM5396">
        <v>90.407888872679806</v>
      </c>
      <c r="AN5396">
        <v>1.0000000130822899</v>
      </c>
    </row>
    <row r="5397" spans="1:40" x14ac:dyDescent="0.25">
      <c r="A5397" t="str">
        <f>"20190303154917106"</f>
        <v>20190303154917106</v>
      </c>
      <c r="B5397" t="str">
        <f>"1551599357096546"</f>
        <v>1551599357096546</v>
      </c>
      <c r="C5397" t="s">
        <v>40</v>
      </c>
      <c r="D5397">
        <v>5.5686660000000003</v>
      </c>
      <c r="E5397">
        <v>0.5198779</v>
      </c>
      <c r="F5397" t="s">
        <v>41</v>
      </c>
      <c r="G5397">
        <v>-387.41820000000001</v>
      </c>
      <c r="H5397" s="1">
        <v>-1.8177570000000001E-6</v>
      </c>
      <c r="I5397">
        <v>142.35169999999999</v>
      </c>
      <c r="J5397">
        <v>-367.55130000000003</v>
      </c>
      <c r="K5397">
        <v>1.1209169999999999</v>
      </c>
      <c r="L5397">
        <v>141.4837</v>
      </c>
      <c r="M5397">
        <v>-0.9998783</v>
      </c>
      <c r="N5397">
        <v>-1.483219E-2</v>
      </c>
      <c r="O5397">
        <v>-4.8251860000000004E-3</v>
      </c>
      <c r="P5397">
        <v>-0.99558429999999998</v>
      </c>
      <c r="Q5397">
        <v>-9.3013670000000007E-2</v>
      </c>
      <c r="R5397">
        <v>-1.266832E-2</v>
      </c>
      <c r="S5397">
        <v>-2.9992679999999998</v>
      </c>
      <c r="T5397">
        <v>-0.1670527</v>
      </c>
      <c r="U5397">
        <v>0.12919620000000001</v>
      </c>
      <c r="V5397">
        <v>-7.8719649999999999E-3</v>
      </c>
      <c r="W5397">
        <v>-7.8235170000000007E-2</v>
      </c>
      <c r="X5397">
        <v>0.99690380000000001</v>
      </c>
      <c r="Y5397">
        <v>4.7759099999999999E-2</v>
      </c>
      <c r="Z5397">
        <v>1.880042E-3</v>
      </c>
      <c r="AA5397">
        <v>0.99885710000000005</v>
      </c>
      <c r="AB5397">
        <v>26</v>
      </c>
      <c r="AC5397">
        <v>-19.866899999999902</v>
      </c>
      <c r="AD5397">
        <v>-1.120918817757</v>
      </c>
      <c r="AE5397">
        <v>0.867999999999994</v>
      </c>
      <c r="AF5397">
        <v>0.96080914177409704</v>
      </c>
      <c r="AG5397">
        <v>-1.120918817757</v>
      </c>
      <c r="AH5397">
        <v>19.799570534779001</v>
      </c>
      <c r="AI5397">
        <v>93.236443459884001</v>
      </c>
      <c r="AJ5397">
        <v>87.221800447149604</v>
      </c>
      <c r="AK5397">
        <v>19.854536170976299</v>
      </c>
      <c r="AL5397">
        <v>94.487130675166398</v>
      </c>
      <c r="AM5397">
        <v>90.4524217852383</v>
      </c>
      <c r="AN5397">
        <v>0.99999994805616299</v>
      </c>
    </row>
    <row r="5398" spans="1:40" x14ac:dyDescent="0.25">
      <c r="A5398" t="str">
        <f>"20190303154917128"</f>
        <v>20190303154917128</v>
      </c>
      <c r="B5398" t="str">
        <f>"1551599357125824"</f>
        <v>1551599357125824</v>
      </c>
      <c r="C5398" t="s">
        <v>40</v>
      </c>
      <c r="D5398">
        <v>5.3733019999999998</v>
      </c>
      <c r="E5398">
        <v>0.51972229999999997</v>
      </c>
      <c r="F5398" t="s">
        <v>41</v>
      </c>
      <c r="G5398">
        <v>-387.18470000000002</v>
      </c>
      <c r="H5398" s="1">
        <v>-1.899247E-6</v>
      </c>
      <c r="I5398">
        <v>142.28139999999999</v>
      </c>
      <c r="J5398">
        <v>-367.8175</v>
      </c>
      <c r="K5398">
        <v>1.1209279999999999</v>
      </c>
      <c r="L5398">
        <v>141.48240000000001</v>
      </c>
      <c r="M5398">
        <v>-0.99987839999999995</v>
      </c>
      <c r="N5398">
        <v>-1.484631E-2</v>
      </c>
      <c r="O5398">
        <v>-4.7870270000000001E-3</v>
      </c>
      <c r="P5398">
        <v>-0.99571069999999995</v>
      </c>
      <c r="Q5398">
        <v>-9.1514719999999994E-2</v>
      </c>
      <c r="R5398">
        <v>-1.361251E-2</v>
      </c>
      <c r="S5398">
        <v>-2.9988709999999998</v>
      </c>
      <c r="T5398">
        <v>-0.17121400000000001</v>
      </c>
      <c r="U5398">
        <v>0.12187190000000001</v>
      </c>
      <c r="V5398">
        <v>-8.8532009999999998E-3</v>
      </c>
      <c r="W5398">
        <v>-7.6720269999999993E-2</v>
      </c>
      <c r="X5398">
        <v>0.99701329999999999</v>
      </c>
      <c r="Y5398">
        <v>4.52918E-2</v>
      </c>
      <c r="Z5398">
        <v>1.8300199999999999E-3</v>
      </c>
      <c r="AA5398">
        <v>0.99897210000000003</v>
      </c>
      <c r="AB5398">
        <v>26</v>
      </c>
      <c r="AC5398">
        <v>-19.3672</v>
      </c>
      <c r="AD5398">
        <v>-1.120929899247</v>
      </c>
      <c r="AE5398">
        <v>0.79899999999997795</v>
      </c>
      <c r="AF5398">
        <v>0.88874029127843102</v>
      </c>
      <c r="AG5398">
        <v>-1.120929899247</v>
      </c>
      <c r="AH5398">
        <v>19.2986154805137</v>
      </c>
      <c r="AI5398">
        <v>93.320689349165704</v>
      </c>
      <c r="AJ5398">
        <v>87.363276347438401</v>
      </c>
      <c r="AK5398">
        <v>19.351560727990101</v>
      </c>
      <c r="AL5398">
        <v>94.400071586241694</v>
      </c>
      <c r="AM5398">
        <v>90.508757226161194</v>
      </c>
      <c r="AN5398">
        <v>0.99999994968685302</v>
      </c>
    </row>
    <row r="5399" spans="1:40" x14ac:dyDescent="0.25">
      <c r="A5399" t="str">
        <f>"20190303154917151"</f>
        <v>20190303154917151</v>
      </c>
      <c r="B5399" t="str">
        <f>"1551599357146321"</f>
        <v>1551599357146321</v>
      </c>
      <c r="C5399" t="s">
        <v>40</v>
      </c>
      <c r="D5399">
        <v>5.4420299999999999</v>
      </c>
      <c r="E5399">
        <v>0.51988270000000003</v>
      </c>
      <c r="F5399" t="s">
        <v>41</v>
      </c>
      <c r="G5399">
        <v>-388.79259999999999</v>
      </c>
      <c r="H5399" s="1">
        <v>-1.2160319999999999E-6</v>
      </c>
      <c r="I5399">
        <v>142.30619999999999</v>
      </c>
      <c r="J5399">
        <v>-368.0729</v>
      </c>
      <c r="K5399">
        <v>1.1209370000000001</v>
      </c>
      <c r="L5399">
        <v>141.4812</v>
      </c>
      <c r="M5399">
        <v>-0.9998785</v>
      </c>
      <c r="N5399">
        <v>-1.485793E-2</v>
      </c>
      <c r="O5399">
        <v>-4.7502809999999899E-3</v>
      </c>
      <c r="P5399">
        <v>-0.99579629999999997</v>
      </c>
      <c r="Q5399">
        <v>-9.0563160000000004E-2</v>
      </c>
      <c r="R5399">
        <v>-1.372115E-2</v>
      </c>
      <c r="S5399">
        <v>-2.9997859999999998</v>
      </c>
      <c r="T5399">
        <v>-0.1603118</v>
      </c>
      <c r="U5399">
        <v>0.1178284</v>
      </c>
      <c r="V5399">
        <v>-8.9983909999999997E-3</v>
      </c>
      <c r="W5399">
        <v>-7.5755970000000006E-2</v>
      </c>
      <c r="X5399">
        <v>0.99708580000000002</v>
      </c>
      <c r="Y5399">
        <v>4.3911829999999999E-2</v>
      </c>
      <c r="Z5399">
        <v>1.6817889999999999E-3</v>
      </c>
      <c r="AA5399">
        <v>0.99903399999999998</v>
      </c>
      <c r="AB5399">
        <v>26</v>
      </c>
      <c r="AC5399">
        <v>-20.7196999999999</v>
      </c>
      <c r="AD5399">
        <v>-1.1209382160320001</v>
      </c>
      <c r="AE5399">
        <v>0.82499999999998797</v>
      </c>
      <c r="AF5399">
        <v>0.92073537253204096</v>
      </c>
      <c r="AG5399">
        <v>-1.1209382160320001</v>
      </c>
      <c r="AH5399">
        <v>20.655188378473799</v>
      </c>
      <c r="AI5399">
        <v>93.103266876613702</v>
      </c>
      <c r="AJ5399">
        <v>87.447646104886303</v>
      </c>
      <c r="AK5399">
        <v>20.706063437086001</v>
      </c>
      <c r="AL5399">
        <v>94.344659707756193</v>
      </c>
      <c r="AM5399">
        <v>90.517062654511193</v>
      </c>
      <c r="AN5399">
        <v>1.0000000152964299</v>
      </c>
    </row>
    <row r="5400" spans="1:40" x14ac:dyDescent="0.25">
      <c r="A5400" t="str">
        <f>"20190303154917172"</f>
        <v>20190303154917172</v>
      </c>
      <c r="B5400" t="str">
        <f>"1551599357165841"</f>
        <v>1551599357165841</v>
      </c>
      <c r="C5400" t="s">
        <v>40</v>
      </c>
      <c r="D5400">
        <v>5.5636850000000004</v>
      </c>
      <c r="E5400">
        <v>0.51993290000000003</v>
      </c>
      <c r="F5400" t="s">
        <v>41</v>
      </c>
      <c r="G5400">
        <v>-389.64069999999998</v>
      </c>
      <c r="H5400" s="1">
        <v>-8.6000759999999996E-7</v>
      </c>
      <c r="I5400">
        <v>142.3355</v>
      </c>
      <c r="J5400">
        <v>-368.32819999999998</v>
      </c>
      <c r="K5400">
        <v>1.1209389999999999</v>
      </c>
      <c r="L5400">
        <v>141.47999999999999</v>
      </c>
      <c r="M5400">
        <v>-0.9998785</v>
      </c>
      <c r="N5400">
        <v>-1.486766E-2</v>
      </c>
      <c r="O5400">
        <v>-4.7134029999999997E-3</v>
      </c>
      <c r="P5400">
        <v>-0.99590000000000001</v>
      </c>
      <c r="Q5400">
        <v>-8.9491870000000001E-2</v>
      </c>
      <c r="R5400">
        <v>-1.3224069999999999E-2</v>
      </c>
      <c r="S5400">
        <v>-3.0001220000000002</v>
      </c>
      <c r="T5400">
        <v>-0.15592539999999999</v>
      </c>
      <c r="U5400">
        <v>0.1188507</v>
      </c>
      <c r="V5400">
        <v>-8.5369529999999999E-3</v>
      </c>
      <c r="W5400">
        <v>-7.4673619999999996E-2</v>
      </c>
      <c r="X5400">
        <v>0.99717149999999999</v>
      </c>
      <c r="Y5400">
        <v>4.4214110000000001E-2</v>
      </c>
      <c r="Z5400">
        <v>1.6515529999999901E-3</v>
      </c>
      <c r="AA5400">
        <v>0.99902069999999998</v>
      </c>
      <c r="AB5400">
        <v>26</v>
      </c>
      <c r="AC5400">
        <v>-21.3125</v>
      </c>
      <c r="AD5400">
        <v>-1.1209398600075999</v>
      </c>
      <c r="AE5400">
        <v>0.85550000000000603</v>
      </c>
      <c r="AF5400">
        <v>0.95332307243124903</v>
      </c>
      <c r="AG5400">
        <v>-1.1209398600075999</v>
      </c>
      <c r="AH5400">
        <v>21.249542861828701</v>
      </c>
      <c r="AI5400">
        <v>93.016596303162899</v>
      </c>
      <c r="AJ5400">
        <v>87.431248876652006</v>
      </c>
      <c r="AK5400">
        <v>21.300431988269199</v>
      </c>
      <c r="AL5400">
        <v>94.282469458113397</v>
      </c>
      <c r="AM5400">
        <v>90.490506825816993</v>
      </c>
      <c r="AN5400">
        <v>1.0000000147513299</v>
      </c>
    </row>
    <row r="5401" spans="1:40" x14ac:dyDescent="0.25">
      <c r="A5401" t="str">
        <f>"20190303154917194"</f>
        <v>20190303154917194</v>
      </c>
      <c r="B5401" t="str">
        <f>"1551599357186337"</f>
        <v>1551599357186337</v>
      </c>
      <c r="C5401" t="s">
        <v>40</v>
      </c>
      <c r="D5401">
        <v>5.5502599999999997</v>
      </c>
      <c r="E5401">
        <v>0.51992389999999999</v>
      </c>
      <c r="F5401" t="s">
        <v>41</v>
      </c>
      <c r="G5401">
        <v>-390.0181</v>
      </c>
      <c r="H5401" s="1">
        <v>-4.754978E-6</v>
      </c>
      <c r="I5401">
        <v>142.351</v>
      </c>
      <c r="J5401">
        <v>-368.57380000000001</v>
      </c>
      <c r="K5401">
        <v>1.1209309999999999</v>
      </c>
      <c r="L5401">
        <v>141.47890000000001</v>
      </c>
      <c r="M5401">
        <v>-0.9998785</v>
      </c>
      <c r="N5401">
        <v>-1.4875330000000001E-2</v>
      </c>
      <c r="O5401">
        <v>-4.6766189999999999E-3</v>
      </c>
      <c r="P5401">
        <v>-0.99585279999999998</v>
      </c>
      <c r="Q5401">
        <v>-9.0087609999999999E-2</v>
      </c>
      <c r="R5401">
        <v>-1.271633E-2</v>
      </c>
      <c r="S5401">
        <v>-3.0000309999999999</v>
      </c>
      <c r="T5401">
        <v>-0.1550435</v>
      </c>
      <c r="U5401">
        <v>0.12048339999999901</v>
      </c>
      <c r="V5401">
        <v>-8.0663369999999998E-3</v>
      </c>
      <c r="W5401">
        <v>-7.5262430000000005E-2</v>
      </c>
      <c r="X5401">
        <v>0.99713110000000005</v>
      </c>
      <c r="Y5401">
        <v>4.4721360000000002E-2</v>
      </c>
      <c r="Z5401">
        <v>1.6593689999999999E-3</v>
      </c>
      <c r="AA5401">
        <v>0.9989981</v>
      </c>
      <c r="AB5401">
        <v>26</v>
      </c>
      <c r="AC5401">
        <v>-21.444299999999998</v>
      </c>
      <c r="AD5401">
        <v>-1.1209357549779999</v>
      </c>
      <c r="AE5401">
        <v>0.872099999999989</v>
      </c>
      <c r="AF5401">
        <v>0.96974306047228498</v>
      </c>
      <c r="AG5401">
        <v>-1.1209357549779999</v>
      </c>
      <c r="AH5401">
        <v>21.381660615713901</v>
      </c>
      <c r="AI5401">
        <v>92.997913729478697</v>
      </c>
      <c r="AJ5401">
        <v>87.403188848624097</v>
      </c>
      <c r="AK5401">
        <v>21.432972478303</v>
      </c>
      <c r="AL5401">
        <v>94.316301205760993</v>
      </c>
      <c r="AM5401">
        <v>90.463486682049904</v>
      </c>
      <c r="AN5401">
        <v>0.99999996487465503</v>
      </c>
    </row>
    <row r="5402" spans="1:40" x14ac:dyDescent="0.25">
      <c r="A5402" t="str">
        <f>"20190303154917217"</f>
        <v>20190303154917217</v>
      </c>
      <c r="B5402" t="str">
        <f>"1551599357205857"</f>
        <v>1551599357205857</v>
      </c>
      <c r="C5402" t="s">
        <v>40</v>
      </c>
      <c r="D5402">
        <v>5.4288600000000002</v>
      </c>
      <c r="E5402">
        <v>0.51993069999999997</v>
      </c>
      <c r="F5402" t="s">
        <v>41</v>
      </c>
      <c r="G5402">
        <v>-389.77530000000002</v>
      </c>
      <c r="H5402" s="1">
        <v>-8.0352160000000002E-7</v>
      </c>
      <c r="I5402">
        <v>142.34020000000001</v>
      </c>
      <c r="J5402">
        <v>-368.83730000000003</v>
      </c>
      <c r="K5402">
        <v>1.120924</v>
      </c>
      <c r="L5402">
        <v>141.4777</v>
      </c>
      <c r="M5402">
        <v>-0.99987859999999995</v>
      </c>
      <c r="N5402">
        <v>-1.4881729999999999E-2</v>
      </c>
      <c r="O5402">
        <v>-4.6340799999999996E-3</v>
      </c>
      <c r="P5402">
        <v>-0.99580150000000001</v>
      </c>
      <c r="Q5402">
        <v>-9.0779399999999996E-2</v>
      </c>
      <c r="R5402">
        <v>-1.178975E-2</v>
      </c>
      <c r="S5402">
        <v>-2.999695</v>
      </c>
      <c r="T5402">
        <v>-0.15859570000000001</v>
      </c>
      <c r="U5402">
        <v>0.12187190000000001</v>
      </c>
      <c r="V5402">
        <v>-7.1825369999999897E-3</v>
      </c>
      <c r="W5402">
        <v>-7.5948660000000001E-2</v>
      </c>
      <c r="X5402">
        <v>0.99708589999999997</v>
      </c>
      <c r="Y5402">
        <v>4.5140909999999999E-2</v>
      </c>
      <c r="Z5402">
        <v>1.70417299999999E-3</v>
      </c>
      <c r="AA5402">
        <v>0.99897919999999996</v>
      </c>
      <c r="AB5402">
        <v>26</v>
      </c>
      <c r="AC5402">
        <v>-20.937999999999899</v>
      </c>
      <c r="AD5402">
        <v>-1.1209248035216</v>
      </c>
      <c r="AE5402">
        <v>0.86250000000001104</v>
      </c>
      <c r="AF5402">
        <v>0.95679228076912004</v>
      </c>
      <c r="AG5402">
        <v>-1.1209248035216</v>
      </c>
      <c r="AH5402">
        <v>20.874053223122399</v>
      </c>
      <c r="AI5402">
        <v>93.070580783076494</v>
      </c>
      <c r="AJ5402">
        <v>87.375602366622601</v>
      </c>
      <c r="AK5402">
        <v>20.926013042274398</v>
      </c>
      <c r="AL5402">
        <v>94.355731822416203</v>
      </c>
      <c r="AM5402">
        <v>90.4127246592533</v>
      </c>
      <c r="AN5402">
        <v>1.0000000398861799</v>
      </c>
    </row>
    <row r="5403" spans="1:40" x14ac:dyDescent="0.25">
      <c r="A5403" t="str">
        <f>"20190303154917239"</f>
        <v>20190303154917239</v>
      </c>
      <c r="B5403" t="str">
        <f>"1551599357235808"</f>
        <v>1551599357235808</v>
      </c>
      <c r="C5403" t="s">
        <v>40</v>
      </c>
      <c r="D5403">
        <v>5.4026500000000004</v>
      </c>
      <c r="E5403">
        <v>0.51991109999999996</v>
      </c>
      <c r="F5403" t="s">
        <v>41</v>
      </c>
      <c r="G5403">
        <v>-389.23169999999999</v>
      </c>
      <c r="H5403" s="1">
        <v>-1.0331220000000001E-6</v>
      </c>
      <c r="I5403">
        <v>142.32669999999999</v>
      </c>
      <c r="J5403">
        <v>-369.09370000000001</v>
      </c>
      <c r="K5403">
        <v>1.120919</v>
      </c>
      <c r="L5403">
        <v>141.47659999999999</v>
      </c>
      <c r="M5403">
        <v>-0.99987870000000001</v>
      </c>
      <c r="N5403">
        <v>-1.488649E-2</v>
      </c>
      <c r="O5403">
        <v>-4.5867149999999999E-3</v>
      </c>
      <c r="P5403">
        <v>-0.99566259999999995</v>
      </c>
      <c r="Q5403">
        <v>-9.2336799999999997E-2</v>
      </c>
      <c r="R5403">
        <v>-1.139597E-2</v>
      </c>
      <c r="S5403">
        <v>-2.9991150000000002</v>
      </c>
      <c r="T5403">
        <v>-0.1648394</v>
      </c>
      <c r="U5403">
        <v>0.12486269999999999</v>
      </c>
      <c r="V5403">
        <v>-6.8379679999999998E-3</v>
      </c>
      <c r="W5403">
        <v>-7.7503210000000003E-2</v>
      </c>
      <c r="X5403">
        <v>0.99696859999999998</v>
      </c>
      <c r="Y5403">
        <v>4.6087969999999999E-2</v>
      </c>
      <c r="Z5403">
        <v>1.792187E-3</v>
      </c>
      <c r="AA5403">
        <v>0.99893580000000004</v>
      </c>
      <c r="AB5403">
        <v>26</v>
      </c>
      <c r="AC5403">
        <v>-20.137999999999899</v>
      </c>
      <c r="AD5403">
        <v>-1.1209200331219999</v>
      </c>
      <c r="AE5403">
        <v>0.85009999999999697</v>
      </c>
      <c r="AF5403">
        <v>0.93956273307988303</v>
      </c>
      <c r="AG5403">
        <v>-1.1209200331219999</v>
      </c>
      <c r="AH5403">
        <v>20.071811634206501</v>
      </c>
      <c r="AI5403">
        <v>93.192901456059403</v>
      </c>
      <c r="AJ5403">
        <v>87.319937407537907</v>
      </c>
      <c r="AK5403">
        <v>20.1250307361036</v>
      </c>
      <c r="AL5403">
        <v>94.445064726572696</v>
      </c>
      <c r="AM5403">
        <v>90.392971818235694</v>
      </c>
      <c r="AN5403">
        <v>0.99999994737631503</v>
      </c>
    </row>
    <row r="5404" spans="1:40" x14ac:dyDescent="0.25">
      <c r="A5404" t="str">
        <f>"20190303154917262"</f>
        <v>20190303154917262</v>
      </c>
      <c r="B5404" t="str">
        <f>"1551599357256303"</f>
        <v>1551599357256303</v>
      </c>
      <c r="C5404" t="s">
        <v>40</v>
      </c>
      <c r="D5404">
        <v>5.3867419999999999</v>
      </c>
      <c r="E5404">
        <v>0.51954800000000001</v>
      </c>
      <c r="F5404" t="s">
        <v>41</v>
      </c>
      <c r="G5404">
        <v>-388.53089999999997</v>
      </c>
      <c r="H5404" s="1">
        <v>-1.3244270000000001E-6</v>
      </c>
      <c r="I5404">
        <v>142.29159999999999</v>
      </c>
      <c r="J5404">
        <v>-369.3494</v>
      </c>
      <c r="K5404">
        <v>1.120914</v>
      </c>
      <c r="L5404">
        <v>141.47550000000001</v>
      </c>
      <c r="M5404">
        <v>-0.99987890000000001</v>
      </c>
      <c r="N5404">
        <v>-1.489002E-2</v>
      </c>
      <c r="O5404">
        <v>-4.5286880000000003E-3</v>
      </c>
      <c r="P5404">
        <v>-0.9955543</v>
      </c>
      <c r="Q5404">
        <v>-9.3460749999999995E-2</v>
      </c>
      <c r="R5404">
        <v>-1.1700830000000001E-2</v>
      </c>
      <c r="S5404">
        <v>-2.9984739999999999</v>
      </c>
      <c r="T5404">
        <v>-0.1729192</v>
      </c>
      <c r="U5404">
        <v>0.12574769999999999</v>
      </c>
      <c r="V5404">
        <v>-7.2024330000000003E-3</v>
      </c>
      <c r="W5404">
        <v>-7.8624949999999999E-2</v>
      </c>
      <c r="X5404">
        <v>0.99687829999999999</v>
      </c>
      <c r="Y5404">
        <v>4.632431E-2</v>
      </c>
      <c r="Z5404">
        <v>1.8729370000000001E-3</v>
      </c>
      <c r="AA5404">
        <v>0.9989247</v>
      </c>
      <c r="AB5404">
        <v>26</v>
      </c>
      <c r="AC5404">
        <v>-19.1814999999999</v>
      </c>
      <c r="AD5404">
        <v>-1.120915324427</v>
      </c>
      <c r="AE5404">
        <v>0.81609999999997695</v>
      </c>
      <c r="AF5404">
        <v>0.89990075214278098</v>
      </c>
      <c r="AG5404">
        <v>-1.120915324427</v>
      </c>
      <c r="AH5404">
        <v>19.1124574138911</v>
      </c>
      <c r="AI5404">
        <v>93.352755909514997</v>
      </c>
      <c r="AJ5404">
        <v>87.304247058330901</v>
      </c>
      <c r="AK5404">
        <v>19.166436834373801</v>
      </c>
      <c r="AL5404">
        <v>94.509531964343395</v>
      </c>
      <c r="AM5404">
        <v>90.413954073279697</v>
      </c>
      <c r="AN5404">
        <v>1.00000005140725</v>
      </c>
    </row>
    <row r="5405" spans="1:40" x14ac:dyDescent="0.25">
      <c r="A5405" t="str">
        <f>"20190303154917284"</f>
        <v>20190303154917284</v>
      </c>
      <c r="B5405" t="str">
        <f>"1551599357275823"</f>
        <v>1551599357275823</v>
      </c>
      <c r="C5405" t="s">
        <v>40</v>
      </c>
      <c r="D5405">
        <v>5.4060370000000004</v>
      </c>
      <c r="E5405">
        <v>0.48922949999999998</v>
      </c>
      <c r="F5405" t="s">
        <v>41</v>
      </c>
      <c r="G5405">
        <v>-388.4391</v>
      </c>
      <c r="H5405" s="1">
        <v>-1.3527829999999999E-6</v>
      </c>
      <c r="I5405">
        <v>142.2501</v>
      </c>
      <c r="J5405">
        <v>-369.60469999999998</v>
      </c>
      <c r="K5405">
        <v>1.120897</v>
      </c>
      <c r="L5405">
        <v>141.4744</v>
      </c>
      <c r="M5405">
        <v>-0.99987919999999997</v>
      </c>
      <c r="N5405">
        <v>-1.489239E-2</v>
      </c>
      <c r="O5405">
        <v>-4.4548510000000001E-3</v>
      </c>
      <c r="P5405">
        <v>-0.99552890000000005</v>
      </c>
      <c r="Q5405">
        <v>-9.3642550000000005E-2</v>
      </c>
      <c r="R5405">
        <v>-1.238978E-2</v>
      </c>
      <c r="S5405">
        <v>-2.9983219999999999</v>
      </c>
      <c r="T5405">
        <v>-0.17605699999999999</v>
      </c>
      <c r="U5405">
        <v>0.1216888</v>
      </c>
      <c r="V5405">
        <v>-7.9666790000000008E-3</v>
      </c>
      <c r="W5405">
        <v>-7.8804410000000005E-2</v>
      </c>
      <c r="X5405">
        <v>0.99685820000000003</v>
      </c>
      <c r="Y5405">
        <v>4.4902409999999997E-2</v>
      </c>
      <c r="Z5405">
        <v>1.8464740000000001E-3</v>
      </c>
      <c r="AA5405">
        <v>0.99898969999999998</v>
      </c>
      <c r="AB5405">
        <v>26</v>
      </c>
      <c r="AC5405">
        <v>-18.834399999999999</v>
      </c>
      <c r="AD5405">
        <v>-1.1208983527830001</v>
      </c>
      <c r="AE5405">
        <v>0.77569999999999995</v>
      </c>
      <c r="AF5405">
        <v>0.85657732873991499</v>
      </c>
      <c r="AG5405">
        <v>-1.1208983527830001</v>
      </c>
      <c r="AH5405">
        <v>18.764409070762301</v>
      </c>
      <c r="AI5405">
        <v>93.414972768907404</v>
      </c>
      <c r="AJ5405">
        <v>87.386316947191801</v>
      </c>
      <c r="AK5405">
        <v>18.8173639389871</v>
      </c>
      <c r="AL5405">
        <v>94.519846786150296</v>
      </c>
      <c r="AM5405">
        <v>90.457885952123405</v>
      </c>
      <c r="AN5405">
        <v>0.99999993695848599</v>
      </c>
    </row>
    <row r="5406" spans="1:40" x14ac:dyDescent="0.25">
      <c r="A5406" t="str">
        <f>"20190303154917307"</f>
        <v>20190303154917307</v>
      </c>
      <c r="B5406" t="str">
        <f>"1551599357296320"</f>
        <v>1551599357296320</v>
      </c>
      <c r="C5406" t="s">
        <v>40</v>
      </c>
      <c r="D5406">
        <v>5.4249549999999997</v>
      </c>
      <c r="E5406">
        <v>0.48805510000000002</v>
      </c>
      <c r="F5406" t="s">
        <v>41</v>
      </c>
      <c r="G5406">
        <v>-383.4615</v>
      </c>
      <c r="H5406" s="1">
        <v>-3.1303509999999998E-6</v>
      </c>
      <c r="I5406">
        <v>140.90549999999999</v>
      </c>
      <c r="J5406">
        <v>-369.86399999999998</v>
      </c>
      <c r="K5406">
        <v>1.1208800000000001</v>
      </c>
      <c r="L5406">
        <v>141.47329999999999</v>
      </c>
      <c r="M5406">
        <v>-0.99987959999999998</v>
      </c>
      <c r="N5406">
        <v>-1.4893699999999999E-2</v>
      </c>
      <c r="O5406">
        <v>-4.3642890000000004E-3</v>
      </c>
      <c r="P5406">
        <v>-0.99549869999999996</v>
      </c>
      <c r="Q5406">
        <v>-9.3840480000000004E-2</v>
      </c>
      <c r="R5406">
        <v>-1.327885E-2</v>
      </c>
      <c r="S5406">
        <v>-2.9891969999999999</v>
      </c>
      <c r="T5406">
        <v>-0.24180199999999999</v>
      </c>
      <c r="U5406">
        <v>-0.122695899999999</v>
      </c>
      <c r="V5406">
        <v>-8.9490609999999995E-3</v>
      </c>
      <c r="W5406">
        <v>-7.9000989999999993E-2</v>
      </c>
      <c r="X5406">
        <v>0.99683440000000001</v>
      </c>
      <c r="Y5406">
        <v>-3.6518799999999997E-2</v>
      </c>
      <c r="Z5406">
        <v>-1.4592050000000001E-3</v>
      </c>
      <c r="AA5406">
        <v>0.99933190000000005</v>
      </c>
      <c r="AB5406">
        <v>26</v>
      </c>
      <c r="AC5406">
        <v>-13.597499999999901</v>
      </c>
      <c r="AD5406">
        <v>-1.1208831303509901</v>
      </c>
      <c r="AE5406">
        <v>-0.56780000000000497</v>
      </c>
      <c r="AF5406">
        <v>-0.50501885824165405</v>
      </c>
      <c r="AG5406">
        <v>-1.1208831303509901</v>
      </c>
      <c r="AH5406">
        <v>13.5082174706105</v>
      </c>
      <c r="AI5406">
        <v>94.740118669754395</v>
      </c>
      <c r="AJ5406">
        <v>92.141065564266</v>
      </c>
      <c r="AK5406">
        <v>13.5640466776103</v>
      </c>
      <c r="AL5406">
        <v>94.531144786498501</v>
      </c>
      <c r="AM5406">
        <v>90.514357903071499</v>
      </c>
      <c r="AN5406">
        <v>1.00000003156856</v>
      </c>
    </row>
    <row r="5407" spans="1:40" x14ac:dyDescent="0.25">
      <c r="A5407" t="str">
        <f>"20190303154917330"</f>
        <v>20190303154917330</v>
      </c>
      <c r="B5407" t="str">
        <f>"1551599357326575"</f>
        <v>1551599357326575</v>
      </c>
      <c r="C5407" t="s">
        <v>40</v>
      </c>
      <c r="D5407">
        <v>5.3849989999999996</v>
      </c>
      <c r="E5407">
        <v>0.4876761</v>
      </c>
      <c r="F5407" t="s">
        <v>41</v>
      </c>
      <c r="G5407">
        <v>-382.96440000000001</v>
      </c>
      <c r="H5407" s="1">
        <v>-3.3373019999999998E-6</v>
      </c>
      <c r="I5407">
        <v>140.8817</v>
      </c>
      <c r="J5407">
        <v>-370.1266</v>
      </c>
      <c r="K5407">
        <v>1.1208640000000001</v>
      </c>
      <c r="L5407">
        <v>141.47229999999999</v>
      </c>
      <c r="M5407">
        <v>-0.99988010000000005</v>
      </c>
      <c r="N5407">
        <v>-1.4894030000000001E-2</v>
      </c>
      <c r="O5407">
        <v>-4.2531950000000004E-3</v>
      </c>
      <c r="P5407">
        <v>-0.99552529999999995</v>
      </c>
      <c r="Q5407">
        <v>-9.3392219999999998E-2</v>
      </c>
      <c r="R5407">
        <v>-1.4395440000000001E-2</v>
      </c>
      <c r="S5407">
        <v>-2.9876710000000002</v>
      </c>
      <c r="T5407">
        <v>-0.25562940000000001</v>
      </c>
      <c r="U5407">
        <v>-0.1348877</v>
      </c>
      <c r="V5407">
        <v>-1.017814E-2</v>
      </c>
      <c r="W5407">
        <v>-7.8551430000000005E-2</v>
      </c>
      <c r="X5407">
        <v>0.99685809999999997</v>
      </c>
      <c r="Y5407">
        <v>-4.0688660000000001E-2</v>
      </c>
      <c r="Z5407">
        <v>-1.740637E-3</v>
      </c>
      <c r="AA5407">
        <v>0.99917040000000001</v>
      </c>
      <c r="AB5407">
        <v>26</v>
      </c>
      <c r="AC5407">
        <v>-12.8378</v>
      </c>
      <c r="AD5407">
        <v>-1.1208673373019999</v>
      </c>
      <c r="AE5407">
        <v>-0.59059999999999402</v>
      </c>
      <c r="AF5407">
        <v>-0.531940506087201</v>
      </c>
      <c r="AG5407">
        <v>-1.1208673373019999</v>
      </c>
      <c r="AH5407">
        <v>12.7432590805938</v>
      </c>
      <c r="AI5407">
        <v>95.022315391187803</v>
      </c>
      <c r="AJ5407">
        <v>92.390303920610606</v>
      </c>
      <c r="AK5407">
        <v>12.803513435185801</v>
      </c>
      <c r="AL5407">
        <v>94.505306757598007</v>
      </c>
      <c r="AM5407">
        <v>90.584982157311202</v>
      </c>
      <c r="AN5407">
        <v>0.99999999661225702</v>
      </c>
    </row>
    <row r="5408" spans="1:40" x14ac:dyDescent="0.25">
      <c r="A5408" t="str">
        <f>"20190303154917351"</f>
        <v>20190303154917351</v>
      </c>
      <c r="B5408" t="str">
        <f>"1551599357346311"</f>
        <v>1551599357346311</v>
      </c>
      <c r="C5408" t="s">
        <v>40</v>
      </c>
      <c r="D5408">
        <v>5.3817760000000003</v>
      </c>
      <c r="E5408">
        <v>0.48746</v>
      </c>
      <c r="F5408" t="s">
        <v>41</v>
      </c>
      <c r="G5408">
        <v>-382.85759999999999</v>
      </c>
      <c r="H5408" s="1">
        <v>-3.380068E-6</v>
      </c>
      <c r="I5408">
        <v>140.87039999999999</v>
      </c>
      <c r="J5408">
        <v>-370.36540000000002</v>
      </c>
      <c r="K5408">
        <v>1.120851</v>
      </c>
      <c r="L5408">
        <v>141.47139999999999</v>
      </c>
      <c r="M5408">
        <v>-0.99988069999999896</v>
      </c>
      <c r="N5408">
        <v>-1.489359E-2</v>
      </c>
      <c r="O5408">
        <v>-4.132681E-3</v>
      </c>
      <c r="P5408">
        <v>-0.99554489999999995</v>
      </c>
      <c r="Q5408">
        <v>-9.2963400000000002E-2</v>
      </c>
      <c r="R5408">
        <v>-1.5768839999999999E-2</v>
      </c>
      <c r="S5408">
        <v>-2.986755</v>
      </c>
      <c r="T5408">
        <v>-0.26296209999999998</v>
      </c>
      <c r="U5408">
        <v>-0.1411896</v>
      </c>
      <c r="V5408">
        <v>-1.1673940000000001E-2</v>
      </c>
      <c r="W5408">
        <v>-7.8122029999999995E-2</v>
      </c>
      <c r="X5408">
        <v>0.99687550000000003</v>
      </c>
      <c r="Y5408">
        <v>-4.2907460000000001E-2</v>
      </c>
      <c r="Z5408">
        <v>-1.9030760000000001E-3</v>
      </c>
      <c r="AA5408">
        <v>0.99907729999999995</v>
      </c>
      <c r="AB5408">
        <v>25</v>
      </c>
      <c r="AC5408">
        <v>-12.492199999999899</v>
      </c>
      <c r="AD5408">
        <v>-1.120854380068</v>
      </c>
      <c r="AE5408">
        <v>-0.60099999999999898</v>
      </c>
      <c r="AF5408">
        <v>-0.54498561850454896</v>
      </c>
      <c r="AG5408">
        <v>-1.120854380068</v>
      </c>
      <c r="AH5408">
        <v>12.3950221510513</v>
      </c>
      <c r="AI5408">
        <v>95.162116588212399</v>
      </c>
      <c r="AJ5408">
        <v>92.517565292853106</v>
      </c>
      <c r="AK5408">
        <v>12.457523750358501</v>
      </c>
      <c r="AL5408">
        <v>94.480627882689504</v>
      </c>
      <c r="AM5408">
        <v>90.670933250362395</v>
      </c>
      <c r="AN5408">
        <v>1.0000000474733399</v>
      </c>
    </row>
    <row r="5409" spans="1:40" x14ac:dyDescent="0.25">
      <c r="A5409" t="str">
        <f>"20190303154917373"</f>
        <v>20190303154917373</v>
      </c>
      <c r="B5409" t="str">
        <f>"1551599357365830"</f>
        <v>1551599357365830</v>
      </c>
      <c r="C5409" t="s">
        <v>40</v>
      </c>
      <c r="D5409">
        <v>5.3520890000000003</v>
      </c>
      <c r="E5409">
        <v>0.48769580000000001</v>
      </c>
      <c r="F5409" t="s">
        <v>41</v>
      </c>
      <c r="G5409">
        <v>-382.97329999999999</v>
      </c>
      <c r="H5409" s="1">
        <v>-3.3249269999999998E-6</v>
      </c>
      <c r="I5409">
        <v>140.84970000000001</v>
      </c>
      <c r="J5409">
        <v>-370.61930000000001</v>
      </c>
      <c r="K5409">
        <v>1.120838</v>
      </c>
      <c r="L5409">
        <v>141.47049999999999</v>
      </c>
      <c r="M5409">
        <v>-0.99988120000000003</v>
      </c>
      <c r="N5409">
        <v>-1.489239E-2</v>
      </c>
      <c r="O5409">
        <v>-3.9819729999999998E-3</v>
      </c>
      <c r="P5409">
        <v>-0.99551590000000001</v>
      </c>
      <c r="Q5409">
        <v>-9.3160870000000007E-2</v>
      </c>
      <c r="R5409">
        <v>-1.6412639999999999E-2</v>
      </c>
      <c r="S5409">
        <v>-2.986237</v>
      </c>
      <c r="T5409">
        <v>-0.26548100000000002</v>
      </c>
      <c r="U5409">
        <v>-0.1472321</v>
      </c>
      <c r="V5409">
        <v>-1.24709E-2</v>
      </c>
      <c r="W5409">
        <v>-7.8320409999999993E-2</v>
      </c>
      <c r="X5409">
        <v>0.99685029999999997</v>
      </c>
      <c r="Y5409">
        <v>-4.5069419999999999E-2</v>
      </c>
      <c r="Z5409">
        <v>-2.0408969999999999E-3</v>
      </c>
      <c r="AA5409">
        <v>0.99898180000000003</v>
      </c>
      <c r="AB5409">
        <v>25</v>
      </c>
      <c r="AC5409">
        <v>-12.3539999999999</v>
      </c>
      <c r="AD5409">
        <v>-1.1208413249269999</v>
      </c>
      <c r="AE5409">
        <v>-0.62079999999997404</v>
      </c>
      <c r="AF5409">
        <v>-0.56694136809606299</v>
      </c>
      <c r="AG5409">
        <v>-1.1208413249269999</v>
      </c>
      <c r="AH5409">
        <v>12.2557466121829</v>
      </c>
      <c r="AI5409">
        <v>95.219861118371995</v>
      </c>
      <c r="AJ5409">
        <v>92.648570324482804</v>
      </c>
      <c r="AK5409">
        <v>12.319944513371601</v>
      </c>
      <c r="AL5409">
        <v>94.492029071897804</v>
      </c>
      <c r="AM5409">
        <v>90.716750211893398</v>
      </c>
      <c r="AN5409">
        <v>1.0000000652897301</v>
      </c>
    </row>
    <row r="5410" spans="1:40" x14ac:dyDescent="0.25">
      <c r="A5410" t="str">
        <f>"20190303154917396"</f>
        <v>20190303154917396</v>
      </c>
      <c r="B5410" t="str">
        <f>"1551599357386327"</f>
        <v>1551599357386327</v>
      </c>
      <c r="C5410" t="s">
        <v>40</v>
      </c>
      <c r="D5410">
        <v>5.3680690000000002</v>
      </c>
      <c r="E5410">
        <v>0.48817919999999998</v>
      </c>
      <c r="F5410" t="s">
        <v>41</v>
      </c>
      <c r="G5410">
        <v>-383.33589999999998</v>
      </c>
      <c r="H5410" s="1">
        <v>-3.16771E-6</v>
      </c>
      <c r="I5410">
        <v>140.8434</v>
      </c>
      <c r="J5410">
        <v>-370.86860000000001</v>
      </c>
      <c r="K5410">
        <v>1.1208290000000001</v>
      </c>
      <c r="L5410">
        <v>141.46969999999999</v>
      </c>
      <c r="M5410">
        <v>-0.99988189999999999</v>
      </c>
      <c r="N5410">
        <v>-1.4890540000000001E-2</v>
      </c>
      <c r="O5410">
        <v>-3.813145E-3</v>
      </c>
      <c r="P5410">
        <v>-0.9955174</v>
      </c>
      <c r="Q5410">
        <v>-9.3124970000000001E-2</v>
      </c>
      <c r="R5410">
        <v>-1.6516260000000001E-2</v>
      </c>
      <c r="S5410">
        <v>-2.98645</v>
      </c>
      <c r="T5410">
        <v>-0.26322719999999999</v>
      </c>
      <c r="U5410">
        <v>-0.1472473</v>
      </c>
      <c r="V5410">
        <v>-1.27452E-2</v>
      </c>
      <c r="W5410">
        <v>-7.8285839999999995E-2</v>
      </c>
      <c r="X5410">
        <v>0.99684950000000005</v>
      </c>
      <c r="Y5410">
        <v>-4.5241490000000002E-2</v>
      </c>
      <c r="Z5410">
        <v>-2.0479930000000001E-3</v>
      </c>
      <c r="AA5410">
        <v>0.99897400000000003</v>
      </c>
      <c r="AB5410">
        <v>25</v>
      </c>
      <c r="AC5410">
        <v>-12.4672999999999</v>
      </c>
      <c r="AD5410">
        <v>-1.1208321677099999</v>
      </c>
      <c r="AE5410">
        <v>-0.62629999999998598</v>
      </c>
      <c r="AF5410">
        <v>-0.57412199335057801</v>
      </c>
      <c r="AG5410">
        <v>-1.1208321677099999</v>
      </c>
      <c r="AH5410">
        <v>12.3698721100903</v>
      </c>
      <c r="AI5410">
        <v>95.171886039523599</v>
      </c>
      <c r="AJ5410">
        <v>92.657357904547894</v>
      </c>
      <c r="AK5410">
        <v>12.433809425570701</v>
      </c>
      <c r="AL5410">
        <v>94.490042463710196</v>
      </c>
      <c r="AM5410">
        <v>90.732514168086496</v>
      </c>
      <c r="AN5410">
        <v>1.00000001925889</v>
      </c>
    </row>
    <row r="5411" spans="1:40" x14ac:dyDescent="0.25">
      <c r="A5411" t="str">
        <f>"20190303154917409"</f>
        <v>20190303154917409</v>
      </c>
      <c r="B5411" t="str">
        <f>"1551599357405847"</f>
        <v>1551599357405847</v>
      </c>
      <c r="C5411" t="s">
        <v>40</v>
      </c>
      <c r="D5411">
        <v>5.3348360000000001</v>
      </c>
      <c r="E5411">
        <v>0.48852909999999999</v>
      </c>
      <c r="F5411" t="s">
        <v>41</v>
      </c>
      <c r="G5411">
        <v>-383.80880000000002</v>
      </c>
      <c r="H5411" s="1">
        <v>-2.96589E-6</v>
      </c>
      <c r="I5411">
        <v>140.84739999999999</v>
      </c>
      <c r="J5411">
        <v>-371.02910000000003</v>
      </c>
      <c r="K5411">
        <v>1.1208199999999999</v>
      </c>
      <c r="L5411">
        <v>141.4692</v>
      </c>
      <c r="M5411">
        <v>-0.99988239999999995</v>
      </c>
      <c r="N5411">
        <v>-1.4889039999999999E-2</v>
      </c>
      <c r="O5411">
        <v>-3.694854E-3</v>
      </c>
      <c r="P5411">
        <v>-0.99553530000000001</v>
      </c>
      <c r="Q5411">
        <v>-9.3000009999999994E-2</v>
      </c>
      <c r="R5411">
        <v>-1.6145980000000001E-2</v>
      </c>
      <c r="S5411">
        <v>-2.9869080000000001</v>
      </c>
      <c r="T5411">
        <v>-0.2587159</v>
      </c>
      <c r="U5411">
        <v>-0.14361570000000001</v>
      </c>
      <c r="V5411">
        <v>-1.249434E-2</v>
      </c>
      <c r="W5411">
        <v>-7.8161999999999995E-2</v>
      </c>
      <c r="X5411">
        <v>0.99686240000000004</v>
      </c>
      <c r="Y5411">
        <v>-4.4150960000000003E-2</v>
      </c>
      <c r="Z5411">
        <v>-1.9726980000000002E-3</v>
      </c>
      <c r="AA5411">
        <v>0.99902290000000005</v>
      </c>
      <c r="AB5411">
        <v>25</v>
      </c>
      <c r="AC5411">
        <v>-12.779699999999901</v>
      </c>
      <c r="AD5411">
        <v>-1.12082296589</v>
      </c>
      <c r="AE5411">
        <v>-0.62180000000000701</v>
      </c>
      <c r="AF5411">
        <v>-0.57019587561762597</v>
      </c>
      <c r="AG5411">
        <v>-1.12082296589</v>
      </c>
      <c r="AH5411">
        <v>12.684572631816801</v>
      </c>
      <c r="AI5411">
        <v>95.044536448013901</v>
      </c>
      <c r="AJ5411">
        <v>92.573822526739093</v>
      </c>
      <c r="AK5411">
        <v>12.74675450102</v>
      </c>
      <c r="AL5411">
        <v>94.482925116994593</v>
      </c>
      <c r="AM5411">
        <v>90.718088541787196</v>
      </c>
      <c r="AN5411">
        <v>1.00000002565489</v>
      </c>
    </row>
    <row r="5412" spans="1:40" x14ac:dyDescent="0.25">
      <c r="A5412" t="str">
        <f>"20190303154917424"</f>
        <v>20190303154917424</v>
      </c>
      <c r="B5412" t="str">
        <f>"1551599357416583"</f>
        <v>1551599357416583</v>
      </c>
      <c r="C5412" t="s">
        <v>40</v>
      </c>
      <c r="D5412">
        <v>5.4502220000000001</v>
      </c>
      <c r="E5412">
        <v>0.48849759999999998</v>
      </c>
      <c r="F5412" t="s">
        <v>41</v>
      </c>
      <c r="G5412">
        <v>-384.15820000000002</v>
      </c>
      <c r="H5412" s="1">
        <v>-2.818E-6</v>
      </c>
      <c r="I5412">
        <v>140.85489999999999</v>
      </c>
      <c r="J5412">
        <v>-371.18779999999998</v>
      </c>
      <c r="K5412">
        <v>1.120814</v>
      </c>
      <c r="L5412">
        <v>141.46870000000001</v>
      </c>
      <c r="M5412">
        <v>-0.99988290000000002</v>
      </c>
      <c r="N5412">
        <v>-1.488737E-2</v>
      </c>
      <c r="O5412">
        <v>-3.5731270000000002E-3</v>
      </c>
      <c r="P5412">
        <v>-0.99552839999999998</v>
      </c>
      <c r="Q5412">
        <v>-9.3123719999999993E-2</v>
      </c>
      <c r="R5412">
        <v>-1.585899E-2</v>
      </c>
      <c r="S5412">
        <v>-2.9873349999999999</v>
      </c>
      <c r="T5412">
        <v>-0.25502789999999997</v>
      </c>
      <c r="U5412">
        <v>-0.1397552</v>
      </c>
      <c r="V5412">
        <v>-1.2330229999999999E-2</v>
      </c>
      <c r="W5412">
        <v>-7.8287339999999997E-2</v>
      </c>
      <c r="X5412">
        <v>0.99685460000000004</v>
      </c>
      <c r="Y5412">
        <v>-4.2987030000000002E-2</v>
      </c>
      <c r="Z5412">
        <v>-1.900203E-3</v>
      </c>
      <c r="AA5412">
        <v>0.99907380000000001</v>
      </c>
      <c r="AB5412">
        <v>25</v>
      </c>
      <c r="AC5412">
        <v>-12.9704</v>
      </c>
      <c r="AD5412">
        <v>-1.120816818</v>
      </c>
      <c r="AE5412">
        <v>-0.61380000000002599</v>
      </c>
      <c r="AF5412">
        <v>-0.56324951796566602</v>
      </c>
      <c r="AG5412">
        <v>-1.120816818</v>
      </c>
      <c r="AH5412">
        <v>12.876572468297701</v>
      </c>
      <c r="AI5412">
        <v>94.969935600895695</v>
      </c>
      <c r="AJ5412">
        <v>92.504646412940801</v>
      </c>
      <c r="AK5412">
        <v>12.937526768680399</v>
      </c>
      <c r="AL5412">
        <v>94.490128678260206</v>
      </c>
      <c r="AM5412">
        <v>90.708663142859393</v>
      </c>
      <c r="AN5412">
        <v>1.0000000178586399</v>
      </c>
    </row>
    <row r="5413" spans="1:40" x14ac:dyDescent="0.25">
      <c r="A5413" t="str">
        <f>"20190303154917438"</f>
        <v>20190303154917438</v>
      </c>
      <c r="B5413" t="str">
        <f>"1551599357426343"</f>
        <v>1551599357426343</v>
      </c>
      <c r="C5413" t="s">
        <v>40</v>
      </c>
      <c r="D5413">
        <v>5.3521359999999998</v>
      </c>
      <c r="E5413">
        <v>0.48867169999999999</v>
      </c>
      <c r="F5413" t="s">
        <v>41</v>
      </c>
      <c r="G5413">
        <v>-384.23070000000001</v>
      </c>
      <c r="H5413" s="1">
        <v>-2.7885559999999999E-6</v>
      </c>
      <c r="I5413">
        <v>140.8612</v>
      </c>
      <c r="J5413">
        <v>-371.35890000000001</v>
      </c>
      <c r="K5413">
        <v>1.120808</v>
      </c>
      <c r="L5413">
        <v>141.4682</v>
      </c>
      <c r="M5413">
        <v>-0.99988330000000003</v>
      </c>
      <c r="N5413">
        <v>-1.4885239999999999E-2</v>
      </c>
      <c r="O5413">
        <v>-3.4364030000000002E-3</v>
      </c>
      <c r="P5413">
        <v>-0.99555380000000004</v>
      </c>
      <c r="Q5413">
        <v>-9.2959620000000007E-2</v>
      </c>
      <c r="R5413">
        <v>-1.5208549999999999E-2</v>
      </c>
      <c r="S5413">
        <v>-2.987244</v>
      </c>
      <c r="T5413">
        <v>-0.25670359999999998</v>
      </c>
      <c r="U5413">
        <v>-0.13912959999999999</v>
      </c>
      <c r="V5413">
        <v>-1.181654E-2</v>
      </c>
      <c r="W5413">
        <v>-7.812508E-2</v>
      </c>
      <c r="X5413">
        <v>0.99687360000000003</v>
      </c>
      <c r="Y5413">
        <v>-4.291416E-2</v>
      </c>
      <c r="Z5413">
        <v>-1.916224E-3</v>
      </c>
      <c r="AA5413">
        <v>0.99907690000000005</v>
      </c>
      <c r="AB5413">
        <v>25</v>
      </c>
      <c r="AC5413">
        <v>-12.8718</v>
      </c>
      <c r="AD5413">
        <v>-1.1208107885559999</v>
      </c>
      <c r="AE5413">
        <v>-0.60699999999999898</v>
      </c>
      <c r="AF5413">
        <v>-0.55853339610144204</v>
      </c>
      <c r="AG5413">
        <v>-1.1208107885559999</v>
      </c>
      <c r="AH5413">
        <v>12.777148226479399</v>
      </c>
      <c r="AI5413">
        <v>95.0083922059315</v>
      </c>
      <c r="AJ5413">
        <v>92.503003446649899</v>
      </c>
      <c r="AK5413">
        <v>12.838368010761</v>
      </c>
      <c r="AL5413">
        <v>94.4808030848464</v>
      </c>
      <c r="AM5413">
        <v>90.679129393553396</v>
      </c>
      <c r="AN5413">
        <v>1.0000000665597599</v>
      </c>
    </row>
    <row r="5414" spans="1:40" x14ac:dyDescent="0.25">
      <c r="A5414" t="str">
        <f>"20190303154917451"</f>
        <v>20190303154917451</v>
      </c>
      <c r="B5414" t="str">
        <f>"1551599357446370"</f>
        <v>1551599357446370</v>
      </c>
      <c r="C5414" t="s">
        <v>40</v>
      </c>
      <c r="D5414">
        <v>5.3373160000000004</v>
      </c>
      <c r="E5414">
        <v>0.48870639999999999</v>
      </c>
      <c r="F5414" t="s">
        <v>41</v>
      </c>
      <c r="G5414">
        <v>-384.51560000000001</v>
      </c>
      <c r="H5414" s="1">
        <v>-2.6687610000000002E-6</v>
      </c>
      <c r="I5414">
        <v>140.87020000000001</v>
      </c>
      <c r="J5414">
        <v>-371.5034</v>
      </c>
      <c r="K5414">
        <v>1.1208149999999999</v>
      </c>
      <c r="L5414">
        <v>141.46789999999999</v>
      </c>
      <c r="M5414">
        <v>-0.99988379999999999</v>
      </c>
      <c r="N5414">
        <v>-1.4883260000000001E-2</v>
      </c>
      <c r="O5414">
        <v>-3.317253E-3</v>
      </c>
      <c r="P5414">
        <v>-0.99563250000000003</v>
      </c>
      <c r="Q5414">
        <v>-9.2319719999999994E-2</v>
      </c>
      <c r="R5414">
        <v>-1.39071E-2</v>
      </c>
      <c r="S5414">
        <v>-2.9874879999999999</v>
      </c>
      <c r="T5414">
        <v>-0.2545038</v>
      </c>
      <c r="U5414">
        <v>-0.1357727</v>
      </c>
      <c r="V5414">
        <v>-1.063393E-2</v>
      </c>
      <c r="W5414">
        <v>-7.7486520000000003E-2</v>
      </c>
      <c r="X5414">
        <v>0.99693670000000001</v>
      </c>
      <c r="Y5414">
        <v>-4.1915849999999998E-2</v>
      </c>
      <c r="Z5414">
        <v>-1.861365E-3</v>
      </c>
      <c r="AA5414">
        <v>0.99911939999999999</v>
      </c>
      <c r="AB5414">
        <v>25</v>
      </c>
      <c r="AC5414">
        <v>-13.0122</v>
      </c>
      <c r="AD5414">
        <v>-1.1208176687610001</v>
      </c>
      <c r="AE5414">
        <v>-0.59769999999997403</v>
      </c>
      <c r="AF5414">
        <v>-0.55045175238761002</v>
      </c>
      <c r="AG5414">
        <v>-1.1208176687610001</v>
      </c>
      <c r="AH5414">
        <v>12.918465936893</v>
      </c>
      <c r="AI5414">
        <v>94.954143187424194</v>
      </c>
      <c r="AJ5414">
        <v>92.439879175656202</v>
      </c>
      <c r="AK5414">
        <v>12.978674490909199</v>
      </c>
      <c r="AL5414">
        <v>94.444105285433594</v>
      </c>
      <c r="AM5414">
        <v>90.6111282722364</v>
      </c>
      <c r="AN5414">
        <v>1.00000001252792</v>
      </c>
    </row>
    <row r="5415" spans="1:40" x14ac:dyDescent="0.25">
      <c r="A5415" t="str">
        <f>"20190303154917473"</f>
        <v>20190303154917473</v>
      </c>
      <c r="B5415" t="str">
        <f>"1551599357465890"</f>
        <v>1551599357465890</v>
      </c>
      <c r="C5415" t="s">
        <v>40</v>
      </c>
      <c r="D5415">
        <v>5.4269959999999999</v>
      </c>
      <c r="E5415">
        <v>0.48868800000000001</v>
      </c>
      <c r="F5415" t="s">
        <v>41</v>
      </c>
      <c r="G5415">
        <v>-384.79739999999998</v>
      </c>
      <c r="H5415" s="1">
        <v>-2.5511110000000001E-6</v>
      </c>
      <c r="I5415">
        <v>140.88239999999999</v>
      </c>
      <c r="J5415">
        <v>-371.74889999999999</v>
      </c>
      <c r="K5415">
        <v>1.120814</v>
      </c>
      <c r="L5415">
        <v>141.46729999999999</v>
      </c>
      <c r="M5415">
        <v>-0.99988449999999995</v>
      </c>
      <c r="N5415">
        <v>-1.4879699999999999E-2</v>
      </c>
      <c r="O5415">
        <v>-3.111913E-3</v>
      </c>
      <c r="P5415">
        <v>-0.99566500000000002</v>
      </c>
      <c r="Q5415">
        <v>-9.2156829999999995E-2</v>
      </c>
      <c r="R5415">
        <v>-1.258167E-2</v>
      </c>
      <c r="S5415">
        <v>-2.987946</v>
      </c>
      <c r="T5415">
        <v>-0.25191560000000002</v>
      </c>
      <c r="U5415">
        <v>-0.13157650000000001</v>
      </c>
      <c r="V5415">
        <v>-9.5135740000000003E-3</v>
      </c>
      <c r="W5415">
        <v>-7.7327179999999995E-2</v>
      </c>
      <c r="X5415">
        <v>0.99696039999999997</v>
      </c>
      <c r="Y5415">
        <v>-4.0721390000000003E-2</v>
      </c>
      <c r="Z5415">
        <v>-1.800959E-3</v>
      </c>
      <c r="AA5415">
        <v>0.99916890000000003</v>
      </c>
      <c r="AB5415">
        <v>25</v>
      </c>
      <c r="AC5415">
        <v>-13.048499999999899</v>
      </c>
      <c r="AD5415">
        <v>-1.120816551111</v>
      </c>
      <c r="AE5415">
        <v>-0.58490000000000397</v>
      </c>
      <c r="AF5415">
        <v>-0.54030839046645396</v>
      </c>
      <c r="AG5415">
        <v>-1.120816551111</v>
      </c>
      <c r="AH5415">
        <v>12.954865799472801</v>
      </c>
      <c r="AI5415">
        <v>94.940474145804004</v>
      </c>
      <c r="AJ5415">
        <v>92.388250079542004</v>
      </c>
      <c r="AK5415">
        <v>13.0144808110198</v>
      </c>
      <c r="AL5415">
        <v>94.434948268050604</v>
      </c>
      <c r="AM5415">
        <v>90.546732943266804</v>
      </c>
      <c r="AN5415">
        <v>1.00000002001258</v>
      </c>
    </row>
    <row r="5416" spans="1:40" x14ac:dyDescent="0.25">
      <c r="A5416" t="str">
        <f>"20190303154917497"</f>
        <v>20190303154917497</v>
      </c>
      <c r="B5416" t="str">
        <f>"1551599357486386"</f>
        <v>1551599357486386</v>
      </c>
      <c r="C5416" t="s">
        <v>40</v>
      </c>
      <c r="D5416">
        <v>5.378349</v>
      </c>
      <c r="E5416">
        <v>0.4888691</v>
      </c>
      <c r="F5416" t="s">
        <v>41</v>
      </c>
      <c r="G5416">
        <v>-385.10910000000001</v>
      </c>
      <c r="H5416" s="1">
        <v>-2.420994E-6</v>
      </c>
      <c r="I5416">
        <v>140.89590000000001</v>
      </c>
      <c r="J5416">
        <v>-371.99959999999999</v>
      </c>
      <c r="K5416">
        <v>1.120811</v>
      </c>
      <c r="L5416">
        <v>141.46680000000001</v>
      </c>
      <c r="M5416">
        <v>-0.99988520000000003</v>
      </c>
      <c r="N5416">
        <v>-1.487575E-2</v>
      </c>
      <c r="O5416">
        <v>-2.8992250000000001E-3</v>
      </c>
      <c r="P5416">
        <v>-0.99565740000000003</v>
      </c>
      <c r="Q5416">
        <v>-9.2334550000000001E-2</v>
      </c>
      <c r="R5416">
        <v>-1.185249E-2</v>
      </c>
      <c r="S5416">
        <v>-2.9883120000000001</v>
      </c>
      <c r="T5416">
        <v>-0.25069750000000002</v>
      </c>
      <c r="U5416">
        <v>-0.1277924</v>
      </c>
      <c r="V5416">
        <v>-8.9962229999999994E-3</v>
      </c>
      <c r="W5416">
        <v>-7.75092E-2</v>
      </c>
      <c r="X5416">
        <v>0.99695100000000003</v>
      </c>
      <c r="Y5416">
        <v>-3.967093E-2</v>
      </c>
      <c r="Z5416">
        <v>-1.7565720000000001E-3</v>
      </c>
      <c r="AA5416">
        <v>0.99921130000000002</v>
      </c>
      <c r="AB5416">
        <v>25</v>
      </c>
      <c r="AC5416">
        <v>-13.109500000000001</v>
      </c>
      <c r="AD5416">
        <v>-1.1208134209939999</v>
      </c>
      <c r="AE5416">
        <v>-0.57089999999999397</v>
      </c>
      <c r="AF5416">
        <v>-0.52902634785557101</v>
      </c>
      <c r="AG5416">
        <v>-1.1208134209939999</v>
      </c>
      <c r="AH5416">
        <v>13.016137408890801</v>
      </c>
      <c r="AI5416">
        <v>94.917532039404094</v>
      </c>
      <c r="AJ5416">
        <v>92.327441856752301</v>
      </c>
      <c r="AK5416">
        <v>13.075011458829801</v>
      </c>
      <c r="AL5416">
        <v>94.445408942080604</v>
      </c>
      <c r="AM5416">
        <v>90.517007976926493</v>
      </c>
      <c r="AN5416">
        <v>0.99999995225695104</v>
      </c>
    </row>
    <row r="5417" spans="1:40" x14ac:dyDescent="0.25">
      <c r="A5417" t="str">
        <f>"20190303154917512"</f>
        <v>20190303154917512</v>
      </c>
      <c r="B5417" t="str">
        <f>"1551599357505906"</f>
        <v>1551599357505906</v>
      </c>
      <c r="C5417" t="s">
        <v>40</v>
      </c>
      <c r="D5417">
        <v>5.4225599999999998</v>
      </c>
      <c r="E5417">
        <v>0.48876750000000002</v>
      </c>
      <c r="F5417" t="s">
        <v>41</v>
      </c>
      <c r="G5417">
        <v>-385.42239999999998</v>
      </c>
      <c r="H5417" s="1">
        <v>-2.2900850000000001E-6</v>
      </c>
      <c r="I5417">
        <v>140.90899999999999</v>
      </c>
      <c r="J5417">
        <v>-372.17399999999998</v>
      </c>
      <c r="K5417">
        <v>1.1208129999999901</v>
      </c>
      <c r="L5417">
        <v>141.46639999999999</v>
      </c>
      <c r="M5417">
        <v>-0.99988569999999999</v>
      </c>
      <c r="N5417">
        <v>-1.487281E-2</v>
      </c>
      <c r="O5417">
        <v>-2.7511670000000001E-3</v>
      </c>
      <c r="P5417">
        <v>-0.995618</v>
      </c>
      <c r="Q5417">
        <v>-9.2771629999999994E-2</v>
      </c>
      <c r="R5417">
        <v>-1.17529E-2</v>
      </c>
      <c r="S5417">
        <v>-2.9884949999999999</v>
      </c>
      <c r="T5417">
        <v>-0.2495435</v>
      </c>
      <c r="U5417">
        <v>-0.1241608</v>
      </c>
      <c r="V5417">
        <v>-9.0439260000000007E-3</v>
      </c>
      <c r="W5417">
        <v>-7.7949770000000002E-2</v>
      </c>
      <c r="X5417">
        <v>0.99691629999999998</v>
      </c>
      <c r="Y5417">
        <v>-3.8609490000000003E-2</v>
      </c>
      <c r="Z5417">
        <v>-1.707945E-3</v>
      </c>
      <c r="AA5417">
        <v>0.9992529</v>
      </c>
      <c r="AB5417">
        <v>25</v>
      </c>
      <c r="AC5417">
        <v>-13.248399999999901</v>
      </c>
      <c r="AD5417">
        <v>-1.1208152900849999</v>
      </c>
      <c r="AE5417">
        <v>-0.55740000000000101</v>
      </c>
      <c r="AF5417">
        <v>-0.51724979831401996</v>
      </c>
      <c r="AG5417">
        <v>-1.1208152900849999</v>
      </c>
      <c r="AH5417">
        <v>13.1558909746417</v>
      </c>
      <c r="AI5417">
        <v>94.865810310043599</v>
      </c>
      <c r="AJ5417">
        <v>92.251536881903107</v>
      </c>
      <c r="AK5417">
        <v>13.2136763092261</v>
      </c>
      <c r="AL5417">
        <v>94.470727982091205</v>
      </c>
      <c r="AM5417">
        <v>90.519767382140998</v>
      </c>
      <c r="AN5417">
        <v>1.0000000342231099</v>
      </c>
    </row>
    <row r="5418" spans="1:40" x14ac:dyDescent="0.25">
      <c r="A5418" t="str">
        <f>"20190303154917532"</f>
        <v>20190303154917532</v>
      </c>
      <c r="B5418" t="str">
        <f>"1551599357526402"</f>
        <v>1551599357526402</v>
      </c>
      <c r="C5418" t="s">
        <v>40</v>
      </c>
      <c r="D5418">
        <v>5.3381429999999996</v>
      </c>
      <c r="E5418">
        <v>0.48878959999999999</v>
      </c>
      <c r="F5418" t="s">
        <v>41</v>
      </c>
      <c r="G5418">
        <v>-385.4545</v>
      </c>
      <c r="H5418" s="1">
        <v>-2.2772329999999998E-6</v>
      </c>
      <c r="I5418">
        <v>140.91249999999999</v>
      </c>
      <c r="J5418">
        <v>-372.39670000000001</v>
      </c>
      <c r="K5418">
        <v>1.1208119999999999</v>
      </c>
      <c r="L5418">
        <v>141.46600000000001</v>
      </c>
      <c r="M5418">
        <v>-0.99988619999999995</v>
      </c>
      <c r="N5418">
        <v>-1.4868839999999999E-2</v>
      </c>
      <c r="O5418">
        <v>-2.5631819999999998E-3</v>
      </c>
      <c r="P5418">
        <v>-0.99563809999999997</v>
      </c>
      <c r="Q5418">
        <v>-9.2551679999999997E-2</v>
      </c>
      <c r="R5418">
        <v>-1.1796559999999999E-2</v>
      </c>
      <c r="S5418">
        <v>-2.9881899999999999</v>
      </c>
      <c r="T5418">
        <v>-0.25219130000000001</v>
      </c>
      <c r="U5418">
        <v>-0.12461849999999999</v>
      </c>
      <c r="V5418">
        <v>-9.2746349999999998E-3</v>
      </c>
      <c r="W5418">
        <v>-7.7733440000000001E-2</v>
      </c>
      <c r="X5418">
        <v>0.99693100000000001</v>
      </c>
      <c r="Y5418">
        <v>-3.8949560000000001E-2</v>
      </c>
      <c r="Z5418">
        <v>-1.7524820000000001E-3</v>
      </c>
      <c r="AA5418">
        <v>0.99923960000000001</v>
      </c>
      <c r="AB5418">
        <v>25</v>
      </c>
      <c r="AC5418">
        <v>-13.057799999999901</v>
      </c>
      <c r="AD5418">
        <v>-1.1208142772329901</v>
      </c>
      <c r="AE5418">
        <v>-0.55350000000001298</v>
      </c>
      <c r="AF5418">
        <v>-0.51622841041170398</v>
      </c>
      <c r="AG5418">
        <v>-1.1208142772329901</v>
      </c>
      <c r="AH5418">
        <v>12.963834659738501</v>
      </c>
      <c r="AI5418">
        <v>94.937440217214501</v>
      </c>
      <c r="AJ5418">
        <v>92.280350773832197</v>
      </c>
      <c r="AK5418">
        <v>13.022431627803</v>
      </c>
      <c r="AL5418">
        <v>94.458295782720199</v>
      </c>
      <c r="AM5418">
        <v>90.533017944202697</v>
      </c>
      <c r="AN5418">
        <v>0.99999996265480695</v>
      </c>
    </row>
    <row r="5419" spans="1:40" x14ac:dyDescent="0.25">
      <c r="A5419" t="str">
        <f>"20190303154917553"</f>
        <v>20190303154917553</v>
      </c>
      <c r="B5419" t="str">
        <f>"1551599357546429"</f>
        <v>1551599357546429</v>
      </c>
      <c r="C5419" t="s">
        <v>40</v>
      </c>
      <c r="D5419">
        <v>5.5547420000000001</v>
      </c>
      <c r="E5419">
        <v>0.51408169999999997</v>
      </c>
      <c r="F5419" t="s">
        <v>41</v>
      </c>
      <c r="G5419">
        <v>-385.74740000000003</v>
      </c>
      <c r="H5419" s="1">
        <v>-2.1506249999999998E-6</v>
      </c>
      <c r="I5419">
        <v>140.90899999999999</v>
      </c>
      <c r="J5419">
        <v>-372.63420000000002</v>
      </c>
      <c r="K5419">
        <v>1.120816</v>
      </c>
      <c r="L5419">
        <v>141.46559999999999</v>
      </c>
      <c r="M5419">
        <v>-0.99988679999999996</v>
      </c>
      <c r="N5419">
        <v>-1.486437E-2</v>
      </c>
      <c r="O5419">
        <v>-2.3654219999999998E-3</v>
      </c>
      <c r="P5419">
        <v>-0.99564439999999998</v>
      </c>
      <c r="Q5419">
        <v>-9.2425030000000005E-2</v>
      </c>
      <c r="R5419">
        <v>-1.2240569999999999E-2</v>
      </c>
      <c r="S5419">
        <v>-2.9883730000000002</v>
      </c>
      <c r="T5419">
        <v>-0.25087870000000001</v>
      </c>
      <c r="U5419">
        <v>-0.12466430000000001</v>
      </c>
      <c r="V5419">
        <v>-9.9150569999999997E-3</v>
      </c>
      <c r="W5419">
        <v>-7.7610999999999999E-2</v>
      </c>
      <c r="X5419">
        <v>0.9969344</v>
      </c>
      <c r="Y5419">
        <v>-3.9160100000000003E-2</v>
      </c>
      <c r="Z5419">
        <v>-1.7689229999999999E-3</v>
      </c>
      <c r="AA5419">
        <v>0.99923139999999999</v>
      </c>
      <c r="AB5419">
        <v>25</v>
      </c>
      <c r="AC5419">
        <v>-13.113200000000001</v>
      </c>
      <c r="AD5419">
        <v>-1.1208181506249999</v>
      </c>
      <c r="AE5419">
        <v>-0.55660000000000298</v>
      </c>
      <c r="AF5419">
        <v>-0.52177179097632298</v>
      </c>
      <c r="AG5419">
        <v>-1.1208181506249999</v>
      </c>
      <c r="AH5419">
        <v>13.0195362225467</v>
      </c>
      <c r="AI5419">
        <v>94.916387163351303</v>
      </c>
      <c r="AJ5419">
        <v>92.294961319452298</v>
      </c>
      <c r="AK5419">
        <v>13.0781039366888</v>
      </c>
      <c r="AL5419">
        <v>94.4512591217796</v>
      </c>
      <c r="AM5419">
        <v>90.569819027359799</v>
      </c>
      <c r="AN5419">
        <v>0.99999998678983604</v>
      </c>
    </row>
    <row r="5420" spans="1:40" x14ac:dyDescent="0.25">
      <c r="A5420" t="str">
        <f>"20190303154917574"</f>
        <v>20190303154917574</v>
      </c>
      <c r="B5420" t="str">
        <f>"1551599357565949"</f>
        <v>1551599357565949</v>
      </c>
      <c r="C5420" t="s">
        <v>40</v>
      </c>
      <c r="D5420">
        <v>5.5774319999999999</v>
      </c>
      <c r="E5420">
        <v>0.52271489999999998</v>
      </c>
      <c r="F5420" t="s">
        <v>41</v>
      </c>
      <c r="G5420">
        <v>-388.06709999999998</v>
      </c>
      <c r="H5420" s="1">
        <v>-1.407721E-6</v>
      </c>
      <c r="I5420">
        <v>141.8569</v>
      </c>
      <c r="J5420">
        <v>-372.8732</v>
      </c>
      <c r="K5420">
        <v>1.120816</v>
      </c>
      <c r="L5420">
        <v>141.46530000000001</v>
      </c>
      <c r="M5420">
        <v>-0.99988730000000003</v>
      </c>
      <c r="N5420">
        <v>-1.485967E-2</v>
      </c>
      <c r="O5420">
        <v>-2.1684920000000002E-3</v>
      </c>
      <c r="P5420">
        <v>-0.99563539999999995</v>
      </c>
      <c r="Q5420">
        <v>-9.2438969999999995E-2</v>
      </c>
      <c r="R5420">
        <v>-1.286401E-2</v>
      </c>
      <c r="S5420">
        <v>-2.9938660000000001</v>
      </c>
      <c r="T5420">
        <v>-0.21742990000000001</v>
      </c>
      <c r="U5420">
        <v>7.5927729999999999E-2</v>
      </c>
      <c r="V5420">
        <v>-1.073411E-2</v>
      </c>
      <c r="W5420">
        <v>-7.7629480000000001E-2</v>
      </c>
      <c r="X5420">
        <v>0.99692449999999999</v>
      </c>
      <c r="Y5420">
        <v>2.743029E-2</v>
      </c>
      <c r="Z5420">
        <v>1.3238340000000001E-3</v>
      </c>
      <c r="AA5420">
        <v>0.99962280000000003</v>
      </c>
      <c r="AB5420">
        <v>25</v>
      </c>
      <c r="AC5420">
        <v>-15.1938999999999</v>
      </c>
      <c r="AD5420">
        <v>-1.120817407721</v>
      </c>
      <c r="AE5420">
        <v>0.39159999999998202</v>
      </c>
      <c r="AF5420">
        <v>0.42225432770214499</v>
      </c>
      <c r="AG5420">
        <v>-1.120817407721</v>
      </c>
      <c r="AH5420">
        <v>15.110841553938799</v>
      </c>
      <c r="AI5420">
        <v>94.240386273433501</v>
      </c>
      <c r="AJ5420">
        <v>88.399354758864504</v>
      </c>
      <c r="AK5420">
        <v>15.158234159919701</v>
      </c>
      <c r="AL5420">
        <v>94.452321057359498</v>
      </c>
      <c r="AM5420">
        <v>90.616892687911204</v>
      </c>
      <c r="AN5420">
        <v>1.0000000079914</v>
      </c>
    </row>
    <row r="5421" spans="1:40" x14ac:dyDescent="0.25">
      <c r="A5421" t="str">
        <f>"20190303154917589"</f>
        <v>20190303154917589</v>
      </c>
      <c r="B5421" t="str">
        <f>"1551599357586445"</f>
        <v>1551599357586445</v>
      </c>
      <c r="C5421" t="s">
        <v>40</v>
      </c>
      <c r="D5421">
        <v>5.5077439999999998</v>
      </c>
      <c r="E5421">
        <v>0.52542599999999995</v>
      </c>
      <c r="F5421" t="s">
        <v>41</v>
      </c>
      <c r="G5421">
        <v>-387.28789999999998</v>
      </c>
      <c r="H5421" s="1">
        <v>-1.82074E-6</v>
      </c>
      <c r="I5421">
        <v>142.15289999999999</v>
      </c>
      <c r="J5421">
        <v>-373.03969999999998</v>
      </c>
      <c r="K5421">
        <v>1.120819</v>
      </c>
      <c r="L5421">
        <v>141.46510000000001</v>
      </c>
      <c r="M5421">
        <v>-0.99988759999999999</v>
      </c>
      <c r="N5421">
        <v>-1.4856279999999999E-2</v>
      </c>
      <c r="O5421">
        <v>-2.032238E-3</v>
      </c>
      <c r="P5421">
        <v>-0.9956469</v>
      </c>
      <c r="Q5421">
        <v>-9.2296790000000004E-2</v>
      </c>
      <c r="R5421">
        <v>-1.298683E-2</v>
      </c>
      <c r="S5421">
        <v>-2.9934080000000001</v>
      </c>
      <c r="T5421">
        <v>-0.2327535</v>
      </c>
      <c r="U5421">
        <v>0.14280699999999999</v>
      </c>
      <c r="V5421">
        <v>-1.099283E-2</v>
      </c>
      <c r="W5421">
        <v>-7.7490470000000006E-2</v>
      </c>
      <c r="X5421">
        <v>0.9969325</v>
      </c>
      <c r="Y5421">
        <v>4.9501299999999998E-2</v>
      </c>
      <c r="Z5421">
        <v>2.416652E-3</v>
      </c>
      <c r="AA5421">
        <v>0.99877110000000002</v>
      </c>
      <c r="AB5421">
        <v>25</v>
      </c>
      <c r="AC5421">
        <v>-14.248199999999899</v>
      </c>
      <c r="AD5421">
        <v>-1.1208208207399999</v>
      </c>
      <c r="AE5421">
        <v>0.68779999999998098</v>
      </c>
      <c r="AF5421">
        <v>0.71235965362940101</v>
      </c>
      <c r="AG5421">
        <v>-1.1208208207399999</v>
      </c>
      <c r="AH5421">
        <v>14.159357818991101</v>
      </c>
      <c r="AI5421">
        <v>94.5202658878558</v>
      </c>
      <c r="AJ5421">
        <v>87.119868117522898</v>
      </c>
      <c r="AK5421">
        <v>14.2215016589159</v>
      </c>
      <c r="AL5421">
        <v>94.444332286846304</v>
      </c>
      <c r="AM5421">
        <v>90.6317551477634</v>
      </c>
      <c r="AN5421">
        <v>1.0000000124042301</v>
      </c>
    </row>
    <row r="5422" spans="1:40" x14ac:dyDescent="0.25">
      <c r="A5422" t="str">
        <f>"20190303154917603"</f>
        <v>20190303154917603</v>
      </c>
      <c r="B5422" t="str">
        <f>"1551599357596205"</f>
        <v>1551599357596205</v>
      </c>
      <c r="C5422" t="s">
        <v>40</v>
      </c>
      <c r="D5422">
        <v>5.4640810000000002</v>
      </c>
      <c r="E5422">
        <v>0.52631430000000001</v>
      </c>
      <c r="F5422" t="s">
        <v>41</v>
      </c>
      <c r="G5422">
        <v>-387.2568</v>
      </c>
      <c r="H5422" s="1">
        <v>-1.8584460000000001E-6</v>
      </c>
      <c r="I5422">
        <v>142.24449999999999</v>
      </c>
      <c r="J5422">
        <v>-373.19130000000001</v>
      </c>
      <c r="K5422">
        <v>1.1208199999999999</v>
      </c>
      <c r="L5422">
        <v>141.4649</v>
      </c>
      <c r="M5422">
        <v>-0.99988790000000005</v>
      </c>
      <c r="N5422">
        <v>-1.4853140000000001E-2</v>
      </c>
      <c r="O5422">
        <v>-1.9090940000000001E-3</v>
      </c>
      <c r="P5422">
        <v>-0.99565840000000005</v>
      </c>
      <c r="Q5422">
        <v>-9.2180979999999996E-2</v>
      </c>
      <c r="R5422">
        <v>-1.2929619999999999E-2</v>
      </c>
      <c r="S5422">
        <v>-2.9934080000000001</v>
      </c>
      <c r="T5422">
        <v>-0.23598949999999999</v>
      </c>
      <c r="U5422">
        <v>0.16412349999999901</v>
      </c>
      <c r="V5422">
        <v>-1.1057579999999999E-2</v>
      </c>
      <c r="W5422">
        <v>-7.7377650000000006E-2</v>
      </c>
      <c r="X5422">
        <v>0.99694059999999995</v>
      </c>
      <c r="Y5422">
        <v>5.6440860000000002E-2</v>
      </c>
      <c r="Z5422">
        <v>2.7618230000000001E-3</v>
      </c>
      <c r="AA5422">
        <v>0.99840209999999996</v>
      </c>
      <c r="AB5422">
        <v>25</v>
      </c>
      <c r="AC5422">
        <v>-14.065499999999901</v>
      </c>
      <c r="AD5422">
        <v>-1.1208218584459999</v>
      </c>
      <c r="AE5422">
        <v>0.77959999999998697</v>
      </c>
      <c r="AF5422">
        <v>0.80138084630257</v>
      </c>
      <c r="AG5422">
        <v>-1.1208218584459999</v>
      </c>
      <c r="AH5422">
        <v>13.9755153606121</v>
      </c>
      <c r="AI5422">
        <v>94.577760600990302</v>
      </c>
      <c r="AJ5422">
        <v>86.718152191067702</v>
      </c>
      <c r="AK5422">
        <v>14.043271787368401</v>
      </c>
      <c r="AL5422">
        <v>94.437848474492895</v>
      </c>
      <c r="AM5422">
        <v>90.635470846819103</v>
      </c>
      <c r="AN5422">
        <v>1.0000000653616601</v>
      </c>
    </row>
    <row r="5423" spans="1:40" x14ac:dyDescent="0.25">
      <c r="A5423" t="str">
        <f>"20190303154917618"</f>
        <v>20190303154917618</v>
      </c>
      <c r="B5423" t="str">
        <f>"1551599357616701"</f>
        <v>1551599357616701</v>
      </c>
      <c r="C5423" t="s">
        <v>40</v>
      </c>
      <c r="D5423">
        <v>5.4993550000000004</v>
      </c>
      <c r="E5423">
        <v>0.52792490000000003</v>
      </c>
      <c r="F5423" t="s">
        <v>42</v>
      </c>
      <c r="G5423">
        <v>-374.11649999999997</v>
      </c>
      <c r="H5423">
        <v>1.0476760000000001</v>
      </c>
      <c r="I5423">
        <v>141.518</v>
      </c>
      <c r="J5423">
        <v>-373.37200000000001</v>
      </c>
      <c r="K5423">
        <v>1.1208229999999999</v>
      </c>
      <c r="L5423">
        <v>141.4648</v>
      </c>
      <c r="M5423">
        <v>-0.99988829999999995</v>
      </c>
      <c r="N5423">
        <v>-1.4849319999999999E-2</v>
      </c>
      <c r="O5423">
        <v>-1.7623440000000001E-3</v>
      </c>
      <c r="P5423">
        <v>-0.995672</v>
      </c>
      <c r="Q5423">
        <v>-9.2060539999999996E-2</v>
      </c>
      <c r="R5423">
        <v>-1.2745920000000001E-2</v>
      </c>
      <c r="S5423">
        <v>-2.9934690000000002</v>
      </c>
      <c r="T5423">
        <v>-0.23669609999999999</v>
      </c>
      <c r="U5423">
        <v>0.17135619999999999</v>
      </c>
      <c r="V5423">
        <v>-1.102012E-2</v>
      </c>
      <c r="W5423">
        <v>-7.7260899999999993E-2</v>
      </c>
      <c r="X5423">
        <v>0.99695</v>
      </c>
      <c r="Y5423">
        <v>5.8688659999999997E-2</v>
      </c>
      <c r="Z5423">
        <v>2.8646129999999998E-3</v>
      </c>
      <c r="AA5423">
        <v>0.99827220000000005</v>
      </c>
      <c r="AB5423">
        <v>25</v>
      </c>
      <c r="AC5423">
        <v>-0.74450000000001604</v>
      </c>
      <c r="AD5423">
        <v>-7.3146999999999796E-2</v>
      </c>
      <c r="AE5423">
        <v>5.3200000000003897E-2</v>
      </c>
      <c r="AF5423">
        <v>5.3993573268734801E-2</v>
      </c>
      <c r="AG5423">
        <v>-7.3146999999999796E-2</v>
      </c>
      <c r="AH5423">
        <v>0.73732382586484202</v>
      </c>
      <c r="AI5423">
        <v>95.650519318184806</v>
      </c>
      <c r="AJ5423">
        <v>85.811756429909096</v>
      </c>
      <c r="AK5423">
        <v>0.74290794433179497</v>
      </c>
      <c r="AL5423">
        <v>94.431139414893096</v>
      </c>
      <c r="AM5423">
        <v>90.633312253383096</v>
      </c>
      <c r="AN5423">
        <v>0.99999999610681201</v>
      </c>
    </row>
    <row r="5424" spans="1:40" x14ac:dyDescent="0.25">
      <c r="A5424" t="str">
        <f>"20190303154917644"</f>
        <v>20190303154917644</v>
      </c>
      <c r="B5424" t="str">
        <f>"1551599357636221"</f>
        <v>1551599357636221</v>
      </c>
      <c r="C5424" t="s">
        <v>40</v>
      </c>
      <c r="D5424">
        <v>5.5528740000000001</v>
      </c>
      <c r="E5424">
        <v>0.52887150000000005</v>
      </c>
      <c r="F5424" t="s">
        <v>41</v>
      </c>
      <c r="G5424">
        <v>-387.54329999999999</v>
      </c>
      <c r="H5424" s="1">
        <v>-1.7607309999999999E-6</v>
      </c>
      <c r="I5424">
        <v>142.3391</v>
      </c>
      <c r="J5424">
        <v>-373.62630000000001</v>
      </c>
      <c r="K5424">
        <v>1.1208260000000001</v>
      </c>
      <c r="L5424">
        <v>141.46449999999999</v>
      </c>
      <c r="M5424">
        <v>-0.99988869999999996</v>
      </c>
      <c r="N5424">
        <v>-1.484386E-2</v>
      </c>
      <c r="O5424">
        <v>-1.5562219999999999E-3</v>
      </c>
      <c r="P5424">
        <v>-0.99568279999999998</v>
      </c>
      <c r="Q5424">
        <v>-9.2085760000000003E-2</v>
      </c>
      <c r="R5424">
        <v>-1.166727E-2</v>
      </c>
      <c r="S5424">
        <v>-2.9935299999999998</v>
      </c>
      <c r="T5424">
        <v>-0.23676320000000001</v>
      </c>
      <c r="U5424">
        <v>0.1847229</v>
      </c>
      <c r="V5424">
        <v>-1.014634E-2</v>
      </c>
      <c r="W5424">
        <v>-7.7291849999999995E-2</v>
      </c>
      <c r="X5424">
        <v>0.99695690000000003</v>
      </c>
      <c r="Y5424">
        <v>6.2907729999999995E-2</v>
      </c>
      <c r="Z5424">
        <v>3.0494659999999998E-3</v>
      </c>
      <c r="AA5424">
        <v>0.99801470000000003</v>
      </c>
      <c r="AB5424">
        <v>25</v>
      </c>
      <c r="AC5424">
        <v>-13.9169999999999</v>
      </c>
      <c r="AD5424">
        <v>-1.120827760731</v>
      </c>
      <c r="AE5424">
        <v>0.87460000000001503</v>
      </c>
      <c r="AF5424">
        <v>0.89050603915261595</v>
      </c>
      <c r="AG5424">
        <v>-1.120827760731</v>
      </c>
      <c r="AH5424">
        <v>13.826295380090301</v>
      </c>
      <c r="AI5424">
        <v>94.625003323664998</v>
      </c>
      <c r="AJ5424">
        <v>86.314857970720098</v>
      </c>
      <c r="AK5424">
        <v>13.900205027714501</v>
      </c>
      <c r="AL5424">
        <v>94.432917934523502</v>
      </c>
      <c r="AM5424">
        <v>90.5830968112964</v>
      </c>
      <c r="AN5424">
        <v>1.0000000193747101</v>
      </c>
    </row>
    <row r="5425" spans="1:40" x14ac:dyDescent="0.25">
      <c r="A5425" t="str">
        <f>"20190303154917665"</f>
        <v>20190303154917665</v>
      </c>
      <c r="B5425" t="str">
        <f>"1551599357655741"</f>
        <v>1551599357655741</v>
      </c>
      <c r="C5425" t="s">
        <v>40</v>
      </c>
      <c r="D5425">
        <v>5.4965609999999998</v>
      </c>
      <c r="E5425">
        <v>0.52954040000000002</v>
      </c>
      <c r="F5425" t="s">
        <v>42</v>
      </c>
      <c r="G5425">
        <v>-374.55599999999998</v>
      </c>
      <c r="H5425">
        <v>1.045885</v>
      </c>
      <c r="I5425">
        <v>141.52539999999999</v>
      </c>
      <c r="J5425">
        <v>-373.8716</v>
      </c>
      <c r="K5425">
        <v>1.1208279999999999</v>
      </c>
      <c r="L5425">
        <v>141.46440000000001</v>
      </c>
      <c r="M5425">
        <v>-0.99988900000000003</v>
      </c>
      <c r="N5425">
        <v>-1.4838469999999999E-2</v>
      </c>
      <c r="O5425">
        <v>-1.3577280000000001E-3</v>
      </c>
      <c r="P5425">
        <v>-0.99568999999999996</v>
      </c>
      <c r="Q5425">
        <v>-9.2189149999999997E-2</v>
      </c>
      <c r="R5425">
        <v>-1.0151459999999999E-2</v>
      </c>
      <c r="S5425">
        <v>-2.9929809999999999</v>
      </c>
      <c r="T5425">
        <v>-0.24123729999999999</v>
      </c>
      <c r="U5425">
        <v>0.19551089999999999</v>
      </c>
      <c r="V5425">
        <v>-8.8280119999999997E-3</v>
      </c>
      <c r="W5425">
        <v>-7.7401029999999996E-2</v>
      </c>
      <c r="X5425">
        <v>0.99696090000000004</v>
      </c>
      <c r="Y5425">
        <v>6.6282480000000005E-2</v>
      </c>
      <c r="Z5425">
        <v>3.246367E-3</v>
      </c>
      <c r="AA5425">
        <v>0.9977956</v>
      </c>
      <c r="AB5425">
        <v>25</v>
      </c>
      <c r="AC5425">
        <v>-0.68439999999998202</v>
      </c>
      <c r="AD5425">
        <v>-7.4943000000000204E-2</v>
      </c>
      <c r="AE5425">
        <v>6.0999999999978599E-2</v>
      </c>
      <c r="AF5425">
        <v>6.1201217403976597E-2</v>
      </c>
      <c r="AG5425">
        <v>-7.4943000000000204E-2</v>
      </c>
      <c r="AH5425">
        <v>0.67627152385519196</v>
      </c>
      <c r="AI5425">
        <v>96.298067594039907</v>
      </c>
      <c r="AJ5425">
        <v>84.828932916146101</v>
      </c>
      <c r="AK5425">
        <v>0.68315826587852402</v>
      </c>
      <c r="AL5425">
        <v>94.439192616052594</v>
      </c>
      <c r="AM5425">
        <v>90.507336455862202</v>
      </c>
      <c r="AN5425">
        <v>0.99999994468486997</v>
      </c>
    </row>
    <row r="5426" spans="1:40" x14ac:dyDescent="0.25">
      <c r="A5426" t="str">
        <f>"20190303154917686"</f>
        <v>20190303154917686</v>
      </c>
      <c r="B5426" t="str">
        <f>"1551599357676236"</f>
        <v>1551599357676236</v>
      </c>
      <c r="C5426" t="s">
        <v>40</v>
      </c>
      <c r="D5426">
        <v>5.5157720000000001</v>
      </c>
      <c r="E5426">
        <v>0.52982659999999904</v>
      </c>
      <c r="F5426" t="s">
        <v>42</v>
      </c>
      <c r="G5426">
        <v>-374.77699999999999</v>
      </c>
      <c r="H5426">
        <v>1.0468850000000001</v>
      </c>
      <c r="I5426">
        <v>141.52670000000001</v>
      </c>
      <c r="J5426">
        <v>-374.10849999999999</v>
      </c>
      <c r="K5426">
        <v>1.1208320000000001</v>
      </c>
      <c r="L5426">
        <v>141.46430000000001</v>
      </c>
      <c r="M5426">
        <v>-0.99988940000000004</v>
      </c>
      <c r="N5426">
        <v>-1.483319E-2</v>
      </c>
      <c r="O5426">
        <v>-1.1656699999999999E-3</v>
      </c>
      <c r="P5426">
        <v>-0.99571370000000003</v>
      </c>
      <c r="Q5426">
        <v>-9.2069940000000003E-2</v>
      </c>
      <c r="R5426">
        <v>-8.8093069999999902E-3</v>
      </c>
      <c r="S5426">
        <v>-2.9924930000000001</v>
      </c>
      <c r="T5426">
        <v>-0.24440500000000001</v>
      </c>
      <c r="U5426">
        <v>0.20536799999999999</v>
      </c>
      <c r="V5426">
        <v>-7.6766849999999999E-3</v>
      </c>
      <c r="W5426">
        <v>-7.7287229999999998E-2</v>
      </c>
      <c r="X5426">
        <v>0.99697930000000001</v>
      </c>
      <c r="Y5426">
        <v>6.9355230000000004E-2</v>
      </c>
      <c r="Z5426">
        <v>3.4179089999999998E-3</v>
      </c>
      <c r="AA5426">
        <v>0.99758619999999998</v>
      </c>
      <c r="AB5426">
        <v>25</v>
      </c>
      <c r="AC5426">
        <v>-0.66849999999999399</v>
      </c>
      <c r="AD5426">
        <v>-7.3946999999999902E-2</v>
      </c>
      <c r="AE5426">
        <v>6.2399999999996597E-2</v>
      </c>
      <c r="AF5426">
        <v>6.2422096386321797E-2</v>
      </c>
      <c r="AG5426">
        <v>-7.3946999999999902E-2</v>
      </c>
      <c r="AH5426">
        <v>0.660415774172877</v>
      </c>
      <c r="AI5426">
        <v>96.360702872020198</v>
      </c>
      <c r="AJ5426">
        <v>84.600479338196394</v>
      </c>
      <c r="AK5426">
        <v>0.66746810538228996</v>
      </c>
      <c r="AL5426">
        <v>94.432652581973102</v>
      </c>
      <c r="AM5426">
        <v>90.441165587740201</v>
      </c>
      <c r="AN5426">
        <v>0.99999998602107598</v>
      </c>
    </row>
    <row r="5427" spans="1:40" x14ac:dyDescent="0.25">
      <c r="A5427" t="str">
        <f>"20190303154917710"</f>
        <v>20190303154917710</v>
      </c>
      <c r="B5427" t="str">
        <f>"1551599357706494"</f>
        <v>1551599357706494</v>
      </c>
      <c r="C5427" t="s">
        <v>40</v>
      </c>
      <c r="D5427">
        <v>5.5509709999999997</v>
      </c>
      <c r="E5427">
        <v>0.53008750000000004</v>
      </c>
      <c r="F5427" t="s">
        <v>42</v>
      </c>
      <c r="G5427">
        <v>-374.99689999999998</v>
      </c>
      <c r="H5427">
        <v>1.047188</v>
      </c>
      <c r="I5427">
        <v>141.52719999999999</v>
      </c>
      <c r="J5427">
        <v>-374.36669999999998</v>
      </c>
      <c r="K5427">
        <v>1.120833</v>
      </c>
      <c r="L5427">
        <v>141.46430000000001</v>
      </c>
      <c r="M5427">
        <v>-0.99988960000000005</v>
      </c>
      <c r="N5427">
        <v>-1.482735E-2</v>
      </c>
      <c r="O5427">
        <v>-9.5620120000000002E-4</v>
      </c>
      <c r="P5427">
        <v>-0.99573400000000001</v>
      </c>
      <c r="Q5427">
        <v>-9.1901730000000001E-2</v>
      </c>
      <c r="R5427">
        <v>-8.2374860000000005E-3</v>
      </c>
      <c r="S5427">
        <v>-2.9918520000000002</v>
      </c>
      <c r="T5427">
        <v>-0.24798919999999999</v>
      </c>
      <c r="U5427">
        <v>0.21168519999999999</v>
      </c>
      <c r="V5427">
        <v>-7.3135739999999998E-3</v>
      </c>
      <c r="W5427">
        <v>-7.7124769999999995E-2</v>
      </c>
      <c r="X5427">
        <v>0.99699459999999995</v>
      </c>
      <c r="Y5427">
        <v>7.1242219999999995E-2</v>
      </c>
      <c r="Z5427">
        <v>3.5386549999999999E-3</v>
      </c>
      <c r="AA5427">
        <v>0.99745280000000003</v>
      </c>
      <c r="AB5427">
        <v>25</v>
      </c>
      <c r="AC5427">
        <v>-0.63020000000000198</v>
      </c>
      <c r="AD5427">
        <v>-7.3644999999999905E-2</v>
      </c>
      <c r="AE5427">
        <v>6.2899999999984801E-2</v>
      </c>
      <c r="AF5427">
        <v>6.2655440251661906E-2</v>
      </c>
      <c r="AG5427">
        <v>-7.3644999999999905E-2</v>
      </c>
      <c r="AH5427">
        <v>0.62173280298647304</v>
      </c>
      <c r="AI5427">
        <v>96.721546812803496</v>
      </c>
      <c r="AJ5427">
        <v>84.245416738861906</v>
      </c>
      <c r="AK5427">
        <v>0.62920661831193903</v>
      </c>
      <c r="AL5427">
        <v>94.4233164893907</v>
      </c>
      <c r="AM5427">
        <v>90.420292554531599</v>
      </c>
      <c r="AN5427">
        <v>0.99999997547068198</v>
      </c>
    </row>
    <row r="5428" spans="1:40" x14ac:dyDescent="0.25">
      <c r="A5428" t="str">
        <f>"20190303154917733"</f>
        <v>20190303154917733</v>
      </c>
      <c r="B5428" t="str">
        <f>"1551599357726012"</f>
        <v>1551599357726012</v>
      </c>
      <c r="C5428" t="s">
        <v>40</v>
      </c>
      <c r="D5428">
        <v>5.5124839999999997</v>
      </c>
      <c r="E5428">
        <v>0.53025690000000003</v>
      </c>
      <c r="F5428" t="s">
        <v>42</v>
      </c>
      <c r="G5428">
        <v>-375.21910000000003</v>
      </c>
      <c r="H5428">
        <v>1.0503020000000001</v>
      </c>
      <c r="I5428">
        <v>141.52610000000001</v>
      </c>
      <c r="J5428">
        <v>-374.62180000000001</v>
      </c>
      <c r="K5428">
        <v>1.1208309999999999</v>
      </c>
      <c r="L5428">
        <v>141.46430000000001</v>
      </c>
      <c r="M5428">
        <v>-0.99988999999999995</v>
      </c>
      <c r="N5428">
        <v>-1.482149E-2</v>
      </c>
      <c r="O5428">
        <v>-7.4923149999999903E-4</v>
      </c>
      <c r="P5428">
        <v>-0.99572839999999996</v>
      </c>
      <c r="Q5428">
        <v>-9.1919749999999995E-2</v>
      </c>
      <c r="R5428">
        <v>-8.7148709999999904E-3</v>
      </c>
      <c r="S5428">
        <v>-2.9917910000000001</v>
      </c>
      <c r="T5428">
        <v>-0.2476584</v>
      </c>
      <c r="U5428">
        <v>0.21542359999999999</v>
      </c>
      <c r="V5428">
        <v>-7.997189E-3</v>
      </c>
      <c r="W5428">
        <v>-7.7148469999999997E-2</v>
      </c>
      <c r="X5428">
        <v>0.99698750000000003</v>
      </c>
      <c r="Y5428">
        <v>7.2274290000000005E-2</v>
      </c>
      <c r="Z5428">
        <v>3.5706230000000002E-3</v>
      </c>
      <c r="AA5428">
        <v>0.9973784</v>
      </c>
      <c r="AB5428">
        <v>25</v>
      </c>
      <c r="AC5428">
        <v>-0.59730000000001804</v>
      </c>
      <c r="AD5428">
        <v>-7.05289999999998E-2</v>
      </c>
      <c r="AE5428">
        <v>6.1800000000005101E-2</v>
      </c>
      <c r="AF5428">
        <v>6.1400519282772799E-2</v>
      </c>
      <c r="AG5428">
        <v>-7.05289999999998E-2</v>
      </c>
      <c r="AH5428">
        <v>0.58912644590767604</v>
      </c>
      <c r="AI5428">
        <v>96.790406668559797</v>
      </c>
      <c r="AJ5428">
        <v>84.049944553831594</v>
      </c>
      <c r="AK5428">
        <v>0.59650174591278804</v>
      </c>
      <c r="AL5428">
        <v>94.424678533438794</v>
      </c>
      <c r="AM5428">
        <v>90.459579835004902</v>
      </c>
      <c r="AN5428">
        <v>0.99999995830574495</v>
      </c>
    </row>
    <row r="5429" spans="1:40" x14ac:dyDescent="0.25">
      <c r="A5429" t="str">
        <f>"20190303154917754"</f>
        <v>20190303154917754</v>
      </c>
      <c r="B5429" t="str">
        <f>"1551599357746040"</f>
        <v>1551599357746040</v>
      </c>
      <c r="C5429" t="s">
        <v>40</v>
      </c>
      <c r="D5429">
        <v>5.5195019999999904</v>
      </c>
      <c r="E5429">
        <v>0.53030900000000003</v>
      </c>
      <c r="F5429" t="s">
        <v>42</v>
      </c>
      <c r="G5429">
        <v>-375.44470000000001</v>
      </c>
      <c r="H5429">
        <v>1.0525150000000001</v>
      </c>
      <c r="I5429">
        <v>141.52350000000001</v>
      </c>
      <c r="J5429">
        <v>-374.858</v>
      </c>
      <c r="K5429">
        <v>1.1208279999999999</v>
      </c>
      <c r="L5429">
        <v>141.46430000000001</v>
      </c>
      <c r="M5429">
        <v>-0.9998901</v>
      </c>
      <c r="N5429">
        <v>-1.4815979999999999E-2</v>
      </c>
      <c r="O5429">
        <v>-5.5751839999999895E-4</v>
      </c>
      <c r="P5429">
        <v>-0.99576260000000005</v>
      </c>
      <c r="Q5429">
        <v>-9.1508190000000003E-2</v>
      </c>
      <c r="R5429">
        <v>-9.1207590000000009E-3</v>
      </c>
      <c r="S5429">
        <v>-2.9918209999999998</v>
      </c>
      <c r="T5429">
        <v>-0.24835679999999999</v>
      </c>
      <c r="U5429">
        <v>0.2154083</v>
      </c>
      <c r="V5429">
        <v>-8.5936099999999998E-3</v>
      </c>
      <c r="W5429">
        <v>-7.6741760000000006E-2</v>
      </c>
      <c r="X5429">
        <v>0.99701399999999996</v>
      </c>
      <c r="Y5429">
        <v>7.2077000000000002E-2</v>
      </c>
      <c r="Z5429">
        <v>3.5562940000000002E-3</v>
      </c>
      <c r="AA5429">
        <v>0.99739270000000002</v>
      </c>
      <c r="AB5429">
        <v>25</v>
      </c>
      <c r="AC5429">
        <v>-0.58670000000000699</v>
      </c>
      <c r="AD5429">
        <v>-6.8313000000000207E-2</v>
      </c>
      <c r="AE5429">
        <v>5.9200000000004097E-2</v>
      </c>
      <c r="AF5429">
        <v>5.8738806900257401E-2</v>
      </c>
      <c r="AG5429">
        <v>-6.8313000000000207E-2</v>
      </c>
      <c r="AH5429">
        <v>0.57889768849296197</v>
      </c>
      <c r="AI5429">
        <v>96.696015405682303</v>
      </c>
      <c r="AJ5429">
        <v>84.206218374299596</v>
      </c>
      <c r="AK5429">
        <v>0.58586640725301897</v>
      </c>
      <c r="AL5429">
        <v>94.401306150256403</v>
      </c>
      <c r="AM5429">
        <v>90.4938399971292</v>
      </c>
      <c r="AN5429">
        <v>1.00000003202836</v>
      </c>
    </row>
    <row r="5430" spans="1:40" x14ac:dyDescent="0.25">
      <c r="A5430" t="str">
        <f>"20190303154917776"</f>
        <v>20190303154917776</v>
      </c>
      <c r="B5430" t="str">
        <f>"1551599357766536"</f>
        <v>1551599357766536</v>
      </c>
      <c r="C5430" t="s">
        <v>40</v>
      </c>
      <c r="D5430">
        <v>5.5045909999999996</v>
      </c>
      <c r="E5430">
        <v>0.53035129999999997</v>
      </c>
      <c r="F5430" t="s">
        <v>41</v>
      </c>
      <c r="G5430">
        <v>-388.31970000000001</v>
      </c>
      <c r="H5430" s="1">
        <v>-1.4517009999999901E-6</v>
      </c>
      <c r="I5430">
        <v>142.42949999999999</v>
      </c>
      <c r="J5430">
        <v>-375.0865</v>
      </c>
      <c r="K5430">
        <v>1.1208320000000001</v>
      </c>
      <c r="L5430">
        <v>141.46440000000001</v>
      </c>
      <c r="M5430">
        <v>-0.99989030000000001</v>
      </c>
      <c r="N5430">
        <v>-1.48106E-2</v>
      </c>
      <c r="O5430">
        <v>-3.7212410000000002E-4</v>
      </c>
      <c r="P5430">
        <v>-0.99574879999999999</v>
      </c>
      <c r="Q5430">
        <v>-9.1680109999999995E-2</v>
      </c>
      <c r="R5430">
        <v>-8.9037470000000001E-3</v>
      </c>
      <c r="S5430">
        <v>-2.9918209999999998</v>
      </c>
      <c r="T5430">
        <v>-0.24910189999999999</v>
      </c>
      <c r="U5430">
        <v>0.2145386</v>
      </c>
      <c r="V5430">
        <v>-8.5611650000000008E-3</v>
      </c>
      <c r="W5430">
        <v>-7.6919269999999998E-2</v>
      </c>
      <c r="X5430">
        <v>0.99700060000000001</v>
      </c>
      <c r="Y5430">
        <v>7.1604340000000002E-2</v>
      </c>
      <c r="Z5430">
        <v>3.5294079999999999E-3</v>
      </c>
      <c r="AA5430">
        <v>0.99742690000000001</v>
      </c>
      <c r="AB5430">
        <v>24</v>
      </c>
      <c r="AC5430">
        <v>-13.2332</v>
      </c>
      <c r="AD5430">
        <v>-1.1208334517009999</v>
      </c>
      <c r="AE5430">
        <v>0.96509999999997798</v>
      </c>
      <c r="AF5430">
        <v>0.96315191237299802</v>
      </c>
      <c r="AG5430">
        <v>-1.1208334517009999</v>
      </c>
      <c r="AH5430">
        <v>13.139080773144601</v>
      </c>
      <c r="AI5430">
        <v>94.862845371952702</v>
      </c>
      <c r="AJ5430">
        <v>85.807468362162098</v>
      </c>
      <c r="AK5430">
        <v>13.2219277261668</v>
      </c>
      <c r="AL5430">
        <v>94.411506875426994</v>
      </c>
      <c r="AM5430">
        <v>90.491982218049401</v>
      </c>
      <c r="AN5430">
        <v>1.00000003202192</v>
      </c>
    </row>
    <row r="5431" spans="1:40" x14ac:dyDescent="0.25">
      <c r="A5431" t="str">
        <f>"20190303154917798"</f>
        <v>20190303154917798</v>
      </c>
      <c r="B5431" t="str">
        <f>"1551599357786056"</f>
        <v>1551599357786056</v>
      </c>
      <c r="C5431" t="s">
        <v>40</v>
      </c>
      <c r="D5431">
        <v>5.5349469999999998</v>
      </c>
      <c r="E5431">
        <v>0.530404599999999</v>
      </c>
      <c r="F5431" t="s">
        <v>41</v>
      </c>
      <c r="G5431">
        <v>-388.4341</v>
      </c>
      <c r="H5431" s="1">
        <v>-1.4017540000000001E-6</v>
      </c>
      <c r="I5431">
        <v>142.42609999999999</v>
      </c>
      <c r="J5431">
        <v>-375.33179999999999</v>
      </c>
      <c r="K5431">
        <v>1.1208279999999999</v>
      </c>
      <c r="L5431">
        <v>141.46449999999999</v>
      </c>
      <c r="M5431">
        <v>-0.99989039999999996</v>
      </c>
      <c r="N5431">
        <v>-1.480478E-2</v>
      </c>
      <c r="O5431">
        <v>-1.7242200000000001E-4</v>
      </c>
      <c r="P5431">
        <v>-0.99569750000000001</v>
      </c>
      <c r="Q5431">
        <v>-9.2303560000000007E-2</v>
      </c>
      <c r="R5431">
        <v>-8.1522769999999994E-3</v>
      </c>
      <c r="S5431">
        <v>-2.9915769999999999</v>
      </c>
      <c r="T5431">
        <v>-0.2512122</v>
      </c>
      <c r="U5431">
        <v>0.2155762</v>
      </c>
      <c r="V5431">
        <v>-8.008823E-3</v>
      </c>
      <c r="W5431">
        <v>-7.7549450000000006E-2</v>
      </c>
      <c r="X5431">
        <v>0.99695630000000002</v>
      </c>
      <c r="Y5431">
        <v>7.1750389999999997E-2</v>
      </c>
      <c r="Z5431">
        <v>3.5482119999999998E-3</v>
      </c>
      <c r="AA5431">
        <v>0.99741630000000003</v>
      </c>
      <c r="AB5431">
        <v>24</v>
      </c>
      <c r="AC5431">
        <v>-13.1023</v>
      </c>
      <c r="AD5431">
        <v>-1.1208294017539999</v>
      </c>
      <c r="AE5431">
        <v>0.96160000000000401</v>
      </c>
      <c r="AF5431">
        <v>0.95689445607837997</v>
      </c>
      <c r="AG5431">
        <v>-1.1208294017539999</v>
      </c>
      <c r="AH5431">
        <v>13.0074572281667</v>
      </c>
      <c r="AI5431">
        <v>94.911702636705499</v>
      </c>
      <c r="AJ5431">
        <v>85.792611122845898</v>
      </c>
      <c r="AK5431">
        <v>13.0906779461759</v>
      </c>
      <c r="AL5431">
        <v>94.447722019441699</v>
      </c>
      <c r="AM5431">
        <v>90.460262788132496</v>
      </c>
      <c r="AN5431">
        <v>0.99999996127541801</v>
      </c>
    </row>
    <row r="5432" spans="1:40" x14ac:dyDescent="0.25">
      <c r="A5432" t="str">
        <f>"20190303154917823"</f>
        <v>20190303154917823</v>
      </c>
      <c r="B5432" t="str">
        <f>"1551599357816312"</f>
        <v>1551599357816312</v>
      </c>
      <c r="C5432" t="s">
        <v>40</v>
      </c>
      <c r="D5432">
        <v>5.5145569999999999</v>
      </c>
      <c r="E5432">
        <v>0.53047769999999905</v>
      </c>
      <c r="F5432" t="s">
        <v>41</v>
      </c>
      <c r="G5432">
        <v>-388.51769999999999</v>
      </c>
      <c r="H5432" s="1">
        <v>-1.365958E-6</v>
      </c>
      <c r="I5432">
        <v>142.4265</v>
      </c>
      <c r="J5432">
        <v>-375.5899</v>
      </c>
      <c r="K5432">
        <v>1.120825</v>
      </c>
      <c r="L5432">
        <v>141.46469999999999</v>
      </c>
      <c r="M5432">
        <v>-0.99989039999999996</v>
      </c>
      <c r="N5432">
        <v>-1.479864E-2</v>
      </c>
      <c r="O5432" s="1">
        <v>4.0648190000000001E-5</v>
      </c>
      <c r="P5432">
        <v>-0.99562439999999996</v>
      </c>
      <c r="Q5432">
        <v>-9.3103080000000005E-2</v>
      </c>
      <c r="R5432">
        <v>-7.9864040000000008E-3</v>
      </c>
      <c r="S5432">
        <v>-2.9911799999999999</v>
      </c>
      <c r="T5432">
        <v>-0.25425700000000001</v>
      </c>
      <c r="U5432">
        <v>0.21823119999999999</v>
      </c>
      <c r="V5432">
        <v>-8.055853E-3</v>
      </c>
      <c r="W5432">
        <v>-7.8356099999999998E-2</v>
      </c>
      <c r="X5432">
        <v>0.99689289999999997</v>
      </c>
      <c r="Y5432">
        <v>7.2418999999999997E-2</v>
      </c>
      <c r="Z5432">
        <v>3.6031689999999998E-3</v>
      </c>
      <c r="AA5432">
        <v>0.99736780000000003</v>
      </c>
      <c r="AB5432">
        <v>24</v>
      </c>
      <c r="AC5432">
        <v>-12.9277999999999</v>
      </c>
      <c r="AD5432">
        <v>-1.120826365958</v>
      </c>
      <c r="AE5432">
        <v>0.96180000000000998</v>
      </c>
      <c r="AF5432">
        <v>0.95414192660054697</v>
      </c>
      <c r="AG5432">
        <v>-1.120826365958</v>
      </c>
      <c r="AH5432">
        <v>12.831916312794201</v>
      </c>
      <c r="AI5432">
        <v>94.978257458189006</v>
      </c>
      <c r="AJ5432">
        <v>85.747487420843598</v>
      </c>
      <c r="AK5432">
        <v>12.9160642154364</v>
      </c>
      <c r="AL5432">
        <v>94.494080489946199</v>
      </c>
      <c r="AM5432">
        <v>90.462994902072197</v>
      </c>
      <c r="AN5432">
        <v>1.00000001462258</v>
      </c>
    </row>
    <row r="5433" spans="1:40" x14ac:dyDescent="0.25">
      <c r="A5433" t="str">
        <f>"20190303154917843"</f>
        <v>20190303154917843</v>
      </c>
      <c r="B5433" t="str">
        <f>"1551599357835832"</f>
        <v>1551599357835832</v>
      </c>
      <c r="C5433" t="s">
        <v>40</v>
      </c>
      <c r="D5433">
        <v>5.5601059999999896</v>
      </c>
      <c r="E5433">
        <v>0.5306208</v>
      </c>
      <c r="F5433" t="s">
        <v>42</v>
      </c>
      <c r="G5433">
        <v>-376.51859999999999</v>
      </c>
      <c r="H5433">
        <v>1.0412410000000001</v>
      </c>
      <c r="I5433">
        <v>141.53299999999999</v>
      </c>
      <c r="J5433">
        <v>-375.82010000000002</v>
      </c>
      <c r="K5433">
        <v>1.1208199999999999</v>
      </c>
      <c r="L5433">
        <v>141.465</v>
      </c>
      <c r="M5433">
        <v>-0.99989070000000002</v>
      </c>
      <c r="N5433">
        <v>-1.4793280000000001E-2</v>
      </c>
      <c r="O5433">
        <v>2.373066E-4</v>
      </c>
      <c r="P5433">
        <v>-0.99563800000000002</v>
      </c>
      <c r="Q5433">
        <v>-9.2973249999999993E-2</v>
      </c>
      <c r="R5433">
        <v>-7.8449290000000005E-3</v>
      </c>
      <c r="S5433">
        <v>-2.9909669999999999</v>
      </c>
      <c r="T5433">
        <v>-0.25632830000000001</v>
      </c>
      <c r="U5433">
        <v>0.21926880000000001</v>
      </c>
      <c r="V5433">
        <v>-8.1101239999999998E-3</v>
      </c>
      <c r="W5433">
        <v>-7.8231339999999996E-2</v>
      </c>
      <c r="X5433">
        <v>0.99690219999999896</v>
      </c>
      <c r="Y5433">
        <v>7.2567400000000004E-2</v>
      </c>
      <c r="Z5433">
        <v>3.6215959999999999E-3</v>
      </c>
      <c r="AA5433">
        <v>0.99735700000000005</v>
      </c>
      <c r="AB5433">
        <v>24</v>
      </c>
      <c r="AC5433">
        <v>-0.69849999999996704</v>
      </c>
      <c r="AD5433">
        <v>-7.9578999999999997E-2</v>
      </c>
      <c r="AE5433">
        <v>6.7999999999983601E-2</v>
      </c>
      <c r="AF5433">
        <v>6.6973092878282403E-2</v>
      </c>
      <c r="AG5433">
        <v>-7.9578999999999997E-2</v>
      </c>
      <c r="AH5433">
        <v>0.68964873492003897</v>
      </c>
      <c r="AI5433">
        <v>96.551733139811006</v>
      </c>
      <c r="AJ5433">
        <v>84.453291345807401</v>
      </c>
      <c r="AK5433">
        <v>0.69744791202461398</v>
      </c>
      <c r="AL5433">
        <v>94.486910519635799</v>
      </c>
      <c r="AM5433">
        <v>90.466109539771594</v>
      </c>
      <c r="AN5433">
        <v>0.999999956517164</v>
      </c>
    </row>
    <row r="5434" spans="1:40" x14ac:dyDescent="0.25">
      <c r="A5434" t="str">
        <f>"20190303154917865"</f>
        <v>20190303154917865</v>
      </c>
      <c r="B5434" t="str">
        <f>"1551599357856327"</f>
        <v>1551599357856327</v>
      </c>
      <c r="C5434" t="s">
        <v>40</v>
      </c>
      <c r="D5434">
        <v>5.5572160000000004</v>
      </c>
      <c r="E5434">
        <v>0.53070079999999997</v>
      </c>
      <c r="F5434" t="s">
        <v>42</v>
      </c>
      <c r="G5434">
        <v>-376.73559999999998</v>
      </c>
      <c r="H5434">
        <v>1.04241299999999</v>
      </c>
      <c r="I5434">
        <v>141.53270000000001</v>
      </c>
      <c r="J5434">
        <v>-376.0539</v>
      </c>
      <c r="K5434">
        <v>1.1208149999999999</v>
      </c>
      <c r="L5434">
        <v>141.46520000000001</v>
      </c>
      <c r="M5434">
        <v>-0.99989059999999996</v>
      </c>
      <c r="N5434">
        <v>-1.478788E-2</v>
      </c>
      <c r="O5434">
        <v>4.4473469999999998E-4</v>
      </c>
      <c r="P5434">
        <v>-0.99566520000000003</v>
      </c>
      <c r="Q5434">
        <v>-9.2654319999999998E-2</v>
      </c>
      <c r="R5434">
        <v>-8.1194649999999993E-3</v>
      </c>
      <c r="S5434">
        <v>-2.9909669999999999</v>
      </c>
      <c r="T5434">
        <v>-0.25617430000000002</v>
      </c>
      <c r="U5434">
        <v>0.2207336</v>
      </c>
      <c r="V5434">
        <v>-8.5923490000000009E-3</v>
      </c>
      <c r="W5434">
        <v>-7.7917200000000006E-2</v>
      </c>
      <c r="X5434">
        <v>0.9969228</v>
      </c>
      <c r="Y5434">
        <v>7.2846030000000006E-2</v>
      </c>
      <c r="Z5434">
        <v>3.6188190000000001E-3</v>
      </c>
      <c r="AA5434">
        <v>0.99733660000000002</v>
      </c>
      <c r="AB5434">
        <v>24</v>
      </c>
      <c r="AC5434">
        <v>-0.68169999999997799</v>
      </c>
      <c r="AD5434">
        <v>-7.8401999999999999E-2</v>
      </c>
      <c r="AE5434">
        <v>6.7499999999995397E-2</v>
      </c>
      <c r="AF5434">
        <v>6.6327969874386605E-2</v>
      </c>
      <c r="AG5434">
        <v>-7.8401999999999999E-2</v>
      </c>
      <c r="AH5434">
        <v>0.67291559050851901</v>
      </c>
      <c r="AI5434">
        <v>96.613854564659505</v>
      </c>
      <c r="AJ5434">
        <v>84.370651343406905</v>
      </c>
      <c r="AK5434">
        <v>0.68070673945619598</v>
      </c>
      <c r="AL5434">
        <v>94.468856346440404</v>
      </c>
      <c r="AM5434">
        <v>90.493812704510802</v>
      </c>
      <c r="AN5434">
        <v>0.99999999383850802</v>
      </c>
    </row>
    <row r="5435" spans="1:40" x14ac:dyDescent="0.25">
      <c r="A5435" t="str">
        <f>"20190303154917879"</f>
        <v>20190303154917879</v>
      </c>
      <c r="B5435" t="str">
        <f>"1551599357876824"</f>
        <v>1551599357876824</v>
      </c>
      <c r="C5435" t="s">
        <v>40</v>
      </c>
      <c r="D5435">
        <v>5.4998149999999999</v>
      </c>
      <c r="E5435">
        <v>0.5307288</v>
      </c>
      <c r="F5435" t="s">
        <v>42</v>
      </c>
      <c r="G5435">
        <v>-376.95260000000002</v>
      </c>
      <c r="H5435">
        <v>1.0441480000000001</v>
      </c>
      <c r="I5435">
        <v>141.5318</v>
      </c>
      <c r="J5435">
        <v>-376.21190000000001</v>
      </c>
      <c r="K5435">
        <v>1.120811</v>
      </c>
      <c r="L5435">
        <v>141.46549999999999</v>
      </c>
      <c r="M5435">
        <v>-0.99989059999999996</v>
      </c>
      <c r="N5435">
        <v>-1.4784240000000001E-2</v>
      </c>
      <c r="O5435">
        <v>5.9166120000000001E-4</v>
      </c>
      <c r="P5435">
        <v>-0.99565950000000003</v>
      </c>
      <c r="Q5435">
        <v>-9.2708680000000002E-2</v>
      </c>
      <c r="R5435">
        <v>-8.1992339999999997E-3</v>
      </c>
      <c r="S5435">
        <v>-2.9910890000000001</v>
      </c>
      <c r="T5435">
        <v>-0.25514229999999999</v>
      </c>
      <c r="U5435">
        <v>0.2205963</v>
      </c>
      <c r="V5435">
        <v>-8.8195349999999999E-3</v>
      </c>
      <c r="W5435">
        <v>-7.7975039999999995E-2</v>
      </c>
      <c r="X5435">
        <v>0.99691629999999998</v>
      </c>
      <c r="Y5435">
        <v>7.2654479999999994E-2</v>
      </c>
      <c r="Z5435">
        <v>3.586334E-3</v>
      </c>
      <c r="AA5435">
        <v>0.99735079999999998</v>
      </c>
      <c r="AB5435">
        <v>24</v>
      </c>
      <c r="AC5435">
        <v>-0.74070000000000302</v>
      </c>
      <c r="AD5435">
        <v>-7.6663000000000106E-2</v>
      </c>
      <c r="AE5435">
        <v>6.6300000000012405E-2</v>
      </c>
      <c r="AF5435">
        <v>6.5169127944029195E-2</v>
      </c>
      <c r="AG5435">
        <v>-7.6663000000000106E-2</v>
      </c>
      <c r="AH5435">
        <v>0.73294985466139995</v>
      </c>
      <c r="AI5435">
        <v>95.9478535233755</v>
      </c>
      <c r="AJ5435">
        <v>84.918993779315102</v>
      </c>
      <c r="AK5435">
        <v>0.73982411440433105</v>
      </c>
      <c r="AL5435">
        <v>94.472180419475706</v>
      </c>
      <c r="AM5435">
        <v>90.506871991340304</v>
      </c>
      <c r="AN5435">
        <v>1.0000000001331499</v>
      </c>
    </row>
    <row r="5436" spans="1:40" x14ac:dyDescent="0.25">
      <c r="A5436" t="str">
        <f>"20190303154917899"</f>
        <v>20190303154917899</v>
      </c>
      <c r="B5436" t="str">
        <f>"1551599357896344"</f>
        <v>1551599357896344</v>
      </c>
      <c r="C5436" t="s">
        <v>40</v>
      </c>
      <c r="D5436">
        <v>5.8280390000000004</v>
      </c>
      <c r="E5436">
        <v>0.53080899999999998</v>
      </c>
      <c r="F5436" t="s">
        <v>41</v>
      </c>
      <c r="G5436">
        <v>-389.35340000000002</v>
      </c>
      <c r="H5436" s="1">
        <v>-1.0095039999999999E-6</v>
      </c>
      <c r="I5436">
        <v>142.4342</v>
      </c>
      <c r="J5436">
        <v>-376.41820000000001</v>
      </c>
      <c r="K5436">
        <v>1.1208020000000001</v>
      </c>
      <c r="L5436">
        <v>141.4658</v>
      </c>
      <c r="M5436">
        <v>-0.99989050000000002</v>
      </c>
      <c r="N5436">
        <v>-1.4779499999999999E-2</v>
      </c>
      <c r="O5436">
        <v>8.015257E-4</v>
      </c>
      <c r="P5436">
        <v>-0.99569399999999997</v>
      </c>
      <c r="Q5436">
        <v>-9.2279390000000003E-2</v>
      </c>
      <c r="R5436">
        <v>-8.8263319999999992E-3</v>
      </c>
      <c r="S5436">
        <v>-2.9911500000000002</v>
      </c>
      <c r="T5436">
        <v>-0.25510939999999999</v>
      </c>
      <c r="U5436">
        <v>0.22051999999999999</v>
      </c>
      <c r="V5436">
        <v>-9.6579260000000007E-3</v>
      </c>
      <c r="W5436">
        <v>-7.7549439999999997E-2</v>
      </c>
      <c r="X5436">
        <v>0.99694170000000004</v>
      </c>
      <c r="Y5436">
        <v>7.2419949999999997E-2</v>
      </c>
      <c r="Z5436">
        <v>3.5592499999999999E-3</v>
      </c>
      <c r="AA5436">
        <v>0.99736789999999997</v>
      </c>
      <c r="AB5436">
        <v>24</v>
      </c>
      <c r="AC5436">
        <v>-12.9352</v>
      </c>
      <c r="AD5436">
        <v>-1.120803009504</v>
      </c>
      <c r="AE5436">
        <v>0.96840000000000204</v>
      </c>
      <c r="AF5436">
        <v>0.95093106027658403</v>
      </c>
      <c r="AG5436">
        <v>-1.120803009504</v>
      </c>
      <c r="AH5436">
        <v>12.840108551276</v>
      </c>
      <c r="AI5436">
        <v>94.975102712316399</v>
      </c>
      <c r="AJ5436">
        <v>85.764439933822501</v>
      </c>
      <c r="AK5436">
        <v>12.9239644411482</v>
      </c>
      <c r="AL5436">
        <v>94.447721396115298</v>
      </c>
      <c r="AM5436">
        <v>90.5550385634089</v>
      </c>
      <c r="AN5436">
        <v>0.99999997218891201</v>
      </c>
    </row>
    <row r="5437" spans="1:40" x14ac:dyDescent="0.25">
      <c r="A5437" t="str">
        <f>"20190303154917922"</f>
        <v>20190303154917922</v>
      </c>
      <c r="B5437" t="str">
        <f>"1551599357915864"</f>
        <v>1551599357915864</v>
      </c>
      <c r="C5437" t="s">
        <v>40</v>
      </c>
      <c r="D5437">
        <v>5.4190930000000002</v>
      </c>
      <c r="E5437">
        <v>0.53067330000000001</v>
      </c>
      <c r="F5437" t="s">
        <v>41</v>
      </c>
      <c r="G5437">
        <v>-389.69540000000001</v>
      </c>
      <c r="H5437" s="1">
        <v>-8.6410249999999998E-7</v>
      </c>
      <c r="I5437">
        <v>142.4391</v>
      </c>
      <c r="J5437">
        <v>-376.66649999999998</v>
      </c>
      <c r="K5437">
        <v>1.120773</v>
      </c>
      <c r="L5437">
        <v>141.46629999999999</v>
      </c>
      <c r="M5437">
        <v>-0.99989030000000001</v>
      </c>
      <c r="N5437">
        <v>-1.477385E-2</v>
      </c>
      <c r="O5437">
        <v>1.09706E-3</v>
      </c>
      <c r="P5437">
        <v>-0.99565369999999997</v>
      </c>
      <c r="Q5437">
        <v>-9.2660960000000001E-2</v>
      </c>
      <c r="R5437">
        <v>-9.3660870000000004E-3</v>
      </c>
      <c r="S5437">
        <v>-2.9914860000000001</v>
      </c>
      <c r="T5437">
        <v>-0.25253009999999998</v>
      </c>
      <c r="U5437">
        <v>0.2193146</v>
      </c>
      <c r="V5437">
        <v>-1.049712E-2</v>
      </c>
      <c r="W5437">
        <v>-7.793622E-2</v>
      </c>
      <c r="X5437">
        <v>0.99690310000000004</v>
      </c>
      <c r="Y5437">
        <v>7.172655E-2</v>
      </c>
      <c r="Z5437">
        <v>3.4735629999999998E-3</v>
      </c>
      <c r="AA5437">
        <v>0.99741829999999998</v>
      </c>
      <c r="AB5437">
        <v>24</v>
      </c>
      <c r="AC5437">
        <v>-13.0289</v>
      </c>
      <c r="AD5437">
        <v>-1.1207738641025</v>
      </c>
      <c r="AE5437">
        <v>0.97280000000000599</v>
      </c>
      <c r="AF5437">
        <v>0.95150246811265804</v>
      </c>
      <c r="AG5437">
        <v>-1.1207738641025</v>
      </c>
      <c r="AH5437">
        <v>12.9347752685508</v>
      </c>
      <c r="AI5437">
        <v>94.938923623835294</v>
      </c>
      <c r="AJ5437">
        <v>85.792809975379797</v>
      </c>
      <c r="AK5437">
        <v>13.0180606178183</v>
      </c>
      <c r="AL5437">
        <v>94.469949330838702</v>
      </c>
      <c r="AM5437">
        <v>90.603286765017799</v>
      </c>
      <c r="AN5437">
        <v>1.00000001735289</v>
      </c>
    </row>
    <row r="5438" spans="1:40" x14ac:dyDescent="0.25">
      <c r="A5438" t="str">
        <f>"20190303154917944"</f>
        <v>20190303154917944</v>
      </c>
      <c r="B5438" t="str">
        <f>"1551599357936360"</f>
        <v>1551599357936360</v>
      </c>
      <c r="C5438" t="s">
        <v>40</v>
      </c>
      <c r="D5438">
        <v>5.4113550000000004</v>
      </c>
      <c r="E5438">
        <v>0.50740209999999997</v>
      </c>
      <c r="F5438" t="s">
        <v>42</v>
      </c>
      <c r="G5438">
        <v>-377.59679999999997</v>
      </c>
      <c r="H5438">
        <v>1.0417400000000001</v>
      </c>
      <c r="I5438">
        <v>141.53370000000001</v>
      </c>
      <c r="J5438">
        <v>-376.9058</v>
      </c>
      <c r="K5438">
        <v>1.120736</v>
      </c>
      <c r="L5438">
        <v>141.46690000000001</v>
      </c>
      <c r="M5438">
        <v>-0.9998899</v>
      </c>
      <c r="N5438">
        <v>-1.4768470000000001E-2</v>
      </c>
      <c r="O5438">
        <v>1.4424500000000001E-3</v>
      </c>
      <c r="P5438">
        <v>-0.99562810000000002</v>
      </c>
      <c r="Q5438">
        <v>-9.2905109999999999E-2</v>
      </c>
      <c r="R5438">
        <v>-9.669525E-3</v>
      </c>
      <c r="S5438">
        <v>-2.9914860000000001</v>
      </c>
      <c r="T5438">
        <v>-0.25416060000000001</v>
      </c>
      <c r="U5438">
        <v>0.21655269999999999</v>
      </c>
      <c r="V5438">
        <v>-1.1151950000000001E-2</v>
      </c>
      <c r="W5438">
        <v>-7.8184749999999997E-2</v>
      </c>
      <c r="X5438">
        <v>0.99687650000000005</v>
      </c>
      <c r="Y5438">
        <v>7.0468580000000003E-2</v>
      </c>
      <c r="Z5438">
        <v>3.4055190000000001E-3</v>
      </c>
      <c r="AA5438">
        <v>0.99750819999999996</v>
      </c>
      <c r="AB5438">
        <v>24</v>
      </c>
      <c r="AC5438">
        <v>-0.69099999999997397</v>
      </c>
      <c r="AD5438">
        <v>-7.8995999999999997E-2</v>
      </c>
      <c r="AE5438">
        <v>6.6800000000000595E-2</v>
      </c>
      <c r="AF5438">
        <v>6.4961939134938501E-2</v>
      </c>
      <c r="AG5438">
        <v>-7.8995999999999997E-2</v>
      </c>
      <c r="AH5438">
        <v>0.68226148904904904</v>
      </c>
      <c r="AI5438">
        <v>96.575136127474096</v>
      </c>
      <c r="AJ5438">
        <v>84.560945093824799</v>
      </c>
      <c r="AK5438">
        <v>0.68988488966754202</v>
      </c>
      <c r="AL5438">
        <v>94.484232763235497</v>
      </c>
      <c r="AM5438">
        <v>90.640934976205799</v>
      </c>
      <c r="AN5438">
        <v>0.99999998868680695</v>
      </c>
    </row>
    <row r="5439" spans="1:40" x14ac:dyDescent="0.25">
      <c r="A5439" t="str">
        <f>"20190303154917964"</f>
        <v>20190303154917964</v>
      </c>
      <c r="B5439" t="str">
        <f>"1551599357955881"</f>
        <v>1551599357955881</v>
      </c>
      <c r="C5439" t="s">
        <v>40</v>
      </c>
      <c r="D5439">
        <v>5.3410630000000001</v>
      </c>
      <c r="E5439">
        <v>0.50364540000000002</v>
      </c>
      <c r="F5439" t="s">
        <v>41</v>
      </c>
      <c r="G5439">
        <v>-394.03570000000002</v>
      </c>
      <c r="H5439" s="1">
        <v>-3.0795750000000001E-6</v>
      </c>
      <c r="I5439">
        <v>141.6404</v>
      </c>
      <c r="J5439">
        <v>-377.13</v>
      </c>
      <c r="K5439">
        <v>1.120703</v>
      </c>
      <c r="L5439">
        <v>141.46770000000001</v>
      </c>
      <c r="M5439">
        <v>-0.99988940000000004</v>
      </c>
      <c r="N5439">
        <v>-1.4763490000000001E-2</v>
      </c>
      <c r="O5439">
        <v>1.811205E-3</v>
      </c>
      <c r="P5439">
        <v>-0.99558250000000004</v>
      </c>
      <c r="Q5439">
        <v>-9.3374789999999999E-2</v>
      </c>
      <c r="R5439">
        <v>-9.8279730000000003E-3</v>
      </c>
      <c r="S5439">
        <v>-2.995209</v>
      </c>
      <c r="T5439">
        <v>-0.19596530000000001</v>
      </c>
      <c r="U5439">
        <v>3.0334469999999999E-2</v>
      </c>
      <c r="V5439">
        <v>-1.16858E-2</v>
      </c>
      <c r="W5439">
        <v>-7.8658660000000005E-2</v>
      </c>
      <c r="X5439">
        <v>0.99683310000000003</v>
      </c>
      <c r="Y5439">
        <v>8.2963940000000003E-3</v>
      </c>
      <c r="Z5439">
        <v>2.407791E-4</v>
      </c>
      <c r="AA5439">
        <v>0.99996549999999995</v>
      </c>
      <c r="AB5439">
        <v>24</v>
      </c>
      <c r="AC5439">
        <v>-16.9057</v>
      </c>
      <c r="AD5439">
        <v>-1.1207060795749999</v>
      </c>
      <c r="AE5439">
        <v>0.172699999999991</v>
      </c>
      <c r="AF5439">
        <v>0.14145512098482799</v>
      </c>
      <c r="AG5439">
        <v>-1.1207060795749999</v>
      </c>
      <c r="AH5439">
        <v>16.832023179839101</v>
      </c>
      <c r="AI5439">
        <v>93.809098619210602</v>
      </c>
      <c r="AJ5439">
        <v>89.518501695154001</v>
      </c>
      <c r="AK5439">
        <v>16.8698842910878</v>
      </c>
      <c r="AL5439">
        <v>94.511469701108496</v>
      </c>
      <c r="AM5439">
        <v>90.671643378904704</v>
      </c>
      <c r="AN5439">
        <v>0.99999998598512196</v>
      </c>
    </row>
    <row r="5440" spans="1:40" x14ac:dyDescent="0.25">
      <c r="A5440" t="str">
        <f>"20190303154917989"</f>
        <v>20190303154917989</v>
      </c>
      <c r="B5440" t="str">
        <f>"1551599357976376"</f>
        <v>1551599357976376</v>
      </c>
      <c r="C5440" t="s">
        <v>40</v>
      </c>
      <c r="D5440">
        <v>5.3719849999999996</v>
      </c>
      <c r="E5440">
        <v>0.50221959999999999</v>
      </c>
      <c r="F5440" t="s">
        <v>41</v>
      </c>
      <c r="G5440">
        <v>-393.75380000000001</v>
      </c>
      <c r="H5440" s="1">
        <v>-3.1546269999999999E-6</v>
      </c>
      <c r="I5440">
        <v>141.46789999999999</v>
      </c>
      <c r="J5440">
        <v>-377.38260000000002</v>
      </c>
      <c r="K5440">
        <v>1.120649</v>
      </c>
      <c r="L5440">
        <v>141.46870000000001</v>
      </c>
      <c r="M5440">
        <v>-0.99988849999999996</v>
      </c>
      <c r="N5440">
        <v>-1.4757930000000001E-2</v>
      </c>
      <c r="O5440">
        <v>2.2879160000000001E-3</v>
      </c>
      <c r="P5440">
        <v>-0.99557499999999999</v>
      </c>
      <c r="Q5440">
        <v>-9.3539849999999994E-2</v>
      </c>
      <c r="R5440">
        <v>-8.9941789999999997E-3</v>
      </c>
      <c r="S5440">
        <v>-2.994354</v>
      </c>
      <c r="T5440">
        <v>-0.20186699999999999</v>
      </c>
      <c r="U5440" s="1">
        <v>6.1035159999999999E-5</v>
      </c>
      <c r="V5440">
        <v>-1.133486E-2</v>
      </c>
      <c r="W5440">
        <v>-7.8828419999999996E-2</v>
      </c>
      <c r="X5440">
        <v>0.99682369999999998</v>
      </c>
      <c r="Y5440">
        <v>-2.2583630000000002E-3</v>
      </c>
      <c r="Z5440">
        <v>-2.1305679999999999E-4</v>
      </c>
      <c r="AA5440">
        <v>0.99999740000000004</v>
      </c>
      <c r="AB5440">
        <v>24</v>
      </c>
      <c r="AC5440">
        <v>-16.371199999999899</v>
      </c>
      <c r="AD5440">
        <v>-1.1206521546269901</v>
      </c>
      <c r="AE5440">
        <v>-8.0000000002655703E-4</v>
      </c>
      <c r="AF5440">
        <v>-3.80815657415415E-2</v>
      </c>
      <c r="AG5440">
        <v>-1.1206521546269901</v>
      </c>
      <c r="AH5440">
        <v>16.294801678262399</v>
      </c>
      <c r="AI5440">
        <v>93.934231315974301</v>
      </c>
      <c r="AJ5440">
        <v>90.133902152660895</v>
      </c>
      <c r="AK5440">
        <v>16.333336254152801</v>
      </c>
      <c r="AL5440">
        <v>94.521226719473106</v>
      </c>
      <c r="AM5440">
        <v>90.651480949823195</v>
      </c>
      <c r="AN5440">
        <v>0.99999994386630098</v>
      </c>
    </row>
    <row r="5441" spans="1:40" x14ac:dyDescent="0.25">
      <c r="A5441" t="str">
        <f>"20190303154918009"</f>
        <v>20190303154918009</v>
      </c>
      <c r="B5441" t="str">
        <f>"1551599358006632"</f>
        <v>1551599358006632</v>
      </c>
      <c r="C5441" t="s">
        <v>40</v>
      </c>
      <c r="D5441">
        <v>5.3873449999999998</v>
      </c>
      <c r="E5441">
        <v>0.50108569999999997</v>
      </c>
      <c r="F5441" t="s">
        <v>41</v>
      </c>
      <c r="G5441">
        <v>-393.74669999999998</v>
      </c>
      <c r="H5441" s="1">
        <v>-3.1449850000000002E-6</v>
      </c>
      <c r="I5441">
        <v>141.42019999999999</v>
      </c>
      <c r="J5441">
        <v>-377.61070000000001</v>
      </c>
      <c r="K5441">
        <v>1.120609</v>
      </c>
      <c r="L5441">
        <v>141.46979999999999</v>
      </c>
      <c r="M5441">
        <v>-0.99988730000000003</v>
      </c>
      <c r="N5441">
        <v>-1.4752879999999999E-2</v>
      </c>
      <c r="O5441">
        <v>2.7785140000000002E-3</v>
      </c>
      <c r="P5441">
        <v>-0.99555459999999996</v>
      </c>
      <c r="Q5441">
        <v>-9.3883049999999996E-2</v>
      </c>
      <c r="R5441">
        <v>-7.5562030000000001E-3</v>
      </c>
      <c r="S5441">
        <v>-2.9939879999999999</v>
      </c>
      <c r="T5441">
        <v>-0.2050362</v>
      </c>
      <c r="U5441">
        <v>-8.8500980000000007E-3</v>
      </c>
      <c r="V5441">
        <v>-1.039295E-2</v>
      </c>
      <c r="W5441">
        <v>-7.9176750000000004E-2</v>
      </c>
      <c r="X5441">
        <v>0.99680639999999998</v>
      </c>
      <c r="Y5441">
        <v>-5.7144559999999997E-3</v>
      </c>
      <c r="Z5441">
        <v>-3.8675720000000001E-4</v>
      </c>
      <c r="AA5441">
        <v>0.99998359999999997</v>
      </c>
      <c r="AB5441">
        <v>24</v>
      </c>
      <c r="AC5441">
        <v>-16.1359999999999</v>
      </c>
      <c r="AD5441">
        <v>-1.1206121449849999</v>
      </c>
      <c r="AE5441">
        <v>-4.9599999999998E-2</v>
      </c>
      <c r="AF5441">
        <v>-9.3985501177438299E-2</v>
      </c>
      <c r="AG5441">
        <v>-1.1206121449849999</v>
      </c>
      <c r="AH5441">
        <v>16.0583508879212</v>
      </c>
      <c r="AI5441">
        <v>93.991775526404098</v>
      </c>
      <c r="AJ5441">
        <v>90.335334001910297</v>
      </c>
      <c r="AK5441">
        <v>16.097678034223399</v>
      </c>
      <c r="AL5441">
        <v>94.541246947453601</v>
      </c>
      <c r="AM5441">
        <v>90.597358319368396</v>
      </c>
      <c r="AN5441">
        <v>0.99999998511561194</v>
      </c>
    </row>
    <row r="5442" spans="1:40" x14ac:dyDescent="0.25">
      <c r="A5442" t="str">
        <f>"20190303154918032"</f>
        <v>20190303154918032</v>
      </c>
      <c r="B5442" t="str">
        <f>"1551599358026152"</f>
        <v>1551599358026152</v>
      </c>
      <c r="C5442" t="s">
        <v>40</v>
      </c>
      <c r="D5442">
        <v>5.3728740000000004</v>
      </c>
      <c r="E5442">
        <v>0.50068380000000001</v>
      </c>
      <c r="F5442" t="s">
        <v>41</v>
      </c>
      <c r="G5442">
        <v>-393.58699999999999</v>
      </c>
      <c r="H5442" s="1">
        <v>-3.2073490000000001E-6</v>
      </c>
      <c r="I5442">
        <v>141.39709999999999</v>
      </c>
      <c r="J5442">
        <v>-377.85890000000001</v>
      </c>
      <c r="K5442">
        <v>1.1205750000000001</v>
      </c>
      <c r="L5442">
        <v>141.47110000000001</v>
      </c>
      <c r="M5442">
        <v>-0.99988560000000004</v>
      </c>
      <c r="N5442">
        <v>-1.4747400000000001E-2</v>
      </c>
      <c r="O5442">
        <v>3.3753720000000002E-3</v>
      </c>
      <c r="P5442">
        <v>-0.99553040000000004</v>
      </c>
      <c r="Q5442">
        <v>-9.4223760000000004E-2</v>
      </c>
      <c r="R5442">
        <v>-6.4202340000000004E-3</v>
      </c>
      <c r="S5442">
        <v>-2.9934690000000002</v>
      </c>
      <c r="T5442">
        <v>-0.2099695</v>
      </c>
      <c r="U5442">
        <v>-1.3595579999999999E-2</v>
      </c>
      <c r="V5442">
        <v>-9.8584250000000005E-3</v>
      </c>
      <c r="W5442">
        <v>-7.9522860000000001E-2</v>
      </c>
      <c r="X5442">
        <v>0.99678429999999996</v>
      </c>
      <c r="Y5442">
        <v>-7.8887390000000005E-3</v>
      </c>
      <c r="Z5442">
        <v>-5.213196E-4</v>
      </c>
      <c r="AA5442">
        <v>0.99996879999999999</v>
      </c>
      <c r="AB5442">
        <v>24</v>
      </c>
      <c r="AC5442">
        <v>-15.7280999999999</v>
      </c>
      <c r="AD5442">
        <v>-1.120578207349</v>
      </c>
      <c r="AE5442">
        <v>-7.4000000000012195E-2</v>
      </c>
      <c r="AF5442">
        <v>-0.126451668628732</v>
      </c>
      <c r="AG5442">
        <v>-1.120578207349</v>
      </c>
      <c r="AH5442">
        <v>15.648329549999</v>
      </c>
      <c r="AI5442">
        <v>94.095830538052695</v>
      </c>
      <c r="AJ5442">
        <v>90.462988027262</v>
      </c>
      <c r="AK5442">
        <v>15.6889101995217</v>
      </c>
      <c r="AL5442">
        <v>94.561140215970397</v>
      </c>
      <c r="AM5442">
        <v>90.566649905211804</v>
      </c>
      <c r="AN5442">
        <v>1.00000000726627</v>
      </c>
    </row>
    <row r="5443" spans="1:40" x14ac:dyDescent="0.25">
      <c r="A5443" t="str">
        <f>"20190303154918054"</f>
        <v>20190303154918054</v>
      </c>
      <c r="B5443" t="str">
        <f>"1551599358046648"</f>
        <v>1551599358046648</v>
      </c>
      <c r="C5443" t="s">
        <v>40</v>
      </c>
      <c r="D5443">
        <v>5.3822130000000001</v>
      </c>
      <c r="E5443">
        <v>0.50035770000000002</v>
      </c>
      <c r="F5443" t="s">
        <v>41</v>
      </c>
      <c r="G5443">
        <v>-393.67869999999999</v>
      </c>
      <c r="H5443" s="1">
        <v>-3.1688780000000001E-6</v>
      </c>
      <c r="I5443">
        <v>141.40049999999999</v>
      </c>
      <c r="J5443">
        <v>-378.08179999999999</v>
      </c>
      <c r="K5443">
        <v>1.1205449999999999</v>
      </c>
      <c r="L5443">
        <v>141.4725</v>
      </c>
      <c r="M5443">
        <v>-0.99988339999999998</v>
      </c>
      <c r="N5443">
        <v>-1.4742470000000001E-2</v>
      </c>
      <c r="O5443">
        <v>3.9587270000000004E-3</v>
      </c>
      <c r="P5443">
        <v>-0.99549960000000004</v>
      </c>
      <c r="Q5443">
        <v>-9.4630060000000002E-2</v>
      </c>
      <c r="R5443">
        <v>-5.0799970000000002E-3</v>
      </c>
      <c r="S5443">
        <v>-2.993347</v>
      </c>
      <c r="T5443">
        <v>-0.2120302</v>
      </c>
      <c r="U5443">
        <v>-1.3351439999999999E-2</v>
      </c>
      <c r="V5443">
        <v>-9.1047630000000001E-3</v>
      </c>
      <c r="W5443">
        <v>-7.9934619999999998E-2</v>
      </c>
      <c r="X5443">
        <v>0.99675849999999999</v>
      </c>
      <c r="Y5443">
        <v>-8.3877910000000003E-3</v>
      </c>
      <c r="Z5443">
        <v>-5.8037500000000005E-4</v>
      </c>
      <c r="AA5443">
        <v>0.99996470000000004</v>
      </c>
      <c r="AB5443">
        <v>24</v>
      </c>
      <c r="AC5443">
        <v>-15.5969</v>
      </c>
      <c r="AD5443">
        <v>-1.1205481688779999</v>
      </c>
      <c r="AE5443">
        <v>-7.2000000000002701E-2</v>
      </c>
      <c r="AF5443">
        <v>-0.13306321636549701</v>
      </c>
      <c r="AG5443">
        <v>-1.1205481688779999</v>
      </c>
      <c r="AH5443">
        <v>15.5164049054403</v>
      </c>
      <c r="AI5443">
        <v>94.130407062012495</v>
      </c>
      <c r="AJ5443">
        <v>90.491336354510295</v>
      </c>
      <c r="AK5443">
        <v>15.5573826593003</v>
      </c>
      <c r="AL5443">
        <v>94.5848078231637</v>
      </c>
      <c r="AM5443">
        <v>90.523346412826498</v>
      </c>
      <c r="AN5443">
        <v>0.99999997375303995</v>
      </c>
    </row>
    <row r="5444" spans="1:40" x14ac:dyDescent="0.25">
      <c r="A5444" t="str">
        <f>"20190303154918076"</f>
        <v>20190303154918076</v>
      </c>
      <c r="B5444" t="str">
        <f>"1551599358066168"</f>
        <v>1551599358066168</v>
      </c>
      <c r="C5444" t="s">
        <v>40</v>
      </c>
      <c r="D5444">
        <v>5.3804439999999998</v>
      </c>
      <c r="E5444">
        <v>0.50015849999999995</v>
      </c>
      <c r="F5444" t="s">
        <v>41</v>
      </c>
      <c r="G5444">
        <v>-393.66550000000001</v>
      </c>
      <c r="H5444" s="1">
        <v>-3.1772139999999998E-6</v>
      </c>
      <c r="I5444">
        <v>141.41040000000001</v>
      </c>
      <c r="J5444">
        <v>-378.32479999999998</v>
      </c>
      <c r="K5444">
        <v>1.120519</v>
      </c>
      <c r="L5444">
        <v>141.4743</v>
      </c>
      <c r="M5444">
        <v>-0.99988080000000001</v>
      </c>
      <c r="N5444">
        <v>-1.473706E-2</v>
      </c>
      <c r="O5444">
        <v>4.6286560000000001E-3</v>
      </c>
      <c r="P5444">
        <v>-0.99546120000000005</v>
      </c>
      <c r="Q5444">
        <v>-9.5080929999999994E-2</v>
      </c>
      <c r="R5444">
        <v>-4.1027260000000001E-3</v>
      </c>
      <c r="S5444">
        <v>-2.9930729999999999</v>
      </c>
      <c r="T5444">
        <v>-0.2152182</v>
      </c>
      <c r="U5444">
        <v>-1.191711E-2</v>
      </c>
      <c r="V5444">
        <v>-8.7997760000000005E-3</v>
      </c>
      <c r="W5444">
        <v>-8.0391240000000003E-2</v>
      </c>
      <c r="X5444">
        <v>0.99672450000000001</v>
      </c>
      <c r="Y5444">
        <v>-8.5763650000000007E-3</v>
      </c>
      <c r="Z5444">
        <v>-6.3549059999999896E-4</v>
      </c>
      <c r="AA5444">
        <v>0.99996300000000005</v>
      </c>
      <c r="AB5444">
        <v>24</v>
      </c>
      <c r="AC5444">
        <v>-15.3407</v>
      </c>
      <c r="AD5444">
        <v>-1.1205221772139999</v>
      </c>
      <c r="AE5444">
        <v>-6.3899999999989604E-2</v>
      </c>
      <c r="AF5444">
        <v>-0.13419788267539201</v>
      </c>
      <c r="AG5444">
        <v>-1.1205221772139999</v>
      </c>
      <c r="AH5444">
        <v>15.258832344591299</v>
      </c>
      <c r="AI5444">
        <v>94.199776815021806</v>
      </c>
      <c r="AJ5444">
        <v>90.5038900677595</v>
      </c>
      <c r="AK5444">
        <v>15.300507950446899</v>
      </c>
      <c r="AL5444">
        <v>94.611054763096504</v>
      </c>
      <c r="AM5444">
        <v>90.505833784796096</v>
      </c>
      <c r="AN5444">
        <v>0.999999958213318</v>
      </c>
    </row>
    <row r="5445" spans="1:40" x14ac:dyDescent="0.25">
      <c r="A5445" t="str">
        <f>"20190303154918100"</f>
        <v>20190303154918100</v>
      </c>
      <c r="B5445" t="str">
        <f>"1551599358096425"</f>
        <v>1551599358096425</v>
      </c>
      <c r="C5445" t="s">
        <v>40</v>
      </c>
      <c r="D5445">
        <v>5.3851589999999998</v>
      </c>
      <c r="E5445">
        <v>0.50007190000000001</v>
      </c>
      <c r="F5445" t="s">
        <v>41</v>
      </c>
      <c r="G5445">
        <v>-393.71550000000002</v>
      </c>
      <c r="H5445" s="1">
        <v>-3.1582539999999999E-6</v>
      </c>
      <c r="I5445">
        <v>141.41980000000001</v>
      </c>
      <c r="J5445">
        <v>-378.56700000000001</v>
      </c>
      <c r="K5445">
        <v>1.120503</v>
      </c>
      <c r="L5445">
        <v>141.47620000000001</v>
      </c>
      <c r="M5445">
        <v>-0.99987740000000003</v>
      </c>
      <c r="N5445">
        <v>-1.473172E-2</v>
      </c>
      <c r="O5445">
        <v>5.3191569999999997E-3</v>
      </c>
      <c r="P5445">
        <v>-0.99538369999999998</v>
      </c>
      <c r="Q5445">
        <v>-9.5944390000000004E-2</v>
      </c>
      <c r="R5445">
        <v>-2.4482309999999999E-3</v>
      </c>
      <c r="S5445">
        <v>-2.9927980000000001</v>
      </c>
      <c r="T5445">
        <v>-0.21789149999999999</v>
      </c>
      <c r="U5445">
        <v>-1.057434E-2</v>
      </c>
      <c r="V5445">
        <v>-7.8358349999999993E-3</v>
      </c>
      <c r="W5445">
        <v>-8.1261840000000002E-2</v>
      </c>
      <c r="X5445">
        <v>0.99666200000000005</v>
      </c>
      <c r="Y5445">
        <v>-8.8158690000000005E-3</v>
      </c>
      <c r="Z5445">
        <v>-6.9400660000000004E-4</v>
      </c>
      <c r="AA5445">
        <v>0.99996090000000004</v>
      </c>
      <c r="AB5445">
        <v>24</v>
      </c>
      <c r="AC5445">
        <v>-15.1485</v>
      </c>
      <c r="AD5445">
        <v>-1.1205061582539999</v>
      </c>
      <c r="AE5445">
        <v>-5.6399999999996397E-2</v>
      </c>
      <c r="AF5445">
        <v>-0.136239795209078</v>
      </c>
      <c r="AG5445">
        <v>-1.1205061582539999</v>
      </c>
      <c r="AH5445">
        <v>15.065558814005801</v>
      </c>
      <c r="AI5445">
        <v>94.253388588160504</v>
      </c>
      <c r="AJ5445">
        <v>90.518119014908095</v>
      </c>
      <c r="AK5445">
        <v>15.1077846725042</v>
      </c>
      <c r="AL5445">
        <v>94.661099948623104</v>
      </c>
      <c r="AM5445">
        <v>90.450454641979405</v>
      </c>
      <c r="AN5445">
        <v>1.0000000145971599</v>
      </c>
    </row>
    <row r="5446" spans="1:40" x14ac:dyDescent="0.25">
      <c r="A5446" t="str">
        <f>"20190303154918122"</f>
        <v>20190303154918122</v>
      </c>
      <c r="B5446" t="str">
        <f>"1551599358115944"</f>
        <v>1551599358115944</v>
      </c>
      <c r="C5446" t="s">
        <v>40</v>
      </c>
      <c r="D5446">
        <v>5.4067509999999999</v>
      </c>
      <c r="E5446">
        <v>0.4999422</v>
      </c>
      <c r="F5446" t="s">
        <v>41</v>
      </c>
      <c r="G5446">
        <v>-393.75049999999999</v>
      </c>
      <c r="H5446" s="1">
        <v>-3.1496100000000002E-6</v>
      </c>
      <c r="I5446">
        <v>141.44390000000001</v>
      </c>
      <c r="J5446">
        <v>-378.8</v>
      </c>
      <c r="K5446">
        <v>1.1205020000000001</v>
      </c>
      <c r="L5446">
        <v>141.47819999999999</v>
      </c>
      <c r="M5446">
        <v>-0.99987360000000003</v>
      </c>
      <c r="N5446">
        <v>-1.4726009999999999E-2</v>
      </c>
      <c r="O5446">
        <v>5.9945320000000003E-3</v>
      </c>
      <c r="P5446">
        <v>-0.99535189999999996</v>
      </c>
      <c r="Q5446">
        <v>-9.6299360000000001E-2</v>
      </c>
      <c r="R5446">
        <v>-1.188422E-3</v>
      </c>
      <c r="S5446">
        <v>-2.9926759999999999</v>
      </c>
      <c r="T5446">
        <v>-0.22085260000000001</v>
      </c>
      <c r="U5446">
        <v>-6.3476560000000001E-3</v>
      </c>
      <c r="V5446">
        <v>-7.2486909999999998E-3</v>
      </c>
      <c r="W5446">
        <v>-8.1623509999999996E-2</v>
      </c>
      <c r="X5446">
        <v>0.99663690000000005</v>
      </c>
      <c r="Y5446">
        <v>-8.0793779999999999E-3</v>
      </c>
      <c r="Z5446">
        <v>-7.1089919999999896E-4</v>
      </c>
      <c r="AA5446">
        <v>0.9999671</v>
      </c>
      <c r="AB5446">
        <v>24</v>
      </c>
      <c r="AC5446">
        <v>-14.9504999999999</v>
      </c>
      <c r="AD5446">
        <v>-1.12050514961</v>
      </c>
      <c r="AE5446">
        <v>-3.4299999999973303E-2</v>
      </c>
      <c r="AF5446">
        <v>-0.12323810928632201</v>
      </c>
      <c r="AG5446">
        <v>-1.12050514961</v>
      </c>
      <c r="AH5446">
        <v>14.8665186108511</v>
      </c>
      <c r="AI5446">
        <v>94.310146016370794</v>
      </c>
      <c r="AJ5446">
        <v>90.474950591231206</v>
      </c>
      <c r="AK5446">
        <v>14.9091949825825</v>
      </c>
      <c r="AL5446">
        <v>94.681891128935803</v>
      </c>
      <c r="AM5446">
        <v>90.4167135275015</v>
      </c>
      <c r="AN5446">
        <v>1.00000002567377</v>
      </c>
    </row>
    <row r="5447" spans="1:40" x14ac:dyDescent="0.25">
      <c r="A5447" t="str">
        <f>"20190303154918145"</f>
        <v>20190303154918145</v>
      </c>
      <c r="B5447" t="str">
        <f>"1551599358136440"</f>
        <v>1551599358136440</v>
      </c>
      <c r="C5447" t="s">
        <v>40</v>
      </c>
      <c r="D5447">
        <v>5.3919620000000004</v>
      </c>
      <c r="E5447">
        <v>0.49980859999999999</v>
      </c>
      <c r="F5447" t="s">
        <v>41</v>
      </c>
      <c r="G5447">
        <v>-393.92759999999998</v>
      </c>
      <c r="H5447" s="1">
        <v>-3.0780559999999999E-6</v>
      </c>
      <c r="I5447">
        <v>141.46029999999999</v>
      </c>
      <c r="J5447">
        <v>-379.0412</v>
      </c>
      <c r="K5447">
        <v>1.1205080000000001</v>
      </c>
      <c r="L5447">
        <v>141.48050000000001</v>
      </c>
      <c r="M5447">
        <v>-0.99986940000000002</v>
      </c>
      <c r="N5447">
        <v>-1.4720199999999999E-2</v>
      </c>
      <c r="O5447">
        <v>6.6970939999999998E-3</v>
      </c>
      <c r="P5447">
        <v>-0.99542439999999999</v>
      </c>
      <c r="Q5447">
        <v>-9.5546409999999998E-2</v>
      </c>
      <c r="R5447">
        <v>-1.135771E-3</v>
      </c>
      <c r="S5447">
        <v>-2.9925839999999999</v>
      </c>
      <c r="T5447">
        <v>-0.22166250000000001</v>
      </c>
      <c r="U5447">
        <v>-3.5247799999999999E-3</v>
      </c>
      <c r="V5447">
        <v>-7.895015E-3</v>
      </c>
      <c r="W5447">
        <v>-8.0874760000000004E-2</v>
      </c>
      <c r="X5447">
        <v>0.99669300000000005</v>
      </c>
      <c r="Y5447">
        <v>-7.8380959999999993E-3</v>
      </c>
      <c r="Z5447">
        <v>-7.4457259999999997E-4</v>
      </c>
      <c r="AA5447">
        <v>0.999969</v>
      </c>
      <c r="AB5447">
        <v>24</v>
      </c>
      <c r="AC5447">
        <v>-14.886399999999901</v>
      </c>
      <c r="AD5447">
        <v>-1.1205110780559999</v>
      </c>
      <c r="AE5447">
        <v>-2.0200000000016798E-2</v>
      </c>
      <c r="AF5447">
        <v>-0.119230430821598</v>
      </c>
      <c r="AG5447">
        <v>-1.1205110780559999</v>
      </c>
      <c r="AH5447">
        <v>14.8020669985416</v>
      </c>
      <c r="AI5447">
        <v>94.328873288145601</v>
      </c>
      <c r="AJ5447">
        <v>90.461506675740694</v>
      </c>
      <c r="AK5447">
        <v>14.844896375556001</v>
      </c>
      <c r="AL5447">
        <v>94.638848740509701</v>
      </c>
      <c r="AM5447">
        <v>90.453842434972401</v>
      </c>
      <c r="AN5447">
        <v>0.99999999715795396</v>
      </c>
    </row>
    <row r="5448" spans="1:40" x14ac:dyDescent="0.25">
      <c r="A5448" t="str">
        <f>"20190303154918166"</f>
        <v>20190303154918166</v>
      </c>
      <c r="B5448" t="str">
        <f>"1551599358155960"</f>
        <v>1551599358155960</v>
      </c>
      <c r="C5448" t="s">
        <v>40</v>
      </c>
      <c r="D5448">
        <v>5.3696320000000002</v>
      </c>
      <c r="E5448">
        <v>0.49975809999999998</v>
      </c>
      <c r="F5448" t="s">
        <v>41</v>
      </c>
      <c r="G5448">
        <v>-394.37029999999999</v>
      </c>
      <c r="H5448" s="1">
        <v>-2.8873849999999999E-6</v>
      </c>
      <c r="I5448">
        <v>141.45760000000001</v>
      </c>
      <c r="J5448">
        <v>-379.2645</v>
      </c>
      <c r="K5448">
        <v>1.1205149999999999</v>
      </c>
      <c r="L5448">
        <v>141.48269999999999</v>
      </c>
      <c r="M5448">
        <v>-0.99986489999999995</v>
      </c>
      <c r="N5448">
        <v>-1.4714939999999999E-2</v>
      </c>
      <c r="O5448">
        <v>7.3456099999999998E-3</v>
      </c>
      <c r="P5448">
        <v>-0.99551959999999995</v>
      </c>
      <c r="Q5448">
        <v>-9.4527150000000004E-2</v>
      </c>
      <c r="R5448">
        <v>-2.37288E-3</v>
      </c>
      <c r="S5448">
        <v>-2.9927980000000001</v>
      </c>
      <c r="T5448">
        <v>-0.21876470000000001</v>
      </c>
      <c r="U5448">
        <v>-4.4555659999999898E-3</v>
      </c>
      <c r="V5448">
        <v>-9.7754590000000002E-3</v>
      </c>
      <c r="W5448">
        <v>-7.985768E-2</v>
      </c>
      <c r="X5448">
        <v>0.99675829999999999</v>
      </c>
      <c r="Y5448">
        <v>-8.7944159999999993E-3</v>
      </c>
      <c r="Z5448">
        <v>-8.1404839999999997E-4</v>
      </c>
      <c r="AA5448">
        <v>0.99996099999999999</v>
      </c>
      <c r="AB5448">
        <v>24</v>
      </c>
      <c r="AC5448">
        <v>-15.105799999999901</v>
      </c>
      <c r="AD5448">
        <v>-1.1205178873849999</v>
      </c>
      <c r="AE5448">
        <v>-2.5099999999980499E-2</v>
      </c>
      <c r="AF5448">
        <v>-0.13532801307205899</v>
      </c>
      <c r="AG5448">
        <v>-1.1205178873849999</v>
      </c>
      <c r="AH5448">
        <v>15.0225485162863</v>
      </c>
      <c r="AI5448">
        <v>94.265567187747607</v>
      </c>
      <c r="AJ5448">
        <v>90.516125094397793</v>
      </c>
      <c r="AK5448">
        <v>15.064887584421101</v>
      </c>
      <c r="AL5448">
        <v>94.5803854173584</v>
      </c>
      <c r="AM5448">
        <v>90.561896086108604</v>
      </c>
      <c r="AN5448">
        <v>0.99999995863626501</v>
      </c>
    </row>
    <row r="5449" spans="1:40" x14ac:dyDescent="0.25">
      <c r="A5449" t="str">
        <f>"20190303154918189"</f>
        <v>20190303154918189</v>
      </c>
      <c r="B5449" t="str">
        <f>"1551599358186216"</f>
        <v>1551599358186216</v>
      </c>
      <c r="C5449" t="s">
        <v>40</v>
      </c>
      <c r="D5449">
        <v>5.3799270000000003</v>
      </c>
      <c r="E5449">
        <v>0.49968669999999998</v>
      </c>
      <c r="F5449" t="s">
        <v>41</v>
      </c>
      <c r="G5449">
        <v>-394.83780000000002</v>
      </c>
      <c r="H5449" s="1">
        <v>-2.681491E-6</v>
      </c>
      <c r="I5449">
        <v>141.4375</v>
      </c>
      <c r="J5449">
        <v>-379.50510000000003</v>
      </c>
      <c r="K5449">
        <v>1.1205240000000001</v>
      </c>
      <c r="L5449">
        <v>141.4853</v>
      </c>
      <c r="M5449">
        <v>-0.99985950000000001</v>
      </c>
      <c r="N5449">
        <v>-1.4709359999999999E-2</v>
      </c>
      <c r="O5449">
        <v>8.0378580000000002E-3</v>
      </c>
      <c r="P5449">
        <v>-0.99555819999999995</v>
      </c>
      <c r="Q5449">
        <v>-9.4063450000000007E-2</v>
      </c>
      <c r="R5449">
        <v>-3.9960769999999998E-3</v>
      </c>
      <c r="S5449">
        <v>-2.993042</v>
      </c>
      <c r="T5449">
        <v>-0.21535360000000001</v>
      </c>
      <c r="U5449">
        <v>-8.6822510000000002E-3</v>
      </c>
      <c r="V5449">
        <v>-1.208627E-2</v>
      </c>
      <c r="W5449">
        <v>-7.9396930000000004E-2</v>
      </c>
      <c r="X5449">
        <v>0.99676980000000004</v>
      </c>
      <c r="Y5449">
        <v>-1.089232E-2</v>
      </c>
      <c r="Z5449">
        <v>-9.3105819999999998E-4</v>
      </c>
      <c r="AA5449">
        <v>0.99994019999999995</v>
      </c>
      <c r="AB5449">
        <v>24</v>
      </c>
      <c r="AC5449">
        <v>-15.3326999999999</v>
      </c>
      <c r="AD5449">
        <v>-1.120526681491</v>
      </c>
      <c r="AE5449">
        <v>-4.7799999999995103E-2</v>
      </c>
      <c r="AF5449">
        <v>-0.17014515208691999</v>
      </c>
      <c r="AG5449">
        <v>-1.120526681491</v>
      </c>
      <c r="AH5449">
        <v>15.2503717860357</v>
      </c>
      <c r="AI5449">
        <v>94.202016594345594</v>
      </c>
      <c r="AJ5449">
        <v>90.639210296254802</v>
      </c>
      <c r="AK5449">
        <v>15.2924284869678</v>
      </c>
      <c r="AL5449">
        <v>94.553902140233902</v>
      </c>
      <c r="AM5449">
        <v>90.694702353414101</v>
      </c>
      <c r="AN5449">
        <v>0.99999999230398795</v>
      </c>
    </row>
    <row r="5450" spans="1:40" x14ac:dyDescent="0.25">
      <c r="A5450" t="str">
        <f>"20190303154918210"</f>
        <v>20190303154918210</v>
      </c>
      <c r="B5450" t="str">
        <f>"1551599358206712"</f>
        <v>1551599358206712</v>
      </c>
      <c r="C5450" t="s">
        <v>40</v>
      </c>
      <c r="D5450">
        <v>5.3853019999999896</v>
      </c>
      <c r="E5450">
        <v>0.49963560000000001</v>
      </c>
      <c r="F5450" t="s">
        <v>41</v>
      </c>
      <c r="G5450">
        <v>-395.26060000000001</v>
      </c>
      <c r="H5450" s="1">
        <v>-2.493056E-6</v>
      </c>
      <c r="I5450">
        <v>141.411</v>
      </c>
      <c r="J5450">
        <v>-379.73450000000003</v>
      </c>
      <c r="K5450">
        <v>1.1205210000000001</v>
      </c>
      <c r="L5450">
        <v>141.4879</v>
      </c>
      <c r="M5450">
        <v>-0.99985420000000003</v>
      </c>
      <c r="N5450">
        <v>-1.470403E-2</v>
      </c>
      <c r="O5450">
        <v>8.6901300000000008E-3</v>
      </c>
      <c r="P5450">
        <v>-0.99552470000000004</v>
      </c>
      <c r="Q5450">
        <v>-9.4362070000000006E-2</v>
      </c>
      <c r="R5450">
        <v>-5.1703309999999898E-3</v>
      </c>
      <c r="S5450">
        <v>-2.9932249999999998</v>
      </c>
      <c r="T5450">
        <v>-0.21287700000000001</v>
      </c>
      <c r="U5450">
        <v>-1.409912E-2</v>
      </c>
      <c r="V5450">
        <v>-1.390867E-2</v>
      </c>
      <c r="W5450">
        <v>-7.9699800000000001E-2</v>
      </c>
      <c r="X5450">
        <v>0.99672190000000005</v>
      </c>
      <c r="Y5450">
        <v>-1.334658E-2</v>
      </c>
      <c r="Z5450">
        <v>-1.061874E-3</v>
      </c>
      <c r="AA5450">
        <v>0.99991039999999998</v>
      </c>
      <c r="AB5450">
        <v>23</v>
      </c>
      <c r="AC5450">
        <v>-15.5260999999999</v>
      </c>
      <c r="AD5450">
        <v>-1.120523493056</v>
      </c>
      <c r="AE5450">
        <v>-7.6899999999994806E-2</v>
      </c>
      <c r="AF5450">
        <v>-0.210737888483845</v>
      </c>
      <c r="AG5450">
        <v>-1.120523493056</v>
      </c>
      <c r="AH5450">
        <v>15.444404225487499</v>
      </c>
      <c r="AI5450">
        <v>94.149271696650004</v>
      </c>
      <c r="AJ5450">
        <v>90.781748661017801</v>
      </c>
      <c r="AK5450">
        <v>15.486432941009699</v>
      </c>
      <c r="AL5450">
        <v>94.571310318472399</v>
      </c>
      <c r="AM5450">
        <v>90.799477135527098</v>
      </c>
      <c r="AN5450">
        <v>1.0000000275804</v>
      </c>
    </row>
    <row r="5451" spans="1:40" x14ac:dyDescent="0.25">
      <c r="A5451" t="str">
        <f>"20190303154918234"</f>
        <v>20190303154918234</v>
      </c>
      <c r="B5451" t="str">
        <f>"1551599358226232"</f>
        <v>1551599358226232</v>
      </c>
      <c r="C5451" t="s">
        <v>40</v>
      </c>
      <c r="D5451">
        <v>5.3973100000000001</v>
      </c>
      <c r="E5451">
        <v>0.49947930000000001</v>
      </c>
      <c r="F5451" t="s">
        <v>41</v>
      </c>
      <c r="G5451">
        <v>-395.45330000000001</v>
      </c>
      <c r="H5451" s="1">
        <v>-2.4056150000000001E-6</v>
      </c>
      <c r="I5451">
        <v>141.393</v>
      </c>
      <c r="J5451">
        <v>-379.97269999999997</v>
      </c>
      <c r="K5451">
        <v>1.1205229999999999</v>
      </c>
      <c r="L5451">
        <v>141.49080000000001</v>
      </c>
      <c r="M5451">
        <v>-0.99984810000000002</v>
      </c>
      <c r="N5451">
        <v>-1.469846E-2</v>
      </c>
      <c r="O5451">
        <v>9.360475E-3</v>
      </c>
      <c r="P5451">
        <v>-0.99547640000000004</v>
      </c>
      <c r="Q5451">
        <v>-9.4842609999999994E-2</v>
      </c>
      <c r="R5451">
        <v>-5.5875090000000001E-3</v>
      </c>
      <c r="S5451">
        <v>-2.993134</v>
      </c>
      <c r="T5451">
        <v>-0.21336769999999999</v>
      </c>
      <c r="U5451">
        <v>-1.8051149999999998E-2</v>
      </c>
      <c r="V5451">
        <v>-1.499265E-2</v>
      </c>
      <c r="W5451">
        <v>-8.0185809999999996E-2</v>
      </c>
      <c r="X5451">
        <v>0.99666710000000003</v>
      </c>
      <c r="Y5451">
        <v>-1.5329890000000001E-2</v>
      </c>
      <c r="Z5451">
        <v>-1.1875080000000001E-3</v>
      </c>
      <c r="AA5451">
        <v>0.99988180000000004</v>
      </c>
      <c r="AB5451">
        <v>23</v>
      </c>
      <c r="AC5451">
        <v>-15.480600000000001</v>
      </c>
      <c r="AD5451">
        <v>-1.120525405615</v>
      </c>
      <c r="AE5451">
        <v>-9.7800000000006507E-2</v>
      </c>
      <c r="AF5451">
        <v>-0.24145217349227899</v>
      </c>
      <c r="AG5451">
        <v>-1.120525405615</v>
      </c>
      <c r="AH5451">
        <v>15.3983338296322</v>
      </c>
      <c r="AI5451">
        <v>94.161525719794895</v>
      </c>
      <c r="AJ5451">
        <v>90.898347638608499</v>
      </c>
      <c r="AK5451">
        <v>15.440937829857001</v>
      </c>
      <c r="AL5451">
        <v>94.599246517849394</v>
      </c>
      <c r="AM5451">
        <v>90.861823153670301</v>
      </c>
      <c r="AN5451">
        <v>0.99999992595089104</v>
      </c>
    </row>
    <row r="5452" spans="1:40" x14ac:dyDescent="0.25">
      <c r="A5452" t="str">
        <f>"20190303154918255"</f>
        <v>20190303154918255</v>
      </c>
      <c r="B5452" t="str">
        <f>"1551599358246730"</f>
        <v>1551599358246730</v>
      </c>
      <c r="C5452" t="s">
        <v>40</v>
      </c>
      <c r="D5452">
        <v>5.4114040000000001</v>
      </c>
      <c r="E5452">
        <v>0.49945050000000002</v>
      </c>
      <c r="F5452" t="s">
        <v>41</v>
      </c>
      <c r="G5452">
        <v>-395.6891</v>
      </c>
      <c r="H5452" s="1">
        <v>-2.301743E-6</v>
      </c>
      <c r="I5452">
        <v>141.3828</v>
      </c>
      <c r="J5452">
        <v>-380.19670000000002</v>
      </c>
      <c r="K5452">
        <v>1.1205229999999999</v>
      </c>
      <c r="L5452">
        <v>141.49359999999999</v>
      </c>
      <c r="M5452">
        <v>-0.99984220000000001</v>
      </c>
      <c r="N5452">
        <v>-1.46932E-2</v>
      </c>
      <c r="O5452">
        <v>9.9866710000000008E-3</v>
      </c>
      <c r="P5452">
        <v>-0.99551889999999998</v>
      </c>
      <c r="Q5452">
        <v>-9.4408300000000001E-2</v>
      </c>
      <c r="R5452">
        <v>-5.4104590000000003E-3</v>
      </c>
      <c r="S5452">
        <v>-2.9931950000000001</v>
      </c>
      <c r="T5452">
        <v>-0.2134054</v>
      </c>
      <c r="U5452">
        <v>-2.055359E-2</v>
      </c>
      <c r="V5452">
        <v>-1.543802E-2</v>
      </c>
      <c r="W5452">
        <v>-7.9755950000000006E-2</v>
      </c>
      <c r="X5452">
        <v>0.99669490000000005</v>
      </c>
      <c r="Y5452">
        <v>-1.6786390000000002E-2</v>
      </c>
      <c r="Z5452">
        <v>-1.2856720000000001E-3</v>
      </c>
      <c r="AA5452">
        <v>0.99985829999999998</v>
      </c>
      <c r="AB5452">
        <v>23</v>
      </c>
      <c r="AC5452">
        <v>-15.4923999999999</v>
      </c>
      <c r="AD5452">
        <v>-1.1205253017429999</v>
      </c>
      <c r="AE5452">
        <v>-0.110799999999983</v>
      </c>
      <c r="AF5452">
        <v>-0.26414692577885801</v>
      </c>
      <c r="AG5452">
        <v>-1.1205253017429999</v>
      </c>
      <c r="AH5452">
        <v>15.4099115535414</v>
      </c>
      <c r="AI5452">
        <v>94.158310361613005</v>
      </c>
      <c r="AJ5452">
        <v>90.982031721694995</v>
      </c>
      <c r="AK5452">
        <v>15.4528549025161</v>
      </c>
      <c r="AL5452">
        <v>94.574537721636702</v>
      </c>
      <c r="AM5452">
        <v>90.887395593570602</v>
      </c>
      <c r="AN5452">
        <v>1.0000000338539601</v>
      </c>
    </row>
    <row r="5453" spans="1:40" x14ac:dyDescent="0.25">
      <c r="A5453" t="str">
        <f>"20190303154918277"</f>
        <v>20190303154918277</v>
      </c>
      <c r="B5453" t="str">
        <f>"1551599358266248"</f>
        <v>1551599358266248</v>
      </c>
      <c r="C5453" t="s">
        <v>40</v>
      </c>
      <c r="D5453">
        <v>5.3932330000000004</v>
      </c>
      <c r="E5453">
        <v>0.49938949999999999</v>
      </c>
      <c r="F5453" t="s">
        <v>41</v>
      </c>
      <c r="G5453">
        <v>-396.13319999999999</v>
      </c>
      <c r="H5453" s="1">
        <v>-2.1119250000000001E-6</v>
      </c>
      <c r="I5453">
        <v>141.38550000000001</v>
      </c>
      <c r="J5453">
        <v>-380.43329999999997</v>
      </c>
      <c r="K5453">
        <v>1.120528</v>
      </c>
      <c r="L5453">
        <v>141.4967</v>
      </c>
      <c r="M5453">
        <v>-0.99983560000000005</v>
      </c>
      <c r="N5453">
        <v>-1.46876E-2</v>
      </c>
      <c r="O5453">
        <v>1.064439E-2</v>
      </c>
      <c r="P5453">
        <v>-0.99554229999999999</v>
      </c>
      <c r="Q5453">
        <v>-9.4232109999999994E-2</v>
      </c>
      <c r="R5453">
        <v>-4.0243070000000004E-3</v>
      </c>
      <c r="S5453">
        <v>-2.9933779999999999</v>
      </c>
      <c r="T5453">
        <v>-0.21047099999999999</v>
      </c>
      <c r="U5453">
        <v>-2.029419E-2</v>
      </c>
      <c r="V5453">
        <v>-1.4705360000000001E-2</v>
      </c>
      <c r="W5453">
        <v>-7.9585890000000006E-2</v>
      </c>
      <c r="X5453">
        <v>0.99671949999999998</v>
      </c>
      <c r="Y5453">
        <v>-1.7356190000000001E-2</v>
      </c>
      <c r="Z5453">
        <v>-1.328376E-3</v>
      </c>
      <c r="AA5453">
        <v>0.99984850000000003</v>
      </c>
      <c r="AB5453">
        <v>23</v>
      </c>
      <c r="AC5453">
        <v>-15.6999</v>
      </c>
      <c r="AD5453">
        <v>-1.120530111925</v>
      </c>
      <c r="AE5453">
        <v>-0.111199999999996</v>
      </c>
      <c r="AF5453">
        <v>-0.27691703822577102</v>
      </c>
      <c r="AG5453">
        <v>-1.120530111925</v>
      </c>
      <c r="AH5453">
        <v>15.618272123926101</v>
      </c>
      <c r="AI5453">
        <v>94.103001401523002</v>
      </c>
      <c r="AJ5453">
        <v>91.015766351489702</v>
      </c>
      <c r="AK5453">
        <v>15.660865075556901</v>
      </c>
      <c r="AL5453">
        <v>94.564763260346496</v>
      </c>
      <c r="AM5453">
        <v>90.845266836110397</v>
      </c>
      <c r="AN5453">
        <v>0.99999996159003501</v>
      </c>
    </row>
    <row r="5454" spans="1:40" x14ac:dyDescent="0.25">
      <c r="A5454" t="str">
        <f>"20190303154918301"</f>
        <v>20190303154918301</v>
      </c>
      <c r="B5454" t="str">
        <f>"1551599358296505"</f>
        <v>1551599358296505</v>
      </c>
      <c r="C5454" t="s">
        <v>40</v>
      </c>
      <c r="D5454">
        <v>5.3945650000000001</v>
      </c>
      <c r="E5454">
        <v>0.49932339999999997</v>
      </c>
      <c r="F5454" t="s">
        <v>41</v>
      </c>
      <c r="G5454">
        <v>-396.35969999999998</v>
      </c>
      <c r="H5454" s="1">
        <v>-2.0207669999999999E-6</v>
      </c>
      <c r="I5454">
        <v>141.40799999999999</v>
      </c>
      <c r="J5454">
        <v>-380.67230000000001</v>
      </c>
      <c r="K5454">
        <v>1.120533</v>
      </c>
      <c r="L5454">
        <v>141.5001</v>
      </c>
      <c r="M5454">
        <v>-0.99982839999999995</v>
      </c>
      <c r="N5454">
        <v>-1.468189E-2</v>
      </c>
      <c r="O5454">
        <v>1.1304E-2</v>
      </c>
      <c r="P5454">
        <v>-0.99553380000000002</v>
      </c>
      <c r="Q5454">
        <v>-9.4385350000000007E-2</v>
      </c>
      <c r="R5454">
        <v>-2.080667E-3</v>
      </c>
      <c r="S5454">
        <v>-2.9934080000000001</v>
      </c>
      <c r="T5454">
        <v>-0.21060680000000001</v>
      </c>
      <c r="U5454">
        <v>-1.6662599999999899E-2</v>
      </c>
      <c r="V5454">
        <v>-1.341766E-2</v>
      </c>
      <c r="W5454">
        <v>-7.9746289999999997E-2</v>
      </c>
      <c r="X5454">
        <v>0.99672490000000002</v>
      </c>
      <c r="Y5454">
        <v>-1.6803309999999998E-2</v>
      </c>
      <c r="Z5454">
        <v>-1.342432E-3</v>
      </c>
      <c r="AA5454">
        <v>0.99985789999999997</v>
      </c>
      <c r="AB5454">
        <v>23</v>
      </c>
      <c r="AC5454">
        <v>-15.687399999999901</v>
      </c>
      <c r="AD5454">
        <v>-1.120535020767</v>
      </c>
      <c r="AE5454">
        <v>-9.2100000000016197E-2</v>
      </c>
      <c r="AF5454">
        <v>-0.26807588185472198</v>
      </c>
      <c r="AG5454">
        <v>-1.120535020767</v>
      </c>
      <c r="AH5454">
        <v>15.6057369909402</v>
      </c>
      <c r="AI5454">
        <v>94.106343186244203</v>
      </c>
      <c r="AJ5454">
        <v>90.984132059839496</v>
      </c>
      <c r="AK5454">
        <v>15.6482104549242</v>
      </c>
      <c r="AL5454">
        <v>94.573982560795102</v>
      </c>
      <c r="AM5454">
        <v>90.771254791745605</v>
      </c>
      <c r="AN5454">
        <v>1.00000001532432</v>
      </c>
    </row>
    <row r="5455" spans="1:40" x14ac:dyDescent="0.25">
      <c r="A5455" t="str">
        <f>"20190303154918323"</f>
        <v>20190303154918323</v>
      </c>
      <c r="B5455" t="str">
        <f>"1551599358316025"</f>
        <v>1551599358316025</v>
      </c>
      <c r="C5455" t="s">
        <v>40</v>
      </c>
      <c r="D5455">
        <v>5.4141579999999996</v>
      </c>
      <c r="E5455">
        <v>0.49926510000000002</v>
      </c>
      <c r="F5455" t="s">
        <v>41</v>
      </c>
      <c r="G5455">
        <v>-396.49610000000001</v>
      </c>
      <c r="H5455" s="1">
        <v>-1.9707629999999999E-6</v>
      </c>
      <c r="I5455">
        <v>141.4401</v>
      </c>
      <c r="J5455">
        <v>-380.90219999999999</v>
      </c>
      <c r="K5455">
        <v>1.1205339999999999</v>
      </c>
      <c r="L5455">
        <v>141.5035</v>
      </c>
      <c r="M5455">
        <v>-0.99982110000000002</v>
      </c>
      <c r="N5455">
        <v>-1.46765E-2</v>
      </c>
      <c r="O5455">
        <v>1.1929169999999999E-2</v>
      </c>
      <c r="P5455">
        <v>-0.99547859999999999</v>
      </c>
      <c r="Q5455">
        <v>-9.4986329999999994E-2</v>
      </c>
      <c r="R5455" s="1">
        <v>-2.4382960000000001E-5</v>
      </c>
      <c r="S5455">
        <v>-2.9933779999999999</v>
      </c>
      <c r="T5455">
        <v>-0.21197150000000001</v>
      </c>
      <c r="U5455">
        <v>-1.133728E-2</v>
      </c>
      <c r="V5455">
        <v>-1.198221E-2</v>
      </c>
      <c r="W5455">
        <v>-8.0354910000000002E-2</v>
      </c>
      <c r="X5455">
        <v>0.99669430000000003</v>
      </c>
      <c r="Y5455">
        <v>-1.5651419999999999E-2</v>
      </c>
      <c r="Z5455">
        <v>-1.3372659999999999E-3</v>
      </c>
      <c r="AA5455">
        <v>0.9998766</v>
      </c>
      <c r="AB5455">
        <v>23</v>
      </c>
      <c r="AC5455">
        <v>-15.5939</v>
      </c>
      <c r="AD5455">
        <v>-1.1205359707629901</v>
      </c>
      <c r="AE5455">
        <v>-6.34000000000014E-2</v>
      </c>
      <c r="AF5455">
        <v>-0.24815648680404101</v>
      </c>
      <c r="AG5455">
        <v>-1.1205359707629901</v>
      </c>
      <c r="AH5455">
        <v>15.5119395896923</v>
      </c>
      <c r="AI5455">
        <v>94.131171730249093</v>
      </c>
      <c r="AJ5455">
        <v>90.916526685643802</v>
      </c>
      <c r="AK5455">
        <v>15.554338698189</v>
      </c>
      <c r="AL5455">
        <v>94.608966229299995</v>
      </c>
      <c r="AM5455">
        <v>90.688773870778604</v>
      </c>
      <c r="AN5455">
        <v>1.00000000628504</v>
      </c>
    </row>
    <row r="5456" spans="1:40" x14ac:dyDescent="0.25">
      <c r="A5456" t="str">
        <f>"20190303154918345"</f>
        <v>20190303154918345</v>
      </c>
      <c r="B5456" t="str">
        <f>"1551599358336520"</f>
        <v>1551599358336520</v>
      </c>
      <c r="C5456" t="s">
        <v>40</v>
      </c>
      <c r="D5456">
        <v>5.3863250000000003</v>
      </c>
      <c r="E5456">
        <v>0.49918780000000001</v>
      </c>
      <c r="F5456" t="s">
        <v>41</v>
      </c>
      <c r="G5456">
        <v>-396.54480000000001</v>
      </c>
      <c r="H5456" s="1">
        <v>-1.9590950000000001E-6</v>
      </c>
      <c r="I5456">
        <v>141.47470000000001</v>
      </c>
      <c r="J5456">
        <v>-381.1309</v>
      </c>
      <c r="K5456">
        <v>1.1205480000000001</v>
      </c>
      <c r="L5456">
        <v>141.50700000000001</v>
      </c>
      <c r="M5456">
        <v>-0.99981370000000003</v>
      </c>
      <c r="N5456">
        <v>-1.467097E-2</v>
      </c>
      <c r="O5456">
        <v>1.25421E-2</v>
      </c>
      <c r="P5456">
        <v>-0.99552609999999997</v>
      </c>
      <c r="Q5456">
        <v>-9.4474299999999997E-2</v>
      </c>
      <c r="R5456">
        <v>1.576622E-3</v>
      </c>
      <c r="S5456">
        <v>-2.9931640000000002</v>
      </c>
      <c r="T5456">
        <v>-0.21441070000000001</v>
      </c>
      <c r="U5456">
        <v>-5.4779049999999999E-3</v>
      </c>
      <c r="V5456">
        <v>-1.098935E-2</v>
      </c>
      <c r="W5456">
        <v>-7.9848829999999996E-2</v>
      </c>
      <c r="X5456">
        <v>0.99674640000000003</v>
      </c>
      <c r="Y5456">
        <v>-1.4308899999999999E-2</v>
      </c>
      <c r="Z5456">
        <v>-1.33041E-3</v>
      </c>
      <c r="AA5456">
        <v>0.99989680000000003</v>
      </c>
      <c r="AB5456">
        <v>23</v>
      </c>
      <c r="AC5456">
        <v>-15.4139</v>
      </c>
      <c r="AD5456">
        <v>-1.1205499590950001</v>
      </c>
      <c r="AE5456">
        <v>-3.2299999999992203E-2</v>
      </c>
      <c r="AF5456">
        <v>-0.22445472763735799</v>
      </c>
      <c r="AG5456">
        <v>-1.1205499590950001</v>
      </c>
      <c r="AH5456">
        <v>15.3312582786706</v>
      </c>
      <c r="AI5456">
        <v>94.179825282244394</v>
      </c>
      <c r="AJ5456">
        <v>90.838769372114101</v>
      </c>
      <c r="AK5456">
        <v>15.3737923929944</v>
      </c>
      <c r="AL5456">
        <v>94.579876564364795</v>
      </c>
      <c r="AM5456">
        <v>90.631673075764098</v>
      </c>
      <c r="AN5456">
        <v>0.99999999368937498</v>
      </c>
    </row>
    <row r="5457" spans="1:40" x14ac:dyDescent="0.25">
      <c r="A5457" t="str">
        <f>"20190303154918367"</f>
        <v>20190303154918367</v>
      </c>
      <c r="B5457" t="str">
        <f>"1551599358356041"</f>
        <v>1551599358356041</v>
      </c>
      <c r="C5457" t="s">
        <v>40</v>
      </c>
      <c r="D5457">
        <v>5.3974260000000003</v>
      </c>
      <c r="E5457">
        <v>0.49909170000000003</v>
      </c>
      <c r="F5457" t="s">
        <v>41</v>
      </c>
      <c r="G5457">
        <v>-396.8458</v>
      </c>
      <c r="H5457" s="1">
        <v>-1.83695E-6</v>
      </c>
      <c r="I5457">
        <v>141.5009</v>
      </c>
      <c r="J5457">
        <v>-381.35989999999998</v>
      </c>
      <c r="K5457">
        <v>1.1205780000000001</v>
      </c>
      <c r="L5457">
        <v>141.51050000000001</v>
      </c>
      <c r="M5457">
        <v>-0.99980619999999998</v>
      </c>
      <c r="N5457">
        <v>-1.4665279999999999E-2</v>
      </c>
      <c r="O5457">
        <v>1.3138820000000001E-2</v>
      </c>
      <c r="P5457">
        <v>-0.99568279999999998</v>
      </c>
      <c r="Q5457">
        <v>-9.2760590000000004E-2</v>
      </c>
      <c r="R5457">
        <v>3.3978889999999999E-3</v>
      </c>
      <c r="S5457">
        <v>-2.9931950000000001</v>
      </c>
      <c r="T5457">
        <v>-0.21342990000000001</v>
      </c>
      <c r="U5457">
        <v>-1.12915E-3</v>
      </c>
      <c r="V5457">
        <v>-9.7601560000000007E-3</v>
      </c>
      <c r="W5457">
        <v>-7.813995E-2</v>
      </c>
      <c r="X5457">
        <v>0.99689459999999996</v>
      </c>
      <c r="Y5457">
        <v>-1.3455180000000001E-2</v>
      </c>
      <c r="Z5457">
        <v>-1.3210730000000001E-3</v>
      </c>
      <c r="AA5457">
        <v>0.99990860000000004</v>
      </c>
      <c r="AB5457">
        <v>23</v>
      </c>
      <c r="AC5457">
        <v>-15.485900000000001</v>
      </c>
      <c r="AD5457">
        <v>-1.12057983695</v>
      </c>
      <c r="AE5457">
        <v>-9.6000000000060395E-3</v>
      </c>
      <c r="AF5457">
        <v>-0.211977545843096</v>
      </c>
      <c r="AG5457">
        <v>-1.12057983695</v>
      </c>
      <c r="AH5457">
        <v>15.403780264620799</v>
      </c>
      <c r="AI5457">
        <v>94.160377924620406</v>
      </c>
      <c r="AJ5457">
        <v>90.788420239898798</v>
      </c>
      <c r="AK5457">
        <v>15.4459405699894</v>
      </c>
      <c r="AL5457">
        <v>94.481658083400205</v>
      </c>
      <c r="AM5457">
        <v>90.560939821853793</v>
      </c>
      <c r="AN5457">
        <v>0.99999997797015305</v>
      </c>
    </row>
    <row r="5458" spans="1:40" x14ac:dyDescent="0.25">
      <c r="A5458" t="str">
        <f>"20190303154918390"</f>
        <v>20190303154918390</v>
      </c>
      <c r="B5458" t="str">
        <f>"1551599358386297"</f>
        <v>1551599358386297</v>
      </c>
      <c r="C5458" t="s">
        <v>40</v>
      </c>
      <c r="D5458">
        <v>5.3876220000000004</v>
      </c>
      <c r="E5458">
        <v>0.49890099999999998</v>
      </c>
      <c r="F5458" t="s">
        <v>41</v>
      </c>
      <c r="G5458">
        <v>-397.44479999999999</v>
      </c>
      <c r="H5458" s="1">
        <v>-1.587796E-6</v>
      </c>
      <c r="I5458">
        <v>141.53030000000001</v>
      </c>
      <c r="J5458">
        <v>-381.59089999999998</v>
      </c>
      <c r="K5458">
        <v>1.120614</v>
      </c>
      <c r="L5458">
        <v>141.51429999999999</v>
      </c>
      <c r="M5458">
        <v>-0.99979870000000004</v>
      </c>
      <c r="N5458">
        <v>-1.465932E-2</v>
      </c>
      <c r="O5458">
        <v>1.370643E-2</v>
      </c>
      <c r="P5458">
        <v>-0.99583080000000002</v>
      </c>
      <c r="Q5458">
        <v>-9.1102349999999999E-2</v>
      </c>
      <c r="R5458">
        <v>4.6378560000000001E-3</v>
      </c>
      <c r="S5458">
        <v>-2.9935610000000001</v>
      </c>
      <c r="T5458">
        <v>-0.2085514</v>
      </c>
      <c r="U5458">
        <v>3.692627E-3</v>
      </c>
      <c r="V5458">
        <v>-9.0825109999999997E-3</v>
      </c>
      <c r="W5458">
        <v>-7.6486650000000003E-2</v>
      </c>
      <c r="X5458">
        <v>0.99702919999999995</v>
      </c>
      <c r="Y5458">
        <v>-1.2417330000000001E-2</v>
      </c>
      <c r="Z5458">
        <v>-1.2761160000000001E-3</v>
      </c>
      <c r="AA5458">
        <v>0.99992210000000004</v>
      </c>
      <c r="AB5458">
        <v>23</v>
      </c>
      <c r="AC5458">
        <v>-15.853899999999999</v>
      </c>
      <c r="AD5458">
        <v>-1.120615587796</v>
      </c>
      <c r="AE5458">
        <v>1.6000000000019499E-2</v>
      </c>
      <c r="AF5458">
        <v>-0.200324341725129</v>
      </c>
      <c r="AG5458">
        <v>-1.120615587796</v>
      </c>
      <c r="AH5458">
        <v>15.773820417936401</v>
      </c>
      <c r="AI5458">
        <v>94.063295914515905</v>
      </c>
      <c r="AJ5458">
        <v>90.7276057421887</v>
      </c>
      <c r="AK5458">
        <v>15.8148449159265</v>
      </c>
      <c r="AL5458">
        <v>94.386646641395004</v>
      </c>
      <c r="AM5458">
        <v>90.521925690512603</v>
      </c>
      <c r="AN5458">
        <v>0.99999996264346303</v>
      </c>
    </row>
    <row r="5459" spans="1:40" x14ac:dyDescent="0.25">
      <c r="A5459" t="str">
        <f>"20190303154918412"</f>
        <v>20190303154918412</v>
      </c>
      <c r="B5459" t="str">
        <f>"1551599358406792"</f>
        <v>1551599358406792</v>
      </c>
      <c r="C5459" t="s">
        <v>40</v>
      </c>
      <c r="D5459">
        <v>5.499352</v>
      </c>
      <c r="E5459">
        <v>0.49868069999999998</v>
      </c>
      <c r="F5459" t="s">
        <v>41</v>
      </c>
      <c r="G5459">
        <v>-397.95780000000002</v>
      </c>
      <c r="H5459" s="1">
        <v>-1.372315E-6</v>
      </c>
      <c r="I5459">
        <v>141.54750000000001</v>
      </c>
      <c r="J5459">
        <v>-381.82209999999998</v>
      </c>
      <c r="K5459">
        <v>1.120652</v>
      </c>
      <c r="L5459">
        <v>141.5181</v>
      </c>
      <c r="M5459">
        <v>-0.99979169999999995</v>
      </c>
      <c r="N5459">
        <v>-1.4653390000000001E-2</v>
      </c>
      <c r="O5459">
        <v>1.421423E-2</v>
      </c>
      <c r="P5459">
        <v>-0.99586710000000001</v>
      </c>
      <c r="Q5459">
        <v>-9.0616409999999994E-2</v>
      </c>
      <c r="R5459">
        <v>6.1179700000000004E-3</v>
      </c>
      <c r="S5459">
        <v>-2.993744</v>
      </c>
      <c r="T5459">
        <v>-0.2049783</v>
      </c>
      <c r="U5459">
        <v>6.0882569999999997E-3</v>
      </c>
      <c r="V5459">
        <v>-8.1010619999999992E-3</v>
      </c>
      <c r="W5459">
        <v>-7.6007519999999995E-2</v>
      </c>
      <c r="X5459">
        <v>0.99707429999999997</v>
      </c>
      <c r="Y5459">
        <v>-1.2127229999999999E-2</v>
      </c>
      <c r="Z5459">
        <v>-1.2676199999999999E-3</v>
      </c>
      <c r="AA5459">
        <v>0.99992570000000003</v>
      </c>
      <c r="AB5459">
        <v>23</v>
      </c>
      <c r="AC5459">
        <v>-16.1357</v>
      </c>
      <c r="AD5459">
        <v>-1.1206533723150001</v>
      </c>
      <c r="AE5459">
        <v>2.9400000000009599E-2</v>
      </c>
      <c r="AF5459">
        <v>-0.19902412563343</v>
      </c>
      <c r="AG5459">
        <v>-1.1206533723150001</v>
      </c>
      <c r="AH5459">
        <v>16.057035754589101</v>
      </c>
      <c r="AI5459">
        <v>93.992010314360698</v>
      </c>
      <c r="AJ5459">
        <v>90.710134714890799</v>
      </c>
      <c r="AK5459">
        <v>16.097324989190501</v>
      </c>
      <c r="AL5459">
        <v>94.359114355191394</v>
      </c>
      <c r="AM5459">
        <v>90.465508387022496</v>
      </c>
      <c r="AN5459">
        <v>0.99999996501128297</v>
      </c>
    </row>
    <row r="5460" spans="1:40" x14ac:dyDescent="0.25">
      <c r="A5460" t="str">
        <f>"20190303154918434"</f>
        <v>20190303154918434</v>
      </c>
      <c r="B5460" t="str">
        <f>"1551599358426312"</f>
        <v>1551599358426312</v>
      </c>
      <c r="C5460" t="s">
        <v>40</v>
      </c>
      <c r="D5460">
        <v>5.4972859999999999</v>
      </c>
      <c r="E5460">
        <v>0.4920522</v>
      </c>
      <c r="F5460" t="s">
        <v>41</v>
      </c>
      <c r="G5460">
        <v>-398.18279999999999</v>
      </c>
      <c r="H5460" s="1">
        <v>-1.280905E-6</v>
      </c>
      <c r="I5460">
        <v>141.5667</v>
      </c>
      <c r="J5460">
        <v>-382.04379999999998</v>
      </c>
      <c r="K5460">
        <v>1.120709</v>
      </c>
      <c r="L5460">
        <v>141.52180000000001</v>
      </c>
      <c r="M5460">
        <v>-0.99978599999999995</v>
      </c>
      <c r="N5460">
        <v>-1.464764E-2</v>
      </c>
      <c r="O5460">
        <v>1.4619979999999999E-2</v>
      </c>
      <c r="P5460">
        <v>-0.99583920000000004</v>
      </c>
      <c r="Q5460">
        <v>-9.0777670000000005E-2</v>
      </c>
      <c r="R5460">
        <v>8.0073939999999993E-3</v>
      </c>
      <c r="S5460">
        <v>-2.993744</v>
      </c>
      <c r="T5460">
        <v>-0.205063</v>
      </c>
      <c r="U5460">
        <v>8.9111329999999999E-3</v>
      </c>
      <c r="V5460">
        <v>-6.6057019999999998E-3</v>
      </c>
      <c r="W5460">
        <v>-7.6176670000000002E-2</v>
      </c>
      <c r="X5460">
        <v>0.99707250000000003</v>
      </c>
      <c r="Y5460">
        <v>-1.159108E-2</v>
      </c>
      <c r="Z5460">
        <v>-1.2677809999999999E-3</v>
      </c>
      <c r="AA5460">
        <v>0.99993200000000004</v>
      </c>
      <c r="AB5460">
        <v>23</v>
      </c>
      <c r="AC5460">
        <v>-16.138999999999999</v>
      </c>
      <c r="AD5460">
        <v>-1.120710280905</v>
      </c>
      <c r="AE5460">
        <v>4.4899999999984098E-2</v>
      </c>
      <c r="AF5460">
        <v>-0.19016495126279701</v>
      </c>
      <c r="AG5460">
        <v>-1.120710280905</v>
      </c>
      <c r="AH5460">
        <v>16.060487053996798</v>
      </c>
      <c r="AI5460">
        <v>93.9913839686334</v>
      </c>
      <c r="AJ5460">
        <v>90.678381666765205</v>
      </c>
      <c r="AK5460">
        <v>16.100664540757801</v>
      </c>
      <c r="AL5460">
        <v>94.368833764774195</v>
      </c>
      <c r="AM5460">
        <v>90.379584541826702</v>
      </c>
      <c r="AN5460">
        <v>1.0000000453037201</v>
      </c>
    </row>
    <row r="5461" spans="1:40" x14ac:dyDescent="0.25">
      <c r="A5461" t="str">
        <f>"20190303154918448"</f>
        <v>20190303154918448</v>
      </c>
      <c r="B5461" t="str">
        <f>"1551599358437048"</f>
        <v>1551599358437048</v>
      </c>
      <c r="C5461" t="s">
        <v>40</v>
      </c>
      <c r="D5461">
        <v>5.4937310000000004</v>
      </c>
      <c r="E5461">
        <v>0.49131150000000001</v>
      </c>
      <c r="F5461" t="s">
        <v>41</v>
      </c>
      <c r="G5461">
        <v>-394.91919999999999</v>
      </c>
      <c r="H5461" s="1">
        <v>-2.6241730000000001E-6</v>
      </c>
      <c r="I5461">
        <v>141.35329999999999</v>
      </c>
      <c r="J5461">
        <v>-382.1866</v>
      </c>
      <c r="K5461">
        <v>1.1207579999999999</v>
      </c>
      <c r="L5461">
        <v>141.52420000000001</v>
      </c>
      <c r="M5461">
        <v>-0.99978299999999998</v>
      </c>
      <c r="N5461">
        <v>-1.4643959999999999E-2</v>
      </c>
      <c r="O5461">
        <v>1.4826499999999999E-2</v>
      </c>
      <c r="P5461">
        <v>-0.99580480000000005</v>
      </c>
      <c r="Q5461">
        <v>-9.1097300000000006E-2</v>
      </c>
      <c r="R5461">
        <v>8.6053050000000006E-3</v>
      </c>
      <c r="S5461">
        <v>-2.9891359999999998</v>
      </c>
      <c r="T5461">
        <v>-0.26018429999999998</v>
      </c>
      <c r="U5461">
        <v>-3.9093019999999999E-2</v>
      </c>
      <c r="V5461">
        <v>-6.2047500000000002E-3</v>
      </c>
      <c r="W5461">
        <v>-7.650129E-2</v>
      </c>
      <c r="X5461">
        <v>0.9970502</v>
      </c>
      <c r="Y5461">
        <v>-2.774126E-2</v>
      </c>
      <c r="Z5461">
        <v>-2.4798760000000002E-3</v>
      </c>
      <c r="AA5461">
        <v>0.99961199999999995</v>
      </c>
      <c r="AB5461">
        <v>23</v>
      </c>
      <c r="AC5461">
        <v>-12.7325999999999</v>
      </c>
      <c r="AD5461">
        <v>-1.1207606241729999</v>
      </c>
      <c r="AE5461">
        <v>-0.17090000000001701</v>
      </c>
      <c r="AF5461">
        <v>-0.356916417004839</v>
      </c>
      <c r="AG5461">
        <v>-1.1207606241729999</v>
      </c>
      <c r="AH5461">
        <v>12.6308196338868</v>
      </c>
      <c r="AI5461">
        <v>95.068688748118007</v>
      </c>
      <c r="AJ5461">
        <v>91.618609444023804</v>
      </c>
      <c r="AK5461">
        <v>12.685467998036399</v>
      </c>
      <c r="AL5461">
        <v>94.387487647657196</v>
      </c>
      <c r="AM5461">
        <v>90.356553159315894</v>
      </c>
      <c r="AN5461">
        <v>1.00000002380713</v>
      </c>
    </row>
    <row r="5462" spans="1:40" x14ac:dyDescent="0.25">
      <c r="A5462" t="str">
        <f>"20190303154918469"</f>
        <v>20190303154918469</v>
      </c>
      <c r="B5462" t="str">
        <f>"1551599358456568"</f>
        <v>1551599358456568</v>
      </c>
      <c r="C5462" t="s">
        <v>40</v>
      </c>
      <c r="D5462">
        <v>5.4732960000000004</v>
      </c>
      <c r="E5462">
        <v>0.49245739999999999</v>
      </c>
      <c r="F5462" t="s">
        <v>41</v>
      </c>
      <c r="G5462">
        <v>-394.83960000000002</v>
      </c>
      <c r="H5462" s="1">
        <v>-2.6549580000000001E-6</v>
      </c>
      <c r="I5462">
        <v>141.34059999999999</v>
      </c>
      <c r="J5462">
        <v>-382.39519999999999</v>
      </c>
      <c r="K5462">
        <v>1.120846</v>
      </c>
      <c r="L5462">
        <v>141.52760000000001</v>
      </c>
      <c r="M5462">
        <v>-0.99977959999999999</v>
      </c>
      <c r="N5462">
        <v>-1.463862E-2</v>
      </c>
      <c r="O5462">
        <v>1.504755E-2</v>
      </c>
      <c r="P5462">
        <v>-0.99578630000000001</v>
      </c>
      <c r="Q5462">
        <v>-9.1217090000000001E-2</v>
      </c>
      <c r="R5462">
        <v>9.4283990000000005E-3</v>
      </c>
      <c r="S5462">
        <v>-2.9887999999999999</v>
      </c>
      <c r="T5462">
        <v>-0.26473950000000002</v>
      </c>
      <c r="U5462">
        <v>-4.3334959999999999E-2</v>
      </c>
      <c r="V5462">
        <v>-5.5861599999999997E-3</v>
      </c>
      <c r="W5462">
        <v>-7.6627929999999997E-2</v>
      </c>
      <c r="X5462">
        <v>0.99704409999999999</v>
      </c>
      <c r="Y5462">
        <v>-2.9368439999999999E-2</v>
      </c>
      <c r="Z5462">
        <v>-2.6238250000000002E-3</v>
      </c>
      <c r="AA5462">
        <v>0.99956520000000004</v>
      </c>
      <c r="AB5462">
        <v>23</v>
      </c>
      <c r="AC5462">
        <v>-12.4444</v>
      </c>
      <c r="AD5462">
        <v>-1.1208486549579999</v>
      </c>
      <c r="AE5462">
        <v>-0.18700000000001099</v>
      </c>
      <c r="AF5462">
        <v>-0.37124563432035101</v>
      </c>
      <c r="AG5462">
        <v>-1.1208486549579999</v>
      </c>
      <c r="AH5462">
        <v>12.3400921436053</v>
      </c>
      <c r="AI5462">
        <v>95.187591386824494</v>
      </c>
      <c r="AJ5462">
        <v>91.723195742713997</v>
      </c>
      <c r="AK5462">
        <v>12.396451070406901</v>
      </c>
      <c r="AL5462">
        <v>94.394765090685993</v>
      </c>
      <c r="AM5462">
        <v>90.321008913012307</v>
      </c>
      <c r="AN5462">
        <v>0.99999999109222004</v>
      </c>
    </row>
    <row r="5463" spans="1:40" x14ac:dyDescent="0.25">
      <c r="A5463" t="str">
        <f>"20190303154918481"</f>
        <v>20190303154918481</v>
      </c>
      <c r="B5463" t="str">
        <f>"1551599358476089"</f>
        <v>1551599358476089</v>
      </c>
      <c r="C5463" t="s">
        <v>40</v>
      </c>
      <c r="D5463">
        <v>5.469767</v>
      </c>
      <c r="E5463">
        <v>0.51312709999999995</v>
      </c>
      <c r="F5463" t="s">
        <v>41</v>
      </c>
      <c r="G5463">
        <v>-395.72609999999997</v>
      </c>
      <c r="H5463" s="1">
        <v>-2.2872630000000001E-6</v>
      </c>
      <c r="I5463">
        <v>141.38800000000001</v>
      </c>
      <c r="J5463">
        <v>-382.53039999999999</v>
      </c>
      <c r="K5463">
        <v>1.1209020000000001</v>
      </c>
      <c r="L5463">
        <v>141.52969999999999</v>
      </c>
      <c r="M5463">
        <v>-0.99977819999999995</v>
      </c>
      <c r="N5463">
        <v>-1.463514E-2</v>
      </c>
      <c r="O5463">
        <v>1.514821E-2</v>
      </c>
      <c r="P5463">
        <v>-0.99583100000000002</v>
      </c>
      <c r="Q5463">
        <v>-9.0754479999999998E-2</v>
      </c>
      <c r="R5463">
        <v>9.177068E-3</v>
      </c>
      <c r="S5463">
        <v>-2.9899900000000001</v>
      </c>
      <c r="T5463">
        <v>-0.2513958</v>
      </c>
      <c r="U5463">
        <v>-3.1280519999999999E-2</v>
      </c>
      <c r="V5463">
        <v>-5.9291509999999997E-3</v>
      </c>
      <c r="W5463">
        <v>-7.6168879999999994E-2</v>
      </c>
      <c r="X5463">
        <v>0.99707730000000006</v>
      </c>
      <c r="Y5463">
        <v>-2.5466969999999998E-2</v>
      </c>
      <c r="Z5463">
        <v>-2.3054410000000001E-3</v>
      </c>
      <c r="AA5463">
        <v>0.99967300000000003</v>
      </c>
      <c r="AB5463">
        <v>23</v>
      </c>
      <c r="AC5463">
        <v>-13.195699999999899</v>
      </c>
      <c r="AD5463">
        <v>-1.120904287263</v>
      </c>
      <c r="AE5463">
        <v>-0.141699999999985</v>
      </c>
      <c r="AF5463">
        <v>-0.33914948904936298</v>
      </c>
      <c r="AG5463">
        <v>-1.120904287263</v>
      </c>
      <c r="AH5463">
        <v>13.097543180233499</v>
      </c>
      <c r="AI5463">
        <v>94.889895188286701</v>
      </c>
      <c r="AJ5463">
        <v>91.483292917754</v>
      </c>
      <c r="AK5463">
        <v>13.1497941487769</v>
      </c>
      <c r="AL5463">
        <v>94.368386338731398</v>
      </c>
      <c r="AM5463">
        <v>90.340707108897206</v>
      </c>
      <c r="AN5463">
        <v>0.99999999764366199</v>
      </c>
    </row>
    <row r="5464" spans="1:40" x14ac:dyDescent="0.25">
      <c r="A5464" t="str">
        <f>"20190303154918502"</f>
        <v>20190303154918502</v>
      </c>
      <c r="B5464" t="str">
        <f>"1551599358496584"</f>
        <v>1551599358496584</v>
      </c>
      <c r="C5464" t="s">
        <v>40</v>
      </c>
      <c r="D5464">
        <v>5.4835969999999996</v>
      </c>
      <c r="E5464">
        <v>0.51290170000000002</v>
      </c>
      <c r="F5464" t="s">
        <v>59</v>
      </c>
      <c r="G5464">
        <v>-402.2088</v>
      </c>
      <c r="H5464" s="1">
        <v>-7.4953009999999901E-6</v>
      </c>
      <c r="I5464">
        <v>142.41380000000001</v>
      </c>
      <c r="J5464">
        <v>-382.74020000000002</v>
      </c>
      <c r="K5464">
        <v>1.120981</v>
      </c>
      <c r="L5464">
        <v>141.53299999999999</v>
      </c>
      <c r="M5464">
        <v>-0.99977720000000003</v>
      </c>
      <c r="N5464">
        <v>-1.462983E-2</v>
      </c>
      <c r="O5464">
        <v>1.5214800000000001E-2</v>
      </c>
      <c r="P5464">
        <v>-0.9959327</v>
      </c>
      <c r="Q5464">
        <v>-8.9697970000000002E-2</v>
      </c>
      <c r="R5464">
        <v>8.5138460000000003E-3</v>
      </c>
      <c r="S5464">
        <v>-2.9957579999999999</v>
      </c>
      <c r="T5464">
        <v>-0.17064260000000001</v>
      </c>
      <c r="U5464">
        <v>0.13458249999999999</v>
      </c>
      <c r="V5464">
        <v>-6.6456999999999896E-3</v>
      </c>
      <c r="W5464">
        <v>-7.511748E-2</v>
      </c>
      <c r="X5464">
        <v>0.99715259999999994</v>
      </c>
      <c r="Y5464">
        <v>2.9626119999999999E-2</v>
      </c>
      <c r="Z5464">
        <v>4.1668070000000002E-4</v>
      </c>
      <c r="AA5464">
        <v>0.99956100000000003</v>
      </c>
      <c r="AB5464">
        <v>23</v>
      </c>
      <c r="AC5464">
        <v>-19.468599999999899</v>
      </c>
      <c r="AD5464">
        <v>-1.1209884953010001</v>
      </c>
      <c r="AE5464">
        <v>0.88080000000002101</v>
      </c>
      <c r="AF5464">
        <v>0.58252810511734998</v>
      </c>
      <c r="AG5464">
        <v>-1.1209884953010001</v>
      </c>
      <c r="AH5464">
        <v>19.415510380208602</v>
      </c>
      <c r="AI5464">
        <v>93.302920647418404</v>
      </c>
      <c r="AJ5464">
        <v>88.281456858778995</v>
      </c>
      <c r="AK5464">
        <v>19.456566951130899</v>
      </c>
      <c r="AL5464">
        <v>94.307972219420904</v>
      </c>
      <c r="AM5464">
        <v>90.381852210365395</v>
      </c>
      <c r="AN5464">
        <v>1.00000005440839</v>
      </c>
    </row>
    <row r="5465" spans="1:40" x14ac:dyDescent="0.25">
      <c r="A5465" t="str">
        <f>"20190303154918523"</f>
        <v>20190303154918523</v>
      </c>
      <c r="B5465" t="str">
        <f>"1551599358516105"</f>
        <v>1551599358516105</v>
      </c>
      <c r="C5465" t="s">
        <v>40</v>
      </c>
      <c r="D5465">
        <v>5.4768860000000004</v>
      </c>
      <c r="E5465">
        <v>0.51242270000000001</v>
      </c>
      <c r="F5465" t="s">
        <v>59</v>
      </c>
      <c r="G5465">
        <v>-403.34530000000001</v>
      </c>
      <c r="H5465" s="1">
        <v>-8.0072759999999997E-6</v>
      </c>
      <c r="I5465">
        <v>142.4332</v>
      </c>
      <c r="J5465">
        <v>-382.95890000000003</v>
      </c>
      <c r="K5465">
        <v>1.121059</v>
      </c>
      <c r="L5465">
        <v>141.53630000000001</v>
      </c>
      <c r="M5465">
        <v>-0.99977769999999999</v>
      </c>
      <c r="N5465">
        <v>-1.46243E-2</v>
      </c>
      <c r="O5465">
        <v>1.518473E-2</v>
      </c>
      <c r="P5465">
        <v>-0.99610100000000001</v>
      </c>
      <c r="Q5465">
        <v>-8.7906629999999999E-2</v>
      </c>
      <c r="R5465">
        <v>7.438648E-3</v>
      </c>
      <c r="S5465">
        <v>-2.996429</v>
      </c>
      <c r="T5465">
        <v>-0.16301579999999999</v>
      </c>
      <c r="U5465">
        <v>0.1309052</v>
      </c>
      <c r="V5465">
        <v>-7.680887E-3</v>
      </c>
      <c r="W5465">
        <v>-7.3330850000000003E-2</v>
      </c>
      <c r="X5465">
        <v>0.99727809999999995</v>
      </c>
      <c r="Y5465">
        <v>2.842722E-2</v>
      </c>
      <c r="Z5465">
        <v>3.7737019999999999E-4</v>
      </c>
      <c r="AA5465">
        <v>0.99959580000000003</v>
      </c>
      <c r="AB5465">
        <v>23</v>
      </c>
      <c r="AC5465">
        <v>-20.386399999999899</v>
      </c>
      <c r="AD5465">
        <v>-1.1210670072759901</v>
      </c>
      <c r="AE5465">
        <v>0.89689999999998704</v>
      </c>
      <c r="AF5465">
        <v>0.58543453077987295</v>
      </c>
      <c r="AG5465">
        <v>-1.1210670072759901</v>
      </c>
      <c r="AH5465">
        <v>20.3362915124704</v>
      </c>
      <c r="AI5465">
        <v>93.154013702958494</v>
      </c>
      <c r="AJ5465">
        <v>88.351043189615396</v>
      </c>
      <c r="AK5465">
        <v>20.3755804163908</v>
      </c>
      <c r="AL5465">
        <v>94.205322892912903</v>
      </c>
      <c r="AM5465">
        <v>90.441274812562199</v>
      </c>
      <c r="AN5465">
        <v>1.00000000916321</v>
      </c>
    </row>
    <row r="5466" spans="1:40" x14ac:dyDescent="0.25">
      <c r="A5466" t="str">
        <f>"20190303154918547"</f>
        <v>20190303154918547</v>
      </c>
      <c r="B5466" t="str">
        <f>"1551599358536601"</f>
        <v>1551599358536601</v>
      </c>
      <c r="C5466" t="s">
        <v>40</v>
      </c>
      <c r="D5466">
        <v>5.4700340000000001</v>
      </c>
      <c r="E5466">
        <v>0.51209249999999995</v>
      </c>
      <c r="F5466" t="s">
        <v>59</v>
      </c>
      <c r="G5466">
        <v>-404.89589999999998</v>
      </c>
      <c r="H5466" s="1">
        <v>-8.6990239999999999E-6</v>
      </c>
      <c r="I5466">
        <v>142.44329999999999</v>
      </c>
      <c r="J5466">
        <v>-383.18709999999999</v>
      </c>
      <c r="K5466">
        <v>1.1211180000000001</v>
      </c>
      <c r="L5466">
        <v>141.53970000000001</v>
      </c>
      <c r="M5466">
        <v>-0.9997798</v>
      </c>
      <c r="N5466">
        <v>-1.461837E-2</v>
      </c>
      <c r="O5466">
        <v>1.505749E-2</v>
      </c>
      <c r="P5466">
        <v>-0.99622480000000002</v>
      </c>
      <c r="Q5466">
        <v>-8.6624740000000006E-2</v>
      </c>
      <c r="R5466">
        <v>5.6933330000000001E-3</v>
      </c>
      <c r="S5466">
        <v>-2.9973139999999998</v>
      </c>
      <c r="T5466">
        <v>-0.15317500000000001</v>
      </c>
      <c r="U5466">
        <v>0.1239166</v>
      </c>
      <c r="V5466">
        <v>-9.2919179999999997E-3</v>
      </c>
      <c r="W5466">
        <v>-7.2054989999999999E-2</v>
      </c>
      <c r="X5466">
        <v>0.99735739999999995</v>
      </c>
      <c r="Y5466">
        <v>2.6222369999999998E-2</v>
      </c>
      <c r="Z5466">
        <v>3.1259609999999998E-4</v>
      </c>
      <c r="AA5466">
        <v>0.99965610000000005</v>
      </c>
      <c r="AB5466">
        <v>23</v>
      </c>
      <c r="AC5466">
        <v>-21.7088</v>
      </c>
      <c r="AD5466">
        <v>-1.1211266990240001</v>
      </c>
      <c r="AE5466">
        <v>0.90359999999998297</v>
      </c>
      <c r="AF5466">
        <v>0.57505151562025703</v>
      </c>
      <c r="AG5466">
        <v>-1.1211266990240001</v>
      </c>
      <c r="AH5466">
        <v>21.6622704277903</v>
      </c>
      <c r="AI5466">
        <v>92.9616473484826</v>
      </c>
      <c r="AJ5466">
        <v>88.479370446682395</v>
      </c>
      <c r="AK5466">
        <v>21.698884059038601</v>
      </c>
      <c r="AL5466">
        <v>94.132027528505503</v>
      </c>
      <c r="AM5466">
        <v>90.533782856987798</v>
      </c>
      <c r="AN5466">
        <v>1.0000000223293799</v>
      </c>
    </row>
    <row r="5467" spans="1:40" x14ac:dyDescent="0.25">
      <c r="A5467" t="str">
        <f>"20190303154918568"</f>
        <v>20190303154918568</v>
      </c>
      <c r="B5467" t="str">
        <f>"1551599358556120"</f>
        <v>1551599358556120</v>
      </c>
      <c r="C5467" t="s">
        <v>40</v>
      </c>
      <c r="D5467">
        <v>5.4655610000000001</v>
      </c>
      <c r="E5467">
        <v>0.51201209999999997</v>
      </c>
      <c r="F5467" t="s">
        <v>59</v>
      </c>
      <c r="G5467">
        <v>-406.05919999999998</v>
      </c>
      <c r="H5467" s="1">
        <v>-9.4044540000000003E-6</v>
      </c>
      <c r="I5467">
        <v>142.42449999999999</v>
      </c>
      <c r="J5467">
        <v>-383.4126</v>
      </c>
      <c r="K5467">
        <v>1.1211549999999999</v>
      </c>
      <c r="L5467">
        <v>141.5429</v>
      </c>
      <c r="M5467">
        <v>-0.99978290000000003</v>
      </c>
      <c r="N5467">
        <v>-1.46126E-2</v>
      </c>
      <c r="O5467">
        <v>1.4857220000000001E-2</v>
      </c>
      <c r="P5467">
        <v>-0.99629069999999997</v>
      </c>
      <c r="Q5467">
        <v>-8.5997889999999994E-2</v>
      </c>
      <c r="R5467">
        <v>3.0503090000000002E-3</v>
      </c>
      <c r="S5467">
        <v>-2.997925</v>
      </c>
      <c r="T5467">
        <v>-0.14694989999999999</v>
      </c>
      <c r="U5467">
        <v>0.1159821</v>
      </c>
      <c r="V5467">
        <v>-1.172927E-2</v>
      </c>
      <c r="W5467">
        <v>-7.143526E-2</v>
      </c>
      <c r="X5467">
        <v>0.99737629999999999</v>
      </c>
      <c r="Y5467">
        <v>2.377831E-2</v>
      </c>
      <c r="Z5467">
        <v>2.4563200000000002E-4</v>
      </c>
      <c r="AA5467">
        <v>0.99971719999999997</v>
      </c>
      <c r="AB5467">
        <v>23</v>
      </c>
      <c r="AC5467">
        <v>-22.6465999999999</v>
      </c>
      <c r="AD5467">
        <v>-1.1211644044539999</v>
      </c>
      <c r="AE5467">
        <v>0.88159999999999095</v>
      </c>
      <c r="AF5467">
        <v>0.54367075740828796</v>
      </c>
      <c r="AG5467">
        <v>-1.1211644044539999</v>
      </c>
      <c r="AH5467">
        <v>22.601887344672601</v>
      </c>
      <c r="AI5467">
        <v>92.839003912349895</v>
      </c>
      <c r="AJ5467">
        <v>88.622060468096294</v>
      </c>
      <c r="AK5467">
        <v>22.636207700397701</v>
      </c>
      <c r="AL5467">
        <v>94.096427851746398</v>
      </c>
      <c r="AM5467">
        <v>90.673774471362805</v>
      </c>
      <c r="AN5467">
        <v>1.0000000279738399</v>
      </c>
    </row>
    <row r="5468" spans="1:40" x14ac:dyDescent="0.25">
      <c r="A5468" t="str">
        <f>"20190303154918583"</f>
        <v>20190303154918583</v>
      </c>
      <c r="B5468" t="str">
        <f>"1551599358576617"</f>
        <v>1551599358576617</v>
      </c>
      <c r="C5468" t="s">
        <v>40</v>
      </c>
      <c r="D5468">
        <v>5.4775179999999999</v>
      </c>
      <c r="E5468">
        <v>0.51211890000000004</v>
      </c>
      <c r="F5468" t="s">
        <v>59</v>
      </c>
      <c r="G5468">
        <v>-406.76459999999997</v>
      </c>
      <c r="H5468" s="1">
        <v>-9.8240480000000008E-6</v>
      </c>
      <c r="I5468">
        <v>142.37700000000001</v>
      </c>
      <c r="J5468">
        <v>-383.55759999999998</v>
      </c>
      <c r="K5468">
        <v>1.121173</v>
      </c>
      <c r="L5468">
        <v>141.54490000000001</v>
      </c>
      <c r="M5468">
        <v>-0.99978520000000004</v>
      </c>
      <c r="N5468">
        <v>-1.4608909999999999E-2</v>
      </c>
      <c r="O5468">
        <v>1.470193E-2</v>
      </c>
      <c r="P5468">
        <v>-0.99633740000000004</v>
      </c>
      <c r="Q5468">
        <v>-8.5496160000000002E-2</v>
      </c>
      <c r="R5468">
        <v>1.587069E-3</v>
      </c>
      <c r="S5468">
        <v>-2.9983520000000001</v>
      </c>
      <c r="T5468">
        <v>-0.14395529999999901</v>
      </c>
      <c r="U5468">
        <v>0.1071014</v>
      </c>
      <c r="V5468">
        <v>-1.303473E-2</v>
      </c>
      <c r="W5468">
        <v>-7.0937929999999996E-2</v>
      </c>
      <c r="X5468">
        <v>0.99739560000000005</v>
      </c>
      <c r="Y5468">
        <v>2.0976040000000001E-2</v>
      </c>
      <c r="Z5468">
        <v>1.659768E-4</v>
      </c>
      <c r="AA5468">
        <v>0.99977990000000005</v>
      </c>
      <c r="AB5468">
        <v>23</v>
      </c>
      <c r="AC5468">
        <v>-23.206999999999901</v>
      </c>
      <c r="AD5468">
        <v>-1.121182824048</v>
      </c>
      <c r="AE5468">
        <v>0.83209999999999695</v>
      </c>
      <c r="AF5468">
        <v>0.48964454696362802</v>
      </c>
      <c r="AG5468">
        <v>-1.121182824048</v>
      </c>
      <c r="AH5468">
        <v>23.1627319068192</v>
      </c>
      <c r="AI5468">
        <v>92.770598424851798</v>
      </c>
      <c r="AJ5468">
        <v>88.788986190812906</v>
      </c>
      <c r="AK5468">
        <v>23.195019984783201</v>
      </c>
      <c r="AL5468">
        <v>94.067860424343706</v>
      </c>
      <c r="AM5468">
        <v>90.748742527509904</v>
      </c>
      <c r="AN5468">
        <v>1.0000000384990999</v>
      </c>
    </row>
    <row r="5469" spans="1:40" x14ac:dyDescent="0.25">
      <c r="A5469" t="str">
        <f>"20190303154918601"</f>
        <v>20190303154918601</v>
      </c>
      <c r="B5469" t="str">
        <f>"1551599358596137"</f>
        <v>1551599358596137</v>
      </c>
      <c r="C5469" t="s">
        <v>40</v>
      </c>
      <c r="D5469">
        <v>5.4277129999999998</v>
      </c>
      <c r="E5469">
        <v>0.51246199999999997</v>
      </c>
      <c r="F5469" t="s">
        <v>59</v>
      </c>
      <c r="G5469">
        <v>-407.23590000000002</v>
      </c>
      <c r="H5469" s="1">
        <v>-1.011153E-5</v>
      </c>
      <c r="I5469">
        <v>142.36259999999999</v>
      </c>
      <c r="J5469">
        <v>-383.75220000000002</v>
      </c>
      <c r="K5469">
        <v>1.1211869999999999</v>
      </c>
      <c r="L5469">
        <v>141.54750000000001</v>
      </c>
      <c r="M5469">
        <v>-0.99978880000000003</v>
      </c>
      <c r="N5469">
        <v>-1.4604010000000001E-2</v>
      </c>
      <c r="O5469">
        <v>1.446836E-2</v>
      </c>
      <c r="P5469">
        <v>-0.99638419999999905</v>
      </c>
      <c r="Q5469">
        <v>-8.4956870000000004E-2</v>
      </c>
      <c r="R5469">
        <v>-9.587889E-4</v>
      </c>
      <c r="S5469">
        <v>-2.998688</v>
      </c>
      <c r="T5469">
        <v>-0.1419899</v>
      </c>
      <c r="U5469">
        <v>0.1035614</v>
      </c>
      <c r="V5469">
        <v>-1.534572E-2</v>
      </c>
      <c r="W5469">
        <v>-7.0404949999999994E-2</v>
      </c>
      <c r="X5469">
        <v>0.99740050000000002</v>
      </c>
      <c r="Y5469">
        <v>2.0028500000000001E-2</v>
      </c>
      <c r="Z5469">
        <v>1.4692439999999999E-4</v>
      </c>
      <c r="AA5469">
        <v>0.9997994</v>
      </c>
      <c r="AB5469">
        <v>23</v>
      </c>
      <c r="AC5469">
        <v>-23.483699999999999</v>
      </c>
      <c r="AD5469">
        <v>-1.1211971115299999</v>
      </c>
      <c r="AE5469">
        <v>0.81509999999997196</v>
      </c>
      <c r="AF5469">
        <v>0.47412838913838101</v>
      </c>
      <c r="AG5469">
        <v>-1.1211971115299999</v>
      </c>
      <c r="AH5469">
        <v>23.439670434981899</v>
      </c>
      <c r="AI5469">
        <v>92.738000417670094</v>
      </c>
      <c r="AJ5469">
        <v>88.841201643756705</v>
      </c>
      <c r="AK5469">
        <v>23.4712596763117</v>
      </c>
      <c r="AL5469">
        <v>94.037246317044307</v>
      </c>
      <c r="AM5469">
        <v>90.881466994535003</v>
      </c>
      <c r="AN5469">
        <v>1.00000005275353</v>
      </c>
    </row>
    <row r="5470" spans="1:40" x14ac:dyDescent="0.25">
      <c r="A5470" t="str">
        <f>"20190303154918615"</f>
        <v>20190303154918615</v>
      </c>
      <c r="B5470" t="str">
        <f>"1551599358605897"</f>
        <v>1551599358605897</v>
      </c>
      <c r="C5470" t="s">
        <v>40</v>
      </c>
      <c r="D5470">
        <v>5.4129209999999999</v>
      </c>
      <c r="E5470">
        <v>0.51277640000000002</v>
      </c>
      <c r="F5470" t="s">
        <v>59</v>
      </c>
      <c r="G5470">
        <v>-407.47739999999999</v>
      </c>
      <c r="H5470" s="1">
        <v>-1.0246640000000001E-5</v>
      </c>
      <c r="I5470">
        <v>142.32550000000001</v>
      </c>
      <c r="J5470">
        <v>-383.89249999999998</v>
      </c>
      <c r="K5470">
        <v>1.121192</v>
      </c>
      <c r="L5470">
        <v>141.54929999999999</v>
      </c>
      <c r="M5470">
        <v>-0.9997914</v>
      </c>
      <c r="N5470">
        <v>-1.460058E-2</v>
      </c>
      <c r="O5470">
        <v>1.429135E-2</v>
      </c>
      <c r="P5470">
        <v>-0.99637580000000003</v>
      </c>
      <c r="Q5470">
        <v>-8.5034890000000002E-2</v>
      </c>
      <c r="R5470">
        <v>-2.1352680000000001E-3</v>
      </c>
      <c r="S5470">
        <v>-2.9989319999999999</v>
      </c>
      <c r="T5470">
        <v>-0.1417223</v>
      </c>
      <c r="U5470">
        <v>9.8342899999999997E-2</v>
      </c>
      <c r="V5470">
        <v>-1.634437E-2</v>
      </c>
      <c r="W5470">
        <v>-7.0487460000000002E-2</v>
      </c>
      <c r="X5470">
        <v>0.99737880000000001</v>
      </c>
      <c r="Y5470">
        <v>1.8467129999999998E-2</v>
      </c>
      <c r="Z5470">
        <v>1.047468E-4</v>
      </c>
      <c r="AA5470">
        <v>0.99982950000000004</v>
      </c>
      <c r="AB5470">
        <v>23</v>
      </c>
      <c r="AC5470">
        <v>-23.584900000000001</v>
      </c>
      <c r="AD5470">
        <v>-1.12120224663999</v>
      </c>
      <c r="AE5470">
        <v>0.77620000000001699</v>
      </c>
      <c r="AF5470">
        <v>0.43803589332224602</v>
      </c>
      <c r="AG5470">
        <v>-1.12120224663999</v>
      </c>
      <c r="AH5470">
        <v>23.540442183751299</v>
      </c>
      <c r="AI5470">
        <v>92.726395385002903</v>
      </c>
      <c r="AJ5470">
        <v>88.933974490217395</v>
      </c>
      <c r="AK5470">
        <v>23.571198275188401</v>
      </c>
      <c r="AL5470">
        <v>94.041985594936804</v>
      </c>
      <c r="AM5470">
        <v>90.938840494672505</v>
      </c>
      <c r="AN5470">
        <v>1.0000000455686899</v>
      </c>
    </row>
    <row r="5471" spans="1:40" x14ac:dyDescent="0.25">
      <c r="A5471" t="str">
        <f>"20190303154918630"</f>
        <v>20190303154918630</v>
      </c>
      <c r="B5471" t="str">
        <f>"1551599358626393"</f>
        <v>1551599358626393</v>
      </c>
      <c r="C5471" t="s">
        <v>40</v>
      </c>
      <c r="D5471">
        <v>5.4322339999999896</v>
      </c>
      <c r="E5471">
        <v>0.51300939999999995</v>
      </c>
      <c r="F5471" t="s">
        <v>59</v>
      </c>
      <c r="G5471">
        <v>-407.35590000000002</v>
      </c>
      <c r="H5471" s="1">
        <v>-1.0164670000000001E-5</v>
      </c>
      <c r="I5471">
        <v>142.31020000000001</v>
      </c>
      <c r="J5471">
        <v>-384.03140000000002</v>
      </c>
      <c r="K5471">
        <v>1.1211930000000001</v>
      </c>
      <c r="L5471">
        <v>141.55109999999999</v>
      </c>
      <c r="M5471">
        <v>-0.99979379999999995</v>
      </c>
      <c r="N5471">
        <v>-1.45971E-2</v>
      </c>
      <c r="O5471">
        <v>1.4114410000000001E-2</v>
      </c>
      <c r="P5471">
        <v>-0.99637889999999996</v>
      </c>
      <c r="Q5471">
        <v>-8.4973350000000003E-2</v>
      </c>
      <c r="R5471">
        <v>-2.9361360000000002E-3</v>
      </c>
      <c r="S5471">
        <v>-2.9989319999999999</v>
      </c>
      <c r="T5471">
        <v>-0.1433045</v>
      </c>
      <c r="U5471">
        <v>9.7244259999999999E-2</v>
      </c>
      <c r="V5471">
        <v>-1.6968400000000002E-2</v>
      </c>
      <c r="W5471">
        <v>-7.0429930000000002E-2</v>
      </c>
      <c r="X5471">
        <v>0.99737240000000005</v>
      </c>
      <c r="Y5471">
        <v>1.8278079999999999E-2</v>
      </c>
      <c r="Z5471">
        <v>1.019711E-4</v>
      </c>
      <c r="AA5471">
        <v>0.99983290000000002</v>
      </c>
      <c r="AB5471">
        <v>23</v>
      </c>
      <c r="AC5471">
        <v>-23.3245</v>
      </c>
      <c r="AD5471">
        <v>-1.12120316467</v>
      </c>
      <c r="AE5471">
        <v>0.75910000000001698</v>
      </c>
      <c r="AF5471">
        <v>0.42878796869209501</v>
      </c>
      <c r="AG5471">
        <v>-1.12120316467</v>
      </c>
      <c r="AH5471">
        <v>23.279157185275</v>
      </c>
      <c r="AI5471">
        <v>92.756961317460807</v>
      </c>
      <c r="AJ5471">
        <v>88.944765788435404</v>
      </c>
      <c r="AK5471">
        <v>23.310086119860198</v>
      </c>
      <c r="AL5471">
        <v>94.038681328731698</v>
      </c>
      <c r="AM5471">
        <v>90.974685002278804</v>
      </c>
      <c r="AN5471">
        <v>1.00000000296006</v>
      </c>
    </row>
    <row r="5472" spans="1:40" x14ac:dyDescent="0.25">
      <c r="A5472" t="str">
        <f>"20190303154918647"</f>
        <v>20190303154918647</v>
      </c>
      <c r="B5472" t="str">
        <f>"1551599358636153"</f>
        <v>1551599358636153</v>
      </c>
      <c r="C5472" t="s">
        <v>40</v>
      </c>
      <c r="D5472">
        <v>5.428731</v>
      </c>
      <c r="E5472">
        <v>0.51330880000000001</v>
      </c>
      <c r="F5472" t="s">
        <v>59</v>
      </c>
      <c r="G5472">
        <v>-407.55939999999998</v>
      </c>
      <c r="H5472" s="1">
        <v>-1.029071E-5</v>
      </c>
      <c r="I5472">
        <v>142.30850000000001</v>
      </c>
      <c r="J5472">
        <v>-384.20030000000003</v>
      </c>
      <c r="K5472">
        <v>1.1211819999999999</v>
      </c>
      <c r="L5472">
        <v>141.55330000000001</v>
      </c>
      <c r="M5472">
        <v>-0.99979709999999999</v>
      </c>
      <c r="N5472">
        <v>-1.4592829999999999E-2</v>
      </c>
      <c r="O5472">
        <v>1.389868E-2</v>
      </c>
      <c r="P5472">
        <v>-0.99621269999999995</v>
      </c>
      <c r="Q5472">
        <v>-8.6856929999999999E-2</v>
      </c>
      <c r="R5472">
        <v>-4.0305669999999997E-3</v>
      </c>
      <c r="S5472">
        <v>-2.9989620000000001</v>
      </c>
      <c r="T5472">
        <v>-0.1429126</v>
      </c>
      <c r="U5472">
        <v>9.6542359999999994E-2</v>
      </c>
      <c r="V5472">
        <v>-1.7844860000000001E-2</v>
      </c>
      <c r="W5472">
        <v>-7.2320549999999997E-2</v>
      </c>
      <c r="X5472">
        <v>0.99722180000000005</v>
      </c>
      <c r="Y5472">
        <v>1.8259709999999998E-2</v>
      </c>
      <c r="Z5472">
        <v>1.0907360000000001E-4</v>
      </c>
      <c r="AA5472">
        <v>0.99983330000000004</v>
      </c>
      <c r="AB5472">
        <v>22</v>
      </c>
      <c r="AC5472">
        <v>-23.359099999999899</v>
      </c>
      <c r="AD5472">
        <v>-1.12119229070999</v>
      </c>
      <c r="AE5472">
        <v>0.75520000000000198</v>
      </c>
      <c r="AF5472">
        <v>0.42944354181712402</v>
      </c>
      <c r="AG5472">
        <v>-1.12119229070999</v>
      </c>
      <c r="AH5472">
        <v>23.313686245512699</v>
      </c>
      <c r="AI5472">
        <v>92.752857667109794</v>
      </c>
      <c r="AJ5472">
        <v>88.944717712510297</v>
      </c>
      <c r="AK5472">
        <v>23.344580961382999</v>
      </c>
      <c r="AL5472">
        <v>94.147282848017994</v>
      </c>
      <c r="AM5472">
        <v>91.025174190601703</v>
      </c>
      <c r="AN5472">
        <v>1.00000000968798</v>
      </c>
    </row>
    <row r="5473" spans="1:40" x14ac:dyDescent="0.25">
      <c r="A5473" t="str">
        <f>"20190303154918670"</f>
        <v>20190303154918670</v>
      </c>
      <c r="B5473" t="str">
        <f>"1551599358666408"</f>
        <v>1551599358666408</v>
      </c>
      <c r="C5473" t="s">
        <v>40</v>
      </c>
      <c r="D5473">
        <v>5.4146219999999996</v>
      </c>
      <c r="E5473">
        <v>0.51389819999999997</v>
      </c>
      <c r="F5473" t="s">
        <v>59</v>
      </c>
      <c r="G5473">
        <v>-406.6617</v>
      </c>
      <c r="H5473" s="1">
        <v>-9.7154229999999998E-6</v>
      </c>
      <c r="I5473">
        <v>142.26849999999999</v>
      </c>
      <c r="J5473">
        <v>-384.42860000000002</v>
      </c>
      <c r="K5473">
        <v>1.1211660000000001</v>
      </c>
      <c r="L5473">
        <v>141.55609999999999</v>
      </c>
      <c r="M5473">
        <v>-0.99980100000000005</v>
      </c>
      <c r="N5473">
        <v>-1.4587060000000001E-2</v>
      </c>
      <c r="O5473">
        <v>1.3612580000000001E-2</v>
      </c>
      <c r="P5473">
        <v>-0.99597780000000002</v>
      </c>
      <c r="Q5473">
        <v>-8.9505899999999999E-2</v>
      </c>
      <c r="R5473">
        <v>-4.1162799999999999E-3</v>
      </c>
      <c r="S5473">
        <v>-2.9987490000000001</v>
      </c>
      <c r="T5473">
        <v>-0.14968679999999901</v>
      </c>
      <c r="U5473">
        <v>9.5489500000000005E-2</v>
      </c>
      <c r="V5473">
        <v>-1.7641670000000002E-2</v>
      </c>
      <c r="W5473">
        <v>-7.4977989999999994E-2</v>
      </c>
      <c r="X5473">
        <v>0.9970291</v>
      </c>
      <c r="Y5473">
        <v>1.819612E-2</v>
      </c>
      <c r="Z5473">
        <v>1.0621800000000001E-4</v>
      </c>
      <c r="AA5473">
        <v>0.99983440000000001</v>
      </c>
      <c r="AB5473">
        <v>22</v>
      </c>
      <c r="AC5473">
        <v>-22.233099999999901</v>
      </c>
      <c r="AD5473">
        <v>-1.121175715423</v>
      </c>
      <c r="AE5473">
        <v>0.71240000000000203</v>
      </c>
      <c r="AF5473">
        <v>0.40861389853464802</v>
      </c>
      <c r="AG5473">
        <v>-1.121175715423</v>
      </c>
      <c r="AH5473">
        <v>22.184381033519799</v>
      </c>
      <c r="AI5473">
        <v>92.892718142494601</v>
      </c>
      <c r="AJ5473">
        <v>88.944788913525002</v>
      </c>
      <c r="AK5473">
        <v>22.216452510320501</v>
      </c>
      <c r="AL5473">
        <v>94.299957763411697</v>
      </c>
      <c r="AM5473">
        <v>91.013699365397997</v>
      </c>
      <c r="AN5473">
        <v>0.99999997687581899</v>
      </c>
    </row>
    <row r="5474" spans="1:40" x14ac:dyDescent="0.25">
      <c r="A5474" t="str">
        <f>"20190303154918691"</f>
        <v>20190303154918691</v>
      </c>
      <c r="B5474" t="str">
        <f>"1551599358685929"</f>
        <v>1551599358685929</v>
      </c>
      <c r="C5474" t="s">
        <v>40</v>
      </c>
      <c r="D5474">
        <v>5.3902809999999999</v>
      </c>
      <c r="E5474">
        <v>0.51434650000000004</v>
      </c>
      <c r="F5474" t="s">
        <v>59</v>
      </c>
      <c r="G5474">
        <v>-405.21609999999998</v>
      </c>
      <c r="H5474" s="1">
        <v>-8.8076179999999994E-6</v>
      </c>
      <c r="I5474">
        <v>142.24940000000001</v>
      </c>
      <c r="J5474">
        <v>-384.64550000000003</v>
      </c>
      <c r="K5474">
        <v>1.1211519999999999</v>
      </c>
      <c r="L5474">
        <v>141.55879999999999</v>
      </c>
      <c r="M5474">
        <v>-0.99980460000000004</v>
      </c>
      <c r="N5474">
        <v>-1.458158E-2</v>
      </c>
      <c r="O5474">
        <v>1.3352630000000001E-2</v>
      </c>
      <c r="P5474">
        <v>-0.99581609999999998</v>
      </c>
      <c r="Q5474">
        <v>-9.1319139999999993E-2</v>
      </c>
      <c r="R5474">
        <v>-3.366492E-3</v>
      </c>
      <c r="S5474">
        <v>-2.9979550000000001</v>
      </c>
      <c r="T5474">
        <v>-0.16169539999999999</v>
      </c>
      <c r="U5474">
        <v>9.9990839999999998E-2</v>
      </c>
      <c r="V5474">
        <v>-1.663241E-2</v>
      </c>
      <c r="W5474">
        <v>-7.6797699999999997E-2</v>
      </c>
      <c r="X5474">
        <v>0.99690789999999996</v>
      </c>
      <c r="Y5474">
        <v>1.995837E-2</v>
      </c>
      <c r="Z5474">
        <v>1.5855679999999999E-4</v>
      </c>
      <c r="AA5474">
        <v>0.99980080000000005</v>
      </c>
      <c r="AB5474">
        <v>22</v>
      </c>
      <c r="AC5474">
        <v>-20.570599999999899</v>
      </c>
      <c r="AD5474">
        <v>-1.121160807618</v>
      </c>
      <c r="AE5474">
        <v>0.69060000000001698</v>
      </c>
      <c r="AF5474">
        <v>0.414607385110003</v>
      </c>
      <c r="AG5474">
        <v>-1.121160807618</v>
      </c>
      <c r="AH5474">
        <v>20.5171088531912</v>
      </c>
      <c r="AI5474">
        <v>93.127189322970295</v>
      </c>
      <c r="AJ5474">
        <v>88.842331016056306</v>
      </c>
      <c r="AK5474">
        <v>20.551901530856501</v>
      </c>
      <c r="AL5474">
        <v>94.404521158259499</v>
      </c>
      <c r="AM5474">
        <v>90.955834023990903</v>
      </c>
      <c r="AN5474">
        <v>0.99999994243505197</v>
      </c>
    </row>
    <row r="5475" spans="1:40" x14ac:dyDescent="0.25">
      <c r="A5475" t="str">
        <f>"20190303154918713"</f>
        <v>20190303154918713</v>
      </c>
      <c r="B5475" t="str">
        <f>"1551599358706425"</f>
        <v>1551599358706425</v>
      </c>
      <c r="C5475" t="s">
        <v>40</v>
      </c>
      <c r="D5475">
        <v>5.3734000000000002</v>
      </c>
      <c r="E5475">
        <v>0.51475539999999997</v>
      </c>
      <c r="F5475" t="s">
        <v>59</v>
      </c>
      <c r="G5475">
        <v>-404.58909999999997</v>
      </c>
      <c r="H5475" s="1">
        <v>-8.4897630000000001E-6</v>
      </c>
      <c r="I5475">
        <v>142.26509999999999</v>
      </c>
      <c r="J5475">
        <v>-384.86450000000002</v>
      </c>
      <c r="K5475">
        <v>1.121138</v>
      </c>
      <c r="L5475">
        <v>141.56139999999999</v>
      </c>
      <c r="M5475">
        <v>-0.99980789999999997</v>
      </c>
      <c r="N5475">
        <v>-1.457607E-2</v>
      </c>
      <c r="O5475">
        <v>1.3110159999999999E-2</v>
      </c>
      <c r="P5475">
        <v>-0.99571779999999999</v>
      </c>
      <c r="Q5475">
        <v>-9.2436749999999998E-2</v>
      </c>
      <c r="R5475">
        <v>-1.3928670000000001E-3</v>
      </c>
      <c r="S5475">
        <v>-2.9974669999999999</v>
      </c>
      <c r="T5475">
        <v>-0.16850670000000001</v>
      </c>
      <c r="U5475">
        <v>0.106155399999999</v>
      </c>
      <c r="V5475">
        <v>-1.441925E-2</v>
      </c>
      <c r="W5475">
        <v>-7.7920169999999997E-2</v>
      </c>
      <c r="X5475">
        <v>0.9968553</v>
      </c>
      <c r="Y5475">
        <v>2.225359E-2</v>
      </c>
      <c r="Z5475">
        <v>2.4203749999999999E-4</v>
      </c>
      <c r="AA5475">
        <v>0.99975230000000004</v>
      </c>
      <c r="AB5475">
        <v>22</v>
      </c>
      <c r="AC5475">
        <v>-19.724599999999899</v>
      </c>
      <c r="AD5475">
        <v>-1.1211464897629999</v>
      </c>
      <c r="AE5475">
        <v>0.70369999999999699</v>
      </c>
      <c r="AF5475">
        <v>0.44358807889242202</v>
      </c>
      <c r="AG5475">
        <v>-1.1211464897629999</v>
      </c>
      <c r="AH5475">
        <v>19.6686665775938</v>
      </c>
      <c r="AI5475">
        <v>93.261596146656004</v>
      </c>
      <c r="AJ5475">
        <v>88.708025435690402</v>
      </c>
      <c r="AK5475">
        <v>19.705587653652898</v>
      </c>
      <c r="AL5475">
        <v>94.469027102976597</v>
      </c>
      <c r="AM5475">
        <v>90.828710603285799</v>
      </c>
      <c r="AN5475">
        <v>0.99999997840073995</v>
      </c>
    </row>
    <row r="5476" spans="1:40" x14ac:dyDescent="0.25">
      <c r="A5476" t="str">
        <f>"20190303154918736"</f>
        <v>20190303154918736</v>
      </c>
      <c r="B5476" t="str">
        <f>"1551599358725945"</f>
        <v>1551599358725945</v>
      </c>
      <c r="C5476" t="s">
        <v>40</v>
      </c>
      <c r="D5476">
        <v>5.3391209999999996</v>
      </c>
      <c r="E5476">
        <v>0.51516850000000003</v>
      </c>
      <c r="F5476" t="s">
        <v>59</v>
      </c>
      <c r="G5476">
        <v>-404.32569999999998</v>
      </c>
      <c r="H5476" s="1">
        <v>-8.3916609999999996E-6</v>
      </c>
      <c r="I5476">
        <v>142.3107</v>
      </c>
      <c r="J5476">
        <v>-385.09140000000002</v>
      </c>
      <c r="K5476">
        <v>1.1211139999999999</v>
      </c>
      <c r="L5476">
        <v>141.5641</v>
      </c>
      <c r="M5476">
        <v>-0.99981089999999995</v>
      </c>
      <c r="N5476">
        <v>-1.4570339999999999E-2</v>
      </c>
      <c r="O5476">
        <v>1.288489E-2</v>
      </c>
      <c r="P5476">
        <v>-0.99578520000000004</v>
      </c>
      <c r="Q5476">
        <v>-9.1715370000000004E-2</v>
      </c>
      <c r="R5476">
        <v>4.666925E-4</v>
      </c>
      <c r="S5476">
        <v>-2.9970400000000001</v>
      </c>
      <c r="T5476">
        <v>-0.17265810000000001</v>
      </c>
      <c r="U5476">
        <v>0.115387</v>
      </c>
      <c r="V5476">
        <v>-1.2340780000000001E-2</v>
      </c>
      <c r="W5476">
        <v>-7.7201770000000003E-2</v>
      </c>
      <c r="X5476">
        <v>0.99693909999999997</v>
      </c>
      <c r="Y5476">
        <v>2.555077E-2</v>
      </c>
      <c r="Z5476">
        <v>3.6775129999999998E-4</v>
      </c>
      <c r="AA5476">
        <v>0.99967349999999999</v>
      </c>
      <c r="AB5476">
        <v>22</v>
      </c>
      <c r="AC5476">
        <v>-19.234299999999902</v>
      </c>
      <c r="AD5476">
        <v>-1.121122391661</v>
      </c>
      <c r="AE5476">
        <v>0.74660000000000004</v>
      </c>
      <c r="AF5476">
        <v>0.49699390443696601</v>
      </c>
      <c r="AG5476">
        <v>-1.121122391661</v>
      </c>
      <c r="AH5476">
        <v>19.177268009700899</v>
      </c>
      <c r="AI5476">
        <v>93.344640384034406</v>
      </c>
      <c r="AJ5476">
        <v>88.515467338303495</v>
      </c>
      <c r="AK5476">
        <v>19.216438969643399</v>
      </c>
      <c r="AL5476">
        <v>94.427741399336099</v>
      </c>
      <c r="AM5476">
        <v>90.709209316656697</v>
      </c>
      <c r="AN5476">
        <v>0.99999998862547501</v>
      </c>
    </row>
    <row r="5477" spans="1:40" x14ac:dyDescent="0.25">
      <c r="A5477" t="str">
        <f>"20190303154918760"</f>
        <v>20190303154918760</v>
      </c>
      <c r="B5477" t="str">
        <f>"1551599358746441"</f>
        <v>1551599358746441</v>
      </c>
      <c r="C5477" t="s">
        <v>40</v>
      </c>
      <c r="D5477">
        <v>5.3512240000000002</v>
      </c>
      <c r="E5477">
        <v>0.51540359999999996</v>
      </c>
      <c r="F5477" t="s">
        <v>59</v>
      </c>
      <c r="G5477">
        <v>-404.79689999999999</v>
      </c>
      <c r="H5477" s="1">
        <v>-8.6292349999999994E-6</v>
      </c>
      <c r="I5477">
        <v>142.3802</v>
      </c>
      <c r="J5477">
        <v>-385.31670000000003</v>
      </c>
      <c r="K5477">
        <v>1.1210960000000001</v>
      </c>
      <c r="L5477">
        <v>141.5668</v>
      </c>
      <c r="M5477">
        <v>-0.99981339999999996</v>
      </c>
      <c r="N5477">
        <v>-1.4564489999999999E-2</v>
      </c>
      <c r="O5477">
        <v>1.2689020000000001E-2</v>
      </c>
      <c r="P5477">
        <v>-0.9959266</v>
      </c>
      <c r="Q5477">
        <v>-9.0128529999999998E-2</v>
      </c>
      <c r="R5477">
        <v>2.616784E-3</v>
      </c>
      <c r="S5477">
        <v>-2.9969480000000002</v>
      </c>
      <c r="T5477">
        <v>-0.17050789999999999</v>
      </c>
      <c r="U5477">
        <v>0.124115</v>
      </c>
      <c r="V5477">
        <v>-1.000216E-2</v>
      </c>
      <c r="W5477">
        <v>-7.5617149999999994E-2</v>
      </c>
      <c r="X5477">
        <v>0.99708680000000005</v>
      </c>
      <c r="Y5477">
        <v>2.8648710000000001E-2</v>
      </c>
      <c r="Z5477">
        <v>4.8657099999999999E-4</v>
      </c>
      <c r="AA5477">
        <v>0.99958939999999996</v>
      </c>
      <c r="AB5477">
        <v>22</v>
      </c>
      <c r="AC5477">
        <v>-19.4801999999999</v>
      </c>
      <c r="AD5477">
        <v>-1.12110462923499</v>
      </c>
      <c r="AE5477">
        <v>0.81340000000000101</v>
      </c>
      <c r="AF5477">
        <v>0.56425799312798697</v>
      </c>
      <c r="AG5477">
        <v>-1.12110462923499</v>
      </c>
      <c r="AH5477">
        <v>19.424728714158299</v>
      </c>
      <c r="AI5477">
        <v>93.301790714176306</v>
      </c>
      <c r="AJ5477">
        <v>88.336115099744006</v>
      </c>
      <c r="AK5477">
        <v>19.4652343497619</v>
      </c>
      <c r="AL5477">
        <v>94.336682913385104</v>
      </c>
      <c r="AM5477">
        <v>90.574736655190605</v>
      </c>
      <c r="AN5477">
        <v>1.00000004165651</v>
      </c>
    </row>
    <row r="5478" spans="1:40" x14ac:dyDescent="0.25">
      <c r="A5478" t="str">
        <f>"20190303154918781"</f>
        <v>20190303154918781</v>
      </c>
      <c r="B5478" t="str">
        <f>"1551599358776697"</f>
        <v>1551599358776697</v>
      </c>
      <c r="C5478" t="s">
        <v>40</v>
      </c>
      <c r="D5478">
        <v>5.3365130000000001</v>
      </c>
      <c r="E5478">
        <v>0.51564719999999997</v>
      </c>
      <c r="F5478" t="s">
        <v>59</v>
      </c>
      <c r="G5478">
        <v>-405.66430000000003</v>
      </c>
      <c r="H5478" s="1">
        <v>-9.1761490000000008E-6</v>
      </c>
      <c r="I5478">
        <v>142.46719999999999</v>
      </c>
      <c r="J5478">
        <v>-385.53379999999999</v>
      </c>
      <c r="K5478">
        <v>1.1210770000000001</v>
      </c>
      <c r="L5478">
        <v>141.5693</v>
      </c>
      <c r="M5478">
        <v>-0.99981560000000003</v>
      </c>
      <c r="N5478">
        <v>-1.4558949999999999E-2</v>
      </c>
      <c r="O5478">
        <v>1.2525959999999999E-2</v>
      </c>
      <c r="P5478">
        <v>-0.99611899999999998</v>
      </c>
      <c r="Q5478">
        <v>-8.7927759999999994E-2</v>
      </c>
      <c r="R5478">
        <v>3.9923490000000001E-3</v>
      </c>
      <c r="S5478">
        <v>-2.9969790000000001</v>
      </c>
      <c r="T5478">
        <v>-0.16512679999999999</v>
      </c>
      <c r="U5478">
        <v>0.13262939999999901</v>
      </c>
      <c r="V5478">
        <v>-8.4707010000000006E-3</v>
      </c>
      <c r="W5478">
        <v>-7.3418189999999994E-2</v>
      </c>
      <c r="X5478">
        <v>0.99726530000000002</v>
      </c>
      <c r="Y5478">
        <v>3.1642259999999998E-2</v>
      </c>
      <c r="Z5478">
        <v>5.9427619999999999E-4</v>
      </c>
      <c r="AA5478">
        <v>0.99949909999999997</v>
      </c>
      <c r="AB5478">
        <v>22</v>
      </c>
      <c r="AC5478">
        <v>-20.130500000000001</v>
      </c>
      <c r="AD5478">
        <v>-1.1210861761489901</v>
      </c>
      <c r="AE5478">
        <v>0.89789999999999204</v>
      </c>
      <c r="AF5478">
        <v>0.64365666472838601</v>
      </c>
      <c r="AG5478">
        <v>-1.1210861761489901</v>
      </c>
      <c r="AH5478">
        <v>20.078020700855198</v>
      </c>
      <c r="AI5478">
        <v>93.194239087581195</v>
      </c>
      <c r="AJ5478">
        <v>88.163853637987202</v>
      </c>
      <c r="AK5478">
        <v>20.119593519262999</v>
      </c>
      <c r="AL5478">
        <v>94.2103405397133</v>
      </c>
      <c r="AM5478">
        <v>90.486654599851803</v>
      </c>
      <c r="AN5478">
        <v>1.0000000309911901</v>
      </c>
    </row>
    <row r="5479" spans="1:40" x14ac:dyDescent="0.25">
      <c r="A5479" t="str">
        <f>"20190303154918794"</f>
        <v>20190303154918794</v>
      </c>
      <c r="B5479" t="str">
        <f>"1551599358786457"</f>
        <v>1551599358786457</v>
      </c>
      <c r="C5479" t="s">
        <v>40</v>
      </c>
      <c r="D5479">
        <v>5.3425129999999896</v>
      </c>
      <c r="E5479">
        <v>0.51574699999999996</v>
      </c>
      <c r="F5479" t="s">
        <v>59</v>
      </c>
      <c r="G5479">
        <v>-406.81509999999997</v>
      </c>
      <c r="H5479" s="1">
        <v>-9.9282540000000003E-6</v>
      </c>
      <c r="I5479">
        <v>142.55410000000001</v>
      </c>
      <c r="J5479">
        <v>-385.67329999999998</v>
      </c>
      <c r="K5479">
        <v>1.1210709999999999</v>
      </c>
      <c r="L5479">
        <v>141.571</v>
      </c>
      <c r="M5479">
        <v>-0.99981679999999995</v>
      </c>
      <c r="N5479">
        <v>-1.4555419999999999E-2</v>
      </c>
      <c r="O5479">
        <v>1.2434880000000001E-2</v>
      </c>
      <c r="P5479">
        <v>-0.99612809999999896</v>
      </c>
      <c r="Q5479">
        <v>-8.7809639999999994E-2</v>
      </c>
      <c r="R5479">
        <v>4.2758559999999998E-3</v>
      </c>
      <c r="S5479">
        <v>-2.9971920000000001</v>
      </c>
      <c r="T5479">
        <v>-0.157891</v>
      </c>
      <c r="U5479">
        <v>0.13868710000000001</v>
      </c>
      <c r="V5479">
        <v>-8.0993769999999996E-3</v>
      </c>
      <c r="W5479">
        <v>-7.3303099999999996E-2</v>
      </c>
      <c r="X5479">
        <v>0.99727679999999996</v>
      </c>
      <c r="Y5479">
        <v>3.3745780000000003E-2</v>
      </c>
      <c r="Z5479">
        <v>6.6035279999999996E-4</v>
      </c>
      <c r="AA5479">
        <v>0.99943020000000005</v>
      </c>
      <c r="AB5479">
        <v>22</v>
      </c>
      <c r="AC5479">
        <v>-21.1417999999999</v>
      </c>
      <c r="AD5479">
        <v>-1.121080928254</v>
      </c>
      <c r="AE5479">
        <v>0.98310000000000697</v>
      </c>
      <c r="AF5479">
        <v>0.71808560868413496</v>
      </c>
      <c r="AG5479">
        <v>-1.121080928254</v>
      </c>
      <c r="AH5479">
        <v>21.0932084007265</v>
      </c>
      <c r="AI5479">
        <v>93.040587279153996</v>
      </c>
      <c r="AJ5479">
        <v>88.050206941209098</v>
      </c>
      <c r="AK5479">
        <v>21.135181807251499</v>
      </c>
      <c r="AL5479">
        <v>94.203728766830295</v>
      </c>
      <c r="AM5479">
        <v>90.465317067700596</v>
      </c>
      <c r="AN5479">
        <v>0.99999998009781799</v>
      </c>
    </row>
    <row r="5480" spans="1:40" x14ac:dyDescent="0.25">
      <c r="A5480" t="str">
        <f>"20190303154918814"</f>
        <v>20190303154918814</v>
      </c>
      <c r="B5480" t="str">
        <f>"1551599358805977"</f>
        <v>1551599358805977</v>
      </c>
      <c r="C5480" t="s">
        <v>40</v>
      </c>
      <c r="D5480">
        <v>5.3345349999999998</v>
      </c>
      <c r="E5480">
        <v>0.51581659999999996</v>
      </c>
      <c r="F5480" t="s">
        <v>59</v>
      </c>
      <c r="G5480">
        <v>-406.97539999999998</v>
      </c>
      <c r="H5480" s="1">
        <v>-1.0033830000000001E-5</v>
      </c>
      <c r="I5480">
        <v>142.56809999999999</v>
      </c>
      <c r="J5480">
        <v>-385.86290000000002</v>
      </c>
      <c r="K5480">
        <v>1.1210519999999999</v>
      </c>
      <c r="L5480">
        <v>141.57320000000001</v>
      </c>
      <c r="M5480">
        <v>-0.99981819999999999</v>
      </c>
      <c r="N5480">
        <v>-1.455063E-2</v>
      </c>
      <c r="O5480">
        <v>1.232043E-2</v>
      </c>
      <c r="P5480">
        <v>-0.9960772</v>
      </c>
      <c r="Q5480">
        <v>-8.8390780000000002E-2</v>
      </c>
      <c r="R5480">
        <v>4.128217E-3</v>
      </c>
      <c r="S5480">
        <v>-2.9971619999999999</v>
      </c>
      <c r="T5480">
        <v>-0.15773380000000001</v>
      </c>
      <c r="U5480">
        <v>0.14028929999999901</v>
      </c>
      <c r="V5480">
        <v>-8.1342150000000002E-3</v>
      </c>
      <c r="W5480">
        <v>-7.3889449999999995E-2</v>
      </c>
      <c r="X5480">
        <v>0.99723329999999999</v>
      </c>
      <c r="Y5480">
        <v>3.4392619999999999E-2</v>
      </c>
      <c r="Z5480">
        <v>6.8604429999999904E-4</v>
      </c>
      <c r="AA5480">
        <v>0.99940819999999997</v>
      </c>
      <c r="AB5480">
        <v>22</v>
      </c>
      <c r="AC5480">
        <v>-21.112499999999901</v>
      </c>
      <c r="AD5480">
        <v>-1.1210620338299999</v>
      </c>
      <c r="AE5480">
        <v>0.99489999999997203</v>
      </c>
      <c r="AF5480">
        <v>0.73262076145653299</v>
      </c>
      <c r="AG5480">
        <v>-1.1210620338299999</v>
      </c>
      <c r="AH5480">
        <v>21.063896989306599</v>
      </c>
      <c r="AI5480">
        <v>93.044682197350397</v>
      </c>
      <c r="AJ5480">
        <v>88.008005658767104</v>
      </c>
      <c r="AK5480">
        <v>21.106427211632301</v>
      </c>
      <c r="AL5480">
        <v>94.237415267811599</v>
      </c>
      <c r="AM5480">
        <v>90.467338839878707</v>
      </c>
      <c r="AN5480">
        <v>1.0000000354519201</v>
      </c>
    </row>
    <row r="5481" spans="1:40" x14ac:dyDescent="0.25">
      <c r="A5481" t="str">
        <f>"20190303154918836"</f>
        <v>20190303154918836</v>
      </c>
      <c r="B5481" t="str">
        <f>"1551599358826473"</f>
        <v>1551599358826473</v>
      </c>
      <c r="C5481" t="s">
        <v>40</v>
      </c>
      <c r="D5481">
        <v>5.3464879999999999</v>
      </c>
      <c r="E5481">
        <v>0.51583889999999999</v>
      </c>
      <c r="F5481" t="s">
        <v>59</v>
      </c>
      <c r="G5481">
        <v>-406.78190000000001</v>
      </c>
      <c r="H5481" s="1">
        <v>-9.9065030000000007E-6</v>
      </c>
      <c r="I5481">
        <v>142.5514</v>
      </c>
      <c r="J5481">
        <v>-386.07749999999999</v>
      </c>
      <c r="K5481">
        <v>1.121038</v>
      </c>
      <c r="L5481">
        <v>141.57570000000001</v>
      </c>
      <c r="M5481">
        <v>-0.99981980000000004</v>
      </c>
      <c r="N5481">
        <v>-1.4545239999999999E-2</v>
      </c>
      <c r="O5481">
        <v>1.220337E-2</v>
      </c>
      <c r="P5481">
        <v>-0.99594099999999997</v>
      </c>
      <c r="Q5481">
        <v>-8.9950520000000006E-2</v>
      </c>
      <c r="R5481">
        <v>3.2752060000000001E-3</v>
      </c>
      <c r="S5481">
        <v>-2.9969790000000001</v>
      </c>
      <c r="T5481">
        <v>-0.16061029999999901</v>
      </c>
      <c r="U5481">
        <v>0.140152</v>
      </c>
      <c r="V5481">
        <v>-8.8706979999999998E-3</v>
      </c>
      <c r="W5481">
        <v>-7.5456419999999996E-2</v>
      </c>
      <c r="X5481">
        <v>0.99710969999999999</v>
      </c>
      <c r="Y5481">
        <v>3.4465040000000002E-2</v>
      </c>
      <c r="Z5481">
        <v>6.9760139999999998E-4</v>
      </c>
      <c r="AA5481">
        <v>0.99940569999999895</v>
      </c>
      <c r="AB5481">
        <v>22</v>
      </c>
      <c r="AC5481">
        <v>-20.7044</v>
      </c>
      <c r="AD5481">
        <v>-1.1210479065029999</v>
      </c>
      <c r="AE5481">
        <v>0.97569999999998902</v>
      </c>
      <c r="AF5481">
        <v>0.72082857238450104</v>
      </c>
      <c r="AG5481">
        <v>-1.1210479065029999</v>
      </c>
      <c r="AH5481">
        <v>20.654347367264702</v>
      </c>
      <c r="AI5481">
        <v>93.104885563169503</v>
      </c>
      <c r="AJ5481">
        <v>88.001211138557593</v>
      </c>
      <c r="AK5481">
        <v>20.697304351221099</v>
      </c>
      <c r="AL5481">
        <v>94.327447309869299</v>
      </c>
      <c r="AM5481">
        <v>90.509713373166207</v>
      </c>
      <c r="AN5481">
        <v>1.00000005721815</v>
      </c>
    </row>
    <row r="5482" spans="1:40" x14ac:dyDescent="0.25">
      <c r="A5482" t="str">
        <f>"20190303154918859"</f>
        <v>20190303154918859</v>
      </c>
      <c r="B5482" t="str">
        <f>"1551599358856728"</f>
        <v>1551599358856728</v>
      </c>
      <c r="C5482" t="s">
        <v>40</v>
      </c>
      <c r="D5482">
        <v>5.3876549999999996</v>
      </c>
      <c r="E5482">
        <v>0.5157117</v>
      </c>
      <c r="F5482" t="s">
        <v>59</v>
      </c>
      <c r="G5482">
        <v>-406.35140000000001</v>
      </c>
      <c r="H5482" s="1">
        <v>-9.6201820000000006E-6</v>
      </c>
      <c r="I5482">
        <v>142.5068</v>
      </c>
      <c r="J5482">
        <v>-386.30520000000001</v>
      </c>
      <c r="K5482">
        <v>1.121024</v>
      </c>
      <c r="L5482">
        <v>141.57830000000001</v>
      </c>
      <c r="M5482">
        <v>-0.99982119999999997</v>
      </c>
      <c r="N5482">
        <v>-1.453953E-2</v>
      </c>
      <c r="O5482">
        <v>1.208974E-2</v>
      </c>
      <c r="P5482">
        <v>-0.99589220000000001</v>
      </c>
      <c r="Q5482">
        <v>-9.0516050000000001E-2</v>
      </c>
      <c r="R5482">
        <v>2.3305330000000001E-3</v>
      </c>
      <c r="S5482">
        <v>-2.9967649999999999</v>
      </c>
      <c r="T5482">
        <v>-0.165706399999999</v>
      </c>
      <c r="U5482">
        <v>0.13763429999999999</v>
      </c>
      <c r="V5482">
        <v>-9.7027999999999993E-3</v>
      </c>
      <c r="W5482">
        <v>-7.6028380000000007E-2</v>
      </c>
      <c r="X5482">
        <v>0.99705849999999996</v>
      </c>
      <c r="Y5482">
        <v>3.3742620000000001E-2</v>
      </c>
      <c r="Z5482">
        <v>6.8540669999999997E-4</v>
      </c>
      <c r="AA5482">
        <v>0.99943029999999999</v>
      </c>
      <c r="AB5482">
        <v>22</v>
      </c>
      <c r="AC5482">
        <v>-20.046199999999999</v>
      </c>
      <c r="AD5482">
        <v>-1.1210336201819999</v>
      </c>
      <c r="AE5482">
        <v>0.928499999999985</v>
      </c>
      <c r="AF5482">
        <v>0.68391890137574995</v>
      </c>
      <c r="AG5482">
        <v>-1.1210336201819999</v>
      </c>
      <c r="AH5482">
        <v>19.993568599749601</v>
      </c>
      <c r="AI5482">
        <v>93.207325593367997</v>
      </c>
      <c r="AJ5482">
        <v>88.0408503269025</v>
      </c>
      <c r="AK5482">
        <v>20.036647593700199</v>
      </c>
      <c r="AL5482">
        <v>94.360312617561107</v>
      </c>
      <c r="AM5482">
        <v>90.557551980649606</v>
      </c>
      <c r="AN5482">
        <v>1.00000005565775</v>
      </c>
    </row>
    <row r="5483" spans="1:40" x14ac:dyDescent="0.25">
      <c r="A5483" t="str">
        <f>"20190303154918873"</f>
        <v>20190303154918873</v>
      </c>
      <c r="B5483" t="str">
        <f>"1551599358866488"</f>
        <v>1551599358866488</v>
      </c>
      <c r="C5483" t="s">
        <v>40</v>
      </c>
      <c r="D5483">
        <v>5.3578109999999999</v>
      </c>
      <c r="E5483">
        <v>0.51571670000000003</v>
      </c>
      <c r="F5483" t="s">
        <v>59</v>
      </c>
      <c r="G5483">
        <v>-406.03769999999997</v>
      </c>
      <c r="H5483" s="1">
        <v>-9.4059359999999993E-6</v>
      </c>
      <c r="I5483">
        <v>142.4607</v>
      </c>
      <c r="J5483">
        <v>-386.44510000000002</v>
      </c>
      <c r="K5483">
        <v>1.121019</v>
      </c>
      <c r="L5483">
        <v>141.57990000000001</v>
      </c>
      <c r="M5483">
        <v>-0.99982210000000005</v>
      </c>
      <c r="N5483">
        <v>-1.453603E-2</v>
      </c>
      <c r="O5483">
        <v>1.2022990000000001E-2</v>
      </c>
      <c r="P5483">
        <v>-0.99596879999999999</v>
      </c>
      <c r="Q5483">
        <v>-8.9682739999999997E-2</v>
      </c>
      <c r="R5483">
        <v>1.8107069999999999E-3</v>
      </c>
      <c r="S5483">
        <v>-2.996613</v>
      </c>
      <c r="T5483">
        <v>-0.17024230000000001</v>
      </c>
      <c r="U5483">
        <v>0.1340027</v>
      </c>
      <c r="V5483">
        <v>-1.015748E-2</v>
      </c>
      <c r="W5483">
        <v>-7.5197639999999996E-2</v>
      </c>
      <c r="X5483">
        <v>0.99711689999999997</v>
      </c>
      <c r="Y5483">
        <v>3.260271E-2</v>
      </c>
      <c r="Z5483">
        <v>6.5472839999999996E-4</v>
      </c>
      <c r="AA5483">
        <v>0.99946809999999997</v>
      </c>
      <c r="AB5483">
        <v>22</v>
      </c>
      <c r="AC5483">
        <v>-19.592599999999901</v>
      </c>
      <c r="AD5483">
        <v>-1.1210284059360001</v>
      </c>
      <c r="AE5483">
        <v>0.88079999999999303</v>
      </c>
      <c r="AF5483">
        <v>0.64304885592899896</v>
      </c>
      <c r="AG5483">
        <v>-1.1210284059360001</v>
      </c>
      <c r="AH5483">
        <v>19.537940689167201</v>
      </c>
      <c r="AI5483">
        <v>93.282086132431303</v>
      </c>
      <c r="AJ5483">
        <v>88.114914417473301</v>
      </c>
      <c r="AK5483">
        <v>19.580636937838399</v>
      </c>
      <c r="AL5483">
        <v>94.312578371898596</v>
      </c>
      <c r="AM5483">
        <v>90.583643306675796</v>
      </c>
      <c r="AN5483">
        <v>0.99999998586356498</v>
      </c>
    </row>
    <row r="5484" spans="1:40" x14ac:dyDescent="0.25">
      <c r="A5484" t="str">
        <f>"20190303154918892"</f>
        <v>20190303154918892</v>
      </c>
      <c r="B5484" t="str">
        <f>"1551599358886010"</f>
        <v>1551599358886010</v>
      </c>
      <c r="C5484" t="s">
        <v>40</v>
      </c>
      <c r="D5484">
        <v>5.3229749999999996</v>
      </c>
      <c r="E5484">
        <v>0.50033309999999998</v>
      </c>
      <c r="F5484" t="s">
        <v>59</v>
      </c>
      <c r="G5484">
        <v>-406.3895</v>
      </c>
      <c r="H5484" s="1">
        <v>-9.6249890000000001E-6</v>
      </c>
      <c r="I5484">
        <v>142.46080000000001</v>
      </c>
      <c r="J5484">
        <v>-386.62959999999998</v>
      </c>
      <c r="K5484">
        <v>1.121027</v>
      </c>
      <c r="L5484">
        <v>141.58199999999999</v>
      </c>
      <c r="M5484">
        <v>-0.99982329999999997</v>
      </c>
      <c r="N5484">
        <v>-1.453143E-2</v>
      </c>
      <c r="O5484">
        <v>1.1935360000000001E-2</v>
      </c>
      <c r="P5484">
        <v>-0.99601390000000001</v>
      </c>
      <c r="Q5484">
        <v>-8.9198410000000006E-2</v>
      </c>
      <c r="R5484">
        <v>2.1472740000000001E-4</v>
      </c>
      <c r="S5484">
        <v>-2.9967039999999998</v>
      </c>
      <c r="T5484">
        <v>-0.16843749999999999</v>
      </c>
      <c r="U5484">
        <v>0.13235469999999999</v>
      </c>
      <c r="V5484">
        <v>-1.166701E-2</v>
      </c>
      <c r="W5484">
        <v>-7.4717690000000003E-2</v>
      </c>
      <c r="X5484">
        <v>0.99713649999999998</v>
      </c>
      <c r="Y5484">
        <v>3.2142190000000001E-2</v>
      </c>
      <c r="Z5484">
        <v>6.3938890000000005E-4</v>
      </c>
      <c r="AA5484">
        <v>0.99948309999999996</v>
      </c>
      <c r="AB5484">
        <v>22</v>
      </c>
      <c r="AC5484">
        <v>-19.759899999999998</v>
      </c>
      <c r="AD5484">
        <v>-1.121036624989</v>
      </c>
      <c r="AE5484">
        <v>0.87880000000001202</v>
      </c>
      <c r="AF5484">
        <v>0.64081253292492302</v>
      </c>
      <c r="AG5484">
        <v>-1.121036624989</v>
      </c>
      <c r="AH5484">
        <v>19.705682166695102</v>
      </c>
      <c r="AI5484">
        <v>93.254273782226804</v>
      </c>
      <c r="AJ5484">
        <v>88.137444865288003</v>
      </c>
      <c r="AK5484">
        <v>19.747943525130101</v>
      </c>
      <c r="AL5484">
        <v>94.285001508616602</v>
      </c>
      <c r="AM5484">
        <v>90.670359504495394</v>
      </c>
      <c r="AN5484">
        <v>1.0000000259767601</v>
      </c>
    </row>
    <row r="5485" spans="1:40" x14ac:dyDescent="0.25">
      <c r="A5485" t="str">
        <f>"20190303154918915"</f>
        <v>20190303154918915</v>
      </c>
      <c r="B5485" t="str">
        <f>"1551599358906505"</f>
        <v>1551599358906505</v>
      </c>
      <c r="C5485" t="s">
        <v>40</v>
      </c>
      <c r="D5485">
        <v>5.4384969999999999</v>
      </c>
      <c r="E5485">
        <v>0.49432209999999899</v>
      </c>
      <c r="F5485" t="s">
        <v>59</v>
      </c>
      <c r="G5485">
        <v>-401.49079999999998</v>
      </c>
      <c r="H5485" s="1">
        <v>-6.84308E-6</v>
      </c>
      <c r="I5485">
        <v>141.60149999999999</v>
      </c>
      <c r="J5485">
        <v>-386.84399999999999</v>
      </c>
      <c r="K5485">
        <v>1.121027</v>
      </c>
      <c r="L5485">
        <v>141.58439999999999</v>
      </c>
      <c r="M5485">
        <v>-0.9998245</v>
      </c>
      <c r="N5485">
        <v>-1.452609E-2</v>
      </c>
      <c r="O5485">
        <v>1.1832509999999999E-2</v>
      </c>
      <c r="P5485">
        <v>-0.99602840000000004</v>
      </c>
      <c r="Q5485">
        <v>-8.9029780000000003E-2</v>
      </c>
      <c r="R5485">
        <v>-1.172998E-3</v>
      </c>
      <c r="S5485">
        <v>-2.9917910000000001</v>
      </c>
      <c r="T5485">
        <v>-0.22568079999999999</v>
      </c>
      <c r="U5485">
        <v>3.9367680000000002E-3</v>
      </c>
      <c r="V5485">
        <v>-1.2951880000000001E-2</v>
      </c>
      <c r="W5485">
        <v>-7.4554579999999995E-2</v>
      </c>
      <c r="X5485">
        <v>0.99713280000000004</v>
      </c>
      <c r="Y5485">
        <v>-1.046061E-2</v>
      </c>
      <c r="Z5485">
        <v>-1.1896750000000001E-3</v>
      </c>
      <c r="AA5485">
        <v>0.99994459999999996</v>
      </c>
      <c r="AB5485">
        <v>22</v>
      </c>
      <c r="AC5485">
        <v>-14.646799999999899</v>
      </c>
      <c r="AD5485">
        <v>-1.12103384308</v>
      </c>
      <c r="AE5485">
        <v>1.7099999999999199E-2</v>
      </c>
      <c r="AF5485">
        <v>-0.155318031189288</v>
      </c>
      <c r="AG5485">
        <v>-1.12103384308</v>
      </c>
      <c r="AH5485">
        <v>14.560679915370001</v>
      </c>
      <c r="AI5485">
        <v>94.402295486291905</v>
      </c>
      <c r="AJ5485">
        <v>90.611147983537606</v>
      </c>
      <c r="AK5485">
        <v>14.6045965423905</v>
      </c>
      <c r="AL5485">
        <v>94.275630057605099</v>
      </c>
      <c r="AM5485">
        <v>90.744180043640398</v>
      </c>
      <c r="AN5485">
        <v>0.99999997871517499</v>
      </c>
    </row>
    <row r="5486" spans="1:40" x14ac:dyDescent="0.25">
      <c r="A5486" t="str">
        <f>"20190303154918938"</f>
        <v>20190303154918938</v>
      </c>
      <c r="B5486" t="str">
        <f>"1551599358926025"</f>
        <v>1551599358926025</v>
      </c>
      <c r="C5486" t="s">
        <v>40</v>
      </c>
      <c r="D5486">
        <v>5.4280410000000003</v>
      </c>
      <c r="E5486">
        <v>0.49202240000000003</v>
      </c>
      <c r="F5486" t="s">
        <v>59</v>
      </c>
      <c r="G5486">
        <v>-400.43290000000002</v>
      </c>
      <c r="H5486" s="1">
        <v>-6.2763530000000004E-6</v>
      </c>
      <c r="I5486">
        <v>141.36420000000001</v>
      </c>
      <c r="J5486">
        <v>-387.07350000000002</v>
      </c>
      <c r="K5486">
        <v>1.1210310000000001</v>
      </c>
      <c r="L5486">
        <v>141.58699999999999</v>
      </c>
      <c r="M5486">
        <v>-0.99982599999999999</v>
      </c>
      <c r="N5486">
        <v>-1.4520379999999999E-2</v>
      </c>
      <c r="O5486">
        <v>1.171909E-2</v>
      </c>
      <c r="P5486">
        <v>-0.99602959999999996</v>
      </c>
      <c r="Q5486">
        <v>-8.8984809999999998E-2</v>
      </c>
      <c r="R5486">
        <v>-2.6423649999999998E-3</v>
      </c>
      <c r="S5486">
        <v>-2.9898069999999999</v>
      </c>
      <c r="T5486">
        <v>-0.2466478</v>
      </c>
      <c r="U5486">
        <v>-4.8461909999999997E-2</v>
      </c>
      <c r="V5486">
        <v>-1.430795E-2</v>
      </c>
      <c r="W5486">
        <v>-7.4515719999999994E-2</v>
      </c>
      <c r="X5486">
        <v>0.99711719999999904</v>
      </c>
      <c r="Y5486">
        <v>-2.778653E-2</v>
      </c>
      <c r="Z5486">
        <v>-2.141446E-3</v>
      </c>
      <c r="AA5486">
        <v>0.99961160000000004</v>
      </c>
      <c r="AB5486">
        <v>22</v>
      </c>
      <c r="AC5486">
        <v>-13.3593999999999</v>
      </c>
      <c r="AD5486">
        <v>-1.1210372763530001</v>
      </c>
      <c r="AE5486">
        <v>-0.22280000000000599</v>
      </c>
      <c r="AF5486">
        <v>-0.37670933138698098</v>
      </c>
      <c r="AG5486">
        <v>-1.1210372763530001</v>
      </c>
      <c r="AH5486">
        <v>13.2625089086541</v>
      </c>
      <c r="AI5486">
        <v>94.829604640972704</v>
      </c>
      <c r="AJ5486">
        <v>91.626996308977496</v>
      </c>
      <c r="AK5486">
        <v>13.3151333845161</v>
      </c>
      <c r="AL5486">
        <v>94.273397197986597</v>
      </c>
      <c r="AM5486">
        <v>90.822098836587202</v>
      </c>
      <c r="AN5486">
        <v>1.0000000102480799</v>
      </c>
    </row>
    <row r="5487" spans="1:40" x14ac:dyDescent="0.25">
      <c r="A5487" t="str">
        <f>"20190303154918961"</f>
        <v>20190303154918961</v>
      </c>
      <c r="B5487" t="str">
        <f>"1551599358956281"</f>
        <v>1551599358956281</v>
      </c>
      <c r="C5487" t="s">
        <v>40</v>
      </c>
      <c r="D5487">
        <v>5.4195379999999904</v>
      </c>
      <c r="E5487">
        <v>0.49122569999999999</v>
      </c>
      <c r="F5487" t="s">
        <v>59</v>
      </c>
      <c r="G5487">
        <v>-399.98939999999999</v>
      </c>
      <c r="H5487" s="1">
        <v>-6.0444250000000002E-6</v>
      </c>
      <c r="I5487">
        <v>141.2784</v>
      </c>
      <c r="J5487">
        <v>-387.28919999999999</v>
      </c>
      <c r="K5487">
        <v>1.121038</v>
      </c>
      <c r="L5487">
        <v>141.58940000000001</v>
      </c>
      <c r="M5487">
        <v>-0.99982740000000003</v>
      </c>
      <c r="N5487">
        <v>-1.4515E-2</v>
      </c>
      <c r="O5487">
        <v>1.160895E-2</v>
      </c>
      <c r="P5487">
        <v>-0.99604130000000002</v>
      </c>
      <c r="Q5487">
        <v>-8.882292E-2</v>
      </c>
      <c r="R5487">
        <v>-3.5163849999999999E-3</v>
      </c>
      <c r="S5487">
        <v>-2.988556</v>
      </c>
      <c r="T5487">
        <v>-0.25939210000000001</v>
      </c>
      <c r="U5487">
        <v>-7.1411130000000003E-2</v>
      </c>
      <c r="V5487">
        <v>-1.507171E-2</v>
      </c>
      <c r="W5487">
        <v>-7.4359339999999996E-2</v>
      </c>
      <c r="X5487">
        <v>0.99711760000000005</v>
      </c>
      <c r="Y5487">
        <v>-3.5308079999999999E-2</v>
      </c>
      <c r="Z5487">
        <v>-2.623415E-3</v>
      </c>
      <c r="AA5487">
        <v>0.99937299999999996</v>
      </c>
      <c r="AB5487">
        <v>22</v>
      </c>
      <c r="AC5487">
        <v>-12.700199999999899</v>
      </c>
      <c r="AD5487">
        <v>-1.1210440444250001</v>
      </c>
      <c r="AE5487">
        <v>-0.31100000000000699</v>
      </c>
      <c r="AF5487">
        <v>-0.45488837373581997</v>
      </c>
      <c r="AG5487">
        <v>-1.1210440444250001</v>
      </c>
      <c r="AH5487">
        <v>12.5976368620102</v>
      </c>
      <c r="AI5487">
        <v>95.081972265553404</v>
      </c>
      <c r="AJ5487">
        <v>92.067996205032998</v>
      </c>
      <c r="AK5487">
        <v>12.6555962992338</v>
      </c>
      <c r="AL5487">
        <v>94.264412452033596</v>
      </c>
      <c r="AM5487">
        <v>90.865975705223207</v>
      </c>
      <c r="AN5487">
        <v>0.99999998805865897</v>
      </c>
    </row>
    <row r="5488" spans="1:40" x14ac:dyDescent="0.25">
      <c r="A5488" t="str">
        <f>"20190303154918981"</f>
        <v>20190303154918981</v>
      </c>
      <c r="B5488" t="str">
        <f>"1551599358976780"</f>
        <v>1551599358976780</v>
      </c>
      <c r="C5488" t="s">
        <v>40</v>
      </c>
      <c r="D5488">
        <v>5.4201739999999896</v>
      </c>
      <c r="E5488">
        <v>0.49098649999999999</v>
      </c>
      <c r="F5488" t="s">
        <v>59</v>
      </c>
      <c r="G5488">
        <v>-399.98250000000002</v>
      </c>
      <c r="H5488" s="1">
        <v>-6.0286780000000002E-6</v>
      </c>
      <c r="I5488">
        <v>141.2475</v>
      </c>
      <c r="J5488">
        <v>-387.49770000000001</v>
      </c>
      <c r="K5488">
        <v>1.1210450000000001</v>
      </c>
      <c r="L5488">
        <v>141.5917</v>
      </c>
      <c r="M5488">
        <v>-0.99982870000000001</v>
      </c>
      <c r="N5488">
        <v>-1.450983E-2</v>
      </c>
      <c r="O5488">
        <v>1.14997E-2</v>
      </c>
      <c r="P5488">
        <v>-0.99612100000000003</v>
      </c>
      <c r="Q5488">
        <v>-8.7896630000000003E-2</v>
      </c>
      <c r="R5488">
        <v>-4.1674700000000004E-3</v>
      </c>
      <c r="S5488">
        <v>-2.9880979999999999</v>
      </c>
      <c r="T5488">
        <v>-0.26390360000000002</v>
      </c>
      <c r="U5488">
        <v>-8.0474850000000001E-2</v>
      </c>
      <c r="V5488">
        <v>-1.5614340000000001E-2</v>
      </c>
      <c r="W5488">
        <v>-7.3437370000000002E-2</v>
      </c>
      <c r="X5488">
        <v>0.9971776</v>
      </c>
      <c r="Y5488">
        <v>-3.8212580000000003E-2</v>
      </c>
      <c r="Z5488">
        <v>-2.8087110000000002E-3</v>
      </c>
      <c r="AA5488">
        <v>0.99926570000000003</v>
      </c>
      <c r="AB5488">
        <v>22</v>
      </c>
      <c r="AC5488">
        <v>-12.4848</v>
      </c>
      <c r="AD5488">
        <v>-1.121051028678</v>
      </c>
      <c r="AE5488">
        <v>-0.34420000000000001</v>
      </c>
      <c r="AF5488">
        <v>-0.48386542852332798</v>
      </c>
      <c r="AG5488">
        <v>-1.121051028678</v>
      </c>
      <c r="AH5488">
        <v>12.3802714425214</v>
      </c>
      <c r="AI5488">
        <v>95.1701767285019</v>
      </c>
      <c r="AJ5488">
        <v>92.238185475630999</v>
      </c>
      <c r="AK5488">
        <v>12.4403377025036</v>
      </c>
      <c r="AL5488">
        <v>94.211442534020804</v>
      </c>
      <c r="AM5488">
        <v>90.897094634037103</v>
      </c>
      <c r="AN5488">
        <v>1.0000000104339499</v>
      </c>
    </row>
    <row r="5489" spans="1:40" x14ac:dyDescent="0.25">
      <c r="A5489" t="str">
        <f>"20190303154919004"</f>
        <v>20190303154919004</v>
      </c>
      <c r="B5489" t="str">
        <f>"1551599358996297"</f>
        <v>1551599358996297</v>
      </c>
      <c r="C5489" t="s">
        <v>40</v>
      </c>
      <c r="D5489">
        <v>5.3664959999999997</v>
      </c>
      <c r="E5489">
        <v>0.49098320000000001</v>
      </c>
      <c r="F5489" t="s">
        <v>59</v>
      </c>
      <c r="G5489">
        <v>-400.22930000000002</v>
      </c>
      <c r="H5489" s="1">
        <v>-6.1318350000000002E-6</v>
      </c>
      <c r="I5489">
        <v>141.23220000000001</v>
      </c>
      <c r="J5489">
        <v>-387.71249999999998</v>
      </c>
      <c r="K5489">
        <v>1.121059</v>
      </c>
      <c r="L5489">
        <v>141.59399999999999</v>
      </c>
      <c r="M5489">
        <v>-0.99983</v>
      </c>
      <c r="N5489">
        <v>-1.450455E-2</v>
      </c>
      <c r="O5489">
        <v>1.138456E-2</v>
      </c>
      <c r="P5489">
        <v>-0.99612520000000004</v>
      </c>
      <c r="Q5489">
        <v>-8.7843229999999994E-2</v>
      </c>
      <c r="R5489">
        <v>-4.2690430000000001E-3</v>
      </c>
      <c r="S5489">
        <v>-2.988159</v>
      </c>
      <c r="T5489">
        <v>-0.2631154</v>
      </c>
      <c r="U5489">
        <v>-8.4365839999999998E-2</v>
      </c>
      <c r="V5489">
        <v>-1.560108E-2</v>
      </c>
      <c r="W5489">
        <v>-7.3389280000000001E-2</v>
      </c>
      <c r="X5489">
        <v>0.9971814</v>
      </c>
      <c r="Y5489">
        <v>-3.9393299999999999E-2</v>
      </c>
      <c r="Z5489">
        <v>-2.8525540000000002E-3</v>
      </c>
      <c r="AA5489">
        <v>0.99921970000000004</v>
      </c>
      <c r="AB5489">
        <v>22</v>
      </c>
      <c r="AC5489">
        <v>-12.5168</v>
      </c>
      <c r="AD5489">
        <v>-1.121065131835</v>
      </c>
      <c r="AE5489">
        <v>-0.36179999999998802</v>
      </c>
      <c r="AF5489">
        <v>-0.50027997378765199</v>
      </c>
      <c r="AG5489">
        <v>-1.121065131835</v>
      </c>
      <c r="AH5489">
        <v>12.4123820305993</v>
      </c>
      <c r="AI5489">
        <v>95.156690055979297</v>
      </c>
      <c r="AJ5489">
        <v>92.308052131217195</v>
      </c>
      <c r="AK5489">
        <v>12.4729425059018</v>
      </c>
      <c r="AL5489">
        <v>94.208679506124199</v>
      </c>
      <c r="AM5489">
        <v>90.896329513104106</v>
      </c>
      <c r="AN5489">
        <v>1.0000000623110199</v>
      </c>
    </row>
    <row r="5490" spans="1:40" x14ac:dyDescent="0.25">
      <c r="A5490" t="str">
        <f>"20190303154919026"</f>
        <v>20190303154919026</v>
      </c>
      <c r="B5490" t="str">
        <f>"1551599359015818"</f>
        <v>1551599359015818</v>
      </c>
      <c r="C5490" t="s">
        <v>40</v>
      </c>
      <c r="D5490">
        <v>5.411251</v>
      </c>
      <c r="E5490">
        <v>0.49112840000000002</v>
      </c>
      <c r="F5490" t="s">
        <v>59</v>
      </c>
      <c r="G5490">
        <v>-400.43220000000002</v>
      </c>
      <c r="H5490" s="1">
        <v>-6.2222359999999996E-6</v>
      </c>
      <c r="I5490">
        <v>141.23330000000001</v>
      </c>
      <c r="J5490">
        <v>-387.92720000000003</v>
      </c>
      <c r="K5490">
        <v>1.1210580000000001</v>
      </c>
      <c r="L5490">
        <v>141.59639999999999</v>
      </c>
      <c r="M5490">
        <v>-0.99983140000000004</v>
      </c>
      <c r="N5490">
        <v>-1.4499339999999999E-2</v>
      </c>
      <c r="O5490">
        <v>1.1267930000000001E-2</v>
      </c>
      <c r="P5490">
        <v>-0.99612900000000004</v>
      </c>
      <c r="Q5490">
        <v>-8.781274E-2</v>
      </c>
      <c r="R5490">
        <v>-4.0159339999999996E-3</v>
      </c>
      <c r="S5490">
        <v>-2.9880680000000002</v>
      </c>
      <c r="T5490">
        <v>-0.26335799999999998</v>
      </c>
      <c r="U5490">
        <v>-8.4747310000000006E-2</v>
      </c>
      <c r="V5490">
        <v>-1.5231649999999999E-2</v>
      </c>
      <c r="W5490">
        <v>-7.336384E-2</v>
      </c>
      <c r="X5490">
        <v>0.99718890000000004</v>
      </c>
      <c r="Y5490">
        <v>-3.9404960000000003E-2</v>
      </c>
      <c r="Z5490">
        <v>-2.847128E-3</v>
      </c>
      <c r="AA5490">
        <v>0.99921919999999997</v>
      </c>
      <c r="AB5490">
        <v>22</v>
      </c>
      <c r="AC5490">
        <v>-12.5049999999999</v>
      </c>
      <c r="AD5490">
        <v>-1.1210642222360001</v>
      </c>
      <c r="AE5490">
        <v>-0.363099999999974</v>
      </c>
      <c r="AF5490">
        <v>-0.49998225140775898</v>
      </c>
      <c r="AG5490">
        <v>-1.1210642222360001</v>
      </c>
      <c r="AH5490">
        <v>12.4005350778889</v>
      </c>
      <c r="AI5490">
        <v>95.161582782941096</v>
      </c>
      <c r="AJ5490">
        <v>92.308881388783405</v>
      </c>
      <c r="AK5490">
        <v>12.461141097831</v>
      </c>
      <c r="AL5490">
        <v>94.207218311869497</v>
      </c>
      <c r="AM5490">
        <v>90.875101395566503</v>
      </c>
      <c r="AN5490">
        <v>0.99999997923223805</v>
      </c>
    </row>
    <row r="5491" spans="1:40" x14ac:dyDescent="0.25">
      <c r="A5491" t="str">
        <f>"20190303154919049"</f>
        <v>20190303154919049</v>
      </c>
      <c r="B5491" t="str">
        <f>"1551599359046074"</f>
        <v>1551599359046074</v>
      </c>
      <c r="C5491" t="s">
        <v>40</v>
      </c>
      <c r="D5491">
        <v>5.3990689999999999</v>
      </c>
      <c r="E5491">
        <v>0.49134830000000002</v>
      </c>
      <c r="F5491" t="s">
        <v>59</v>
      </c>
      <c r="G5491">
        <v>-400.64519999999999</v>
      </c>
      <c r="H5491" s="1">
        <v>-6.3211219999999997E-6</v>
      </c>
      <c r="I5491">
        <v>141.244</v>
      </c>
      <c r="J5491">
        <v>-388.15269999999998</v>
      </c>
      <c r="K5491">
        <v>1.1210639999999901</v>
      </c>
      <c r="L5491">
        <v>141.59880000000001</v>
      </c>
      <c r="M5491">
        <v>-0.99983290000000002</v>
      </c>
      <c r="N5491">
        <v>-1.449378E-2</v>
      </c>
      <c r="O5491">
        <v>1.1144579999999999E-2</v>
      </c>
      <c r="P5491">
        <v>-0.99618359999999995</v>
      </c>
      <c r="Q5491">
        <v>-8.7229100000000004E-2</v>
      </c>
      <c r="R5491">
        <v>-3.0882100000000001E-3</v>
      </c>
      <c r="S5491">
        <v>-2.9880979999999999</v>
      </c>
      <c r="T5491">
        <v>-0.26339580000000001</v>
      </c>
      <c r="U5491">
        <v>-8.2778930000000001E-2</v>
      </c>
      <c r="V5491">
        <v>-1.418139E-2</v>
      </c>
      <c r="W5491">
        <v>-7.2784740000000001E-2</v>
      </c>
      <c r="X5491">
        <v>0.99724690000000005</v>
      </c>
      <c r="Y5491">
        <v>-3.8627460000000002E-2</v>
      </c>
      <c r="Z5491">
        <v>-2.7985530000000001E-3</v>
      </c>
      <c r="AA5491">
        <v>0.99924979999999997</v>
      </c>
      <c r="AB5491">
        <v>22</v>
      </c>
      <c r="AC5491">
        <v>-12.4925</v>
      </c>
      <c r="AD5491">
        <v>-1.1210703211219999</v>
      </c>
      <c r="AE5491">
        <v>-0.354800000000011</v>
      </c>
      <c r="AF5491">
        <v>-0.49007278594498799</v>
      </c>
      <c r="AG5491">
        <v>-1.1210703211219999</v>
      </c>
      <c r="AH5491">
        <v>12.388086516399801</v>
      </c>
      <c r="AI5491">
        <v>95.166925076011395</v>
      </c>
      <c r="AJ5491">
        <v>92.265440115702006</v>
      </c>
      <c r="AK5491">
        <v>12.448359632426699</v>
      </c>
      <c r="AL5491">
        <v>94.173949064000297</v>
      </c>
      <c r="AM5491">
        <v>90.814722041308698</v>
      </c>
      <c r="AN5491">
        <v>1.0000000548793999</v>
      </c>
    </row>
    <row r="5492" spans="1:40" x14ac:dyDescent="0.25">
      <c r="A5492" t="str">
        <f>"20190303154919071"</f>
        <v>20190303154919071</v>
      </c>
      <c r="B5492" t="str">
        <f>"1551599359066569"</f>
        <v>1551599359066569</v>
      </c>
      <c r="C5492" t="s">
        <v>40</v>
      </c>
      <c r="D5492">
        <v>5.4023580000000004</v>
      </c>
      <c r="E5492">
        <v>0.49137150000000002</v>
      </c>
      <c r="F5492" t="s">
        <v>59</v>
      </c>
      <c r="G5492">
        <v>-401.0052</v>
      </c>
      <c r="H5492" s="1">
        <v>-6.4882489999999999E-6</v>
      </c>
      <c r="I5492">
        <v>141.26220000000001</v>
      </c>
      <c r="J5492">
        <v>-388.36009999999999</v>
      </c>
      <c r="K5492">
        <v>1.121067</v>
      </c>
      <c r="L5492">
        <v>141.6009</v>
      </c>
      <c r="M5492">
        <v>-0.99983420000000001</v>
      </c>
      <c r="N5492">
        <v>-1.4488829999999999E-2</v>
      </c>
      <c r="O5492">
        <v>1.1030939999999999E-2</v>
      </c>
      <c r="P5492">
        <v>-0.99627140000000003</v>
      </c>
      <c r="Q5492">
        <v>-8.6248790000000006E-2</v>
      </c>
      <c r="R5492">
        <v>-2.1328110000000001E-3</v>
      </c>
      <c r="S5492">
        <v>-2.9884339999999998</v>
      </c>
      <c r="T5492">
        <v>-0.26066739999999999</v>
      </c>
      <c r="U5492">
        <v>-7.8262330000000005E-2</v>
      </c>
      <c r="V5492">
        <v>-1.3114290000000001E-2</v>
      </c>
      <c r="W5492">
        <v>-7.1807899999999994E-2</v>
      </c>
      <c r="X5492">
        <v>0.99733229999999995</v>
      </c>
      <c r="Y5492">
        <v>-3.7013169999999998E-2</v>
      </c>
      <c r="Z5492">
        <v>-2.6803640000000002E-3</v>
      </c>
      <c r="AA5492">
        <v>0.99931119999999996</v>
      </c>
      <c r="AB5492">
        <v>22</v>
      </c>
      <c r="AC5492">
        <v>-12.645099999999999</v>
      </c>
      <c r="AD5492">
        <v>-1.1210734882490001</v>
      </c>
      <c r="AE5492">
        <v>-0.33869999999998801</v>
      </c>
      <c r="AF5492">
        <v>-0.47445481793712402</v>
      </c>
      <c r="AG5492">
        <v>-1.1210734882490001</v>
      </c>
      <c r="AH5492">
        <v>12.5420835582128</v>
      </c>
      <c r="AI5492">
        <v>95.104174399801806</v>
      </c>
      <c r="AJ5492">
        <v>92.166410582641504</v>
      </c>
      <c r="AK5492">
        <v>12.601022701412401</v>
      </c>
      <c r="AL5492">
        <v>94.117833482150104</v>
      </c>
      <c r="AM5492">
        <v>90.753359904232894</v>
      </c>
      <c r="AN5492">
        <v>1.00000003786395</v>
      </c>
    </row>
    <row r="5493" spans="1:40" x14ac:dyDescent="0.25">
      <c r="A5493" t="str">
        <f>"20190303154919093"</f>
        <v>20190303154919093</v>
      </c>
      <c r="B5493" t="str">
        <f>"1551599359086089"</f>
        <v>1551599359086089</v>
      </c>
      <c r="C5493" t="s">
        <v>40</v>
      </c>
      <c r="D5493">
        <v>5.4233370000000001</v>
      </c>
      <c r="E5493">
        <v>0.49134050000000001</v>
      </c>
      <c r="F5493" t="s">
        <v>59</v>
      </c>
      <c r="G5493">
        <v>-401.34070000000003</v>
      </c>
      <c r="H5493" s="1">
        <v>-6.6420019999999997E-6</v>
      </c>
      <c r="I5493">
        <v>141.27430000000001</v>
      </c>
      <c r="J5493">
        <v>-388.5788</v>
      </c>
      <c r="K5493">
        <v>1.121065</v>
      </c>
      <c r="L5493">
        <v>141.60319999999999</v>
      </c>
      <c r="M5493">
        <v>-0.99983560000000005</v>
      </c>
      <c r="N5493">
        <v>-1.448369E-2</v>
      </c>
      <c r="O5493">
        <v>1.0911239999999999E-2</v>
      </c>
      <c r="P5493">
        <v>-0.99633490000000002</v>
      </c>
      <c r="Q5493">
        <v>-8.5533109999999996E-2</v>
      </c>
      <c r="R5493">
        <v>-1.1028920000000001E-3</v>
      </c>
      <c r="S5493">
        <v>-2.9887389999999998</v>
      </c>
      <c r="T5493">
        <v>-0.25812289999999999</v>
      </c>
      <c r="U5493">
        <v>-7.5210570000000004E-2</v>
      </c>
      <c r="V5493">
        <v>-1.196593E-2</v>
      </c>
      <c r="W5493">
        <v>-7.1096160000000005E-2</v>
      </c>
      <c r="X5493">
        <v>0.99739770000000005</v>
      </c>
      <c r="Y5493">
        <v>-3.588003E-2</v>
      </c>
      <c r="Z5493">
        <v>-2.5894249999999998E-3</v>
      </c>
      <c r="AA5493">
        <v>0.99935280000000004</v>
      </c>
      <c r="AB5493">
        <v>22</v>
      </c>
      <c r="AC5493">
        <v>-12.761900000000001</v>
      </c>
      <c r="AD5493">
        <v>-1.1210716420019999</v>
      </c>
      <c r="AE5493">
        <v>-0.32889999999997599</v>
      </c>
      <c r="AF5493">
        <v>-0.46456064187998503</v>
      </c>
      <c r="AG5493">
        <v>-1.1210716420019999</v>
      </c>
      <c r="AH5493">
        <v>12.6599220746025</v>
      </c>
      <c r="AI5493">
        <v>95.057116182099307</v>
      </c>
      <c r="AJ5493">
        <v>92.101547417320106</v>
      </c>
      <c r="AK5493">
        <v>12.717949722793101</v>
      </c>
      <c r="AL5493">
        <v>94.076949401221498</v>
      </c>
      <c r="AM5493">
        <v>90.687353095709199</v>
      </c>
      <c r="AN5493">
        <v>1.0000000097063999</v>
      </c>
    </row>
    <row r="5494" spans="1:40" x14ac:dyDescent="0.25">
      <c r="A5494" t="str">
        <f>"20190303154919116"</f>
        <v>20190303154919116</v>
      </c>
      <c r="B5494" t="str">
        <f>"1551599359106585"</f>
        <v>1551599359106585</v>
      </c>
      <c r="C5494" t="s">
        <v>40</v>
      </c>
      <c r="D5494">
        <v>5.455457</v>
      </c>
      <c r="E5494">
        <v>0.49115130000000001</v>
      </c>
      <c r="F5494" t="s">
        <v>59</v>
      </c>
      <c r="G5494">
        <v>-401.60109999999997</v>
      </c>
      <c r="H5494" s="1">
        <v>-6.7629920000000001E-6</v>
      </c>
      <c r="I5494">
        <v>141.2878</v>
      </c>
      <c r="J5494">
        <v>-388.7885</v>
      </c>
      <c r="K5494">
        <v>1.1210629999999999</v>
      </c>
      <c r="L5494">
        <v>141.6054</v>
      </c>
      <c r="M5494">
        <v>-0.99983699999999998</v>
      </c>
      <c r="N5494">
        <v>-1.4478660000000001E-2</v>
      </c>
      <c r="O5494">
        <v>1.079864E-2</v>
      </c>
      <c r="P5494">
        <v>-0.99631360000000002</v>
      </c>
      <c r="Q5494">
        <v>-8.5783239999999997E-2</v>
      </c>
      <c r="R5494">
        <v>-8.3800379999999998E-4</v>
      </c>
      <c r="S5494">
        <v>-2.9888919999999999</v>
      </c>
      <c r="T5494">
        <v>-0.25730989999999998</v>
      </c>
      <c r="U5494">
        <v>-7.2402949999999994E-2</v>
      </c>
      <c r="V5494">
        <v>-1.1588569999999999E-2</v>
      </c>
      <c r="W5494">
        <v>-7.1351449999999997E-2</v>
      </c>
      <c r="X5494">
        <v>0.99738389999999999</v>
      </c>
      <c r="Y5494">
        <v>-3.4833959999999997E-2</v>
      </c>
      <c r="Z5494">
        <v>-2.5209030000000001E-3</v>
      </c>
      <c r="AA5494">
        <v>0.99938990000000005</v>
      </c>
      <c r="AB5494">
        <v>22</v>
      </c>
      <c r="AC5494">
        <v>-12.8125999999999</v>
      </c>
      <c r="AD5494">
        <v>-1.1210697629919999</v>
      </c>
      <c r="AE5494">
        <v>-0.317599999999998</v>
      </c>
      <c r="AF5494">
        <v>-0.45249255201916999</v>
      </c>
      <c r="AG5494">
        <v>-1.1210697629919999</v>
      </c>
      <c r="AH5494">
        <v>12.711168330966</v>
      </c>
      <c r="AI5494">
        <v>95.037023143847705</v>
      </c>
      <c r="AJ5494">
        <v>92.038755986833493</v>
      </c>
      <c r="AK5494">
        <v>12.7685295653525</v>
      </c>
      <c r="AL5494">
        <v>94.091613787308802</v>
      </c>
      <c r="AM5494">
        <v>90.665687780804305</v>
      </c>
      <c r="AN5494">
        <v>0.99999998417547797</v>
      </c>
    </row>
    <row r="5495" spans="1:40" x14ac:dyDescent="0.25">
      <c r="A5495" t="str">
        <f>"20190303154919138"</f>
        <v>20190303154919138</v>
      </c>
      <c r="B5495" t="str">
        <f>"1551599359126105"</f>
        <v>1551599359126105</v>
      </c>
      <c r="C5495" t="s">
        <v>40</v>
      </c>
      <c r="D5495">
        <v>5.4229370000000001</v>
      </c>
      <c r="E5495">
        <v>0.49126510000000001</v>
      </c>
      <c r="F5495" t="s">
        <v>59</v>
      </c>
      <c r="G5495">
        <v>-401.65800000000002</v>
      </c>
      <c r="H5495" s="1">
        <v>-6.7892639999999901E-6</v>
      </c>
      <c r="I5495">
        <v>141.2903</v>
      </c>
      <c r="J5495">
        <v>-389.00909999999999</v>
      </c>
      <c r="K5495">
        <v>1.121059</v>
      </c>
      <c r="L5495">
        <v>141.60759999999999</v>
      </c>
      <c r="M5495">
        <v>-0.99983820000000001</v>
      </c>
      <c r="N5495">
        <v>-1.447332E-2</v>
      </c>
      <c r="O5495">
        <v>1.068742E-2</v>
      </c>
      <c r="P5495">
        <v>-0.99613549999999995</v>
      </c>
      <c r="Q5495">
        <v>-8.7827429999999998E-2</v>
      </c>
      <c r="R5495">
        <v>-8.6326519999999996E-4</v>
      </c>
      <c r="S5495">
        <v>-2.9886170000000001</v>
      </c>
      <c r="T5495">
        <v>-0.26034069999999998</v>
      </c>
      <c r="U5495">
        <v>-7.3165889999999997E-2</v>
      </c>
      <c r="V5495">
        <v>-1.1501249999999999E-2</v>
      </c>
      <c r="W5495">
        <v>-7.3403199999999905E-2</v>
      </c>
      <c r="X5495">
        <v>0.99723600000000001</v>
      </c>
      <c r="Y5495">
        <v>-3.4975529999999998E-2</v>
      </c>
      <c r="Z5495">
        <v>-2.5486689999999999E-3</v>
      </c>
      <c r="AA5495">
        <v>0.99938490000000002</v>
      </c>
      <c r="AB5495">
        <v>21</v>
      </c>
      <c r="AC5495">
        <v>-12.648899999999999</v>
      </c>
      <c r="AD5495">
        <v>-1.1210657892639999</v>
      </c>
      <c r="AE5495">
        <v>-0.31729999999998798</v>
      </c>
      <c r="AF5495">
        <v>-0.448955719607744</v>
      </c>
      <c r="AG5495">
        <v>-1.1210657892639999</v>
      </c>
      <c r="AH5495">
        <v>12.5462944239179</v>
      </c>
      <c r="AI5495">
        <v>95.102817037362001</v>
      </c>
      <c r="AJ5495">
        <v>92.049393711117006</v>
      </c>
      <c r="AK5495">
        <v>12.604279174695399</v>
      </c>
      <c r="AL5495">
        <v>94.209479592221598</v>
      </c>
      <c r="AM5495">
        <v>90.660770238058504</v>
      </c>
      <c r="AN5495">
        <v>0.99999997410889996</v>
      </c>
    </row>
    <row r="5496" spans="1:40" x14ac:dyDescent="0.25">
      <c r="A5496" t="str">
        <f>"20190303154919162"</f>
        <v>20190303154919162</v>
      </c>
      <c r="B5496" t="str">
        <f>"1551599359156361"</f>
        <v>1551599359156361</v>
      </c>
      <c r="C5496" t="s">
        <v>40</v>
      </c>
      <c r="D5496">
        <v>5.4500859999999998</v>
      </c>
      <c r="E5496">
        <v>0.4912125</v>
      </c>
      <c r="F5496" t="s">
        <v>59</v>
      </c>
      <c r="G5496">
        <v>-401.48750000000001</v>
      </c>
      <c r="H5496" s="1">
        <v>-6.7199569999999999E-6</v>
      </c>
      <c r="I5496">
        <v>141.30549999999999</v>
      </c>
      <c r="J5496">
        <v>-389.22390000000001</v>
      </c>
      <c r="K5496">
        <v>1.121038</v>
      </c>
      <c r="L5496">
        <v>141.60980000000001</v>
      </c>
      <c r="M5496">
        <v>-0.99983920000000004</v>
      </c>
      <c r="N5496">
        <v>-1.446829E-2</v>
      </c>
      <c r="O5496">
        <v>1.059303E-2</v>
      </c>
      <c r="P5496">
        <v>-0.99593339999999997</v>
      </c>
      <c r="Q5496">
        <v>-9.0091069999999995E-2</v>
      </c>
      <c r="R5496">
        <v>-8.4124199999999997E-4</v>
      </c>
      <c r="S5496">
        <v>-2.9878849999999999</v>
      </c>
      <c r="T5496">
        <v>-0.268432</v>
      </c>
      <c r="U5496">
        <v>-7.2326660000000001E-2</v>
      </c>
      <c r="V5496">
        <v>-1.1384709999999999E-2</v>
      </c>
      <c r="W5496">
        <v>-7.5674270000000002E-2</v>
      </c>
      <c r="X5496">
        <v>0.99706760000000005</v>
      </c>
      <c r="Y5496">
        <v>-3.4597419999999997E-2</v>
      </c>
      <c r="Z5496">
        <v>-2.5983439999999998E-3</v>
      </c>
      <c r="AA5496">
        <v>0.99939789999999995</v>
      </c>
      <c r="AB5496">
        <v>21</v>
      </c>
      <c r="AC5496">
        <v>-12.263599999999901</v>
      </c>
      <c r="AD5496">
        <v>-1.1210447199569999</v>
      </c>
      <c r="AE5496">
        <v>-0.30430000000001101</v>
      </c>
      <c r="AF5496">
        <v>-0.43060915543290501</v>
      </c>
      <c r="AG5496">
        <v>-1.1210447199569999</v>
      </c>
      <c r="AH5496">
        <v>12.158154265970801</v>
      </c>
      <c r="AI5496">
        <v>95.264789180765504</v>
      </c>
      <c r="AJ5496">
        <v>92.028414703114706</v>
      </c>
      <c r="AK5496">
        <v>12.2173188819818</v>
      </c>
      <c r="AL5496">
        <v>94.339965220968097</v>
      </c>
      <c r="AM5496">
        <v>90.654185822988097</v>
      </c>
      <c r="AN5496">
        <v>1.0000000028657801</v>
      </c>
    </row>
    <row r="5497" spans="1:40" x14ac:dyDescent="0.25">
      <c r="A5497" t="str">
        <f>"20190303154919182"</f>
        <v>20190303154919182</v>
      </c>
      <c r="B5497" t="str">
        <f>"1551599359175882"</f>
        <v>1551599359175882</v>
      </c>
      <c r="C5497" t="s">
        <v>40</v>
      </c>
      <c r="D5497">
        <v>5.4612550000000004</v>
      </c>
      <c r="E5497">
        <v>0.49125020000000003</v>
      </c>
      <c r="F5497" t="s">
        <v>59</v>
      </c>
      <c r="G5497">
        <v>-401.3202</v>
      </c>
      <c r="H5497" s="1">
        <v>-6.6498369999999998E-6</v>
      </c>
      <c r="I5497">
        <v>141.31549999999999</v>
      </c>
      <c r="J5497">
        <v>-389.4325</v>
      </c>
      <c r="K5497">
        <v>1.1210230000000001</v>
      </c>
      <c r="L5497">
        <v>141.61189999999999</v>
      </c>
      <c r="M5497">
        <v>-0.99984010000000001</v>
      </c>
      <c r="N5497">
        <v>-1.4463520000000001E-2</v>
      </c>
      <c r="O5497">
        <v>1.052023E-2</v>
      </c>
      <c r="P5497">
        <v>-0.99589629999999996</v>
      </c>
      <c r="Q5497">
        <v>-9.0493519999999994E-2</v>
      </c>
      <c r="R5497">
        <v>-1.259687E-3</v>
      </c>
      <c r="S5497">
        <v>-2.9871829999999999</v>
      </c>
      <c r="T5497">
        <v>-0.27684209999999998</v>
      </c>
      <c r="U5497">
        <v>-7.2677610000000004E-2</v>
      </c>
      <c r="V5497">
        <v>-1.1732360000000001E-2</v>
      </c>
      <c r="W5497">
        <v>-7.6081659999999995E-2</v>
      </c>
      <c r="X5497">
        <v>0.99703260000000005</v>
      </c>
      <c r="Y5497">
        <v>-3.463579E-2</v>
      </c>
      <c r="Z5497">
        <v>-2.673347E-3</v>
      </c>
      <c r="AA5497">
        <v>0.99939639999999996</v>
      </c>
      <c r="AB5497">
        <v>21</v>
      </c>
      <c r="AC5497">
        <v>-11.887699999999899</v>
      </c>
      <c r="AD5497">
        <v>-1.12102964983699</v>
      </c>
      <c r="AE5497">
        <v>-0.29640000000000499</v>
      </c>
      <c r="AF5497">
        <v>-0.41774539119026499</v>
      </c>
      <c r="AG5497">
        <v>-1.12102964983699</v>
      </c>
      <c r="AH5497">
        <v>11.779238155679799</v>
      </c>
      <c r="AI5497">
        <v>95.433068212035806</v>
      </c>
      <c r="AJ5497">
        <v>92.031117839005006</v>
      </c>
      <c r="AK5497">
        <v>11.839834045116399</v>
      </c>
      <c r="AL5497">
        <v>94.363374288394795</v>
      </c>
      <c r="AM5497">
        <v>90.674184261754206</v>
      </c>
      <c r="AN5497">
        <v>1.0000000363611401</v>
      </c>
    </row>
    <row r="5498" spans="1:40" x14ac:dyDescent="0.25">
      <c r="A5498" t="str">
        <f>"20190303154919205"</f>
        <v>20190303154919205</v>
      </c>
      <c r="B5498" t="str">
        <f>"1551599359196377"</f>
        <v>1551599359196377</v>
      </c>
      <c r="C5498" t="s">
        <v>40</v>
      </c>
      <c r="D5498">
        <v>5.4722309999999998</v>
      </c>
      <c r="E5498">
        <v>0.49124119999999999</v>
      </c>
      <c r="F5498" t="s">
        <v>59</v>
      </c>
      <c r="G5498">
        <v>-401.42</v>
      </c>
      <c r="H5498" s="1">
        <v>-6.6943070000000004E-6</v>
      </c>
      <c r="I5498">
        <v>141.316</v>
      </c>
      <c r="J5498">
        <v>-389.6377</v>
      </c>
      <c r="K5498">
        <v>1.121011</v>
      </c>
      <c r="L5498">
        <v>141.614</v>
      </c>
      <c r="M5498">
        <v>-0.99984070000000003</v>
      </c>
      <c r="N5498">
        <v>-1.4458830000000001E-2</v>
      </c>
      <c r="O5498">
        <v>1.046504E-2</v>
      </c>
      <c r="P5498">
        <v>-0.99598770000000003</v>
      </c>
      <c r="Q5498">
        <v>-8.9467550000000007E-2</v>
      </c>
      <c r="R5498">
        <v>-2.079825E-3</v>
      </c>
      <c r="S5498">
        <v>-2.9868769999999998</v>
      </c>
      <c r="T5498">
        <v>-0.27932200000000001</v>
      </c>
      <c r="U5498">
        <v>-7.3715210000000003E-2</v>
      </c>
      <c r="V5498">
        <v>-1.250161E-2</v>
      </c>
      <c r="W5498">
        <v>-7.5058879999999994E-2</v>
      </c>
      <c r="X5498">
        <v>0.99710069999999995</v>
      </c>
      <c r="Y5498">
        <v>-3.4925200000000003E-2</v>
      </c>
      <c r="Z5498">
        <v>-2.7077899999999998E-3</v>
      </c>
      <c r="AA5498">
        <v>0.99938629999999995</v>
      </c>
      <c r="AB5498">
        <v>21</v>
      </c>
      <c r="AC5498">
        <v>-11.782299999999999</v>
      </c>
      <c r="AD5498">
        <v>-1.121017694307</v>
      </c>
      <c r="AE5498">
        <v>-0.29800000000000099</v>
      </c>
      <c r="AF5498">
        <v>-0.41752164374240203</v>
      </c>
      <c r="AG5498">
        <v>-1.121017694307</v>
      </c>
      <c r="AH5498">
        <v>11.672934979056601</v>
      </c>
      <c r="AI5498">
        <v>95.482129037354497</v>
      </c>
      <c r="AJ5498">
        <v>92.048502289729996</v>
      </c>
      <c r="AK5498">
        <v>11.7340707352233</v>
      </c>
      <c r="AL5498">
        <v>94.304605563446003</v>
      </c>
      <c r="AM5498">
        <v>90.718334627561603</v>
      </c>
      <c r="AN5498">
        <v>0.99999996582996697</v>
      </c>
    </row>
    <row r="5499" spans="1:40" x14ac:dyDescent="0.25">
      <c r="A5499" t="str">
        <f>"20190303154919227"</f>
        <v>20190303154919227</v>
      </c>
      <c r="B5499" t="str">
        <f>"1551599359215897"</f>
        <v>1551599359215897</v>
      </c>
      <c r="C5499" t="s">
        <v>40</v>
      </c>
      <c r="D5499">
        <v>5.4841810000000004</v>
      </c>
      <c r="E5499">
        <v>0.4913208</v>
      </c>
      <c r="F5499" t="s">
        <v>59</v>
      </c>
      <c r="G5499">
        <v>-401.75040000000001</v>
      </c>
      <c r="H5499" s="1">
        <v>-6.8362200000000004E-6</v>
      </c>
      <c r="I5499">
        <v>141.3048</v>
      </c>
      <c r="J5499">
        <v>-389.851</v>
      </c>
      <c r="K5499">
        <v>1.120992</v>
      </c>
      <c r="L5499">
        <v>141.61609999999999</v>
      </c>
      <c r="M5499">
        <v>-0.99984130000000004</v>
      </c>
      <c r="N5499">
        <v>-1.445393E-2</v>
      </c>
      <c r="O5499">
        <v>1.042743E-2</v>
      </c>
      <c r="P5499">
        <v>-0.99606779999999995</v>
      </c>
      <c r="Q5499">
        <v>-8.8524640000000002E-2</v>
      </c>
      <c r="R5499">
        <v>-3.5316750000000002E-3</v>
      </c>
      <c r="S5499">
        <v>-2.9870909999999999</v>
      </c>
      <c r="T5499">
        <v>-0.27645059999999999</v>
      </c>
      <c r="U5499">
        <v>-7.6248170000000004E-2</v>
      </c>
      <c r="V5499">
        <v>-1.391943E-2</v>
      </c>
      <c r="W5499">
        <v>-7.411951E-2</v>
      </c>
      <c r="X5499">
        <v>0.99715220000000004</v>
      </c>
      <c r="Y5499">
        <v>-3.5733040000000001E-2</v>
      </c>
      <c r="Z5499">
        <v>-2.7210810000000002E-3</v>
      </c>
      <c r="AA5499">
        <v>0.99935759999999996</v>
      </c>
      <c r="AB5499">
        <v>21</v>
      </c>
      <c r="AC5499">
        <v>-11.8994</v>
      </c>
      <c r="AD5499">
        <v>-1.1209988362200001</v>
      </c>
      <c r="AE5499">
        <v>-0.31129999999998798</v>
      </c>
      <c r="AF5499">
        <v>-0.431548873960242</v>
      </c>
      <c r="AG5499">
        <v>-1.1209988362200001</v>
      </c>
      <c r="AH5499">
        <v>11.790935514064101</v>
      </c>
      <c r="AI5499">
        <v>95.427341716392107</v>
      </c>
      <c r="AJ5499">
        <v>92.096092995594503</v>
      </c>
      <c r="AK5499">
        <v>11.851963260078101</v>
      </c>
      <c r="AL5499">
        <v>94.250633209902006</v>
      </c>
      <c r="AM5499">
        <v>90.799750325702107</v>
      </c>
      <c r="AN5499">
        <v>0.99999998112950195</v>
      </c>
    </row>
    <row r="5500" spans="1:40" x14ac:dyDescent="0.25">
      <c r="A5500" t="str">
        <f>"20190303154919250"</f>
        <v>20190303154919250</v>
      </c>
      <c r="B5500" t="str">
        <f>"1551599359245875"</f>
        <v>1551599359245875</v>
      </c>
      <c r="C5500" t="s">
        <v>40</v>
      </c>
      <c r="D5500">
        <v>5.5344389999999999</v>
      </c>
      <c r="E5500">
        <v>0.49128359999999899</v>
      </c>
      <c r="F5500" t="s">
        <v>59</v>
      </c>
      <c r="G5500">
        <v>-402.16129999999998</v>
      </c>
      <c r="H5500" s="1">
        <v>-7.0110810000000002E-6</v>
      </c>
      <c r="I5500">
        <v>141.2868</v>
      </c>
      <c r="J5500">
        <v>-390.0693</v>
      </c>
      <c r="K5500">
        <v>1.120978</v>
      </c>
      <c r="L5500">
        <v>141.61840000000001</v>
      </c>
      <c r="M5500">
        <v>-0.99984150000000005</v>
      </c>
      <c r="N5500">
        <v>-1.4448880000000001E-2</v>
      </c>
      <c r="O5500">
        <v>1.0409750000000001E-2</v>
      </c>
      <c r="P5500">
        <v>-0.99602259999999998</v>
      </c>
      <c r="Q5500">
        <v>-8.8968989999999998E-2</v>
      </c>
      <c r="R5500">
        <v>-4.8674440000000003E-3</v>
      </c>
      <c r="S5500">
        <v>-2.987457</v>
      </c>
      <c r="T5500">
        <v>-0.27204260000000002</v>
      </c>
      <c r="U5500">
        <v>-7.991028E-2</v>
      </c>
      <c r="V5500">
        <v>-1.5239320000000001E-2</v>
      </c>
      <c r="W5500">
        <v>-7.456923E-2</v>
      </c>
      <c r="X5500">
        <v>0.99709939999999997</v>
      </c>
      <c r="Y5500">
        <v>-3.6937150000000002E-2</v>
      </c>
      <c r="Z5500">
        <v>-2.7412560000000001E-3</v>
      </c>
      <c r="AA5500">
        <v>0.99931380000000003</v>
      </c>
      <c r="AB5500">
        <v>21</v>
      </c>
      <c r="AC5500">
        <v>-12.091999999999899</v>
      </c>
      <c r="AD5500">
        <v>-1.120985011081</v>
      </c>
      <c r="AE5500">
        <v>-0.331600000000008</v>
      </c>
      <c r="AF5500">
        <v>-0.45357469440694698</v>
      </c>
      <c r="AG5500">
        <v>-1.120985011081</v>
      </c>
      <c r="AH5500">
        <v>11.9849691328085</v>
      </c>
      <c r="AI5500">
        <v>95.339675300223902</v>
      </c>
      <c r="AJ5500">
        <v>92.167341345740297</v>
      </c>
      <c r="AK5500">
        <v>12.045821786530199</v>
      </c>
      <c r="AL5500">
        <v>94.276471648901605</v>
      </c>
      <c r="AM5500">
        <v>90.875620566919693</v>
      </c>
      <c r="AN5500">
        <v>1.0000000102086</v>
      </c>
    </row>
    <row r="5501" spans="1:40" x14ac:dyDescent="0.25">
      <c r="A5501" t="str">
        <f>"20190303154919272"</f>
        <v>20190303154919272</v>
      </c>
      <c r="B5501" t="str">
        <f>"1551599359266371"</f>
        <v>1551599359266371</v>
      </c>
      <c r="C5501" t="s">
        <v>40</v>
      </c>
      <c r="D5501">
        <v>5.484197</v>
      </c>
      <c r="E5501">
        <v>0.49127140000000002</v>
      </c>
      <c r="F5501" t="s">
        <v>59</v>
      </c>
      <c r="G5501">
        <v>-402.31360000000001</v>
      </c>
      <c r="H5501" s="1">
        <v>-7.0729149999999999E-6</v>
      </c>
      <c r="I5501">
        <v>141.273</v>
      </c>
      <c r="J5501">
        <v>-390.27710000000002</v>
      </c>
      <c r="K5501">
        <v>1.12097</v>
      </c>
      <c r="L5501">
        <v>141.62049999999999</v>
      </c>
      <c r="M5501">
        <v>-0.9998416</v>
      </c>
      <c r="N5501">
        <v>-1.444406E-2</v>
      </c>
      <c r="O5501">
        <v>1.0408209999999999E-2</v>
      </c>
      <c r="P5501">
        <v>-0.99599709999999997</v>
      </c>
      <c r="Q5501">
        <v>-8.918065E-2</v>
      </c>
      <c r="R5501">
        <v>-6.0376359999999999E-3</v>
      </c>
      <c r="S5501">
        <v>-2.987152</v>
      </c>
      <c r="T5501">
        <v>-0.2734798</v>
      </c>
      <c r="U5501">
        <v>-8.4243769999999996E-2</v>
      </c>
      <c r="V5501">
        <v>-1.6409610000000002E-2</v>
      </c>
      <c r="W5501">
        <v>-7.4785850000000001E-2</v>
      </c>
      <c r="X5501">
        <v>0.99706459999999997</v>
      </c>
      <c r="Y5501">
        <v>-3.8377799999999997E-2</v>
      </c>
      <c r="Z5501">
        <v>-2.831367E-3</v>
      </c>
      <c r="AA5501">
        <v>0.99925929999999996</v>
      </c>
      <c r="AB5501">
        <v>21</v>
      </c>
      <c r="AC5501">
        <v>-12.036499999999901</v>
      </c>
      <c r="AD5501">
        <v>-1.1209770729149999</v>
      </c>
      <c r="AE5501">
        <v>-0.34749999999999598</v>
      </c>
      <c r="AF5501">
        <v>-0.46871068784271303</v>
      </c>
      <c r="AG5501">
        <v>-1.1209770729149999</v>
      </c>
      <c r="AH5501">
        <v>11.9288522457077</v>
      </c>
      <c r="AI5501">
        <v>95.364313574526193</v>
      </c>
      <c r="AJ5501">
        <v>92.250118965710001</v>
      </c>
      <c r="AK5501">
        <v>11.9905710959413</v>
      </c>
      <c r="AL5501">
        <v>94.288917824694394</v>
      </c>
      <c r="AM5501">
        <v>90.942884264080405</v>
      </c>
      <c r="AN5501">
        <v>1.00000000761686</v>
      </c>
    </row>
    <row r="5502" spans="1:40" x14ac:dyDescent="0.25">
      <c r="A5502" t="str">
        <f>"20190303154919293"</f>
        <v>20190303154919293</v>
      </c>
      <c r="B5502" t="str">
        <f>"1551599359285891"</f>
        <v>1551599359285891</v>
      </c>
      <c r="C5502" t="s">
        <v>40</v>
      </c>
      <c r="D5502">
        <v>5.4872249999999996</v>
      </c>
      <c r="E5502">
        <v>0.46113710000000002</v>
      </c>
      <c r="F5502" t="s">
        <v>59</v>
      </c>
      <c r="G5502">
        <v>-402.55790000000002</v>
      </c>
      <c r="H5502" s="1">
        <v>-7.1756169999999901E-6</v>
      </c>
      <c r="I5502">
        <v>141.2593</v>
      </c>
      <c r="J5502">
        <v>-390.48039999999997</v>
      </c>
      <c r="K5502">
        <v>1.120967</v>
      </c>
      <c r="L5502">
        <v>141.62260000000001</v>
      </c>
      <c r="M5502">
        <v>-0.99984150000000005</v>
      </c>
      <c r="N5502">
        <v>-1.443931E-2</v>
      </c>
      <c r="O5502">
        <v>1.041656E-2</v>
      </c>
      <c r="P5502">
        <v>-0.99595210000000001</v>
      </c>
      <c r="Q5502">
        <v>-8.9671609999999999E-2</v>
      </c>
      <c r="R5502">
        <v>-6.2075359999999996E-3</v>
      </c>
      <c r="S5502">
        <v>-2.9870909999999999</v>
      </c>
      <c r="T5502">
        <v>-0.27265780000000001</v>
      </c>
      <c r="U5502">
        <v>-8.7860110000000005E-2</v>
      </c>
      <c r="V5502">
        <v>-1.6587749999999998E-2</v>
      </c>
      <c r="W5502">
        <v>-7.5281959999999995E-2</v>
      </c>
      <c r="X5502">
        <v>0.99702429999999997</v>
      </c>
      <c r="Y5502">
        <v>-3.959083E-2</v>
      </c>
      <c r="Z5502">
        <v>-2.8879000000000001E-3</v>
      </c>
      <c r="AA5502">
        <v>0.99921179999999998</v>
      </c>
      <c r="AB5502">
        <v>21</v>
      </c>
      <c r="AC5502">
        <v>-12.077500000000001</v>
      </c>
      <c r="AD5502">
        <v>-1.120974175617</v>
      </c>
      <c r="AE5502">
        <v>-0.363300000000009</v>
      </c>
      <c r="AF5502">
        <v>-0.48492572047063998</v>
      </c>
      <c r="AG5502">
        <v>-1.120974175617</v>
      </c>
      <c r="AH5502">
        <v>11.9700355588232</v>
      </c>
      <c r="AI5502">
        <v>95.3456926467274</v>
      </c>
      <c r="AJ5502">
        <v>92.319877182808796</v>
      </c>
      <c r="AK5502">
        <v>12.0321854763075</v>
      </c>
      <c r="AL5502">
        <v>94.317423263494106</v>
      </c>
      <c r="AM5502">
        <v>90.953156699111005</v>
      </c>
      <c r="AN5502">
        <v>0.999999990870997</v>
      </c>
    </row>
    <row r="5503" spans="1:40" x14ac:dyDescent="0.25">
      <c r="A5503" t="str">
        <f>"20190303154919317"</f>
        <v>20190303154919317</v>
      </c>
      <c r="B5503" t="str">
        <f>"1551599359306387"</f>
        <v>1551599359306387</v>
      </c>
      <c r="C5503" t="s">
        <v>40</v>
      </c>
      <c r="D5503">
        <v>5.4778229999999999</v>
      </c>
      <c r="E5503">
        <v>0.4516192</v>
      </c>
      <c r="F5503" t="s">
        <v>59</v>
      </c>
      <c r="G5503">
        <v>-401.1146</v>
      </c>
      <c r="H5503" s="1">
        <v>-6.2021399999999997E-6</v>
      </c>
      <c r="I5503">
        <v>140.44799999999901</v>
      </c>
      <c r="J5503">
        <v>-390.69499999999999</v>
      </c>
      <c r="K5503">
        <v>1.12096</v>
      </c>
      <c r="L5503">
        <v>141.6249</v>
      </c>
      <c r="M5503">
        <v>-0.99984170000000006</v>
      </c>
      <c r="N5503">
        <v>-1.4421700000000001E-2</v>
      </c>
      <c r="O5503">
        <v>1.0430119999999999E-2</v>
      </c>
      <c r="P5503">
        <v>-0.99594970000000005</v>
      </c>
      <c r="Q5503">
        <v>-8.9759729999999996E-2</v>
      </c>
      <c r="R5503">
        <v>-5.2480829999999997E-3</v>
      </c>
      <c r="S5503">
        <v>-2.9818419999999999</v>
      </c>
      <c r="T5503">
        <v>-0.31432130000000003</v>
      </c>
      <c r="U5503">
        <v>-0.32936100000000001</v>
      </c>
      <c r="V5503">
        <v>-1.5642489999999998E-2</v>
      </c>
      <c r="W5503">
        <v>-7.5387540000000003E-2</v>
      </c>
      <c r="X5503">
        <v>0.99703160000000002</v>
      </c>
      <c r="Y5503">
        <v>-0.1193631</v>
      </c>
      <c r="Z5503">
        <v>-8.064603E-3</v>
      </c>
      <c r="AA5503">
        <v>0.99281790000000003</v>
      </c>
      <c r="AB5503">
        <v>21</v>
      </c>
      <c r="AC5503">
        <v>-10.419600000000001</v>
      </c>
      <c r="AD5503">
        <v>-1.12096620214</v>
      </c>
      <c r="AE5503">
        <v>-1.17690000000001</v>
      </c>
      <c r="AF5503">
        <v>-1.2709997178523</v>
      </c>
      <c r="AG5503">
        <v>-1.12096620214</v>
      </c>
      <c r="AH5503">
        <v>10.2891700649031</v>
      </c>
      <c r="AI5503">
        <v>96.171097869449895</v>
      </c>
      <c r="AJ5503">
        <v>97.041954664085097</v>
      </c>
      <c r="AK5503">
        <v>10.4278006374124</v>
      </c>
      <c r="AL5503">
        <v>94.323489794806093</v>
      </c>
      <c r="AM5503">
        <v>90.898843259063298</v>
      </c>
      <c r="AN5503">
        <v>0.99999999003960505</v>
      </c>
    </row>
    <row r="5504" spans="1:40" x14ac:dyDescent="0.25">
      <c r="A5504" t="str">
        <f>"20190303154919339"</f>
        <v>20190303154919339</v>
      </c>
      <c r="B5504" t="str">
        <f>"1551599359336643"</f>
        <v>1551599359336643</v>
      </c>
      <c r="C5504" t="s">
        <v>40</v>
      </c>
      <c r="D5504">
        <v>5.4892219999999998</v>
      </c>
      <c r="E5504">
        <v>0.44776569999999999</v>
      </c>
      <c r="F5504" t="s">
        <v>59</v>
      </c>
      <c r="G5504">
        <v>-401.66180000000003</v>
      </c>
      <c r="H5504" s="1">
        <v>-6.3205999999999899E-6</v>
      </c>
      <c r="I5504">
        <v>140.14590000000001</v>
      </c>
      <c r="J5504">
        <v>-390.90570000000002</v>
      </c>
      <c r="K5504">
        <v>1.1209530000000001</v>
      </c>
      <c r="L5504">
        <v>141.62710000000001</v>
      </c>
      <c r="M5504">
        <v>-0.99984240000000002</v>
      </c>
      <c r="N5504">
        <v>-1.435722E-2</v>
      </c>
      <c r="O5504">
        <v>1.044488E-2</v>
      </c>
      <c r="P5504">
        <v>-0.99598750000000003</v>
      </c>
      <c r="Q5504">
        <v>-8.9408070000000006E-2</v>
      </c>
      <c r="R5504">
        <v>-3.8956149999999998E-3</v>
      </c>
      <c r="S5504">
        <v>-2.9826350000000001</v>
      </c>
      <c r="T5504">
        <v>-0.30486940000000001</v>
      </c>
      <c r="U5504">
        <v>-0.40223690000000001</v>
      </c>
      <c r="V5504">
        <v>-1.430495E-2</v>
      </c>
      <c r="W5504">
        <v>-7.5099579999999999E-2</v>
      </c>
      <c r="X5504">
        <v>0.9970734</v>
      </c>
      <c r="Y5504">
        <v>-0.14311760000000001</v>
      </c>
      <c r="Z5504">
        <v>-9.2091259999999998E-3</v>
      </c>
      <c r="AA5504">
        <v>0.98966279999999995</v>
      </c>
      <c r="AB5504">
        <v>21</v>
      </c>
      <c r="AC5504">
        <v>-10.7561</v>
      </c>
      <c r="AD5504">
        <v>-1.1209593205999999</v>
      </c>
      <c r="AE5504">
        <v>-1.4812000000000001</v>
      </c>
      <c r="AF5504">
        <v>-1.57667139110424</v>
      </c>
      <c r="AG5504">
        <v>-1.1209593205999999</v>
      </c>
      <c r="AH5504">
        <v>10.6267711503617</v>
      </c>
      <c r="AI5504">
        <v>95.956816589792595</v>
      </c>
      <c r="AJ5504">
        <v>98.439287343154405</v>
      </c>
      <c r="AK5504">
        <v>10.8014215525609</v>
      </c>
      <c r="AL5504">
        <v>94.306944076568897</v>
      </c>
      <c r="AM5504">
        <v>90.821962588873504</v>
      </c>
      <c r="AN5504">
        <v>0.99999997174911803</v>
      </c>
    </row>
    <row r="5505" spans="1:40" x14ac:dyDescent="0.25">
      <c r="A5505" t="str">
        <f>"20190303154919362"</f>
        <v>20190303154919362</v>
      </c>
      <c r="B5505" t="str">
        <f>"1551599359356163"</f>
        <v>1551599359356163</v>
      </c>
      <c r="C5505" t="s">
        <v>40</v>
      </c>
      <c r="D5505">
        <v>5.5094390000000004</v>
      </c>
      <c r="E5505">
        <v>0.44639879999999998</v>
      </c>
      <c r="F5505" t="s">
        <v>59</v>
      </c>
      <c r="G5505">
        <v>-402.0104</v>
      </c>
      <c r="H5505" s="1">
        <v>-6.4277359999999996E-6</v>
      </c>
      <c r="I5505">
        <v>140.03039999999999</v>
      </c>
      <c r="J5505">
        <v>-391.11849999999998</v>
      </c>
      <c r="K5505">
        <v>1.120927</v>
      </c>
      <c r="L5505">
        <v>141.6293</v>
      </c>
      <c r="M5505">
        <v>-0.99984439999999997</v>
      </c>
      <c r="N5505">
        <v>-1.4218099999999999E-2</v>
      </c>
      <c r="O5505">
        <v>1.045722E-2</v>
      </c>
      <c r="P5505">
        <v>-0.99594450000000001</v>
      </c>
      <c r="Q5505">
        <v>-8.9906379999999994E-2</v>
      </c>
      <c r="R5505">
        <v>-3.421763E-3</v>
      </c>
      <c r="S5505">
        <v>-2.9833980000000002</v>
      </c>
      <c r="T5505">
        <v>-0.30115930000000002</v>
      </c>
      <c r="U5505">
        <v>-0.42895509999999898</v>
      </c>
      <c r="V5505">
        <v>-1.3842149999999999E-2</v>
      </c>
      <c r="W5505">
        <v>-7.5737230000000003E-2</v>
      </c>
      <c r="X5505">
        <v>0.99703169999999997</v>
      </c>
      <c r="Y5505">
        <v>-0.15175810000000001</v>
      </c>
      <c r="Z5505">
        <v>-9.5890820000000005E-3</v>
      </c>
      <c r="AA5505">
        <v>0.98837109999999995</v>
      </c>
      <c r="AB5505">
        <v>21</v>
      </c>
      <c r="AC5505">
        <v>-10.8919</v>
      </c>
      <c r="AD5505">
        <v>-1.1209334277359999</v>
      </c>
      <c r="AE5505">
        <v>-1.59890000000001</v>
      </c>
      <c r="AF5505">
        <v>-1.69514783602008</v>
      </c>
      <c r="AG5505">
        <v>-1.1209334277359999</v>
      </c>
      <c r="AH5505">
        <v>10.7629924057214</v>
      </c>
      <c r="AI5505">
        <v>95.873858295621204</v>
      </c>
      <c r="AJ5505">
        <v>98.950436751136806</v>
      </c>
      <c r="AK5505">
        <v>10.9531741272106</v>
      </c>
      <c r="AL5505">
        <v>94.343583079854</v>
      </c>
      <c r="AM5505">
        <v>90.795406830518601</v>
      </c>
      <c r="AN5505">
        <v>0.99999997196479196</v>
      </c>
    </row>
    <row r="5506" spans="1:40" x14ac:dyDescent="0.25">
      <c r="A5506" t="str">
        <f>"20190303154919383"</f>
        <v>20190303154919383</v>
      </c>
      <c r="B5506" t="str">
        <f>"1551599359376659"</f>
        <v>1551599359376659</v>
      </c>
      <c r="C5506" t="s">
        <v>40</v>
      </c>
      <c r="D5506">
        <v>5.4702409999999997</v>
      </c>
      <c r="E5506">
        <v>0.44547029999999899</v>
      </c>
      <c r="F5506" t="s">
        <v>59</v>
      </c>
      <c r="G5506">
        <v>-402.18369999999999</v>
      </c>
      <c r="H5506" s="1">
        <v>-6.4934509999999999E-6</v>
      </c>
      <c r="I5506">
        <v>140.0033</v>
      </c>
      <c r="J5506">
        <v>-391.32190000000003</v>
      </c>
      <c r="K5506">
        <v>1.1208929999999999</v>
      </c>
      <c r="L5506">
        <v>141.63140000000001</v>
      </c>
      <c r="M5506">
        <v>-0.99984680000000004</v>
      </c>
      <c r="N5506">
        <v>-1.403214E-2</v>
      </c>
      <c r="O5506">
        <v>1.046453E-2</v>
      </c>
      <c r="P5506">
        <v>-0.99598750000000003</v>
      </c>
      <c r="Q5506">
        <v>-8.9442759999999996E-2</v>
      </c>
      <c r="R5506">
        <v>-2.9537449999999998E-3</v>
      </c>
      <c r="S5506">
        <v>-2.9834589999999999</v>
      </c>
      <c r="T5506">
        <v>-0.30223080000000002</v>
      </c>
      <c r="U5506">
        <v>-0.43841550000000001</v>
      </c>
      <c r="V5506">
        <v>-1.338174E-2</v>
      </c>
      <c r="W5506">
        <v>-7.5458520000000001E-2</v>
      </c>
      <c r="X5506">
        <v>0.99705920000000003</v>
      </c>
      <c r="Y5506">
        <v>-0.15480910000000001</v>
      </c>
      <c r="Z5506">
        <v>-9.7811170000000006E-3</v>
      </c>
      <c r="AA5506">
        <v>0.987896</v>
      </c>
      <c r="AB5506">
        <v>21</v>
      </c>
      <c r="AC5506">
        <v>-10.861799999999899</v>
      </c>
      <c r="AD5506">
        <v>-1.1208994934509999</v>
      </c>
      <c r="AE5506">
        <v>-1.6281000000000101</v>
      </c>
      <c r="AF5506">
        <v>-1.7237321255197799</v>
      </c>
      <c r="AG5506">
        <v>-1.1208994934509999</v>
      </c>
      <c r="AH5506">
        <v>10.7323830284015</v>
      </c>
      <c r="AI5506">
        <v>95.887492708281002</v>
      </c>
      <c r="AJ5506">
        <v>99.124372973948994</v>
      </c>
      <c r="AK5506">
        <v>10.9275666817132</v>
      </c>
      <c r="AL5506">
        <v>94.327567990027305</v>
      </c>
      <c r="AM5506">
        <v>90.768932470159498</v>
      </c>
      <c r="AN5506">
        <v>1.00000005375532</v>
      </c>
    </row>
    <row r="5507" spans="1:40" x14ac:dyDescent="0.25">
      <c r="A5507" t="str">
        <f>"20190303154919405"</f>
        <v>20190303154919405</v>
      </c>
      <c r="B5507" t="str">
        <f>"1551599359396179"</f>
        <v>1551599359396179</v>
      </c>
      <c r="C5507" t="s">
        <v>40</v>
      </c>
      <c r="D5507">
        <v>5.5073930000000004</v>
      </c>
      <c r="E5507">
        <v>0.44492039999999999</v>
      </c>
      <c r="F5507" t="s">
        <v>59</v>
      </c>
      <c r="G5507">
        <v>-402.47660000000002</v>
      </c>
      <c r="H5507" s="1">
        <v>-6.6097189999999999E-6</v>
      </c>
      <c r="I5507">
        <v>139.97020000000001</v>
      </c>
      <c r="J5507">
        <v>-391.53390000000002</v>
      </c>
      <c r="K5507">
        <v>1.120859</v>
      </c>
      <c r="L5507">
        <v>141.6337</v>
      </c>
      <c r="M5507">
        <v>-0.99984980000000001</v>
      </c>
      <c r="N5507">
        <v>-1.38201E-2</v>
      </c>
      <c r="O5507">
        <v>1.0468470000000001E-2</v>
      </c>
      <c r="P5507">
        <v>-0.99600889999999997</v>
      </c>
      <c r="Q5507">
        <v>-8.9198860000000005E-2</v>
      </c>
      <c r="R5507">
        <v>-3.1536889999999999E-3</v>
      </c>
      <c r="S5507">
        <v>-2.9838260000000001</v>
      </c>
      <c r="T5507">
        <v>-0.29983340000000003</v>
      </c>
      <c r="U5507">
        <v>-0.44438169999999999</v>
      </c>
      <c r="V5507">
        <v>-1.3585740000000001E-2</v>
      </c>
      <c r="W5507">
        <v>-7.5425880000000001E-2</v>
      </c>
      <c r="X5507">
        <v>0.99705889999999997</v>
      </c>
      <c r="Y5507">
        <v>-0.15673319999999999</v>
      </c>
      <c r="Z5507">
        <v>-9.8045029999999991E-3</v>
      </c>
      <c r="AA5507">
        <v>0.98759229999999998</v>
      </c>
      <c r="AB5507">
        <v>21</v>
      </c>
      <c r="AC5507">
        <v>-10.9427</v>
      </c>
      <c r="AD5507">
        <v>-1.120865609719</v>
      </c>
      <c r="AE5507">
        <v>-1.66349999999999</v>
      </c>
      <c r="AF5507">
        <v>-1.7599250465528</v>
      </c>
      <c r="AG5507">
        <v>-1.120865609719</v>
      </c>
      <c r="AH5507">
        <v>10.8137888571899</v>
      </c>
      <c r="AI5507">
        <v>95.841349970234504</v>
      </c>
      <c r="AJ5507">
        <v>99.2437425890529</v>
      </c>
      <c r="AK5507">
        <v>11.0132513515501</v>
      </c>
      <c r="AL5507">
        <v>94.325692558202903</v>
      </c>
      <c r="AM5507">
        <v>90.780653374908397</v>
      </c>
      <c r="AN5507">
        <v>1.00000004288716</v>
      </c>
    </row>
    <row r="5508" spans="1:40" x14ac:dyDescent="0.25">
      <c r="A5508" t="str">
        <f>"20190303154919421"</f>
        <v>20190303154919421</v>
      </c>
      <c r="B5508" t="str">
        <f>"1551599359416675"</f>
        <v>1551599359416675</v>
      </c>
      <c r="C5508" t="s">
        <v>40</v>
      </c>
      <c r="D5508">
        <v>5.4714900000000002</v>
      </c>
      <c r="E5508">
        <v>0.44434360000000001</v>
      </c>
      <c r="F5508" t="s">
        <v>59</v>
      </c>
      <c r="G5508">
        <v>-402.72070000000002</v>
      </c>
      <c r="H5508" s="1">
        <v>-6.7092729999999998E-6</v>
      </c>
      <c r="I5508">
        <v>139.94899999999899</v>
      </c>
      <c r="J5508">
        <v>-391.67509999999999</v>
      </c>
      <c r="K5508">
        <v>1.1208400000000001</v>
      </c>
      <c r="L5508">
        <v>141.63509999999999</v>
      </c>
      <c r="M5508">
        <v>-0.99985170000000001</v>
      </c>
      <c r="N5508">
        <v>-1.3678920000000001E-2</v>
      </c>
      <c r="O5508">
        <v>1.046996E-2</v>
      </c>
      <c r="P5508">
        <v>-0.99605270000000001</v>
      </c>
      <c r="Q5508">
        <v>-8.869784E-2</v>
      </c>
      <c r="R5508">
        <v>-3.4526510000000002E-3</v>
      </c>
      <c r="S5508">
        <v>-2.9837950000000002</v>
      </c>
      <c r="T5508">
        <v>-0.29896279999999997</v>
      </c>
      <c r="U5508">
        <v>-0.44934079999999899</v>
      </c>
      <c r="V5508">
        <v>-1.388612E-2</v>
      </c>
      <c r="W5508">
        <v>-7.5065160000000006E-2</v>
      </c>
      <c r="X5508">
        <v>0.99708189999999997</v>
      </c>
      <c r="Y5508">
        <v>-0.1583386</v>
      </c>
      <c r="Z5508">
        <v>-9.8593480000000004E-3</v>
      </c>
      <c r="AA5508">
        <v>0.98733570000000004</v>
      </c>
      <c r="AB5508">
        <v>21</v>
      </c>
      <c r="AC5508">
        <v>-11.0456</v>
      </c>
      <c r="AD5508">
        <v>-1.1208467092729999</v>
      </c>
      <c r="AE5508">
        <v>-1.6861000000000099</v>
      </c>
      <c r="AF5508">
        <v>-1.7837165451122201</v>
      </c>
      <c r="AG5508">
        <v>-1.1208467092729999</v>
      </c>
      <c r="AH5508">
        <v>10.917481188616399</v>
      </c>
      <c r="AI5508">
        <v>95.785572957480198</v>
      </c>
      <c r="AJ5508">
        <v>99.279096921356796</v>
      </c>
      <c r="AK5508">
        <v>11.1188730347454</v>
      </c>
      <c r="AL5508">
        <v>94.304966428631005</v>
      </c>
      <c r="AM5508">
        <v>90.797892969463305</v>
      </c>
      <c r="AN5508">
        <v>0.99999995894104399</v>
      </c>
    </row>
    <row r="5509" spans="1:40" x14ac:dyDescent="0.25">
      <c r="A5509" t="str">
        <f>"20190303154919440"</f>
        <v>20190303154919440</v>
      </c>
      <c r="B5509" t="str">
        <f>"1551599359436195"</f>
        <v>1551599359436195</v>
      </c>
      <c r="C5509" t="s">
        <v>40</v>
      </c>
      <c r="D5509">
        <v>5.5020059999999997</v>
      </c>
      <c r="E5509">
        <v>0.4438377</v>
      </c>
      <c r="F5509" t="s">
        <v>59</v>
      </c>
      <c r="G5509">
        <v>-402.89170000000001</v>
      </c>
      <c r="H5509" s="1">
        <v>-6.7752459999999999E-6</v>
      </c>
      <c r="I5509">
        <v>139.92509999999999</v>
      </c>
      <c r="J5509">
        <v>-391.85109999999997</v>
      </c>
      <c r="K5509">
        <v>1.1208199999999999</v>
      </c>
      <c r="L5509">
        <v>141.637</v>
      </c>
      <c r="M5509">
        <v>-0.99985400000000002</v>
      </c>
      <c r="N5509">
        <v>-1.350866E-2</v>
      </c>
      <c r="O5509">
        <v>1.0470439999999999E-2</v>
      </c>
      <c r="P5509">
        <v>-0.99606439999999996</v>
      </c>
      <c r="Q5509">
        <v>-8.8527809999999998E-2</v>
      </c>
      <c r="R5509">
        <v>-4.3248729999999999E-3</v>
      </c>
      <c r="S5509">
        <v>-2.9837950000000002</v>
      </c>
      <c r="T5509">
        <v>-0.29816399999999998</v>
      </c>
      <c r="U5509">
        <v>-0.45489499999999999</v>
      </c>
      <c r="V5509">
        <v>-1.475855E-2</v>
      </c>
      <c r="W5509">
        <v>-7.5064909999999999E-2</v>
      </c>
      <c r="X5509">
        <v>0.99706939999999999</v>
      </c>
      <c r="Y5509">
        <v>-0.16013160000000001</v>
      </c>
      <c r="Z5509">
        <v>-9.9238659999999999E-3</v>
      </c>
      <c r="AA5509">
        <v>0.98704579999999997</v>
      </c>
      <c r="AB5509">
        <v>21</v>
      </c>
      <c r="AC5509">
        <v>-11.0406</v>
      </c>
      <c r="AD5509">
        <v>-1.1208267752459999</v>
      </c>
      <c r="AE5509">
        <v>-1.71190000000001</v>
      </c>
      <c r="AF5509">
        <v>-1.8092086127342999</v>
      </c>
      <c r="AG5509">
        <v>-1.1208267752459999</v>
      </c>
      <c r="AH5509">
        <v>10.912247031321201</v>
      </c>
      <c r="AI5509">
        <v>95.786003066865206</v>
      </c>
      <c r="AJ5509">
        <v>99.413786805108003</v>
      </c>
      <c r="AK5509">
        <v>11.117851579198099</v>
      </c>
      <c r="AL5509">
        <v>94.304952007989797</v>
      </c>
      <c r="AM5509">
        <v>90.848026103791895</v>
      </c>
      <c r="AN5509">
        <v>0.99999997196388402</v>
      </c>
    </row>
    <row r="5510" spans="1:40" x14ac:dyDescent="0.25">
      <c r="A5510" t="str">
        <f>"20190303154919454"</f>
        <v>20190303154919454</v>
      </c>
      <c r="B5510" t="str">
        <f>"1551599359445955"</f>
        <v>1551599359445955</v>
      </c>
      <c r="C5510" t="s">
        <v>40</v>
      </c>
      <c r="D5510">
        <v>5.4763339999999996</v>
      </c>
      <c r="E5510">
        <v>0.4435963</v>
      </c>
      <c r="F5510" t="s">
        <v>59</v>
      </c>
      <c r="G5510">
        <v>-403.03390000000002</v>
      </c>
      <c r="H5510" s="1">
        <v>-6.8310719999999998E-6</v>
      </c>
      <c r="I5510">
        <v>139.9074</v>
      </c>
      <c r="J5510">
        <v>-391.99130000000002</v>
      </c>
      <c r="K5510">
        <v>1.120803</v>
      </c>
      <c r="L5510">
        <v>141.63839999999999</v>
      </c>
      <c r="M5510">
        <v>-0.99985570000000001</v>
      </c>
      <c r="N5510">
        <v>-1.3377409999999999E-2</v>
      </c>
      <c r="O5510">
        <v>1.046976E-2</v>
      </c>
      <c r="P5510">
        <v>-0.99609890000000001</v>
      </c>
      <c r="Q5510">
        <v>-8.8100049999999999E-2</v>
      </c>
      <c r="R5510">
        <v>-5.0298640000000002E-3</v>
      </c>
      <c r="S5510">
        <v>-2.983276</v>
      </c>
      <c r="T5510">
        <v>-0.29900779999999999</v>
      </c>
      <c r="U5510">
        <v>-0.46139530000000001</v>
      </c>
      <c r="V5510">
        <v>-1.546255E-2</v>
      </c>
      <c r="W5510">
        <v>-7.4767719999999996E-2</v>
      </c>
      <c r="X5510">
        <v>0.99708110000000005</v>
      </c>
      <c r="Y5510">
        <v>-0.16224140000000001</v>
      </c>
      <c r="Z5510">
        <v>-1.0059220000000001E-2</v>
      </c>
      <c r="AA5510">
        <v>0.98669980000000002</v>
      </c>
      <c r="AB5510">
        <v>21</v>
      </c>
      <c r="AC5510">
        <v>-11.042599999999901</v>
      </c>
      <c r="AD5510">
        <v>-1.1208098310720001</v>
      </c>
      <c r="AE5510">
        <v>-1.7309999999999901</v>
      </c>
      <c r="AF5510">
        <v>-1.82814696263079</v>
      </c>
      <c r="AG5510">
        <v>-1.1208098310720001</v>
      </c>
      <c r="AH5510">
        <v>10.9141292266251</v>
      </c>
      <c r="AI5510">
        <v>95.783335403402802</v>
      </c>
      <c r="AJ5510">
        <v>99.508926770483001</v>
      </c>
      <c r="AK5510">
        <v>11.1227942878522</v>
      </c>
      <c r="AL5510">
        <v>94.287876120442505</v>
      </c>
      <c r="AM5510">
        <v>90.888461174572896</v>
      </c>
      <c r="AN5510">
        <v>1.0000000111918499</v>
      </c>
    </row>
    <row r="5511" spans="1:40" x14ac:dyDescent="0.25">
      <c r="A5511" t="str">
        <f>"20190303154919473"</f>
        <v>20190303154919473</v>
      </c>
      <c r="B5511" t="str">
        <f>"1551599359466451"</f>
        <v>1551599359466451</v>
      </c>
      <c r="C5511" t="s">
        <v>40</v>
      </c>
      <c r="D5511">
        <v>5.489789</v>
      </c>
      <c r="E5511">
        <v>0.44336589999999998</v>
      </c>
      <c r="F5511" t="s">
        <v>59</v>
      </c>
      <c r="G5511">
        <v>-403.20589999999999</v>
      </c>
      <c r="H5511" s="1">
        <v>-6.8995289999999999E-6</v>
      </c>
      <c r="I5511">
        <v>139.88839999999999</v>
      </c>
      <c r="J5511">
        <v>-392.16430000000003</v>
      </c>
      <c r="K5511">
        <v>1.120784</v>
      </c>
      <c r="L5511">
        <v>141.64019999999999</v>
      </c>
      <c r="M5511">
        <v>-0.99985789999999997</v>
      </c>
      <c r="N5511">
        <v>-1.322014E-2</v>
      </c>
      <c r="O5511">
        <v>1.04683E-2</v>
      </c>
      <c r="P5511">
        <v>-0.99610050000000006</v>
      </c>
      <c r="Q5511">
        <v>-8.8018949999999999E-2</v>
      </c>
      <c r="R5511">
        <v>-6.053999E-3</v>
      </c>
      <c r="S5511">
        <v>-2.9830930000000002</v>
      </c>
      <c r="T5511">
        <v>-0.29813440000000002</v>
      </c>
      <c r="U5511">
        <v>-0.46551510000000001</v>
      </c>
      <c r="V5511">
        <v>-1.6485130000000001E-2</v>
      </c>
      <c r="W5511">
        <v>-7.4843560000000003E-2</v>
      </c>
      <c r="X5511">
        <v>0.99705900000000003</v>
      </c>
      <c r="Y5511">
        <v>-0.16357859999999999</v>
      </c>
      <c r="Z5511">
        <v>-1.0096269999999999E-2</v>
      </c>
      <c r="AA5511">
        <v>0.98647859999999998</v>
      </c>
      <c r="AB5511">
        <v>21</v>
      </c>
      <c r="AC5511">
        <v>-11.041599999999899</v>
      </c>
      <c r="AD5511">
        <v>-1.1207908995289999</v>
      </c>
      <c r="AE5511">
        <v>-1.7518</v>
      </c>
      <c r="AF5511">
        <v>-1.8487202586966001</v>
      </c>
      <c r="AG5511">
        <v>-1.1207908995289999</v>
      </c>
      <c r="AH5511">
        <v>10.912973794387099</v>
      </c>
      <c r="AI5511">
        <v>95.782056129835894</v>
      </c>
      <c r="AJ5511">
        <v>99.614949118102203</v>
      </c>
      <c r="AK5511">
        <v>11.125058915455799</v>
      </c>
      <c r="AL5511">
        <v>94.292233759589607</v>
      </c>
      <c r="AM5511">
        <v>90.947228118710598</v>
      </c>
      <c r="AN5511">
        <v>0.99999998373279497</v>
      </c>
    </row>
    <row r="5512" spans="1:40" x14ac:dyDescent="0.25">
      <c r="A5512" t="str">
        <f>"20190303154919488"</f>
        <v>20190303154919488</v>
      </c>
      <c r="B5512" t="str">
        <f>"1551599359476212"</f>
        <v>1551599359476212</v>
      </c>
      <c r="C5512" t="s">
        <v>40</v>
      </c>
      <c r="D5512">
        <v>5.4766709999999996</v>
      </c>
      <c r="E5512">
        <v>0.44312220000000002</v>
      </c>
      <c r="F5512" t="s">
        <v>59</v>
      </c>
      <c r="G5512">
        <v>-403.34809999999999</v>
      </c>
      <c r="H5512" s="1">
        <v>-6.957734E-6</v>
      </c>
      <c r="I5512">
        <v>139.8766</v>
      </c>
      <c r="J5512">
        <v>-392.30560000000003</v>
      </c>
      <c r="K5512">
        <v>1.1207720000000001</v>
      </c>
      <c r="L5512">
        <v>141.64169999999999</v>
      </c>
      <c r="M5512">
        <v>-0.99985950000000001</v>
      </c>
      <c r="N5512">
        <v>-1.309775E-2</v>
      </c>
      <c r="O5512">
        <v>1.0466899999999999E-2</v>
      </c>
      <c r="P5512">
        <v>-0.99610569999999998</v>
      </c>
      <c r="Q5512">
        <v>-8.7927240000000004E-2</v>
      </c>
      <c r="R5512">
        <v>-6.5379770000000004E-3</v>
      </c>
      <c r="S5512">
        <v>-2.982513</v>
      </c>
      <c r="T5512">
        <v>-0.29889480000000002</v>
      </c>
      <c r="U5512">
        <v>-0.47032170000000001</v>
      </c>
      <c r="V5512">
        <v>-1.6967650000000001E-2</v>
      </c>
      <c r="W5512">
        <v>-7.4873850000000006E-2</v>
      </c>
      <c r="X5512">
        <v>0.99704870000000001</v>
      </c>
      <c r="Y5512">
        <v>-0.1651454</v>
      </c>
      <c r="Z5512">
        <v>-1.01995E-2</v>
      </c>
      <c r="AA5512">
        <v>0.98621650000000005</v>
      </c>
      <c r="AB5512">
        <v>21</v>
      </c>
      <c r="AC5512">
        <v>-11.042499999999899</v>
      </c>
      <c r="AD5512">
        <v>-1.1207789577339999</v>
      </c>
      <c r="AE5512">
        <v>-1.7650999999999799</v>
      </c>
      <c r="AF5512">
        <v>-1.8618913301936599</v>
      </c>
      <c r="AG5512">
        <v>-1.1207789577339999</v>
      </c>
      <c r="AH5512">
        <v>10.913789766421599</v>
      </c>
      <c r="AI5512">
        <v>95.780432662152606</v>
      </c>
      <c r="AJ5512">
        <v>99.6814477233237</v>
      </c>
      <c r="AK5512">
        <v>11.128054271219099</v>
      </c>
      <c r="AL5512">
        <v>94.293973836739895</v>
      </c>
      <c r="AM5512">
        <v>90.974958294091905</v>
      </c>
      <c r="AN5512">
        <v>1.00000005236601</v>
      </c>
    </row>
    <row r="5513" spans="1:40" x14ac:dyDescent="0.25">
      <c r="A5513" t="str">
        <f>"20190303154919502"</f>
        <v>20190303154919502</v>
      </c>
      <c r="B5513" t="str">
        <f>"1551599359496708"</f>
        <v>1551599359496708</v>
      </c>
      <c r="C5513" t="s">
        <v>40</v>
      </c>
      <c r="D5513">
        <v>5.4737309999999999</v>
      </c>
      <c r="E5513">
        <v>0.44291259999999999</v>
      </c>
      <c r="F5513" t="s">
        <v>59</v>
      </c>
      <c r="G5513">
        <v>-403.483</v>
      </c>
      <c r="H5513" s="1">
        <v>-7.0131389999999998E-6</v>
      </c>
      <c r="I5513">
        <v>139.86590000000001</v>
      </c>
      <c r="J5513">
        <v>-392.43860000000001</v>
      </c>
      <c r="K5513">
        <v>1.1207640000000001</v>
      </c>
      <c r="L5513">
        <v>141.6431</v>
      </c>
      <c r="M5513">
        <v>-0.99986090000000005</v>
      </c>
      <c r="N5513">
        <v>-1.2987790000000001E-2</v>
      </c>
      <c r="O5513">
        <v>1.0465469999999999E-2</v>
      </c>
      <c r="P5513">
        <v>-0.9961103</v>
      </c>
      <c r="Q5513">
        <v>-8.7826310000000005E-2</v>
      </c>
      <c r="R5513">
        <v>-7.1440160000000004E-3</v>
      </c>
      <c r="S5513">
        <v>-2.9822389999999999</v>
      </c>
      <c r="T5513">
        <v>-0.2990352</v>
      </c>
      <c r="U5513">
        <v>-0.47381590000000001</v>
      </c>
      <c r="V5513">
        <v>-1.757239E-2</v>
      </c>
      <c r="W5513">
        <v>-7.4882610000000002E-2</v>
      </c>
      <c r="X5513">
        <v>0.99703750000000002</v>
      </c>
      <c r="Y5513">
        <v>-0.16627879999999901</v>
      </c>
      <c r="Z5513">
        <v>-1.0259549999999999E-2</v>
      </c>
      <c r="AA5513">
        <v>0.98602540000000005</v>
      </c>
      <c r="AB5513">
        <v>21</v>
      </c>
      <c r="AC5513">
        <v>-11.0443999999999</v>
      </c>
      <c r="AD5513">
        <v>-1.1207710131389901</v>
      </c>
      <c r="AE5513">
        <v>-1.7771999999999899</v>
      </c>
      <c r="AF5513">
        <v>-1.8738871567764901</v>
      </c>
      <c r="AG5513">
        <v>-1.1207710131389901</v>
      </c>
      <c r="AH5513">
        <v>10.915623199533201</v>
      </c>
      <c r="AI5513">
        <v>95.778406214037801</v>
      </c>
      <c r="AJ5513">
        <v>99.741026758591005</v>
      </c>
      <c r="AK5513">
        <v>11.1318646494831</v>
      </c>
      <c r="AL5513">
        <v>94.294477449334707</v>
      </c>
      <c r="AM5513">
        <v>91.009710821934505</v>
      </c>
      <c r="AN5513">
        <v>0.99999998528848699</v>
      </c>
    </row>
    <row r="5514" spans="1:40" x14ac:dyDescent="0.25">
      <c r="A5514" t="str">
        <f>"20190303154919518"</f>
        <v>20190303154919518</v>
      </c>
      <c r="B5514" t="str">
        <f>"1551599359506468"</f>
        <v>1551599359506468</v>
      </c>
      <c r="C5514" t="s">
        <v>40</v>
      </c>
      <c r="D5514">
        <v>5.4586699999999997</v>
      </c>
      <c r="E5514">
        <v>0.44280029999999998</v>
      </c>
      <c r="F5514" t="s">
        <v>59</v>
      </c>
      <c r="G5514">
        <v>-403.56720000000001</v>
      </c>
      <c r="H5514" s="1">
        <v>-7.0488150000000004E-6</v>
      </c>
      <c r="I5514">
        <v>139.86179999999999</v>
      </c>
      <c r="J5514">
        <v>-392.5874</v>
      </c>
      <c r="K5514">
        <v>1.1207560000000001</v>
      </c>
      <c r="L5514">
        <v>141.6446</v>
      </c>
      <c r="M5514">
        <v>-0.99986249999999999</v>
      </c>
      <c r="N5514">
        <v>-1.2874490000000001E-2</v>
      </c>
      <c r="O5514">
        <v>1.0463989999999999E-2</v>
      </c>
      <c r="P5514">
        <v>-0.99612250000000002</v>
      </c>
      <c r="Q5514">
        <v>-8.7601310000000002E-2</v>
      </c>
      <c r="R5514">
        <v>-8.1555299999999994E-3</v>
      </c>
      <c r="S5514">
        <v>-2.9817809999999998</v>
      </c>
      <c r="T5514">
        <v>-0.30029699999999998</v>
      </c>
      <c r="U5514">
        <v>-0.47727969999999997</v>
      </c>
      <c r="V5514">
        <v>-1.8581859999999999E-2</v>
      </c>
      <c r="W5514">
        <v>-7.4770539999999996E-2</v>
      </c>
      <c r="X5514">
        <v>0.99702760000000001</v>
      </c>
      <c r="Y5514">
        <v>-0.16740450000000001</v>
      </c>
      <c r="Z5514">
        <v>-1.035436E-2</v>
      </c>
      <c r="AA5514">
        <v>0.98583390000000004</v>
      </c>
      <c r="AB5514">
        <v>21</v>
      </c>
      <c r="AC5514">
        <v>-10.979799999999999</v>
      </c>
      <c r="AD5514">
        <v>-1.12076304881499</v>
      </c>
      <c r="AE5514">
        <v>-1.7827999999999999</v>
      </c>
      <c r="AF5514">
        <v>-1.8785341560182001</v>
      </c>
      <c r="AG5514">
        <v>-1.12076304881499</v>
      </c>
      <c r="AH5514">
        <v>10.850392489903401</v>
      </c>
      <c r="AI5514">
        <v>95.811455484759605</v>
      </c>
      <c r="AJ5514">
        <v>99.822282492874507</v>
      </c>
      <c r="AK5514">
        <v>11.0686953870755</v>
      </c>
      <c r="AL5514">
        <v>94.288038294246505</v>
      </c>
      <c r="AM5514">
        <v>91.067712578859201</v>
      </c>
      <c r="AN5514">
        <v>0.999999977167355</v>
      </c>
    </row>
    <row r="5515" spans="1:40" x14ac:dyDescent="0.25">
      <c r="A5515" t="str">
        <f>"20190303154919541"</f>
        <v>20190303154919541</v>
      </c>
      <c r="B5515" t="str">
        <f>"1551599359536723"</f>
        <v>1551599359536723</v>
      </c>
      <c r="C5515" t="s">
        <v>40</v>
      </c>
      <c r="D5515">
        <v>5.4374379999999896</v>
      </c>
      <c r="E5515">
        <v>0.44248300000000002</v>
      </c>
      <c r="F5515" t="s">
        <v>59</v>
      </c>
      <c r="G5515">
        <v>-403.71809999999999</v>
      </c>
      <c r="H5515" s="1">
        <v>-7.1100630000000004E-6</v>
      </c>
      <c r="I5515">
        <v>139.84799999999899</v>
      </c>
      <c r="J5515">
        <v>-392.79730000000001</v>
      </c>
      <c r="K5515">
        <v>1.1207469999999999</v>
      </c>
      <c r="L5515">
        <v>141.64680000000001</v>
      </c>
      <c r="M5515">
        <v>-0.99986419999999998</v>
      </c>
      <c r="N5515">
        <v>-1.2729860000000001E-2</v>
      </c>
      <c r="O5515">
        <v>1.0462600000000001E-2</v>
      </c>
      <c r="P5515">
        <v>-0.99609329999999996</v>
      </c>
      <c r="Q5515">
        <v>-8.7878849999999994E-2</v>
      </c>
      <c r="R5515">
        <v>-8.6920030000000002E-3</v>
      </c>
      <c r="S5515">
        <v>-2.9813230000000002</v>
      </c>
      <c r="T5515">
        <v>-0.30019400000000002</v>
      </c>
      <c r="U5515">
        <v>-0.48121639999999999</v>
      </c>
      <c r="V5515">
        <v>-1.9116569999999999E-2</v>
      </c>
      <c r="W5515">
        <v>-7.5192729999999999E-2</v>
      </c>
      <c r="X5515">
        <v>0.99698569999999997</v>
      </c>
      <c r="Y5515">
        <v>-0.16869010000000001</v>
      </c>
      <c r="Z5515">
        <v>-1.041329E-2</v>
      </c>
      <c r="AA5515">
        <v>0.98561410000000005</v>
      </c>
      <c r="AB5515">
        <v>21</v>
      </c>
      <c r="AC5515">
        <v>-10.9207999999999</v>
      </c>
      <c r="AD5515">
        <v>-1.1207541100630001</v>
      </c>
      <c r="AE5515">
        <v>-1.7988000000000199</v>
      </c>
      <c r="AF5515">
        <v>-1.8935545632317501</v>
      </c>
      <c r="AG5515">
        <v>-1.1207541100630001</v>
      </c>
      <c r="AH5515">
        <v>10.7907341393515</v>
      </c>
      <c r="AI5515">
        <v>95.841011480618803</v>
      </c>
      <c r="AJ5515">
        <v>99.952910242520403</v>
      </c>
      <c r="AK5515">
        <v>11.0127917407588</v>
      </c>
      <c r="AL5515">
        <v>94.312296457898995</v>
      </c>
      <c r="AM5515">
        <v>91.098475713524493</v>
      </c>
      <c r="AN5515">
        <v>0.99999993794895103</v>
      </c>
    </row>
    <row r="5516" spans="1:40" x14ac:dyDescent="0.25">
      <c r="A5516" t="str">
        <f>"20190303154919564"</f>
        <v>20190303154919564</v>
      </c>
      <c r="B5516" t="str">
        <f>"1551599359555775"</f>
        <v>1551599359555775</v>
      </c>
      <c r="C5516" t="s">
        <v>40</v>
      </c>
      <c r="D5516">
        <v>5.4345400000000001</v>
      </c>
      <c r="E5516">
        <v>0.44238620000000001</v>
      </c>
      <c r="F5516" t="s">
        <v>59</v>
      </c>
      <c r="G5516">
        <v>-403.86219999999997</v>
      </c>
      <c r="H5516" s="1">
        <v>-7.1731190000000003E-6</v>
      </c>
      <c r="I5516">
        <v>139.8459</v>
      </c>
      <c r="J5516">
        <v>-393.01490000000001</v>
      </c>
      <c r="K5516">
        <v>1.120733</v>
      </c>
      <c r="L5516">
        <v>141.6491</v>
      </c>
      <c r="M5516">
        <v>-0.99986589999999997</v>
      </c>
      <c r="N5516">
        <v>-1.259943E-2</v>
      </c>
      <c r="O5516">
        <v>1.0461760000000001E-2</v>
      </c>
      <c r="P5516">
        <v>-0.99601600000000001</v>
      </c>
      <c r="Q5516">
        <v>-8.8789240000000005E-2</v>
      </c>
      <c r="R5516">
        <v>-8.2883560000000002E-3</v>
      </c>
      <c r="S5516">
        <v>-2.980896</v>
      </c>
      <c r="T5516">
        <v>-0.301931</v>
      </c>
      <c r="U5516">
        <v>-0.4851685</v>
      </c>
      <c r="V5516">
        <v>-1.8711470000000001E-2</v>
      </c>
      <c r="W5516">
        <v>-7.6234040000000003E-2</v>
      </c>
      <c r="X5516">
        <v>0.99691439999999998</v>
      </c>
      <c r="Y5516">
        <v>-0.16996749999999999</v>
      </c>
      <c r="Z5516">
        <v>-1.0530680000000001E-2</v>
      </c>
      <c r="AA5516">
        <v>0.98539339999999997</v>
      </c>
      <c r="AB5516">
        <v>21</v>
      </c>
      <c r="AC5516">
        <v>-10.847299999999899</v>
      </c>
      <c r="AD5516">
        <v>-1.1207401731190001</v>
      </c>
      <c r="AE5516">
        <v>-1.8031999999999999</v>
      </c>
      <c r="AF5516">
        <v>-1.8968874675893499</v>
      </c>
      <c r="AG5516">
        <v>-1.1207401731190001</v>
      </c>
      <c r="AH5516">
        <v>10.716517934954201</v>
      </c>
      <c r="AI5516">
        <v>95.879584264558702</v>
      </c>
      <c r="AJ5516">
        <v>100.03772480264399</v>
      </c>
      <c r="AK5516">
        <v>10.940657989834699</v>
      </c>
      <c r="AL5516">
        <v>94.372130457228295</v>
      </c>
      <c r="AM5516">
        <v>91.075280275653398</v>
      </c>
      <c r="AN5516">
        <v>1.00000003444582</v>
      </c>
    </row>
    <row r="5517" spans="1:40" x14ac:dyDescent="0.25">
      <c r="A5517" t="str">
        <f>"20190303154919585"</f>
        <v>20190303154919585</v>
      </c>
      <c r="B5517" t="str">
        <f>"1551599359576271"</f>
        <v>1551599359576271</v>
      </c>
      <c r="C5517" t="s">
        <v>40</v>
      </c>
      <c r="D5517">
        <v>5.4752519999999896</v>
      </c>
      <c r="E5517">
        <v>0.44238850000000002</v>
      </c>
      <c r="F5517" t="s">
        <v>59</v>
      </c>
      <c r="G5517">
        <v>-403.9819</v>
      </c>
      <c r="H5517" s="1">
        <v>-7.234104E-6</v>
      </c>
      <c r="I5517">
        <v>139.86519999999999</v>
      </c>
      <c r="J5517">
        <v>-393.21539999999999</v>
      </c>
      <c r="K5517">
        <v>1.1207229999999999</v>
      </c>
      <c r="L5517">
        <v>141.65119999999999</v>
      </c>
      <c r="M5517">
        <v>-0.99986730000000001</v>
      </c>
      <c r="N5517">
        <v>-1.249251E-2</v>
      </c>
      <c r="O5517">
        <v>1.0461420000000001E-2</v>
      </c>
      <c r="P5517">
        <v>-0.99593030000000005</v>
      </c>
      <c r="Q5517">
        <v>-8.9826450000000002E-2</v>
      </c>
      <c r="R5517">
        <v>-7.3688369999999996E-3</v>
      </c>
      <c r="S5517">
        <v>-2.980804</v>
      </c>
      <c r="T5517">
        <v>-0.30461319999999997</v>
      </c>
      <c r="U5517">
        <v>-0.4848633</v>
      </c>
      <c r="V5517">
        <v>-1.7791000000000001E-2</v>
      </c>
      <c r="W5517">
        <v>-7.7378749999999996E-2</v>
      </c>
      <c r="X5517">
        <v>0.99684300000000003</v>
      </c>
      <c r="Y5517">
        <v>-0.16985819999999999</v>
      </c>
      <c r="Z5517">
        <v>-1.060146E-2</v>
      </c>
      <c r="AA5517">
        <v>0.9854115</v>
      </c>
      <c r="AB5517">
        <v>21</v>
      </c>
      <c r="AC5517">
        <v>-10.766500000000001</v>
      </c>
      <c r="AD5517">
        <v>-1.120730234104</v>
      </c>
      <c r="AE5517">
        <v>-1.786</v>
      </c>
      <c r="AF5517">
        <v>-1.8787319024339799</v>
      </c>
      <c r="AG5517">
        <v>-1.120730234104</v>
      </c>
      <c r="AH5517">
        <v>10.635073907027399</v>
      </c>
      <c r="AI5517">
        <v>95.9245939220922</v>
      </c>
      <c r="AJ5517">
        <v>100.018189404404</v>
      </c>
      <c r="AK5517">
        <v>10.8577376477235</v>
      </c>
      <c r="AL5517">
        <v>94.437912075007404</v>
      </c>
      <c r="AM5517">
        <v>91.022468938117896</v>
      </c>
      <c r="AN5517">
        <v>0.99999997864078105</v>
      </c>
    </row>
    <row r="5518" spans="1:40" x14ac:dyDescent="0.25">
      <c r="A5518" t="str">
        <f>"20190303154919607"</f>
        <v>20190303154919607</v>
      </c>
      <c r="B5518" t="str">
        <f>"1551599359595791"</f>
        <v>1551599359595791</v>
      </c>
      <c r="C5518" t="s">
        <v>40</v>
      </c>
      <c r="D5518">
        <v>5.664892</v>
      </c>
      <c r="E5518">
        <v>0.47720699999999999</v>
      </c>
      <c r="F5518" t="s">
        <v>59</v>
      </c>
      <c r="G5518">
        <v>-404.05079999999998</v>
      </c>
      <c r="H5518" s="1">
        <v>-7.2783619999999999E-6</v>
      </c>
      <c r="I5518">
        <v>139.89850000000001</v>
      </c>
      <c r="J5518">
        <v>-393.42149999999998</v>
      </c>
      <c r="K5518">
        <v>1.1207199999999999</v>
      </c>
      <c r="L5518">
        <v>141.6534</v>
      </c>
      <c r="M5518">
        <v>-0.9998686</v>
      </c>
      <c r="N5518">
        <v>-1.239549E-2</v>
      </c>
      <c r="O5518">
        <v>1.0461369999999999E-2</v>
      </c>
      <c r="P5518">
        <v>-0.99594419999999995</v>
      </c>
      <c r="Q5518">
        <v>-8.9759259999999993E-2</v>
      </c>
      <c r="R5518">
        <v>-6.2212190000000001E-3</v>
      </c>
      <c r="S5518">
        <v>-2.980896</v>
      </c>
      <c r="T5518">
        <v>-0.308318599999999</v>
      </c>
      <c r="U5518">
        <v>-0.48217769999999999</v>
      </c>
      <c r="V5518">
        <v>-1.664351E-2</v>
      </c>
      <c r="W5518">
        <v>-7.7407989999999996E-2</v>
      </c>
      <c r="X5518">
        <v>0.99686059999999999</v>
      </c>
      <c r="Y5518">
        <v>-0.1689706</v>
      </c>
      <c r="Z5518">
        <v>-1.066039E-2</v>
      </c>
      <c r="AA5518">
        <v>0.98556350000000004</v>
      </c>
      <c r="AB5518">
        <v>21</v>
      </c>
      <c r="AC5518">
        <v>-10.629300000000001</v>
      </c>
      <c r="AD5518">
        <v>-1.1207272783619999</v>
      </c>
      <c r="AE5518">
        <v>-1.7548999999999899</v>
      </c>
      <c r="AF5518">
        <v>-1.8460316079647101</v>
      </c>
      <c r="AG5518">
        <v>-1.1207272783619999</v>
      </c>
      <c r="AH5518">
        <v>10.496761336971501</v>
      </c>
      <c r="AI5518">
        <v>96.002880759012996</v>
      </c>
      <c r="AJ5518">
        <v>99.974425463280994</v>
      </c>
      <c r="AK5518">
        <v>10.7166161121601</v>
      </c>
      <c r="AL5518">
        <v>94.439592217042602</v>
      </c>
      <c r="AM5518">
        <v>90.956517177280602</v>
      </c>
      <c r="AN5518">
        <v>1.00000002958665</v>
      </c>
    </row>
    <row r="5519" spans="1:40" x14ac:dyDescent="0.25">
      <c r="A5519" t="str">
        <f>"20190303154919630"</f>
        <v>20190303154919630</v>
      </c>
      <c r="B5519" t="str">
        <f>"1551599359626047"</f>
        <v>1551599359626047</v>
      </c>
      <c r="C5519" t="s">
        <v>40</v>
      </c>
      <c r="D5519">
        <v>5.4259110000000002</v>
      </c>
      <c r="E5519">
        <v>0.50180000000000002</v>
      </c>
      <c r="F5519" t="s">
        <v>59</v>
      </c>
      <c r="G5519">
        <v>-405.25389999999999</v>
      </c>
      <c r="H5519" s="1">
        <v>-8.259251E-6</v>
      </c>
      <c r="I5519">
        <v>140.8579</v>
      </c>
      <c r="J5519">
        <v>-393.63720000000001</v>
      </c>
      <c r="K5519">
        <v>1.1207229999999999</v>
      </c>
      <c r="L5519">
        <v>141.65559999999999</v>
      </c>
      <c r="M5519">
        <v>-0.99986969999999997</v>
      </c>
      <c r="N5519">
        <v>-1.230672E-2</v>
      </c>
      <c r="O5519">
        <v>1.046121E-2</v>
      </c>
      <c r="P5519">
        <v>-0.99601519999999999</v>
      </c>
      <c r="Q5519">
        <v>-8.9013129999999996E-2</v>
      </c>
      <c r="R5519">
        <v>-5.559614E-3</v>
      </c>
      <c r="S5519">
        <v>-2.985474</v>
      </c>
      <c r="T5519">
        <v>-0.28277390000000002</v>
      </c>
      <c r="U5519">
        <v>-0.20069890000000001</v>
      </c>
      <c r="V5519">
        <v>-1.598217E-2</v>
      </c>
      <c r="W5519">
        <v>-7.6749440000000002E-2</v>
      </c>
      <c r="X5519">
        <v>0.99692230000000004</v>
      </c>
      <c r="Y5519">
        <v>-7.7084730000000004E-2</v>
      </c>
      <c r="Z5519">
        <v>-4.9737059999999996E-3</v>
      </c>
      <c r="AA5519">
        <v>0.99701209999999996</v>
      </c>
      <c r="AB5519">
        <v>21</v>
      </c>
      <c r="AC5519">
        <v>-11.6166999999999</v>
      </c>
      <c r="AD5519">
        <v>-1.1207312592509999</v>
      </c>
      <c r="AE5519">
        <v>-0.79769999999999097</v>
      </c>
      <c r="AF5519">
        <v>-0.91075313034527605</v>
      </c>
      <c r="AG5519">
        <v>-1.1207312592509999</v>
      </c>
      <c r="AH5519">
        <v>11.5011728557871</v>
      </c>
      <c r="AI5519">
        <v>95.548352855537402</v>
      </c>
      <c r="AJ5519">
        <v>94.527681331368797</v>
      </c>
      <c r="AK5519">
        <v>11.5914833769707</v>
      </c>
      <c r="AL5519">
        <v>94.401747672042205</v>
      </c>
      <c r="AM5519">
        <v>90.918459193672106</v>
      </c>
      <c r="AN5519">
        <v>0.99999998926775602</v>
      </c>
    </row>
    <row r="5520" spans="1:40" x14ac:dyDescent="0.25">
      <c r="A5520" t="str">
        <f>"20190303154919652"</f>
        <v>20190303154919652</v>
      </c>
      <c r="B5520" t="str">
        <f>"1551599359646074"</f>
        <v>1551599359646074</v>
      </c>
      <c r="C5520" t="s">
        <v>40</v>
      </c>
      <c r="D5520">
        <v>5.3854050000000004</v>
      </c>
      <c r="E5520">
        <v>0.50742719999999997</v>
      </c>
      <c r="F5520" t="s">
        <v>59</v>
      </c>
      <c r="G5520">
        <v>-408.12720000000002</v>
      </c>
      <c r="H5520" s="1">
        <v>-1.03722E-5</v>
      </c>
      <c r="I5520">
        <v>141.64680000000001</v>
      </c>
      <c r="J5520">
        <v>-393.84949999999998</v>
      </c>
      <c r="K5520">
        <v>1.1207229999999999</v>
      </c>
      <c r="L5520">
        <v>141.65780000000001</v>
      </c>
      <c r="M5520">
        <v>-0.99987040000000005</v>
      </c>
      <c r="N5520">
        <v>-1.2233000000000001E-2</v>
      </c>
      <c r="O5520">
        <v>1.046155E-2</v>
      </c>
      <c r="P5520">
        <v>-0.99612060000000002</v>
      </c>
      <c r="Q5520">
        <v>-8.7860209999999994E-2</v>
      </c>
      <c r="R5520">
        <v>-4.9326049999999996E-3</v>
      </c>
      <c r="S5520">
        <v>-2.9913020000000001</v>
      </c>
      <c r="T5520">
        <v>-0.23136329999999999</v>
      </c>
      <c r="U5520">
        <v>-1.8157959999999999E-3</v>
      </c>
      <c r="V5520">
        <v>-1.5356899999999901E-2</v>
      </c>
      <c r="W5520">
        <v>-7.566879E-2</v>
      </c>
      <c r="X5520">
        <v>0.99701479999999998</v>
      </c>
      <c r="Y5520">
        <v>-1.1009089999999999E-2</v>
      </c>
      <c r="Z5520">
        <v>-1.1726849999999999E-3</v>
      </c>
      <c r="AA5520">
        <v>0.99993869999999896</v>
      </c>
      <c r="AB5520">
        <v>21</v>
      </c>
      <c r="AC5520">
        <v>-14.277699999999999</v>
      </c>
      <c r="AD5520">
        <v>-1.1207333721999999</v>
      </c>
      <c r="AE5520">
        <v>-1.09999999999956E-2</v>
      </c>
      <c r="AF5520">
        <v>-0.15939533715863999</v>
      </c>
      <c r="AG5520">
        <v>-1.1207333721999999</v>
      </c>
      <c r="AH5520">
        <v>14.1893753547849</v>
      </c>
      <c r="AI5520">
        <v>94.515789543967898</v>
      </c>
      <c r="AJ5520">
        <v>90.643600986179393</v>
      </c>
      <c r="AK5520">
        <v>14.2344590035606</v>
      </c>
      <c r="AL5520">
        <v>94.339650107156899</v>
      </c>
      <c r="AM5520">
        <v>90.882450272951601</v>
      </c>
      <c r="AN5520">
        <v>1.0000000557883499</v>
      </c>
    </row>
    <row r="5521" spans="1:40" x14ac:dyDescent="0.25">
      <c r="A5521" t="str">
        <f>"20190303154919674"</f>
        <v>20190303154919674</v>
      </c>
      <c r="B5521" t="str">
        <f>"1551599359666570"</f>
        <v>1551599359666570</v>
      </c>
      <c r="C5521" t="s">
        <v>40</v>
      </c>
      <c r="D5521">
        <v>5.3647070000000001</v>
      </c>
      <c r="E5521">
        <v>0.51071299999999997</v>
      </c>
      <c r="F5521" t="s">
        <v>59</v>
      </c>
      <c r="G5521">
        <v>-409.3768</v>
      </c>
      <c r="H5521" s="1">
        <v>-1.119534E-5</v>
      </c>
      <c r="I5521">
        <v>141.89169999999999</v>
      </c>
      <c r="J5521">
        <v>-394.05220000000003</v>
      </c>
      <c r="K5521">
        <v>1.1207290000000001</v>
      </c>
      <c r="L5521">
        <v>141.65989999999999</v>
      </c>
      <c r="M5521">
        <v>-0.99987119999999996</v>
      </c>
      <c r="N5521">
        <v>-1.2179239999999999E-2</v>
      </c>
      <c r="O5521">
        <v>1.0461700000000001E-2</v>
      </c>
      <c r="P5521">
        <v>-0.99622449999999996</v>
      </c>
      <c r="Q5521">
        <v>-8.6679049999999994E-2</v>
      </c>
      <c r="R5521">
        <v>-4.8823340000000003E-3</v>
      </c>
      <c r="S5521">
        <v>-2.9928590000000002</v>
      </c>
      <c r="T5521">
        <v>-0.21601899999999999</v>
      </c>
      <c r="U5521">
        <v>4.5074459999999997E-2</v>
      </c>
      <c r="V5521">
        <v>-1.530829E-2</v>
      </c>
      <c r="W5521">
        <v>-7.454007E-2</v>
      </c>
      <c r="X5521">
        <v>0.99710049999999995</v>
      </c>
      <c r="Y5521">
        <v>4.601651E-3</v>
      </c>
      <c r="Z5521">
        <v>-4.3286630000000001E-4</v>
      </c>
      <c r="AA5521">
        <v>0.99998929999999997</v>
      </c>
      <c r="AB5521">
        <v>21</v>
      </c>
      <c r="AC5521">
        <v>-15.324599999999901</v>
      </c>
      <c r="AD5521">
        <v>-1.12074019534</v>
      </c>
      <c r="AE5521">
        <v>0.23179999999999201</v>
      </c>
      <c r="AF5521">
        <v>7.1074016928559802E-2</v>
      </c>
      <c r="AG5521">
        <v>-1.12074019534</v>
      </c>
      <c r="AH5521">
        <v>15.2446690507609</v>
      </c>
      <c r="AI5521">
        <v>94.204596154413494</v>
      </c>
      <c r="AJ5521">
        <v>89.732876346169604</v>
      </c>
      <c r="AK5521">
        <v>15.2859754209065</v>
      </c>
      <c r="AL5521">
        <v>94.274796343008106</v>
      </c>
      <c r="AM5521">
        <v>90.879581852507897</v>
      </c>
      <c r="AN5521">
        <v>0.999999986439289</v>
      </c>
    </row>
    <row r="5522" spans="1:40" x14ac:dyDescent="0.25">
      <c r="A5522" t="str">
        <f>"20190303154919697"</f>
        <v>20190303154919697</v>
      </c>
      <c r="B5522" t="str">
        <f>"1551599359686090"</f>
        <v>1551599359686090</v>
      </c>
      <c r="C5522" t="s">
        <v>40</v>
      </c>
      <c r="D5522">
        <v>5.3629600000000002</v>
      </c>
      <c r="E5522">
        <v>0.51276239999999995</v>
      </c>
      <c r="F5522" t="s">
        <v>59</v>
      </c>
      <c r="G5522">
        <v>-410.40750000000003</v>
      </c>
      <c r="H5522" s="1">
        <v>-1.151245E-5</v>
      </c>
      <c r="I5522">
        <v>142.0505</v>
      </c>
      <c r="J5522">
        <v>-394.26819999999998</v>
      </c>
      <c r="K5522">
        <v>1.120735</v>
      </c>
      <c r="L5522">
        <v>141.66220000000001</v>
      </c>
      <c r="M5522">
        <v>-0.99987159999999997</v>
      </c>
      <c r="N5522">
        <v>-1.214295E-2</v>
      </c>
      <c r="O5522">
        <v>1.046211E-2</v>
      </c>
      <c r="P5522">
        <v>-0.9962974</v>
      </c>
      <c r="Q5522">
        <v>-8.5799739999999999E-2</v>
      </c>
      <c r="R5522">
        <v>-5.4947370000000004E-3</v>
      </c>
      <c r="S5522">
        <v>-2.9938660000000001</v>
      </c>
      <c r="T5522">
        <v>-0.20515330000000001</v>
      </c>
      <c r="U5522">
        <v>7.1487430000000005E-2</v>
      </c>
      <c r="V5522">
        <v>-1.5921669999999999E-2</v>
      </c>
      <c r="W5522">
        <v>-7.3696150000000002E-2</v>
      </c>
      <c r="X5522">
        <v>0.99715359999999997</v>
      </c>
      <c r="Y5522">
        <v>1.33896E-2</v>
      </c>
      <c r="Z5522" s="1">
        <v>-4.9450139999999999E-5</v>
      </c>
      <c r="AA5522">
        <v>0.99991039999999998</v>
      </c>
      <c r="AB5522">
        <v>21</v>
      </c>
      <c r="AC5522">
        <v>-16.139299999999999</v>
      </c>
      <c r="AD5522">
        <v>-1.12074651245</v>
      </c>
      <c r="AE5522">
        <v>0.38829999999998599</v>
      </c>
      <c r="AF5522">
        <v>0.218362793584711</v>
      </c>
      <c r="AG5522">
        <v>-1.12074651245</v>
      </c>
      <c r="AH5522">
        <v>16.065055187536601</v>
      </c>
      <c r="AI5522">
        <v>93.990292667964994</v>
      </c>
      <c r="AJ5522">
        <v>89.221260312270005</v>
      </c>
      <c r="AK5522">
        <v>16.105581431087401</v>
      </c>
      <c r="AL5522">
        <v>94.226310026570005</v>
      </c>
      <c r="AM5522">
        <v>90.914770783978099</v>
      </c>
      <c r="AN5522">
        <v>0.99999996204668495</v>
      </c>
    </row>
    <row r="5523" spans="1:40" x14ac:dyDescent="0.25">
      <c r="A5523" t="str">
        <f>"20190303154919714"</f>
        <v>20190303154919714</v>
      </c>
      <c r="B5523" t="str">
        <f>"1551599359706587"</f>
        <v>1551599359706587</v>
      </c>
      <c r="C5523" t="s">
        <v>40</v>
      </c>
      <c r="D5523">
        <v>5.375648</v>
      </c>
      <c r="E5523">
        <v>0.51388370000000005</v>
      </c>
      <c r="F5523" t="s">
        <v>59</v>
      </c>
      <c r="G5523">
        <v>-411.22500000000002</v>
      </c>
      <c r="H5523" s="1">
        <v>-1.1467850000000001E-5</v>
      </c>
      <c r="I5523">
        <v>142.14859999999999</v>
      </c>
      <c r="J5523">
        <v>-394.42770000000002</v>
      </c>
      <c r="K5523">
        <v>1.120736</v>
      </c>
      <c r="L5523">
        <v>141.66380000000001</v>
      </c>
      <c r="M5523">
        <v>-0.99987179999999998</v>
      </c>
      <c r="N5523">
        <v>-1.213409E-2</v>
      </c>
      <c r="O5523">
        <v>1.046216E-2</v>
      </c>
      <c r="P5523">
        <v>-0.99634789999999995</v>
      </c>
      <c r="Q5523">
        <v>-8.5150110000000001E-2</v>
      </c>
      <c r="R5523">
        <v>-6.3939549999999998E-3</v>
      </c>
      <c r="S5523">
        <v>-2.9945369999999998</v>
      </c>
      <c r="T5523">
        <v>-0.19792090000000001</v>
      </c>
      <c r="U5523">
        <v>8.5891720000000005E-2</v>
      </c>
      <c r="V5523">
        <v>-1.6821119999999998E-2</v>
      </c>
      <c r="W5523">
        <v>-7.3054869999999994E-2</v>
      </c>
      <c r="X5523">
        <v>0.99718609999999996</v>
      </c>
      <c r="Y5523">
        <v>1.817908E-2</v>
      </c>
      <c r="Z5523">
        <v>1.467141E-4</v>
      </c>
      <c r="AA5523">
        <v>0.99983469999999997</v>
      </c>
      <c r="AB5523">
        <v>21</v>
      </c>
      <c r="AC5523">
        <v>-16.7973</v>
      </c>
      <c r="AD5523">
        <v>-1.12074746785</v>
      </c>
      <c r="AE5523">
        <v>0.48479999999997803</v>
      </c>
      <c r="AF5523">
        <v>0.30765602521948698</v>
      </c>
      <c r="AG5523">
        <v>-1.12074746785</v>
      </c>
      <c r="AH5523">
        <v>16.727049319104101</v>
      </c>
      <c r="AI5523">
        <v>93.832562131412004</v>
      </c>
      <c r="AJ5523">
        <v>88.946293269260195</v>
      </c>
      <c r="AK5523">
        <v>16.767376241985101</v>
      </c>
      <c r="AL5523">
        <v>94.189467743627603</v>
      </c>
      <c r="AM5523">
        <v>90.966407157184605</v>
      </c>
      <c r="AN5523">
        <v>1.00000004107098</v>
      </c>
    </row>
    <row r="5524" spans="1:40" x14ac:dyDescent="0.25">
      <c r="A5524" t="str">
        <f>"20190303154919730"</f>
        <v>20190303154919730</v>
      </c>
      <c r="B5524" t="str">
        <f>"1551599359726106"</f>
        <v>1551599359726106</v>
      </c>
      <c r="C5524" t="s">
        <v>40</v>
      </c>
      <c r="D5524">
        <v>5.3598429999999997</v>
      </c>
      <c r="E5524">
        <v>0.5145149</v>
      </c>
      <c r="F5524" t="s">
        <v>59</v>
      </c>
      <c r="G5524">
        <v>-411.87279999999998</v>
      </c>
      <c r="H5524" s="1">
        <v>-1.142336E-5</v>
      </c>
      <c r="I5524">
        <v>142.20099999999999</v>
      </c>
      <c r="J5524">
        <v>-394.57859999999999</v>
      </c>
      <c r="K5524">
        <v>1.1207499999999999</v>
      </c>
      <c r="L5524">
        <v>141.66540000000001</v>
      </c>
      <c r="M5524">
        <v>-0.99987170000000003</v>
      </c>
      <c r="N5524">
        <v>-1.213876E-2</v>
      </c>
      <c r="O5524">
        <v>1.046243E-2</v>
      </c>
      <c r="P5524">
        <v>-0.99636610000000003</v>
      </c>
      <c r="Q5524">
        <v>-8.4810910000000003E-2</v>
      </c>
      <c r="R5524">
        <v>-7.8766259999999994E-3</v>
      </c>
      <c r="S5524">
        <v>-2.995117</v>
      </c>
      <c r="T5524">
        <v>-0.1924187</v>
      </c>
      <c r="U5524">
        <v>9.2224120000000007E-2</v>
      </c>
      <c r="V5524">
        <v>-1.8304629999999999E-2</v>
      </c>
      <c r="W5524">
        <v>-7.2710960000000005E-2</v>
      </c>
      <c r="X5524">
        <v>0.99718510000000005</v>
      </c>
      <c r="Y5524">
        <v>2.0281460000000001E-2</v>
      </c>
      <c r="Z5524">
        <v>2.295516E-4</v>
      </c>
      <c r="AA5524">
        <v>0.99979430000000002</v>
      </c>
      <c r="AB5524">
        <v>21</v>
      </c>
      <c r="AC5524">
        <v>-17.294199999999901</v>
      </c>
      <c r="AD5524">
        <v>-1.1207614233599901</v>
      </c>
      <c r="AE5524">
        <v>0.53559999999998797</v>
      </c>
      <c r="AF5524">
        <v>0.35313634256031201</v>
      </c>
      <c r="AG5524">
        <v>-1.1207614233599901</v>
      </c>
      <c r="AH5524">
        <v>17.226579065493301</v>
      </c>
      <c r="AI5524">
        <v>93.721638179192794</v>
      </c>
      <c r="AJ5524">
        <v>88.825629368513404</v>
      </c>
      <c r="AK5524">
        <v>17.266610487997401</v>
      </c>
      <c r="AL5524">
        <v>94.169710640733598</v>
      </c>
      <c r="AM5524">
        <v>91.051620478262606</v>
      </c>
      <c r="AN5524">
        <v>1.0000000334227801</v>
      </c>
    </row>
    <row r="5525" spans="1:40" x14ac:dyDescent="0.25">
      <c r="A5525" t="str">
        <f>"20190303154919744"</f>
        <v>20190303154919744</v>
      </c>
      <c r="B5525" t="str">
        <f>"1551599359735866"</f>
        <v>1551599359735866</v>
      </c>
      <c r="C5525" t="s">
        <v>40</v>
      </c>
      <c r="D5525">
        <v>5.3678109999999997</v>
      </c>
      <c r="E5525">
        <v>0.51478449999999998</v>
      </c>
      <c r="F5525" t="s">
        <v>59</v>
      </c>
      <c r="G5525">
        <v>-412.2928</v>
      </c>
      <c r="H5525" s="1">
        <v>-1.1386990000000001E-5</v>
      </c>
      <c r="I5525">
        <v>142.2141</v>
      </c>
      <c r="J5525">
        <v>-394.71969999999999</v>
      </c>
      <c r="K5525">
        <v>1.1207560000000001</v>
      </c>
      <c r="L5525">
        <v>141.6669</v>
      </c>
      <c r="M5525">
        <v>-0.99987139999999997</v>
      </c>
      <c r="N5525">
        <v>-1.215315E-2</v>
      </c>
      <c r="O5525">
        <v>1.0462519999999999E-2</v>
      </c>
      <c r="P5525">
        <v>-0.99631879999999995</v>
      </c>
      <c r="Q5525">
        <v>-8.5295220000000005E-2</v>
      </c>
      <c r="R5525">
        <v>-8.5863740000000008E-3</v>
      </c>
      <c r="S5525">
        <v>-2.9955440000000002</v>
      </c>
      <c r="T5525">
        <v>-0.1895249</v>
      </c>
      <c r="U5525">
        <v>9.2788700000000002E-2</v>
      </c>
      <c r="V5525">
        <v>-1.9013410000000001E-2</v>
      </c>
      <c r="W5525">
        <v>-7.3181499999999997E-2</v>
      </c>
      <c r="X5525">
        <v>0.99713739999999995</v>
      </c>
      <c r="Y5525">
        <v>2.0465629999999999E-2</v>
      </c>
      <c r="Z5525">
        <v>2.3709520000000001E-4</v>
      </c>
      <c r="AA5525">
        <v>0.99979050000000003</v>
      </c>
      <c r="AB5525">
        <v>21</v>
      </c>
      <c r="AC5525">
        <v>-17.5731</v>
      </c>
      <c r="AD5525">
        <v>-1.1207673869899999</v>
      </c>
      <c r="AE5525">
        <v>0.54720000000000302</v>
      </c>
      <c r="AF5525">
        <v>0.36182722473587198</v>
      </c>
      <c r="AG5525">
        <v>-1.1207673869899999</v>
      </c>
      <c r="AH5525">
        <v>17.5067228250612</v>
      </c>
      <c r="AI5525">
        <v>93.6622544400294</v>
      </c>
      <c r="AJ5525">
        <v>88.815985036363301</v>
      </c>
      <c r="AK5525">
        <v>17.546292558538401</v>
      </c>
      <c r="AL5525">
        <v>94.196742677187999</v>
      </c>
      <c r="AM5525">
        <v>91.092383202472405</v>
      </c>
      <c r="AN5525">
        <v>1.0000000180904101</v>
      </c>
    </row>
    <row r="5526" spans="1:40" x14ac:dyDescent="0.25">
      <c r="A5526" t="str">
        <f>"20190303154919765"</f>
        <v>20190303154919765</v>
      </c>
      <c r="B5526" t="str">
        <f>"1551599359756362"</f>
        <v>1551599359756362</v>
      </c>
      <c r="C5526" t="s">
        <v>40</v>
      </c>
      <c r="D5526">
        <v>5.374231</v>
      </c>
      <c r="E5526">
        <v>0.51516320000000004</v>
      </c>
      <c r="F5526" t="s">
        <v>59</v>
      </c>
      <c r="G5526">
        <v>-412.43060000000003</v>
      </c>
      <c r="H5526" s="1">
        <v>-1.137395E-5</v>
      </c>
      <c r="I5526">
        <v>142.21539999999999</v>
      </c>
      <c r="J5526">
        <v>-394.90100000000001</v>
      </c>
      <c r="K5526">
        <v>1.120762</v>
      </c>
      <c r="L5526">
        <v>141.6688</v>
      </c>
      <c r="M5526">
        <v>-0.99987110000000001</v>
      </c>
      <c r="N5526">
        <v>-1.218501E-2</v>
      </c>
      <c r="O5526">
        <v>1.046251E-2</v>
      </c>
      <c r="P5526">
        <v>-0.99625379999999997</v>
      </c>
      <c r="Q5526">
        <v>-8.5972220000000002E-2</v>
      </c>
      <c r="R5526">
        <v>-9.3510469999999995E-3</v>
      </c>
      <c r="S5526">
        <v>-2.9956360000000002</v>
      </c>
      <c r="T5526">
        <v>-0.18956719999999999</v>
      </c>
      <c r="U5526">
        <v>9.2773439999999999E-2</v>
      </c>
      <c r="V5526">
        <v>-1.9777019999999999E-2</v>
      </c>
      <c r="W5526">
        <v>-7.3827569999999995E-2</v>
      </c>
      <c r="X5526">
        <v>0.99707489999999999</v>
      </c>
      <c r="Y5526">
        <v>2.0459580000000002E-2</v>
      </c>
      <c r="Z5526">
        <v>2.3752460000000001E-4</v>
      </c>
      <c r="AA5526">
        <v>0.99979070000000003</v>
      </c>
      <c r="AB5526">
        <v>21</v>
      </c>
      <c r="AC5526">
        <v>-17.529599999999999</v>
      </c>
      <c r="AD5526">
        <v>-1.1207733739499901</v>
      </c>
      <c r="AE5526">
        <v>0.54659999999998299</v>
      </c>
      <c r="AF5526">
        <v>0.36167583121611002</v>
      </c>
      <c r="AG5526">
        <v>-1.1207733739499901</v>
      </c>
      <c r="AH5526">
        <v>17.463043222655401</v>
      </c>
      <c r="AI5526">
        <v>93.671405966313301</v>
      </c>
      <c r="AJ5526">
        <v>88.813520858975707</v>
      </c>
      <c r="AK5526">
        <v>17.5027089605858</v>
      </c>
      <c r="AL5526">
        <v>94.233860252077093</v>
      </c>
      <c r="AM5526">
        <v>91.136315044279996</v>
      </c>
      <c r="AN5526">
        <v>0.99999999841109699</v>
      </c>
    </row>
    <row r="5527" spans="1:40" x14ac:dyDescent="0.25">
      <c r="A5527" t="str">
        <f>"20190303154919786"</f>
        <v>20190303154919786</v>
      </c>
      <c r="B5527" t="str">
        <f>"1551599359775882"</f>
        <v>1551599359775882</v>
      </c>
      <c r="C5527" t="s">
        <v>40</v>
      </c>
      <c r="D5527">
        <v>5.3186970000000002</v>
      </c>
      <c r="E5527">
        <v>0.51496200000000003</v>
      </c>
      <c r="F5527" t="s">
        <v>59</v>
      </c>
      <c r="G5527">
        <v>-412.59160000000003</v>
      </c>
      <c r="H5527" s="1">
        <v>-1.136032E-5</v>
      </c>
      <c r="I5527">
        <v>142.22049999999999</v>
      </c>
      <c r="J5527">
        <v>-395.10480000000001</v>
      </c>
      <c r="K5527">
        <v>1.1207800000000001</v>
      </c>
      <c r="L5527">
        <v>141.67089999999999</v>
      </c>
      <c r="M5527">
        <v>-0.9998707</v>
      </c>
      <c r="N5527">
        <v>-1.2230420000000001E-2</v>
      </c>
      <c r="O5527">
        <v>1.046241E-2</v>
      </c>
      <c r="P5527">
        <v>-0.99618770000000001</v>
      </c>
      <c r="Q5527">
        <v>-8.6674710000000002E-2</v>
      </c>
      <c r="R5527">
        <v>-9.8761060000000008E-3</v>
      </c>
      <c r="S5527">
        <v>-2.9957889999999998</v>
      </c>
      <c r="T5527">
        <v>-0.18979480000000001</v>
      </c>
      <c r="U5527">
        <v>9.3429570000000003E-2</v>
      </c>
      <c r="V5527">
        <v>-2.0301860000000001E-2</v>
      </c>
      <c r="W5527">
        <v>-7.4485560000000006E-2</v>
      </c>
      <c r="X5527">
        <v>0.9970154</v>
      </c>
      <c r="Y5527">
        <v>2.0676219999999999E-2</v>
      </c>
      <c r="Z5527">
        <v>2.4663419999999998E-4</v>
      </c>
      <c r="AA5527">
        <v>0.99978619999999996</v>
      </c>
      <c r="AB5527">
        <v>21</v>
      </c>
      <c r="AC5527">
        <v>-17.486799999999999</v>
      </c>
      <c r="AD5527">
        <v>-1.1207913603199999</v>
      </c>
      <c r="AE5527">
        <v>0.54959999999999798</v>
      </c>
      <c r="AF5527">
        <v>0.36510383959092102</v>
      </c>
      <c r="AG5527">
        <v>-1.1207913603199999</v>
      </c>
      <c r="AH5527">
        <v>17.420102427673399</v>
      </c>
      <c r="AI5527">
        <v>93.680471146685704</v>
      </c>
      <c r="AJ5527">
        <v>88.799326986099103</v>
      </c>
      <c r="AK5527">
        <v>17.459938220901101</v>
      </c>
      <c r="AL5527">
        <v>94.271664445388097</v>
      </c>
      <c r="AM5527">
        <v>91.166531795001703</v>
      </c>
      <c r="AN5527">
        <v>0.99999998600256601</v>
      </c>
    </row>
    <row r="5528" spans="1:40" x14ac:dyDescent="0.25">
      <c r="A5528" t="str">
        <f>"20190303154919808"</f>
        <v>20190303154919808</v>
      </c>
      <c r="B5528" t="str">
        <f>"1551599359796378"</f>
        <v>1551599359796378</v>
      </c>
      <c r="C5528" t="s">
        <v>40</v>
      </c>
      <c r="D5528">
        <v>5.341971</v>
      </c>
      <c r="E5528">
        <v>0.51514079999999995</v>
      </c>
      <c r="F5528" t="s">
        <v>59</v>
      </c>
      <c r="G5528">
        <v>-412.79039999999998</v>
      </c>
      <c r="H5528" s="1">
        <v>-1.1337039999999999E-5</v>
      </c>
      <c r="I5528">
        <v>142.2039</v>
      </c>
      <c r="J5528">
        <v>-395.31200000000001</v>
      </c>
      <c r="K5528">
        <v>1.1207879999999999</v>
      </c>
      <c r="L5528">
        <v>141.67310000000001</v>
      </c>
      <c r="M5528">
        <v>-0.99986989999999998</v>
      </c>
      <c r="N5528">
        <v>-1.22799E-2</v>
      </c>
      <c r="O5528">
        <v>1.046276E-2</v>
      </c>
      <c r="P5528">
        <v>-0.99616009999999999</v>
      </c>
      <c r="Q5528">
        <v>-8.6987120000000001E-2</v>
      </c>
      <c r="R5528">
        <v>-9.9235460000000001E-3</v>
      </c>
      <c r="S5528">
        <v>-2.9958800000000001</v>
      </c>
      <c r="T5528">
        <v>-0.1898582</v>
      </c>
      <c r="U5528">
        <v>9.0286249999999998E-2</v>
      </c>
      <c r="V5528">
        <v>-2.0349470000000001E-2</v>
      </c>
      <c r="W5528">
        <v>-7.4748960000000003E-2</v>
      </c>
      <c r="X5528">
        <v>0.99699470000000001</v>
      </c>
      <c r="Y5528">
        <v>1.962933E-2</v>
      </c>
      <c r="Z5528">
        <v>2.0807350000000001E-4</v>
      </c>
      <c r="AA5528">
        <v>0.99980729999999995</v>
      </c>
      <c r="AB5528">
        <v>21</v>
      </c>
      <c r="AC5528">
        <v>-17.478400000000001</v>
      </c>
      <c r="AD5528">
        <v>-1.12079933703999</v>
      </c>
      <c r="AE5528">
        <v>0.53079999999999905</v>
      </c>
      <c r="AF5528">
        <v>0.34646152033707001</v>
      </c>
      <c r="AG5528">
        <v>-1.12079933703999</v>
      </c>
      <c r="AH5528">
        <v>17.4114673421108</v>
      </c>
      <c r="AI5528">
        <v>93.682397071417199</v>
      </c>
      <c r="AJ5528">
        <v>88.860052220454804</v>
      </c>
      <c r="AK5528">
        <v>17.450943290962002</v>
      </c>
      <c r="AL5528">
        <v>94.286798412750699</v>
      </c>
      <c r="AM5528">
        <v>91.169290946378794</v>
      </c>
      <c r="AN5528">
        <v>0.99999996988922502</v>
      </c>
    </row>
    <row r="5529" spans="1:40" x14ac:dyDescent="0.25">
      <c r="A5529" t="str">
        <f>"20190303154919843"</f>
        <v>20190303154919843</v>
      </c>
      <c r="B5529" t="str">
        <f>"1551599359836394"</f>
        <v>1551599359836394</v>
      </c>
      <c r="C5529" t="s">
        <v>40</v>
      </c>
      <c r="D5529">
        <v>5.3984430000000003</v>
      </c>
      <c r="E5529">
        <v>0.51574129999999996</v>
      </c>
      <c r="F5529" t="s">
        <v>59</v>
      </c>
      <c r="G5529">
        <v>-412.95960000000002</v>
      </c>
      <c r="H5529" s="1">
        <v>-1.132506E-5</v>
      </c>
      <c r="I5529">
        <v>142.21209999999999</v>
      </c>
      <c r="J5529">
        <v>-395.63049999999998</v>
      </c>
      <c r="K5529">
        <v>1.1208089999999999</v>
      </c>
      <c r="L5529">
        <v>141.6764</v>
      </c>
      <c r="M5529">
        <v>-0.99986889999999995</v>
      </c>
      <c r="N5529">
        <v>-1.237423E-2</v>
      </c>
      <c r="O5529">
        <v>1.0462529999999999E-2</v>
      </c>
      <c r="P5529">
        <v>-0.99621999999999999</v>
      </c>
      <c r="Q5529">
        <v>-8.6439940000000007E-2</v>
      </c>
      <c r="R5529">
        <v>-8.6325429999999995E-3</v>
      </c>
      <c r="S5529">
        <v>-2.9958800000000001</v>
      </c>
      <c r="T5529">
        <v>-0.1902682</v>
      </c>
      <c r="U5529">
        <v>9.1506959999999998E-2</v>
      </c>
      <c r="V5529">
        <v>-1.9058700000000001E-2</v>
      </c>
      <c r="W5529">
        <v>-7.4106909999999998E-2</v>
      </c>
      <c r="X5529">
        <v>0.99706819999999896</v>
      </c>
      <c r="Y5529">
        <v>2.0035359999999999E-2</v>
      </c>
      <c r="Z5529">
        <v>2.253046E-4</v>
      </c>
      <c r="AA5529">
        <v>0.99979929999999995</v>
      </c>
      <c r="AB5529">
        <v>21</v>
      </c>
      <c r="AC5529">
        <v>-17.3291</v>
      </c>
      <c r="AD5529">
        <v>-1.12082032506</v>
      </c>
      <c r="AE5529">
        <v>0.53569999999999096</v>
      </c>
      <c r="AF5529">
        <v>0.35287582067948298</v>
      </c>
      <c r="AG5529">
        <v>-1.12082032506</v>
      </c>
      <c r="AH5529">
        <v>17.261614840077801</v>
      </c>
      <c r="AI5529">
        <v>93.714304507870594</v>
      </c>
      <c r="AJ5529">
        <v>88.828876692810695</v>
      </c>
      <c r="AK5529">
        <v>17.301563699073</v>
      </c>
      <c r="AL5529">
        <v>94.249909076417694</v>
      </c>
      <c r="AM5529">
        <v>91.095060607018894</v>
      </c>
      <c r="AN5529">
        <v>1.00000003180333</v>
      </c>
    </row>
    <row r="5530" spans="1:40" x14ac:dyDescent="0.25">
      <c r="A5530" t="str">
        <f>"20190303154919863"</f>
        <v>20190303154919863</v>
      </c>
      <c r="B5530" t="str">
        <f>"1551599359855914"</f>
        <v>1551599359855914</v>
      </c>
      <c r="C5530" t="s">
        <v>40</v>
      </c>
      <c r="D5530">
        <v>5.3518629999999998</v>
      </c>
      <c r="E5530">
        <v>0.51604380000000005</v>
      </c>
      <c r="F5530" t="s">
        <v>59</v>
      </c>
      <c r="G5530">
        <v>-413.55259999999998</v>
      </c>
      <c r="H5530" s="1">
        <v>-1.12954399999999E-5</v>
      </c>
      <c r="I5530">
        <v>142.27610000000001</v>
      </c>
      <c r="J5530">
        <v>-395.82769999999999</v>
      </c>
      <c r="K5530">
        <v>1.120822</v>
      </c>
      <c r="L5530">
        <v>141.67850000000001</v>
      </c>
      <c r="M5530">
        <v>-0.99986770000000003</v>
      </c>
      <c r="N5530">
        <v>-1.2456210000000001E-2</v>
      </c>
      <c r="O5530">
        <v>1.046267E-2</v>
      </c>
      <c r="P5530">
        <v>-0.99623419999999896</v>
      </c>
      <c r="Q5530">
        <v>-8.6336019999999999E-2</v>
      </c>
      <c r="R5530">
        <v>-7.9665710000000004E-3</v>
      </c>
      <c r="S5530">
        <v>-2.9960019999999998</v>
      </c>
      <c r="T5530">
        <v>-0.18736530000000001</v>
      </c>
      <c r="U5530">
        <v>0.1002502</v>
      </c>
      <c r="V5530">
        <v>-1.839286E-2</v>
      </c>
      <c r="W5530">
        <v>-7.3921039999999993E-2</v>
      </c>
      <c r="X5530">
        <v>0.99709449999999999</v>
      </c>
      <c r="Y5530">
        <v>2.2942540000000001E-2</v>
      </c>
      <c r="Z5530">
        <v>3.3633540000000003E-4</v>
      </c>
      <c r="AA5530">
        <v>0.99973670000000003</v>
      </c>
      <c r="AB5530">
        <v>21</v>
      </c>
      <c r="AC5530">
        <v>-17.724899999999899</v>
      </c>
      <c r="AD5530">
        <v>-1.12083329544</v>
      </c>
      <c r="AE5530">
        <v>0.59759999999999902</v>
      </c>
      <c r="AF5530">
        <v>0.41046367992821298</v>
      </c>
      <c r="AG5530">
        <v>-1.12083329544</v>
      </c>
      <c r="AH5530">
        <v>17.6596479031702</v>
      </c>
      <c r="AI5530">
        <v>93.630634366580594</v>
      </c>
      <c r="AJ5530">
        <v>88.668512366406205</v>
      </c>
      <c r="AK5530">
        <v>17.699941010428599</v>
      </c>
      <c r="AL5530">
        <v>94.239230229250694</v>
      </c>
      <c r="AM5530">
        <v>91.056784232266196</v>
      </c>
      <c r="AN5530">
        <v>1.00000002969195</v>
      </c>
    </row>
    <row r="5531" spans="1:40" x14ac:dyDescent="0.25">
      <c r="A5531" t="str">
        <f>"20190303154919886"</f>
        <v>20190303154919886</v>
      </c>
      <c r="B5531" t="str">
        <f>"1551599359876410"</f>
        <v>1551599359876410</v>
      </c>
      <c r="C5531" t="s">
        <v>40</v>
      </c>
      <c r="D5531">
        <v>5.3742409999999996</v>
      </c>
      <c r="E5531">
        <v>0.516250599999999</v>
      </c>
      <c r="F5531" t="s">
        <v>59</v>
      </c>
      <c r="G5531">
        <v>-413.7672</v>
      </c>
      <c r="H5531" s="1">
        <v>-1.1286760000000001E-5</v>
      </c>
      <c r="I5531">
        <v>142.30510000000001</v>
      </c>
      <c r="J5531">
        <v>-396.03809999999999</v>
      </c>
      <c r="K5531">
        <v>1.1208370000000001</v>
      </c>
      <c r="L5531">
        <v>141.6807</v>
      </c>
      <c r="M5531">
        <v>-0.99986649999999999</v>
      </c>
      <c r="N5531">
        <v>-1.255361E-2</v>
      </c>
      <c r="O5531">
        <v>1.0462529999999999E-2</v>
      </c>
      <c r="P5531">
        <v>-0.99624299999999999</v>
      </c>
      <c r="Q5531">
        <v>-8.6264729999999998E-2</v>
      </c>
      <c r="R5531">
        <v>-7.6502899999999997E-3</v>
      </c>
      <c r="S5531">
        <v>-2.995911</v>
      </c>
      <c r="T5531">
        <v>-0.18718019999999999</v>
      </c>
      <c r="U5531">
        <v>0.1046448</v>
      </c>
      <c r="V5531">
        <v>-1.8076910000000002E-2</v>
      </c>
      <c r="W5531">
        <v>-7.3752460000000006E-2</v>
      </c>
      <c r="X5531">
        <v>0.99711280000000002</v>
      </c>
      <c r="Y5531">
        <v>2.4404929999999998E-2</v>
      </c>
      <c r="Z5531">
        <v>3.9323839999999999E-4</v>
      </c>
      <c r="AA5531">
        <v>0.99970210000000004</v>
      </c>
      <c r="AB5531">
        <v>21</v>
      </c>
      <c r="AC5531">
        <v>-17.729099999999999</v>
      </c>
      <c r="AD5531">
        <v>-1.12084828676</v>
      </c>
      <c r="AE5531">
        <v>0.62440000000000795</v>
      </c>
      <c r="AF5531">
        <v>0.437115038754186</v>
      </c>
      <c r="AG5531">
        <v>-1.12084828676</v>
      </c>
      <c r="AH5531">
        <v>17.664148899092801</v>
      </c>
      <c r="AI5531">
        <v>93.629629674690307</v>
      </c>
      <c r="AJ5531">
        <v>88.582454396330604</v>
      </c>
      <c r="AK5531">
        <v>17.705070651323599</v>
      </c>
      <c r="AL5531">
        <v>94.2295447070682</v>
      </c>
      <c r="AM5531">
        <v>91.038615892684007</v>
      </c>
      <c r="AN5531">
        <v>1.0000000679775101</v>
      </c>
    </row>
    <row r="5532" spans="1:40" x14ac:dyDescent="0.25">
      <c r="A5532" t="str">
        <f>"20190303154919909"</f>
        <v>20190303154919909</v>
      </c>
      <c r="B5532" t="str">
        <f>"1551599359906667"</f>
        <v>1551599359906667</v>
      </c>
      <c r="C5532" t="s">
        <v>40</v>
      </c>
      <c r="D5532">
        <v>5.3342580000000002</v>
      </c>
      <c r="E5532">
        <v>0.51649219999999996</v>
      </c>
      <c r="F5532" t="s">
        <v>59</v>
      </c>
      <c r="G5532">
        <v>-414.0455</v>
      </c>
      <c r="H5532" s="1">
        <v>-1.126939E-5</v>
      </c>
      <c r="I5532">
        <v>142.3253</v>
      </c>
      <c r="J5532">
        <v>-396.25150000000002</v>
      </c>
      <c r="K5532">
        <v>1.1208530000000001</v>
      </c>
      <c r="L5532">
        <v>141.68289999999999</v>
      </c>
      <c r="M5532">
        <v>-0.99986540000000002</v>
      </c>
      <c r="N5532">
        <v>-1.2649769999999999E-2</v>
      </c>
      <c r="O5532">
        <v>1.046264E-2</v>
      </c>
      <c r="P5532">
        <v>-0.99625300000000006</v>
      </c>
      <c r="Q5532">
        <v>-8.6085110000000006E-2</v>
      </c>
      <c r="R5532">
        <v>-8.3341999999999999E-3</v>
      </c>
      <c r="S5532">
        <v>-2.9960019999999998</v>
      </c>
      <c r="T5532">
        <v>-0.18648239999999999</v>
      </c>
      <c r="U5532">
        <v>0.1072388</v>
      </c>
      <c r="V5532">
        <v>-1.8760530000000001E-2</v>
      </c>
      <c r="W5532">
        <v>-7.3476929999999996E-2</v>
      </c>
      <c r="X5532">
        <v>0.99712040000000002</v>
      </c>
      <c r="Y5532">
        <v>2.5266360000000002E-2</v>
      </c>
      <c r="Z5532">
        <v>4.2723730000000001E-4</v>
      </c>
      <c r="AA5532">
        <v>0.99968060000000003</v>
      </c>
      <c r="AB5532">
        <v>21</v>
      </c>
      <c r="AC5532">
        <v>-17.793999999999901</v>
      </c>
      <c r="AD5532">
        <v>-1.1208642693899999</v>
      </c>
      <c r="AE5532">
        <v>0.64240000000000896</v>
      </c>
      <c r="AF5532">
        <v>0.45437717870087402</v>
      </c>
      <c r="AG5532">
        <v>-1.1208642693899999</v>
      </c>
      <c r="AH5532">
        <v>17.7294906503143</v>
      </c>
      <c r="AI5532">
        <v>93.616259613470604</v>
      </c>
      <c r="AJ5532">
        <v>88.531926403232603</v>
      </c>
      <c r="AK5532">
        <v>17.770695936020701</v>
      </c>
      <c r="AL5532">
        <v>94.213715531671497</v>
      </c>
      <c r="AM5532">
        <v>91.077876234072093</v>
      </c>
      <c r="AN5532">
        <v>0.99999995441213096</v>
      </c>
    </row>
    <row r="5533" spans="1:40" x14ac:dyDescent="0.25">
      <c r="A5533" t="str">
        <f>"20190303154919931"</f>
        <v>20190303154919931</v>
      </c>
      <c r="B5533" t="str">
        <f>"1551599359926186"</f>
        <v>1551599359926186</v>
      </c>
      <c r="C5533" t="s">
        <v>40</v>
      </c>
      <c r="D5533">
        <v>5.3612679999999999</v>
      </c>
      <c r="E5533">
        <v>0.51669620000000005</v>
      </c>
      <c r="F5533" t="s">
        <v>59</v>
      </c>
      <c r="G5533">
        <v>-414.4203</v>
      </c>
      <c r="H5533" s="1">
        <v>-1.12388E-5</v>
      </c>
      <c r="I5533">
        <v>142.33189999999999</v>
      </c>
      <c r="J5533">
        <v>-396.45960000000002</v>
      </c>
      <c r="K5533">
        <v>1.1208629999999999</v>
      </c>
      <c r="L5533">
        <v>141.68510000000001</v>
      </c>
      <c r="M5533">
        <v>-0.99986430000000004</v>
      </c>
      <c r="N5533">
        <v>-1.2735379999999999E-2</v>
      </c>
      <c r="O5533">
        <v>1.046275E-2</v>
      </c>
      <c r="P5533">
        <v>-0.99631530000000001</v>
      </c>
      <c r="Q5533">
        <v>-8.5306740000000006E-2</v>
      </c>
      <c r="R5533">
        <v>-8.8745319999999992E-3</v>
      </c>
      <c r="S5533">
        <v>-2.9962460000000002</v>
      </c>
      <c r="T5533">
        <v>-0.18484329999999999</v>
      </c>
      <c r="U5533">
        <v>0.1070251</v>
      </c>
      <c r="V5533">
        <v>-1.9301869999999999E-2</v>
      </c>
      <c r="W5533">
        <v>-7.2612469999999998E-2</v>
      </c>
      <c r="X5533">
        <v>0.99717339999999999</v>
      </c>
      <c r="Y5533">
        <v>2.5192869999999999E-2</v>
      </c>
      <c r="Z5533">
        <v>4.2528230000000002E-4</v>
      </c>
      <c r="AA5533">
        <v>0.99968250000000003</v>
      </c>
      <c r="AB5533">
        <v>21</v>
      </c>
      <c r="AC5533">
        <v>-17.9606999999999</v>
      </c>
      <c r="AD5533">
        <v>-1.1208742387999999</v>
      </c>
      <c r="AE5533">
        <v>0.64679999999998405</v>
      </c>
      <c r="AF5533">
        <v>0.45705330969901797</v>
      </c>
      <c r="AG5533">
        <v>-1.1208742387999999</v>
      </c>
      <c r="AH5533">
        <v>17.896873006379099</v>
      </c>
      <c r="AI5533">
        <v>93.582566687054594</v>
      </c>
      <c r="AJ5533">
        <v>88.537088865129803</v>
      </c>
      <c r="AK5533">
        <v>17.937762407657502</v>
      </c>
      <c r="AL5533">
        <v>94.164052924185597</v>
      </c>
      <c r="AM5533">
        <v>91.108912049042203</v>
      </c>
      <c r="AN5533">
        <v>0.999999961326278</v>
      </c>
    </row>
    <row r="5534" spans="1:40" x14ac:dyDescent="0.25">
      <c r="A5534" t="str">
        <f>"20190303154919952"</f>
        <v>20190303154919952</v>
      </c>
      <c r="B5534" t="str">
        <f>"1551599359945707"</f>
        <v>1551599359945707</v>
      </c>
      <c r="C5534" t="s">
        <v>40</v>
      </c>
      <c r="D5534">
        <v>5.3830790000000004</v>
      </c>
      <c r="E5534">
        <v>0.51682870000000003</v>
      </c>
      <c r="F5534" t="s">
        <v>59</v>
      </c>
      <c r="G5534">
        <v>-414.88909999999998</v>
      </c>
      <c r="H5534" s="1">
        <v>-1.12018699999999E-5</v>
      </c>
      <c r="I5534">
        <v>142.34399999999999</v>
      </c>
      <c r="J5534">
        <v>-396.66239999999999</v>
      </c>
      <c r="K5534">
        <v>1.1208739999999999</v>
      </c>
      <c r="L5534">
        <v>141.68719999999999</v>
      </c>
      <c r="M5534">
        <v>-0.99986330000000001</v>
      </c>
      <c r="N5534">
        <v>-1.28107E-2</v>
      </c>
      <c r="O5534">
        <v>1.0462559999999999E-2</v>
      </c>
      <c r="P5534">
        <v>-0.99633119999999997</v>
      </c>
      <c r="Q5534">
        <v>-8.5042690000000004E-2</v>
      </c>
      <c r="R5534">
        <v>-9.5837890000000005E-3</v>
      </c>
      <c r="S5534">
        <v>-2.9964599999999999</v>
      </c>
      <c r="T5534">
        <v>-0.18224360000000001</v>
      </c>
      <c r="U5534">
        <v>0.10713200000000001</v>
      </c>
      <c r="V5534">
        <v>-2.0011319999999999E-2</v>
      </c>
      <c r="W5534">
        <v>-7.2273249999999997E-2</v>
      </c>
      <c r="X5534">
        <v>0.99718410000000002</v>
      </c>
      <c r="Y5534">
        <v>2.522696E-2</v>
      </c>
      <c r="Z5534">
        <v>4.2642640000000001E-4</v>
      </c>
      <c r="AA5534">
        <v>0.99968170000000001</v>
      </c>
      <c r="AB5534">
        <v>21</v>
      </c>
      <c r="AC5534">
        <v>-18.226699999999902</v>
      </c>
      <c r="AD5534">
        <v>-1.12088520187</v>
      </c>
      <c r="AE5534">
        <v>0.65680000000000405</v>
      </c>
      <c r="AF5534">
        <v>0.46429683977858599</v>
      </c>
      <c r="AG5534">
        <v>-1.12088520187</v>
      </c>
      <c r="AH5534">
        <v>18.163969964957499</v>
      </c>
      <c r="AI5534">
        <v>93.530052425941705</v>
      </c>
      <c r="AJ5534">
        <v>88.535757445351507</v>
      </c>
      <c r="AK5534">
        <v>18.204443415800402</v>
      </c>
      <c r="AL5534">
        <v>94.144565677258896</v>
      </c>
      <c r="AM5534">
        <v>91.1496475944069</v>
      </c>
      <c r="AN5534">
        <v>1.00000000244325</v>
      </c>
    </row>
    <row r="5535" spans="1:40" x14ac:dyDescent="0.25">
      <c r="A5535" t="str">
        <f>"20190303154919976"</f>
        <v>20190303154919976</v>
      </c>
      <c r="B5535" t="str">
        <f>"1551599359966202"</f>
        <v>1551599359966202</v>
      </c>
      <c r="C5535" t="s">
        <v>40</v>
      </c>
      <c r="D5535">
        <v>5.3849650000000002</v>
      </c>
      <c r="E5535">
        <v>0.51697340000000003</v>
      </c>
      <c r="F5535" t="s">
        <v>59</v>
      </c>
      <c r="G5535">
        <v>-415.18259999999998</v>
      </c>
      <c r="H5535" s="1">
        <v>-1.1175779999999999E-5</v>
      </c>
      <c r="I5535">
        <v>142.34309999999999</v>
      </c>
      <c r="J5535">
        <v>-396.8766</v>
      </c>
      <c r="K5535">
        <v>1.120878</v>
      </c>
      <c r="L5535">
        <v>141.68950000000001</v>
      </c>
      <c r="M5535">
        <v>-0.99986229999999998</v>
      </c>
      <c r="N5535">
        <v>-1.2882589999999999E-2</v>
      </c>
      <c r="O5535">
        <v>1.0462630000000001E-2</v>
      </c>
      <c r="P5535">
        <v>-0.99641650000000004</v>
      </c>
      <c r="Q5535">
        <v>-8.3977129999999997E-2</v>
      </c>
      <c r="R5535">
        <v>-1.010634E-2</v>
      </c>
      <c r="S5535">
        <v>-2.996613</v>
      </c>
      <c r="T5535">
        <v>-0.1813622</v>
      </c>
      <c r="U5535">
        <v>0.10612489999999999</v>
      </c>
      <c r="V5535">
        <v>-2.053462E-2</v>
      </c>
      <c r="W5535">
        <v>-7.1135019999999993E-2</v>
      </c>
      <c r="X5535">
        <v>0.99725529999999996</v>
      </c>
      <c r="Y5535">
        <v>2.4890530000000001E-2</v>
      </c>
      <c r="Z5535">
        <v>4.1510670000000001E-4</v>
      </c>
      <c r="AA5535">
        <v>0.99969010000000003</v>
      </c>
      <c r="AB5535">
        <v>21</v>
      </c>
      <c r="AC5535">
        <v>-18.305999999999901</v>
      </c>
      <c r="AD5535">
        <v>-1.1208891757799999</v>
      </c>
      <c r="AE5535">
        <v>0.65359999999998297</v>
      </c>
      <c r="AF5535">
        <v>0.46029588045476699</v>
      </c>
      <c r="AG5535">
        <v>-1.1208891757799999</v>
      </c>
      <c r="AH5535">
        <v>18.243525285521098</v>
      </c>
      <c r="AI5535">
        <v>93.514739309311196</v>
      </c>
      <c r="AJ5535">
        <v>88.554697254131199</v>
      </c>
      <c r="AK5535">
        <v>18.283721713190399</v>
      </c>
      <c r="AL5535">
        <v>94.079181616593601</v>
      </c>
      <c r="AM5535">
        <v>91.179618517821496</v>
      </c>
      <c r="AN5535">
        <v>0.99999999753351698</v>
      </c>
    </row>
    <row r="5536" spans="1:40" x14ac:dyDescent="0.25">
      <c r="A5536" t="str">
        <f>"20190303154919998"</f>
        <v>20190303154919998</v>
      </c>
      <c r="B5536" t="str">
        <f>"1551599359985722"</f>
        <v>1551599359985722</v>
      </c>
      <c r="C5536" t="s">
        <v>40</v>
      </c>
      <c r="D5536">
        <v>5.4053469999999999</v>
      </c>
      <c r="E5536">
        <v>0.5171152</v>
      </c>
      <c r="F5536" t="s">
        <v>59</v>
      </c>
      <c r="G5536">
        <v>-415.7115</v>
      </c>
      <c r="H5536" s="1">
        <v>-1.113329E-5</v>
      </c>
      <c r="I5536">
        <v>142.3544</v>
      </c>
      <c r="J5536">
        <v>-397.07679999999999</v>
      </c>
      <c r="K5536">
        <v>1.120884</v>
      </c>
      <c r="L5536">
        <v>141.69149999999999</v>
      </c>
      <c r="M5536">
        <v>-0.99986169999999996</v>
      </c>
      <c r="N5536">
        <v>-1.2942550000000001E-2</v>
      </c>
      <c r="O5536">
        <v>1.046242E-2</v>
      </c>
      <c r="P5536">
        <v>-0.99641670000000004</v>
      </c>
      <c r="Q5536">
        <v>-8.3898139999999996E-2</v>
      </c>
      <c r="R5536">
        <v>-1.073436E-2</v>
      </c>
      <c r="S5536">
        <v>-2.9967959999999998</v>
      </c>
      <c r="T5536">
        <v>-0.17834259999999999</v>
      </c>
      <c r="U5536">
        <v>0.10580440000000001</v>
      </c>
      <c r="V5536">
        <v>-2.1162520000000001E-2</v>
      </c>
      <c r="W5536">
        <v>-7.0996279999999995E-2</v>
      </c>
      <c r="X5536">
        <v>0.99725200000000003</v>
      </c>
      <c r="Y5536">
        <v>2.478315E-2</v>
      </c>
      <c r="Z5536">
        <v>4.1060229999999998E-4</v>
      </c>
      <c r="AA5536">
        <v>0.99969269999999999</v>
      </c>
      <c r="AB5536">
        <v>21</v>
      </c>
      <c r="AC5536">
        <v>-18.634699999999999</v>
      </c>
      <c r="AD5536">
        <v>-1.1208951332899999</v>
      </c>
      <c r="AE5536">
        <v>0.66290000000000704</v>
      </c>
      <c r="AF5536">
        <v>0.46619872104266102</v>
      </c>
      <c r="AG5536">
        <v>-1.1208951332899999</v>
      </c>
      <c r="AH5536">
        <v>18.573499466679099</v>
      </c>
      <c r="AI5536">
        <v>93.452478945082305</v>
      </c>
      <c r="AJ5536">
        <v>88.562165855764604</v>
      </c>
      <c r="AK5536">
        <v>18.613130569199299</v>
      </c>
      <c r="AL5536">
        <v>94.071212494434405</v>
      </c>
      <c r="AM5536">
        <v>91.215681813299597</v>
      </c>
      <c r="AN5536">
        <v>0.99999993776529195</v>
      </c>
    </row>
    <row r="5537" spans="1:40" x14ac:dyDescent="0.25">
      <c r="A5537" t="str">
        <f>"20190303154920020"</f>
        <v>20190303154920020</v>
      </c>
      <c r="B5537" t="str">
        <f>"1551599360015978"</f>
        <v>1551599360015978</v>
      </c>
      <c r="C5537" t="s">
        <v>40</v>
      </c>
      <c r="D5537">
        <v>5.38551</v>
      </c>
      <c r="E5537">
        <v>0.51717780000000002</v>
      </c>
      <c r="F5537" t="s">
        <v>59</v>
      </c>
      <c r="G5537">
        <v>-415.8723</v>
      </c>
      <c r="H5537" s="1">
        <v>-1.1117390000000001E-5</v>
      </c>
      <c r="I5537">
        <v>142.3494</v>
      </c>
      <c r="J5537">
        <v>-397.28530000000001</v>
      </c>
      <c r="K5537">
        <v>1.120886</v>
      </c>
      <c r="L5537">
        <v>141.69370000000001</v>
      </c>
      <c r="M5537">
        <v>-0.99986090000000005</v>
      </c>
      <c r="N5537">
        <v>-1.2993950000000001E-2</v>
      </c>
      <c r="O5537">
        <v>1.0462559999999999E-2</v>
      </c>
      <c r="P5537">
        <v>-0.99640740000000005</v>
      </c>
      <c r="Q5537">
        <v>-8.3972899999999906E-2</v>
      </c>
      <c r="R5537">
        <v>-1.0980500000000001E-2</v>
      </c>
      <c r="S5537">
        <v>-2.9968870000000001</v>
      </c>
      <c r="T5537">
        <v>-0.17872289999999999</v>
      </c>
      <c r="U5537">
        <v>0.10488889999999999</v>
      </c>
      <c r="V5537">
        <v>-2.140881E-2</v>
      </c>
      <c r="W5537">
        <v>-7.1019929999999995E-2</v>
      </c>
      <c r="X5537">
        <v>0.9972451</v>
      </c>
      <c r="Y5537">
        <v>2.4477349999999998E-2</v>
      </c>
      <c r="Z5537">
        <v>4.009153E-4</v>
      </c>
      <c r="AA5537">
        <v>0.99970029999999999</v>
      </c>
      <c r="AB5537">
        <v>21</v>
      </c>
      <c r="AC5537">
        <v>-18.5869999999999</v>
      </c>
      <c r="AD5537">
        <v>-1.12089711739</v>
      </c>
      <c r="AE5537">
        <v>0.65569999999999595</v>
      </c>
      <c r="AF5537">
        <v>0.45951104755732602</v>
      </c>
      <c r="AG5537">
        <v>-1.12089711739</v>
      </c>
      <c r="AH5537">
        <v>18.525554379930099</v>
      </c>
      <c r="AI5537">
        <v>93.461424044034104</v>
      </c>
      <c r="AJ5537">
        <v>88.579116948366305</v>
      </c>
      <c r="AK5537">
        <v>18.565121217873799</v>
      </c>
      <c r="AL5537">
        <v>94.072570802517603</v>
      </c>
      <c r="AM5537">
        <v>91.229834138670597</v>
      </c>
      <c r="AN5537">
        <v>0.99999997853841505</v>
      </c>
    </row>
    <row r="5538" spans="1:40" x14ac:dyDescent="0.25">
      <c r="A5538" t="str">
        <f>"20190303154920043"</f>
        <v>20190303154920043</v>
      </c>
      <c r="B5538" t="str">
        <f>"1551599360036475"</f>
        <v>1551599360036475</v>
      </c>
      <c r="C5538" t="s">
        <v>40</v>
      </c>
      <c r="D5538">
        <v>5.398136</v>
      </c>
      <c r="E5538">
        <v>0.49109059999999999</v>
      </c>
      <c r="F5538" t="s">
        <v>59</v>
      </c>
      <c r="G5538">
        <v>-415.95800000000003</v>
      </c>
      <c r="H5538" s="1">
        <v>-1.110876E-5</v>
      </c>
      <c r="I5538">
        <v>142.34620000000001</v>
      </c>
      <c r="J5538">
        <v>-397.49650000000003</v>
      </c>
      <c r="K5538">
        <v>1.1208819999999999</v>
      </c>
      <c r="L5538">
        <v>141.696</v>
      </c>
      <c r="M5538">
        <v>-0.99986050000000004</v>
      </c>
      <c r="N5538">
        <v>-1.303175E-2</v>
      </c>
      <c r="O5538">
        <v>1.046249E-2</v>
      </c>
      <c r="P5538">
        <v>-0.99642299999999995</v>
      </c>
      <c r="Q5538">
        <v>-8.3760559999999998E-2</v>
      </c>
      <c r="R5538">
        <v>-1.120901E-2</v>
      </c>
      <c r="S5538">
        <v>-2.9967649999999999</v>
      </c>
      <c r="T5538">
        <v>-0.17989189999999999</v>
      </c>
      <c r="U5538">
        <v>0.1047211</v>
      </c>
      <c r="V5538">
        <v>-2.163696E-2</v>
      </c>
      <c r="W5538">
        <v>-7.0769730000000003E-2</v>
      </c>
      <c r="X5538">
        <v>0.99725799999999998</v>
      </c>
      <c r="Y5538">
        <v>2.4422550000000001E-2</v>
      </c>
      <c r="Z5538">
        <v>4.0047269999999999E-4</v>
      </c>
      <c r="AA5538">
        <v>0.99970159999999997</v>
      </c>
      <c r="AB5538">
        <v>21</v>
      </c>
      <c r="AC5538">
        <v>-18.461500000000001</v>
      </c>
      <c r="AD5538">
        <v>-1.12089310876</v>
      </c>
      <c r="AE5538">
        <v>0.65020000000001199</v>
      </c>
      <c r="AF5538">
        <v>0.45531839841401001</v>
      </c>
      <c r="AG5538">
        <v>-1.12089310876</v>
      </c>
      <c r="AH5538">
        <v>18.399549837844699</v>
      </c>
      <c r="AI5538">
        <v>93.485063041001595</v>
      </c>
      <c r="AJ5538">
        <v>88.582438179718295</v>
      </c>
      <c r="AK5538">
        <v>18.439282807108601</v>
      </c>
      <c r="AL5538">
        <v>94.058199085511504</v>
      </c>
      <c r="AM5538">
        <v>91.2429201065179</v>
      </c>
      <c r="AN5538">
        <v>1.0000000156431501</v>
      </c>
    </row>
    <row r="5539" spans="1:40" x14ac:dyDescent="0.25">
      <c r="A5539" t="str">
        <f>"20190303154920064"</f>
        <v>20190303154920064</v>
      </c>
      <c r="B5539" t="str">
        <f>"1551599360055995"</f>
        <v>1551599360055995</v>
      </c>
      <c r="C5539" t="s">
        <v>40</v>
      </c>
      <c r="D5539">
        <v>5.4041309999999996</v>
      </c>
      <c r="E5539">
        <v>0.48886000000000002</v>
      </c>
      <c r="F5539" t="s">
        <v>59</v>
      </c>
      <c r="G5539">
        <v>-409.58510000000001</v>
      </c>
      <c r="H5539" s="1">
        <v>-1.108023E-5</v>
      </c>
      <c r="I5539">
        <v>141.2715</v>
      </c>
      <c r="J5539">
        <v>-397.69400000000002</v>
      </c>
      <c r="K5539">
        <v>1.1208739999999999</v>
      </c>
      <c r="L5539">
        <v>141.69799999999901</v>
      </c>
      <c r="M5539">
        <v>-0.99986010000000003</v>
      </c>
      <c r="N5539">
        <v>-1.3058490000000001E-2</v>
      </c>
      <c r="O5539">
        <v>1.0462310000000001E-2</v>
      </c>
      <c r="P5539">
        <v>-0.99629849999999998</v>
      </c>
      <c r="Q5539">
        <v>-8.5151060000000001E-2</v>
      </c>
      <c r="R5539">
        <v>-1.178731E-2</v>
      </c>
      <c r="S5539">
        <v>-2.9862980000000001</v>
      </c>
      <c r="T5539">
        <v>-0.27689970000000003</v>
      </c>
      <c r="U5539">
        <v>-0.10485839999999901</v>
      </c>
      <c r="V5539">
        <v>-2.2213980000000001E-2</v>
      </c>
      <c r="W5539">
        <v>-7.213514E-2</v>
      </c>
      <c r="X5539">
        <v>0.99714740000000002</v>
      </c>
      <c r="Y5539">
        <v>-4.529176E-2</v>
      </c>
      <c r="Z5539">
        <v>-3.2226429999999999E-3</v>
      </c>
      <c r="AA5539">
        <v>0.99896859999999998</v>
      </c>
      <c r="AB5539">
        <v>21</v>
      </c>
      <c r="AC5539">
        <v>-11.8910999999999</v>
      </c>
      <c r="AD5539">
        <v>-1.1208850802300001</v>
      </c>
      <c r="AE5539">
        <v>-0.42649999999997501</v>
      </c>
      <c r="AF5539">
        <v>-0.54604997214774997</v>
      </c>
      <c r="AG5539">
        <v>-1.1208850802300001</v>
      </c>
      <c r="AH5539">
        <v>11.78143795211</v>
      </c>
      <c r="AI5539">
        <v>95.428964433461303</v>
      </c>
      <c r="AJ5539">
        <v>92.653664602192194</v>
      </c>
      <c r="AK5539">
        <v>11.847228965229901</v>
      </c>
      <c r="AL5539">
        <v>94.136632114526506</v>
      </c>
      <c r="AM5539">
        <v>91.276197290082294</v>
      </c>
      <c r="AN5539">
        <v>0.99999993832850798</v>
      </c>
    </row>
    <row r="5540" spans="1:40" x14ac:dyDescent="0.25">
      <c r="A5540" t="str">
        <f>"20190303154920087"</f>
        <v>20190303154920087</v>
      </c>
      <c r="B5540" t="str">
        <f>"1551599360076490"</f>
        <v>1551599360076490</v>
      </c>
      <c r="C5540" t="s">
        <v>40</v>
      </c>
      <c r="D5540">
        <v>5.4274659999999999</v>
      </c>
      <c r="E5540">
        <v>0.48773430000000001</v>
      </c>
      <c r="F5540" t="s">
        <v>59</v>
      </c>
      <c r="G5540">
        <v>-409.45069999999998</v>
      </c>
      <c r="H5540" s="1">
        <v>-1.098712E-5</v>
      </c>
      <c r="I5540">
        <v>141.20830000000001</v>
      </c>
      <c r="J5540">
        <v>-397.90030000000002</v>
      </c>
      <c r="K5540">
        <v>1.1208610000000001</v>
      </c>
      <c r="L5540">
        <v>141.7002</v>
      </c>
      <c r="M5540">
        <v>-0.99985970000000002</v>
      </c>
      <c r="N5540">
        <v>-1.308105E-2</v>
      </c>
      <c r="O5540">
        <v>1.0462519999999999E-2</v>
      </c>
      <c r="P5540">
        <v>-0.99620529999999996</v>
      </c>
      <c r="Q5540">
        <v>-8.6245160000000001E-2</v>
      </c>
      <c r="R5540">
        <v>-1.169449E-2</v>
      </c>
      <c r="S5540">
        <v>-2.9853209999999999</v>
      </c>
      <c r="T5540">
        <v>-0.28462290000000001</v>
      </c>
      <c r="U5540">
        <v>-0.12434389999999899</v>
      </c>
      <c r="V5540">
        <v>-2.2120480000000001E-2</v>
      </c>
      <c r="W5540">
        <v>-7.320786E-2</v>
      </c>
      <c r="X5540">
        <v>0.99707140000000005</v>
      </c>
      <c r="Y5540">
        <v>-5.1765779999999997E-2</v>
      </c>
      <c r="Z5540">
        <v>-3.6589859999999999E-3</v>
      </c>
      <c r="AA5540">
        <v>0.9986526</v>
      </c>
      <c r="AB5540">
        <v>21</v>
      </c>
      <c r="AC5540">
        <v>-11.5503999999999</v>
      </c>
      <c r="AD5540">
        <v>-1.1208719871199999</v>
      </c>
      <c r="AE5540">
        <v>-0.49189999999998602</v>
      </c>
      <c r="AF5540">
        <v>-0.60702363971179396</v>
      </c>
      <c r="AG5540">
        <v>-1.1208719871199999</v>
      </c>
      <c r="AH5540">
        <v>11.4371111123797</v>
      </c>
      <c r="AI5540">
        <v>95.589470822315405</v>
      </c>
      <c r="AJ5540">
        <v>93.038117726694793</v>
      </c>
      <c r="AK5540">
        <v>11.5079251956032</v>
      </c>
      <c r="AL5540">
        <v>94.198256957305006</v>
      </c>
      <c r="AM5540">
        <v>91.270924297740294</v>
      </c>
      <c r="AN5540">
        <v>1.00000004154958</v>
      </c>
    </row>
    <row r="5541" spans="1:40" x14ac:dyDescent="0.25">
      <c r="A5541" t="str">
        <f>"20190303154920110"</f>
        <v>20190303154920110</v>
      </c>
      <c r="B5541" t="str">
        <f>"1551599360106746"</f>
        <v>1551599360106746</v>
      </c>
      <c r="C5541" t="s">
        <v>40</v>
      </c>
      <c r="D5541">
        <v>5.4221899999999996</v>
      </c>
      <c r="E5541">
        <v>0.48668159999999999</v>
      </c>
      <c r="F5541" t="s">
        <v>59</v>
      </c>
      <c r="G5541">
        <v>-409.33749999999998</v>
      </c>
      <c r="H5541" s="1">
        <v>-1.092128E-5</v>
      </c>
      <c r="I5541">
        <v>141.18989999999999</v>
      </c>
      <c r="J5541">
        <v>-398.11239999999998</v>
      </c>
      <c r="K5541">
        <v>1.120852</v>
      </c>
      <c r="L5541">
        <v>141.70240000000001</v>
      </c>
      <c r="M5541">
        <v>-0.99985950000000001</v>
      </c>
      <c r="N5541">
        <v>-1.310043E-2</v>
      </c>
      <c r="O5541">
        <v>1.046239E-2</v>
      </c>
      <c r="P5541">
        <v>-0.99611749999999999</v>
      </c>
      <c r="Q5541">
        <v>-8.7355870000000002E-2</v>
      </c>
      <c r="R5541">
        <v>-1.090641E-2</v>
      </c>
      <c r="S5541">
        <v>-2.9845890000000002</v>
      </c>
      <c r="T5541">
        <v>-0.2924967</v>
      </c>
      <c r="U5541">
        <v>-0.13316349999999999</v>
      </c>
      <c r="V5541">
        <v>-2.1331409999999999E-2</v>
      </c>
      <c r="W5541">
        <v>-7.4300199999999997E-2</v>
      </c>
      <c r="X5541">
        <v>0.99700770000000005</v>
      </c>
      <c r="Y5541">
        <v>-5.4688889999999997E-2</v>
      </c>
      <c r="Z5541">
        <v>-3.9172019999999998E-3</v>
      </c>
      <c r="AA5541">
        <v>0.99849580000000004</v>
      </c>
      <c r="AB5541">
        <v>21</v>
      </c>
      <c r="AC5541">
        <v>-11.2250999999999</v>
      </c>
      <c r="AD5541">
        <v>-1.1208629212800001</v>
      </c>
      <c r="AE5541">
        <v>-0.51250000000001705</v>
      </c>
      <c r="AF5541">
        <v>-0.62371744428139297</v>
      </c>
      <c r="AG5541">
        <v>-1.1208629212800001</v>
      </c>
      <c r="AH5541">
        <v>11.1085933108844</v>
      </c>
      <c r="AI5541">
        <v>95.752674461192399</v>
      </c>
      <c r="AJ5541">
        <v>93.213628750528997</v>
      </c>
      <c r="AK5541">
        <v>11.182405934557501</v>
      </c>
      <c r="AL5541">
        <v>94.261014736965393</v>
      </c>
      <c r="AM5541">
        <v>91.225680927088803</v>
      </c>
      <c r="AN5541">
        <v>0.99999995131595798</v>
      </c>
    </row>
    <row r="5542" spans="1:40" x14ac:dyDescent="0.25">
      <c r="A5542" t="str">
        <f>"20190303154920132"</f>
        <v>20190303154920132</v>
      </c>
      <c r="B5542" t="str">
        <f>"1551599360126266"</f>
        <v>1551599360126266</v>
      </c>
      <c r="C5542" t="s">
        <v>40</v>
      </c>
      <c r="D5542">
        <v>5.3937369999999998</v>
      </c>
      <c r="E5542">
        <v>0.48643029999999998</v>
      </c>
      <c r="F5542" t="s">
        <v>59</v>
      </c>
      <c r="G5542">
        <v>-409.16930000000002</v>
      </c>
      <c r="H5542" s="1">
        <v>-1.08316E-5</v>
      </c>
      <c r="I5542">
        <v>141.18610000000001</v>
      </c>
      <c r="J5542">
        <v>-398.32100000000003</v>
      </c>
      <c r="K5542">
        <v>1.1208469999999999</v>
      </c>
      <c r="L5542">
        <v>141.7046</v>
      </c>
      <c r="M5542">
        <v>-0.99985950000000001</v>
      </c>
      <c r="N5542">
        <v>-1.3116060000000001E-2</v>
      </c>
      <c r="O5542">
        <v>1.0462290000000001E-2</v>
      </c>
      <c r="P5542">
        <v>-0.99602409999999997</v>
      </c>
      <c r="Q5542">
        <v>-8.8583690000000007E-2</v>
      </c>
      <c r="R5542">
        <v>-9.4546049999999996E-3</v>
      </c>
      <c r="S5542">
        <v>-2.9836429999999998</v>
      </c>
      <c r="T5542">
        <v>-0.30245949999999999</v>
      </c>
      <c r="U5542">
        <v>-0.13932800000000001</v>
      </c>
      <c r="V5542">
        <v>-1.987862E-2</v>
      </c>
      <c r="W5542">
        <v>-7.5513410000000003E-2</v>
      </c>
      <c r="X5542">
        <v>0.99694660000000002</v>
      </c>
      <c r="Y5542">
        <v>-5.6727199999999901E-2</v>
      </c>
      <c r="Z5542">
        <v>-4.1602130000000003E-3</v>
      </c>
      <c r="AA5542">
        <v>0.99838099999999996</v>
      </c>
      <c r="AB5542">
        <v>21</v>
      </c>
      <c r="AC5542">
        <v>-10.8483</v>
      </c>
      <c r="AD5542">
        <v>-1.1208578316</v>
      </c>
      <c r="AE5542">
        <v>-0.51849999999998797</v>
      </c>
      <c r="AF5542">
        <v>-0.62531919405262704</v>
      </c>
      <c r="AG5542">
        <v>-1.1208578316</v>
      </c>
      <c r="AH5542">
        <v>10.728017842561099</v>
      </c>
      <c r="AI5542">
        <v>95.954559489184405</v>
      </c>
      <c r="AJ5542">
        <v>93.335905835766098</v>
      </c>
      <c r="AK5542">
        <v>10.804522812388299</v>
      </c>
      <c r="AL5542">
        <v>94.330722278516703</v>
      </c>
      <c r="AM5542">
        <v>91.142298013147297</v>
      </c>
      <c r="AN5542">
        <v>0.99999997893724601</v>
      </c>
    </row>
    <row r="5543" spans="1:40" x14ac:dyDescent="0.25">
      <c r="A5543" t="str">
        <f>"20190303154920154"</f>
        <v>20190303154920154</v>
      </c>
      <c r="B5543" t="str">
        <f>"1551599360146762"</f>
        <v>1551599360146762</v>
      </c>
      <c r="C5543" t="s">
        <v>40</v>
      </c>
      <c r="D5543">
        <v>5.4423659999999998</v>
      </c>
      <c r="E5543">
        <v>0.4860061</v>
      </c>
      <c r="F5543" t="s">
        <v>59</v>
      </c>
      <c r="G5543">
        <v>-409.21179999999998</v>
      </c>
      <c r="H5543" s="1">
        <v>-1.0860919999999999E-5</v>
      </c>
      <c r="I5543">
        <v>141.2047</v>
      </c>
      <c r="J5543">
        <v>-398.5197</v>
      </c>
      <c r="K5543">
        <v>1.1208419999999999</v>
      </c>
      <c r="L5543">
        <v>141.70670000000001</v>
      </c>
      <c r="M5543">
        <v>-0.9998591</v>
      </c>
      <c r="N5543">
        <v>-1.312806E-2</v>
      </c>
      <c r="O5543">
        <v>1.046221E-2</v>
      </c>
      <c r="P5543">
        <v>-0.99598929999999997</v>
      </c>
      <c r="Q5543">
        <v>-8.9044719999999994E-2</v>
      </c>
      <c r="R5543">
        <v>-8.7316059999999994E-3</v>
      </c>
      <c r="S5543">
        <v>-2.9833370000000001</v>
      </c>
      <c r="T5543">
        <v>-0.3070369</v>
      </c>
      <c r="U5543">
        <v>-0.13693239999999901</v>
      </c>
      <c r="V5543">
        <v>-1.915538E-2</v>
      </c>
      <c r="W5543">
        <v>-7.5962829999999995E-2</v>
      </c>
      <c r="X5543">
        <v>0.99692670000000005</v>
      </c>
      <c r="Y5543">
        <v>-5.5925719999999998E-2</v>
      </c>
      <c r="Z5543">
        <v>-4.1736109999999998E-3</v>
      </c>
      <c r="AA5543">
        <v>0.99842620000000004</v>
      </c>
      <c r="AB5543">
        <v>21</v>
      </c>
      <c r="AC5543">
        <v>-10.6920999999999</v>
      </c>
      <c r="AD5543">
        <v>-1.1208528609199999</v>
      </c>
      <c r="AE5543">
        <v>-0.50200000000000899</v>
      </c>
      <c r="AF5543">
        <v>-0.60718725138457297</v>
      </c>
      <c r="AG5543">
        <v>-1.1208528609199999</v>
      </c>
      <c r="AH5543">
        <v>10.5703566021309</v>
      </c>
      <c r="AI5543">
        <v>96.042987895664396</v>
      </c>
      <c r="AJ5543">
        <v>93.287597551550903</v>
      </c>
      <c r="AK5543">
        <v>10.6469444532358</v>
      </c>
      <c r="AL5543">
        <v>94.356545956387293</v>
      </c>
      <c r="AM5543">
        <v>91.100770390147801</v>
      </c>
      <c r="AN5543">
        <v>1.00000006264871</v>
      </c>
    </row>
    <row r="5544" spans="1:40" x14ac:dyDescent="0.25">
      <c r="A5544" t="str">
        <f>"20190303154920177"</f>
        <v>20190303154920177</v>
      </c>
      <c r="B5544" t="str">
        <f>"1551599360166283"</f>
        <v>1551599360166283</v>
      </c>
      <c r="C5544" t="s">
        <v>40</v>
      </c>
      <c r="D5544">
        <v>5.4073650000000004</v>
      </c>
      <c r="E5544">
        <v>0.48558259999999998</v>
      </c>
      <c r="F5544" t="s">
        <v>59</v>
      </c>
      <c r="G5544">
        <v>-409.32159999999999</v>
      </c>
      <c r="H5544" s="1">
        <v>-1.0918989999999999E-5</v>
      </c>
      <c r="I5544">
        <v>141.20660000000001</v>
      </c>
      <c r="J5544">
        <v>-398.72890000000001</v>
      </c>
      <c r="K5544">
        <v>1.120838</v>
      </c>
      <c r="L5544">
        <v>141.7089</v>
      </c>
      <c r="M5544">
        <v>-0.99985900000000005</v>
      </c>
      <c r="N5544">
        <v>-1.313808E-2</v>
      </c>
      <c r="O5544">
        <v>1.046214E-2</v>
      </c>
      <c r="P5544">
        <v>-0.99598439999999999</v>
      </c>
      <c r="Q5544">
        <v>-8.9162610000000003E-2</v>
      </c>
      <c r="R5544">
        <v>-8.0884349999999997E-3</v>
      </c>
      <c r="S5544">
        <v>-2.9831539999999999</v>
      </c>
      <c r="T5544">
        <v>-0.30954720000000002</v>
      </c>
      <c r="U5544">
        <v>-0.13810729999999999</v>
      </c>
      <c r="V5544">
        <v>-1.8511570000000001E-2</v>
      </c>
      <c r="W5544">
        <v>-7.6070719999999994E-2</v>
      </c>
      <c r="X5544">
        <v>0.9969306</v>
      </c>
      <c r="Y5544">
        <v>-5.631253E-2</v>
      </c>
      <c r="Z5544">
        <v>-4.2286310000000001E-3</v>
      </c>
      <c r="AA5544">
        <v>0.99840430000000002</v>
      </c>
      <c r="AB5544">
        <v>21</v>
      </c>
      <c r="AC5544">
        <v>-10.592699999999899</v>
      </c>
      <c r="AD5544">
        <v>-1.1208489189899999</v>
      </c>
      <c r="AE5544">
        <v>-0.50229999999999098</v>
      </c>
      <c r="AF5544">
        <v>-0.60633084661155101</v>
      </c>
      <c r="AG5544">
        <v>-1.1208489189899999</v>
      </c>
      <c r="AH5544">
        <v>10.469901725195299</v>
      </c>
      <c r="AI5544">
        <v>96.100348347062607</v>
      </c>
      <c r="AJ5544">
        <v>93.314399735560499</v>
      </c>
      <c r="AK5544">
        <v>10.5471693610182</v>
      </c>
      <c r="AL5544">
        <v>94.362745691981104</v>
      </c>
      <c r="AM5544">
        <v>91.063778119612294</v>
      </c>
      <c r="AN5544">
        <v>1.0000000269407701</v>
      </c>
    </row>
    <row r="5545" spans="1:40" x14ac:dyDescent="0.25">
      <c r="A5545" t="str">
        <f>"20190303154920200"</f>
        <v>20190303154920200</v>
      </c>
      <c r="B5545" t="str">
        <f>"1551599360196539"</f>
        <v>1551599360196539</v>
      </c>
      <c r="C5545" t="s">
        <v>40</v>
      </c>
      <c r="D5545">
        <v>5.4080620000000001</v>
      </c>
      <c r="E5545">
        <v>0.48453160000000001</v>
      </c>
      <c r="F5545" t="s">
        <v>59</v>
      </c>
      <c r="G5545">
        <v>-409.43619999999999</v>
      </c>
      <c r="H5545" s="1">
        <v>-1.0979239999999999E-5</v>
      </c>
      <c r="I5545">
        <v>141.20750000000001</v>
      </c>
      <c r="J5545">
        <v>-398.93990000000002</v>
      </c>
      <c r="K5545">
        <v>1.120838</v>
      </c>
      <c r="L5545">
        <v>141.71109999999999</v>
      </c>
      <c r="M5545">
        <v>-0.99985889999999999</v>
      </c>
      <c r="N5545">
        <v>-1.31462E-2</v>
      </c>
      <c r="O5545">
        <v>1.046209E-2</v>
      </c>
      <c r="P5545">
        <v>-0.9959211</v>
      </c>
      <c r="Q5545">
        <v>-8.9821860000000003E-2</v>
      </c>
      <c r="R5545">
        <v>-8.5640649999999992E-3</v>
      </c>
      <c r="S5545">
        <v>-2.9830019999999999</v>
      </c>
      <c r="T5545">
        <v>-0.31226350000000003</v>
      </c>
      <c r="U5545">
        <v>-0.13969419999999999</v>
      </c>
      <c r="V5545">
        <v>-1.8986469999999998E-2</v>
      </c>
      <c r="W5545">
        <v>-7.6722680000000001E-2</v>
      </c>
      <c r="X5545">
        <v>0.99687170000000003</v>
      </c>
      <c r="Y5545">
        <v>-5.683506E-2</v>
      </c>
      <c r="Z5545">
        <v>-4.2945279999999997E-3</v>
      </c>
      <c r="AA5545">
        <v>0.99837430000000005</v>
      </c>
      <c r="AB5545">
        <v>21</v>
      </c>
      <c r="AC5545">
        <v>-10.4962999999999</v>
      </c>
      <c r="AD5545">
        <v>-1.12084897924</v>
      </c>
      <c r="AE5545">
        <v>-0.50359999999997695</v>
      </c>
      <c r="AF5545">
        <v>-0.60649513197512295</v>
      </c>
      <c r="AG5545">
        <v>-1.12084897924</v>
      </c>
      <c r="AH5545">
        <v>10.3724501702821</v>
      </c>
      <c r="AI5545">
        <v>96.157026224407502</v>
      </c>
      <c r="AJ5545">
        <v>93.346373278176401</v>
      </c>
      <c r="AK5545">
        <v>10.4504479001791</v>
      </c>
      <c r="AL5545">
        <v>94.400209763013095</v>
      </c>
      <c r="AM5545">
        <v>91.091126459076094</v>
      </c>
      <c r="AN5545">
        <v>1.0000000209651601</v>
      </c>
    </row>
    <row r="5546" spans="1:40" x14ac:dyDescent="0.25">
      <c r="A5546" t="str">
        <f>"20190303154920221"</f>
        <v>20190303154920221</v>
      </c>
      <c r="B5546" t="str">
        <f>"1551599360216059"</f>
        <v>1551599360216059</v>
      </c>
      <c r="C5546" t="s">
        <v>40</v>
      </c>
      <c r="D5546">
        <v>5.3840120000000002</v>
      </c>
      <c r="E5546">
        <v>0.48393779999999997</v>
      </c>
      <c r="F5546" t="s">
        <v>59</v>
      </c>
      <c r="G5546">
        <v>-409.38060000000002</v>
      </c>
      <c r="H5546" s="1">
        <v>-1.094303E-5</v>
      </c>
      <c r="I5546">
        <v>141.1876</v>
      </c>
      <c r="J5546">
        <v>-399.13709999999998</v>
      </c>
      <c r="K5546">
        <v>1.120825</v>
      </c>
      <c r="L5546">
        <v>141.7132</v>
      </c>
      <c r="M5546">
        <v>-0.99985880000000005</v>
      </c>
      <c r="N5546">
        <v>-1.3152519999999999E-2</v>
      </c>
      <c r="O5546">
        <v>1.046187E-2</v>
      </c>
      <c r="P5546">
        <v>-0.99589689999999997</v>
      </c>
      <c r="Q5546">
        <v>-9.0017780000000006E-2</v>
      </c>
      <c r="R5546">
        <v>-9.2903559999999996E-3</v>
      </c>
      <c r="S5546">
        <v>-2.9821170000000001</v>
      </c>
      <c r="T5546">
        <v>-0.32014130000000002</v>
      </c>
      <c r="U5546">
        <v>-0.14952089999999901</v>
      </c>
      <c r="V5546">
        <v>-1.9712500000000001E-2</v>
      </c>
      <c r="W5546">
        <v>-7.6912690000000006E-2</v>
      </c>
      <c r="X5546">
        <v>0.99684289999999998</v>
      </c>
      <c r="Y5546">
        <v>-6.0090020000000001E-2</v>
      </c>
      <c r="Z5546">
        <v>-4.5930009999999898E-3</v>
      </c>
      <c r="AA5546">
        <v>0.99818240000000003</v>
      </c>
      <c r="AB5546">
        <v>21</v>
      </c>
      <c r="AC5546">
        <v>-10.243499999999999</v>
      </c>
      <c r="AD5546">
        <v>-1.1208359430299999</v>
      </c>
      <c r="AE5546">
        <v>-0.52559999999999696</v>
      </c>
      <c r="AF5546">
        <v>-0.62528011158499197</v>
      </c>
      <c r="AG5546">
        <v>-1.1208359430299999</v>
      </c>
      <c r="AH5546">
        <v>10.1166359997366</v>
      </c>
      <c r="AI5546">
        <v>96.310150730718206</v>
      </c>
      <c r="AJ5546">
        <v>93.536787913466995</v>
      </c>
      <c r="AK5546">
        <v>10.1977238823326</v>
      </c>
      <c r="AL5546">
        <v>94.411129085445097</v>
      </c>
      <c r="AM5546">
        <v>91.132872457704295</v>
      </c>
      <c r="AN5546">
        <v>0.99999995590984703</v>
      </c>
    </row>
    <row r="5547" spans="1:40" x14ac:dyDescent="0.25">
      <c r="A5547" t="str">
        <f>"20190303154920243"</f>
        <v>20190303154920243</v>
      </c>
      <c r="B5547" t="str">
        <f>"1551599360236554"</f>
        <v>1551599360236554</v>
      </c>
      <c r="C5547" t="s">
        <v>40</v>
      </c>
      <c r="D5547">
        <v>5.334219</v>
      </c>
      <c r="E5547">
        <v>0.48363450000000002</v>
      </c>
      <c r="F5547" t="s">
        <v>59</v>
      </c>
      <c r="G5547">
        <v>-409.4683</v>
      </c>
      <c r="H5547" s="1">
        <v>-1.098286E-5</v>
      </c>
      <c r="I5547">
        <v>141.1711</v>
      </c>
      <c r="J5547">
        <v>-399.33670000000001</v>
      </c>
      <c r="K5547">
        <v>1.1208290000000001</v>
      </c>
      <c r="L5547">
        <v>141.71530000000001</v>
      </c>
      <c r="M5547">
        <v>-0.99985880000000005</v>
      </c>
      <c r="N5547">
        <v>-1.3157830000000001E-2</v>
      </c>
      <c r="O5547">
        <v>1.046183E-2</v>
      </c>
      <c r="P5547">
        <v>-0.99592179999999997</v>
      </c>
      <c r="Q5547">
        <v>-8.9676989999999998E-2</v>
      </c>
      <c r="R5547">
        <v>-9.8946329999999999E-3</v>
      </c>
      <c r="S5547">
        <v>-2.9816590000000001</v>
      </c>
      <c r="T5547">
        <v>-0.32348130000000003</v>
      </c>
      <c r="U5547">
        <v>-0.15646360000000001</v>
      </c>
      <c r="V5547">
        <v>-2.0317189999999999E-2</v>
      </c>
      <c r="W5547">
        <v>-7.6566350000000005E-2</v>
      </c>
      <c r="X5547">
        <v>0.99685749999999995</v>
      </c>
      <c r="Y5547">
        <v>-6.2391670000000003E-2</v>
      </c>
      <c r="Z5547">
        <v>-4.7781339999999999E-3</v>
      </c>
      <c r="AA5547">
        <v>0.99804029999999999</v>
      </c>
      <c r="AB5547">
        <v>20</v>
      </c>
      <c r="AC5547">
        <v>-10.131599999999899</v>
      </c>
      <c r="AD5547">
        <v>-1.12083998286</v>
      </c>
      <c r="AE5547">
        <v>-0.544200000000017</v>
      </c>
      <c r="AF5547">
        <v>-0.642335790672667</v>
      </c>
      <c r="AG5547">
        <v>-1.12083998286</v>
      </c>
      <c r="AH5547">
        <v>10.003277860154901</v>
      </c>
      <c r="AI5547">
        <v>96.380138926003895</v>
      </c>
      <c r="AJ5547">
        <v>93.674062871881702</v>
      </c>
      <c r="AK5547">
        <v>10.086349462646099</v>
      </c>
      <c r="AL5547">
        <v>94.391226228357894</v>
      </c>
      <c r="AM5547">
        <v>91.167597267576497</v>
      </c>
      <c r="AN5547">
        <v>1.0000000347340301</v>
      </c>
    </row>
    <row r="5548" spans="1:40" x14ac:dyDescent="0.25">
      <c r="A5548" t="str">
        <f>"20190303154920265"</f>
        <v>20190303154920265</v>
      </c>
      <c r="B5548" t="str">
        <f>"1551599360256075"</f>
        <v>1551599360256075</v>
      </c>
      <c r="C5548" t="s">
        <v>40</v>
      </c>
      <c r="D5548">
        <v>5.3746939999999999</v>
      </c>
      <c r="E5548">
        <v>0.48316199999999998</v>
      </c>
      <c r="F5548" t="s">
        <v>59</v>
      </c>
      <c r="G5548">
        <v>-409.68630000000002</v>
      </c>
      <c r="H5548" s="1">
        <v>-1.1091799999999999E-5</v>
      </c>
      <c r="I5548">
        <v>141.15700000000001</v>
      </c>
      <c r="J5548">
        <v>-399.5437</v>
      </c>
      <c r="K5548">
        <v>1.1208370000000001</v>
      </c>
      <c r="L5548">
        <v>141.7174</v>
      </c>
      <c r="M5548">
        <v>-0.99985869999999999</v>
      </c>
      <c r="N5548">
        <v>-1.3162159999999999E-2</v>
      </c>
      <c r="O5548">
        <v>1.046163E-2</v>
      </c>
      <c r="P5548">
        <v>-0.99597930000000001</v>
      </c>
      <c r="Q5548">
        <v>-8.9012809999999998E-2</v>
      </c>
      <c r="R5548">
        <v>-1.0104190000000001E-2</v>
      </c>
      <c r="S5548">
        <v>-2.9816590000000001</v>
      </c>
      <c r="T5548">
        <v>-0.32290740000000001</v>
      </c>
      <c r="U5548">
        <v>-0.16082759999999999</v>
      </c>
      <c r="V5548">
        <v>-2.0526920000000001E-2</v>
      </c>
      <c r="W5548">
        <v>-7.5897179999999995E-2</v>
      </c>
      <c r="X5548">
        <v>0.99690429999999997</v>
      </c>
      <c r="Y5548">
        <v>-6.3840129999999995E-2</v>
      </c>
      <c r="Z5548">
        <v>-4.8578249999999996E-3</v>
      </c>
      <c r="AA5548">
        <v>0.99794830000000001</v>
      </c>
      <c r="AB5548">
        <v>20</v>
      </c>
      <c r="AC5548">
        <v>-10.1426</v>
      </c>
      <c r="AD5548">
        <v>-1.1208480917999999</v>
      </c>
      <c r="AE5548">
        <v>-0.56039999999998702</v>
      </c>
      <c r="AF5548">
        <v>-0.65846973349597204</v>
      </c>
      <c r="AG5548">
        <v>-1.1208480917999999</v>
      </c>
      <c r="AH5548">
        <v>10.0142574621705</v>
      </c>
      <c r="AI5548">
        <v>96.372616938843805</v>
      </c>
      <c r="AJ5548">
        <v>93.761966967399601</v>
      </c>
      <c r="AK5548">
        <v>10.098278831239501</v>
      </c>
      <c r="AL5548">
        <v>94.352774046713705</v>
      </c>
      <c r="AM5548">
        <v>91.1795913723696</v>
      </c>
      <c r="AN5548">
        <v>0.99999995986756296</v>
      </c>
    </row>
    <row r="5549" spans="1:40" x14ac:dyDescent="0.25">
      <c r="A5549" t="str">
        <f>"20190303154920288"</f>
        <v>20190303154920288</v>
      </c>
      <c r="B5549" t="str">
        <f>"1551599360286330"</f>
        <v>1551599360286330</v>
      </c>
      <c r="C5549" t="s">
        <v>40</v>
      </c>
      <c r="D5549">
        <v>5.3587809999999996</v>
      </c>
      <c r="E5549">
        <v>0.48272520000000002</v>
      </c>
      <c r="F5549" t="s">
        <v>59</v>
      </c>
      <c r="G5549">
        <v>-409.86279999999999</v>
      </c>
      <c r="H5549" s="1">
        <v>-1.117989E-5</v>
      </c>
      <c r="I5549">
        <v>141.14529999999999</v>
      </c>
      <c r="J5549">
        <v>-399.7509</v>
      </c>
      <c r="K5549">
        <v>1.120844</v>
      </c>
      <c r="L5549">
        <v>141.71960000000001</v>
      </c>
      <c r="M5549">
        <v>-0.99985869999999999</v>
      </c>
      <c r="N5549">
        <v>-1.3165420000000001E-2</v>
      </c>
      <c r="O5549">
        <v>1.04616E-2</v>
      </c>
      <c r="P5549">
        <v>-0.99602789999999997</v>
      </c>
      <c r="Q5549">
        <v>-8.8420979999999996E-2</v>
      </c>
      <c r="R5549">
        <v>-1.0519529999999999E-2</v>
      </c>
      <c r="S5549">
        <v>-2.981506</v>
      </c>
      <c r="T5549">
        <v>-0.32384849999999998</v>
      </c>
      <c r="U5549">
        <v>-0.16529849999999999</v>
      </c>
      <c r="V5549">
        <v>-2.0942849999999999E-2</v>
      </c>
      <c r="W5549">
        <v>-7.530154E-2</v>
      </c>
      <c r="X5549">
        <v>0.99694090000000002</v>
      </c>
      <c r="Y5549">
        <v>-6.5322389999999994E-2</v>
      </c>
      <c r="Z5549">
        <v>-4.9612270000000003E-3</v>
      </c>
      <c r="AA5549">
        <v>0.99785190000000001</v>
      </c>
      <c r="AB5549">
        <v>20</v>
      </c>
      <c r="AC5549">
        <v>-10.111899999999901</v>
      </c>
      <c r="AD5549">
        <v>-1.1208551798899999</v>
      </c>
      <c r="AE5549">
        <v>-0.57430000000002202</v>
      </c>
      <c r="AF5549">
        <v>-0.67183630178522602</v>
      </c>
      <c r="AG5549">
        <v>-1.1208551798899999</v>
      </c>
      <c r="AH5549">
        <v>9.9830737701306003</v>
      </c>
      <c r="AI5549">
        <v>96.391749983356505</v>
      </c>
      <c r="AJ5549">
        <v>93.850059736283598</v>
      </c>
      <c r="AK5549">
        <v>10.0682392825435</v>
      </c>
      <c r="AL5549">
        <v>94.318548089226098</v>
      </c>
      <c r="AM5549">
        <v>91.203441901581499</v>
      </c>
      <c r="AN5549">
        <v>1.00000004149265</v>
      </c>
    </row>
    <row r="5550" spans="1:40" x14ac:dyDescent="0.25">
      <c r="A5550" t="str">
        <f>"20190303154920310"</f>
        <v>20190303154920310</v>
      </c>
      <c r="B5550" t="str">
        <f>"1551599360306826"</f>
        <v>1551599360306826</v>
      </c>
      <c r="C5550" t="s">
        <v>40</v>
      </c>
      <c r="D5550">
        <v>5.3130199999999999</v>
      </c>
      <c r="E5550">
        <v>0.48248350000000001</v>
      </c>
      <c r="F5550" t="s">
        <v>59</v>
      </c>
      <c r="G5550">
        <v>-410.05849999999998</v>
      </c>
      <c r="H5550" s="1">
        <v>-1.121478E-5</v>
      </c>
      <c r="I5550">
        <v>141.1318</v>
      </c>
      <c r="J5550">
        <v>-399.95119999999997</v>
      </c>
      <c r="K5550">
        <v>1.1208480000000001</v>
      </c>
      <c r="L5550">
        <v>141.7217</v>
      </c>
      <c r="M5550">
        <v>-0.99985869999999999</v>
      </c>
      <c r="N5550">
        <v>-1.3167750000000001E-2</v>
      </c>
      <c r="O5550">
        <v>1.046159E-2</v>
      </c>
      <c r="P5550">
        <v>-0.99605429999999995</v>
      </c>
      <c r="Q5550">
        <v>-8.8145810000000005E-2</v>
      </c>
      <c r="R5550">
        <v>-1.0307119999999999E-2</v>
      </c>
      <c r="S5550">
        <v>-2.9813839999999998</v>
      </c>
      <c r="T5550">
        <v>-0.32419629999999999</v>
      </c>
      <c r="U5550">
        <v>-0.1700287</v>
      </c>
      <c r="V5550">
        <v>-2.0730789999999999E-2</v>
      </c>
      <c r="W5550">
        <v>-7.5023699999999999E-2</v>
      </c>
      <c r="X5550">
        <v>0.99696620000000002</v>
      </c>
      <c r="Y5550">
        <v>-6.6891419999999993E-2</v>
      </c>
      <c r="Z5550">
        <v>-5.0616380000000002E-3</v>
      </c>
      <c r="AA5550">
        <v>0.99774739999999995</v>
      </c>
      <c r="AB5550">
        <v>20</v>
      </c>
      <c r="AC5550">
        <v>-10.1073</v>
      </c>
      <c r="AD5550">
        <v>-1.1208592147799901</v>
      </c>
      <c r="AE5550">
        <v>-0.58989999999999998</v>
      </c>
      <c r="AF5550">
        <v>-0.68719293855914898</v>
      </c>
      <c r="AG5550">
        <v>-1.1208592147799901</v>
      </c>
      <c r="AH5550">
        <v>9.9782794192252897</v>
      </c>
      <c r="AI5550">
        <v>96.394143180889401</v>
      </c>
      <c r="AJ5550">
        <v>93.939675557382998</v>
      </c>
      <c r="AK5550">
        <v>10.064522824371601</v>
      </c>
      <c r="AL5550">
        <v>94.302584212481605</v>
      </c>
      <c r="AM5550">
        <v>91.191229575845398</v>
      </c>
      <c r="AN5550">
        <v>0.99999996257907597</v>
      </c>
    </row>
    <row r="5551" spans="1:40" x14ac:dyDescent="0.25">
      <c r="A5551" t="str">
        <f>"20190303154920333"</f>
        <v>20190303154920333</v>
      </c>
      <c r="B5551" t="str">
        <f>"1551599360326347"</f>
        <v>1551599360326347</v>
      </c>
      <c r="C5551" t="s">
        <v>40</v>
      </c>
      <c r="D5551">
        <v>5.3048380000000002</v>
      </c>
      <c r="E5551">
        <v>0.48227249999999999</v>
      </c>
      <c r="F5551" t="s">
        <v>59</v>
      </c>
      <c r="G5551">
        <v>-410.2792</v>
      </c>
      <c r="H5551" s="1">
        <v>-1.1191859999999999E-5</v>
      </c>
      <c r="I5551">
        <v>141.12809999999999</v>
      </c>
      <c r="J5551">
        <v>-400.15530000000001</v>
      </c>
      <c r="K5551">
        <v>1.1208469999999999</v>
      </c>
      <c r="L5551">
        <v>141.72380000000001</v>
      </c>
      <c r="M5551">
        <v>-0.99985869999999999</v>
      </c>
      <c r="N5551">
        <v>-1.3169459999999999E-2</v>
      </c>
      <c r="O5551">
        <v>1.0461399999999999E-2</v>
      </c>
      <c r="P5551">
        <v>-0.99604839999999994</v>
      </c>
      <c r="Q5551">
        <v>-8.8255739999999999E-2</v>
      </c>
      <c r="R5551">
        <v>-9.947015E-3</v>
      </c>
      <c r="S5551">
        <v>-2.9814449999999999</v>
      </c>
      <c r="T5551">
        <v>-0.32356620000000003</v>
      </c>
      <c r="U5551">
        <v>-0.17135619999999999</v>
      </c>
      <c r="V5551">
        <v>-2.03698E-2</v>
      </c>
      <c r="W5551">
        <v>-7.5131989999999996E-2</v>
      </c>
      <c r="X5551">
        <v>0.99696549999999995</v>
      </c>
      <c r="Y5551">
        <v>-6.7331810000000006E-2</v>
      </c>
      <c r="Z5551">
        <v>-5.0790319999999998E-3</v>
      </c>
      <c r="AA5551">
        <v>0.99771770000000004</v>
      </c>
      <c r="AB5551">
        <v>20</v>
      </c>
      <c r="AC5551">
        <v>-10.1238999999999</v>
      </c>
      <c r="AD5551">
        <v>-1.12085819186</v>
      </c>
      <c r="AE5551">
        <v>-0.59570000000002199</v>
      </c>
      <c r="AF5551">
        <v>-0.69312005523181897</v>
      </c>
      <c r="AG5551">
        <v>-1.12085819186</v>
      </c>
      <c r="AH5551">
        <v>9.9950211954170101</v>
      </c>
      <c r="AI5551">
        <v>96.383307643911493</v>
      </c>
      <c r="AJ5551">
        <v>93.966912846519094</v>
      </c>
      <c r="AK5551">
        <v>10.0815270268972</v>
      </c>
      <c r="AL5551">
        <v>94.308806273722695</v>
      </c>
      <c r="AM5551">
        <v>91.170493065645502</v>
      </c>
      <c r="AN5551">
        <v>0.99999997643182403</v>
      </c>
    </row>
    <row r="5552" spans="1:40" x14ac:dyDescent="0.25">
      <c r="A5552" t="str">
        <f>"20190303154920354"</f>
        <v>20190303154920354</v>
      </c>
      <c r="B5552" t="str">
        <f>"1551599360346843"</f>
        <v>1551599360346843</v>
      </c>
      <c r="C5552" t="s">
        <v>40</v>
      </c>
      <c r="D5552">
        <v>5.3366499999999997</v>
      </c>
      <c r="E5552">
        <v>0.48219299999999998</v>
      </c>
      <c r="F5552" t="s">
        <v>59</v>
      </c>
      <c r="G5552">
        <v>-410.46640000000002</v>
      </c>
      <c r="H5552" s="1">
        <v>-1.1173840000000001E-5</v>
      </c>
      <c r="I5552">
        <v>141.12899999999999</v>
      </c>
      <c r="J5552">
        <v>-400.35610000000003</v>
      </c>
      <c r="K5552">
        <v>1.1208450000000001</v>
      </c>
      <c r="L5552">
        <v>141.726</v>
      </c>
      <c r="M5552">
        <v>-0.99985860000000004</v>
      </c>
      <c r="N5552">
        <v>-1.317056E-2</v>
      </c>
      <c r="O5552">
        <v>1.0461389999999999E-2</v>
      </c>
      <c r="P5552">
        <v>-0.99604150000000002</v>
      </c>
      <c r="Q5552">
        <v>-8.8414220000000002E-2</v>
      </c>
      <c r="R5552">
        <v>-9.1922989999999993E-3</v>
      </c>
      <c r="S5552">
        <v>-2.9814449999999999</v>
      </c>
      <c r="T5552">
        <v>-0.324096299999999</v>
      </c>
      <c r="U5552">
        <v>-0.17201229999999901</v>
      </c>
      <c r="V5552">
        <v>-1.96156E-2</v>
      </c>
      <c r="W5552">
        <v>-7.5289369999999994E-2</v>
      </c>
      <c r="X5552">
        <v>0.99696870000000004</v>
      </c>
      <c r="Y5552">
        <v>-6.7547689999999994E-2</v>
      </c>
      <c r="Z5552">
        <v>-5.0999249999999999E-3</v>
      </c>
      <c r="AA5552">
        <v>0.99770300000000001</v>
      </c>
      <c r="AB5552">
        <v>20</v>
      </c>
      <c r="AC5552">
        <v>-10.110299999999899</v>
      </c>
      <c r="AD5552">
        <v>-1.12085617384</v>
      </c>
      <c r="AE5552">
        <v>-0.59700000000000797</v>
      </c>
      <c r="AF5552">
        <v>-0.69424131750387097</v>
      </c>
      <c r="AG5552">
        <v>-1.12085617384</v>
      </c>
      <c r="AH5552">
        <v>9.98125173087878</v>
      </c>
      <c r="AI5552">
        <v>96.391938243547898</v>
      </c>
      <c r="AJ5552">
        <v>93.978773313366901</v>
      </c>
      <c r="AK5552">
        <v>10.0679529043661</v>
      </c>
      <c r="AL5552">
        <v>94.317849318997304</v>
      </c>
      <c r="AM5552">
        <v>91.127162870017898</v>
      </c>
      <c r="AN5552">
        <v>0.99999992488902001</v>
      </c>
    </row>
    <row r="5553" spans="1:40" x14ac:dyDescent="0.25">
      <c r="A5553" t="str">
        <f>"20190303154920374"</f>
        <v>20190303154920374</v>
      </c>
      <c r="B5553" t="str">
        <f>"1551599360366363"</f>
        <v>1551599360366363</v>
      </c>
      <c r="C5553" t="s">
        <v>40</v>
      </c>
      <c r="D5553">
        <v>5.3042420000000003</v>
      </c>
      <c r="E5553">
        <v>0.4819464</v>
      </c>
      <c r="F5553" t="s">
        <v>59</v>
      </c>
      <c r="G5553">
        <v>-410.68709999999999</v>
      </c>
      <c r="H5553" s="1">
        <v>-1.115465E-5</v>
      </c>
      <c r="I5553">
        <v>141.13570000000001</v>
      </c>
      <c r="J5553">
        <v>-400.52350000000001</v>
      </c>
      <c r="K5553">
        <v>1.120844</v>
      </c>
      <c r="L5553">
        <v>141.7277</v>
      </c>
      <c r="M5553">
        <v>-0.99985860000000004</v>
      </c>
      <c r="N5553">
        <v>-1.317106E-2</v>
      </c>
      <c r="O5553">
        <v>1.0461389999999999E-2</v>
      </c>
      <c r="P5553">
        <v>-0.99601669999999998</v>
      </c>
      <c r="Q5553">
        <v>-8.8724839999999999E-2</v>
      </c>
      <c r="R5553">
        <v>-8.8861169999999903E-3</v>
      </c>
      <c r="S5553">
        <v>-2.9816280000000002</v>
      </c>
      <c r="T5553">
        <v>-0.32349029999999901</v>
      </c>
      <c r="U5553">
        <v>-0.1703644</v>
      </c>
      <c r="V5553">
        <v>-1.9308990000000002E-2</v>
      </c>
      <c r="W5553">
        <v>-7.5599749999999993E-2</v>
      </c>
      <c r="X5553">
        <v>0.99695129999999998</v>
      </c>
      <c r="Y5553">
        <v>-6.6999929999999999E-2</v>
      </c>
      <c r="Z5553">
        <v>-5.0575709999999899E-3</v>
      </c>
      <c r="AA5553">
        <v>0.99774010000000002</v>
      </c>
      <c r="AB5553">
        <v>20</v>
      </c>
      <c r="AC5553">
        <v>-10.163599999999899</v>
      </c>
      <c r="AD5553">
        <v>-1.1208551546500001</v>
      </c>
      <c r="AE5553">
        <v>-0.59199999999998398</v>
      </c>
      <c r="AF5553">
        <v>-0.68993954825874804</v>
      </c>
      <c r="AG5553">
        <v>-1.1208551546500001</v>
      </c>
      <c r="AH5553">
        <v>10.0352147664852</v>
      </c>
      <c r="AI5553">
        <v>96.358191288159901</v>
      </c>
      <c r="AJ5553">
        <v>93.933001588440405</v>
      </c>
      <c r="AK5553">
        <v>10.1211594329622</v>
      </c>
      <c r="AL5553">
        <v>94.335683168953594</v>
      </c>
      <c r="AM5553">
        <v>91.109568069934099</v>
      </c>
      <c r="AN5553">
        <v>1.0000000269332801</v>
      </c>
    </row>
    <row r="5554" spans="1:40" x14ac:dyDescent="0.25">
      <c r="A5554" t="str">
        <f>"20190303154920389"</f>
        <v>20190303154920389</v>
      </c>
      <c r="B5554" t="str">
        <f>"1551599360386859"</f>
        <v>1551599360386859</v>
      </c>
      <c r="C5554" t="s">
        <v>40</v>
      </c>
      <c r="D5554">
        <v>5.2837719999999999</v>
      </c>
      <c r="E5554">
        <v>0.437336</v>
      </c>
      <c r="F5554" t="s">
        <v>59</v>
      </c>
      <c r="G5554">
        <v>-410.82740000000001</v>
      </c>
      <c r="H5554" s="1">
        <v>-1.11407999999999E-5</v>
      </c>
      <c r="I5554">
        <v>141.1354</v>
      </c>
      <c r="J5554">
        <v>-400.66770000000002</v>
      </c>
      <c r="K5554">
        <v>1.1208469999999999</v>
      </c>
      <c r="L5554">
        <v>141.72919999999999</v>
      </c>
      <c r="M5554">
        <v>-0.99985849999999998</v>
      </c>
      <c r="N5554">
        <v>-1.3171240000000001E-2</v>
      </c>
      <c r="O5554">
        <v>1.0461389999999999E-2</v>
      </c>
      <c r="P5554">
        <v>-0.99600820000000001</v>
      </c>
      <c r="Q5554">
        <v>-8.8848609999999995E-2</v>
      </c>
      <c r="R5554">
        <v>-8.5928529999999993E-3</v>
      </c>
      <c r="S5554">
        <v>-2.9815670000000001</v>
      </c>
      <c r="T5554">
        <v>-0.32433390000000001</v>
      </c>
      <c r="U5554">
        <v>-0.171402</v>
      </c>
      <c r="V5554">
        <v>-1.9015489999999999E-2</v>
      </c>
      <c r="W5554">
        <v>-7.572342E-2</v>
      </c>
      <c r="X5554">
        <v>0.99694749999999999</v>
      </c>
      <c r="Y5554">
        <v>-6.7342460000000007E-2</v>
      </c>
      <c r="Z5554">
        <v>-5.0907849999999996E-3</v>
      </c>
      <c r="AA5554">
        <v>0.99771690000000002</v>
      </c>
      <c r="AB5554">
        <v>20</v>
      </c>
      <c r="AC5554">
        <v>-10.1596999999999</v>
      </c>
      <c r="AD5554">
        <v>-1.1208581408</v>
      </c>
      <c r="AE5554">
        <v>-0.593799999999987</v>
      </c>
      <c r="AF5554">
        <v>-0.69167137846034299</v>
      </c>
      <c r="AG5554">
        <v>-1.1208581408</v>
      </c>
      <c r="AH5554">
        <v>10.0312529772867</v>
      </c>
      <c r="AI5554">
        <v>96.360612278585194</v>
      </c>
      <c r="AJ5554">
        <v>93.944395080419397</v>
      </c>
      <c r="AK5554">
        <v>10.1173498783971</v>
      </c>
      <c r="AL5554">
        <v>94.342789548480098</v>
      </c>
      <c r="AM5554">
        <v>91.092710727416403</v>
      </c>
      <c r="AN5554">
        <v>0.99999997147634201</v>
      </c>
    </row>
    <row r="5555" spans="1:40" x14ac:dyDescent="0.25">
      <c r="A5555" t="str">
        <f>"20190303154920411"</f>
        <v>20190303154920411</v>
      </c>
      <c r="B5555" t="str">
        <f>"1551599360406378"</f>
        <v>1551599360406378</v>
      </c>
      <c r="C5555" t="s">
        <v>40</v>
      </c>
      <c r="D5555">
        <v>5.2242150000000001</v>
      </c>
      <c r="E5555">
        <v>0.42636540000000001</v>
      </c>
      <c r="F5555" t="s">
        <v>59</v>
      </c>
      <c r="G5555">
        <v>-412.36110000000002</v>
      </c>
      <c r="H5555" s="1">
        <v>-1.048405E-5</v>
      </c>
      <c r="I5555">
        <v>139.66730000000001</v>
      </c>
      <c r="J5555">
        <v>-400.86689999999999</v>
      </c>
      <c r="K5555">
        <v>1.1208419999999999</v>
      </c>
      <c r="L5555">
        <v>141.7313</v>
      </c>
      <c r="M5555">
        <v>-0.99985869999999999</v>
      </c>
      <c r="N5555">
        <v>-1.3171159999999999E-2</v>
      </c>
      <c r="O5555">
        <v>1.046121E-2</v>
      </c>
      <c r="P5555">
        <v>-0.99600390000000005</v>
      </c>
      <c r="Q5555">
        <v>-8.8873229999999998E-2</v>
      </c>
      <c r="R5555">
        <v>-8.8378309999999904E-3</v>
      </c>
      <c r="S5555">
        <v>-2.981995</v>
      </c>
      <c r="T5555">
        <v>-0.2858348</v>
      </c>
      <c r="U5555">
        <v>-0.52581789999999995</v>
      </c>
      <c r="V5555">
        <v>-1.9260759999999998E-2</v>
      </c>
      <c r="W5555">
        <v>-7.5748209999999996E-2</v>
      </c>
      <c r="X5555">
        <v>0.99694090000000002</v>
      </c>
      <c r="Y5555">
        <v>-0.18298210000000001</v>
      </c>
      <c r="Z5555">
        <v>-1.075715E-2</v>
      </c>
      <c r="AA5555">
        <v>0.98305739999999997</v>
      </c>
      <c r="AB5555">
        <v>20</v>
      </c>
      <c r="AC5555">
        <v>-11.494199999999999</v>
      </c>
      <c r="AD5555">
        <v>-1.12085248405</v>
      </c>
      <c r="AE5555">
        <v>-2.0639999999999898</v>
      </c>
      <c r="AF5555">
        <v>-2.1642039182448798</v>
      </c>
      <c r="AG5555">
        <v>-1.12085248405</v>
      </c>
      <c r="AH5555">
        <v>11.367261256410099</v>
      </c>
      <c r="AI5555">
        <v>95.532617059390304</v>
      </c>
      <c r="AJ5555">
        <v>100.779488792614</v>
      </c>
      <c r="AK5555">
        <v>11.6256061073059</v>
      </c>
      <c r="AL5555">
        <v>94.344214038311094</v>
      </c>
      <c r="AM5555">
        <v>91.106808823949294</v>
      </c>
      <c r="AN5555">
        <v>0.99999996314339501</v>
      </c>
    </row>
    <row r="5556" spans="1:40" x14ac:dyDescent="0.25">
      <c r="A5556" t="str">
        <f>"20190303154920433"</f>
        <v>20190303154920433</v>
      </c>
      <c r="B5556" t="str">
        <f>"1551599360426878"</f>
        <v>1551599360426878</v>
      </c>
      <c r="C5556" t="s">
        <v>40</v>
      </c>
      <c r="D5556">
        <v>5.2304649999999997</v>
      </c>
      <c r="E5556">
        <v>0.42129319999999998</v>
      </c>
      <c r="F5556" t="s">
        <v>59</v>
      </c>
      <c r="G5556">
        <v>-414.00740000000002</v>
      </c>
      <c r="H5556" s="1">
        <v>-1.006467E-5</v>
      </c>
      <c r="I5556">
        <v>139.02869999999999</v>
      </c>
      <c r="J5556">
        <v>-401.06670000000003</v>
      </c>
      <c r="K5556">
        <v>1.1208400000000001</v>
      </c>
      <c r="L5556">
        <v>141.73339999999999</v>
      </c>
      <c r="M5556">
        <v>-0.99985860000000004</v>
      </c>
      <c r="N5556">
        <v>-1.317074E-2</v>
      </c>
      <c r="O5556">
        <v>1.046121E-2</v>
      </c>
      <c r="P5556">
        <v>-0.995973</v>
      </c>
      <c r="Q5556">
        <v>-8.9213730000000005E-2</v>
      </c>
      <c r="R5556">
        <v>-8.8775639999999992E-3</v>
      </c>
      <c r="S5556">
        <v>-2.9838559999999998</v>
      </c>
      <c r="T5556">
        <v>-0.25451489999999999</v>
      </c>
      <c r="U5556">
        <v>-0.61369319999999905</v>
      </c>
      <c r="V5556">
        <v>-1.930018E-2</v>
      </c>
      <c r="W5556">
        <v>-7.6089500000000004E-2</v>
      </c>
      <c r="X5556">
        <v>0.99691419999999997</v>
      </c>
      <c r="Y5556">
        <v>-0.21081250000000001</v>
      </c>
      <c r="Z5556">
        <v>-1.103326E-2</v>
      </c>
      <c r="AA5556">
        <v>0.97746429999999995</v>
      </c>
      <c r="AB5556">
        <v>20</v>
      </c>
      <c r="AC5556">
        <v>-12.9406999999999</v>
      </c>
      <c r="AD5556">
        <v>-1.1208500646699999</v>
      </c>
      <c r="AE5556">
        <v>-2.7046999999999999</v>
      </c>
      <c r="AF5556">
        <v>-2.81967117985584</v>
      </c>
      <c r="AG5556">
        <v>-1.1208500646699999</v>
      </c>
      <c r="AH5556">
        <v>12.819547459278001</v>
      </c>
      <c r="AI5556">
        <v>94.880745449315896</v>
      </c>
      <c r="AJ5556">
        <v>102.404735912437</v>
      </c>
      <c r="AK5556">
        <v>13.1737484221713</v>
      </c>
      <c r="AL5556">
        <v>94.363824884120604</v>
      </c>
      <c r="AM5556">
        <v>91.1091032035241</v>
      </c>
      <c r="AN5556">
        <v>1.00000001555996</v>
      </c>
    </row>
    <row r="5557" spans="1:40" x14ac:dyDescent="0.25">
      <c r="A5557" t="str">
        <f>"20190303154920455"</f>
        <v>20190303154920455</v>
      </c>
      <c r="B5557" t="str">
        <f>"1551599360446395"</f>
        <v>1551599360446395</v>
      </c>
      <c r="C5557" t="s">
        <v>40</v>
      </c>
      <c r="D5557">
        <v>5.2032339999999904</v>
      </c>
      <c r="E5557">
        <v>0.41833890000000001</v>
      </c>
      <c r="F5557" t="s">
        <v>59</v>
      </c>
      <c r="G5557">
        <v>-414.4742</v>
      </c>
      <c r="H5557" s="1">
        <v>-9.9213799999999999E-6</v>
      </c>
      <c r="I5557">
        <v>138.79470000000001</v>
      </c>
      <c r="J5557">
        <v>-401.26409999999998</v>
      </c>
      <c r="K5557">
        <v>1.120843</v>
      </c>
      <c r="L5557">
        <v>141.7355</v>
      </c>
      <c r="M5557">
        <v>-0.99985860000000004</v>
      </c>
      <c r="N5557">
        <v>-1.316993E-2</v>
      </c>
      <c r="O5557">
        <v>1.046122E-2</v>
      </c>
      <c r="P5557">
        <v>-0.99594660000000002</v>
      </c>
      <c r="Q5557">
        <v>-8.9513690000000007E-2</v>
      </c>
      <c r="R5557">
        <v>-8.8186669999999901E-3</v>
      </c>
      <c r="S5557">
        <v>-2.9839479999999998</v>
      </c>
      <c r="T5557">
        <v>-0.24945500000000001</v>
      </c>
      <c r="U5557">
        <v>-0.65403750000000005</v>
      </c>
      <c r="V5557">
        <v>-1.9240790000000001E-2</v>
      </c>
      <c r="W5557">
        <v>-7.6390589999999994E-2</v>
      </c>
      <c r="X5557">
        <v>0.99689229999999995</v>
      </c>
      <c r="Y5557">
        <v>-0.2234196</v>
      </c>
      <c r="Z5557">
        <v>-1.143228E-2</v>
      </c>
      <c r="AA5557">
        <v>0.9746553</v>
      </c>
      <c r="AB5557">
        <v>20</v>
      </c>
      <c r="AC5557">
        <v>-13.210100000000001</v>
      </c>
      <c r="AD5557">
        <v>-1.12085292138</v>
      </c>
      <c r="AE5557">
        <v>-2.9407999999999901</v>
      </c>
      <c r="AF5557">
        <v>-3.0578700140164199</v>
      </c>
      <c r="AG5557">
        <v>-1.12085292138</v>
      </c>
      <c r="AH5557">
        <v>13.088830078415301</v>
      </c>
      <c r="AI5557">
        <v>94.766800333802095</v>
      </c>
      <c r="AJ5557">
        <v>103.149836847985</v>
      </c>
      <c r="AK5557">
        <v>13.4879336117738</v>
      </c>
      <c r="AL5557">
        <v>94.381126520998507</v>
      </c>
      <c r="AM5557">
        <v>91.105715433348806</v>
      </c>
      <c r="AN5557">
        <v>0.99999999401983097</v>
      </c>
    </row>
    <row r="5558" spans="1:40" x14ac:dyDescent="0.25">
      <c r="A5558" t="str">
        <f>"20190303154920478"</f>
        <v>20190303154920478</v>
      </c>
      <c r="B5558" t="str">
        <f>"1551599360466891"</f>
        <v>1551599360466891</v>
      </c>
      <c r="C5558" t="s">
        <v>40</v>
      </c>
      <c r="D5558">
        <v>5.1914879999999997</v>
      </c>
      <c r="E5558">
        <v>0.41662840000000001</v>
      </c>
      <c r="F5558" t="s">
        <v>59</v>
      </c>
      <c r="G5558">
        <v>-414.79309999999998</v>
      </c>
      <c r="H5558" s="1">
        <v>-9.8360060000000001E-6</v>
      </c>
      <c r="I5558">
        <v>138.6634</v>
      </c>
      <c r="J5558">
        <v>-401.47500000000002</v>
      </c>
      <c r="K5558">
        <v>1.120843</v>
      </c>
      <c r="L5558">
        <v>141.73769999999999</v>
      </c>
      <c r="M5558">
        <v>-0.99985860000000004</v>
      </c>
      <c r="N5558">
        <v>-1.316867E-2</v>
      </c>
      <c r="O5558">
        <v>1.046122E-2</v>
      </c>
      <c r="P5558">
        <v>-0.99592499999999995</v>
      </c>
      <c r="Q5558">
        <v>-8.9797600000000005E-2</v>
      </c>
      <c r="R5558">
        <v>-8.3521619999999998E-3</v>
      </c>
      <c r="S5558">
        <v>-2.9839479999999998</v>
      </c>
      <c r="T5558">
        <v>-0.24721499999999999</v>
      </c>
      <c r="U5558">
        <v>-0.67756649999999996</v>
      </c>
      <c r="V5558">
        <v>-1.8774059999999999E-2</v>
      </c>
      <c r="W5558">
        <v>-7.6675980000000005E-2</v>
      </c>
      <c r="X5558">
        <v>0.99687930000000002</v>
      </c>
      <c r="Y5558">
        <v>-0.23072280000000001</v>
      </c>
      <c r="Z5558">
        <v>-1.1681860000000001E-2</v>
      </c>
      <c r="AA5558">
        <v>0.97294939999999996</v>
      </c>
      <c r="AB5558">
        <v>20</v>
      </c>
      <c r="AC5558">
        <v>-13.3180999999999</v>
      </c>
      <c r="AD5558">
        <v>-1.1208528360059999</v>
      </c>
      <c r="AE5558">
        <v>-3.0742999999999898</v>
      </c>
      <c r="AF5558">
        <v>-3.1920024493536499</v>
      </c>
      <c r="AG5558">
        <v>-1.1208528360059999</v>
      </c>
      <c r="AH5558">
        <v>13.1964664032445</v>
      </c>
      <c r="AI5558">
        <v>94.719357661823594</v>
      </c>
      <c r="AJ5558">
        <v>103.597708084302</v>
      </c>
      <c r="AK5558">
        <v>13.6232124056194</v>
      </c>
      <c r="AL5558">
        <v>94.397526215277196</v>
      </c>
      <c r="AM5558">
        <v>91.078914225201601</v>
      </c>
      <c r="AN5558">
        <v>1.0000000050031601</v>
      </c>
    </row>
    <row r="5559" spans="1:40" x14ac:dyDescent="0.25">
      <c r="A5559" t="str">
        <f>"20190303154920502"</f>
        <v>20190303154920502</v>
      </c>
      <c r="B5559" t="str">
        <f>"1551599360496171"</f>
        <v>1551599360496171</v>
      </c>
      <c r="C5559" t="s">
        <v>40</v>
      </c>
      <c r="D5559">
        <v>5.2092260000000001</v>
      </c>
      <c r="E5559">
        <v>0.41495589999999999</v>
      </c>
      <c r="F5559" t="s">
        <v>59</v>
      </c>
      <c r="G5559">
        <v>-415.04259999999999</v>
      </c>
      <c r="H5559" s="1">
        <v>-9.7872929999999995E-6</v>
      </c>
      <c r="I5559">
        <v>138.60210000000001</v>
      </c>
      <c r="J5559">
        <v>-401.67959999999999</v>
      </c>
      <c r="K5559">
        <v>1.1208469999999999</v>
      </c>
      <c r="L5559">
        <v>141.7398</v>
      </c>
      <c r="M5559">
        <v>-0.99985869999999999</v>
      </c>
      <c r="N5559">
        <v>-1.316727E-2</v>
      </c>
      <c r="O5559">
        <v>1.046105E-2</v>
      </c>
      <c r="P5559">
        <v>-0.99593290000000001</v>
      </c>
      <c r="Q5559">
        <v>-8.9743420000000004E-2</v>
      </c>
      <c r="R5559">
        <v>-8.0028709999999999E-3</v>
      </c>
      <c r="S5559">
        <v>-2.9842219999999999</v>
      </c>
      <c r="T5559">
        <v>-0.24653420000000001</v>
      </c>
      <c r="U5559">
        <v>-0.68966669999999997</v>
      </c>
      <c r="V5559">
        <v>-1.842475E-2</v>
      </c>
      <c r="W5559">
        <v>-7.6623040000000003E-2</v>
      </c>
      <c r="X5559">
        <v>0.9968899</v>
      </c>
      <c r="Y5559">
        <v>-0.2344415</v>
      </c>
      <c r="Z5559">
        <v>-1.1824940000000001E-2</v>
      </c>
      <c r="AA5559">
        <v>0.97205830000000004</v>
      </c>
      <c r="AB5559">
        <v>20</v>
      </c>
      <c r="AC5559">
        <v>-13.363</v>
      </c>
      <c r="AD5559">
        <v>-1.120856787293</v>
      </c>
      <c r="AE5559">
        <v>-3.1376999999999899</v>
      </c>
      <c r="AF5559">
        <v>-3.2556234310577499</v>
      </c>
      <c r="AG5559">
        <v>-1.120856787293</v>
      </c>
      <c r="AH5559">
        <v>13.2411523562239</v>
      </c>
      <c r="AI5559">
        <v>94.699222007573795</v>
      </c>
      <c r="AJ5559">
        <v>103.813402811445</v>
      </c>
      <c r="AK5559">
        <v>13.681502826195899</v>
      </c>
      <c r="AL5559">
        <v>94.394483973217703</v>
      </c>
      <c r="AM5559">
        <v>91.058833313674</v>
      </c>
      <c r="AN5559">
        <v>1.0000000171967001</v>
      </c>
    </row>
    <row r="5560" spans="1:40" x14ac:dyDescent="0.25">
      <c r="A5560" t="str">
        <f>"20190303154920522"</f>
        <v>20190303154920522</v>
      </c>
      <c r="B5560" t="str">
        <f>"1551599360516667"</f>
        <v>1551599360516667</v>
      </c>
      <c r="C5560" t="s">
        <v>40</v>
      </c>
      <c r="D5560">
        <v>5.2247190000000003</v>
      </c>
      <c r="E5560">
        <v>0.4142729</v>
      </c>
      <c r="F5560" t="s">
        <v>59</v>
      </c>
      <c r="G5560">
        <v>-415.17329999999998</v>
      </c>
      <c r="H5560" s="1">
        <v>-9.7599809999999994E-6</v>
      </c>
      <c r="I5560">
        <v>138.5659</v>
      </c>
      <c r="J5560">
        <v>-401.87580000000003</v>
      </c>
      <c r="K5560">
        <v>1.1208499999999999</v>
      </c>
      <c r="L5560">
        <v>141.74189999999999</v>
      </c>
      <c r="M5560">
        <v>-0.99985860000000004</v>
      </c>
      <c r="N5560">
        <v>-1.316575E-2</v>
      </c>
      <c r="O5560">
        <v>1.046124E-2</v>
      </c>
      <c r="P5560">
        <v>-0.99594870000000002</v>
      </c>
      <c r="Q5560">
        <v>-8.959259E-2</v>
      </c>
      <c r="R5560">
        <v>-7.7156400000000002E-3</v>
      </c>
      <c r="S5560">
        <v>-2.9843139999999999</v>
      </c>
      <c r="T5560">
        <v>-0.24789310000000001</v>
      </c>
      <c r="U5560">
        <v>-0.70195010000000002</v>
      </c>
      <c r="V5560">
        <v>-1.8137839999999999E-2</v>
      </c>
      <c r="W5560">
        <v>-7.64735E-2</v>
      </c>
      <c r="X5560">
        <v>0.99690659999999998</v>
      </c>
      <c r="Y5560">
        <v>-0.23820530000000001</v>
      </c>
      <c r="Z5560">
        <v>-1.20567E-2</v>
      </c>
      <c r="AA5560">
        <v>0.97114</v>
      </c>
      <c r="AB5560">
        <v>20</v>
      </c>
      <c r="AC5560">
        <v>-13.2974999999999</v>
      </c>
      <c r="AD5560">
        <v>-1.120859759981</v>
      </c>
      <c r="AE5560">
        <v>-3.1759999999999802</v>
      </c>
      <c r="AF5560">
        <v>-3.2928137902371799</v>
      </c>
      <c r="AG5560">
        <v>-1.120859759981</v>
      </c>
      <c r="AH5560">
        <v>13.1749882200341</v>
      </c>
      <c r="AI5560">
        <v>94.718274182454394</v>
      </c>
      <c r="AJ5560">
        <v>104.032423536484</v>
      </c>
      <c r="AK5560">
        <v>13.626417865923401</v>
      </c>
      <c r="AL5560">
        <v>94.385890941887695</v>
      </c>
      <c r="AM5560">
        <v>91.042331382330403</v>
      </c>
      <c r="AN5560">
        <v>0.99999997328283696</v>
      </c>
    </row>
    <row r="5561" spans="1:40" x14ac:dyDescent="0.25">
      <c r="A5561" t="str">
        <f>"20190303154920538"</f>
        <v>20190303154920538</v>
      </c>
      <c r="B5561" t="str">
        <f>"1551599360526427"</f>
        <v>1551599360526427</v>
      </c>
      <c r="C5561" t="s">
        <v>40</v>
      </c>
      <c r="D5561">
        <v>5.2213289999999999</v>
      </c>
      <c r="E5561">
        <v>0.41398509999999999</v>
      </c>
      <c r="F5561" t="s">
        <v>59</v>
      </c>
      <c r="G5561">
        <v>-415.29450000000003</v>
      </c>
      <c r="H5561" s="1">
        <v>-9.7488560000000004E-6</v>
      </c>
      <c r="I5561">
        <v>138.56479999999999</v>
      </c>
      <c r="J5561">
        <v>-402.01179999999999</v>
      </c>
      <c r="K5561">
        <v>1.1208530000000001</v>
      </c>
      <c r="L5561">
        <v>141.7433</v>
      </c>
      <c r="M5561">
        <v>-0.99985869999999999</v>
      </c>
      <c r="N5561">
        <v>-1.3164479999999999E-2</v>
      </c>
      <c r="O5561">
        <v>1.0461069999999999E-2</v>
      </c>
      <c r="P5561">
        <v>-0.99600149999999998</v>
      </c>
      <c r="Q5561">
        <v>-8.8993069999999994E-2</v>
      </c>
      <c r="R5561">
        <v>-7.8204899999999994E-3</v>
      </c>
      <c r="S5561">
        <v>-2.9843139999999999</v>
      </c>
      <c r="T5561">
        <v>-0.24927879999999999</v>
      </c>
      <c r="U5561">
        <v>-0.70657349999999997</v>
      </c>
      <c r="V5561">
        <v>-1.8243260000000001E-2</v>
      </c>
      <c r="W5561">
        <v>-7.5874650000000002E-2</v>
      </c>
      <c r="X5561">
        <v>0.99695040000000001</v>
      </c>
      <c r="Y5561">
        <v>-0.2396152</v>
      </c>
      <c r="Z5561">
        <v>-1.218148E-2</v>
      </c>
      <c r="AA5561">
        <v>0.97079150000000003</v>
      </c>
      <c r="AB5561">
        <v>20</v>
      </c>
      <c r="AC5561">
        <v>-13.2827</v>
      </c>
      <c r="AD5561">
        <v>-1.1208627488559999</v>
      </c>
      <c r="AE5561">
        <v>-3.1785000000000099</v>
      </c>
      <c r="AF5561">
        <v>-3.2950962645019</v>
      </c>
      <c r="AG5561">
        <v>-1.1208627488559999</v>
      </c>
      <c r="AH5561">
        <v>13.1600841327166</v>
      </c>
      <c r="AI5561">
        <v>94.723100788454701</v>
      </c>
      <c r="AJ5561">
        <v>104.05703810971499</v>
      </c>
      <c r="AK5561">
        <v>13.612560636202399</v>
      </c>
      <c r="AL5561">
        <v>94.351479528322599</v>
      </c>
      <c r="AM5561">
        <v>91.048342179656103</v>
      </c>
      <c r="AN5561">
        <v>0.99999993955410305</v>
      </c>
    </row>
    <row r="5562" spans="1:40" x14ac:dyDescent="0.25">
      <c r="A5562" t="str">
        <f>"20190303154920552"</f>
        <v>20190303154920552</v>
      </c>
      <c r="B5562" t="str">
        <f>"1551599360545947"</f>
        <v>1551599360545947</v>
      </c>
      <c r="C5562" t="s">
        <v>40</v>
      </c>
      <c r="D5562">
        <v>4.8464809999999998</v>
      </c>
      <c r="E5562">
        <v>0.41198299999999999</v>
      </c>
      <c r="F5562" t="s">
        <v>59</v>
      </c>
      <c r="G5562">
        <v>-415.50459999999998</v>
      </c>
      <c r="H5562" s="1">
        <v>-9.7182270000000001E-6</v>
      </c>
      <c r="I5562">
        <v>138.53700000000001</v>
      </c>
      <c r="J5562">
        <v>-402.14980000000003</v>
      </c>
      <c r="K5562">
        <v>1.1208549999999999</v>
      </c>
      <c r="L5562">
        <v>141.7448</v>
      </c>
      <c r="M5562">
        <v>-0.99985869999999999</v>
      </c>
      <c r="N5562">
        <v>-1.316317E-2</v>
      </c>
      <c r="O5562">
        <v>1.0461079999999999E-2</v>
      </c>
      <c r="P5562">
        <v>-0.99603379999999997</v>
      </c>
      <c r="Q5562">
        <v>-8.8633089999999998E-2</v>
      </c>
      <c r="R5562">
        <v>-7.8218650000000008E-3</v>
      </c>
      <c r="S5562">
        <v>-2.9843139999999999</v>
      </c>
      <c r="T5562">
        <v>-0.24791050000000001</v>
      </c>
      <c r="U5562">
        <v>-0.70916749999999995</v>
      </c>
      <c r="V5562">
        <v>-1.8244710000000001E-2</v>
      </c>
      <c r="W5562">
        <v>-7.5515550000000001E-2</v>
      </c>
      <c r="X5562">
        <v>0.99697769999999997</v>
      </c>
      <c r="Y5562">
        <v>-0.24042079999999999</v>
      </c>
      <c r="Z5562">
        <v>-1.216013E-2</v>
      </c>
      <c r="AA5562">
        <v>0.97059260000000003</v>
      </c>
      <c r="AB5562">
        <v>20</v>
      </c>
      <c r="AC5562">
        <v>-13.3547999999999</v>
      </c>
      <c r="AD5562">
        <v>-1.120864718227</v>
      </c>
      <c r="AE5562">
        <v>-3.20779999999999</v>
      </c>
      <c r="AF5562">
        <v>-3.3251965224278099</v>
      </c>
      <c r="AG5562">
        <v>-1.120864718227</v>
      </c>
      <c r="AH5562">
        <v>13.232382133291299</v>
      </c>
      <c r="AI5562">
        <v>94.696418590737693</v>
      </c>
      <c r="AJ5562">
        <v>104.105913279117</v>
      </c>
      <c r="AK5562">
        <v>13.689748228173499</v>
      </c>
      <c r="AL5562">
        <v>94.330845146783702</v>
      </c>
      <c r="AM5562">
        <v>91.048396782396793</v>
      </c>
      <c r="AN5562">
        <v>1.0000000010160299</v>
      </c>
    </row>
    <row r="5563" spans="1:40" x14ac:dyDescent="0.25">
      <c r="A5563" t="str">
        <f>"20190303154920567"</f>
        <v>20190303154920567</v>
      </c>
      <c r="B5563" t="str">
        <f>"1551599360556683"</f>
        <v>1551599360556683</v>
      </c>
      <c r="C5563" t="s">
        <v>40</v>
      </c>
      <c r="D5563">
        <v>4.7964570000000002</v>
      </c>
      <c r="E5563">
        <v>0.41044659999999999</v>
      </c>
      <c r="F5563" t="s">
        <v>59</v>
      </c>
      <c r="G5563">
        <v>-415.62509999999997</v>
      </c>
      <c r="H5563" s="1">
        <v>-9.6783190000000005E-6</v>
      </c>
      <c r="I5563">
        <v>138.4699</v>
      </c>
      <c r="J5563">
        <v>-402.27370000000002</v>
      </c>
      <c r="K5563">
        <v>1.120857</v>
      </c>
      <c r="L5563">
        <v>141.74600000000001</v>
      </c>
      <c r="M5563">
        <v>-0.99985880000000005</v>
      </c>
      <c r="N5563">
        <v>-1.316194E-2</v>
      </c>
      <c r="O5563">
        <v>1.0461089999999999E-2</v>
      </c>
      <c r="P5563">
        <v>-0.99610270000000001</v>
      </c>
      <c r="Q5563">
        <v>-8.7831679999999995E-2</v>
      </c>
      <c r="R5563">
        <v>-8.0848550000000002E-3</v>
      </c>
      <c r="S5563">
        <v>-2.9841310000000001</v>
      </c>
      <c r="T5563">
        <v>-0.2482173</v>
      </c>
      <c r="U5563">
        <v>-0.72521969999999902</v>
      </c>
      <c r="V5563">
        <v>-1.850825E-2</v>
      </c>
      <c r="W5563">
        <v>-7.4714559999999999E-2</v>
      </c>
      <c r="X5563">
        <v>0.99703319999999995</v>
      </c>
      <c r="Y5563">
        <v>-0.24534719999999999</v>
      </c>
      <c r="Z5563">
        <v>-1.240284E-2</v>
      </c>
      <c r="AA5563">
        <v>0.96935590000000005</v>
      </c>
      <c r="AB5563">
        <v>20</v>
      </c>
      <c r="AC5563">
        <v>-13.3513999999999</v>
      </c>
      <c r="AD5563">
        <v>-1.120866678319</v>
      </c>
      <c r="AE5563">
        <v>-3.2761000000000098</v>
      </c>
      <c r="AF5563">
        <v>-3.3930474640269601</v>
      </c>
      <c r="AG5563">
        <v>-1.120866678319</v>
      </c>
      <c r="AH5563">
        <v>13.228457675681501</v>
      </c>
      <c r="AI5563">
        <v>94.692012644662299</v>
      </c>
      <c r="AJ5563">
        <v>104.386008172015</v>
      </c>
      <c r="AK5563">
        <v>13.7025985010509</v>
      </c>
      <c r="AL5563">
        <v>94.284821732952906</v>
      </c>
      <c r="AM5563">
        <v>91.063477954073704</v>
      </c>
      <c r="AN5563">
        <v>1.00000001134814</v>
      </c>
    </row>
    <row r="5564" spans="1:40" x14ac:dyDescent="0.25">
      <c r="A5564" t="str">
        <f>"20190303154920590"</f>
        <v>20190303154920590</v>
      </c>
      <c r="B5564" t="str">
        <f>"1551599360586940"</f>
        <v>1551599360586940</v>
      </c>
      <c r="C5564" t="s">
        <v>40</v>
      </c>
      <c r="D5564">
        <v>4.577674</v>
      </c>
      <c r="E5564">
        <v>0.40543879999999999</v>
      </c>
      <c r="F5564" t="s">
        <v>59</v>
      </c>
      <c r="G5564">
        <v>-415.82130000000001</v>
      </c>
      <c r="H5564" s="1">
        <v>-9.6277999999999995E-6</v>
      </c>
      <c r="I5564">
        <v>138.3938</v>
      </c>
      <c r="J5564">
        <v>-402.483</v>
      </c>
      <c r="K5564">
        <v>1.120854</v>
      </c>
      <c r="L5564">
        <v>141.7482</v>
      </c>
      <c r="M5564">
        <v>-0.99985880000000005</v>
      </c>
      <c r="N5564">
        <v>-1.31597E-2</v>
      </c>
      <c r="O5564">
        <v>1.046099E-2</v>
      </c>
      <c r="P5564">
        <v>-0.99611340000000004</v>
      </c>
      <c r="Q5564">
        <v>-8.7627350000000007E-2</v>
      </c>
      <c r="R5564">
        <v>-8.9297179999999997E-3</v>
      </c>
      <c r="S5564">
        <v>-2.983978</v>
      </c>
      <c r="T5564">
        <v>-0.2468815</v>
      </c>
      <c r="U5564">
        <v>-0.73837280000000005</v>
      </c>
      <c r="V5564">
        <v>-1.935336E-2</v>
      </c>
      <c r="W5564">
        <v>-7.4512399999999895E-2</v>
      </c>
      <c r="X5564">
        <v>0.99703229999999998</v>
      </c>
      <c r="Y5564">
        <v>-0.2493821</v>
      </c>
      <c r="Z5564">
        <v>-1.25311E-2</v>
      </c>
      <c r="AA5564">
        <v>0.96832410000000002</v>
      </c>
      <c r="AB5564">
        <v>20</v>
      </c>
      <c r="AC5564">
        <v>-13.3383</v>
      </c>
      <c r="AD5564">
        <v>-1.1208636277999999</v>
      </c>
      <c r="AE5564">
        <v>-3.3543999999999898</v>
      </c>
      <c r="AF5564">
        <v>-3.4707093368450002</v>
      </c>
      <c r="AG5564">
        <v>-1.1208636277999999</v>
      </c>
      <c r="AH5564">
        <v>13.214710163130899</v>
      </c>
      <c r="AI5564">
        <v>94.689878485239305</v>
      </c>
      <c r="AJ5564">
        <v>104.715799275161</v>
      </c>
      <c r="AK5564">
        <v>13.7087827055703</v>
      </c>
      <c r="AL5564">
        <v>94.273206366406399</v>
      </c>
      <c r="AM5564">
        <v>91.112026772498893</v>
      </c>
      <c r="AN5564">
        <v>1.00000002877016</v>
      </c>
    </row>
    <row r="5565" spans="1:40" x14ac:dyDescent="0.25">
      <c r="A5565" t="str">
        <f>"20190303154920613"</f>
        <v>20190303154920613</v>
      </c>
      <c r="B5565" t="str">
        <f>"1551599360606459"</f>
        <v>1551599360606459</v>
      </c>
      <c r="C5565" t="s">
        <v>40</v>
      </c>
      <c r="D5565">
        <v>4.6260589999999997</v>
      </c>
      <c r="E5565">
        <v>0.40241719999999997</v>
      </c>
      <c r="F5565" t="s">
        <v>59</v>
      </c>
      <c r="G5565">
        <v>-416.15339999999998</v>
      </c>
      <c r="H5565" s="1">
        <v>-9.5011749999999997E-6</v>
      </c>
      <c r="I5565">
        <v>138.17080000000001</v>
      </c>
      <c r="J5565">
        <v>-402.6857</v>
      </c>
      <c r="K5565">
        <v>1.1208560000000001</v>
      </c>
      <c r="L5565">
        <v>141.75030000000001</v>
      </c>
      <c r="M5565">
        <v>-0.99985889999999999</v>
      </c>
      <c r="N5565">
        <v>-1.3157429999999999E-2</v>
      </c>
      <c r="O5565">
        <v>1.0460280000000001E-2</v>
      </c>
      <c r="P5565">
        <v>-0.99617</v>
      </c>
      <c r="Q5565">
        <v>-8.6933629999999998E-2</v>
      </c>
      <c r="R5565">
        <v>-9.3893840000000006E-3</v>
      </c>
      <c r="S5565">
        <v>-2.9831850000000002</v>
      </c>
      <c r="T5565">
        <v>-0.24459710000000001</v>
      </c>
      <c r="U5565">
        <v>-0.78067019999999998</v>
      </c>
      <c r="V5565">
        <v>-1.9812690000000001E-2</v>
      </c>
      <c r="W5565">
        <v>-7.3820350000000007E-2</v>
      </c>
      <c r="X5565">
        <v>0.99707469999999998</v>
      </c>
      <c r="Y5565">
        <v>-0.26228430000000003</v>
      </c>
      <c r="Z5565">
        <v>-1.3022260000000001E-2</v>
      </c>
      <c r="AA5565">
        <v>0.96490279999999995</v>
      </c>
      <c r="AB5565">
        <v>20</v>
      </c>
      <c r="AC5565">
        <v>-13.467699999999899</v>
      </c>
      <c r="AD5565">
        <v>-1.1208655011749999</v>
      </c>
      <c r="AE5565">
        <v>-3.5794999999999901</v>
      </c>
      <c r="AF5565">
        <v>-3.6962788367195198</v>
      </c>
      <c r="AG5565">
        <v>-1.1208655011749999</v>
      </c>
      <c r="AH5565">
        <v>13.3431923721154</v>
      </c>
      <c r="AI5565">
        <v>94.628234375762005</v>
      </c>
      <c r="AJ5565">
        <v>105.483587162815</v>
      </c>
      <c r="AK5565">
        <v>13.8909898635692</v>
      </c>
      <c r="AL5565">
        <v>94.233445556377205</v>
      </c>
      <c r="AM5565">
        <v>91.138364201136795</v>
      </c>
      <c r="AN5565">
        <v>0.99999997206962299</v>
      </c>
    </row>
    <row r="5566" spans="1:40" x14ac:dyDescent="0.25">
      <c r="A5566" t="str">
        <f>"20190303154920634"</f>
        <v>20190303154920634</v>
      </c>
      <c r="B5566" t="str">
        <f>"1551599360626955"</f>
        <v>1551599360626955</v>
      </c>
      <c r="C5566" t="s">
        <v>40</v>
      </c>
      <c r="D5566">
        <v>4.5799099999999999</v>
      </c>
      <c r="E5566">
        <v>0.39977879999999999</v>
      </c>
      <c r="F5566" t="s">
        <v>59</v>
      </c>
      <c r="G5566">
        <v>-416.61410000000001</v>
      </c>
      <c r="H5566" s="1">
        <v>-9.3799369999999993E-6</v>
      </c>
      <c r="I5566">
        <v>137.98599999999999</v>
      </c>
      <c r="J5566">
        <v>-402.87580000000003</v>
      </c>
      <c r="K5566">
        <v>1.120865</v>
      </c>
      <c r="L5566">
        <v>141.75229999999999</v>
      </c>
      <c r="M5566">
        <v>-0.99985889999999999</v>
      </c>
      <c r="N5566">
        <v>-1.315523E-2</v>
      </c>
      <c r="O5566">
        <v>1.045592E-2</v>
      </c>
      <c r="P5566">
        <v>-0.99620960000000003</v>
      </c>
      <c r="Q5566">
        <v>-8.6390259999999996E-2</v>
      </c>
      <c r="R5566">
        <v>-1.0161699999999999E-2</v>
      </c>
      <c r="S5566">
        <v>-2.9830320000000001</v>
      </c>
      <c r="T5566">
        <v>-0.2400544</v>
      </c>
      <c r="U5566">
        <v>-0.80619810000000003</v>
      </c>
      <c r="V5566">
        <v>-2.0580870000000001E-2</v>
      </c>
      <c r="W5566">
        <v>-7.3278830000000003E-2</v>
      </c>
      <c r="X5566">
        <v>0.99709910000000002</v>
      </c>
      <c r="Y5566">
        <v>-0.27000410000000002</v>
      </c>
      <c r="Z5566">
        <v>-1.3157459999999999E-2</v>
      </c>
      <c r="AA5566">
        <v>0.96276930000000005</v>
      </c>
      <c r="AB5566">
        <v>20</v>
      </c>
      <c r="AC5566">
        <v>-13.738299999999899</v>
      </c>
      <c r="AD5566">
        <v>-1.120874379937</v>
      </c>
      <c r="AE5566">
        <v>-3.7663000000000002</v>
      </c>
      <c r="AF5566">
        <v>-3.8856958564194</v>
      </c>
      <c r="AG5566">
        <v>-1.120874379937</v>
      </c>
      <c r="AH5566">
        <v>13.613878785612799</v>
      </c>
      <c r="AI5566">
        <v>94.526748931673197</v>
      </c>
      <c r="AJ5566">
        <v>105.929893759942</v>
      </c>
      <c r="AK5566">
        <v>14.201855063813101</v>
      </c>
      <c r="AL5566">
        <v>94.202334418546002</v>
      </c>
      <c r="AM5566">
        <v>91.182459768180493</v>
      </c>
      <c r="AN5566">
        <v>0.99999998717846705</v>
      </c>
    </row>
    <row r="5567" spans="1:40" x14ac:dyDescent="0.25">
      <c r="A5567" t="str">
        <f>"20190303154920657"</f>
        <v>20190303154920657</v>
      </c>
      <c r="B5567" t="str">
        <f>"1551599360646475"</f>
        <v>1551599360646475</v>
      </c>
      <c r="C5567" t="s">
        <v>40</v>
      </c>
      <c r="D5567">
        <v>4.6014339999999896</v>
      </c>
      <c r="E5567">
        <v>0.39748450000000002</v>
      </c>
      <c r="F5567" t="s">
        <v>59</v>
      </c>
      <c r="G5567">
        <v>-416.9821</v>
      </c>
      <c r="H5567" s="1">
        <v>-9.2789000000000002E-6</v>
      </c>
      <c r="I5567">
        <v>137.8288</v>
      </c>
      <c r="J5567">
        <v>-403.08269999999999</v>
      </c>
      <c r="K5567">
        <v>1.120873</v>
      </c>
      <c r="L5567">
        <v>141.75450000000001</v>
      </c>
      <c r="M5567">
        <v>-0.99985900000000005</v>
      </c>
      <c r="N5567">
        <v>-1.3152779999999999E-2</v>
      </c>
      <c r="O5567">
        <v>1.044058E-2</v>
      </c>
      <c r="P5567">
        <v>-0.99617149999999999</v>
      </c>
      <c r="Q5567">
        <v>-8.6760219999999999E-2</v>
      </c>
      <c r="R5567">
        <v>-1.0722570000000001E-2</v>
      </c>
      <c r="S5567">
        <v>-2.9823909999999998</v>
      </c>
      <c r="T5567">
        <v>-0.23697779999999999</v>
      </c>
      <c r="U5567">
        <v>-0.82951350000000001</v>
      </c>
      <c r="V5567">
        <v>-2.112468E-2</v>
      </c>
      <c r="W5567">
        <v>-7.3652099999999998E-2</v>
      </c>
      <c r="X5567">
        <v>0.99706019999999895</v>
      </c>
      <c r="Y5567">
        <v>-0.27703499999999998</v>
      </c>
      <c r="Z5567">
        <v>-1.3323079999999999E-2</v>
      </c>
      <c r="AA5567">
        <v>0.96076740000000005</v>
      </c>
      <c r="AB5567">
        <v>20</v>
      </c>
      <c r="AC5567">
        <v>-13.8994</v>
      </c>
      <c r="AD5567">
        <v>-1.1208822788999999</v>
      </c>
      <c r="AE5567">
        <v>-3.9257</v>
      </c>
      <c r="AF5567">
        <v>-4.0462467220461296</v>
      </c>
      <c r="AG5567">
        <v>-1.1208822788999999</v>
      </c>
      <c r="AH5567">
        <v>13.7746903354038</v>
      </c>
      <c r="AI5567">
        <v>94.464250693857394</v>
      </c>
      <c r="AJ5567">
        <v>106.369888362201</v>
      </c>
      <c r="AK5567">
        <v>14.400367476390601</v>
      </c>
      <c r="AL5567">
        <v>94.223779264919401</v>
      </c>
      <c r="AM5567">
        <v>91.213742110970898</v>
      </c>
      <c r="AN5567">
        <v>0.99999996318177498</v>
      </c>
    </row>
    <row r="5568" spans="1:40" x14ac:dyDescent="0.25">
      <c r="A5568" t="str">
        <f>"20190303154920680"</f>
        <v>20190303154920680</v>
      </c>
      <c r="B5568" t="str">
        <f>"1551599360676029"</f>
        <v>1551599360676029</v>
      </c>
      <c r="C5568" t="s">
        <v>40</v>
      </c>
      <c r="D5568">
        <v>4.5868690000000001</v>
      </c>
      <c r="E5568">
        <v>0.36109269999999999</v>
      </c>
      <c r="F5568" t="s">
        <v>59</v>
      </c>
      <c r="G5568">
        <v>-417.15309999999999</v>
      </c>
      <c r="H5568" s="1">
        <v>-9.2277249999999998E-6</v>
      </c>
      <c r="I5568">
        <v>137.74610000000001</v>
      </c>
      <c r="J5568">
        <v>-403.28859999999997</v>
      </c>
      <c r="K5568">
        <v>1.1208849999999999</v>
      </c>
      <c r="L5568">
        <v>141.75659999999999</v>
      </c>
      <c r="M5568">
        <v>-0.99985959999999996</v>
      </c>
      <c r="N5568">
        <v>-1.315033E-2</v>
      </c>
      <c r="O5568">
        <v>1.040571E-2</v>
      </c>
      <c r="P5568">
        <v>-0.99614049999999998</v>
      </c>
      <c r="Q5568">
        <v>-8.6945910000000001E-2</v>
      </c>
      <c r="R5568">
        <v>-1.204008E-2</v>
      </c>
      <c r="S5568">
        <v>-2.9816889999999998</v>
      </c>
      <c r="T5568">
        <v>-0.23752770000000001</v>
      </c>
      <c r="U5568">
        <v>-0.84941100000000003</v>
      </c>
      <c r="V5568">
        <v>-2.2404690000000001E-2</v>
      </c>
      <c r="W5568">
        <v>-7.3841450000000003E-2</v>
      </c>
      <c r="X5568">
        <v>0.99701830000000002</v>
      </c>
      <c r="Y5568">
        <v>-0.2829718</v>
      </c>
      <c r="Z5568">
        <v>-1.3612799999999901E-2</v>
      </c>
      <c r="AA5568">
        <v>0.95903159999999998</v>
      </c>
      <c r="AB5568">
        <v>20</v>
      </c>
      <c r="AC5568">
        <v>-13.8645</v>
      </c>
      <c r="AD5568">
        <v>-1.120894227725</v>
      </c>
      <c r="AE5568">
        <v>-4.0104999999999702</v>
      </c>
      <c r="AF5568">
        <v>-4.1296573852537604</v>
      </c>
      <c r="AG5568">
        <v>-1.120894227725</v>
      </c>
      <c r="AH5568">
        <v>13.739146444667799</v>
      </c>
      <c r="AI5568">
        <v>94.467494049573602</v>
      </c>
      <c r="AJ5568">
        <v>106.72951570072701</v>
      </c>
      <c r="AK5568">
        <v>14.3900875263966</v>
      </c>
      <c r="AL5568">
        <v>94.234657644082205</v>
      </c>
      <c r="AM5568">
        <v>91.287316556832906</v>
      </c>
      <c r="AN5568">
        <v>1.0000000102034901</v>
      </c>
    </row>
    <row r="5569" spans="1:40" x14ac:dyDescent="0.25">
      <c r="A5569" t="str">
        <f>"20190303154920702"</f>
        <v>20190303154920702</v>
      </c>
      <c r="B5569" t="str">
        <f>"1551599360696524"</f>
        <v>1551599360696524</v>
      </c>
      <c r="C5569" t="s">
        <v>40</v>
      </c>
      <c r="D5569">
        <v>4.5673009999999996</v>
      </c>
      <c r="E5569">
        <v>0.36017149999999998</v>
      </c>
      <c r="F5569" t="s">
        <v>59</v>
      </c>
      <c r="G5569">
        <v>-416.5455</v>
      </c>
      <c r="H5569" s="1">
        <v>-8.806973E-6</v>
      </c>
      <c r="I5569">
        <v>136.66139999999999</v>
      </c>
      <c r="J5569">
        <v>-403.48309999999998</v>
      </c>
      <c r="K5569">
        <v>1.1209009999999999</v>
      </c>
      <c r="L5569">
        <v>141.7585</v>
      </c>
      <c r="M5569">
        <v>-0.99986019999999998</v>
      </c>
      <c r="N5569">
        <v>-1.3147999999999899E-2</v>
      </c>
      <c r="O5569">
        <v>1.034421E-2</v>
      </c>
      <c r="P5569">
        <v>-0.99614179999999997</v>
      </c>
      <c r="Q5569">
        <v>-8.6770970000000003E-2</v>
      </c>
      <c r="R5569">
        <v>-1.313869E-2</v>
      </c>
      <c r="S5569">
        <v>-2.9758</v>
      </c>
      <c r="T5569">
        <v>-0.25160929999999998</v>
      </c>
      <c r="U5569">
        <v>-1.143723</v>
      </c>
      <c r="V5569">
        <v>-2.343901E-2</v>
      </c>
      <c r="W5569">
        <v>-7.3670029999999997E-2</v>
      </c>
      <c r="X5569">
        <v>0.99700719999999998</v>
      </c>
      <c r="Y5569">
        <v>-0.36702960000000001</v>
      </c>
      <c r="Z5569">
        <v>-1.8171130000000001E-2</v>
      </c>
      <c r="AA5569">
        <v>0.93003179999999996</v>
      </c>
      <c r="AB5569">
        <v>20</v>
      </c>
      <c r="AC5569">
        <v>-13.0624</v>
      </c>
      <c r="AD5569">
        <v>-1.1209098069729999</v>
      </c>
      <c r="AE5569">
        <v>-5.09710000000001</v>
      </c>
      <c r="AF5569">
        <v>-5.1987359689449502</v>
      </c>
      <c r="AG5569">
        <v>-1.1209098069729999</v>
      </c>
      <c r="AH5569">
        <v>12.9263635082441</v>
      </c>
      <c r="AI5569">
        <v>94.599666229802295</v>
      </c>
      <c r="AJ5569">
        <v>111.909047353158</v>
      </c>
      <c r="AK5569">
        <v>13.977630987311001</v>
      </c>
      <c r="AL5569">
        <v>94.224809184179904</v>
      </c>
      <c r="AM5569">
        <v>91.346739540035998</v>
      </c>
      <c r="AN5569">
        <v>1.00000000868091</v>
      </c>
    </row>
    <row r="5570" spans="1:40" x14ac:dyDescent="0.25">
      <c r="A5570" t="str">
        <f>"20190303154920723"</f>
        <v>20190303154920723</v>
      </c>
      <c r="B5570" t="str">
        <f>"1551599360716044"</f>
        <v>1551599360716044</v>
      </c>
      <c r="C5570" t="s">
        <v>40</v>
      </c>
      <c r="D5570">
        <v>4.5624549999999999</v>
      </c>
      <c r="E5570">
        <v>0.36019970000000001</v>
      </c>
      <c r="F5570" t="s">
        <v>59</v>
      </c>
      <c r="G5570">
        <v>-416.75760000000002</v>
      </c>
      <c r="H5570" s="1">
        <v>-8.7643520000000007E-6</v>
      </c>
      <c r="I5570">
        <v>136.60659999999999</v>
      </c>
      <c r="J5570">
        <v>-403.67579999999998</v>
      </c>
      <c r="K5570">
        <v>1.1209279999999999</v>
      </c>
      <c r="L5570">
        <v>141.76050000000001</v>
      </c>
      <c r="M5570">
        <v>-0.99986109999999995</v>
      </c>
      <c r="N5570">
        <v>-1.314569E-2</v>
      </c>
      <c r="O5570">
        <v>1.0250449999999999E-2</v>
      </c>
      <c r="P5570">
        <v>-0.99612789999999996</v>
      </c>
      <c r="Q5570">
        <v>-8.6739419999999998E-2</v>
      </c>
      <c r="R5570">
        <v>-1.434098E-2</v>
      </c>
      <c r="S5570">
        <v>-2.9744869999999999</v>
      </c>
      <c r="T5570">
        <v>-0.251168</v>
      </c>
      <c r="U5570">
        <v>-1.154434</v>
      </c>
      <c r="V5570">
        <v>-2.45439E-2</v>
      </c>
      <c r="W5570">
        <v>-7.3642600000000003E-2</v>
      </c>
      <c r="X5570">
        <v>0.99698260000000005</v>
      </c>
      <c r="Y5570">
        <v>-0.36998690000000001</v>
      </c>
      <c r="Z5570">
        <v>-1.8275309999999999E-2</v>
      </c>
      <c r="AA5570">
        <v>0.92885720000000005</v>
      </c>
      <c r="AB5570">
        <v>20</v>
      </c>
      <c r="AC5570">
        <v>-13.081799999999999</v>
      </c>
      <c r="AD5570">
        <v>-1.1209367643520001</v>
      </c>
      <c r="AE5570">
        <v>-5.1539000000000197</v>
      </c>
      <c r="AF5570">
        <v>-5.2543400468389798</v>
      </c>
      <c r="AG5570">
        <v>-1.1209367643520001</v>
      </c>
      <c r="AH5570">
        <v>12.9459972603909</v>
      </c>
      <c r="AI5570">
        <v>94.586980546559403</v>
      </c>
      <c r="AJ5570">
        <v>112.090560679259</v>
      </c>
      <c r="AK5570">
        <v>14.0165414287384</v>
      </c>
      <c r="AL5570">
        <v>94.223233443404396</v>
      </c>
      <c r="AM5570">
        <v>91.4102331328574</v>
      </c>
      <c r="AN5570">
        <v>0.99999997013236397</v>
      </c>
    </row>
    <row r="5571" spans="1:40" x14ac:dyDescent="0.25">
      <c r="A5571" t="str">
        <f>"20190303154920740"</f>
        <v>20190303154920740</v>
      </c>
      <c r="B5571" t="str">
        <f>"1551599360726781"</f>
        <v>1551599360726781</v>
      </c>
      <c r="C5571" t="s">
        <v>40</v>
      </c>
      <c r="D5571">
        <v>4.5356870000000002</v>
      </c>
      <c r="E5571">
        <v>0.36022349999999997</v>
      </c>
      <c r="F5571" t="s">
        <v>59</v>
      </c>
      <c r="G5571">
        <v>-416.97410000000002</v>
      </c>
      <c r="H5571" s="1">
        <v>-8.7358929999999997E-6</v>
      </c>
      <c r="I5571">
        <v>136.58150000000001</v>
      </c>
      <c r="J5571">
        <v>-403.82130000000001</v>
      </c>
      <c r="K5571">
        <v>1.120949</v>
      </c>
      <c r="L5571">
        <v>141.76179999999999</v>
      </c>
      <c r="M5571">
        <v>-0.99986209999999998</v>
      </c>
      <c r="N5571">
        <v>-1.314392E-2</v>
      </c>
      <c r="O5571">
        <v>1.0161409999999999E-2</v>
      </c>
      <c r="P5571">
        <v>-0.99610430000000005</v>
      </c>
      <c r="Q5571">
        <v>-8.6931209999999995E-2</v>
      </c>
      <c r="R5571">
        <v>-1.481377E-2</v>
      </c>
      <c r="S5571">
        <v>-2.9731749999999999</v>
      </c>
      <c r="T5571">
        <v>-0.2506139</v>
      </c>
      <c r="U5571">
        <v>-1.1578980000000001</v>
      </c>
      <c r="V5571">
        <v>-2.4923850000000001E-2</v>
      </c>
      <c r="W5571">
        <v>-7.3837639999999996E-2</v>
      </c>
      <c r="X5571">
        <v>0.99695880000000003</v>
      </c>
      <c r="Y5571">
        <v>-0.37098399999999998</v>
      </c>
      <c r="Z5571">
        <v>-1.8285079999999999E-2</v>
      </c>
      <c r="AA5571">
        <v>0.92845919999999904</v>
      </c>
      <c r="AB5571">
        <v>20</v>
      </c>
      <c r="AC5571">
        <v>-13.152799999999999</v>
      </c>
      <c r="AD5571">
        <v>-1.1209577358930001</v>
      </c>
      <c r="AE5571">
        <v>-5.1802999999999804</v>
      </c>
      <c r="AF5571">
        <v>-5.2804911719178502</v>
      </c>
      <c r="AG5571">
        <v>-1.1209577358930001</v>
      </c>
      <c r="AH5571">
        <v>13.017622010933801</v>
      </c>
      <c r="AI5571">
        <v>94.5622890414962</v>
      </c>
      <c r="AJ5571">
        <v>112.079529455448</v>
      </c>
      <c r="AK5571">
        <v>14.0925021228279</v>
      </c>
      <c r="AL5571">
        <v>94.234438698981805</v>
      </c>
      <c r="AM5571">
        <v>91.432089292005102</v>
      </c>
      <c r="AN5571">
        <v>1.0000000221385099</v>
      </c>
    </row>
    <row r="5572" spans="1:40" x14ac:dyDescent="0.25">
      <c r="A5572" t="str">
        <f>"20190303154920758"</f>
        <v>20190303154920758</v>
      </c>
      <c r="B5572" t="str">
        <f>"1551599360746300"</f>
        <v>1551599360746300</v>
      </c>
      <c r="C5572" t="s">
        <v>40</v>
      </c>
      <c r="D5572">
        <v>5.235385</v>
      </c>
      <c r="E5572">
        <v>0.41680660000000003</v>
      </c>
      <c r="F5572" t="s">
        <v>59</v>
      </c>
      <c r="G5572">
        <v>-417.1481</v>
      </c>
      <c r="H5572" s="1">
        <v>-8.7197230000000001E-6</v>
      </c>
      <c r="I5572">
        <v>136.56649999999999</v>
      </c>
      <c r="J5572">
        <v>-403.97719999999998</v>
      </c>
      <c r="K5572">
        <v>1.120968</v>
      </c>
      <c r="L5572">
        <v>141.76329999999999</v>
      </c>
      <c r="M5572">
        <v>-0.99986330000000001</v>
      </c>
      <c r="N5572">
        <v>-1.3142030000000001E-2</v>
      </c>
      <c r="O5572">
        <v>1.0041380000000001E-2</v>
      </c>
      <c r="P5572">
        <v>-0.99617480000000003</v>
      </c>
      <c r="Q5572">
        <v>-8.5990559999999994E-2</v>
      </c>
      <c r="R5572">
        <v>-1.555375E-2</v>
      </c>
      <c r="S5572">
        <v>-2.9726560000000002</v>
      </c>
      <c r="T5572">
        <v>-0.25003979999999998</v>
      </c>
      <c r="U5572">
        <v>-1.1588590000000001</v>
      </c>
      <c r="V5572">
        <v>-2.554172E-2</v>
      </c>
      <c r="W5572">
        <v>-7.2899359999999996E-2</v>
      </c>
      <c r="X5572">
        <v>0.99701220000000002</v>
      </c>
      <c r="Y5572">
        <v>-0.3711932</v>
      </c>
      <c r="Z5572">
        <v>-1.8251969999999999E-2</v>
      </c>
      <c r="AA5572">
        <v>0.92837630000000004</v>
      </c>
      <c r="AB5572">
        <v>20</v>
      </c>
      <c r="AC5572">
        <v>-13.1709</v>
      </c>
      <c r="AD5572">
        <v>-1.1209767197229901</v>
      </c>
      <c r="AE5572">
        <v>-5.1967999999999899</v>
      </c>
      <c r="AF5572">
        <v>-5.2956109019678399</v>
      </c>
      <c r="AG5572">
        <v>-1.1209767197229901</v>
      </c>
      <c r="AH5572">
        <v>13.0363375715614</v>
      </c>
      <c r="AI5572">
        <v>94.554930737045893</v>
      </c>
      <c r="AJ5572">
        <v>112.107934672303</v>
      </c>
      <c r="AK5572">
        <v>14.115458933768499</v>
      </c>
      <c r="AL5572">
        <v>94.180533979773003</v>
      </c>
      <c r="AM5572">
        <v>91.467497323974399</v>
      </c>
      <c r="AN5572">
        <v>1.0000000115489001</v>
      </c>
    </row>
    <row r="5573" spans="1:40" x14ac:dyDescent="0.25">
      <c r="A5573" t="str">
        <f>"20190303154920781"</f>
        <v>20190303154920781</v>
      </c>
      <c r="B5573" t="str">
        <f>"1551599360776556"</f>
        <v>1551599360776556</v>
      </c>
      <c r="C5573" t="s">
        <v>40</v>
      </c>
      <c r="D5573">
        <v>5.1834800000000003</v>
      </c>
      <c r="E5573">
        <v>0.48259829999999998</v>
      </c>
      <c r="F5573" t="s">
        <v>59</v>
      </c>
      <c r="G5573">
        <v>-418.75639999999999</v>
      </c>
      <c r="H5573" s="1">
        <v>-9.3098530000000002E-6</v>
      </c>
      <c r="I5573">
        <v>138.24459999999999</v>
      </c>
      <c r="J5573">
        <v>-404.18439999999998</v>
      </c>
      <c r="K5573">
        <v>1.121</v>
      </c>
      <c r="L5573">
        <v>141.76519999999999</v>
      </c>
      <c r="M5573">
        <v>-0.99986540000000002</v>
      </c>
      <c r="N5573">
        <v>-1.31395E-2</v>
      </c>
      <c r="O5573">
        <v>9.8349279999999997E-3</v>
      </c>
      <c r="P5573">
        <v>-0.99618830000000003</v>
      </c>
      <c r="Q5573">
        <v>-8.5640430000000003E-2</v>
      </c>
      <c r="R5573">
        <v>-1.657693E-2</v>
      </c>
      <c r="S5573">
        <v>-2.9809570000000001</v>
      </c>
      <c r="T5573">
        <v>-0.22610060000000001</v>
      </c>
      <c r="U5573">
        <v>-0.70971680000000004</v>
      </c>
      <c r="V5573">
        <v>-2.635438E-2</v>
      </c>
      <c r="W5573">
        <v>-7.255375E-2</v>
      </c>
      <c r="X5573">
        <v>0.99701629999999997</v>
      </c>
      <c r="Y5573">
        <v>-0.24037620000000001</v>
      </c>
      <c r="Z5573">
        <v>-1.118923E-2</v>
      </c>
      <c r="AA5573">
        <v>0.97061529999999996</v>
      </c>
      <c r="AB5573">
        <v>20</v>
      </c>
      <c r="AC5573">
        <v>-14.571999999999999</v>
      </c>
      <c r="AD5573">
        <v>-1.1210093098530001</v>
      </c>
      <c r="AE5573">
        <v>-3.5206</v>
      </c>
      <c r="AF5573">
        <v>-3.6433839933870402</v>
      </c>
      <c r="AG5573">
        <v>-1.1210093098530001</v>
      </c>
      <c r="AH5573">
        <v>14.455834883097401</v>
      </c>
      <c r="AI5573">
        <v>94.300301391622398</v>
      </c>
      <c r="AJ5573">
        <v>104.145957587982</v>
      </c>
      <c r="AK5573">
        <v>14.949985650943701</v>
      </c>
      <c r="AL5573">
        <v>94.160679243641795</v>
      </c>
      <c r="AM5573">
        <v>91.514161009095602</v>
      </c>
      <c r="AN5573">
        <v>1.0000000512249601</v>
      </c>
    </row>
    <row r="5574" spans="1:40" x14ac:dyDescent="0.25">
      <c r="A5574" t="str">
        <f>"20190303154920802"</f>
        <v>20190303154920802</v>
      </c>
      <c r="B5574" t="str">
        <f>"1551599360796076"</f>
        <v>1551599360796076</v>
      </c>
      <c r="C5574" t="s">
        <v>40</v>
      </c>
      <c r="D5574">
        <v>5.1927899999999996</v>
      </c>
      <c r="E5574">
        <v>0.48432979999999998</v>
      </c>
      <c r="F5574" t="s">
        <v>59</v>
      </c>
      <c r="G5574">
        <v>-418.05059999999997</v>
      </c>
      <c r="H5574" s="1">
        <v>-1.0414149999999999E-5</v>
      </c>
      <c r="I5574">
        <v>140.89160000000001</v>
      </c>
      <c r="J5574">
        <v>-404.37619999999998</v>
      </c>
      <c r="K5574">
        <v>1.121041</v>
      </c>
      <c r="L5574">
        <v>141.76679999999999</v>
      </c>
      <c r="M5574">
        <v>-0.99986790000000003</v>
      </c>
      <c r="N5574">
        <v>-1.31372E-2</v>
      </c>
      <c r="O5574">
        <v>9.5758679999999995E-3</v>
      </c>
      <c r="P5574">
        <v>-0.9961082</v>
      </c>
      <c r="Q5574">
        <v>-8.6292389999999997E-2</v>
      </c>
      <c r="R5574">
        <v>-1.7945349999999999E-2</v>
      </c>
      <c r="S5574">
        <v>-2.9875790000000002</v>
      </c>
      <c r="T5574">
        <v>-0.24153050000000001</v>
      </c>
      <c r="U5574">
        <v>-0.1882172</v>
      </c>
      <c r="V5574">
        <v>-2.7456950000000001E-2</v>
      </c>
      <c r="W5574">
        <v>-7.3211750000000006E-2</v>
      </c>
      <c r="X5574">
        <v>0.9969384</v>
      </c>
      <c r="Y5574">
        <v>-7.2135459999999998E-2</v>
      </c>
      <c r="Z5574">
        <v>-4.0301720000000003E-3</v>
      </c>
      <c r="AA5574">
        <v>0.99738669999999996</v>
      </c>
      <c r="AB5574">
        <v>20</v>
      </c>
      <c r="AC5574">
        <v>-13.674399999999901</v>
      </c>
      <c r="AD5574">
        <v>-1.1210514141500001</v>
      </c>
      <c r="AE5574">
        <v>-0.875199999999978</v>
      </c>
      <c r="AF5574">
        <v>-0.99942566358955998</v>
      </c>
      <c r="AG5574">
        <v>-1.1210514141500001</v>
      </c>
      <c r="AH5574">
        <v>13.574529069856199</v>
      </c>
      <c r="AI5574">
        <v>94.708367502184203</v>
      </c>
      <c r="AJ5574">
        <v>94.210808348155695</v>
      </c>
      <c r="AK5574">
        <v>13.657358727022601</v>
      </c>
      <c r="AL5574">
        <v>94.198480574822398</v>
      </c>
      <c r="AM5574">
        <v>91.577599753175605</v>
      </c>
      <c r="AN5574">
        <v>1.0000000089179599</v>
      </c>
    </row>
    <row r="5575" spans="1:40" x14ac:dyDescent="0.25">
      <c r="A5575" t="str">
        <f>"20190303154920836"</f>
        <v>20190303154920836</v>
      </c>
      <c r="B5575" t="str">
        <f>"1551599360826332"</f>
        <v>1551599360826332</v>
      </c>
      <c r="C5575" t="s">
        <v>40</v>
      </c>
      <c r="D5575">
        <v>5.158569</v>
      </c>
      <c r="E5575">
        <v>0.48533369999999998</v>
      </c>
      <c r="F5575" t="s">
        <v>59</v>
      </c>
      <c r="G5575">
        <v>-417.0582</v>
      </c>
      <c r="H5575" s="1">
        <v>-1.054195E-5</v>
      </c>
      <c r="I5575">
        <v>141.00729999999999</v>
      </c>
      <c r="J5575">
        <v>-404.67090000000002</v>
      </c>
      <c r="K5575">
        <v>1.1211009999999999</v>
      </c>
      <c r="L5575">
        <v>141.76900000000001</v>
      </c>
      <c r="M5575">
        <v>-0.9998726</v>
      </c>
      <c r="N5575">
        <v>-1.3133830000000001E-2</v>
      </c>
      <c r="O5575">
        <v>9.0733589999999996E-3</v>
      </c>
      <c r="P5575">
        <v>-0.99602789999999997</v>
      </c>
      <c r="Q5575">
        <v>-8.6906079999999997E-2</v>
      </c>
      <c r="R5575">
        <v>-1.9385179999999998E-2</v>
      </c>
      <c r="S5575">
        <v>-2.9856259999999999</v>
      </c>
      <c r="T5575">
        <v>-0.2639205</v>
      </c>
      <c r="U5575">
        <v>-0.1788025</v>
      </c>
      <c r="V5575">
        <v>-2.8384989999999999E-2</v>
      </c>
      <c r="W5575">
        <v>-7.3834250000000004E-2</v>
      </c>
      <c r="X5575">
        <v>0.99686649999999999</v>
      </c>
      <c r="Y5575">
        <v>-6.8504529999999994E-2</v>
      </c>
      <c r="Z5575">
        <v>-4.151475E-3</v>
      </c>
      <c r="AA5575">
        <v>0.99764219999999904</v>
      </c>
      <c r="AB5575">
        <v>20</v>
      </c>
      <c r="AC5575">
        <v>-12.3872999999999</v>
      </c>
      <c r="AD5575">
        <v>-1.12111154195</v>
      </c>
      <c r="AE5575">
        <v>-0.76170000000001803</v>
      </c>
      <c r="AF5575">
        <v>-0.86699780368596202</v>
      </c>
      <c r="AG5575">
        <v>-1.12111154195</v>
      </c>
      <c r="AH5575">
        <v>12.279672600422399</v>
      </c>
      <c r="AI5575">
        <v>95.203655031621196</v>
      </c>
      <c r="AJ5575">
        <v>94.038627032511002</v>
      </c>
      <c r="AK5575">
        <v>12.361186652367</v>
      </c>
      <c r="AL5575">
        <v>94.234243979893904</v>
      </c>
      <c r="AM5575">
        <v>91.631011581859696</v>
      </c>
      <c r="AN5575">
        <v>1.0000000114762999</v>
      </c>
    </row>
    <row r="5576" spans="1:40" x14ac:dyDescent="0.25">
      <c r="A5576" t="str">
        <f>"20190303154920858"</f>
        <v>20190303154920858</v>
      </c>
      <c r="B5576" t="str">
        <f>"1551599360846829"</f>
        <v>1551599360846829</v>
      </c>
      <c r="C5576" t="s">
        <v>40</v>
      </c>
      <c r="D5576">
        <v>5.1514660000000001</v>
      </c>
      <c r="E5576">
        <v>0.48590179999999999</v>
      </c>
      <c r="F5576" t="s">
        <v>59</v>
      </c>
      <c r="G5576">
        <v>-417.0204</v>
      </c>
      <c r="H5576" s="1">
        <v>-1.0558090000000001E-5</v>
      </c>
      <c r="I5576">
        <v>141.0438</v>
      </c>
      <c r="J5576">
        <v>-404.86869999999999</v>
      </c>
      <c r="K5576">
        <v>1.1211390000000001</v>
      </c>
      <c r="L5576">
        <v>141.7704</v>
      </c>
      <c r="M5576">
        <v>-0.9998764</v>
      </c>
      <c r="N5576">
        <v>-1.313167E-2</v>
      </c>
      <c r="O5576">
        <v>8.6523509999999904E-3</v>
      </c>
      <c r="P5576">
        <v>-0.99598529999999996</v>
      </c>
      <c r="Q5576">
        <v>-8.700389E-2</v>
      </c>
      <c r="R5576">
        <v>-2.1071199999999998E-2</v>
      </c>
      <c r="S5576">
        <v>-2.9849239999999999</v>
      </c>
      <c r="T5576">
        <v>-0.27097700000000002</v>
      </c>
      <c r="U5576">
        <v>-0.175293</v>
      </c>
      <c r="V5576">
        <v>-2.9642499999999999E-2</v>
      </c>
      <c r="W5576">
        <v>-7.3938760000000006E-2</v>
      </c>
      <c r="X5576">
        <v>0.99682210000000004</v>
      </c>
      <c r="Y5576">
        <v>-6.6920939999999998E-2</v>
      </c>
      <c r="Z5576">
        <v>-4.1395109999999898E-3</v>
      </c>
      <c r="AA5576">
        <v>0.99774969999999996</v>
      </c>
      <c r="AB5576">
        <v>20</v>
      </c>
      <c r="AC5576">
        <v>-12.1517</v>
      </c>
      <c r="AD5576">
        <v>-1.1211495580899999</v>
      </c>
      <c r="AE5576">
        <v>-0.72659999999999003</v>
      </c>
      <c r="AF5576">
        <v>-0.82472721766929402</v>
      </c>
      <c r="AG5576">
        <v>-1.1211495580899999</v>
      </c>
      <c r="AH5576">
        <v>12.0428094825964</v>
      </c>
      <c r="AI5576">
        <v>95.306377726111094</v>
      </c>
      <c r="AJ5576">
        <v>93.917667600669205</v>
      </c>
      <c r="AK5576">
        <v>12.122970409486401</v>
      </c>
      <c r="AL5576">
        <v>94.240248598678093</v>
      </c>
      <c r="AM5576">
        <v>91.703302712645794</v>
      </c>
      <c r="AN5576">
        <v>0.99999995854249701</v>
      </c>
    </row>
    <row r="5577" spans="1:40" x14ac:dyDescent="0.25">
      <c r="A5577" t="str">
        <f>"20190303154920880"</f>
        <v>20190303154920880</v>
      </c>
      <c r="B5577" t="str">
        <f>"1551599360876148"</f>
        <v>1551599360876148</v>
      </c>
      <c r="C5577" t="s">
        <v>40</v>
      </c>
      <c r="D5577">
        <v>5.1101429999999999</v>
      </c>
      <c r="E5577">
        <v>0.48585810000000001</v>
      </c>
      <c r="F5577" t="s">
        <v>59</v>
      </c>
      <c r="G5577">
        <v>-417.22059999999999</v>
      </c>
      <c r="H5577" s="1">
        <v>-1.054014E-5</v>
      </c>
      <c r="I5577">
        <v>141.0427</v>
      </c>
      <c r="J5577">
        <v>-405.06259999999997</v>
      </c>
      <c r="K5577">
        <v>1.1211990000000001</v>
      </c>
      <c r="L5577">
        <v>141.7715</v>
      </c>
      <c r="M5577">
        <v>-0.99988069999999896</v>
      </c>
      <c r="N5577">
        <v>-1.312957E-2</v>
      </c>
      <c r="O5577">
        <v>8.1329669999999996E-3</v>
      </c>
      <c r="P5577">
        <v>-0.99590979999999996</v>
      </c>
      <c r="Q5577">
        <v>-8.7308540000000004E-2</v>
      </c>
      <c r="R5577">
        <v>-2.326201E-2</v>
      </c>
      <c r="S5577">
        <v>-2.9847410000000001</v>
      </c>
      <c r="T5577">
        <v>-0.27091880000000002</v>
      </c>
      <c r="U5577">
        <v>-0.17582700000000001</v>
      </c>
      <c r="V5577">
        <v>-3.1304400000000003E-2</v>
      </c>
      <c r="W5577">
        <v>-7.425226E-2</v>
      </c>
      <c r="X5577">
        <v>0.99674799999999997</v>
      </c>
      <c r="Y5577">
        <v>-6.6587389999999996E-2</v>
      </c>
      <c r="Z5577">
        <v>-4.0813589999999997E-3</v>
      </c>
      <c r="AA5577">
        <v>0.99777229999999995</v>
      </c>
      <c r="AB5577">
        <v>20</v>
      </c>
      <c r="AC5577">
        <v>-12.157999999999999</v>
      </c>
      <c r="AD5577">
        <v>-1.12120954014</v>
      </c>
      <c r="AE5577">
        <v>-0.728800000000006</v>
      </c>
      <c r="AF5577">
        <v>-0.82071028326969597</v>
      </c>
      <c r="AG5577">
        <v>-1.12120954014</v>
      </c>
      <c r="AH5577">
        <v>12.049561303170799</v>
      </c>
      <c r="AI5577">
        <v>95.303836707562297</v>
      </c>
      <c r="AJ5577">
        <v>93.896467284614005</v>
      </c>
      <c r="AK5577">
        <v>12.1294106947055</v>
      </c>
      <c r="AL5577">
        <v>94.258260291042603</v>
      </c>
      <c r="AM5577">
        <v>91.798870554738002</v>
      </c>
      <c r="AN5577">
        <v>0.99999996953923298</v>
      </c>
    </row>
    <row r="5578" spans="1:40" x14ac:dyDescent="0.25">
      <c r="A5578" t="str">
        <f>"20190303154920902"</f>
        <v>20190303154920902</v>
      </c>
      <c r="B5578" t="str">
        <f>"1551599360896643"</f>
        <v>1551599360896643</v>
      </c>
      <c r="C5578" t="s">
        <v>40</v>
      </c>
      <c r="D5578">
        <v>5.1090339999999896</v>
      </c>
      <c r="E5578">
        <v>0.48589739999999998</v>
      </c>
      <c r="F5578" t="s">
        <v>59</v>
      </c>
      <c r="G5578">
        <v>-417.45749999999998</v>
      </c>
      <c r="H5578" s="1">
        <v>-1.0508760000000001E-5</v>
      </c>
      <c r="I5578">
        <v>141.01259999999999</v>
      </c>
      <c r="J5578">
        <v>-405.26179999999999</v>
      </c>
      <c r="K5578">
        <v>1.121292</v>
      </c>
      <c r="L5578">
        <v>141.7723</v>
      </c>
      <c r="M5578">
        <v>-0.99988600000000005</v>
      </c>
      <c r="N5578">
        <v>-1.312807E-2</v>
      </c>
      <c r="O5578">
        <v>7.4475130000000002E-3</v>
      </c>
      <c r="P5578">
        <v>-0.99588019999999999</v>
      </c>
      <c r="Q5578">
        <v>-8.6889820000000006E-2</v>
      </c>
      <c r="R5578">
        <v>-2.593881E-2</v>
      </c>
      <c r="S5578">
        <v>-2.9844059999999999</v>
      </c>
      <c r="T5578">
        <v>-0.26996170000000003</v>
      </c>
      <c r="U5578">
        <v>-0.1827087</v>
      </c>
      <c r="V5578">
        <v>-3.3282069999999997E-2</v>
      </c>
      <c r="W5578">
        <v>-7.384425E-2</v>
      </c>
      <c r="X5578">
        <v>0.99671430000000005</v>
      </c>
      <c r="Y5578">
        <v>-6.8199140000000005E-2</v>
      </c>
      <c r="Z5578">
        <v>-4.0987659999999898E-3</v>
      </c>
      <c r="AA5578">
        <v>0.99766330000000003</v>
      </c>
      <c r="AB5578">
        <v>20</v>
      </c>
      <c r="AC5578">
        <v>-12.195699999999899</v>
      </c>
      <c r="AD5578">
        <v>-1.1213025087599999</v>
      </c>
      <c r="AE5578">
        <v>-0.75970000000000903</v>
      </c>
      <c r="AF5578">
        <v>-0.84341224392674696</v>
      </c>
      <c r="AG5578">
        <v>-1.1213025087599999</v>
      </c>
      <c r="AH5578">
        <v>12.087914191504399</v>
      </c>
      <c r="AI5578">
        <v>95.286940441822495</v>
      </c>
      <c r="AJ5578">
        <v>93.991240424192</v>
      </c>
      <c r="AK5578">
        <v>12.169072808991301</v>
      </c>
      <c r="AL5578">
        <v>94.234818416290494</v>
      </c>
      <c r="AM5578">
        <v>91.912497765546405</v>
      </c>
      <c r="AN5578">
        <v>1.0000000326330101</v>
      </c>
    </row>
    <row r="5579" spans="1:40" x14ac:dyDescent="0.25">
      <c r="A5579" t="str">
        <f>"20190303154920924"</f>
        <v>20190303154920924</v>
      </c>
      <c r="B5579" t="str">
        <f>"1551599360916163"</f>
        <v>1551599360916163</v>
      </c>
      <c r="C5579" t="s">
        <v>40</v>
      </c>
      <c r="D5579">
        <v>5.0815149999999996</v>
      </c>
      <c r="E5579">
        <v>0.4859829</v>
      </c>
      <c r="F5579" t="s">
        <v>59</v>
      </c>
      <c r="G5579">
        <v>-417.64569999999998</v>
      </c>
      <c r="H5579" s="1">
        <v>-1.0481420000000001E-5</v>
      </c>
      <c r="I5579">
        <v>140.9819</v>
      </c>
      <c r="J5579">
        <v>-405.45699999999999</v>
      </c>
      <c r="K5579">
        <v>1.12141</v>
      </c>
      <c r="L5579">
        <v>141.77289999999999</v>
      </c>
      <c r="M5579">
        <v>-0.999892</v>
      </c>
      <c r="N5579">
        <v>-1.3127349999999999E-2</v>
      </c>
      <c r="O5579">
        <v>6.6111269999999996E-3</v>
      </c>
      <c r="P5579">
        <v>-0.99586669999999999</v>
      </c>
      <c r="Q5579">
        <v>-8.6275500000000005E-2</v>
      </c>
      <c r="R5579">
        <v>-2.8393330000000001E-2</v>
      </c>
      <c r="S5579">
        <v>-2.9838870000000002</v>
      </c>
      <c r="T5579">
        <v>-0.27017720000000001</v>
      </c>
      <c r="U5579">
        <v>-0.1904602</v>
      </c>
      <c r="V5579">
        <v>-3.4886189999999997E-2</v>
      </c>
      <c r="W5579">
        <v>-7.3241379999999995E-2</v>
      </c>
      <c r="X5579">
        <v>0.99670389999999998</v>
      </c>
      <c r="Y5579">
        <v>-6.9950449999999997E-2</v>
      </c>
      <c r="Z5579">
        <v>-4.1281399999999998E-3</v>
      </c>
      <c r="AA5579">
        <v>0.99754189999999998</v>
      </c>
      <c r="AB5579">
        <v>20</v>
      </c>
      <c r="AC5579">
        <v>-12.1886999999999</v>
      </c>
      <c r="AD5579">
        <v>-1.1214204814199999</v>
      </c>
      <c r="AE5579">
        <v>-0.79099999999999604</v>
      </c>
      <c r="AF5579">
        <v>-0.86428528462629095</v>
      </c>
      <c r="AG5579">
        <v>-1.1214204814199999</v>
      </c>
      <c r="AH5579">
        <v>12.0813649973989</v>
      </c>
      <c r="AI5579">
        <v>95.289690671600894</v>
      </c>
      <c r="AJ5579">
        <v>94.091895256631304</v>
      </c>
      <c r="AK5579">
        <v>12.1640434539566</v>
      </c>
      <c r="AL5579">
        <v>94.200182834627995</v>
      </c>
      <c r="AM5579">
        <v>92.004623226184506</v>
      </c>
      <c r="AN5579">
        <v>1.00000000513611</v>
      </c>
    </row>
    <row r="5580" spans="1:40" x14ac:dyDescent="0.25">
      <c r="A5580" t="str">
        <f>"20190303154920947"</f>
        <v>20190303154920947</v>
      </c>
      <c r="B5580" t="str">
        <f>"1551599360936659"</f>
        <v>1551599360936659</v>
      </c>
      <c r="C5580" t="s">
        <v>40</v>
      </c>
      <c r="D5580">
        <v>5.075539</v>
      </c>
      <c r="E5580">
        <v>0.48613889999999998</v>
      </c>
      <c r="F5580" t="s">
        <v>59</v>
      </c>
      <c r="G5580">
        <v>-417.92349999999999</v>
      </c>
      <c r="H5580" s="1">
        <v>-1.044566E-5</v>
      </c>
      <c r="I5580">
        <v>140.9495</v>
      </c>
      <c r="J5580">
        <v>-405.65390000000002</v>
      </c>
      <c r="K5580">
        <v>1.1215250000000001</v>
      </c>
      <c r="L5580">
        <v>141.773</v>
      </c>
      <c r="M5580">
        <v>-0.99989819999999996</v>
      </c>
      <c r="N5580">
        <v>-1.31272E-2</v>
      </c>
      <c r="O5580">
        <v>5.6187399999999997E-3</v>
      </c>
      <c r="P5580">
        <v>-0.99585679999999999</v>
      </c>
      <c r="Q5580">
        <v>-8.5715100000000002E-2</v>
      </c>
      <c r="R5580">
        <v>-3.0380150000000002E-2</v>
      </c>
      <c r="S5580">
        <v>-2.9835820000000002</v>
      </c>
      <c r="T5580">
        <v>-0.26838849999999997</v>
      </c>
      <c r="U5580">
        <v>-0.197052</v>
      </c>
      <c r="V5580">
        <v>-3.5866200000000001E-2</v>
      </c>
      <c r="W5580">
        <v>-7.2691459999999999E-2</v>
      </c>
      <c r="X5580">
        <v>0.99670930000000002</v>
      </c>
      <c r="Y5580">
        <v>-7.1163180000000006E-2</v>
      </c>
      <c r="Z5580">
        <v>-4.0898740000000003E-3</v>
      </c>
      <c r="AA5580">
        <v>0.99745629999999996</v>
      </c>
      <c r="AB5580">
        <v>20</v>
      </c>
      <c r="AC5580">
        <v>-12.269599999999899</v>
      </c>
      <c r="AD5580">
        <v>-1.12153544566</v>
      </c>
      <c r="AE5580">
        <v>-0.82349999999999501</v>
      </c>
      <c r="AF5580">
        <v>-0.88507069959170104</v>
      </c>
      <c r="AG5580">
        <v>-1.12153544566</v>
      </c>
      <c r="AH5580">
        <v>12.1636033313968</v>
      </c>
      <c r="AI5580">
        <v>95.254203957772603</v>
      </c>
      <c r="AJ5580">
        <v>94.161727412973804</v>
      </c>
      <c r="AK5580">
        <v>12.247221640139999</v>
      </c>
      <c r="AL5580">
        <v>94.168590837711903</v>
      </c>
      <c r="AM5580">
        <v>92.060877311105003</v>
      </c>
      <c r="AN5580">
        <v>0.99999993068292803</v>
      </c>
    </row>
    <row r="5581" spans="1:40" x14ac:dyDescent="0.25">
      <c r="A5581" t="str">
        <f>"20190303154920969"</f>
        <v>20190303154920969</v>
      </c>
      <c r="B5581" t="str">
        <f>"1551599360966917"</f>
        <v>1551599360966917</v>
      </c>
      <c r="C5581" t="s">
        <v>40</v>
      </c>
      <c r="D5581">
        <v>5.0739089999999996</v>
      </c>
      <c r="E5581">
        <v>0.48636879999999999</v>
      </c>
      <c r="F5581" t="s">
        <v>59</v>
      </c>
      <c r="G5581">
        <v>-418.17939999999999</v>
      </c>
      <c r="H5581" s="1">
        <v>-1.041494E-5</v>
      </c>
      <c r="I5581">
        <v>140.92599999999999</v>
      </c>
      <c r="J5581">
        <v>-405.8519</v>
      </c>
      <c r="K5581">
        <v>1.1216349999999999</v>
      </c>
      <c r="L5581">
        <v>141.77279999999999</v>
      </c>
      <c r="M5581">
        <v>-0.99990409999999996</v>
      </c>
      <c r="N5581">
        <v>-1.3127359999999999E-2</v>
      </c>
      <c r="O5581">
        <v>4.4497360000000001E-3</v>
      </c>
      <c r="P5581">
        <v>-0.99572439999999995</v>
      </c>
      <c r="Q5581">
        <v>-8.6583289999999993E-2</v>
      </c>
      <c r="R5581">
        <v>-3.2197339999999998E-2</v>
      </c>
      <c r="S5581">
        <v>-2.9833069999999999</v>
      </c>
      <c r="T5581">
        <v>-0.26712580000000002</v>
      </c>
      <c r="U5581">
        <v>-0.20173650000000001</v>
      </c>
      <c r="V5581">
        <v>-3.6498780000000001E-2</v>
      </c>
      <c r="W5581">
        <v>-7.3570969999999999E-2</v>
      </c>
      <c r="X5581">
        <v>0.9966218</v>
      </c>
      <c r="Y5581">
        <v>-7.1566950000000004E-2</v>
      </c>
      <c r="Z5581">
        <v>-4.0043559999999997E-3</v>
      </c>
      <c r="AA5581">
        <v>0.99742779999999998</v>
      </c>
      <c r="AB5581">
        <v>20</v>
      </c>
      <c r="AC5581">
        <v>-12.327499999999899</v>
      </c>
      <c r="AD5581">
        <v>-1.1216454149399999</v>
      </c>
      <c r="AE5581">
        <v>-0.84679999999997302</v>
      </c>
      <c r="AF5581">
        <v>-0.89428174999260401</v>
      </c>
      <c r="AG5581">
        <v>-1.1216454149399999</v>
      </c>
      <c r="AH5581">
        <v>12.2228953517031</v>
      </c>
      <c r="AI5581">
        <v>95.2292166269592</v>
      </c>
      <c r="AJ5581">
        <v>94.1845596844894</v>
      </c>
      <c r="AK5581">
        <v>12.3067867075005</v>
      </c>
      <c r="AL5581">
        <v>94.219118351229596</v>
      </c>
      <c r="AM5581">
        <v>92.097377240207706</v>
      </c>
      <c r="AN5581">
        <v>0.99999993040173196</v>
      </c>
    </row>
    <row r="5582" spans="1:40" x14ac:dyDescent="0.25">
      <c r="A5582" t="str">
        <f>"20190303154920993"</f>
        <v>20190303154920993</v>
      </c>
      <c r="B5582" t="str">
        <f>"1551599360986436"</f>
        <v>1551599360986436</v>
      </c>
      <c r="C5582" t="s">
        <v>40</v>
      </c>
      <c r="D5582">
        <v>5.0534239999999997</v>
      </c>
      <c r="E5582">
        <v>0.48654890000000001</v>
      </c>
      <c r="F5582" t="s">
        <v>59</v>
      </c>
      <c r="G5582">
        <v>-418.17910000000001</v>
      </c>
      <c r="H5582" s="1">
        <v>-1.0414270000000001E-5</v>
      </c>
      <c r="I5582">
        <v>140.92410000000001</v>
      </c>
      <c r="J5582">
        <v>-406.05759999999998</v>
      </c>
      <c r="K5582">
        <v>1.1217569999999999</v>
      </c>
      <c r="L5582">
        <v>141.77209999999999</v>
      </c>
      <c r="M5582">
        <v>-0.9999093</v>
      </c>
      <c r="N5582">
        <v>-1.3127939999999999E-2</v>
      </c>
      <c r="O5582">
        <v>3.0186150000000001E-3</v>
      </c>
      <c r="P5582">
        <v>-0.99552629999999998</v>
      </c>
      <c r="Q5582">
        <v>-8.7646509999999997E-2</v>
      </c>
      <c r="R5582">
        <v>-3.5293819999999997E-2</v>
      </c>
      <c r="S5582">
        <v>-2.9826350000000001</v>
      </c>
      <c r="T5582">
        <v>-0.27138839999999997</v>
      </c>
      <c r="U5582">
        <v>-0.2053528</v>
      </c>
      <c r="V5582">
        <v>-3.814708E-2</v>
      </c>
      <c r="W5582">
        <v>-7.4649179999999996E-2</v>
      </c>
      <c r="X5582">
        <v>0.99647989999999997</v>
      </c>
      <c r="Y5582">
        <v>-7.1353130000000001E-2</v>
      </c>
      <c r="Z5582">
        <v>-3.9399969999999998E-3</v>
      </c>
      <c r="AA5582">
        <v>0.99744330000000003</v>
      </c>
      <c r="AB5582">
        <v>20</v>
      </c>
      <c r="AC5582">
        <v>-12.121499999999999</v>
      </c>
      <c r="AD5582">
        <v>-1.12176741426999</v>
      </c>
      <c r="AE5582">
        <v>-0.84799999999998399</v>
      </c>
      <c r="AF5582">
        <v>-0.87711412874069095</v>
      </c>
      <c r="AG5582">
        <v>-1.12176741426999</v>
      </c>
      <c r="AH5582">
        <v>12.0164730528519</v>
      </c>
      <c r="AI5582">
        <v>95.319175967646203</v>
      </c>
      <c r="AJ5582">
        <v>94.174766606858299</v>
      </c>
      <c r="AK5582">
        <v>12.100550233624499</v>
      </c>
      <c r="AL5582">
        <v>94.281065527257397</v>
      </c>
      <c r="AM5582">
        <v>92.192317100600604</v>
      </c>
      <c r="AN5582">
        <v>0.999999945445602</v>
      </c>
    </row>
    <row r="5583" spans="1:40" x14ac:dyDescent="0.25">
      <c r="A5583" t="str">
        <f>"20190303154921014"</f>
        <v>20190303154921014</v>
      </c>
      <c r="B5583" t="str">
        <f>"1551599361006932"</f>
        <v>1551599361006932</v>
      </c>
      <c r="C5583" t="s">
        <v>40</v>
      </c>
      <c r="D5583">
        <v>5.0750330000000003</v>
      </c>
      <c r="E5583">
        <v>0.48670079999999999</v>
      </c>
      <c r="F5583" t="s">
        <v>59</v>
      </c>
      <c r="G5583">
        <v>-418.2131</v>
      </c>
      <c r="H5583" s="1">
        <v>-1.040385E-5</v>
      </c>
      <c r="I5583">
        <v>140.90289999999999</v>
      </c>
      <c r="J5583">
        <v>-406.24509999999998</v>
      </c>
      <c r="K5583">
        <v>1.121882</v>
      </c>
      <c r="L5583">
        <v>141.77099999999999</v>
      </c>
      <c r="M5583">
        <v>-0.99991269999999999</v>
      </c>
      <c r="N5583">
        <v>-1.3129450000000001E-2</v>
      </c>
      <c r="O5583">
        <v>1.492478E-3</v>
      </c>
      <c r="P5583">
        <v>-0.99530629999999998</v>
      </c>
      <c r="Q5583">
        <v>-8.7785329999999995E-2</v>
      </c>
      <c r="R5583">
        <v>-4.0730809999999999E-2</v>
      </c>
      <c r="S5583">
        <v>-2.9817200000000001</v>
      </c>
      <c r="T5583">
        <v>-0.2751673</v>
      </c>
      <c r="U5583">
        <v>-0.21321109999999999</v>
      </c>
      <c r="V5583">
        <v>-4.2042099999999999E-2</v>
      </c>
      <c r="W5583">
        <v>-7.4808890000000003E-2</v>
      </c>
      <c r="X5583">
        <v>0.99631119999999995</v>
      </c>
      <c r="Y5583">
        <v>-7.2457740000000007E-2</v>
      </c>
      <c r="Z5583">
        <v>-3.9272300000000003E-3</v>
      </c>
      <c r="AA5583">
        <v>0.99736369999999996</v>
      </c>
      <c r="AB5583">
        <v>20</v>
      </c>
      <c r="AC5583">
        <v>-11.968</v>
      </c>
      <c r="AD5583">
        <v>-1.12189240385</v>
      </c>
      <c r="AE5583">
        <v>-0.86810000000002596</v>
      </c>
      <c r="AF5583">
        <v>-0.87828512046859997</v>
      </c>
      <c r="AG5583">
        <v>-1.12189240385</v>
      </c>
      <c r="AH5583">
        <v>11.8629919507827</v>
      </c>
      <c r="AI5583">
        <v>95.387780311349204</v>
      </c>
      <c r="AJ5583">
        <v>94.234209114351998</v>
      </c>
      <c r="AK5583">
        <v>11.948246956896501</v>
      </c>
      <c r="AL5583">
        <v>94.290241842212097</v>
      </c>
      <c r="AM5583">
        <v>92.416319973943004</v>
      </c>
      <c r="AN5583">
        <v>0.99999995772044004</v>
      </c>
    </row>
    <row r="5584" spans="1:40" x14ac:dyDescent="0.25">
      <c r="A5584" t="str">
        <f>"20190303154921036"</f>
        <v>20190303154921036</v>
      </c>
      <c r="B5584" t="str">
        <f>"1551599361026452"</f>
        <v>1551599361026452</v>
      </c>
      <c r="C5584" t="s">
        <v>40</v>
      </c>
      <c r="D5584">
        <v>5.1234409999999997</v>
      </c>
      <c r="E5584">
        <v>0.4870061</v>
      </c>
      <c r="F5584" t="s">
        <v>59</v>
      </c>
      <c r="G5584">
        <v>-418.3372</v>
      </c>
      <c r="H5584" s="1">
        <v>-1.0372590000000001E-5</v>
      </c>
      <c r="I5584">
        <v>140.8449</v>
      </c>
      <c r="J5584">
        <v>-406.43700000000001</v>
      </c>
      <c r="K5584">
        <v>1.1220289999999999</v>
      </c>
      <c r="L5584">
        <v>141.76920000000001</v>
      </c>
      <c r="M5584">
        <v>-0.99991379999999996</v>
      </c>
      <c r="N5584">
        <v>-1.3132619999999999E-2</v>
      </c>
      <c r="O5584">
        <v>-3.0309880000000002E-4</v>
      </c>
      <c r="P5584">
        <v>-0.99503010000000003</v>
      </c>
      <c r="Q5584">
        <v>-8.7270890000000004E-2</v>
      </c>
      <c r="R5584">
        <v>-4.7948810000000001E-2</v>
      </c>
      <c r="S5584">
        <v>-2.9803769999999998</v>
      </c>
      <c r="T5584">
        <v>-0.27651409999999998</v>
      </c>
      <c r="U5584">
        <v>-0.228241</v>
      </c>
      <c r="V5584">
        <v>-4.7449100000000001E-2</v>
      </c>
      <c r="W5584">
        <v>-7.4322760000000002E-2</v>
      </c>
      <c r="X5584">
        <v>0.99610480000000001</v>
      </c>
      <c r="Y5584">
        <v>-7.5687050000000006E-2</v>
      </c>
      <c r="Z5584">
        <v>-3.9733329999999999E-3</v>
      </c>
      <c r="AA5584">
        <v>0.99712369999999995</v>
      </c>
      <c r="AB5584">
        <v>20</v>
      </c>
      <c r="AC5584">
        <v>-11.9002</v>
      </c>
      <c r="AD5584">
        <v>-1.12203937259</v>
      </c>
      <c r="AE5584">
        <v>-0.924300000000016</v>
      </c>
      <c r="AF5584">
        <v>-0.91262798982315396</v>
      </c>
      <c r="AG5584">
        <v>-1.12203937259</v>
      </c>
      <c r="AH5584">
        <v>11.7962385074553</v>
      </c>
      <c r="AI5584">
        <v>95.417443634908096</v>
      </c>
      <c r="AJ5584">
        <v>94.423933814388505</v>
      </c>
      <c r="AK5584">
        <v>11.884574250944899</v>
      </c>
      <c r="AL5584">
        <v>94.262310572673698</v>
      </c>
      <c r="AM5584">
        <v>92.727202719798001</v>
      </c>
      <c r="AN5584">
        <v>1.0000000311639301</v>
      </c>
    </row>
    <row r="5585" spans="1:40" x14ac:dyDescent="0.25">
      <c r="A5585" t="str">
        <f>"20190303154921059"</f>
        <v>20190303154921059</v>
      </c>
      <c r="B5585" t="str">
        <f>"1551599361056708"</f>
        <v>1551599361056708</v>
      </c>
      <c r="C5585" t="s">
        <v>40</v>
      </c>
      <c r="D5585">
        <v>5.081054</v>
      </c>
      <c r="E5585">
        <v>0.48747309999999999</v>
      </c>
      <c r="F5585" t="s">
        <v>59</v>
      </c>
      <c r="G5585">
        <v>-418.63659999999999</v>
      </c>
      <c r="H5585" s="1">
        <v>-1.031492E-5</v>
      </c>
      <c r="I5585">
        <v>140.75559999999999</v>
      </c>
      <c r="J5585">
        <v>-406.63569999999999</v>
      </c>
      <c r="K5585">
        <v>1.122196</v>
      </c>
      <c r="L5585">
        <v>141.76679999999999</v>
      </c>
      <c r="M5585">
        <v>-0.99991079999999999</v>
      </c>
      <c r="N5585">
        <v>-1.314073E-2</v>
      </c>
      <c r="O5585">
        <v>-2.4132060000000002E-3</v>
      </c>
      <c r="P5585">
        <v>-0.99466330000000003</v>
      </c>
      <c r="Q5585">
        <v>-8.6524110000000001E-2</v>
      </c>
      <c r="R5585">
        <v>-5.6202149999999999E-2</v>
      </c>
      <c r="S5585">
        <v>-2.979034</v>
      </c>
      <c r="T5585">
        <v>-0.27399230000000002</v>
      </c>
      <c r="U5585">
        <v>-0.2475281</v>
      </c>
      <c r="V5585">
        <v>-5.3576350000000002E-2</v>
      </c>
      <c r="W5585">
        <v>-7.3608460000000001E-2</v>
      </c>
      <c r="X5585">
        <v>0.99584700000000004</v>
      </c>
      <c r="Y5585">
        <v>-8.0022930000000006E-2</v>
      </c>
      <c r="Z5585">
        <v>-4.0044379999999999E-3</v>
      </c>
      <c r="AA5585">
        <v>0.99678500000000003</v>
      </c>
      <c r="AB5585">
        <v>20</v>
      </c>
      <c r="AC5585">
        <v>-12.0009</v>
      </c>
      <c r="AD5585">
        <v>-1.1222063149199999</v>
      </c>
      <c r="AE5585">
        <v>-1.0112000000000001</v>
      </c>
      <c r="AF5585">
        <v>-0.97377906598512598</v>
      </c>
      <c r="AG5585">
        <v>-1.1222063149199999</v>
      </c>
      <c r="AH5585">
        <v>11.8999837715086</v>
      </c>
      <c r="AI5585">
        <v>95.369400312524306</v>
      </c>
      <c r="AJ5585">
        <v>94.678106719931506</v>
      </c>
      <c r="AK5585">
        <v>11.992381183266501</v>
      </c>
      <c r="AL5585">
        <v>94.221272173611197</v>
      </c>
      <c r="AM5585">
        <v>93.079531501700203</v>
      </c>
      <c r="AN5585">
        <v>0.99999993903594497</v>
      </c>
    </row>
    <row r="5586" spans="1:40" x14ac:dyDescent="0.25">
      <c r="A5586" t="str">
        <f>"20190303154921082"</f>
        <v>20190303154921082</v>
      </c>
      <c r="B5586" t="str">
        <f>"1551599361076227"</f>
        <v>1551599361076227</v>
      </c>
      <c r="C5586" t="s">
        <v>40</v>
      </c>
      <c r="D5586">
        <v>5.0592790000000001</v>
      </c>
      <c r="E5586">
        <v>0.487784</v>
      </c>
      <c r="F5586" t="s">
        <v>59</v>
      </c>
      <c r="G5586">
        <v>-418.95209999999997</v>
      </c>
      <c r="H5586" s="1">
        <v>-1.0252339999999999E-5</v>
      </c>
      <c r="I5586">
        <v>140.65629999999999</v>
      </c>
      <c r="J5586">
        <v>-406.83109999999999</v>
      </c>
      <c r="K5586">
        <v>1.122363</v>
      </c>
      <c r="L5586">
        <v>141.7636</v>
      </c>
      <c r="M5586">
        <v>-0.99990219999999996</v>
      </c>
      <c r="N5586">
        <v>-1.315589E-2</v>
      </c>
      <c r="O5586">
        <v>-4.7553710000000004E-3</v>
      </c>
      <c r="P5586">
        <v>-0.99408680000000005</v>
      </c>
      <c r="Q5586">
        <v>-8.6387160000000005E-2</v>
      </c>
      <c r="R5586">
        <v>-6.5795980000000004E-2</v>
      </c>
      <c r="S5586">
        <v>-2.977325</v>
      </c>
      <c r="T5586">
        <v>-0.27127709999999999</v>
      </c>
      <c r="U5586">
        <v>-0.26844790000000002</v>
      </c>
      <c r="V5586">
        <v>-6.081404E-2</v>
      </c>
      <c r="W5586">
        <v>-7.3508050000000005E-2</v>
      </c>
      <c r="X5586">
        <v>0.99543870000000001</v>
      </c>
      <c r="Y5586">
        <v>-8.4677870000000002E-2</v>
      </c>
      <c r="Z5586">
        <v>-4.0322719999999999E-3</v>
      </c>
      <c r="AA5586">
        <v>0.99640019999999996</v>
      </c>
      <c r="AB5586">
        <v>20</v>
      </c>
      <c r="AC5586">
        <v>-12.120999999999899</v>
      </c>
      <c r="AD5586">
        <v>-1.1223732523400001</v>
      </c>
      <c r="AE5586">
        <v>-1.1073</v>
      </c>
      <c r="AF5586">
        <v>-1.04079245252815</v>
      </c>
      <c r="AG5586">
        <v>-1.1223732523400001</v>
      </c>
      <c r="AH5586">
        <v>12.0238860961184</v>
      </c>
      <c r="AI5586">
        <v>95.313085378725205</v>
      </c>
      <c r="AJ5586">
        <v>94.947214478144602</v>
      </c>
      <c r="AK5586">
        <v>12.120924366534</v>
      </c>
      <c r="AL5586">
        <v>94.215503247582504</v>
      </c>
      <c r="AM5586">
        <v>93.496008906304198</v>
      </c>
      <c r="AN5586">
        <v>0.99999999316680699</v>
      </c>
    </row>
    <row r="5587" spans="1:40" x14ac:dyDescent="0.25">
      <c r="A5587" t="str">
        <f>"20190303154921103"</f>
        <v>20190303154921103</v>
      </c>
      <c r="B5587" t="str">
        <f>"1551599361096724"</f>
        <v>1551599361096724</v>
      </c>
      <c r="C5587" t="s">
        <v>40</v>
      </c>
      <c r="D5587">
        <v>5.060613</v>
      </c>
      <c r="E5587">
        <v>0.48797180000000001</v>
      </c>
      <c r="F5587" t="s">
        <v>59</v>
      </c>
      <c r="G5587">
        <v>-419.13170000000002</v>
      </c>
      <c r="H5587" s="1">
        <v>-1.0197630000000001E-5</v>
      </c>
      <c r="I5587">
        <v>140.5454</v>
      </c>
      <c r="J5587">
        <v>-407.02089999999998</v>
      </c>
      <c r="K5587">
        <v>1.122517</v>
      </c>
      <c r="L5587">
        <v>141.75970000000001</v>
      </c>
      <c r="M5587">
        <v>-0.99988650000000001</v>
      </c>
      <c r="N5587">
        <v>-1.3175050000000001E-2</v>
      </c>
      <c r="O5587">
        <v>-7.296421E-3</v>
      </c>
      <c r="P5587">
        <v>-0.99336639999999998</v>
      </c>
      <c r="Q5587">
        <v>-8.6937879999999995E-2</v>
      </c>
      <c r="R5587">
        <v>-7.526621E-2</v>
      </c>
      <c r="S5587">
        <v>-2.9747919999999999</v>
      </c>
      <c r="T5587">
        <v>-0.27143610000000001</v>
      </c>
      <c r="U5587">
        <v>-0.29461670000000001</v>
      </c>
      <c r="V5587">
        <v>-6.7732500000000001E-2</v>
      </c>
      <c r="W5587">
        <v>-7.4095540000000001E-2</v>
      </c>
      <c r="X5587">
        <v>0.99494830000000001</v>
      </c>
      <c r="Y5587">
        <v>-9.0884919999999994E-2</v>
      </c>
      <c r="Z5587">
        <v>-4.1624210000000003E-3</v>
      </c>
      <c r="AA5587">
        <v>0.99585270000000004</v>
      </c>
      <c r="AB5587">
        <v>20</v>
      </c>
      <c r="AC5587">
        <v>-12.110799999999999</v>
      </c>
      <c r="AD5587">
        <v>-1.12252719763</v>
      </c>
      <c r="AE5587">
        <v>-1.2142999999999999</v>
      </c>
      <c r="AF5587">
        <v>-1.1163988801626099</v>
      </c>
      <c r="AG5587">
        <v>-1.12252719763</v>
      </c>
      <c r="AH5587">
        <v>12.017125781671201</v>
      </c>
      <c r="AI5587">
        <v>95.313799565663302</v>
      </c>
      <c r="AJ5587">
        <v>95.307581458551695</v>
      </c>
      <c r="AK5587">
        <v>12.1209622481697</v>
      </c>
      <c r="AL5587">
        <v>94.249256047404899</v>
      </c>
      <c r="AM5587">
        <v>93.894481719994104</v>
      </c>
      <c r="AN5587">
        <v>0.99999998013851499</v>
      </c>
    </row>
    <row r="5588" spans="1:40" x14ac:dyDescent="0.25">
      <c r="A5588" t="str">
        <f>"20190303154921126"</f>
        <v>20190303154921126</v>
      </c>
      <c r="B5588" t="str">
        <f>"1551599361116244"</f>
        <v>1551599361116244</v>
      </c>
      <c r="C5588" t="s">
        <v>40</v>
      </c>
      <c r="D5588">
        <v>5.0682229999999997</v>
      </c>
      <c r="E5588">
        <v>0.50113249999999998</v>
      </c>
      <c r="F5588" t="s">
        <v>59</v>
      </c>
      <c r="G5588">
        <v>-419.20600000000002</v>
      </c>
      <c r="H5588" s="1">
        <v>-1.0154620000000001E-5</v>
      </c>
      <c r="I5588">
        <v>140.44149999999999</v>
      </c>
      <c r="J5588">
        <v>-407.21600000000001</v>
      </c>
      <c r="K5588">
        <v>1.122657</v>
      </c>
      <c r="L5588">
        <v>141.75489999999999</v>
      </c>
      <c r="M5588">
        <v>-0.99986169999999996</v>
      </c>
      <c r="N5588">
        <v>-1.319498E-2</v>
      </c>
      <c r="O5588">
        <v>-1.01364E-2</v>
      </c>
      <c r="P5588">
        <v>-0.99239889999999997</v>
      </c>
      <c r="Q5588">
        <v>-8.6982879999999999E-2</v>
      </c>
      <c r="R5588">
        <v>-8.7056149999999999E-2</v>
      </c>
      <c r="S5588">
        <v>-2.9717099999999999</v>
      </c>
      <c r="T5588">
        <v>-0.2737617</v>
      </c>
      <c r="U5588">
        <v>-0.32148739999999998</v>
      </c>
      <c r="V5588">
        <v>-7.6684420000000003E-2</v>
      </c>
      <c r="W5588">
        <v>-7.4188249999999997E-2</v>
      </c>
      <c r="X5588">
        <v>0.99429149999999999</v>
      </c>
      <c r="Y5588">
        <v>-9.7037200000000004E-2</v>
      </c>
      <c r="Z5588">
        <v>-4.2951100000000004E-3</v>
      </c>
      <c r="AA5588">
        <v>0.99527149999999998</v>
      </c>
      <c r="AB5588">
        <v>20</v>
      </c>
      <c r="AC5588">
        <v>-11.989999999999901</v>
      </c>
      <c r="AD5588">
        <v>-1.12266715462</v>
      </c>
      <c r="AE5588">
        <v>-1.3133999999999999</v>
      </c>
      <c r="AF5588">
        <v>-1.18155038404098</v>
      </c>
      <c r="AG5588">
        <v>-1.12266715462</v>
      </c>
      <c r="AH5588">
        <v>11.899608314672401</v>
      </c>
      <c r="AI5588">
        <v>95.363391058744497</v>
      </c>
      <c r="AJ5588">
        <v>95.670495571212697</v>
      </c>
      <c r="AK5588">
        <v>12.0107085924482</v>
      </c>
      <c r="AL5588">
        <v>94.254582549610603</v>
      </c>
      <c r="AM5588">
        <v>94.410188593377597</v>
      </c>
      <c r="AN5588">
        <v>0.99999999184052402</v>
      </c>
    </row>
    <row r="5589" spans="1:40" x14ac:dyDescent="0.25">
      <c r="A5589" t="str">
        <f>"20190303154921149"</f>
        <v>20190303154921149</v>
      </c>
      <c r="B5589" t="str">
        <f>"1551599361146500"</f>
        <v>1551599361146500</v>
      </c>
      <c r="C5589" t="s">
        <v>40</v>
      </c>
      <c r="D5589">
        <v>5.0816990000000004</v>
      </c>
      <c r="E5589">
        <v>0.50174129999999995</v>
      </c>
      <c r="F5589" t="s">
        <v>59</v>
      </c>
      <c r="G5589">
        <v>-421.59199999999998</v>
      </c>
      <c r="H5589" s="1">
        <v>-1.03885899999999E-5</v>
      </c>
      <c r="I5589">
        <v>140.53880000000001</v>
      </c>
      <c r="J5589">
        <v>-407.41669999999999</v>
      </c>
      <c r="K5589">
        <v>1.12277</v>
      </c>
      <c r="L5589">
        <v>141.7491</v>
      </c>
      <c r="M5589">
        <v>-0.9998243</v>
      </c>
      <c r="N5589">
        <v>-1.321408E-2</v>
      </c>
      <c r="O5589">
        <v>-1.3296850000000001E-2</v>
      </c>
      <c r="P5589">
        <v>-0.99121490000000001</v>
      </c>
      <c r="Q5589">
        <v>-8.6461960000000004E-2</v>
      </c>
      <c r="R5589">
        <v>-0.1000867</v>
      </c>
      <c r="S5589">
        <v>-2.9804379999999999</v>
      </c>
      <c r="T5589">
        <v>-0.23275100000000001</v>
      </c>
      <c r="U5589">
        <v>-0.25213619999999998</v>
      </c>
      <c r="V5589">
        <v>-8.6571599999999999E-2</v>
      </c>
      <c r="W5589">
        <v>-7.3723639999999993E-2</v>
      </c>
      <c r="X5589">
        <v>0.99351409999999996</v>
      </c>
      <c r="Y5589">
        <v>-7.0814970000000005E-2</v>
      </c>
      <c r="Z5589">
        <v>-2.3659340000000001E-3</v>
      </c>
      <c r="AA5589">
        <v>0.99748669999999995</v>
      </c>
      <c r="AB5589">
        <v>20</v>
      </c>
      <c r="AC5589">
        <v>-14.175299999999901</v>
      </c>
      <c r="AD5589">
        <v>-1.1227803885900001</v>
      </c>
      <c r="AE5589">
        <v>-1.2102999999999799</v>
      </c>
      <c r="AF5589">
        <v>-1.01536567266329</v>
      </c>
      <c r="AG5589">
        <v>-1.1227803885900001</v>
      </c>
      <c r="AH5589">
        <v>14.102307539720901</v>
      </c>
      <c r="AI5589">
        <v>94.540399470264205</v>
      </c>
      <c r="AJ5589">
        <v>94.118187803495303</v>
      </c>
      <c r="AK5589">
        <v>14.183324053094699</v>
      </c>
      <c r="AL5589">
        <v>94.2278890454144</v>
      </c>
      <c r="AM5589">
        <v>94.979989977940306</v>
      </c>
      <c r="AN5589">
        <v>1.0000000419601001</v>
      </c>
    </row>
    <row r="5590" spans="1:40" x14ac:dyDescent="0.25">
      <c r="A5590" t="str">
        <f>"20190303154921170"</f>
        <v>20190303154921170</v>
      </c>
      <c r="B5590" t="str">
        <f>"1551599361166750"</f>
        <v>1551599361166750</v>
      </c>
      <c r="C5590" t="s">
        <v>40</v>
      </c>
      <c r="D5590">
        <v>5.328722</v>
      </c>
      <c r="E5590">
        <v>0.47753669999999998</v>
      </c>
      <c r="F5590" t="s">
        <v>59</v>
      </c>
      <c r="G5590">
        <v>-421.84429999999998</v>
      </c>
      <c r="H5590" s="1">
        <v>-1.035611E-5</v>
      </c>
      <c r="I5590">
        <v>140.3603</v>
      </c>
      <c r="J5590">
        <v>-407.60210000000001</v>
      </c>
      <c r="K5590">
        <v>1.122878</v>
      </c>
      <c r="L5590">
        <v>141.74299999999999</v>
      </c>
      <c r="M5590">
        <v>-0.99977740000000004</v>
      </c>
      <c r="N5590">
        <v>-1.3231079999999999E-2</v>
      </c>
      <c r="O5590">
        <v>-1.6440429999999999E-2</v>
      </c>
      <c r="P5590">
        <v>-0.98976160000000002</v>
      </c>
      <c r="Q5590">
        <v>-8.6248729999999996E-2</v>
      </c>
      <c r="R5590">
        <v>-0.1137261</v>
      </c>
      <c r="S5590">
        <v>-2.9774479999999999</v>
      </c>
      <c r="T5590">
        <v>-0.2317089</v>
      </c>
      <c r="U5590">
        <v>-0.28662110000000002</v>
      </c>
      <c r="V5590">
        <v>-9.7095150000000005E-2</v>
      </c>
      <c r="W5590">
        <v>-7.3576359999999993E-2</v>
      </c>
      <c r="X5590">
        <v>0.99255179999999998</v>
      </c>
      <c r="Y5590">
        <v>-7.9197879999999998E-2</v>
      </c>
      <c r="Z5590">
        <v>-2.5385680000000002E-3</v>
      </c>
      <c r="AA5590">
        <v>0.99685570000000001</v>
      </c>
      <c r="AB5590">
        <v>20</v>
      </c>
      <c r="AC5590">
        <v>-14.242199999999899</v>
      </c>
      <c r="AD5590">
        <v>-1.12288835611</v>
      </c>
      <c r="AE5590">
        <v>-1.38269999999999</v>
      </c>
      <c r="AF5590">
        <v>-1.1413164161037299</v>
      </c>
      <c r="AG5590">
        <v>-1.12288835611</v>
      </c>
      <c r="AH5590">
        <v>14.175713893363101</v>
      </c>
      <c r="AI5590">
        <v>94.514515682279693</v>
      </c>
      <c r="AJ5590">
        <v>94.603074334965001</v>
      </c>
      <c r="AK5590">
        <v>14.265845429151501</v>
      </c>
      <c r="AL5590">
        <v>94.219427668593795</v>
      </c>
      <c r="AM5590">
        <v>95.587111956334894</v>
      </c>
      <c r="AN5590">
        <v>1.0000000122938</v>
      </c>
    </row>
    <row r="5591" spans="1:40" x14ac:dyDescent="0.25">
      <c r="A5591" t="str">
        <f>"20190303154921194"</f>
        <v>20190303154921194</v>
      </c>
      <c r="B5591" t="str">
        <f>"1551599361186270"</f>
        <v>1551599361186270</v>
      </c>
      <c r="C5591" t="s">
        <v>40</v>
      </c>
      <c r="D5591">
        <v>5.2579250000000002</v>
      </c>
      <c r="E5591">
        <v>0.46479039999999999</v>
      </c>
      <c r="F5591" t="s">
        <v>59</v>
      </c>
      <c r="G5591">
        <v>-419.86290000000002</v>
      </c>
      <c r="H5591" s="1">
        <v>-9.79289E-6</v>
      </c>
      <c r="I5591">
        <v>139.58369999999999</v>
      </c>
      <c r="J5591">
        <v>-407.80349999999999</v>
      </c>
      <c r="K5591">
        <v>1.1230009999999999</v>
      </c>
      <c r="L5591">
        <v>141.7354</v>
      </c>
      <c r="M5591">
        <v>-0.99970999999999999</v>
      </c>
      <c r="N5591">
        <v>-1.3250120000000001E-2</v>
      </c>
      <c r="O5591">
        <v>-2.0106229999999999E-2</v>
      </c>
      <c r="P5591">
        <v>-0.9879753</v>
      </c>
      <c r="Q5591">
        <v>-8.712491E-2</v>
      </c>
      <c r="R5591">
        <v>-0.12772649999999999</v>
      </c>
      <c r="S5591">
        <v>-2.9478149999999999</v>
      </c>
      <c r="T5591">
        <v>-0.26997149999999998</v>
      </c>
      <c r="U5591">
        <v>-0.51916499999999999</v>
      </c>
      <c r="V5591">
        <v>-0.1074669</v>
      </c>
      <c r="W5591">
        <v>-7.4527960000000004E-2</v>
      </c>
      <c r="X5591">
        <v>0.9914113</v>
      </c>
      <c r="Y5591">
        <v>-0.1529577</v>
      </c>
      <c r="Z5591">
        <v>-6.4013739999999996E-3</v>
      </c>
      <c r="AA5591">
        <v>0.98821199999999998</v>
      </c>
      <c r="AB5591">
        <v>19</v>
      </c>
      <c r="AC5591">
        <v>-12.0594</v>
      </c>
      <c r="AD5591">
        <v>-1.1230107928899999</v>
      </c>
      <c r="AE5591">
        <v>-2.1516999999999999</v>
      </c>
      <c r="AF5591">
        <v>-1.8928662096283899</v>
      </c>
      <c r="AG5591">
        <v>-1.1230107928899999</v>
      </c>
      <c r="AH5591">
        <v>11.999380705774399</v>
      </c>
      <c r="AI5591">
        <v>95.281748424697795</v>
      </c>
      <c r="AJ5591">
        <v>98.964367168288007</v>
      </c>
      <c r="AK5591">
        <v>12.1995587236019</v>
      </c>
      <c r="AL5591">
        <v>94.274100674997996</v>
      </c>
      <c r="AM5591">
        <v>96.186586456386905</v>
      </c>
      <c r="AN5591">
        <v>0.99999995859252999</v>
      </c>
    </row>
    <row r="5592" spans="1:40" x14ac:dyDescent="0.25">
      <c r="A5592" t="str">
        <f>"20190303154921215"</f>
        <v>20190303154921215</v>
      </c>
      <c r="B5592" t="str">
        <f>"1551599361206766"</f>
        <v>1551599361206766</v>
      </c>
      <c r="C5592" t="s">
        <v>40</v>
      </c>
      <c r="D5592">
        <v>5.102436</v>
      </c>
      <c r="E5592">
        <v>0.396924</v>
      </c>
      <c r="F5592" t="s">
        <v>59</v>
      </c>
      <c r="G5592">
        <v>-419.82760000000002</v>
      </c>
      <c r="H5592" s="1">
        <v>-9.5624830000000005E-6</v>
      </c>
      <c r="I5592">
        <v>139.01750000000001</v>
      </c>
      <c r="J5592">
        <v>-407.98849999999999</v>
      </c>
      <c r="K5592">
        <v>1.12312099999999</v>
      </c>
      <c r="L5592">
        <v>141.72749999999999</v>
      </c>
      <c r="M5592">
        <v>-0.99963089999999999</v>
      </c>
      <c r="N5592">
        <v>-1.326858E-2</v>
      </c>
      <c r="O5592">
        <v>-2.3714309999999999E-2</v>
      </c>
      <c r="P5592">
        <v>-0.98590029999999995</v>
      </c>
      <c r="Q5592">
        <v>-8.8149950000000005E-2</v>
      </c>
      <c r="R5592">
        <v>-0.14223440000000001</v>
      </c>
      <c r="S5592">
        <v>-2.9268800000000001</v>
      </c>
      <c r="T5592">
        <v>-0.27336080000000001</v>
      </c>
      <c r="U5592">
        <v>-0.66159060000000003</v>
      </c>
      <c r="V5592">
        <v>-0.1184163</v>
      </c>
      <c r="W5592">
        <v>-7.5642780000000007E-2</v>
      </c>
      <c r="X5592">
        <v>0.99007869999999998</v>
      </c>
      <c r="Y5592">
        <v>-0.1964216</v>
      </c>
      <c r="Z5592">
        <v>-8.4912010000000003E-3</v>
      </c>
      <c r="AA5592">
        <v>0.98048279999999999</v>
      </c>
      <c r="AB5592">
        <v>19</v>
      </c>
      <c r="AC5592">
        <v>-11.8391</v>
      </c>
      <c r="AD5592">
        <v>-1.1231305624829999</v>
      </c>
      <c r="AE5592">
        <v>-2.7099999999999702</v>
      </c>
      <c r="AF5592">
        <v>-2.40786605869028</v>
      </c>
      <c r="AG5592">
        <v>-1.1231305624829999</v>
      </c>
      <c r="AH5592">
        <v>11.799140711059801</v>
      </c>
      <c r="AI5592">
        <v>95.328293110027005</v>
      </c>
      <c r="AJ5592">
        <v>101.534052655484</v>
      </c>
      <c r="AK5592">
        <v>12.0945840249412</v>
      </c>
      <c r="AL5592">
        <v>94.338155623901599</v>
      </c>
      <c r="AM5592">
        <v>96.820344113389396</v>
      </c>
      <c r="AN5592">
        <v>1.0000000412327501</v>
      </c>
    </row>
    <row r="5593" spans="1:40" x14ac:dyDescent="0.25">
      <c r="A5593" t="str">
        <f>"20190303154921237"</f>
        <v>20190303154921237</v>
      </c>
      <c r="B5593" t="str">
        <f>"1551599361226287"</f>
        <v>1551599361226287</v>
      </c>
      <c r="C5593" t="s">
        <v>40</v>
      </c>
      <c r="D5593">
        <v>5.1399140000000001</v>
      </c>
      <c r="E5593">
        <v>0.32911240000000003</v>
      </c>
      <c r="F5593" t="s">
        <v>59</v>
      </c>
      <c r="G5593">
        <v>-420.64429999999999</v>
      </c>
      <c r="H5593" s="1">
        <v>-8.5070470000000003E-6</v>
      </c>
      <c r="I5593">
        <v>136.20269999999999</v>
      </c>
      <c r="J5593">
        <v>-408.17950000000002</v>
      </c>
      <c r="K5593">
        <v>1.123273</v>
      </c>
      <c r="L5593">
        <v>141.7184</v>
      </c>
      <c r="M5593">
        <v>-0.99952819999999998</v>
      </c>
      <c r="N5593">
        <v>-1.328902E-2</v>
      </c>
      <c r="O5593">
        <v>-2.7689829999999999E-2</v>
      </c>
      <c r="P5593">
        <v>-0.98349850000000005</v>
      </c>
      <c r="Q5593">
        <v>-9.0260649999999998E-2</v>
      </c>
      <c r="R5593">
        <v>-0.1567916</v>
      </c>
      <c r="S5593">
        <v>-2.8414000000000001</v>
      </c>
      <c r="T5593">
        <v>-0.25215729999999997</v>
      </c>
      <c r="U5593">
        <v>-1.240402</v>
      </c>
      <c r="V5593">
        <v>-0.12906099999999901</v>
      </c>
      <c r="W5593">
        <v>-7.7856579999999995E-2</v>
      </c>
      <c r="X5593">
        <v>0.9885756</v>
      </c>
      <c r="Y5593">
        <v>-0.37317719999999999</v>
      </c>
      <c r="Z5593">
        <v>-1.6411780000000001E-2</v>
      </c>
      <c r="AA5593">
        <v>0.92761490000000002</v>
      </c>
      <c r="AB5593">
        <v>19</v>
      </c>
      <c r="AC5593">
        <v>-12.464799999999901</v>
      </c>
      <c r="AD5593">
        <v>-1.1232815070469999</v>
      </c>
      <c r="AE5593">
        <v>-5.5157000000000096</v>
      </c>
      <c r="AF5593">
        <v>-5.1335432166231199</v>
      </c>
      <c r="AG5593">
        <v>-1.1232815070469999</v>
      </c>
      <c r="AH5593">
        <v>12.5276842477572</v>
      </c>
      <c r="AI5593">
        <v>94.742867820156803</v>
      </c>
      <c r="AJ5593">
        <v>112.28263660458001</v>
      </c>
      <c r="AK5593">
        <v>13.585208865251801</v>
      </c>
      <c r="AL5593">
        <v>94.465372229010597</v>
      </c>
      <c r="AM5593">
        <v>97.438038838131007</v>
      </c>
      <c r="AN5593">
        <v>1.0000000528428199</v>
      </c>
    </row>
    <row r="5594" spans="1:40" x14ac:dyDescent="0.25">
      <c r="A5594" t="str">
        <f>"20190303154921260"</f>
        <v>20190303154921260</v>
      </c>
      <c r="B5594" t="str">
        <f>"1551599361256138"</f>
        <v>1551599361256138</v>
      </c>
      <c r="C5594" t="s">
        <v>40</v>
      </c>
      <c r="D5594">
        <v>5.2458619999999998</v>
      </c>
      <c r="E5594">
        <v>0.32911240000000003</v>
      </c>
      <c r="F5594" t="s">
        <v>42</v>
      </c>
      <c r="G5594">
        <v>-408.91239999999999</v>
      </c>
      <c r="H5594">
        <v>1.0117400000000001</v>
      </c>
      <c r="I5594">
        <v>141.22999999999999</v>
      </c>
      <c r="J5594">
        <v>-408.3716</v>
      </c>
      <c r="K5594">
        <v>1.123448</v>
      </c>
      <c r="L5594">
        <v>141.7081</v>
      </c>
      <c r="M5594">
        <v>-0.99939990000000001</v>
      </c>
      <c r="N5594">
        <v>-1.3310870000000001E-2</v>
      </c>
      <c r="O5594">
        <v>-3.1977310000000002E-2</v>
      </c>
      <c r="P5594">
        <v>-0.98129489999999997</v>
      </c>
      <c r="Q5594">
        <v>-8.9409660000000002E-2</v>
      </c>
      <c r="R5594">
        <v>-0.170488</v>
      </c>
      <c r="S5594">
        <v>-2.7229610000000002</v>
      </c>
      <c r="T5594">
        <v>-0.41438359999999902</v>
      </c>
      <c r="U5594">
        <v>-1.8152010000000001</v>
      </c>
      <c r="V5594">
        <v>-0.13855629999999999</v>
      </c>
      <c r="W5594">
        <v>-7.7111289999999999E-2</v>
      </c>
      <c r="X5594">
        <v>0.987348</v>
      </c>
      <c r="Y5594">
        <v>-0.52335149999999997</v>
      </c>
      <c r="Z5594">
        <v>-3.5829319999999998E-2</v>
      </c>
      <c r="AA5594">
        <v>0.85136329999999905</v>
      </c>
      <c r="AB5594">
        <v>19</v>
      </c>
      <c r="AC5594">
        <v>-0.54079999999998996</v>
      </c>
      <c r="AD5594">
        <v>-0.111708</v>
      </c>
      <c r="AE5594">
        <v>-0.47810000000001202</v>
      </c>
      <c r="AF5594">
        <v>-0.44978844528109002</v>
      </c>
      <c r="AG5594">
        <v>-0.111708</v>
      </c>
      <c r="AH5594">
        <v>0.54281306402296703</v>
      </c>
      <c r="AI5594">
        <v>99.004341551576402</v>
      </c>
      <c r="AJ5594">
        <v>129.64599299745001</v>
      </c>
      <c r="AK5594">
        <v>0.71374669543640001</v>
      </c>
      <c r="AL5594">
        <v>94.422541566166004</v>
      </c>
      <c r="AM5594">
        <v>97.988253580378597</v>
      </c>
      <c r="AN5594">
        <v>1.00000003620957</v>
      </c>
    </row>
    <row r="5595" spans="1:40" x14ac:dyDescent="0.25">
      <c r="A5595" t="str">
        <f>"20190303154921282"</f>
        <v>20190303154921282</v>
      </c>
      <c r="B5595" t="str">
        <f>"1551599361276634"</f>
        <v>1551599361276634</v>
      </c>
      <c r="C5595" t="s">
        <v>40</v>
      </c>
      <c r="D5595">
        <v>5.228993</v>
      </c>
      <c r="E5595">
        <v>0.2776382</v>
      </c>
      <c r="F5595" t="s">
        <v>42</v>
      </c>
      <c r="G5595">
        <v>-409.08229999999998</v>
      </c>
      <c r="H5595">
        <v>1.014413</v>
      </c>
      <c r="I5595">
        <v>141.21960000000001</v>
      </c>
      <c r="J5595">
        <v>-408.56540000000001</v>
      </c>
      <c r="K5595">
        <v>1.123658</v>
      </c>
      <c r="L5595">
        <v>141.69640000000001</v>
      </c>
      <c r="M5595">
        <v>-0.99923839999999997</v>
      </c>
      <c r="N5595">
        <v>-1.3339749999999999E-2</v>
      </c>
      <c r="O5595">
        <v>-3.6669529999999999E-2</v>
      </c>
      <c r="P5595">
        <v>-0.97892520000000005</v>
      </c>
      <c r="Q5595">
        <v>-8.7376239999999994E-2</v>
      </c>
      <c r="R5595">
        <v>-0.184583</v>
      </c>
      <c r="S5595">
        <v>-2.69754</v>
      </c>
      <c r="T5595">
        <v>-0.41382720000000001</v>
      </c>
      <c r="U5595">
        <v>-1.8527979999999999</v>
      </c>
      <c r="V5595">
        <v>-0.14807279999999901</v>
      </c>
      <c r="W5595">
        <v>-7.5193360000000001E-2</v>
      </c>
      <c r="X5595">
        <v>0.98611380000000004</v>
      </c>
      <c r="Y5595">
        <v>-0.53109510000000004</v>
      </c>
      <c r="Z5595">
        <v>-3.5948720000000003E-2</v>
      </c>
      <c r="AA5595">
        <v>0.84654929999999995</v>
      </c>
      <c r="AB5595">
        <v>19</v>
      </c>
      <c r="AC5595">
        <v>-0.51689999999996405</v>
      </c>
      <c r="AD5595">
        <v>-0.10924499999999999</v>
      </c>
      <c r="AE5595">
        <v>-0.476799999999997</v>
      </c>
      <c r="AF5595">
        <v>-0.44674176963662698</v>
      </c>
      <c r="AG5595">
        <v>-0.10924499999999999</v>
      </c>
      <c r="AH5595">
        <v>0.52145351271307006</v>
      </c>
      <c r="AI5595">
        <v>99.039872836239596</v>
      </c>
      <c r="AJ5595">
        <v>130.58745913695699</v>
      </c>
      <c r="AK5595">
        <v>0.69528874914230099</v>
      </c>
      <c r="AL5595">
        <v>94.312332341021801</v>
      </c>
      <c r="AM5595">
        <v>98.539614616121995</v>
      </c>
      <c r="AN5595">
        <v>1.00000001101918</v>
      </c>
    </row>
    <row r="5596" spans="1:40" x14ac:dyDescent="0.25">
      <c r="A5596" t="str">
        <f>"20190303154921304"</f>
        <v>20190303154921304</v>
      </c>
      <c r="B5596" t="str">
        <f>"1551599361296154"</f>
        <v>1551599361296154</v>
      </c>
      <c r="C5596" t="s">
        <v>40</v>
      </c>
      <c r="D5596">
        <v>5.2317809999999998</v>
      </c>
      <c r="E5596">
        <v>0.27876790000000001</v>
      </c>
      <c r="F5596" t="s">
        <v>59</v>
      </c>
      <c r="G5596">
        <v>-414.90839999999997</v>
      </c>
      <c r="H5596" s="1">
        <v>-8.6972310000000001E-6</v>
      </c>
      <c r="I5596">
        <v>136.0814</v>
      </c>
      <c r="J5596">
        <v>-408.75259999999997</v>
      </c>
      <c r="K5596">
        <v>1.123872</v>
      </c>
      <c r="L5596">
        <v>141.68369999999999</v>
      </c>
      <c r="M5596">
        <v>-0.99904570000000004</v>
      </c>
      <c r="N5596">
        <v>-1.3376570000000001E-2</v>
      </c>
      <c r="O5596">
        <v>-4.1578839999999999E-2</v>
      </c>
      <c r="P5596">
        <v>-0.97618950000000004</v>
      </c>
      <c r="Q5596">
        <v>-8.664434E-2</v>
      </c>
      <c r="R5596">
        <v>-0.19886480000000001</v>
      </c>
      <c r="S5596">
        <v>-2.5910950000000001</v>
      </c>
      <c r="T5596">
        <v>-0.4590127</v>
      </c>
      <c r="U5596">
        <v>-2.293701</v>
      </c>
      <c r="V5596">
        <v>-0.1575812</v>
      </c>
      <c r="W5596">
        <v>-7.4584949999999997E-2</v>
      </c>
      <c r="X5596">
        <v>0.98468540000000004</v>
      </c>
      <c r="Y5596">
        <v>-0.62535689999999999</v>
      </c>
      <c r="Z5596">
        <v>-4.6227509999999999E-2</v>
      </c>
      <c r="AA5596">
        <v>0.77896829999999995</v>
      </c>
      <c r="AB5596">
        <v>19</v>
      </c>
      <c r="AC5596">
        <v>-6.1557999999999904</v>
      </c>
      <c r="AD5596">
        <v>-1.123880697231</v>
      </c>
      <c r="AE5596">
        <v>-5.6022999999999801</v>
      </c>
      <c r="AF5596">
        <v>-5.2458382577590204</v>
      </c>
      <c r="AG5596">
        <v>-1.123880697231</v>
      </c>
      <c r="AH5596">
        <v>6.26913465146799</v>
      </c>
      <c r="AI5596">
        <v>97.828390330930006</v>
      </c>
      <c r="AJ5596">
        <v>129.92165967344101</v>
      </c>
      <c r="AK5596">
        <v>8.2513014807612794</v>
      </c>
      <c r="AL5596">
        <v>94.277374712508802</v>
      </c>
      <c r="AM5596">
        <v>99.092066090620406</v>
      </c>
      <c r="AN5596">
        <v>1.0000000431665499</v>
      </c>
    </row>
    <row r="5597" spans="1:40" x14ac:dyDescent="0.25">
      <c r="A5597" t="str">
        <f>"20190303154921326"</f>
        <v>20190303154921326</v>
      </c>
      <c r="B5597" t="str">
        <f>"1551599361316650"</f>
        <v>1551599361316650</v>
      </c>
      <c r="C5597" t="s">
        <v>40</v>
      </c>
      <c r="D5597">
        <v>5.2577179999999997</v>
      </c>
      <c r="E5597">
        <v>0.28027400000000002</v>
      </c>
      <c r="F5597" t="s">
        <v>59</v>
      </c>
      <c r="G5597">
        <v>-415.00139999999999</v>
      </c>
      <c r="H5597" s="1">
        <v>-8.6597770000000001E-6</v>
      </c>
      <c r="I5597">
        <v>136.01429999999999</v>
      </c>
      <c r="J5597">
        <v>-408.9402</v>
      </c>
      <c r="K5597">
        <v>1.124061</v>
      </c>
      <c r="L5597">
        <v>141.66980000000001</v>
      </c>
      <c r="M5597">
        <v>-0.9988127</v>
      </c>
      <c r="N5597">
        <v>-1.3418309999999999E-2</v>
      </c>
      <c r="O5597">
        <v>-4.6830740000000003E-2</v>
      </c>
      <c r="P5597">
        <v>-0.97413590000000005</v>
      </c>
      <c r="Q5597">
        <v>-8.7290939999999997E-2</v>
      </c>
      <c r="R5597">
        <v>-0.208422</v>
      </c>
      <c r="S5597">
        <v>-2.5592959999999998</v>
      </c>
      <c r="T5597">
        <v>-0.46030470000000001</v>
      </c>
      <c r="U5597">
        <v>-2.3219910000000001</v>
      </c>
      <c r="V5597">
        <v>-0.16201160000000001</v>
      </c>
      <c r="W5597">
        <v>-7.5308169999999994E-2</v>
      </c>
      <c r="X5597">
        <v>0.98391099999999998</v>
      </c>
      <c r="Y5597">
        <v>-0.63069359999999997</v>
      </c>
      <c r="Z5597">
        <v>-4.6342179999999997E-2</v>
      </c>
      <c r="AA5597">
        <v>0.77464709999999903</v>
      </c>
      <c r="AB5597">
        <v>19</v>
      </c>
      <c r="AC5597">
        <v>-6.0611999999999799</v>
      </c>
      <c r="AD5597">
        <v>-1.1240696597769999</v>
      </c>
      <c r="AE5597">
        <v>-5.6555000000000097</v>
      </c>
      <c r="AF5597">
        <v>-5.2685506778599702</v>
      </c>
      <c r="AG5597">
        <v>-1.1240696597769999</v>
      </c>
      <c r="AH5597">
        <v>6.20533301228512</v>
      </c>
      <c r="AI5597">
        <v>97.862123827652695</v>
      </c>
      <c r="AJ5597">
        <v>130.33245326759501</v>
      </c>
      <c r="AK5597">
        <v>8.2175006321000996</v>
      </c>
      <c r="AL5597">
        <v>94.318929362260903</v>
      </c>
      <c r="AM5597">
        <v>99.350465990539703</v>
      </c>
      <c r="AN5597">
        <v>0.99999996746215303</v>
      </c>
    </row>
    <row r="5598" spans="1:40" x14ac:dyDescent="0.25">
      <c r="A5598" t="str">
        <f>"20190303154921383"</f>
        <v>20190303154921383</v>
      </c>
      <c r="B5598" t="str">
        <f>"1551599361376473"</f>
        <v>1551599361376473</v>
      </c>
      <c r="C5598" t="s">
        <v>40</v>
      </c>
      <c r="D5598">
        <v>5.0119939999999996</v>
      </c>
      <c r="E5598">
        <v>0.26348830000000001</v>
      </c>
      <c r="F5598" t="s">
        <v>59</v>
      </c>
      <c r="G5598">
        <v>-415.12920000000003</v>
      </c>
      <c r="H5598" s="1">
        <v>-8.6320789999999906E-6</v>
      </c>
      <c r="I5598">
        <v>135.97669999999999</v>
      </c>
      <c r="J5598">
        <v>-409.41820000000001</v>
      </c>
      <c r="K5598">
        <v>1.124539</v>
      </c>
      <c r="L5598">
        <v>141.6277</v>
      </c>
      <c r="M5598">
        <v>-0.99799380000000004</v>
      </c>
      <c r="N5598">
        <v>-1.352862E-2</v>
      </c>
      <c r="O5598">
        <v>-6.1848510000000002E-2</v>
      </c>
      <c r="P5598">
        <v>-0.96536670000000002</v>
      </c>
      <c r="Q5598">
        <v>-8.6875809999999998E-2</v>
      </c>
      <c r="R5598">
        <v>-0.24600759999999999</v>
      </c>
      <c r="S5598">
        <v>-2.5386959999999998</v>
      </c>
      <c r="T5598">
        <v>-0.46108840000000001</v>
      </c>
      <c r="U5598">
        <v>-2.3352810000000002</v>
      </c>
      <c r="V5598">
        <v>-0.1851816</v>
      </c>
      <c r="W5598">
        <v>-7.5230210000000006E-2</v>
      </c>
      <c r="X5598">
        <v>0.97982049999999998</v>
      </c>
      <c r="Y5598">
        <v>-0.62451299999999998</v>
      </c>
      <c r="Z5598">
        <v>-4.40276E-2</v>
      </c>
      <c r="AA5598">
        <v>0.77977249999999998</v>
      </c>
      <c r="AB5598">
        <v>19</v>
      </c>
      <c r="AC5598">
        <v>-5.7110000000000101</v>
      </c>
      <c r="AD5598">
        <v>-1.124547632079</v>
      </c>
      <c r="AE5598">
        <v>-5.6510000000000096</v>
      </c>
      <c r="AF5598">
        <v>-5.1853424810864102</v>
      </c>
      <c r="AG5598">
        <v>-1.124547632079</v>
      </c>
      <c r="AH5598">
        <v>5.9333600569009404</v>
      </c>
      <c r="AI5598">
        <v>98.1219091914204</v>
      </c>
      <c r="AJ5598">
        <v>131.15119065962301</v>
      </c>
      <c r="AK5598">
        <v>7.9597201953210304</v>
      </c>
      <c r="AL5598">
        <v>94.314449688424702</v>
      </c>
      <c r="AM5598">
        <v>100.70240486810999</v>
      </c>
      <c r="AN5598">
        <v>1.0000000108477201</v>
      </c>
    </row>
    <row r="5599" spans="1:40" x14ac:dyDescent="0.25">
      <c r="A5599" t="str">
        <f>"20190303154921404"</f>
        <v>20190303154921404</v>
      </c>
      <c r="B5599" t="str">
        <f>"1551599361396969"</f>
        <v>1551599361396969</v>
      </c>
      <c r="C5599" t="s">
        <v>40</v>
      </c>
      <c r="D5599">
        <v>5.1213610000000003</v>
      </c>
      <c r="E5599">
        <v>0.27269729999999998</v>
      </c>
      <c r="F5599" t="s">
        <v>59</v>
      </c>
      <c r="G5599">
        <v>-415.04820000000001</v>
      </c>
      <c r="H5599" s="1">
        <v>-8.4964760000000001E-6</v>
      </c>
      <c r="I5599">
        <v>135.65020000000001</v>
      </c>
      <c r="J5599">
        <v>-409.60199999999998</v>
      </c>
      <c r="K5599">
        <v>1.1247609999999999</v>
      </c>
      <c r="L5599">
        <v>141.6087</v>
      </c>
      <c r="M5599">
        <v>-0.99756809999999996</v>
      </c>
      <c r="N5599">
        <v>-1.357622E-2</v>
      </c>
      <c r="O5599">
        <v>-6.8363190000000004E-2</v>
      </c>
      <c r="P5599">
        <v>-0.96138559999999995</v>
      </c>
      <c r="Q5599">
        <v>-8.5880209999999998E-2</v>
      </c>
      <c r="R5599">
        <v>-0.26146229999999998</v>
      </c>
      <c r="S5599">
        <v>-2.4117130000000002</v>
      </c>
      <c r="T5599">
        <v>-0.48171900000000001</v>
      </c>
      <c r="U5599">
        <v>-2.5605769999999999</v>
      </c>
      <c r="V5599">
        <v>-0.19444800000000001</v>
      </c>
      <c r="W5599">
        <v>-7.4391410000000005E-2</v>
      </c>
      <c r="X5599">
        <v>0.97808790000000001</v>
      </c>
      <c r="Y5599">
        <v>-0.67298899999999995</v>
      </c>
      <c r="Z5599">
        <v>-4.9619000000000003E-2</v>
      </c>
      <c r="AA5599">
        <v>0.73798629999999998</v>
      </c>
      <c r="AB5599">
        <v>19</v>
      </c>
      <c r="AC5599">
        <v>-5.4462000000000304</v>
      </c>
      <c r="AD5599">
        <v>-1.124769496476</v>
      </c>
      <c r="AE5599">
        <v>-5.9584999999999804</v>
      </c>
      <c r="AF5599">
        <v>-5.4660852878273403</v>
      </c>
      <c r="AG5599">
        <v>-1.124769496476</v>
      </c>
      <c r="AH5599">
        <v>5.7296016928555202</v>
      </c>
      <c r="AI5599">
        <v>98.084156777304401</v>
      </c>
      <c r="AJ5599">
        <v>133.65166017950199</v>
      </c>
      <c r="AK5599">
        <v>7.9982204491235596</v>
      </c>
      <c r="AL5599">
        <v>94.266254880199199</v>
      </c>
      <c r="AM5599">
        <v>101.244039208673</v>
      </c>
      <c r="AN5599">
        <v>1.00000002335609</v>
      </c>
    </row>
    <row r="5600" spans="1:40" x14ac:dyDescent="0.25">
      <c r="A5600" t="str">
        <f>"20190303154921428"</f>
        <v>20190303154921428</v>
      </c>
      <c r="B5600" t="str">
        <f>"1551599361416490"</f>
        <v>1551599361416490</v>
      </c>
      <c r="C5600" t="s">
        <v>40</v>
      </c>
      <c r="D5600">
        <v>4.9291140000000002</v>
      </c>
      <c r="E5600">
        <v>0.27466170000000001</v>
      </c>
      <c r="F5600" t="s">
        <v>59</v>
      </c>
      <c r="G5600">
        <v>-415.42140000000001</v>
      </c>
      <c r="H5600" s="1">
        <v>-8.3786300000000001E-6</v>
      </c>
      <c r="I5600">
        <v>135.4556</v>
      </c>
      <c r="J5600">
        <v>-409.79379999999998</v>
      </c>
      <c r="K5600">
        <v>1.125008</v>
      </c>
      <c r="L5600">
        <v>141.58709999999999</v>
      </c>
      <c r="M5600">
        <v>-0.99704669999999895</v>
      </c>
      <c r="N5600">
        <v>-1.362994E-2</v>
      </c>
      <c r="O5600">
        <v>-7.557933E-2</v>
      </c>
      <c r="P5600">
        <v>-0.95683090000000004</v>
      </c>
      <c r="Q5600">
        <v>-8.4490549999999998E-2</v>
      </c>
      <c r="R5600">
        <v>-0.27809450000000002</v>
      </c>
      <c r="S5600">
        <v>-2.3915099999999998</v>
      </c>
      <c r="T5600">
        <v>-0.46223019999999998</v>
      </c>
      <c r="U5600">
        <v>-2.5286710000000001</v>
      </c>
      <c r="V5600">
        <v>-0.20427480000000001</v>
      </c>
      <c r="W5600">
        <v>-7.3178930000000003E-2</v>
      </c>
      <c r="X5600">
        <v>0.97617449999999995</v>
      </c>
      <c r="Y5600">
        <v>-0.66661479999999995</v>
      </c>
      <c r="Z5600">
        <v>-4.6722140000000002E-2</v>
      </c>
      <c r="AA5600">
        <v>0.74393669999999901</v>
      </c>
      <c r="AB5600">
        <v>19</v>
      </c>
      <c r="AC5600">
        <v>-5.6276000000000197</v>
      </c>
      <c r="AD5600">
        <v>-1.12501637862999</v>
      </c>
      <c r="AE5600">
        <v>-6.1314999999999804</v>
      </c>
      <c r="AF5600">
        <v>-5.5865090388301999</v>
      </c>
      <c r="AG5600">
        <v>-1.12501637862999</v>
      </c>
      <c r="AH5600">
        <v>5.9659446572798798</v>
      </c>
      <c r="AI5600">
        <v>97.837319928012505</v>
      </c>
      <c r="AJ5600">
        <v>133.11881980448899</v>
      </c>
      <c r="AK5600">
        <v>8.2502873129875702</v>
      </c>
      <c r="AL5600">
        <v>94.196595098466105</v>
      </c>
      <c r="AM5600">
        <v>101.819194494342</v>
      </c>
      <c r="AN5600">
        <v>1.0000000020806099</v>
      </c>
    </row>
    <row r="5601" spans="1:40" x14ac:dyDescent="0.25">
      <c r="A5601" t="str">
        <f>"20190303154921450"</f>
        <v>20190303154921450</v>
      </c>
      <c r="B5601" t="str">
        <f>"1551599361446745"</f>
        <v>1551599361446745</v>
      </c>
      <c r="C5601" t="s">
        <v>40</v>
      </c>
      <c r="D5601">
        <v>5.2807909999999998</v>
      </c>
      <c r="E5601">
        <v>0.27484229999999998</v>
      </c>
      <c r="F5601" t="s">
        <v>59</v>
      </c>
      <c r="G5601">
        <v>-415.67540000000002</v>
      </c>
      <c r="H5601" s="1">
        <v>-8.2484670000000005E-6</v>
      </c>
      <c r="I5601">
        <v>135.19970000000001</v>
      </c>
      <c r="J5601">
        <v>-409.97879999999998</v>
      </c>
      <c r="K5601">
        <v>1.12524</v>
      </c>
      <c r="L5601">
        <v>141.56440000000001</v>
      </c>
      <c r="M5601">
        <v>-0.99646170000000001</v>
      </c>
      <c r="N5601">
        <v>-1.368308E-2</v>
      </c>
      <c r="O5601">
        <v>-8.2926979999999997E-2</v>
      </c>
      <c r="P5601">
        <v>-0.95146629999999999</v>
      </c>
      <c r="Q5601">
        <v>-8.2064059999999994E-2</v>
      </c>
      <c r="R5601">
        <v>-0.2966106</v>
      </c>
      <c r="S5601">
        <v>-2.3529360000000001</v>
      </c>
      <c r="T5601">
        <v>-0.45005820000000002</v>
      </c>
      <c r="U5601">
        <v>-2.5552519999999999</v>
      </c>
      <c r="V5601">
        <v>-0.21596460000000001</v>
      </c>
      <c r="W5601">
        <v>-7.0958939999999998E-2</v>
      </c>
      <c r="X5601">
        <v>0.97381930000000005</v>
      </c>
      <c r="Y5601">
        <v>-0.6712882</v>
      </c>
      <c r="Z5601">
        <v>-4.5395310000000001E-2</v>
      </c>
      <c r="AA5601">
        <v>0.73980500000000005</v>
      </c>
      <c r="AB5601">
        <v>19</v>
      </c>
      <c r="AC5601">
        <v>-5.6966000000000401</v>
      </c>
      <c r="AD5601">
        <v>-1.1252482484669999</v>
      </c>
      <c r="AE5601">
        <v>-6.3646999999999903</v>
      </c>
      <c r="AF5601">
        <v>-5.7701896276220399</v>
      </c>
      <c r="AG5601">
        <v>-1.1252482484669999</v>
      </c>
      <c r="AH5601">
        <v>6.0989860176546404</v>
      </c>
      <c r="AI5601">
        <v>97.633410435700597</v>
      </c>
      <c r="AJ5601">
        <v>133.413215085796</v>
      </c>
      <c r="AK5601">
        <v>8.4710626489798706</v>
      </c>
      <c r="AL5601">
        <v>94.069067592886697</v>
      </c>
      <c r="AM5601">
        <v>102.50415314446801</v>
      </c>
      <c r="AN5601">
        <v>0.99999995433578504</v>
      </c>
    </row>
    <row r="5602" spans="1:40" x14ac:dyDescent="0.25">
      <c r="A5602" t="str">
        <f>"20190303154921466"</f>
        <v>20190303154921466</v>
      </c>
      <c r="B5602" t="str">
        <f>"1551599361456506"</f>
        <v>1551599361456506</v>
      </c>
      <c r="C5602" t="s">
        <v>40</v>
      </c>
      <c r="D5602">
        <v>5.2757849999999999</v>
      </c>
      <c r="E5602">
        <v>0.304838</v>
      </c>
      <c r="F5602" t="s">
        <v>59</v>
      </c>
      <c r="G5602">
        <v>-415.87450000000001</v>
      </c>
      <c r="H5602" s="1">
        <v>-8.1208519999999907E-6</v>
      </c>
      <c r="I5602">
        <v>134.91470000000001</v>
      </c>
      <c r="J5602">
        <v>-410.11189999999999</v>
      </c>
      <c r="K5602">
        <v>1.1253959999999901</v>
      </c>
      <c r="L5602">
        <v>141.547</v>
      </c>
      <c r="M5602">
        <v>-0.9959867</v>
      </c>
      <c r="N5602">
        <v>-1.3720889999999999E-2</v>
      </c>
      <c r="O5602">
        <v>-8.8443270000000004E-2</v>
      </c>
      <c r="P5602">
        <v>-0.94799949999999999</v>
      </c>
      <c r="Q5602">
        <v>-8.0963339999999995E-2</v>
      </c>
      <c r="R5602">
        <v>-0.30780159999999901</v>
      </c>
      <c r="S5602">
        <v>-2.3047179999999998</v>
      </c>
      <c r="T5602">
        <v>-0.43987870000000001</v>
      </c>
      <c r="U5602">
        <v>-2.599472</v>
      </c>
      <c r="V5602">
        <v>-0.2220143</v>
      </c>
      <c r="W5602">
        <v>-6.9980700000000007E-2</v>
      </c>
      <c r="X5602">
        <v>0.97252890000000003</v>
      </c>
      <c r="Y5602">
        <v>-0.68120209999999903</v>
      </c>
      <c r="Z5602">
        <v>-4.4967819999999999E-2</v>
      </c>
      <c r="AA5602">
        <v>0.73071309999999901</v>
      </c>
      <c r="AB5602">
        <v>19</v>
      </c>
      <c r="AC5602">
        <v>-5.7626000000000097</v>
      </c>
      <c r="AD5602">
        <v>-1.12540412085199</v>
      </c>
      <c r="AE5602">
        <v>-6.6322999999999803</v>
      </c>
      <c r="AF5602">
        <v>-5.9981814610756903</v>
      </c>
      <c r="AG5602">
        <v>-1.12540412085199</v>
      </c>
      <c r="AH5602">
        <v>6.2245253595597001</v>
      </c>
      <c r="AI5602">
        <v>97.4176851127758</v>
      </c>
      <c r="AJ5602">
        <v>133.939100137873</v>
      </c>
      <c r="AK5602">
        <v>8.7171917053042201</v>
      </c>
      <c r="AL5602">
        <v>94.012878471750298</v>
      </c>
      <c r="AM5602">
        <v>102.859434510844</v>
      </c>
      <c r="AN5602">
        <v>1.0000000545560901</v>
      </c>
    </row>
    <row r="5603" spans="1:40" x14ac:dyDescent="0.25">
      <c r="A5603" t="str">
        <f>"20190303154921480"</f>
        <v>20190303154921480</v>
      </c>
      <c r="B5603" t="str">
        <f>"1551599361476026"</f>
        <v>1551599361476026</v>
      </c>
      <c r="C5603" t="s">
        <v>40</v>
      </c>
      <c r="D5603">
        <v>5.2946489999999997</v>
      </c>
      <c r="E5603">
        <v>0.30715959999999998</v>
      </c>
      <c r="F5603" t="s">
        <v>59</v>
      </c>
      <c r="G5603">
        <v>-416.20839999999998</v>
      </c>
      <c r="H5603" s="1">
        <v>-8.2667039999999992E-6</v>
      </c>
      <c r="I5603">
        <v>135.32040000000001</v>
      </c>
      <c r="J5603">
        <v>-410.23570000000001</v>
      </c>
      <c r="K5603">
        <v>1.125535</v>
      </c>
      <c r="L5603">
        <v>141.53</v>
      </c>
      <c r="M5603">
        <v>-0.99550190000000005</v>
      </c>
      <c r="N5603">
        <v>-1.3755389999999999E-2</v>
      </c>
      <c r="O5603">
        <v>-9.3738849999999999E-2</v>
      </c>
      <c r="P5603">
        <v>-0.94430530000000001</v>
      </c>
      <c r="Q5603">
        <v>-7.9266130000000004E-2</v>
      </c>
      <c r="R5603">
        <v>-0.31938179999999999</v>
      </c>
      <c r="S5603">
        <v>-2.3486630000000002</v>
      </c>
      <c r="T5603">
        <v>-0.43356299999999998</v>
      </c>
      <c r="U5603">
        <v>-2.3988040000000002</v>
      </c>
      <c r="V5603">
        <v>-0.22871630000000001</v>
      </c>
      <c r="W5603">
        <v>-6.8414349999999999E-2</v>
      </c>
      <c r="X5603">
        <v>0.97108609999999995</v>
      </c>
      <c r="Y5603">
        <v>-0.64057419999999998</v>
      </c>
      <c r="Z5603">
        <v>-4.0691819999999997E-2</v>
      </c>
      <c r="AA5603">
        <v>0.76681750000000004</v>
      </c>
      <c r="AB5603">
        <v>19</v>
      </c>
      <c r="AC5603">
        <v>-5.9726999999999704</v>
      </c>
      <c r="AD5603">
        <v>-1.125543266704</v>
      </c>
      <c r="AE5603">
        <v>-6.2095999999999902</v>
      </c>
      <c r="AF5603">
        <v>-5.5279853223695499</v>
      </c>
      <c r="AG5603">
        <v>-1.125543266704</v>
      </c>
      <c r="AH5603">
        <v>6.41898554788279</v>
      </c>
      <c r="AI5603">
        <v>97.568351759928802</v>
      </c>
      <c r="AJ5603">
        <v>130.734800231002</v>
      </c>
      <c r="AK5603">
        <v>8.5456915948028502</v>
      </c>
      <c r="AL5603">
        <v>93.922918029516893</v>
      </c>
      <c r="AM5603">
        <v>103.253123564688</v>
      </c>
      <c r="AN5603">
        <v>0.999999941392409</v>
      </c>
    </row>
    <row r="5604" spans="1:40" x14ac:dyDescent="0.25">
      <c r="A5604" t="str">
        <f>"20190303154921493"</f>
        <v>20190303154921493</v>
      </c>
      <c r="B5604" t="str">
        <f>"1551599361486762"</f>
        <v>1551599361486762</v>
      </c>
      <c r="C5604" t="s">
        <v>40</v>
      </c>
      <c r="D5604">
        <v>5.2810050000000004</v>
      </c>
      <c r="E5604">
        <v>0.30808920000000001</v>
      </c>
      <c r="F5604" t="s">
        <v>59</v>
      </c>
      <c r="G5604">
        <v>-416.3492</v>
      </c>
      <c r="H5604" s="1">
        <v>-8.2072619999999996E-6</v>
      </c>
      <c r="I5604">
        <v>135.19450000000001</v>
      </c>
      <c r="J5604">
        <v>-410.34440000000001</v>
      </c>
      <c r="K5604">
        <v>1.1256550000000001</v>
      </c>
      <c r="L5604">
        <v>141.51400000000001</v>
      </c>
      <c r="M5604">
        <v>-0.99503189999999997</v>
      </c>
      <c r="N5604">
        <v>-1.378657E-2</v>
      </c>
      <c r="O5604">
        <v>-9.8598179999999994E-2</v>
      </c>
      <c r="P5604">
        <v>-0.93830769999999997</v>
      </c>
      <c r="Q5604">
        <v>-7.7170249999999996E-2</v>
      </c>
      <c r="R5604">
        <v>-0.33708100000000002</v>
      </c>
      <c r="S5604">
        <v>-2.3257750000000001</v>
      </c>
      <c r="T5604">
        <v>-0.42819119999999999</v>
      </c>
      <c r="U5604">
        <v>-2.4102169999999998</v>
      </c>
      <c r="V5604">
        <v>-0.2421855</v>
      </c>
      <c r="W5604">
        <v>-6.6543190000000002E-2</v>
      </c>
      <c r="X5604">
        <v>0.96794530000000001</v>
      </c>
      <c r="Y5604">
        <v>-0.64250859999999999</v>
      </c>
      <c r="Z5604">
        <v>-3.998343E-2</v>
      </c>
      <c r="AA5604">
        <v>0.76523459999999999</v>
      </c>
      <c r="AB5604">
        <v>19</v>
      </c>
      <c r="AC5604">
        <v>-6.0047999999999799</v>
      </c>
      <c r="AD5604">
        <v>-1.1256632072620001</v>
      </c>
      <c r="AE5604">
        <v>-6.3194999999999997</v>
      </c>
      <c r="AF5604">
        <v>-5.6031557852447902</v>
      </c>
      <c r="AG5604">
        <v>-1.1256632072620001</v>
      </c>
      <c r="AH5604">
        <v>6.4904635092226401</v>
      </c>
      <c r="AI5604">
        <v>97.479067880821404</v>
      </c>
      <c r="AJ5604">
        <v>130.80373290442799</v>
      </c>
      <c r="AK5604">
        <v>8.6480396029652997</v>
      </c>
      <c r="AL5604">
        <v>93.815463452405595</v>
      </c>
      <c r="AM5604">
        <v>104.047339218158</v>
      </c>
      <c r="AN5604">
        <v>0.99999995816885701</v>
      </c>
    </row>
    <row r="5605" spans="1:40" x14ac:dyDescent="0.25">
      <c r="A5605" t="str">
        <f>"20190303154921517"</f>
        <v>20190303154921517</v>
      </c>
      <c r="B5605" t="str">
        <f>"1551599361506282"</f>
        <v>1551599361506282</v>
      </c>
      <c r="C5605" t="s">
        <v>40</v>
      </c>
      <c r="D5605">
        <v>5.2526140000000003</v>
      </c>
      <c r="E5605">
        <v>0.30927650000000001</v>
      </c>
      <c r="F5605" t="s">
        <v>59</v>
      </c>
      <c r="G5605">
        <v>-416.41480000000001</v>
      </c>
      <c r="H5605" s="1">
        <v>-8.1283380000000004E-6</v>
      </c>
      <c r="I5605">
        <v>135.01009999999999</v>
      </c>
      <c r="J5605">
        <v>-410.53019999999998</v>
      </c>
      <c r="K5605">
        <v>1.1258520000000001</v>
      </c>
      <c r="L5605">
        <v>141.4855</v>
      </c>
      <c r="M5605">
        <v>-0.99414590000000003</v>
      </c>
      <c r="N5605">
        <v>-1.383992E-2</v>
      </c>
      <c r="O5605">
        <v>-0.1071561</v>
      </c>
      <c r="P5605">
        <v>-0.93033600000000005</v>
      </c>
      <c r="Q5605">
        <v>-7.5067449999999994E-2</v>
      </c>
      <c r="R5605">
        <v>-0.35894300000000001</v>
      </c>
      <c r="S5605">
        <v>-2.2834780000000001</v>
      </c>
      <c r="T5605">
        <v>-0.42343579999999997</v>
      </c>
      <c r="U5605">
        <v>-2.446564</v>
      </c>
      <c r="V5605">
        <v>-0.25644109999999998</v>
      </c>
      <c r="W5605">
        <v>-6.4707940000000005E-2</v>
      </c>
      <c r="X5605">
        <v>0.96439140000000001</v>
      </c>
      <c r="Y5605">
        <v>-0.64871279999999998</v>
      </c>
      <c r="Z5605">
        <v>-3.9299140000000003E-2</v>
      </c>
      <c r="AA5605">
        <v>0.76001809999999903</v>
      </c>
      <c r="AB5605">
        <v>19</v>
      </c>
      <c r="AC5605">
        <v>-5.88460000000003</v>
      </c>
      <c r="AD5605">
        <v>-1.1258601283380001</v>
      </c>
      <c r="AE5605">
        <v>-6.4753999999999996</v>
      </c>
      <c r="AF5605">
        <v>-5.7128916823974798</v>
      </c>
      <c r="AG5605">
        <v>-1.1258601283380001</v>
      </c>
      <c r="AH5605">
        <v>6.4380638925194402</v>
      </c>
      <c r="AI5605">
        <v>97.452138683950494</v>
      </c>
      <c r="AJ5605">
        <v>131.584623919747</v>
      </c>
      <c r="AK5605">
        <v>8.6806312608905394</v>
      </c>
      <c r="AL5605">
        <v>93.710084168525498</v>
      </c>
      <c r="AM5605">
        <v>104.89092196257</v>
      </c>
      <c r="AN5605">
        <v>0.99999996383110601</v>
      </c>
    </row>
    <row r="5606" spans="1:40" x14ac:dyDescent="0.25">
      <c r="A5606" t="str">
        <f>"20190303154921539"</f>
        <v>20190303154921539</v>
      </c>
      <c r="B5606" t="str">
        <f>"1551599361536537"</f>
        <v>1551599361536537</v>
      </c>
      <c r="C5606" t="s">
        <v>40</v>
      </c>
      <c r="D5606">
        <v>5.011755</v>
      </c>
      <c r="E5606">
        <v>0.25013380000000002</v>
      </c>
      <c r="F5606" t="s">
        <v>59</v>
      </c>
      <c r="G5606">
        <v>-416.55579999999998</v>
      </c>
      <c r="H5606" s="1">
        <v>-8.0167709999999999E-6</v>
      </c>
      <c r="I5606">
        <v>134.75630000000001</v>
      </c>
      <c r="J5606">
        <v>-410.71820000000002</v>
      </c>
      <c r="K5606">
        <v>1.126034</v>
      </c>
      <c r="L5606">
        <v>141.4545</v>
      </c>
      <c r="M5606">
        <v>-0.99313070000000003</v>
      </c>
      <c r="N5606">
        <v>-1.389487E-2</v>
      </c>
      <c r="O5606">
        <v>-0.1161826</v>
      </c>
      <c r="P5606">
        <v>-0.92119589999999996</v>
      </c>
      <c r="Q5606">
        <v>-7.3197680000000001E-2</v>
      </c>
      <c r="R5606">
        <v>-0.38215209999999999</v>
      </c>
      <c r="S5606">
        <v>-2.2301030000000002</v>
      </c>
      <c r="T5606">
        <v>-0.41668650000000002</v>
      </c>
      <c r="U5606">
        <v>-2.4905240000000002</v>
      </c>
      <c r="V5606">
        <v>-0.27178740000000001</v>
      </c>
      <c r="W5606">
        <v>-6.3129660000000004E-2</v>
      </c>
      <c r="X5606">
        <v>0.96028449999999999</v>
      </c>
      <c r="Y5606">
        <v>-0.65754279999999998</v>
      </c>
      <c r="Z5606">
        <v>-3.8704370000000002E-2</v>
      </c>
      <c r="AA5606">
        <v>0.75242240000000005</v>
      </c>
      <c r="AB5606">
        <v>19</v>
      </c>
      <c r="AC5606">
        <v>-5.8375999999999504</v>
      </c>
      <c r="AD5606">
        <v>-1.1260420167709999</v>
      </c>
      <c r="AE5606">
        <v>-6.6981999999999804</v>
      </c>
      <c r="AF5606">
        <v>-5.8800925108752597</v>
      </c>
      <c r="AG5606">
        <v>-1.1260420167709999</v>
      </c>
      <c r="AH5606">
        <v>6.4723907988518699</v>
      </c>
      <c r="AI5606">
        <v>97.337631012319605</v>
      </c>
      <c r="AJ5606">
        <v>132.25478524064101</v>
      </c>
      <c r="AK5606">
        <v>8.8167625131364105</v>
      </c>
      <c r="AL5606">
        <v>93.619469826134804</v>
      </c>
      <c r="AM5606">
        <v>105.802998298733</v>
      </c>
      <c r="AN5606">
        <v>1.00000003285536</v>
      </c>
    </row>
    <row r="5607" spans="1:40" x14ac:dyDescent="0.25">
      <c r="A5607" t="str">
        <f>"20190303154921573"</f>
        <v>20190303154921573</v>
      </c>
      <c r="B5607" t="str">
        <f>"1551599361566793"</f>
        <v>1551599361566793</v>
      </c>
      <c r="C5607" t="s">
        <v>40</v>
      </c>
      <c r="D5607">
        <v>5.1317919999999999</v>
      </c>
      <c r="E5607">
        <v>0.2540712</v>
      </c>
      <c r="F5607" t="s">
        <v>59</v>
      </c>
      <c r="G5607">
        <v>-415.65899999999999</v>
      </c>
      <c r="H5607" s="1">
        <v>-7.7735600000000002E-6</v>
      </c>
      <c r="I5607">
        <v>134.03129999999999</v>
      </c>
      <c r="J5607">
        <v>-410.99119999999999</v>
      </c>
      <c r="K5607">
        <v>1.126244</v>
      </c>
      <c r="L5607">
        <v>141.40530000000001</v>
      </c>
      <c r="M5607">
        <v>-0.99141789999999996</v>
      </c>
      <c r="N5607">
        <v>-1.397345E-2</v>
      </c>
      <c r="O5607">
        <v>-0.12998209999999999</v>
      </c>
      <c r="P5607">
        <v>-0.90556760000000003</v>
      </c>
      <c r="Q5607">
        <v>-7.3768299999999995E-2</v>
      </c>
      <c r="R5607">
        <v>-0.41773909999999997</v>
      </c>
      <c r="S5607">
        <v>-1.98407</v>
      </c>
      <c r="T5607">
        <v>-0.45217869999999999</v>
      </c>
      <c r="U5607">
        <v>-2.980896</v>
      </c>
      <c r="V5607">
        <v>-0.29569390000000001</v>
      </c>
      <c r="W5607">
        <v>-6.4167420000000003E-2</v>
      </c>
      <c r="X5607">
        <v>0.95312520000000001</v>
      </c>
      <c r="Y5607">
        <v>-0.74769560000000002</v>
      </c>
      <c r="Z5607">
        <v>-4.7905450000000002E-2</v>
      </c>
      <c r="AA5607">
        <v>0.66231139999999999</v>
      </c>
      <c r="AB5607">
        <v>19</v>
      </c>
      <c r="AC5607">
        <v>-4.6677999999999997</v>
      </c>
      <c r="AD5607">
        <v>-1.1262517735599999</v>
      </c>
      <c r="AE5607">
        <v>-7.3740000000000201</v>
      </c>
      <c r="AF5607">
        <v>-6.5948092639079299</v>
      </c>
      <c r="AG5607">
        <v>-1.1262517735599999</v>
      </c>
      <c r="AH5607">
        <v>5.49525550985578</v>
      </c>
      <c r="AI5607">
        <v>97.474502316562294</v>
      </c>
      <c r="AJ5607">
        <v>140.19657670291701</v>
      </c>
      <c r="AK5607">
        <v>8.6578164339152597</v>
      </c>
      <c r="AL5607">
        <v>93.679050045711094</v>
      </c>
      <c r="AM5607">
        <v>107.23577990461</v>
      </c>
      <c r="AN5607">
        <v>0.99999999358085301</v>
      </c>
    </row>
    <row r="5608" spans="1:40" x14ac:dyDescent="0.25">
      <c r="A5608" t="str">
        <f>"20190303154921594"</f>
        <v>20190303154921594</v>
      </c>
      <c r="B5608" t="str">
        <f>"1551599361586313"</f>
        <v>1551599361586313</v>
      </c>
      <c r="C5608" t="s">
        <v>40</v>
      </c>
      <c r="D5608">
        <v>4.9265829999999999</v>
      </c>
      <c r="E5608">
        <v>0.25554559999999998</v>
      </c>
      <c r="F5608" t="s">
        <v>59</v>
      </c>
      <c r="G5608">
        <v>-415.77330000000001</v>
      </c>
      <c r="H5608" s="1">
        <v>-7.6337359999999996E-6</v>
      </c>
      <c r="I5608">
        <v>133.70429999999999</v>
      </c>
      <c r="J5608">
        <v>-411.16680000000002</v>
      </c>
      <c r="K5608">
        <v>1.1263590000000001</v>
      </c>
      <c r="L5608">
        <v>141.37129999999999</v>
      </c>
      <c r="M5608">
        <v>-0.99016570000000004</v>
      </c>
      <c r="N5608">
        <v>-1.40211E-2</v>
      </c>
      <c r="O5608">
        <v>-0.1391963</v>
      </c>
      <c r="P5608">
        <v>-0.8943084</v>
      </c>
      <c r="Q5608">
        <v>-7.4610220000000005E-2</v>
      </c>
      <c r="R5608">
        <v>-0.4411872</v>
      </c>
      <c r="S5608">
        <v>-1.880096</v>
      </c>
      <c r="T5608">
        <v>-0.44279099999999999</v>
      </c>
      <c r="U5608">
        <v>-3.027679</v>
      </c>
      <c r="V5608">
        <v>-0.31158209999999997</v>
      </c>
      <c r="W5608">
        <v>-6.5326789999999996E-2</v>
      </c>
      <c r="X5608">
        <v>0.94797100000000001</v>
      </c>
      <c r="Y5608">
        <v>-0.76226470000000002</v>
      </c>
      <c r="Z5608">
        <v>-4.8046970000000001E-2</v>
      </c>
      <c r="AA5608">
        <v>0.64547969999999999</v>
      </c>
      <c r="AB5608">
        <v>19</v>
      </c>
      <c r="AC5608">
        <v>-4.6064999999999801</v>
      </c>
      <c r="AD5608">
        <v>-1.1263666337360001</v>
      </c>
      <c r="AE5608">
        <v>-7.6669999999999998</v>
      </c>
      <c r="AF5608">
        <v>-6.8425639069934698</v>
      </c>
      <c r="AG5608">
        <v>-1.1263666337360001</v>
      </c>
      <c r="AH5608">
        <v>5.5410967809126399</v>
      </c>
      <c r="AI5608">
        <v>97.290052181985203</v>
      </c>
      <c r="AJ5608">
        <v>140.99950549704101</v>
      </c>
      <c r="AK5608">
        <v>8.8765497886467095</v>
      </c>
      <c r="AL5608">
        <v>93.745616688973399</v>
      </c>
      <c r="AM5608">
        <v>108.194823253072</v>
      </c>
      <c r="AN5608">
        <v>1.0000000056865499</v>
      </c>
    </row>
    <row r="5609" spans="1:40" x14ac:dyDescent="0.25">
      <c r="A5609" t="str">
        <f>"20190303154921618"</f>
        <v>20190303154921618</v>
      </c>
      <c r="B5609" t="str">
        <f>"1551599361606810"</f>
        <v>1551599361606810</v>
      </c>
      <c r="C5609" t="s">
        <v>40</v>
      </c>
      <c r="D5609">
        <v>4.876722</v>
      </c>
      <c r="E5609">
        <v>0.25630920000000001</v>
      </c>
      <c r="F5609" t="s">
        <v>59</v>
      </c>
      <c r="G5609">
        <v>-415.77420000000001</v>
      </c>
      <c r="H5609" s="1">
        <v>-7.5701020000000002E-6</v>
      </c>
      <c r="I5609">
        <v>133.54820000000001</v>
      </c>
      <c r="J5609">
        <v>-411.35570000000001</v>
      </c>
      <c r="K5609">
        <v>1.1264449999999999</v>
      </c>
      <c r="L5609">
        <v>141.33240000000001</v>
      </c>
      <c r="M5609">
        <v>-0.98868029999999996</v>
      </c>
      <c r="N5609">
        <v>-1.406876E-2</v>
      </c>
      <c r="O5609">
        <v>-0.1493765</v>
      </c>
      <c r="P5609">
        <v>-0.88193449999999995</v>
      </c>
      <c r="Q5609">
        <v>-7.6335799999999995E-2</v>
      </c>
      <c r="R5609">
        <v>-0.46515020000000001</v>
      </c>
      <c r="S5609">
        <v>-1.80545</v>
      </c>
      <c r="T5609">
        <v>-0.44138189999999999</v>
      </c>
      <c r="U5609">
        <v>-3.0655670000000002</v>
      </c>
      <c r="V5609">
        <v>-0.3273238</v>
      </c>
      <c r="W5609">
        <v>-6.7369579999999998E-2</v>
      </c>
      <c r="X5609">
        <v>0.9425076</v>
      </c>
      <c r="Y5609">
        <v>-0.77065159999999999</v>
      </c>
      <c r="Z5609">
        <v>-4.7896109999999999E-2</v>
      </c>
      <c r="AA5609">
        <v>0.63545419999999997</v>
      </c>
      <c r="AB5609">
        <v>19</v>
      </c>
      <c r="AC5609">
        <v>-4.4184999999999901</v>
      </c>
      <c r="AD5609">
        <v>-1.1264525701019901</v>
      </c>
      <c r="AE5609">
        <v>-7.7841999999999896</v>
      </c>
      <c r="AF5609">
        <v>-6.9270505874758603</v>
      </c>
      <c r="AG5609">
        <v>-1.1264525701019901</v>
      </c>
      <c r="AH5609">
        <v>5.4455608796834003</v>
      </c>
      <c r="AI5609">
        <v>97.285318004949801</v>
      </c>
      <c r="AJ5609">
        <v>141.828056533015</v>
      </c>
      <c r="AK5609">
        <v>8.8829645123954801</v>
      </c>
      <c r="AL5609">
        <v>93.862918241279303</v>
      </c>
      <c r="AM5609">
        <v>109.151621151752</v>
      </c>
      <c r="AN5609">
        <v>1.0000000532067801</v>
      </c>
    </row>
    <row r="5610" spans="1:40" x14ac:dyDescent="0.25">
      <c r="A5610" t="str">
        <f>"20190303154921640"</f>
        <v>20190303154921640</v>
      </c>
      <c r="B5610" t="str">
        <f>"1551599361636089"</f>
        <v>1551599361636089</v>
      </c>
      <c r="C5610" t="s">
        <v>40</v>
      </c>
      <c r="D5610">
        <v>4.7802280000000001</v>
      </c>
      <c r="E5610">
        <v>0.25729449999999998</v>
      </c>
      <c r="F5610" t="s">
        <v>59</v>
      </c>
      <c r="G5610">
        <v>-415.72859999999997</v>
      </c>
      <c r="H5610" s="1">
        <v>-7.5331489999999998E-6</v>
      </c>
      <c r="I5610">
        <v>133.45099999999999</v>
      </c>
      <c r="J5610">
        <v>-411.53930000000003</v>
      </c>
      <c r="K5610">
        <v>1.126506</v>
      </c>
      <c r="L5610">
        <v>141.29239999999999</v>
      </c>
      <c r="M5610">
        <v>-0.98709610000000003</v>
      </c>
      <c r="N5610">
        <v>-1.4110350000000001E-2</v>
      </c>
      <c r="O5610">
        <v>-0.1595067</v>
      </c>
      <c r="P5610">
        <v>-0.86912409999999996</v>
      </c>
      <c r="Q5610">
        <v>-7.8488859999999994E-2</v>
      </c>
      <c r="R5610">
        <v>-0.48832680000000001</v>
      </c>
      <c r="S5610">
        <v>-1.7241820000000001</v>
      </c>
      <c r="T5610">
        <v>-0.4441502</v>
      </c>
      <c r="U5610">
        <v>-3.1075740000000001</v>
      </c>
      <c r="V5610">
        <v>-0.34253250000000002</v>
      </c>
      <c r="W5610">
        <v>-6.982381E-2</v>
      </c>
      <c r="X5610">
        <v>0.93690779999999996</v>
      </c>
      <c r="Y5610">
        <v>-0.78022990000000003</v>
      </c>
      <c r="Z5610">
        <v>-4.8268989999999998E-2</v>
      </c>
      <c r="AA5610">
        <v>0.62362759999999995</v>
      </c>
      <c r="AB5610">
        <v>19</v>
      </c>
      <c r="AC5610">
        <v>-4.1892999999999398</v>
      </c>
      <c r="AD5610">
        <v>-1.1265135331489999</v>
      </c>
      <c r="AE5610">
        <v>-7.8413999999999904</v>
      </c>
      <c r="AF5610">
        <v>-6.96093245369316</v>
      </c>
      <c r="AG5610">
        <v>-1.1265135331489999</v>
      </c>
      <c r="AH5610">
        <v>5.3014136200848201</v>
      </c>
      <c r="AI5610">
        <v>97.336295022283096</v>
      </c>
      <c r="AJ5610">
        <v>142.70727098124701</v>
      </c>
      <c r="AK5610">
        <v>8.8220519005766107</v>
      </c>
      <c r="AL5610">
        <v>94.003867305507299</v>
      </c>
      <c r="AM5610">
        <v>110.08235874634001</v>
      </c>
      <c r="AN5610">
        <v>1.0000000518500001</v>
      </c>
    </row>
    <row r="5611" spans="1:40" x14ac:dyDescent="0.25">
      <c r="A5611" t="str">
        <f>"20190303154921663"</f>
        <v>20190303154921663</v>
      </c>
      <c r="B5611" t="str">
        <f>"1551599361656585"</f>
        <v>1551599361656585</v>
      </c>
      <c r="C5611" t="s">
        <v>40</v>
      </c>
      <c r="D5611">
        <v>4.708081</v>
      </c>
      <c r="E5611">
        <v>0.25875300000000001</v>
      </c>
      <c r="F5611" t="s">
        <v>59</v>
      </c>
      <c r="G5611">
        <v>-415.666</v>
      </c>
      <c r="H5611" s="1">
        <v>-7.5151079999999996E-6</v>
      </c>
      <c r="I5611">
        <v>133.39779999999999</v>
      </c>
      <c r="J5611">
        <v>-411.71559999999999</v>
      </c>
      <c r="K5611">
        <v>1.1265289999999999</v>
      </c>
      <c r="L5611">
        <v>141.2518</v>
      </c>
      <c r="M5611">
        <v>-0.98543780000000003</v>
      </c>
      <c r="N5611">
        <v>-1.414556E-2</v>
      </c>
      <c r="O5611">
        <v>-0.16944790000000001</v>
      </c>
      <c r="P5611">
        <v>-0.85575999999999997</v>
      </c>
      <c r="Q5611">
        <v>-8.1618330000000003E-2</v>
      </c>
      <c r="R5611">
        <v>-0.51089510000000005</v>
      </c>
      <c r="S5611">
        <v>-1.6440729999999999</v>
      </c>
      <c r="T5611">
        <v>-0.44880039999999999</v>
      </c>
      <c r="U5611">
        <v>-3.145203</v>
      </c>
      <c r="V5611">
        <v>-0.35753649999999998</v>
      </c>
      <c r="W5611">
        <v>-7.324485E-2</v>
      </c>
      <c r="X5611">
        <v>0.93102249999999998</v>
      </c>
      <c r="Y5611">
        <v>-0.78918809999999995</v>
      </c>
      <c r="Z5611">
        <v>-4.877372E-2</v>
      </c>
      <c r="AA5611">
        <v>0.61221169999999903</v>
      </c>
      <c r="AB5611">
        <v>19</v>
      </c>
      <c r="AC5611">
        <v>-3.9504000000000001</v>
      </c>
      <c r="AD5611">
        <v>-1.126536515108</v>
      </c>
      <c r="AE5611">
        <v>-7.8540000000000099</v>
      </c>
      <c r="AF5611">
        <v>-6.9567213815056901</v>
      </c>
      <c r="AG5611">
        <v>-1.126536515108</v>
      </c>
      <c r="AH5611">
        <v>5.1398450518929799</v>
      </c>
      <c r="AI5611">
        <v>97.420594809478104</v>
      </c>
      <c r="AJ5611">
        <v>143.54184282015399</v>
      </c>
      <c r="AK5611">
        <v>8.7225606364896695</v>
      </c>
      <c r="AL5611">
        <v>94.200382097803498</v>
      </c>
      <c r="AM5611">
        <v>111.008069086452</v>
      </c>
      <c r="AN5611">
        <v>1.0000000261950099</v>
      </c>
    </row>
    <row r="5612" spans="1:40" x14ac:dyDescent="0.25">
      <c r="A5612" t="str">
        <f>"20190303154921707"</f>
        <v>20190303154921707</v>
      </c>
      <c r="B5612" t="str">
        <f>"1551599361696602"</f>
        <v>1551599361696602</v>
      </c>
      <c r="C5612" t="s">
        <v>40</v>
      </c>
      <c r="D5612">
        <v>5.1322599999999996</v>
      </c>
      <c r="E5612">
        <v>0.31385269999999998</v>
      </c>
      <c r="F5612" t="s">
        <v>59</v>
      </c>
      <c r="G5612">
        <v>-415.59030000000001</v>
      </c>
      <c r="H5612" s="1">
        <v>-7.5162140000000001E-6</v>
      </c>
      <c r="I5612">
        <v>133.3897</v>
      </c>
      <c r="J5612">
        <v>-412.06799999999998</v>
      </c>
      <c r="K5612">
        <v>1.1265160000000001</v>
      </c>
      <c r="L5612">
        <v>141.1643</v>
      </c>
      <c r="M5612">
        <v>-0.98173750000000004</v>
      </c>
      <c r="N5612">
        <v>-1.4200529999999999E-2</v>
      </c>
      <c r="O5612">
        <v>-0.1897104</v>
      </c>
      <c r="P5612">
        <v>-0.82781640000000001</v>
      </c>
      <c r="Q5612">
        <v>-8.6103529999999998E-2</v>
      </c>
      <c r="R5612">
        <v>-0.55435179999999995</v>
      </c>
      <c r="S5612">
        <v>-1.565674</v>
      </c>
      <c r="T5612">
        <v>-0.45521139999999999</v>
      </c>
      <c r="U5612">
        <v>-3.176895</v>
      </c>
      <c r="V5612">
        <v>-0.38620450000000001</v>
      </c>
      <c r="W5612">
        <v>-7.8258599999999998E-2</v>
      </c>
      <c r="X5612">
        <v>0.9190874</v>
      </c>
      <c r="Y5612">
        <v>-0.79109700000000005</v>
      </c>
      <c r="Z5612">
        <v>-4.7148269999999999E-2</v>
      </c>
      <c r="AA5612">
        <v>0.60987089999999999</v>
      </c>
      <c r="AB5612">
        <v>19</v>
      </c>
      <c r="AC5612">
        <v>-3.5222999999999698</v>
      </c>
      <c r="AD5612">
        <v>-1.1265235162139999</v>
      </c>
      <c r="AE5612">
        <v>-7.7745999999999897</v>
      </c>
      <c r="AF5612">
        <v>-6.84584721299235</v>
      </c>
      <c r="AG5612">
        <v>-1.1265235162139999</v>
      </c>
      <c r="AH5612">
        <v>4.8489257295326098</v>
      </c>
      <c r="AI5612">
        <v>97.648127356118295</v>
      </c>
      <c r="AJ5612">
        <v>144.68999063991001</v>
      </c>
      <c r="AK5612">
        <v>8.4644409163713608</v>
      </c>
      <c r="AL5612">
        <v>94.488477070706594</v>
      </c>
      <c r="AM5612">
        <v>112.792356489464</v>
      </c>
      <c r="AN5612">
        <v>0.99999998656648403</v>
      </c>
    </row>
    <row r="5613" spans="1:40" x14ac:dyDescent="0.25">
      <c r="A5613" t="str">
        <f>"20190303154921729"</f>
        <v>20190303154921729</v>
      </c>
      <c r="B5613" t="str">
        <f>"1551599361726857"</f>
        <v>1551599361726857</v>
      </c>
      <c r="C5613" t="s">
        <v>40</v>
      </c>
      <c r="D5613">
        <v>5.1246019999999897</v>
      </c>
      <c r="E5613">
        <v>0.31898959999999998</v>
      </c>
      <c r="F5613" t="s">
        <v>59</v>
      </c>
      <c r="G5613">
        <v>-416.22480000000002</v>
      </c>
      <c r="H5613" s="1">
        <v>-7.6696220000000004E-6</v>
      </c>
      <c r="I5613">
        <v>133.85679999999999</v>
      </c>
      <c r="J5613">
        <v>-412.24270000000001</v>
      </c>
      <c r="K5613">
        <v>1.126493</v>
      </c>
      <c r="L5613">
        <v>141.11789999999999</v>
      </c>
      <c r="M5613">
        <v>-0.97970959999999996</v>
      </c>
      <c r="N5613">
        <v>-1.4220689999999999E-2</v>
      </c>
      <c r="O5613">
        <v>-0.1999174</v>
      </c>
      <c r="P5613">
        <v>-0.81361539999999999</v>
      </c>
      <c r="Q5613">
        <v>-8.7280629999999998E-2</v>
      </c>
      <c r="R5613">
        <v>-0.57481559999999998</v>
      </c>
      <c r="S5613">
        <v>-1.64321899999999</v>
      </c>
      <c r="T5613">
        <v>-0.44532119999999997</v>
      </c>
      <c r="U5613">
        <v>-2.8887019999999999</v>
      </c>
      <c r="V5613">
        <v>-0.39950200000000002</v>
      </c>
      <c r="W5613">
        <v>-7.967631E-2</v>
      </c>
      <c r="X5613">
        <v>0.9132633</v>
      </c>
      <c r="Y5613">
        <v>-0.74712149999999999</v>
      </c>
      <c r="Z5613">
        <v>-4.1238749999999998E-2</v>
      </c>
      <c r="AA5613">
        <v>0.66340710000000003</v>
      </c>
      <c r="AB5613">
        <v>19</v>
      </c>
      <c r="AC5613">
        <v>-3.9821</v>
      </c>
      <c r="AD5613">
        <v>-1.1265006696219999</v>
      </c>
      <c r="AE5613">
        <v>-7.2610999999999901</v>
      </c>
      <c r="AF5613">
        <v>-6.2035280290825598</v>
      </c>
      <c r="AG5613">
        <v>-1.1265006696219999</v>
      </c>
      <c r="AH5613">
        <v>5.25620315747397</v>
      </c>
      <c r="AI5613">
        <v>97.887872843264901</v>
      </c>
      <c r="AJ5613">
        <v>139.725641754604</v>
      </c>
      <c r="AK5613">
        <v>8.2085586675683295</v>
      </c>
      <c r="AL5613">
        <v>94.569960233124405</v>
      </c>
      <c r="AM5613">
        <v>113.62670823005099</v>
      </c>
      <c r="AN5613">
        <v>1.0000000087530501</v>
      </c>
    </row>
    <row r="5614" spans="1:40" x14ac:dyDescent="0.25">
      <c r="A5614" t="str">
        <f>"20190303154921751"</f>
        <v>20190303154921751</v>
      </c>
      <c r="B5614" t="str">
        <f>"1551599361746378"</f>
        <v>1551599361746378</v>
      </c>
      <c r="C5614" t="s">
        <v>40</v>
      </c>
      <c r="D5614">
        <v>5.0398040000000002</v>
      </c>
      <c r="E5614">
        <v>0.31871339999999998</v>
      </c>
      <c r="F5614" t="s">
        <v>59</v>
      </c>
      <c r="G5614">
        <v>-416.25729999999999</v>
      </c>
      <c r="H5614" s="1">
        <v>-7.6543980000000003E-6</v>
      </c>
      <c r="I5614">
        <v>133.82399999999899</v>
      </c>
      <c r="J5614">
        <v>-412.41789999999997</v>
      </c>
      <c r="K5614">
        <v>1.1264860000000001</v>
      </c>
      <c r="L5614">
        <v>141.0694</v>
      </c>
      <c r="M5614">
        <v>-0.97754399999999997</v>
      </c>
      <c r="N5614">
        <v>-1.423817E-2</v>
      </c>
      <c r="O5614">
        <v>-0.21024989999999999</v>
      </c>
      <c r="P5614">
        <v>-0.79932729999999996</v>
      </c>
      <c r="Q5614">
        <v>-8.7697369999999997E-2</v>
      </c>
      <c r="R5614">
        <v>-0.59446199999999905</v>
      </c>
      <c r="S5614">
        <v>-1.5936889999999999</v>
      </c>
      <c r="T5614">
        <v>-0.44719409999999998</v>
      </c>
      <c r="U5614">
        <v>-2.8954930000000001</v>
      </c>
      <c r="V5614">
        <v>-0.41205380000000003</v>
      </c>
      <c r="W5614">
        <v>-8.0327369999999995E-2</v>
      </c>
      <c r="X5614">
        <v>0.90761179999999997</v>
      </c>
      <c r="Y5614">
        <v>-0.74938680000000002</v>
      </c>
      <c r="Z5614">
        <v>-4.0466960000000003E-2</v>
      </c>
      <c r="AA5614">
        <v>0.66089469999999995</v>
      </c>
      <c r="AB5614">
        <v>19</v>
      </c>
      <c r="AC5614">
        <v>-3.8394000000000101</v>
      </c>
      <c r="AD5614">
        <v>-1.126493654398</v>
      </c>
      <c r="AE5614">
        <v>-7.2454000000000098</v>
      </c>
      <c r="AF5614">
        <v>-6.1598427325429901</v>
      </c>
      <c r="AG5614">
        <v>-1.126493654398</v>
      </c>
      <c r="AH5614">
        <v>5.1793106820983903</v>
      </c>
      <c r="AI5614">
        <v>97.968113890879394</v>
      </c>
      <c r="AJ5614">
        <v>139.942250944178</v>
      </c>
      <c r="AK5614">
        <v>8.1263712433508797</v>
      </c>
      <c r="AL5614">
        <v>94.607383215339496</v>
      </c>
      <c r="AM5614">
        <v>114.417946187303</v>
      </c>
      <c r="AN5614">
        <v>0.99999999998239797</v>
      </c>
    </row>
    <row r="5615" spans="1:40" x14ac:dyDescent="0.25">
      <c r="A5615" t="str">
        <f>"20190303154921769"</f>
        <v>20190303154921769</v>
      </c>
      <c r="B5615" t="str">
        <f>"1551599361766874"</f>
        <v>1551599361766874</v>
      </c>
      <c r="C5615" t="s">
        <v>40</v>
      </c>
      <c r="D5615">
        <v>5.0031600000000003</v>
      </c>
      <c r="E5615">
        <v>0.3192662</v>
      </c>
      <c r="F5615" t="s">
        <v>59</v>
      </c>
      <c r="G5615">
        <v>-416.29320000000001</v>
      </c>
      <c r="H5615" s="1">
        <v>-7.558363E-6</v>
      </c>
      <c r="I5615">
        <v>133.5934</v>
      </c>
      <c r="J5615">
        <v>-412.55590000000001</v>
      </c>
      <c r="K5615">
        <v>1.126492</v>
      </c>
      <c r="L5615">
        <v>141.02959999999999</v>
      </c>
      <c r="M5615">
        <v>-0.97574000000000005</v>
      </c>
      <c r="N5615">
        <v>-1.425132E-2</v>
      </c>
      <c r="O5615">
        <v>-0.21846850000000001</v>
      </c>
      <c r="P5615">
        <v>-0.79043249999999998</v>
      </c>
      <c r="Q5615">
        <v>-8.8154440000000001E-2</v>
      </c>
      <c r="R5615">
        <v>-0.60617259999999995</v>
      </c>
      <c r="S5615">
        <v>-1.521576</v>
      </c>
      <c r="T5615">
        <v>-0.4423029</v>
      </c>
      <c r="U5615">
        <v>-2.935349</v>
      </c>
      <c r="V5615">
        <v>-0.41777360000000002</v>
      </c>
      <c r="W5615">
        <v>-8.0897150000000001E-2</v>
      </c>
      <c r="X5615">
        <v>0.90494249999999998</v>
      </c>
      <c r="Y5615">
        <v>-0.76020180000000004</v>
      </c>
      <c r="Z5615">
        <v>-4.0466439999999999E-2</v>
      </c>
      <c r="AA5615">
        <v>0.64842559999999905</v>
      </c>
      <c r="AB5615">
        <v>19</v>
      </c>
      <c r="AC5615">
        <v>-3.7372999999999998</v>
      </c>
      <c r="AD5615">
        <v>-1.126499558363</v>
      </c>
      <c r="AE5615">
        <v>-7.4361999999999799</v>
      </c>
      <c r="AF5615">
        <v>-6.3241045171730397</v>
      </c>
      <c r="AG5615">
        <v>-1.126499558363</v>
      </c>
      <c r="AH5615">
        <v>5.1768971512286202</v>
      </c>
      <c r="AI5615">
        <v>97.847930753881002</v>
      </c>
      <c r="AJ5615">
        <v>140.69632409136599</v>
      </c>
      <c r="AK5615">
        <v>8.2500644429919205</v>
      </c>
      <c r="AL5615">
        <v>94.640135662105806</v>
      </c>
      <c r="AM5615">
        <v>114.78076861308</v>
      </c>
      <c r="AN5615">
        <v>1.0000000290206601</v>
      </c>
    </row>
    <row r="5616" spans="1:40" x14ac:dyDescent="0.25">
      <c r="A5616" t="str">
        <f>"20190303154921784"</f>
        <v>20190303154921784</v>
      </c>
      <c r="B5616" t="str">
        <f>"1551599361776633"</f>
        <v>1551599361776633</v>
      </c>
      <c r="C5616" t="s">
        <v>40</v>
      </c>
      <c r="D5616">
        <v>5.0726250000000004</v>
      </c>
      <c r="E5616">
        <v>0.32008109999999901</v>
      </c>
      <c r="F5616" t="s">
        <v>59</v>
      </c>
      <c r="G5616">
        <v>-416.37909999999999</v>
      </c>
      <c r="H5616" s="1">
        <v>-7.4762130000000002E-6</v>
      </c>
      <c r="I5616">
        <v>133.40389999999999</v>
      </c>
      <c r="J5616">
        <v>-412.6748</v>
      </c>
      <c r="K5616">
        <v>1.126509</v>
      </c>
      <c r="L5616">
        <v>140.99430000000001</v>
      </c>
      <c r="M5616">
        <v>-0.97411340000000002</v>
      </c>
      <c r="N5616">
        <v>-1.426288E-2</v>
      </c>
      <c r="O5616">
        <v>-0.22560959999999999</v>
      </c>
      <c r="P5616">
        <v>-0.77833940000000001</v>
      </c>
      <c r="Q5616">
        <v>-8.8733190000000003E-2</v>
      </c>
      <c r="R5616">
        <v>-0.62154189999999998</v>
      </c>
      <c r="S5616">
        <v>-1.4811399999999999</v>
      </c>
      <c r="T5616">
        <v>-0.43641010000000002</v>
      </c>
      <c r="U5616">
        <v>-2.954224</v>
      </c>
      <c r="V5616">
        <v>-0.42883120000000002</v>
      </c>
      <c r="W5616">
        <v>-8.1706340000000002E-2</v>
      </c>
      <c r="X5616">
        <v>0.89968210000000004</v>
      </c>
      <c r="Y5616">
        <v>-0.76431039999999995</v>
      </c>
      <c r="Z5616">
        <v>-3.9677179999999999E-2</v>
      </c>
      <c r="AA5616">
        <v>0.6436267</v>
      </c>
      <c r="AB5616">
        <v>19</v>
      </c>
      <c r="AC5616">
        <v>-3.7042999999999799</v>
      </c>
      <c r="AD5616">
        <v>-1.126516476213</v>
      </c>
      <c r="AE5616">
        <v>-7.5904000000000096</v>
      </c>
      <c r="AF5616">
        <v>-6.4442117792524201</v>
      </c>
      <c r="AG5616">
        <v>-1.126516476213</v>
      </c>
      <c r="AH5616">
        <v>5.2284053112702003</v>
      </c>
      <c r="AI5616">
        <v>97.730669311206896</v>
      </c>
      <c r="AJ5616">
        <v>140.94642046203001</v>
      </c>
      <c r="AK5616">
        <v>8.3745523418242094</v>
      </c>
      <c r="AL5616">
        <v>94.686652951608707</v>
      </c>
      <c r="AM5616">
        <v>115.484685367381</v>
      </c>
      <c r="AN5616">
        <v>1.00000000257502</v>
      </c>
    </row>
    <row r="5617" spans="1:40" x14ac:dyDescent="0.25">
      <c r="A5617" t="str">
        <f>"20190303154921808"</f>
        <v>20190303154921808</v>
      </c>
      <c r="B5617" t="str">
        <f>"1551599361796154"</f>
        <v>1551599361796154</v>
      </c>
      <c r="C5617" t="s">
        <v>40</v>
      </c>
      <c r="D5617">
        <v>5.110703</v>
      </c>
      <c r="E5617">
        <v>0.32152509999999901</v>
      </c>
      <c r="F5617" t="s">
        <v>59</v>
      </c>
      <c r="G5617">
        <v>-416.37610000000001</v>
      </c>
      <c r="H5617" s="1">
        <v>-7.42173E-6</v>
      </c>
      <c r="I5617">
        <v>133.2697</v>
      </c>
      <c r="J5617">
        <v>-412.85680000000002</v>
      </c>
      <c r="K5617">
        <v>1.1265430000000001</v>
      </c>
      <c r="L5617">
        <v>140.93819999999999</v>
      </c>
      <c r="M5617">
        <v>-0.97148690000000004</v>
      </c>
      <c r="N5617">
        <v>-1.428187E-2</v>
      </c>
      <c r="O5617">
        <v>-0.23666290000000001</v>
      </c>
      <c r="P5617">
        <v>-0.75936219999999999</v>
      </c>
      <c r="Q5617">
        <v>-8.9749759999999998E-2</v>
      </c>
      <c r="R5617">
        <v>-0.6444491</v>
      </c>
      <c r="S5617">
        <v>-1.426849</v>
      </c>
      <c r="T5617">
        <v>-0.43427939999999998</v>
      </c>
      <c r="U5617">
        <v>-2.9778899999999999</v>
      </c>
      <c r="V5617">
        <v>-0.44531690000000002</v>
      </c>
      <c r="W5617">
        <v>-8.3092429999999995E-2</v>
      </c>
      <c r="X5617">
        <v>0.89150910000000005</v>
      </c>
      <c r="Y5617">
        <v>-0.7685767</v>
      </c>
      <c r="Z5617">
        <v>-3.8668059999999997E-2</v>
      </c>
      <c r="AA5617">
        <v>0.63858809999999999</v>
      </c>
      <c r="AB5617">
        <v>19</v>
      </c>
      <c r="AC5617">
        <v>-3.5192999999999799</v>
      </c>
      <c r="AD5617">
        <v>-1.12655042173</v>
      </c>
      <c r="AE5617">
        <v>-7.6684999999999901</v>
      </c>
      <c r="AF5617">
        <v>-6.5017289962966798</v>
      </c>
      <c r="AG5617">
        <v>-1.12655042173</v>
      </c>
      <c r="AH5617">
        <v>5.1426596156439102</v>
      </c>
      <c r="AI5617">
        <v>97.738933730829999</v>
      </c>
      <c r="AJ5617">
        <v>141.657130750688</v>
      </c>
      <c r="AK5617">
        <v>8.3659155934278893</v>
      </c>
      <c r="AL5617">
        <v>94.766341140219197</v>
      </c>
      <c r="AM5617">
        <v>116.54254513962</v>
      </c>
      <c r="AN5617">
        <v>0.99999998436586202</v>
      </c>
    </row>
    <row r="5618" spans="1:40" x14ac:dyDescent="0.25">
      <c r="A5618" t="str">
        <f>"20190303154921852"</f>
        <v>20190303154921852</v>
      </c>
      <c r="B5618" t="str">
        <f>"1551599361846909"</f>
        <v>1551599361846909</v>
      </c>
      <c r="C5618" t="s">
        <v>40</v>
      </c>
      <c r="D5618">
        <v>5.0905120000000004</v>
      </c>
      <c r="E5618">
        <v>0.3195441</v>
      </c>
      <c r="F5618" t="s">
        <v>59</v>
      </c>
      <c r="G5618">
        <v>-416.32229999999998</v>
      </c>
      <c r="H5618" s="1">
        <v>-7.3875239999999998E-6</v>
      </c>
      <c r="I5618">
        <v>133.1781</v>
      </c>
      <c r="J5618">
        <v>-413.19729999999998</v>
      </c>
      <c r="K5618">
        <v>1.126649</v>
      </c>
      <c r="L5618">
        <v>140.82660000000001</v>
      </c>
      <c r="M5618">
        <v>-0.96609710000000004</v>
      </c>
      <c r="N5618">
        <v>-1.4321779999999999E-2</v>
      </c>
      <c r="O5618">
        <v>-0.25778139999999999</v>
      </c>
      <c r="P5618">
        <v>-0.73185679999999997</v>
      </c>
      <c r="Q5618">
        <v>-8.8944910000000002E-2</v>
      </c>
      <c r="R5618">
        <v>-0.67562900000000004</v>
      </c>
      <c r="S5618">
        <v>-1.34433</v>
      </c>
      <c r="T5618">
        <v>-0.43700040000000001</v>
      </c>
      <c r="U5618">
        <v>-3.0102229999999999</v>
      </c>
      <c r="V5618">
        <v>-0.46300730000000001</v>
      </c>
      <c r="W5618">
        <v>-8.2750770000000001E-2</v>
      </c>
      <c r="X5618">
        <v>0.88248320000000002</v>
      </c>
      <c r="Y5618">
        <v>-0.77183210000000002</v>
      </c>
      <c r="Z5618">
        <v>-3.6495260000000002E-2</v>
      </c>
      <c r="AA5618">
        <v>0.63477810000000001</v>
      </c>
      <c r="AB5618">
        <v>19</v>
      </c>
      <c r="AC5618">
        <v>-3.125</v>
      </c>
      <c r="AD5618">
        <v>-1.1266563875239901</v>
      </c>
      <c r="AE5618">
        <v>-7.6485000000000101</v>
      </c>
      <c r="AF5618">
        <v>-6.4641055904339897</v>
      </c>
      <c r="AG5618">
        <v>-1.1266563875239901</v>
      </c>
      <c r="AH5618">
        <v>4.90009185913555</v>
      </c>
      <c r="AI5618">
        <v>97.907624383182394</v>
      </c>
      <c r="AJ5618">
        <v>142.836184922851</v>
      </c>
      <c r="AK5618">
        <v>8.1893171832451994</v>
      </c>
      <c r="AL5618">
        <v>94.746697624885797</v>
      </c>
      <c r="AM5618">
        <v>117.684385836169</v>
      </c>
      <c r="AN5618">
        <v>1.00000002403556</v>
      </c>
    </row>
    <row r="5619" spans="1:40" x14ac:dyDescent="0.25">
      <c r="A5619" t="str">
        <f>"20190303154921896"</f>
        <v>20190303154921896</v>
      </c>
      <c r="B5619" t="str">
        <f>"1551599361886922"</f>
        <v>1551599361886922</v>
      </c>
      <c r="C5619" t="s">
        <v>40</v>
      </c>
      <c r="D5619">
        <v>5.0869819999999999</v>
      </c>
      <c r="E5619">
        <v>0.31776209999999899</v>
      </c>
      <c r="F5619" t="s">
        <v>59</v>
      </c>
      <c r="G5619">
        <v>-416.32670000000002</v>
      </c>
      <c r="H5619" s="1">
        <v>-7.2566449999999999E-6</v>
      </c>
      <c r="I5619">
        <v>132.85740000000001</v>
      </c>
      <c r="J5619">
        <v>-413.53410000000002</v>
      </c>
      <c r="K5619">
        <v>1.126755</v>
      </c>
      <c r="L5619">
        <v>140.7072</v>
      </c>
      <c r="M5619">
        <v>-0.96009580000000005</v>
      </c>
      <c r="N5619">
        <v>-1.4365889999999999E-2</v>
      </c>
      <c r="O5619">
        <v>-0.2793022</v>
      </c>
      <c r="P5619">
        <v>-0.70682599999999995</v>
      </c>
      <c r="Q5619">
        <v>-8.9443430000000004E-2</v>
      </c>
      <c r="R5619">
        <v>-0.7017099</v>
      </c>
      <c r="S5619">
        <v>-1.2075199999999999</v>
      </c>
      <c r="T5619">
        <v>-0.4347434</v>
      </c>
      <c r="U5619">
        <v>-3.0750730000000002</v>
      </c>
      <c r="V5619">
        <v>-0.47520250000000003</v>
      </c>
      <c r="W5619">
        <v>-8.3614620000000001E-2</v>
      </c>
      <c r="X5619">
        <v>0.87589450000000002</v>
      </c>
      <c r="Y5619">
        <v>-0.78654219999999997</v>
      </c>
      <c r="Z5619">
        <v>-3.5429370000000002E-2</v>
      </c>
      <c r="AA5619">
        <v>0.61651940000000005</v>
      </c>
      <c r="AB5619">
        <v>18</v>
      </c>
      <c r="AC5619">
        <v>-2.79259999999999</v>
      </c>
      <c r="AD5619">
        <v>-1.126762256645</v>
      </c>
      <c r="AE5619">
        <v>-7.8497999999999797</v>
      </c>
      <c r="AF5619">
        <v>-6.6359128969740304</v>
      </c>
      <c r="AG5619">
        <v>-1.126762256645</v>
      </c>
      <c r="AH5619">
        <v>4.7865903296060699</v>
      </c>
      <c r="AI5619">
        <v>97.840919679221798</v>
      </c>
      <c r="AJ5619">
        <v>144.196484336005</v>
      </c>
      <c r="AK5619">
        <v>8.2593208039586692</v>
      </c>
      <c r="AL5619">
        <v>94.796364840549202</v>
      </c>
      <c r="AM5619">
        <v>118.48133385940901</v>
      </c>
      <c r="AN5619">
        <v>0.99999999790712202</v>
      </c>
    </row>
    <row r="5620" spans="1:40" x14ac:dyDescent="0.25">
      <c r="A5620" t="str">
        <f>"20190303154921919"</f>
        <v>20190303154921919</v>
      </c>
      <c r="B5620" t="str">
        <f>"1551599361916202"</f>
        <v>1551599361916202</v>
      </c>
      <c r="C5620" t="s">
        <v>40</v>
      </c>
      <c r="D5620">
        <v>5.2415479999999999</v>
      </c>
      <c r="E5620">
        <v>0.3189477</v>
      </c>
      <c r="F5620" t="s">
        <v>59</v>
      </c>
      <c r="G5620">
        <v>-416.38990000000001</v>
      </c>
      <c r="H5620" s="1">
        <v>-7.097209E-6</v>
      </c>
      <c r="I5620">
        <v>132.47489999999999</v>
      </c>
      <c r="J5620">
        <v>-413.70690000000002</v>
      </c>
      <c r="K5620">
        <v>1.1268359999999999</v>
      </c>
      <c r="L5620">
        <v>140.64240000000001</v>
      </c>
      <c r="M5620">
        <v>-0.95672270000000004</v>
      </c>
      <c r="N5620">
        <v>-1.439212E-2</v>
      </c>
      <c r="O5620">
        <v>-0.29064519999999999</v>
      </c>
      <c r="P5620">
        <v>-0.69445429999999997</v>
      </c>
      <c r="Q5620">
        <v>-8.9934390000000003E-2</v>
      </c>
      <c r="R5620">
        <v>-0.71389440000000004</v>
      </c>
      <c r="S5620">
        <v>-1.0850219999999999</v>
      </c>
      <c r="T5620">
        <v>-0.42809999999999998</v>
      </c>
      <c r="U5620">
        <v>-3.1277620000000002</v>
      </c>
      <c r="V5620">
        <v>-0.48004809999999998</v>
      </c>
      <c r="W5620">
        <v>-8.4278130000000007E-2</v>
      </c>
      <c r="X5620">
        <v>0.87318439999999997</v>
      </c>
      <c r="Y5620">
        <v>-0.80371870000000001</v>
      </c>
      <c r="Z5620">
        <v>-3.5917610000000003E-2</v>
      </c>
      <c r="AA5620">
        <v>0.59392440000000002</v>
      </c>
      <c r="AB5620">
        <v>18</v>
      </c>
      <c r="AC5620">
        <v>-2.6829999999999901</v>
      </c>
      <c r="AD5620">
        <v>-1.126843097209</v>
      </c>
      <c r="AE5620">
        <v>-8.1675000000000093</v>
      </c>
      <c r="AF5620">
        <v>-6.9161349882233099</v>
      </c>
      <c r="AG5620">
        <v>-1.126843097209</v>
      </c>
      <c r="AH5620">
        <v>4.8577825187871602</v>
      </c>
      <c r="AI5620">
        <v>97.594322348504406</v>
      </c>
      <c r="AJ5620">
        <v>144.91640940649501</v>
      </c>
      <c r="AK5620">
        <v>8.5264734527756794</v>
      </c>
      <c r="AL5620">
        <v>94.834515869928893</v>
      </c>
      <c r="AM5620">
        <v>118.800549927839</v>
      </c>
      <c r="AN5620">
        <v>0.999999988956633</v>
      </c>
    </row>
    <row r="5621" spans="1:40" x14ac:dyDescent="0.25">
      <c r="A5621" t="str">
        <f>"20190303154921941"</f>
        <v>20190303154921941</v>
      </c>
      <c r="B5621" t="str">
        <f>"1551599361936701"</f>
        <v>1551599361936701</v>
      </c>
      <c r="C5621" t="s">
        <v>40</v>
      </c>
      <c r="D5621">
        <v>5.15794</v>
      </c>
      <c r="E5621">
        <v>0.3198725</v>
      </c>
      <c r="F5621" t="s">
        <v>59</v>
      </c>
      <c r="G5621">
        <v>-416.43209999999999</v>
      </c>
      <c r="H5621" s="1">
        <v>-7.0619939999999997E-6</v>
      </c>
      <c r="I5621">
        <v>132.39449999999999</v>
      </c>
      <c r="J5621">
        <v>-413.86720000000003</v>
      </c>
      <c r="K5621">
        <v>1.126932</v>
      </c>
      <c r="L5621">
        <v>140.57990000000001</v>
      </c>
      <c r="M5621">
        <v>-0.95339119999999999</v>
      </c>
      <c r="N5621">
        <v>-1.4420820000000001E-2</v>
      </c>
      <c r="O5621">
        <v>-0.30139270000000001</v>
      </c>
      <c r="P5621">
        <v>-0.68359459999999905</v>
      </c>
      <c r="Q5621">
        <v>-8.8989059999999995E-2</v>
      </c>
      <c r="R5621">
        <v>-0.72441659999999997</v>
      </c>
      <c r="S5621">
        <v>-1.037231</v>
      </c>
      <c r="T5621">
        <v>-0.42888130000000002</v>
      </c>
      <c r="U5621">
        <v>-3.1392060000000002</v>
      </c>
      <c r="V5621">
        <v>-0.48350779999999899</v>
      </c>
      <c r="W5621">
        <v>-8.3481890000000003E-2</v>
      </c>
      <c r="X5621">
        <v>0.87135010000000002</v>
      </c>
      <c r="Y5621">
        <v>-0.80584540000000005</v>
      </c>
      <c r="Z5621">
        <v>-3.4845370000000001E-2</v>
      </c>
      <c r="AA5621">
        <v>0.59109979999999995</v>
      </c>
      <c r="AB5621">
        <v>18</v>
      </c>
      <c r="AC5621">
        <v>-2.5648999999999602</v>
      </c>
      <c r="AD5621">
        <v>-1.1269390619939901</v>
      </c>
      <c r="AE5621">
        <v>-8.1854000000000102</v>
      </c>
      <c r="AF5621">
        <v>-6.9122696308492104</v>
      </c>
      <c r="AG5621">
        <v>-1.1269390619939901</v>
      </c>
      <c r="AH5621">
        <v>4.8295247900776799</v>
      </c>
      <c r="AI5621">
        <v>97.612211638791393</v>
      </c>
      <c r="AJ5621">
        <v>145.05843440290201</v>
      </c>
      <c r="AK5621">
        <v>8.5072776372340808</v>
      </c>
      <c r="AL5621">
        <v>94.788733242792304</v>
      </c>
      <c r="AM5621">
        <v>119.02567444288999</v>
      </c>
      <c r="AN5621">
        <v>1.00000000769441</v>
      </c>
    </row>
    <row r="5622" spans="1:40" x14ac:dyDescent="0.25">
      <c r="A5622" t="str">
        <f>"20190303154921963"</f>
        <v>20190303154921963</v>
      </c>
      <c r="B5622" t="str">
        <f>"1551599361956218"</f>
        <v>1551599361956218</v>
      </c>
      <c r="C5622" t="s">
        <v>40</v>
      </c>
      <c r="D5622">
        <v>5.1453410000000002</v>
      </c>
      <c r="E5622">
        <v>0.31991730000000002</v>
      </c>
      <c r="F5622" t="s">
        <v>59</v>
      </c>
      <c r="G5622">
        <v>-416.51319999999998</v>
      </c>
      <c r="H5622" s="1">
        <v>-6.9777399999999902E-6</v>
      </c>
      <c r="I5622">
        <v>132.19919999999999</v>
      </c>
      <c r="J5622">
        <v>-414.03460000000001</v>
      </c>
      <c r="K5622">
        <v>1.127041</v>
      </c>
      <c r="L5622">
        <v>140.512</v>
      </c>
      <c r="M5622">
        <v>-0.94969250000000005</v>
      </c>
      <c r="N5622">
        <v>-1.445544E-2</v>
      </c>
      <c r="O5622">
        <v>-0.31285000000000002</v>
      </c>
      <c r="P5622">
        <v>-0.67216790000000004</v>
      </c>
      <c r="Q5622">
        <v>-8.6087730000000001E-2</v>
      </c>
      <c r="R5622">
        <v>-0.73537669999999999</v>
      </c>
      <c r="S5622">
        <v>-0.99468990000000002</v>
      </c>
      <c r="T5622">
        <v>-0.4236491</v>
      </c>
      <c r="U5622">
        <v>-3.1505580000000002</v>
      </c>
      <c r="V5622">
        <v>-0.48700310000000002</v>
      </c>
      <c r="W5622">
        <v>-8.0741960000000002E-2</v>
      </c>
      <c r="X5622">
        <v>0.86966010000000005</v>
      </c>
      <c r="Y5622">
        <v>-0.80677279999999996</v>
      </c>
      <c r="Z5622">
        <v>-3.3162209999999998E-2</v>
      </c>
      <c r="AA5622">
        <v>0.58993050000000002</v>
      </c>
      <c r="AB5622">
        <v>18</v>
      </c>
      <c r="AC5622">
        <v>-2.4785999999999699</v>
      </c>
      <c r="AD5622">
        <v>-1.12704797774</v>
      </c>
      <c r="AE5622">
        <v>-8.31280000000001</v>
      </c>
      <c r="AF5622">
        <v>-7.0017212192395197</v>
      </c>
      <c r="AG5622">
        <v>-1.12704797774</v>
      </c>
      <c r="AH5622">
        <v>4.87282654211739</v>
      </c>
      <c r="AI5622">
        <v>97.526362446434405</v>
      </c>
      <c r="AJ5622">
        <v>145.164130797426</v>
      </c>
      <c r="AK5622">
        <v>8.6045787628239196</v>
      </c>
      <c r="AL5622">
        <v>94.631214945030806</v>
      </c>
      <c r="AM5622">
        <v>119.24849752255599</v>
      </c>
      <c r="AN5622">
        <v>0.99999998652313005</v>
      </c>
    </row>
    <row r="5623" spans="1:40" x14ac:dyDescent="0.25">
      <c r="A5623" t="str">
        <f>"20190303154921986"</f>
        <v>20190303154921986</v>
      </c>
      <c r="B5623" t="str">
        <f>"1551599361976714"</f>
        <v>1551599361976714</v>
      </c>
      <c r="C5623" t="s">
        <v>40</v>
      </c>
      <c r="D5623">
        <v>5.1968439999999996</v>
      </c>
      <c r="E5623">
        <v>0.32037559999999998</v>
      </c>
      <c r="F5623" t="s">
        <v>59</v>
      </c>
      <c r="G5623">
        <v>-416.64710000000002</v>
      </c>
      <c r="H5623" s="1">
        <v>-6.7937209999999998E-6</v>
      </c>
      <c r="I5623">
        <v>131.76650000000001</v>
      </c>
      <c r="J5623">
        <v>-414.19880000000001</v>
      </c>
      <c r="K5623">
        <v>1.127149</v>
      </c>
      <c r="L5623">
        <v>140.44280000000001</v>
      </c>
      <c r="M5623">
        <v>-0.94585030000000003</v>
      </c>
      <c r="N5623">
        <v>-1.448987E-2</v>
      </c>
      <c r="O5623">
        <v>-0.32428010000000002</v>
      </c>
      <c r="P5623">
        <v>-0.66099940000000001</v>
      </c>
      <c r="Q5623">
        <v>-8.3081500000000003E-2</v>
      </c>
      <c r="R5623">
        <v>-0.74577320000000002</v>
      </c>
      <c r="S5623">
        <v>-0.94607540000000001</v>
      </c>
      <c r="T5623">
        <v>-0.4081475</v>
      </c>
      <c r="U5623">
        <v>-3.167084</v>
      </c>
      <c r="V5623">
        <v>-0.48997810000000003</v>
      </c>
      <c r="W5623">
        <v>-7.78755E-2</v>
      </c>
      <c r="X5623">
        <v>0.8682493</v>
      </c>
      <c r="Y5623">
        <v>-0.80916860000000002</v>
      </c>
      <c r="Z5623">
        <v>-3.120587E-2</v>
      </c>
      <c r="AA5623">
        <v>0.58674720000000002</v>
      </c>
      <c r="AB5623">
        <v>18</v>
      </c>
      <c r="AC5623">
        <v>-2.4483000000000099</v>
      </c>
      <c r="AD5623">
        <v>-1.1271557937209999</v>
      </c>
      <c r="AE5623">
        <v>-8.6762999999999906</v>
      </c>
      <c r="AF5623">
        <v>-7.2992188948656702</v>
      </c>
      <c r="AG5623">
        <v>-1.1271557937209999</v>
      </c>
      <c r="AH5623">
        <v>5.0508575076701403</v>
      </c>
      <c r="AI5623">
        <v>97.236915872697395</v>
      </c>
      <c r="AJ5623">
        <v>145.317837733022</v>
      </c>
      <c r="AK5623">
        <v>8.9476386952799292</v>
      </c>
      <c r="AL5623">
        <v>94.466459850090303</v>
      </c>
      <c r="AM5623">
        <v>119.437289466572</v>
      </c>
      <c r="AN5623">
        <v>0.99999998946517499</v>
      </c>
    </row>
    <row r="5624" spans="1:40" x14ac:dyDescent="0.25">
      <c r="A5624" t="str">
        <f>"20190303154922008"</f>
        <v>20190303154922008</v>
      </c>
      <c r="B5624" t="str">
        <f>"1551599362005994"</f>
        <v>1551599362005994</v>
      </c>
      <c r="C5624" t="s">
        <v>40</v>
      </c>
      <c r="D5624">
        <v>4.8121090000000004</v>
      </c>
      <c r="E5624">
        <v>0.32092789999999999</v>
      </c>
      <c r="F5624" t="s">
        <v>59</v>
      </c>
      <c r="G5624">
        <v>-416.78629999999998</v>
      </c>
      <c r="H5624" s="1">
        <v>-6.6003850000000002E-6</v>
      </c>
      <c r="I5624">
        <v>131.3116</v>
      </c>
      <c r="J5624">
        <v>-414.36489999999998</v>
      </c>
      <c r="K5624">
        <v>1.127232</v>
      </c>
      <c r="L5624">
        <v>140.37010000000001</v>
      </c>
      <c r="M5624">
        <v>-0.94173709999999999</v>
      </c>
      <c r="N5624">
        <v>-1.4523400000000001E-2</v>
      </c>
      <c r="O5624">
        <v>-0.33603640000000001</v>
      </c>
      <c r="P5624">
        <v>-0.64975509999999903</v>
      </c>
      <c r="Q5624">
        <v>-8.0695089999999997E-2</v>
      </c>
      <c r="R5624">
        <v>-0.75584839999999998</v>
      </c>
      <c r="S5624">
        <v>-0.90118410000000004</v>
      </c>
      <c r="T5624">
        <v>-0.39256219999999997</v>
      </c>
      <c r="U5624">
        <v>-3.180161</v>
      </c>
      <c r="V5624">
        <v>-0.49242859999999999</v>
      </c>
      <c r="W5624">
        <v>-7.5607199999999999E-2</v>
      </c>
      <c r="X5624">
        <v>0.86706260000000002</v>
      </c>
      <c r="Y5624">
        <v>-0.81050769999999905</v>
      </c>
      <c r="Z5624">
        <v>-2.9162130000000001E-2</v>
      </c>
      <c r="AA5624">
        <v>0.58500160000000001</v>
      </c>
      <c r="AB5624">
        <v>18</v>
      </c>
      <c r="AC5624">
        <v>-2.4214000000000002</v>
      </c>
      <c r="AD5624">
        <v>-1.1272386003849999</v>
      </c>
      <c r="AE5624">
        <v>-9.0585000000000093</v>
      </c>
      <c r="AF5624">
        <v>-7.6079063486057201</v>
      </c>
      <c r="AG5624">
        <v>-1.1272386003849999</v>
      </c>
      <c r="AH5624">
        <v>5.2490073342500398</v>
      </c>
      <c r="AI5624">
        <v>96.953252530304695</v>
      </c>
      <c r="AJ5624">
        <v>145.39661044997899</v>
      </c>
      <c r="AK5624">
        <v>9.3114437047304204</v>
      </c>
      <c r="AL5624">
        <v>94.336111523021501</v>
      </c>
      <c r="AM5624">
        <v>119.59342952103501</v>
      </c>
      <c r="AN5624">
        <v>0.999999963554279</v>
      </c>
    </row>
    <row r="5625" spans="1:40" x14ac:dyDescent="0.25">
      <c r="A5625" t="str">
        <f>"20190303154922031"</f>
        <v>20190303154922031</v>
      </c>
      <c r="B5625" t="str">
        <f>"1551599362026490"</f>
        <v>1551599362026490</v>
      </c>
      <c r="C5625" t="s">
        <v>40</v>
      </c>
      <c r="D5625">
        <v>5.1953899999999997</v>
      </c>
      <c r="E5625">
        <v>0.3214072</v>
      </c>
      <c r="F5625" t="s">
        <v>59</v>
      </c>
      <c r="G5625">
        <v>-416.92399999999998</v>
      </c>
      <c r="H5625" s="1">
        <v>-6.4019319999999997E-6</v>
      </c>
      <c r="I5625">
        <v>130.84399999999999</v>
      </c>
      <c r="J5625">
        <v>-414.52809999999999</v>
      </c>
      <c r="K5625">
        <v>1.127305</v>
      </c>
      <c r="L5625">
        <v>140.2962</v>
      </c>
      <c r="M5625">
        <v>-0.93745990000000001</v>
      </c>
      <c r="N5625">
        <v>-1.4555490000000001E-2</v>
      </c>
      <c r="O5625">
        <v>-0.34778880000000001</v>
      </c>
      <c r="P5625">
        <v>-0.63920059999999901</v>
      </c>
      <c r="Q5625">
        <v>-7.9820550000000004E-2</v>
      </c>
      <c r="R5625">
        <v>-0.76488659999999997</v>
      </c>
      <c r="S5625">
        <v>-0.85742189999999996</v>
      </c>
      <c r="T5625">
        <v>-0.37767600000000001</v>
      </c>
      <c r="U5625">
        <v>-3.191681</v>
      </c>
      <c r="V5625">
        <v>-0.49370409999999998</v>
      </c>
      <c r="W5625">
        <v>-7.4818800000000005E-2</v>
      </c>
      <c r="X5625">
        <v>0.86640550000000005</v>
      </c>
      <c r="Y5625">
        <v>-0.81151879999999998</v>
      </c>
      <c r="Z5625">
        <v>-2.7212429999999999E-2</v>
      </c>
      <c r="AA5625">
        <v>0.5836924</v>
      </c>
      <c r="AB5625">
        <v>18</v>
      </c>
      <c r="AC5625">
        <v>-2.3959000000000401</v>
      </c>
      <c r="AD5625">
        <v>-1.1273114019320001</v>
      </c>
      <c r="AE5625">
        <v>-9.4521999999999995</v>
      </c>
      <c r="AF5625">
        <v>-7.9227520173839201</v>
      </c>
      <c r="AG5625">
        <v>-1.1273114019320001</v>
      </c>
      <c r="AH5625">
        <v>5.4610275679683298</v>
      </c>
      <c r="AI5625">
        <v>96.681942013097697</v>
      </c>
      <c r="AJ5625">
        <v>145.42211905684999</v>
      </c>
      <c r="AK5625">
        <v>9.6883255841242804</v>
      </c>
      <c r="AL5625">
        <v>94.290810881945504</v>
      </c>
      <c r="AM5625">
        <v>119.67580060662</v>
      </c>
      <c r="AN5625">
        <v>1.0000000408102401</v>
      </c>
    </row>
    <row r="5626" spans="1:40" x14ac:dyDescent="0.25">
      <c r="A5626" t="str">
        <f>"20190303154922075"</f>
        <v>20190303154922075</v>
      </c>
      <c r="B5626" t="str">
        <f>"1551599362066506"</f>
        <v>1551599362066506</v>
      </c>
      <c r="C5626" t="s">
        <v>40</v>
      </c>
      <c r="D5626">
        <v>5.2026879999999904</v>
      </c>
      <c r="E5626">
        <v>0.32189620000000002</v>
      </c>
      <c r="F5626" t="s">
        <v>59</v>
      </c>
      <c r="G5626">
        <v>-417.02080000000001</v>
      </c>
      <c r="H5626" s="1">
        <v>-6.2642110000000002E-6</v>
      </c>
      <c r="I5626">
        <v>130.5197</v>
      </c>
      <c r="J5626">
        <v>-414.84350000000001</v>
      </c>
      <c r="K5626">
        <v>1.1274459999999999</v>
      </c>
      <c r="L5626">
        <v>140.1454</v>
      </c>
      <c r="M5626">
        <v>-0.92845800000000001</v>
      </c>
      <c r="N5626">
        <v>-1.4623840000000001E-2</v>
      </c>
      <c r="O5626">
        <v>-0.37114960000000002</v>
      </c>
      <c r="P5626">
        <v>-0.62005859999999902</v>
      </c>
      <c r="Q5626">
        <v>-8.0350000000000005E-2</v>
      </c>
      <c r="R5626">
        <v>-0.78042979999999995</v>
      </c>
      <c r="S5626">
        <v>-0.81625369999999997</v>
      </c>
      <c r="T5626">
        <v>-0.3691564</v>
      </c>
      <c r="U5626">
        <v>-3.2014770000000001</v>
      </c>
      <c r="V5626">
        <v>-0.49338890000000002</v>
      </c>
      <c r="W5626">
        <v>-7.5458609999999995E-2</v>
      </c>
      <c r="X5626">
        <v>0.86652949999999995</v>
      </c>
      <c r="Y5626">
        <v>-0.80468519999999999</v>
      </c>
      <c r="Z5626">
        <v>-2.3217769999999999E-2</v>
      </c>
      <c r="AA5626">
        <v>0.59324750000000004</v>
      </c>
      <c r="AB5626">
        <v>18</v>
      </c>
      <c r="AC5626">
        <v>-2.1772999999999998</v>
      </c>
      <c r="AD5626">
        <v>-1.1274522642110001</v>
      </c>
      <c r="AE5626">
        <v>-9.6256999999999895</v>
      </c>
      <c r="AF5626">
        <v>-8.0250834554726698</v>
      </c>
      <c r="AG5626">
        <v>-1.1274522642110001</v>
      </c>
      <c r="AH5626">
        <v>5.5226255644052102</v>
      </c>
      <c r="AI5626">
        <v>96.601713990436807</v>
      </c>
      <c r="AJ5626">
        <v>145.46539905235301</v>
      </c>
      <c r="AK5626">
        <v>9.8067581901461001</v>
      </c>
      <c r="AL5626">
        <v>94.327573431673301</v>
      </c>
      <c r="AM5626">
        <v>119.65653727700099</v>
      </c>
      <c r="AN5626">
        <v>0.99999999141829599</v>
      </c>
    </row>
    <row r="5627" spans="1:40" x14ac:dyDescent="0.25">
      <c r="A5627" t="str">
        <f>"20190303154922097"</f>
        <v>20190303154922097</v>
      </c>
      <c r="B5627" t="str">
        <f>"1551599362086026"</f>
        <v>1551599362086026</v>
      </c>
      <c r="C5627" t="s">
        <v>40</v>
      </c>
      <c r="D5627">
        <v>5.1889310000000002</v>
      </c>
      <c r="E5627">
        <v>0.34588829999999998</v>
      </c>
      <c r="F5627" t="s">
        <v>59</v>
      </c>
      <c r="G5627">
        <v>-417.13709999999998</v>
      </c>
      <c r="H5627" s="1">
        <v>-6.1127379999999997E-6</v>
      </c>
      <c r="I5627">
        <v>130.1644</v>
      </c>
      <c r="J5627">
        <v>-415.00049999999999</v>
      </c>
      <c r="K5627">
        <v>1.1275389999999901</v>
      </c>
      <c r="L5627">
        <v>140.06630000000001</v>
      </c>
      <c r="M5627">
        <v>-0.92358969999999996</v>
      </c>
      <c r="N5627">
        <v>-1.466281E-2</v>
      </c>
      <c r="O5627">
        <v>-0.3831021</v>
      </c>
      <c r="P5627">
        <v>-0.60979649999999996</v>
      </c>
      <c r="Q5627">
        <v>-7.9762589999999994E-2</v>
      </c>
      <c r="R5627">
        <v>-0.78853439999999997</v>
      </c>
      <c r="S5627">
        <v>-0.73968509999999998</v>
      </c>
      <c r="T5627">
        <v>-0.36360720000000002</v>
      </c>
      <c r="U5627">
        <v>-3.2189179999999999</v>
      </c>
      <c r="V5627">
        <v>-0.4935891</v>
      </c>
      <c r="W5627">
        <v>-7.4945029999999996E-2</v>
      </c>
      <c r="X5627">
        <v>0.86646009999999996</v>
      </c>
      <c r="Y5627">
        <v>-0.81115879999999996</v>
      </c>
      <c r="Z5627">
        <v>-2.2440069999999999E-2</v>
      </c>
      <c r="AA5627">
        <v>0.584395199999999</v>
      </c>
      <c r="AB5627">
        <v>18</v>
      </c>
      <c r="AC5627">
        <v>-2.1365999999999801</v>
      </c>
      <c r="AD5627">
        <v>-1.1275451127379901</v>
      </c>
      <c r="AE5627">
        <v>-9.9019000000000101</v>
      </c>
      <c r="AF5627">
        <v>-8.2257357267703402</v>
      </c>
      <c r="AG5627">
        <v>-1.1275451127379901</v>
      </c>
      <c r="AH5627">
        <v>5.6968171904737197</v>
      </c>
      <c r="AI5627">
        <v>96.4294752468561</v>
      </c>
      <c r="AJ5627">
        <v>145.295067461</v>
      </c>
      <c r="AK5627">
        <v>10.0691515198452</v>
      </c>
      <c r="AL5627">
        <v>94.298063732960102</v>
      </c>
      <c r="AM5627">
        <v>119.66850646913799</v>
      </c>
      <c r="AN5627">
        <v>1.00000003102626</v>
      </c>
    </row>
    <row r="5628" spans="1:40" x14ac:dyDescent="0.25">
      <c r="A5628" t="str">
        <f>"20190303154922120"</f>
        <v>20190303154922120</v>
      </c>
      <c r="B5628" t="str">
        <f>"1551599362116282"</f>
        <v>1551599362116282</v>
      </c>
      <c r="C5628" t="s">
        <v>40</v>
      </c>
      <c r="D5628">
        <v>5.1469379999999996</v>
      </c>
      <c r="E5628">
        <v>0.34671760000000001</v>
      </c>
      <c r="F5628" t="s">
        <v>59</v>
      </c>
      <c r="G5628">
        <v>-418.23070000000001</v>
      </c>
      <c r="H5628" s="1">
        <v>-5.14195799999999E-6</v>
      </c>
      <c r="I5628">
        <v>128.27369999999999</v>
      </c>
      <c r="J5628">
        <v>-415.15620000000001</v>
      </c>
      <c r="K5628">
        <v>1.127642</v>
      </c>
      <c r="L5628">
        <v>139.98500000000001</v>
      </c>
      <c r="M5628">
        <v>-0.91849179999999997</v>
      </c>
      <c r="N5628">
        <v>-1.4703600000000001E-2</v>
      </c>
      <c r="O5628">
        <v>-0.39516679999999998</v>
      </c>
      <c r="P5628">
        <v>-0.59897789999999995</v>
      </c>
      <c r="Q5628">
        <v>-7.8725000000000003E-2</v>
      </c>
      <c r="R5628">
        <v>-0.7968866</v>
      </c>
      <c r="S5628">
        <v>-0.85314939999999995</v>
      </c>
      <c r="T5628">
        <v>-0.29780390000000001</v>
      </c>
      <c r="U5628">
        <v>-3.1146090000000002</v>
      </c>
      <c r="V5628">
        <v>-0.49415900000000001</v>
      </c>
      <c r="W5628">
        <v>-7.3997010000000002E-2</v>
      </c>
      <c r="X5628">
        <v>0.86621669999999995</v>
      </c>
      <c r="Y5628">
        <v>-0.77925900000000003</v>
      </c>
      <c r="Z5628">
        <v>-1.6430360000000001E-2</v>
      </c>
      <c r="AA5628">
        <v>0.62648669999999995</v>
      </c>
      <c r="AB5628">
        <v>18</v>
      </c>
      <c r="AC5628">
        <v>-3.0745</v>
      </c>
      <c r="AD5628">
        <v>-1.1276471419580001</v>
      </c>
      <c r="AE5628">
        <v>-11.7113</v>
      </c>
      <c r="AF5628">
        <v>-9.4607660357364907</v>
      </c>
      <c r="AG5628">
        <v>-1.1276471419580001</v>
      </c>
      <c r="AH5628">
        <v>7.3885408846599399</v>
      </c>
      <c r="AI5628">
        <v>95.366564055841195</v>
      </c>
      <c r="AJ5628">
        <v>142.01135748806499</v>
      </c>
      <c r="AK5628">
        <v>12.056874323969801</v>
      </c>
      <c r="AL5628">
        <v>94.243594971392596</v>
      </c>
      <c r="AM5628">
        <v>119.703878544384</v>
      </c>
      <c r="AN5628">
        <v>1.0000000230644099</v>
      </c>
    </row>
    <row r="5629" spans="1:40" x14ac:dyDescent="0.25">
      <c r="A5629" t="str">
        <f>"20190303154922142"</f>
        <v>20190303154922142</v>
      </c>
      <c r="B5629" t="str">
        <f>"1551599362136778"</f>
        <v>1551599362136778</v>
      </c>
      <c r="C5629" t="s">
        <v>40</v>
      </c>
      <c r="D5629">
        <v>4.9122389999999996</v>
      </c>
      <c r="E5629">
        <v>0.30901339999999999</v>
      </c>
      <c r="F5629" t="s">
        <v>59</v>
      </c>
      <c r="G5629">
        <v>-418.10180000000003</v>
      </c>
      <c r="H5629" s="1">
        <v>-5.3647999999999999E-6</v>
      </c>
      <c r="I5629">
        <v>128.69640000000001</v>
      </c>
      <c r="J5629">
        <v>-415.31420000000003</v>
      </c>
      <c r="K5629">
        <v>1.1277520000000001</v>
      </c>
      <c r="L5629">
        <v>139.89930000000001</v>
      </c>
      <c r="M5629">
        <v>-0.91300919999999997</v>
      </c>
      <c r="N5629">
        <v>-1.4746560000000001E-2</v>
      </c>
      <c r="O5629">
        <v>-0.4076726</v>
      </c>
      <c r="P5629">
        <v>-0.58775710000000003</v>
      </c>
      <c r="Q5629">
        <v>-7.920642E-2</v>
      </c>
      <c r="R5629">
        <v>-0.80515099999999995</v>
      </c>
      <c r="S5629">
        <v>-0.81454469999999901</v>
      </c>
      <c r="T5629">
        <v>-0.31182189999999999</v>
      </c>
      <c r="U5629">
        <v>-3.1215820000000001</v>
      </c>
      <c r="V5629">
        <v>-0.49439450000000001</v>
      </c>
      <c r="W5629">
        <v>-7.4566779999999999E-2</v>
      </c>
      <c r="X5629">
        <v>0.86603339999999995</v>
      </c>
      <c r="Y5629">
        <v>-0.778173</v>
      </c>
      <c r="Z5629">
        <v>-1.524025E-2</v>
      </c>
      <c r="AA5629">
        <v>0.62786509999999995</v>
      </c>
      <c r="AB5629">
        <v>18</v>
      </c>
      <c r="AC5629">
        <v>-2.7875999999999901</v>
      </c>
      <c r="AD5629">
        <v>-1.1277573648000001</v>
      </c>
      <c r="AE5629">
        <v>-11.2029</v>
      </c>
      <c r="AF5629">
        <v>-9.0069578969494302</v>
      </c>
      <c r="AG5629">
        <v>-1.1277573648000001</v>
      </c>
      <c r="AH5629">
        <v>7.0457555645087497</v>
      </c>
      <c r="AI5629">
        <v>95.632297114276</v>
      </c>
      <c r="AJ5629">
        <v>141.96545750848</v>
      </c>
      <c r="AK5629">
        <v>11.490857178909</v>
      </c>
      <c r="AL5629">
        <v>94.276330977004704</v>
      </c>
      <c r="AM5629">
        <v>119.72085000223299</v>
      </c>
      <c r="AN5629">
        <v>0.99999998811268898</v>
      </c>
    </row>
    <row r="5630" spans="1:40" x14ac:dyDescent="0.25">
      <c r="A5630" t="str">
        <f>"20190303154922164"</f>
        <v>20190303154922164</v>
      </c>
      <c r="B5630" t="str">
        <f>"1551599362156298"</f>
        <v>1551599362156298</v>
      </c>
      <c r="C5630" t="s">
        <v>40</v>
      </c>
      <c r="D5630">
        <v>4.919403</v>
      </c>
      <c r="E5630">
        <v>0.30840630000000002</v>
      </c>
      <c r="F5630" t="s">
        <v>59</v>
      </c>
      <c r="G5630">
        <v>-417.07299999999998</v>
      </c>
      <c r="H5630" s="1">
        <v>-5.499201E-6</v>
      </c>
      <c r="I5630">
        <v>128.84299999999999</v>
      </c>
      <c r="J5630">
        <v>-415.46089999999998</v>
      </c>
      <c r="K5630">
        <v>1.127847</v>
      </c>
      <c r="L5630">
        <v>139.81700000000001</v>
      </c>
      <c r="M5630">
        <v>-0.90763959999999999</v>
      </c>
      <c r="N5630">
        <v>-1.478731E-2</v>
      </c>
      <c r="O5630">
        <v>-0.41949019999999998</v>
      </c>
      <c r="P5630">
        <v>-0.57757590000000003</v>
      </c>
      <c r="Q5630">
        <v>-7.8197879999999997E-2</v>
      </c>
      <c r="R5630">
        <v>-0.81258330000000001</v>
      </c>
      <c r="S5630">
        <v>-0.52630619999999995</v>
      </c>
      <c r="T5630">
        <v>-0.33748080000000003</v>
      </c>
      <c r="U5630">
        <v>-3.3086090000000001</v>
      </c>
      <c r="V5630">
        <v>-0.49414400000000003</v>
      </c>
      <c r="W5630">
        <v>-7.3619959999999998E-2</v>
      </c>
      <c r="X5630">
        <v>0.86625739999999996</v>
      </c>
      <c r="Y5630">
        <v>-0.82785560000000002</v>
      </c>
      <c r="Z5630">
        <v>-1.9580319999999998E-2</v>
      </c>
      <c r="AA5630">
        <v>0.56059950000000003</v>
      </c>
      <c r="AB5630">
        <v>18</v>
      </c>
      <c r="AC5630">
        <v>-1.61210000000005</v>
      </c>
      <c r="AD5630">
        <v>-1.1278524992009999</v>
      </c>
      <c r="AE5630">
        <v>-10.974</v>
      </c>
      <c r="AF5630">
        <v>-9.1901681456665294</v>
      </c>
      <c r="AG5630">
        <v>-1.1278524992009999</v>
      </c>
      <c r="AH5630">
        <v>6.0052618340656299</v>
      </c>
      <c r="AI5630">
        <v>95.865704086303495</v>
      </c>
      <c r="AJ5630">
        <v>146.837625463688</v>
      </c>
      <c r="AK5630">
        <v>11.0360505390861</v>
      </c>
      <c r="AL5630">
        <v>94.221932452730996</v>
      </c>
      <c r="AM5630">
        <v>119.701971347933</v>
      </c>
      <c r="AN5630">
        <v>1.0000000371505799</v>
      </c>
    </row>
    <row r="5631" spans="1:40" x14ac:dyDescent="0.25">
      <c r="A5631" t="str">
        <f>"20190303154922186"</f>
        <v>20190303154922186</v>
      </c>
      <c r="B5631" t="str">
        <f>"1551599362176794"</f>
        <v>1551599362176794</v>
      </c>
      <c r="C5631" t="s">
        <v>40</v>
      </c>
      <c r="D5631">
        <v>5.0043870000000004</v>
      </c>
      <c r="E5631">
        <v>0.3109133</v>
      </c>
      <c r="F5631" t="s">
        <v>59</v>
      </c>
      <c r="G5631">
        <v>-417.09750000000003</v>
      </c>
      <c r="H5631" s="1">
        <v>-5.3388579999999999E-6</v>
      </c>
      <c r="I5631">
        <v>128.53110000000001</v>
      </c>
      <c r="J5631">
        <v>-415.61369999999999</v>
      </c>
      <c r="K5631">
        <v>1.1279399999999999</v>
      </c>
      <c r="L5631">
        <v>139.72819999999999</v>
      </c>
      <c r="M5631">
        <v>-0.9017503</v>
      </c>
      <c r="N5631">
        <v>-1.4828610000000001E-2</v>
      </c>
      <c r="O5631">
        <v>-0.43200309999999997</v>
      </c>
      <c r="P5631">
        <v>-0.56648149999999997</v>
      </c>
      <c r="Q5631">
        <v>-7.7529559999999997E-2</v>
      </c>
      <c r="R5631">
        <v>-0.82041929999999996</v>
      </c>
      <c r="S5631">
        <v>-0.48117070000000001</v>
      </c>
      <c r="T5631">
        <v>-0.33158520000000002</v>
      </c>
      <c r="U5631">
        <v>-3.3180239999999999</v>
      </c>
      <c r="V5631">
        <v>-0.49398950000000003</v>
      </c>
      <c r="W5631">
        <v>-7.2996080000000005E-2</v>
      </c>
      <c r="X5631">
        <v>0.86639829999999995</v>
      </c>
      <c r="Y5631">
        <v>-0.82793869999999903</v>
      </c>
      <c r="Z5631">
        <v>-1.8105E-2</v>
      </c>
      <c r="AA5631">
        <v>0.56052630000000003</v>
      </c>
      <c r="AB5631">
        <v>18</v>
      </c>
      <c r="AC5631">
        <v>-1.48380000000003</v>
      </c>
      <c r="AD5631">
        <v>-1.1279453388580001</v>
      </c>
      <c r="AE5631">
        <v>-11.197099999999899</v>
      </c>
      <c r="AF5631">
        <v>-9.3636420181892301</v>
      </c>
      <c r="AG5631">
        <v>-1.1279453388580001</v>
      </c>
      <c r="AH5631">
        <v>6.1148966198196399</v>
      </c>
      <c r="AI5631">
        <v>95.759282545260902</v>
      </c>
      <c r="AJ5631">
        <v>146.85358283847199</v>
      </c>
      <c r="AK5631">
        <v>11.2401963151598</v>
      </c>
      <c r="AL5631">
        <v>94.186090336940595</v>
      </c>
      <c r="AM5631">
        <v>119.690250866604</v>
      </c>
      <c r="AN5631">
        <v>1.0000000340242501</v>
      </c>
    </row>
    <row r="5632" spans="1:40" x14ac:dyDescent="0.25">
      <c r="A5632" t="str">
        <f>"20190303154922209"</f>
        <v>20190303154922209</v>
      </c>
      <c r="B5632" t="str">
        <f>"1551599362206074"</f>
        <v>1551599362206074</v>
      </c>
      <c r="C5632" t="s">
        <v>40</v>
      </c>
      <c r="D5632">
        <v>5.1033419999999996</v>
      </c>
      <c r="E5632">
        <v>0.32466390000000001</v>
      </c>
      <c r="F5632" t="s">
        <v>59</v>
      </c>
      <c r="G5632">
        <v>-417.15629999999999</v>
      </c>
      <c r="H5632" s="1">
        <v>-5.2860370000000003E-6</v>
      </c>
      <c r="I5632">
        <v>128.4341</v>
      </c>
      <c r="J5632">
        <v>-415.76609999999999</v>
      </c>
      <c r="K5632">
        <v>1.1280030000000001</v>
      </c>
      <c r="L5632">
        <v>139.63650000000001</v>
      </c>
      <c r="M5632">
        <v>-0.89557609999999999</v>
      </c>
      <c r="N5632">
        <v>-1.4867200000000001E-2</v>
      </c>
      <c r="O5632">
        <v>-0.44465979999999999</v>
      </c>
      <c r="P5632">
        <v>-0.55427550000000003</v>
      </c>
      <c r="Q5632">
        <v>-7.640284E-2</v>
      </c>
      <c r="R5632">
        <v>-0.82881919999999898</v>
      </c>
      <c r="S5632">
        <v>-0.4524841</v>
      </c>
      <c r="T5632">
        <v>-0.33086450000000001</v>
      </c>
      <c r="U5632">
        <v>-3.3129270000000002</v>
      </c>
      <c r="V5632">
        <v>-0.49471569999999998</v>
      </c>
      <c r="W5632">
        <v>-7.1913790000000005E-2</v>
      </c>
      <c r="X5632">
        <v>0.86607429999999996</v>
      </c>
      <c r="Y5632">
        <v>-0.82475309999999902</v>
      </c>
      <c r="Z5632">
        <v>-1.6334979999999999E-2</v>
      </c>
      <c r="AA5632">
        <v>0.56525709999999996</v>
      </c>
      <c r="AB5632">
        <v>18</v>
      </c>
      <c r="AC5632">
        <v>-1.3901999999999901</v>
      </c>
      <c r="AD5632">
        <v>-1.128008286037</v>
      </c>
      <c r="AE5632">
        <v>-11.202400000000001</v>
      </c>
      <c r="AF5632">
        <v>-9.3223889385945906</v>
      </c>
      <c r="AG5632">
        <v>-1.128008286037</v>
      </c>
      <c r="AH5632">
        <v>6.16541125891096</v>
      </c>
      <c r="AI5632">
        <v>95.763047410865497</v>
      </c>
      <c r="AJ5632">
        <v>146.52113188175301</v>
      </c>
      <c r="AK5632">
        <v>11.2335049831877</v>
      </c>
      <c r="AL5632">
        <v>94.123916600040801</v>
      </c>
      <c r="AM5632">
        <v>119.73570913622601</v>
      </c>
      <c r="AN5632">
        <v>0.99999995506957096</v>
      </c>
    </row>
    <row r="5633" spans="1:40" x14ac:dyDescent="0.25">
      <c r="A5633" t="str">
        <f>"20190303154922232"</f>
        <v>20190303154922232</v>
      </c>
      <c r="B5633" t="str">
        <f>"1551599362226570"</f>
        <v>1551599362226570</v>
      </c>
      <c r="C5633" t="s">
        <v>40</v>
      </c>
      <c r="D5633">
        <v>5.0641439999999998</v>
      </c>
      <c r="E5633">
        <v>0.32986330000000003</v>
      </c>
      <c r="F5633" t="s">
        <v>59</v>
      </c>
      <c r="G5633">
        <v>-417.35050000000001</v>
      </c>
      <c r="H5633" s="1">
        <v>-5.6467719999999999E-6</v>
      </c>
      <c r="I5633">
        <v>129.16419999999999</v>
      </c>
      <c r="J5633">
        <v>-415.9178</v>
      </c>
      <c r="K5633">
        <v>1.128036</v>
      </c>
      <c r="L5633">
        <v>139.54220000000001</v>
      </c>
      <c r="M5633">
        <v>-0.88911209999999996</v>
      </c>
      <c r="N5633">
        <v>-1.490297E-2</v>
      </c>
      <c r="O5633">
        <v>-0.45744689999999999</v>
      </c>
      <c r="P5633">
        <v>-0.54117179999999998</v>
      </c>
      <c r="Q5633">
        <v>-7.6516399999999998E-2</v>
      </c>
      <c r="R5633">
        <v>-0.83742340000000004</v>
      </c>
      <c r="S5633">
        <v>-0.49285889999999999</v>
      </c>
      <c r="T5633">
        <v>-0.35089619999999999</v>
      </c>
      <c r="U5633">
        <v>-3.2576900000000002</v>
      </c>
      <c r="V5633">
        <v>-0.49590679999999998</v>
      </c>
      <c r="W5633">
        <v>-7.2073040000000005E-2</v>
      </c>
      <c r="X5633">
        <v>0.86537960000000003</v>
      </c>
      <c r="Y5633">
        <v>-0.80808230000000003</v>
      </c>
      <c r="Z5633">
        <v>-1.301064E-2</v>
      </c>
      <c r="AA5633">
        <v>0.58892580000000005</v>
      </c>
      <c r="AB5633">
        <v>18</v>
      </c>
      <c r="AC5633">
        <v>-1.4327000000000101</v>
      </c>
      <c r="AD5633">
        <v>-1.128041646772</v>
      </c>
      <c r="AE5633">
        <v>-10.378</v>
      </c>
      <c r="AF5633">
        <v>-8.4745213818173504</v>
      </c>
      <c r="AG5633">
        <v>-1.128041646772</v>
      </c>
      <c r="AH5633">
        <v>5.9528672685257602</v>
      </c>
      <c r="AI5633">
        <v>96.216300314518804</v>
      </c>
      <c r="AJ5633">
        <v>144.914149895468</v>
      </c>
      <c r="AK5633">
        <v>10.417611018098899</v>
      </c>
      <c r="AL5633">
        <v>94.133064651633504</v>
      </c>
      <c r="AM5633">
        <v>119.814916302234</v>
      </c>
      <c r="AN5633">
        <v>0.99999996473861996</v>
      </c>
    </row>
    <row r="5634" spans="1:40" x14ac:dyDescent="0.25">
      <c r="A5634" t="str">
        <f>"20190303154922253"</f>
        <v>20190303154922253</v>
      </c>
      <c r="B5634" t="str">
        <f>"1551599362246091"</f>
        <v>1551599362246091</v>
      </c>
      <c r="C5634" t="s">
        <v>40</v>
      </c>
      <c r="D5634">
        <v>5.2759049999999998</v>
      </c>
      <c r="E5634">
        <v>0.33116699999999999</v>
      </c>
      <c r="F5634" t="s">
        <v>59</v>
      </c>
      <c r="G5634">
        <v>-417.40640000000002</v>
      </c>
      <c r="H5634" s="1">
        <v>-5.7634819999999999E-6</v>
      </c>
      <c r="I5634">
        <v>129.39959999999999</v>
      </c>
      <c r="J5634">
        <v>-416.06040000000002</v>
      </c>
      <c r="K5634">
        <v>1.1280559999999999</v>
      </c>
      <c r="L5634">
        <v>139.45050000000001</v>
      </c>
      <c r="M5634">
        <v>-0.88272989999999996</v>
      </c>
      <c r="N5634">
        <v>-1.493541E-2</v>
      </c>
      <c r="O5634">
        <v>-0.46964359999999999</v>
      </c>
      <c r="P5634">
        <v>-0.52854129999999999</v>
      </c>
      <c r="Q5634">
        <v>-7.8056630000000002E-2</v>
      </c>
      <c r="R5634">
        <v>-0.84531139999999905</v>
      </c>
      <c r="S5634">
        <v>-0.47583009999999898</v>
      </c>
      <c r="T5634">
        <v>-0.36056690000000002</v>
      </c>
      <c r="U5634">
        <v>-3.241959</v>
      </c>
      <c r="V5634">
        <v>-0.49682500000000002</v>
      </c>
      <c r="W5634">
        <v>-7.365128E-2</v>
      </c>
      <c r="X5634">
        <v>0.86471989999999999</v>
      </c>
      <c r="Y5634">
        <v>-0.80251830000000002</v>
      </c>
      <c r="Z5634">
        <v>-1.08068E-2</v>
      </c>
      <c r="AA5634">
        <v>0.59652969999999905</v>
      </c>
      <c r="AB5634">
        <v>18</v>
      </c>
      <c r="AC5634">
        <v>-1.3460000000000001</v>
      </c>
      <c r="AD5634">
        <v>-1.1280617634819901</v>
      </c>
      <c r="AE5634">
        <v>-10.0509</v>
      </c>
      <c r="AF5634">
        <v>-8.1402740208998594</v>
      </c>
      <c r="AG5634">
        <v>-1.1280617634819901</v>
      </c>
      <c r="AH5634">
        <v>5.8369232349031002</v>
      </c>
      <c r="AI5634">
        <v>96.425486239193802</v>
      </c>
      <c r="AJ5634">
        <v>144.357864838078</v>
      </c>
      <c r="AK5634">
        <v>10.0799929229994</v>
      </c>
      <c r="AL5634">
        <v>94.223731793144097</v>
      </c>
      <c r="AM5634">
        <v>119.879530425388</v>
      </c>
      <c r="AN5634">
        <v>1.00000004856332</v>
      </c>
    </row>
    <row r="5635" spans="1:40" x14ac:dyDescent="0.25">
      <c r="A5635" t="str">
        <f>"20190303154922276"</f>
        <v>20190303154922276</v>
      </c>
      <c r="B5635" t="str">
        <f>"1551599362266586"</f>
        <v>1551599362266586</v>
      </c>
      <c r="C5635" t="s">
        <v>40</v>
      </c>
      <c r="D5635">
        <v>5.2566290000000002</v>
      </c>
      <c r="E5635">
        <v>0.33297130000000003</v>
      </c>
      <c r="F5635" t="s">
        <v>59</v>
      </c>
      <c r="G5635">
        <v>-417.45100000000002</v>
      </c>
      <c r="H5635" s="1">
        <v>-5.6181660000000002E-6</v>
      </c>
      <c r="I5635">
        <v>129.11949999999999</v>
      </c>
      <c r="J5635">
        <v>-416.20089999999999</v>
      </c>
      <c r="K5635">
        <v>1.128082</v>
      </c>
      <c r="L5635">
        <v>139.3571</v>
      </c>
      <c r="M5635">
        <v>-0.87613580000000002</v>
      </c>
      <c r="N5635">
        <v>-1.496772E-2</v>
      </c>
      <c r="O5635">
        <v>-0.48183219999999999</v>
      </c>
      <c r="P5635">
        <v>-0.51625080000000001</v>
      </c>
      <c r="Q5635">
        <v>-7.96433E-2</v>
      </c>
      <c r="R5635">
        <v>-0.85272649999999905</v>
      </c>
      <c r="S5635">
        <v>-0.43658449999999999</v>
      </c>
      <c r="T5635">
        <v>-0.35414240000000002</v>
      </c>
      <c r="U5635">
        <v>-3.2432859999999999</v>
      </c>
      <c r="V5635">
        <v>-0.49719400000000002</v>
      </c>
      <c r="W5635">
        <v>-7.5267280000000006E-2</v>
      </c>
      <c r="X5635">
        <v>0.86436859999999904</v>
      </c>
      <c r="Y5635">
        <v>-0.80150580000000005</v>
      </c>
      <c r="Z5635">
        <v>-9.2246829999999991E-3</v>
      </c>
      <c r="AA5635">
        <v>0.5979158</v>
      </c>
      <c r="AB5635">
        <v>18</v>
      </c>
      <c r="AC5635">
        <v>-1.25009999999997</v>
      </c>
      <c r="AD5635">
        <v>-1.128087618166</v>
      </c>
      <c r="AE5635">
        <v>-10.2376</v>
      </c>
      <c r="AF5635">
        <v>-8.2691965478548894</v>
      </c>
      <c r="AG5635">
        <v>-1.128087618166</v>
      </c>
      <c r="AH5635">
        <v>5.9574646447223696</v>
      </c>
      <c r="AI5635">
        <v>96.316173726672105</v>
      </c>
      <c r="AJ5635">
        <v>144.22949174774999</v>
      </c>
      <c r="AK5635">
        <v>10.253954272105499</v>
      </c>
      <c r="AL5635">
        <v>94.316579482881806</v>
      </c>
      <c r="AM5635">
        <v>119.90797024665601</v>
      </c>
      <c r="AN5635">
        <v>1.00000005687027</v>
      </c>
    </row>
    <row r="5636" spans="1:40" x14ac:dyDescent="0.25">
      <c r="A5636" t="str">
        <f>"20190303154922298"</f>
        <v>20190303154922298</v>
      </c>
      <c r="B5636" t="str">
        <f>"1551599362295867"</f>
        <v>1551599362295867</v>
      </c>
      <c r="C5636" t="s">
        <v>40</v>
      </c>
      <c r="D5636">
        <v>5.2807089999999999</v>
      </c>
      <c r="E5636">
        <v>0.33543450000000002</v>
      </c>
      <c r="F5636" t="s">
        <v>59</v>
      </c>
      <c r="G5636">
        <v>-417.5256</v>
      </c>
      <c r="H5636" s="1">
        <v>-5.4044250000000004E-6</v>
      </c>
      <c r="I5636">
        <v>128.70849999999999</v>
      </c>
      <c r="J5636">
        <v>-416.34460000000001</v>
      </c>
      <c r="K5636">
        <v>1.1281289999999999</v>
      </c>
      <c r="L5636">
        <v>139.2587</v>
      </c>
      <c r="M5636">
        <v>-0.869075499999999</v>
      </c>
      <c r="N5636">
        <v>-1.5001520000000001E-2</v>
      </c>
      <c r="O5636">
        <v>-0.494452</v>
      </c>
      <c r="P5636">
        <v>-0.50380270000000005</v>
      </c>
      <c r="Q5636">
        <v>-7.9552020000000001E-2</v>
      </c>
      <c r="R5636">
        <v>-0.86014799999999902</v>
      </c>
      <c r="S5636">
        <v>-0.40328979999999998</v>
      </c>
      <c r="T5636">
        <v>-0.34343669999999998</v>
      </c>
      <c r="U5636">
        <v>-3.2418819999999999</v>
      </c>
      <c r="V5636">
        <v>-0.4972569</v>
      </c>
      <c r="W5636">
        <v>-7.5204469999999995E-2</v>
      </c>
      <c r="X5636">
        <v>0.86433780000000004</v>
      </c>
      <c r="Y5636">
        <v>-0.79905400000000004</v>
      </c>
      <c r="Z5636">
        <v>-7.5573619999999998E-3</v>
      </c>
      <c r="AA5636">
        <v>0.60121179999999996</v>
      </c>
      <c r="AB5636">
        <v>18</v>
      </c>
      <c r="AC5636">
        <v>-1.1809999999999801</v>
      </c>
      <c r="AD5636">
        <v>-1.1281344044249999</v>
      </c>
      <c r="AE5636">
        <v>-10.5502</v>
      </c>
      <c r="AF5636">
        <v>-8.4900639974419594</v>
      </c>
      <c r="AG5636">
        <v>-1.1281344044249999</v>
      </c>
      <c r="AH5636">
        <v>6.1739286849964499</v>
      </c>
      <c r="AI5636">
        <v>96.133832150199495</v>
      </c>
      <c r="AJ5636">
        <v>143.97555454060401</v>
      </c>
      <c r="AK5636">
        <v>10.557995516315</v>
      </c>
      <c r="AL5636">
        <v>94.312970818315407</v>
      </c>
      <c r="AM5636">
        <v>119.911985479611</v>
      </c>
      <c r="AN5636">
        <v>0.99999998470721496</v>
      </c>
    </row>
    <row r="5637" spans="1:40" x14ac:dyDescent="0.25">
      <c r="A5637" t="str">
        <f>"20190303154922321"</f>
        <v>20190303154922321</v>
      </c>
      <c r="B5637" t="str">
        <f>"1551599362316362"</f>
        <v>1551599362316362</v>
      </c>
      <c r="C5637" t="s">
        <v>40</v>
      </c>
      <c r="D5637">
        <v>5.1898439999999999</v>
      </c>
      <c r="E5637">
        <v>0.33717809999999998</v>
      </c>
      <c r="F5637" t="s">
        <v>59</v>
      </c>
      <c r="G5637">
        <v>-417.61099999999999</v>
      </c>
      <c r="H5637" s="1">
        <v>-5.1780280000000002E-6</v>
      </c>
      <c r="I5637">
        <v>128.2739</v>
      </c>
      <c r="J5637">
        <v>-416.48489999999998</v>
      </c>
      <c r="K5637">
        <v>1.128185</v>
      </c>
      <c r="L5637">
        <v>139.1592</v>
      </c>
      <c r="M5637">
        <v>-0.86184640000000001</v>
      </c>
      <c r="N5637">
        <v>-1.5035379999999999E-2</v>
      </c>
      <c r="O5637">
        <v>-0.50694659999999903</v>
      </c>
      <c r="P5637">
        <v>-0.492363</v>
      </c>
      <c r="Q5637">
        <v>-7.9022060000000005E-2</v>
      </c>
      <c r="R5637">
        <v>-0.86679549999999905</v>
      </c>
      <c r="S5637">
        <v>-0.37332149999999997</v>
      </c>
      <c r="T5637">
        <v>-0.33257680000000001</v>
      </c>
      <c r="U5637">
        <v>-3.238327</v>
      </c>
      <c r="V5637">
        <v>-0.49627290000000002</v>
      </c>
      <c r="W5637">
        <v>-7.4682730000000003E-2</v>
      </c>
      <c r="X5637">
        <v>0.86494839999999995</v>
      </c>
      <c r="Y5637">
        <v>-0.79595740000000004</v>
      </c>
      <c r="Z5637">
        <v>-5.9454699999999996E-3</v>
      </c>
      <c r="AA5637">
        <v>0.60532339999999996</v>
      </c>
      <c r="AB5637">
        <v>18</v>
      </c>
      <c r="AC5637">
        <v>-1.1261000000000001</v>
      </c>
      <c r="AD5637">
        <v>-1.1281901780279999</v>
      </c>
      <c r="AE5637">
        <v>-10.885300000000001</v>
      </c>
      <c r="AF5637">
        <v>-8.7189129558546608</v>
      </c>
      <c r="AG5637">
        <v>-1.1281901780279999</v>
      </c>
      <c r="AH5637">
        <v>6.4212774175291303</v>
      </c>
      <c r="AI5637">
        <v>95.948126990338594</v>
      </c>
      <c r="AJ5637">
        <v>143.629214590695</v>
      </c>
      <c r="AK5637">
        <v>10.886921506212801</v>
      </c>
      <c r="AL5637">
        <v>94.282992870078203</v>
      </c>
      <c r="AM5637">
        <v>119.845484981293</v>
      </c>
      <c r="AN5637">
        <v>1.0000000180486099</v>
      </c>
    </row>
    <row r="5638" spans="1:40" x14ac:dyDescent="0.25">
      <c r="A5638" t="str">
        <f>"20190303154922342"</f>
        <v>20190303154922342</v>
      </c>
      <c r="B5638" t="str">
        <f>"1551599362335882"</f>
        <v>1551599362335882</v>
      </c>
      <c r="C5638" t="s">
        <v>40</v>
      </c>
      <c r="D5638">
        <v>5.246569</v>
      </c>
      <c r="E5638">
        <v>0.3387249</v>
      </c>
      <c r="F5638" t="s">
        <v>59</v>
      </c>
      <c r="G5638">
        <v>-417.64269999999999</v>
      </c>
      <c r="H5638" s="1">
        <v>-5.1493309999999998E-6</v>
      </c>
      <c r="I5638">
        <v>128.22120000000001</v>
      </c>
      <c r="J5638">
        <v>-416.6232</v>
      </c>
      <c r="K5638">
        <v>1.1282449999999999</v>
      </c>
      <c r="L5638">
        <v>139.05760000000001</v>
      </c>
      <c r="M5638">
        <v>-0.8543634</v>
      </c>
      <c r="N5638">
        <v>-1.506882E-2</v>
      </c>
      <c r="O5638">
        <v>-0.51945750000000002</v>
      </c>
      <c r="P5638">
        <v>-0.48107749999999999</v>
      </c>
      <c r="Q5638">
        <v>-7.9160679999999997E-2</v>
      </c>
      <c r="R5638">
        <v>-0.8730966</v>
      </c>
      <c r="S5638">
        <v>-0.34255980000000003</v>
      </c>
      <c r="T5638">
        <v>-0.33377699999999999</v>
      </c>
      <c r="U5638">
        <v>-3.2360229999999999</v>
      </c>
      <c r="V5638">
        <v>-0.49486140000000001</v>
      </c>
      <c r="W5638">
        <v>-7.4822330000000006E-2</v>
      </c>
      <c r="X5638">
        <v>0.86574470000000003</v>
      </c>
      <c r="Y5638">
        <v>-0.79281590000000002</v>
      </c>
      <c r="Z5638">
        <v>-4.0807020000000003E-3</v>
      </c>
      <c r="AA5638">
        <v>0.60944750000000003</v>
      </c>
      <c r="AB5638">
        <v>18</v>
      </c>
      <c r="AC5638">
        <v>-1.0194999999999901</v>
      </c>
      <c r="AD5638">
        <v>-1.128250149331</v>
      </c>
      <c r="AE5638">
        <v>-10.8363999999999</v>
      </c>
      <c r="AF5638">
        <v>-8.6368236661884907</v>
      </c>
      <c r="AG5638">
        <v>-1.128250149331</v>
      </c>
      <c r="AH5638">
        <v>6.4317011314491399</v>
      </c>
      <c r="AI5638">
        <v>95.981216074481694</v>
      </c>
      <c r="AJ5638">
        <v>143.32554819776999</v>
      </c>
      <c r="AK5638">
        <v>10.8274858986093</v>
      </c>
      <c r="AL5638">
        <v>94.291013725539898</v>
      </c>
      <c r="AM5638">
        <v>119.752371399155</v>
      </c>
      <c r="AN5638">
        <v>1.00000003592733</v>
      </c>
    </row>
    <row r="5639" spans="1:40" x14ac:dyDescent="0.25">
      <c r="A5639" t="str">
        <f>"20190303154922365"</f>
        <v>20190303154922365</v>
      </c>
      <c r="B5639" t="str">
        <f>"1551599362356378"</f>
        <v>1551599362356378</v>
      </c>
      <c r="C5639" t="s">
        <v>40</v>
      </c>
      <c r="D5639">
        <v>5.2406639999999998</v>
      </c>
      <c r="E5639">
        <v>0.35237420000000003</v>
      </c>
      <c r="F5639" t="s">
        <v>59</v>
      </c>
      <c r="G5639">
        <v>-417.67419999999998</v>
      </c>
      <c r="H5639" s="1">
        <v>-5.1054289999999996E-6</v>
      </c>
      <c r="I5639">
        <v>128.1387</v>
      </c>
      <c r="J5639">
        <v>-416.75979999999998</v>
      </c>
      <c r="K5639">
        <v>1.128288</v>
      </c>
      <c r="L5639">
        <v>138.95410000000001</v>
      </c>
      <c r="M5639">
        <v>-0.84663719999999998</v>
      </c>
      <c r="N5639">
        <v>-1.5100580000000001E-2</v>
      </c>
      <c r="O5639">
        <v>-0.53195599999999998</v>
      </c>
      <c r="P5639">
        <v>-0.46986339999999999</v>
      </c>
      <c r="Q5639">
        <v>-8.0461350000000001E-2</v>
      </c>
      <c r="R5639">
        <v>-0.87906439999999997</v>
      </c>
      <c r="S5639">
        <v>-0.31130980000000003</v>
      </c>
      <c r="T5639">
        <v>-0.33419009999999999</v>
      </c>
      <c r="U5639">
        <v>-3.2342219999999999</v>
      </c>
      <c r="V5639">
        <v>-0.4930911</v>
      </c>
      <c r="W5639">
        <v>-7.6104309999999994E-2</v>
      </c>
      <c r="X5639">
        <v>0.86664249999999998</v>
      </c>
      <c r="Y5639">
        <v>-0.78970929999999995</v>
      </c>
      <c r="Z5639">
        <v>-2.2246169999999999E-3</v>
      </c>
      <c r="AA5639">
        <v>0.61347719999999994</v>
      </c>
      <c r="AB5639">
        <v>18</v>
      </c>
      <c r="AC5639">
        <v>-0.91439999999999999</v>
      </c>
      <c r="AD5639">
        <v>-1.128293105429</v>
      </c>
      <c r="AE5639">
        <v>-10.8154</v>
      </c>
      <c r="AF5639">
        <v>-8.5785888213568597</v>
      </c>
      <c r="AG5639">
        <v>-1.128293105429</v>
      </c>
      <c r="AH5639">
        <v>6.4584371661853801</v>
      </c>
      <c r="AI5639">
        <v>95.9983584340699</v>
      </c>
      <c r="AJ5639">
        <v>143.02553921063699</v>
      </c>
      <c r="AK5639">
        <v>10.7970663667142</v>
      </c>
      <c r="AL5639">
        <v>94.364676141432199</v>
      </c>
      <c r="AM5639">
        <v>119.638453696235</v>
      </c>
      <c r="AN5639">
        <v>0.99999996085301701</v>
      </c>
    </row>
    <row r="5640" spans="1:40" x14ac:dyDescent="0.25">
      <c r="A5640" t="str">
        <f>"20190303154922388"</f>
        <v>20190303154922388</v>
      </c>
      <c r="B5640" t="str">
        <f>"1551599362376873"</f>
        <v>1551599362376873</v>
      </c>
      <c r="C5640" t="s">
        <v>40</v>
      </c>
      <c r="D5640">
        <v>5.2253400000000001</v>
      </c>
      <c r="E5640">
        <v>0.35501539999999998</v>
      </c>
      <c r="F5640" t="s">
        <v>59</v>
      </c>
      <c r="G5640">
        <v>-418.0102</v>
      </c>
      <c r="H5640" s="1">
        <v>-5.0579670000000003E-6</v>
      </c>
      <c r="I5640">
        <v>128.0838</v>
      </c>
      <c r="J5640">
        <v>-416.89729999999997</v>
      </c>
      <c r="K5640">
        <v>1.128314</v>
      </c>
      <c r="L5640">
        <v>138.84620000000001</v>
      </c>
      <c r="M5640">
        <v>-0.8384954</v>
      </c>
      <c r="N5640">
        <v>-1.513051E-2</v>
      </c>
      <c r="O5640">
        <v>-0.54469849999999997</v>
      </c>
      <c r="P5640">
        <v>-0.45914329999999998</v>
      </c>
      <c r="Q5640">
        <v>-8.1693039999999995E-2</v>
      </c>
      <c r="R5640">
        <v>-0.88459809999999905</v>
      </c>
      <c r="S5640">
        <v>-0.3665466</v>
      </c>
      <c r="T5640">
        <v>-0.33075500000000002</v>
      </c>
      <c r="U5640">
        <v>-3.1865839999999999</v>
      </c>
      <c r="V5640">
        <v>-0.49039899999999997</v>
      </c>
      <c r="W5640">
        <v>-7.7280260000000003E-2</v>
      </c>
      <c r="X5640">
        <v>0.86806479999999997</v>
      </c>
      <c r="Y5640">
        <v>-0.76880150000000003</v>
      </c>
      <c r="Z5640">
        <v>1.39825E-3</v>
      </c>
      <c r="AA5640">
        <v>0.639486</v>
      </c>
      <c r="AB5640">
        <v>18</v>
      </c>
      <c r="AC5640">
        <v>-1.11290000000002</v>
      </c>
      <c r="AD5640">
        <v>-1.1283190579669999</v>
      </c>
      <c r="AE5640">
        <v>-10.7624</v>
      </c>
      <c r="AF5640">
        <v>-8.3284210181054696</v>
      </c>
      <c r="AG5640">
        <v>-1.1283190579669999</v>
      </c>
      <c r="AH5640">
        <v>6.7230897876772397</v>
      </c>
      <c r="AI5640">
        <v>96.017723274915596</v>
      </c>
      <c r="AJ5640">
        <v>141.08791368869001</v>
      </c>
      <c r="AK5640">
        <v>10.7626965415068</v>
      </c>
      <c r="AL5640">
        <v>94.432252159537299</v>
      </c>
      <c r="AM5640">
        <v>119.46356572471601</v>
      </c>
      <c r="AN5640">
        <v>0.99999995739285197</v>
      </c>
    </row>
    <row r="5641" spans="1:40" x14ac:dyDescent="0.25">
      <c r="A5641" t="str">
        <f>"20190303154922411"</f>
        <v>20190303154922411</v>
      </c>
      <c r="B5641" t="str">
        <f>"1551599362406154"</f>
        <v>1551599362406154</v>
      </c>
      <c r="C5641" t="s">
        <v>40</v>
      </c>
      <c r="D5641">
        <v>5.2435090000000004</v>
      </c>
      <c r="E5641">
        <v>0.35682320000000001</v>
      </c>
      <c r="F5641" t="s">
        <v>59</v>
      </c>
      <c r="G5641">
        <v>-418.07060000000001</v>
      </c>
      <c r="H5641" s="1">
        <v>-5.0436040000000004E-6</v>
      </c>
      <c r="I5641">
        <v>128.0625</v>
      </c>
      <c r="J5641">
        <v>-417.03250000000003</v>
      </c>
      <c r="K5641">
        <v>1.128336</v>
      </c>
      <c r="L5641">
        <v>138.73679999999999</v>
      </c>
      <c r="M5641">
        <v>-0.8301269</v>
      </c>
      <c r="N5641">
        <v>-1.5158400000000001E-2</v>
      </c>
      <c r="O5641">
        <v>-0.55736869999999905</v>
      </c>
      <c r="P5641">
        <v>-0.44813979999999998</v>
      </c>
      <c r="Q5641">
        <v>-8.2221849999999999E-2</v>
      </c>
      <c r="R5641">
        <v>-0.89017440000000003</v>
      </c>
      <c r="S5641">
        <v>-0.34609990000000002</v>
      </c>
      <c r="T5641">
        <v>-0.3328294</v>
      </c>
      <c r="U5641">
        <v>-3.1809690000000002</v>
      </c>
      <c r="V5641">
        <v>-0.48792760000000002</v>
      </c>
      <c r="W5641">
        <v>-7.7750280000000005E-2</v>
      </c>
      <c r="X5641">
        <v>0.86941449999999998</v>
      </c>
      <c r="Y5641">
        <v>-0.76305339999999999</v>
      </c>
      <c r="Z5641">
        <v>3.6353729999999999E-3</v>
      </c>
      <c r="AA5641">
        <v>0.64632529999999999</v>
      </c>
      <c r="AB5641">
        <v>18</v>
      </c>
      <c r="AC5641">
        <v>-1.03809999999998</v>
      </c>
      <c r="AD5641">
        <v>-1.128341043604</v>
      </c>
      <c r="AE5641">
        <v>-10.674299999999899</v>
      </c>
      <c r="AF5641">
        <v>-8.1926836101072293</v>
      </c>
      <c r="AG5641">
        <v>-1.128341043604</v>
      </c>
      <c r="AH5641">
        <v>6.7374789805760003</v>
      </c>
      <c r="AI5641">
        <v>96.071978470132194</v>
      </c>
      <c r="AJ5641">
        <v>140.566888720359</v>
      </c>
      <c r="AK5641">
        <v>10.6670915089214</v>
      </c>
      <c r="AL5641">
        <v>94.459263357346302</v>
      </c>
      <c r="AM5641">
        <v>119.301750961577</v>
      </c>
      <c r="AN5641">
        <v>1.0000000108460401</v>
      </c>
    </row>
    <row r="5642" spans="1:40" x14ac:dyDescent="0.25">
      <c r="A5642" t="str">
        <f>"20190303154922434"</f>
        <v>20190303154922434</v>
      </c>
      <c r="B5642" t="str">
        <f>"1551599362426650"</f>
        <v>1551599362426650</v>
      </c>
      <c r="C5642" t="s">
        <v>40</v>
      </c>
      <c r="D5642">
        <v>5.2323909999999998</v>
      </c>
      <c r="E5642">
        <v>0.35733300000000001</v>
      </c>
      <c r="F5642" t="s">
        <v>59</v>
      </c>
      <c r="G5642">
        <v>-418.10879999999997</v>
      </c>
      <c r="H5642" s="1">
        <v>-5.0287279999999997E-6</v>
      </c>
      <c r="I5642">
        <v>128.0376</v>
      </c>
      <c r="J5642">
        <v>-417.16489999999999</v>
      </c>
      <c r="K5642">
        <v>1.12836</v>
      </c>
      <c r="L5642">
        <v>138.626</v>
      </c>
      <c r="M5642">
        <v>-0.82154319999999903</v>
      </c>
      <c r="N5642">
        <v>-1.518544E-2</v>
      </c>
      <c r="O5642">
        <v>-0.56994419999999901</v>
      </c>
      <c r="P5642">
        <v>-0.4372296</v>
      </c>
      <c r="Q5642">
        <v>-8.3401110000000001E-2</v>
      </c>
      <c r="R5642">
        <v>-0.89547449999999995</v>
      </c>
      <c r="S5642">
        <v>-0.31973269999999998</v>
      </c>
      <c r="T5642">
        <v>-0.33517360000000002</v>
      </c>
      <c r="U5642">
        <v>-3.1781920000000001</v>
      </c>
      <c r="V5642">
        <v>-0.4851992</v>
      </c>
      <c r="W5642">
        <v>-7.8862899999999903E-2</v>
      </c>
      <c r="X5642">
        <v>0.87084010000000001</v>
      </c>
      <c r="Y5642">
        <v>-0.75848839999999995</v>
      </c>
      <c r="Z5642">
        <v>5.7891459999999898E-3</v>
      </c>
      <c r="AA5642">
        <v>0.65166080000000004</v>
      </c>
      <c r="AB5642">
        <v>18</v>
      </c>
      <c r="AC5642">
        <v>-0.94389999999998497</v>
      </c>
      <c r="AD5642">
        <v>-1.12836502872799</v>
      </c>
      <c r="AE5642">
        <v>-10.5884</v>
      </c>
      <c r="AF5642">
        <v>-8.0708649987836694</v>
      </c>
      <c r="AG5642">
        <v>-1.12836502872799</v>
      </c>
      <c r="AH5642">
        <v>6.7351527171727703</v>
      </c>
      <c r="AI5642">
        <v>96.126735546550506</v>
      </c>
      <c r="AJ5642">
        <v>140.15493554602801</v>
      </c>
      <c r="AK5642">
        <v>10.572338983890299</v>
      </c>
      <c r="AL5642">
        <v>94.523207965435404</v>
      </c>
      <c r="AM5642">
        <v>119.124899932128</v>
      </c>
      <c r="AN5642">
        <v>1.0000000502225199</v>
      </c>
    </row>
    <row r="5643" spans="1:40" x14ac:dyDescent="0.25">
      <c r="A5643" t="str">
        <f>"20190303154922455"</f>
        <v>20190303154922455</v>
      </c>
      <c r="B5643" t="str">
        <f>"1551599362447147"</f>
        <v>1551599362447147</v>
      </c>
      <c r="C5643" t="s">
        <v>40</v>
      </c>
      <c r="D5643">
        <v>5.2194240000000001</v>
      </c>
      <c r="E5643">
        <v>0.36376330000000001</v>
      </c>
      <c r="F5643" t="s">
        <v>59</v>
      </c>
      <c r="G5643">
        <v>-418.11149999999998</v>
      </c>
      <c r="H5643" s="1">
        <v>-5.0287489999999997E-6</v>
      </c>
      <c r="I5643">
        <v>128.03799999999899</v>
      </c>
      <c r="J5643">
        <v>-417.2944</v>
      </c>
      <c r="K5643">
        <v>1.1283729999999901</v>
      </c>
      <c r="L5643">
        <v>138.51419999999999</v>
      </c>
      <c r="M5643">
        <v>-0.812774</v>
      </c>
      <c r="N5643">
        <v>-1.521228E-2</v>
      </c>
      <c r="O5643">
        <v>-0.58238049999999997</v>
      </c>
      <c r="P5643">
        <v>-0.42730859999999898</v>
      </c>
      <c r="Q5643">
        <v>-8.438155E-2</v>
      </c>
      <c r="R5643">
        <v>-0.90015940000000005</v>
      </c>
      <c r="S5643">
        <v>-0.2842712</v>
      </c>
      <c r="T5643">
        <v>-0.33887309999999998</v>
      </c>
      <c r="U5643">
        <v>-3.1798250000000001</v>
      </c>
      <c r="V5643">
        <v>-0.48147410000000002</v>
      </c>
      <c r="W5643">
        <v>-7.9751050000000004E-2</v>
      </c>
      <c r="X5643">
        <v>0.87282439999999994</v>
      </c>
      <c r="Y5643">
        <v>-0.75583</v>
      </c>
      <c r="Z5643">
        <v>7.8538730000000008E-3</v>
      </c>
      <c r="AA5643">
        <v>0.65472079999999999</v>
      </c>
      <c r="AB5643">
        <v>18</v>
      </c>
      <c r="AC5643">
        <v>-0.81709999999998195</v>
      </c>
      <c r="AD5643">
        <v>-1.128378028749</v>
      </c>
      <c r="AE5643">
        <v>-10.4762</v>
      </c>
      <c r="AF5643">
        <v>-7.9481992063029301</v>
      </c>
      <c r="AG5643">
        <v>-1.128378028749</v>
      </c>
      <c r="AH5643">
        <v>6.6889051334580296</v>
      </c>
      <c r="AI5643">
        <v>96.199210190110605</v>
      </c>
      <c r="AJ5643">
        <v>139.91729776651701</v>
      </c>
      <c r="AK5643">
        <v>10.44933296834</v>
      </c>
      <c r="AL5643">
        <v>94.574256294119394</v>
      </c>
      <c r="AM5643">
        <v>118.88234473659899</v>
      </c>
      <c r="AN5643">
        <v>0.99999998609113605</v>
      </c>
    </row>
    <row r="5644" spans="1:40" x14ac:dyDescent="0.25">
      <c r="A5644" t="str">
        <f>"20190303154922477"</f>
        <v>20190303154922477</v>
      </c>
      <c r="B5644" t="str">
        <f>"1551599362466666"</f>
        <v>1551599362466666</v>
      </c>
      <c r="C5644" t="s">
        <v>40</v>
      </c>
      <c r="D5644">
        <v>5.2376769999999997</v>
      </c>
      <c r="E5644">
        <v>0.36398930000000002</v>
      </c>
      <c r="F5644" t="s">
        <v>59</v>
      </c>
      <c r="G5644">
        <v>-418.30239999999998</v>
      </c>
      <c r="H5644" s="1">
        <v>-4.870347E-6</v>
      </c>
      <c r="I5644">
        <v>127.7488</v>
      </c>
      <c r="J5644">
        <v>-417.41500000000002</v>
      </c>
      <c r="K5644">
        <v>1.128393</v>
      </c>
      <c r="L5644">
        <v>138.4067</v>
      </c>
      <c r="M5644">
        <v>-0.80425380000000002</v>
      </c>
      <c r="N5644">
        <v>-1.523717E-2</v>
      </c>
      <c r="O5644">
        <v>-0.59409080000000003</v>
      </c>
      <c r="P5644">
        <v>-0.41781380000000001</v>
      </c>
      <c r="Q5644">
        <v>-8.5939160000000001E-2</v>
      </c>
      <c r="R5644">
        <v>-0.90445909999999996</v>
      </c>
      <c r="S5644">
        <v>-0.29598999999999998</v>
      </c>
      <c r="T5644">
        <v>-0.33133940000000001</v>
      </c>
      <c r="U5644">
        <v>-3.1611630000000002</v>
      </c>
      <c r="V5644">
        <v>-0.47786810000000002</v>
      </c>
      <c r="W5644">
        <v>-8.1221580000000002E-2</v>
      </c>
      <c r="X5644">
        <v>0.87466860000000002</v>
      </c>
      <c r="Y5644">
        <v>-0.74363710000000005</v>
      </c>
      <c r="Z5644">
        <v>1.0023799999999999E-2</v>
      </c>
      <c r="AA5644">
        <v>0.66850830000000006</v>
      </c>
      <c r="AB5644">
        <v>18</v>
      </c>
      <c r="AC5644">
        <v>-0.887399999999956</v>
      </c>
      <c r="AD5644">
        <v>-1.1283978703469999</v>
      </c>
      <c r="AE5644">
        <v>-10.6578999999999</v>
      </c>
      <c r="AF5644">
        <v>-7.9568166628701302</v>
      </c>
      <c r="AG5644">
        <v>-1.1283978703469999</v>
      </c>
      <c r="AH5644">
        <v>6.9686955033563098</v>
      </c>
      <c r="AI5644">
        <v>96.089497113803702</v>
      </c>
      <c r="AJ5644">
        <v>138.787654007919</v>
      </c>
      <c r="AK5644">
        <v>10.6370545819239</v>
      </c>
      <c r="AL5644">
        <v>94.658785577965702</v>
      </c>
      <c r="AM5644">
        <v>118.64962851457901</v>
      </c>
      <c r="AN5644">
        <v>1.0000000129406299</v>
      </c>
    </row>
    <row r="5645" spans="1:40" x14ac:dyDescent="0.25">
      <c r="A5645" t="str">
        <f>"20190303154922499"</f>
        <v>20190303154922499</v>
      </c>
      <c r="B5645" t="str">
        <f>"1551599362496922"</f>
        <v>1551599362496922</v>
      </c>
      <c r="C5645" t="s">
        <v>40</v>
      </c>
      <c r="D5645">
        <v>5.2562889999999998</v>
      </c>
      <c r="E5645">
        <v>0.37240960000000001</v>
      </c>
      <c r="F5645" t="s">
        <v>59</v>
      </c>
      <c r="G5645">
        <v>-418.31060000000002</v>
      </c>
      <c r="H5645" s="1">
        <v>-4.8381679999999997E-6</v>
      </c>
      <c r="I5645">
        <v>127.6866</v>
      </c>
      <c r="J5645">
        <v>-417.54140000000001</v>
      </c>
      <c r="K5645">
        <v>1.1284110000000001</v>
      </c>
      <c r="L5645">
        <v>138.29050000000001</v>
      </c>
      <c r="M5645">
        <v>-0.79495269999999996</v>
      </c>
      <c r="N5645">
        <v>-1.526185E-2</v>
      </c>
      <c r="O5645">
        <v>-0.60647959999999901</v>
      </c>
      <c r="P5645">
        <v>-0.40685500000000002</v>
      </c>
      <c r="Q5645">
        <v>-8.788079E-2</v>
      </c>
      <c r="R5645">
        <v>-0.90925619999999996</v>
      </c>
      <c r="S5645">
        <v>-0.26428220000000002</v>
      </c>
      <c r="T5645">
        <v>-0.33295829999999998</v>
      </c>
      <c r="U5645">
        <v>-3.1631930000000001</v>
      </c>
      <c r="V5645">
        <v>-0.47470089999999998</v>
      </c>
      <c r="W5645">
        <v>-8.3087729999999999E-2</v>
      </c>
      <c r="X5645">
        <v>0.87621659999999901</v>
      </c>
      <c r="Y5645">
        <v>-0.74000690000000002</v>
      </c>
      <c r="Z5645">
        <v>1.2037829999999999E-2</v>
      </c>
      <c r="AA5645">
        <v>0.67249150000000002</v>
      </c>
      <c r="AB5645">
        <v>18</v>
      </c>
      <c r="AC5645">
        <v>-0.76920000000001199</v>
      </c>
      <c r="AD5645">
        <v>-1.1284158381680001</v>
      </c>
      <c r="AE5645">
        <v>-10.603899999999999</v>
      </c>
      <c r="AF5645">
        <v>-7.8753068447388204</v>
      </c>
      <c r="AG5645">
        <v>-1.1284158381680001</v>
      </c>
      <c r="AH5645">
        <v>6.9648873350176901</v>
      </c>
      <c r="AI5645">
        <v>96.126212451094702</v>
      </c>
      <c r="AJ5645">
        <v>138.510594383137</v>
      </c>
      <c r="AK5645">
        <v>10.5737143801082</v>
      </c>
      <c r="AL5645">
        <v>94.766070732373393</v>
      </c>
      <c r="AM5645">
        <v>118.447153718633</v>
      </c>
      <c r="AN5645">
        <v>1.00000002272646</v>
      </c>
    </row>
    <row r="5646" spans="1:40" x14ac:dyDescent="0.25">
      <c r="A5646" t="str">
        <f>"20190303154922523"</f>
        <v>20190303154922523</v>
      </c>
      <c r="B5646" t="str">
        <f>"1551599362516442"</f>
        <v>1551599362516442</v>
      </c>
      <c r="C5646" t="s">
        <v>40</v>
      </c>
      <c r="D5646">
        <v>5.253908</v>
      </c>
      <c r="E5646">
        <v>0.3716989</v>
      </c>
      <c r="F5646" t="s">
        <v>59</v>
      </c>
      <c r="G5646">
        <v>-418.52719999999999</v>
      </c>
      <c r="H5646" s="1">
        <v>-4.7424849999999997E-6</v>
      </c>
      <c r="I5646">
        <v>127.5235</v>
      </c>
      <c r="J5646">
        <v>-417.66489999999999</v>
      </c>
      <c r="K5646">
        <v>1.128412</v>
      </c>
      <c r="L5646">
        <v>138.173</v>
      </c>
      <c r="M5646">
        <v>-0.78546039999999995</v>
      </c>
      <c r="N5646">
        <v>-1.52835E-2</v>
      </c>
      <c r="O5646">
        <v>-0.61872340000000003</v>
      </c>
      <c r="P5646">
        <v>-0.39575870000000002</v>
      </c>
      <c r="Q5646">
        <v>-8.9868909999999996E-2</v>
      </c>
      <c r="R5646">
        <v>-0.91394679999999995</v>
      </c>
      <c r="S5646">
        <v>-0.28741460000000002</v>
      </c>
      <c r="T5646">
        <v>-0.32897720000000003</v>
      </c>
      <c r="U5646">
        <v>-3.139008</v>
      </c>
      <c r="V5646">
        <v>-0.47160069999999998</v>
      </c>
      <c r="W5646">
        <v>-8.4996119999999994E-2</v>
      </c>
      <c r="X5646">
        <v>0.87770630000000005</v>
      </c>
      <c r="Y5646">
        <v>-0.724186</v>
      </c>
      <c r="Z5646">
        <v>1.476563E-2</v>
      </c>
      <c r="AA5646">
        <v>0.68944659999999902</v>
      </c>
      <c r="AB5646">
        <v>18</v>
      </c>
      <c r="AC5646">
        <v>-0.86230000000000395</v>
      </c>
      <c r="AD5646">
        <v>-1.128416742485</v>
      </c>
      <c r="AE5646">
        <v>-10.6495</v>
      </c>
      <c r="AF5646">
        <v>-7.74575060234499</v>
      </c>
      <c r="AG5646">
        <v>-1.128416742485</v>
      </c>
      <c r="AH5646">
        <v>7.1870783091368597</v>
      </c>
      <c r="AI5646">
        <v>96.095628131434097</v>
      </c>
      <c r="AJ5646">
        <v>137.14257076289601</v>
      </c>
      <c r="AK5646">
        <v>10.626573829796399</v>
      </c>
      <c r="AL5646">
        <v>94.875801975199295</v>
      </c>
      <c r="AM5646">
        <v>118.249599483178</v>
      </c>
      <c r="AN5646">
        <v>0.99999995485761595</v>
      </c>
    </row>
    <row r="5647" spans="1:40" x14ac:dyDescent="0.25">
      <c r="A5647" t="str">
        <f>"20190303154922544"</f>
        <v>20190303154922544</v>
      </c>
      <c r="B5647" t="str">
        <f>"1551599362536939"</f>
        <v>1551599362536939</v>
      </c>
      <c r="C5647" t="s">
        <v>40</v>
      </c>
      <c r="D5647">
        <v>5.2632009999999996</v>
      </c>
      <c r="E5647">
        <v>0.37221799999999999</v>
      </c>
      <c r="F5647" t="s">
        <v>59</v>
      </c>
      <c r="G5647">
        <v>-418.49059999999997</v>
      </c>
      <c r="H5647" s="1">
        <v>-4.7552699999999996E-6</v>
      </c>
      <c r="I5647">
        <v>127.5444</v>
      </c>
      <c r="J5647">
        <v>-417.78309999999999</v>
      </c>
      <c r="K5647">
        <v>1.128404</v>
      </c>
      <c r="L5647">
        <v>138.05680000000001</v>
      </c>
      <c r="M5647">
        <v>-0.77600429999999998</v>
      </c>
      <c r="N5647">
        <v>-1.530079E-2</v>
      </c>
      <c r="O5647">
        <v>-0.63054200000000005</v>
      </c>
      <c r="P5647">
        <v>-0.3859823</v>
      </c>
      <c r="Q5647">
        <v>-9.1491509999999998E-2</v>
      </c>
      <c r="R5647">
        <v>-0.91795819999999995</v>
      </c>
      <c r="S5647">
        <v>-0.24423220000000001</v>
      </c>
      <c r="T5647">
        <v>-0.33378239999999998</v>
      </c>
      <c r="U5647">
        <v>-3.1438899999999999</v>
      </c>
      <c r="V5647">
        <v>-0.46752969999999999</v>
      </c>
      <c r="W5647">
        <v>-8.6502099999999998E-2</v>
      </c>
      <c r="X5647">
        <v>0.87973480000000004</v>
      </c>
      <c r="Y5647">
        <v>-0.72325430000000002</v>
      </c>
      <c r="Z5647">
        <v>1.6794670000000001E-2</v>
      </c>
      <c r="AA5647">
        <v>0.69037760000000004</v>
      </c>
      <c r="AB5647">
        <v>17</v>
      </c>
      <c r="AC5647">
        <v>-0.70749999999998103</v>
      </c>
      <c r="AD5647">
        <v>-1.12840875527</v>
      </c>
      <c r="AE5647">
        <v>-10.5124</v>
      </c>
      <c r="AF5647">
        <v>-7.6250025933201604</v>
      </c>
      <c r="AG5647">
        <v>-1.12840875527</v>
      </c>
      <c r="AH5647">
        <v>7.0969702689486702</v>
      </c>
      <c r="AI5647">
        <v>96.182565133129202</v>
      </c>
      <c r="AJ5647">
        <v>137.054144550312</v>
      </c>
      <c r="AK5647">
        <v>10.477640854001899</v>
      </c>
      <c r="AL5647">
        <v>94.962407168257798</v>
      </c>
      <c r="AM5647">
        <v>117.98813838766399</v>
      </c>
      <c r="AN5647">
        <v>0.999999976008769</v>
      </c>
    </row>
    <row r="5648" spans="1:40" x14ac:dyDescent="0.25">
      <c r="A5648" t="str">
        <f>"20190303154922567"</f>
        <v>20190303154922567</v>
      </c>
      <c r="B5648" t="str">
        <f>"1551599362556459"</f>
        <v>1551599362556459</v>
      </c>
      <c r="C5648" t="s">
        <v>40</v>
      </c>
      <c r="D5648">
        <v>5.3107540000000002</v>
      </c>
      <c r="E5648">
        <v>0.37303249999999999</v>
      </c>
      <c r="F5648" t="s">
        <v>59</v>
      </c>
      <c r="G5648">
        <v>-418.49950000000001</v>
      </c>
      <c r="H5648" s="1">
        <v>-4.7648289999999998E-6</v>
      </c>
      <c r="I5648">
        <v>127.5642</v>
      </c>
      <c r="J5648">
        <v>-417.9008</v>
      </c>
      <c r="K5648">
        <v>1.1283920000000001</v>
      </c>
      <c r="L5648">
        <v>137.9374</v>
      </c>
      <c r="M5648">
        <v>-0.76622009999999996</v>
      </c>
      <c r="N5648">
        <v>-1.531393E-2</v>
      </c>
      <c r="O5648">
        <v>-0.64239569999999901</v>
      </c>
      <c r="P5648">
        <v>-0.37698039999999999</v>
      </c>
      <c r="Q5648">
        <v>-9.1982209999999995E-2</v>
      </c>
      <c r="R5648">
        <v>-0.92164239999999997</v>
      </c>
      <c r="S5648">
        <v>-0.2146912</v>
      </c>
      <c r="T5648">
        <v>-0.33812930000000002</v>
      </c>
      <c r="U5648">
        <v>-3.1441189999999999</v>
      </c>
      <c r="V5648">
        <v>-0.46257350000000003</v>
      </c>
      <c r="W5648">
        <v>-8.6837529999999996E-2</v>
      </c>
      <c r="X5648">
        <v>0.88231800000000005</v>
      </c>
      <c r="Y5648">
        <v>-0.71911040000000004</v>
      </c>
      <c r="Z5648">
        <v>1.913749E-2</v>
      </c>
      <c r="AA5648">
        <v>0.69463229999999998</v>
      </c>
      <c r="AB5648">
        <v>17</v>
      </c>
      <c r="AC5648">
        <v>-0.598700000000007</v>
      </c>
      <c r="AD5648">
        <v>-1.1283967648289901</v>
      </c>
      <c r="AE5648">
        <v>-10.373199999999899</v>
      </c>
      <c r="AF5648">
        <v>-7.47626550245021</v>
      </c>
      <c r="AG5648">
        <v>-1.1283967648289901</v>
      </c>
      <c r="AH5648">
        <v>7.0402391891475897</v>
      </c>
      <c r="AI5648">
        <v>96.270509394835301</v>
      </c>
      <c r="AJ5648">
        <v>136.72045262063801</v>
      </c>
      <c r="AK5648">
        <v>10.331156419414601</v>
      </c>
      <c r="AL5648">
        <v>94.981698232309299</v>
      </c>
      <c r="AM5648">
        <v>117.666707096911</v>
      </c>
      <c r="AN5648">
        <v>1.00000002632137</v>
      </c>
    </row>
    <row r="5649" spans="1:40" x14ac:dyDescent="0.25">
      <c r="A5649" t="str">
        <f>"20190303154922590"</f>
        <v>20190303154922590</v>
      </c>
      <c r="B5649" t="str">
        <f>"1551599362586717"</f>
        <v>1551599362586717</v>
      </c>
      <c r="C5649" t="s">
        <v>40</v>
      </c>
      <c r="D5649">
        <v>5.3523550000000002</v>
      </c>
      <c r="E5649">
        <v>0.38174439999999998</v>
      </c>
      <c r="F5649" t="s">
        <v>59</v>
      </c>
      <c r="G5649">
        <v>-418.53309999999999</v>
      </c>
      <c r="H5649" s="1">
        <v>-4.7058190000000002E-6</v>
      </c>
      <c r="I5649">
        <v>127.4522</v>
      </c>
      <c r="J5649">
        <v>-418.0188</v>
      </c>
      <c r="K5649">
        <v>1.128358</v>
      </c>
      <c r="L5649">
        <v>137.81389999999999</v>
      </c>
      <c r="M5649">
        <v>-0.75604700000000002</v>
      </c>
      <c r="N5649">
        <v>-1.532241E-2</v>
      </c>
      <c r="O5649">
        <v>-0.65433830000000004</v>
      </c>
      <c r="P5649">
        <v>-0.36755700000000002</v>
      </c>
      <c r="Q5649">
        <v>-9.3305319999999997E-2</v>
      </c>
      <c r="R5649">
        <v>-0.92530880000000004</v>
      </c>
      <c r="S5649">
        <v>-0.1895752</v>
      </c>
      <c r="T5649">
        <v>-0.33832240000000002</v>
      </c>
      <c r="U5649">
        <v>-3.143723</v>
      </c>
      <c r="V5649">
        <v>-0.4576171</v>
      </c>
      <c r="W5649">
        <v>-8.7994520000000007E-2</v>
      </c>
      <c r="X5649">
        <v>0.88478449999999997</v>
      </c>
      <c r="Y5649">
        <v>-0.71377080000000004</v>
      </c>
      <c r="Z5649">
        <v>2.1209849999999999E-2</v>
      </c>
      <c r="AA5649">
        <v>0.70005810000000002</v>
      </c>
      <c r="AB5649">
        <v>17</v>
      </c>
      <c r="AC5649">
        <v>-0.51429999999999099</v>
      </c>
      <c r="AD5649">
        <v>-1.128362705819</v>
      </c>
      <c r="AE5649">
        <v>-10.3616999999999</v>
      </c>
      <c r="AF5649">
        <v>-7.4106205538731498</v>
      </c>
      <c r="AG5649">
        <v>-1.128362705819</v>
      </c>
      <c r="AH5649">
        <v>7.0859093557382096</v>
      </c>
      <c r="AI5649">
        <v>96.280139020238394</v>
      </c>
      <c r="AJ5649">
        <v>136.283167130343</v>
      </c>
      <c r="AK5649">
        <v>10.3150671731748</v>
      </c>
      <c r="AL5649">
        <v>95.048243609692406</v>
      </c>
      <c r="AM5649">
        <v>117.348340282401</v>
      </c>
      <c r="AN5649">
        <v>1.00000002860134</v>
      </c>
    </row>
    <row r="5650" spans="1:40" x14ac:dyDescent="0.25">
      <c r="A5650" t="str">
        <f>"20190303154922611"</f>
        <v>20190303154922611</v>
      </c>
      <c r="B5650" t="str">
        <f>"1551599362606237"</f>
        <v>1551599362606237</v>
      </c>
      <c r="C5650" t="s">
        <v>40</v>
      </c>
      <c r="D5650">
        <v>5.3670489999999997</v>
      </c>
      <c r="E5650">
        <v>0.38218740000000001</v>
      </c>
      <c r="F5650" t="s">
        <v>59</v>
      </c>
      <c r="G5650">
        <v>-418.7647</v>
      </c>
      <c r="H5650" s="1">
        <v>-4.647249E-6</v>
      </c>
      <c r="I5650">
        <v>127.36369999999999</v>
      </c>
      <c r="J5650">
        <v>-418.13159999999999</v>
      </c>
      <c r="K5650">
        <v>1.128304</v>
      </c>
      <c r="L5650">
        <v>137.69220000000001</v>
      </c>
      <c r="M5650">
        <v>-0.74596549999999995</v>
      </c>
      <c r="N5650">
        <v>-1.5325709999999999E-2</v>
      </c>
      <c r="O5650">
        <v>-0.66580830000000002</v>
      </c>
      <c r="P5650">
        <v>-0.35799389999999998</v>
      </c>
      <c r="Q5650">
        <v>-9.6083699999999994E-2</v>
      </c>
      <c r="R5650">
        <v>-0.92876709999999996</v>
      </c>
      <c r="S5650">
        <v>-0.22268679999999999</v>
      </c>
      <c r="T5650">
        <v>-0.33685349999999997</v>
      </c>
      <c r="U5650">
        <v>-3.1197509999999999</v>
      </c>
      <c r="V5650">
        <v>-0.45297910000000002</v>
      </c>
      <c r="W5650">
        <v>-9.0611899999999995E-2</v>
      </c>
      <c r="X5650">
        <v>0.88690440000000004</v>
      </c>
      <c r="Y5650">
        <v>-0.69523990000000002</v>
      </c>
      <c r="Z5650">
        <v>2.4268270000000002E-2</v>
      </c>
      <c r="AA5650">
        <v>0.71836800000000001</v>
      </c>
      <c r="AB5650">
        <v>17</v>
      </c>
      <c r="AC5650">
        <v>-0.63310000000001299</v>
      </c>
      <c r="AD5650">
        <v>-1.128308647249</v>
      </c>
      <c r="AE5650">
        <v>-10.3285</v>
      </c>
      <c r="AF5650">
        <v>-7.19845271346896</v>
      </c>
      <c r="AG5650">
        <v>-1.128308647249</v>
      </c>
      <c r="AH5650">
        <v>7.2635765321940804</v>
      </c>
      <c r="AI5650">
        <v>96.296204548025301</v>
      </c>
      <c r="AJ5650">
        <v>134.74199369433899</v>
      </c>
      <c r="AK5650">
        <v>10.2883597288657</v>
      </c>
      <c r="AL5650">
        <v>95.198810226302797</v>
      </c>
      <c r="AM5650">
        <v>117.055297994715</v>
      </c>
      <c r="AN5650">
        <v>0.99999999809888995</v>
      </c>
    </row>
    <row r="5651" spans="1:40" x14ac:dyDescent="0.25">
      <c r="A5651" t="str">
        <f>"20190303154922634"</f>
        <v>20190303154922634</v>
      </c>
      <c r="B5651" t="str">
        <f>"1551599362626733"</f>
        <v>1551599362626733</v>
      </c>
      <c r="C5651" t="s">
        <v>40</v>
      </c>
      <c r="D5651">
        <v>5.4005999999999998</v>
      </c>
      <c r="E5651">
        <v>0.38271080000000002</v>
      </c>
      <c r="F5651" t="s">
        <v>59</v>
      </c>
      <c r="G5651">
        <v>-418.7792</v>
      </c>
      <c r="H5651" s="1">
        <v>-4.6089979999999998E-6</v>
      </c>
      <c r="I5651">
        <v>127.2902</v>
      </c>
      <c r="J5651">
        <v>-418.24610000000001</v>
      </c>
      <c r="K5651">
        <v>1.128242</v>
      </c>
      <c r="L5651">
        <v>137.56479999999999</v>
      </c>
      <c r="M5651">
        <v>-0.73537330000000001</v>
      </c>
      <c r="N5651">
        <v>-1.532442E-2</v>
      </c>
      <c r="O5651">
        <v>-0.67748900000000001</v>
      </c>
      <c r="P5651">
        <v>-0.34871160000000001</v>
      </c>
      <c r="Q5651">
        <v>-0.1001891</v>
      </c>
      <c r="R5651">
        <v>-0.93185989999999996</v>
      </c>
      <c r="S5651">
        <v>-0.19424440000000001</v>
      </c>
      <c r="T5651">
        <v>-0.33844970000000002</v>
      </c>
      <c r="U5651">
        <v>-3.120193</v>
      </c>
      <c r="V5651">
        <v>-0.4474611</v>
      </c>
      <c r="W5651">
        <v>-9.4532759999999993E-2</v>
      </c>
      <c r="X5651">
        <v>0.88929309999999995</v>
      </c>
      <c r="Y5651">
        <v>-0.69046350000000001</v>
      </c>
      <c r="Z5651">
        <v>2.6427519999999999E-2</v>
      </c>
      <c r="AA5651">
        <v>0.72288430000000004</v>
      </c>
      <c r="AB5651">
        <v>17</v>
      </c>
      <c r="AC5651">
        <v>-0.53309999999999003</v>
      </c>
      <c r="AD5651">
        <v>-1.1282466089979999</v>
      </c>
      <c r="AE5651">
        <v>-10.2745999999999</v>
      </c>
      <c r="AF5651">
        <v>-7.1098409087767998</v>
      </c>
      <c r="AG5651">
        <v>-1.1282466089979999</v>
      </c>
      <c r="AH5651">
        <v>7.2664352182685796</v>
      </c>
      <c r="AI5651">
        <v>96.332802175831901</v>
      </c>
      <c r="AJ5651">
        <v>134.375927525848</v>
      </c>
      <c r="AK5651">
        <v>10.2285804948744</v>
      </c>
      <c r="AL5651">
        <v>95.424427643850905</v>
      </c>
      <c r="AM5651">
        <v>116.70993713030801</v>
      </c>
      <c r="AN5651">
        <v>1.0000000482170099</v>
      </c>
    </row>
    <row r="5652" spans="1:40" x14ac:dyDescent="0.25">
      <c r="A5652" t="str">
        <f>"20190303154922657"</f>
        <v>20190303154922657</v>
      </c>
      <c r="B5652" t="str">
        <f>"1551599362646254"</f>
        <v>1551599362646254</v>
      </c>
      <c r="C5652" t="s">
        <v>40</v>
      </c>
      <c r="D5652">
        <v>5.5217280000000004</v>
      </c>
      <c r="E5652">
        <v>0.41852889999999998</v>
      </c>
      <c r="F5652" t="s">
        <v>59</v>
      </c>
      <c r="G5652">
        <v>-418.7869</v>
      </c>
      <c r="H5652" s="1">
        <v>-4.695078E-6</v>
      </c>
      <c r="I5652">
        <v>127.4601</v>
      </c>
      <c r="J5652">
        <v>-418.35910000000001</v>
      </c>
      <c r="K5652">
        <v>1.12819</v>
      </c>
      <c r="L5652">
        <v>137.435</v>
      </c>
      <c r="M5652">
        <v>-0.72455749999999997</v>
      </c>
      <c r="N5652">
        <v>-1.531919E-2</v>
      </c>
      <c r="O5652">
        <v>-0.68904430000000005</v>
      </c>
      <c r="P5652">
        <v>-0.33989239999999998</v>
      </c>
      <c r="Q5652">
        <v>-0.10099900000000001</v>
      </c>
      <c r="R5652">
        <v>-0.93502580000000002</v>
      </c>
      <c r="S5652">
        <v>-0.16696169999999999</v>
      </c>
      <c r="T5652">
        <v>-0.34830709999999998</v>
      </c>
      <c r="U5652">
        <v>-3.1194760000000001</v>
      </c>
      <c r="V5652">
        <v>-0.44172149999999999</v>
      </c>
      <c r="W5652">
        <v>-9.5149129999999998E-2</v>
      </c>
      <c r="X5652">
        <v>0.89209229999999995</v>
      </c>
      <c r="Y5652">
        <v>-0.68528540000000004</v>
      </c>
      <c r="Z5652">
        <v>2.9688829999999999E-2</v>
      </c>
      <c r="AA5652">
        <v>0.72766919999999902</v>
      </c>
      <c r="AB5652">
        <v>17</v>
      </c>
      <c r="AC5652">
        <v>-0.42779999999999002</v>
      </c>
      <c r="AD5652">
        <v>-1.128194695078</v>
      </c>
      <c r="AE5652">
        <v>-9.9748999999999999</v>
      </c>
      <c r="AF5652">
        <v>-6.8460121075707798</v>
      </c>
      <c r="AG5652">
        <v>-1.128194695078</v>
      </c>
      <c r="AH5652">
        <v>7.0933810747225303</v>
      </c>
      <c r="AI5652">
        <v>96.528661080105095</v>
      </c>
      <c r="AJ5652">
        <v>133.983333773585</v>
      </c>
      <c r="AK5652">
        <v>9.9225379877448496</v>
      </c>
      <c r="AL5652">
        <v>95.459903453871306</v>
      </c>
      <c r="AM5652">
        <v>116.342415598888</v>
      </c>
      <c r="AN5652">
        <v>0.99999995611064696</v>
      </c>
    </row>
    <row r="5653" spans="1:40" x14ac:dyDescent="0.25">
      <c r="A5653" t="str">
        <f>"20190303154922680"</f>
        <v>20190303154922680</v>
      </c>
      <c r="B5653" t="str">
        <f>"1551599362676510"</f>
        <v>1551599362676510</v>
      </c>
      <c r="C5653" t="s">
        <v>40</v>
      </c>
      <c r="D5653">
        <v>5.5222790000000002</v>
      </c>
      <c r="E5653">
        <v>0.43073460000000002</v>
      </c>
      <c r="F5653" t="s">
        <v>42</v>
      </c>
      <c r="G5653">
        <v>-418.48250000000002</v>
      </c>
      <c r="H5653">
        <v>1.036384</v>
      </c>
      <c r="I5653">
        <v>136.5198</v>
      </c>
      <c r="J5653">
        <v>-418.4674</v>
      </c>
      <c r="K5653">
        <v>1.1281490000000001</v>
      </c>
      <c r="L5653">
        <v>137.30680000000001</v>
      </c>
      <c r="M5653">
        <v>-0.71383850000000004</v>
      </c>
      <c r="N5653">
        <v>-1.5311200000000001E-2</v>
      </c>
      <c r="O5653">
        <v>-0.70014319999999997</v>
      </c>
      <c r="P5653">
        <v>-0.33129330000000001</v>
      </c>
      <c r="Q5653">
        <v>-9.9697980000000005E-2</v>
      </c>
      <c r="R5653">
        <v>-0.93824580000000002</v>
      </c>
      <c r="S5653">
        <v>-0.4089661</v>
      </c>
      <c r="T5653">
        <v>-0.30370809999999998</v>
      </c>
      <c r="U5653">
        <v>-3.026993</v>
      </c>
      <c r="V5653">
        <v>-0.43628020000000001</v>
      </c>
      <c r="W5653">
        <v>-9.3665910000000005E-2</v>
      </c>
      <c r="X5653">
        <v>0.89492249999999995</v>
      </c>
      <c r="Y5653">
        <v>-0.61273710000000003</v>
      </c>
      <c r="Z5653">
        <v>3.073714E-2</v>
      </c>
      <c r="AA5653">
        <v>0.78968879999999997</v>
      </c>
      <c r="AB5653">
        <v>17</v>
      </c>
      <c r="AC5653">
        <v>-1.5100000000018101E-2</v>
      </c>
      <c r="AD5653">
        <v>-9.1765000000000096E-2</v>
      </c>
      <c r="AE5653">
        <v>-0.78700000000000603</v>
      </c>
      <c r="AF5653">
        <v>-0.54389135216142603</v>
      </c>
      <c r="AG5653">
        <v>-9.1765000000000096E-2</v>
      </c>
      <c r="AH5653">
        <v>0.55432372821295295</v>
      </c>
      <c r="AI5653">
        <v>96.739047493525703</v>
      </c>
      <c r="AJ5653">
        <v>134.45574127485901</v>
      </c>
      <c r="AK5653">
        <v>0.78199323132677601</v>
      </c>
      <c r="AL5653">
        <v>95.374539703917904</v>
      </c>
      <c r="AM5653">
        <v>115.989517124743</v>
      </c>
      <c r="AN5653">
        <v>0.99999999830720898</v>
      </c>
    </row>
    <row r="5654" spans="1:40" x14ac:dyDescent="0.25">
      <c r="A5654" t="str">
        <f>"20190303154922702"</f>
        <v>20190303154922702</v>
      </c>
      <c r="B5654" t="str">
        <f>"1551599362697006"</f>
        <v>1551599362697006</v>
      </c>
      <c r="C5654" t="s">
        <v>40</v>
      </c>
      <c r="D5654">
        <v>5.4665359999999996</v>
      </c>
      <c r="E5654">
        <v>0.43665989999999999</v>
      </c>
      <c r="F5654" t="s">
        <v>42</v>
      </c>
      <c r="G5654">
        <v>-418.60559999999998</v>
      </c>
      <c r="H5654">
        <v>1.0351410000000001</v>
      </c>
      <c r="I5654">
        <v>136.4299</v>
      </c>
      <c r="J5654">
        <v>-418.57339999999999</v>
      </c>
      <c r="K5654">
        <v>1.128109</v>
      </c>
      <c r="L5654">
        <v>137.17689999999999</v>
      </c>
      <c r="M5654">
        <v>-0.70297500000000002</v>
      </c>
      <c r="N5654">
        <v>-1.5300960000000001E-2</v>
      </c>
      <c r="O5654">
        <v>-0.71105019999999997</v>
      </c>
      <c r="P5654">
        <v>-0.32264949999999998</v>
      </c>
      <c r="Q5654">
        <v>-9.84125E-2</v>
      </c>
      <c r="R5654">
        <v>-0.94138849999999996</v>
      </c>
      <c r="S5654">
        <v>-0.47180179999999999</v>
      </c>
      <c r="T5654">
        <v>-0.31780930000000002</v>
      </c>
      <c r="U5654">
        <v>-2.9971160000000001</v>
      </c>
      <c r="V5654">
        <v>-0.43086200000000002</v>
      </c>
      <c r="W5654">
        <v>-9.2207280000000003E-2</v>
      </c>
      <c r="X5654">
        <v>0.89769469999999996</v>
      </c>
      <c r="Y5654">
        <v>-0.58298890000000003</v>
      </c>
      <c r="Z5654">
        <v>3.6293930000000002E-2</v>
      </c>
      <c r="AA5654">
        <v>0.81166910000000003</v>
      </c>
      <c r="AB5654">
        <v>17</v>
      </c>
      <c r="AC5654">
        <v>-3.2199999999988897E-2</v>
      </c>
      <c r="AD5654">
        <v>-9.2967999999999898E-2</v>
      </c>
      <c r="AE5654">
        <v>-0.74699999999998501</v>
      </c>
      <c r="AF5654">
        <v>-0.49463793989690802</v>
      </c>
      <c r="AG5654">
        <v>-9.2967999999999898E-2</v>
      </c>
      <c r="AH5654">
        <v>0.54542260451826596</v>
      </c>
      <c r="AI5654">
        <v>97.196201550344</v>
      </c>
      <c r="AJ5654">
        <v>132.204549519691</v>
      </c>
      <c r="AK5654">
        <v>0.74215602007188897</v>
      </c>
      <c r="AL5654">
        <v>95.290603016079899</v>
      </c>
      <c r="AM5654">
        <v>115.639374061303</v>
      </c>
      <c r="AN5654">
        <v>1.00000000996854</v>
      </c>
    </row>
    <row r="5655" spans="1:40" x14ac:dyDescent="0.25">
      <c r="A5655" t="str">
        <f>"20190303154922724"</f>
        <v>20190303154922724</v>
      </c>
      <c r="B5655" t="str">
        <f>"1551599362716525"</f>
        <v>1551599362716525</v>
      </c>
      <c r="C5655" t="s">
        <v>40</v>
      </c>
      <c r="D5655">
        <v>5.507193</v>
      </c>
      <c r="E5655">
        <v>0.43882729999999998</v>
      </c>
      <c r="F5655" t="s">
        <v>42</v>
      </c>
      <c r="G5655">
        <v>-418.73790000000002</v>
      </c>
      <c r="H5655">
        <v>1.029685</v>
      </c>
      <c r="I5655">
        <v>136.17500000000001</v>
      </c>
      <c r="J5655">
        <v>-418.67469999999997</v>
      </c>
      <c r="K5655">
        <v>1.1280699999999999</v>
      </c>
      <c r="L5655">
        <v>137.0489</v>
      </c>
      <c r="M5655">
        <v>-0.69224640000000004</v>
      </c>
      <c r="N5655">
        <v>-1.5289489999999999E-2</v>
      </c>
      <c r="O5655">
        <v>-0.72149909999999995</v>
      </c>
      <c r="P5655">
        <v>-0.31494470000000002</v>
      </c>
      <c r="Q5655">
        <v>-9.9247479999999999E-2</v>
      </c>
      <c r="R5655">
        <v>-0.94390640000000003</v>
      </c>
      <c r="S5655">
        <v>-0.49008180000000001</v>
      </c>
      <c r="T5655">
        <v>-0.29350279999999901</v>
      </c>
      <c r="U5655">
        <v>-2.9880979999999999</v>
      </c>
      <c r="V5655">
        <v>-0.4246877</v>
      </c>
      <c r="W5655">
        <v>-9.2863219999999996E-2</v>
      </c>
      <c r="X5655">
        <v>0.900564699999999</v>
      </c>
      <c r="Y5655">
        <v>-0.56563149999999995</v>
      </c>
      <c r="Z5655">
        <v>3.4686019999999998E-2</v>
      </c>
      <c r="AA5655">
        <v>0.82392840000000001</v>
      </c>
      <c r="AB5655">
        <v>17</v>
      </c>
      <c r="AC5655">
        <v>-6.3200000000051604E-2</v>
      </c>
      <c r="AD5655">
        <v>-9.8385000000000097E-2</v>
      </c>
      <c r="AE5655">
        <v>-0.87389999999999102</v>
      </c>
      <c r="AF5655">
        <v>-0.55245511682342796</v>
      </c>
      <c r="AG5655">
        <v>-9.8385000000000097E-2</v>
      </c>
      <c r="AH5655">
        <v>0.66595019197456495</v>
      </c>
      <c r="AI5655">
        <v>96.486903970720306</v>
      </c>
      <c r="AJ5655">
        <v>129.678225873342</v>
      </c>
      <c r="AK5655">
        <v>0.87084781823252499</v>
      </c>
      <c r="AL5655">
        <v>95.328347612209697</v>
      </c>
      <c r="AM5655">
        <v>115.24759615008099</v>
      </c>
      <c r="AN5655">
        <v>0.99999999952307395</v>
      </c>
    </row>
    <row r="5656" spans="1:40" x14ac:dyDescent="0.25">
      <c r="A5656" t="str">
        <f>"20190303154922745"</f>
        <v>20190303154922745</v>
      </c>
      <c r="B5656" t="str">
        <f>"1551599362737022"</f>
        <v>1551599362737022</v>
      </c>
      <c r="C5656" t="s">
        <v>40</v>
      </c>
      <c r="D5656">
        <v>5.5256270000000001</v>
      </c>
      <c r="E5656">
        <v>0.4405287</v>
      </c>
      <c r="F5656" t="s">
        <v>42</v>
      </c>
      <c r="G5656">
        <v>-418.83350000000002</v>
      </c>
      <c r="H5656">
        <v>1.0327980000000001</v>
      </c>
      <c r="I5656">
        <v>136.06630000000001</v>
      </c>
      <c r="J5656">
        <v>-418.77260000000001</v>
      </c>
      <c r="K5656">
        <v>1.1280330000000001</v>
      </c>
      <c r="L5656">
        <v>136.92150000000001</v>
      </c>
      <c r="M5656">
        <v>-0.68154700000000001</v>
      </c>
      <c r="N5656">
        <v>-1.5277819999999999E-2</v>
      </c>
      <c r="O5656">
        <v>-0.73161509999999996</v>
      </c>
      <c r="P5656">
        <v>-0.30720710000000001</v>
      </c>
      <c r="Q5656">
        <v>-0.10012310000000001</v>
      </c>
      <c r="R5656">
        <v>-0.94636120000000001</v>
      </c>
      <c r="S5656">
        <v>-0.4824524</v>
      </c>
      <c r="T5656">
        <v>-0.28958460000000003</v>
      </c>
      <c r="U5656">
        <v>-2.9868619999999999</v>
      </c>
      <c r="V5656">
        <v>-0.41872890000000001</v>
      </c>
      <c r="W5656">
        <v>-9.3571870000000001E-2</v>
      </c>
      <c r="X5656">
        <v>0.90327760000000001</v>
      </c>
      <c r="Y5656">
        <v>-0.555504</v>
      </c>
      <c r="Z5656">
        <v>3.576638E-2</v>
      </c>
      <c r="AA5656">
        <v>0.83074429999999999</v>
      </c>
      <c r="AB5656">
        <v>17</v>
      </c>
      <c r="AC5656">
        <v>-6.0900000000003701E-2</v>
      </c>
      <c r="AD5656">
        <v>-9.5235000000000097E-2</v>
      </c>
      <c r="AE5656">
        <v>-0.85519999999999596</v>
      </c>
      <c r="AF5656">
        <v>-0.53180471471911706</v>
      </c>
      <c r="AG5656">
        <v>-9.5235000000000097E-2</v>
      </c>
      <c r="AH5656">
        <v>0.65912856448546997</v>
      </c>
      <c r="AI5656">
        <v>96.415910648301207</v>
      </c>
      <c r="AJ5656">
        <v>128.89763128107199</v>
      </c>
      <c r="AK5656">
        <v>0.85225373237267599</v>
      </c>
      <c r="AL5656">
        <v>95.369127806558893</v>
      </c>
      <c r="AM5656">
        <v>114.870841633341</v>
      </c>
      <c r="AN5656">
        <v>1.0000000046061299</v>
      </c>
    </row>
    <row r="5657" spans="1:40" x14ac:dyDescent="0.25">
      <c r="A5657" t="str">
        <f>"20190303154922769"</f>
        <v>20190303154922769</v>
      </c>
      <c r="B5657" t="str">
        <f>"1551599362756541"</f>
        <v>1551599362756541</v>
      </c>
      <c r="C5657" t="s">
        <v>40</v>
      </c>
      <c r="D5657">
        <v>5.4479350000000002</v>
      </c>
      <c r="E5657">
        <v>0.44195580000000001</v>
      </c>
      <c r="F5657" t="s">
        <v>42</v>
      </c>
      <c r="G5657">
        <v>-418.92529999999999</v>
      </c>
      <c r="H5657">
        <v>1.0354730000000001</v>
      </c>
      <c r="I5657">
        <v>135.95490000000001</v>
      </c>
      <c r="J5657">
        <v>-418.87349999999998</v>
      </c>
      <c r="K5657">
        <v>1.1280079999999999</v>
      </c>
      <c r="L5657">
        <v>136.78579999999999</v>
      </c>
      <c r="M5657">
        <v>-0.67012459999999996</v>
      </c>
      <c r="N5657">
        <v>-1.526537E-2</v>
      </c>
      <c r="O5657">
        <v>-0.74209179999999997</v>
      </c>
      <c r="P5657">
        <v>-0.29835309999999998</v>
      </c>
      <c r="Q5657">
        <v>-0.1003511</v>
      </c>
      <c r="R5657">
        <v>-0.94916590000000001</v>
      </c>
      <c r="S5657">
        <v>-0.47116089999999999</v>
      </c>
      <c r="T5657">
        <v>-0.28592410000000001</v>
      </c>
      <c r="U5657">
        <v>-2.986847</v>
      </c>
      <c r="V5657">
        <v>-0.41315410000000002</v>
      </c>
      <c r="W5657">
        <v>-9.3645069999999997E-2</v>
      </c>
      <c r="X5657">
        <v>0.90583349999999996</v>
      </c>
      <c r="Y5657">
        <v>-0.54569639999999997</v>
      </c>
      <c r="Z5657">
        <v>3.685314E-2</v>
      </c>
      <c r="AA5657">
        <v>0.83717219999999903</v>
      </c>
      <c r="AB5657">
        <v>17</v>
      </c>
      <c r="AC5657">
        <v>-5.1800000000014203E-2</v>
      </c>
      <c r="AD5657">
        <v>-9.2535000000000006E-2</v>
      </c>
      <c r="AE5657">
        <v>-0.83089999999998498</v>
      </c>
      <c r="AF5657">
        <v>-0.51209971333295101</v>
      </c>
      <c r="AG5657">
        <v>-9.2535000000000006E-2</v>
      </c>
      <c r="AH5657">
        <v>0.64344284969454102</v>
      </c>
      <c r="AI5657">
        <v>96.420180853527697</v>
      </c>
      <c r="AJ5657">
        <v>128.51538525206399</v>
      </c>
      <c r="AK5657">
        <v>0.82754307648830205</v>
      </c>
      <c r="AL5657">
        <v>95.373340273715996</v>
      </c>
      <c r="AM5657">
        <v>114.517909058314</v>
      </c>
      <c r="AN5657">
        <v>1.0000000196021801</v>
      </c>
    </row>
    <row r="5658" spans="1:40" x14ac:dyDescent="0.25">
      <c r="A5658" t="str">
        <f>"20190303154922790"</f>
        <v>20190303154922790</v>
      </c>
      <c r="B5658" t="str">
        <f>"1551599362786797"</f>
        <v>1551599362786797</v>
      </c>
      <c r="C5658" t="s">
        <v>40</v>
      </c>
      <c r="D5658">
        <v>5.3920409999999999</v>
      </c>
      <c r="E5658">
        <v>0.44393690000000002</v>
      </c>
      <c r="F5658" t="s">
        <v>42</v>
      </c>
      <c r="G5658">
        <v>-419.017</v>
      </c>
      <c r="H5658">
        <v>1.0387949999999999</v>
      </c>
      <c r="I5658">
        <v>135.84299999999999</v>
      </c>
      <c r="J5658">
        <v>-418.9717</v>
      </c>
      <c r="K5658">
        <v>1.127982</v>
      </c>
      <c r="L5658">
        <v>136.64959999999999</v>
      </c>
      <c r="M5658">
        <v>-0.65863749999999999</v>
      </c>
      <c r="N5658">
        <v>-1.5252999999999999E-2</v>
      </c>
      <c r="O5658">
        <v>-0.75230600000000003</v>
      </c>
      <c r="P5658">
        <v>-0.28989870000000001</v>
      </c>
      <c r="Q5658">
        <v>-9.9640880000000001E-2</v>
      </c>
      <c r="R5658">
        <v>-0.95185679999999995</v>
      </c>
      <c r="S5658">
        <v>-0.45443729999999899</v>
      </c>
      <c r="T5658">
        <v>-0.28271629999999998</v>
      </c>
      <c r="U5658">
        <v>-2.987946</v>
      </c>
      <c r="V5658">
        <v>-0.407356</v>
      </c>
      <c r="W5658">
        <v>-9.2775739999999995E-2</v>
      </c>
      <c r="X5658">
        <v>0.90854489999999999</v>
      </c>
      <c r="Y5658">
        <v>-0.53745980000000004</v>
      </c>
      <c r="Z5658">
        <v>3.7863750000000002E-2</v>
      </c>
      <c r="AA5658">
        <v>0.84243889999999999</v>
      </c>
      <c r="AB5658">
        <v>17</v>
      </c>
      <c r="AC5658">
        <v>-4.5299999999997398E-2</v>
      </c>
      <c r="AD5658">
        <v>-8.9186999999999905E-2</v>
      </c>
      <c r="AE5658">
        <v>-0.80660000000000298</v>
      </c>
      <c r="AF5658">
        <v>-0.49124816202338401</v>
      </c>
      <c r="AG5658">
        <v>-8.9186999999999905E-2</v>
      </c>
      <c r="AH5658">
        <v>0.62905359791156501</v>
      </c>
      <c r="AI5658">
        <v>96.375955225296806</v>
      </c>
      <c r="AJ5658">
        <v>127.987420757405</v>
      </c>
      <c r="AK5658">
        <v>0.80311114218757895</v>
      </c>
      <c r="AL5658">
        <v>95.323313418816596</v>
      </c>
      <c r="AM5658">
        <v>114.149598402287</v>
      </c>
      <c r="AN5658">
        <v>1.0000000419922701</v>
      </c>
    </row>
    <row r="5659" spans="1:40" x14ac:dyDescent="0.25">
      <c r="A5659" t="str">
        <f>"20190303154922815"</f>
        <v>20190303154922815</v>
      </c>
      <c r="B5659" t="str">
        <f>"1551599362806317"</f>
        <v>1551599362806317</v>
      </c>
      <c r="C5659" t="s">
        <v>40</v>
      </c>
      <c r="D5659">
        <v>5.5678080000000003</v>
      </c>
      <c r="E5659">
        <v>0.44475150000000002</v>
      </c>
      <c r="F5659" t="s">
        <v>42</v>
      </c>
      <c r="G5659">
        <v>-419.10829999999999</v>
      </c>
      <c r="H5659">
        <v>1.0437860000000001</v>
      </c>
      <c r="I5659">
        <v>135.73050000000001</v>
      </c>
      <c r="J5659">
        <v>-419.06619999999998</v>
      </c>
      <c r="K5659">
        <v>1.1279539999999999</v>
      </c>
      <c r="L5659">
        <v>136.51429999999999</v>
      </c>
      <c r="M5659">
        <v>-0.64719649999999995</v>
      </c>
      <c r="N5659">
        <v>-1.524062E-2</v>
      </c>
      <c r="O5659">
        <v>-0.76217100000000004</v>
      </c>
      <c r="P5659">
        <v>-0.28244709999999901</v>
      </c>
      <c r="Q5659">
        <v>-9.970801E-2</v>
      </c>
      <c r="R5659">
        <v>-0.95408720000000002</v>
      </c>
      <c r="S5659">
        <v>-0.44326779999999999</v>
      </c>
      <c r="T5659">
        <v>-0.27361829999999998</v>
      </c>
      <c r="U5659">
        <v>-2.988083</v>
      </c>
      <c r="V5659">
        <v>-0.40073530000000002</v>
      </c>
      <c r="W5659">
        <v>-9.2666559999999995E-2</v>
      </c>
      <c r="X5659">
        <v>0.91149559999999996</v>
      </c>
      <c r="Y5659">
        <v>-0.52783009999999997</v>
      </c>
      <c r="Z5659">
        <v>3.774069E-2</v>
      </c>
      <c r="AA5659">
        <v>0.84851109999999896</v>
      </c>
      <c r="AB5659">
        <v>17</v>
      </c>
      <c r="AC5659">
        <v>-4.2100000000004897E-2</v>
      </c>
      <c r="AD5659">
        <v>-8.4168000000000007E-2</v>
      </c>
      <c r="AE5659">
        <v>-0.78379999999998495</v>
      </c>
      <c r="AF5659">
        <v>-0.46983803966214199</v>
      </c>
      <c r="AG5659">
        <v>-8.4168000000000007E-2</v>
      </c>
      <c r="AH5659">
        <v>0.617607673653216</v>
      </c>
      <c r="AI5659">
        <v>96.190268983081396</v>
      </c>
      <c r="AJ5659">
        <v>127.261651655207</v>
      </c>
      <c r="AK5659">
        <v>0.78055830934844495</v>
      </c>
      <c r="AL5659">
        <v>95.317030756171206</v>
      </c>
      <c r="AM5659">
        <v>113.73249441087501</v>
      </c>
      <c r="AN5659">
        <v>1.00000005041384</v>
      </c>
    </row>
    <row r="5660" spans="1:40" x14ac:dyDescent="0.25">
      <c r="A5660" t="str">
        <f>"20190303154922835"</f>
        <v>20190303154922835</v>
      </c>
      <c r="B5660" t="str">
        <f>"1551599362826813"</f>
        <v>1551599362826813</v>
      </c>
      <c r="C5660" t="s">
        <v>40</v>
      </c>
      <c r="D5660">
        <v>5.5607189999999997</v>
      </c>
      <c r="E5660">
        <v>0.44546659999999999</v>
      </c>
      <c r="F5660" t="s">
        <v>42</v>
      </c>
      <c r="G5660">
        <v>-419.1943</v>
      </c>
      <c r="H5660">
        <v>1.043525</v>
      </c>
      <c r="I5660">
        <v>135.6147</v>
      </c>
      <c r="J5660">
        <v>-419.15899999999999</v>
      </c>
      <c r="K5660">
        <v>1.127912</v>
      </c>
      <c r="L5660">
        <v>136.37710000000001</v>
      </c>
      <c r="M5660">
        <v>-0.63558049999999999</v>
      </c>
      <c r="N5660">
        <v>-1.5227279999999999E-2</v>
      </c>
      <c r="O5660">
        <v>-0.77188429999999997</v>
      </c>
      <c r="P5660">
        <v>-0.27600380000000002</v>
      </c>
      <c r="Q5660">
        <v>-0.1012777</v>
      </c>
      <c r="R5660">
        <v>-0.95580569999999998</v>
      </c>
      <c r="S5660">
        <v>-0.42578129999999997</v>
      </c>
      <c r="T5660">
        <v>-0.28051880000000001</v>
      </c>
      <c r="U5660">
        <v>-2.9890140000000001</v>
      </c>
      <c r="V5660">
        <v>-0.392957</v>
      </c>
      <c r="W5660">
        <v>-9.4033839999999994E-2</v>
      </c>
      <c r="X5660">
        <v>0.91473629999999995</v>
      </c>
      <c r="Y5660">
        <v>-0.51986790000000005</v>
      </c>
      <c r="Z5660">
        <v>4.0543009999999997E-2</v>
      </c>
      <c r="AA5660">
        <v>0.85328409999999999</v>
      </c>
      <c r="AB5660">
        <v>17</v>
      </c>
      <c r="AC5660">
        <v>-3.53000000000065E-2</v>
      </c>
      <c r="AD5660">
        <v>-8.4386999999999907E-2</v>
      </c>
      <c r="AE5660">
        <v>-0.76240000000001296</v>
      </c>
      <c r="AF5660">
        <v>-0.45184820252806901</v>
      </c>
      <c r="AG5660">
        <v>-8.4386999999999907E-2</v>
      </c>
      <c r="AH5660">
        <v>0.60361220985171005</v>
      </c>
      <c r="AI5660">
        <v>96.385925730003905</v>
      </c>
      <c r="AJ5660">
        <v>126.81755902314499</v>
      </c>
      <c r="AK5660">
        <v>0.75870657291136701</v>
      </c>
      <c r="AL5660">
        <v>95.395713809663107</v>
      </c>
      <c r="AM5660">
        <v>113.247634831345</v>
      </c>
      <c r="AN5660">
        <v>1.00000003272591</v>
      </c>
    </row>
    <row r="5661" spans="1:40" x14ac:dyDescent="0.25">
      <c r="A5661" t="str">
        <f>"20190303154922859"</f>
        <v>20190303154922859</v>
      </c>
      <c r="B5661" t="str">
        <f>"1551599362846333"</f>
        <v>1551599362846333</v>
      </c>
      <c r="C5661" t="s">
        <v>40</v>
      </c>
      <c r="D5661">
        <v>5.5567799999999998</v>
      </c>
      <c r="E5661">
        <v>0.44625100000000001</v>
      </c>
      <c r="F5661" t="s">
        <v>42</v>
      </c>
      <c r="G5661">
        <v>-419.28</v>
      </c>
      <c r="H5661">
        <v>1.042667</v>
      </c>
      <c r="I5661">
        <v>135.4983</v>
      </c>
      <c r="J5661">
        <v>-419.25240000000002</v>
      </c>
      <c r="K5661">
        <v>1.1278520000000001</v>
      </c>
      <c r="L5661">
        <v>136.2345</v>
      </c>
      <c r="M5661">
        <v>-0.62350539999999999</v>
      </c>
      <c r="N5661">
        <v>-1.5211590000000001E-2</v>
      </c>
      <c r="O5661">
        <v>-0.78167109999999995</v>
      </c>
      <c r="P5661">
        <v>-0.27414939999999999</v>
      </c>
      <c r="Q5661">
        <v>-0.1047117</v>
      </c>
      <c r="R5661">
        <v>-0.95596959999999997</v>
      </c>
      <c r="S5661">
        <v>-0.41082760000000001</v>
      </c>
      <c r="T5661">
        <v>-0.28990549999999998</v>
      </c>
      <c r="U5661">
        <v>-2.9893800000000001</v>
      </c>
      <c r="V5661">
        <v>-0.38021899999999997</v>
      </c>
      <c r="W5661">
        <v>-9.714942E-2</v>
      </c>
      <c r="X5661">
        <v>0.91978009999999999</v>
      </c>
      <c r="Y5661">
        <v>-0.51078459999999903</v>
      </c>
      <c r="Z5661">
        <v>4.3975590000000002E-2</v>
      </c>
      <c r="AA5661">
        <v>0.85858330000000005</v>
      </c>
      <c r="AB5661">
        <v>17</v>
      </c>
      <c r="AC5661">
        <v>-2.75999999999498E-2</v>
      </c>
      <c r="AD5661">
        <v>-8.5184999999999997E-2</v>
      </c>
      <c r="AE5661">
        <v>-0.73619999999999597</v>
      </c>
      <c r="AF5661">
        <v>-0.43172902725976597</v>
      </c>
      <c r="AG5661">
        <v>-8.5184999999999997E-2</v>
      </c>
      <c r="AH5661">
        <v>0.584923267231508</v>
      </c>
      <c r="AI5661">
        <v>96.683086299164998</v>
      </c>
      <c r="AJ5661">
        <v>126.43085489039299</v>
      </c>
      <c r="AK5661">
        <v>0.73197108259305299</v>
      </c>
      <c r="AL5661">
        <v>95.575045063370794</v>
      </c>
      <c r="AM5661">
        <v>112.459238696681</v>
      </c>
      <c r="AN5661">
        <v>0.99999996506167199</v>
      </c>
    </row>
    <row r="5662" spans="1:40" x14ac:dyDescent="0.25">
      <c r="A5662" t="str">
        <f>"20190303154922891"</f>
        <v>20190303154922891</v>
      </c>
      <c r="B5662" t="str">
        <f>"1551599362886856"</f>
        <v>1551599362886856</v>
      </c>
      <c r="C5662" t="s">
        <v>40</v>
      </c>
      <c r="D5662">
        <v>5.6173549999999999</v>
      </c>
      <c r="E5662">
        <v>0.4477293</v>
      </c>
      <c r="F5662" t="s">
        <v>42</v>
      </c>
      <c r="G5662">
        <v>-419.36939999999998</v>
      </c>
      <c r="H5662">
        <v>1.04148</v>
      </c>
      <c r="I5662">
        <v>135.3835</v>
      </c>
      <c r="J5662">
        <v>-419.38010000000003</v>
      </c>
      <c r="K5662">
        <v>1.127723</v>
      </c>
      <c r="L5662">
        <v>136.0309</v>
      </c>
      <c r="M5662">
        <v>-0.60630810000000002</v>
      </c>
      <c r="N5662">
        <v>-1.518162E-2</v>
      </c>
      <c r="O5662">
        <v>-0.79508480000000004</v>
      </c>
      <c r="P5662">
        <v>-0.26674680000000001</v>
      </c>
      <c r="Q5662">
        <v>-0.1082835</v>
      </c>
      <c r="R5662">
        <v>-0.95766439999999997</v>
      </c>
      <c r="S5662">
        <v>-0.41094969999999997</v>
      </c>
      <c r="T5662">
        <v>-0.30315110000000001</v>
      </c>
      <c r="U5662">
        <v>-2.9871219999999998</v>
      </c>
      <c r="V5662">
        <v>-0.36697839999999998</v>
      </c>
      <c r="W5662">
        <v>-0.1003684</v>
      </c>
      <c r="X5662">
        <v>0.92479889999999998</v>
      </c>
      <c r="Y5662">
        <v>-0.49184509999999998</v>
      </c>
      <c r="Z5662">
        <v>4.9203049999999998E-2</v>
      </c>
      <c r="AA5662">
        <v>0.86929140000000005</v>
      </c>
      <c r="AB5662">
        <v>17</v>
      </c>
      <c r="AC5662">
        <v>1.07000000000425E-2</v>
      </c>
      <c r="AD5662">
        <v>-8.6243E-2</v>
      </c>
      <c r="AE5662">
        <v>-0.64740000000000397</v>
      </c>
      <c r="AF5662">
        <v>-0.39408595870533403</v>
      </c>
      <c r="AG5662">
        <v>-8.6243E-2</v>
      </c>
      <c r="AH5662">
        <v>0.49944820168313803</v>
      </c>
      <c r="AI5662">
        <v>97.719915671632094</v>
      </c>
      <c r="AJ5662">
        <v>128.27494782951101</v>
      </c>
      <c r="AK5662">
        <v>0.64202032994463898</v>
      </c>
      <c r="AL5662">
        <v>95.760385069384995</v>
      </c>
      <c r="AM5662">
        <v>111.644151961708</v>
      </c>
      <c r="AN5662">
        <v>0.999999983613164</v>
      </c>
    </row>
    <row r="5663" spans="1:40" x14ac:dyDescent="0.25">
      <c r="A5663" t="str">
        <f>"20190303154922913"</f>
        <v>20190303154922913</v>
      </c>
      <c r="B5663" t="str">
        <f>"1551599362906376"</f>
        <v>1551599362906376</v>
      </c>
      <c r="C5663" t="s">
        <v>40</v>
      </c>
      <c r="D5663">
        <v>5.6032209999999996</v>
      </c>
      <c r="E5663">
        <v>0.44823839999999998</v>
      </c>
      <c r="F5663" t="s">
        <v>42</v>
      </c>
      <c r="G5663">
        <v>-419.50040000000001</v>
      </c>
      <c r="H5663">
        <v>1.0303519999999999</v>
      </c>
      <c r="I5663">
        <v>135.12979999999999</v>
      </c>
      <c r="J5663">
        <v>-419.46449999999999</v>
      </c>
      <c r="K5663">
        <v>1.1276280000000001</v>
      </c>
      <c r="L5663">
        <v>135.8912</v>
      </c>
      <c r="M5663">
        <v>-0.59455190000000002</v>
      </c>
      <c r="N5663">
        <v>-1.515561E-2</v>
      </c>
      <c r="O5663">
        <v>-0.80391440000000003</v>
      </c>
      <c r="P5663">
        <v>-0.26097599999999999</v>
      </c>
      <c r="Q5663">
        <v>-0.1102114</v>
      </c>
      <c r="R5663">
        <v>-0.95903349999999998</v>
      </c>
      <c r="S5663">
        <v>-0.39904790000000001</v>
      </c>
      <c r="T5663">
        <v>-0.32261000000000001</v>
      </c>
      <c r="U5663">
        <v>-2.9849700000000001</v>
      </c>
      <c r="V5663">
        <v>-0.358805599999999</v>
      </c>
      <c r="W5663">
        <v>-0.1020697</v>
      </c>
      <c r="X5663">
        <v>0.92781480000000005</v>
      </c>
      <c r="Y5663">
        <v>-0.48235440000000002</v>
      </c>
      <c r="Z5663">
        <v>5.4967519999999999E-2</v>
      </c>
      <c r="AA5663">
        <v>0.87424990000000002</v>
      </c>
      <c r="AB5663">
        <v>17</v>
      </c>
      <c r="AC5663">
        <v>-3.5900000000026397E-2</v>
      </c>
      <c r="AD5663">
        <v>-9.7276000000000098E-2</v>
      </c>
      <c r="AE5663">
        <v>-0.76140000000000896</v>
      </c>
      <c r="AF5663">
        <v>-0.41708718152428798</v>
      </c>
      <c r="AG5663">
        <v>-9.7276000000000098E-2</v>
      </c>
      <c r="AH5663">
        <v>0.62336530664546597</v>
      </c>
      <c r="AI5663">
        <v>97.389784578993499</v>
      </c>
      <c r="AJ5663">
        <v>123.78606495583399</v>
      </c>
      <c r="AK5663">
        <v>0.75631252977659302</v>
      </c>
      <c r="AL5663">
        <v>95.858365551667802</v>
      </c>
      <c r="AM5663">
        <v>111.142540058599</v>
      </c>
      <c r="AN5663">
        <v>0.999999992674245</v>
      </c>
    </row>
    <row r="5664" spans="1:40" x14ac:dyDescent="0.25">
      <c r="A5664" t="str">
        <f>"20190303154922935"</f>
        <v>20190303154922935</v>
      </c>
      <c r="B5664" t="str">
        <f>"1551599362926872"</f>
        <v>1551599362926872</v>
      </c>
      <c r="C5664" t="s">
        <v>40</v>
      </c>
      <c r="D5664">
        <v>5.5981820000000004</v>
      </c>
      <c r="E5664">
        <v>0.44875959999999998</v>
      </c>
      <c r="F5664" t="s">
        <v>42</v>
      </c>
      <c r="G5664">
        <v>-419.57830000000001</v>
      </c>
      <c r="H5664">
        <v>1.028327</v>
      </c>
      <c r="I5664">
        <v>135.00749999999999</v>
      </c>
      <c r="J5664">
        <v>-419.54539999999997</v>
      </c>
      <c r="K5664">
        <v>1.1275299999999999</v>
      </c>
      <c r="L5664">
        <v>135.75290000000001</v>
      </c>
      <c r="M5664">
        <v>-0.58297030000000005</v>
      </c>
      <c r="N5664">
        <v>-1.5124830000000001E-2</v>
      </c>
      <c r="O5664">
        <v>-0.81235290000000004</v>
      </c>
      <c r="P5664">
        <v>-0.25516939999999999</v>
      </c>
      <c r="Q5664">
        <v>-0.1127904</v>
      </c>
      <c r="R5664">
        <v>-0.96029560000000003</v>
      </c>
      <c r="S5664">
        <v>-0.38388060000000002</v>
      </c>
      <c r="T5664">
        <v>-0.33536959999999999</v>
      </c>
      <c r="U5664">
        <v>-2.9851230000000002</v>
      </c>
      <c r="V5664">
        <v>-0.35092990000000002</v>
      </c>
      <c r="W5664">
        <v>-0.1044283</v>
      </c>
      <c r="X5664">
        <v>0.93056050000000001</v>
      </c>
      <c r="Y5664">
        <v>-0.47418169999999998</v>
      </c>
      <c r="Z5664">
        <v>5.9306850000000001E-2</v>
      </c>
      <c r="AA5664">
        <v>0.87842730000000002</v>
      </c>
      <c r="AB5664">
        <v>17</v>
      </c>
      <c r="AC5664">
        <v>-3.2900000000040501E-2</v>
      </c>
      <c r="AD5664">
        <v>-9.9202999999999902E-2</v>
      </c>
      <c r="AE5664">
        <v>-0.74540000000001705</v>
      </c>
      <c r="AF5664">
        <v>-0.40078134140419103</v>
      </c>
      <c r="AG5664">
        <v>-9.9202999999999902E-2</v>
      </c>
      <c r="AH5664">
        <v>0.61392612877449804</v>
      </c>
      <c r="AI5664">
        <v>97.705770996212806</v>
      </c>
      <c r="AJ5664">
        <v>123.13718058829799</v>
      </c>
      <c r="AK5664">
        <v>0.73984607211148001</v>
      </c>
      <c r="AL5664">
        <v>95.994229760982506</v>
      </c>
      <c r="AM5664">
        <v>110.662296789411</v>
      </c>
      <c r="AN5664">
        <v>0.99999995435757405</v>
      </c>
    </row>
    <row r="5665" spans="1:40" x14ac:dyDescent="0.25">
      <c r="A5665" t="str">
        <f>"20190303154922958"</f>
        <v>20190303154922958</v>
      </c>
      <c r="B5665" t="str">
        <f>"1551599362946393"</f>
        <v>1551599362946393</v>
      </c>
      <c r="C5665" t="s">
        <v>40</v>
      </c>
      <c r="D5665">
        <v>5.5743039999999997</v>
      </c>
      <c r="E5665">
        <v>0.44953749999999998</v>
      </c>
      <c r="F5665" t="s">
        <v>42</v>
      </c>
      <c r="G5665">
        <v>-419.65699999999998</v>
      </c>
      <c r="H5665">
        <v>1.022726</v>
      </c>
      <c r="I5665">
        <v>134.85249999999999</v>
      </c>
      <c r="J5665">
        <v>-419.62740000000002</v>
      </c>
      <c r="K5665">
        <v>1.127386</v>
      </c>
      <c r="L5665">
        <v>135.60839999999999</v>
      </c>
      <c r="M5665">
        <v>-0.57095810000000002</v>
      </c>
      <c r="N5665">
        <v>-1.508638E-2</v>
      </c>
      <c r="O5665">
        <v>-0.82084069999999998</v>
      </c>
      <c r="P5665">
        <v>-0.24984049999999999</v>
      </c>
      <c r="Q5665">
        <v>-0.1173293</v>
      </c>
      <c r="R5665">
        <v>-0.96115240000000002</v>
      </c>
      <c r="S5665">
        <v>-0.36981199999999997</v>
      </c>
      <c r="T5665">
        <v>-0.34744419999999998</v>
      </c>
      <c r="U5665">
        <v>-2.9849549999999998</v>
      </c>
      <c r="V5665">
        <v>-0.34204909999999999</v>
      </c>
      <c r="W5665">
        <v>-0.1087211</v>
      </c>
      <c r="X5665">
        <v>0.93337139999999996</v>
      </c>
      <c r="Y5665">
        <v>-0.46531129999999998</v>
      </c>
      <c r="Z5665">
        <v>6.3656870000000004E-2</v>
      </c>
      <c r="AA5665">
        <v>0.882855099999999</v>
      </c>
      <c r="AB5665">
        <v>17</v>
      </c>
      <c r="AC5665">
        <v>-2.9599999999959398E-2</v>
      </c>
      <c r="AD5665">
        <v>-0.104659999999999</v>
      </c>
      <c r="AE5665">
        <v>-0.75589999999999602</v>
      </c>
      <c r="AF5665">
        <v>-0.39968621687866501</v>
      </c>
      <c r="AG5665">
        <v>-0.104659999999999</v>
      </c>
      <c r="AH5665">
        <v>0.62547405097125097</v>
      </c>
      <c r="AI5665">
        <v>98.025776583562802</v>
      </c>
      <c r="AJ5665">
        <v>122.57911753655399</v>
      </c>
      <c r="AK5665">
        <v>0.74961361780664504</v>
      </c>
      <c r="AL5665">
        <v>96.2415977348588</v>
      </c>
      <c r="AM5665">
        <v>110.126179701767</v>
      </c>
      <c r="AN5665">
        <v>1.0000000173669801</v>
      </c>
    </row>
    <row r="5666" spans="1:40" x14ac:dyDescent="0.25">
      <c r="A5666" t="str">
        <f>"20190303154922980"</f>
        <v>20190303154922980</v>
      </c>
      <c r="B5666" t="str">
        <f>"1551599362976649"</f>
        <v>1551599362976649</v>
      </c>
      <c r="C5666" t="s">
        <v>40</v>
      </c>
      <c r="D5666">
        <v>5.6303619999999999</v>
      </c>
      <c r="E5666">
        <v>0.45039980000000002</v>
      </c>
      <c r="F5666" t="s">
        <v>42</v>
      </c>
      <c r="G5666">
        <v>-419.74079999999998</v>
      </c>
      <c r="H5666">
        <v>1.0131939999999999</v>
      </c>
      <c r="I5666">
        <v>134.66800000000001</v>
      </c>
      <c r="J5666">
        <v>-419.70699999999999</v>
      </c>
      <c r="K5666">
        <v>1.1272219999999999</v>
      </c>
      <c r="L5666">
        <v>135.46379999999999</v>
      </c>
      <c r="M5666">
        <v>-0.55907489999999904</v>
      </c>
      <c r="N5666">
        <v>-1.5040110000000001E-2</v>
      </c>
      <c r="O5666">
        <v>-0.82898079999999996</v>
      </c>
      <c r="P5666">
        <v>-0.2441393</v>
      </c>
      <c r="Q5666">
        <v>-0.12098449999999999</v>
      </c>
      <c r="R5666">
        <v>-0.96216369999999896</v>
      </c>
      <c r="S5666">
        <v>-0.35913089999999998</v>
      </c>
      <c r="T5666">
        <v>-0.36225210000000002</v>
      </c>
      <c r="U5666">
        <v>-2.983673</v>
      </c>
      <c r="V5666">
        <v>-0.33386529999999998</v>
      </c>
      <c r="W5666">
        <v>-0.1121381</v>
      </c>
      <c r="X5666">
        <v>0.93592679999999995</v>
      </c>
      <c r="Y5666">
        <v>-0.45564060000000001</v>
      </c>
      <c r="Z5666">
        <v>6.8744700000000006E-2</v>
      </c>
      <c r="AA5666">
        <v>0.8875054</v>
      </c>
      <c r="AB5666">
        <v>17</v>
      </c>
      <c r="AC5666">
        <v>-3.3799999999985099E-2</v>
      </c>
      <c r="AD5666">
        <v>-0.11402799999999901</v>
      </c>
      <c r="AE5666">
        <v>-0.79579999999998496</v>
      </c>
      <c r="AF5666">
        <v>-0.408566126306872</v>
      </c>
      <c r="AG5666">
        <v>-0.11402799999999901</v>
      </c>
      <c r="AH5666">
        <v>0.66504673167741202</v>
      </c>
      <c r="AI5666">
        <v>98.311662659688906</v>
      </c>
      <c r="AJ5666">
        <v>121.564152384422</v>
      </c>
      <c r="AK5666">
        <v>0.78880657937431697</v>
      </c>
      <c r="AL5666">
        <v>96.438582496640606</v>
      </c>
      <c r="AM5666">
        <v>109.63241498887299</v>
      </c>
      <c r="AN5666">
        <v>0.99999998348696895</v>
      </c>
    </row>
    <row r="5667" spans="1:40" x14ac:dyDescent="0.25">
      <c r="A5667" t="str">
        <f>"20190303154923003"</f>
        <v>20190303154923003</v>
      </c>
      <c r="B5667" t="str">
        <f>"1551599362996168"</f>
        <v>1551599362996168</v>
      </c>
      <c r="C5667" t="s">
        <v>40</v>
      </c>
      <c r="D5667">
        <v>5.6410090000000004</v>
      </c>
      <c r="E5667">
        <v>0.4507138</v>
      </c>
      <c r="F5667" t="s">
        <v>59</v>
      </c>
      <c r="G5667">
        <v>-420.74430000000001</v>
      </c>
      <c r="H5667" s="1">
        <v>-4.3494500000000003E-6</v>
      </c>
      <c r="I5667">
        <v>126.5729</v>
      </c>
      <c r="J5667">
        <v>-419.78530000000001</v>
      </c>
      <c r="K5667">
        <v>1.127041</v>
      </c>
      <c r="L5667">
        <v>135.3168</v>
      </c>
      <c r="M5667">
        <v>-0.54719949999999995</v>
      </c>
      <c r="N5667">
        <v>-1.498259E-2</v>
      </c>
      <c r="O5667">
        <v>-0.8368681</v>
      </c>
      <c r="P5667">
        <v>-0.23845060000000001</v>
      </c>
      <c r="Q5667">
        <v>-0.1226232</v>
      </c>
      <c r="R5667">
        <v>-0.96338210000000002</v>
      </c>
      <c r="S5667">
        <v>-0.3479004</v>
      </c>
      <c r="T5667">
        <v>-0.37808639999999999</v>
      </c>
      <c r="U5667">
        <v>-2.982132</v>
      </c>
      <c r="V5667">
        <v>-0.32596079999999999</v>
      </c>
      <c r="W5667">
        <v>-0.113537</v>
      </c>
      <c r="X5667">
        <v>0.93854090000000001</v>
      </c>
      <c r="Y5667">
        <v>-0.44620890000000002</v>
      </c>
      <c r="Z5667">
        <v>7.4168910000000005E-2</v>
      </c>
      <c r="AA5667">
        <v>0.89185009999999998</v>
      </c>
      <c r="AB5667">
        <v>17</v>
      </c>
      <c r="AC5667">
        <v>-0.95900000000000296</v>
      </c>
      <c r="AD5667">
        <v>-1.1270453494499999</v>
      </c>
      <c r="AE5667">
        <v>-8.7438999999999893</v>
      </c>
      <c r="AF5667">
        <v>-3.91822486834196</v>
      </c>
      <c r="AG5667">
        <v>-1.1270453494499999</v>
      </c>
      <c r="AH5667">
        <v>7.7164587729567904</v>
      </c>
      <c r="AI5667">
        <v>97.4198774403865</v>
      </c>
      <c r="AJ5667">
        <v>116.920321555662</v>
      </c>
      <c r="AK5667">
        <v>8.7273394189381701</v>
      </c>
      <c r="AL5667">
        <v>96.519248267011506</v>
      </c>
      <c r="AM5667">
        <v>109.152416332705</v>
      </c>
      <c r="AN5667">
        <v>1.00000005723922</v>
      </c>
    </row>
    <row r="5668" spans="1:40" x14ac:dyDescent="0.25">
      <c r="A5668" t="str">
        <f>"20190303154923025"</f>
        <v>20190303154923025</v>
      </c>
      <c r="B5668" t="str">
        <f>"1551599363016665"</f>
        <v>1551599363016665</v>
      </c>
      <c r="C5668" t="s">
        <v>40</v>
      </c>
      <c r="D5668">
        <v>5.661098</v>
      </c>
      <c r="E5668">
        <v>0.46362170000000003</v>
      </c>
      <c r="F5668" t="s">
        <v>42</v>
      </c>
      <c r="G5668">
        <v>-419.8963</v>
      </c>
      <c r="H5668">
        <v>0.99852790000000002</v>
      </c>
      <c r="I5668">
        <v>134.32089999999999</v>
      </c>
      <c r="J5668">
        <v>-419.85890000000001</v>
      </c>
      <c r="K5668">
        <v>1.1268590000000001</v>
      </c>
      <c r="L5668">
        <v>135.17449999999999</v>
      </c>
      <c r="M5668">
        <v>-0.53587589999999996</v>
      </c>
      <c r="N5668">
        <v>-1.4920269999999999E-2</v>
      </c>
      <c r="O5668">
        <v>-0.8441651</v>
      </c>
      <c r="P5668">
        <v>-0.23322209999999999</v>
      </c>
      <c r="Q5668">
        <v>-0.1224623</v>
      </c>
      <c r="R5668">
        <v>-0.96468169999999998</v>
      </c>
      <c r="S5668">
        <v>-0.33236690000000002</v>
      </c>
      <c r="T5668">
        <v>-0.38485320000000001</v>
      </c>
      <c r="U5668">
        <v>-2.9827880000000002</v>
      </c>
      <c r="V5668">
        <v>-0.3184707</v>
      </c>
      <c r="W5668">
        <v>-0.1131487</v>
      </c>
      <c r="X5668">
        <v>0.94115559999999998</v>
      </c>
      <c r="Y5668">
        <v>-0.43878450000000002</v>
      </c>
      <c r="Z5668">
        <v>7.7356090000000002E-2</v>
      </c>
      <c r="AA5668">
        <v>0.89525650000000001</v>
      </c>
      <c r="AB5668">
        <v>17</v>
      </c>
      <c r="AC5668">
        <v>-3.7399999999991003E-2</v>
      </c>
      <c r="AD5668">
        <v>-0.1283311</v>
      </c>
      <c r="AE5668">
        <v>-0.85360000000000003</v>
      </c>
      <c r="AF5668">
        <v>-0.41650328906106798</v>
      </c>
      <c r="AG5668">
        <v>-0.1283311</v>
      </c>
      <c r="AH5668">
        <v>0.72436244576263498</v>
      </c>
      <c r="AI5668">
        <v>98.731557999289194</v>
      </c>
      <c r="AJ5668">
        <v>119.898597645629</v>
      </c>
      <c r="AK5668">
        <v>0.845366674205414</v>
      </c>
      <c r="AL5668">
        <v>96.496856137337502</v>
      </c>
      <c r="AM5668">
        <v>108.694925883191</v>
      </c>
      <c r="AN5668">
        <v>1.00000003924076</v>
      </c>
    </row>
    <row r="5669" spans="1:40" x14ac:dyDescent="0.25">
      <c r="A5669" t="str">
        <f>"20190303154923048"</f>
        <v>20190303154923048</v>
      </c>
      <c r="B5669" t="str">
        <f>"1551599363036185"</f>
        <v>1551599363036185</v>
      </c>
      <c r="C5669" t="s">
        <v>40</v>
      </c>
      <c r="D5669">
        <v>5.6440919999999997</v>
      </c>
      <c r="E5669">
        <v>0.46387539999999999</v>
      </c>
      <c r="F5669" t="s">
        <v>59</v>
      </c>
      <c r="G5669">
        <v>-420.94510000000002</v>
      </c>
      <c r="H5669" s="1">
        <v>-4.8271470000000002E-6</v>
      </c>
      <c r="I5669">
        <v>127.423</v>
      </c>
      <c r="J5669">
        <v>-419.93490000000003</v>
      </c>
      <c r="K5669">
        <v>1.1266830000000001</v>
      </c>
      <c r="L5669">
        <v>135.0231</v>
      </c>
      <c r="M5669">
        <v>-0.52399989999999996</v>
      </c>
      <c r="N5669">
        <v>-1.4852260000000001E-2</v>
      </c>
      <c r="O5669">
        <v>-0.85158869999999898</v>
      </c>
      <c r="P5669">
        <v>-0.2270066</v>
      </c>
      <c r="Q5669">
        <v>-0.1231551</v>
      </c>
      <c r="R5669">
        <v>-0.96607500000000002</v>
      </c>
      <c r="S5669">
        <v>-0.41409299999999999</v>
      </c>
      <c r="T5669">
        <v>-0.42960599999999999</v>
      </c>
      <c r="U5669">
        <v>-2.9552</v>
      </c>
      <c r="V5669">
        <v>-0.31134149999999999</v>
      </c>
      <c r="W5669">
        <v>-0.1136389</v>
      </c>
      <c r="X5669">
        <v>0.94347910000000001</v>
      </c>
      <c r="Y5669">
        <v>-0.4007308</v>
      </c>
      <c r="Z5669">
        <v>9.1697920000000002E-2</v>
      </c>
      <c r="AA5669">
        <v>0.9115955</v>
      </c>
      <c r="AB5669">
        <v>17</v>
      </c>
      <c r="AC5669">
        <v>-1.01019999999999</v>
      </c>
      <c r="AD5669">
        <v>-1.126687827147</v>
      </c>
      <c r="AE5669">
        <v>-7.6001000000000101</v>
      </c>
      <c r="AF5669">
        <v>-3.0565145958838502</v>
      </c>
      <c r="AG5669">
        <v>-1.126687827147</v>
      </c>
      <c r="AH5669">
        <v>6.8542561539918099</v>
      </c>
      <c r="AI5669">
        <v>98.5379107167104</v>
      </c>
      <c r="AJ5669">
        <v>114.03349922241399</v>
      </c>
      <c r="AK5669">
        <v>7.5889745261943498</v>
      </c>
      <c r="AL5669">
        <v>96.525124651401995</v>
      </c>
      <c r="AM5669">
        <v>108.262528332415</v>
      </c>
      <c r="AN5669">
        <v>1.0000000706761301</v>
      </c>
    </row>
    <row r="5670" spans="1:40" x14ac:dyDescent="0.25">
      <c r="A5670" t="str">
        <f>"20190303154923071"</f>
        <v>20190303154923071</v>
      </c>
      <c r="B5670" t="str">
        <f>"1551599363066442"</f>
        <v>1551599363066442</v>
      </c>
      <c r="C5670" t="s">
        <v>40</v>
      </c>
      <c r="D5670">
        <v>5.7103799999999998</v>
      </c>
      <c r="E5670">
        <v>0.46423229999999999</v>
      </c>
      <c r="F5670" t="s">
        <v>59</v>
      </c>
      <c r="G5670">
        <v>-420.9846</v>
      </c>
      <c r="H5670" s="1">
        <v>-4.7260290000000003E-6</v>
      </c>
      <c r="I5670">
        <v>127.2073</v>
      </c>
      <c r="J5670">
        <v>-420.00729999999999</v>
      </c>
      <c r="K5670">
        <v>1.126533</v>
      </c>
      <c r="L5670">
        <v>134.87469999999999</v>
      </c>
      <c r="M5670">
        <v>-0.51253459999999995</v>
      </c>
      <c r="N5670">
        <v>-1.478694E-2</v>
      </c>
      <c r="O5670">
        <v>-0.8585391</v>
      </c>
      <c r="P5670">
        <v>-0.2208164</v>
      </c>
      <c r="Q5670">
        <v>-0.1243808</v>
      </c>
      <c r="R5670">
        <v>-0.96735179999999998</v>
      </c>
      <c r="S5670">
        <v>-0.39721679999999998</v>
      </c>
      <c r="T5670">
        <v>-0.42636370000000001</v>
      </c>
      <c r="U5670">
        <v>-2.9576570000000002</v>
      </c>
      <c r="V5670">
        <v>-0.3046778</v>
      </c>
      <c r="W5670">
        <v>-0.11469310000000001</v>
      </c>
      <c r="X5670">
        <v>0.9455247</v>
      </c>
      <c r="Y5670">
        <v>-0.39368439999999999</v>
      </c>
      <c r="Z5670">
        <v>9.2541540000000005E-2</v>
      </c>
      <c r="AA5670">
        <v>0.91457569999999999</v>
      </c>
      <c r="AB5670">
        <v>17</v>
      </c>
      <c r="AC5670">
        <v>-0.97730000000001305</v>
      </c>
      <c r="AD5670">
        <v>-1.1265377260289999</v>
      </c>
      <c r="AE5670">
        <v>-7.6673999999999802</v>
      </c>
      <c r="AF5670">
        <v>-3.0268004546726899</v>
      </c>
      <c r="AG5670">
        <v>-1.1265377260289999</v>
      </c>
      <c r="AH5670">
        <v>6.9370804591001001</v>
      </c>
      <c r="AI5670">
        <v>98.465890621070102</v>
      </c>
      <c r="AJ5670">
        <v>113.572699636162</v>
      </c>
      <c r="AK5670">
        <v>7.6520385216360403</v>
      </c>
      <c r="AL5670">
        <v>96.585923759085404</v>
      </c>
      <c r="AM5670">
        <v>107.86057332027001</v>
      </c>
      <c r="AN5670">
        <v>1.00000001365526</v>
      </c>
    </row>
    <row r="5671" spans="1:40" x14ac:dyDescent="0.25">
      <c r="A5671" t="str">
        <f>"20190303154923092"</f>
        <v>20190303154923092</v>
      </c>
      <c r="B5671" t="str">
        <f>"1551599363086937"</f>
        <v>1551599363086937</v>
      </c>
      <c r="C5671" t="s">
        <v>40</v>
      </c>
      <c r="D5671">
        <v>5.710782</v>
      </c>
      <c r="E5671">
        <v>0.4645475</v>
      </c>
      <c r="F5671" t="s">
        <v>59</v>
      </c>
      <c r="G5671">
        <v>-421.017</v>
      </c>
      <c r="H5671" s="1">
        <v>-4.6454469999999998E-6</v>
      </c>
      <c r="I5671">
        <v>127.0351</v>
      </c>
      <c r="J5671">
        <v>-420.07560000000001</v>
      </c>
      <c r="K5671">
        <v>1.1263970000000001</v>
      </c>
      <c r="L5671">
        <v>134.73070000000001</v>
      </c>
      <c r="M5671">
        <v>-0.50159979999999904</v>
      </c>
      <c r="N5671">
        <v>-1.4724559999999999E-2</v>
      </c>
      <c r="O5671">
        <v>-0.86497469999999999</v>
      </c>
      <c r="P5671">
        <v>-0.2151054</v>
      </c>
      <c r="Q5671">
        <v>-0.12610830000000001</v>
      </c>
      <c r="R5671">
        <v>-0.96841440000000001</v>
      </c>
      <c r="S5671">
        <v>-0.38116460000000002</v>
      </c>
      <c r="T5671">
        <v>-0.42527900000000002</v>
      </c>
      <c r="U5671">
        <v>-2.959549</v>
      </c>
      <c r="V5671">
        <v>-0.29816279999999901</v>
      </c>
      <c r="W5671">
        <v>-0.11626690000000001</v>
      </c>
      <c r="X5671">
        <v>0.94740749999999996</v>
      </c>
      <c r="Y5671">
        <v>-0.38700230000000002</v>
      </c>
      <c r="Z5671">
        <v>9.3796989999999997E-2</v>
      </c>
      <c r="AA5671">
        <v>0.91729570000000005</v>
      </c>
      <c r="AB5671">
        <v>17</v>
      </c>
      <c r="AC5671">
        <v>-0.94139999999998702</v>
      </c>
      <c r="AD5671">
        <v>-1.1264016454469901</v>
      </c>
      <c r="AE5671">
        <v>-7.6956000000000104</v>
      </c>
      <c r="AF5671">
        <v>-2.98318428424313</v>
      </c>
      <c r="AG5671">
        <v>-1.1264016454469901</v>
      </c>
      <c r="AH5671">
        <v>6.9820974922893999</v>
      </c>
      <c r="AI5671">
        <v>98.438468610623403</v>
      </c>
      <c r="AJ5671">
        <v>113.13517297121901</v>
      </c>
      <c r="AK5671">
        <v>7.6757966708645204</v>
      </c>
      <c r="AL5671">
        <v>96.676703227450204</v>
      </c>
      <c r="AM5671">
        <v>107.469540488953</v>
      </c>
      <c r="AN5671">
        <v>1.00000000919784</v>
      </c>
    </row>
    <row r="5672" spans="1:40" x14ac:dyDescent="0.25">
      <c r="A5672" t="str">
        <f>"20190303154923114"</f>
        <v>20190303154923114</v>
      </c>
      <c r="B5672" t="str">
        <f>"1551599363106457"</f>
        <v>1551599363106457</v>
      </c>
      <c r="C5672" t="s">
        <v>40</v>
      </c>
      <c r="D5672">
        <v>5.7026629999999896</v>
      </c>
      <c r="E5672">
        <v>0.46498309999999998</v>
      </c>
      <c r="F5672" t="s">
        <v>59</v>
      </c>
      <c r="G5672">
        <v>-421.04390000000001</v>
      </c>
      <c r="H5672" s="1">
        <v>-4.5913749999999997E-6</v>
      </c>
      <c r="I5672">
        <v>126.9173</v>
      </c>
      <c r="J5672">
        <v>-420.14240000000001</v>
      </c>
      <c r="K5672">
        <v>1.1262559999999999</v>
      </c>
      <c r="L5672">
        <v>134.5857</v>
      </c>
      <c r="M5672">
        <v>-0.49079329999999999</v>
      </c>
      <c r="N5672">
        <v>-1.466055E-2</v>
      </c>
      <c r="O5672">
        <v>-0.87115279999999995</v>
      </c>
      <c r="P5672">
        <v>-0.20914550000000001</v>
      </c>
      <c r="Q5672">
        <v>-0.12713830000000001</v>
      </c>
      <c r="R5672">
        <v>-0.96958440000000001</v>
      </c>
      <c r="S5672">
        <v>-0.36691279999999998</v>
      </c>
      <c r="T5672">
        <v>-0.42682959999999898</v>
      </c>
      <c r="U5672">
        <v>-2.9607700000000001</v>
      </c>
      <c r="V5672">
        <v>-0.292157</v>
      </c>
      <c r="W5672">
        <v>-0.11715689999999999</v>
      </c>
      <c r="X5672">
        <v>0.94916730000000005</v>
      </c>
      <c r="Y5672">
        <v>-0.37994860000000003</v>
      </c>
      <c r="Z5672">
        <v>9.5692250000000006E-2</v>
      </c>
      <c r="AA5672">
        <v>0.92004459999999999</v>
      </c>
      <c r="AB5672">
        <v>17</v>
      </c>
      <c r="AC5672">
        <v>-0.90149999999999797</v>
      </c>
      <c r="AD5672">
        <v>-1.1262605913749999</v>
      </c>
      <c r="AE5672">
        <v>-7.6684000000000001</v>
      </c>
      <c r="AF5672">
        <v>-2.9165205591198999</v>
      </c>
      <c r="AG5672">
        <v>-1.1262605913749999</v>
      </c>
      <c r="AH5672">
        <v>6.9751539106607998</v>
      </c>
      <c r="AI5672">
        <v>98.4730076989769</v>
      </c>
      <c r="AJ5672">
        <v>112.691264040375</v>
      </c>
      <c r="AK5672">
        <v>7.6437770224451302</v>
      </c>
      <c r="AL5672">
        <v>96.728047378579703</v>
      </c>
      <c r="AM5672">
        <v>107.10854770587</v>
      </c>
      <c r="AN5672">
        <v>1.00000000762795</v>
      </c>
    </row>
    <row r="5673" spans="1:40" x14ac:dyDescent="0.25">
      <c r="A5673" t="str">
        <f>"20190303154923136"</f>
        <v>20190303154923136</v>
      </c>
      <c r="B5673" t="str">
        <f>"1551599363126953"</f>
        <v>1551599363126953</v>
      </c>
      <c r="C5673" t="s">
        <v>40</v>
      </c>
      <c r="D5673">
        <v>5.7489710000000001</v>
      </c>
      <c r="E5673">
        <v>0.4651071</v>
      </c>
      <c r="F5673" t="s">
        <v>59</v>
      </c>
      <c r="G5673">
        <v>-421.06630000000001</v>
      </c>
      <c r="H5673" s="1">
        <v>-4.5387500000000004E-6</v>
      </c>
      <c r="I5673">
        <v>126.80419999999999</v>
      </c>
      <c r="J5673">
        <v>-420.20890000000003</v>
      </c>
      <c r="K5673">
        <v>1.1261049999999999</v>
      </c>
      <c r="L5673">
        <v>134.43719999999999</v>
      </c>
      <c r="M5673">
        <v>-0.47994589999999998</v>
      </c>
      <c r="N5673">
        <v>-1.459273E-2</v>
      </c>
      <c r="O5673">
        <v>-0.87717690000000004</v>
      </c>
      <c r="P5673">
        <v>-0.20390059999999999</v>
      </c>
      <c r="Q5673">
        <v>-0.12820000000000001</v>
      </c>
      <c r="R5673">
        <v>-0.97056140000000002</v>
      </c>
      <c r="S5673">
        <v>-0.35168460000000001</v>
      </c>
      <c r="T5673">
        <v>-0.42870960000000002</v>
      </c>
      <c r="U5673">
        <v>-2.9620060000000001</v>
      </c>
      <c r="V5673">
        <v>-0.28547430000000001</v>
      </c>
      <c r="W5673">
        <v>-0.11806750000000001</v>
      </c>
      <c r="X5673">
        <v>0.95108590000000004</v>
      </c>
      <c r="Y5673">
        <v>-0.37320940000000002</v>
      </c>
      <c r="Z5673">
        <v>9.7641439999999996E-2</v>
      </c>
      <c r="AA5673">
        <v>0.92259469999999999</v>
      </c>
      <c r="AB5673">
        <v>17</v>
      </c>
      <c r="AC5673">
        <v>-0.85739999999998395</v>
      </c>
      <c r="AD5673">
        <v>-1.12610953875</v>
      </c>
      <c r="AE5673">
        <v>-7.6329999999999902</v>
      </c>
      <c r="AF5673">
        <v>-2.8503779748220301</v>
      </c>
      <c r="AG5673">
        <v>-1.12610953875</v>
      </c>
      <c r="AH5673">
        <v>6.9581904414668099</v>
      </c>
      <c r="AI5673">
        <v>98.517370824473602</v>
      </c>
      <c r="AJ5673">
        <v>112.27614394800101</v>
      </c>
      <c r="AK5673">
        <v>7.6032355949513004</v>
      </c>
      <c r="AL5673">
        <v>96.780585946439501</v>
      </c>
      <c r="AM5673">
        <v>106.707452887095</v>
      </c>
      <c r="AN5673">
        <v>0.99999994984777296</v>
      </c>
    </row>
    <row r="5674" spans="1:40" x14ac:dyDescent="0.25">
      <c r="A5674" t="str">
        <f>"20190303154923160"</f>
        <v>20190303154923160</v>
      </c>
      <c r="B5674" t="str">
        <f>"1551599363156233"</f>
        <v>1551599363156233</v>
      </c>
      <c r="C5674" t="s">
        <v>40</v>
      </c>
      <c r="D5674">
        <v>5.7302549999999997</v>
      </c>
      <c r="E5674">
        <v>0.46559299999999998</v>
      </c>
      <c r="F5674" t="s">
        <v>59</v>
      </c>
      <c r="G5674">
        <v>-421.09050000000002</v>
      </c>
      <c r="H5674" s="1">
        <v>-4.4902900000000002E-6</v>
      </c>
      <c r="I5674">
        <v>126.6986</v>
      </c>
      <c r="J5674">
        <v>-420.27659999999997</v>
      </c>
      <c r="K5674">
        <v>1.1259399999999999</v>
      </c>
      <c r="L5674">
        <v>134.2817</v>
      </c>
      <c r="M5674">
        <v>-0.46880749999999999</v>
      </c>
      <c r="N5674">
        <v>-1.4523879999999999E-2</v>
      </c>
      <c r="O5674">
        <v>-0.88318109999999905</v>
      </c>
      <c r="P5674">
        <v>-0.19794680000000001</v>
      </c>
      <c r="Q5674">
        <v>-0.12950510000000001</v>
      </c>
      <c r="R5674">
        <v>-0.97162029999999999</v>
      </c>
      <c r="S5674">
        <v>-0.33755489999999999</v>
      </c>
      <c r="T5674">
        <v>-0.43118849999999997</v>
      </c>
      <c r="U5674">
        <v>-2.96312</v>
      </c>
      <c r="V5674">
        <v>-0.27922170000000002</v>
      </c>
      <c r="W5674">
        <v>-0.11922489999999999</v>
      </c>
      <c r="X5674">
        <v>0.95279630000000004</v>
      </c>
      <c r="Y5674">
        <v>-0.36588110000000001</v>
      </c>
      <c r="Z5674">
        <v>9.9773130000000002E-2</v>
      </c>
      <c r="AA5674">
        <v>0.92529799999999995</v>
      </c>
      <c r="AB5674">
        <v>17</v>
      </c>
      <c r="AC5674">
        <v>-0.81390000000004603</v>
      </c>
      <c r="AD5674">
        <v>-1.12594449029</v>
      </c>
      <c r="AE5674">
        <v>-7.5831</v>
      </c>
      <c r="AF5674">
        <v>-2.7759879336231701</v>
      </c>
      <c r="AG5674">
        <v>-1.12594449029</v>
      </c>
      <c r="AH5674">
        <v>6.9285479339147802</v>
      </c>
      <c r="AI5674">
        <v>98.578421217339198</v>
      </c>
      <c r="AJ5674">
        <v>111.83397230427499</v>
      </c>
      <c r="AK5674">
        <v>7.5484194686961201</v>
      </c>
      <c r="AL5674">
        <v>96.847371053704194</v>
      </c>
      <c r="AM5674">
        <v>106.333485492291</v>
      </c>
      <c r="AN5674">
        <v>1.00000006191229</v>
      </c>
    </row>
    <row r="5675" spans="1:40" x14ac:dyDescent="0.25">
      <c r="A5675" t="str">
        <f>"20190303154923182"</f>
        <v>20190303154923182</v>
      </c>
      <c r="B5675" t="str">
        <f>"1551599363176729"</f>
        <v>1551599363176729</v>
      </c>
      <c r="C5675" t="s">
        <v>40</v>
      </c>
      <c r="D5675">
        <v>5.7682390000000003</v>
      </c>
      <c r="E5675">
        <v>0.46599770000000001</v>
      </c>
      <c r="F5675" t="s">
        <v>59</v>
      </c>
      <c r="G5675">
        <v>-421.11579999999998</v>
      </c>
      <c r="H5675" s="1">
        <v>-4.4346260000000002E-6</v>
      </c>
      <c r="I5675">
        <v>126.5783</v>
      </c>
      <c r="J5675">
        <v>-420.33909999999997</v>
      </c>
      <c r="K5675">
        <v>1.1257820000000001</v>
      </c>
      <c r="L5675">
        <v>134.13380000000001</v>
      </c>
      <c r="M5675">
        <v>-0.45842739999999998</v>
      </c>
      <c r="N5675">
        <v>-1.446599E-2</v>
      </c>
      <c r="O5675">
        <v>-0.88861440000000003</v>
      </c>
      <c r="P5675">
        <v>-0.1937683</v>
      </c>
      <c r="Q5675">
        <v>-0.131275</v>
      </c>
      <c r="R5675">
        <v>-0.9722248</v>
      </c>
      <c r="S5675">
        <v>-0.32290649999999999</v>
      </c>
      <c r="T5675">
        <v>-0.43324020000000002</v>
      </c>
      <c r="U5675">
        <v>-2.9641109999999999</v>
      </c>
      <c r="V5675">
        <v>-0.27207229999999999</v>
      </c>
      <c r="W5675">
        <v>-0.1208322</v>
      </c>
      <c r="X5675">
        <v>0.95466030000000002</v>
      </c>
      <c r="Y5675">
        <v>-0.35955579999999998</v>
      </c>
      <c r="Z5675">
        <v>0.10165109999999999</v>
      </c>
      <c r="AA5675">
        <v>0.92757029999999996</v>
      </c>
      <c r="AB5675">
        <v>17</v>
      </c>
      <c r="AC5675">
        <v>-0.77670000000000505</v>
      </c>
      <c r="AD5675">
        <v>-1.125786434626</v>
      </c>
      <c r="AE5675">
        <v>-7.5555000000000003</v>
      </c>
      <c r="AF5675">
        <v>-2.7141230364917801</v>
      </c>
      <c r="AG5675">
        <v>-1.125786434626</v>
      </c>
      <c r="AH5675">
        <v>6.9187238558614697</v>
      </c>
      <c r="AI5675">
        <v>98.613537409168003</v>
      </c>
      <c r="AJ5675">
        <v>111.419414516689</v>
      </c>
      <c r="AK5675">
        <v>7.5168210532957298</v>
      </c>
      <c r="AL5675">
        <v>96.940133467806405</v>
      </c>
      <c r="AM5675">
        <v>105.90722523607199</v>
      </c>
      <c r="AN5675">
        <v>1.0000000226901</v>
      </c>
    </row>
    <row r="5676" spans="1:40" x14ac:dyDescent="0.25">
      <c r="A5676" t="str">
        <f>"20190303154923204"</f>
        <v>20190303154923204</v>
      </c>
      <c r="B5676" t="str">
        <f>"1551599363196249"</f>
        <v>1551599363196249</v>
      </c>
      <c r="C5676" t="s">
        <v>40</v>
      </c>
      <c r="D5676">
        <v>5.7851839999999903</v>
      </c>
      <c r="E5676">
        <v>0.46622010000000003</v>
      </c>
      <c r="F5676" t="s">
        <v>59</v>
      </c>
      <c r="G5676">
        <v>-421.14550000000003</v>
      </c>
      <c r="H5676" s="1">
        <v>-4.4014659999999996E-6</v>
      </c>
      <c r="I5676">
        <v>126.5003</v>
      </c>
      <c r="J5676">
        <v>-420.4006</v>
      </c>
      <c r="K5676">
        <v>1.125642</v>
      </c>
      <c r="L5676">
        <v>133.98429999999999</v>
      </c>
      <c r="M5676">
        <v>-0.44813760000000002</v>
      </c>
      <c r="N5676">
        <v>-1.441919E-2</v>
      </c>
      <c r="O5676">
        <v>-0.89384819999999998</v>
      </c>
      <c r="P5676">
        <v>-0.1902133</v>
      </c>
      <c r="Q5676">
        <v>-0.13356289999999901</v>
      </c>
      <c r="R5676">
        <v>-0.97261500000000001</v>
      </c>
      <c r="S5676">
        <v>-0.3131409</v>
      </c>
      <c r="T5676">
        <v>-0.43716959999999999</v>
      </c>
      <c r="U5676">
        <v>-2.964264</v>
      </c>
      <c r="V5676">
        <v>-0.26442009999999899</v>
      </c>
      <c r="W5676">
        <v>-0.1229526</v>
      </c>
      <c r="X5676">
        <v>0.95653779999999999</v>
      </c>
      <c r="Y5676">
        <v>-0.3518386</v>
      </c>
      <c r="Z5676">
        <v>0.1040527</v>
      </c>
      <c r="AA5676">
        <v>0.93025950000000002</v>
      </c>
      <c r="AB5676">
        <v>17</v>
      </c>
      <c r="AC5676">
        <v>-0.74490000000002898</v>
      </c>
      <c r="AD5676">
        <v>-1.1256464014659999</v>
      </c>
      <c r="AE5676">
        <v>-7.4839999999999902</v>
      </c>
      <c r="AF5676">
        <v>-2.6294141434551301</v>
      </c>
      <c r="AG5676">
        <v>-1.1256464014659999</v>
      </c>
      <c r="AH5676">
        <v>6.8702131682172496</v>
      </c>
      <c r="AI5676">
        <v>98.6999234437844</v>
      </c>
      <c r="AJ5676">
        <v>110.94318376116701</v>
      </c>
      <c r="AK5676">
        <v>7.4418228637667099</v>
      </c>
      <c r="AL5676">
        <v>97.062536715261302</v>
      </c>
      <c r="AM5676">
        <v>105.452638185301</v>
      </c>
      <c r="AN5676">
        <v>0.99999994697980299</v>
      </c>
    </row>
    <row r="5677" spans="1:40" x14ac:dyDescent="0.25">
      <c r="A5677" t="str">
        <f>"20190303154923226"</f>
        <v>20190303154923226</v>
      </c>
      <c r="B5677" t="str">
        <f>"1551599363216745"</f>
        <v>1551599363216745</v>
      </c>
      <c r="C5677" t="s">
        <v>40</v>
      </c>
      <c r="D5677">
        <v>5.8095280000000002</v>
      </c>
      <c r="E5677">
        <v>0.46661380000000002</v>
      </c>
      <c r="F5677" t="s">
        <v>59</v>
      </c>
      <c r="G5677">
        <v>-421.17399999999998</v>
      </c>
      <c r="H5677" s="1">
        <v>-4.3824310000000004E-6</v>
      </c>
      <c r="I5677">
        <v>126.45059999999999</v>
      </c>
      <c r="J5677">
        <v>-420.45960000000002</v>
      </c>
      <c r="K5677">
        <v>1.125534</v>
      </c>
      <c r="L5677">
        <v>133.83670000000001</v>
      </c>
      <c r="M5677">
        <v>-0.43812050000000002</v>
      </c>
      <c r="N5677">
        <v>-1.438531E-2</v>
      </c>
      <c r="O5677">
        <v>-0.89880110000000002</v>
      </c>
      <c r="P5677">
        <v>-0.1871217</v>
      </c>
      <c r="Q5677">
        <v>-0.13498209999999999</v>
      </c>
      <c r="R5677">
        <v>-0.97301890000000002</v>
      </c>
      <c r="S5677">
        <v>-0.30429079999999997</v>
      </c>
      <c r="T5677">
        <v>-0.44288339999999998</v>
      </c>
      <c r="U5677">
        <v>-2.9641419999999998</v>
      </c>
      <c r="V5677">
        <v>-0.25670599999999999</v>
      </c>
      <c r="W5677">
        <v>-0.1242172</v>
      </c>
      <c r="X5677">
        <v>0.95847389999999999</v>
      </c>
      <c r="Y5677">
        <v>-0.34415279999999998</v>
      </c>
      <c r="Z5677">
        <v>0.1068882</v>
      </c>
      <c r="AA5677">
        <v>0.93280969999999996</v>
      </c>
      <c r="AB5677">
        <v>17</v>
      </c>
      <c r="AC5677">
        <v>-0.71440000000001103</v>
      </c>
      <c r="AD5677">
        <v>-1.1255383824309999</v>
      </c>
      <c r="AE5677">
        <v>-7.3861000000000097</v>
      </c>
      <c r="AF5677">
        <v>-2.5358269208912398</v>
      </c>
      <c r="AG5677">
        <v>-1.1255383824309999</v>
      </c>
      <c r="AH5677">
        <v>6.7959971768617597</v>
      </c>
      <c r="AI5677">
        <v>98.820117616044897</v>
      </c>
      <c r="AJ5677">
        <v>110.46232390957501</v>
      </c>
      <c r="AK5677">
        <v>7.3404926572373297</v>
      </c>
      <c r="AL5677">
        <v>97.135551967858007</v>
      </c>
      <c r="AM5677">
        <v>104.99351289863</v>
      </c>
      <c r="AN5677">
        <v>1.00000005009652</v>
      </c>
    </row>
    <row r="5678" spans="1:40" x14ac:dyDescent="0.25">
      <c r="A5678" t="str">
        <f>"20190303154923248"</f>
        <v>20190303154923248</v>
      </c>
      <c r="B5678" t="str">
        <f>"1551599363236265"</f>
        <v>1551599363236265</v>
      </c>
      <c r="C5678" t="s">
        <v>40</v>
      </c>
      <c r="D5678">
        <v>5.8152980000000003</v>
      </c>
      <c r="E5678">
        <v>0.46683950000000002</v>
      </c>
      <c r="F5678" t="s">
        <v>59</v>
      </c>
      <c r="G5678">
        <v>-421.21140000000003</v>
      </c>
      <c r="H5678" s="1">
        <v>-4.3403459999999998E-6</v>
      </c>
      <c r="I5678">
        <v>126.35169999999999</v>
      </c>
      <c r="J5678">
        <v>-420.5197</v>
      </c>
      <c r="K5678">
        <v>1.1254630000000001</v>
      </c>
      <c r="L5678">
        <v>133.68190000000001</v>
      </c>
      <c r="M5678">
        <v>-0.42776619999999999</v>
      </c>
      <c r="N5678">
        <v>-1.436453E-2</v>
      </c>
      <c r="O5678">
        <v>-0.90377549999999995</v>
      </c>
      <c r="P5678">
        <v>-0.18439159999999999</v>
      </c>
      <c r="Q5678">
        <v>-0.13493649999999999</v>
      </c>
      <c r="R5678">
        <v>-0.97354640000000003</v>
      </c>
      <c r="S5678">
        <v>-0.29772949999999998</v>
      </c>
      <c r="T5678">
        <v>-0.44572339999999999</v>
      </c>
      <c r="U5678">
        <v>-2.9641109999999999</v>
      </c>
      <c r="V5678">
        <v>-0.24841630000000001</v>
      </c>
      <c r="W5678">
        <v>-0.1240161</v>
      </c>
      <c r="X5678">
        <v>0.96068169999999997</v>
      </c>
      <c r="Y5678">
        <v>-0.33543529999999999</v>
      </c>
      <c r="Z5678">
        <v>0.1089883</v>
      </c>
      <c r="AA5678">
        <v>0.9357375</v>
      </c>
      <c r="AB5678">
        <v>17</v>
      </c>
      <c r="AC5678">
        <v>-0.69170000000002496</v>
      </c>
      <c r="AD5678">
        <v>-1.1254673403459901</v>
      </c>
      <c r="AE5678">
        <v>-7.3302000000000103</v>
      </c>
      <c r="AF5678">
        <v>-2.4534026338162702</v>
      </c>
      <c r="AG5678">
        <v>-1.1254673403459901</v>
      </c>
      <c r="AH5678">
        <v>6.7634197532759499</v>
      </c>
      <c r="AI5678">
        <v>98.890786784939294</v>
      </c>
      <c r="AJ5678">
        <v>109.938031214674</v>
      </c>
      <c r="AK5678">
        <v>7.2821499556659397</v>
      </c>
      <c r="AL5678">
        <v>97.123940429944298</v>
      </c>
      <c r="AM5678">
        <v>104.498161898508</v>
      </c>
      <c r="AN5678">
        <v>0.99999998993989503</v>
      </c>
    </row>
    <row r="5679" spans="1:40" x14ac:dyDescent="0.25">
      <c r="A5679" t="str">
        <f>"20190303154923272"</f>
        <v>20190303154923272</v>
      </c>
      <c r="B5679" t="str">
        <f>"1551599363266521"</f>
        <v>1551599363266521</v>
      </c>
      <c r="C5679" t="s">
        <v>40</v>
      </c>
      <c r="D5679">
        <v>5.7820609999999997</v>
      </c>
      <c r="E5679">
        <v>0.4671305</v>
      </c>
      <c r="F5679" t="s">
        <v>59</v>
      </c>
      <c r="G5679">
        <v>-421.255</v>
      </c>
      <c r="H5679" s="1">
        <v>-4.2689290000000001E-6</v>
      </c>
      <c r="I5679">
        <v>126.1926</v>
      </c>
      <c r="J5679">
        <v>-420.5788</v>
      </c>
      <c r="K5679">
        <v>1.1254150000000001</v>
      </c>
      <c r="L5679">
        <v>133.5249</v>
      </c>
      <c r="M5679">
        <v>-0.41741159999999999</v>
      </c>
      <c r="N5679">
        <v>-1.436046E-2</v>
      </c>
      <c r="O5679">
        <v>-0.90860410000000003</v>
      </c>
      <c r="P5679">
        <v>-0.1814558</v>
      </c>
      <c r="Q5679">
        <v>-0.13425509999999999</v>
      </c>
      <c r="R5679">
        <v>-0.97419180000000005</v>
      </c>
      <c r="S5679">
        <v>-0.29107670000000002</v>
      </c>
      <c r="T5679">
        <v>-0.44551350000000001</v>
      </c>
      <c r="U5679">
        <v>-2.9646300000000001</v>
      </c>
      <c r="V5679">
        <v>-0.2404076</v>
      </c>
      <c r="W5679">
        <v>-0.12318220000000001</v>
      </c>
      <c r="X5679">
        <v>0.96282420000000002</v>
      </c>
      <c r="Y5679">
        <v>-0.32678610000000002</v>
      </c>
      <c r="Z5679">
        <v>0.1101927</v>
      </c>
      <c r="AA5679">
        <v>0.9386525</v>
      </c>
      <c r="AB5679">
        <v>17</v>
      </c>
      <c r="AC5679">
        <v>-0.67619999999999403</v>
      </c>
      <c r="AD5679">
        <v>-1.1254192689289999</v>
      </c>
      <c r="AE5679">
        <v>-7.3323</v>
      </c>
      <c r="AF5679">
        <v>-2.3905971438140199</v>
      </c>
      <c r="AG5679">
        <v>-1.1254192689289999</v>
      </c>
      <c r="AH5679">
        <v>6.7865935855240496</v>
      </c>
      <c r="AI5679">
        <v>98.889587109107794</v>
      </c>
      <c r="AJ5679">
        <v>109.404959181089</v>
      </c>
      <c r="AK5679">
        <v>7.28281372341519</v>
      </c>
      <c r="AL5679">
        <v>97.075791830591996</v>
      </c>
      <c r="AM5679">
        <v>104.019526791217</v>
      </c>
      <c r="AN5679">
        <v>1.00000005432011</v>
      </c>
    </row>
    <row r="5680" spans="1:40" x14ac:dyDescent="0.25">
      <c r="A5680" t="str">
        <f>"20190303154923294"</f>
        <v>20190303154923294</v>
      </c>
      <c r="B5680" t="str">
        <f>"1551599363287017"</f>
        <v>1551599363287017</v>
      </c>
      <c r="C5680" t="s">
        <v>40</v>
      </c>
      <c r="D5680">
        <v>5.7918260000000004</v>
      </c>
      <c r="E5680">
        <v>0.46742909999999999</v>
      </c>
      <c r="F5680" t="s">
        <v>59</v>
      </c>
      <c r="G5680">
        <v>-421.3014</v>
      </c>
      <c r="H5680" s="1">
        <v>-4.1759930000000004E-6</v>
      </c>
      <c r="I5680">
        <v>125.99</v>
      </c>
      <c r="J5680">
        <v>-420.63400000000001</v>
      </c>
      <c r="K5680">
        <v>1.1253770000000001</v>
      </c>
      <c r="L5680">
        <v>133.37370000000001</v>
      </c>
      <c r="M5680">
        <v>-0.40757690000000002</v>
      </c>
      <c r="N5680">
        <v>-1.437249E-2</v>
      </c>
      <c r="O5680">
        <v>-0.91305789999999998</v>
      </c>
      <c r="P5680">
        <v>-0.17792549999999999</v>
      </c>
      <c r="Q5680">
        <v>-0.13365759999999999</v>
      </c>
      <c r="R5680">
        <v>-0.97492489999999998</v>
      </c>
      <c r="S5680">
        <v>-0.28439330000000002</v>
      </c>
      <c r="T5680">
        <v>-0.4429247</v>
      </c>
      <c r="U5680">
        <v>-2.9654690000000001</v>
      </c>
      <c r="V5680">
        <v>-0.2335632</v>
      </c>
      <c r="W5680">
        <v>-0.12243950000000001</v>
      </c>
      <c r="X5680">
        <v>0.96460190000000001</v>
      </c>
      <c r="Y5680">
        <v>-0.31871630000000001</v>
      </c>
      <c r="Z5680">
        <v>0.11060830000000001</v>
      </c>
      <c r="AA5680">
        <v>0.94137439999999994</v>
      </c>
      <c r="AB5680">
        <v>17</v>
      </c>
      <c r="AC5680">
        <v>-0.667399999999986</v>
      </c>
      <c r="AD5680">
        <v>-1.1253811759929999</v>
      </c>
      <c r="AE5680">
        <v>-7.3837000000000099</v>
      </c>
      <c r="AF5680">
        <v>-2.3462367240032802</v>
      </c>
      <c r="AG5680">
        <v>-1.1253811759929999</v>
      </c>
      <c r="AH5680">
        <v>6.8564997031212496</v>
      </c>
      <c r="AI5680">
        <v>98.827130683787402</v>
      </c>
      <c r="AJ5680">
        <v>108.890516600406</v>
      </c>
      <c r="AK5680">
        <v>7.3336824130339098</v>
      </c>
      <c r="AL5680">
        <v>97.032913968380299</v>
      </c>
      <c r="AM5680">
        <v>103.611303128909</v>
      </c>
      <c r="AN5680">
        <v>1.00000001251905</v>
      </c>
    </row>
    <row r="5681" spans="1:40" x14ac:dyDescent="0.25">
      <c r="A5681" t="str">
        <f>"20190303154923315"</f>
        <v>20190303154923315</v>
      </c>
      <c r="B5681" t="str">
        <f>"1551599363306537"</f>
        <v>1551599363306537</v>
      </c>
      <c r="C5681" t="s">
        <v>40</v>
      </c>
      <c r="D5681">
        <v>5.7662370000000003</v>
      </c>
      <c r="E5681">
        <v>0.4675261</v>
      </c>
      <c r="F5681" t="s">
        <v>59</v>
      </c>
      <c r="G5681">
        <v>-421.34320000000002</v>
      </c>
      <c r="H5681" s="1">
        <v>-4.0695209999999997E-6</v>
      </c>
      <c r="I5681">
        <v>125.7628</v>
      </c>
      <c r="J5681">
        <v>-420.68579999999997</v>
      </c>
      <c r="K5681">
        <v>1.125332</v>
      </c>
      <c r="L5681">
        <v>133.22720000000001</v>
      </c>
      <c r="M5681">
        <v>-0.39816360000000001</v>
      </c>
      <c r="N5681">
        <v>-1.439555E-2</v>
      </c>
      <c r="O5681">
        <v>-0.91720139999999994</v>
      </c>
      <c r="P5681">
        <v>-0.17509189999999999</v>
      </c>
      <c r="Q5681">
        <v>-0.13214039999999999</v>
      </c>
      <c r="R5681">
        <v>-0.97564439999999997</v>
      </c>
      <c r="S5681">
        <v>-0.27642820000000001</v>
      </c>
      <c r="T5681">
        <v>-0.43865100000000001</v>
      </c>
      <c r="U5681">
        <v>-2.9665680000000001</v>
      </c>
      <c r="V5681">
        <v>-0.22656989999999999</v>
      </c>
      <c r="W5681">
        <v>-0.1207597</v>
      </c>
      <c r="X5681">
        <v>0.9664798</v>
      </c>
      <c r="Y5681">
        <v>-0.31151329999999999</v>
      </c>
      <c r="Z5681">
        <v>0.1104275</v>
      </c>
      <c r="AA5681">
        <v>0.94380359999999996</v>
      </c>
      <c r="AB5681">
        <v>17</v>
      </c>
      <c r="AC5681">
        <v>-0.65740000000005205</v>
      </c>
      <c r="AD5681">
        <v>-1.125336069521</v>
      </c>
      <c r="AE5681">
        <v>-7.4644000000000101</v>
      </c>
      <c r="AF5681">
        <v>-2.3170711402172599</v>
      </c>
      <c r="AG5681">
        <v>-1.125336069521</v>
      </c>
      <c r="AH5681">
        <v>6.9520529299172704</v>
      </c>
      <c r="AI5681">
        <v>98.730492900946103</v>
      </c>
      <c r="AJ5681">
        <v>108.432873137404</v>
      </c>
      <c r="AK5681">
        <v>7.4139220307853302</v>
      </c>
      <c r="AL5681">
        <v>96.935948940358003</v>
      </c>
      <c r="AM5681">
        <v>103.193487738785</v>
      </c>
      <c r="AN5681">
        <v>1.0000000142690699</v>
      </c>
    </row>
    <row r="5682" spans="1:40" x14ac:dyDescent="0.25">
      <c r="A5682" t="str">
        <f>"20190303154923338"</f>
        <v>20190303154923338</v>
      </c>
      <c r="B5682" t="str">
        <f>"1551599363327033"</f>
        <v>1551599363327033</v>
      </c>
      <c r="C5682" t="s">
        <v>40</v>
      </c>
      <c r="D5682">
        <v>5.7675460000000003</v>
      </c>
      <c r="E5682">
        <v>0.46771049999999997</v>
      </c>
      <c r="F5682" t="s">
        <v>59</v>
      </c>
      <c r="G5682">
        <v>-421.38249999999999</v>
      </c>
      <c r="H5682" s="1">
        <v>-3.9576570000000001E-6</v>
      </c>
      <c r="I5682">
        <v>125.5262</v>
      </c>
      <c r="J5682">
        <v>-420.73910000000001</v>
      </c>
      <c r="K5682">
        <v>1.1252660000000001</v>
      </c>
      <c r="L5682">
        <v>133.07210000000001</v>
      </c>
      <c r="M5682">
        <v>-0.38832139999999998</v>
      </c>
      <c r="N5682">
        <v>-1.4424630000000001E-2</v>
      </c>
      <c r="O5682">
        <v>-0.92141119999999999</v>
      </c>
      <c r="P5682">
        <v>-0.17128499999999999</v>
      </c>
      <c r="Q5682">
        <v>-0.13175619999999999</v>
      </c>
      <c r="R5682">
        <v>-0.97637189999999996</v>
      </c>
      <c r="S5682">
        <v>-0.2684937</v>
      </c>
      <c r="T5682">
        <v>-0.43370589999999998</v>
      </c>
      <c r="U5682">
        <v>-2.9679720000000001</v>
      </c>
      <c r="V5682">
        <v>-0.22004969999999999</v>
      </c>
      <c r="W5682">
        <v>-0.1202073</v>
      </c>
      <c r="X5682">
        <v>0.96805390000000002</v>
      </c>
      <c r="Y5682">
        <v>-0.30388929999999997</v>
      </c>
      <c r="Z5682">
        <v>0.1100387</v>
      </c>
      <c r="AA5682">
        <v>0.94633120000000004</v>
      </c>
      <c r="AB5682">
        <v>17</v>
      </c>
      <c r="AC5682">
        <v>-0.64339999999998498</v>
      </c>
      <c r="AD5682">
        <v>-1.12526995765699</v>
      </c>
      <c r="AE5682">
        <v>-7.5458999999999996</v>
      </c>
      <c r="AF5682">
        <v>-2.2871475072071701</v>
      </c>
      <c r="AG5682">
        <v>-1.12526995765699</v>
      </c>
      <c r="AH5682">
        <v>7.0478737406288996</v>
      </c>
      <c r="AI5682">
        <v>98.635217602748099</v>
      </c>
      <c r="AJ5682">
        <v>107.979074039856</v>
      </c>
      <c r="AK5682">
        <v>7.4946514569508702</v>
      </c>
      <c r="AL5682">
        <v>96.904066532675998</v>
      </c>
      <c r="AM5682">
        <v>102.806373717086</v>
      </c>
      <c r="AN5682">
        <v>1.00000000937429</v>
      </c>
    </row>
    <row r="5683" spans="1:40" x14ac:dyDescent="0.25">
      <c r="A5683" t="str">
        <f>"20190303154923361"</f>
        <v>20190303154923361</v>
      </c>
      <c r="B5683" t="str">
        <f>"1551599363356313"</f>
        <v>1551599363356313</v>
      </c>
      <c r="C5683" t="s">
        <v>40</v>
      </c>
      <c r="D5683">
        <v>5.7646259999999998</v>
      </c>
      <c r="E5683">
        <v>0.46791379999999999</v>
      </c>
      <c r="F5683" t="s">
        <v>59</v>
      </c>
      <c r="G5683">
        <v>-421.41129999999998</v>
      </c>
      <c r="H5683" s="1">
        <v>-3.8747660000000001E-6</v>
      </c>
      <c r="I5683">
        <v>125.351</v>
      </c>
      <c r="J5683">
        <v>-420.78969999999998</v>
      </c>
      <c r="K5683">
        <v>1.12517</v>
      </c>
      <c r="L5683">
        <v>132.9203</v>
      </c>
      <c r="M5683">
        <v>-0.37882460000000001</v>
      </c>
      <c r="N5683">
        <v>-1.445075E-2</v>
      </c>
      <c r="O5683">
        <v>-0.9253557</v>
      </c>
      <c r="P5683">
        <v>-0.16791029999999901</v>
      </c>
      <c r="Q5683">
        <v>-0.13296069999999999</v>
      </c>
      <c r="R5683">
        <v>-0.97679470000000002</v>
      </c>
      <c r="S5683">
        <v>-0.2584534</v>
      </c>
      <c r="T5683">
        <v>-0.43268060000000003</v>
      </c>
      <c r="U5683">
        <v>-2.9688569999999999</v>
      </c>
      <c r="V5683">
        <v>-0.21340100000000001</v>
      </c>
      <c r="W5683">
        <v>-0.1212428</v>
      </c>
      <c r="X5683">
        <v>0.9694123</v>
      </c>
      <c r="Y5683">
        <v>-0.29730410000000002</v>
      </c>
      <c r="Z5683">
        <v>0.110678</v>
      </c>
      <c r="AA5683">
        <v>0.94834629999999998</v>
      </c>
      <c r="AB5683">
        <v>17</v>
      </c>
      <c r="AC5683">
        <v>-0.62160000000000004</v>
      </c>
      <c r="AD5683">
        <v>-1.1251738747660001</v>
      </c>
      <c r="AE5683">
        <v>-7.5692999999999904</v>
      </c>
      <c r="AF5683">
        <v>-2.2432390471941002</v>
      </c>
      <c r="AG5683">
        <v>-1.1251738747660001</v>
      </c>
      <c r="AH5683">
        <v>7.0850210298025296</v>
      </c>
      <c r="AI5683">
        <v>98.609347645264194</v>
      </c>
      <c r="AJ5683">
        <v>107.568679340217</v>
      </c>
      <c r="AK5683">
        <v>7.51635953531071</v>
      </c>
      <c r="AL5683">
        <v>96.963833478827098</v>
      </c>
      <c r="AM5683">
        <v>102.414763653572</v>
      </c>
      <c r="AN5683">
        <v>1.0000000053720599</v>
      </c>
    </row>
    <row r="5684" spans="1:40" x14ac:dyDescent="0.25">
      <c r="A5684" t="str">
        <f>"20190303154923383"</f>
        <v>20190303154923383</v>
      </c>
      <c r="B5684" t="str">
        <f>"1551599363376809"</f>
        <v>1551599363376809</v>
      </c>
      <c r="C5684" t="s">
        <v>40</v>
      </c>
      <c r="D5684">
        <v>5.7944380000000004</v>
      </c>
      <c r="E5684">
        <v>0.46803850000000002</v>
      </c>
      <c r="F5684" t="s">
        <v>59</v>
      </c>
      <c r="G5684">
        <v>-421.43349999999998</v>
      </c>
      <c r="H5684" s="1">
        <v>-3.8385849999999998E-6</v>
      </c>
      <c r="I5684">
        <v>125.27030000000001</v>
      </c>
      <c r="J5684">
        <v>-420.84010000000001</v>
      </c>
      <c r="K5684">
        <v>1.125054</v>
      </c>
      <c r="L5684">
        <v>132.76390000000001</v>
      </c>
      <c r="M5684">
        <v>-0.3692144</v>
      </c>
      <c r="N5684">
        <v>-1.4469930000000001E-2</v>
      </c>
      <c r="O5684">
        <v>-0.92923160000000005</v>
      </c>
      <c r="P5684">
        <v>-0.16094939999999999</v>
      </c>
      <c r="Q5684">
        <v>-0.13420850000000001</v>
      </c>
      <c r="R5684">
        <v>-0.97779550000000004</v>
      </c>
      <c r="S5684">
        <v>-0.2498474</v>
      </c>
      <c r="T5684">
        <v>-0.43666929999999998</v>
      </c>
      <c r="U5684">
        <v>-2.9689030000000001</v>
      </c>
      <c r="V5684">
        <v>-0.2102231</v>
      </c>
      <c r="W5684">
        <v>-0.12236950000000001</v>
      </c>
      <c r="X5684">
        <v>0.96996490000000002</v>
      </c>
      <c r="Y5684">
        <v>-0.29016059999999999</v>
      </c>
      <c r="Z5684">
        <v>0.11277909999999999</v>
      </c>
      <c r="AA5684">
        <v>0.95030930000000002</v>
      </c>
      <c r="AB5684">
        <v>17</v>
      </c>
      <c r="AC5684">
        <v>-0.59339999999997395</v>
      </c>
      <c r="AD5684">
        <v>-1.1250578385850001</v>
      </c>
      <c r="AE5684">
        <v>-7.4935999999999998</v>
      </c>
      <c r="AF5684">
        <v>-2.1670288349776698</v>
      </c>
      <c r="AG5684">
        <v>-1.1250578385850001</v>
      </c>
      <c r="AH5684">
        <v>7.0257546883722899</v>
      </c>
      <c r="AI5684">
        <v>98.699910065194402</v>
      </c>
      <c r="AJ5684">
        <v>107.14189297793899</v>
      </c>
      <c r="AK5684">
        <v>7.43794313321711</v>
      </c>
      <c r="AL5684">
        <v>97.028873128605497</v>
      </c>
      <c r="AM5684">
        <v>102.228735751453</v>
      </c>
      <c r="AN5684">
        <v>0.99999997676793395</v>
      </c>
    </row>
    <row r="5685" spans="1:40" x14ac:dyDescent="0.25">
      <c r="A5685" t="str">
        <f>"20190303154923405"</f>
        <v>20190303154923405</v>
      </c>
      <c r="B5685" t="str">
        <f>"1551599363396329"</f>
        <v>1551599363396329</v>
      </c>
      <c r="C5685" t="s">
        <v>40</v>
      </c>
      <c r="D5685">
        <v>5.7617039999999999</v>
      </c>
      <c r="E5685">
        <v>0.46826879999999999</v>
      </c>
      <c r="F5685" t="s">
        <v>59</v>
      </c>
      <c r="G5685">
        <v>-421.42700000000002</v>
      </c>
      <c r="H5685" s="1">
        <v>-3.7877709999999998E-6</v>
      </c>
      <c r="I5685">
        <v>125.1734</v>
      </c>
      <c r="J5685">
        <v>-420.88580000000002</v>
      </c>
      <c r="K5685">
        <v>1.124941</v>
      </c>
      <c r="L5685">
        <v>132.6181</v>
      </c>
      <c r="M5685">
        <v>-0.36042259999999998</v>
      </c>
      <c r="N5685">
        <v>-1.4480989999999999E-2</v>
      </c>
      <c r="O5685">
        <v>-0.93267690000000003</v>
      </c>
      <c r="P5685">
        <v>-0.1577404</v>
      </c>
      <c r="Q5685">
        <v>-0.13510369999999999</v>
      </c>
      <c r="R5685">
        <v>-0.97819500000000004</v>
      </c>
      <c r="S5685">
        <v>-0.22964480000000001</v>
      </c>
      <c r="T5685">
        <v>-0.44019390000000003</v>
      </c>
      <c r="U5685">
        <v>-2.969894</v>
      </c>
      <c r="V5685">
        <v>-0.2042351</v>
      </c>
      <c r="W5685">
        <v>-0.1231159</v>
      </c>
      <c r="X5685">
        <v>0.97114909999999999</v>
      </c>
      <c r="Y5685">
        <v>-0.28758779999999901</v>
      </c>
      <c r="Z5685">
        <v>0.1145409</v>
      </c>
      <c r="AA5685">
        <v>0.95088050000000002</v>
      </c>
      <c r="AB5685">
        <v>16</v>
      </c>
      <c r="AC5685">
        <v>-0.54119999999994595</v>
      </c>
      <c r="AD5685">
        <v>-1.1249447877709999</v>
      </c>
      <c r="AE5685">
        <v>-7.4446999999999903</v>
      </c>
      <c r="AF5685">
        <v>-2.13031511772799</v>
      </c>
      <c r="AG5685">
        <v>-1.1249447877709999</v>
      </c>
      <c r="AH5685">
        <v>6.98075232684472</v>
      </c>
      <c r="AI5685">
        <v>98.762171177285396</v>
      </c>
      <c r="AJ5685">
        <v>106.97060873890401</v>
      </c>
      <c r="AK5685">
        <v>7.3847577025317204</v>
      </c>
      <c r="AL5685">
        <v>97.071964102126699</v>
      </c>
      <c r="AM5685">
        <v>101.876378953969</v>
      </c>
      <c r="AN5685">
        <v>1.00000003766781</v>
      </c>
    </row>
    <row r="5686" spans="1:40" x14ac:dyDescent="0.25">
      <c r="A5686" t="str">
        <f>"20190303154923427"</f>
        <v>20190303154923427</v>
      </c>
      <c r="B5686" t="str">
        <f>"1551599363416825"</f>
        <v>1551599363416825</v>
      </c>
      <c r="C5686" t="s">
        <v>40</v>
      </c>
      <c r="D5686">
        <v>5.7392110000000001</v>
      </c>
      <c r="E5686">
        <v>0.46858270000000002</v>
      </c>
      <c r="F5686" t="s">
        <v>59</v>
      </c>
      <c r="G5686">
        <v>-421.44970000000001</v>
      </c>
      <c r="H5686" s="1">
        <v>-3.7401809999999999E-6</v>
      </c>
      <c r="I5686">
        <v>125.0701</v>
      </c>
      <c r="J5686">
        <v>-420.93270000000001</v>
      </c>
      <c r="K5686">
        <v>1.1248389999999999</v>
      </c>
      <c r="L5686">
        <v>132.464</v>
      </c>
      <c r="M5686">
        <v>-0.3512903</v>
      </c>
      <c r="N5686">
        <v>-1.448728E-2</v>
      </c>
      <c r="O5686">
        <v>-0.93615459999999995</v>
      </c>
      <c r="P5686">
        <v>-0.15317329999999901</v>
      </c>
      <c r="Q5686">
        <v>-0.13493629999999901</v>
      </c>
      <c r="R5686">
        <v>-0.97894380000000003</v>
      </c>
      <c r="S5686">
        <v>-0.22189329999999999</v>
      </c>
      <c r="T5686">
        <v>-0.44263659999999999</v>
      </c>
      <c r="U5686">
        <v>-2.9699550000000001</v>
      </c>
      <c r="V5686">
        <v>-0.1993279</v>
      </c>
      <c r="W5686">
        <v>-0.12282170000000001</v>
      </c>
      <c r="X5686">
        <v>0.97220530000000005</v>
      </c>
      <c r="Y5686">
        <v>-0.28071370000000001</v>
      </c>
      <c r="Z5686">
        <v>0.1161408</v>
      </c>
      <c r="AA5686">
        <v>0.9527388</v>
      </c>
      <c r="AB5686">
        <v>16</v>
      </c>
      <c r="AC5686">
        <v>-0.51699999999999502</v>
      </c>
      <c r="AD5686">
        <v>-1.1248427401809999</v>
      </c>
      <c r="AE5686">
        <v>-7.3939000000000004</v>
      </c>
      <c r="AF5686">
        <v>-2.0660512066513199</v>
      </c>
      <c r="AG5686">
        <v>-1.1248427401809999</v>
      </c>
      <c r="AH5686">
        <v>6.9442601720943999</v>
      </c>
      <c r="AI5686">
        <v>98.825049675716201</v>
      </c>
      <c r="AJ5686">
        <v>106.56875587483199</v>
      </c>
      <c r="AK5686">
        <v>7.3318884413485002</v>
      </c>
      <c r="AL5686">
        <v>97.054979300573095</v>
      </c>
      <c r="AM5686">
        <v>101.586586151834</v>
      </c>
      <c r="AN5686">
        <v>0.99999996352869402</v>
      </c>
    </row>
    <row r="5687" spans="1:40" x14ac:dyDescent="0.25">
      <c r="A5687" t="str">
        <f>"20190303154923450"</f>
        <v>20190303154923450</v>
      </c>
      <c r="B5687" t="str">
        <f>"1551599363446105"</f>
        <v>1551599363446105</v>
      </c>
      <c r="C5687" t="s">
        <v>40</v>
      </c>
      <c r="D5687">
        <v>5.7030479999999999</v>
      </c>
      <c r="E5687">
        <v>0.46874090000000002</v>
      </c>
      <c r="F5687" t="s">
        <v>59</v>
      </c>
      <c r="G5687">
        <v>-421.47019999999998</v>
      </c>
      <c r="H5687" s="1">
        <v>-3.6490940000000002E-6</v>
      </c>
      <c r="I5687">
        <v>124.88249999999999</v>
      </c>
      <c r="J5687">
        <v>-420.97969999999998</v>
      </c>
      <c r="K5687">
        <v>1.124725</v>
      </c>
      <c r="L5687">
        <v>132.3047</v>
      </c>
      <c r="M5687">
        <v>-0.34204010000000001</v>
      </c>
      <c r="N5687">
        <v>-1.4488819999999999E-2</v>
      </c>
      <c r="O5687">
        <v>-0.93957380000000001</v>
      </c>
      <c r="P5687">
        <v>-0.148167299999999</v>
      </c>
      <c r="Q5687">
        <v>-0.1343955</v>
      </c>
      <c r="R5687">
        <v>-0.97978799999999999</v>
      </c>
      <c r="S5687">
        <v>-0.21060180000000001</v>
      </c>
      <c r="T5687">
        <v>-0.44077050000000001</v>
      </c>
      <c r="U5687">
        <v>-2.970825</v>
      </c>
      <c r="V5687">
        <v>-0.19477900000000001</v>
      </c>
      <c r="W5687">
        <v>-0.1221675</v>
      </c>
      <c r="X5687">
        <v>0.97320930000000005</v>
      </c>
      <c r="Y5687">
        <v>-0.27488000000000001</v>
      </c>
      <c r="Z5687">
        <v>0.1164302</v>
      </c>
      <c r="AA5687">
        <v>0.954403</v>
      </c>
      <c r="AB5687">
        <v>16</v>
      </c>
      <c r="AC5687">
        <v>-0.49049999999999699</v>
      </c>
      <c r="AD5687">
        <v>-1.1247286490940001</v>
      </c>
      <c r="AE5687">
        <v>-7.4222000000000001</v>
      </c>
      <c r="AF5687">
        <v>-2.03159801881197</v>
      </c>
      <c r="AG5687">
        <v>-1.1247286490940001</v>
      </c>
      <c r="AH5687">
        <v>6.9825796823209902</v>
      </c>
      <c r="AI5687">
        <v>98.791875587499803</v>
      </c>
      <c r="AJ5687">
        <v>106.222479229708</v>
      </c>
      <c r="AK5687">
        <v>7.35858845595373</v>
      </c>
      <c r="AL5687">
        <v>97.017211376060999</v>
      </c>
      <c r="AM5687">
        <v>101.317695578235</v>
      </c>
      <c r="AN5687">
        <v>1.0000000492518599</v>
      </c>
    </row>
    <row r="5688" spans="1:40" x14ac:dyDescent="0.25">
      <c r="A5688" t="str">
        <f>"20190303154923473"</f>
        <v>20190303154923473</v>
      </c>
      <c r="B5688" t="str">
        <f>"1551599363466601"</f>
        <v>1551599363466601</v>
      </c>
      <c r="C5688" t="s">
        <v>40</v>
      </c>
      <c r="D5688">
        <v>5.7237150000000003</v>
      </c>
      <c r="E5688">
        <v>0.47489740000000003</v>
      </c>
      <c r="F5688" t="s">
        <v>59</v>
      </c>
      <c r="G5688">
        <v>-421.48360000000002</v>
      </c>
      <c r="H5688" s="1">
        <v>-3.5550900000000002E-6</v>
      </c>
      <c r="I5688">
        <v>124.6921</v>
      </c>
      <c r="J5688">
        <v>-421.02519999999998</v>
      </c>
      <c r="K5688">
        <v>1.1245969999999901</v>
      </c>
      <c r="L5688">
        <v>132.1463</v>
      </c>
      <c r="M5688">
        <v>-0.3330535</v>
      </c>
      <c r="N5688">
        <v>-1.4484830000000001E-2</v>
      </c>
      <c r="O5688">
        <v>-0.94279690000000005</v>
      </c>
      <c r="P5688">
        <v>-0.14308879999999999</v>
      </c>
      <c r="Q5688">
        <v>-0.13543459999999999</v>
      </c>
      <c r="R5688">
        <v>-0.98039969999999999</v>
      </c>
      <c r="S5688">
        <v>-0.19668579999999999</v>
      </c>
      <c r="T5688">
        <v>-0.43909140000000002</v>
      </c>
      <c r="U5688">
        <v>-2.971924</v>
      </c>
      <c r="V5688">
        <v>-0.19051190000000001</v>
      </c>
      <c r="W5688">
        <v>-0.1231063</v>
      </c>
      <c r="X5688">
        <v>0.97393529999999995</v>
      </c>
      <c r="Y5688">
        <v>-0.27018170000000002</v>
      </c>
      <c r="Z5688">
        <v>0.1166954</v>
      </c>
      <c r="AA5688">
        <v>0.95571130000000004</v>
      </c>
      <c r="AB5688">
        <v>16</v>
      </c>
      <c r="AC5688">
        <v>-0.45840000000004</v>
      </c>
      <c r="AD5688">
        <v>-1.12460055508999</v>
      </c>
      <c r="AE5688">
        <v>-7.4542000000000002</v>
      </c>
      <c r="AF5688">
        <v>-2.0052149104519899</v>
      </c>
      <c r="AG5688">
        <v>-1.12460055508999</v>
      </c>
      <c r="AH5688">
        <v>7.0219935734469301</v>
      </c>
      <c r="AI5688">
        <v>98.754668006989903</v>
      </c>
      <c r="AJ5688">
        <v>105.93733164226001</v>
      </c>
      <c r="AK5688">
        <v>7.3887757437303296</v>
      </c>
      <c r="AL5688">
        <v>97.071410420700602</v>
      </c>
      <c r="AM5688">
        <v>101.067898829838</v>
      </c>
      <c r="AN5688">
        <v>0.99999995686369403</v>
      </c>
    </row>
    <row r="5689" spans="1:40" x14ac:dyDescent="0.25">
      <c r="A5689" t="str">
        <f>"20190303154923495"</f>
        <v>20190303154923495</v>
      </c>
      <c r="B5689" t="str">
        <f>"1551599363487097"</f>
        <v>1551599363487097</v>
      </c>
      <c r="C5689" t="s">
        <v>40</v>
      </c>
      <c r="D5689">
        <v>5.7256130000000001</v>
      </c>
      <c r="E5689">
        <v>0.47522120000000001</v>
      </c>
      <c r="F5689" t="s">
        <v>59</v>
      </c>
      <c r="G5689">
        <v>-421.65</v>
      </c>
      <c r="H5689" s="1">
        <v>-3.2757159999999998E-6</v>
      </c>
      <c r="I5689">
        <v>124.1087</v>
      </c>
      <c r="J5689">
        <v>-421.06709999999998</v>
      </c>
      <c r="K5689">
        <v>1.124465</v>
      </c>
      <c r="L5689">
        <v>131.9958</v>
      </c>
      <c r="M5689">
        <v>-0.32474449999999999</v>
      </c>
      <c r="N5689">
        <v>-1.447467E-2</v>
      </c>
      <c r="O5689">
        <v>-0.94569099999999995</v>
      </c>
      <c r="P5689">
        <v>-0.13875960000000001</v>
      </c>
      <c r="Q5689">
        <v>-0.13699169999999999</v>
      </c>
      <c r="R5689">
        <v>-0.9808055</v>
      </c>
      <c r="S5689">
        <v>-0.2307739</v>
      </c>
      <c r="T5689">
        <v>-0.41540189999999999</v>
      </c>
      <c r="U5689">
        <v>-2.9689030000000001</v>
      </c>
      <c r="V5689">
        <v>-0.18620059999999999</v>
      </c>
      <c r="W5689">
        <v>-0.1245681</v>
      </c>
      <c r="X5689">
        <v>0.97458310000000004</v>
      </c>
      <c r="Y5689">
        <v>-0.25067460000000003</v>
      </c>
      <c r="Z5689">
        <v>0.11082699999999999</v>
      </c>
      <c r="AA5689">
        <v>0.96170659999999997</v>
      </c>
      <c r="AB5689">
        <v>16</v>
      </c>
      <c r="AC5689">
        <v>-0.58289999999999498</v>
      </c>
      <c r="AD5689">
        <v>-1.1244682757160001</v>
      </c>
      <c r="AE5689">
        <v>-7.8871000000000002</v>
      </c>
      <c r="AF5689">
        <v>-1.9704256730499601</v>
      </c>
      <c r="AG5689">
        <v>-1.1244682757160001</v>
      </c>
      <c r="AH5689">
        <v>7.49728967975852</v>
      </c>
      <c r="AI5689">
        <v>98.253594060276995</v>
      </c>
      <c r="AJ5689">
        <v>104.725369485849</v>
      </c>
      <c r="AK5689">
        <v>7.8330299870688398</v>
      </c>
      <c r="AL5689">
        <v>97.155814456142394</v>
      </c>
      <c r="AM5689">
        <v>100.81638893937701</v>
      </c>
      <c r="AN5689">
        <v>1.00000004689178</v>
      </c>
    </row>
    <row r="5690" spans="1:40" x14ac:dyDescent="0.25">
      <c r="A5690" t="str">
        <f>"20190303154923517"</f>
        <v>20190303154923517</v>
      </c>
      <c r="B5690" t="str">
        <f>"1551599363506618"</f>
        <v>1551599363506618</v>
      </c>
      <c r="C5690" t="s">
        <v>40</v>
      </c>
      <c r="D5690">
        <v>5.6920029999999997</v>
      </c>
      <c r="E5690">
        <v>0.47503319999999999</v>
      </c>
      <c r="F5690" t="s">
        <v>59</v>
      </c>
      <c r="G5690">
        <v>-421.6515</v>
      </c>
      <c r="H5690" s="1">
        <v>-3.2805549999999998E-6</v>
      </c>
      <c r="I5690">
        <v>124.1169</v>
      </c>
      <c r="J5690">
        <v>-421.10730000000001</v>
      </c>
      <c r="K5690">
        <v>1.1243080000000001</v>
      </c>
      <c r="L5690">
        <v>131.84729999999999</v>
      </c>
      <c r="M5690">
        <v>-0.31676969999999999</v>
      </c>
      <c r="N5690">
        <v>-1.4458240000000001E-2</v>
      </c>
      <c r="O5690">
        <v>-0.94839240000000002</v>
      </c>
      <c r="P5690">
        <v>-0.1343606</v>
      </c>
      <c r="Q5690">
        <v>-0.13873179999999999</v>
      </c>
      <c r="R5690">
        <v>-0.98117339999999997</v>
      </c>
      <c r="S5690">
        <v>-0.22015380000000001</v>
      </c>
      <c r="T5690">
        <v>-0.42364930000000001</v>
      </c>
      <c r="U5690">
        <v>-2.9684140000000001</v>
      </c>
      <c r="V5690">
        <v>-0.18231939999999999</v>
      </c>
      <c r="W5690">
        <v>-0.12621959999999999</v>
      </c>
      <c r="X5690">
        <v>0.97510419999999998</v>
      </c>
      <c r="Y5690">
        <v>-0.24595629999999999</v>
      </c>
      <c r="Z5690">
        <v>0.1139564</v>
      </c>
      <c r="AA5690">
        <v>0.96255880000000005</v>
      </c>
      <c r="AB5690">
        <v>16</v>
      </c>
      <c r="AC5690">
        <v>-0.54419999999998903</v>
      </c>
      <c r="AD5690">
        <v>-1.124311280555</v>
      </c>
      <c r="AE5690">
        <v>-7.73039999999998</v>
      </c>
      <c r="AF5690">
        <v>-1.89299828185721</v>
      </c>
      <c r="AG5690">
        <v>-1.124311280555</v>
      </c>
      <c r="AH5690">
        <v>7.3499171308868396</v>
      </c>
      <c r="AI5690">
        <v>98.426228709698293</v>
      </c>
      <c r="AJ5690">
        <v>104.44285003197599</v>
      </c>
      <c r="AK5690">
        <v>7.6726006139770799</v>
      </c>
      <c r="AL5690">
        <v>97.251191765163995</v>
      </c>
      <c r="AM5690">
        <v>100.590553641144</v>
      </c>
      <c r="AN5690">
        <v>0.99999997594907897</v>
      </c>
    </row>
    <row r="5691" spans="1:40" x14ac:dyDescent="0.25">
      <c r="A5691" t="str">
        <f>"20190303154923539"</f>
        <v>20190303154923539</v>
      </c>
      <c r="B5691" t="str">
        <f>"1551599363536873"</f>
        <v>1551599363536873</v>
      </c>
      <c r="C5691" t="s">
        <v>40</v>
      </c>
      <c r="D5691">
        <v>5.7301690000000001</v>
      </c>
      <c r="E5691">
        <v>0.47542980000000001</v>
      </c>
      <c r="F5691" t="s">
        <v>59</v>
      </c>
      <c r="G5691">
        <v>-421.66070000000002</v>
      </c>
      <c r="H5691" s="1">
        <v>-3.1390330000000002E-6</v>
      </c>
      <c r="I5691">
        <v>123.8544</v>
      </c>
      <c r="J5691">
        <v>-421.14929999999998</v>
      </c>
      <c r="K5691">
        <v>1.124131</v>
      </c>
      <c r="L5691">
        <v>131.6884</v>
      </c>
      <c r="M5691">
        <v>-0.30848150000000002</v>
      </c>
      <c r="N5691">
        <v>-1.443531E-2</v>
      </c>
      <c r="O5691">
        <v>-0.95112090000000005</v>
      </c>
      <c r="P5691">
        <v>-0.12998080000000001</v>
      </c>
      <c r="Q5691">
        <v>-0.14040629999999901</v>
      </c>
      <c r="R5691">
        <v>-0.98152490000000003</v>
      </c>
      <c r="S5691">
        <v>-0.20565800000000001</v>
      </c>
      <c r="T5691">
        <v>-0.41782000000000002</v>
      </c>
      <c r="U5691">
        <v>-2.9703369999999998</v>
      </c>
      <c r="V5691">
        <v>-0.17813109999999999</v>
      </c>
      <c r="W5691">
        <v>-0.1278012</v>
      </c>
      <c r="X5691">
        <v>0.97567210000000004</v>
      </c>
      <c r="Y5691">
        <v>-0.2422165</v>
      </c>
      <c r="Z5691">
        <v>0.1127982</v>
      </c>
      <c r="AA5691">
        <v>0.96364300000000003</v>
      </c>
      <c r="AB5691">
        <v>16</v>
      </c>
      <c r="AC5691">
        <v>-0.51140000000003705</v>
      </c>
      <c r="AD5691">
        <v>-1.124134139033</v>
      </c>
      <c r="AE5691">
        <v>-7.8339999999999996</v>
      </c>
      <c r="AF5691">
        <v>-1.8916567300740701</v>
      </c>
      <c r="AG5691">
        <v>-1.124134139033</v>
      </c>
      <c r="AH5691">
        <v>7.4567434123862899</v>
      </c>
      <c r="AI5691">
        <v>98.313527212572197</v>
      </c>
      <c r="AJ5691">
        <v>104.234733629056</v>
      </c>
      <c r="AK5691">
        <v>7.7746424396971596</v>
      </c>
      <c r="AL5691">
        <v>97.342550920026</v>
      </c>
      <c r="AM5691">
        <v>100.346688820059</v>
      </c>
      <c r="AN5691">
        <v>0.99999994111352797</v>
      </c>
    </row>
    <row r="5692" spans="1:40" x14ac:dyDescent="0.25">
      <c r="A5692" t="str">
        <f>"20190303154923562"</f>
        <v>20190303154923562</v>
      </c>
      <c r="B5692" t="str">
        <f>"1551599363556393"</f>
        <v>1551599363556393</v>
      </c>
      <c r="C5692" t="s">
        <v>40</v>
      </c>
      <c r="D5692">
        <v>5.7427250000000001</v>
      </c>
      <c r="E5692">
        <v>0.47567900000000002</v>
      </c>
      <c r="F5692" t="s">
        <v>59</v>
      </c>
      <c r="G5692">
        <v>-421.6798</v>
      </c>
      <c r="H5692" s="1">
        <v>-3.0223919999999998E-6</v>
      </c>
      <c r="I5692">
        <v>123.6504</v>
      </c>
      <c r="J5692">
        <v>-421.18740000000003</v>
      </c>
      <c r="K5692">
        <v>1.123977</v>
      </c>
      <c r="L5692">
        <v>131.54</v>
      </c>
      <c r="M5692">
        <v>-0.30098330000000001</v>
      </c>
      <c r="N5692">
        <v>-1.4410829999999999E-2</v>
      </c>
      <c r="O5692">
        <v>-0.9535207</v>
      </c>
      <c r="P5692">
        <v>-0.12583150000000001</v>
      </c>
      <c r="Q5692">
        <v>-0.14124310000000001</v>
      </c>
      <c r="R5692">
        <v>-0.98194550000000003</v>
      </c>
      <c r="S5692">
        <v>-0.196106</v>
      </c>
      <c r="T5692">
        <v>-0.41550559999999997</v>
      </c>
      <c r="U5692">
        <v>-2.9710390000000002</v>
      </c>
      <c r="V5692">
        <v>-0.17458290000000001</v>
      </c>
      <c r="W5692">
        <v>-0.1285596</v>
      </c>
      <c r="X5692">
        <v>0.97621369999999996</v>
      </c>
      <c r="Y5692">
        <v>-0.23768239999999999</v>
      </c>
      <c r="Z5692">
        <v>0.11267340000000001</v>
      </c>
      <c r="AA5692">
        <v>0.96478589999999997</v>
      </c>
      <c r="AB5692">
        <v>16</v>
      </c>
      <c r="AC5692">
        <v>-0.49239999999997502</v>
      </c>
      <c r="AD5692">
        <v>-1.123980022392</v>
      </c>
      <c r="AE5692">
        <v>-7.8895999999999802</v>
      </c>
      <c r="AF5692">
        <v>-1.8675650261989001</v>
      </c>
      <c r="AG5692">
        <v>-1.123980022392</v>
      </c>
      <c r="AH5692">
        <v>7.51986654081123</v>
      </c>
      <c r="AI5692">
        <v>98.253835697357204</v>
      </c>
      <c r="AJ5692">
        <v>103.94727629225299</v>
      </c>
      <c r="AK5692">
        <v>7.8294011909870802</v>
      </c>
      <c r="AL5692">
        <v>97.386365231455102</v>
      </c>
      <c r="AM5692">
        <v>100.139403835073</v>
      </c>
      <c r="AN5692">
        <v>0.99999997389612905</v>
      </c>
    </row>
    <row r="5693" spans="1:40" x14ac:dyDescent="0.25">
      <c r="A5693" t="str">
        <f>"20190303154923583"</f>
        <v>20190303154923583</v>
      </c>
      <c r="B5693" t="str">
        <f>"1551599363576906"</f>
        <v>1551599363576906</v>
      </c>
      <c r="C5693" t="s">
        <v>40</v>
      </c>
      <c r="D5693">
        <v>5.7496109999999998</v>
      </c>
      <c r="E5693">
        <v>0.47558669999999997</v>
      </c>
      <c r="F5693" t="s">
        <v>59</v>
      </c>
      <c r="G5693">
        <v>-421.69220000000001</v>
      </c>
      <c r="H5693" s="1">
        <v>-2.9018310000000001E-6</v>
      </c>
      <c r="I5693">
        <v>123.4556</v>
      </c>
      <c r="J5693">
        <v>-421.22609999999997</v>
      </c>
      <c r="K5693">
        <v>1.123826</v>
      </c>
      <c r="L5693">
        <v>131.38570000000001</v>
      </c>
      <c r="M5693">
        <v>-0.293429</v>
      </c>
      <c r="N5693">
        <v>-1.4384279999999999E-2</v>
      </c>
      <c r="O5693">
        <v>-0.95587279999999997</v>
      </c>
      <c r="P5693">
        <v>-0.1213997</v>
      </c>
      <c r="Q5693">
        <v>-0.14231009999999999</v>
      </c>
      <c r="R5693">
        <v>-0.98234949999999999</v>
      </c>
      <c r="S5693">
        <v>-0.18554689999999999</v>
      </c>
      <c r="T5693">
        <v>-0.41319109999999998</v>
      </c>
      <c r="U5693">
        <v>-2.9719540000000002</v>
      </c>
      <c r="V5693">
        <v>-0.171261</v>
      </c>
      <c r="W5693">
        <v>-0.12955949999999999</v>
      </c>
      <c r="X5693">
        <v>0.97666980000000003</v>
      </c>
      <c r="Y5693">
        <v>-0.23343459999999999</v>
      </c>
      <c r="Z5693">
        <v>0.1125197</v>
      </c>
      <c r="AA5693">
        <v>0.96584029999999998</v>
      </c>
      <c r="AB5693">
        <v>16</v>
      </c>
      <c r="AC5693">
        <v>-0.46610000000003898</v>
      </c>
      <c r="AD5693">
        <v>-1.1238289018309999</v>
      </c>
      <c r="AE5693">
        <v>-7.9301000000000004</v>
      </c>
      <c r="AF5693">
        <v>-1.84466332627788</v>
      </c>
      <c r="AG5693">
        <v>-1.1238289018309999</v>
      </c>
      <c r="AH5693">
        <v>7.5662956508436396</v>
      </c>
      <c r="AI5693">
        <v>98.2113388156817</v>
      </c>
      <c r="AJ5693">
        <v>103.70142429400499</v>
      </c>
      <c r="AK5693">
        <v>7.8685833581325602</v>
      </c>
      <c r="AL5693">
        <v>97.444138659219803</v>
      </c>
      <c r="AM5693">
        <v>99.945812998008606</v>
      </c>
      <c r="AN5693">
        <v>0.99999994619664301</v>
      </c>
    </row>
    <row r="5694" spans="1:40" x14ac:dyDescent="0.25">
      <c r="A5694" t="str">
        <f>"20190303154923606"</f>
        <v>20190303154923606</v>
      </c>
      <c r="B5694" t="str">
        <f>"1551599363596409"</f>
        <v>1551599363596409</v>
      </c>
      <c r="C5694" t="s">
        <v>40</v>
      </c>
      <c r="D5694">
        <v>5.7464639999999996</v>
      </c>
      <c r="E5694">
        <v>0.47573700000000002</v>
      </c>
      <c r="F5694" t="s">
        <v>59</v>
      </c>
      <c r="G5694">
        <v>-421.69099999999997</v>
      </c>
      <c r="H5694" s="1">
        <v>-2.8225379999999999E-6</v>
      </c>
      <c r="I5694">
        <v>123.3313</v>
      </c>
      <c r="J5694">
        <v>-421.26389999999998</v>
      </c>
      <c r="K5694">
        <v>1.12371</v>
      </c>
      <c r="L5694">
        <v>131.2311</v>
      </c>
      <c r="M5694">
        <v>-0.28606179999999998</v>
      </c>
      <c r="N5694">
        <v>-1.435912E-2</v>
      </c>
      <c r="O5694">
        <v>-0.9581037</v>
      </c>
      <c r="P5694">
        <v>-0.1169192</v>
      </c>
      <c r="Q5694">
        <v>-0.14265990000000001</v>
      </c>
      <c r="R5694">
        <v>-0.98284190000000005</v>
      </c>
      <c r="S5694">
        <v>-0.17156979999999999</v>
      </c>
      <c r="T5694">
        <v>-0.41477310000000001</v>
      </c>
      <c r="U5694">
        <v>-2.972626</v>
      </c>
      <c r="V5694">
        <v>-0.16821749999999999</v>
      </c>
      <c r="W5694">
        <v>-0.12985949999999999</v>
      </c>
      <c r="X5694">
        <v>0.97715879999999999</v>
      </c>
      <c r="Y5694">
        <v>-0.23049649999999999</v>
      </c>
      <c r="Z5694">
        <v>0.1135022</v>
      </c>
      <c r="AA5694">
        <v>0.96643080000000003</v>
      </c>
      <c r="AB5694">
        <v>16</v>
      </c>
      <c r="AC5694">
        <v>-0.42709999999999498</v>
      </c>
      <c r="AD5694">
        <v>-1.123712822538</v>
      </c>
      <c r="AE5694">
        <v>-7.8997999999999902</v>
      </c>
      <c r="AF5694">
        <v>-1.81421396820228</v>
      </c>
      <c r="AG5694">
        <v>-1.123712822538</v>
      </c>
      <c r="AH5694">
        <v>7.5396844877603604</v>
      </c>
      <c r="AI5694">
        <v>98.244994362565194</v>
      </c>
      <c r="AJ5694">
        <v>103.52942560048</v>
      </c>
      <c r="AK5694">
        <v>7.8358755097902604</v>
      </c>
      <c r="AL5694">
        <v>97.461473671923201</v>
      </c>
      <c r="AM5694">
        <v>99.767706412820601</v>
      </c>
      <c r="AN5694">
        <v>0.99999996873196895</v>
      </c>
    </row>
    <row r="5695" spans="1:40" x14ac:dyDescent="0.25">
      <c r="A5695" t="str">
        <f>"20190303154923628"</f>
        <v>20190303154923628</v>
      </c>
      <c r="B5695" t="str">
        <f>"1551599363616905"</f>
        <v>1551599363616905</v>
      </c>
      <c r="C5695" t="s">
        <v>40</v>
      </c>
      <c r="D5695">
        <v>5.6793969999999998</v>
      </c>
      <c r="E5695">
        <v>0.4764197</v>
      </c>
      <c r="F5695" t="s">
        <v>59</v>
      </c>
      <c r="G5695">
        <v>-421.69720000000001</v>
      </c>
      <c r="H5695" s="1">
        <v>-2.6913439999999999E-6</v>
      </c>
      <c r="I5695">
        <v>123.1223</v>
      </c>
      <c r="J5695">
        <v>-421.29939999999999</v>
      </c>
      <c r="K5695">
        <v>1.1236349999999999</v>
      </c>
      <c r="L5695">
        <v>131.08150000000001</v>
      </c>
      <c r="M5695">
        <v>-0.27909479999999998</v>
      </c>
      <c r="N5695">
        <v>-1.4336750000000001E-2</v>
      </c>
      <c r="O5695">
        <v>-0.96015669999999997</v>
      </c>
      <c r="P5695">
        <v>-0.1131361</v>
      </c>
      <c r="Q5695">
        <v>-0.1431646</v>
      </c>
      <c r="R5695">
        <v>-0.98321150000000002</v>
      </c>
      <c r="S5695">
        <v>-0.15890499999999999</v>
      </c>
      <c r="T5695">
        <v>-0.41208660000000003</v>
      </c>
      <c r="U5695">
        <v>-2.9736479999999998</v>
      </c>
      <c r="V5695">
        <v>-0.16488420000000001</v>
      </c>
      <c r="W5695">
        <v>-0.13032589999999999</v>
      </c>
      <c r="X5695">
        <v>0.9776648</v>
      </c>
      <c r="Y5695">
        <v>-0.2275539</v>
      </c>
      <c r="Z5695">
        <v>0.1131364</v>
      </c>
      <c r="AA5695">
        <v>0.9671708</v>
      </c>
      <c r="AB5695">
        <v>16</v>
      </c>
      <c r="AC5695">
        <v>-0.39780000000001697</v>
      </c>
      <c r="AD5695">
        <v>-1.123637691344</v>
      </c>
      <c r="AE5695">
        <v>-7.9592000000000098</v>
      </c>
      <c r="AF5695">
        <v>-1.80375005780562</v>
      </c>
      <c r="AG5695">
        <v>-1.123637691344</v>
      </c>
      <c r="AH5695">
        <v>7.6027512032201496</v>
      </c>
      <c r="AI5695">
        <v>98.183140465167796</v>
      </c>
      <c r="AJ5695">
        <v>103.346639542587</v>
      </c>
      <c r="AK5695">
        <v>7.8941688473523399</v>
      </c>
      <c r="AL5695">
        <v>97.488424850382998</v>
      </c>
      <c r="AM5695">
        <v>99.572910669037398</v>
      </c>
      <c r="AN5695">
        <v>1.0000000503897399</v>
      </c>
    </row>
    <row r="5696" spans="1:40" x14ac:dyDescent="0.25">
      <c r="A5696" t="str">
        <f>"20190303154923652"</f>
        <v>20190303154923652</v>
      </c>
      <c r="B5696" t="str">
        <f>"1551599363646186"</f>
        <v>1551599363646186</v>
      </c>
      <c r="C5696" t="s">
        <v>40</v>
      </c>
      <c r="D5696">
        <v>5.6701739999999896</v>
      </c>
      <c r="E5696">
        <v>0.48717949999999999</v>
      </c>
      <c r="F5696" t="s">
        <v>59</v>
      </c>
      <c r="G5696">
        <v>-421.7226</v>
      </c>
      <c r="H5696" s="1">
        <v>-2.5472559999999998E-6</v>
      </c>
      <c r="I5696">
        <v>122.88500000000001</v>
      </c>
      <c r="J5696">
        <v>-421.33690000000001</v>
      </c>
      <c r="K5696">
        <v>1.1235889999999999</v>
      </c>
      <c r="L5696">
        <v>130.91919999999999</v>
      </c>
      <c r="M5696">
        <v>-0.27171529999999999</v>
      </c>
      <c r="N5696">
        <v>-1.4314840000000001E-2</v>
      </c>
      <c r="O5696">
        <v>-0.9622714</v>
      </c>
      <c r="P5696">
        <v>-0.1084813</v>
      </c>
      <c r="Q5696">
        <v>-0.1414581</v>
      </c>
      <c r="R5696">
        <v>-0.98398260000000004</v>
      </c>
      <c r="S5696">
        <v>-0.1535339</v>
      </c>
      <c r="T5696">
        <v>-0.40772520000000001</v>
      </c>
      <c r="U5696">
        <v>-2.974167</v>
      </c>
      <c r="V5696">
        <v>-0.16210669999999999</v>
      </c>
      <c r="W5696">
        <v>-0.12858929999999999</v>
      </c>
      <c r="X5696">
        <v>0.97835890000000003</v>
      </c>
      <c r="Y5696">
        <v>-0.2218318</v>
      </c>
      <c r="Z5696">
        <v>0.1123272</v>
      </c>
      <c r="AA5696">
        <v>0.96859340000000005</v>
      </c>
      <c r="AB5696">
        <v>16</v>
      </c>
      <c r="AC5696">
        <v>-0.385699999999985</v>
      </c>
      <c r="AD5696">
        <v>-1.1235915472560001</v>
      </c>
      <c r="AE5696">
        <v>-8.0341999999999807</v>
      </c>
      <c r="AF5696">
        <v>-1.7773698756532901</v>
      </c>
      <c r="AG5696">
        <v>-1.1235915472560001</v>
      </c>
      <c r="AH5696">
        <v>7.6866899172481</v>
      </c>
      <c r="AI5696">
        <v>98.105332113575699</v>
      </c>
      <c r="AJ5696">
        <v>103.01951374551901</v>
      </c>
      <c r="AK5696">
        <v>7.9691093306509799</v>
      </c>
      <c r="AL5696">
        <v>97.388081234083998</v>
      </c>
      <c r="AM5696">
        <v>99.408004709988305</v>
      </c>
      <c r="AN5696">
        <v>0.99999996373429401</v>
      </c>
    </row>
    <row r="5697" spans="1:40" x14ac:dyDescent="0.25">
      <c r="A5697" t="str">
        <f>"20190303154923674"</f>
        <v>20190303154923674</v>
      </c>
      <c r="B5697" t="str">
        <f>"1551599363666681"</f>
        <v>1551599363666681</v>
      </c>
      <c r="C5697" t="s">
        <v>40</v>
      </c>
      <c r="D5697">
        <v>5.7078049999999996</v>
      </c>
      <c r="E5697">
        <v>0.4694198</v>
      </c>
      <c r="F5697" t="s">
        <v>59</v>
      </c>
      <c r="G5697">
        <v>-422.0847</v>
      </c>
      <c r="H5697" s="1">
        <v>-1.512164E-6</v>
      </c>
      <c r="I5697">
        <v>121.105</v>
      </c>
      <c r="J5697">
        <v>-421.37150000000003</v>
      </c>
      <c r="K5697">
        <v>1.1235569999999999</v>
      </c>
      <c r="L5697">
        <v>130.76519999999999</v>
      </c>
      <c r="M5697">
        <v>-0.26486189999999998</v>
      </c>
      <c r="N5697">
        <v>-1.429557E-2</v>
      </c>
      <c r="O5697">
        <v>-0.96418040000000005</v>
      </c>
      <c r="P5697">
        <v>-0.1035609</v>
      </c>
      <c r="Q5697">
        <v>-0.13899779999999901</v>
      </c>
      <c r="R5697">
        <v>-0.98486300000000004</v>
      </c>
      <c r="S5697">
        <v>-0.2266541</v>
      </c>
      <c r="T5697">
        <v>-0.34058240000000001</v>
      </c>
      <c r="U5697">
        <v>-2.974869</v>
      </c>
      <c r="V5697">
        <v>-0.16016440000000001</v>
      </c>
      <c r="W5697">
        <v>-0.12610669999999999</v>
      </c>
      <c r="X5697">
        <v>0.97900180000000003</v>
      </c>
      <c r="Y5697">
        <v>-0.1910114</v>
      </c>
      <c r="Z5697">
        <v>9.2416150000000002E-2</v>
      </c>
      <c r="AA5697">
        <v>0.97722770000000003</v>
      </c>
      <c r="AB5697">
        <v>16</v>
      </c>
      <c r="AC5697">
        <v>-0.71319999999997197</v>
      </c>
      <c r="AD5697">
        <v>-1.1235585121639999</v>
      </c>
      <c r="AE5697">
        <v>-9.6601999999999801</v>
      </c>
      <c r="AF5697">
        <v>-1.84631590949267</v>
      </c>
      <c r="AG5697">
        <v>-1.1235585121639999</v>
      </c>
      <c r="AH5697">
        <v>9.3778740987523808</v>
      </c>
      <c r="AI5697">
        <v>96.704515145158197</v>
      </c>
      <c r="AJ5697">
        <v>101.13794279259599</v>
      </c>
      <c r="AK5697">
        <v>9.6237097202665396</v>
      </c>
      <c r="AL5697">
        <v>97.244670576271602</v>
      </c>
      <c r="AM5697">
        <v>99.291262653875904</v>
      </c>
      <c r="AN5697">
        <v>1.00000002960774</v>
      </c>
    </row>
    <row r="5698" spans="1:40" x14ac:dyDescent="0.25">
      <c r="A5698" t="str">
        <f>"20190303154923696"</f>
        <v>20190303154923696</v>
      </c>
      <c r="B5698" t="str">
        <f>"1551599363686201"</f>
        <v>1551599363686201</v>
      </c>
      <c r="C5698" t="s">
        <v>40</v>
      </c>
      <c r="D5698">
        <v>5.7463249999999997</v>
      </c>
      <c r="E5698">
        <v>0.46604780000000001</v>
      </c>
      <c r="F5698" t="s">
        <v>59</v>
      </c>
      <c r="G5698">
        <v>-421.59879999999998</v>
      </c>
      <c r="H5698" s="1">
        <v>-1.381868E-6</v>
      </c>
      <c r="I5698">
        <v>121.10339999999999</v>
      </c>
      <c r="J5698">
        <v>-421.4042</v>
      </c>
      <c r="K5698">
        <v>1.1235189999999999</v>
      </c>
      <c r="L5698">
        <v>130.6148</v>
      </c>
      <c r="M5698">
        <v>-0.25829669999999999</v>
      </c>
      <c r="N5698">
        <v>-1.427732E-2</v>
      </c>
      <c r="O5698">
        <v>-0.96596009999999999</v>
      </c>
      <c r="P5698">
        <v>-9.8644720000000005E-2</v>
      </c>
      <c r="Q5698">
        <v>-0.1375468</v>
      </c>
      <c r="R5698">
        <v>-0.98557099999999997</v>
      </c>
      <c r="S5698">
        <v>-7.0343020000000006E-2</v>
      </c>
      <c r="T5698">
        <v>-0.34766720000000001</v>
      </c>
      <c r="U5698">
        <v>-2.9896850000000001</v>
      </c>
      <c r="V5698">
        <v>-0.15847169999999999</v>
      </c>
      <c r="W5698">
        <v>-0.1246348</v>
      </c>
      <c r="X5698">
        <v>0.97946560000000005</v>
      </c>
      <c r="Y5698">
        <v>-0.2353884</v>
      </c>
      <c r="Z5698">
        <v>9.3862420000000002E-2</v>
      </c>
      <c r="AA5698">
        <v>0.96735839999999995</v>
      </c>
      <c r="AB5698">
        <v>16</v>
      </c>
      <c r="AC5698">
        <v>-0.19459999999997901</v>
      </c>
      <c r="AD5698">
        <v>-1.123520381868</v>
      </c>
      <c r="AE5698">
        <v>-9.5114000000000001</v>
      </c>
      <c r="AF5698">
        <v>-2.23780728516136</v>
      </c>
      <c r="AG5698">
        <v>-1.123520381868</v>
      </c>
      <c r="AH5698">
        <v>9.1117546770206008</v>
      </c>
      <c r="AI5698">
        <v>96.828426665355593</v>
      </c>
      <c r="AJ5698">
        <v>103.798491772974</v>
      </c>
      <c r="AK5698">
        <v>9.4495583382611592</v>
      </c>
      <c r="AL5698">
        <v>97.159666529504094</v>
      </c>
      <c r="AM5698">
        <v>99.190474133157295</v>
      </c>
      <c r="AN5698">
        <v>0.99999998732764495</v>
      </c>
    </row>
    <row r="5699" spans="1:40" x14ac:dyDescent="0.25">
      <c r="A5699" t="str">
        <f>"20190303154923718"</f>
        <v>20190303154923718</v>
      </c>
      <c r="B5699" t="str">
        <f>"1551599363706697"</f>
        <v>1551599363706697</v>
      </c>
      <c r="C5699" t="s">
        <v>40</v>
      </c>
      <c r="D5699">
        <v>5.7277430000000003</v>
      </c>
      <c r="E5699">
        <v>0.4654816</v>
      </c>
      <c r="F5699" t="s">
        <v>41</v>
      </c>
      <c r="G5699">
        <v>-421.51459999999997</v>
      </c>
      <c r="H5699" s="1">
        <v>-4.5109369999999998E-6</v>
      </c>
      <c r="I5699">
        <v>119.4529</v>
      </c>
      <c r="J5699">
        <v>-421.43639999999999</v>
      </c>
      <c r="K5699">
        <v>1.1234580000000001</v>
      </c>
      <c r="L5699">
        <v>130.4632</v>
      </c>
      <c r="M5699">
        <v>-0.25179889999999999</v>
      </c>
      <c r="N5699">
        <v>-1.425916E-2</v>
      </c>
      <c r="O5699">
        <v>-0.9676747</v>
      </c>
      <c r="P5699">
        <v>-9.4328560000000006E-2</v>
      </c>
      <c r="Q5699">
        <v>-0.1369484</v>
      </c>
      <c r="R5699">
        <v>-0.98607679999999998</v>
      </c>
      <c r="S5699">
        <v>-2.966309E-2</v>
      </c>
      <c r="T5699">
        <v>-0.30185430000000002</v>
      </c>
      <c r="U5699">
        <v>-2.99884</v>
      </c>
      <c r="V5699">
        <v>-0.15622549999999999</v>
      </c>
      <c r="W5699">
        <v>-0.12400799999999999</v>
      </c>
      <c r="X5699">
        <v>0.9799059</v>
      </c>
      <c r="Y5699">
        <v>-0.2420524</v>
      </c>
      <c r="Z5699">
        <v>7.9649139999999993E-2</v>
      </c>
      <c r="AA5699">
        <v>0.96698839999999997</v>
      </c>
      <c r="AB5699">
        <v>16</v>
      </c>
      <c r="AC5699">
        <v>-7.8199999999981104E-2</v>
      </c>
      <c r="AD5699">
        <v>-1.123462510937</v>
      </c>
      <c r="AE5699">
        <v>-11.010300000000001</v>
      </c>
      <c r="AF5699">
        <v>-2.6691937451436001</v>
      </c>
      <c r="AG5699">
        <v>-1.123462510937</v>
      </c>
      <c r="AH5699">
        <v>10.565167843399101</v>
      </c>
      <c r="AI5699">
        <v>95.886234455350206</v>
      </c>
      <c r="AJ5699">
        <v>104.17856761589201</v>
      </c>
      <c r="AK5699">
        <v>10.95488634454</v>
      </c>
      <c r="AL5699">
        <v>97.123472781446495</v>
      </c>
      <c r="AM5699">
        <v>99.058379504556399</v>
      </c>
      <c r="AN5699">
        <v>0.99999998188452899</v>
      </c>
    </row>
    <row r="5700" spans="1:40" x14ac:dyDescent="0.25">
      <c r="A5700" t="str">
        <f>"20190303154923741"</f>
        <v>20190303154923741</v>
      </c>
      <c r="B5700" t="str">
        <f>"1551599363736953"</f>
        <v>1551599363736953</v>
      </c>
      <c r="C5700" t="s">
        <v>40</v>
      </c>
      <c r="D5700">
        <v>5.6352180000000001</v>
      </c>
      <c r="E5700">
        <v>0.46663199999999999</v>
      </c>
      <c r="F5700" t="s">
        <v>41</v>
      </c>
      <c r="G5700">
        <v>-421.48840000000001</v>
      </c>
      <c r="H5700" s="1">
        <v>-4.1826249999999996E-6</v>
      </c>
      <c r="I5700">
        <v>118.5018</v>
      </c>
      <c r="J5700">
        <v>-421.4683</v>
      </c>
      <c r="K5700">
        <v>1.123397</v>
      </c>
      <c r="L5700">
        <v>130.30860000000001</v>
      </c>
      <c r="M5700">
        <v>-0.24529090000000001</v>
      </c>
      <c r="N5700">
        <v>-1.424079E-2</v>
      </c>
      <c r="O5700">
        <v>-0.96934509999999996</v>
      </c>
      <c r="P5700">
        <v>-9.0381409999999995E-2</v>
      </c>
      <c r="Q5700">
        <v>-0.13562199999999999</v>
      </c>
      <c r="R5700">
        <v>-0.98662989999999995</v>
      </c>
      <c r="S5700">
        <v>-1.306152E-2</v>
      </c>
      <c r="T5700">
        <v>-0.28195550000000003</v>
      </c>
      <c r="U5700">
        <v>-3.0019680000000002</v>
      </c>
      <c r="V5700">
        <v>-0.1536429</v>
      </c>
      <c r="W5700">
        <v>-0.12264600000000001</v>
      </c>
      <c r="X5700">
        <v>0.98048550000000001</v>
      </c>
      <c r="Y5700">
        <v>-0.2409038</v>
      </c>
      <c r="Z5700">
        <v>7.3675630000000006E-2</v>
      </c>
      <c r="AA5700">
        <v>0.96774859999999896</v>
      </c>
      <c r="AB5700">
        <v>16</v>
      </c>
      <c r="AC5700">
        <v>-2.0100000000013499E-2</v>
      </c>
      <c r="AD5700">
        <v>-1.1234011826250001</v>
      </c>
      <c r="AE5700">
        <v>-11.806800000000001</v>
      </c>
      <c r="AF5700">
        <v>-2.8510963312956101</v>
      </c>
      <c r="AG5700">
        <v>-1.1234011826250001</v>
      </c>
      <c r="AH5700">
        <v>11.348215137126999</v>
      </c>
      <c r="AI5700">
        <v>95.484153811263695</v>
      </c>
      <c r="AJ5700">
        <v>104.102952615847</v>
      </c>
      <c r="AK5700">
        <v>11.754691289267001</v>
      </c>
      <c r="AL5700">
        <v>97.044835492327607</v>
      </c>
      <c r="AM5700">
        <v>98.905872945582104</v>
      </c>
      <c r="AN5700">
        <v>0.99999999887332902</v>
      </c>
    </row>
    <row r="5701" spans="1:40" x14ac:dyDescent="0.25">
      <c r="A5701" t="str">
        <f>"20190303154923763"</f>
        <v>20190303154923763</v>
      </c>
      <c r="B5701" t="str">
        <f>"1551599363756474"</f>
        <v>1551599363756474</v>
      </c>
      <c r="C5701" t="s">
        <v>40</v>
      </c>
      <c r="D5701">
        <v>5.7888299999999999</v>
      </c>
      <c r="E5701">
        <v>0.46565839999999997</v>
      </c>
      <c r="F5701" t="s">
        <v>41</v>
      </c>
      <c r="G5701">
        <v>-421.51280000000003</v>
      </c>
      <c r="H5701" s="1">
        <v>-3.8997449999999999E-6</v>
      </c>
      <c r="I5701">
        <v>117.74120000000001</v>
      </c>
      <c r="J5701">
        <v>-421.49860000000001</v>
      </c>
      <c r="K5701">
        <v>1.1233340000000001</v>
      </c>
      <c r="L5701">
        <v>130.1575</v>
      </c>
      <c r="M5701">
        <v>-0.23906749999999999</v>
      </c>
      <c r="N5701">
        <v>-1.422285E-2</v>
      </c>
      <c r="O5701">
        <v>-0.97089879999999995</v>
      </c>
      <c r="P5701">
        <v>-8.7001149999999999E-2</v>
      </c>
      <c r="Q5701">
        <v>-0.13198389999999999</v>
      </c>
      <c r="R5701">
        <v>-0.98742660000000004</v>
      </c>
      <c r="S5701">
        <v>-1.062012E-2</v>
      </c>
      <c r="T5701">
        <v>-0.26841900000000002</v>
      </c>
      <c r="U5701">
        <v>-3.002777</v>
      </c>
      <c r="V5701">
        <v>-0.15087990000000001</v>
      </c>
      <c r="W5701">
        <v>-0.11896669999999999</v>
      </c>
      <c r="X5701">
        <v>0.98136749999999995</v>
      </c>
      <c r="Y5701">
        <v>-0.23547580000000001</v>
      </c>
      <c r="Z5701">
        <v>6.9746450000000002E-2</v>
      </c>
      <c r="AA5701">
        <v>0.96937430000000002</v>
      </c>
      <c r="AB5701">
        <v>16</v>
      </c>
      <c r="AC5701">
        <v>-1.42000000000166E-2</v>
      </c>
      <c r="AD5701">
        <v>-1.1233378997450001</v>
      </c>
      <c r="AE5701">
        <v>-12.4162999999999</v>
      </c>
      <c r="AF5701">
        <v>-2.9308558580778801</v>
      </c>
      <c r="AG5701">
        <v>-1.1233378997450001</v>
      </c>
      <c r="AH5701">
        <v>11.9616749380827</v>
      </c>
      <c r="AI5701">
        <v>95.211717048590401</v>
      </c>
      <c r="AJ5701">
        <v>103.76741001573799</v>
      </c>
      <c r="AK5701">
        <v>12.3666273260816</v>
      </c>
      <c r="AL5701">
        <v>96.832471698269401</v>
      </c>
      <c r="AM5701">
        <v>98.740475038189302</v>
      </c>
      <c r="AN5701">
        <v>0.99999999499457404</v>
      </c>
    </row>
    <row r="5702" spans="1:40" x14ac:dyDescent="0.25">
      <c r="A5702" t="str">
        <f>"20190303154923784"</f>
        <v>20190303154923784</v>
      </c>
      <c r="B5702" t="str">
        <f>"1551599363776973"</f>
        <v>1551599363776973</v>
      </c>
      <c r="C5702" t="s">
        <v>40</v>
      </c>
      <c r="D5702">
        <v>5.7163309999999896</v>
      </c>
      <c r="E5702">
        <v>0.46595569999999997</v>
      </c>
      <c r="F5702" t="s">
        <v>41</v>
      </c>
      <c r="G5702">
        <v>-421.4665</v>
      </c>
      <c r="H5702" s="1">
        <v>-3.782262E-6</v>
      </c>
      <c r="I5702">
        <v>117.4961</v>
      </c>
      <c r="J5702">
        <v>-421.52760000000001</v>
      </c>
      <c r="K5702">
        <v>1.1232869999999999</v>
      </c>
      <c r="L5702">
        <v>130.0087</v>
      </c>
      <c r="M5702">
        <v>-0.2330488</v>
      </c>
      <c r="N5702">
        <v>-1.4206089999999999E-2</v>
      </c>
      <c r="O5702">
        <v>-0.97236140000000004</v>
      </c>
      <c r="P5702">
        <v>-8.4092890000000003E-2</v>
      </c>
      <c r="Q5702">
        <v>-0.1286175</v>
      </c>
      <c r="R5702">
        <v>-0.98812279999999997</v>
      </c>
      <c r="S5702">
        <v>7.59887699999999E-3</v>
      </c>
      <c r="T5702">
        <v>-0.26645400000000002</v>
      </c>
      <c r="U5702">
        <v>-3.0032649999999999</v>
      </c>
      <c r="V5702">
        <v>-0.14783740000000001</v>
      </c>
      <c r="W5702">
        <v>-0.1155629</v>
      </c>
      <c r="X5702">
        <v>0.98223689999999997</v>
      </c>
      <c r="Y5702">
        <v>-0.23533889999999999</v>
      </c>
      <c r="Z5702">
        <v>6.9323280000000001E-2</v>
      </c>
      <c r="AA5702">
        <v>0.96943800000000002</v>
      </c>
      <c r="AB5702">
        <v>16</v>
      </c>
      <c r="AC5702">
        <v>6.1100000000010299E-2</v>
      </c>
      <c r="AD5702">
        <v>-1.123290782262</v>
      </c>
      <c r="AE5702">
        <v>-12.512600000000001</v>
      </c>
      <c r="AF5702">
        <v>-2.9519678294138298</v>
      </c>
      <c r="AG5702">
        <v>-1.123290782262</v>
      </c>
      <c r="AH5702">
        <v>12.0565913494168</v>
      </c>
      <c r="AI5702">
        <v>95.170906375459197</v>
      </c>
      <c r="AJ5702">
        <v>103.75779563636399</v>
      </c>
      <c r="AK5702">
        <v>12.463438177896199</v>
      </c>
      <c r="AL5702">
        <v>96.636093285615701</v>
      </c>
      <c r="AM5702">
        <v>98.559394030747399</v>
      </c>
      <c r="AN5702">
        <v>1.0000000042083801</v>
      </c>
    </row>
    <row r="5703" spans="1:40" x14ac:dyDescent="0.25">
      <c r="A5703" t="str">
        <f>"20190303154923808"</f>
        <v>20190303154923808</v>
      </c>
      <c r="B5703" t="str">
        <f>"1551599363796490"</f>
        <v>1551599363796490</v>
      </c>
      <c r="C5703" t="s">
        <v>40</v>
      </c>
      <c r="D5703">
        <v>5.7027479999999997</v>
      </c>
      <c r="E5703">
        <v>0.46599829999999998</v>
      </c>
      <c r="F5703" t="s">
        <v>41</v>
      </c>
      <c r="G5703">
        <v>-421.46370000000002</v>
      </c>
      <c r="H5703" s="1">
        <v>-3.4943970000000001E-6</v>
      </c>
      <c r="I5703">
        <v>116.82680000000001</v>
      </c>
      <c r="J5703">
        <v>-421.55720000000002</v>
      </c>
      <c r="K5703">
        <v>1.1232519999999999</v>
      </c>
      <c r="L5703">
        <v>129.852</v>
      </c>
      <c r="M5703">
        <v>-0.22682730000000001</v>
      </c>
      <c r="N5703">
        <v>-1.4189459999999999E-2</v>
      </c>
      <c r="O5703">
        <v>-0.97383169999999997</v>
      </c>
      <c r="P5703">
        <v>-8.1108020000000003E-2</v>
      </c>
      <c r="Q5703">
        <v>-0.12603339999999999</v>
      </c>
      <c r="R5703">
        <v>-0.98870480000000005</v>
      </c>
      <c r="S5703">
        <v>1.4556879999999999E-2</v>
      </c>
      <c r="T5703">
        <v>-0.25598480000000001</v>
      </c>
      <c r="U5703">
        <v>-3.0039980000000002</v>
      </c>
      <c r="V5703">
        <v>-0.1446346</v>
      </c>
      <c r="W5703">
        <v>-0.1129463</v>
      </c>
      <c r="X5703">
        <v>0.98301780000000005</v>
      </c>
      <c r="Y5703">
        <v>-0.2313798</v>
      </c>
      <c r="Z5703">
        <v>6.6283110000000006E-2</v>
      </c>
      <c r="AA5703">
        <v>0.97060290000000005</v>
      </c>
      <c r="AB5703">
        <v>16</v>
      </c>
      <c r="AC5703">
        <v>9.3500000000005898E-2</v>
      </c>
      <c r="AD5703">
        <v>-1.1232554943969999</v>
      </c>
      <c r="AE5703">
        <v>-13.0251999999999</v>
      </c>
      <c r="AF5703">
        <v>-3.0233476447353098</v>
      </c>
      <c r="AG5703">
        <v>-1.1232554943969999</v>
      </c>
      <c r="AH5703">
        <v>12.570935198494</v>
      </c>
      <c r="AI5703">
        <v>94.965170945987097</v>
      </c>
      <c r="AJ5703">
        <v>103.522980407988</v>
      </c>
      <c r="AK5703">
        <v>12.9780871337557</v>
      </c>
      <c r="AL5703">
        <v>96.485184813044199</v>
      </c>
      <c r="AM5703">
        <v>98.370059920303206</v>
      </c>
      <c r="AN5703">
        <v>1.0000000146588399</v>
      </c>
    </row>
    <row r="5704" spans="1:40" x14ac:dyDescent="0.25">
      <c r="A5704" t="str">
        <f>"20190303154923830"</f>
        <v>20190303154923830</v>
      </c>
      <c r="B5704" t="str">
        <f>"1551599363826746"</f>
        <v>1551599363826746</v>
      </c>
      <c r="C5704" t="s">
        <v>40</v>
      </c>
      <c r="D5704">
        <v>5.6606610000000002</v>
      </c>
      <c r="E5704">
        <v>0.46664230000000001</v>
      </c>
      <c r="F5704" t="s">
        <v>41</v>
      </c>
      <c r="G5704">
        <v>-421.45249999999999</v>
      </c>
      <c r="H5704" s="1">
        <v>-3.3403800000000001E-6</v>
      </c>
      <c r="I5704">
        <v>116.4747</v>
      </c>
      <c r="J5704">
        <v>-421.58569999999997</v>
      </c>
      <c r="K5704">
        <v>1.1232089999999999</v>
      </c>
      <c r="L5704">
        <v>129.697</v>
      </c>
      <c r="M5704">
        <v>-0.22080079999999999</v>
      </c>
      <c r="N5704">
        <v>-1.417358E-2</v>
      </c>
      <c r="O5704">
        <v>-0.97521599999999997</v>
      </c>
      <c r="P5704">
        <v>-7.8565979999999994E-2</v>
      </c>
      <c r="Q5704">
        <v>-0.1243532</v>
      </c>
      <c r="R5704">
        <v>-0.98912270000000002</v>
      </c>
      <c r="S5704">
        <v>2.3498539999999998E-2</v>
      </c>
      <c r="T5704">
        <v>-0.25224029999999997</v>
      </c>
      <c r="U5704">
        <v>-3.0040279999999999</v>
      </c>
      <c r="V5704">
        <v>-0.1411568</v>
      </c>
      <c r="W5704">
        <v>-0.1112356</v>
      </c>
      <c r="X5704">
        <v>0.98371819999999999</v>
      </c>
      <c r="Y5704">
        <v>-0.2282575</v>
      </c>
      <c r="Z5704">
        <v>6.5327179999999999E-2</v>
      </c>
      <c r="AA5704">
        <v>0.97140660000000001</v>
      </c>
      <c r="AB5704">
        <v>16</v>
      </c>
      <c r="AC5704">
        <v>0.13319999999998799</v>
      </c>
      <c r="AD5704">
        <v>-1.1232123403799901</v>
      </c>
      <c r="AE5704">
        <v>-13.222300000000001</v>
      </c>
      <c r="AF5704">
        <v>-3.02785190727977</v>
      </c>
      <c r="AG5704">
        <v>-1.1232123403799901</v>
      </c>
      <c r="AH5704">
        <v>12.7743066095472</v>
      </c>
      <c r="AI5704">
        <v>94.890142565400495</v>
      </c>
      <c r="AJ5704">
        <v>103.33454628686999</v>
      </c>
      <c r="AK5704">
        <v>13.176205921611899</v>
      </c>
      <c r="AL5704">
        <v>96.386547073564699</v>
      </c>
      <c r="AM5704">
        <v>98.165809558801996</v>
      </c>
      <c r="AN5704">
        <v>1.0000000489524099</v>
      </c>
    </row>
    <row r="5705" spans="1:40" x14ac:dyDescent="0.25">
      <c r="A5705" t="str">
        <f>"20190303154923852"</f>
        <v>20190303154923852</v>
      </c>
      <c r="B5705" t="str">
        <f>"1551599363846266"</f>
        <v>1551599363846266</v>
      </c>
      <c r="C5705" t="s">
        <v>40</v>
      </c>
      <c r="D5705">
        <v>5.6416120000000003</v>
      </c>
      <c r="E5705">
        <v>0.46695999999999999</v>
      </c>
      <c r="F5705" t="s">
        <v>41</v>
      </c>
      <c r="G5705">
        <v>-421.4674</v>
      </c>
      <c r="H5705" s="1">
        <v>-3.1010270000000002E-6</v>
      </c>
      <c r="I5705">
        <v>115.9075</v>
      </c>
      <c r="J5705">
        <v>-421.61239999999998</v>
      </c>
      <c r="K5705">
        <v>1.1231709999999999</v>
      </c>
      <c r="L5705">
        <v>129.54730000000001</v>
      </c>
      <c r="M5705">
        <v>-0.21510029999999999</v>
      </c>
      <c r="N5705">
        <v>-1.4158250000000001E-2</v>
      </c>
      <c r="O5705">
        <v>-0.97648950000000001</v>
      </c>
      <c r="P5705">
        <v>-7.6856679999999997E-2</v>
      </c>
      <c r="Q5705">
        <v>-0.12295150000000001</v>
      </c>
      <c r="R5705">
        <v>-0.9894326</v>
      </c>
      <c r="S5705">
        <v>2.575684E-2</v>
      </c>
      <c r="T5705">
        <v>-0.2447095</v>
      </c>
      <c r="U5705">
        <v>-3.004257</v>
      </c>
      <c r="V5705">
        <v>-0.13717409999999999</v>
      </c>
      <c r="W5705">
        <v>-0.1098002</v>
      </c>
      <c r="X5705">
        <v>0.98444259999999995</v>
      </c>
      <c r="Y5705">
        <v>-0.22330720000000001</v>
      </c>
      <c r="Z5705">
        <v>6.3177369999999997E-2</v>
      </c>
      <c r="AA5705">
        <v>0.97269859999999997</v>
      </c>
      <c r="AB5705">
        <v>16</v>
      </c>
      <c r="AC5705">
        <v>0.14499999999998101</v>
      </c>
      <c r="AD5705">
        <v>-1.123174101027</v>
      </c>
      <c r="AE5705">
        <v>-13.639799999999999</v>
      </c>
      <c r="AF5705">
        <v>-3.0551102097488898</v>
      </c>
      <c r="AG5705">
        <v>-1.123174101027</v>
      </c>
      <c r="AH5705">
        <v>13.199767414466001</v>
      </c>
      <c r="AI5705">
        <v>94.738925042501805</v>
      </c>
      <c r="AJ5705">
        <v>103.03174334511699</v>
      </c>
      <c r="AK5705">
        <v>13.5951858483409</v>
      </c>
      <c r="AL5705">
        <v>96.303797947890601</v>
      </c>
      <c r="AM5705">
        <v>97.932625409855305</v>
      </c>
      <c r="AN5705">
        <v>1.0000000251628001</v>
      </c>
    </row>
    <row r="5706" spans="1:40" x14ac:dyDescent="0.25">
      <c r="A5706" t="str">
        <f>"20190303154923875"</f>
        <v>20190303154923875</v>
      </c>
      <c r="B5706" t="str">
        <f>"1551599363866761"</f>
        <v>1551599363866761</v>
      </c>
      <c r="C5706" t="s">
        <v>40</v>
      </c>
      <c r="D5706">
        <v>5.6660120000000003</v>
      </c>
      <c r="E5706">
        <v>0.467304</v>
      </c>
      <c r="F5706" t="s">
        <v>41</v>
      </c>
      <c r="G5706">
        <v>-421.47750000000002</v>
      </c>
      <c r="H5706" s="1">
        <v>-2.9052710000000002E-6</v>
      </c>
      <c r="I5706">
        <v>115.44499999999999</v>
      </c>
      <c r="J5706">
        <v>-421.63940000000002</v>
      </c>
      <c r="K5706">
        <v>1.12313</v>
      </c>
      <c r="L5706">
        <v>129.3913</v>
      </c>
      <c r="M5706">
        <v>-0.20927899999999999</v>
      </c>
      <c r="N5706">
        <v>-1.414204E-2</v>
      </c>
      <c r="O5706">
        <v>-0.97775369999999995</v>
      </c>
      <c r="P5706">
        <v>-7.4935260000000004E-2</v>
      </c>
      <c r="Q5706">
        <v>-0.1213743</v>
      </c>
      <c r="R5706">
        <v>-0.98977400000000004</v>
      </c>
      <c r="S5706">
        <v>2.8747559999999998E-2</v>
      </c>
      <c r="T5706">
        <v>-0.2392948</v>
      </c>
      <c r="U5706">
        <v>-3.0045320000000002</v>
      </c>
      <c r="V5706">
        <v>-0.13328970000000001</v>
      </c>
      <c r="W5706">
        <v>-0.1081891</v>
      </c>
      <c r="X5706">
        <v>0.98515430000000004</v>
      </c>
      <c r="Y5706">
        <v>-0.21847320000000001</v>
      </c>
      <c r="Z5706">
        <v>6.1677299999999997E-2</v>
      </c>
      <c r="AA5706">
        <v>0.97389190000000003</v>
      </c>
      <c r="AB5706">
        <v>16</v>
      </c>
      <c r="AC5706">
        <v>0.16190000000000199</v>
      </c>
      <c r="AD5706">
        <v>-1.123132905271</v>
      </c>
      <c r="AE5706">
        <v>-13.946300000000001</v>
      </c>
      <c r="AF5706">
        <v>-3.05744734714207</v>
      </c>
      <c r="AG5706">
        <v>-1.123132905271</v>
      </c>
      <c r="AH5706">
        <v>13.5158790024906</v>
      </c>
      <c r="AI5706">
        <v>94.633662561537804</v>
      </c>
      <c r="AJ5706">
        <v>102.746435753878</v>
      </c>
      <c r="AK5706">
        <v>13.902819750446801</v>
      </c>
      <c r="AL5706">
        <v>96.210935559589402</v>
      </c>
      <c r="AM5706">
        <v>97.705232406589204</v>
      </c>
      <c r="AN5706">
        <v>1.0000000101466899</v>
      </c>
    </row>
    <row r="5707" spans="1:40" x14ac:dyDescent="0.25">
      <c r="A5707" t="str">
        <f>"20190303154923897"</f>
        <v>20190303154923897</v>
      </c>
      <c r="B5707" t="str">
        <f>"1551599363886281"</f>
        <v>1551599363886281</v>
      </c>
      <c r="C5707" t="s">
        <v>40</v>
      </c>
      <c r="D5707">
        <v>5.6178730000000003</v>
      </c>
      <c r="E5707">
        <v>0.46771430000000003</v>
      </c>
      <c r="F5707" t="s">
        <v>41</v>
      </c>
      <c r="G5707">
        <v>-421.48750000000001</v>
      </c>
      <c r="H5707" s="1">
        <v>-2.7494779999999999E-6</v>
      </c>
      <c r="I5707">
        <v>115.07559999999999</v>
      </c>
      <c r="J5707">
        <v>-421.6644</v>
      </c>
      <c r="K5707">
        <v>1.123092</v>
      </c>
      <c r="L5707">
        <v>129.2431</v>
      </c>
      <c r="M5707">
        <v>-0.20384730000000001</v>
      </c>
      <c r="N5707">
        <v>-1.412683E-2</v>
      </c>
      <c r="O5707">
        <v>-0.97890080000000002</v>
      </c>
      <c r="P5707">
        <v>-7.4967880000000001E-2</v>
      </c>
      <c r="Q5707">
        <v>-0.1188018</v>
      </c>
      <c r="R5707">
        <v>-0.99008410000000002</v>
      </c>
      <c r="S5707">
        <v>3.1890870000000002E-2</v>
      </c>
      <c r="T5707">
        <v>-0.23571719999999999</v>
      </c>
      <c r="U5707">
        <v>-3.0045009999999999</v>
      </c>
      <c r="V5707">
        <v>-0.12788749999999999</v>
      </c>
      <c r="W5707">
        <v>-0.10557</v>
      </c>
      <c r="X5707">
        <v>0.98615399999999998</v>
      </c>
      <c r="Y5707">
        <v>-0.21407860000000001</v>
      </c>
      <c r="Z5707">
        <v>6.0736680000000001E-2</v>
      </c>
      <c r="AA5707">
        <v>0.97492639999999997</v>
      </c>
      <c r="AB5707">
        <v>16</v>
      </c>
      <c r="AC5707">
        <v>0.17689999999998901</v>
      </c>
      <c r="AD5707">
        <v>-1.1230947494779999</v>
      </c>
      <c r="AE5707">
        <v>-14.1675</v>
      </c>
      <c r="AF5707">
        <v>-3.0423638928930301</v>
      </c>
      <c r="AG5707">
        <v>-1.1230947494779999</v>
      </c>
      <c r="AH5707">
        <v>13.7475185472679</v>
      </c>
      <c r="AI5707">
        <v>94.560512448970201</v>
      </c>
      <c r="AJ5707">
        <v>102.478596139088</v>
      </c>
      <c r="AK5707">
        <v>14.1248570286768</v>
      </c>
      <c r="AL5707">
        <v>96.060007837227801</v>
      </c>
      <c r="AM5707">
        <v>97.389055681822995</v>
      </c>
      <c r="AN5707">
        <v>0.999999974636124</v>
      </c>
    </row>
    <row r="5708" spans="1:40" x14ac:dyDescent="0.25">
      <c r="A5708" t="str">
        <f>"20190303154923931"</f>
        <v>20190303154923931</v>
      </c>
      <c r="B5708" t="str">
        <f>"1551599363926298"</f>
        <v>1551599363926298</v>
      </c>
      <c r="C5708" t="s">
        <v>40</v>
      </c>
      <c r="D5708">
        <v>5.6622940000000002</v>
      </c>
      <c r="E5708">
        <v>0.46794459999999999</v>
      </c>
      <c r="F5708" t="s">
        <v>41</v>
      </c>
      <c r="G5708">
        <v>-421.52260000000001</v>
      </c>
      <c r="H5708" s="1">
        <v>-2.5087549999999998E-6</v>
      </c>
      <c r="I5708">
        <v>114.4927</v>
      </c>
      <c r="J5708">
        <v>-421.70119999999997</v>
      </c>
      <c r="K5708">
        <v>1.123022</v>
      </c>
      <c r="L5708">
        <v>129.01490000000001</v>
      </c>
      <c r="M5708">
        <v>-0.19567889999999999</v>
      </c>
      <c r="N5708">
        <v>-1.4104739999999999E-2</v>
      </c>
      <c r="O5708">
        <v>-0.98056659999999995</v>
      </c>
      <c r="P5708">
        <v>-7.1421559999999995E-2</v>
      </c>
      <c r="Q5708">
        <v>-0.1157697</v>
      </c>
      <c r="R5708">
        <v>-0.99070519999999995</v>
      </c>
      <c r="S5708">
        <v>2.886963E-2</v>
      </c>
      <c r="T5708">
        <v>-0.22878399999999999</v>
      </c>
      <c r="U5708">
        <v>-3.0047760000000001</v>
      </c>
      <c r="V5708">
        <v>-0.12330960000000001</v>
      </c>
      <c r="W5708">
        <v>-0.10249750000000001</v>
      </c>
      <c r="X5708">
        <v>0.98706079999999996</v>
      </c>
      <c r="Y5708">
        <v>-0.20495669999999999</v>
      </c>
      <c r="Z5708">
        <v>5.8827480000000001E-2</v>
      </c>
      <c r="AA5708">
        <v>0.97700160000000003</v>
      </c>
      <c r="AB5708">
        <v>16</v>
      </c>
      <c r="AC5708">
        <v>0.17859999999996001</v>
      </c>
      <c r="AD5708">
        <v>-1.1230245087549999</v>
      </c>
      <c r="AE5708">
        <v>-14.5222</v>
      </c>
      <c r="AF5708">
        <v>-2.9991844750135899</v>
      </c>
      <c r="AG5708">
        <v>-1.1230245087549999</v>
      </c>
      <c r="AH5708">
        <v>14.122009738002401</v>
      </c>
      <c r="AI5708">
        <v>94.447971141091003</v>
      </c>
      <c r="AJ5708">
        <v>101.990134552649</v>
      </c>
      <c r="AK5708">
        <v>14.4805887519348</v>
      </c>
      <c r="AL5708">
        <v>95.883005822412002</v>
      </c>
      <c r="AM5708">
        <v>97.120844081280893</v>
      </c>
      <c r="AN5708">
        <v>1.0000000089275201</v>
      </c>
    </row>
    <row r="5709" spans="1:40" x14ac:dyDescent="0.25">
      <c r="A5709" t="str">
        <f>"20190303154923952"</f>
        <v>20190303154923952</v>
      </c>
      <c r="B5709" t="str">
        <f>"1551599363946797"</f>
        <v>1551599363946797</v>
      </c>
      <c r="C5709" t="s">
        <v>40</v>
      </c>
      <c r="D5709">
        <v>5.6246070000000001</v>
      </c>
      <c r="E5709">
        <v>0.46812779999999998</v>
      </c>
      <c r="F5709" t="s">
        <v>41</v>
      </c>
      <c r="G5709">
        <v>-421.51690000000002</v>
      </c>
      <c r="H5709" s="1">
        <v>-2.4852279999999999E-6</v>
      </c>
      <c r="I5709">
        <v>114.4414</v>
      </c>
      <c r="J5709">
        <v>-421.72480000000002</v>
      </c>
      <c r="K5709">
        <v>1.1229929999999999</v>
      </c>
      <c r="L5709">
        <v>128.8638</v>
      </c>
      <c r="M5709">
        <v>-0.19037750000000001</v>
      </c>
      <c r="N5709">
        <v>-1.4091370000000001E-2</v>
      </c>
      <c r="O5709">
        <v>-0.98160990000000004</v>
      </c>
      <c r="P5709">
        <v>-6.8438730000000003E-2</v>
      </c>
      <c r="Q5709">
        <v>-0.1126272</v>
      </c>
      <c r="R5709">
        <v>-0.99127759999999998</v>
      </c>
      <c r="S5709">
        <v>3.7994380000000001E-2</v>
      </c>
      <c r="T5709">
        <v>-0.23147280000000001</v>
      </c>
      <c r="U5709">
        <v>-3.0038299999999998</v>
      </c>
      <c r="V5709">
        <v>-0.1210463</v>
      </c>
      <c r="W5709">
        <v>-9.9334909999999998E-2</v>
      </c>
      <c r="X5709">
        <v>0.98766410000000004</v>
      </c>
      <c r="Y5709">
        <v>-0.2026374</v>
      </c>
      <c r="Z5709">
        <v>5.9850279999999999E-2</v>
      </c>
      <c r="AA5709">
        <v>0.97742309999999999</v>
      </c>
      <c r="AB5709">
        <v>16</v>
      </c>
      <c r="AC5709">
        <v>0.20789999999999501</v>
      </c>
      <c r="AD5709">
        <v>-1.122995485228</v>
      </c>
      <c r="AE5709">
        <v>-14.4223999999999</v>
      </c>
      <c r="AF5709">
        <v>-2.9322952910550999</v>
      </c>
      <c r="AG5709">
        <v>-1.122995485228</v>
      </c>
      <c r="AH5709">
        <v>14.033923193263499</v>
      </c>
      <c r="AI5709">
        <v>94.478749277437402</v>
      </c>
      <c r="AJ5709">
        <v>101.801783774199</v>
      </c>
      <c r="AK5709">
        <v>14.3809066031389</v>
      </c>
      <c r="AL5709">
        <v>95.700872919756407</v>
      </c>
      <c r="AM5709">
        <v>96.987220790746903</v>
      </c>
      <c r="AN5709">
        <v>1.0000000027586</v>
      </c>
    </row>
    <row r="5710" spans="1:40" x14ac:dyDescent="0.25">
      <c r="A5710" t="str">
        <f>"20190303154923975"</f>
        <v>20190303154923975</v>
      </c>
      <c r="B5710" t="str">
        <f>"1551599363966313"</f>
        <v>1551599363966313</v>
      </c>
      <c r="C5710" t="s">
        <v>40</v>
      </c>
      <c r="D5710">
        <v>5.6213009999999999</v>
      </c>
      <c r="E5710">
        <v>0.4681554</v>
      </c>
      <c r="F5710" t="s">
        <v>41</v>
      </c>
      <c r="G5710">
        <v>-421.49509999999998</v>
      </c>
      <c r="H5710" s="1">
        <v>-2.2267440000000002E-6</v>
      </c>
      <c r="I5710">
        <v>113.8524</v>
      </c>
      <c r="J5710">
        <v>-421.7473</v>
      </c>
      <c r="K5710">
        <v>1.122976</v>
      </c>
      <c r="L5710">
        <v>128.71520000000001</v>
      </c>
      <c r="M5710">
        <v>-0.18523970000000001</v>
      </c>
      <c r="N5710">
        <v>-1.407921E-2</v>
      </c>
      <c r="O5710">
        <v>-0.98259249999999998</v>
      </c>
      <c r="P5710">
        <v>-6.5108449999999998E-2</v>
      </c>
      <c r="Q5710">
        <v>-0.10836560000000001</v>
      </c>
      <c r="R5710">
        <v>-0.99197690000000005</v>
      </c>
      <c r="S5710">
        <v>4.5959470000000002E-2</v>
      </c>
      <c r="T5710">
        <v>-0.22473009999999999</v>
      </c>
      <c r="U5710">
        <v>-3.0040439999999999</v>
      </c>
      <c r="V5710">
        <v>-0.1193169</v>
      </c>
      <c r="W5710">
        <v>-9.5057849999999999E-2</v>
      </c>
      <c r="X5710">
        <v>0.98829529999999999</v>
      </c>
      <c r="Y5710">
        <v>-0.2001117</v>
      </c>
      <c r="Z5710">
        <v>5.7838609999999999E-2</v>
      </c>
      <c r="AA5710">
        <v>0.97806439999999994</v>
      </c>
      <c r="AB5710">
        <v>16</v>
      </c>
      <c r="AC5710">
        <v>0.25220000000001602</v>
      </c>
      <c r="AD5710">
        <v>-1.1229782267440001</v>
      </c>
      <c r="AE5710">
        <v>-14.8628</v>
      </c>
      <c r="AF5710">
        <v>-2.9842564478025602</v>
      </c>
      <c r="AG5710">
        <v>-1.1229782267440001</v>
      </c>
      <c r="AH5710">
        <v>14.476184240961601</v>
      </c>
      <c r="AI5710">
        <v>94.344789876404704</v>
      </c>
      <c r="AJ5710">
        <v>101.64831076830799</v>
      </c>
      <c r="AK5710">
        <v>14.823183761333301</v>
      </c>
      <c r="AL5710">
        <v>95.454649120098296</v>
      </c>
      <c r="AM5710">
        <v>96.884002502631503</v>
      </c>
      <c r="AN5710">
        <v>1.00000005873715</v>
      </c>
    </row>
    <row r="5711" spans="1:40" x14ac:dyDescent="0.25">
      <c r="A5711" t="str">
        <f>"20190303154923996"</f>
        <v>20190303154923996</v>
      </c>
      <c r="B5711" t="str">
        <f>"1551599363986810"</f>
        <v>1551599363986810</v>
      </c>
      <c r="C5711" t="s">
        <v>40</v>
      </c>
      <c r="D5711">
        <v>5.5954569999999997</v>
      </c>
      <c r="E5711">
        <v>0.46824519999999997</v>
      </c>
      <c r="F5711" t="s">
        <v>41</v>
      </c>
      <c r="G5711">
        <v>-421.45</v>
      </c>
      <c r="H5711" s="1">
        <v>-1.684609E-6</v>
      </c>
      <c r="I5711">
        <v>112.61660000000001</v>
      </c>
      <c r="J5711">
        <v>-421.76909999999998</v>
      </c>
      <c r="K5711">
        <v>1.122965</v>
      </c>
      <c r="L5711">
        <v>128.566</v>
      </c>
      <c r="M5711">
        <v>-0.18016679999999999</v>
      </c>
      <c r="N5711">
        <v>-1.4067649999999999E-2</v>
      </c>
      <c r="O5711">
        <v>-0.98353550000000001</v>
      </c>
      <c r="P5711">
        <v>-6.1228089999999999E-2</v>
      </c>
      <c r="Q5711">
        <v>-0.105260199999999</v>
      </c>
      <c r="R5711">
        <v>-0.99255819999999995</v>
      </c>
      <c r="S5711">
        <v>5.5480960000000003E-2</v>
      </c>
      <c r="T5711">
        <v>-0.20961840000000001</v>
      </c>
      <c r="U5711">
        <v>-3.0050050000000001</v>
      </c>
      <c r="V5711">
        <v>-0.1181663</v>
      </c>
      <c r="W5711">
        <v>-9.194339E-2</v>
      </c>
      <c r="X5711">
        <v>0.98872800000000005</v>
      </c>
      <c r="Y5711">
        <v>-0.19816320000000001</v>
      </c>
      <c r="Z5711">
        <v>5.3119769999999997E-2</v>
      </c>
      <c r="AA5711">
        <v>0.97872859999999995</v>
      </c>
      <c r="AB5711">
        <v>16</v>
      </c>
      <c r="AC5711">
        <v>0.319099999999991</v>
      </c>
      <c r="AD5711">
        <v>-1.1229666846089901</v>
      </c>
      <c r="AE5711">
        <v>-15.949399999999899</v>
      </c>
      <c r="AF5711">
        <v>-3.1719956526344899</v>
      </c>
      <c r="AG5711">
        <v>-1.1229666846089901</v>
      </c>
      <c r="AH5711">
        <v>15.553782307278301</v>
      </c>
      <c r="AI5711">
        <v>94.046523690377896</v>
      </c>
      <c r="AJ5711">
        <v>101.52667889926499</v>
      </c>
      <c r="AK5711">
        <v>15.9136028182582</v>
      </c>
      <c r="AL5711">
        <v>95.275418996679406</v>
      </c>
      <c r="AM5711">
        <v>96.8152906257871</v>
      </c>
      <c r="AN5711">
        <v>0.99999995970219002</v>
      </c>
    </row>
    <row r="5712" spans="1:40" x14ac:dyDescent="0.25">
      <c r="A5712" t="str">
        <f>"20190303154924019"</f>
        <v>20190303154924019</v>
      </c>
      <c r="B5712" t="str">
        <f>"1551599364016090"</f>
        <v>1551599364016090</v>
      </c>
      <c r="C5712" t="s">
        <v>40</v>
      </c>
      <c r="D5712">
        <v>5.6108739999999999</v>
      </c>
      <c r="E5712">
        <v>0.46845500000000001</v>
      </c>
      <c r="F5712" t="s">
        <v>41</v>
      </c>
      <c r="G5712">
        <v>-421.3922</v>
      </c>
      <c r="H5712" s="1">
        <v>-1.2299329999999999E-6</v>
      </c>
      <c r="I5712">
        <v>111.59269999999999</v>
      </c>
      <c r="J5712">
        <v>-421.79129999999998</v>
      </c>
      <c r="K5712">
        <v>1.1229279999999999</v>
      </c>
      <c r="L5712">
        <v>128.40979999999999</v>
      </c>
      <c r="M5712">
        <v>-0.1749387</v>
      </c>
      <c r="N5712">
        <v>-1.4055750000000001E-2</v>
      </c>
      <c r="O5712">
        <v>-0.98447899999999999</v>
      </c>
      <c r="P5712">
        <v>-5.7108989999999998E-2</v>
      </c>
      <c r="Q5712">
        <v>-0.1043887</v>
      </c>
      <c r="R5712">
        <v>-0.99289570000000005</v>
      </c>
      <c r="S5712">
        <v>6.674194E-2</v>
      </c>
      <c r="T5712">
        <v>-0.19884679999999999</v>
      </c>
      <c r="U5712">
        <v>-3.0055239999999999</v>
      </c>
      <c r="V5712">
        <v>-0.1170447</v>
      </c>
      <c r="W5712">
        <v>-9.1065469999999996E-2</v>
      </c>
      <c r="X5712">
        <v>0.98894269999999995</v>
      </c>
      <c r="Y5712">
        <v>-0.1966282</v>
      </c>
      <c r="Z5712">
        <v>4.9777700000000001E-2</v>
      </c>
      <c r="AA5712">
        <v>0.97921369999999996</v>
      </c>
      <c r="AB5712">
        <v>16</v>
      </c>
      <c r="AC5712">
        <v>0.39909999999997497</v>
      </c>
      <c r="AD5712">
        <v>-1.122929229933</v>
      </c>
      <c r="AE5712">
        <v>-16.8170999999999</v>
      </c>
      <c r="AF5712">
        <v>-3.3204004881971199</v>
      </c>
      <c r="AG5712">
        <v>-1.122929229933</v>
      </c>
      <c r="AH5712">
        <v>16.414746152521399</v>
      </c>
      <c r="AI5712">
        <v>93.836039192136198</v>
      </c>
      <c r="AJ5712">
        <v>101.43557316691199</v>
      </c>
      <c r="AK5712">
        <v>16.7848122035718</v>
      </c>
      <c r="AL5712">
        <v>95.224905632977297</v>
      </c>
      <c r="AM5712">
        <v>96.749749633160405</v>
      </c>
      <c r="AN5712">
        <v>1.0000000227538499</v>
      </c>
    </row>
    <row r="5713" spans="1:40" x14ac:dyDescent="0.25">
      <c r="A5713" t="str">
        <f>"20190303154924042"</f>
        <v>20190303154924042</v>
      </c>
      <c r="B5713" t="str">
        <f>"1551599364036585"</f>
        <v>1551599364036585</v>
      </c>
      <c r="C5713" t="s">
        <v>40</v>
      </c>
      <c r="D5713">
        <v>5.6198480000000002</v>
      </c>
      <c r="E5713">
        <v>0.46846599999999999</v>
      </c>
      <c r="F5713" t="s">
        <v>41</v>
      </c>
      <c r="G5713">
        <v>-421.34190000000001</v>
      </c>
      <c r="H5713" s="1">
        <v>-9.7999530000000004E-7</v>
      </c>
      <c r="I5713">
        <v>111.0412</v>
      </c>
      <c r="J5713">
        <v>-421.81180000000001</v>
      </c>
      <c r="K5713">
        <v>1.122881</v>
      </c>
      <c r="L5713">
        <v>128.2593</v>
      </c>
      <c r="M5713">
        <v>-0.16999049999999999</v>
      </c>
      <c r="N5713">
        <v>-1.404174E-2</v>
      </c>
      <c r="O5713">
        <v>-0.9853459</v>
      </c>
      <c r="P5713">
        <v>-5.3795330000000002E-2</v>
      </c>
      <c r="Q5713">
        <v>-0.1054901</v>
      </c>
      <c r="R5713">
        <v>-0.99296430000000002</v>
      </c>
      <c r="S5713">
        <v>7.7758789999999994E-2</v>
      </c>
      <c r="T5713">
        <v>-0.19431470000000001</v>
      </c>
      <c r="U5713">
        <v>-3.0055079999999998</v>
      </c>
      <c r="V5713">
        <v>-0.11536250000000001</v>
      </c>
      <c r="W5713">
        <v>-9.2159809999999995E-2</v>
      </c>
      <c r="X5713">
        <v>0.98903890000000005</v>
      </c>
      <c r="Y5713">
        <v>-0.19529460000000001</v>
      </c>
      <c r="Z5713">
        <v>4.842788E-2</v>
      </c>
      <c r="AA5713">
        <v>0.97954819999999998</v>
      </c>
      <c r="AB5713">
        <v>15</v>
      </c>
      <c r="AC5713">
        <v>0.46989999999999499</v>
      </c>
      <c r="AD5713">
        <v>-1.1228819799953</v>
      </c>
      <c r="AE5713">
        <v>-17.2180999999999</v>
      </c>
      <c r="AF5713">
        <v>-3.3759137390462</v>
      </c>
      <c r="AG5713">
        <v>-1.1228819799953</v>
      </c>
      <c r="AH5713">
        <v>16.816100529943501</v>
      </c>
      <c r="AI5713">
        <v>93.745694089001503</v>
      </c>
      <c r="AJ5713">
        <v>101.35151269781799</v>
      </c>
      <c r="AK5713">
        <v>17.1883360028725</v>
      </c>
      <c r="AL5713">
        <v>95.287871918862393</v>
      </c>
      <c r="AM5713">
        <v>96.652974978650505</v>
      </c>
      <c r="AN5713">
        <v>0.999999941349346</v>
      </c>
    </row>
    <row r="5714" spans="1:40" x14ac:dyDescent="0.25">
      <c r="A5714" t="str">
        <f>"20190303154924063"</f>
        <v>20190303154924063</v>
      </c>
      <c r="B5714" t="str">
        <f>"1551599364056105"</f>
        <v>1551599364056105</v>
      </c>
      <c r="C5714" t="s">
        <v>40</v>
      </c>
      <c r="D5714">
        <v>5.604279</v>
      </c>
      <c r="E5714">
        <v>0.46852569999999999</v>
      </c>
      <c r="F5714" t="s">
        <v>41</v>
      </c>
      <c r="G5714">
        <v>-421.31479999999999</v>
      </c>
      <c r="H5714" s="1">
        <v>-1.0138539999999999E-6</v>
      </c>
      <c r="I5714">
        <v>111.1369</v>
      </c>
      <c r="J5714">
        <v>-421.83150000000001</v>
      </c>
      <c r="K5714">
        <v>1.1228370000000001</v>
      </c>
      <c r="L5714">
        <v>128.1103</v>
      </c>
      <c r="M5714">
        <v>-0.16517109999999999</v>
      </c>
      <c r="N5714">
        <v>-1.401166E-2</v>
      </c>
      <c r="O5714">
        <v>-0.98616550000000003</v>
      </c>
      <c r="P5714">
        <v>-5.157436E-2</v>
      </c>
      <c r="Q5714">
        <v>-0.1052184</v>
      </c>
      <c r="R5714">
        <v>-0.99311099999999997</v>
      </c>
      <c r="S5714">
        <v>8.7219240000000003E-2</v>
      </c>
      <c r="T5714">
        <v>-0.19707040000000001</v>
      </c>
      <c r="U5714">
        <v>-3.0050509999999999</v>
      </c>
      <c r="V5714">
        <v>-0.11275930000000001</v>
      </c>
      <c r="W5714">
        <v>-9.188789E-2</v>
      </c>
      <c r="X5714">
        <v>0.98936440000000003</v>
      </c>
      <c r="Y5714">
        <v>-0.19358349999999999</v>
      </c>
      <c r="Z5714">
        <v>4.9436529999999999E-2</v>
      </c>
      <c r="AA5714">
        <v>0.97983750000000003</v>
      </c>
      <c r="AB5714">
        <v>15</v>
      </c>
      <c r="AC5714">
        <v>0.51670000000001404</v>
      </c>
      <c r="AD5714">
        <v>-1.1228380138539999</v>
      </c>
      <c r="AE5714">
        <v>-16.973399999999899</v>
      </c>
      <c r="AF5714">
        <v>-3.2989682231579098</v>
      </c>
      <c r="AG5714">
        <v>-1.1228380138539999</v>
      </c>
      <c r="AH5714">
        <v>16.5823703238663</v>
      </c>
      <c r="AI5714">
        <v>93.799506157779007</v>
      </c>
      <c r="AJ5714">
        <v>101.251760512625</v>
      </c>
      <c r="AK5714">
        <v>16.944585037722302</v>
      </c>
      <c r="AL5714">
        <v>95.272225454876207</v>
      </c>
      <c r="AM5714">
        <v>96.502027525097006</v>
      </c>
      <c r="AN5714">
        <v>0.99999998002625001</v>
      </c>
    </row>
    <row r="5715" spans="1:40" x14ac:dyDescent="0.25">
      <c r="A5715" t="str">
        <f>"20190303154924087"</f>
        <v>20190303154924087</v>
      </c>
      <c r="B5715" t="str">
        <f>"1551599364076601"</f>
        <v>1551599364076601</v>
      </c>
      <c r="C5715" t="s">
        <v>40</v>
      </c>
      <c r="D5715">
        <v>5.6524910000000004</v>
      </c>
      <c r="E5715">
        <v>0.46859210000000001</v>
      </c>
      <c r="F5715" t="s">
        <v>41</v>
      </c>
      <c r="G5715">
        <v>-421.30470000000003</v>
      </c>
      <c r="H5715" s="1">
        <v>-9.8502949999999996E-7</v>
      </c>
      <c r="I5715">
        <v>111.07599999999999</v>
      </c>
      <c r="J5715">
        <v>-421.851</v>
      </c>
      <c r="K5715">
        <v>1.122797</v>
      </c>
      <c r="L5715">
        <v>127.958</v>
      </c>
      <c r="M5715">
        <v>-0.16031570000000001</v>
      </c>
      <c r="N5715">
        <v>-1.395886E-2</v>
      </c>
      <c r="O5715">
        <v>-0.98696709999999999</v>
      </c>
      <c r="P5715">
        <v>-5.0226899999999998E-2</v>
      </c>
      <c r="Q5715">
        <v>-0.10407329999999999</v>
      </c>
      <c r="R5715">
        <v>-0.99330039999999997</v>
      </c>
      <c r="S5715">
        <v>9.2926030000000007E-2</v>
      </c>
      <c r="T5715">
        <v>-0.19805710000000001</v>
      </c>
      <c r="U5715">
        <v>-3.0046689999999998</v>
      </c>
      <c r="V5715">
        <v>-0.109270899999999</v>
      </c>
      <c r="W5715">
        <v>-9.0760309999999997E-2</v>
      </c>
      <c r="X5715">
        <v>0.98985979999999996</v>
      </c>
      <c r="Y5715">
        <v>-0.19061839999999999</v>
      </c>
      <c r="Z5715">
        <v>4.9909200000000001E-2</v>
      </c>
      <c r="AA5715">
        <v>0.98039469999999995</v>
      </c>
      <c r="AB5715">
        <v>15</v>
      </c>
      <c r="AC5715">
        <v>0.54629999999997303</v>
      </c>
      <c r="AD5715">
        <v>-1.1227979850295</v>
      </c>
      <c r="AE5715">
        <v>-16.881999999999898</v>
      </c>
      <c r="AF5715">
        <v>-3.23166600385058</v>
      </c>
      <c r="AG5715">
        <v>-1.1227979850295</v>
      </c>
      <c r="AH5715">
        <v>16.503089585387499</v>
      </c>
      <c r="AI5715">
        <v>93.819827974492298</v>
      </c>
      <c r="AJ5715">
        <v>101.079567150451</v>
      </c>
      <c r="AK5715">
        <v>16.853970046815501</v>
      </c>
      <c r="AL5715">
        <v>95.207348699138294</v>
      </c>
      <c r="AM5715">
        <v>96.299391582478293</v>
      </c>
      <c r="AN5715">
        <v>0.99999999355707203</v>
      </c>
    </row>
    <row r="5716" spans="1:40" x14ac:dyDescent="0.25">
      <c r="A5716" t="str">
        <f>"20190303154924109"</f>
        <v>20190303154924109</v>
      </c>
      <c r="B5716" t="str">
        <f>"1551599364106858"</f>
        <v>1551599364106858</v>
      </c>
      <c r="C5716" t="s">
        <v>40</v>
      </c>
      <c r="D5716">
        <v>5.5958100000000002</v>
      </c>
      <c r="E5716">
        <v>0.46862549999999997</v>
      </c>
      <c r="F5716" t="s">
        <v>41</v>
      </c>
      <c r="G5716">
        <v>-421.30130000000003</v>
      </c>
      <c r="H5716" s="1">
        <v>-9.0305550000000002E-7</v>
      </c>
      <c r="I5716">
        <v>110.887</v>
      </c>
      <c r="J5716">
        <v>-421.87009999999998</v>
      </c>
      <c r="K5716">
        <v>1.122757</v>
      </c>
      <c r="L5716">
        <v>127.8036</v>
      </c>
      <c r="M5716">
        <v>-0.1554701</v>
      </c>
      <c r="N5716">
        <v>-1.386397E-2</v>
      </c>
      <c r="O5716">
        <v>-0.98774329999999999</v>
      </c>
      <c r="P5716">
        <v>-4.8400529999999997E-2</v>
      </c>
      <c r="Q5716">
        <v>-0.10210470000000001</v>
      </c>
      <c r="R5716">
        <v>-0.99359569999999997</v>
      </c>
      <c r="S5716">
        <v>9.6740720000000002E-2</v>
      </c>
      <c r="T5716">
        <v>-0.19760810000000001</v>
      </c>
      <c r="U5716">
        <v>-3.0044249999999999</v>
      </c>
      <c r="V5716">
        <v>-0.106284</v>
      </c>
      <c r="W5716">
        <v>-8.8855499999999907E-2</v>
      </c>
      <c r="X5716">
        <v>0.99035770000000001</v>
      </c>
      <c r="Y5716">
        <v>-0.18704850000000001</v>
      </c>
      <c r="Z5716">
        <v>4.9962270000000003E-2</v>
      </c>
      <c r="AA5716">
        <v>0.98107929999999999</v>
      </c>
      <c r="AB5716">
        <v>15</v>
      </c>
      <c r="AC5716">
        <v>0.56879999999995301</v>
      </c>
      <c r="AD5716">
        <v>-1.1227579030554999</v>
      </c>
      <c r="AE5716">
        <v>-16.916599999999999</v>
      </c>
      <c r="AF5716">
        <v>-3.1781766344130999</v>
      </c>
      <c r="AG5716">
        <v>-1.1227579030554999</v>
      </c>
      <c r="AH5716">
        <v>16.549605868566399</v>
      </c>
      <c r="AI5716">
        <v>93.811673347290395</v>
      </c>
      <c r="AJ5716">
        <v>100.870703363269</v>
      </c>
      <c r="AK5716">
        <v>16.889370812238401</v>
      </c>
      <c r="AL5716">
        <v>95.097768367765198</v>
      </c>
      <c r="AM5716">
        <v>96.125469757428405</v>
      </c>
      <c r="AN5716">
        <v>0.99999998124276901</v>
      </c>
    </row>
    <row r="5717" spans="1:40" x14ac:dyDescent="0.25">
      <c r="A5717" t="str">
        <f>"20190303154924132"</f>
        <v>20190303154924132</v>
      </c>
      <c r="B5717" t="str">
        <f>"1551599364126377"</f>
        <v>1551599364126377</v>
      </c>
      <c r="C5717" t="s">
        <v>40</v>
      </c>
      <c r="D5717">
        <v>5.607615</v>
      </c>
      <c r="E5717">
        <v>0.4687364</v>
      </c>
      <c r="F5717" t="s">
        <v>41</v>
      </c>
      <c r="G5717">
        <v>-421.28449999999998</v>
      </c>
      <c r="H5717" s="1">
        <v>-7.7991360000000004E-7</v>
      </c>
      <c r="I5717">
        <v>110.6104</v>
      </c>
      <c r="J5717">
        <v>-421.88819999999998</v>
      </c>
      <c r="K5717">
        <v>1.122709</v>
      </c>
      <c r="L5717">
        <v>127.65260000000001</v>
      </c>
      <c r="M5717">
        <v>-0.150815</v>
      </c>
      <c r="N5717">
        <v>-1.369483E-2</v>
      </c>
      <c r="O5717">
        <v>-0.98846719999999999</v>
      </c>
      <c r="P5717">
        <v>-4.6188010000000002E-2</v>
      </c>
      <c r="Q5717">
        <v>-9.8763249999999997E-2</v>
      </c>
      <c r="R5717">
        <v>-0.99403869999999905</v>
      </c>
      <c r="S5717">
        <v>0.1023254</v>
      </c>
      <c r="T5717">
        <v>-0.19617780000000001</v>
      </c>
      <c r="U5717">
        <v>-3.0041500000000001</v>
      </c>
      <c r="V5717">
        <v>-0.1038979</v>
      </c>
      <c r="W5717">
        <v>-8.5655019999999998E-2</v>
      </c>
      <c r="X5717">
        <v>0.99089280000000002</v>
      </c>
      <c r="Y5717">
        <v>-0.18424840000000001</v>
      </c>
      <c r="Z5717">
        <v>4.976179E-2</v>
      </c>
      <c r="AA5717">
        <v>0.98161920000000003</v>
      </c>
      <c r="AB5717">
        <v>15</v>
      </c>
      <c r="AC5717">
        <v>0.60370000000000301</v>
      </c>
      <c r="AD5717">
        <v>-1.1227097799136001</v>
      </c>
      <c r="AE5717">
        <v>-17.042200000000001</v>
      </c>
      <c r="AF5717">
        <v>-3.1535846607109801</v>
      </c>
      <c r="AG5717">
        <v>-1.1227097799136001</v>
      </c>
      <c r="AH5717">
        <v>16.683862868643502</v>
      </c>
      <c r="AI5717">
        <v>93.783021483132103</v>
      </c>
      <c r="AJ5717">
        <v>100.703766872657</v>
      </c>
      <c r="AK5717">
        <v>17.016370167632299</v>
      </c>
      <c r="AL5717">
        <v>94.913691886570106</v>
      </c>
      <c r="AM5717">
        <v>95.985751735031101</v>
      </c>
      <c r="AN5717">
        <v>1.0000000485837199</v>
      </c>
    </row>
    <row r="5718" spans="1:40" x14ac:dyDescent="0.25">
      <c r="A5718" t="str">
        <f>"20190303154924153"</f>
        <v>20190303154924153</v>
      </c>
      <c r="B5718" t="str">
        <f>"1551599364146874"</f>
        <v>1551599364146874</v>
      </c>
      <c r="C5718" t="s">
        <v>40</v>
      </c>
      <c r="D5718">
        <v>5.583755</v>
      </c>
      <c r="E5718">
        <v>0.46892830000000002</v>
      </c>
      <c r="F5718" t="s">
        <v>41</v>
      </c>
      <c r="G5718">
        <v>-421.24329999999998</v>
      </c>
      <c r="H5718" s="1">
        <v>-4.089009E-7</v>
      </c>
      <c r="I5718">
        <v>109.7711</v>
      </c>
      <c r="J5718">
        <v>-421.90499999999997</v>
      </c>
      <c r="K5718">
        <v>1.1226259999999999</v>
      </c>
      <c r="L5718">
        <v>127.50700000000001</v>
      </c>
      <c r="M5718">
        <v>-0.1464261</v>
      </c>
      <c r="N5718">
        <v>-1.3432970000000001E-2</v>
      </c>
      <c r="O5718">
        <v>-0.98913030000000002</v>
      </c>
      <c r="P5718">
        <v>-4.3662670000000001E-2</v>
      </c>
      <c r="Q5718">
        <v>-9.5550200000000002E-2</v>
      </c>
      <c r="R5718">
        <v>-0.99446639999999997</v>
      </c>
      <c r="S5718">
        <v>0.1083374</v>
      </c>
      <c r="T5718">
        <v>-0.18862770000000001</v>
      </c>
      <c r="U5718">
        <v>-3.0042879999999998</v>
      </c>
      <c r="V5718">
        <v>-0.10208399999999999</v>
      </c>
      <c r="W5718">
        <v>-8.2678589999999996E-2</v>
      </c>
      <c r="X5718">
        <v>0.99133400000000005</v>
      </c>
      <c r="Y5718">
        <v>-0.18185599999999999</v>
      </c>
      <c r="Z5718">
        <v>4.7659189999999997E-2</v>
      </c>
      <c r="AA5718">
        <v>0.98216950000000003</v>
      </c>
      <c r="AB5718">
        <v>15</v>
      </c>
      <c r="AC5718">
        <v>0.66169999999999596</v>
      </c>
      <c r="AD5718">
        <v>-1.1226264089008999</v>
      </c>
      <c r="AE5718">
        <v>-17.735900000000001</v>
      </c>
      <c r="AF5718">
        <v>-3.2388415647076001</v>
      </c>
      <c r="AG5718">
        <v>-1.1226264089008999</v>
      </c>
      <c r="AH5718">
        <v>17.378272859494299</v>
      </c>
      <c r="AI5718">
        <v>93.6337404666304</v>
      </c>
      <c r="AJ5718">
        <v>100.557265528622</v>
      </c>
      <c r="AK5718">
        <v>17.7131237311288</v>
      </c>
      <c r="AL5718">
        <v>94.742547928878295</v>
      </c>
      <c r="AM5718">
        <v>95.879389224353503</v>
      </c>
      <c r="AN5718">
        <v>0.999999995928194</v>
      </c>
    </row>
    <row r="5719" spans="1:40" x14ac:dyDescent="0.25">
      <c r="A5719" t="str">
        <f>"20190303154924175"</f>
        <v>20190303154924175</v>
      </c>
      <c r="B5719" t="str">
        <f>"1551599364166393"</f>
        <v>1551599364166393</v>
      </c>
      <c r="C5719" t="s">
        <v>40</v>
      </c>
      <c r="D5719">
        <v>5.644641</v>
      </c>
      <c r="E5719">
        <v>0.46903860000000003</v>
      </c>
      <c r="F5719" t="s">
        <v>41</v>
      </c>
      <c r="G5719">
        <v>-421.19959999999998</v>
      </c>
      <c r="H5719" s="1">
        <v>-4.7235910000000004E-6</v>
      </c>
      <c r="I5719">
        <v>109.0325</v>
      </c>
      <c r="J5719">
        <v>-421.92189999999999</v>
      </c>
      <c r="K5719">
        <v>1.1225160000000001</v>
      </c>
      <c r="L5719">
        <v>127.3565</v>
      </c>
      <c r="M5719">
        <v>-0.1419868</v>
      </c>
      <c r="N5719">
        <v>-1.306125E-2</v>
      </c>
      <c r="O5719">
        <v>-0.98978250000000001</v>
      </c>
      <c r="P5719">
        <v>-4.1024289999999998E-2</v>
      </c>
      <c r="Q5719">
        <v>-9.3927579999999997E-2</v>
      </c>
      <c r="R5719">
        <v>-0.9947336</v>
      </c>
      <c r="S5719">
        <v>0.1147156</v>
      </c>
      <c r="T5719">
        <v>-0.1825532</v>
      </c>
      <c r="U5719">
        <v>-3.004181</v>
      </c>
      <c r="V5719">
        <v>-0.1003033</v>
      </c>
      <c r="W5719">
        <v>-8.140203E-2</v>
      </c>
      <c r="X5719">
        <v>0.99162139999999999</v>
      </c>
      <c r="Y5719">
        <v>-0.17953640000000001</v>
      </c>
      <c r="Z5719">
        <v>4.6140090000000002E-2</v>
      </c>
      <c r="AA5719">
        <v>0.98266869999999995</v>
      </c>
      <c r="AB5719">
        <v>15</v>
      </c>
      <c r="AC5719">
        <v>0.72230000000001804</v>
      </c>
      <c r="AD5719">
        <v>-1.122520723591</v>
      </c>
      <c r="AE5719">
        <v>-18.324000000000002</v>
      </c>
      <c r="AF5719">
        <v>-3.3045865537460601</v>
      </c>
      <c r="AG5719">
        <v>-1.122520723591</v>
      </c>
      <c r="AH5719">
        <v>17.968427559220402</v>
      </c>
      <c r="AI5719">
        <v>93.515913624937298</v>
      </c>
      <c r="AJ5719">
        <v>100.420860915548</v>
      </c>
      <c r="AK5719">
        <v>18.304227217149698</v>
      </c>
      <c r="AL5719">
        <v>94.669158909444107</v>
      </c>
      <c r="AM5719">
        <v>95.775868942954304</v>
      </c>
      <c r="AN5719">
        <v>1.0000000217084799</v>
      </c>
    </row>
    <row r="5720" spans="1:40" x14ac:dyDescent="0.25">
      <c r="A5720" t="str">
        <f>"20190303154924220"</f>
        <v>20190303154924220</v>
      </c>
      <c r="B5720" t="str">
        <f>"1551599364215989"</f>
        <v>1551599364215989</v>
      </c>
      <c r="C5720" t="s">
        <v>40</v>
      </c>
      <c r="D5720">
        <v>4.9544600000000001</v>
      </c>
      <c r="E5720">
        <v>0.4693639</v>
      </c>
      <c r="F5720" t="s">
        <v>41</v>
      </c>
      <c r="G5720">
        <v>-421.16829999999999</v>
      </c>
      <c r="H5720" s="1">
        <v>-4.628168E-6</v>
      </c>
      <c r="I5720">
        <v>108.7985</v>
      </c>
      <c r="J5720">
        <v>-421.95479999999998</v>
      </c>
      <c r="K5720">
        <v>1.1222490000000001</v>
      </c>
      <c r="L5720">
        <v>127.0497</v>
      </c>
      <c r="M5720">
        <v>-0.1332602</v>
      </c>
      <c r="N5720">
        <v>-1.210367E-2</v>
      </c>
      <c r="O5720">
        <v>-0.99100739999999998</v>
      </c>
      <c r="P5720">
        <v>-3.682875E-2</v>
      </c>
      <c r="Q5720">
        <v>-9.22568E-2</v>
      </c>
      <c r="R5720">
        <v>-0.99505429999999995</v>
      </c>
      <c r="S5720">
        <v>0.1219788</v>
      </c>
      <c r="T5720">
        <v>-0.18168770000000001</v>
      </c>
      <c r="U5720">
        <v>-3.0037539999999998</v>
      </c>
      <c r="V5720">
        <v>-9.5794599999999994E-2</v>
      </c>
      <c r="W5720">
        <v>-8.063091E-2</v>
      </c>
      <c r="X5720">
        <v>0.99212999999999996</v>
      </c>
      <c r="Y5720">
        <v>-0.1732503</v>
      </c>
      <c r="Z5720">
        <v>4.6968780000000002E-2</v>
      </c>
      <c r="AA5720">
        <v>0.9837572</v>
      </c>
      <c r="AB5720">
        <v>16</v>
      </c>
      <c r="AC5720">
        <v>0.78649999999998899</v>
      </c>
      <c r="AD5720">
        <v>-1.122253628168</v>
      </c>
      <c r="AE5720">
        <v>-18.251200000000001</v>
      </c>
      <c r="AF5720">
        <v>-3.19974483563588</v>
      </c>
      <c r="AG5720">
        <v>-1.122253628168</v>
      </c>
      <c r="AH5720">
        <v>17.915964894542999</v>
      </c>
      <c r="AI5720">
        <v>93.528626631453307</v>
      </c>
      <c r="AJ5720">
        <v>100.126113987385</v>
      </c>
      <c r="AK5720">
        <v>18.234023645965099</v>
      </c>
      <c r="AL5720">
        <v>94.624831637284402</v>
      </c>
      <c r="AM5720">
        <v>95.515068247088493</v>
      </c>
      <c r="AN5720">
        <v>0.99999994296829198</v>
      </c>
    </row>
    <row r="5721" spans="1:40" x14ac:dyDescent="0.25">
      <c r="A5721" t="str">
        <f>"20190303154924288"</f>
        <v>20190303154924288</v>
      </c>
      <c r="B5721" t="str">
        <f>"1551599364276405"</f>
        <v>1551599364276405</v>
      </c>
      <c r="C5721" t="s">
        <v>40</v>
      </c>
      <c r="D5721">
        <v>6.2506769999999996</v>
      </c>
      <c r="E5721">
        <v>0.52381999999999995</v>
      </c>
      <c r="F5721" t="s">
        <v>41</v>
      </c>
      <c r="G5721">
        <v>-421.10989999999998</v>
      </c>
      <c r="H5721" s="1">
        <v>-4.2030570000000003E-6</v>
      </c>
      <c r="I5721">
        <v>107.8584</v>
      </c>
      <c r="J5721">
        <v>-422.00119999999998</v>
      </c>
      <c r="K5721">
        <v>1.1219570000000001</v>
      </c>
      <c r="L5721">
        <v>126.5792</v>
      </c>
      <c r="M5721">
        <v>-0.1207815</v>
      </c>
      <c r="N5721">
        <v>-1.049639E-2</v>
      </c>
      <c r="O5721">
        <v>-0.9926237</v>
      </c>
      <c r="P5721">
        <v>-3.3707960000000002E-2</v>
      </c>
      <c r="Q5721">
        <v>-9.1298420000000005E-2</v>
      </c>
      <c r="R5721">
        <v>-0.9952531</v>
      </c>
      <c r="S5721">
        <v>0.13223270000000001</v>
      </c>
      <c r="T5721">
        <v>-0.17563699999999999</v>
      </c>
      <c r="U5721">
        <v>-3.0035249999999998</v>
      </c>
      <c r="V5721">
        <v>-8.645013E-2</v>
      </c>
      <c r="W5721">
        <v>-8.1204819999999997E-2</v>
      </c>
      <c r="X5721">
        <v>0.99294110000000002</v>
      </c>
      <c r="Y5721">
        <v>-0.16422300000000001</v>
      </c>
      <c r="Z5721">
        <v>4.6802219999999999E-2</v>
      </c>
      <c r="AA5721">
        <v>0.98531230000000003</v>
      </c>
      <c r="AB5721">
        <v>16</v>
      </c>
      <c r="AC5721">
        <v>0.89130000000000098</v>
      </c>
      <c r="AD5721">
        <v>-1.1219612030570001</v>
      </c>
      <c r="AE5721">
        <v>-18.720800000000001</v>
      </c>
      <c r="AF5721">
        <v>-3.1347909346723699</v>
      </c>
      <c r="AG5721">
        <v>-1.1219612030570001</v>
      </c>
      <c r="AH5721">
        <v>18.4100985621406</v>
      </c>
      <c r="AI5721">
        <v>93.438082458732893</v>
      </c>
      <c r="AJ5721">
        <v>99.663392876706993</v>
      </c>
      <c r="AK5721">
        <v>18.708753037361902</v>
      </c>
      <c r="AL5721">
        <v>94.657822468377802</v>
      </c>
      <c r="AM5721">
        <v>94.975892943760698</v>
      </c>
      <c r="AN5721">
        <v>0.99999993791872699</v>
      </c>
    </row>
    <row r="5722" spans="1:40" x14ac:dyDescent="0.25">
      <c r="A5722" t="str">
        <f>"20190303154924332"</f>
        <v>20190303154924332</v>
      </c>
      <c r="B5722" t="str">
        <f>"1551599364326181"</f>
        <v>1551599364326181</v>
      </c>
      <c r="C5722" t="s">
        <v>40</v>
      </c>
      <c r="D5722">
        <v>5.6167059999999998</v>
      </c>
      <c r="E5722">
        <v>0.52562019999999998</v>
      </c>
      <c r="F5722" t="s">
        <v>62</v>
      </c>
      <c r="G5722">
        <v>0</v>
      </c>
      <c r="H5722">
        <v>0</v>
      </c>
      <c r="I5722">
        <v>0</v>
      </c>
      <c r="J5722">
        <v>-422.02960000000002</v>
      </c>
      <c r="K5722">
        <v>1.121877</v>
      </c>
      <c r="L5722">
        <v>126.2649</v>
      </c>
      <c r="M5722">
        <v>-0.1128773</v>
      </c>
      <c r="N5722">
        <v>-9.4760820000000003E-3</v>
      </c>
      <c r="O5722">
        <v>-0.9935638</v>
      </c>
      <c r="P5722">
        <v>-3.2054869999999999E-2</v>
      </c>
      <c r="Q5722">
        <v>-9.0831110000000007E-2</v>
      </c>
      <c r="R5722">
        <v>-0.99535059999999997</v>
      </c>
      <c r="S5722">
        <v>-0.32165529999999998</v>
      </c>
      <c r="T5722">
        <v>1.7944040000000001</v>
      </c>
      <c r="U5722">
        <v>-3.168015</v>
      </c>
      <c r="V5722">
        <v>-8.0195199999999994E-2</v>
      </c>
      <c r="W5722">
        <v>-8.1728449999999994E-2</v>
      </c>
      <c r="X5722">
        <v>0.99342299999999994</v>
      </c>
      <c r="Y5722">
        <v>-2.5347339999999999E-2</v>
      </c>
      <c r="Z5722">
        <v>-0.49567339999999999</v>
      </c>
      <c r="AA5722">
        <v>0.86813899999999999</v>
      </c>
      <c r="AB5722">
        <v>16</v>
      </c>
      <c r="AC5722">
        <v>-0.32165529999999998</v>
      </c>
      <c r="AD5722">
        <v>1.7944040000000001</v>
      </c>
      <c r="AE5722">
        <v>-3.168015</v>
      </c>
      <c r="AF5722">
        <v>-2.8851753087103599E-2</v>
      </c>
      <c r="AG5722">
        <v>1.7944040000000001</v>
      </c>
      <c r="AH5722">
        <v>2.4166641307931198</v>
      </c>
      <c r="AI5722">
        <v>53.407595833426903</v>
      </c>
      <c r="AJ5722">
        <v>90.684002849254398</v>
      </c>
      <c r="AK5722">
        <v>3.01014678378551</v>
      </c>
      <c r="AL5722">
        <v>94.687923868009307</v>
      </c>
      <c r="AM5722">
        <v>94.615258807457906</v>
      </c>
      <c r="AN5722">
        <v>1.00000003328572</v>
      </c>
    </row>
    <row r="5723" spans="1:40" x14ac:dyDescent="0.25">
      <c r="A5723" t="str">
        <f>"20190303154924354"</f>
        <v>20190303154924354</v>
      </c>
      <c r="B5723" t="str">
        <f>"1551599364346678"</f>
        <v>1551599364346678</v>
      </c>
      <c r="C5723" t="s">
        <v>40</v>
      </c>
      <c r="D5723">
        <v>5.5350109999999999</v>
      </c>
      <c r="E5723">
        <v>0.49481579999999997</v>
      </c>
      <c r="F5723" t="s">
        <v>62</v>
      </c>
      <c r="G5723">
        <v>0</v>
      </c>
      <c r="H5723">
        <v>0</v>
      </c>
      <c r="I5723">
        <v>0</v>
      </c>
      <c r="J5723">
        <v>-422.04289999999997</v>
      </c>
      <c r="K5723">
        <v>1.1218600000000001</v>
      </c>
      <c r="L5723">
        <v>126.1079</v>
      </c>
      <c r="M5723">
        <v>-0.1090179</v>
      </c>
      <c r="N5723">
        <v>-8.9791119999999992E-3</v>
      </c>
      <c r="O5723">
        <v>-0.99399919999999997</v>
      </c>
      <c r="P5723">
        <v>-3.0192139999999999E-2</v>
      </c>
      <c r="Q5723">
        <v>-9.005059E-2</v>
      </c>
      <c r="R5723">
        <v>-0.99547960000000002</v>
      </c>
      <c r="S5723">
        <v>-0.3273315</v>
      </c>
      <c r="T5723">
        <v>1.928218</v>
      </c>
      <c r="U5723">
        <v>-3.1794280000000001</v>
      </c>
      <c r="V5723">
        <v>-7.8201670000000001E-2</v>
      </c>
      <c r="W5723">
        <v>-8.143628E-2</v>
      </c>
      <c r="X5723">
        <v>0.99360590000000004</v>
      </c>
      <c r="Y5723">
        <v>-2.1762799999999999E-2</v>
      </c>
      <c r="Z5723">
        <v>-0.52093089999999997</v>
      </c>
      <c r="AA5723">
        <v>0.85332140000000001</v>
      </c>
      <c r="AB5723">
        <v>16</v>
      </c>
      <c r="AC5723">
        <v>-0.3273315</v>
      </c>
      <c r="AD5723">
        <v>1.928218</v>
      </c>
      <c r="AE5723">
        <v>-3.1794280000000001</v>
      </c>
      <c r="AF5723">
        <v>-1.5578471365573001E-2</v>
      </c>
      <c r="AG5723">
        <v>1.928218</v>
      </c>
      <c r="AH5723">
        <v>2.3433230587962601</v>
      </c>
      <c r="AI5723">
        <v>50.551151857310302</v>
      </c>
      <c r="AJ5723">
        <v>90.380898189833601</v>
      </c>
      <c r="AK5723">
        <v>3.0347043187401899</v>
      </c>
      <c r="AL5723">
        <v>94.671127803373594</v>
      </c>
      <c r="AM5723">
        <v>94.500182803508196</v>
      </c>
      <c r="AN5723">
        <v>1.0000000267029101</v>
      </c>
    </row>
    <row r="5724" spans="1:40" x14ac:dyDescent="0.25">
      <c r="A5724" t="str">
        <f>"20190303154924376"</f>
        <v>20190303154924376</v>
      </c>
      <c r="B5724" t="str">
        <f>"1551599364366198"</f>
        <v>1551599364366198</v>
      </c>
      <c r="C5724" t="s">
        <v>40</v>
      </c>
      <c r="D5724">
        <v>5.5251099999999997</v>
      </c>
      <c r="E5724">
        <v>0.49287310000000001</v>
      </c>
      <c r="F5724" t="s">
        <v>63</v>
      </c>
      <c r="G5724">
        <v>-424.20620000000002</v>
      </c>
      <c r="H5724">
        <v>3.7291259999999999</v>
      </c>
      <c r="I5724">
        <v>1.731649</v>
      </c>
      <c r="J5724">
        <v>-422.05630000000002</v>
      </c>
      <c r="K5724">
        <v>1.121842</v>
      </c>
      <c r="L5724">
        <v>125.943</v>
      </c>
      <c r="M5724">
        <v>-0.1050122</v>
      </c>
      <c r="N5724">
        <v>-8.4628669999999902E-3</v>
      </c>
      <c r="O5724">
        <v>-0.99443499999999996</v>
      </c>
      <c r="P5724">
        <v>-2.814943E-2</v>
      </c>
      <c r="Q5724">
        <v>-8.7417830000000002E-2</v>
      </c>
      <c r="R5724">
        <v>-0.9957743</v>
      </c>
      <c r="S5724">
        <v>-5.2490229999999999E-2</v>
      </c>
      <c r="T5724">
        <v>6.3260200000000003E-2</v>
      </c>
      <c r="U5724">
        <v>-3.017776</v>
      </c>
      <c r="V5724">
        <v>-7.6267370000000001E-2</v>
      </c>
      <c r="W5724">
        <v>-7.9309679999999994E-2</v>
      </c>
      <c r="X5724">
        <v>0.99392820000000004</v>
      </c>
      <c r="Y5724">
        <v>-8.7717249999999997E-2</v>
      </c>
      <c r="Z5724">
        <v>-2.919472E-2</v>
      </c>
      <c r="AA5724">
        <v>0.99571750000000003</v>
      </c>
      <c r="AB5724">
        <v>16</v>
      </c>
      <c r="AC5724">
        <v>-2.1499000000000001</v>
      </c>
      <c r="AD5724">
        <v>2.6072839999999999</v>
      </c>
      <c r="AE5724">
        <v>-124.21135099999999</v>
      </c>
      <c r="AF5724">
        <v>-10.9013593513786</v>
      </c>
      <c r="AG5724">
        <v>2.6072839999999999</v>
      </c>
      <c r="AH5724">
        <v>123.695817510426</v>
      </c>
      <c r="AI5724">
        <v>88.797148294388705</v>
      </c>
      <c r="AJ5724">
        <v>95.036486293126401</v>
      </c>
      <c r="AK5724">
        <v>124.202628132971</v>
      </c>
      <c r="AL5724">
        <v>94.548887225511294</v>
      </c>
      <c r="AM5724">
        <v>94.387894553689804</v>
      </c>
      <c r="AN5724">
        <v>1.00000000191182</v>
      </c>
    </row>
    <row r="5725" spans="1:40" x14ac:dyDescent="0.25">
      <c r="A5725" t="str">
        <f>"20190303154924400"</f>
        <v>20190303154924400</v>
      </c>
      <c r="B5725" t="str">
        <f>"1551599364396454"</f>
        <v>1551599364396454</v>
      </c>
      <c r="C5725" t="s">
        <v>40</v>
      </c>
      <c r="D5725">
        <v>5.5267819999999999</v>
      </c>
      <c r="E5725">
        <v>0.4894752</v>
      </c>
      <c r="F5725" t="s">
        <v>63</v>
      </c>
      <c r="G5725">
        <v>-423.32420000000002</v>
      </c>
      <c r="H5725">
        <v>2.351003</v>
      </c>
      <c r="I5725">
        <v>0.44358829999999999</v>
      </c>
      <c r="J5725">
        <v>-422.06950000000001</v>
      </c>
      <c r="K5725">
        <v>1.121815</v>
      </c>
      <c r="L5725">
        <v>125.7736</v>
      </c>
      <c r="M5725">
        <v>-0.1009403</v>
      </c>
      <c r="N5725">
        <v>-7.9383519999999992E-3</v>
      </c>
      <c r="O5725">
        <v>-0.99486090000000005</v>
      </c>
      <c r="P5725">
        <v>-2.6338750000000001E-2</v>
      </c>
      <c r="Q5725">
        <v>-8.5375480000000004E-2</v>
      </c>
      <c r="R5725">
        <v>-0.99600060000000001</v>
      </c>
      <c r="S5725">
        <v>-3.0456540000000001E-2</v>
      </c>
      <c r="T5725">
        <v>2.9523489999999999E-2</v>
      </c>
      <c r="U5725">
        <v>-3.014465</v>
      </c>
      <c r="V5725">
        <v>-7.4026789999999995E-2</v>
      </c>
      <c r="W5725">
        <v>-7.7780440000000006E-2</v>
      </c>
      <c r="X5725">
        <v>0.99421839999999995</v>
      </c>
      <c r="Y5725">
        <v>-9.0889209999999998E-2</v>
      </c>
      <c r="Z5725">
        <v>-1.7631540000000001E-2</v>
      </c>
      <c r="AA5725">
        <v>0.9957049</v>
      </c>
      <c r="AB5725">
        <v>16</v>
      </c>
      <c r="AC5725">
        <v>-1.2547000000000099</v>
      </c>
      <c r="AD5725">
        <v>1.2291879999999999</v>
      </c>
      <c r="AE5725">
        <v>-125.3300117</v>
      </c>
      <c r="AF5725">
        <v>-11.4018587004031</v>
      </c>
      <c r="AG5725">
        <v>1.2291879999999999</v>
      </c>
      <c r="AH5725">
        <v>124.804496523994</v>
      </c>
      <c r="AI5725">
        <v>89.438057415506407</v>
      </c>
      <c r="AJ5725">
        <v>95.219923762305498</v>
      </c>
      <c r="AK5725">
        <v>125.330266247108</v>
      </c>
      <c r="AL5725">
        <v>94.460996719189296</v>
      </c>
      <c r="AM5725">
        <v>94.258230002443696</v>
      </c>
      <c r="AN5725">
        <v>0.99999999469142797</v>
      </c>
    </row>
    <row r="5726" spans="1:40" x14ac:dyDescent="0.25">
      <c r="A5726" t="str">
        <f>"20190303154924422"</f>
        <v>20190303154924422</v>
      </c>
      <c r="B5726" t="str">
        <f>"1551599364415973"</f>
        <v>1551599364415973</v>
      </c>
      <c r="C5726" t="s">
        <v>40</v>
      </c>
      <c r="D5726">
        <v>5.4994699999999996</v>
      </c>
      <c r="E5726">
        <v>0.48839929999999898</v>
      </c>
      <c r="F5726" t="s">
        <v>63</v>
      </c>
      <c r="G5726">
        <v>-421.96530000000001</v>
      </c>
      <c r="H5726">
        <v>1.0154099999999999</v>
      </c>
      <c r="I5726">
        <v>0.45740320000000001</v>
      </c>
      <c r="J5726">
        <v>-422.08150000000001</v>
      </c>
      <c r="K5726">
        <v>1.1217820000000001</v>
      </c>
      <c r="L5726">
        <v>125.6103</v>
      </c>
      <c r="M5726">
        <v>-9.7058720000000001E-2</v>
      </c>
      <c r="N5726">
        <v>-7.4431840000000003E-3</v>
      </c>
      <c r="O5726">
        <v>-0.99525090000000005</v>
      </c>
      <c r="P5726">
        <v>-2.345131E-2</v>
      </c>
      <c r="Q5726">
        <v>-8.3993750000000006E-2</v>
      </c>
      <c r="R5726">
        <v>-0.99619029999999997</v>
      </c>
      <c r="S5726">
        <v>2.5024410000000002E-3</v>
      </c>
      <c r="T5726">
        <v>-2.5579930000000002E-3</v>
      </c>
      <c r="U5726">
        <v>-3.0119020000000001</v>
      </c>
      <c r="V5726">
        <v>-7.3042889999999999E-2</v>
      </c>
      <c r="W5726">
        <v>-7.6888609999999996E-2</v>
      </c>
      <c r="X5726">
        <v>0.99436049999999998</v>
      </c>
      <c r="Y5726">
        <v>-9.7885249999999993E-2</v>
      </c>
      <c r="Z5726">
        <v>-6.6022650000000004E-3</v>
      </c>
      <c r="AA5726">
        <v>0.99517580000000005</v>
      </c>
      <c r="AB5726">
        <v>17</v>
      </c>
      <c r="AC5726">
        <v>0.116199999999992</v>
      </c>
      <c r="AD5726">
        <v>-0.106371999999999</v>
      </c>
      <c r="AE5726">
        <v>-125.15289679999999</v>
      </c>
      <c r="AF5726">
        <v>-12.263158043795601</v>
      </c>
      <c r="AG5726">
        <v>-0.106371999999999</v>
      </c>
      <c r="AH5726">
        <v>124.55060579814101</v>
      </c>
      <c r="AI5726">
        <v>90.048697769867104</v>
      </c>
      <c r="AJ5726">
        <v>95.623174899560397</v>
      </c>
      <c r="AK5726">
        <v>125.152905539158</v>
      </c>
      <c r="AL5726">
        <v>94.409745273787905</v>
      </c>
      <c r="AM5726">
        <v>94.201239041799496</v>
      </c>
      <c r="AN5726">
        <v>0.99999996304376604</v>
      </c>
    </row>
    <row r="5727" spans="1:40" x14ac:dyDescent="0.25">
      <c r="A5727" t="str">
        <f>"20190303154924444"</f>
        <v>20190303154924444</v>
      </c>
      <c r="B5727" t="str">
        <f>"1551599364436470"</f>
        <v>1551599364436470</v>
      </c>
      <c r="C5727" t="s">
        <v>40</v>
      </c>
      <c r="D5727">
        <v>5.5946809999999996</v>
      </c>
      <c r="E5727">
        <v>0.48701749999999999</v>
      </c>
      <c r="F5727" t="s">
        <v>63</v>
      </c>
      <c r="G5727">
        <v>-421.2509</v>
      </c>
      <c r="H5727">
        <v>0.9343574</v>
      </c>
      <c r="I5727">
        <v>0.46467209999999998</v>
      </c>
      <c r="J5727">
        <v>-422.09309999999999</v>
      </c>
      <c r="K5727">
        <v>1.1217520000000001</v>
      </c>
      <c r="L5727">
        <v>125.4455</v>
      </c>
      <c r="M5727">
        <v>-9.3179139999999994E-2</v>
      </c>
      <c r="N5727">
        <v>-6.9591030000000003E-3</v>
      </c>
      <c r="O5727">
        <v>-0.99562510000000004</v>
      </c>
      <c r="P5727">
        <v>-2.1272929999999999E-2</v>
      </c>
      <c r="Q5727">
        <v>-8.3123569999999994E-2</v>
      </c>
      <c r="R5727">
        <v>-0.99631199999999998</v>
      </c>
      <c r="S5727">
        <v>1.9989010000000001E-2</v>
      </c>
      <c r="T5727">
        <v>-4.5108800000000001E-3</v>
      </c>
      <c r="U5727">
        <v>-3.0115810000000001</v>
      </c>
      <c r="V5727">
        <v>-7.1347510000000003E-2</v>
      </c>
      <c r="W5727">
        <v>-7.6495030000000006E-2</v>
      </c>
      <c r="X5727">
        <v>0.99451400000000001</v>
      </c>
      <c r="Y5727">
        <v>-9.9784659999999997E-2</v>
      </c>
      <c r="Z5727">
        <v>-5.4769750000000002E-3</v>
      </c>
      <c r="AA5727">
        <v>0.99499400000000005</v>
      </c>
      <c r="AB5727">
        <v>17</v>
      </c>
      <c r="AC5727">
        <v>0.84219999999999096</v>
      </c>
      <c r="AD5727">
        <v>-0.18739459999999999</v>
      </c>
      <c r="AE5727">
        <v>-124.98082789999999</v>
      </c>
      <c r="AF5727">
        <v>-12.484395006917</v>
      </c>
      <c r="AG5727">
        <v>-0.18739459999999999</v>
      </c>
      <c r="AH5727">
        <v>124.35829804031999</v>
      </c>
      <c r="AI5727">
        <v>90.085906712140996</v>
      </c>
      <c r="AJ5727">
        <v>95.732746256610298</v>
      </c>
      <c r="AK5727">
        <v>124.98352502194</v>
      </c>
      <c r="AL5727">
        <v>94.387127910166299</v>
      </c>
      <c r="AM5727">
        <v>94.103431005201898</v>
      </c>
      <c r="AN5727">
        <v>1.00000002649695</v>
      </c>
    </row>
    <row r="5728" spans="1:40" x14ac:dyDescent="0.25">
      <c r="A5728" t="str">
        <f>"20190303154924466"</f>
        <v>20190303154924466</v>
      </c>
      <c r="B5728" t="str">
        <f>"1551599364455990"</f>
        <v>1551599364455990</v>
      </c>
      <c r="C5728" t="s">
        <v>40</v>
      </c>
      <c r="D5728">
        <v>5.5507179999999998</v>
      </c>
      <c r="E5728">
        <v>0.48668159999999999</v>
      </c>
      <c r="F5728" t="s">
        <v>63</v>
      </c>
      <c r="G5728">
        <v>-420.5086</v>
      </c>
      <c r="H5728">
        <v>0.7969195</v>
      </c>
      <c r="I5728">
        <v>0.47221570000000002</v>
      </c>
      <c r="J5728">
        <v>-422.10430000000002</v>
      </c>
      <c r="K5728">
        <v>1.1217239999999999</v>
      </c>
      <c r="L5728">
        <v>125.2777</v>
      </c>
      <c r="M5728">
        <v>-8.9259950000000005E-2</v>
      </c>
      <c r="N5728">
        <v>-6.4900740000000002E-3</v>
      </c>
      <c r="O5728">
        <v>-0.99598719999999996</v>
      </c>
      <c r="P5728">
        <v>-1.917485E-2</v>
      </c>
      <c r="Q5728">
        <v>-8.2378740000000006E-2</v>
      </c>
      <c r="R5728">
        <v>-0.99641690000000005</v>
      </c>
      <c r="S5728">
        <v>3.8177490000000001E-2</v>
      </c>
      <c r="T5728">
        <v>-7.8275199999999993E-3</v>
      </c>
      <c r="U5728">
        <v>-3.0112610000000002</v>
      </c>
      <c r="V5728">
        <v>-6.9529789999999994E-2</v>
      </c>
      <c r="W5728">
        <v>-7.621261E-2</v>
      </c>
      <c r="X5728">
        <v>0.9946644</v>
      </c>
      <c r="Y5728">
        <v>-0.1018782</v>
      </c>
      <c r="Z5728">
        <v>-3.9168129999999999E-3</v>
      </c>
      <c r="AA5728">
        <v>0.99478920000000004</v>
      </c>
      <c r="AB5728">
        <v>17</v>
      </c>
      <c r="AC5728">
        <v>1.5957000000000201</v>
      </c>
      <c r="AD5728">
        <v>-0.324804499999999</v>
      </c>
      <c r="AE5728">
        <v>-124.8054843</v>
      </c>
      <c r="AF5728">
        <v>-12.729610197636701</v>
      </c>
      <c r="AG5728">
        <v>-0.324804499999999</v>
      </c>
      <c r="AH5728">
        <v>124.164009279181</v>
      </c>
      <c r="AI5728">
        <v>90.149099939344794</v>
      </c>
      <c r="AJ5728">
        <v>95.853657274980904</v>
      </c>
      <c r="AK5728">
        <v>124.81526218386701</v>
      </c>
      <c r="AL5728">
        <v>94.370899128336404</v>
      </c>
      <c r="AM5728">
        <v>93.998628810016996</v>
      </c>
      <c r="AN5728">
        <v>1.0000000111239</v>
      </c>
    </row>
    <row r="5729" spans="1:40" x14ac:dyDescent="0.25">
      <c r="A5729" t="str">
        <f>"20190303154924489"</f>
        <v>20190303154924489</v>
      </c>
      <c r="B5729" t="str">
        <f>"1551599364476486"</f>
        <v>1551599364476486</v>
      </c>
      <c r="C5729" t="s">
        <v>40</v>
      </c>
      <c r="D5729">
        <v>5.5911059999999999</v>
      </c>
      <c r="E5729">
        <v>0.48626750000000002</v>
      </c>
      <c r="F5729" t="s">
        <v>63</v>
      </c>
      <c r="G5729">
        <v>-420.14359999999999</v>
      </c>
      <c r="H5729">
        <v>0.77348380000000005</v>
      </c>
      <c r="I5729">
        <v>0.4759274</v>
      </c>
      <c r="J5729">
        <v>-422.11520000000002</v>
      </c>
      <c r="K5729">
        <v>1.121721</v>
      </c>
      <c r="L5729">
        <v>125.1041</v>
      </c>
      <c r="M5729">
        <v>-8.5232260000000004E-2</v>
      </c>
      <c r="N5729">
        <v>-6.0360730000000003E-3</v>
      </c>
      <c r="O5729">
        <v>-0.99634290000000003</v>
      </c>
      <c r="P5729">
        <v>-1.6960079999999999E-2</v>
      </c>
      <c r="Q5729">
        <v>-8.1612530000000003E-2</v>
      </c>
      <c r="R5729">
        <v>-0.99651999999999996</v>
      </c>
      <c r="S5729">
        <v>4.7302249999999997E-2</v>
      </c>
      <c r="T5729">
        <v>-8.4023480000000005E-3</v>
      </c>
      <c r="U5729">
        <v>-3.0109859999999999</v>
      </c>
      <c r="V5729">
        <v>-6.771953E-2</v>
      </c>
      <c r="W5729">
        <v>-7.5895439999999995E-2</v>
      </c>
      <c r="X5729">
        <v>0.99481350000000002</v>
      </c>
      <c r="Y5729">
        <v>-0.1008713</v>
      </c>
      <c r="Z5729">
        <v>-3.2721209999999998E-3</v>
      </c>
      <c r="AA5729">
        <v>0.9948941</v>
      </c>
      <c r="AB5729">
        <v>17</v>
      </c>
      <c r="AC5729">
        <v>1.97160000000002</v>
      </c>
      <c r="AD5729">
        <v>-0.34823719999999903</v>
      </c>
      <c r="AE5729">
        <v>-124.6281726</v>
      </c>
      <c r="AF5729">
        <v>-12.586860599900801</v>
      </c>
      <c r="AG5729">
        <v>-0.34823719999999903</v>
      </c>
      <c r="AH5729">
        <v>124.005633004952</v>
      </c>
      <c r="AI5729">
        <v>90.1600772037186</v>
      </c>
      <c r="AJ5729">
        <v>95.795805280913399</v>
      </c>
      <c r="AK5729">
        <v>124.643280387944</v>
      </c>
      <c r="AL5729">
        <v>94.352673992581202</v>
      </c>
      <c r="AM5729">
        <v>93.8942642545057</v>
      </c>
      <c r="AN5729">
        <v>0.99999997616923197</v>
      </c>
    </row>
    <row r="5730" spans="1:40" x14ac:dyDescent="0.25">
      <c r="A5730" t="str">
        <f>"20190303154924512"</f>
        <v>20190303154924512</v>
      </c>
      <c r="B5730" t="str">
        <f>"1551599364506742"</f>
        <v>1551599364506742</v>
      </c>
      <c r="C5730" t="s">
        <v>40</v>
      </c>
      <c r="D5730">
        <v>5.585934</v>
      </c>
      <c r="E5730">
        <v>0.48597509999999999</v>
      </c>
      <c r="F5730" t="s">
        <v>63</v>
      </c>
      <c r="G5730">
        <v>-419.72859999999997</v>
      </c>
      <c r="H5730">
        <v>0.5556063</v>
      </c>
      <c r="I5730">
        <v>0.48014829999999997</v>
      </c>
      <c r="J5730">
        <v>-422.12569999999999</v>
      </c>
      <c r="K5730">
        <v>1.1217280000000001</v>
      </c>
      <c r="L5730">
        <v>124.9268</v>
      </c>
      <c r="M5730">
        <v>-8.1138399999999902E-2</v>
      </c>
      <c r="N5730">
        <v>-5.6075469999999896E-3</v>
      </c>
      <c r="O5730">
        <v>-0.99668710000000005</v>
      </c>
      <c r="P5730">
        <v>-1.4267159999999999E-2</v>
      </c>
      <c r="Q5730">
        <v>-8.061082E-2</v>
      </c>
      <c r="R5730">
        <v>-0.99664350000000002</v>
      </c>
      <c r="S5730">
        <v>5.7647709999999998E-2</v>
      </c>
      <c r="T5730">
        <v>-1.3675329999999999E-2</v>
      </c>
      <c r="U5730">
        <v>-3.0103300000000002</v>
      </c>
      <c r="V5730">
        <v>-6.6322030000000004E-2</v>
      </c>
      <c r="W5730">
        <v>-7.532047E-2</v>
      </c>
      <c r="X5730">
        <v>0.99495140000000004</v>
      </c>
      <c r="Y5730">
        <v>-0.1002053</v>
      </c>
      <c r="Z5730">
        <v>-1.1034899999999999E-3</v>
      </c>
      <c r="AA5730">
        <v>0.99496609999999996</v>
      </c>
      <c r="AB5730">
        <v>17</v>
      </c>
      <c r="AC5730">
        <v>2.39710000000002</v>
      </c>
      <c r="AD5730">
        <v>-0.56612169999999995</v>
      </c>
      <c r="AE5730">
        <v>-124.4466517</v>
      </c>
      <c r="AF5730">
        <v>-12.4864984950903</v>
      </c>
      <c r="AG5730">
        <v>-0.56612169999999995</v>
      </c>
      <c r="AH5730">
        <v>123.83925708519899</v>
      </c>
      <c r="AI5730">
        <v>90.260600146174397</v>
      </c>
      <c r="AJ5730">
        <v>95.757575988121602</v>
      </c>
      <c r="AK5730">
        <v>124.468448748513</v>
      </c>
      <c r="AL5730">
        <v>94.319635808365206</v>
      </c>
      <c r="AM5730">
        <v>93.813612549408205</v>
      </c>
      <c r="AN5730">
        <v>1.0000000366131501</v>
      </c>
    </row>
    <row r="5731" spans="1:40" x14ac:dyDescent="0.25">
      <c r="A5731" t="str">
        <f>"20190303154924534"</f>
        <v>20190303154924534</v>
      </c>
      <c r="B5731" t="str">
        <f>"1551599364526262"</f>
        <v>1551599364526262</v>
      </c>
      <c r="C5731" t="s">
        <v>40</v>
      </c>
      <c r="D5731">
        <v>5.5515629999999998</v>
      </c>
      <c r="E5731">
        <v>0.48602129999999999</v>
      </c>
      <c r="F5731" t="s">
        <v>63</v>
      </c>
      <c r="G5731">
        <v>-419.30549999999999</v>
      </c>
      <c r="H5731">
        <v>0.40454469999999998</v>
      </c>
      <c r="I5731">
        <v>0.48445129999999997</v>
      </c>
      <c r="J5731">
        <v>-422.13529999999997</v>
      </c>
      <c r="K5731">
        <v>1.1217410000000001</v>
      </c>
      <c r="L5731">
        <v>124.7535</v>
      </c>
      <c r="M5731">
        <v>-7.714973E-2</v>
      </c>
      <c r="N5731">
        <v>-5.2251679999999997E-3</v>
      </c>
      <c r="O5731">
        <v>-0.9970059</v>
      </c>
      <c r="P5731">
        <v>-1.0970519999999999E-2</v>
      </c>
      <c r="Q5731">
        <v>-7.957902E-2</v>
      </c>
      <c r="R5731">
        <v>-0.9967684</v>
      </c>
      <c r="S5731">
        <v>6.8206790000000003E-2</v>
      </c>
      <c r="T5731">
        <v>-1.734579E-2</v>
      </c>
      <c r="U5731">
        <v>-3.009674</v>
      </c>
      <c r="V5731">
        <v>-6.5632549999999998E-2</v>
      </c>
      <c r="W5731">
        <v>-7.4673399999999904E-2</v>
      </c>
      <c r="X5731">
        <v>0.99504579999999998</v>
      </c>
      <c r="Y5731">
        <v>-9.9717280000000005E-2</v>
      </c>
      <c r="Z5731">
        <v>4.9264179999999999E-4</v>
      </c>
      <c r="AA5731">
        <v>0.99501569999999995</v>
      </c>
      <c r="AB5731">
        <v>17</v>
      </c>
      <c r="AC5731">
        <v>2.8297999999999699</v>
      </c>
      <c r="AD5731">
        <v>-0.71719629999999901</v>
      </c>
      <c r="AE5731">
        <v>-124.2690487</v>
      </c>
      <c r="AF5731">
        <v>-12.408406242837099</v>
      </c>
      <c r="AG5731">
        <v>-0.71719629999999901</v>
      </c>
      <c r="AH5731">
        <v>123.676218399737</v>
      </c>
      <c r="AI5731">
        <v>90.330593846848799</v>
      </c>
      <c r="AJ5731">
        <v>95.729299742420196</v>
      </c>
      <c r="AK5731">
        <v>124.299195144938</v>
      </c>
      <c r="AL5731">
        <v>94.282457111899504</v>
      </c>
      <c r="AM5731">
        <v>93.773724619956099</v>
      </c>
      <c r="AN5731">
        <v>0.999999946192349</v>
      </c>
    </row>
    <row r="5732" spans="1:40" x14ac:dyDescent="0.25">
      <c r="A5732" t="str">
        <f>"20190303154924549"</f>
        <v>20190303154924549</v>
      </c>
      <c r="B5732" t="str">
        <f>"1551599364546759"</f>
        <v>1551599364546759</v>
      </c>
      <c r="C5732" t="s">
        <v>40</v>
      </c>
      <c r="D5732">
        <v>5.5217280000000004</v>
      </c>
      <c r="E5732">
        <v>0.48615589999999997</v>
      </c>
      <c r="F5732" t="s">
        <v>63</v>
      </c>
      <c r="G5732">
        <v>-418.92410000000001</v>
      </c>
      <c r="H5732">
        <v>0.36629850000000003</v>
      </c>
      <c r="I5732">
        <v>0.48832890000000001</v>
      </c>
      <c r="J5732">
        <v>-422.14159999999998</v>
      </c>
      <c r="K5732">
        <v>1.1217569999999999</v>
      </c>
      <c r="L5732">
        <v>124.6314</v>
      </c>
      <c r="M5732">
        <v>-7.4343129999999993E-2</v>
      </c>
      <c r="N5732">
        <v>-4.9800119999999998E-3</v>
      </c>
      <c r="O5732">
        <v>-0.99722049999999995</v>
      </c>
      <c r="P5732">
        <v>-8.3304720000000002E-3</v>
      </c>
      <c r="Q5732">
        <v>-7.9435140000000001E-2</v>
      </c>
      <c r="R5732">
        <v>-0.99680550000000001</v>
      </c>
      <c r="S5732">
        <v>7.7758789999999994E-2</v>
      </c>
      <c r="T5732">
        <v>-1.8293859999999999E-2</v>
      </c>
      <c r="U5732">
        <v>-3.009125</v>
      </c>
      <c r="V5732">
        <v>-6.5460760000000007E-2</v>
      </c>
      <c r="W5732">
        <v>-7.4778330000000004E-2</v>
      </c>
      <c r="X5732">
        <v>0.99504930000000003</v>
      </c>
      <c r="Y5732">
        <v>-0.10007729999999999</v>
      </c>
      <c r="Z5732">
        <v>1.0530520000000001E-3</v>
      </c>
      <c r="AA5732">
        <v>0.99497910000000001</v>
      </c>
      <c r="AB5732">
        <v>18</v>
      </c>
      <c r="AC5732">
        <v>3.2174999999999701</v>
      </c>
      <c r="AD5732">
        <v>-0.75545849999999903</v>
      </c>
      <c r="AE5732">
        <v>-124.14307109999901</v>
      </c>
      <c r="AF5732">
        <v>-12.437432737077501</v>
      </c>
      <c r="AG5732">
        <v>-0.75545849999999903</v>
      </c>
      <c r="AH5732">
        <v>123.555749779476</v>
      </c>
      <c r="AI5732">
        <v>90.348558484807597</v>
      </c>
      <c r="AJ5732">
        <v>95.748174247255804</v>
      </c>
      <c r="AK5732">
        <v>124.18246154027899</v>
      </c>
      <c r="AL5732">
        <v>94.288485742133204</v>
      </c>
      <c r="AM5732">
        <v>93.763862308548596</v>
      </c>
      <c r="AN5732">
        <v>1.0000000095839201</v>
      </c>
    </row>
    <row r="5733" spans="1:40" x14ac:dyDescent="0.25">
      <c r="A5733" t="str">
        <f>"20190303154924567"</f>
        <v>20190303154924567</v>
      </c>
      <c r="B5733" t="str">
        <f>"1551599364556518"</f>
        <v>1551599364556518</v>
      </c>
      <c r="C5733" t="s">
        <v>40</v>
      </c>
      <c r="D5733">
        <v>5.4952589999999999</v>
      </c>
      <c r="E5733">
        <v>0.48602630000000002</v>
      </c>
      <c r="F5733" t="s">
        <v>63</v>
      </c>
      <c r="G5733">
        <v>-418.64729999999997</v>
      </c>
      <c r="H5733">
        <v>0.25727280000000002</v>
      </c>
      <c r="I5733">
        <v>0.49114419999999998</v>
      </c>
      <c r="J5733">
        <v>-422.14830000000001</v>
      </c>
      <c r="K5733">
        <v>1.1217779999999999</v>
      </c>
      <c r="L5733">
        <v>124.494</v>
      </c>
      <c r="M5733">
        <v>-7.1185120000000005E-2</v>
      </c>
      <c r="N5733">
        <v>-4.7269349999999998E-3</v>
      </c>
      <c r="O5733">
        <v>-0.99745200000000001</v>
      </c>
      <c r="P5733">
        <v>-5.4472100000000001E-3</v>
      </c>
      <c r="Q5733">
        <v>-7.8529520000000005E-2</v>
      </c>
      <c r="R5733">
        <v>-0.99689700000000003</v>
      </c>
      <c r="S5733">
        <v>8.4686280000000003E-2</v>
      </c>
      <c r="T5733">
        <v>-2.095234E-2</v>
      </c>
      <c r="U5733">
        <v>-3.008667</v>
      </c>
      <c r="V5733">
        <v>-6.5188709999999997E-2</v>
      </c>
      <c r="W5733">
        <v>-7.4129310000000004E-2</v>
      </c>
      <c r="X5733">
        <v>0.99511570000000005</v>
      </c>
      <c r="Y5733">
        <v>-9.9219840000000004E-2</v>
      </c>
      <c r="Z5733">
        <v>2.1871260000000002E-3</v>
      </c>
      <c r="AA5733">
        <v>0.99506309999999998</v>
      </c>
      <c r="AB5733">
        <v>18</v>
      </c>
      <c r="AC5733">
        <v>3.5010000000000301</v>
      </c>
      <c r="AD5733">
        <v>-0.86450519999999997</v>
      </c>
      <c r="AE5733">
        <v>-124.002855799999</v>
      </c>
      <c r="AF5733">
        <v>-12.318776019749601</v>
      </c>
      <c r="AG5733">
        <v>-0.86450519999999997</v>
      </c>
      <c r="AH5733">
        <v>123.433052199687</v>
      </c>
      <c r="AI5733">
        <v>90.399300259925099</v>
      </c>
      <c r="AJ5733">
        <v>95.699319560949405</v>
      </c>
      <c r="AK5733">
        <v>124.04925629441</v>
      </c>
      <c r="AL5733">
        <v>94.251196222059605</v>
      </c>
      <c r="AM5733">
        <v>93.748015270423195</v>
      </c>
      <c r="AN5733">
        <v>0.99999998944951496</v>
      </c>
    </row>
    <row r="5734" spans="1:40" x14ac:dyDescent="0.25">
      <c r="A5734" t="str">
        <f>"20190303154924582"</f>
        <v>20190303154924582</v>
      </c>
      <c r="B5734" t="str">
        <f>"1551599364576039"</f>
        <v>1551599364576039</v>
      </c>
      <c r="C5734" t="s">
        <v>40</v>
      </c>
      <c r="D5734">
        <v>5.5645550000000004</v>
      </c>
      <c r="E5734">
        <v>0.48591230000000002</v>
      </c>
      <c r="F5734" t="s">
        <v>63</v>
      </c>
      <c r="G5734">
        <v>-418.25099999999998</v>
      </c>
      <c r="H5734">
        <v>0.23019249999999999</v>
      </c>
      <c r="I5734">
        <v>0.49517060000000002</v>
      </c>
      <c r="J5734">
        <v>-422.15410000000003</v>
      </c>
      <c r="K5734">
        <v>1.1217999999999999</v>
      </c>
      <c r="L5734">
        <v>124.3663</v>
      </c>
      <c r="M5734">
        <v>-6.8254590000000004E-2</v>
      </c>
      <c r="N5734">
        <v>-4.5131620000000002E-3</v>
      </c>
      <c r="O5734">
        <v>-0.99765769999999998</v>
      </c>
      <c r="P5734">
        <v>-2.6318309999999998E-3</v>
      </c>
      <c r="Q5734">
        <v>-7.8583979999999998E-2</v>
      </c>
      <c r="R5734">
        <v>-0.99690409999999996</v>
      </c>
      <c r="S5734">
        <v>9.4543459999999996E-2</v>
      </c>
      <c r="T5734">
        <v>-2.1630050000000001E-2</v>
      </c>
      <c r="U5734">
        <v>-3.0081479999999998</v>
      </c>
      <c r="V5734">
        <v>-6.5067819999999998E-2</v>
      </c>
      <c r="W5734">
        <v>-7.4401789999999995E-2</v>
      </c>
      <c r="X5734">
        <v>0.99510330000000002</v>
      </c>
      <c r="Y5734">
        <v>-9.95592E-2</v>
      </c>
      <c r="Z5734">
        <v>2.627547E-3</v>
      </c>
      <c r="AA5734">
        <v>0.99502820000000003</v>
      </c>
      <c r="AB5734">
        <v>18</v>
      </c>
      <c r="AC5734">
        <v>3.90310000000005</v>
      </c>
      <c r="AD5734">
        <v>-0.891607499999999</v>
      </c>
      <c r="AE5734">
        <v>-123.8711294</v>
      </c>
      <c r="AF5734">
        <v>-12.348217912365101</v>
      </c>
      <c r="AG5734">
        <v>-0.891607499999999</v>
      </c>
      <c r="AH5734">
        <v>123.30945867365701</v>
      </c>
      <c r="AI5734">
        <v>90.412216856292005</v>
      </c>
      <c r="AJ5734">
        <v>95.718539028487001</v>
      </c>
      <c r="AK5734">
        <v>123.929399449589</v>
      </c>
      <c r="AL5734">
        <v>94.266851309037705</v>
      </c>
      <c r="AM5734">
        <v>93.741130959481296</v>
      </c>
      <c r="AN5734">
        <v>1.0000000126128199</v>
      </c>
    </row>
    <row r="5735" spans="1:40" x14ac:dyDescent="0.25">
      <c r="A5735" t="str">
        <f>"20190303154924602"</f>
        <v>20190303154924602</v>
      </c>
      <c r="B5735" t="str">
        <f>"1551599364596534"</f>
        <v>1551599364596534</v>
      </c>
      <c r="C5735" t="s">
        <v>40</v>
      </c>
      <c r="D5735">
        <v>5.5895099999999998</v>
      </c>
      <c r="E5735">
        <v>0.45390760000000002</v>
      </c>
      <c r="F5735" t="s">
        <v>43</v>
      </c>
      <c r="G5735">
        <v>-417.36779999999999</v>
      </c>
      <c r="H5735">
        <v>-0.05</v>
      </c>
      <c r="I5735">
        <v>-13.719250000000001</v>
      </c>
      <c r="J5735">
        <v>-422.16059999999999</v>
      </c>
      <c r="K5735">
        <v>1.121829</v>
      </c>
      <c r="L5735">
        <v>124.21210000000001</v>
      </c>
      <c r="M5735">
        <v>-6.4716759999999998E-2</v>
      </c>
      <c r="N5735">
        <v>-4.284525E-3</v>
      </c>
      <c r="O5735">
        <v>-0.99789450000000002</v>
      </c>
      <c r="P5735">
        <v>4.3082389999999997E-4</v>
      </c>
      <c r="Q5735">
        <v>-7.7991850000000001E-2</v>
      </c>
      <c r="R5735">
        <v>-0.99695389999999995</v>
      </c>
      <c r="S5735">
        <v>0.10424799999999999</v>
      </c>
      <c r="T5735">
        <v>-2.5522469999999998E-2</v>
      </c>
      <c r="U5735">
        <v>-3.007584</v>
      </c>
      <c r="V5735">
        <v>-6.4594100000000002E-2</v>
      </c>
      <c r="W5735">
        <v>-7.4041049999999997E-2</v>
      </c>
      <c r="X5735">
        <v>0.99516110000000002</v>
      </c>
      <c r="Y5735">
        <v>-9.9243799999999993E-2</v>
      </c>
      <c r="Z5735">
        <v>4.1463009999999998E-3</v>
      </c>
      <c r="AA5735">
        <v>0.99505449999999995</v>
      </c>
      <c r="AB5735">
        <v>18</v>
      </c>
      <c r="AC5735">
        <v>4.7927999999999997</v>
      </c>
      <c r="AD5735">
        <v>-1.171829</v>
      </c>
      <c r="AE5735">
        <v>-137.93135000000001</v>
      </c>
      <c r="AF5735">
        <v>-13.708316088194101</v>
      </c>
      <c r="AG5735">
        <v>-1.171829</v>
      </c>
      <c r="AH5735">
        <v>137.32211855790101</v>
      </c>
      <c r="AI5735">
        <v>90.486499872559705</v>
      </c>
      <c r="AJ5735">
        <v>95.700721499350095</v>
      </c>
      <c r="AK5735">
        <v>138.00962052845901</v>
      </c>
      <c r="AL5735">
        <v>94.246125125491702</v>
      </c>
      <c r="AM5735">
        <v>93.713755417694202</v>
      </c>
      <c r="AN5735">
        <v>1.00000004489656</v>
      </c>
    </row>
    <row r="5736" spans="1:40" x14ac:dyDescent="0.25">
      <c r="A5736" t="str">
        <f>"20190303154924623"</f>
        <v>20190303154924623</v>
      </c>
      <c r="B5736" t="str">
        <f>"1551599364616054"</f>
        <v>1551599364616054</v>
      </c>
      <c r="C5736" t="s">
        <v>40</v>
      </c>
      <c r="D5736">
        <v>5.6299260000000002</v>
      </c>
      <c r="E5736">
        <v>0.44352770000000002</v>
      </c>
      <c r="F5736" t="s">
        <v>41</v>
      </c>
      <c r="G5736">
        <v>-418.98750000000001</v>
      </c>
      <c r="H5736" s="1">
        <v>-3.9501450000000003E-6</v>
      </c>
      <c r="I5736">
        <v>98.422020000000003</v>
      </c>
      <c r="J5736">
        <v>-422.16730000000001</v>
      </c>
      <c r="K5736">
        <v>1.1218619999999999</v>
      </c>
      <c r="L5736">
        <v>124.03740000000001</v>
      </c>
      <c r="M5736">
        <v>-6.0713919999999998E-2</v>
      </c>
      <c r="N5736">
        <v>-4.0602420000000004E-3</v>
      </c>
      <c r="O5736">
        <v>-0.99814709999999995</v>
      </c>
      <c r="P5736">
        <v>3.5102309999999999E-3</v>
      </c>
      <c r="Q5736">
        <v>-7.7239650000000007E-2</v>
      </c>
      <c r="R5736">
        <v>-0.99700650000000002</v>
      </c>
      <c r="S5736">
        <v>0.36895749999999999</v>
      </c>
      <c r="T5736">
        <v>-0.13044320000000001</v>
      </c>
      <c r="U5736">
        <v>-2.9987949999999999</v>
      </c>
      <c r="V5736">
        <v>-6.3675499999999996E-2</v>
      </c>
      <c r="W5736">
        <v>-7.3513369999999995E-2</v>
      </c>
      <c r="X5736">
        <v>0.99525929999999996</v>
      </c>
      <c r="Y5736">
        <v>-0.18203949999999999</v>
      </c>
      <c r="Z5736">
        <v>3.8740950000000003E-2</v>
      </c>
      <c r="AA5736">
        <v>0.9825277</v>
      </c>
      <c r="AB5736">
        <v>18</v>
      </c>
      <c r="AC5736">
        <v>3.1798000000000002</v>
      </c>
      <c r="AD5736">
        <v>-1.1218659501449999</v>
      </c>
      <c r="AE5736">
        <v>-25.615379999999998</v>
      </c>
      <c r="AF5736">
        <v>-4.7202398785601902</v>
      </c>
      <c r="AG5736">
        <v>-1.1218659501449999</v>
      </c>
      <c r="AH5736">
        <v>25.327220618077501</v>
      </c>
      <c r="AI5736">
        <v>92.493374198400502</v>
      </c>
      <c r="AJ5736">
        <v>100.55710974563399</v>
      </c>
      <c r="AK5736">
        <v>25.787736464413001</v>
      </c>
      <c r="AL5736">
        <v>94.215809156733798</v>
      </c>
      <c r="AM5736">
        <v>93.6607261047279</v>
      </c>
      <c r="AN5736">
        <v>0.99999992955274597</v>
      </c>
    </row>
    <row r="5737" spans="1:40" x14ac:dyDescent="0.25">
      <c r="A5737" t="str">
        <f>"20190303154924644"</f>
        <v>20190303154924644</v>
      </c>
      <c r="B5737" t="str">
        <f>"1551599364636550"</f>
        <v>1551599364636550</v>
      </c>
      <c r="C5737" t="s">
        <v>40</v>
      </c>
      <c r="D5737">
        <v>5.5289029999999997</v>
      </c>
      <c r="E5737">
        <v>0.44001279999999998</v>
      </c>
      <c r="F5737" t="s">
        <v>41</v>
      </c>
      <c r="G5737">
        <v>-418.60359999999997</v>
      </c>
      <c r="H5737" s="1">
        <v>-8.4271980000000003E-7</v>
      </c>
      <c r="I5737">
        <v>100.87139999999999</v>
      </c>
      <c r="J5737">
        <v>-422.17340000000002</v>
      </c>
      <c r="K5737">
        <v>1.1218779999999999</v>
      </c>
      <c r="L5737">
        <v>123.8629</v>
      </c>
      <c r="M5737">
        <v>-5.673284E-2</v>
      </c>
      <c r="N5737">
        <v>-3.8678369999999998E-3</v>
      </c>
      <c r="O5737">
        <v>-0.99838210000000005</v>
      </c>
      <c r="P5737">
        <v>6.4083650000000001E-3</v>
      </c>
      <c r="Q5737">
        <v>-7.784133E-2</v>
      </c>
      <c r="R5737">
        <v>-0.99694539999999998</v>
      </c>
      <c r="S5737">
        <v>0.46090700000000001</v>
      </c>
      <c r="T5737">
        <v>-0.145094899999999</v>
      </c>
      <c r="U5737">
        <v>-2.99614</v>
      </c>
      <c r="V5737">
        <v>-6.2587840000000006E-2</v>
      </c>
      <c r="W5737">
        <v>-7.4305750000000004E-2</v>
      </c>
      <c r="X5737">
        <v>0.99526950000000003</v>
      </c>
      <c r="Y5737">
        <v>-0.2077079</v>
      </c>
      <c r="Z5737">
        <v>4.3567130000000003E-2</v>
      </c>
      <c r="AA5737">
        <v>0.97722019999999998</v>
      </c>
      <c r="AB5737">
        <v>18</v>
      </c>
      <c r="AC5737">
        <v>3.5698000000000398</v>
      </c>
      <c r="AD5737">
        <v>-1.1218788427198001</v>
      </c>
      <c r="AE5737">
        <v>-22.991499999999998</v>
      </c>
      <c r="AF5737">
        <v>-4.8571404118349202</v>
      </c>
      <c r="AG5737">
        <v>-1.1218788427198001</v>
      </c>
      <c r="AH5737">
        <v>22.699168674049499</v>
      </c>
      <c r="AI5737">
        <v>92.766936810739693</v>
      </c>
      <c r="AJ5737">
        <v>102.077942031514</v>
      </c>
      <c r="AK5737">
        <v>23.240109371751501</v>
      </c>
      <c r="AL5737">
        <v>94.261333487920297</v>
      </c>
      <c r="AM5737">
        <v>93.598325095624901</v>
      </c>
      <c r="AN5737">
        <v>0.999999979914588</v>
      </c>
    </row>
    <row r="5738" spans="1:40" x14ac:dyDescent="0.25">
      <c r="A5738" t="str">
        <f>"20190303154924668"</f>
        <v>20190303154924668</v>
      </c>
      <c r="B5738" t="str">
        <f>"1551599364656070"</f>
        <v>1551599364656070</v>
      </c>
      <c r="C5738" t="s">
        <v>40</v>
      </c>
      <c r="D5738">
        <v>5.4943650000000002</v>
      </c>
      <c r="E5738">
        <v>0.43857639999999998</v>
      </c>
      <c r="F5738" t="s">
        <v>41</v>
      </c>
      <c r="G5738">
        <v>-418.41250000000002</v>
      </c>
      <c r="H5738" s="1">
        <v>-1.0403659999999999E-6</v>
      </c>
      <c r="I5738">
        <v>101.2364</v>
      </c>
      <c r="J5738">
        <v>-422.17930000000001</v>
      </c>
      <c r="K5738">
        <v>1.121872</v>
      </c>
      <c r="L5738">
        <v>123.66849999999999</v>
      </c>
      <c r="M5738">
        <v>-5.2331570000000001E-2</v>
      </c>
      <c r="N5738">
        <v>-3.6863659999999999E-3</v>
      </c>
      <c r="O5738">
        <v>-0.99862320000000004</v>
      </c>
      <c r="P5738">
        <v>9.8247370000000001E-3</v>
      </c>
      <c r="Q5738">
        <v>-7.9783750000000001E-2</v>
      </c>
      <c r="R5738">
        <v>-0.99676419999999999</v>
      </c>
      <c r="S5738">
        <v>0.49771120000000002</v>
      </c>
      <c r="T5738">
        <v>-0.14846899999999999</v>
      </c>
      <c r="U5738">
        <v>-2.9943849999999999</v>
      </c>
      <c r="V5738">
        <v>-6.1589820000000003E-2</v>
      </c>
      <c r="W5738">
        <v>-7.6426850000000005E-2</v>
      </c>
      <c r="X5738">
        <v>0.99517109999999998</v>
      </c>
      <c r="Y5738">
        <v>-0.21517790000000001</v>
      </c>
      <c r="Z5738">
        <v>4.4809509999999997E-2</v>
      </c>
      <c r="AA5738">
        <v>0.97554629999999998</v>
      </c>
      <c r="AB5738">
        <v>19</v>
      </c>
      <c r="AC5738">
        <v>3.7667999999999799</v>
      </c>
      <c r="AD5738">
        <v>-1.121873040366</v>
      </c>
      <c r="AE5738">
        <v>-22.432099999999899</v>
      </c>
      <c r="AF5738">
        <v>-4.9235761328163203</v>
      </c>
      <c r="AG5738">
        <v>-1.121873040366</v>
      </c>
      <c r="AH5738">
        <v>22.150355477741801</v>
      </c>
      <c r="AI5738">
        <v>92.830478757105098</v>
      </c>
      <c r="AJ5738">
        <v>102.531950273261</v>
      </c>
      <c r="AK5738">
        <v>22.718680614082</v>
      </c>
      <c r="AL5738">
        <v>94.383210377865396</v>
      </c>
      <c r="AM5738">
        <v>93.541442953652606</v>
      </c>
      <c r="AN5738">
        <v>0.99999994380187995</v>
      </c>
    </row>
    <row r="5739" spans="1:40" x14ac:dyDescent="0.25">
      <c r="A5739" t="str">
        <f>"20190303154924692"</f>
        <v>20190303154924692</v>
      </c>
      <c r="B5739" t="str">
        <f>"1551599364686327"</f>
        <v>1551599364686327</v>
      </c>
      <c r="C5739" t="s">
        <v>40</v>
      </c>
      <c r="D5739">
        <v>5.4521269999999999</v>
      </c>
      <c r="E5739">
        <v>0.43760070000000001</v>
      </c>
      <c r="F5739" t="s">
        <v>41</v>
      </c>
      <c r="G5739">
        <v>-418.47269999999997</v>
      </c>
      <c r="H5739" s="1">
        <v>-1.5474940000000001E-6</v>
      </c>
      <c r="I5739">
        <v>102.3318</v>
      </c>
      <c r="J5739">
        <v>-422.18450000000001</v>
      </c>
      <c r="K5739">
        <v>1.1218330000000001</v>
      </c>
      <c r="L5739">
        <v>123.4747</v>
      </c>
      <c r="M5739">
        <v>-4.8004560000000002E-2</v>
      </c>
      <c r="N5739">
        <v>-3.5338700000000002E-3</v>
      </c>
      <c r="O5739">
        <v>-0.99884090000000003</v>
      </c>
      <c r="P5739">
        <v>1.3055010000000001E-2</v>
      </c>
      <c r="Q5739">
        <v>-8.329491E-2</v>
      </c>
      <c r="R5739">
        <v>-0.99643959999999998</v>
      </c>
      <c r="S5739">
        <v>0.5197754</v>
      </c>
      <c r="T5739">
        <v>-0.1573195</v>
      </c>
      <c r="U5739">
        <v>-2.992035</v>
      </c>
      <c r="V5739">
        <v>-6.047193E-2</v>
      </c>
      <c r="W5739">
        <v>-8.0084520000000006E-2</v>
      </c>
      <c r="X5739">
        <v>0.99495210000000001</v>
      </c>
      <c r="Y5739">
        <v>-0.21803719999999999</v>
      </c>
      <c r="Z5739">
        <v>4.78564E-2</v>
      </c>
      <c r="AA5739">
        <v>0.97476640000000003</v>
      </c>
      <c r="AB5739">
        <v>19</v>
      </c>
      <c r="AC5739">
        <v>3.71180000000003</v>
      </c>
      <c r="AD5739">
        <v>-1.1218345474939999</v>
      </c>
      <c r="AE5739">
        <v>-21.142900000000001</v>
      </c>
      <c r="AF5739">
        <v>-4.7096199124693898</v>
      </c>
      <c r="AG5739">
        <v>-1.1218345474939999</v>
      </c>
      <c r="AH5739">
        <v>20.883304541259101</v>
      </c>
      <c r="AI5739">
        <v>92.9997343757571</v>
      </c>
      <c r="AJ5739">
        <v>102.708783077628</v>
      </c>
      <c r="AK5739">
        <v>21.437150954239499</v>
      </c>
      <c r="AL5739">
        <v>94.593423811026994</v>
      </c>
      <c r="AM5739">
        <v>93.478086461868003</v>
      </c>
      <c r="AN5739">
        <v>1.0000000329779799</v>
      </c>
    </row>
    <row r="5740" spans="1:40" x14ac:dyDescent="0.25">
      <c r="A5740" t="str">
        <f>"20190303154924714"</f>
        <v>20190303154924714</v>
      </c>
      <c r="B5740" t="str">
        <f>"1551599364706821"</f>
        <v>1551599364706821</v>
      </c>
      <c r="C5740" t="s">
        <v>40</v>
      </c>
      <c r="D5740">
        <v>5.4227169999999996</v>
      </c>
      <c r="E5740">
        <v>0.43741980000000003</v>
      </c>
      <c r="F5740" t="s">
        <v>41</v>
      </c>
      <c r="G5740">
        <v>-418.60050000000001</v>
      </c>
      <c r="H5740" s="1">
        <v>-2.0859120000000001E-6</v>
      </c>
      <c r="I5740">
        <v>103.5188</v>
      </c>
      <c r="J5740">
        <v>-422.18880000000001</v>
      </c>
      <c r="K5740">
        <v>1.121785</v>
      </c>
      <c r="L5740">
        <v>123.2867</v>
      </c>
      <c r="M5740">
        <v>-4.3901080000000002E-2</v>
      </c>
      <c r="N5740">
        <v>-3.4103979999999998E-3</v>
      </c>
      <c r="O5740">
        <v>-0.99903010000000003</v>
      </c>
      <c r="P5740">
        <v>1.6505700000000002E-2</v>
      </c>
      <c r="Q5740">
        <v>-8.5749610000000004E-2</v>
      </c>
      <c r="R5740">
        <v>-0.99617999999999995</v>
      </c>
      <c r="S5740">
        <v>0.53692629999999997</v>
      </c>
      <c r="T5740">
        <v>-0.16806460000000001</v>
      </c>
      <c r="U5740">
        <v>-2.9896389999999999</v>
      </c>
      <c r="V5740">
        <v>-5.981363E-2</v>
      </c>
      <c r="W5740">
        <v>-8.2655610000000004E-2</v>
      </c>
      <c r="X5740">
        <v>0.99478160000000004</v>
      </c>
      <c r="Y5740">
        <v>-0.21954960000000001</v>
      </c>
      <c r="Z5740">
        <v>5.1504250000000001E-2</v>
      </c>
      <c r="AA5740">
        <v>0.97424089999999997</v>
      </c>
      <c r="AB5740">
        <v>19</v>
      </c>
      <c r="AC5740">
        <v>3.5882999999999998</v>
      </c>
      <c r="AD5740">
        <v>-1.121787085912</v>
      </c>
      <c r="AE5740">
        <v>-19.767900000000001</v>
      </c>
      <c r="AF5740">
        <v>-4.4388390642905504</v>
      </c>
      <c r="AG5740">
        <v>-1.121787085912</v>
      </c>
      <c r="AH5740">
        <v>19.5304219979819</v>
      </c>
      <c r="AI5740">
        <v>93.205761408320001</v>
      </c>
      <c r="AJ5740">
        <v>102.804563969661</v>
      </c>
      <c r="AK5740">
        <v>20.059887385627199</v>
      </c>
      <c r="AL5740">
        <v>94.741226607092599</v>
      </c>
      <c r="AM5740">
        <v>93.440903537969703</v>
      </c>
      <c r="AN5740">
        <v>1.0000000259484001</v>
      </c>
    </row>
    <row r="5741" spans="1:40" x14ac:dyDescent="0.25">
      <c r="A5741" t="str">
        <f>"20190303154924736"</f>
        <v>20190303154924736</v>
      </c>
      <c r="B5741" t="str">
        <f>"1551599364726342"</f>
        <v>1551599364726342</v>
      </c>
      <c r="C5741" t="s">
        <v>40</v>
      </c>
      <c r="D5741">
        <v>5.3823569999999998</v>
      </c>
      <c r="E5741">
        <v>0.43760310000000002</v>
      </c>
      <c r="F5741" t="s">
        <v>41</v>
      </c>
      <c r="G5741">
        <v>-418.68470000000002</v>
      </c>
      <c r="H5741" s="1">
        <v>-2.403541E-6</v>
      </c>
      <c r="I5741">
        <v>104.2223</v>
      </c>
      <c r="J5741">
        <v>-422.19240000000002</v>
      </c>
      <c r="K5741">
        <v>1.121715</v>
      </c>
      <c r="L5741">
        <v>123.1003</v>
      </c>
      <c r="M5741">
        <v>-3.9958149999999998E-2</v>
      </c>
      <c r="N5741">
        <v>-3.311909E-3</v>
      </c>
      <c r="O5741">
        <v>-0.99919610000000003</v>
      </c>
      <c r="P5741">
        <v>1.9625509999999999E-2</v>
      </c>
      <c r="Q5741">
        <v>-8.7362129999999996E-2</v>
      </c>
      <c r="R5741">
        <v>-0.99598350000000002</v>
      </c>
      <c r="S5741">
        <v>0.54907229999999996</v>
      </c>
      <c r="T5741">
        <v>-0.17577670000000001</v>
      </c>
      <c r="U5741">
        <v>-2.9872740000000002</v>
      </c>
      <c r="V5741">
        <v>-5.8999719999999999E-2</v>
      </c>
      <c r="W5741">
        <v>-8.435521E-2</v>
      </c>
      <c r="X5741">
        <v>0.99468749999999995</v>
      </c>
      <c r="Y5741">
        <v>-0.2196428</v>
      </c>
      <c r="Z5741">
        <v>5.4154109999999998E-2</v>
      </c>
      <c r="AA5741">
        <v>0.97407619999999895</v>
      </c>
      <c r="AB5741">
        <v>19</v>
      </c>
      <c r="AC5741">
        <v>3.5076999999999998</v>
      </c>
      <c r="AD5741">
        <v>-1.121717403541</v>
      </c>
      <c r="AE5741">
        <v>-18.878</v>
      </c>
      <c r="AF5741">
        <v>-4.2447459027998704</v>
      </c>
      <c r="AG5741">
        <v>-1.121717403541</v>
      </c>
      <c r="AH5741">
        <v>18.659080894600301</v>
      </c>
      <c r="AI5741">
        <v>93.354768666196406</v>
      </c>
      <c r="AJ5741">
        <v>102.816078331562</v>
      </c>
      <c r="AK5741">
        <v>19.168657165904399</v>
      </c>
      <c r="AL5741">
        <v>94.838947979569696</v>
      </c>
      <c r="AM5741">
        <v>93.394512238374105</v>
      </c>
      <c r="AN5741">
        <v>0.999999995535236</v>
      </c>
    </row>
    <row r="5742" spans="1:40" x14ac:dyDescent="0.25">
      <c r="A5742" t="str">
        <f>"20190303154924756"</f>
        <v>20190303154924756</v>
      </c>
      <c r="B5742" t="str">
        <f>"1551599364746838"</f>
        <v>1551599364746838</v>
      </c>
      <c r="C5742" t="s">
        <v>40</v>
      </c>
      <c r="D5742">
        <v>5.3787469999999997</v>
      </c>
      <c r="E5742">
        <v>0.43782450000000001</v>
      </c>
      <c r="F5742" t="s">
        <v>41</v>
      </c>
      <c r="G5742">
        <v>-418.71199999999999</v>
      </c>
      <c r="H5742" s="1">
        <v>-2.4962439999999999E-6</v>
      </c>
      <c r="I5742">
        <v>104.42870000000001</v>
      </c>
      <c r="J5742">
        <v>-422.19549999999998</v>
      </c>
      <c r="K5742">
        <v>1.1216330000000001</v>
      </c>
      <c r="L5742">
        <v>122.9169</v>
      </c>
      <c r="M5742">
        <v>-3.6238180000000002E-2</v>
      </c>
      <c r="N5742">
        <v>-3.237298E-3</v>
      </c>
      <c r="O5742">
        <v>-0.9993379</v>
      </c>
      <c r="P5742">
        <v>2.2372159999999999E-2</v>
      </c>
      <c r="Q5742">
        <v>-8.8061429999999996E-2</v>
      </c>
      <c r="R5742">
        <v>-0.99586410000000003</v>
      </c>
      <c r="S5742">
        <v>0.55648799999999998</v>
      </c>
      <c r="T5742">
        <v>-0.17935110000000001</v>
      </c>
      <c r="U5742">
        <v>-2.9853969999999999</v>
      </c>
      <c r="V5742">
        <v>-5.804923E-2</v>
      </c>
      <c r="W5742">
        <v>-8.5113999999999995E-2</v>
      </c>
      <c r="X5742">
        <v>0.99467879999999997</v>
      </c>
      <c r="Y5742">
        <v>-0.21844669999999999</v>
      </c>
      <c r="Z5742">
        <v>5.5438330000000001E-2</v>
      </c>
      <c r="AA5742">
        <v>0.97427280000000005</v>
      </c>
      <c r="AB5742">
        <v>19</v>
      </c>
      <c r="AC5742">
        <v>3.48349999999999</v>
      </c>
      <c r="AD5742">
        <v>-1.1216354962440001</v>
      </c>
      <c r="AE5742">
        <v>-18.4881999999999</v>
      </c>
      <c r="AF5742">
        <v>-4.1364915483833098</v>
      </c>
      <c r="AG5742">
        <v>-1.1216354962440001</v>
      </c>
      <c r="AH5742">
        <v>18.284828914218501</v>
      </c>
      <c r="AI5742">
        <v>93.423954254670505</v>
      </c>
      <c r="AJ5742">
        <v>102.74718951634</v>
      </c>
      <c r="AK5742">
        <v>18.780404599968598</v>
      </c>
      <c r="AL5742">
        <v>94.882580292903398</v>
      </c>
      <c r="AM5742">
        <v>93.339980344221402</v>
      </c>
      <c r="AN5742">
        <v>1.0000000106345099</v>
      </c>
    </row>
    <row r="5743" spans="1:40" x14ac:dyDescent="0.25">
      <c r="A5743" t="str">
        <f>"20190303154924780"</f>
        <v>20190303154924780</v>
      </c>
      <c r="B5743" t="str">
        <f>"1551599364776119"</f>
        <v>1551599364776119</v>
      </c>
      <c r="C5743" t="s">
        <v>40</v>
      </c>
      <c r="D5743">
        <v>5.2946790000000004</v>
      </c>
      <c r="E5743">
        <v>0.43806339999999999</v>
      </c>
      <c r="F5743" t="s">
        <v>41</v>
      </c>
      <c r="G5743">
        <v>-418.66460000000001</v>
      </c>
      <c r="H5743" s="1">
        <v>-2.3997270000000002E-6</v>
      </c>
      <c r="I5743">
        <v>104.2067</v>
      </c>
      <c r="J5743">
        <v>-422.19819999999999</v>
      </c>
      <c r="K5743">
        <v>1.1215250000000001</v>
      </c>
      <c r="L5743">
        <v>122.7204</v>
      </c>
      <c r="M5743">
        <v>-3.2443350000000003E-2</v>
      </c>
      <c r="N5743">
        <v>-3.1770890000000001E-3</v>
      </c>
      <c r="O5743">
        <v>-0.99946860000000004</v>
      </c>
      <c r="P5743">
        <v>2.4710490000000002E-2</v>
      </c>
      <c r="Q5743">
        <v>-8.8241420000000001E-2</v>
      </c>
      <c r="R5743">
        <v>-0.99579269999999998</v>
      </c>
      <c r="S5743">
        <v>0.56314090000000006</v>
      </c>
      <c r="T5743">
        <v>-0.17888509999999999</v>
      </c>
      <c r="U5743">
        <v>-2.9840239999999998</v>
      </c>
      <c r="V5743">
        <v>-5.662615E-2</v>
      </c>
      <c r="W5743">
        <v>-8.5333829999999999E-2</v>
      </c>
      <c r="X5743">
        <v>0.99474200000000002</v>
      </c>
      <c r="Y5743">
        <v>-0.2169217</v>
      </c>
      <c r="Z5743">
        <v>5.5383910000000001E-2</v>
      </c>
      <c r="AA5743">
        <v>0.97461660000000006</v>
      </c>
      <c r="AB5743">
        <v>19</v>
      </c>
      <c r="AC5743">
        <v>3.5335999999999701</v>
      </c>
      <c r="AD5743">
        <v>-1.1215273997270001</v>
      </c>
      <c r="AE5743">
        <v>-18.5137</v>
      </c>
      <c r="AF5743">
        <v>-4.1178091640579604</v>
      </c>
      <c r="AG5743">
        <v>-1.1215273997270001</v>
      </c>
      <c r="AH5743">
        <v>18.324429458900099</v>
      </c>
      <c r="AI5743">
        <v>93.417347110794694</v>
      </c>
      <c r="AJ5743">
        <v>102.66494425346301</v>
      </c>
      <c r="AK5743">
        <v>18.814858251237101</v>
      </c>
      <c r="AL5743">
        <v>94.895221594011701</v>
      </c>
      <c r="AM5743">
        <v>93.258072604552098</v>
      </c>
      <c r="AN5743">
        <v>1.00000001498514</v>
      </c>
    </row>
    <row r="5744" spans="1:40" x14ac:dyDescent="0.25">
      <c r="A5744" t="str">
        <f>"20190303154924794"</f>
        <v>20190303154924794</v>
      </c>
      <c r="B5744" t="str">
        <f>"1551599364786854"</f>
        <v>1551599364786854</v>
      </c>
      <c r="C5744" t="s">
        <v>40</v>
      </c>
      <c r="D5744">
        <v>5.3425599999999998</v>
      </c>
      <c r="E5744">
        <v>0.43800489999999997</v>
      </c>
      <c r="F5744" t="s">
        <v>41</v>
      </c>
      <c r="G5744">
        <v>-418.58080000000001</v>
      </c>
      <c r="H5744" s="1">
        <v>-2.185144E-6</v>
      </c>
      <c r="I5744">
        <v>103.7213</v>
      </c>
      <c r="J5744">
        <v>-422.19970000000001</v>
      </c>
      <c r="K5744">
        <v>1.1214459999999999</v>
      </c>
      <c r="L5744">
        <v>122.5934</v>
      </c>
      <c r="M5744">
        <v>-3.0124339999999999E-2</v>
      </c>
      <c r="N5744">
        <v>-3.1479989999999998E-3</v>
      </c>
      <c r="O5744">
        <v>-0.99954129999999997</v>
      </c>
      <c r="P5744">
        <v>2.6106669999999998E-2</v>
      </c>
      <c r="Q5744">
        <v>-8.8801969999999994E-2</v>
      </c>
      <c r="R5744">
        <v>-0.99570749999999997</v>
      </c>
      <c r="S5744">
        <v>0.56796259999999998</v>
      </c>
      <c r="T5744">
        <v>-0.17608689999999999</v>
      </c>
      <c r="U5744">
        <v>-2.9829859999999999</v>
      </c>
      <c r="V5744">
        <v>-5.5723549999999997E-2</v>
      </c>
      <c r="W5744">
        <v>-8.5909970000000002E-2</v>
      </c>
      <c r="X5744">
        <v>0.9947433</v>
      </c>
      <c r="Y5744">
        <v>-0.21624889999999999</v>
      </c>
      <c r="Z5744">
        <v>5.4522319999999999E-2</v>
      </c>
      <c r="AA5744">
        <v>0.97481470000000003</v>
      </c>
      <c r="AB5744">
        <v>19</v>
      </c>
      <c r="AC5744">
        <v>3.6188999999999898</v>
      </c>
      <c r="AD5744">
        <v>-1.1214481851439999</v>
      </c>
      <c r="AE5744">
        <v>-18.8721</v>
      </c>
      <c r="AF5744">
        <v>-4.1715618773190704</v>
      </c>
      <c r="AG5744">
        <v>-1.1214481851439999</v>
      </c>
      <c r="AH5744">
        <v>18.690857853206101</v>
      </c>
      <c r="AI5744">
        <v>93.351359682817403</v>
      </c>
      <c r="AJ5744">
        <v>102.58148905198099</v>
      </c>
      <c r="AK5744">
        <v>19.1835278772446</v>
      </c>
      <c r="AL5744">
        <v>94.928354050690402</v>
      </c>
      <c r="AM5744">
        <v>93.206245167956894</v>
      </c>
      <c r="AN5744">
        <v>0.99999993493244399</v>
      </c>
    </row>
    <row r="5745" spans="1:40" x14ac:dyDescent="0.25">
      <c r="A5745" t="str">
        <f>"20190303154924814"</f>
        <v>20190303154924814</v>
      </c>
      <c r="B5745" t="str">
        <f>"1551599364806374"</f>
        <v>1551599364806374</v>
      </c>
      <c r="C5745" t="s">
        <v>40</v>
      </c>
      <c r="D5745">
        <v>5.3002520000000004</v>
      </c>
      <c r="E5745">
        <v>0.43814730000000002</v>
      </c>
      <c r="F5745" t="s">
        <v>41</v>
      </c>
      <c r="G5745">
        <v>-418.5985</v>
      </c>
      <c r="H5745" s="1">
        <v>-2.2450959999999998E-6</v>
      </c>
      <c r="I5745">
        <v>103.8548</v>
      </c>
      <c r="J5745">
        <v>-422.20139999999998</v>
      </c>
      <c r="K5745">
        <v>1.1213390000000001</v>
      </c>
      <c r="L5745">
        <v>122.425</v>
      </c>
      <c r="M5745">
        <v>-2.717688E-2</v>
      </c>
      <c r="N5745">
        <v>-3.11648E-3</v>
      </c>
      <c r="O5745">
        <v>-0.99962600000000001</v>
      </c>
      <c r="P5745">
        <v>2.724236E-2</v>
      </c>
      <c r="Q5745">
        <v>-9.0281539999999993E-2</v>
      </c>
      <c r="R5745">
        <v>-0.99554390000000004</v>
      </c>
      <c r="S5745">
        <v>0.57308959999999998</v>
      </c>
      <c r="T5745">
        <v>-0.1784636</v>
      </c>
      <c r="U5745">
        <v>-2.981995</v>
      </c>
      <c r="V5745">
        <v>-5.3934379999999997E-2</v>
      </c>
      <c r="W5745">
        <v>-8.740117E-2</v>
      </c>
      <c r="X5745">
        <v>0.99471209999999999</v>
      </c>
      <c r="Y5745">
        <v>-0.2150379</v>
      </c>
      <c r="Z5745">
        <v>5.5355679999999997E-2</v>
      </c>
      <c r="AA5745">
        <v>0.9750356</v>
      </c>
      <c r="AB5745">
        <v>20</v>
      </c>
      <c r="AC5745">
        <v>3.6028999999999698</v>
      </c>
      <c r="AD5745">
        <v>-1.1213412450960001</v>
      </c>
      <c r="AE5745">
        <v>-18.5702</v>
      </c>
      <c r="AF5745">
        <v>-4.0918730437131803</v>
      </c>
      <c r="AG5745">
        <v>-1.1213412450960001</v>
      </c>
      <c r="AH5745">
        <v>18.400765543939201</v>
      </c>
      <c r="AI5745">
        <v>93.404332898077399</v>
      </c>
      <c r="AJ5745">
        <v>102.537157355837</v>
      </c>
      <c r="AK5745">
        <v>18.8835643827335</v>
      </c>
      <c r="AL5745">
        <v>95.014115702392203</v>
      </c>
      <c r="AM5745">
        <v>93.103600873236104</v>
      </c>
      <c r="AN5745">
        <v>1.0000000218748799</v>
      </c>
    </row>
    <row r="5746" spans="1:40" x14ac:dyDescent="0.25">
      <c r="A5746" t="str">
        <f>"20190303154924834"</f>
        <v>20190303154924834</v>
      </c>
      <c r="B5746" t="str">
        <f>"1551599364826870"</f>
        <v>1551599364826870</v>
      </c>
      <c r="C5746" t="s">
        <v>40</v>
      </c>
      <c r="D5746">
        <v>5.2114940000000001</v>
      </c>
      <c r="E5746">
        <v>0.43827830000000001</v>
      </c>
      <c r="F5746" t="s">
        <v>41</v>
      </c>
      <c r="G5746">
        <v>-418.65699999999998</v>
      </c>
      <c r="H5746" s="1">
        <v>-2.3217639999999998E-6</v>
      </c>
      <c r="I5746">
        <v>104.0389</v>
      </c>
      <c r="J5746">
        <v>-422.20299999999997</v>
      </c>
      <c r="K5746">
        <v>1.121221</v>
      </c>
      <c r="L5746">
        <v>122.2328</v>
      </c>
      <c r="M5746">
        <v>-2.399952E-2</v>
      </c>
      <c r="N5746">
        <v>-3.0915500000000002E-3</v>
      </c>
      <c r="O5746">
        <v>-0.99970720000000002</v>
      </c>
      <c r="P5746">
        <v>2.8233649999999999E-2</v>
      </c>
      <c r="Q5746">
        <v>-9.214754E-2</v>
      </c>
      <c r="R5746">
        <v>-0.99534540000000005</v>
      </c>
      <c r="S5746">
        <v>0.57470699999999997</v>
      </c>
      <c r="T5746">
        <v>-0.1818215</v>
      </c>
      <c r="U5746">
        <v>-2.9812319999999999</v>
      </c>
      <c r="V5746">
        <v>-5.1774140000000003E-2</v>
      </c>
      <c r="W5746">
        <v>-8.9270650000000007E-2</v>
      </c>
      <c r="X5746">
        <v>0.99466089999999996</v>
      </c>
      <c r="Y5746">
        <v>-0.21247759999999999</v>
      </c>
      <c r="Z5746">
        <v>5.6514210000000002E-2</v>
      </c>
      <c r="AA5746">
        <v>0.97553029999999996</v>
      </c>
      <c r="AB5746">
        <v>20</v>
      </c>
      <c r="AC5746">
        <v>3.5460000000000398</v>
      </c>
      <c r="AD5746">
        <v>-1.121223321764</v>
      </c>
      <c r="AE5746">
        <v>-18.193899999999999</v>
      </c>
      <c r="AF5746">
        <v>-3.9671106409322401</v>
      </c>
      <c r="AG5746">
        <v>-1.121223321764</v>
      </c>
      <c r="AH5746">
        <v>18.0375606680559</v>
      </c>
      <c r="AI5746">
        <v>93.474134004357595</v>
      </c>
      <c r="AJ5746">
        <v>102.403925980815</v>
      </c>
      <c r="AK5746">
        <v>18.5026674679211</v>
      </c>
      <c r="AL5746">
        <v>95.121649220131701</v>
      </c>
      <c r="AM5746">
        <v>92.979673726360701</v>
      </c>
      <c r="AN5746">
        <v>1.0000000582564801</v>
      </c>
    </row>
    <row r="5747" spans="1:40" x14ac:dyDescent="0.25">
      <c r="A5747" t="str">
        <f>"20190303154924850"</f>
        <v>20190303154924850</v>
      </c>
      <c r="B5747" t="str">
        <f>"1551599364846390"</f>
        <v>1551599364846390</v>
      </c>
      <c r="C5747" t="s">
        <v>40</v>
      </c>
      <c r="D5747">
        <v>5.1950149999999997</v>
      </c>
      <c r="E5747">
        <v>0.4383629</v>
      </c>
      <c r="F5747" t="s">
        <v>41</v>
      </c>
      <c r="G5747">
        <v>-418.75749999999999</v>
      </c>
      <c r="H5747" s="1">
        <v>-2.4868480000000001E-6</v>
      </c>
      <c r="I5747">
        <v>104.4259</v>
      </c>
      <c r="J5747">
        <v>-422.20389999999998</v>
      </c>
      <c r="K5747">
        <v>1.121149</v>
      </c>
      <c r="L5747">
        <v>122.09610000000001</v>
      </c>
      <c r="M5747">
        <v>-2.1861390000000001E-2</v>
      </c>
      <c r="N5747">
        <v>-3.0814890000000002E-3</v>
      </c>
      <c r="O5747">
        <v>-0.99975619999999998</v>
      </c>
      <c r="P5747">
        <v>2.9089690000000001E-2</v>
      </c>
      <c r="Q5747">
        <v>-9.2712760000000005E-2</v>
      </c>
      <c r="R5747">
        <v>-0.99526800000000004</v>
      </c>
      <c r="S5747">
        <v>0.57666019999999996</v>
      </c>
      <c r="T5747">
        <v>-0.18765580000000001</v>
      </c>
      <c r="U5747">
        <v>-2.980286</v>
      </c>
      <c r="V5747">
        <v>-5.0512759999999997E-2</v>
      </c>
      <c r="W5747">
        <v>-8.9833239999999995E-2</v>
      </c>
      <c r="X5747">
        <v>0.99467499999999998</v>
      </c>
      <c r="Y5747">
        <v>-0.2110398</v>
      </c>
      <c r="Z5747">
        <v>5.8460239999999997E-2</v>
      </c>
      <c r="AA5747">
        <v>0.97572769999999998</v>
      </c>
      <c r="AB5747">
        <v>20</v>
      </c>
      <c r="AC5747">
        <v>3.4463999999999801</v>
      </c>
      <c r="AD5747">
        <v>-1.1211514868479999</v>
      </c>
      <c r="AE5747">
        <v>-17.670200000000001</v>
      </c>
      <c r="AF5747">
        <v>-3.8170699354429898</v>
      </c>
      <c r="AG5747">
        <v>-1.1211514868479999</v>
      </c>
      <c r="AH5747">
        <v>17.522676908537701</v>
      </c>
      <c r="AI5747">
        <v>93.577292621514104</v>
      </c>
      <c r="AJ5747">
        <v>102.289101158083</v>
      </c>
      <c r="AK5747">
        <v>17.968617353305898</v>
      </c>
      <c r="AL5747">
        <v>95.154013830241297</v>
      </c>
      <c r="AM5747">
        <v>92.907164499640103</v>
      </c>
      <c r="AN5747">
        <v>0.99999995277835596</v>
      </c>
    </row>
    <row r="5748" spans="1:40" x14ac:dyDescent="0.25">
      <c r="A5748" t="str">
        <f>"20190303154924868"</f>
        <v>20190303154924868</v>
      </c>
      <c r="B5748" t="str">
        <f>"1551599364857126"</f>
        <v>1551599364857126</v>
      </c>
      <c r="C5748" t="s">
        <v>40</v>
      </c>
      <c r="D5748">
        <v>5.1826339999999904</v>
      </c>
      <c r="E5748">
        <v>0.43847720000000001</v>
      </c>
      <c r="F5748" t="s">
        <v>41</v>
      </c>
      <c r="G5748">
        <v>-418.76819999999998</v>
      </c>
      <c r="H5748" s="1">
        <v>-2.4713829999999999E-6</v>
      </c>
      <c r="I5748">
        <v>104.39709999999999</v>
      </c>
      <c r="J5748">
        <v>-422.2047</v>
      </c>
      <c r="K5748">
        <v>1.121078</v>
      </c>
      <c r="L5748">
        <v>121.9308</v>
      </c>
      <c r="M5748">
        <v>-1.938761E-2</v>
      </c>
      <c r="N5748">
        <v>-3.0761389999999999E-3</v>
      </c>
      <c r="O5748">
        <v>-0.99980740000000001</v>
      </c>
      <c r="P5748">
        <v>2.9074760000000002E-2</v>
      </c>
      <c r="Q5748">
        <v>-9.3601169999999997E-2</v>
      </c>
      <c r="R5748">
        <v>-0.99518530000000005</v>
      </c>
      <c r="S5748">
        <v>0.57843020000000001</v>
      </c>
      <c r="T5748">
        <v>-0.1887547</v>
      </c>
      <c r="U5748">
        <v>-2.9797669999999998</v>
      </c>
      <c r="V5748">
        <v>-4.8047640000000003E-2</v>
      </c>
      <c r="W5748">
        <v>-9.0709949999999998E-2</v>
      </c>
      <c r="X5748">
        <v>0.99471759999999998</v>
      </c>
      <c r="Y5748">
        <v>-0.20920710000000001</v>
      </c>
      <c r="Z5748">
        <v>5.884959E-2</v>
      </c>
      <c r="AA5748">
        <v>0.97609889999999999</v>
      </c>
      <c r="AB5748">
        <v>20</v>
      </c>
      <c r="AC5748">
        <v>3.4365000000000201</v>
      </c>
      <c r="AD5748">
        <v>-1.121080471383</v>
      </c>
      <c r="AE5748">
        <v>-17.5337</v>
      </c>
      <c r="AF5748">
        <v>-3.7609855133612902</v>
      </c>
      <c r="AG5748">
        <v>-1.121080471383</v>
      </c>
      <c r="AH5748">
        <v>17.395294752358801</v>
      </c>
      <c r="AI5748">
        <v>93.604405472176197</v>
      </c>
      <c r="AJ5748">
        <v>102.199967471902</v>
      </c>
      <c r="AK5748">
        <v>17.832501590536001</v>
      </c>
      <c r="AL5748">
        <v>95.204451365145601</v>
      </c>
      <c r="AM5748">
        <v>92.765396906027604</v>
      </c>
      <c r="AN5748">
        <v>0.99999998724416495</v>
      </c>
    </row>
    <row r="5749" spans="1:40" x14ac:dyDescent="0.25">
      <c r="A5749" t="str">
        <f>"20190303154924883"</f>
        <v>20190303154924883</v>
      </c>
      <c r="B5749" t="str">
        <f>"1551599364876646"</f>
        <v>1551599364876646</v>
      </c>
      <c r="C5749" t="s">
        <v>40</v>
      </c>
      <c r="D5749">
        <v>5.213336</v>
      </c>
      <c r="E5749">
        <v>0.4386119</v>
      </c>
      <c r="F5749" t="s">
        <v>41</v>
      </c>
      <c r="G5749">
        <v>-418.81459999999998</v>
      </c>
      <c r="H5749" s="1">
        <v>-2.4818480000000002E-6</v>
      </c>
      <c r="I5749">
        <v>104.4367</v>
      </c>
      <c r="J5749">
        <v>-422.20519999999999</v>
      </c>
      <c r="K5749">
        <v>1.1210230000000001</v>
      </c>
      <c r="L5749">
        <v>121.7903</v>
      </c>
      <c r="M5749">
        <v>-1.7374009999999999E-2</v>
      </c>
      <c r="N5749">
        <v>-3.0761730000000002E-3</v>
      </c>
      <c r="O5749">
        <v>-0.99984439999999997</v>
      </c>
      <c r="P5749">
        <v>3.0064730000000001E-2</v>
      </c>
      <c r="Q5749">
        <v>-9.3668489999999993E-2</v>
      </c>
      <c r="R5749">
        <v>-0.99514950000000002</v>
      </c>
      <c r="S5749">
        <v>0.57742309999999997</v>
      </c>
      <c r="T5749">
        <v>-0.19094839999999999</v>
      </c>
      <c r="U5749">
        <v>-2.9796909999999999</v>
      </c>
      <c r="V5749">
        <v>-4.704419E-2</v>
      </c>
      <c r="W5749">
        <v>-9.0767970000000003E-2</v>
      </c>
      <c r="X5749">
        <v>0.99476030000000004</v>
      </c>
      <c r="Y5749">
        <v>-0.20691580000000001</v>
      </c>
      <c r="Z5749">
        <v>5.9589639999999999E-2</v>
      </c>
      <c r="AA5749">
        <v>0.97654240000000003</v>
      </c>
      <c r="AB5749">
        <v>20</v>
      </c>
      <c r="AC5749">
        <v>3.3906000000000001</v>
      </c>
      <c r="AD5749">
        <v>-1.1210254818480001</v>
      </c>
      <c r="AE5749">
        <v>-17.3536</v>
      </c>
      <c r="AF5749">
        <v>-3.67681197928396</v>
      </c>
      <c r="AG5749">
        <v>-1.1210254818480001</v>
      </c>
      <c r="AH5749">
        <v>17.222843323244799</v>
      </c>
      <c r="AI5749">
        <v>93.642251872299894</v>
      </c>
      <c r="AJ5749">
        <v>102.05086507051401</v>
      </c>
      <c r="AK5749">
        <v>17.6465854090528</v>
      </c>
      <c r="AL5749">
        <v>95.207789279745597</v>
      </c>
      <c r="AM5749">
        <v>92.707613839715293</v>
      </c>
      <c r="AN5749">
        <v>1.0000000173233801</v>
      </c>
    </row>
    <row r="5750" spans="1:40" x14ac:dyDescent="0.25">
      <c r="A5750" t="str">
        <f>"20190303154924903"</f>
        <v>20190303154924903</v>
      </c>
      <c r="B5750" t="str">
        <f>"1551599364897142"</f>
        <v>1551599364897142</v>
      </c>
      <c r="C5750" t="s">
        <v>40</v>
      </c>
      <c r="D5750">
        <v>5.1645240000000001</v>
      </c>
      <c r="E5750">
        <v>0.4387723</v>
      </c>
      <c r="F5750" t="s">
        <v>41</v>
      </c>
      <c r="G5750">
        <v>-418.79520000000002</v>
      </c>
      <c r="H5750" s="1">
        <v>-2.3987719999999999E-6</v>
      </c>
      <c r="I5750">
        <v>104.25369999999999</v>
      </c>
      <c r="J5750">
        <v>-422.2056</v>
      </c>
      <c r="K5750">
        <v>1.1209629999999999</v>
      </c>
      <c r="L5750">
        <v>121.61360000000001</v>
      </c>
      <c r="M5750">
        <v>-1.496187E-2</v>
      </c>
      <c r="N5750">
        <v>-3.0811010000000002E-3</v>
      </c>
      <c r="O5750">
        <v>-0.99988350000000004</v>
      </c>
      <c r="P5750">
        <v>2.8616849999999999E-2</v>
      </c>
      <c r="Q5750">
        <v>-9.5132190000000005E-2</v>
      </c>
      <c r="R5750">
        <v>-0.99505350000000004</v>
      </c>
      <c r="S5750">
        <v>0.57931519999999903</v>
      </c>
      <c r="T5750">
        <v>-0.1904438</v>
      </c>
      <c r="U5750">
        <v>-2.979187</v>
      </c>
      <c r="V5750">
        <v>-4.3202600000000001E-2</v>
      </c>
      <c r="W5750">
        <v>-9.2208360000000003E-2</v>
      </c>
      <c r="X5750">
        <v>0.99480210000000002</v>
      </c>
      <c r="Y5750">
        <v>-0.2051858</v>
      </c>
      <c r="Z5750">
        <v>5.9442269999999998E-2</v>
      </c>
      <c r="AA5750">
        <v>0.97691629999999996</v>
      </c>
      <c r="AB5750">
        <v>20</v>
      </c>
      <c r="AC5750">
        <v>3.4103999999999801</v>
      </c>
      <c r="AD5750">
        <v>-1.1209653987720001</v>
      </c>
      <c r="AE5750">
        <v>-17.3599</v>
      </c>
      <c r="AF5750">
        <v>-3.65508224438656</v>
      </c>
      <c r="AG5750">
        <v>-1.1209653987720001</v>
      </c>
      <c r="AH5750">
        <v>17.237727703235201</v>
      </c>
      <c r="AI5750">
        <v>93.639988339405903</v>
      </c>
      <c r="AJ5750">
        <v>101.97166199777701</v>
      </c>
      <c r="AK5750">
        <v>17.656597803918999</v>
      </c>
      <c r="AL5750">
        <v>95.290665042141597</v>
      </c>
      <c r="AM5750">
        <v>92.486697837127593</v>
      </c>
      <c r="AN5750">
        <v>1.00000003223252</v>
      </c>
    </row>
    <row r="5751" spans="1:40" x14ac:dyDescent="0.25">
      <c r="A5751" t="str">
        <f>"20190303154924925"</f>
        <v>20190303154924925</v>
      </c>
      <c r="B5751" t="str">
        <f>"1551599364916662"</f>
        <v>1551599364916662</v>
      </c>
      <c r="C5751" t="s">
        <v>40</v>
      </c>
      <c r="D5751">
        <v>5.149292</v>
      </c>
      <c r="E5751">
        <v>0.43906020000000001</v>
      </c>
      <c r="F5751" t="s">
        <v>41</v>
      </c>
      <c r="G5751">
        <v>-418.86189999999999</v>
      </c>
      <c r="H5751" s="1">
        <v>-2.379552E-6</v>
      </c>
      <c r="I5751">
        <v>104.2381</v>
      </c>
      <c r="J5751">
        <v>-422.2056</v>
      </c>
      <c r="K5751">
        <v>1.1209119999999999</v>
      </c>
      <c r="L5751">
        <v>121.41240000000001</v>
      </c>
      <c r="M5751">
        <v>-1.2350989999999999E-2</v>
      </c>
      <c r="N5751">
        <v>-3.091276E-3</v>
      </c>
      <c r="O5751">
        <v>-0.99991890000000005</v>
      </c>
      <c r="P5751">
        <v>2.7540209999999999E-2</v>
      </c>
      <c r="Q5751">
        <v>-9.6298610000000007E-2</v>
      </c>
      <c r="R5751">
        <v>-0.99497139999999995</v>
      </c>
      <c r="S5751">
        <v>0.57345579999999996</v>
      </c>
      <c r="T5751">
        <v>-0.19225390000000001</v>
      </c>
      <c r="U5751">
        <v>-2.9800420000000001</v>
      </c>
      <c r="V5751">
        <v>-3.9534630000000001E-2</v>
      </c>
      <c r="W5751">
        <v>-9.3348210000000001E-2</v>
      </c>
      <c r="X5751">
        <v>0.99484830000000002</v>
      </c>
      <c r="Y5751">
        <v>-0.2007176</v>
      </c>
      <c r="Z5751">
        <v>6.0051800000000002E-2</v>
      </c>
      <c r="AA5751">
        <v>0.97780690000000003</v>
      </c>
      <c r="AB5751">
        <v>20</v>
      </c>
      <c r="AC5751">
        <v>3.3437000000000099</v>
      </c>
      <c r="AD5751">
        <v>-1.120914379552</v>
      </c>
      <c r="AE5751">
        <v>-17.174299999999999</v>
      </c>
      <c r="AF5751">
        <v>-3.5410324550185699</v>
      </c>
      <c r="AG5751">
        <v>-1.120914379552</v>
      </c>
      <c r="AH5751">
        <v>17.061667186809402</v>
      </c>
      <c r="AI5751">
        <v>93.680595168890207</v>
      </c>
      <c r="AJ5751">
        <v>101.724892183112</v>
      </c>
      <c r="AK5751">
        <v>17.4612670527437</v>
      </c>
      <c r="AL5751">
        <v>95.356256679769501</v>
      </c>
      <c r="AM5751">
        <v>92.275699898847506</v>
      </c>
      <c r="AN5751">
        <v>1.0000000076461599</v>
      </c>
    </row>
    <row r="5752" spans="1:40" x14ac:dyDescent="0.25">
      <c r="A5752" t="str">
        <f>"20190303154924946"</f>
        <v>20190303154924946</v>
      </c>
      <c r="B5752" t="str">
        <f>"1551599364937158"</f>
        <v>1551599364937158</v>
      </c>
      <c r="C5752" t="s">
        <v>40</v>
      </c>
      <c r="D5752">
        <v>5.0996030000000001</v>
      </c>
      <c r="E5752">
        <v>0.43930390000000002</v>
      </c>
      <c r="F5752" t="s">
        <v>41</v>
      </c>
      <c r="G5752">
        <v>-418.86160000000001</v>
      </c>
      <c r="H5752" s="1">
        <v>-2.1981979999999999E-6</v>
      </c>
      <c r="I5752">
        <v>103.85429999999999</v>
      </c>
      <c r="J5752">
        <v>-422.20519999999999</v>
      </c>
      <c r="K5752">
        <v>1.1208720000000001</v>
      </c>
      <c r="L5752">
        <v>121.2167</v>
      </c>
      <c r="M5752">
        <v>-9.9278560000000005E-3</v>
      </c>
      <c r="N5752">
        <v>-3.104557E-3</v>
      </c>
      <c r="O5752">
        <v>-0.99994609999999995</v>
      </c>
      <c r="P5752">
        <v>2.7041929999999999E-2</v>
      </c>
      <c r="Q5752">
        <v>-9.6510639999999995E-2</v>
      </c>
      <c r="R5752">
        <v>-0.99496470000000004</v>
      </c>
      <c r="S5752">
        <v>0.56774899999999995</v>
      </c>
      <c r="T5752">
        <v>-0.19031010000000001</v>
      </c>
      <c r="U5752">
        <v>-2.981033</v>
      </c>
      <c r="V5752">
        <v>-3.6632980000000002E-2</v>
      </c>
      <c r="W5752">
        <v>-9.3534519999999996E-2</v>
      </c>
      <c r="X5752">
        <v>0.99494190000000005</v>
      </c>
      <c r="Y5752">
        <v>-0.19648360000000001</v>
      </c>
      <c r="Z5752">
        <v>5.9423730000000001E-2</v>
      </c>
      <c r="AA5752">
        <v>0.97870480000000004</v>
      </c>
      <c r="AB5752">
        <v>21</v>
      </c>
      <c r="AC5752">
        <v>3.3435999999999799</v>
      </c>
      <c r="AD5752">
        <v>-1.1208741981979999</v>
      </c>
      <c r="AE5752">
        <v>-17.362400000000001</v>
      </c>
      <c r="AF5752">
        <v>-3.5017351952039202</v>
      </c>
      <c r="AG5752">
        <v>-1.1208741981979999</v>
      </c>
      <c r="AH5752">
        <v>17.2589916632013</v>
      </c>
      <c r="AI5752">
        <v>93.641822189800294</v>
      </c>
      <c r="AJ5752">
        <v>101.46924591761601</v>
      </c>
      <c r="AK5752">
        <v>17.646282939360599</v>
      </c>
      <c r="AL5752">
        <v>95.3669782295174</v>
      </c>
      <c r="AM5752">
        <v>92.108633124927294</v>
      </c>
      <c r="AN5752">
        <v>1.0000000330154599</v>
      </c>
    </row>
    <row r="5753" spans="1:40" x14ac:dyDescent="0.25">
      <c r="A5753" t="str">
        <f>"20190303154924970"</f>
        <v>20190303154924970</v>
      </c>
      <c r="B5753" t="str">
        <f>"1551599364966438"</f>
        <v>1551599364966438</v>
      </c>
      <c r="C5753" t="s">
        <v>40</v>
      </c>
      <c r="D5753">
        <v>5.0621830000000001</v>
      </c>
      <c r="E5753">
        <v>0.4395984</v>
      </c>
      <c r="F5753" t="s">
        <v>41</v>
      </c>
      <c r="G5753">
        <v>-418.80579999999998</v>
      </c>
      <c r="H5753" s="1">
        <v>-1.9118489999999999E-6</v>
      </c>
      <c r="I5753">
        <v>103.2276</v>
      </c>
      <c r="J5753">
        <v>-422.20440000000002</v>
      </c>
      <c r="K5753">
        <v>1.1208260000000001</v>
      </c>
      <c r="L5753">
        <v>120.99379999999999</v>
      </c>
      <c r="M5753">
        <v>-7.295335E-3</v>
      </c>
      <c r="N5753">
        <v>-3.1228710000000002E-3</v>
      </c>
      <c r="O5753">
        <v>-0.99996839999999998</v>
      </c>
      <c r="P5753">
        <v>2.6954550000000001E-2</v>
      </c>
      <c r="Q5753">
        <v>-9.6507179999999998E-2</v>
      </c>
      <c r="R5753">
        <v>-0.99496700000000005</v>
      </c>
      <c r="S5753">
        <v>0.56347659999999999</v>
      </c>
      <c r="T5753">
        <v>-0.1857944</v>
      </c>
      <c r="U5753">
        <v>-2.9818419999999999</v>
      </c>
      <c r="V5753">
        <v>-3.3935369999999999E-2</v>
      </c>
      <c r="W5753">
        <v>-9.3501399999999901E-2</v>
      </c>
      <c r="X5753">
        <v>0.9950407</v>
      </c>
      <c r="Y5753">
        <v>-0.1925153</v>
      </c>
      <c r="Z5753">
        <v>5.7946209999999998E-2</v>
      </c>
      <c r="AA5753">
        <v>0.97958160000000005</v>
      </c>
      <c r="AB5753">
        <v>21</v>
      </c>
      <c r="AC5753">
        <v>3.39860000000004</v>
      </c>
      <c r="AD5753">
        <v>-1.1208279118490001</v>
      </c>
      <c r="AE5753">
        <v>-17.766199999999898</v>
      </c>
      <c r="AF5753">
        <v>-3.5146260114356598</v>
      </c>
      <c r="AG5753">
        <v>-1.1208279118490001</v>
      </c>
      <c r="AH5753">
        <v>17.673076546347001</v>
      </c>
      <c r="AI5753">
        <v>93.559326173070801</v>
      </c>
      <c r="AJ5753">
        <v>101.247606514041</v>
      </c>
      <c r="AK5753">
        <v>18.0539880863282</v>
      </c>
      <c r="AL5753">
        <v>95.365072106656498</v>
      </c>
      <c r="AM5753">
        <v>91.953287102579495</v>
      </c>
      <c r="AN5753">
        <v>1.0000000578977399</v>
      </c>
    </row>
    <row r="5754" spans="1:40" x14ac:dyDescent="0.25">
      <c r="A5754" t="str">
        <f>"20190303154924992"</f>
        <v>20190303154924992</v>
      </c>
      <c r="B5754" t="str">
        <f>"1551599364986935"</f>
        <v>1551599364986935</v>
      </c>
      <c r="C5754" t="s">
        <v>40</v>
      </c>
      <c r="D5754">
        <v>5.0020660000000001</v>
      </c>
      <c r="E5754">
        <v>0.43975599999999998</v>
      </c>
      <c r="F5754" t="s">
        <v>41</v>
      </c>
      <c r="G5754">
        <v>-418.76920000000001</v>
      </c>
      <c r="H5754" s="1">
        <v>-1.679771E-6</v>
      </c>
      <c r="I5754">
        <v>102.7229</v>
      </c>
      <c r="J5754">
        <v>-422.20319999999998</v>
      </c>
      <c r="K5754">
        <v>1.1207830000000001</v>
      </c>
      <c r="L5754">
        <v>120.78230000000001</v>
      </c>
      <c r="M5754">
        <v>-4.9111679999999996E-3</v>
      </c>
      <c r="N5754">
        <v>-3.142359E-3</v>
      </c>
      <c r="O5754">
        <v>-0.99998319999999996</v>
      </c>
      <c r="P5754">
        <v>2.6913050000000001E-2</v>
      </c>
      <c r="Q5754">
        <v>-9.7150039999999993E-2</v>
      </c>
      <c r="R5754">
        <v>-0.99490610000000002</v>
      </c>
      <c r="S5754">
        <v>0.56069950000000002</v>
      </c>
      <c r="T5754">
        <v>-0.18294540000000001</v>
      </c>
      <c r="U5754">
        <v>-2.9822389999999999</v>
      </c>
      <c r="V5754">
        <v>-3.1527399999999997E-2</v>
      </c>
      <c r="W5754">
        <v>-9.4115099999999993E-2</v>
      </c>
      <c r="X5754">
        <v>0.995062</v>
      </c>
      <c r="Y5754">
        <v>-0.18928059999999999</v>
      </c>
      <c r="Z5754">
        <v>5.7012100000000003E-2</v>
      </c>
      <c r="AA5754">
        <v>0.98026650000000004</v>
      </c>
      <c r="AB5754">
        <v>21</v>
      </c>
      <c r="AC5754">
        <v>3.4339999999999602</v>
      </c>
      <c r="AD5754">
        <v>-1.1207846797709999</v>
      </c>
      <c r="AE5754">
        <v>-18.0594</v>
      </c>
      <c r="AF5754">
        <v>-3.50960596105122</v>
      </c>
      <c r="AG5754">
        <v>-1.1207846797709999</v>
      </c>
      <c r="AH5754">
        <v>17.975499233885301</v>
      </c>
      <c r="AI5754">
        <v>93.501860149249495</v>
      </c>
      <c r="AJ5754">
        <v>101.047669029529</v>
      </c>
      <c r="AK5754">
        <v>18.349170689915901</v>
      </c>
      <c r="AL5754">
        <v>95.400390546965895</v>
      </c>
      <c r="AM5754">
        <v>91.814744071849006</v>
      </c>
      <c r="AN5754">
        <v>1.0000000064213801</v>
      </c>
    </row>
    <row r="5755" spans="1:40" x14ac:dyDescent="0.25">
      <c r="A5755" t="str">
        <f>"20190303154925013"</f>
        <v>20190303154925013</v>
      </c>
      <c r="B5755" t="str">
        <f>"1551599365006454"</f>
        <v>1551599365006454</v>
      </c>
      <c r="C5755" t="s">
        <v>40</v>
      </c>
      <c r="D5755">
        <v>5.0456760000000003</v>
      </c>
      <c r="E5755">
        <v>0.45568809999999899</v>
      </c>
      <c r="F5755" t="s">
        <v>41</v>
      </c>
      <c r="G5755">
        <v>-418.77050000000003</v>
      </c>
      <c r="H5755" s="1">
        <v>-1.570796E-6</v>
      </c>
      <c r="I5755">
        <v>102.49290000000001</v>
      </c>
      <c r="J5755">
        <v>-422.20179999999999</v>
      </c>
      <c r="K5755">
        <v>1.1207450000000001</v>
      </c>
      <c r="L5755">
        <v>120.584</v>
      </c>
      <c r="M5755">
        <v>-2.7791489999999999E-3</v>
      </c>
      <c r="N5755">
        <v>-3.1618919999999999E-3</v>
      </c>
      <c r="O5755">
        <v>-0.99999130000000003</v>
      </c>
      <c r="P5755">
        <v>2.6758400000000002E-2</v>
      </c>
      <c r="Q5755">
        <v>-9.7770990000000002E-2</v>
      </c>
      <c r="R5755">
        <v>-0.9948496</v>
      </c>
      <c r="S5755">
        <v>0.55975339999999996</v>
      </c>
      <c r="T5755">
        <v>-0.1827608</v>
      </c>
      <c r="U5755">
        <v>-2.982361</v>
      </c>
      <c r="V5755">
        <v>-2.9257640000000001E-2</v>
      </c>
      <c r="W5755">
        <v>-9.4707570000000005E-2</v>
      </c>
      <c r="X5755">
        <v>0.99507509999999999</v>
      </c>
      <c r="Y5755">
        <v>-0.18687980000000001</v>
      </c>
      <c r="Z5755">
        <v>5.6946770000000001E-2</v>
      </c>
      <c r="AA5755">
        <v>0.98073080000000001</v>
      </c>
      <c r="AB5755">
        <v>21</v>
      </c>
      <c r="AC5755">
        <v>3.4312999999999598</v>
      </c>
      <c r="AD5755">
        <v>-1.120746570796</v>
      </c>
      <c r="AE5755">
        <v>-18.091100000000001</v>
      </c>
      <c r="AF5755">
        <v>-3.46871480875157</v>
      </c>
      <c r="AG5755">
        <v>-1.120746570796</v>
      </c>
      <c r="AH5755">
        <v>18.014757330135399</v>
      </c>
      <c r="AI5755">
        <v>93.495885245805496</v>
      </c>
      <c r="AJ5755">
        <v>100.89883260961599</v>
      </c>
      <c r="AK5755">
        <v>18.3798677080133</v>
      </c>
      <c r="AL5755">
        <v>95.434488953514801</v>
      </c>
      <c r="AM5755">
        <v>91.684150747760597</v>
      </c>
      <c r="AN5755">
        <v>0.99999999397684203</v>
      </c>
    </row>
    <row r="5756" spans="1:40" x14ac:dyDescent="0.25">
      <c r="A5756" t="str">
        <f>"20190303154925036"</f>
        <v>20190303154925036</v>
      </c>
      <c r="B5756" t="str">
        <f>"1551599365026950"</f>
        <v>1551599365026950</v>
      </c>
      <c r="C5756" t="s">
        <v>40</v>
      </c>
      <c r="D5756">
        <v>4.9644170000000001</v>
      </c>
      <c r="E5756">
        <v>0.45696170000000003</v>
      </c>
      <c r="F5756" t="s">
        <v>41</v>
      </c>
      <c r="G5756">
        <v>-418.83429999999998</v>
      </c>
      <c r="H5756" s="1">
        <v>-3.4705949999999999E-6</v>
      </c>
      <c r="I5756">
        <v>97.240830000000003</v>
      </c>
      <c r="J5756">
        <v>-422.19990000000001</v>
      </c>
      <c r="K5756">
        <v>1.1207049999999901</v>
      </c>
      <c r="L5756">
        <v>120.3706</v>
      </c>
      <c r="M5756">
        <v>-5.8716089999999996E-4</v>
      </c>
      <c r="N5756">
        <v>-3.1841E-3</v>
      </c>
      <c r="O5756">
        <v>-0.99999490000000002</v>
      </c>
      <c r="P5756">
        <v>2.6521099999999999E-2</v>
      </c>
      <c r="Q5756">
        <v>-9.7412960000000007E-2</v>
      </c>
      <c r="R5756">
        <v>-0.99489079999999996</v>
      </c>
      <c r="S5756">
        <v>0.43130489999999999</v>
      </c>
      <c r="T5756">
        <v>-0.14354749999999999</v>
      </c>
      <c r="U5756">
        <v>-2.9898380000000002</v>
      </c>
      <c r="V5756">
        <v>-2.6849580000000001E-2</v>
      </c>
      <c r="W5756">
        <v>-9.4317849999999995E-2</v>
      </c>
      <c r="X5756">
        <v>0.99517999999999995</v>
      </c>
      <c r="Y5756">
        <v>-0.14320859999999999</v>
      </c>
      <c r="Z5756">
        <v>4.428348E-2</v>
      </c>
      <c r="AA5756">
        <v>0.98870130000000001</v>
      </c>
      <c r="AB5756">
        <v>21</v>
      </c>
      <c r="AC5756">
        <v>3.3656000000000201</v>
      </c>
      <c r="AD5756">
        <v>-1.1207084705949999</v>
      </c>
      <c r="AE5756">
        <v>-23.129769999999901</v>
      </c>
      <c r="AF5756">
        <v>-3.37142938887858</v>
      </c>
      <c r="AG5756">
        <v>-1.1207084705949999</v>
      </c>
      <c r="AH5756">
        <v>23.074740490234401</v>
      </c>
      <c r="AI5756">
        <v>92.751424516390401</v>
      </c>
      <c r="AJ5756">
        <v>98.312615164035194</v>
      </c>
      <c r="AK5756">
        <v>23.3466522716196</v>
      </c>
      <c r="AL5756">
        <v>95.412059235585502</v>
      </c>
      <c r="AM5756">
        <v>91.5454435573197</v>
      </c>
      <c r="AN5756">
        <v>0.99999999458739897</v>
      </c>
    </row>
    <row r="5757" spans="1:40" x14ac:dyDescent="0.25">
      <c r="A5757" t="str">
        <f>"20190303154925058"</f>
        <v>20190303154925058</v>
      </c>
      <c r="B5757" t="str">
        <f>"1551599365046471"</f>
        <v>1551599365046471</v>
      </c>
      <c r="C5757" t="s">
        <v>40</v>
      </c>
      <c r="D5757">
        <v>4.9353239999999996</v>
      </c>
      <c r="E5757">
        <v>0.45783809999999903</v>
      </c>
      <c r="F5757" t="s">
        <v>41</v>
      </c>
      <c r="G5757">
        <v>-418.56689999999998</v>
      </c>
      <c r="H5757" s="1">
        <v>-2.3474289999999999E-6</v>
      </c>
      <c r="I5757">
        <v>94.512119999999996</v>
      </c>
      <c r="J5757">
        <v>-422.1977</v>
      </c>
      <c r="K5757">
        <v>1.1206670000000001</v>
      </c>
      <c r="L5757">
        <v>120.1598</v>
      </c>
      <c r="M5757">
        <v>1.480929E-3</v>
      </c>
      <c r="N5757">
        <v>-3.2071059999999999E-3</v>
      </c>
      <c r="O5757">
        <v>-0.99999389999999999</v>
      </c>
      <c r="P5757">
        <v>2.666907E-2</v>
      </c>
      <c r="Q5757">
        <v>-9.7072779999999997E-2</v>
      </c>
      <c r="R5757">
        <v>-0.99492000000000003</v>
      </c>
      <c r="S5757">
        <v>0.4202881</v>
      </c>
      <c r="T5757">
        <v>-0.12965189999999999</v>
      </c>
      <c r="U5757">
        <v>-2.991501</v>
      </c>
      <c r="V5757">
        <v>-2.4948930000000001E-2</v>
      </c>
      <c r="W5757">
        <v>-9.3947160000000002E-2</v>
      </c>
      <c r="X5757">
        <v>0.9952645</v>
      </c>
      <c r="Y5757">
        <v>-0.13754129999999901</v>
      </c>
      <c r="Z5757">
        <v>3.9679430000000002E-2</v>
      </c>
      <c r="AA5757">
        <v>0.98970089999999999</v>
      </c>
      <c r="AB5757">
        <v>21</v>
      </c>
      <c r="AC5757">
        <v>3.6308000000000198</v>
      </c>
      <c r="AD5757">
        <v>-1.1206693474289999</v>
      </c>
      <c r="AE5757">
        <v>-25.647680000000001</v>
      </c>
      <c r="AF5757">
        <v>-3.5861012499279998</v>
      </c>
      <c r="AG5757">
        <v>-1.1206693474289999</v>
      </c>
      <c r="AH5757">
        <v>25.605103217981402</v>
      </c>
      <c r="AI5757">
        <v>92.481896675939296</v>
      </c>
      <c r="AJ5757">
        <v>97.972653918056494</v>
      </c>
      <c r="AK5757">
        <v>25.879283853392899</v>
      </c>
      <c r="AL5757">
        <v>95.390725659309794</v>
      </c>
      <c r="AM5757">
        <v>91.435969117433103</v>
      </c>
      <c r="AN5757">
        <v>0.99999997147022901</v>
      </c>
    </row>
    <row r="5758" spans="1:40" x14ac:dyDescent="0.25">
      <c r="A5758" t="str">
        <f>"20190303154925082"</f>
        <v>20190303154925082</v>
      </c>
      <c r="B5758" t="str">
        <f>"1551599365076726"</f>
        <v>1551599365076726</v>
      </c>
      <c r="C5758" t="s">
        <v>40</v>
      </c>
      <c r="D5758">
        <v>4.936134</v>
      </c>
      <c r="E5758">
        <v>0.45893450000000002</v>
      </c>
      <c r="F5758" t="s">
        <v>41</v>
      </c>
      <c r="G5758">
        <v>-418.29509999999999</v>
      </c>
      <c r="H5758" s="1">
        <v>-1.302913E-6</v>
      </c>
      <c r="I5758">
        <v>91.964950000000002</v>
      </c>
      <c r="J5758">
        <v>-422.19479999999999</v>
      </c>
      <c r="K5758">
        <v>1.120614</v>
      </c>
      <c r="L5758">
        <v>119.9272</v>
      </c>
      <c r="M5758">
        <v>3.665822E-3</v>
      </c>
      <c r="N5758">
        <v>-3.2336180000000002E-3</v>
      </c>
      <c r="O5758">
        <v>-0.99998819999999999</v>
      </c>
      <c r="P5758">
        <v>2.7453310000000002E-2</v>
      </c>
      <c r="Q5758">
        <v>-9.6771780000000002E-2</v>
      </c>
      <c r="R5758">
        <v>-0.99492840000000005</v>
      </c>
      <c r="S5758">
        <v>0.4142151</v>
      </c>
      <c r="T5758">
        <v>-0.1189475</v>
      </c>
      <c r="U5758">
        <v>-2.9925989999999998</v>
      </c>
      <c r="V5758">
        <v>-2.3567669999999999E-2</v>
      </c>
      <c r="W5758">
        <v>-9.3614030000000001E-2</v>
      </c>
      <c r="X5758">
        <v>0.99532960000000004</v>
      </c>
      <c r="Y5758">
        <v>-0.1333753</v>
      </c>
      <c r="Z5758">
        <v>3.6120289999999999E-2</v>
      </c>
      <c r="AA5758">
        <v>0.99040720000000004</v>
      </c>
      <c r="AB5758">
        <v>21</v>
      </c>
      <c r="AC5758">
        <v>3.89969999999999</v>
      </c>
      <c r="AD5758">
        <v>-1.1206153029129999</v>
      </c>
      <c r="AE5758">
        <v>-27.962250000000001</v>
      </c>
      <c r="AF5758">
        <v>-3.7911958283800402</v>
      </c>
      <c r="AG5758">
        <v>-1.1206153029129999</v>
      </c>
      <c r="AH5758">
        <v>27.932351938441101</v>
      </c>
      <c r="AI5758">
        <v>92.276560269485401</v>
      </c>
      <c r="AJ5758">
        <v>97.729395592389494</v>
      </c>
      <c r="AK5758">
        <v>28.210728974615101</v>
      </c>
      <c r="AL5758">
        <v>95.371553978852901</v>
      </c>
      <c r="AM5758">
        <v>91.356410731258194</v>
      </c>
      <c r="AN5758">
        <v>1.0000000171591099</v>
      </c>
    </row>
    <row r="5759" spans="1:40" x14ac:dyDescent="0.25">
      <c r="A5759" t="str">
        <f>"20190303154925104"</f>
        <v>20190303154925104</v>
      </c>
      <c r="B5759" t="str">
        <f>"1551599365096246"</f>
        <v>1551599365096246</v>
      </c>
      <c r="C5759" t="s">
        <v>40</v>
      </c>
      <c r="D5759">
        <v>5.0114390000000002</v>
      </c>
      <c r="E5759">
        <v>0.45989530000000001</v>
      </c>
      <c r="F5759" t="s">
        <v>41</v>
      </c>
      <c r="G5759">
        <v>-418.22789999999998</v>
      </c>
      <c r="H5759" s="1">
        <v>-8.6926849999999996E-7</v>
      </c>
      <c r="I5759">
        <v>90.816900000000004</v>
      </c>
      <c r="J5759">
        <v>-422.19200000000001</v>
      </c>
      <c r="K5759">
        <v>1.1205510000000001</v>
      </c>
      <c r="L5759">
        <v>119.71810000000001</v>
      </c>
      <c r="M5759">
        <v>5.5447049999999996E-3</v>
      </c>
      <c r="N5759">
        <v>-3.258412E-3</v>
      </c>
      <c r="O5759">
        <v>-0.99997930000000002</v>
      </c>
      <c r="P5759">
        <v>2.7470049999999999E-2</v>
      </c>
      <c r="Q5759">
        <v>-9.9890759999999995E-2</v>
      </c>
      <c r="R5759">
        <v>-0.99461900000000003</v>
      </c>
      <c r="S5759">
        <v>0.4078369</v>
      </c>
      <c r="T5759">
        <v>-0.115210199999999</v>
      </c>
      <c r="U5759">
        <v>-2.9928279999999998</v>
      </c>
      <c r="V5759">
        <v>-2.1714480000000001E-2</v>
      </c>
      <c r="W5759">
        <v>-9.6703259999999999E-2</v>
      </c>
      <c r="X5759">
        <v>0.99507639999999997</v>
      </c>
      <c r="Y5759">
        <v>-0.12943669999999999</v>
      </c>
      <c r="Z5759">
        <v>3.4873319999999999E-2</v>
      </c>
      <c r="AA5759">
        <v>0.99097420000000003</v>
      </c>
      <c r="AB5759">
        <v>22</v>
      </c>
      <c r="AC5759">
        <v>3.96409999999997</v>
      </c>
      <c r="AD5759">
        <v>-1.1205518692684999</v>
      </c>
      <c r="AE5759">
        <v>-28.901199999999999</v>
      </c>
      <c r="AF5759">
        <v>-3.79818537814604</v>
      </c>
      <c r="AG5759">
        <v>-1.1205518692684999</v>
      </c>
      <c r="AH5759">
        <v>28.880123134105801</v>
      </c>
      <c r="AI5759">
        <v>92.203016357236507</v>
      </c>
      <c r="AJ5759">
        <v>97.492287221610894</v>
      </c>
      <c r="AK5759">
        <v>29.150357817694101</v>
      </c>
      <c r="AL5759">
        <v>95.549360625668697</v>
      </c>
      <c r="AM5759">
        <v>91.250105648665894</v>
      </c>
      <c r="AN5759">
        <v>1.0000000404866201</v>
      </c>
    </row>
    <row r="5760" spans="1:40" x14ac:dyDescent="0.25">
      <c r="A5760" t="str">
        <f>"20190303154925126"</f>
        <v>20190303154925126</v>
      </c>
      <c r="B5760" t="str">
        <f>"1551599365116742"</f>
        <v>1551599365116742</v>
      </c>
      <c r="C5760" t="s">
        <v>40</v>
      </c>
      <c r="D5760">
        <v>5.0258039999999999</v>
      </c>
      <c r="E5760">
        <v>0.46028760000000002</v>
      </c>
      <c r="F5760" t="s">
        <v>41</v>
      </c>
      <c r="G5760">
        <v>-418.58319999999998</v>
      </c>
      <c r="H5760" s="1">
        <v>-1.578146E-6</v>
      </c>
      <c r="I5760">
        <v>92.725620000000006</v>
      </c>
      <c r="J5760">
        <v>-422.18860000000001</v>
      </c>
      <c r="K5760">
        <v>1.1204940000000001</v>
      </c>
      <c r="L5760">
        <v>119.4996</v>
      </c>
      <c r="M5760">
        <v>7.44065099999999E-3</v>
      </c>
      <c r="N5760">
        <v>-3.2851500000000001E-3</v>
      </c>
      <c r="O5760">
        <v>-0.99996719999999895</v>
      </c>
      <c r="P5760">
        <v>2.6662450000000001E-2</v>
      </c>
      <c r="Q5760">
        <v>-0.10737910000000001</v>
      </c>
      <c r="R5760">
        <v>-0.99386090000000005</v>
      </c>
      <c r="S5760">
        <v>0.40011600000000003</v>
      </c>
      <c r="T5760">
        <v>-0.1242383</v>
      </c>
      <c r="U5760">
        <v>-2.9927220000000001</v>
      </c>
      <c r="V5760">
        <v>-1.901156E-2</v>
      </c>
      <c r="W5760">
        <v>-0.1041599</v>
      </c>
      <c r="X5760">
        <v>0.99437889999999995</v>
      </c>
      <c r="Y5760">
        <v>-0.12503449999999999</v>
      </c>
      <c r="Z5760">
        <v>3.7849679999999997E-2</v>
      </c>
      <c r="AA5760">
        <v>0.99143020000000004</v>
      </c>
      <c r="AB5760">
        <v>22</v>
      </c>
      <c r="AC5760">
        <v>3.6054000000000301</v>
      </c>
      <c r="AD5760">
        <v>-1.120495578146</v>
      </c>
      <c r="AE5760">
        <v>-26.773980000000002</v>
      </c>
      <c r="AF5760">
        <v>-3.4002341058910601</v>
      </c>
      <c r="AG5760">
        <v>-1.120495578146</v>
      </c>
      <c r="AH5760">
        <v>26.754042050912599</v>
      </c>
      <c r="AI5760">
        <v>92.379108425240503</v>
      </c>
      <c r="AJ5760">
        <v>97.243024328186806</v>
      </c>
      <c r="AK5760">
        <v>26.992515043572901</v>
      </c>
      <c r="AL5760">
        <v>95.978766611435404</v>
      </c>
      <c r="AM5760">
        <v>91.095306280775006</v>
      </c>
      <c r="AN5760">
        <v>1.00000006047342</v>
      </c>
    </row>
    <row r="5761" spans="1:40" x14ac:dyDescent="0.25">
      <c r="A5761" t="str">
        <f>"20190303154925149"</f>
        <v>20190303154925149</v>
      </c>
      <c r="B5761" t="str">
        <f>"1551599365136262"</f>
        <v>1551599365136262</v>
      </c>
      <c r="C5761" t="s">
        <v>40</v>
      </c>
      <c r="D5761">
        <v>4.8861369999999997</v>
      </c>
      <c r="E5761">
        <v>0.4606266</v>
      </c>
      <c r="F5761" t="s">
        <v>41</v>
      </c>
      <c r="G5761">
        <v>-419.09800000000001</v>
      </c>
      <c r="H5761" s="1">
        <v>-2.9278300000000001E-6</v>
      </c>
      <c r="I5761">
        <v>96.084649999999996</v>
      </c>
      <c r="J5761">
        <v>-422.1848</v>
      </c>
      <c r="K5761">
        <v>1.120444</v>
      </c>
      <c r="L5761">
        <v>119.2719</v>
      </c>
      <c r="M5761">
        <v>9.3320989999999999E-3</v>
      </c>
      <c r="N5761">
        <v>-3.3135399999999998E-3</v>
      </c>
      <c r="O5761">
        <v>-0.99995140000000005</v>
      </c>
      <c r="P5761">
        <v>2.4910109999999999E-2</v>
      </c>
      <c r="Q5761">
        <v>-0.113769</v>
      </c>
      <c r="R5761">
        <v>-0.99319539999999995</v>
      </c>
      <c r="S5761">
        <v>0.39498899999999998</v>
      </c>
      <c r="T5761">
        <v>-0.1432021</v>
      </c>
      <c r="U5761">
        <v>-2.9924770000000001</v>
      </c>
      <c r="V5761">
        <v>-1.537496E-2</v>
      </c>
      <c r="W5761">
        <v>-0.110514</v>
      </c>
      <c r="X5761">
        <v>0.99375559999999996</v>
      </c>
      <c r="Y5761">
        <v>-0.1214639</v>
      </c>
      <c r="Z5761">
        <v>4.4106100000000002E-2</v>
      </c>
      <c r="AA5761">
        <v>0.99161540000000004</v>
      </c>
      <c r="AB5761">
        <v>22</v>
      </c>
      <c r="AC5761">
        <v>3.0867999999999798</v>
      </c>
      <c r="AD5761">
        <v>-1.12044692783</v>
      </c>
      <c r="AE5761">
        <v>-23.187249999999999</v>
      </c>
      <c r="AF5761">
        <v>-2.8637085013005499</v>
      </c>
      <c r="AG5761">
        <v>-1.12044692783</v>
      </c>
      <c r="AH5761">
        <v>23.161905843904002</v>
      </c>
      <c r="AI5761">
        <v>92.748602816258199</v>
      </c>
      <c r="AJ5761">
        <v>97.048208127808195</v>
      </c>
      <c r="AK5761">
        <v>23.3651473357302</v>
      </c>
      <c r="AL5761">
        <v>96.3449464907102</v>
      </c>
      <c r="AM5761">
        <v>90.886384982173197</v>
      </c>
      <c r="AN5761">
        <v>0.99999996306118</v>
      </c>
    </row>
    <row r="5762" spans="1:40" x14ac:dyDescent="0.25">
      <c r="A5762" t="str">
        <f>"20190303154925170"</f>
        <v>20190303154925170</v>
      </c>
      <c r="B5762" t="str">
        <f>"1551599365166519"</f>
        <v>1551599365166519</v>
      </c>
      <c r="C5762" t="s">
        <v>40</v>
      </c>
      <c r="D5762">
        <v>4.9607080000000003</v>
      </c>
      <c r="E5762">
        <v>0.46138630000000003</v>
      </c>
      <c r="F5762" t="s">
        <v>41</v>
      </c>
      <c r="G5762">
        <v>-419.49</v>
      </c>
      <c r="H5762" s="1">
        <v>-3.8597669999999996E-6</v>
      </c>
      <c r="I5762">
        <v>98.419089999999997</v>
      </c>
      <c r="J5762">
        <v>-422.18090000000001</v>
      </c>
      <c r="K5762">
        <v>1.120409</v>
      </c>
      <c r="L5762">
        <v>119.0578</v>
      </c>
      <c r="M5762">
        <v>1.1015530000000001E-2</v>
      </c>
      <c r="N5762">
        <v>-3.340394E-3</v>
      </c>
      <c r="O5762">
        <v>-0.99993379999999998</v>
      </c>
      <c r="P5762">
        <v>2.473612E-2</v>
      </c>
      <c r="Q5762">
        <v>-0.11578579999999999</v>
      </c>
      <c r="R5762">
        <v>-0.99296600000000002</v>
      </c>
      <c r="S5762">
        <v>0.38671879999999997</v>
      </c>
      <c r="T5762">
        <v>-0.16078700000000001</v>
      </c>
      <c r="U5762">
        <v>-2.992432</v>
      </c>
      <c r="V5762">
        <v>-1.353474E-2</v>
      </c>
      <c r="W5762">
        <v>-0.1124994</v>
      </c>
      <c r="X5762">
        <v>0.99355959999999999</v>
      </c>
      <c r="Y5762">
        <v>-0.11706320000000001</v>
      </c>
      <c r="Z5762">
        <v>4.991023E-2</v>
      </c>
      <c r="AA5762">
        <v>0.99186949999999996</v>
      </c>
      <c r="AB5762">
        <v>22</v>
      </c>
      <c r="AC5762">
        <v>2.6908999999999899</v>
      </c>
      <c r="AD5762">
        <v>-1.120412859767</v>
      </c>
      <c r="AE5762">
        <v>-20.63871</v>
      </c>
      <c r="AF5762">
        <v>-2.4562713318023999</v>
      </c>
      <c r="AG5762">
        <v>-1.120412859767</v>
      </c>
      <c r="AH5762">
        <v>20.607383277500801</v>
      </c>
      <c r="AI5762">
        <v>93.090246550205293</v>
      </c>
      <c r="AJ5762">
        <v>96.797230230404196</v>
      </c>
      <c r="AK5762">
        <v>20.783475151609899</v>
      </c>
      <c r="AL5762">
        <v>96.459415235592004</v>
      </c>
      <c r="AM5762">
        <v>90.780462002337998</v>
      </c>
      <c r="AN5762">
        <v>0.99999999146969298</v>
      </c>
    </row>
    <row r="5763" spans="1:40" x14ac:dyDescent="0.25">
      <c r="A5763" t="str">
        <f>"20190303154925192"</f>
        <v>20190303154925192</v>
      </c>
      <c r="B5763" t="str">
        <f>"1551599365187014"</f>
        <v>1551599365187014</v>
      </c>
      <c r="C5763" t="s">
        <v>40</v>
      </c>
      <c r="D5763">
        <v>4.9022100000000002</v>
      </c>
      <c r="E5763">
        <v>0.46161449999999998</v>
      </c>
      <c r="F5763" t="s">
        <v>41</v>
      </c>
      <c r="G5763">
        <v>-419.60480000000001</v>
      </c>
      <c r="H5763" s="1">
        <v>-3.9862369999999996E-6</v>
      </c>
      <c r="I5763">
        <v>98.761380000000003</v>
      </c>
      <c r="J5763">
        <v>-422.1764</v>
      </c>
      <c r="K5763">
        <v>1.12036</v>
      </c>
      <c r="L5763">
        <v>118.8261</v>
      </c>
      <c r="M5763">
        <v>1.2709969999999999E-2</v>
      </c>
      <c r="N5763">
        <v>-3.3694229999999999E-3</v>
      </c>
      <c r="O5763">
        <v>-0.99991370000000002</v>
      </c>
      <c r="P5763">
        <v>2.5204399999999998E-2</v>
      </c>
      <c r="Q5763">
        <v>-0.1138434</v>
      </c>
      <c r="R5763">
        <v>-0.99317929999999999</v>
      </c>
      <c r="S5763">
        <v>0.37982179999999999</v>
      </c>
      <c r="T5763">
        <v>-0.16519500000000001</v>
      </c>
      <c r="U5763">
        <v>-2.9925229999999998</v>
      </c>
      <c r="V5763">
        <v>-1.233601E-2</v>
      </c>
      <c r="W5763">
        <v>-0.11052289999999999</v>
      </c>
      <c r="X5763">
        <v>0.99379700000000004</v>
      </c>
      <c r="Y5763">
        <v>-0.1131172</v>
      </c>
      <c r="Z5763">
        <v>5.1354379999999998E-2</v>
      </c>
      <c r="AA5763">
        <v>0.99225359999999996</v>
      </c>
      <c r="AB5763">
        <v>22</v>
      </c>
      <c r="AC5763">
        <v>2.5715999999999801</v>
      </c>
      <c r="AD5763">
        <v>-1.1203639862369901</v>
      </c>
      <c r="AE5763">
        <v>-20.064719999999902</v>
      </c>
      <c r="AF5763">
        <v>-2.3092852832344599</v>
      </c>
      <c r="AG5763">
        <v>-1.1203639862369901</v>
      </c>
      <c r="AH5763">
        <v>20.034330276568799</v>
      </c>
      <c r="AI5763">
        <v>93.179762321577698</v>
      </c>
      <c r="AJ5763">
        <v>96.575260753976394</v>
      </c>
      <c r="AK5763">
        <v>20.198079205995398</v>
      </c>
      <c r="AL5763">
        <v>96.345459439902697</v>
      </c>
      <c r="AM5763">
        <v>90.711176437864296</v>
      </c>
      <c r="AN5763">
        <v>0.99999998288806402</v>
      </c>
    </row>
    <row r="5764" spans="1:40" x14ac:dyDescent="0.25">
      <c r="A5764" t="str">
        <f>"20190303154925214"</f>
        <v>20190303154925214</v>
      </c>
      <c r="B5764" t="str">
        <f>"1551599365206534"</f>
        <v>1551599365206534</v>
      </c>
      <c r="C5764" t="s">
        <v>40</v>
      </c>
      <c r="D5764">
        <v>5.0118679999999998</v>
      </c>
      <c r="E5764">
        <v>0.49119360000000001</v>
      </c>
      <c r="F5764" t="s">
        <v>41</v>
      </c>
      <c r="G5764">
        <v>-419.46190000000001</v>
      </c>
      <c r="H5764" s="1">
        <v>-3.4382750000000001E-6</v>
      </c>
      <c r="I5764">
        <v>97.424959999999999</v>
      </c>
      <c r="J5764">
        <v>-422.1721</v>
      </c>
      <c r="K5764">
        <v>1.120296</v>
      </c>
      <c r="L5764">
        <v>118.61069999999999</v>
      </c>
      <c r="M5764">
        <v>1.414982E-2</v>
      </c>
      <c r="N5764">
        <v>-3.3964920000000001E-3</v>
      </c>
      <c r="O5764">
        <v>-0.99989430000000001</v>
      </c>
      <c r="P5764">
        <v>2.699439E-2</v>
      </c>
      <c r="Q5764">
        <v>-0.1098446</v>
      </c>
      <c r="R5764">
        <v>-0.99358239999999998</v>
      </c>
      <c r="S5764">
        <v>0.3796387</v>
      </c>
      <c r="T5764">
        <v>-0.1566862</v>
      </c>
      <c r="U5764">
        <v>-2.9930110000000001</v>
      </c>
      <c r="V5764">
        <v>-1.2716949999999999E-2</v>
      </c>
      <c r="W5764">
        <v>-0.1064943</v>
      </c>
      <c r="X5764">
        <v>0.994232</v>
      </c>
      <c r="Y5764">
        <v>-0.1116249</v>
      </c>
      <c r="Z5764">
        <v>4.8511430000000001E-2</v>
      </c>
      <c r="AA5764">
        <v>0.99256560000000005</v>
      </c>
      <c r="AB5764">
        <v>22</v>
      </c>
      <c r="AC5764">
        <v>2.71019999999998</v>
      </c>
      <c r="AD5764">
        <v>-1.120299438275</v>
      </c>
      <c r="AE5764">
        <v>-21.185739999999999</v>
      </c>
      <c r="AF5764">
        <v>-2.4035398293173502</v>
      </c>
      <c r="AG5764">
        <v>-1.120299438275</v>
      </c>
      <c r="AH5764">
        <v>21.163741144068201</v>
      </c>
      <c r="AI5764">
        <v>93.010797047754295</v>
      </c>
      <c r="AJ5764">
        <v>96.479249616255103</v>
      </c>
      <c r="AK5764">
        <v>21.329229094264999</v>
      </c>
      <c r="AL5764">
        <v>96.113266327696493</v>
      </c>
      <c r="AM5764">
        <v>90.732814707266002</v>
      </c>
      <c r="AN5764">
        <v>1.00000001328689</v>
      </c>
    </row>
    <row r="5765" spans="1:40" x14ac:dyDescent="0.25">
      <c r="A5765" t="str">
        <f>"20190303154925236"</f>
        <v>20190303154925236</v>
      </c>
      <c r="B5765" t="str">
        <f>"1551599365227030"</f>
        <v>1551599365227030</v>
      </c>
      <c r="C5765" t="s">
        <v>40</v>
      </c>
      <c r="D5765">
        <v>4.9425720000000002</v>
      </c>
      <c r="E5765">
        <v>0.49978339999999999</v>
      </c>
      <c r="F5765" t="s">
        <v>41</v>
      </c>
      <c r="G5765">
        <v>-420.404</v>
      </c>
      <c r="H5765" s="1">
        <v>-1.552448E-6</v>
      </c>
      <c r="I5765">
        <v>82.957350000000005</v>
      </c>
      <c r="J5765">
        <v>-422.16719999999998</v>
      </c>
      <c r="K5765">
        <v>1.1201989999999999</v>
      </c>
      <c r="L5765">
        <v>118.3815</v>
      </c>
      <c r="M5765">
        <v>1.5529350000000001E-2</v>
      </c>
      <c r="N5765">
        <v>-3.4255399999999999E-3</v>
      </c>
      <c r="O5765">
        <v>-0.99987349999999997</v>
      </c>
      <c r="P5765">
        <v>2.751965E-2</v>
      </c>
      <c r="Q5765">
        <v>-0.1089599</v>
      </c>
      <c r="R5765">
        <v>-0.99366529999999997</v>
      </c>
      <c r="S5765">
        <v>0.14901729999999899</v>
      </c>
      <c r="T5765">
        <v>-9.4419719999999999E-2</v>
      </c>
      <c r="U5765">
        <v>-3.0048979999999998</v>
      </c>
      <c r="V5765">
        <v>-1.18951E-2</v>
      </c>
      <c r="W5765">
        <v>-0.1055759</v>
      </c>
      <c r="X5765">
        <v>0.99434009999999995</v>
      </c>
      <c r="Y5765">
        <v>-3.3992880000000003E-2</v>
      </c>
      <c r="Z5765">
        <v>2.7949709999999999E-2</v>
      </c>
      <c r="AA5765">
        <v>0.99903120000000001</v>
      </c>
      <c r="AB5765">
        <v>23</v>
      </c>
      <c r="AC5765">
        <v>1.7631999999999799</v>
      </c>
      <c r="AD5765">
        <v>-1.1202005524480001</v>
      </c>
      <c r="AE5765">
        <v>-35.424149999999997</v>
      </c>
      <c r="AF5765">
        <v>-1.21166145477473</v>
      </c>
      <c r="AG5765">
        <v>-1.1202005524480001</v>
      </c>
      <c r="AH5765">
        <v>35.411935920238399</v>
      </c>
      <c r="AI5765">
        <v>91.810798137466193</v>
      </c>
      <c r="AJ5765">
        <v>91.9596786356488</v>
      </c>
      <c r="AK5765">
        <v>35.450362175551298</v>
      </c>
      <c r="AL5765">
        <v>96.060347632269497</v>
      </c>
      <c r="AM5765">
        <v>90.685385732980706</v>
      </c>
      <c r="AN5765">
        <v>0.99999999926641403</v>
      </c>
    </row>
    <row r="5766" spans="1:40" x14ac:dyDescent="0.25">
      <c r="A5766" t="str">
        <f>"20190303154925259"</f>
        <v>20190303154925259</v>
      </c>
      <c r="B5766" t="str">
        <f>"1551599365256311"</f>
        <v>1551599365256311</v>
      </c>
      <c r="C5766" t="s">
        <v>40</v>
      </c>
      <c r="D5766">
        <v>4.95824</v>
      </c>
      <c r="E5766">
        <v>0.5052662</v>
      </c>
      <c r="F5766" t="s">
        <v>41</v>
      </c>
      <c r="G5766">
        <v>-421.36500000000001</v>
      </c>
      <c r="H5766" s="1">
        <v>-4.3602589999999999E-6</v>
      </c>
      <c r="I5766">
        <v>89.088099999999997</v>
      </c>
      <c r="J5766">
        <v>-422.16219999999998</v>
      </c>
      <c r="K5766">
        <v>1.1200840000000001</v>
      </c>
      <c r="L5766">
        <v>118.1506</v>
      </c>
      <c r="M5766">
        <v>1.675225E-2</v>
      </c>
      <c r="N5766">
        <v>-3.4574969999999999E-3</v>
      </c>
      <c r="O5766">
        <v>-0.99985380000000001</v>
      </c>
      <c r="P5766">
        <v>2.8010699999999999E-2</v>
      </c>
      <c r="Q5766">
        <v>-0.1103551</v>
      </c>
      <c r="R5766">
        <v>-0.99349759999999998</v>
      </c>
      <c r="S5766">
        <v>8.2275390000000004E-2</v>
      </c>
      <c r="T5766">
        <v>-0.1148853</v>
      </c>
      <c r="U5766">
        <v>-3.004257</v>
      </c>
      <c r="V5766">
        <v>-1.119743E-2</v>
      </c>
      <c r="W5766">
        <v>-0.1069359</v>
      </c>
      <c r="X5766">
        <v>0.9942029</v>
      </c>
      <c r="Y5766">
        <v>-1.06088E-2</v>
      </c>
      <c r="Z5766">
        <v>3.4742240000000001E-2</v>
      </c>
      <c r="AA5766">
        <v>0.99934000000000001</v>
      </c>
      <c r="AB5766">
        <v>23</v>
      </c>
      <c r="AC5766">
        <v>0.79719999999997504</v>
      </c>
      <c r="AD5766">
        <v>-1.1200883602589999</v>
      </c>
      <c r="AE5766">
        <v>-29.0625</v>
      </c>
      <c r="AF5766">
        <v>-0.309763233582243</v>
      </c>
      <c r="AG5766">
        <v>-1.1200883602589999</v>
      </c>
      <c r="AH5766">
        <v>29.0286902976768</v>
      </c>
      <c r="AI5766">
        <v>92.209568045811693</v>
      </c>
      <c r="AJ5766">
        <v>90.611376267542298</v>
      </c>
      <c r="AK5766">
        <v>29.0519433359303</v>
      </c>
      <c r="AL5766">
        <v>96.138713305280604</v>
      </c>
      <c r="AM5766">
        <v>90.645279102654499</v>
      </c>
      <c r="AN5766">
        <v>1.0000000377579099</v>
      </c>
    </row>
    <row r="5767" spans="1:40" x14ac:dyDescent="0.25">
      <c r="A5767" t="str">
        <f>"20190303154925282"</f>
        <v>20190303154925282</v>
      </c>
      <c r="B5767" t="str">
        <f>"1551599365276806"</f>
        <v>1551599365276806</v>
      </c>
      <c r="C5767" t="s">
        <v>40</v>
      </c>
      <c r="D5767">
        <v>4.9222720000000004</v>
      </c>
      <c r="E5767">
        <v>0.50713399999999997</v>
      </c>
      <c r="F5767" t="s">
        <v>41</v>
      </c>
      <c r="G5767">
        <v>-421.80360000000002</v>
      </c>
      <c r="H5767" s="1">
        <v>-1.2223830000000001E-6</v>
      </c>
      <c r="I5767">
        <v>91.319869999999995</v>
      </c>
      <c r="J5767">
        <v>-422.15710000000001</v>
      </c>
      <c r="K5767">
        <v>1.1199749999999999</v>
      </c>
      <c r="L5767">
        <v>117.9194</v>
      </c>
      <c r="M5767">
        <v>1.7802979999999999E-2</v>
      </c>
      <c r="N5767">
        <v>-3.4942770000000001E-3</v>
      </c>
      <c r="O5767">
        <v>-0.99983540000000004</v>
      </c>
      <c r="P5767">
        <v>2.9021229999999999E-2</v>
      </c>
      <c r="Q5767">
        <v>-0.11291959999999999</v>
      </c>
      <c r="R5767">
        <v>-0.99318039999999996</v>
      </c>
      <c r="S5767">
        <v>4.0161130000000003E-2</v>
      </c>
      <c r="T5767">
        <v>-0.12543009999999999</v>
      </c>
      <c r="U5767">
        <v>-3.004578</v>
      </c>
      <c r="V5767">
        <v>-1.119149E-2</v>
      </c>
      <c r="W5767">
        <v>-0.109462</v>
      </c>
      <c r="X5767">
        <v>0.99392800000000003</v>
      </c>
      <c r="Y5767">
        <v>4.4475699999999996E-3</v>
      </c>
      <c r="Z5767">
        <v>3.8206959999999998E-2</v>
      </c>
      <c r="AA5767">
        <v>0.99925989999999998</v>
      </c>
      <c r="AB5767">
        <v>23</v>
      </c>
      <c r="AC5767">
        <v>0.35349999999999598</v>
      </c>
      <c r="AD5767">
        <v>-1.1199762223830001</v>
      </c>
      <c r="AE5767">
        <v>-26.599529999999898</v>
      </c>
      <c r="AF5767">
        <v>0.11989729972041301</v>
      </c>
      <c r="AG5767">
        <v>-1.1199762223830001</v>
      </c>
      <c r="AH5767">
        <v>26.5545390469171</v>
      </c>
      <c r="AI5767">
        <v>92.4150767069804</v>
      </c>
      <c r="AJ5767">
        <v>89.7413036409651</v>
      </c>
      <c r="AK5767">
        <v>26.578417298541801</v>
      </c>
      <c r="AL5767">
        <v>96.284303013965996</v>
      </c>
      <c r="AM5767">
        <v>90.645115185807796</v>
      </c>
      <c r="AN5767">
        <v>1.0000000240382001</v>
      </c>
    </row>
    <row r="5768" spans="1:40" x14ac:dyDescent="0.25">
      <c r="A5768" t="str">
        <f>"20190303154925304"</f>
        <v>20190303154925304</v>
      </c>
      <c r="B5768" t="str">
        <f>"1551599365296327"</f>
        <v>1551599365296327</v>
      </c>
      <c r="C5768" t="s">
        <v>40</v>
      </c>
      <c r="D5768">
        <v>4.93377</v>
      </c>
      <c r="E5768">
        <v>0.50827060000000002</v>
      </c>
      <c r="F5768" t="s">
        <v>41</v>
      </c>
      <c r="G5768">
        <v>-421.92899999999997</v>
      </c>
      <c r="H5768" s="1">
        <v>-2.1468879999999998E-6</v>
      </c>
      <c r="I5768">
        <v>93.39716</v>
      </c>
      <c r="J5768">
        <v>-422.15199999999999</v>
      </c>
      <c r="K5768">
        <v>1.1198859999999999</v>
      </c>
      <c r="L5768">
        <v>117.6893</v>
      </c>
      <c r="M5768">
        <v>1.869208E-2</v>
      </c>
      <c r="N5768">
        <v>-3.5373639999999999E-3</v>
      </c>
      <c r="O5768">
        <v>-0.99981920000000002</v>
      </c>
      <c r="P5768">
        <v>3.03322E-2</v>
      </c>
      <c r="Q5768">
        <v>-0.1140634</v>
      </c>
      <c r="R5768">
        <v>-0.99301039999999996</v>
      </c>
      <c r="S5768">
        <v>2.7954099999999999E-2</v>
      </c>
      <c r="T5768">
        <v>-0.13720669999999999</v>
      </c>
      <c r="U5768">
        <v>-3.004181</v>
      </c>
      <c r="V5768">
        <v>-1.164362E-2</v>
      </c>
      <c r="W5768">
        <v>-0.1105616</v>
      </c>
      <c r="X5768">
        <v>0.99380109999999999</v>
      </c>
      <c r="Y5768">
        <v>9.3957710000000007E-3</v>
      </c>
      <c r="Z5768">
        <v>4.2076740000000001E-2</v>
      </c>
      <c r="AA5768">
        <v>0.99907020000000002</v>
      </c>
      <c r="AB5768">
        <v>23</v>
      </c>
      <c r="AC5768">
        <v>0.22299999999995601</v>
      </c>
      <c r="AD5768">
        <v>-1.119888146888</v>
      </c>
      <c r="AE5768">
        <v>-24.29214</v>
      </c>
      <c r="AF5768">
        <v>0.23062225202040801</v>
      </c>
      <c r="AG5768">
        <v>-1.119888146888</v>
      </c>
      <c r="AH5768">
        <v>24.240550370191801</v>
      </c>
      <c r="AI5768">
        <v>92.645004929291005</v>
      </c>
      <c r="AJ5768">
        <v>89.4549099403078</v>
      </c>
      <c r="AK5768">
        <v>24.2675012791691</v>
      </c>
      <c r="AL5768">
        <v>96.347690134940805</v>
      </c>
      <c r="AM5768">
        <v>90.6712608398269</v>
      </c>
      <c r="AN5768">
        <v>1.00000003382123</v>
      </c>
    </row>
    <row r="5769" spans="1:40" x14ac:dyDescent="0.25">
      <c r="A5769" t="str">
        <f>"20190303154925327"</f>
        <v>20190303154925327</v>
      </c>
      <c r="B5769" t="str">
        <f>"1551599365316822"</f>
        <v>1551599365316822</v>
      </c>
      <c r="C5769" t="s">
        <v>40</v>
      </c>
      <c r="D5769">
        <v>4.9081950000000001</v>
      </c>
      <c r="E5769">
        <v>0.50934629999999903</v>
      </c>
      <c r="F5769" t="s">
        <v>41</v>
      </c>
      <c r="G5769">
        <v>-421.96519999999998</v>
      </c>
      <c r="H5769" s="1">
        <v>-2.4496039999999999E-6</v>
      </c>
      <c r="I5769">
        <v>94.080340000000007</v>
      </c>
      <c r="J5769">
        <v>-422.14670000000001</v>
      </c>
      <c r="K5769">
        <v>1.119828</v>
      </c>
      <c r="L5769">
        <v>117.4532</v>
      </c>
      <c r="M5769">
        <v>1.9484620000000001E-2</v>
      </c>
      <c r="N5769">
        <v>-3.5867220000000001E-3</v>
      </c>
      <c r="O5769">
        <v>-0.99980400000000003</v>
      </c>
      <c r="P5769">
        <v>3.1744969999999997E-2</v>
      </c>
      <c r="Q5769">
        <v>-0.1142818</v>
      </c>
      <c r="R5769">
        <v>-0.99294099999999996</v>
      </c>
      <c r="S5769">
        <v>2.377319E-2</v>
      </c>
      <c r="T5769">
        <v>-0.14249489999999901</v>
      </c>
      <c r="U5769">
        <v>-3.004013</v>
      </c>
      <c r="V5769">
        <v>-1.228834E-2</v>
      </c>
      <c r="W5769">
        <v>-0.1107297</v>
      </c>
      <c r="X5769">
        <v>0.99377459999999995</v>
      </c>
      <c r="Y5769">
        <v>1.15786E-2</v>
      </c>
      <c r="Z5769">
        <v>4.3783049999999997E-2</v>
      </c>
      <c r="AA5769">
        <v>0.99897400000000003</v>
      </c>
      <c r="AB5769">
        <v>23</v>
      </c>
      <c r="AC5769">
        <v>0.181500000000028</v>
      </c>
      <c r="AD5769">
        <v>-1.1198304496039999</v>
      </c>
      <c r="AE5769">
        <v>-23.3728599999999</v>
      </c>
      <c r="AF5769">
        <v>0.27332117969272701</v>
      </c>
      <c r="AG5769">
        <v>-1.1198304496039999</v>
      </c>
      <c r="AH5769">
        <v>23.318434572190199</v>
      </c>
      <c r="AI5769">
        <v>92.749237108369996</v>
      </c>
      <c r="AJ5769">
        <v>89.328452650283893</v>
      </c>
      <c r="AK5769">
        <v>23.346908052259099</v>
      </c>
      <c r="AL5769">
        <v>96.357381193139602</v>
      </c>
      <c r="AM5769">
        <v>90.708444488468203</v>
      </c>
      <c r="AN5769">
        <v>1.0000000126835999</v>
      </c>
    </row>
    <row r="5770" spans="1:40" x14ac:dyDescent="0.25">
      <c r="A5770" t="str">
        <f>"20190303154925349"</f>
        <v>20190303154925349</v>
      </c>
      <c r="B5770" t="str">
        <f>"1551599365347079"</f>
        <v>1551599365347079</v>
      </c>
      <c r="C5770" t="s">
        <v>40</v>
      </c>
      <c r="D5770">
        <v>4.9752530000000004</v>
      </c>
      <c r="E5770">
        <v>0.5108104</v>
      </c>
      <c r="F5770" t="s">
        <v>41</v>
      </c>
      <c r="G5770">
        <v>-421.99829999999997</v>
      </c>
      <c r="H5770" s="1">
        <v>-2.4274459999999998E-6</v>
      </c>
      <c r="I5770">
        <v>94.008129999999994</v>
      </c>
      <c r="J5770">
        <v>-422.14139999999998</v>
      </c>
      <c r="K5770">
        <v>1.1197919999999999</v>
      </c>
      <c r="L5770">
        <v>117.2204</v>
      </c>
      <c r="M5770">
        <v>2.0173090000000001E-2</v>
      </c>
      <c r="N5770">
        <v>-3.6389679999999998E-3</v>
      </c>
      <c r="O5770">
        <v>-0.99978999999999996</v>
      </c>
      <c r="P5770">
        <v>3.328971E-2</v>
      </c>
      <c r="Q5770">
        <v>-0.1144656</v>
      </c>
      <c r="R5770">
        <v>-0.99286949999999996</v>
      </c>
      <c r="S5770">
        <v>1.901245E-2</v>
      </c>
      <c r="T5770">
        <v>-0.14349210000000001</v>
      </c>
      <c r="U5770">
        <v>-3.0041959999999999</v>
      </c>
      <c r="V5770">
        <v>-1.316196E-2</v>
      </c>
      <c r="W5770">
        <v>-0.110861</v>
      </c>
      <c r="X5770">
        <v>0.99374879999999999</v>
      </c>
      <c r="Y5770">
        <v>1.385045E-2</v>
      </c>
      <c r="Z5770">
        <v>4.4057279999999997E-2</v>
      </c>
      <c r="AA5770">
        <v>0.99893299999999996</v>
      </c>
      <c r="AB5770">
        <v>23</v>
      </c>
      <c r="AC5770">
        <v>0.143100000000004</v>
      </c>
      <c r="AD5770">
        <v>-1.1197944274460001</v>
      </c>
      <c r="AE5770">
        <v>-23.212269999999901</v>
      </c>
      <c r="AF5770">
        <v>0.32444035474065902</v>
      </c>
      <c r="AG5770">
        <v>-1.1197944274460001</v>
      </c>
      <c r="AH5770">
        <v>23.156544274593202</v>
      </c>
      <c r="AI5770">
        <v>92.768257252286006</v>
      </c>
      <c r="AJ5770">
        <v>89.197296168054805</v>
      </c>
      <c r="AK5770">
        <v>23.185873799465099</v>
      </c>
      <c r="AL5770">
        <v>96.364950570872395</v>
      </c>
      <c r="AM5770">
        <v>90.758824227691903</v>
      </c>
      <c r="AN5770">
        <v>1.00000003800674</v>
      </c>
    </row>
    <row r="5771" spans="1:40" x14ac:dyDescent="0.25">
      <c r="A5771" t="str">
        <f>"20190303154925371"</f>
        <v>20190303154925371</v>
      </c>
      <c r="B5771" t="str">
        <f>"1551599365366598"</f>
        <v>1551599365366598</v>
      </c>
      <c r="C5771" t="s">
        <v>40</v>
      </c>
      <c r="D5771">
        <v>4.9544119999999996</v>
      </c>
      <c r="E5771">
        <v>0.51154129999999998</v>
      </c>
      <c r="F5771" t="s">
        <v>41</v>
      </c>
      <c r="G5771">
        <v>-422.0514</v>
      </c>
      <c r="H5771" s="1">
        <v>-2.2934010000000002E-6</v>
      </c>
      <c r="I5771">
        <v>93.662729999999996</v>
      </c>
      <c r="J5771">
        <v>-422.13589999999999</v>
      </c>
      <c r="K5771">
        <v>1.1197649999999999</v>
      </c>
      <c r="L5771">
        <v>116.9828</v>
      </c>
      <c r="M5771">
        <v>2.080069E-2</v>
      </c>
      <c r="N5771">
        <v>-3.697807E-3</v>
      </c>
      <c r="O5771">
        <v>-0.99977709999999997</v>
      </c>
      <c r="P5771">
        <v>3.4918629999999999E-2</v>
      </c>
      <c r="Q5771">
        <v>-0.1147109</v>
      </c>
      <c r="R5771">
        <v>-0.99278549999999999</v>
      </c>
      <c r="S5771">
        <v>1.147461E-2</v>
      </c>
      <c r="T5771">
        <v>-0.142825799999999</v>
      </c>
      <c r="U5771">
        <v>-3.0047000000000001</v>
      </c>
      <c r="V5771">
        <v>-1.417618E-2</v>
      </c>
      <c r="W5771">
        <v>-0.1110479</v>
      </c>
      <c r="X5771">
        <v>0.99371399999999999</v>
      </c>
      <c r="Y5771">
        <v>1.6984699999999998E-2</v>
      </c>
      <c r="Z5771">
        <v>4.3767729999999998E-2</v>
      </c>
      <c r="AA5771">
        <v>0.99889740000000005</v>
      </c>
      <c r="AB5771">
        <v>24</v>
      </c>
      <c r="AC5771">
        <v>8.4499999999991304E-2</v>
      </c>
      <c r="AD5771">
        <v>-1.1197672934009999</v>
      </c>
      <c r="AE5771">
        <v>-23.320069999999902</v>
      </c>
      <c r="AF5771">
        <v>0.39967350175778699</v>
      </c>
      <c r="AG5771">
        <v>-1.1197672934009999</v>
      </c>
      <c r="AH5771">
        <v>23.2631458519921</v>
      </c>
      <c r="AI5771">
        <v>92.755388881721004</v>
      </c>
      <c r="AJ5771">
        <v>89.015724172556105</v>
      </c>
      <c r="AK5771">
        <v>23.293509238207001</v>
      </c>
      <c r="AL5771">
        <v>96.375725561172203</v>
      </c>
      <c r="AM5771">
        <v>90.817317849762603</v>
      </c>
      <c r="AN5771">
        <v>1.0000000569848899</v>
      </c>
    </row>
    <row r="5772" spans="1:40" x14ac:dyDescent="0.25">
      <c r="A5772" t="str">
        <f>"20190303154925393"</f>
        <v>20190303154925393</v>
      </c>
      <c r="B5772" t="str">
        <f>"1551599365387094"</f>
        <v>1551599365387094</v>
      </c>
      <c r="C5772" t="s">
        <v>40</v>
      </c>
      <c r="D5772">
        <v>4.9582689999999996</v>
      </c>
      <c r="E5772">
        <v>0.51221510000000003</v>
      </c>
      <c r="F5772" t="s">
        <v>41</v>
      </c>
      <c r="G5772">
        <v>-422.05220000000003</v>
      </c>
      <c r="H5772" s="1">
        <v>-2.194366E-6</v>
      </c>
      <c r="I5772">
        <v>93.431389999999993</v>
      </c>
      <c r="J5772">
        <v>-422.13029999999998</v>
      </c>
      <c r="K5772">
        <v>1.119753</v>
      </c>
      <c r="L5772">
        <v>116.7431</v>
      </c>
      <c r="M5772">
        <v>2.1380509999999998E-2</v>
      </c>
      <c r="N5772">
        <v>-3.7655359999999999E-3</v>
      </c>
      <c r="O5772">
        <v>-0.9997644</v>
      </c>
      <c r="P5772">
        <v>3.609569E-2</v>
      </c>
      <c r="Q5772">
        <v>-0.114472</v>
      </c>
      <c r="R5772">
        <v>-0.99277079999999995</v>
      </c>
      <c r="S5772">
        <v>1.068115E-2</v>
      </c>
      <c r="T5772">
        <v>-0.14287130000000001</v>
      </c>
      <c r="U5772">
        <v>-3.0049290000000002</v>
      </c>
      <c r="V5772">
        <v>-1.478178E-2</v>
      </c>
      <c r="W5772">
        <v>-0.11074150000000001</v>
      </c>
      <c r="X5772">
        <v>0.99373929999999999</v>
      </c>
      <c r="Y5772">
        <v>1.7828489999999999E-2</v>
      </c>
      <c r="Z5772">
        <v>4.3710319999999997E-2</v>
      </c>
      <c r="AA5772">
        <v>0.99888520000000003</v>
      </c>
      <c r="AB5772">
        <v>24</v>
      </c>
      <c r="AC5772">
        <v>7.8099999999949404E-2</v>
      </c>
      <c r="AD5772">
        <v>-1.119755194366</v>
      </c>
      <c r="AE5772">
        <v>-23.311709999999898</v>
      </c>
      <c r="AF5772">
        <v>0.41937000751093301</v>
      </c>
      <c r="AG5772">
        <v>-1.119755194366</v>
      </c>
      <c r="AH5772">
        <v>23.254397440781101</v>
      </c>
      <c r="AI5772">
        <v>92.756352792357703</v>
      </c>
      <c r="AJ5772">
        <v>88.966839403143496</v>
      </c>
      <c r="AK5772">
        <v>23.285118063525399</v>
      </c>
      <c r="AL5772">
        <v>96.358061620816102</v>
      </c>
      <c r="AM5772">
        <v>90.852206560609901</v>
      </c>
      <c r="AN5772">
        <v>0.99999998860335404</v>
      </c>
    </row>
    <row r="5773" spans="1:40" x14ac:dyDescent="0.25">
      <c r="A5773" t="str">
        <f>"20190303154925416"</f>
        <v>20190303154925416</v>
      </c>
      <c r="B5773" t="str">
        <f>"1551599365406615"</f>
        <v>1551599365406615</v>
      </c>
      <c r="C5773" t="s">
        <v>40</v>
      </c>
      <c r="D5773">
        <v>4.9414720000000001</v>
      </c>
      <c r="E5773">
        <v>0.51276449999999996</v>
      </c>
      <c r="F5773" t="s">
        <v>41</v>
      </c>
      <c r="G5773">
        <v>-422.06200000000001</v>
      </c>
      <c r="H5773" s="1">
        <v>-1.9607309999999999E-6</v>
      </c>
      <c r="I5773">
        <v>92.880719999999997</v>
      </c>
      <c r="J5773">
        <v>-422.12459999999999</v>
      </c>
      <c r="K5773">
        <v>1.1197549999999901</v>
      </c>
      <c r="L5773">
        <v>116.5072</v>
      </c>
      <c r="M5773">
        <v>2.1921469999999998E-2</v>
      </c>
      <c r="N5773">
        <v>-3.841938E-3</v>
      </c>
      <c r="O5773">
        <v>-0.99975250000000004</v>
      </c>
      <c r="P5773">
        <v>3.5781060000000003E-2</v>
      </c>
      <c r="Q5773">
        <v>-0.11394890000000001</v>
      </c>
      <c r="R5773">
        <v>-0.99284229999999996</v>
      </c>
      <c r="S5773">
        <v>8.6059569999999991E-3</v>
      </c>
      <c r="T5773">
        <v>-0.14102410000000001</v>
      </c>
      <c r="U5773">
        <v>-3.00528</v>
      </c>
      <c r="V5773">
        <v>-1.3929769999999999E-2</v>
      </c>
      <c r="W5773">
        <v>-0.1101413</v>
      </c>
      <c r="X5773">
        <v>0.99381830000000004</v>
      </c>
      <c r="Y5773">
        <v>1.9059409999999999E-2</v>
      </c>
      <c r="Z5773">
        <v>4.3014700000000003E-2</v>
      </c>
      <c r="AA5773">
        <v>0.99889260000000002</v>
      </c>
      <c r="AB5773">
        <v>24</v>
      </c>
      <c r="AC5773">
        <v>6.26000000000317E-2</v>
      </c>
      <c r="AD5773">
        <v>-1.1197569607309901</v>
      </c>
      <c r="AE5773">
        <v>-23.626479999999901</v>
      </c>
      <c r="AF5773">
        <v>0.45432544061091801</v>
      </c>
      <c r="AG5773">
        <v>-1.1197569607309901</v>
      </c>
      <c r="AH5773">
        <v>23.5692336956816</v>
      </c>
      <c r="AI5773">
        <v>92.719530644773201</v>
      </c>
      <c r="AJ5773">
        <v>88.895691425357896</v>
      </c>
      <c r="AK5773">
        <v>23.600191614873399</v>
      </c>
      <c r="AL5773">
        <v>96.323461090027294</v>
      </c>
      <c r="AM5773">
        <v>90.803028854219505</v>
      </c>
      <c r="AN5773">
        <v>0.99999997893641601</v>
      </c>
    </row>
    <row r="5774" spans="1:40" x14ac:dyDescent="0.25">
      <c r="A5774" t="str">
        <f>"20190303154925438"</f>
        <v>20190303154925438</v>
      </c>
      <c r="B5774" t="str">
        <f>"1551599365427111"</f>
        <v>1551599365427111</v>
      </c>
      <c r="C5774" t="s">
        <v>40</v>
      </c>
      <c r="D5774">
        <v>4.9491719999999999</v>
      </c>
      <c r="E5774">
        <v>0.51320980000000005</v>
      </c>
      <c r="F5774" t="s">
        <v>41</v>
      </c>
      <c r="G5774">
        <v>-422.10120000000001</v>
      </c>
      <c r="H5774" s="1">
        <v>-1.6666160000000001E-6</v>
      </c>
      <c r="I5774">
        <v>92.170829999999995</v>
      </c>
      <c r="J5774">
        <v>-422.11869999999999</v>
      </c>
      <c r="K5774">
        <v>1.1197699999999999</v>
      </c>
      <c r="L5774">
        <v>116.265</v>
      </c>
      <c r="M5774">
        <v>2.2464060000000001E-2</v>
      </c>
      <c r="N5774">
        <v>-3.9280749999999996E-3</v>
      </c>
      <c r="O5774">
        <v>-0.99974010000000002</v>
      </c>
      <c r="P5774">
        <v>3.5194860000000001E-2</v>
      </c>
      <c r="Q5774">
        <v>-0.1137136</v>
      </c>
      <c r="R5774">
        <v>-0.99289050000000001</v>
      </c>
      <c r="S5774">
        <v>2.89917E-3</v>
      </c>
      <c r="T5774">
        <v>-0.13829469999999999</v>
      </c>
      <c r="U5774">
        <v>-3.005646</v>
      </c>
      <c r="V5774">
        <v>-1.280331E-2</v>
      </c>
      <c r="W5774">
        <v>-0.1098195</v>
      </c>
      <c r="X5774">
        <v>0.99386909999999895</v>
      </c>
      <c r="Y5774">
        <v>2.1498639999999999E-2</v>
      </c>
      <c r="Z5774">
        <v>4.2016079999999997E-2</v>
      </c>
      <c r="AA5774">
        <v>0.99888560000000004</v>
      </c>
      <c r="AB5774">
        <v>24</v>
      </c>
      <c r="AC5774">
        <v>1.7499999999984001E-2</v>
      </c>
      <c r="AD5774">
        <v>-1.119771666616</v>
      </c>
      <c r="AE5774">
        <v>-24.094169999999899</v>
      </c>
      <c r="AF5774">
        <v>0.52263254580509899</v>
      </c>
      <c r="AG5774">
        <v>-1.119771666616</v>
      </c>
      <c r="AH5774">
        <v>24.036566181504199</v>
      </c>
      <c r="AI5774">
        <v>92.666633371776697</v>
      </c>
      <c r="AJ5774">
        <v>88.754401054319501</v>
      </c>
      <c r="AK5774">
        <v>24.0683100188011</v>
      </c>
      <c r="AL5774">
        <v>96.304910532025502</v>
      </c>
      <c r="AM5774">
        <v>90.738060023245296</v>
      </c>
      <c r="AN5774">
        <v>1.000000017631</v>
      </c>
    </row>
    <row r="5775" spans="1:40" x14ac:dyDescent="0.25">
      <c r="A5775" t="str">
        <f>"20190303154925452"</f>
        <v>20190303154925452</v>
      </c>
      <c r="B5775" t="str">
        <f>"1551599365446631"</f>
        <v>1551599365446631</v>
      </c>
      <c r="C5775" t="s">
        <v>40</v>
      </c>
      <c r="D5775">
        <v>4.9361110000000004</v>
      </c>
      <c r="E5775">
        <v>0.51365660000000002</v>
      </c>
      <c r="F5775" t="s">
        <v>41</v>
      </c>
      <c r="G5775">
        <v>-422.13670000000002</v>
      </c>
      <c r="H5775" s="1">
        <v>-1.4193060000000001E-6</v>
      </c>
      <c r="I5775">
        <v>91.572270000000003</v>
      </c>
      <c r="J5775">
        <v>-422.11489999999998</v>
      </c>
      <c r="K5775">
        <v>1.1197809999999999</v>
      </c>
      <c r="L5775">
        <v>116.1123</v>
      </c>
      <c r="M5775">
        <v>2.2804809999999998E-2</v>
      </c>
      <c r="N5775">
        <v>-3.985723E-3</v>
      </c>
      <c r="O5775">
        <v>-0.99973199999999995</v>
      </c>
      <c r="P5775">
        <v>3.5007199999999898E-2</v>
      </c>
      <c r="Q5775">
        <v>-0.113423</v>
      </c>
      <c r="R5775">
        <v>-0.99292990000000003</v>
      </c>
      <c r="S5775">
        <v>-2.1972659999999998E-3</v>
      </c>
      <c r="T5775">
        <v>-0.1363144</v>
      </c>
      <c r="U5775">
        <v>-3.005951</v>
      </c>
      <c r="V5775">
        <v>-1.22749E-2</v>
      </c>
      <c r="W5775">
        <v>-0.1094714</v>
      </c>
      <c r="X5775">
        <v>0.99391410000000002</v>
      </c>
      <c r="Y5775">
        <v>2.3532830000000001E-2</v>
      </c>
      <c r="Z5775">
        <v>4.1295650000000003E-2</v>
      </c>
      <c r="AA5775">
        <v>0.99886980000000003</v>
      </c>
      <c r="AB5775">
        <v>24</v>
      </c>
      <c r="AC5775">
        <v>-2.1800000000041501E-2</v>
      </c>
      <c r="AD5775">
        <v>-1.119782419306</v>
      </c>
      <c r="AE5775">
        <v>-24.540030000000002</v>
      </c>
      <c r="AF5775">
        <v>0.58022137130642404</v>
      </c>
      <c r="AG5775">
        <v>-1.119782419306</v>
      </c>
      <c r="AH5775">
        <v>24.4821746658241</v>
      </c>
      <c r="AI5775">
        <v>92.618074161102896</v>
      </c>
      <c r="AJ5775">
        <v>88.642358608919693</v>
      </c>
      <c r="AK5775">
        <v>24.514637380027199</v>
      </c>
      <c r="AL5775">
        <v>96.284845321551401</v>
      </c>
      <c r="AM5775">
        <v>90.707570413284401</v>
      </c>
      <c r="AN5775">
        <v>0.99999994938338799</v>
      </c>
    </row>
    <row r="5776" spans="1:40" x14ac:dyDescent="0.25">
      <c r="A5776" t="str">
        <f>"20190303154925466"</f>
        <v>20190303154925466</v>
      </c>
      <c r="B5776" t="str">
        <f>"1551599365456391"</f>
        <v>1551599365456391</v>
      </c>
      <c r="C5776" t="s">
        <v>40</v>
      </c>
      <c r="D5776">
        <v>4.9689050000000003</v>
      </c>
      <c r="E5776">
        <v>0.51361499999999904</v>
      </c>
      <c r="F5776" t="s">
        <v>41</v>
      </c>
      <c r="G5776">
        <v>-422.16980000000001</v>
      </c>
      <c r="H5776" s="1">
        <v>-1.1199559999999999E-6</v>
      </c>
      <c r="I5776">
        <v>90.853980000000007</v>
      </c>
      <c r="J5776">
        <v>-422.1112</v>
      </c>
      <c r="K5776">
        <v>1.1197950000000001</v>
      </c>
      <c r="L5776">
        <v>115.9628</v>
      </c>
      <c r="M5776">
        <v>2.3139070000000001E-2</v>
      </c>
      <c r="N5776">
        <v>-4.0447449999999998E-3</v>
      </c>
      <c r="O5776">
        <v>-0.99972439999999996</v>
      </c>
      <c r="P5776">
        <v>3.4650489999999999E-2</v>
      </c>
      <c r="Q5776">
        <v>-0.113498</v>
      </c>
      <c r="R5776">
        <v>-0.99293419999999999</v>
      </c>
      <c r="S5776">
        <v>-6.5307619999999999E-3</v>
      </c>
      <c r="T5776">
        <v>-0.1332825</v>
      </c>
      <c r="U5776">
        <v>-3.0063780000000002</v>
      </c>
      <c r="V5776">
        <v>-1.1584819999999999E-2</v>
      </c>
      <c r="W5776">
        <v>-0.1094873</v>
      </c>
      <c r="X5776">
        <v>0.99392069999999999</v>
      </c>
      <c r="Y5776">
        <v>2.5306680000000002E-2</v>
      </c>
      <c r="Z5776">
        <v>4.0223589999999997E-2</v>
      </c>
      <c r="AA5776">
        <v>0.99887020000000004</v>
      </c>
      <c r="AB5776">
        <v>24</v>
      </c>
      <c r="AC5776">
        <v>-5.86000000000126E-2</v>
      </c>
      <c r="AD5776">
        <v>-1.119796119956</v>
      </c>
      <c r="AE5776">
        <v>-25.108819999999898</v>
      </c>
      <c r="AF5776">
        <v>0.63831404455552199</v>
      </c>
      <c r="AG5776">
        <v>-1.119796119956</v>
      </c>
      <c r="AH5776">
        <v>25.050916280960301</v>
      </c>
      <c r="AI5776">
        <v>92.558634249083994</v>
      </c>
      <c r="AJ5776">
        <v>88.540381185594597</v>
      </c>
      <c r="AK5776">
        <v>25.084054590225801</v>
      </c>
      <c r="AL5776">
        <v>96.285761404308701</v>
      </c>
      <c r="AM5776">
        <v>90.667790937923201</v>
      </c>
      <c r="AN5776">
        <v>1.0000000174021</v>
      </c>
    </row>
    <row r="5777" spans="1:40" x14ac:dyDescent="0.25">
      <c r="A5777" t="str">
        <f>"20190303154925479"</f>
        <v>20190303154925479</v>
      </c>
      <c r="B5777" t="str">
        <f>"1551599365476887"</f>
        <v>1551599365476887</v>
      </c>
      <c r="C5777" t="s">
        <v>40</v>
      </c>
      <c r="D5777">
        <v>4.826657</v>
      </c>
      <c r="E5777">
        <v>0.50031729999999996</v>
      </c>
      <c r="F5777" t="s">
        <v>41</v>
      </c>
      <c r="G5777">
        <v>-422.17410000000001</v>
      </c>
      <c r="H5777" s="1">
        <v>-1.043468E-6</v>
      </c>
      <c r="I5777">
        <v>90.673029999999997</v>
      </c>
      <c r="J5777">
        <v>-422.10730000000001</v>
      </c>
      <c r="K5777">
        <v>1.1198079999999999</v>
      </c>
      <c r="L5777">
        <v>115.8096</v>
      </c>
      <c r="M5777">
        <v>2.3482650000000001E-2</v>
      </c>
      <c r="N5777">
        <v>-4.1084329999999999E-3</v>
      </c>
      <c r="O5777">
        <v>-0.99971600000000005</v>
      </c>
      <c r="P5777">
        <v>3.4078259999999999E-2</v>
      </c>
      <c r="Q5777">
        <v>-0.11349190000000001</v>
      </c>
      <c r="R5777">
        <v>-0.99295480000000003</v>
      </c>
      <c r="S5777">
        <v>-7.4768069999999898E-3</v>
      </c>
      <c r="T5777">
        <v>-0.13311919999999999</v>
      </c>
      <c r="U5777">
        <v>-3.0063930000000001</v>
      </c>
      <c r="V5777">
        <v>-1.066831E-2</v>
      </c>
      <c r="W5777">
        <v>-0.1094174</v>
      </c>
      <c r="X5777">
        <v>0.99393860000000001</v>
      </c>
      <c r="Y5777">
        <v>2.5964460000000002E-2</v>
      </c>
      <c r="Z5777">
        <v>4.0104649999999999E-2</v>
      </c>
      <c r="AA5777">
        <v>0.99885809999999997</v>
      </c>
      <c r="AB5777">
        <v>24</v>
      </c>
      <c r="AC5777">
        <v>-6.6800000000000595E-2</v>
      </c>
      <c r="AD5777">
        <v>-1.1198090434679999</v>
      </c>
      <c r="AE5777">
        <v>-25.136569999999899</v>
      </c>
      <c r="AF5777">
        <v>0.65575830248823297</v>
      </c>
      <c r="AG5777">
        <v>-1.1198090434679999</v>
      </c>
      <c r="AH5777">
        <v>25.0782993094994</v>
      </c>
      <c r="AI5777">
        <v>92.5558296669208</v>
      </c>
      <c r="AJ5777">
        <v>88.502146299847695</v>
      </c>
      <c r="AK5777">
        <v>25.1118515347227</v>
      </c>
      <c r="AL5777">
        <v>96.281732581656897</v>
      </c>
      <c r="AM5777">
        <v>90.614953143111705</v>
      </c>
      <c r="AN5777">
        <v>0.999999960415487</v>
      </c>
    </row>
    <row r="5778" spans="1:40" x14ac:dyDescent="0.25">
      <c r="A5778" t="str">
        <f>"20190303154925493"</f>
        <v>20190303154925493</v>
      </c>
      <c r="B5778" t="str">
        <f>"1551599365486647"</f>
        <v>1551599365486647</v>
      </c>
      <c r="C5778" t="s">
        <v>40</v>
      </c>
      <c r="D5778">
        <v>4.8106929999999997</v>
      </c>
      <c r="E5778">
        <v>0.49686999999999998</v>
      </c>
      <c r="F5778" t="s">
        <v>63</v>
      </c>
      <c r="G5778">
        <v>-418.45699999999999</v>
      </c>
      <c r="H5778">
        <v>0.65543050000000003</v>
      </c>
      <c r="I5778">
        <v>0.49308200000000002</v>
      </c>
      <c r="J5778">
        <v>-422.10340000000002</v>
      </c>
      <c r="K5778">
        <v>1.119821</v>
      </c>
      <c r="L5778">
        <v>115.6592</v>
      </c>
      <c r="M5778">
        <v>2.3822610000000001E-2</v>
      </c>
      <c r="N5778">
        <v>-4.1770059999999996E-3</v>
      </c>
      <c r="O5778">
        <v>-0.99970769999999998</v>
      </c>
      <c r="P5778">
        <v>3.2097559999999997E-2</v>
      </c>
      <c r="Q5778">
        <v>-0.1140858</v>
      </c>
      <c r="R5778">
        <v>-0.99295259999999996</v>
      </c>
      <c r="S5778">
        <v>9.5489500000000005E-2</v>
      </c>
      <c r="T5778">
        <v>-1.21485E-2</v>
      </c>
      <c r="U5778">
        <v>-3.016632</v>
      </c>
      <c r="V5778">
        <v>-8.3482969999999993E-3</v>
      </c>
      <c r="W5778">
        <v>-0.10994180000000001</v>
      </c>
      <c r="X5778">
        <v>0.99390299999999998</v>
      </c>
      <c r="Y5778">
        <v>-7.8184989999999996E-3</v>
      </c>
      <c r="Z5778">
        <v>-1.5107569999999999E-4</v>
      </c>
      <c r="AA5778">
        <v>0.99996940000000001</v>
      </c>
      <c r="AB5778">
        <v>24</v>
      </c>
      <c r="AC5778">
        <v>3.6464000000000198</v>
      </c>
      <c r="AD5778">
        <v>-0.46439049999999898</v>
      </c>
      <c r="AE5778">
        <v>-115.166118</v>
      </c>
      <c r="AF5778">
        <v>-0.90176965918799701</v>
      </c>
      <c r="AG5778">
        <v>-0.46439049999999898</v>
      </c>
      <c r="AH5778">
        <v>115.218429398545</v>
      </c>
      <c r="AI5778">
        <v>90.230923619338199</v>
      </c>
      <c r="AJ5778">
        <v>90.448422538760795</v>
      </c>
      <c r="AK5778">
        <v>115.222894079789</v>
      </c>
      <c r="AL5778">
        <v>96.311960394629295</v>
      </c>
      <c r="AM5778">
        <v>90.481245087172198</v>
      </c>
      <c r="AN5778">
        <v>1.00000003342951</v>
      </c>
    </row>
    <row r="5779" spans="1:40" x14ac:dyDescent="0.25">
      <c r="A5779" t="str">
        <f>"20190303154925509"</f>
        <v>20190303154925509</v>
      </c>
      <c r="B5779" t="str">
        <f>"1551599365496407"</f>
        <v>1551599365496407</v>
      </c>
      <c r="C5779" t="s">
        <v>40</v>
      </c>
      <c r="D5779">
        <v>4.7988540000000004</v>
      </c>
      <c r="E5779">
        <v>0.4950312</v>
      </c>
      <c r="F5779" t="s">
        <v>63</v>
      </c>
      <c r="G5779">
        <v>-417.63839999999999</v>
      </c>
      <c r="H5779">
        <v>0.91692750000000001</v>
      </c>
      <c r="I5779">
        <v>0.50140759999999995</v>
      </c>
      <c r="J5779">
        <v>-422.09910000000002</v>
      </c>
      <c r="K5779">
        <v>1.1198380000000001</v>
      </c>
      <c r="L5779">
        <v>115.4939</v>
      </c>
      <c r="M5779">
        <v>2.4197929999999999E-2</v>
      </c>
      <c r="N5779">
        <v>-4.2583200000000003E-3</v>
      </c>
      <c r="O5779">
        <v>-0.99969850000000005</v>
      </c>
      <c r="P5779">
        <v>3.1088790000000002E-2</v>
      </c>
      <c r="Q5779">
        <v>-0.1151557</v>
      </c>
      <c r="R5779">
        <v>-0.99286129999999995</v>
      </c>
      <c r="S5779">
        <v>0.11697390000000001</v>
      </c>
      <c r="T5779">
        <v>-5.316019E-3</v>
      </c>
      <c r="U5779">
        <v>-3.0169069999999998</v>
      </c>
      <c r="V5779">
        <v>-6.9660140000000004E-3</v>
      </c>
      <c r="W5779">
        <v>-0.1109303</v>
      </c>
      <c r="X5779">
        <v>0.99380380000000001</v>
      </c>
      <c r="Y5779">
        <v>-1.455205E-2</v>
      </c>
      <c r="Z5779">
        <v>-2.4957870000000002E-3</v>
      </c>
      <c r="AA5779">
        <v>0.99989099999999997</v>
      </c>
      <c r="AB5779">
        <v>24</v>
      </c>
      <c r="AC5779">
        <v>4.4607000000000303</v>
      </c>
      <c r="AD5779">
        <v>-0.20291049999999899</v>
      </c>
      <c r="AE5779">
        <v>-114.9924924</v>
      </c>
      <c r="AF5779">
        <v>-1.6767841666279799</v>
      </c>
      <c r="AG5779">
        <v>-0.20291049999999899</v>
      </c>
      <c r="AH5779">
        <v>115.066403449289</v>
      </c>
      <c r="AI5779">
        <v>90.101025744042204</v>
      </c>
      <c r="AJ5779">
        <v>90.834873199021104</v>
      </c>
      <c r="AK5779">
        <v>115.078799005581</v>
      </c>
      <c r="AL5779">
        <v>96.368945894787402</v>
      </c>
      <c r="AM5779">
        <v>90.401605091270298</v>
      </c>
      <c r="AN5779">
        <v>1.00000002485178</v>
      </c>
    </row>
    <row r="5780" spans="1:40" x14ac:dyDescent="0.25">
      <c r="A5780" t="str">
        <f>"20190303154925528"</f>
        <v>20190303154925528</v>
      </c>
      <c r="B5780" t="str">
        <f>"1551599365516902"</f>
        <v>1551599365516902</v>
      </c>
      <c r="C5780" t="s">
        <v>40</v>
      </c>
      <c r="D5780">
        <v>4.7712059999999896</v>
      </c>
      <c r="E5780">
        <v>0.49356889999999998</v>
      </c>
      <c r="F5780" t="s">
        <v>63</v>
      </c>
      <c r="G5780">
        <v>-417.1927</v>
      </c>
      <c r="H5780">
        <v>0.88302250000000004</v>
      </c>
      <c r="I5780">
        <v>0.50593949999999999</v>
      </c>
      <c r="J5780">
        <v>-422.09350000000001</v>
      </c>
      <c r="K5780">
        <v>1.1198520000000001</v>
      </c>
      <c r="L5780">
        <v>115.28570000000001</v>
      </c>
      <c r="M5780">
        <v>2.4672050000000001E-2</v>
      </c>
      <c r="N5780">
        <v>-4.3711849999999997E-3</v>
      </c>
      <c r="O5780">
        <v>-0.99968630000000003</v>
      </c>
      <c r="P5780">
        <v>2.915208E-2</v>
      </c>
      <c r="Q5780">
        <v>-0.1164269</v>
      </c>
      <c r="R5780">
        <v>-0.99277170000000003</v>
      </c>
      <c r="S5780">
        <v>0.12872310000000001</v>
      </c>
      <c r="T5780">
        <v>-6.2136650000000002E-3</v>
      </c>
      <c r="U5780">
        <v>-3.0168300000000001</v>
      </c>
      <c r="V5780">
        <v>-4.5576039999999998E-3</v>
      </c>
      <c r="W5780">
        <v>-0.1120881</v>
      </c>
      <c r="X5780">
        <v>0.99368780000000001</v>
      </c>
      <c r="Y5780">
        <v>-1.7966360000000001E-2</v>
      </c>
      <c r="Z5780">
        <v>-2.3112760000000001E-3</v>
      </c>
      <c r="AA5780">
        <v>0.9998359</v>
      </c>
      <c r="AB5780">
        <v>24</v>
      </c>
      <c r="AC5780">
        <v>4.9008000000000003</v>
      </c>
      <c r="AD5780">
        <v>-0.2368295</v>
      </c>
      <c r="AE5780">
        <v>-114.77976049999999</v>
      </c>
      <c r="AF5780">
        <v>-2.0674210616880999</v>
      </c>
      <c r="AG5780">
        <v>-0.2368295</v>
      </c>
      <c r="AH5780">
        <v>114.865246508776</v>
      </c>
      <c r="AI5780">
        <v>90.118113307866807</v>
      </c>
      <c r="AJ5780">
        <v>91.031136189653296</v>
      </c>
      <c r="AK5780">
        <v>114.884094519565</v>
      </c>
      <c r="AL5780">
        <v>96.435699561523506</v>
      </c>
      <c r="AM5780">
        <v>90.262788415857102</v>
      </c>
      <c r="AN5780">
        <v>0.99999997889233505</v>
      </c>
    </row>
    <row r="5781" spans="1:40" x14ac:dyDescent="0.25">
      <c r="A5781" t="str">
        <f>"20190303154925552"</f>
        <v>20190303154925552</v>
      </c>
      <c r="B5781" t="str">
        <f>"1551599365547158"</f>
        <v>1551599365547158</v>
      </c>
      <c r="C5781" t="s">
        <v>40</v>
      </c>
      <c r="D5781">
        <v>4.759836</v>
      </c>
      <c r="E5781">
        <v>0.49255349999999998</v>
      </c>
      <c r="F5781" t="s">
        <v>63</v>
      </c>
      <c r="G5781">
        <v>-416.98939999999999</v>
      </c>
      <c r="H5781">
        <v>0.77827609999999903</v>
      </c>
      <c r="I5781">
        <v>0.50800509999999999</v>
      </c>
      <c r="J5781">
        <v>-422.08640000000003</v>
      </c>
      <c r="K5781">
        <v>1.1198779999999999</v>
      </c>
      <c r="L5781">
        <v>115.02460000000001</v>
      </c>
      <c r="M5781">
        <v>2.5266690000000001E-2</v>
      </c>
      <c r="N5781">
        <v>-4.529145E-3</v>
      </c>
      <c r="O5781">
        <v>-0.99967059999999996</v>
      </c>
      <c r="P5781">
        <v>2.8180529999999999E-2</v>
      </c>
      <c r="Q5781">
        <v>-0.1172701</v>
      </c>
      <c r="R5781">
        <v>-0.99270049999999999</v>
      </c>
      <c r="S5781">
        <v>0.13415529999999901</v>
      </c>
      <c r="T5781">
        <v>-8.9787240000000004E-3</v>
      </c>
      <c r="U5781">
        <v>-3.0168460000000001</v>
      </c>
      <c r="V5781">
        <v>-2.9951560000000001E-3</v>
      </c>
      <c r="W5781">
        <v>-0.112773499999999</v>
      </c>
      <c r="X5781">
        <v>0.99361619999999995</v>
      </c>
      <c r="Y5781">
        <v>-1.9168259999999999E-2</v>
      </c>
      <c r="Z5781">
        <v>-1.5535970000000001E-3</v>
      </c>
      <c r="AA5781">
        <v>0.99981500000000001</v>
      </c>
      <c r="AB5781">
        <v>25</v>
      </c>
      <c r="AC5781">
        <v>5.0970000000000297</v>
      </c>
      <c r="AD5781">
        <v>-0.34160190000000001</v>
      </c>
      <c r="AE5781">
        <v>-114.5165949</v>
      </c>
      <c r="AF5781">
        <v>-2.2018685247305601</v>
      </c>
      <c r="AG5781">
        <v>-0.34160190000000001</v>
      </c>
      <c r="AH5781">
        <v>114.607802137913</v>
      </c>
      <c r="AI5781">
        <v>90.170744728431501</v>
      </c>
      <c r="AJ5781">
        <v>91.100642823716299</v>
      </c>
      <c r="AK5781">
        <v>114.629460557665</v>
      </c>
      <c r="AL5781">
        <v>96.475220579521903</v>
      </c>
      <c r="AM5781">
        <v>90.172711835820195</v>
      </c>
      <c r="AN5781">
        <v>0.99999999308207699</v>
      </c>
    </row>
    <row r="5782" spans="1:40" x14ac:dyDescent="0.25">
      <c r="A5782" t="str">
        <f>"20190303154925572"</f>
        <v>20190303154925572</v>
      </c>
      <c r="B5782" t="str">
        <f>"1551599365566678"</f>
        <v>1551599365566678</v>
      </c>
      <c r="C5782" t="s">
        <v>40</v>
      </c>
      <c r="D5782">
        <v>4.7839470000000004</v>
      </c>
      <c r="E5782">
        <v>0.49223749999999999</v>
      </c>
      <c r="F5782" t="s">
        <v>63</v>
      </c>
      <c r="G5782">
        <v>-416.8134</v>
      </c>
      <c r="H5782">
        <v>0.70843959999999995</v>
      </c>
      <c r="I5782">
        <v>0.93772319999999998</v>
      </c>
      <c r="J5782">
        <v>-422.08</v>
      </c>
      <c r="K5782">
        <v>1.1198939999999999</v>
      </c>
      <c r="L5782">
        <v>114.7927</v>
      </c>
      <c r="M5782">
        <v>2.5788499999999999E-2</v>
      </c>
      <c r="N5782">
        <v>-4.6818090000000003E-3</v>
      </c>
      <c r="O5782">
        <v>-0.99965669999999995</v>
      </c>
      <c r="P5782">
        <v>2.7378960000000001E-2</v>
      </c>
      <c r="Q5782">
        <v>-0.11809500000000001</v>
      </c>
      <c r="R5782">
        <v>-0.99262510000000004</v>
      </c>
      <c r="S5782">
        <v>0.1394348</v>
      </c>
      <c r="T5782">
        <v>-1.088047E-2</v>
      </c>
      <c r="U5782">
        <v>-3.0168300000000001</v>
      </c>
      <c r="V5782">
        <v>-1.6759839999999999E-3</v>
      </c>
      <c r="W5782">
        <v>-0.11344609999999999</v>
      </c>
      <c r="X5782">
        <v>0.9935427</v>
      </c>
      <c r="Y5782">
        <v>-2.0392649999999998E-2</v>
      </c>
      <c r="Z5782">
        <v>-1.0765589999999999E-3</v>
      </c>
      <c r="AA5782">
        <v>0.9997914</v>
      </c>
      <c r="AB5782">
        <v>25</v>
      </c>
      <c r="AC5782">
        <v>5.26659999999998</v>
      </c>
      <c r="AD5782">
        <v>-0.4114544</v>
      </c>
      <c r="AE5782">
        <v>-113.85497679999899</v>
      </c>
      <c r="AF5782">
        <v>-2.32863751831874</v>
      </c>
      <c r="AG5782">
        <v>-0.4114544</v>
      </c>
      <c r="AH5782">
        <v>113.951444405803</v>
      </c>
      <c r="AI5782">
        <v>90.2068387762871</v>
      </c>
      <c r="AJ5782">
        <v>91.170696297804696</v>
      </c>
      <c r="AK5782">
        <v>113.975977861933</v>
      </c>
      <c r="AL5782">
        <v>96.51400683736</v>
      </c>
      <c r="AM5782">
        <v>90.096650822001394</v>
      </c>
      <c r="AN5782">
        <v>0.99999996162543303</v>
      </c>
    </row>
    <row r="5783" spans="1:40" x14ac:dyDescent="0.25">
      <c r="A5783" t="str">
        <f>"20190303154925594"</f>
        <v>20190303154925594</v>
      </c>
      <c r="B5783" t="str">
        <f>"1551599365587175"</f>
        <v>1551599365587175</v>
      </c>
      <c r="C5783" t="s">
        <v>40</v>
      </c>
      <c r="D5783">
        <v>4.7639870000000002</v>
      </c>
      <c r="E5783">
        <v>0.49204409999999998</v>
      </c>
      <c r="F5783" t="s">
        <v>63</v>
      </c>
      <c r="G5783">
        <v>-416.8107</v>
      </c>
      <c r="H5783">
        <v>0.49715599999999999</v>
      </c>
      <c r="I5783">
        <v>0.94983289999999998</v>
      </c>
      <c r="J5783">
        <v>-422.07310000000001</v>
      </c>
      <c r="K5783">
        <v>1.11991</v>
      </c>
      <c r="L5783">
        <v>114.55119999999999</v>
      </c>
      <c r="M5783">
        <v>2.63141E-2</v>
      </c>
      <c r="N5783">
        <v>-4.8489919999999999E-3</v>
      </c>
      <c r="O5783">
        <v>-0.99964219999999904</v>
      </c>
      <c r="P5783">
        <v>2.701535E-2</v>
      </c>
      <c r="Q5783">
        <v>-0.1189289</v>
      </c>
      <c r="R5783">
        <v>-0.99253519999999895</v>
      </c>
      <c r="S5783">
        <v>0.13961789999999999</v>
      </c>
      <c r="T5783">
        <v>-1.6501310000000002E-2</v>
      </c>
      <c r="U5783">
        <v>-3.0164789999999999</v>
      </c>
      <c r="V5783">
        <v>-7.9425850000000001E-4</v>
      </c>
      <c r="W5783">
        <v>-0.1141137</v>
      </c>
      <c r="X5783">
        <v>0.9934674</v>
      </c>
      <c r="Y5783">
        <v>-1.9932769999999999E-2</v>
      </c>
      <c r="Z5783">
        <v>6.1796249999999996E-4</v>
      </c>
      <c r="AA5783">
        <v>0.99980119999999895</v>
      </c>
      <c r="AB5783">
        <v>25</v>
      </c>
      <c r="AC5783">
        <v>5.2624000000000102</v>
      </c>
      <c r="AD5783">
        <v>-0.62275399999999903</v>
      </c>
      <c r="AE5783">
        <v>-113.6013671</v>
      </c>
      <c r="AF5783">
        <v>-2.27115743857075</v>
      </c>
      <c r="AG5783">
        <v>-0.62275399999999903</v>
      </c>
      <c r="AH5783">
        <v>113.697096244525</v>
      </c>
      <c r="AI5783">
        <v>90.313760894616905</v>
      </c>
      <c r="AJ5783">
        <v>91.144360202511194</v>
      </c>
      <c r="AK5783">
        <v>113.721482900514</v>
      </c>
      <c r="AL5783">
        <v>96.552507134664097</v>
      </c>
      <c r="AM5783">
        <v>90.045806888274996</v>
      </c>
      <c r="AN5783">
        <v>1.0000000211185001</v>
      </c>
    </row>
    <row r="5784" spans="1:40" x14ac:dyDescent="0.25">
      <c r="A5784" t="str">
        <f>"20190303154925616"</f>
        <v>20190303154925616</v>
      </c>
      <c r="B5784" t="str">
        <f>"1551599365606694"</f>
        <v>1551599365606694</v>
      </c>
      <c r="C5784" t="s">
        <v>40</v>
      </c>
      <c r="D5784">
        <v>4.7412609999999997</v>
      </c>
      <c r="E5784">
        <v>0.49160759999999998</v>
      </c>
      <c r="F5784" t="s">
        <v>63</v>
      </c>
      <c r="G5784">
        <v>-416.78590000000003</v>
      </c>
      <c r="H5784">
        <v>0.4212553</v>
      </c>
      <c r="I5784">
        <v>1.063053</v>
      </c>
      <c r="J5784">
        <v>-422.06599999999997</v>
      </c>
      <c r="K5784">
        <v>1.1199170000000001</v>
      </c>
      <c r="L5784">
        <v>114.30240000000001</v>
      </c>
      <c r="M5784">
        <v>2.6821279999999999E-2</v>
      </c>
      <c r="N5784">
        <v>-5.028088E-3</v>
      </c>
      <c r="O5784">
        <v>-0.99962779999999996</v>
      </c>
      <c r="P5784">
        <v>2.764813E-2</v>
      </c>
      <c r="Q5784">
        <v>-0.1188453</v>
      </c>
      <c r="R5784">
        <v>-0.99252830000000003</v>
      </c>
      <c r="S5784">
        <v>0.140533399999999</v>
      </c>
      <c r="T5784">
        <v>-1.8570900000000001E-2</v>
      </c>
      <c r="U5784">
        <v>-3.0165099999999998</v>
      </c>
      <c r="V5784">
        <v>-9.2834999999999999E-4</v>
      </c>
      <c r="W5784">
        <v>-0.1138521</v>
      </c>
      <c r="X5784">
        <v>0.99349730000000003</v>
      </c>
      <c r="Y5784">
        <v>-1.9727740000000001E-2</v>
      </c>
      <c r="Z5784">
        <v>1.1241179999999999E-3</v>
      </c>
      <c r="AA5784">
        <v>0.99980469999999999</v>
      </c>
      <c r="AB5784">
        <v>25</v>
      </c>
      <c r="AC5784">
        <v>5.2800999999999396</v>
      </c>
      <c r="AD5784">
        <v>-0.69866169999999905</v>
      </c>
      <c r="AE5784">
        <v>-113.239347</v>
      </c>
      <c r="AF5784">
        <v>-2.2408532761350002</v>
      </c>
      <c r="AG5784">
        <v>-0.69866169999999905</v>
      </c>
      <c r="AH5784">
        <v>113.33592343502001</v>
      </c>
      <c r="AI5784">
        <v>90.353127557741701</v>
      </c>
      <c r="AJ5784">
        <v>91.132692132003598</v>
      </c>
      <c r="AK5784">
        <v>113.360227118884</v>
      </c>
      <c r="AL5784">
        <v>96.537420215677002</v>
      </c>
      <c r="AM5784">
        <v>90.053538667321803</v>
      </c>
      <c r="AN5784">
        <v>1.00000002380771</v>
      </c>
    </row>
    <row r="5785" spans="1:40" x14ac:dyDescent="0.25">
      <c r="A5785" t="str">
        <f>"20190303154925640"</f>
        <v>20190303154925640</v>
      </c>
      <c r="B5785" t="str">
        <f>"1551599365636951"</f>
        <v>1551599365636951</v>
      </c>
      <c r="C5785" t="s">
        <v>40</v>
      </c>
      <c r="D5785">
        <v>4.7159269999999998</v>
      </c>
      <c r="E5785">
        <v>0.49039329999999998</v>
      </c>
      <c r="F5785" t="s">
        <v>63</v>
      </c>
      <c r="G5785">
        <v>-416.5745</v>
      </c>
      <c r="H5785">
        <v>0.39799859999999998</v>
      </c>
      <c r="I5785">
        <v>1.275156</v>
      </c>
      <c r="J5785">
        <v>-422.05829999999997</v>
      </c>
      <c r="K5785">
        <v>1.119918</v>
      </c>
      <c r="L5785">
        <v>114.0365</v>
      </c>
      <c r="M5785">
        <v>2.73049E-2</v>
      </c>
      <c r="N5785">
        <v>-5.2317730000000003E-3</v>
      </c>
      <c r="O5785">
        <v>-0.99961369999999905</v>
      </c>
      <c r="P5785">
        <v>2.8336150000000001E-2</v>
      </c>
      <c r="Q5785">
        <v>-0.1183271</v>
      </c>
      <c r="R5785">
        <v>-0.99257070000000003</v>
      </c>
      <c r="S5785">
        <v>0.14654539999999999</v>
      </c>
      <c r="T5785">
        <v>-1.9265529999999999E-2</v>
      </c>
      <c r="U5785">
        <v>-3.0162049999999998</v>
      </c>
      <c r="V5785">
        <v>-1.144943E-3</v>
      </c>
      <c r="W5785">
        <v>-0.1131313</v>
      </c>
      <c r="X5785">
        <v>0.9935794</v>
      </c>
      <c r="Y5785">
        <v>-2.1236919999999999E-2</v>
      </c>
      <c r="Z5785">
        <v>1.1508740000000001E-3</v>
      </c>
      <c r="AA5785">
        <v>0.99977380000000005</v>
      </c>
      <c r="AB5785">
        <v>25</v>
      </c>
      <c r="AC5785">
        <v>5.4837999999999703</v>
      </c>
      <c r="AD5785">
        <v>-0.72191939999999999</v>
      </c>
      <c r="AE5785">
        <v>-112.76134399999999</v>
      </c>
      <c r="AF5785">
        <v>-2.4026784470110201</v>
      </c>
      <c r="AG5785">
        <v>-0.72191939999999999</v>
      </c>
      <c r="AH5785">
        <v>112.86442144492</v>
      </c>
      <c r="AI5785">
        <v>90.366395372054598</v>
      </c>
      <c r="AJ5785">
        <v>91.219538829856404</v>
      </c>
      <c r="AK5785">
        <v>112.892301152188</v>
      </c>
      <c r="AL5785">
        <v>96.495852919172094</v>
      </c>
      <c r="AM5785">
        <v>90.066024288191102</v>
      </c>
      <c r="AN5785">
        <v>1.0000000130192599</v>
      </c>
    </row>
    <row r="5786" spans="1:40" x14ac:dyDescent="0.25">
      <c r="A5786" t="str">
        <f>"20190303154925663"</f>
        <v>20190303154925663</v>
      </c>
      <c r="B5786" t="str">
        <f>"1551599365656471"</f>
        <v>1551599365656471</v>
      </c>
      <c r="C5786" t="s">
        <v>40</v>
      </c>
      <c r="D5786">
        <v>4.7107260000000002</v>
      </c>
      <c r="E5786">
        <v>0.48968279999999997</v>
      </c>
      <c r="F5786" t="s">
        <v>63</v>
      </c>
      <c r="G5786">
        <v>-416.13929999999999</v>
      </c>
      <c r="H5786">
        <v>0.38798589999999999</v>
      </c>
      <c r="I5786">
        <v>1.2768710000000001</v>
      </c>
      <c r="J5786">
        <v>-422.05099999999999</v>
      </c>
      <c r="K5786">
        <v>1.1198939999999999</v>
      </c>
      <c r="L5786">
        <v>113.7847</v>
      </c>
      <c r="M5786">
        <v>2.7676780000000002E-2</v>
      </c>
      <c r="N5786">
        <v>-5.4492610000000004E-3</v>
      </c>
      <c r="O5786">
        <v>-0.9996022</v>
      </c>
      <c r="P5786">
        <v>2.914959E-2</v>
      </c>
      <c r="Q5786">
        <v>-0.11791740000000001</v>
      </c>
      <c r="R5786">
        <v>-0.99259569999999997</v>
      </c>
      <c r="S5786">
        <v>0.15829470000000001</v>
      </c>
      <c r="T5786">
        <v>-1.957536E-2</v>
      </c>
      <c r="U5786">
        <v>-3.015625</v>
      </c>
      <c r="V5786">
        <v>-1.6022499999999999E-3</v>
      </c>
      <c r="W5786">
        <v>-0.11250540000000001</v>
      </c>
      <c r="X5786">
        <v>0.99364980000000003</v>
      </c>
      <c r="Y5786">
        <v>-2.4759280000000002E-2</v>
      </c>
      <c r="Z5786">
        <v>1.0367009999999999E-3</v>
      </c>
      <c r="AA5786">
        <v>0.9996929</v>
      </c>
      <c r="AB5786">
        <v>25</v>
      </c>
      <c r="AC5786">
        <v>5.91169999999999</v>
      </c>
      <c r="AD5786">
        <v>-0.73190809999999895</v>
      </c>
      <c r="AE5786">
        <v>-112.507829</v>
      </c>
      <c r="AF5786">
        <v>-2.7954170646038499</v>
      </c>
      <c r="AG5786">
        <v>-0.73190809999999895</v>
      </c>
      <c r="AH5786">
        <v>112.623594843642</v>
      </c>
      <c r="AI5786">
        <v>90.372228782945598</v>
      </c>
      <c r="AJ5786">
        <v>91.421839897309894</v>
      </c>
      <c r="AK5786">
        <v>112.660659333845</v>
      </c>
      <c r="AL5786">
        <v>96.459761289934207</v>
      </c>
      <c r="AM5786">
        <v>90.092388770328597</v>
      </c>
      <c r="AN5786">
        <v>0.99999997863713097</v>
      </c>
    </row>
    <row r="5787" spans="1:40" x14ac:dyDescent="0.25">
      <c r="A5787" t="str">
        <f>"20190303154925684"</f>
        <v>20190303154925684</v>
      </c>
      <c r="B5787" t="str">
        <f>"1551599365676967"</f>
        <v>1551599365676967</v>
      </c>
      <c r="C5787" t="s">
        <v>40</v>
      </c>
      <c r="D5787">
        <v>4.6947140000000003</v>
      </c>
      <c r="E5787">
        <v>0.48929509999999998</v>
      </c>
      <c r="F5787" t="s">
        <v>63</v>
      </c>
      <c r="G5787">
        <v>-415.81849999999997</v>
      </c>
      <c r="H5787">
        <v>0.36331210000000003</v>
      </c>
      <c r="I5787">
        <v>1.278141</v>
      </c>
      <c r="J5787">
        <v>-422.04379999999998</v>
      </c>
      <c r="K5787">
        <v>1.1198619999999999</v>
      </c>
      <c r="L5787">
        <v>113.536</v>
      </c>
      <c r="M5787">
        <v>2.794754E-2</v>
      </c>
      <c r="N5787">
        <v>-5.6921239999999998E-3</v>
      </c>
      <c r="O5787">
        <v>-0.99959359999999997</v>
      </c>
      <c r="P5787">
        <v>2.9811770000000001E-2</v>
      </c>
      <c r="Q5787">
        <v>-0.1185949</v>
      </c>
      <c r="R5787">
        <v>-0.99249560000000003</v>
      </c>
      <c r="S5787">
        <v>0.1670227</v>
      </c>
      <c r="T5787">
        <v>-2.0276309999999999E-2</v>
      </c>
      <c r="U5787">
        <v>-3.0150600000000001</v>
      </c>
      <c r="V5787">
        <v>-2.015785E-3</v>
      </c>
      <c r="W5787">
        <v>-0.112941899999999</v>
      </c>
      <c r="X5787">
        <v>0.99359949999999997</v>
      </c>
      <c r="Y5787">
        <v>-2.7383540000000001E-2</v>
      </c>
      <c r="Z5787">
        <v>1.0268089999999901E-3</v>
      </c>
      <c r="AA5787">
        <v>0.99962450000000003</v>
      </c>
      <c r="AB5787">
        <v>25</v>
      </c>
      <c r="AC5787">
        <v>6.2252999999999998</v>
      </c>
      <c r="AD5787">
        <v>-0.7565499</v>
      </c>
      <c r="AE5787">
        <v>-112.257859</v>
      </c>
      <c r="AF5787">
        <v>-3.0853480328318499</v>
      </c>
      <c r="AG5787">
        <v>-0.7565499</v>
      </c>
      <c r="AH5787">
        <v>112.382904558984</v>
      </c>
      <c r="AI5787">
        <v>90.385558069521196</v>
      </c>
      <c r="AJ5787">
        <v>91.572597078232107</v>
      </c>
      <c r="AK5787">
        <v>112.427794505401</v>
      </c>
      <c r="AL5787">
        <v>96.484931500874694</v>
      </c>
      <c r="AM5787">
        <v>90.116239807336001</v>
      </c>
      <c r="AN5787">
        <v>0.99999995128251196</v>
      </c>
    </row>
    <row r="5788" spans="1:40" x14ac:dyDescent="0.25">
      <c r="A5788" t="str">
        <f>"20190303154925707"</f>
        <v>20190303154925707</v>
      </c>
      <c r="B5788" t="str">
        <f>"1551599365696487"</f>
        <v>1551599365696487</v>
      </c>
      <c r="C5788" t="s">
        <v>40</v>
      </c>
      <c r="D5788">
        <v>4.6855219999999997</v>
      </c>
      <c r="E5788">
        <v>0.48894490000000002</v>
      </c>
      <c r="F5788" t="s">
        <v>63</v>
      </c>
      <c r="G5788">
        <v>-415.61180000000002</v>
      </c>
      <c r="H5788">
        <v>0.2316086</v>
      </c>
      <c r="I5788">
        <v>1.2789569999999999</v>
      </c>
      <c r="J5788">
        <v>-422.03640000000001</v>
      </c>
      <c r="K5788">
        <v>1.119828</v>
      </c>
      <c r="L5788">
        <v>113.2831</v>
      </c>
      <c r="M5788">
        <v>2.813645E-2</v>
      </c>
      <c r="N5788">
        <v>-5.9578969999999898E-3</v>
      </c>
      <c r="O5788">
        <v>-0.99958630000000004</v>
      </c>
      <c r="P5788">
        <v>3.1070110000000001E-2</v>
      </c>
      <c r="Q5788">
        <v>-0.1196653</v>
      </c>
      <c r="R5788">
        <v>-0.99232799999999999</v>
      </c>
      <c r="S5788">
        <v>0.17272950000000001</v>
      </c>
      <c r="T5788">
        <v>-2.3854609999999998E-2</v>
      </c>
      <c r="U5788">
        <v>-3.0146480000000002</v>
      </c>
      <c r="V5788">
        <v>-3.1089920000000001E-3</v>
      </c>
      <c r="W5788">
        <v>-0.1137488</v>
      </c>
      <c r="X5788">
        <v>0.99350459999999996</v>
      </c>
      <c r="Y5788">
        <v>-2.9088079999999999E-2</v>
      </c>
      <c r="Z5788">
        <v>1.9467499999999999E-3</v>
      </c>
      <c r="AA5788">
        <v>0.99957499999999999</v>
      </c>
      <c r="AB5788">
        <v>25</v>
      </c>
      <c r="AC5788">
        <v>6.4245999999999901</v>
      </c>
      <c r="AD5788">
        <v>-0.88821939999999999</v>
      </c>
      <c r="AE5788">
        <v>-112.004143</v>
      </c>
      <c r="AF5788">
        <v>-3.2703963438906798</v>
      </c>
      <c r="AG5788">
        <v>-0.88821939999999999</v>
      </c>
      <c r="AH5788">
        <v>112.133537904668</v>
      </c>
      <c r="AI5788">
        <v>90.453642419805504</v>
      </c>
      <c r="AJ5788">
        <v>91.670568943574906</v>
      </c>
      <c r="AK5788">
        <v>112.184734919535</v>
      </c>
      <c r="AL5788">
        <v>96.531463523346901</v>
      </c>
      <c r="AM5788">
        <v>90.179296138822593</v>
      </c>
      <c r="AN5788">
        <v>0.99999992277692495</v>
      </c>
    </row>
    <row r="5789" spans="1:40" x14ac:dyDescent="0.25">
      <c r="A5789" t="str">
        <f>"20190303154925730"</f>
        <v>20190303154925730</v>
      </c>
      <c r="B5789" t="str">
        <f>"1551599365716982"</f>
        <v>1551599365716982</v>
      </c>
      <c r="C5789" t="s">
        <v>40</v>
      </c>
      <c r="D5789">
        <v>4.6617249999999997</v>
      </c>
      <c r="E5789">
        <v>0.48859449999999999</v>
      </c>
      <c r="F5789" t="s">
        <v>43</v>
      </c>
      <c r="G5789">
        <v>-414.6053</v>
      </c>
      <c r="H5789">
        <v>-0.05</v>
      </c>
      <c r="I5789">
        <v>-11.58151</v>
      </c>
      <c r="J5789">
        <v>-422.0292</v>
      </c>
      <c r="K5789">
        <v>1.119804</v>
      </c>
      <c r="L5789">
        <v>113.0324</v>
      </c>
      <c r="M5789">
        <v>2.8240620000000001E-2</v>
      </c>
      <c r="N5789">
        <v>-6.2450880000000002E-3</v>
      </c>
      <c r="O5789">
        <v>-0.99958159999999896</v>
      </c>
      <c r="P5789">
        <v>3.1989400000000001E-2</v>
      </c>
      <c r="Q5789">
        <v>-0.1209848</v>
      </c>
      <c r="R5789">
        <v>-0.99213859999999998</v>
      </c>
      <c r="S5789">
        <v>0.17938229999999999</v>
      </c>
      <c r="T5789">
        <v>-2.8239130000000001E-2</v>
      </c>
      <c r="U5789">
        <v>-3.0141749999999998</v>
      </c>
      <c r="V5789">
        <v>-3.9465639999999996E-3</v>
      </c>
      <c r="W5789">
        <v>-0.1147836</v>
      </c>
      <c r="X5789">
        <v>0.99338269999999995</v>
      </c>
      <c r="Y5789">
        <v>-3.1191E-2</v>
      </c>
      <c r="Z5789">
        <v>3.1124540000000002E-3</v>
      </c>
      <c r="AA5789">
        <v>0.99950859999999997</v>
      </c>
      <c r="AB5789">
        <v>25</v>
      </c>
      <c r="AC5789">
        <v>7.4238999999999997</v>
      </c>
      <c r="AD5789">
        <v>-1.1698040000000001</v>
      </c>
      <c r="AE5789">
        <v>-124.61391</v>
      </c>
      <c r="AF5789">
        <v>-3.9013534390072202</v>
      </c>
      <c r="AG5789">
        <v>-1.1698040000000001</v>
      </c>
      <c r="AH5789">
        <v>124.762910256615</v>
      </c>
      <c r="AI5789">
        <v>90.536939428736005</v>
      </c>
      <c r="AJ5789">
        <v>91.791063312507404</v>
      </c>
      <c r="AK5789">
        <v>124.82937465098</v>
      </c>
      <c r="AL5789">
        <v>96.591143461329295</v>
      </c>
      <c r="AM5789">
        <v>90.227626544253198</v>
      </c>
      <c r="AN5789">
        <v>1.00000001942782</v>
      </c>
    </row>
    <row r="5790" spans="1:40" x14ac:dyDescent="0.25">
      <c r="A5790" t="str">
        <f>"20190303154925752"</f>
        <v>20190303154925752</v>
      </c>
      <c r="B5790" t="str">
        <f>"1551599365746263"</f>
        <v>1551599365746263</v>
      </c>
      <c r="C5790" t="s">
        <v>40</v>
      </c>
      <c r="D5790">
        <v>4.6326580000000002</v>
      </c>
      <c r="E5790">
        <v>0.48832979999999998</v>
      </c>
      <c r="F5790" t="s">
        <v>64</v>
      </c>
      <c r="G5790">
        <v>-415.83890000000002</v>
      </c>
      <c r="H5790" s="1">
        <v>-1.3194550000000001E-5</v>
      </c>
      <c r="I5790">
        <v>12.20491</v>
      </c>
      <c r="J5790">
        <v>-422.02179999999998</v>
      </c>
      <c r="K5790">
        <v>1.1197900000000001</v>
      </c>
      <c r="L5790">
        <v>112.7698</v>
      </c>
      <c r="M5790">
        <v>2.8255249999999999E-2</v>
      </c>
      <c r="N5790">
        <v>-6.5893599999999998E-3</v>
      </c>
      <c r="O5790">
        <v>-0.9995792</v>
      </c>
      <c r="P5790">
        <v>3.219313E-2</v>
      </c>
      <c r="Q5790">
        <v>-0.121670899999999</v>
      </c>
      <c r="R5790">
        <v>-0.9920485</v>
      </c>
      <c r="S5790">
        <v>0.1850281</v>
      </c>
      <c r="T5790">
        <v>-3.3471349999999997E-2</v>
      </c>
      <c r="U5790">
        <v>-3.0137330000000002</v>
      </c>
      <c r="V5790">
        <v>-4.1548180000000002E-3</v>
      </c>
      <c r="W5790">
        <v>-0.1151277</v>
      </c>
      <c r="X5790">
        <v>0.99334199999999995</v>
      </c>
      <c r="Y5790">
        <v>-3.3049830000000002E-2</v>
      </c>
      <c r="Z5790">
        <v>4.5019860000000004E-3</v>
      </c>
      <c r="AA5790">
        <v>0.99944359999999999</v>
      </c>
      <c r="AB5790">
        <v>25</v>
      </c>
      <c r="AC5790">
        <v>6.1828999999999601</v>
      </c>
      <c r="AD5790">
        <v>-1.11980319455</v>
      </c>
      <c r="AE5790">
        <v>-100.56489000000001</v>
      </c>
      <c r="AF5790">
        <v>-3.3384716386696698</v>
      </c>
      <c r="AG5790">
        <v>-1.11980319455</v>
      </c>
      <c r="AH5790">
        <v>100.68700266895</v>
      </c>
      <c r="AI5790">
        <v>90.636846021256702</v>
      </c>
      <c r="AJ5790">
        <v>91.899056276822293</v>
      </c>
      <c r="AK5790">
        <v>100.748557600265</v>
      </c>
      <c r="AL5790">
        <v>96.610990711771294</v>
      </c>
      <c r="AM5790">
        <v>90.239647722370293</v>
      </c>
      <c r="AN5790">
        <v>0.99999998939195101</v>
      </c>
    </row>
    <row r="5791" spans="1:40" x14ac:dyDescent="0.25">
      <c r="A5791" t="str">
        <f>"20190303154925773"</f>
        <v>20190303154925773</v>
      </c>
      <c r="B5791" t="str">
        <f>"1551599365766759"</f>
        <v>1551599365766759</v>
      </c>
      <c r="C5791" t="s">
        <v>40</v>
      </c>
      <c r="D5791">
        <v>4.6183230000000002</v>
      </c>
      <c r="E5791">
        <v>0.48824329999999999</v>
      </c>
      <c r="F5791" t="s">
        <v>64</v>
      </c>
      <c r="G5791">
        <v>-416.07350000000002</v>
      </c>
      <c r="H5791" s="1">
        <v>-1.214612E-5</v>
      </c>
      <c r="I5791">
        <v>17.506959999999999</v>
      </c>
      <c r="J5791">
        <v>-422.01499999999999</v>
      </c>
      <c r="K5791">
        <v>1.1197900000000001</v>
      </c>
      <c r="L5791">
        <v>112.5257</v>
      </c>
      <c r="M5791">
        <v>2.816915E-2</v>
      </c>
      <c r="N5791">
        <v>-6.9706769999999998E-3</v>
      </c>
      <c r="O5791">
        <v>-0.999579</v>
      </c>
      <c r="P5791">
        <v>3.2144350000000002E-2</v>
      </c>
      <c r="Q5791">
        <v>-0.12307029999999999</v>
      </c>
      <c r="R5791">
        <v>-0.99187740000000002</v>
      </c>
      <c r="S5791">
        <v>0.18817139999999999</v>
      </c>
      <c r="T5791">
        <v>-3.5424589999999999E-2</v>
      </c>
      <c r="U5791">
        <v>-3.013611</v>
      </c>
      <c r="V5791">
        <v>-4.2125740000000002E-3</v>
      </c>
      <c r="W5791">
        <v>-0.1161489</v>
      </c>
      <c r="X5791">
        <v>0.99322290000000002</v>
      </c>
      <c r="Y5791">
        <v>-3.4176409999999997E-2</v>
      </c>
      <c r="Z5791">
        <v>4.7678460000000001E-3</v>
      </c>
      <c r="AA5791">
        <v>0.99940439999999997</v>
      </c>
      <c r="AB5791">
        <v>25</v>
      </c>
      <c r="AC5791">
        <v>5.9414999999999596</v>
      </c>
      <c r="AD5791">
        <v>-1.1198021461200001</v>
      </c>
      <c r="AE5791">
        <v>-95.018739999999994</v>
      </c>
      <c r="AF5791">
        <v>-3.26202902250219</v>
      </c>
      <c r="AG5791">
        <v>-1.1198021461200001</v>
      </c>
      <c r="AH5791">
        <v>95.135241350132702</v>
      </c>
      <c r="AI5791">
        <v>90.673980487895705</v>
      </c>
      <c r="AJ5791">
        <v>91.963807511668605</v>
      </c>
      <c r="AK5791">
        <v>95.197735986409398</v>
      </c>
      <c r="AL5791">
        <v>96.669896128835205</v>
      </c>
      <c r="AM5791">
        <v>90.243008154391902</v>
      </c>
      <c r="AN5791">
        <v>1.00000002091766</v>
      </c>
    </row>
    <row r="5792" spans="1:40" x14ac:dyDescent="0.25">
      <c r="A5792" t="str">
        <f>"20190303154925795"</f>
        <v>20190303154925795</v>
      </c>
      <c r="B5792" t="str">
        <f>"1551599365786921"</f>
        <v>1551599365786921</v>
      </c>
      <c r="C5792" t="s">
        <v>40</v>
      </c>
      <c r="D5792">
        <v>4.5995559999999998</v>
      </c>
      <c r="E5792">
        <v>0.48820819999999998</v>
      </c>
      <c r="F5792" t="s">
        <v>64</v>
      </c>
      <c r="G5792">
        <v>-416.73579999999998</v>
      </c>
      <c r="H5792" s="1">
        <v>-8.2923459999999994E-6</v>
      </c>
      <c r="I5792">
        <v>28.500250000000001</v>
      </c>
      <c r="J5792">
        <v>-422.00810000000001</v>
      </c>
      <c r="K5792">
        <v>1.1198049999999999</v>
      </c>
      <c r="L5792">
        <v>112.27970000000001</v>
      </c>
      <c r="M5792">
        <v>2.7979259999999999E-2</v>
      </c>
      <c r="N5792">
        <v>-7.4345979999999997E-3</v>
      </c>
      <c r="O5792">
        <v>-0.99958100000000005</v>
      </c>
      <c r="P5792">
        <v>3.1967280000000001E-2</v>
      </c>
      <c r="Q5792">
        <v>-0.1237742</v>
      </c>
      <c r="R5792">
        <v>-0.9917956</v>
      </c>
      <c r="S5792">
        <v>0.1893311</v>
      </c>
      <c r="T5792">
        <v>-4.0160059999999997E-2</v>
      </c>
      <c r="U5792">
        <v>-3.013458</v>
      </c>
      <c r="V5792">
        <v>-4.2446569999999998E-3</v>
      </c>
      <c r="W5792">
        <v>-0.11639190000000001</v>
      </c>
      <c r="X5792">
        <v>0.99319429999999997</v>
      </c>
      <c r="Y5792">
        <v>-3.4751579999999997E-2</v>
      </c>
      <c r="Z5792">
        <v>5.8729799999999999E-3</v>
      </c>
      <c r="AA5792">
        <v>0.99937869999999995</v>
      </c>
      <c r="AB5792">
        <v>25</v>
      </c>
      <c r="AC5792">
        <v>5.2723000000000297</v>
      </c>
      <c r="AD5792">
        <v>-1.119813292346</v>
      </c>
      <c r="AE5792">
        <v>-83.779449999999997</v>
      </c>
      <c r="AF5792">
        <v>-2.9255637331178699</v>
      </c>
      <c r="AG5792">
        <v>-1.119813292346</v>
      </c>
      <c r="AH5792">
        <v>83.879241604216602</v>
      </c>
      <c r="AI5792">
        <v>90.764405827996299</v>
      </c>
      <c r="AJ5792">
        <v>91.997568532715206</v>
      </c>
      <c r="AK5792">
        <v>83.9377154625071</v>
      </c>
      <c r="AL5792">
        <v>96.683914188450302</v>
      </c>
      <c r="AM5792">
        <v>90.244865935012399</v>
      </c>
      <c r="AN5792">
        <v>1.0000000045255699</v>
      </c>
    </row>
    <row r="5793" spans="1:40" x14ac:dyDescent="0.25">
      <c r="A5793" t="str">
        <f>"20190303154925818"</f>
        <v>20190303154925818</v>
      </c>
      <c r="B5793" t="str">
        <f>"1551599365806441"</f>
        <v>1551599365806441</v>
      </c>
      <c r="C5793" t="s">
        <v>40</v>
      </c>
      <c r="D5793">
        <v>4.6184539999999998</v>
      </c>
      <c r="E5793">
        <v>0.48816789999999999</v>
      </c>
      <c r="F5793" t="s">
        <v>64</v>
      </c>
      <c r="G5793">
        <v>-416.99130000000002</v>
      </c>
      <c r="H5793" s="1">
        <v>-4.921651E-6</v>
      </c>
      <c r="I5793">
        <v>32.482349999999997</v>
      </c>
      <c r="J5793">
        <v>-422.00099999999998</v>
      </c>
      <c r="K5793">
        <v>1.119828</v>
      </c>
      <c r="L5793">
        <v>112.01649999999999</v>
      </c>
      <c r="M5793">
        <v>2.7672059999999998E-2</v>
      </c>
      <c r="N5793">
        <v>-8.0298369999999997E-3</v>
      </c>
      <c r="O5793">
        <v>-0.9995849</v>
      </c>
      <c r="P5793">
        <v>3.1805800000000002E-2</v>
      </c>
      <c r="Q5793">
        <v>-0.12501880000000001</v>
      </c>
      <c r="R5793">
        <v>-0.99164479999999999</v>
      </c>
      <c r="S5793">
        <v>0.18945310000000001</v>
      </c>
      <c r="T5793">
        <v>-4.2287949999999998E-2</v>
      </c>
      <c r="U5793">
        <v>-3.0134280000000002</v>
      </c>
      <c r="V5793">
        <v>-4.4133879999999999E-3</v>
      </c>
      <c r="W5793">
        <v>-0.1170457</v>
      </c>
      <c r="X5793">
        <v>0.99311669999999996</v>
      </c>
      <c r="Y5793">
        <v>-3.5099089999999999E-2</v>
      </c>
      <c r="Z5793">
        <v>5.9830630000000003E-3</v>
      </c>
      <c r="AA5793">
        <v>0.99936590000000003</v>
      </c>
      <c r="AB5793">
        <v>25</v>
      </c>
      <c r="AC5793">
        <v>5.0096999999999499</v>
      </c>
      <c r="AD5793">
        <v>-1.1198329216509999</v>
      </c>
      <c r="AE5793">
        <v>-79.534149999999997</v>
      </c>
      <c r="AF5793">
        <v>-2.8062827934899599</v>
      </c>
      <c r="AG5793">
        <v>-1.1198329216509999</v>
      </c>
      <c r="AH5793">
        <v>79.626600946640593</v>
      </c>
      <c r="AI5793">
        <v>90.805229258991901</v>
      </c>
      <c r="AJ5793">
        <v>92.018441547495897</v>
      </c>
      <c r="AK5793">
        <v>79.683905697480697</v>
      </c>
      <c r="AL5793">
        <v>96.721632157463702</v>
      </c>
      <c r="AM5793">
        <v>90.254619463297303</v>
      </c>
      <c r="AN5793">
        <v>0.99999997685050901</v>
      </c>
    </row>
    <row r="5794" spans="1:40" x14ac:dyDescent="0.25">
      <c r="A5794" t="str">
        <f>"20190303154925841"</f>
        <v>20190303154925841</v>
      </c>
      <c r="B5794" t="str">
        <f>"1551599365836697"</f>
        <v>1551599365836697</v>
      </c>
      <c r="C5794" t="s">
        <v>40</v>
      </c>
      <c r="D5794">
        <v>4.6103120000000004</v>
      </c>
      <c r="E5794">
        <v>0.48815459999999999</v>
      </c>
      <c r="F5794" t="s">
        <v>64</v>
      </c>
      <c r="G5794">
        <v>-417.36020000000002</v>
      </c>
      <c r="H5794" s="1">
        <v>-1.7192650000000001E-6</v>
      </c>
      <c r="I5794">
        <v>37.996339999999996</v>
      </c>
      <c r="J5794">
        <v>-421.99439999999998</v>
      </c>
      <c r="K5794">
        <v>1.119861</v>
      </c>
      <c r="L5794">
        <v>111.7619</v>
      </c>
      <c r="M5794">
        <v>2.7289870000000001E-2</v>
      </c>
      <c r="N5794">
        <v>-8.6852049999999997E-3</v>
      </c>
      <c r="O5794">
        <v>-0.99958979999999997</v>
      </c>
      <c r="P5794">
        <v>3.1151410000000001E-2</v>
      </c>
      <c r="Q5794">
        <v>-0.1258388</v>
      </c>
      <c r="R5794">
        <v>-0.99156140000000004</v>
      </c>
      <c r="S5794">
        <v>0.1889343</v>
      </c>
      <c r="T5794">
        <v>-4.5590159999999998E-2</v>
      </c>
      <c r="U5794">
        <v>-3.0134889999999999</v>
      </c>
      <c r="V5794">
        <v>-4.1609000000000004E-3</v>
      </c>
      <c r="W5794">
        <v>-0.1172151</v>
      </c>
      <c r="X5794">
        <v>0.99309780000000003</v>
      </c>
      <c r="Y5794">
        <v>-3.5307690000000003E-2</v>
      </c>
      <c r="Z5794">
        <v>6.4216200000000003E-3</v>
      </c>
      <c r="AA5794">
        <v>0.99935589999999996</v>
      </c>
      <c r="AB5794">
        <v>25</v>
      </c>
      <c r="AC5794">
        <v>4.6341999999999599</v>
      </c>
      <c r="AD5794">
        <v>-1.1198627192649999</v>
      </c>
      <c r="AE5794">
        <v>-73.765559999999994</v>
      </c>
      <c r="AF5794">
        <v>-2.6187442033252899</v>
      </c>
      <c r="AG5794">
        <v>-1.1198627192649999</v>
      </c>
      <c r="AH5794">
        <v>73.847603271642299</v>
      </c>
      <c r="AI5794">
        <v>90.868250165563595</v>
      </c>
      <c r="AJ5794">
        <v>92.030941255316705</v>
      </c>
      <c r="AK5794">
        <v>73.902506200252205</v>
      </c>
      <c r="AL5794">
        <v>96.731405405584994</v>
      </c>
      <c r="AM5794">
        <v>90.240057539121196</v>
      </c>
      <c r="AN5794">
        <v>0.99999996656082901</v>
      </c>
    </row>
    <row r="5795" spans="1:40" x14ac:dyDescent="0.25">
      <c r="A5795" t="str">
        <f>"20190303154925855"</f>
        <v>20190303154925855</v>
      </c>
      <c r="B5795" t="str">
        <f>"1551599365846458"</f>
        <v>1551599365846458</v>
      </c>
      <c r="C5795" t="s">
        <v>40</v>
      </c>
      <c r="D5795">
        <v>4.5839349999999897</v>
      </c>
      <c r="E5795">
        <v>0.4881103</v>
      </c>
      <c r="F5795" t="s">
        <v>41</v>
      </c>
      <c r="G5795">
        <v>-417.57209999999998</v>
      </c>
      <c r="H5795" s="1">
        <v>-9.5511770000000001E-7</v>
      </c>
      <c r="I5795">
        <v>40.556399999999996</v>
      </c>
      <c r="J5795">
        <v>-421.99009999999998</v>
      </c>
      <c r="K5795">
        <v>1.119885</v>
      </c>
      <c r="L5795">
        <v>111.59269999999999</v>
      </c>
      <c r="M5795">
        <v>2.6986900000000001E-2</v>
      </c>
      <c r="N5795">
        <v>-9.1374249999999994E-3</v>
      </c>
      <c r="O5795">
        <v>-0.99959419999999999</v>
      </c>
      <c r="P5795">
        <v>3.1071100000000001E-2</v>
      </c>
      <c r="Q5795">
        <v>-0.1265713</v>
      </c>
      <c r="R5795">
        <v>-0.99147099999999999</v>
      </c>
      <c r="S5795">
        <v>0.18716430000000001</v>
      </c>
      <c r="T5795">
        <v>-4.739583E-2</v>
      </c>
      <c r="U5795">
        <v>-3.0136259999999999</v>
      </c>
      <c r="V5795">
        <v>-4.3961030000000002E-3</v>
      </c>
      <c r="W5795">
        <v>-0.1174987</v>
      </c>
      <c r="X5795">
        <v>0.99306329999999998</v>
      </c>
      <c r="Y5795">
        <v>-3.5022579999999998E-2</v>
      </c>
      <c r="Z5795">
        <v>6.5673969999999896E-3</v>
      </c>
      <c r="AA5795">
        <v>0.99936499999999995</v>
      </c>
      <c r="AB5795">
        <v>25</v>
      </c>
      <c r="AC5795">
        <v>4.4180000000000001</v>
      </c>
      <c r="AD5795">
        <v>-1.1198859551177001</v>
      </c>
      <c r="AE5795">
        <v>-71.036299999999997</v>
      </c>
      <c r="AF5795">
        <v>-2.4986429442499101</v>
      </c>
      <c r="AG5795">
        <v>-1.1198859551177001</v>
      </c>
      <c r="AH5795">
        <v>71.112052896867397</v>
      </c>
      <c r="AI5795">
        <v>90.901673773753799</v>
      </c>
      <c r="AJ5795">
        <v>92.012356805403499</v>
      </c>
      <c r="AK5795">
        <v>71.1647484947582</v>
      </c>
      <c r="AL5795">
        <v>96.747767368812603</v>
      </c>
      <c r="AM5795">
        <v>90.253635899042294</v>
      </c>
      <c r="AN5795">
        <v>0.99999999401508299</v>
      </c>
    </row>
    <row r="5796" spans="1:40" x14ac:dyDescent="0.25">
      <c r="A5796" t="str">
        <f>"20190303154925874"</f>
        <v>20190303154925874</v>
      </c>
      <c r="B5796" t="str">
        <f>"1551599365866959"</f>
        <v>1551599365866959</v>
      </c>
      <c r="C5796" t="s">
        <v>40</v>
      </c>
      <c r="D5796">
        <v>4.5922910000000003</v>
      </c>
      <c r="E5796">
        <v>0.46643649999999998</v>
      </c>
      <c r="F5796" t="s">
        <v>41</v>
      </c>
      <c r="G5796">
        <v>-417.71719999999999</v>
      </c>
      <c r="H5796" s="1">
        <v>-1.8424670000000001E-6</v>
      </c>
      <c r="I5796">
        <v>42.983719999999998</v>
      </c>
      <c r="J5796">
        <v>-421.98480000000001</v>
      </c>
      <c r="K5796">
        <v>1.1199170000000001</v>
      </c>
      <c r="L5796">
        <v>111.3807</v>
      </c>
      <c r="M5796">
        <v>2.657282E-2</v>
      </c>
      <c r="N5796">
        <v>-9.6901910000000008E-3</v>
      </c>
      <c r="O5796">
        <v>-0.99960000000000004</v>
      </c>
      <c r="P5796">
        <v>3.082408E-2</v>
      </c>
      <c r="Q5796">
        <v>-0.1274303</v>
      </c>
      <c r="R5796">
        <v>-0.99136869999999999</v>
      </c>
      <c r="S5796">
        <v>0.18768309999999999</v>
      </c>
      <c r="T5796">
        <v>-4.9190879999999999E-2</v>
      </c>
      <c r="U5796">
        <v>-3.0136409999999998</v>
      </c>
      <c r="V5796">
        <v>-4.576348E-3</v>
      </c>
      <c r="W5796">
        <v>-0.1178091</v>
      </c>
      <c r="X5796">
        <v>0.99302570000000001</v>
      </c>
      <c r="Y5796">
        <v>-3.560696E-2</v>
      </c>
      <c r="Z5796">
        <v>6.6093109999999997E-3</v>
      </c>
      <c r="AA5796">
        <v>0.99934400000000001</v>
      </c>
      <c r="AB5796">
        <v>25</v>
      </c>
      <c r="AC5796">
        <v>4.2676000000000096</v>
      </c>
      <c r="AD5796">
        <v>-1.1199188424669999</v>
      </c>
      <c r="AE5796">
        <v>-68.396979999999999</v>
      </c>
      <c r="AF5796">
        <v>-2.4478533399128102</v>
      </c>
      <c r="AG5796">
        <v>-1.1199188424669999</v>
      </c>
      <c r="AH5796">
        <v>68.467947719958104</v>
      </c>
      <c r="AI5796">
        <v>90.9364957647973</v>
      </c>
      <c r="AJ5796">
        <v>92.047555966013505</v>
      </c>
      <c r="AK5796">
        <v>68.520844048875702</v>
      </c>
      <c r="AL5796">
        <v>96.765676431528405</v>
      </c>
      <c r="AM5796">
        <v>90.264045099489607</v>
      </c>
      <c r="AN5796">
        <v>0.99999998393215805</v>
      </c>
    </row>
    <row r="5797" spans="1:40" x14ac:dyDescent="0.25">
      <c r="A5797" t="str">
        <f>"20190303154925895"</f>
        <v>20190303154925895</v>
      </c>
      <c r="B5797" t="str">
        <f>"1551599365886286"</f>
        <v>1551599365886286</v>
      </c>
      <c r="C5797" t="s">
        <v>40</v>
      </c>
      <c r="D5797">
        <v>4.6169529999999996</v>
      </c>
      <c r="E5797">
        <v>0.45771689999999998</v>
      </c>
      <c r="F5797" t="s">
        <v>64</v>
      </c>
      <c r="G5797">
        <v>-410.94060000000002</v>
      </c>
      <c r="H5797" s="1">
        <v>-1.025269E-5</v>
      </c>
      <c r="I5797">
        <v>18.933620000000001</v>
      </c>
      <c r="J5797">
        <v>-421.97899999999998</v>
      </c>
      <c r="K5797">
        <v>1.11995</v>
      </c>
      <c r="L5797">
        <v>111.14060000000001</v>
      </c>
      <c r="M5797">
        <v>2.6058000000000001E-2</v>
      </c>
      <c r="N5797">
        <v>-1.028198E-2</v>
      </c>
      <c r="O5797">
        <v>-0.99960749999999998</v>
      </c>
      <c r="P5797">
        <v>3.1533390000000001E-2</v>
      </c>
      <c r="Q5797">
        <v>-0.1282295</v>
      </c>
      <c r="R5797">
        <v>-0.99124310000000004</v>
      </c>
      <c r="S5797">
        <v>0.35961910000000002</v>
      </c>
      <c r="T5797">
        <v>-3.646696E-2</v>
      </c>
      <c r="U5797">
        <v>-3.0102540000000002</v>
      </c>
      <c r="V5797">
        <v>-5.8101699999999999E-3</v>
      </c>
      <c r="W5797">
        <v>-0.11802</v>
      </c>
      <c r="X5797">
        <v>0.99299420000000005</v>
      </c>
      <c r="Y5797">
        <v>-9.2694799999999994E-2</v>
      </c>
      <c r="Z5797">
        <v>1.7723839999999999E-3</v>
      </c>
      <c r="AA5797">
        <v>0.99569300000000005</v>
      </c>
      <c r="AB5797">
        <v>25</v>
      </c>
      <c r="AC5797">
        <v>11.038399999999999</v>
      </c>
      <c r="AD5797">
        <v>-1.1199602526899901</v>
      </c>
      <c r="AE5797">
        <v>-92.206980000000001</v>
      </c>
      <c r="AF5797">
        <v>-8.6305394259431001</v>
      </c>
      <c r="AG5797">
        <v>-1.1199602526899901</v>
      </c>
      <c r="AH5797">
        <v>92.4498737141097</v>
      </c>
      <c r="AI5797">
        <v>90.691056630698796</v>
      </c>
      <c r="AJ5797">
        <v>95.333316739976595</v>
      </c>
      <c r="AK5797">
        <v>92.858600417544494</v>
      </c>
      <c r="AL5797">
        <v>96.777845030466295</v>
      </c>
      <c r="AM5797">
        <v>90.335243066159094</v>
      </c>
      <c r="AN5797">
        <v>0.99999997985453404</v>
      </c>
    </row>
    <row r="5798" spans="1:40" x14ac:dyDescent="0.25">
      <c r="A5798" t="str">
        <f>"20190303154925918"</f>
        <v>20190303154925918</v>
      </c>
      <c r="B5798" t="str">
        <f>"1551599365906792"</f>
        <v>1551599365906792</v>
      </c>
      <c r="C5798" t="s">
        <v>40</v>
      </c>
      <c r="D5798">
        <v>4.5655559999999999</v>
      </c>
      <c r="E5798">
        <v>0.4539706</v>
      </c>
      <c r="F5798" t="s">
        <v>41</v>
      </c>
      <c r="G5798">
        <v>-415.75290000000001</v>
      </c>
      <c r="H5798" s="1">
        <v>-4.232098E-6</v>
      </c>
      <c r="I5798">
        <v>67.741769999999903</v>
      </c>
      <c r="J5798">
        <v>-421.97300000000001</v>
      </c>
      <c r="K5798">
        <v>1.119996</v>
      </c>
      <c r="L5798">
        <v>110.8877</v>
      </c>
      <c r="M5798">
        <v>2.5475899999999999E-2</v>
      </c>
      <c r="N5798">
        <v>-1.085361E-2</v>
      </c>
      <c r="O5798">
        <v>-0.99961659999999997</v>
      </c>
      <c r="P5798">
        <v>3.1773089999999997E-2</v>
      </c>
      <c r="Q5798">
        <v>-0.12819739999999999</v>
      </c>
      <c r="R5798">
        <v>-0.99123969999999995</v>
      </c>
      <c r="S5798">
        <v>0.43078610000000001</v>
      </c>
      <c r="T5798">
        <v>-7.7489970000000005E-2</v>
      </c>
      <c r="U5798">
        <v>-3.002777</v>
      </c>
      <c r="V5798">
        <v>-6.6331069999999897E-3</v>
      </c>
      <c r="W5798">
        <v>-0.1174191</v>
      </c>
      <c r="X5798">
        <v>0.99306030000000001</v>
      </c>
      <c r="Y5798">
        <v>-0.116705</v>
      </c>
      <c r="Z5798">
        <v>1.4734209999999999E-2</v>
      </c>
      <c r="AA5798">
        <v>0.99305730000000003</v>
      </c>
      <c r="AB5798">
        <v>25</v>
      </c>
      <c r="AC5798">
        <v>6.2201000000000004</v>
      </c>
      <c r="AD5798">
        <v>-1.120000232098</v>
      </c>
      <c r="AE5798">
        <v>-43.14593</v>
      </c>
      <c r="AF5798">
        <v>-5.1154580756579602</v>
      </c>
      <c r="AG5798">
        <v>-1.120000232098</v>
      </c>
      <c r="AH5798">
        <v>43.261838717185803</v>
      </c>
      <c r="AI5798">
        <v>91.472736524468104</v>
      </c>
      <c r="AJ5798">
        <v>96.743576568755699</v>
      </c>
      <c r="AK5798">
        <v>43.577620415019297</v>
      </c>
      <c r="AL5798">
        <v>96.743174784720097</v>
      </c>
      <c r="AM5798">
        <v>90.382699201975001</v>
      </c>
      <c r="AN5798">
        <v>1.0000000012946799</v>
      </c>
    </row>
    <row r="5799" spans="1:40" x14ac:dyDescent="0.25">
      <c r="A5799" t="str">
        <f>"20190303154925941"</f>
        <v>20190303154925941</v>
      </c>
      <c r="B5799" t="str">
        <f>"1551599365937037"</f>
        <v>1551599365937037</v>
      </c>
      <c r="C5799" t="s">
        <v>40</v>
      </c>
      <c r="D5799">
        <v>4.5343249999999999</v>
      </c>
      <c r="E5799">
        <v>0.4524803</v>
      </c>
      <c r="F5799" t="s">
        <v>41</v>
      </c>
      <c r="G5799">
        <v>-416.48180000000002</v>
      </c>
      <c r="H5799" s="1">
        <v>-3.028076E-6</v>
      </c>
      <c r="I5799">
        <v>75.236580000000004</v>
      </c>
      <c r="J5799">
        <v>-421.96710000000002</v>
      </c>
      <c r="K5799">
        <v>1.120036</v>
      </c>
      <c r="L5799">
        <v>110.6264</v>
      </c>
      <c r="M5799">
        <v>2.4849179999999998E-2</v>
      </c>
      <c r="N5799">
        <v>-1.138455E-2</v>
      </c>
      <c r="O5799">
        <v>-0.99962669999999998</v>
      </c>
      <c r="P5799">
        <v>3.1349179999999997E-2</v>
      </c>
      <c r="Q5799">
        <v>-0.12834180000000001</v>
      </c>
      <c r="R5799">
        <v>-0.99123479999999997</v>
      </c>
      <c r="S5799">
        <v>0.46200560000000002</v>
      </c>
      <c r="T5799">
        <v>-9.4231720000000005E-2</v>
      </c>
      <c r="U5799">
        <v>-2.9995270000000001</v>
      </c>
      <c r="V5799">
        <v>-6.8332459999999899E-3</v>
      </c>
      <c r="W5799">
        <v>-0.117036</v>
      </c>
      <c r="X5799">
        <v>0.99310419999999999</v>
      </c>
      <c r="Y5799">
        <v>-0.1275626</v>
      </c>
      <c r="Z5799">
        <v>1.9714840000000001E-2</v>
      </c>
      <c r="AA5799">
        <v>0.99163449999999997</v>
      </c>
      <c r="AB5799">
        <v>25</v>
      </c>
      <c r="AC5799">
        <v>5.4852999999999899</v>
      </c>
      <c r="AD5799">
        <v>-1.120039028076</v>
      </c>
      <c r="AE5799">
        <v>-35.38982</v>
      </c>
      <c r="AF5799">
        <v>-4.59964218002479</v>
      </c>
      <c r="AG5799">
        <v>-1.120039028076</v>
      </c>
      <c r="AH5799">
        <v>35.480499842509801</v>
      </c>
      <c r="AI5799">
        <v>91.793102668286394</v>
      </c>
      <c r="AJ5799">
        <v>97.386548387971004</v>
      </c>
      <c r="AK5799">
        <v>35.794930712085701</v>
      </c>
      <c r="AL5799">
        <v>96.721072147539999</v>
      </c>
      <c r="AM5799">
        <v>90.394228498590493</v>
      </c>
      <c r="AN5799">
        <v>1.00000003530226</v>
      </c>
    </row>
    <row r="5800" spans="1:40" x14ac:dyDescent="0.25">
      <c r="A5800" t="str">
        <f>"20190303154925963"</f>
        <v>20190303154925963</v>
      </c>
      <c r="B5800" t="str">
        <f>"1551599365956557"</f>
        <v>1551599365956557</v>
      </c>
      <c r="C5800" t="s">
        <v>40</v>
      </c>
      <c r="D5800">
        <v>4.5329259999999998</v>
      </c>
      <c r="E5800">
        <v>0.45199889999999998</v>
      </c>
      <c r="F5800" t="s">
        <v>41</v>
      </c>
      <c r="G5800">
        <v>-416.7638</v>
      </c>
      <c r="H5800" s="1">
        <v>-3.9951540000000003E-6</v>
      </c>
      <c r="I5800">
        <v>77.60745</v>
      </c>
      <c r="J5800">
        <v>-421.96159999999998</v>
      </c>
      <c r="K5800">
        <v>1.120061</v>
      </c>
      <c r="L5800">
        <v>110.3792</v>
      </c>
      <c r="M5800">
        <v>2.4250600000000001E-2</v>
      </c>
      <c r="N5800">
        <v>-1.182863E-2</v>
      </c>
      <c r="O5800">
        <v>-0.99963619999999997</v>
      </c>
      <c r="P5800">
        <v>3.0601690000000001E-2</v>
      </c>
      <c r="Q5800">
        <v>-0.12897629999999999</v>
      </c>
      <c r="R5800">
        <v>-0.99117560000000005</v>
      </c>
      <c r="S5800">
        <v>0.47250370000000003</v>
      </c>
      <c r="T5800">
        <v>-0.1017096</v>
      </c>
      <c r="U5800">
        <v>-2.9984130000000002</v>
      </c>
      <c r="V5800">
        <v>-6.6810819999999996E-3</v>
      </c>
      <c r="W5800">
        <v>-0.1172306</v>
      </c>
      <c r="X5800">
        <v>0.99308220000000003</v>
      </c>
      <c r="Y5800">
        <v>-0.1315894</v>
      </c>
      <c r="Z5800">
        <v>2.1730840000000001E-2</v>
      </c>
      <c r="AA5800">
        <v>0.99106609999999995</v>
      </c>
      <c r="AB5800">
        <v>25</v>
      </c>
      <c r="AC5800">
        <v>5.1977999999999698</v>
      </c>
      <c r="AD5800">
        <v>-1.120064995154</v>
      </c>
      <c r="AE5800">
        <v>-32.771749999999997</v>
      </c>
      <c r="AF5800">
        <v>-4.3964715984564604</v>
      </c>
      <c r="AG5800">
        <v>-1.120064995154</v>
      </c>
      <c r="AH5800">
        <v>32.850737452745499</v>
      </c>
      <c r="AI5800">
        <v>91.935533070566095</v>
      </c>
      <c r="AJ5800">
        <v>97.622699747319004</v>
      </c>
      <c r="AK5800">
        <v>33.162546031609502</v>
      </c>
      <c r="AL5800">
        <v>96.732299745881704</v>
      </c>
      <c r="AM5800">
        <v>90.385458551245407</v>
      </c>
      <c r="AN5800">
        <v>0.99999995319494395</v>
      </c>
    </row>
    <row r="5801" spans="1:40" x14ac:dyDescent="0.25">
      <c r="A5801" t="str">
        <f>"20190303154925984"</f>
        <v>20190303154925984</v>
      </c>
      <c r="B5801" t="str">
        <f>"1551599365977054"</f>
        <v>1551599365977054</v>
      </c>
      <c r="C5801" t="s">
        <v>40</v>
      </c>
      <c r="D5801">
        <v>4.5031990000000004</v>
      </c>
      <c r="E5801">
        <v>0.45182020000000001</v>
      </c>
      <c r="F5801" t="s">
        <v>41</v>
      </c>
      <c r="G5801">
        <v>-416.92770000000002</v>
      </c>
      <c r="H5801" s="1">
        <v>-4.3593209999999999E-6</v>
      </c>
      <c r="I5801">
        <v>78.524119999999996</v>
      </c>
      <c r="J5801">
        <v>-421.95639999999997</v>
      </c>
      <c r="K5801">
        <v>1.1200920000000001</v>
      </c>
      <c r="L5801">
        <v>110.137</v>
      </c>
      <c r="M5801">
        <v>2.3668560000000002E-2</v>
      </c>
      <c r="N5801">
        <v>-1.221471E-2</v>
      </c>
      <c r="O5801">
        <v>-0.99964520000000001</v>
      </c>
      <c r="P5801">
        <v>2.9822749999999999E-2</v>
      </c>
      <c r="Q5801">
        <v>-0.12886689999999901</v>
      </c>
      <c r="R5801">
        <v>-0.99121349999999997</v>
      </c>
      <c r="S5801">
        <v>0.47381590000000001</v>
      </c>
      <c r="T5801">
        <v>-0.1054257</v>
      </c>
      <c r="U5801">
        <v>-2.9983520000000001</v>
      </c>
      <c r="V5801">
        <v>-6.4764189999999998E-3</v>
      </c>
      <c r="W5801">
        <v>-0.11673790000000001</v>
      </c>
      <c r="X5801">
        <v>0.99314170000000002</v>
      </c>
      <c r="Y5801">
        <v>-0.13258710000000001</v>
      </c>
      <c r="Z5801">
        <v>2.2567110000000001E-2</v>
      </c>
      <c r="AA5801">
        <v>0.99091439999999997</v>
      </c>
      <c r="AB5801">
        <v>25</v>
      </c>
      <c r="AC5801">
        <v>5.02869999999995</v>
      </c>
      <c r="AD5801">
        <v>-1.120096359321</v>
      </c>
      <c r="AE5801">
        <v>-31.612880000000001</v>
      </c>
      <c r="AF5801">
        <v>-4.2737709654859</v>
      </c>
      <c r="AG5801">
        <v>-1.120096359321</v>
      </c>
      <c r="AH5801">
        <v>31.684258814524</v>
      </c>
      <c r="AI5801">
        <v>92.006510986859993</v>
      </c>
      <c r="AJ5801">
        <v>97.682047127289295</v>
      </c>
      <c r="AK5801">
        <v>31.990811036066798</v>
      </c>
      <c r="AL5801">
        <v>96.703874231299693</v>
      </c>
      <c r="AM5801">
        <v>90.373628672742896</v>
      </c>
      <c r="AN5801">
        <v>1.00000005878918</v>
      </c>
    </row>
    <row r="5802" spans="1:40" x14ac:dyDescent="0.25">
      <c r="A5802" t="str">
        <f>"20190303154926007"</f>
        <v>20190303154926007</v>
      </c>
      <c r="B5802" t="str">
        <f>"1551599365996573"</f>
        <v>1551599365996573</v>
      </c>
      <c r="C5802" t="s">
        <v>40</v>
      </c>
      <c r="D5802">
        <v>4.5480960000000001</v>
      </c>
      <c r="E5802">
        <v>0.45152609999999899</v>
      </c>
      <c r="F5802" t="s">
        <v>41</v>
      </c>
      <c r="G5802">
        <v>-416.94690000000003</v>
      </c>
      <c r="H5802" s="1">
        <v>-4.3064470000000002E-6</v>
      </c>
      <c r="I5802">
        <v>78.408779999999993</v>
      </c>
      <c r="J5802">
        <v>-421.95119999999997</v>
      </c>
      <c r="K5802">
        <v>1.1201239999999999</v>
      </c>
      <c r="L5802">
        <v>109.8888</v>
      </c>
      <c r="M5802">
        <v>2.3085950000000001E-2</v>
      </c>
      <c r="N5802">
        <v>-1.256271E-2</v>
      </c>
      <c r="O5802">
        <v>-0.9996545</v>
      </c>
      <c r="P5802">
        <v>2.9046949999999998E-2</v>
      </c>
      <c r="Q5802">
        <v>-0.128410199999999</v>
      </c>
      <c r="R5802">
        <v>-0.99129590000000001</v>
      </c>
      <c r="S5802">
        <v>0.47344969999999997</v>
      </c>
      <c r="T5802">
        <v>-0.1058595</v>
      </c>
      <c r="U5802">
        <v>-2.9986109999999999</v>
      </c>
      <c r="V5802">
        <v>-6.2733789999999999E-3</v>
      </c>
      <c r="W5802">
        <v>-0.1159352</v>
      </c>
      <c r="X5802">
        <v>0.99323700000000004</v>
      </c>
      <c r="Y5802">
        <v>-0.1330325</v>
      </c>
      <c r="Z5802">
        <v>2.2359130000000001E-2</v>
      </c>
      <c r="AA5802">
        <v>0.99085939999999995</v>
      </c>
      <c r="AB5802">
        <v>25</v>
      </c>
      <c r="AC5802">
        <v>5.0042999999999402</v>
      </c>
      <c r="AD5802">
        <v>-1.12012830644699</v>
      </c>
      <c r="AE5802">
        <v>-31.48002</v>
      </c>
      <c r="AF5802">
        <v>-4.2708884426477596</v>
      </c>
      <c r="AG5802">
        <v>-1.12012830644699</v>
      </c>
      <c r="AH5802">
        <v>31.548208432538601</v>
      </c>
      <c r="AI5802">
        <v>92.015083277330405</v>
      </c>
      <c r="AJ5802">
        <v>97.709636749145801</v>
      </c>
      <c r="AK5802">
        <v>31.855684434890801</v>
      </c>
      <c r="AL5802">
        <v>96.657568666583401</v>
      </c>
      <c r="AM5802">
        <v>90.361880759985198</v>
      </c>
      <c r="AN5802">
        <v>1.00000003202605</v>
      </c>
    </row>
    <row r="5803" spans="1:40" x14ac:dyDescent="0.25">
      <c r="A5803" t="str">
        <f>"20190303154926030"</f>
        <v>20190303154926030</v>
      </c>
      <c r="B5803" t="str">
        <f>"1551599366026830"</f>
        <v>1551599366026830</v>
      </c>
      <c r="C5803" t="s">
        <v>40</v>
      </c>
      <c r="D5803">
        <v>4.5157470000000002</v>
      </c>
      <c r="E5803">
        <v>0.45117010000000002</v>
      </c>
      <c r="F5803" t="s">
        <v>41</v>
      </c>
      <c r="G5803">
        <v>-416.93470000000002</v>
      </c>
      <c r="H5803" s="1">
        <v>-4.1716260000000003E-6</v>
      </c>
      <c r="I5803">
        <v>78.089469999999906</v>
      </c>
      <c r="J5803">
        <v>-421.94600000000003</v>
      </c>
      <c r="K5803">
        <v>1.1201650000000001</v>
      </c>
      <c r="L5803">
        <v>109.6317</v>
      </c>
      <c r="M5803">
        <v>2.2501230000000001E-2</v>
      </c>
      <c r="N5803">
        <v>-1.287721E-2</v>
      </c>
      <c r="O5803">
        <v>-0.999664</v>
      </c>
      <c r="P5803">
        <v>2.8485170000000001E-2</v>
      </c>
      <c r="Q5803">
        <v>-0.1274402</v>
      </c>
      <c r="R5803">
        <v>-0.99143729999999997</v>
      </c>
      <c r="S5803">
        <v>0.47308349999999999</v>
      </c>
      <c r="T5803">
        <v>-0.1056329</v>
      </c>
      <c r="U5803">
        <v>-2.9988100000000002</v>
      </c>
      <c r="V5803">
        <v>-6.2828459999999999E-3</v>
      </c>
      <c r="W5803">
        <v>-0.1146514</v>
      </c>
      <c r="X5803">
        <v>0.99338590000000004</v>
      </c>
      <c r="Y5803">
        <v>-0.13348399999999999</v>
      </c>
      <c r="Z5803">
        <v>2.19677E-2</v>
      </c>
      <c r="AA5803">
        <v>0.99080749999999995</v>
      </c>
      <c r="AB5803">
        <v>25</v>
      </c>
      <c r="AC5803">
        <v>5.0112999999999497</v>
      </c>
      <c r="AD5803">
        <v>-1.1201691716259901</v>
      </c>
      <c r="AE5803">
        <v>-31.54223</v>
      </c>
      <c r="AF5803">
        <v>-4.2949498557181096</v>
      </c>
      <c r="AG5803">
        <v>-1.1201691716259901</v>
      </c>
      <c r="AH5803">
        <v>31.608129839484199</v>
      </c>
      <c r="AI5803">
        <v>92.011204570007905</v>
      </c>
      <c r="AJ5803">
        <v>97.738025966287793</v>
      </c>
      <c r="AK5803">
        <v>31.918258805672401</v>
      </c>
      <c r="AL5803">
        <v>96.583518868927598</v>
      </c>
      <c r="AM5803">
        <v>90.362372527452607</v>
      </c>
      <c r="AN5803">
        <v>0.99999998199731399</v>
      </c>
    </row>
    <row r="5804" spans="1:40" x14ac:dyDescent="0.25">
      <c r="A5804" t="str">
        <f>"20190303154926053"</f>
        <v>20190303154926053</v>
      </c>
      <c r="B5804" t="str">
        <f>"1551599366046349"</f>
        <v>1551599366046349</v>
      </c>
      <c r="C5804" t="s">
        <v>40</v>
      </c>
      <c r="D5804">
        <v>4.4066380000000001</v>
      </c>
      <c r="E5804">
        <v>0.45090910000000001</v>
      </c>
      <c r="F5804" t="s">
        <v>41</v>
      </c>
      <c r="G5804">
        <v>-416.68950000000001</v>
      </c>
      <c r="H5804" s="1">
        <v>-3.4876759999999998E-6</v>
      </c>
      <c r="I5804">
        <v>76.393769999999904</v>
      </c>
      <c r="J5804">
        <v>-421.94110000000001</v>
      </c>
      <c r="K5804">
        <v>1.1201970000000001</v>
      </c>
      <c r="L5804">
        <v>109.3828</v>
      </c>
      <c r="M5804">
        <v>2.1953239999999999E-2</v>
      </c>
      <c r="N5804">
        <v>-1.31422E-2</v>
      </c>
      <c r="O5804">
        <v>-0.99967280000000003</v>
      </c>
      <c r="P5804">
        <v>2.8328220000000001E-2</v>
      </c>
      <c r="Q5804">
        <v>-0.12701499999999999</v>
      </c>
      <c r="R5804">
        <v>-0.9914963</v>
      </c>
      <c r="S5804">
        <v>0.4743347</v>
      </c>
      <c r="T5804">
        <v>-0.1010809</v>
      </c>
      <c r="U5804">
        <v>-2.999298</v>
      </c>
      <c r="V5804">
        <v>-6.6632710000000001E-3</v>
      </c>
      <c r="W5804">
        <v>-0.1139622</v>
      </c>
      <c r="X5804">
        <v>0.99346270000000003</v>
      </c>
      <c r="Y5804">
        <v>-0.13441129999999901</v>
      </c>
      <c r="Z5804">
        <v>2.0195600000000001E-2</v>
      </c>
      <c r="AA5804">
        <v>0.99071980000000004</v>
      </c>
      <c r="AB5804">
        <v>25</v>
      </c>
      <c r="AC5804">
        <v>5.2515999999999901</v>
      </c>
      <c r="AD5804">
        <v>-1.1202004876759999</v>
      </c>
      <c r="AE5804">
        <v>-32.98903</v>
      </c>
      <c r="AF5804">
        <v>-4.5209715140933602</v>
      </c>
      <c r="AG5804">
        <v>-1.1202004876759999</v>
      </c>
      <c r="AH5804">
        <v>33.059200660851701</v>
      </c>
      <c r="AI5804">
        <v>91.922823682883404</v>
      </c>
      <c r="AJ5804">
        <v>97.7871118403975</v>
      </c>
      <c r="AK5804">
        <v>33.385697250443798</v>
      </c>
      <c r="AL5804">
        <v>96.5437702321057</v>
      </c>
      <c r="AM5804">
        <v>90.3842837596235</v>
      </c>
      <c r="AN5804">
        <v>0.99999995925027396</v>
      </c>
    </row>
    <row r="5805" spans="1:40" x14ac:dyDescent="0.25">
      <c r="A5805" t="str">
        <f>"20190303154926073"</f>
        <v>20190303154926073</v>
      </c>
      <c r="B5805" t="str">
        <f>"1551599366066845"</f>
        <v>1551599366066845</v>
      </c>
      <c r="C5805" t="s">
        <v>40</v>
      </c>
      <c r="D5805">
        <v>4.4205949999999996</v>
      </c>
      <c r="E5805">
        <v>0.41879189999999999</v>
      </c>
      <c r="F5805" t="s">
        <v>41</v>
      </c>
      <c r="G5805">
        <v>-416.35890000000001</v>
      </c>
      <c r="H5805" s="1">
        <v>-2.5791980000000002E-6</v>
      </c>
      <c r="I5805">
        <v>74.139399999999995</v>
      </c>
      <c r="J5805">
        <v>-421.93639999999999</v>
      </c>
      <c r="K5805">
        <v>1.1202219999999901</v>
      </c>
      <c r="L5805">
        <v>109.14490000000001</v>
      </c>
      <c r="M5805">
        <v>2.1445140000000001E-2</v>
      </c>
      <c r="N5805">
        <v>-1.336275E-2</v>
      </c>
      <c r="O5805">
        <v>-0.99968089999999998</v>
      </c>
      <c r="P5805">
        <v>2.8389569999999999E-2</v>
      </c>
      <c r="Q5805">
        <v>-0.12728689999999901</v>
      </c>
      <c r="R5805">
        <v>-0.9914598</v>
      </c>
      <c r="S5805">
        <v>0.47515869999999999</v>
      </c>
      <c r="T5805">
        <v>-9.5352049999999994E-2</v>
      </c>
      <c r="U5805">
        <v>-2.9999389999999999</v>
      </c>
      <c r="V5805">
        <v>-7.2250589999999998E-3</v>
      </c>
      <c r="W5805">
        <v>-0.11401509999999999</v>
      </c>
      <c r="X5805">
        <v>0.99345269999999997</v>
      </c>
      <c r="Y5805">
        <v>-0.13515460000000001</v>
      </c>
      <c r="Z5805">
        <v>1.8079959999999999E-2</v>
      </c>
      <c r="AA5805">
        <v>0.99065950000000003</v>
      </c>
      <c r="AB5805">
        <v>25</v>
      </c>
      <c r="AC5805">
        <v>5.5774999999999801</v>
      </c>
      <c r="AD5805">
        <v>-1.1202245791979999</v>
      </c>
      <c r="AE5805">
        <v>-35.005499999999998</v>
      </c>
      <c r="AF5805">
        <v>-4.8206378124372797</v>
      </c>
      <c r="AG5805">
        <v>-1.1202245791979999</v>
      </c>
      <c r="AH5805">
        <v>35.082031530528901</v>
      </c>
      <c r="AI5805">
        <v>91.811908744506795</v>
      </c>
      <c r="AJ5805">
        <v>97.824040933957093</v>
      </c>
      <c r="AK5805">
        <v>35.429400056105401</v>
      </c>
      <c r="AL5805">
        <v>96.546821086678094</v>
      </c>
      <c r="AM5805">
        <v>90.416686259149898</v>
      </c>
      <c r="AN5805">
        <v>0.99999995582142498</v>
      </c>
    </row>
    <row r="5806" spans="1:40" x14ac:dyDescent="0.25">
      <c r="A5806" t="str">
        <f>"20190303154926097"</f>
        <v>20190303154926097</v>
      </c>
      <c r="B5806" t="str">
        <f>"1551599366086365"</f>
        <v>1551599366086365</v>
      </c>
      <c r="C5806" t="s">
        <v>40</v>
      </c>
      <c r="D5806">
        <v>4.3444209999999996</v>
      </c>
      <c r="E5806">
        <v>0.39966210000000002</v>
      </c>
      <c r="F5806" t="s">
        <v>41</v>
      </c>
      <c r="G5806">
        <v>-407.60210000000001</v>
      </c>
      <c r="H5806">
        <v>7.9985669999999995E-2</v>
      </c>
      <c r="I5806">
        <v>50.368099999999998</v>
      </c>
      <c r="J5806">
        <v>-421.93169999999998</v>
      </c>
      <c r="K5806">
        <v>1.1202529999999999</v>
      </c>
      <c r="L5806">
        <v>108.8982</v>
      </c>
      <c r="M5806">
        <v>2.0932180000000002E-2</v>
      </c>
      <c r="N5806">
        <v>-1.3561729999999999E-2</v>
      </c>
      <c r="O5806">
        <v>-0.99968919999999994</v>
      </c>
      <c r="P5806">
        <v>2.8835260000000001E-2</v>
      </c>
      <c r="Q5806">
        <v>-0.12729869999999999</v>
      </c>
      <c r="R5806">
        <v>-0.99144569999999999</v>
      </c>
      <c r="S5806">
        <v>0.73117069999999995</v>
      </c>
      <c r="T5806">
        <v>-5.306077E-2</v>
      </c>
      <c r="U5806">
        <v>-2.9981080000000002</v>
      </c>
      <c r="V5806">
        <v>-8.1755030000000006E-3</v>
      </c>
      <c r="W5806">
        <v>-0.11382879999999999</v>
      </c>
      <c r="X5806">
        <v>0.99346670000000004</v>
      </c>
      <c r="Y5806">
        <v>-0.2164971</v>
      </c>
      <c r="Z5806">
        <v>3.7001149999999999E-3</v>
      </c>
      <c r="AA5806">
        <v>0.97627620000000004</v>
      </c>
      <c r="AB5806">
        <v>25</v>
      </c>
      <c r="AC5806">
        <v>14.3295999999999</v>
      </c>
      <c r="AD5806">
        <v>-1.04026733</v>
      </c>
      <c r="AE5806">
        <v>-58.530099999999997</v>
      </c>
      <c r="AF5806">
        <v>-13.0972815621551</v>
      </c>
      <c r="AG5806">
        <v>-1.04026733</v>
      </c>
      <c r="AH5806">
        <v>58.799727148647797</v>
      </c>
      <c r="AI5806">
        <v>90.989313952017596</v>
      </c>
      <c r="AJ5806">
        <v>102.557288855465</v>
      </c>
      <c r="AK5806">
        <v>60.249720772727798</v>
      </c>
      <c r="AL5806">
        <v>96.536076912108598</v>
      </c>
      <c r="AM5806">
        <v>90.471491640085304</v>
      </c>
      <c r="AN5806">
        <v>0.99999995928381502</v>
      </c>
    </row>
    <row r="5807" spans="1:40" x14ac:dyDescent="0.25">
      <c r="A5807" t="str">
        <f>"20190303154926119"</f>
        <v>20190303154926119</v>
      </c>
      <c r="B5807" t="str">
        <f>"1551599366116621"</f>
        <v>1551599366116621</v>
      </c>
      <c r="C5807" t="s">
        <v>40</v>
      </c>
      <c r="D5807">
        <v>4.4245320000000001</v>
      </c>
      <c r="E5807">
        <v>0.3909453</v>
      </c>
      <c r="F5807" t="s">
        <v>41</v>
      </c>
      <c r="G5807">
        <v>-409.95780000000002</v>
      </c>
      <c r="H5807">
        <v>9.6281119999999994E-3</v>
      </c>
      <c r="I5807">
        <v>68.446910000000003</v>
      </c>
      <c r="J5807">
        <v>-421.9271</v>
      </c>
      <c r="K5807">
        <v>1.1202829999999999</v>
      </c>
      <c r="L5807">
        <v>108.64570000000001</v>
      </c>
      <c r="M5807">
        <v>2.041896E-2</v>
      </c>
      <c r="N5807">
        <v>-1.373769E-2</v>
      </c>
      <c r="O5807">
        <v>-0.99969719999999995</v>
      </c>
      <c r="P5807">
        <v>2.8611270000000001E-2</v>
      </c>
      <c r="Q5807">
        <v>-0.12591289999999999</v>
      </c>
      <c r="R5807">
        <v>-0.99162879999999998</v>
      </c>
      <c r="S5807">
        <v>0.88494869999999903</v>
      </c>
      <c r="T5807">
        <v>-8.2081909999999994E-2</v>
      </c>
      <c r="U5807">
        <v>-2.9895939999999999</v>
      </c>
      <c r="V5807">
        <v>-8.4522490000000002E-3</v>
      </c>
      <c r="W5807">
        <v>-0.1122659</v>
      </c>
      <c r="X5807">
        <v>0.99364229999999998</v>
      </c>
      <c r="Y5807">
        <v>-0.26410149999999999</v>
      </c>
      <c r="Z5807">
        <v>1.268971E-2</v>
      </c>
      <c r="AA5807">
        <v>0.96441140000000003</v>
      </c>
      <c r="AB5807">
        <v>25</v>
      </c>
      <c r="AC5807">
        <v>11.969299999999899</v>
      </c>
      <c r="AD5807">
        <v>-1.110654888</v>
      </c>
      <c r="AE5807">
        <v>-40.198790000000002</v>
      </c>
      <c r="AF5807">
        <v>-11.1380991517473</v>
      </c>
      <c r="AG5807">
        <v>-1.110654888</v>
      </c>
      <c r="AH5807">
        <v>40.4064981303381</v>
      </c>
      <c r="AI5807">
        <v>91.517910305375395</v>
      </c>
      <c r="AJ5807">
        <v>105.41093250178</v>
      </c>
      <c r="AK5807">
        <v>41.9282231695001</v>
      </c>
      <c r="AL5807">
        <v>96.445951020677597</v>
      </c>
      <c r="AM5807">
        <v>90.487365035879407</v>
      </c>
      <c r="AN5807">
        <v>1.00000004658262</v>
      </c>
    </row>
    <row r="5808" spans="1:40" x14ac:dyDescent="0.25">
      <c r="A5808" t="str">
        <f>"20190303154926142"</f>
        <v>20190303154926142</v>
      </c>
      <c r="B5808" t="str">
        <f>"1551599366137117"</f>
        <v>1551599366137117</v>
      </c>
      <c r="C5808" t="s">
        <v>40</v>
      </c>
      <c r="D5808">
        <v>4.4016149999999996</v>
      </c>
      <c r="E5808">
        <v>0.38839859999999998</v>
      </c>
      <c r="F5808" t="s">
        <v>41</v>
      </c>
      <c r="G5808">
        <v>-412.95429999999999</v>
      </c>
      <c r="H5808" s="1">
        <v>-2.1942690000000001E-6</v>
      </c>
      <c r="I5808">
        <v>80.587159999999997</v>
      </c>
      <c r="J5808">
        <v>-421.92250000000001</v>
      </c>
      <c r="K5808">
        <v>1.1203069999999999</v>
      </c>
      <c r="L5808">
        <v>108.3955</v>
      </c>
      <c r="M5808">
        <v>1.9917629999999999E-2</v>
      </c>
      <c r="N5808">
        <v>-1.388642E-2</v>
      </c>
      <c r="O5808">
        <v>-0.99970530000000002</v>
      </c>
      <c r="P5808">
        <v>2.8504910000000001E-2</v>
      </c>
      <c r="Q5808">
        <v>-0.12450650000000001</v>
      </c>
      <c r="R5808">
        <v>-0.99180939999999995</v>
      </c>
      <c r="S5808">
        <v>0.95382690000000003</v>
      </c>
      <c r="T5808">
        <v>-0.11908879999999999</v>
      </c>
      <c r="U5808">
        <v>-2.9826809999999999</v>
      </c>
      <c r="V5808">
        <v>-8.8366360000000001E-3</v>
      </c>
      <c r="W5808">
        <v>-0.11070919999999999</v>
      </c>
      <c r="X5808">
        <v>0.99381359999999996</v>
      </c>
      <c r="Y5808">
        <v>-0.2853696</v>
      </c>
      <c r="Z5808">
        <v>2.4268250000000002E-2</v>
      </c>
      <c r="AA5808">
        <v>0.95811029999999997</v>
      </c>
      <c r="AB5808">
        <v>25</v>
      </c>
      <c r="AC5808">
        <v>8.9682000000000208</v>
      </c>
      <c r="AD5808">
        <v>-1.120309194269</v>
      </c>
      <c r="AE5808">
        <v>-27.808340000000001</v>
      </c>
      <c r="AF5808">
        <v>-8.4001417590403005</v>
      </c>
      <c r="AG5808">
        <v>-1.120309194269</v>
      </c>
      <c r="AH5808">
        <v>27.940389088885102</v>
      </c>
      <c r="AI5808">
        <v>92.198995498926294</v>
      </c>
      <c r="AJ5808">
        <v>106.73314914292899</v>
      </c>
      <c r="AK5808">
        <v>29.197308381099599</v>
      </c>
      <c r="AL5808">
        <v>96.356199174263494</v>
      </c>
      <c r="AM5808">
        <v>90.509440206452695</v>
      </c>
      <c r="AN5808">
        <v>1.00000004232269</v>
      </c>
    </row>
    <row r="5809" spans="1:40" x14ac:dyDescent="0.25">
      <c r="A5809" t="str">
        <f>"20190303154926164"</f>
        <v>20190303154926164</v>
      </c>
      <c r="B5809" t="str">
        <f>"1551599366156637"</f>
        <v>1551599366156637</v>
      </c>
      <c r="C5809" t="s">
        <v>40</v>
      </c>
      <c r="D5809">
        <v>4.3824839999999998</v>
      </c>
      <c r="E5809">
        <v>0.38613380000000003</v>
      </c>
      <c r="F5809" t="s">
        <v>41</v>
      </c>
      <c r="G5809">
        <v>-413.59199999999998</v>
      </c>
      <c r="H5809" s="1">
        <v>-2.811979E-6</v>
      </c>
      <c r="I5809">
        <v>82.900959999999998</v>
      </c>
      <c r="J5809">
        <v>-421.91829999999999</v>
      </c>
      <c r="K5809">
        <v>1.1203270000000001</v>
      </c>
      <c r="L5809">
        <v>108.1532</v>
      </c>
      <c r="M5809">
        <v>1.943634E-2</v>
      </c>
      <c r="N5809">
        <v>-1.400976E-2</v>
      </c>
      <c r="O5809">
        <v>-0.99971290000000002</v>
      </c>
      <c r="P5809">
        <v>2.8452169999999999E-2</v>
      </c>
      <c r="Q5809">
        <v>-0.1237635</v>
      </c>
      <c r="R5809">
        <v>-0.99190400000000001</v>
      </c>
      <c r="S5809">
        <v>0.9738464</v>
      </c>
      <c r="T5809">
        <v>-0.13096540000000001</v>
      </c>
      <c r="U5809">
        <v>-2.9803310000000001</v>
      </c>
      <c r="V5809">
        <v>-9.2578690000000002E-3</v>
      </c>
      <c r="W5809">
        <v>-0.1098422</v>
      </c>
      <c r="X5809">
        <v>0.99390590000000001</v>
      </c>
      <c r="Y5809">
        <v>-0.29182960000000002</v>
      </c>
      <c r="Z5809">
        <v>2.7888710000000001E-2</v>
      </c>
      <c r="AA5809">
        <v>0.95606360000000001</v>
      </c>
      <c r="AB5809">
        <v>25</v>
      </c>
      <c r="AC5809">
        <v>8.3262999999999998</v>
      </c>
      <c r="AD5809">
        <v>-1.1203298119789999</v>
      </c>
      <c r="AE5809">
        <v>-25.25224</v>
      </c>
      <c r="AF5809">
        <v>-7.8199847281407502</v>
      </c>
      <c r="AG5809">
        <v>-1.1203298119789999</v>
      </c>
      <c r="AH5809">
        <v>25.364288413480999</v>
      </c>
      <c r="AI5809">
        <v>92.416965944520598</v>
      </c>
      <c r="AJ5809">
        <v>107.13489062713801</v>
      </c>
      <c r="AK5809">
        <v>26.566038973814099</v>
      </c>
      <c r="AL5809">
        <v>96.3062193162272</v>
      </c>
      <c r="AM5809">
        <v>90.5336737422802</v>
      </c>
      <c r="AN5809">
        <v>0.99999997754703496</v>
      </c>
    </row>
    <row r="5810" spans="1:40" x14ac:dyDescent="0.25">
      <c r="A5810" t="str">
        <f>"20190303154926185"</f>
        <v>20190303154926185</v>
      </c>
      <c r="B5810" t="str">
        <f>"1551599366177134"</f>
        <v>1551599366177134</v>
      </c>
      <c r="C5810" t="s">
        <v>40</v>
      </c>
      <c r="D5810">
        <v>4.3550909999999998</v>
      </c>
      <c r="E5810">
        <v>0.38441520000000001</v>
      </c>
      <c r="F5810" t="s">
        <v>41</v>
      </c>
      <c r="G5810">
        <v>-413.58460000000002</v>
      </c>
      <c r="H5810" s="1">
        <v>-2.8840790000000001E-6</v>
      </c>
      <c r="I5810">
        <v>83.107029999999995</v>
      </c>
      <c r="J5810">
        <v>-421.91419999999999</v>
      </c>
      <c r="K5810">
        <v>1.120336</v>
      </c>
      <c r="L5810">
        <v>107.9141</v>
      </c>
      <c r="M5810">
        <v>1.896194E-2</v>
      </c>
      <c r="N5810">
        <v>-1.4114720000000001E-2</v>
      </c>
      <c r="O5810">
        <v>-0.99972059999999996</v>
      </c>
      <c r="P5810">
        <v>2.7799919999999999E-2</v>
      </c>
      <c r="Q5810">
        <v>-0.123820899999999</v>
      </c>
      <c r="R5810">
        <v>-0.9919152</v>
      </c>
      <c r="S5810">
        <v>0.99136349999999995</v>
      </c>
      <c r="T5810">
        <v>-0.1332718</v>
      </c>
      <c r="U5810">
        <v>-2.9794309999999999</v>
      </c>
      <c r="V5810">
        <v>-9.075451E-3</v>
      </c>
      <c r="W5810">
        <v>-0.1097955</v>
      </c>
      <c r="X5810">
        <v>0.99391280000000004</v>
      </c>
      <c r="Y5810">
        <v>-0.29742360000000001</v>
      </c>
      <c r="Z5810">
        <v>2.8456909999999998E-2</v>
      </c>
      <c r="AA5810">
        <v>0.95432139999999999</v>
      </c>
      <c r="AB5810">
        <v>25</v>
      </c>
      <c r="AC5810">
        <v>8.3295999999999708</v>
      </c>
      <c r="AD5810">
        <v>-1.1203388840790001</v>
      </c>
      <c r="AE5810">
        <v>-24.80707</v>
      </c>
      <c r="AF5810">
        <v>-7.8432886598004297</v>
      </c>
      <c r="AG5810">
        <v>-1.1203388840790001</v>
      </c>
      <c r="AH5810">
        <v>24.914902123866</v>
      </c>
      <c r="AI5810">
        <v>92.4559976458698</v>
      </c>
      <c r="AJ5810">
        <v>107.474164060509</v>
      </c>
      <c r="AK5810">
        <v>26.144305002389299</v>
      </c>
      <c r="AL5810">
        <v>96.303526958579994</v>
      </c>
      <c r="AM5810">
        <v>90.523155138776801</v>
      </c>
      <c r="AN5810">
        <v>1.00000003481747</v>
      </c>
    </row>
    <row r="5811" spans="1:40" x14ac:dyDescent="0.25">
      <c r="A5811" t="str">
        <f>"20190303154926209"</f>
        <v>20190303154926209</v>
      </c>
      <c r="B5811" t="str">
        <f>"1551599366206414"</f>
        <v>1551599366206414</v>
      </c>
      <c r="C5811" t="s">
        <v>40</v>
      </c>
      <c r="D5811">
        <v>4.3880889999999999</v>
      </c>
      <c r="E5811">
        <v>0.382994</v>
      </c>
      <c r="F5811" t="s">
        <v>41</v>
      </c>
      <c r="G5811">
        <v>-413.70510000000002</v>
      </c>
      <c r="H5811" s="1">
        <v>-2.9976669999999998E-6</v>
      </c>
      <c r="I5811">
        <v>83.535030000000006</v>
      </c>
      <c r="J5811">
        <v>-421.9101</v>
      </c>
      <c r="K5811">
        <v>1.12035</v>
      </c>
      <c r="L5811">
        <v>107.66160000000001</v>
      </c>
      <c r="M5811">
        <v>1.8458829999999999E-2</v>
      </c>
      <c r="N5811">
        <v>-1.420983E-2</v>
      </c>
      <c r="O5811">
        <v>-0.99972870000000003</v>
      </c>
      <c r="P5811">
        <v>2.7219230000000001E-2</v>
      </c>
      <c r="Q5811">
        <v>-0.12453350000000001</v>
      </c>
      <c r="R5811">
        <v>-0.99184209999999995</v>
      </c>
      <c r="S5811">
        <v>1.003204</v>
      </c>
      <c r="T5811">
        <v>-0.13691159999999999</v>
      </c>
      <c r="U5811">
        <v>-2.979263</v>
      </c>
      <c r="V5811">
        <v>-8.9961569999999994E-3</v>
      </c>
      <c r="W5811">
        <v>-0.110414899999999</v>
      </c>
      <c r="X5811">
        <v>0.99384490000000003</v>
      </c>
      <c r="Y5811">
        <v>-0.30131409999999997</v>
      </c>
      <c r="Z5811">
        <v>2.946998E-2</v>
      </c>
      <c r="AA5811">
        <v>0.95306939999999996</v>
      </c>
      <c r="AB5811">
        <v>25</v>
      </c>
      <c r="AC5811">
        <v>8.2049999999999805</v>
      </c>
      <c r="AD5811">
        <v>-1.1203529976669999</v>
      </c>
      <c r="AE5811">
        <v>-24.126570000000001</v>
      </c>
      <c r="AF5811">
        <v>-7.7432423705108997</v>
      </c>
      <c r="AG5811">
        <v>-1.1203529976669999</v>
      </c>
      <c r="AH5811">
        <v>24.227102185195001</v>
      </c>
      <c r="AI5811">
        <v>92.522172792452395</v>
      </c>
      <c r="AJ5811">
        <v>107.724438738571</v>
      </c>
      <c r="AK5811">
        <v>25.459094122528001</v>
      </c>
      <c r="AL5811">
        <v>96.339233069836297</v>
      </c>
      <c r="AM5811">
        <v>90.518619908211903</v>
      </c>
      <c r="AN5811">
        <v>1.0000000331193899</v>
      </c>
    </row>
    <row r="5812" spans="1:40" x14ac:dyDescent="0.25">
      <c r="A5812" t="str">
        <f>"20190303154926230"</f>
        <v>20190303154926230</v>
      </c>
      <c r="B5812" t="str">
        <f>"1551599366226910"</f>
        <v>1551599366226910</v>
      </c>
      <c r="C5812" t="s">
        <v>40</v>
      </c>
      <c r="D5812">
        <v>4.3377129999999999</v>
      </c>
      <c r="E5812">
        <v>0.38218580000000002</v>
      </c>
      <c r="F5812" t="s">
        <v>41</v>
      </c>
      <c r="G5812">
        <v>-414.03269999999998</v>
      </c>
      <c r="H5812" s="1">
        <v>-3.2356579999999999E-6</v>
      </c>
      <c r="I5812">
        <v>84.490519999999904</v>
      </c>
      <c r="J5812">
        <v>-421.90620000000001</v>
      </c>
      <c r="K5812">
        <v>1.120363</v>
      </c>
      <c r="L5812">
        <v>107.4241</v>
      </c>
      <c r="M5812">
        <v>1.798365E-2</v>
      </c>
      <c r="N5812">
        <v>-1.4286399999999999E-2</v>
      </c>
      <c r="O5812">
        <v>-0.99973630000000002</v>
      </c>
      <c r="P5812">
        <v>2.6223139999999999E-2</v>
      </c>
      <c r="Q5812">
        <v>-0.1244271</v>
      </c>
      <c r="R5812">
        <v>-0.99188229999999999</v>
      </c>
      <c r="S5812">
        <v>1.0126949999999999</v>
      </c>
      <c r="T5812">
        <v>-0.1440295</v>
      </c>
      <c r="U5812">
        <v>-2.9788060000000001</v>
      </c>
      <c r="V5812">
        <v>-8.4707710000000002E-3</v>
      </c>
      <c r="W5812">
        <v>-0.1102326</v>
      </c>
      <c r="X5812">
        <v>0.99386969999999997</v>
      </c>
      <c r="Y5812">
        <v>-0.30450650000000001</v>
      </c>
      <c r="Z5812">
        <v>3.1618180000000003E-2</v>
      </c>
      <c r="AA5812">
        <v>0.95198530000000003</v>
      </c>
      <c r="AB5812">
        <v>24</v>
      </c>
      <c r="AC5812">
        <v>7.8735000000000301</v>
      </c>
      <c r="AD5812">
        <v>-1.120366235658</v>
      </c>
      <c r="AE5812">
        <v>-22.933579999999999</v>
      </c>
      <c r="AF5812">
        <v>-7.4438626932232799</v>
      </c>
      <c r="AG5812">
        <v>-1.120366235658</v>
      </c>
      <c r="AH5812">
        <v>23.022327808324</v>
      </c>
      <c r="AI5812">
        <v>92.651135005879098</v>
      </c>
      <c r="AJ5812">
        <v>107.917696720363</v>
      </c>
      <c r="AK5812">
        <v>24.221764799689801</v>
      </c>
      <c r="AL5812">
        <v>96.328724233983493</v>
      </c>
      <c r="AM5812">
        <v>90.488321231693703</v>
      </c>
      <c r="AN5812">
        <v>0.99999998032109105</v>
      </c>
    </row>
    <row r="5813" spans="1:40" x14ac:dyDescent="0.25">
      <c r="A5813" t="str">
        <f>"20190303154926253"</f>
        <v>20190303154926253</v>
      </c>
      <c r="B5813" t="str">
        <f>"1551599366246430"</f>
        <v>1551599366246430</v>
      </c>
      <c r="C5813" t="s">
        <v>40</v>
      </c>
      <c r="D5813">
        <v>4.334956</v>
      </c>
      <c r="E5813">
        <v>0.38150440000000002</v>
      </c>
      <c r="F5813" t="s">
        <v>41</v>
      </c>
      <c r="G5813">
        <v>-414.08679999999998</v>
      </c>
      <c r="H5813" s="1">
        <v>-3.2227609999999999E-6</v>
      </c>
      <c r="I5813">
        <v>84.49494</v>
      </c>
      <c r="J5813">
        <v>-421.90230000000003</v>
      </c>
      <c r="K5813">
        <v>1.120374</v>
      </c>
      <c r="L5813">
        <v>107.17489999999999</v>
      </c>
      <c r="M5813">
        <v>1.748251E-2</v>
      </c>
      <c r="N5813">
        <v>-1.4355079999999999E-2</v>
      </c>
      <c r="O5813">
        <v>-0.99974439999999998</v>
      </c>
      <c r="P5813">
        <v>2.5623159999999999E-2</v>
      </c>
      <c r="Q5813">
        <v>-0.12317400000000001</v>
      </c>
      <c r="R5813">
        <v>-0.99205460000000001</v>
      </c>
      <c r="S5813">
        <v>1.016052</v>
      </c>
      <c r="T5813">
        <v>-0.1455804</v>
      </c>
      <c r="U5813">
        <v>-2.9794160000000001</v>
      </c>
      <c r="V5813">
        <v>-8.3639460000000006E-3</v>
      </c>
      <c r="W5813">
        <v>-0.108909199999999</v>
      </c>
      <c r="X5813">
        <v>0.99401649999999997</v>
      </c>
      <c r="Y5813">
        <v>-0.30587900000000001</v>
      </c>
      <c r="Z5813">
        <v>3.2014639999999997E-2</v>
      </c>
      <c r="AA5813">
        <v>0.95153189999999999</v>
      </c>
      <c r="AB5813">
        <v>24</v>
      </c>
      <c r="AC5813">
        <v>7.8155000000000401</v>
      </c>
      <c r="AD5813">
        <v>-1.120377222761</v>
      </c>
      <c r="AE5813">
        <v>-22.679959999999902</v>
      </c>
      <c r="AF5813">
        <v>-7.4016169329198398</v>
      </c>
      <c r="AG5813">
        <v>-1.120377222761</v>
      </c>
      <c r="AH5813">
        <v>22.763488148476799</v>
      </c>
      <c r="AI5813">
        <v>92.679833285575299</v>
      </c>
      <c r="AJ5813">
        <v>108.012091098567</v>
      </c>
      <c r="AK5813">
        <v>23.9627955595505</v>
      </c>
      <c r="AL5813">
        <v>96.252439646706407</v>
      </c>
      <c r="AM5813">
        <v>90.482092094789095</v>
      </c>
      <c r="AN5813">
        <v>0.99999998585479</v>
      </c>
    </row>
    <row r="5814" spans="1:40" x14ac:dyDescent="0.25">
      <c r="A5814" t="str">
        <f>"20190303154926275"</f>
        <v>20190303154926275</v>
      </c>
      <c r="B5814" t="str">
        <f>"1551599366266925"</f>
        <v>1551599366266925</v>
      </c>
      <c r="C5814" t="s">
        <v>40</v>
      </c>
      <c r="D5814">
        <v>4.382765</v>
      </c>
      <c r="E5814">
        <v>0.38097229999999999</v>
      </c>
      <c r="F5814" t="s">
        <v>41</v>
      </c>
      <c r="G5814">
        <v>-413.96109999999999</v>
      </c>
      <c r="H5814" s="1">
        <v>-3.0753049999999999E-6</v>
      </c>
      <c r="I5814">
        <v>83.963359999999994</v>
      </c>
      <c r="J5814">
        <v>-421.89879999999999</v>
      </c>
      <c r="K5814">
        <v>1.1203920000000001</v>
      </c>
      <c r="L5814">
        <v>106.93989999999999</v>
      </c>
      <c r="M5814">
        <v>1.7008450000000001E-2</v>
      </c>
      <c r="N5814">
        <v>-1.441022E-2</v>
      </c>
      <c r="O5814">
        <v>-0.99975179999999997</v>
      </c>
      <c r="P5814">
        <v>2.4661720000000002E-2</v>
      </c>
      <c r="Q5814">
        <v>-0.12253459999999999</v>
      </c>
      <c r="R5814">
        <v>-0.99215819999999999</v>
      </c>
      <c r="S5814">
        <v>1.0194700000000001</v>
      </c>
      <c r="T5814">
        <v>-0.14383070000000001</v>
      </c>
      <c r="U5814">
        <v>-2.9798279999999999</v>
      </c>
      <c r="V5814">
        <v>-7.8706539999999995E-3</v>
      </c>
      <c r="W5814">
        <v>-0.1082143</v>
      </c>
      <c r="X5814">
        <v>0.99409650000000005</v>
      </c>
      <c r="Y5814">
        <v>-0.30727379999999999</v>
      </c>
      <c r="Z5814">
        <v>3.1378719999999999E-2</v>
      </c>
      <c r="AA5814">
        <v>0.9511037</v>
      </c>
      <c r="AB5814">
        <v>24</v>
      </c>
      <c r="AC5814">
        <v>7.9377000000000004</v>
      </c>
      <c r="AD5814">
        <v>-1.120395075305</v>
      </c>
      <c r="AE5814">
        <v>-22.97654</v>
      </c>
      <c r="AF5814">
        <v>-7.5297206687238196</v>
      </c>
      <c r="AG5814">
        <v>-1.120395075305</v>
      </c>
      <c r="AH5814">
        <v>23.0592537849225</v>
      </c>
      <c r="AI5814">
        <v>92.644474604105497</v>
      </c>
      <c r="AJ5814">
        <v>108.083823521791</v>
      </c>
      <c r="AK5814">
        <v>24.283351572450599</v>
      </c>
      <c r="AL5814">
        <v>96.212387588013101</v>
      </c>
      <c r="AM5814">
        <v>90.453623801946804</v>
      </c>
      <c r="AN5814">
        <v>1.00000006661556</v>
      </c>
    </row>
    <row r="5815" spans="1:40" x14ac:dyDescent="0.25">
      <c r="A5815" t="str">
        <f>"20190303154926298"</f>
        <v>20190303154926298</v>
      </c>
      <c r="B5815" t="str">
        <f>"1551599366286446"</f>
        <v>1551599366286446</v>
      </c>
      <c r="C5815" t="s">
        <v>40</v>
      </c>
      <c r="D5815">
        <v>4.3968920000000002</v>
      </c>
      <c r="E5815">
        <v>0.38045410000000002</v>
      </c>
      <c r="F5815" t="s">
        <v>41</v>
      </c>
      <c r="G5815">
        <v>-413.92500000000001</v>
      </c>
      <c r="H5815" s="1">
        <v>-2.9825170000000001E-6</v>
      </c>
      <c r="I5815">
        <v>83.662430000000001</v>
      </c>
      <c r="J5815">
        <v>-421.89530000000002</v>
      </c>
      <c r="K5815">
        <v>1.120409</v>
      </c>
      <c r="L5815">
        <v>106.6947</v>
      </c>
      <c r="M5815">
        <v>1.65129E-2</v>
      </c>
      <c r="N5815">
        <v>-1.445931E-2</v>
      </c>
      <c r="O5815">
        <v>-0.99975910000000001</v>
      </c>
      <c r="P5815">
        <v>2.389134E-2</v>
      </c>
      <c r="Q5815">
        <v>-0.12177109999999999</v>
      </c>
      <c r="R5815">
        <v>-0.99227089999999996</v>
      </c>
      <c r="S5815">
        <v>1.0210269999999999</v>
      </c>
      <c r="T5815">
        <v>-0.14346349999999999</v>
      </c>
      <c r="U5815">
        <v>-2.9806210000000002</v>
      </c>
      <c r="V5815">
        <v>-7.589284E-3</v>
      </c>
      <c r="W5815">
        <v>-0.10740089999999999</v>
      </c>
      <c r="X5815">
        <v>0.99418680000000004</v>
      </c>
      <c r="Y5815">
        <v>-0.30811349999999998</v>
      </c>
      <c r="Z5815">
        <v>3.119108E-2</v>
      </c>
      <c r="AA5815">
        <v>0.95083810000000002</v>
      </c>
      <c r="AB5815">
        <v>24</v>
      </c>
      <c r="AC5815">
        <v>7.9702999999999999</v>
      </c>
      <c r="AD5815">
        <v>-1.120411982517</v>
      </c>
      <c r="AE5815">
        <v>-23.03227</v>
      </c>
      <c r="AF5815">
        <v>-7.57284003646605</v>
      </c>
      <c r="AG5815">
        <v>-1.120411982517</v>
      </c>
      <c r="AH5815">
        <v>23.111913106780399</v>
      </c>
      <c r="AI5815">
        <v>92.637624469270193</v>
      </c>
      <c r="AJ5815">
        <v>108.14187928432101</v>
      </c>
      <c r="AK5815">
        <v>24.346740165448001</v>
      </c>
      <c r="AL5815">
        <v>96.165510575726401</v>
      </c>
      <c r="AM5815">
        <v>90.437368004379096</v>
      </c>
      <c r="AN5815">
        <v>0.99999997192334</v>
      </c>
    </row>
    <row r="5816" spans="1:40" x14ac:dyDescent="0.25">
      <c r="A5816" t="str">
        <f>"20190303154926320"</f>
        <v>20190303154926320</v>
      </c>
      <c r="B5816" t="str">
        <f>"1551599366316701"</f>
        <v>1551599366316701</v>
      </c>
      <c r="C5816" t="s">
        <v>40</v>
      </c>
      <c r="D5816">
        <v>4.3645009999999997</v>
      </c>
      <c r="E5816">
        <v>0.37986049999999999</v>
      </c>
      <c r="F5816" t="s">
        <v>41</v>
      </c>
      <c r="G5816">
        <v>-413.95749999999998</v>
      </c>
      <c r="H5816" s="1">
        <v>-2.938658E-6</v>
      </c>
      <c r="I5816">
        <v>83.558980000000005</v>
      </c>
      <c r="J5816">
        <v>-421.89179999999999</v>
      </c>
      <c r="K5816">
        <v>1.1204229999999999</v>
      </c>
      <c r="L5816">
        <v>106.4496</v>
      </c>
      <c r="M5816">
        <v>1.601868E-2</v>
      </c>
      <c r="N5816">
        <v>-1.4500849999999999E-2</v>
      </c>
      <c r="O5816">
        <v>-0.9997665</v>
      </c>
      <c r="P5816">
        <v>2.3759450000000001E-2</v>
      </c>
      <c r="Q5816">
        <v>-0.1212037</v>
      </c>
      <c r="R5816">
        <v>-0.99234330000000004</v>
      </c>
      <c r="S5816">
        <v>1.0227660000000001</v>
      </c>
      <c r="T5816">
        <v>-0.1443632</v>
      </c>
      <c r="U5816">
        <v>-2.9810029999999998</v>
      </c>
      <c r="V5816">
        <v>-7.9463050000000007E-3</v>
      </c>
      <c r="W5816">
        <v>-0.106791</v>
      </c>
      <c r="X5816">
        <v>0.99424979999999996</v>
      </c>
      <c r="Y5816">
        <v>-0.30903910000000001</v>
      </c>
      <c r="Z5816">
        <v>3.1417790000000001E-2</v>
      </c>
      <c r="AA5816">
        <v>0.95053019999999999</v>
      </c>
      <c r="AB5816">
        <v>24</v>
      </c>
      <c r="AC5816">
        <v>7.9343000000000004</v>
      </c>
      <c r="AD5816">
        <v>-1.120425938658</v>
      </c>
      <c r="AE5816">
        <v>-22.890619999999998</v>
      </c>
      <c r="AF5816">
        <v>-7.5504165723666699</v>
      </c>
      <c r="AG5816">
        <v>-1.120425938658</v>
      </c>
      <c r="AH5816">
        <v>22.9656729395927</v>
      </c>
      <c r="AI5816">
        <v>92.653557654511602</v>
      </c>
      <c r="AJ5816">
        <v>108.19929641736999</v>
      </c>
      <c r="AK5816">
        <v>24.200956143686302</v>
      </c>
      <c r="AL5816">
        <v>96.130363176655806</v>
      </c>
      <c r="AM5816">
        <v>90.457913137651701</v>
      </c>
      <c r="AN5816">
        <v>1.00000006312209</v>
      </c>
    </row>
    <row r="5817" spans="1:40" x14ac:dyDescent="0.25">
      <c r="A5817" t="str">
        <f>"20190303154926345"</f>
        <v>20190303154926345</v>
      </c>
      <c r="B5817" t="str">
        <f>"1551599366336223"</f>
        <v>1551599366336223</v>
      </c>
      <c r="C5817" t="s">
        <v>40</v>
      </c>
      <c r="D5817">
        <v>4.457389</v>
      </c>
      <c r="E5817">
        <v>0.37979039999999997</v>
      </c>
      <c r="F5817" t="s">
        <v>41</v>
      </c>
      <c r="G5817">
        <v>-414.0865</v>
      </c>
      <c r="H5817" s="1">
        <v>-2.9867909999999999E-6</v>
      </c>
      <c r="I5817">
        <v>83.801259999999999</v>
      </c>
      <c r="J5817">
        <v>-421.88830000000002</v>
      </c>
      <c r="K5817">
        <v>1.1204379999999901</v>
      </c>
      <c r="L5817">
        <v>106.1951</v>
      </c>
      <c r="M5817">
        <v>1.551129E-2</v>
      </c>
      <c r="N5817">
        <v>-1.453634E-2</v>
      </c>
      <c r="O5817">
        <v>-0.99977389999999999</v>
      </c>
      <c r="P5817">
        <v>2.3745749999999999E-2</v>
      </c>
      <c r="Q5817">
        <v>-0.1214113</v>
      </c>
      <c r="R5817">
        <v>-0.99231800000000003</v>
      </c>
      <c r="S5817">
        <v>1.027191</v>
      </c>
      <c r="T5817">
        <v>-0.14744989999999999</v>
      </c>
      <c r="U5817">
        <v>-2.9805600000000001</v>
      </c>
      <c r="V5817">
        <v>-8.4354140000000005E-3</v>
      </c>
      <c r="W5817">
        <v>-0.1069634</v>
      </c>
      <c r="X5817">
        <v>0.99422719999999998</v>
      </c>
      <c r="Y5817">
        <v>-0.31081360000000002</v>
      </c>
      <c r="Z5817">
        <v>3.234273E-2</v>
      </c>
      <c r="AA5817">
        <v>0.94992049999999995</v>
      </c>
      <c r="AB5817">
        <v>24</v>
      </c>
      <c r="AC5817">
        <v>7.8018000000000098</v>
      </c>
      <c r="AD5817">
        <v>-1.1204409867909999</v>
      </c>
      <c r="AE5817">
        <v>-22.393840000000001</v>
      </c>
      <c r="AF5817">
        <v>-7.4368651282232703</v>
      </c>
      <c r="AG5817">
        <v>-1.1204409867909999</v>
      </c>
      <c r="AH5817">
        <v>22.4620301135711</v>
      </c>
      <c r="AI5817">
        <v>92.711137667402198</v>
      </c>
      <c r="AJ5817">
        <v>108.31898763245</v>
      </c>
      <c r="AK5817">
        <v>23.6876581316778</v>
      </c>
      <c r="AL5817">
        <v>96.140298105937404</v>
      </c>
      <c r="AM5817">
        <v>90.486108229637097</v>
      </c>
      <c r="AN5817">
        <v>1.0000000251843699</v>
      </c>
    </row>
    <row r="5818" spans="1:40" x14ac:dyDescent="0.25">
      <c r="A5818" t="str">
        <f>"20190303154926365"</f>
        <v>20190303154926365</v>
      </c>
      <c r="B5818" t="str">
        <f>"1551599366356717"</f>
        <v>1551599366356717</v>
      </c>
      <c r="C5818" t="s">
        <v>40</v>
      </c>
      <c r="D5818">
        <v>5.1200739999999998</v>
      </c>
      <c r="E5818">
        <v>0.42861569999999999</v>
      </c>
      <c r="F5818" t="s">
        <v>41</v>
      </c>
      <c r="G5818">
        <v>-414.05849999999998</v>
      </c>
      <c r="H5818" s="1">
        <v>-2.8886830000000001E-6</v>
      </c>
      <c r="I5818">
        <v>83.491069999999993</v>
      </c>
      <c r="J5818">
        <v>-421.88529999999997</v>
      </c>
      <c r="K5818">
        <v>1.1204480000000001</v>
      </c>
      <c r="L5818">
        <v>105.96510000000001</v>
      </c>
      <c r="M5818">
        <v>1.5060870000000001E-2</v>
      </c>
      <c r="N5818">
        <v>-1.456345E-2</v>
      </c>
      <c r="O5818">
        <v>-0.99978060000000002</v>
      </c>
      <c r="P5818">
        <v>2.3940360000000001E-2</v>
      </c>
      <c r="Q5818">
        <v>-0.121477</v>
      </c>
      <c r="R5818">
        <v>-0.99230569999999896</v>
      </c>
      <c r="S5818">
        <v>1.0279240000000001</v>
      </c>
      <c r="T5818">
        <v>-0.14709459999999999</v>
      </c>
      <c r="U5818">
        <v>-2.9806520000000001</v>
      </c>
      <c r="V5818">
        <v>-9.0763379999999998E-3</v>
      </c>
      <c r="W5818">
        <v>-0.1070019</v>
      </c>
      <c r="X5818">
        <v>0.99421740000000003</v>
      </c>
      <c r="Y5818">
        <v>-0.31144250000000001</v>
      </c>
      <c r="Z5818">
        <v>3.2194390000000003E-2</v>
      </c>
      <c r="AA5818">
        <v>0.94971950000000005</v>
      </c>
      <c r="AB5818">
        <v>24</v>
      </c>
      <c r="AC5818">
        <v>7.8267999999999898</v>
      </c>
      <c r="AD5818">
        <v>-1.12045088868299</v>
      </c>
      <c r="AE5818">
        <v>-22.474029999999999</v>
      </c>
      <c r="AF5818">
        <v>-7.4708371327364098</v>
      </c>
      <c r="AG5818">
        <v>-1.12045088868299</v>
      </c>
      <c r="AH5818">
        <v>22.5394081298065</v>
      </c>
      <c r="AI5818">
        <v>92.701569512950897</v>
      </c>
      <c r="AJ5818">
        <v>108.338121933816</v>
      </c>
      <c r="AK5818">
        <v>23.771700328327601</v>
      </c>
      <c r="AL5818">
        <v>96.142516804586407</v>
      </c>
      <c r="AM5818">
        <v>90.523045980477207</v>
      </c>
      <c r="AN5818">
        <v>1.0000000124889299</v>
      </c>
    </row>
    <row r="5819" spans="1:40" x14ac:dyDescent="0.25">
      <c r="A5819" t="str">
        <f>"20190303154926387"</f>
        <v>20190303154926387</v>
      </c>
      <c r="B5819" t="str">
        <f>"1551599366376238"</f>
        <v>1551599366376238</v>
      </c>
      <c r="C5819" t="s">
        <v>40</v>
      </c>
      <c r="D5819">
        <v>4.5165439999999997</v>
      </c>
      <c r="E5819">
        <v>0.44108510000000001</v>
      </c>
      <c r="F5819" t="s">
        <v>63</v>
      </c>
      <c r="G5819">
        <v>-399.6062</v>
      </c>
      <c r="H5819">
        <v>1.75875099999999</v>
      </c>
      <c r="I5819">
        <v>0.68479919999999905</v>
      </c>
      <c r="J5819">
        <v>-421.88229999999999</v>
      </c>
      <c r="K5819">
        <v>1.1204719999999999</v>
      </c>
      <c r="L5819">
        <v>105.7316</v>
      </c>
      <c r="M5819">
        <v>1.461233E-2</v>
      </c>
      <c r="N5819">
        <v>-1.45866E-2</v>
      </c>
      <c r="O5819">
        <v>-0.99978699999999998</v>
      </c>
      <c r="P5819">
        <v>2.340602E-2</v>
      </c>
      <c r="Q5819">
        <v>-0.1211194</v>
      </c>
      <c r="R5819">
        <v>-0.99236199999999997</v>
      </c>
      <c r="S5819">
        <v>0.63699340000000004</v>
      </c>
      <c r="T5819">
        <v>1.8249390000000001E-2</v>
      </c>
      <c r="U5819">
        <v>-3.010132</v>
      </c>
      <c r="V5819">
        <v>-8.9837849999999993E-3</v>
      </c>
      <c r="W5819">
        <v>-0.10662099999999999</v>
      </c>
      <c r="X5819">
        <v>0.99425920000000001</v>
      </c>
      <c r="Y5819">
        <v>-0.19265669999999999</v>
      </c>
      <c r="Z5819">
        <v>-2.0502409999999999E-2</v>
      </c>
      <c r="AA5819">
        <v>0.98105200000000004</v>
      </c>
      <c r="AB5819">
        <v>24</v>
      </c>
      <c r="AC5819">
        <v>22.2760999999999</v>
      </c>
      <c r="AD5819">
        <v>0.63827899999999904</v>
      </c>
      <c r="AE5819">
        <v>-105.046800799999</v>
      </c>
      <c r="AF5819">
        <v>-20.737846900911801</v>
      </c>
      <c r="AG5819">
        <v>0.63827899999999904</v>
      </c>
      <c r="AH5819">
        <v>105.357400966684</v>
      </c>
      <c r="AI5819">
        <v>89.659428034702998</v>
      </c>
      <c r="AJ5819">
        <v>101.135367608584</v>
      </c>
      <c r="AK5819">
        <v>107.38085319376999</v>
      </c>
      <c r="AL5819">
        <v>96.120567036376301</v>
      </c>
      <c r="AM5819">
        <v>90.517690917125194</v>
      </c>
      <c r="AN5819">
        <v>1.0000000514092799</v>
      </c>
    </row>
    <row r="5820" spans="1:40" x14ac:dyDescent="0.25">
      <c r="A5820" t="str">
        <f>"20190303154926410"</f>
        <v>20190303154926410</v>
      </c>
      <c r="B5820" t="str">
        <f>"1551599366406494"</f>
        <v>1551599366406494</v>
      </c>
      <c r="C5820" t="s">
        <v>40</v>
      </c>
      <c r="D5820">
        <v>4.4723059999999997</v>
      </c>
      <c r="E5820">
        <v>0.50405239999999996</v>
      </c>
      <c r="F5820" t="s">
        <v>63</v>
      </c>
      <c r="G5820">
        <v>-403.21749999999997</v>
      </c>
      <c r="H5820">
        <v>2.4261189999999999</v>
      </c>
      <c r="I5820">
        <v>0.64807320000000002</v>
      </c>
      <c r="J5820">
        <v>-421.87920000000003</v>
      </c>
      <c r="K5820">
        <v>1.1204940000000001</v>
      </c>
      <c r="L5820">
        <v>105.4859</v>
      </c>
      <c r="M5820">
        <v>1.415664E-2</v>
      </c>
      <c r="N5820">
        <v>-1.460682E-2</v>
      </c>
      <c r="O5820">
        <v>-0.99979340000000005</v>
      </c>
      <c r="P5820">
        <v>2.2084940000000001E-2</v>
      </c>
      <c r="Q5820">
        <v>-0.1205256</v>
      </c>
      <c r="R5820">
        <v>-0.99246489999999998</v>
      </c>
      <c r="S5820">
        <v>0.53552250000000001</v>
      </c>
      <c r="T5820">
        <v>3.746033E-2</v>
      </c>
      <c r="U5820">
        <v>-3.015015</v>
      </c>
      <c r="V5820">
        <v>-8.1100779999999997E-3</v>
      </c>
      <c r="W5820">
        <v>-0.1060068</v>
      </c>
      <c r="X5820">
        <v>0.99433229999999995</v>
      </c>
      <c r="Y5820">
        <v>-0.1608581</v>
      </c>
      <c r="Z5820">
        <v>-2.6831219999999999E-2</v>
      </c>
      <c r="AA5820">
        <v>0.98661279999999996</v>
      </c>
      <c r="AB5820">
        <v>24</v>
      </c>
      <c r="AC5820">
        <v>18.6617</v>
      </c>
      <c r="AD5820">
        <v>1.30562499999999</v>
      </c>
      <c r="AE5820">
        <v>-104.83782679999899</v>
      </c>
      <c r="AF5820">
        <v>-17.172938582756601</v>
      </c>
      <c r="AG5820">
        <v>1.30562499999999</v>
      </c>
      <c r="AH5820">
        <v>105.075737498392</v>
      </c>
      <c r="AI5820">
        <v>89.297424756006194</v>
      </c>
      <c r="AJ5820">
        <v>99.282010977878798</v>
      </c>
      <c r="AK5820">
        <v>106.477814999364</v>
      </c>
      <c r="AL5820">
        <v>96.085175895745493</v>
      </c>
      <c r="AM5820">
        <v>90.467311518648799</v>
      </c>
      <c r="AN5820">
        <v>0.99999996891734699</v>
      </c>
    </row>
    <row r="5821" spans="1:40" x14ac:dyDescent="0.25">
      <c r="A5821" t="str">
        <f>"20190303154926432"</f>
        <v>20190303154926432</v>
      </c>
      <c r="B5821" t="str">
        <f>"1551599366426989"</f>
        <v>1551599366426989</v>
      </c>
      <c r="C5821" t="s">
        <v>40</v>
      </c>
      <c r="D5821">
        <v>4.5208539999999999</v>
      </c>
      <c r="E5821">
        <v>0.50343640000000001</v>
      </c>
      <c r="F5821" t="s">
        <v>63</v>
      </c>
      <c r="G5821">
        <v>-420.86880000000002</v>
      </c>
      <c r="H5821">
        <v>2.182229</v>
      </c>
      <c r="I5821">
        <v>0.46855740000000001</v>
      </c>
      <c r="J5821">
        <v>-421.87639999999999</v>
      </c>
      <c r="K5821">
        <v>1.120519</v>
      </c>
      <c r="L5821">
        <v>105.2467</v>
      </c>
      <c r="M5821">
        <v>1.373604E-2</v>
      </c>
      <c r="N5821">
        <v>-1.4622970000000001E-2</v>
      </c>
      <c r="O5821">
        <v>-0.99979879999999999</v>
      </c>
      <c r="P5821">
        <v>2.0209850000000001E-2</v>
      </c>
      <c r="Q5821">
        <v>-0.1189921</v>
      </c>
      <c r="R5821">
        <v>-0.99268970000000001</v>
      </c>
      <c r="S5821">
        <v>2.9113770000000001E-2</v>
      </c>
      <c r="T5821">
        <v>3.0590889999999999E-2</v>
      </c>
      <c r="U5821">
        <v>-3.0258479999999999</v>
      </c>
      <c r="V5821">
        <v>-6.6446689999999997E-3</v>
      </c>
      <c r="W5821">
        <v>-0.10445599999999999</v>
      </c>
      <c r="X5821">
        <v>0.99450729999999998</v>
      </c>
      <c r="Y5821">
        <v>4.11934E-3</v>
      </c>
      <c r="Z5821">
        <v>-2.4727809999999999E-2</v>
      </c>
      <c r="AA5821">
        <v>0.99968570000000001</v>
      </c>
      <c r="AB5821">
        <v>24</v>
      </c>
      <c r="AC5821">
        <v>1.0075999999999601</v>
      </c>
      <c r="AD5821">
        <v>1.0617099999999999</v>
      </c>
      <c r="AE5821">
        <v>-104.7781426</v>
      </c>
      <c r="AF5821">
        <v>0.43184129649340702</v>
      </c>
      <c r="AG5821">
        <v>1.0617099999999999</v>
      </c>
      <c r="AH5821">
        <v>104.771340682706</v>
      </c>
      <c r="AI5821">
        <v>89.419412762358107</v>
      </c>
      <c r="AJ5821">
        <v>89.763842445535602</v>
      </c>
      <c r="AK5821">
        <v>104.77760993399799</v>
      </c>
      <c r="AL5821">
        <v>95.995825375338796</v>
      </c>
      <c r="AM5821">
        <v>90.382808477162996</v>
      </c>
      <c r="AN5821">
        <v>0.99999998865770401</v>
      </c>
    </row>
    <row r="5822" spans="1:40" x14ac:dyDescent="0.25">
      <c r="A5822" t="str">
        <f>"20190303154926447"</f>
        <v>20190303154926447</v>
      </c>
      <c r="B5822" t="str">
        <f>"1551599366436750"</f>
        <v>1551599366436750</v>
      </c>
      <c r="C5822" t="s">
        <v>40</v>
      </c>
      <c r="D5822">
        <v>4.4800250000000004</v>
      </c>
      <c r="E5822">
        <v>0.50309539999999997</v>
      </c>
      <c r="F5822" t="s">
        <v>63</v>
      </c>
      <c r="G5822">
        <v>-420.89109999999999</v>
      </c>
      <c r="H5822">
        <v>2.090417</v>
      </c>
      <c r="I5822">
        <v>0.46833039999999998</v>
      </c>
      <c r="J5822">
        <v>-421.87459999999999</v>
      </c>
      <c r="K5822">
        <v>1.120539</v>
      </c>
      <c r="L5822">
        <v>105.09820000000001</v>
      </c>
      <c r="M5822">
        <v>1.3489839999999999E-2</v>
      </c>
      <c r="N5822">
        <v>-1.463149E-2</v>
      </c>
      <c r="O5822">
        <v>-0.99980219999999997</v>
      </c>
      <c r="P5822">
        <v>1.9156260000000001E-2</v>
      </c>
      <c r="Q5822">
        <v>-0.1185372</v>
      </c>
      <c r="R5822">
        <v>-0.99276500000000001</v>
      </c>
      <c r="S5822">
        <v>2.844238E-2</v>
      </c>
      <c r="T5822">
        <v>2.7999400000000001E-2</v>
      </c>
      <c r="U5822">
        <v>-3.0248719999999998</v>
      </c>
      <c r="V5822">
        <v>-5.8307180000000004E-3</v>
      </c>
      <c r="W5822">
        <v>-0.1039925</v>
      </c>
      <c r="X5822">
        <v>0.99456100000000003</v>
      </c>
      <c r="Y5822">
        <v>4.0916440000000002E-3</v>
      </c>
      <c r="Z5822">
        <v>-2.3883430000000001E-2</v>
      </c>
      <c r="AA5822">
        <v>0.9997064</v>
      </c>
      <c r="AB5822">
        <v>24</v>
      </c>
      <c r="AC5822">
        <v>0.98349999999999205</v>
      </c>
      <c r="AD5822">
        <v>0.96987800000000002</v>
      </c>
      <c r="AE5822">
        <v>-104.62986960000001</v>
      </c>
      <c r="AF5822">
        <v>0.42814368007310799</v>
      </c>
      <c r="AG5822">
        <v>0.96987800000000002</v>
      </c>
      <c r="AH5822">
        <v>104.624626611111</v>
      </c>
      <c r="AI5822">
        <v>89.468883561197202</v>
      </c>
      <c r="AJ5822">
        <v>89.7655361862859</v>
      </c>
      <c r="AK5822">
        <v>104.629997915799</v>
      </c>
      <c r="AL5822">
        <v>95.969123229042196</v>
      </c>
      <c r="AM5822">
        <v>90.335898658405995</v>
      </c>
      <c r="AN5822">
        <v>1.0000000100248201</v>
      </c>
    </row>
    <row r="5823" spans="1:40" x14ac:dyDescent="0.25">
      <c r="A5823" t="str">
        <f>"20190303154926465"</f>
        <v>20190303154926465</v>
      </c>
      <c r="B5823" t="str">
        <f>"1551599366456270"</f>
        <v>1551599366456270</v>
      </c>
      <c r="C5823" t="s">
        <v>40</v>
      </c>
      <c r="D5823">
        <v>4.53735</v>
      </c>
      <c r="E5823">
        <v>0.50268809999999997</v>
      </c>
      <c r="F5823" t="s">
        <v>63</v>
      </c>
      <c r="G5823">
        <v>-420.90429999999998</v>
      </c>
      <c r="H5823">
        <v>1.986694</v>
      </c>
      <c r="I5823">
        <v>0.46819499999999997</v>
      </c>
      <c r="J5823">
        <v>-421.8723</v>
      </c>
      <c r="K5823">
        <v>1.120576</v>
      </c>
      <c r="L5823">
        <v>104.9006</v>
      </c>
      <c r="M5823">
        <v>1.3184410000000001E-2</v>
      </c>
      <c r="N5823">
        <v>-1.464117E-2</v>
      </c>
      <c r="O5823">
        <v>-0.99980590000000003</v>
      </c>
      <c r="P5823">
        <v>1.7173239999999999E-2</v>
      </c>
      <c r="Q5823">
        <v>-0.1170465</v>
      </c>
      <c r="R5823">
        <v>-0.99297820000000003</v>
      </c>
      <c r="S5823">
        <v>2.8045649999999998E-2</v>
      </c>
      <c r="T5823">
        <v>2.5035499999999999E-2</v>
      </c>
      <c r="U5823">
        <v>-3.0243229999999999</v>
      </c>
      <c r="V5823">
        <v>-4.1425790000000004E-3</v>
      </c>
      <c r="W5823">
        <v>-0.102491</v>
      </c>
      <c r="X5823">
        <v>0.99472530000000003</v>
      </c>
      <c r="Y5823">
        <v>3.9153440000000003E-3</v>
      </c>
      <c r="Z5823">
        <v>-2.2915370000000001E-2</v>
      </c>
      <c r="AA5823">
        <v>0.9997298</v>
      </c>
      <c r="AB5823">
        <v>24</v>
      </c>
      <c r="AC5823">
        <v>0.96800000000001696</v>
      </c>
      <c r="AD5823">
        <v>0.86611799999999906</v>
      </c>
      <c r="AE5823">
        <v>-104.432405</v>
      </c>
      <c r="AF5823">
        <v>0.40908324341029201</v>
      </c>
      <c r="AG5823">
        <v>0.86611799999999906</v>
      </c>
      <c r="AH5823">
        <v>104.42890750636199</v>
      </c>
      <c r="AI5823">
        <v>89.524811772941206</v>
      </c>
      <c r="AJ5823">
        <v>89.775554259980197</v>
      </c>
      <c r="AK5823">
        <v>104.433300400123</v>
      </c>
      <c r="AL5823">
        <v>95.882631514779007</v>
      </c>
      <c r="AM5823">
        <v>90.238609514451099</v>
      </c>
      <c r="AN5823">
        <v>0.99999999425093</v>
      </c>
    </row>
    <row r="5824" spans="1:40" x14ac:dyDescent="0.25">
      <c r="A5824" t="str">
        <f>"20190303154926488"</f>
        <v>20190303154926488</v>
      </c>
      <c r="B5824" t="str">
        <f>"1551599366476765"</f>
        <v>1551599366476765</v>
      </c>
      <c r="C5824" t="s">
        <v>40</v>
      </c>
      <c r="D5824">
        <v>4.5195150000000002</v>
      </c>
      <c r="E5824">
        <v>0.50241400000000003</v>
      </c>
      <c r="F5824" t="s">
        <v>63</v>
      </c>
      <c r="G5824">
        <v>-421.01859999999999</v>
      </c>
      <c r="H5824">
        <v>2.0140060000000002</v>
      </c>
      <c r="I5824">
        <v>0.46703339999999999</v>
      </c>
      <c r="J5824">
        <v>-421.86950000000002</v>
      </c>
      <c r="K5824">
        <v>1.120608</v>
      </c>
      <c r="L5824">
        <v>104.65179999999999</v>
      </c>
      <c r="M5824">
        <v>1.2843179999999999E-2</v>
      </c>
      <c r="N5824">
        <v>-1.465082E-2</v>
      </c>
      <c r="O5824">
        <v>-0.99981019999999998</v>
      </c>
      <c r="P5824">
        <v>1.5812779999999999E-2</v>
      </c>
      <c r="Q5824">
        <v>-0.11758739999999999</v>
      </c>
      <c r="R5824">
        <v>-0.99293670000000001</v>
      </c>
      <c r="S5824">
        <v>2.471924E-2</v>
      </c>
      <c r="T5824">
        <v>2.5868180000000001E-2</v>
      </c>
      <c r="U5824">
        <v>-3.0238339999999999</v>
      </c>
      <c r="V5824">
        <v>-3.1135999999999998E-3</v>
      </c>
      <c r="W5824">
        <v>-0.103024</v>
      </c>
      <c r="X5824">
        <v>0.99467399999999995</v>
      </c>
      <c r="Y5824">
        <v>4.6722700000000001E-3</v>
      </c>
      <c r="Z5824">
        <v>-2.320179E-2</v>
      </c>
      <c r="AA5824">
        <v>0.99971989999999999</v>
      </c>
      <c r="AB5824">
        <v>24</v>
      </c>
      <c r="AC5824">
        <v>0.85090000000002397</v>
      </c>
      <c r="AD5824">
        <v>0.89339800000000003</v>
      </c>
      <c r="AE5824">
        <v>-104.1847666</v>
      </c>
      <c r="AF5824">
        <v>0.48734168076453699</v>
      </c>
      <c r="AG5824">
        <v>0.89339800000000003</v>
      </c>
      <c r="AH5824">
        <v>104.17944123704901</v>
      </c>
      <c r="AI5824">
        <v>89.508673501585506</v>
      </c>
      <c r="AJ5824">
        <v>89.731977658119405</v>
      </c>
      <c r="AK5824">
        <v>104.18441168602899</v>
      </c>
      <c r="AL5824">
        <v>95.913332634370903</v>
      </c>
      <c r="AM5824">
        <v>90.179350778664897</v>
      </c>
      <c r="AN5824">
        <v>1.0000000026784699</v>
      </c>
    </row>
    <row r="5825" spans="1:40" x14ac:dyDescent="0.25">
      <c r="A5825" t="str">
        <f>"20190303154926503"</f>
        <v>20190303154926503</v>
      </c>
      <c r="B5825" t="str">
        <f>"1551599366496286"</f>
        <v>1551599366496286</v>
      </c>
      <c r="C5825" t="s">
        <v>40</v>
      </c>
      <c r="D5825">
        <v>4.5190710000000003</v>
      </c>
      <c r="E5825">
        <v>0.50205789999999995</v>
      </c>
      <c r="F5825" t="s">
        <v>63</v>
      </c>
      <c r="G5825">
        <v>-421.08920000000001</v>
      </c>
      <c r="H5825">
        <v>1.8455490000000001</v>
      </c>
      <c r="I5825">
        <v>0.46631430000000001</v>
      </c>
      <c r="J5825">
        <v>-421.86770000000001</v>
      </c>
      <c r="K5825">
        <v>1.120633</v>
      </c>
      <c r="L5825">
        <v>104.4944</v>
      </c>
      <c r="M5825">
        <v>1.264872E-2</v>
      </c>
      <c r="N5825">
        <v>-1.465586E-2</v>
      </c>
      <c r="O5825">
        <v>-0.99981249999999999</v>
      </c>
      <c r="P5825">
        <v>1.551671E-2</v>
      </c>
      <c r="Q5825">
        <v>-0.11788990000000001</v>
      </c>
      <c r="R5825">
        <v>-0.99290540000000005</v>
      </c>
      <c r="S5825">
        <v>2.2644040000000001E-2</v>
      </c>
      <c r="T5825">
        <v>2.1037219999999999E-2</v>
      </c>
      <c r="U5825">
        <v>-3.0234679999999998</v>
      </c>
      <c r="V5825">
        <v>-3.005841E-3</v>
      </c>
      <c r="W5825">
        <v>-0.1033222</v>
      </c>
      <c r="X5825">
        <v>0.99464339999999996</v>
      </c>
      <c r="Y5825">
        <v>5.1625669999999999E-3</v>
      </c>
      <c r="Z5825">
        <v>-2.1610899999999999E-2</v>
      </c>
      <c r="AA5825">
        <v>0.99975309999999995</v>
      </c>
      <c r="AB5825">
        <v>24</v>
      </c>
      <c r="AC5825">
        <v>0.77850000000000796</v>
      </c>
      <c r="AD5825">
        <v>0.724916</v>
      </c>
      <c r="AE5825">
        <v>-104.02808570000001</v>
      </c>
      <c r="AF5825">
        <v>0.53749977799404303</v>
      </c>
      <c r="AG5825">
        <v>0.724916</v>
      </c>
      <c r="AH5825">
        <v>104.024558834807</v>
      </c>
      <c r="AI5825">
        <v>89.600734662803902</v>
      </c>
      <c r="AJ5825">
        <v>89.703952652664498</v>
      </c>
      <c r="AK5825">
        <v>104.028473265711</v>
      </c>
      <c r="AL5825">
        <v>95.930509904078804</v>
      </c>
      <c r="AM5825">
        <v>90.173148968674298</v>
      </c>
      <c r="AN5825">
        <v>1.0000000026282501</v>
      </c>
    </row>
    <row r="5826" spans="1:40" x14ac:dyDescent="0.25">
      <c r="A5826" t="str">
        <f>"20190303154926521"</f>
        <v>20190303154926521</v>
      </c>
      <c r="B5826" t="str">
        <f>"1551599366516782"</f>
        <v>1551599366516782</v>
      </c>
      <c r="C5826" t="s">
        <v>40</v>
      </c>
      <c r="D5826">
        <v>4.5349500000000003</v>
      </c>
      <c r="E5826">
        <v>0.50181589999999998</v>
      </c>
      <c r="F5826" t="s">
        <v>63</v>
      </c>
      <c r="G5826">
        <v>-421.02330000000001</v>
      </c>
      <c r="H5826">
        <v>1.660382</v>
      </c>
      <c r="I5826">
        <v>0.4669838</v>
      </c>
      <c r="J5826">
        <v>-421.8655</v>
      </c>
      <c r="K5826">
        <v>1.120673</v>
      </c>
      <c r="L5826">
        <v>104.2967</v>
      </c>
      <c r="M5826">
        <v>1.2433909999999999E-2</v>
      </c>
      <c r="N5826">
        <v>-1.466086E-2</v>
      </c>
      <c r="O5826">
        <v>-0.99981509999999996</v>
      </c>
      <c r="P5826">
        <v>1.5368349999999999E-2</v>
      </c>
      <c r="Q5826">
        <v>-0.1181364</v>
      </c>
      <c r="R5826">
        <v>-0.99287820000000004</v>
      </c>
      <c r="S5826">
        <v>2.453613E-2</v>
      </c>
      <c r="T5826">
        <v>1.5683530000000001E-2</v>
      </c>
      <c r="U5826">
        <v>-3.0229189999999999</v>
      </c>
      <c r="V5826">
        <v>-3.064574E-3</v>
      </c>
      <c r="W5826">
        <v>-0.1035643</v>
      </c>
      <c r="X5826">
        <v>0.99461809999999995</v>
      </c>
      <c r="Y5826">
        <v>4.3203259999999898E-3</v>
      </c>
      <c r="Z5826">
        <v>-1.9846800000000001E-2</v>
      </c>
      <c r="AA5826">
        <v>0.99979370000000001</v>
      </c>
      <c r="AB5826">
        <v>24</v>
      </c>
      <c r="AC5826">
        <v>0.84219999999999096</v>
      </c>
      <c r="AD5826">
        <v>0.53970899999999999</v>
      </c>
      <c r="AE5826">
        <v>-103.82971619999999</v>
      </c>
      <c r="AF5826">
        <v>0.44900124666942798</v>
      </c>
      <c r="AG5826">
        <v>0.53970899999999999</v>
      </c>
      <c r="AH5826">
        <v>103.829355756897</v>
      </c>
      <c r="AI5826">
        <v>89.702179792916795</v>
      </c>
      <c r="AJ5826">
        <v>89.752230803304997</v>
      </c>
      <c r="AK5826">
        <v>103.831729277791</v>
      </c>
      <c r="AL5826">
        <v>95.944455683922001</v>
      </c>
      <c r="AM5826">
        <v>90.176536703445905</v>
      </c>
      <c r="AN5826">
        <v>1.00000006034794</v>
      </c>
    </row>
    <row r="5827" spans="1:40" x14ac:dyDescent="0.25">
      <c r="A5827" t="str">
        <f>"20190303154926534"</f>
        <v>20190303154926534</v>
      </c>
      <c r="B5827" t="str">
        <f>"1551599366526542"</f>
        <v>1551599366526542</v>
      </c>
      <c r="C5827" t="s">
        <v>40</v>
      </c>
      <c r="D5827">
        <v>4.5345399999999998</v>
      </c>
      <c r="E5827">
        <v>0.5016893</v>
      </c>
      <c r="F5827" t="s">
        <v>63</v>
      </c>
      <c r="G5827">
        <v>-420.96910000000003</v>
      </c>
      <c r="H5827">
        <v>1.474648</v>
      </c>
      <c r="I5827">
        <v>0.46753499999999998</v>
      </c>
      <c r="J5827">
        <v>-421.86380000000003</v>
      </c>
      <c r="K5827">
        <v>1.120698</v>
      </c>
      <c r="L5827">
        <v>104.1528</v>
      </c>
      <c r="M5827">
        <v>1.2301019999999999E-2</v>
      </c>
      <c r="N5827">
        <v>-1.466284E-2</v>
      </c>
      <c r="O5827">
        <v>-0.99981699999999996</v>
      </c>
      <c r="P5827">
        <v>1.572453E-2</v>
      </c>
      <c r="Q5827">
        <v>-0.11833249999999999</v>
      </c>
      <c r="R5827">
        <v>-0.99284969999999995</v>
      </c>
      <c r="S5827">
        <v>2.6092529999999999E-2</v>
      </c>
      <c r="T5827">
        <v>1.03029E-2</v>
      </c>
      <c r="U5827">
        <v>-3.0223390000000001</v>
      </c>
      <c r="V5827">
        <v>-3.5482579999999999E-3</v>
      </c>
      <c r="W5827">
        <v>-0.1037587</v>
      </c>
      <c r="X5827">
        <v>0.99459620000000004</v>
      </c>
      <c r="Y5827">
        <v>3.67074E-3</v>
      </c>
      <c r="Z5827">
        <v>-1.8070050000000001E-2</v>
      </c>
      <c r="AA5827">
        <v>0.99983</v>
      </c>
      <c r="AB5827">
        <v>24</v>
      </c>
      <c r="AC5827">
        <v>0.89470000000000005</v>
      </c>
      <c r="AD5827">
        <v>0.35394999999999999</v>
      </c>
      <c r="AE5827">
        <v>-103.685265</v>
      </c>
      <c r="AF5827">
        <v>0.38093469650310302</v>
      </c>
      <c r="AG5827">
        <v>0.35394999999999999</v>
      </c>
      <c r="AH5827">
        <v>103.687217139537</v>
      </c>
      <c r="AI5827">
        <v>89.804415374565394</v>
      </c>
      <c r="AJ5827">
        <v>89.789502961072102</v>
      </c>
      <c r="AK5827">
        <v>103.688521013596</v>
      </c>
      <c r="AL5827">
        <v>95.955654498246503</v>
      </c>
      <c r="AM5827">
        <v>90.204403903354404</v>
      </c>
      <c r="AN5827">
        <v>1.00000002950748</v>
      </c>
    </row>
    <row r="5828" spans="1:40" x14ac:dyDescent="0.25">
      <c r="A5828" t="str">
        <f>"20190303154926551"</f>
        <v>20190303154926551</v>
      </c>
      <c r="B5828" t="str">
        <f>"1551599366547038"</f>
        <v>1551599366547038</v>
      </c>
      <c r="C5828" t="s">
        <v>40</v>
      </c>
      <c r="D5828">
        <v>4.5049599999999996</v>
      </c>
      <c r="E5828">
        <v>0.50147900000000001</v>
      </c>
      <c r="F5828" t="s">
        <v>63</v>
      </c>
      <c r="G5828">
        <v>-420.90679999999998</v>
      </c>
      <c r="H5828">
        <v>1.4143680000000001</v>
      </c>
      <c r="I5828">
        <v>0.46816829999999998</v>
      </c>
      <c r="J5828">
        <v>-421.86180000000002</v>
      </c>
      <c r="K5828">
        <v>1.120722</v>
      </c>
      <c r="L5828">
        <v>103.973</v>
      </c>
      <c r="M5828">
        <v>1.215485E-2</v>
      </c>
      <c r="N5828">
        <v>-1.465578E-2</v>
      </c>
      <c r="O5828">
        <v>-0.99981889999999995</v>
      </c>
      <c r="P5828">
        <v>1.5650150000000002E-2</v>
      </c>
      <c r="Q5828">
        <v>-0.1180196</v>
      </c>
      <c r="R5828">
        <v>-0.9928882</v>
      </c>
      <c r="S5828">
        <v>2.7893069999999999E-2</v>
      </c>
      <c r="T5828">
        <v>8.5591079999999993E-3</v>
      </c>
      <c r="U5828">
        <v>-3.022186</v>
      </c>
      <c r="V5828">
        <v>-3.6123990000000001E-3</v>
      </c>
      <c r="W5828">
        <v>-0.1034525</v>
      </c>
      <c r="X5828">
        <v>0.99462779999999995</v>
      </c>
      <c r="Y5828">
        <v>2.9284369999999999E-3</v>
      </c>
      <c r="Z5828">
        <v>-1.7486290000000002E-2</v>
      </c>
      <c r="AA5828">
        <v>0.99984280000000003</v>
      </c>
      <c r="AB5828">
        <v>24</v>
      </c>
      <c r="AC5828">
        <v>0.95500000000004004</v>
      </c>
      <c r="AD5828">
        <v>0.29364600000000002</v>
      </c>
      <c r="AE5828">
        <v>-103.5048317</v>
      </c>
      <c r="AF5828">
        <v>0.30328873183459099</v>
      </c>
      <c r="AG5828">
        <v>0.29364600000000002</v>
      </c>
      <c r="AH5828">
        <v>103.50795994668999</v>
      </c>
      <c r="AI5828">
        <v>89.837456374171893</v>
      </c>
      <c r="AJ5828">
        <v>89.832118084573196</v>
      </c>
      <c r="AK5828">
        <v>103.508820804576</v>
      </c>
      <c r="AL5828">
        <v>95.938015991869804</v>
      </c>
      <c r="AM5828">
        <v>90.208092219592203</v>
      </c>
      <c r="AN5828">
        <v>0.99999996485781195</v>
      </c>
    </row>
    <row r="5829" spans="1:40" x14ac:dyDescent="0.25">
      <c r="A5829" t="str">
        <f>"20190303154926569"</f>
        <v>20190303154926569</v>
      </c>
      <c r="B5829" t="str">
        <f>"1551599366556798"</f>
        <v>1551599366556798</v>
      </c>
      <c r="C5829" t="s">
        <v>40</v>
      </c>
      <c r="D5829">
        <v>4.5289320000000002</v>
      </c>
      <c r="E5829">
        <v>0.50139420000000001</v>
      </c>
      <c r="F5829" t="s">
        <v>63</v>
      </c>
      <c r="G5829">
        <v>-420.85730000000001</v>
      </c>
      <c r="H5829">
        <v>1.392949</v>
      </c>
      <c r="I5829">
        <v>0.46866989999999997</v>
      </c>
      <c r="J5829">
        <v>-421.85980000000001</v>
      </c>
      <c r="K5829">
        <v>1.1207370000000001</v>
      </c>
      <c r="L5829">
        <v>103.79770000000001</v>
      </c>
      <c r="M5829">
        <v>1.2034309999999999E-2</v>
      </c>
      <c r="N5829">
        <v>-1.4619740000000001E-2</v>
      </c>
      <c r="O5829">
        <v>-0.99982099999999996</v>
      </c>
      <c r="P5829">
        <v>1.611127E-2</v>
      </c>
      <c r="Q5829">
        <v>-0.11765970000000001</v>
      </c>
      <c r="R5829">
        <v>-0.99292369999999996</v>
      </c>
      <c r="S5829">
        <v>2.9327389999999998E-2</v>
      </c>
      <c r="T5829">
        <v>7.9473259999999993E-3</v>
      </c>
      <c r="U5829">
        <v>-3.021973</v>
      </c>
      <c r="V5829">
        <v>-4.1878360000000003E-3</v>
      </c>
      <c r="W5829">
        <v>-0.10312789999999999</v>
      </c>
      <c r="X5829">
        <v>0.99465930000000002</v>
      </c>
      <c r="Y5829">
        <v>2.3327040000000001E-3</v>
      </c>
      <c r="Z5829">
        <v>-1.7248039999999999E-2</v>
      </c>
      <c r="AA5829">
        <v>0.99984850000000003</v>
      </c>
      <c r="AB5829">
        <v>24</v>
      </c>
      <c r="AC5829">
        <v>1.00249999999999</v>
      </c>
      <c r="AD5829">
        <v>0.27221199999999901</v>
      </c>
      <c r="AE5829">
        <v>-103.3290301</v>
      </c>
      <c r="AF5829">
        <v>0.241197060254734</v>
      </c>
      <c r="AG5829">
        <v>0.27221199999999901</v>
      </c>
      <c r="AH5829">
        <v>103.33289454201601</v>
      </c>
      <c r="AI5829">
        <v>89.849065292942498</v>
      </c>
      <c r="AJ5829">
        <v>89.866261866109198</v>
      </c>
      <c r="AK5829">
        <v>103.333534584985</v>
      </c>
      <c r="AL5829">
        <v>95.919317486776393</v>
      </c>
      <c r="AM5829">
        <v>90.241232259413906</v>
      </c>
      <c r="AN5829">
        <v>1.00000001240263</v>
      </c>
    </row>
    <row r="5830" spans="1:40" x14ac:dyDescent="0.25">
      <c r="A5830" t="str">
        <f>"20190303154926589"</f>
        <v>20190303154926589</v>
      </c>
      <c r="B5830" t="str">
        <f>"1551599366576318"</f>
        <v>1551599366576318</v>
      </c>
      <c r="C5830" t="s">
        <v>40</v>
      </c>
      <c r="D5830">
        <v>4.5445399999999996</v>
      </c>
      <c r="E5830">
        <v>0.50110299999999997</v>
      </c>
      <c r="F5830" t="s">
        <v>63</v>
      </c>
      <c r="G5830">
        <v>-420.7724</v>
      </c>
      <c r="H5830">
        <v>1.3862460000000001</v>
      </c>
      <c r="I5830">
        <v>0.469532</v>
      </c>
      <c r="J5830">
        <v>-421.85739999999998</v>
      </c>
      <c r="K5830">
        <v>1.1207229999999999</v>
      </c>
      <c r="L5830">
        <v>103.5883</v>
      </c>
      <c r="M5830">
        <v>1.1919580000000001E-2</v>
      </c>
      <c r="N5830">
        <v>-1.4515689999999999E-2</v>
      </c>
      <c r="O5830">
        <v>-0.99982389999999999</v>
      </c>
      <c r="P5830">
        <v>1.6884239999999998E-2</v>
      </c>
      <c r="Q5830">
        <v>-0.11732869999999999</v>
      </c>
      <c r="R5830">
        <v>-0.99295</v>
      </c>
      <c r="S5830">
        <v>3.1799319999999999E-2</v>
      </c>
      <c r="T5830">
        <v>7.7638630000000002E-3</v>
      </c>
      <c r="U5830">
        <v>-3.0217900000000002</v>
      </c>
      <c r="V5830">
        <v>-5.0691870000000002E-3</v>
      </c>
      <c r="W5830">
        <v>-0.1028999</v>
      </c>
      <c r="X5830">
        <v>0.99467879999999997</v>
      </c>
      <c r="Y5830">
        <v>1.3995769999999999E-3</v>
      </c>
      <c r="Z5830">
        <v>-1.7083399999999999E-2</v>
      </c>
      <c r="AA5830">
        <v>0.99985310000000005</v>
      </c>
      <c r="AB5830">
        <v>24</v>
      </c>
      <c r="AC5830">
        <v>1.08499999999997</v>
      </c>
      <c r="AD5830">
        <v>0.26552299999999901</v>
      </c>
      <c r="AE5830">
        <v>-103.118768</v>
      </c>
      <c r="AF5830">
        <v>0.14433767932703201</v>
      </c>
      <c r="AG5830">
        <v>0.26552299999999901</v>
      </c>
      <c r="AH5830">
        <v>103.123691273864</v>
      </c>
      <c r="AI5830">
        <v>89.852475230911907</v>
      </c>
      <c r="AJ5830">
        <v>89.919805678524199</v>
      </c>
      <c r="AK5830">
        <v>103.124134118917</v>
      </c>
      <c r="AL5830">
        <v>95.906184248707106</v>
      </c>
      <c r="AM5830">
        <v>90.291994266096594</v>
      </c>
      <c r="AN5830">
        <v>1.00000000062314</v>
      </c>
    </row>
    <row r="5831" spans="1:40" x14ac:dyDescent="0.25">
      <c r="A5831" t="str">
        <f>"20190303154926611"</f>
        <v>20190303154926611</v>
      </c>
      <c r="B5831" t="str">
        <f>"1551599366606574"</f>
        <v>1551599366606574</v>
      </c>
      <c r="C5831" t="s">
        <v>40</v>
      </c>
      <c r="D5831">
        <v>4.5524979999999999</v>
      </c>
      <c r="E5831">
        <v>0.50097659999999999</v>
      </c>
      <c r="F5831" t="s">
        <v>63</v>
      </c>
      <c r="G5831">
        <v>-420.59609999999998</v>
      </c>
      <c r="H5831">
        <v>1.3260829999999999</v>
      </c>
      <c r="I5831">
        <v>0.47132869999999999</v>
      </c>
      <c r="J5831">
        <v>-421.85469999999998</v>
      </c>
      <c r="K5831">
        <v>1.1206959999999999</v>
      </c>
      <c r="L5831">
        <v>103.3462</v>
      </c>
      <c r="M5831">
        <v>1.18178E-2</v>
      </c>
      <c r="N5831">
        <v>-1.431379E-2</v>
      </c>
      <c r="O5831">
        <v>-0.99982789999999999</v>
      </c>
      <c r="P5831">
        <v>1.7599380000000001E-2</v>
      </c>
      <c r="Q5831">
        <v>-0.11719209999999999</v>
      </c>
      <c r="R5831">
        <v>-0.9929538</v>
      </c>
      <c r="S5831">
        <v>3.6956790000000003E-2</v>
      </c>
      <c r="T5831">
        <v>6.0162540000000004E-3</v>
      </c>
      <c r="U5831">
        <v>-3.0213930000000002</v>
      </c>
      <c r="V5831">
        <v>-5.8806730000000003E-3</v>
      </c>
      <c r="W5831">
        <v>-0.1029641</v>
      </c>
      <c r="X5831">
        <v>0.99466770000000004</v>
      </c>
      <c r="Y5831">
        <v>-4.1014760000000002E-4</v>
      </c>
      <c r="Z5831">
        <v>-1.6303450000000001E-2</v>
      </c>
      <c r="AA5831">
        <v>0.99986699999999995</v>
      </c>
      <c r="AB5831">
        <v>24</v>
      </c>
      <c r="AC5831">
        <v>1.2585999999999999</v>
      </c>
      <c r="AD5831">
        <v>0.20538699999999999</v>
      </c>
      <c r="AE5831">
        <v>-102.8748713</v>
      </c>
      <c r="AF5831">
        <v>-4.2632930655627399E-2</v>
      </c>
      <c r="AG5831">
        <v>0.20538699999999999</v>
      </c>
      <c r="AH5831">
        <v>102.88215119373</v>
      </c>
      <c r="AI5831">
        <v>89.885618725045305</v>
      </c>
      <c r="AJ5831">
        <v>90.023742571735497</v>
      </c>
      <c r="AK5831">
        <v>102.882365037143</v>
      </c>
      <c r="AL5831">
        <v>95.909882219794198</v>
      </c>
      <c r="AM5831">
        <v>90.338740081631798</v>
      </c>
      <c r="AN5831">
        <v>1.0000000108135101</v>
      </c>
    </row>
    <row r="5832" spans="1:40" x14ac:dyDescent="0.25">
      <c r="A5832" t="str">
        <f>"20190303154926632"</f>
        <v>20190303154926632</v>
      </c>
      <c r="B5832" t="str">
        <f>"1551599366627070"</f>
        <v>1551599366627070</v>
      </c>
      <c r="C5832" t="s">
        <v>40</v>
      </c>
      <c r="D5832">
        <v>4.5646040000000001</v>
      </c>
      <c r="E5832">
        <v>0.50083880000000003</v>
      </c>
      <c r="F5832" t="s">
        <v>63</v>
      </c>
      <c r="G5832">
        <v>-420.49020000000002</v>
      </c>
      <c r="H5832">
        <v>1.279779</v>
      </c>
      <c r="I5832">
        <v>0.4724064</v>
      </c>
      <c r="J5832">
        <v>-421.85210000000001</v>
      </c>
      <c r="K5832">
        <v>1.120663</v>
      </c>
      <c r="L5832">
        <v>103.1131</v>
      </c>
      <c r="M5832">
        <v>1.172957E-2</v>
      </c>
      <c r="N5832">
        <v>-1.407253E-2</v>
      </c>
      <c r="O5832">
        <v>-0.99983239999999995</v>
      </c>
      <c r="P5832">
        <v>1.8969139999999999E-2</v>
      </c>
      <c r="Q5832">
        <v>-0.1166208</v>
      </c>
      <c r="R5832">
        <v>-0.99299570000000004</v>
      </c>
      <c r="S5832">
        <v>4.006958E-2</v>
      </c>
      <c r="T5832">
        <v>4.6709780000000001E-3</v>
      </c>
      <c r="U5832">
        <v>-3.021118</v>
      </c>
      <c r="V5832">
        <v>-7.3351060000000001E-3</v>
      </c>
      <c r="W5832">
        <v>-0.1026319</v>
      </c>
      <c r="X5832">
        <v>0.99469229999999997</v>
      </c>
      <c r="Y5832">
        <v>-1.529639E-3</v>
      </c>
      <c r="Z5832">
        <v>-1.561715E-2</v>
      </c>
      <c r="AA5832">
        <v>0.99987689999999996</v>
      </c>
      <c r="AB5832">
        <v>24</v>
      </c>
      <c r="AC5832">
        <v>1.3618999999999899</v>
      </c>
      <c r="AD5832">
        <v>0.15911600000000001</v>
      </c>
      <c r="AE5832">
        <v>-102.640693599999</v>
      </c>
      <c r="AF5832">
        <v>-0.15775575229533401</v>
      </c>
      <c r="AG5832">
        <v>0.15911600000000001</v>
      </c>
      <c r="AH5832">
        <v>102.649360601034</v>
      </c>
      <c r="AI5832">
        <v>89.911186420142997</v>
      </c>
      <c r="AJ5832">
        <v>90.088054437274394</v>
      </c>
      <c r="AK5832">
        <v>102.649605145758</v>
      </c>
      <c r="AL5832">
        <v>95.8907476010518</v>
      </c>
      <c r="AM5832">
        <v>90.4225055308995</v>
      </c>
      <c r="AN5832">
        <v>0.99999994117846303</v>
      </c>
    </row>
    <row r="5833" spans="1:40" x14ac:dyDescent="0.25">
      <c r="A5833" t="str">
        <f>"20190303154926656"</f>
        <v>20190303154926656</v>
      </c>
      <c r="B5833" t="str">
        <f>"1551599366646590"</f>
        <v>1551599366646590</v>
      </c>
      <c r="C5833" t="s">
        <v>40</v>
      </c>
      <c r="D5833">
        <v>4.5362609999999997</v>
      </c>
      <c r="E5833">
        <v>0.50071540000000003</v>
      </c>
      <c r="F5833" t="s">
        <v>63</v>
      </c>
      <c r="G5833">
        <v>-420.30180000000001</v>
      </c>
      <c r="H5833">
        <v>1.28155</v>
      </c>
      <c r="I5833">
        <v>0.4743214</v>
      </c>
      <c r="J5833">
        <v>-421.8494</v>
      </c>
      <c r="K5833">
        <v>1.1206179999999999</v>
      </c>
      <c r="L5833">
        <v>102.8784</v>
      </c>
      <c r="M5833">
        <v>1.1642110000000001E-2</v>
      </c>
      <c r="N5833">
        <v>-1.381489E-2</v>
      </c>
      <c r="O5833">
        <v>-0.99983690000000003</v>
      </c>
      <c r="P5833">
        <v>2.063974E-2</v>
      </c>
      <c r="Q5833">
        <v>-0.1161966</v>
      </c>
      <c r="R5833">
        <v>-0.99301209999999995</v>
      </c>
      <c r="S5833">
        <v>4.5623780000000003E-2</v>
      </c>
      <c r="T5833">
        <v>4.7343970000000004E-3</v>
      </c>
      <c r="U5833">
        <v>-3.0208439999999999</v>
      </c>
      <c r="V5833">
        <v>-9.0916090000000005E-3</v>
      </c>
      <c r="W5833">
        <v>-0.1024634</v>
      </c>
      <c r="X5833">
        <v>0.9946952</v>
      </c>
      <c r="Y5833">
        <v>-3.4562719999999998E-3</v>
      </c>
      <c r="Z5833">
        <v>-1.53805E-2</v>
      </c>
      <c r="AA5833">
        <v>0.99987570000000003</v>
      </c>
      <c r="AB5833">
        <v>24</v>
      </c>
      <c r="AC5833">
        <v>1.5475999999999801</v>
      </c>
      <c r="AD5833">
        <v>0.16093199999999899</v>
      </c>
      <c r="AE5833">
        <v>-102.404078599999</v>
      </c>
      <c r="AF5833">
        <v>-0.35518101853346501</v>
      </c>
      <c r="AG5833">
        <v>0.16093199999999899</v>
      </c>
      <c r="AH5833">
        <v>102.41490334952999</v>
      </c>
      <c r="AI5833">
        <v>89.909967582377902</v>
      </c>
      <c r="AJ5833">
        <v>90.198704398212698</v>
      </c>
      <c r="AK5833">
        <v>102.415645683451</v>
      </c>
      <c r="AL5833">
        <v>95.881041905530694</v>
      </c>
      <c r="AM5833">
        <v>90.523674307010594</v>
      </c>
      <c r="AN5833">
        <v>0.99999997329840395</v>
      </c>
    </row>
    <row r="5834" spans="1:40" x14ac:dyDescent="0.25">
      <c r="A5834" t="str">
        <f>"20190303154926677"</f>
        <v>20190303154926677</v>
      </c>
      <c r="B5834" t="str">
        <f>"1551599366667087"</f>
        <v>1551599366667087</v>
      </c>
      <c r="C5834" t="s">
        <v>40</v>
      </c>
      <c r="D5834">
        <v>4.5669219999999999</v>
      </c>
      <c r="E5834">
        <v>0.5006718</v>
      </c>
      <c r="F5834" t="s">
        <v>63</v>
      </c>
      <c r="G5834">
        <v>-420.08010000000002</v>
      </c>
      <c r="H5834">
        <v>1.2427090000000001</v>
      </c>
      <c r="I5834">
        <v>0.47657389999999999</v>
      </c>
      <c r="J5834">
        <v>-421.84679999999997</v>
      </c>
      <c r="K5834">
        <v>1.1205799999999999</v>
      </c>
      <c r="L5834">
        <v>102.6443</v>
      </c>
      <c r="M5834">
        <v>1.1554089999999999E-2</v>
      </c>
      <c r="N5834">
        <v>-1.3560060000000001E-2</v>
      </c>
      <c r="O5834">
        <v>-0.99984150000000005</v>
      </c>
      <c r="P5834">
        <v>2.1384779999999999E-2</v>
      </c>
      <c r="Q5834">
        <v>-0.11615549999999999</v>
      </c>
      <c r="R5834">
        <v>-0.99300100000000002</v>
      </c>
      <c r="S5834">
        <v>5.2185059999999998E-2</v>
      </c>
      <c r="T5834">
        <v>3.600359E-3</v>
      </c>
      <c r="U5834">
        <v>-3.0204469999999999</v>
      </c>
      <c r="V5834">
        <v>-9.9242700000000007E-3</v>
      </c>
      <c r="W5834">
        <v>-0.10267569999999999</v>
      </c>
      <c r="X5834">
        <v>0.99466540000000003</v>
      </c>
      <c r="Y5834">
        <v>-5.7177440000000003E-3</v>
      </c>
      <c r="Z5834">
        <v>-1.4750360000000001E-2</v>
      </c>
      <c r="AA5834">
        <v>0.99987479999999995</v>
      </c>
      <c r="AB5834">
        <v>24</v>
      </c>
      <c r="AC5834">
        <v>1.76669999999995</v>
      </c>
      <c r="AD5834">
        <v>0.122129</v>
      </c>
      <c r="AE5834">
        <v>-102.1677261</v>
      </c>
      <c r="AF5834">
        <v>-0.58601780166420203</v>
      </c>
      <c r="AG5834">
        <v>0.122129</v>
      </c>
      <c r="AH5834">
        <v>102.181173596457</v>
      </c>
      <c r="AI5834">
        <v>89.931520087281598</v>
      </c>
      <c r="AJ5834">
        <v>90.3285926111256</v>
      </c>
      <c r="AK5834">
        <v>102.182926998133</v>
      </c>
      <c r="AL5834">
        <v>95.893269993185697</v>
      </c>
      <c r="AM5834">
        <v>90.571649439226405</v>
      </c>
      <c r="AN5834">
        <v>1.00000002423134</v>
      </c>
    </row>
    <row r="5835" spans="1:40" x14ac:dyDescent="0.25">
      <c r="A5835" t="str">
        <f>"20190303154926702"</f>
        <v>20190303154926702</v>
      </c>
      <c r="B5835" t="str">
        <f>"1551599366696366"</f>
        <v>1551599366696366</v>
      </c>
      <c r="C5835" t="s">
        <v>40</v>
      </c>
      <c r="D5835">
        <v>4.5570069999999996</v>
      </c>
      <c r="E5835">
        <v>0.50073299999999998</v>
      </c>
      <c r="F5835" t="s">
        <v>63</v>
      </c>
      <c r="G5835">
        <v>-419.99889999999999</v>
      </c>
      <c r="H5835">
        <v>1.229514</v>
      </c>
      <c r="I5835">
        <v>0.47739979999999999</v>
      </c>
      <c r="J5835">
        <v>-421.84399999999999</v>
      </c>
      <c r="K5835">
        <v>1.120544</v>
      </c>
      <c r="L5835">
        <v>102.39749999999999</v>
      </c>
      <c r="M5835">
        <v>1.146018E-2</v>
      </c>
      <c r="N5835">
        <v>-1.3300009999999999E-2</v>
      </c>
      <c r="O5835">
        <v>-0.99984600000000001</v>
      </c>
      <c r="P5835">
        <v>2.1181740000000001E-2</v>
      </c>
      <c r="Q5835">
        <v>-0.1162325</v>
      </c>
      <c r="R5835">
        <v>-0.9929962</v>
      </c>
      <c r="S5835">
        <v>5.4626460000000002E-2</v>
      </c>
      <c r="T5835">
        <v>3.219604E-3</v>
      </c>
      <c r="U5835">
        <v>-3.0203549999999999</v>
      </c>
      <c r="V5835">
        <v>-9.8157880000000006E-3</v>
      </c>
      <c r="W5835">
        <v>-0.10301150000000001</v>
      </c>
      <c r="X5835">
        <v>0.99463170000000001</v>
      </c>
      <c r="Y5835">
        <v>-6.6202419999999897E-3</v>
      </c>
      <c r="Z5835">
        <v>-1.436429E-2</v>
      </c>
      <c r="AA5835">
        <v>0.99987490000000001</v>
      </c>
      <c r="AB5835">
        <v>24</v>
      </c>
      <c r="AC5835">
        <v>1.8451</v>
      </c>
      <c r="AD5835">
        <v>0.10897</v>
      </c>
      <c r="AE5835">
        <v>-101.92010019999999</v>
      </c>
      <c r="AF5835">
        <v>-0.67685216969696704</v>
      </c>
      <c r="AG5835">
        <v>0.10897</v>
      </c>
      <c r="AH5835">
        <v>101.93443648270799</v>
      </c>
      <c r="AI5835">
        <v>89.938751011973196</v>
      </c>
      <c r="AJ5835">
        <v>90.380442606792599</v>
      </c>
      <c r="AK5835">
        <v>101.93674187636</v>
      </c>
      <c r="AL5835">
        <v>95.912612807638595</v>
      </c>
      <c r="AM5835">
        <v>90.5654203139716</v>
      </c>
      <c r="AN5835">
        <v>0.99999996873560004</v>
      </c>
    </row>
    <row r="5836" spans="1:40" x14ac:dyDescent="0.25">
      <c r="A5836" t="str">
        <f>"20190303154926723"</f>
        <v>20190303154926723</v>
      </c>
      <c r="B5836" t="str">
        <f>"1551599366716862"</f>
        <v>1551599366716862</v>
      </c>
      <c r="C5836" t="s">
        <v>40</v>
      </c>
      <c r="D5836">
        <v>4.5791740000000001</v>
      </c>
      <c r="E5836">
        <v>0.50071809999999894</v>
      </c>
      <c r="F5836" t="s">
        <v>63</v>
      </c>
      <c r="G5836">
        <v>-420.06139999999999</v>
      </c>
      <c r="H5836">
        <v>1.211015</v>
      </c>
      <c r="I5836">
        <v>0.47676469999999999</v>
      </c>
      <c r="J5836">
        <v>-421.84140000000002</v>
      </c>
      <c r="K5836">
        <v>1.12052</v>
      </c>
      <c r="L5836">
        <v>102.1622</v>
      </c>
      <c r="M5836">
        <v>1.136729E-2</v>
      </c>
      <c r="N5836">
        <v>-1.306682E-2</v>
      </c>
      <c r="O5836">
        <v>-0.99985009999999996</v>
      </c>
      <c r="P5836">
        <v>2.0122850000000001E-2</v>
      </c>
      <c r="Q5836">
        <v>-0.11640979999999999</v>
      </c>
      <c r="R5836">
        <v>-0.99299760000000004</v>
      </c>
      <c r="S5836">
        <v>5.282593E-2</v>
      </c>
      <c r="T5836">
        <v>2.6803019999999999E-3</v>
      </c>
      <c r="U5836">
        <v>-3.0203549999999999</v>
      </c>
      <c r="V5836">
        <v>-8.8507269999999992E-3</v>
      </c>
      <c r="W5836">
        <v>-0.103420899999999</v>
      </c>
      <c r="X5836">
        <v>0.99459830000000005</v>
      </c>
      <c r="Y5836">
        <v>-6.1174530000000001E-3</v>
      </c>
      <c r="Z5836">
        <v>-1.395269E-2</v>
      </c>
      <c r="AA5836">
        <v>0.99988390000000005</v>
      </c>
      <c r="AB5836">
        <v>24</v>
      </c>
      <c r="AC5836">
        <v>1.78000000000002</v>
      </c>
      <c r="AD5836">
        <v>9.0494999999999701E-2</v>
      </c>
      <c r="AE5836">
        <v>-101.68543529999999</v>
      </c>
      <c r="AF5836">
        <v>-0.62389806122444402</v>
      </c>
      <c r="AG5836">
        <v>9.0494999999999701E-2</v>
      </c>
      <c r="AH5836">
        <v>101.699019290694</v>
      </c>
      <c r="AI5836">
        <v>89.949017378252606</v>
      </c>
      <c r="AJ5836">
        <v>90.351490875422797</v>
      </c>
      <c r="AK5836">
        <v>101.700973263902</v>
      </c>
      <c r="AL5836">
        <v>95.936195482792101</v>
      </c>
      <c r="AM5836">
        <v>90.509849974211704</v>
      </c>
      <c r="AN5836">
        <v>0.99999999814406404</v>
      </c>
    </row>
    <row r="5837" spans="1:40" x14ac:dyDescent="0.25">
      <c r="A5837" t="str">
        <f>"20190303154926744"</f>
        <v>20190303154926744</v>
      </c>
      <c r="B5837" t="str">
        <f>"1551599366736382"</f>
        <v>1551599366736382</v>
      </c>
      <c r="C5837" t="s">
        <v>40</v>
      </c>
      <c r="D5837">
        <v>4.570538</v>
      </c>
      <c r="E5837">
        <v>0.50071199999999905</v>
      </c>
      <c r="F5837" t="s">
        <v>63</v>
      </c>
      <c r="G5837">
        <v>-420.15629999999999</v>
      </c>
      <c r="H5837">
        <v>1.160647</v>
      </c>
      <c r="I5837">
        <v>0.47579959999999999</v>
      </c>
      <c r="J5837">
        <v>-421.83909999999997</v>
      </c>
      <c r="K5837">
        <v>1.120503</v>
      </c>
      <c r="L5837">
        <v>101.9402</v>
      </c>
      <c r="M5837">
        <v>1.127439E-2</v>
      </c>
      <c r="N5837">
        <v>-1.28635E-2</v>
      </c>
      <c r="O5837">
        <v>-0.99985369999999996</v>
      </c>
      <c r="P5837">
        <v>1.937328E-2</v>
      </c>
      <c r="Q5837">
        <v>-0.1152942</v>
      </c>
      <c r="R5837">
        <v>-0.99314239999999998</v>
      </c>
      <c r="S5837">
        <v>5.0048830000000002E-2</v>
      </c>
      <c r="T5837">
        <v>1.1912579999999999E-3</v>
      </c>
      <c r="U5837">
        <v>-3.0202640000000001</v>
      </c>
      <c r="V5837">
        <v>-8.1927549999999995E-3</v>
      </c>
      <c r="W5837">
        <v>-0.1025059</v>
      </c>
      <c r="X5837">
        <v>0.99469859999999999</v>
      </c>
      <c r="Y5837">
        <v>-5.292031E-3</v>
      </c>
      <c r="Z5837">
        <v>-1.325662E-2</v>
      </c>
      <c r="AA5837">
        <v>0.99989810000000001</v>
      </c>
      <c r="AB5837">
        <v>24</v>
      </c>
      <c r="AC5837">
        <v>1.6827999999999801</v>
      </c>
      <c r="AD5837">
        <v>4.0143999999999902E-2</v>
      </c>
      <c r="AE5837">
        <v>-101.4644004</v>
      </c>
      <c r="AF5837">
        <v>-0.53864906693901404</v>
      </c>
      <c r="AG5837">
        <v>4.0143999999999902E-2</v>
      </c>
      <c r="AH5837">
        <v>101.476908695887</v>
      </c>
      <c r="AI5837">
        <v>89.977334259787398</v>
      </c>
      <c r="AJ5837">
        <v>90.304128581745402</v>
      </c>
      <c r="AK5837">
        <v>101.478346226333</v>
      </c>
      <c r="AL5837">
        <v>95.883490045787198</v>
      </c>
      <c r="AM5837">
        <v>90.471901407927405</v>
      </c>
      <c r="AN5837">
        <v>0.99999994280562798</v>
      </c>
    </row>
    <row r="5838" spans="1:40" x14ac:dyDescent="0.25">
      <c r="A5838" t="str">
        <f>"20190303154926768"</f>
        <v>20190303154926768</v>
      </c>
      <c r="B5838" t="str">
        <f>"1551599366756878"</f>
        <v>1551599366756878</v>
      </c>
      <c r="C5838" t="s">
        <v>40</v>
      </c>
      <c r="D5838">
        <v>4.5486469999999999</v>
      </c>
      <c r="E5838">
        <v>0.50064109999999995</v>
      </c>
      <c r="F5838" t="s">
        <v>63</v>
      </c>
      <c r="G5838">
        <v>-420.20069999999998</v>
      </c>
      <c r="H5838">
        <v>1.2727189999999999</v>
      </c>
      <c r="I5838">
        <v>0.47534939999999998</v>
      </c>
      <c r="J5838">
        <v>-421.83640000000003</v>
      </c>
      <c r="K5838">
        <v>1.120495</v>
      </c>
      <c r="L5838">
        <v>101.69159999999999</v>
      </c>
      <c r="M5838">
        <v>1.116548E-2</v>
      </c>
      <c r="N5838">
        <v>-1.265372E-2</v>
      </c>
      <c r="O5838">
        <v>-0.99985769999999996</v>
      </c>
      <c r="P5838">
        <v>1.87148E-2</v>
      </c>
      <c r="Q5838">
        <v>-0.11425630000000001</v>
      </c>
      <c r="R5838">
        <v>-0.99327520000000002</v>
      </c>
      <c r="S5838">
        <v>4.8767089999999999E-2</v>
      </c>
      <c r="T5838">
        <v>4.5303110000000004E-3</v>
      </c>
      <c r="U5838">
        <v>-3.0202939999999998</v>
      </c>
      <c r="V5838">
        <v>-7.6417880000000001E-3</v>
      </c>
      <c r="W5838">
        <v>-0.10167519999999999</v>
      </c>
      <c r="X5838">
        <v>0.99478829999999996</v>
      </c>
      <c r="Y5838">
        <v>-4.9764700000000002E-3</v>
      </c>
      <c r="Z5838">
        <v>-1.415215E-2</v>
      </c>
      <c r="AA5838">
        <v>0.99988750000000004</v>
      </c>
      <c r="AB5838">
        <v>24</v>
      </c>
      <c r="AC5838">
        <v>1.6357000000000399</v>
      </c>
      <c r="AD5838">
        <v>0.152224</v>
      </c>
      <c r="AE5838">
        <v>-101.2162506</v>
      </c>
      <c r="AF5838">
        <v>-0.50537848504403704</v>
      </c>
      <c r="AG5838">
        <v>0.152224</v>
      </c>
      <c r="AH5838">
        <v>101.22797611561499</v>
      </c>
      <c r="AI5838">
        <v>89.913841234324593</v>
      </c>
      <c r="AJ5838">
        <v>90.286045565558396</v>
      </c>
      <c r="AK5838">
        <v>101.22935210709799</v>
      </c>
      <c r="AL5838">
        <v>95.835644099924593</v>
      </c>
      <c r="AM5838">
        <v>90.440127400194299</v>
      </c>
      <c r="AN5838">
        <v>1.0000000025178799</v>
      </c>
    </row>
    <row r="5839" spans="1:40" x14ac:dyDescent="0.25">
      <c r="A5839" t="str">
        <f>"20190303154926790"</f>
        <v>20190303154926790</v>
      </c>
      <c r="B5839" t="str">
        <f>"1551599366786158"</f>
        <v>1551599366786158</v>
      </c>
      <c r="C5839" t="s">
        <v>40</v>
      </c>
      <c r="D5839">
        <v>4.6408339999999999</v>
      </c>
      <c r="E5839">
        <v>0.50065329999999997</v>
      </c>
      <c r="F5839" t="s">
        <v>63</v>
      </c>
      <c r="G5839">
        <v>-420.26639999999998</v>
      </c>
      <c r="H5839">
        <v>1.3773839999999999</v>
      </c>
      <c r="I5839">
        <v>0.47467799999999999</v>
      </c>
      <c r="J5839">
        <v>-421.83390000000003</v>
      </c>
      <c r="K5839">
        <v>1.120476</v>
      </c>
      <c r="L5839">
        <v>101.45820000000001</v>
      </c>
      <c r="M5839">
        <v>1.105969E-2</v>
      </c>
      <c r="N5839">
        <v>-1.2469549999999999E-2</v>
      </c>
      <c r="O5839">
        <v>-0.99986109999999995</v>
      </c>
      <c r="P5839">
        <v>1.8749200000000001E-2</v>
      </c>
      <c r="Q5839">
        <v>-0.1139005</v>
      </c>
      <c r="R5839">
        <v>-0.99331559999999997</v>
      </c>
      <c r="S5839">
        <v>4.6844480000000001E-2</v>
      </c>
      <c r="T5839">
        <v>7.6645609999999899E-3</v>
      </c>
      <c r="U5839">
        <v>-3.0202939999999998</v>
      </c>
      <c r="V5839">
        <v>-7.78138599999999E-3</v>
      </c>
      <c r="W5839">
        <v>-0.1015021</v>
      </c>
      <c r="X5839">
        <v>0.99480489999999999</v>
      </c>
      <c r="Y5839">
        <v>-4.4458500000000003E-3</v>
      </c>
      <c r="Z5839">
        <v>-1.500553E-2</v>
      </c>
      <c r="AA5839">
        <v>0.99987749999999997</v>
      </c>
      <c r="AB5839">
        <v>24</v>
      </c>
      <c r="AC5839">
        <v>1.5675000000000501</v>
      </c>
      <c r="AD5839">
        <v>0.25690799999999903</v>
      </c>
      <c r="AE5839">
        <v>-100.98352199999999</v>
      </c>
      <c r="AF5839">
        <v>-0.450467928342698</v>
      </c>
      <c r="AG5839">
        <v>0.25690799999999903</v>
      </c>
      <c r="AH5839">
        <v>100.994028775271</v>
      </c>
      <c r="AI5839">
        <v>89.854253106516595</v>
      </c>
      <c r="AJ5839">
        <v>90.255557088427196</v>
      </c>
      <c r="AK5839">
        <v>100.995360147559</v>
      </c>
      <c r="AL5839">
        <v>95.825674593213094</v>
      </c>
      <c r="AM5839">
        <v>90.448159718675896</v>
      </c>
      <c r="AN5839">
        <v>1.00000000766825</v>
      </c>
    </row>
    <row r="5840" spans="1:40" x14ac:dyDescent="0.25">
      <c r="A5840" t="str">
        <f>"20190303154926804"</f>
        <v>20190303154926804</v>
      </c>
      <c r="B5840" t="str">
        <f>"1551599366796894"</f>
        <v>1551599366796894</v>
      </c>
      <c r="C5840" t="s">
        <v>40</v>
      </c>
      <c r="D5840">
        <v>4.5769739999999999</v>
      </c>
      <c r="E5840">
        <v>0.50000199999999995</v>
      </c>
      <c r="F5840" t="s">
        <v>63</v>
      </c>
      <c r="G5840">
        <v>-420.24810000000002</v>
      </c>
      <c r="H5840">
        <v>1.3763209999999999</v>
      </c>
      <c r="I5840">
        <v>0.47486499999999998</v>
      </c>
      <c r="J5840">
        <v>-421.8322</v>
      </c>
      <c r="K5840">
        <v>1.1204670000000001</v>
      </c>
      <c r="L5840">
        <v>101.2963</v>
      </c>
      <c r="M5840">
        <v>1.0985419999999999E-2</v>
      </c>
      <c r="N5840">
        <v>-1.2349250000000001E-2</v>
      </c>
      <c r="O5840">
        <v>-0.99986370000000002</v>
      </c>
      <c r="P5840">
        <v>1.902125E-2</v>
      </c>
      <c r="Q5840">
        <v>-0.1140808</v>
      </c>
      <c r="R5840">
        <v>-0.99328989999999995</v>
      </c>
      <c r="S5840">
        <v>4.7424319999999999E-2</v>
      </c>
      <c r="T5840">
        <v>7.6510909999999996E-3</v>
      </c>
      <c r="U5840">
        <v>-3.0201720000000001</v>
      </c>
      <c r="V5840">
        <v>-8.1278909999999999E-3</v>
      </c>
      <c r="W5840">
        <v>-0.1018023</v>
      </c>
      <c r="X5840">
        <v>0.99477139999999997</v>
      </c>
      <c r="Y5840">
        <v>-4.7127189999999998E-3</v>
      </c>
      <c r="Z5840">
        <v>-1.4880869999999999E-2</v>
      </c>
      <c r="AA5840">
        <v>0.99987820000000005</v>
      </c>
      <c r="AB5840">
        <v>24</v>
      </c>
      <c r="AC5840">
        <v>1.5840999999999701</v>
      </c>
      <c r="AD5840">
        <v>0.25585399999999903</v>
      </c>
      <c r="AE5840">
        <v>-100.82143499999999</v>
      </c>
      <c r="AF5840">
        <v>-0.47635139276163302</v>
      </c>
      <c r="AG5840">
        <v>0.25585399999999903</v>
      </c>
      <c r="AH5840">
        <v>100.83210449229701</v>
      </c>
      <c r="AI5840">
        <v>89.854618135729396</v>
      </c>
      <c r="AJ5840">
        <v>90.2706749151819</v>
      </c>
      <c r="AK5840">
        <v>100.833554277652</v>
      </c>
      <c r="AL5840">
        <v>95.842964658387103</v>
      </c>
      <c r="AM5840">
        <v>90.468131158563594</v>
      </c>
      <c r="AN5840">
        <v>0.99999995457767699</v>
      </c>
    </row>
    <row r="5841" spans="1:40" x14ac:dyDescent="0.25">
      <c r="A5841" t="str">
        <f>"20190303154926824"</f>
        <v>20190303154926824</v>
      </c>
      <c r="B5841" t="str">
        <f>"1551599366816414"</f>
        <v>1551599366816414</v>
      </c>
      <c r="C5841" t="s">
        <v>40</v>
      </c>
      <c r="D5841">
        <v>4.5763860000000003</v>
      </c>
      <c r="E5841">
        <v>0.4775491</v>
      </c>
      <c r="F5841" t="s">
        <v>63</v>
      </c>
      <c r="G5841">
        <v>-420.04410000000001</v>
      </c>
      <c r="H5841">
        <v>1.2749969999999999</v>
      </c>
      <c r="I5841">
        <v>0.47694589999999998</v>
      </c>
      <c r="J5841">
        <v>-421.83</v>
      </c>
      <c r="K5841">
        <v>1.1204609999999999</v>
      </c>
      <c r="L5841">
        <v>101.0934</v>
      </c>
      <c r="M5841">
        <v>1.0892600000000001E-2</v>
      </c>
      <c r="N5841">
        <v>-1.2209650000000001E-2</v>
      </c>
      <c r="O5841">
        <v>-0.99986629999999999</v>
      </c>
      <c r="P5841">
        <v>1.9277220000000001E-2</v>
      </c>
      <c r="Q5841">
        <v>-0.1143</v>
      </c>
      <c r="R5841">
        <v>-0.99325969999999997</v>
      </c>
      <c r="S5841">
        <v>5.3558349999999998E-2</v>
      </c>
      <c r="T5841">
        <v>4.627824E-3</v>
      </c>
      <c r="U5841">
        <v>-3.0197750000000001</v>
      </c>
      <c r="V5841">
        <v>-8.4771699999999992E-3</v>
      </c>
      <c r="W5841">
        <v>-0.1021605</v>
      </c>
      <c r="X5841">
        <v>0.99473180000000005</v>
      </c>
      <c r="Y5841">
        <v>-6.8382099999999999E-3</v>
      </c>
      <c r="Z5841">
        <v>-1.3740560000000001E-2</v>
      </c>
      <c r="AA5841">
        <v>0.99988220000000005</v>
      </c>
      <c r="AB5841">
        <v>24</v>
      </c>
      <c r="AC5841">
        <v>1.7858999999999601</v>
      </c>
      <c r="AD5841">
        <v>0.15453599999999901</v>
      </c>
      <c r="AE5841">
        <v>-100.6164541</v>
      </c>
      <c r="AF5841">
        <v>-0.68973610611293501</v>
      </c>
      <c r="AG5841">
        <v>0.15453599999999901</v>
      </c>
      <c r="AH5841">
        <v>100.629701261554</v>
      </c>
      <c r="AI5841">
        <v>89.912013595068203</v>
      </c>
      <c r="AJ5841">
        <v>90.392710586559005</v>
      </c>
      <c r="AK5841">
        <v>100.632183685245</v>
      </c>
      <c r="AL5841">
        <v>95.863595350435006</v>
      </c>
      <c r="AM5841">
        <v>90.488266591552105</v>
      </c>
      <c r="AN5841">
        <v>0.99999999205134904</v>
      </c>
    </row>
    <row r="5842" spans="1:40" x14ac:dyDescent="0.25">
      <c r="A5842" t="str">
        <f>"20190303154926845"</f>
        <v>20190303154926845</v>
      </c>
      <c r="B5842" t="str">
        <f>"1551599366836910"</f>
        <v>1551599366836910</v>
      </c>
      <c r="C5842" t="s">
        <v>40</v>
      </c>
      <c r="D5842">
        <v>4.5440899999999997</v>
      </c>
      <c r="E5842">
        <v>0.47697840000000002</v>
      </c>
      <c r="F5842" t="s">
        <v>63</v>
      </c>
      <c r="G5842">
        <v>-414.0172</v>
      </c>
      <c r="H5842">
        <v>0.18880720000000001</v>
      </c>
      <c r="I5842">
        <v>0.53823279999999996</v>
      </c>
      <c r="J5842">
        <v>-421.82769999999999</v>
      </c>
      <c r="K5842">
        <v>1.1204499999999999</v>
      </c>
      <c r="L5842">
        <v>100.8681</v>
      </c>
      <c r="M5842">
        <v>1.078956E-2</v>
      </c>
      <c r="N5842">
        <v>-1.207037E-2</v>
      </c>
      <c r="O5842">
        <v>-0.99986889999999995</v>
      </c>
      <c r="P5842">
        <v>1.9433140000000002E-2</v>
      </c>
      <c r="Q5842">
        <v>-0.1138445</v>
      </c>
      <c r="R5842">
        <v>-0.99330850000000004</v>
      </c>
      <c r="S5842">
        <v>0.23406979999999999</v>
      </c>
      <c r="T5842">
        <v>-2.7912969999999999E-2</v>
      </c>
      <c r="U5842">
        <v>-3.0126040000000001</v>
      </c>
      <c r="V5842">
        <v>-8.7345400000000007E-3</v>
      </c>
      <c r="W5842">
        <v>-0.101843</v>
      </c>
      <c r="X5842">
        <v>0.99476209999999998</v>
      </c>
      <c r="Y5842">
        <v>-6.6692080000000001E-2</v>
      </c>
      <c r="Z5842">
        <v>-2.8255189999999999E-3</v>
      </c>
      <c r="AA5842">
        <v>0.99776960000000003</v>
      </c>
      <c r="AB5842">
        <v>24</v>
      </c>
      <c r="AC5842">
        <v>7.8104999999999896</v>
      </c>
      <c r="AD5842">
        <v>-0.93164279999999999</v>
      </c>
      <c r="AE5842">
        <v>-100.3298672</v>
      </c>
      <c r="AF5842">
        <v>-6.7268747259466197</v>
      </c>
      <c r="AG5842">
        <v>-0.93164279999999999</v>
      </c>
      <c r="AH5842">
        <v>100.399699330084</v>
      </c>
      <c r="AI5842">
        <v>90.530462421183799</v>
      </c>
      <c r="AJ5842">
        <v>93.833142397685904</v>
      </c>
      <c r="AK5842">
        <v>100.629113220064</v>
      </c>
      <c r="AL5842">
        <v>95.845308735324394</v>
      </c>
      <c r="AM5842">
        <v>90.503074471109699</v>
      </c>
      <c r="AN5842">
        <v>0.99999996221720999</v>
      </c>
    </row>
    <row r="5843" spans="1:40" x14ac:dyDescent="0.25">
      <c r="A5843" t="str">
        <f>"20190303154926867"</f>
        <v>20190303154926867</v>
      </c>
      <c r="B5843" t="str">
        <f>"1551599366856431"</f>
        <v>1551599366856431</v>
      </c>
      <c r="C5843" t="s">
        <v>40</v>
      </c>
      <c r="D5843">
        <v>4.5838279999999996</v>
      </c>
      <c r="E5843">
        <v>0.4771434</v>
      </c>
      <c r="F5843" t="s">
        <v>64</v>
      </c>
      <c r="G5843">
        <v>-414.29579999999999</v>
      </c>
      <c r="H5843">
        <v>7.9986559999999998E-2</v>
      </c>
      <c r="I5843">
        <v>5.8754010000000001</v>
      </c>
      <c r="J5843">
        <v>-421.82530000000003</v>
      </c>
      <c r="K5843">
        <v>1.1204400000000001</v>
      </c>
      <c r="L5843">
        <v>100.6332</v>
      </c>
      <c r="M5843">
        <v>1.068289E-2</v>
      </c>
      <c r="N5843">
        <v>-1.1940589999999999E-2</v>
      </c>
      <c r="O5843">
        <v>-0.99987179999999998</v>
      </c>
      <c r="P5843">
        <v>1.955171E-2</v>
      </c>
      <c r="Q5843">
        <v>-0.11419410000000001</v>
      </c>
      <c r="R5843">
        <v>-0.99326650000000005</v>
      </c>
      <c r="S5843">
        <v>0.23880000000000001</v>
      </c>
      <c r="T5843">
        <v>-3.2987950000000002E-2</v>
      </c>
      <c r="U5843">
        <v>-3.011749</v>
      </c>
      <c r="V5843">
        <v>-8.9603570000000004E-3</v>
      </c>
      <c r="W5843">
        <v>-0.102322</v>
      </c>
      <c r="X5843">
        <v>0.99471100000000001</v>
      </c>
      <c r="Y5843">
        <v>-6.8377309999999997E-2</v>
      </c>
      <c r="Z5843">
        <v>-1.01406E-3</v>
      </c>
      <c r="AA5843">
        <v>0.99765899999999996</v>
      </c>
      <c r="AB5843">
        <v>24</v>
      </c>
      <c r="AC5843">
        <v>7.5295000000000396</v>
      </c>
      <c r="AD5843">
        <v>-1.0404534399999901</v>
      </c>
      <c r="AE5843">
        <v>-94.757799000000006</v>
      </c>
      <c r="AF5843">
        <v>-6.5159304695171496</v>
      </c>
      <c r="AG5843">
        <v>-1.0404534399999901</v>
      </c>
      <c r="AH5843">
        <v>94.821473274757693</v>
      </c>
      <c r="AI5843">
        <v>90.627188734844907</v>
      </c>
      <c r="AJ5843">
        <v>93.931064493675706</v>
      </c>
      <c r="AK5843">
        <v>95.050784779716395</v>
      </c>
      <c r="AL5843">
        <v>95.872897161261903</v>
      </c>
      <c r="AM5843">
        <v>90.516106440468207</v>
      </c>
      <c r="AN5843">
        <v>1.0000000266012801</v>
      </c>
    </row>
    <row r="5844" spans="1:40" x14ac:dyDescent="0.25">
      <c r="A5844" t="str">
        <f>"20190303154926901"</f>
        <v>20190303154926901</v>
      </c>
      <c r="B5844" t="str">
        <f>"1551599366896446"</f>
        <v>1551599366896446</v>
      </c>
      <c r="C5844" t="s">
        <v>40</v>
      </c>
      <c r="D5844">
        <v>4.6220470000000002</v>
      </c>
      <c r="E5844">
        <v>0.47747149999999999</v>
      </c>
      <c r="F5844" t="s">
        <v>64</v>
      </c>
      <c r="G5844">
        <v>-414.63099999999997</v>
      </c>
      <c r="H5844">
        <v>5.3993590000000001E-2</v>
      </c>
      <c r="I5844">
        <v>9.6122610000000002</v>
      </c>
      <c r="J5844">
        <v>-421.82159999999999</v>
      </c>
      <c r="K5844">
        <v>1.120431</v>
      </c>
      <c r="L5844">
        <v>100.27670000000001</v>
      </c>
      <c r="M5844">
        <v>1.0521559999999999E-2</v>
      </c>
      <c r="N5844">
        <v>-1.176346E-2</v>
      </c>
      <c r="O5844">
        <v>-0.99987559999999998</v>
      </c>
      <c r="P5844">
        <v>2.0098419999999999E-2</v>
      </c>
      <c r="Q5844">
        <v>-0.1147306</v>
      </c>
      <c r="R5844">
        <v>-0.9931934</v>
      </c>
      <c r="S5844">
        <v>0.2380371</v>
      </c>
      <c r="T5844">
        <v>-3.528535E-2</v>
      </c>
      <c r="U5844">
        <v>-3.0115970000000001</v>
      </c>
      <c r="V5844">
        <v>-9.6687400000000003E-3</v>
      </c>
      <c r="W5844">
        <v>-0.1030354</v>
      </c>
      <c r="X5844">
        <v>0.99463069999999998</v>
      </c>
      <c r="Y5844">
        <v>-6.8291080000000004E-2</v>
      </c>
      <c r="Z5844" s="1">
        <v>-7.5756569999999997E-5</v>
      </c>
      <c r="AA5844">
        <v>0.99766549999999998</v>
      </c>
      <c r="AB5844">
        <v>24</v>
      </c>
      <c r="AC5844">
        <v>7.1906000000000097</v>
      </c>
      <c r="AD5844">
        <v>-1.06643741</v>
      </c>
      <c r="AE5844">
        <v>-90.664439000000002</v>
      </c>
      <c r="AF5844">
        <v>-6.2353474182309601</v>
      </c>
      <c r="AG5844">
        <v>-1.06643741</v>
      </c>
      <c r="AH5844">
        <v>90.722607775757695</v>
      </c>
      <c r="AI5844">
        <v>90.671891626002704</v>
      </c>
      <c r="AJ5844">
        <v>93.931744799629101</v>
      </c>
      <c r="AK5844">
        <v>90.942885416119594</v>
      </c>
      <c r="AL5844">
        <v>95.913989294286793</v>
      </c>
      <c r="AM5844">
        <v>90.556950983440501</v>
      </c>
      <c r="AN5844">
        <v>1.0000000037844099</v>
      </c>
    </row>
    <row r="5845" spans="1:40" x14ac:dyDescent="0.25">
      <c r="A5845" t="str">
        <f>"20190303154926923"</f>
        <v>20190303154926923</v>
      </c>
      <c r="B5845" t="str">
        <f>"1551599366916946"</f>
        <v>1551599366916946</v>
      </c>
      <c r="C5845" t="s">
        <v>40</v>
      </c>
      <c r="D5845">
        <v>4.616117</v>
      </c>
      <c r="E5845">
        <v>0.47763650000000002</v>
      </c>
      <c r="F5845" t="s">
        <v>64</v>
      </c>
      <c r="G5845">
        <v>-414.86349999999999</v>
      </c>
      <c r="H5845" s="1">
        <v>-1.291673E-5</v>
      </c>
      <c r="I5845">
        <v>11.91132</v>
      </c>
      <c r="J5845">
        <v>-421.81920000000002</v>
      </c>
      <c r="K5845">
        <v>1.120422</v>
      </c>
      <c r="L5845">
        <v>100.03749999999999</v>
      </c>
      <c r="M5845">
        <v>1.041415E-2</v>
      </c>
      <c r="N5845">
        <v>-1.165945E-2</v>
      </c>
      <c r="O5845">
        <v>-0.99987800000000004</v>
      </c>
      <c r="P5845">
        <v>2.0504479999999999E-2</v>
      </c>
      <c r="Q5845">
        <v>-0.11484220000000001</v>
      </c>
      <c r="R5845">
        <v>-0.99317250000000001</v>
      </c>
      <c r="S5845">
        <v>0.23712159999999999</v>
      </c>
      <c r="T5845">
        <v>-3.8182969999999997E-2</v>
      </c>
      <c r="U5845">
        <v>-3.0113530000000002</v>
      </c>
      <c r="V5845">
        <v>-1.018168E-2</v>
      </c>
      <c r="W5845">
        <v>-0.1032505</v>
      </c>
      <c r="X5845">
        <v>0.99460329999999997</v>
      </c>
      <c r="Y5845">
        <v>-6.8102910000000003E-2</v>
      </c>
      <c r="Z5845">
        <v>9.8874610000000002E-4</v>
      </c>
      <c r="AA5845">
        <v>0.99767779999999995</v>
      </c>
      <c r="AB5845">
        <v>24</v>
      </c>
      <c r="AC5845">
        <v>6.9557000000000304</v>
      </c>
      <c r="AD5845">
        <v>-1.1204349167299901</v>
      </c>
      <c r="AE5845">
        <v>-88.126179999999906</v>
      </c>
      <c r="AF5845">
        <v>-6.0365315576997496</v>
      </c>
      <c r="AG5845">
        <v>-1.1204349167299901</v>
      </c>
      <c r="AH5845">
        <v>88.179677401927194</v>
      </c>
      <c r="AI5845">
        <v>90.726276916908006</v>
      </c>
      <c r="AJ5845">
        <v>93.916197196852295</v>
      </c>
      <c r="AK5845">
        <v>88.393159205662997</v>
      </c>
      <c r="AL5845">
        <v>95.926379553941999</v>
      </c>
      <c r="AM5845">
        <v>90.5865121458082</v>
      </c>
      <c r="AN5845">
        <v>1.00000002836438</v>
      </c>
    </row>
    <row r="5846" spans="1:40" x14ac:dyDescent="0.25">
      <c r="A5846" t="str">
        <f>"20190303154926945"</f>
        <v>20190303154926945</v>
      </c>
      <c r="B5846" t="str">
        <f>"1551599366936462"</f>
        <v>1551599366936462</v>
      </c>
      <c r="C5846" t="s">
        <v>40</v>
      </c>
      <c r="D5846">
        <v>4.6394869999999999</v>
      </c>
      <c r="E5846">
        <v>0.47764960000000001</v>
      </c>
      <c r="F5846" t="s">
        <v>64</v>
      </c>
      <c r="G5846">
        <v>-415.55119999999999</v>
      </c>
      <c r="H5846" s="1">
        <v>-7.8526860000000003E-6</v>
      </c>
      <c r="I5846">
        <v>20.500589999999999</v>
      </c>
      <c r="J5846">
        <v>-421.81689999999998</v>
      </c>
      <c r="K5846">
        <v>1.1204190000000001</v>
      </c>
      <c r="L5846">
        <v>99.803560000000004</v>
      </c>
      <c r="M5846">
        <v>1.0308609999999999E-2</v>
      </c>
      <c r="N5846">
        <v>-1.156917E-2</v>
      </c>
      <c r="O5846">
        <v>-0.99987990000000004</v>
      </c>
      <c r="P5846">
        <v>2.0824410000000002E-2</v>
      </c>
      <c r="Q5846">
        <v>-0.11488329999999999</v>
      </c>
      <c r="R5846">
        <v>-0.99316090000000001</v>
      </c>
      <c r="S5846">
        <v>0.23727419999999999</v>
      </c>
      <c r="T5846">
        <v>-4.2413350000000002E-2</v>
      </c>
      <c r="U5846">
        <v>-3.010834</v>
      </c>
      <c r="V5846">
        <v>-1.060647E-2</v>
      </c>
      <c r="W5846">
        <v>-0.1033815</v>
      </c>
      <c r="X5846">
        <v>0.99458519999999995</v>
      </c>
      <c r="Y5846">
        <v>-6.827126E-2</v>
      </c>
      <c r="Z5846">
        <v>2.481914E-3</v>
      </c>
      <c r="AA5846">
        <v>0.99766370000000004</v>
      </c>
      <c r="AB5846">
        <v>24</v>
      </c>
      <c r="AC5846">
        <v>6.2656999999999803</v>
      </c>
      <c r="AD5846">
        <v>-1.120426852686</v>
      </c>
      <c r="AE5846">
        <v>-79.302970000000002</v>
      </c>
      <c r="AF5846">
        <v>-5.4467284012487998</v>
      </c>
      <c r="AG5846">
        <v>-1.120426852686</v>
      </c>
      <c r="AH5846">
        <v>79.347610116898196</v>
      </c>
      <c r="AI5846">
        <v>90.807091498832094</v>
      </c>
      <c r="AJ5846">
        <v>93.926845016173402</v>
      </c>
      <c r="AK5846">
        <v>79.542224245192401</v>
      </c>
      <c r="AL5846">
        <v>95.933925995748197</v>
      </c>
      <c r="AM5846">
        <v>90.610991326723706</v>
      </c>
      <c r="AN5846">
        <v>0.99999997590357503</v>
      </c>
    </row>
    <row r="5847" spans="1:40" x14ac:dyDescent="0.25">
      <c r="A5847" t="str">
        <f>"20190303154926968"</f>
        <v>20190303154926968</v>
      </c>
      <c r="B5847" t="str">
        <f>"1551599366956958"</f>
        <v>1551599366956958</v>
      </c>
      <c r="C5847" t="s">
        <v>40</v>
      </c>
      <c r="D5847">
        <v>4.6349710000000002</v>
      </c>
      <c r="E5847">
        <v>0.47761219999999999</v>
      </c>
      <c r="F5847" t="s">
        <v>64</v>
      </c>
      <c r="G5847">
        <v>-415.70249999999999</v>
      </c>
      <c r="H5847" s="1">
        <v>-7.9933739999999993E-6</v>
      </c>
      <c r="I5847">
        <v>22.459710000000001</v>
      </c>
      <c r="J5847">
        <v>-421.81450000000001</v>
      </c>
      <c r="K5847">
        <v>1.120404</v>
      </c>
      <c r="L5847">
        <v>99.555909999999997</v>
      </c>
      <c r="M5847">
        <v>1.019695E-2</v>
      </c>
      <c r="N5847">
        <v>-1.148565E-2</v>
      </c>
      <c r="O5847">
        <v>-0.99988200000000005</v>
      </c>
      <c r="P5847">
        <v>2.0568590000000001E-2</v>
      </c>
      <c r="Q5847">
        <v>-0.115171</v>
      </c>
      <c r="R5847">
        <v>-0.99313269999999998</v>
      </c>
      <c r="S5847">
        <v>0.23800660000000001</v>
      </c>
      <c r="T5847">
        <v>-4.3613199999999998E-2</v>
      </c>
      <c r="U5847">
        <v>-3.0106510000000002</v>
      </c>
      <c r="V5847">
        <v>-1.046189E-2</v>
      </c>
      <c r="W5847">
        <v>-0.1037525</v>
      </c>
      <c r="X5847">
        <v>0.99454810000000005</v>
      </c>
      <c r="Y5847">
        <v>-6.8628439999999999E-2</v>
      </c>
      <c r="Z5847">
        <v>2.963271E-3</v>
      </c>
      <c r="AA5847">
        <v>0.99763789999999997</v>
      </c>
      <c r="AB5847">
        <v>24</v>
      </c>
      <c r="AC5847">
        <v>6.1120000000000196</v>
      </c>
      <c r="AD5847">
        <v>-1.120411993374</v>
      </c>
      <c r="AE5847">
        <v>-77.096199999999996</v>
      </c>
      <c r="AF5847">
        <v>-5.3243667313083503</v>
      </c>
      <c r="AG5847">
        <v>-1.120411993374</v>
      </c>
      <c r="AH5847">
        <v>77.138329392440895</v>
      </c>
      <c r="AI5847">
        <v>90.830171213731802</v>
      </c>
      <c r="AJ5847">
        <v>93.948499496845898</v>
      </c>
      <c r="AK5847">
        <v>77.329981673223401</v>
      </c>
      <c r="AL5847">
        <v>95.955297645770997</v>
      </c>
      <c r="AM5847">
        <v>90.602685817438797</v>
      </c>
      <c r="AN5847">
        <v>0.99999997780611505</v>
      </c>
    </row>
    <row r="5848" spans="1:40" x14ac:dyDescent="0.25">
      <c r="A5848" t="str">
        <f>"20190303154926990"</f>
        <v>20190303154926990</v>
      </c>
      <c r="B5848" t="str">
        <f>"1551599366986238"</f>
        <v>1551599366986238</v>
      </c>
      <c r="C5848" t="s">
        <v>40</v>
      </c>
      <c r="D5848">
        <v>4.650728</v>
      </c>
      <c r="E5848">
        <v>0.47761720000000002</v>
      </c>
      <c r="F5848" t="s">
        <v>64</v>
      </c>
      <c r="G5848">
        <v>-415.97469999999998</v>
      </c>
      <c r="H5848" s="1">
        <v>-8.2294859999999998E-6</v>
      </c>
      <c r="I5848">
        <v>25.56645</v>
      </c>
      <c r="J5848">
        <v>-421.81220000000002</v>
      </c>
      <c r="K5848">
        <v>1.120401</v>
      </c>
      <c r="L5848">
        <v>99.318269999999998</v>
      </c>
      <c r="M5848">
        <v>1.0090170000000001E-2</v>
      </c>
      <c r="N5848">
        <v>-1.141583E-2</v>
      </c>
      <c r="O5848">
        <v>-0.99988390000000005</v>
      </c>
      <c r="P5848">
        <v>1.9540539999999999E-2</v>
      </c>
      <c r="Q5848">
        <v>-0.1153353</v>
      </c>
      <c r="R5848">
        <v>-0.99313459999999998</v>
      </c>
      <c r="S5848">
        <v>0.23760990000000001</v>
      </c>
      <c r="T5848">
        <v>-4.558802E-2</v>
      </c>
      <c r="U5848">
        <v>-3.010529</v>
      </c>
      <c r="V5848">
        <v>-9.5402100000000004E-3</v>
      </c>
      <c r="W5848">
        <v>-0.1039866</v>
      </c>
      <c r="X5848">
        <v>0.99453290000000005</v>
      </c>
      <c r="Y5848">
        <v>-6.8607169999999995E-2</v>
      </c>
      <c r="Z5848">
        <v>3.6876859999999999E-3</v>
      </c>
      <c r="AA5848">
        <v>0.99763690000000005</v>
      </c>
      <c r="AB5848">
        <v>24</v>
      </c>
      <c r="AC5848">
        <v>5.8375000000000297</v>
      </c>
      <c r="AD5848">
        <v>-1.120409229486</v>
      </c>
      <c r="AE5848">
        <v>-73.751819999999995</v>
      </c>
      <c r="AF5848">
        <v>-5.0918180744781196</v>
      </c>
      <c r="AG5848">
        <v>-1.120409229486</v>
      </c>
      <c r="AH5848">
        <v>73.790046605393897</v>
      </c>
      <c r="AI5848">
        <v>90.867834285940404</v>
      </c>
      <c r="AJ5848">
        <v>93.947388180422905</v>
      </c>
      <c r="AK5848">
        <v>73.974001555758093</v>
      </c>
      <c r="AL5848">
        <v>95.968783647562304</v>
      </c>
      <c r="AM5848">
        <v>90.549601730931201</v>
      </c>
      <c r="AN5848">
        <v>0.99999995888440596</v>
      </c>
    </row>
    <row r="5849" spans="1:40" x14ac:dyDescent="0.25">
      <c r="A5849" t="str">
        <f>"20190303154927013"</f>
        <v>20190303154927013</v>
      </c>
      <c r="B5849" t="str">
        <f>"1551599367006210"</f>
        <v>1551599367006210</v>
      </c>
      <c r="C5849" t="s">
        <v>40</v>
      </c>
      <c r="D5849">
        <v>4.6266160000000003</v>
      </c>
      <c r="E5849">
        <v>0.47757860000000002</v>
      </c>
      <c r="F5849" t="s">
        <v>64</v>
      </c>
      <c r="G5849">
        <v>-416.27159999999998</v>
      </c>
      <c r="H5849" s="1">
        <v>-8.4145760000000001E-6</v>
      </c>
      <c r="I5849">
        <v>28.138580000000001</v>
      </c>
      <c r="J5849">
        <v>-421.80990000000003</v>
      </c>
      <c r="K5849">
        <v>1.120401</v>
      </c>
      <c r="L5849">
        <v>99.080439999999996</v>
      </c>
      <c r="M5849">
        <v>9.9834539999999992E-3</v>
      </c>
      <c r="N5849">
        <v>-1.1354980000000001E-2</v>
      </c>
      <c r="O5849">
        <v>-0.99988560000000004</v>
      </c>
      <c r="P5849">
        <v>1.875363E-2</v>
      </c>
      <c r="Q5849">
        <v>-0.11522300000000001</v>
      </c>
      <c r="R5849">
        <v>-0.99316289999999996</v>
      </c>
      <c r="S5849">
        <v>0.23434450000000001</v>
      </c>
      <c r="T5849">
        <v>-4.7389390000000003E-2</v>
      </c>
      <c r="U5849">
        <v>-3.0106510000000002</v>
      </c>
      <c r="V5849">
        <v>-8.8587869999999999E-3</v>
      </c>
      <c r="W5849">
        <v>-0.10393479999999999</v>
      </c>
      <c r="X5849">
        <v>0.99454469999999995</v>
      </c>
      <c r="Y5849">
        <v>-6.763479E-2</v>
      </c>
      <c r="Z5849">
        <v>4.3455209999999998E-3</v>
      </c>
      <c r="AA5849">
        <v>0.9977007</v>
      </c>
      <c r="AB5849">
        <v>24</v>
      </c>
      <c r="AC5849">
        <v>5.5383000000000404</v>
      </c>
      <c r="AD5849">
        <v>-1.120409414576</v>
      </c>
      <c r="AE5849">
        <v>-70.941859999999906</v>
      </c>
      <c r="AF5849">
        <v>-4.82853634914769</v>
      </c>
      <c r="AG5849">
        <v>-1.120409414576</v>
      </c>
      <c r="AH5849">
        <v>70.976022730946696</v>
      </c>
      <c r="AI5849">
        <v>90.902296237987898</v>
      </c>
      <c r="AJ5849">
        <v>93.891865513395402</v>
      </c>
      <c r="AK5849">
        <v>71.148899381755498</v>
      </c>
      <c r="AL5849">
        <v>95.965799067643403</v>
      </c>
      <c r="AM5849">
        <v>90.510341750895805</v>
      </c>
      <c r="AN5849">
        <v>1.00000004052811</v>
      </c>
    </row>
    <row r="5850" spans="1:40" x14ac:dyDescent="0.25">
      <c r="A5850" t="str">
        <f>"20190303154927034"</f>
        <v>20190303154927034</v>
      </c>
      <c r="B5850" t="str">
        <f>"1551599367026707"</f>
        <v>1551599367026707</v>
      </c>
      <c r="C5850" t="s">
        <v>40</v>
      </c>
      <c r="D5850">
        <v>4.6241070000000004</v>
      </c>
      <c r="E5850">
        <v>0.4776109</v>
      </c>
      <c r="F5850" t="s">
        <v>64</v>
      </c>
      <c r="G5850">
        <v>-416.35550000000001</v>
      </c>
      <c r="H5850" s="1">
        <v>-8.4248499999999995E-6</v>
      </c>
      <c r="I5850">
        <v>28.491700000000002</v>
      </c>
      <c r="J5850">
        <v>-421.80770000000001</v>
      </c>
      <c r="K5850">
        <v>1.120401</v>
      </c>
      <c r="L5850">
        <v>98.84778</v>
      </c>
      <c r="M5850">
        <v>9.8793430000000005E-3</v>
      </c>
      <c r="N5850">
        <v>-1.130335E-2</v>
      </c>
      <c r="O5850">
        <v>-0.99988730000000003</v>
      </c>
      <c r="P5850">
        <v>1.8802510000000001E-2</v>
      </c>
      <c r="Q5850">
        <v>-0.1146419</v>
      </c>
      <c r="R5850">
        <v>-0.99322900000000003</v>
      </c>
      <c r="S5850">
        <v>0.2326355</v>
      </c>
      <c r="T5850">
        <v>-4.7787070000000001E-2</v>
      </c>
      <c r="U5850">
        <v>-3.0107119999999998</v>
      </c>
      <c r="V5850">
        <v>-9.0110429999999998E-3</v>
      </c>
      <c r="W5850">
        <v>-0.1034043</v>
      </c>
      <c r="X5850">
        <v>0.9945986</v>
      </c>
      <c r="Y5850">
        <v>-6.7174199999999906E-2</v>
      </c>
      <c r="Z5850">
        <v>4.5290510000000001E-3</v>
      </c>
      <c r="AA5850">
        <v>0.99773100000000003</v>
      </c>
      <c r="AB5850">
        <v>24</v>
      </c>
      <c r="AC5850">
        <v>5.4522000000000004</v>
      </c>
      <c r="AD5850">
        <v>-1.1204094248500001</v>
      </c>
      <c r="AE5850">
        <v>-70.356079999999906</v>
      </c>
      <c r="AF5850">
        <v>-4.7556187991196897</v>
      </c>
      <c r="AG5850">
        <v>-1.1204094248500001</v>
      </c>
      <c r="AH5850">
        <v>70.388769573793894</v>
      </c>
      <c r="AI5850">
        <v>90.909851591598198</v>
      </c>
      <c r="AJ5850">
        <v>93.865153951887194</v>
      </c>
      <c r="AK5850">
        <v>70.558132837784797</v>
      </c>
      <c r="AL5850">
        <v>95.935239165650898</v>
      </c>
      <c r="AM5850">
        <v>90.519084389649095</v>
      </c>
      <c r="AN5850">
        <v>1.00000001163819</v>
      </c>
    </row>
    <row r="5851" spans="1:40" x14ac:dyDescent="0.25">
      <c r="A5851" t="str">
        <f>"20190303154927057"</f>
        <v>20190303154927057</v>
      </c>
      <c r="B5851" t="str">
        <f>"1551599367046226"</f>
        <v>1551599367046226</v>
      </c>
      <c r="C5851" t="s">
        <v>40</v>
      </c>
      <c r="D5851">
        <v>4.6215909999999996</v>
      </c>
      <c r="E5851">
        <v>0.47759649999999998</v>
      </c>
      <c r="F5851" t="s">
        <v>64</v>
      </c>
      <c r="G5851">
        <v>-416.2133</v>
      </c>
      <c r="H5851" s="1">
        <v>-8.2534820000000006E-6</v>
      </c>
      <c r="I5851">
        <v>26.52431</v>
      </c>
      <c r="J5851">
        <v>-421.80540000000002</v>
      </c>
      <c r="K5851">
        <v>1.1203970000000001</v>
      </c>
      <c r="L5851">
        <v>98.606080000000006</v>
      </c>
      <c r="M5851">
        <v>9.7710699999999998E-3</v>
      </c>
      <c r="N5851">
        <v>-1.1257039999999999E-2</v>
      </c>
      <c r="O5851">
        <v>-0.99988920000000003</v>
      </c>
      <c r="P5851">
        <v>1.90437E-2</v>
      </c>
      <c r="Q5851">
        <v>-0.114433199999999</v>
      </c>
      <c r="R5851">
        <v>-0.99324869999999998</v>
      </c>
      <c r="S5851">
        <v>0.23287959999999999</v>
      </c>
      <c r="T5851">
        <v>-4.6639920000000001E-2</v>
      </c>
      <c r="U5851">
        <v>-3.0106510000000002</v>
      </c>
      <c r="V5851">
        <v>-9.3593099999999992E-3</v>
      </c>
      <c r="W5851">
        <v>-0.1032414</v>
      </c>
      <c r="X5851">
        <v>0.9946123</v>
      </c>
      <c r="Y5851">
        <v>-6.7364499999999994E-2</v>
      </c>
      <c r="Z5851">
        <v>4.1955969999999997E-3</v>
      </c>
      <c r="AA5851">
        <v>0.99771960000000004</v>
      </c>
      <c r="AB5851">
        <v>24</v>
      </c>
      <c r="AC5851">
        <v>5.5921000000000101</v>
      </c>
      <c r="AD5851">
        <v>-1.1204052534819999</v>
      </c>
      <c r="AE5851">
        <v>-72.081769999999906</v>
      </c>
      <c r="AF5851">
        <v>-4.8862990999738001</v>
      </c>
      <c r="AG5851">
        <v>-1.1204052534819999</v>
      </c>
      <c r="AH5851">
        <v>72.115653766044005</v>
      </c>
      <c r="AI5851">
        <v>90.888052860650902</v>
      </c>
      <c r="AJ5851">
        <v>93.876232759937295</v>
      </c>
      <c r="AK5851">
        <v>72.289686297080905</v>
      </c>
      <c r="AL5851">
        <v>95.925855497961905</v>
      </c>
      <c r="AM5851">
        <v>90.539137848009005</v>
      </c>
      <c r="AN5851">
        <v>1.00000000533446</v>
      </c>
    </row>
    <row r="5852" spans="1:40" x14ac:dyDescent="0.25">
      <c r="A5852" t="str">
        <f>"20190303154927080"</f>
        <v>20190303154927080</v>
      </c>
      <c r="B5852" t="str">
        <f>"1551599367076483"</f>
        <v>1551599367076483</v>
      </c>
      <c r="C5852" t="s">
        <v>40</v>
      </c>
      <c r="D5852">
        <v>4.6049419999999897</v>
      </c>
      <c r="E5852">
        <v>0.47763820000000001</v>
      </c>
      <c r="F5852" t="s">
        <v>64</v>
      </c>
      <c r="G5852">
        <v>-416.14249999999998</v>
      </c>
      <c r="H5852" s="1">
        <v>-8.1806189999999995E-6</v>
      </c>
      <c r="I5852">
        <v>25.6554</v>
      </c>
      <c r="J5852">
        <v>-421.80309999999997</v>
      </c>
      <c r="K5852">
        <v>1.120395</v>
      </c>
      <c r="L5852">
        <v>98.362880000000004</v>
      </c>
      <c r="M5852">
        <v>9.6625259999999994E-3</v>
      </c>
      <c r="N5852">
        <v>-1.1217100000000001E-2</v>
      </c>
      <c r="O5852">
        <v>-0.99989039999999996</v>
      </c>
      <c r="P5852">
        <v>2.026143E-2</v>
      </c>
      <c r="Q5852">
        <v>-0.1138058</v>
      </c>
      <c r="R5852">
        <v>-0.99329650000000003</v>
      </c>
      <c r="S5852">
        <v>0.23370360000000001</v>
      </c>
      <c r="T5852">
        <v>-4.6237830000000001E-2</v>
      </c>
      <c r="U5852">
        <v>-3.0105900000000001</v>
      </c>
      <c r="V5852">
        <v>-1.068411E-2</v>
      </c>
      <c r="W5852">
        <v>-0.1026528</v>
      </c>
      <c r="X5852">
        <v>0.99465979999999998</v>
      </c>
      <c r="Y5852">
        <v>-6.774587E-2</v>
      </c>
      <c r="Z5852">
        <v>4.1022929999999999E-3</v>
      </c>
      <c r="AA5852">
        <v>0.99769419999999998</v>
      </c>
      <c r="AB5852">
        <v>24</v>
      </c>
      <c r="AC5852">
        <v>5.6605999999999801</v>
      </c>
      <c r="AD5852">
        <v>-1.120403180619</v>
      </c>
      <c r="AE5852">
        <v>-72.707480000000004</v>
      </c>
      <c r="AF5852">
        <v>-4.9565836940227497</v>
      </c>
      <c r="AG5852">
        <v>-1.120403180619</v>
      </c>
      <c r="AH5852">
        <v>72.741615327169598</v>
      </c>
      <c r="AI5852">
        <v>90.880387689364696</v>
      </c>
      <c r="AJ5852">
        <v>93.898085316655795</v>
      </c>
      <c r="AK5852">
        <v>72.918897589094897</v>
      </c>
      <c r="AL5852">
        <v>95.8919514916618</v>
      </c>
      <c r="AM5852">
        <v>90.615417320761594</v>
      </c>
      <c r="AN5852">
        <v>0.99999993264518305</v>
      </c>
    </row>
    <row r="5853" spans="1:40" x14ac:dyDescent="0.25">
      <c r="A5853" t="str">
        <f>"20190303154927102"</f>
        <v>20190303154927102</v>
      </c>
      <c r="B5853" t="str">
        <f>"1551599367096982"</f>
        <v>1551599367096982</v>
      </c>
      <c r="C5853" t="s">
        <v>40</v>
      </c>
      <c r="D5853">
        <v>4.5808450000000001</v>
      </c>
      <c r="E5853">
        <v>0.4775798</v>
      </c>
      <c r="F5853" t="s">
        <v>64</v>
      </c>
      <c r="G5853">
        <v>-416.0342</v>
      </c>
      <c r="H5853" s="1">
        <v>-8.1690299999999996E-6</v>
      </c>
      <c r="I5853">
        <v>25.214469999999999</v>
      </c>
      <c r="J5853">
        <v>-421.80090000000001</v>
      </c>
      <c r="K5853">
        <v>1.1203909999999999</v>
      </c>
      <c r="L5853">
        <v>98.122280000000003</v>
      </c>
      <c r="M5853">
        <v>9.5541900000000006E-3</v>
      </c>
      <c r="N5853">
        <v>-1.1183530000000001E-2</v>
      </c>
      <c r="O5853">
        <v>-0.99989209999999995</v>
      </c>
      <c r="P5853">
        <v>2.0980909999999998E-2</v>
      </c>
      <c r="Q5853">
        <v>-0.113886</v>
      </c>
      <c r="R5853">
        <v>-0.99327270000000001</v>
      </c>
      <c r="S5853">
        <v>0.2373962</v>
      </c>
      <c r="T5853">
        <v>-4.6105269999999997E-2</v>
      </c>
      <c r="U5853">
        <v>-3.0101010000000001</v>
      </c>
      <c r="V5853">
        <v>-1.151161E-2</v>
      </c>
      <c r="W5853">
        <v>-0.10276639999999999</v>
      </c>
      <c r="X5853">
        <v>0.99463889999999999</v>
      </c>
      <c r="Y5853">
        <v>-6.9082749999999998E-2</v>
      </c>
      <c r="Z5853">
        <v>4.0930369999999999E-3</v>
      </c>
      <c r="AA5853">
        <v>0.99760249999999995</v>
      </c>
      <c r="AB5853">
        <v>24</v>
      </c>
      <c r="AC5853">
        <v>5.7667000000000099</v>
      </c>
      <c r="AD5853">
        <v>-1.1203991690299999</v>
      </c>
      <c r="AE5853">
        <v>-72.907809999999998</v>
      </c>
      <c r="AF5853">
        <v>-5.0686287836586699</v>
      </c>
      <c r="AG5853">
        <v>-1.1203991690299999</v>
      </c>
      <c r="AH5853">
        <v>72.942462839354803</v>
      </c>
      <c r="AI5853">
        <v>90.877879706044595</v>
      </c>
      <c r="AJ5853">
        <v>93.974981792888002</v>
      </c>
      <c r="AK5853">
        <v>73.126938792179402</v>
      </c>
      <c r="AL5853">
        <v>95.898494524600096</v>
      </c>
      <c r="AM5853">
        <v>90.663092124402795</v>
      </c>
      <c r="AN5853">
        <v>0.99999999576348098</v>
      </c>
    </row>
    <row r="5854" spans="1:40" x14ac:dyDescent="0.25">
      <c r="A5854" t="str">
        <f>"20190303154927124"</f>
        <v>20190303154927124</v>
      </c>
      <c r="B5854" t="str">
        <f>"1551599367116502"</f>
        <v>1551599367116502</v>
      </c>
      <c r="C5854" t="s">
        <v>40</v>
      </c>
      <c r="D5854">
        <v>4.6084759999999996</v>
      </c>
      <c r="E5854">
        <v>0.47758699999999998</v>
      </c>
      <c r="F5854" t="s">
        <v>64</v>
      </c>
      <c r="G5854">
        <v>-416.10309999999998</v>
      </c>
      <c r="H5854" s="1">
        <v>-8.2984819999999993E-6</v>
      </c>
      <c r="I5854">
        <v>26.580310000000001</v>
      </c>
      <c r="J5854">
        <v>-421.79880000000003</v>
      </c>
      <c r="K5854">
        <v>1.1203809999999901</v>
      </c>
      <c r="L5854">
        <v>97.889560000000003</v>
      </c>
      <c r="M5854">
        <v>9.4496430000000006E-3</v>
      </c>
      <c r="N5854">
        <v>-1.11558E-2</v>
      </c>
      <c r="O5854">
        <v>-0.99989320000000004</v>
      </c>
      <c r="P5854">
        <v>2.12216E-2</v>
      </c>
      <c r="Q5854">
        <v>-0.1144331</v>
      </c>
      <c r="R5854">
        <v>-0.99320469999999905</v>
      </c>
      <c r="S5854">
        <v>0.2397156</v>
      </c>
      <c r="T5854">
        <v>-4.7136549999999999E-2</v>
      </c>
      <c r="U5854">
        <v>-3.0098569999999998</v>
      </c>
      <c r="V5854">
        <v>-1.185665E-2</v>
      </c>
      <c r="W5854">
        <v>-0.10334169999999999</v>
      </c>
      <c r="X5854">
        <v>0.99457530000000005</v>
      </c>
      <c r="Y5854">
        <v>-6.9956939999999995E-2</v>
      </c>
      <c r="Z5854">
        <v>4.4626470000000001E-3</v>
      </c>
      <c r="AA5854">
        <v>0.99754010000000004</v>
      </c>
      <c r="AB5854">
        <v>24</v>
      </c>
      <c r="AC5854">
        <v>5.6957000000000404</v>
      </c>
      <c r="AD5854">
        <v>-1.1203892984820001</v>
      </c>
      <c r="AE5854">
        <v>-71.309250000000006</v>
      </c>
      <c r="AF5854">
        <v>-5.0203253774168797</v>
      </c>
      <c r="AG5854">
        <v>-1.1203892984820001</v>
      </c>
      <c r="AH5854">
        <v>71.342391649156397</v>
      </c>
      <c r="AI5854">
        <v>90.897502707492507</v>
      </c>
      <c r="AJ5854">
        <v>94.025237518202502</v>
      </c>
      <c r="AK5854">
        <v>71.527587581973606</v>
      </c>
      <c r="AL5854">
        <v>95.931632859686999</v>
      </c>
      <c r="AM5854">
        <v>90.6830089435975</v>
      </c>
      <c r="AN5854">
        <v>1.0000000572390899</v>
      </c>
    </row>
    <row r="5855" spans="1:40" x14ac:dyDescent="0.25">
      <c r="A5855" t="str">
        <f>"20190303154927146"</f>
        <v>20190303154927146</v>
      </c>
      <c r="B5855" t="str">
        <f>"1551599367136998"</f>
        <v>1551599367136998</v>
      </c>
      <c r="C5855" t="s">
        <v>40</v>
      </c>
      <c r="D5855">
        <v>4.580635</v>
      </c>
      <c r="E5855">
        <v>0.47797129999999999</v>
      </c>
      <c r="F5855" t="s">
        <v>64</v>
      </c>
      <c r="G5855">
        <v>-416.29750000000001</v>
      </c>
      <c r="H5855" s="1">
        <v>-8.5075180000000004E-6</v>
      </c>
      <c r="I5855">
        <v>29.04542</v>
      </c>
      <c r="J5855">
        <v>-421.79660000000001</v>
      </c>
      <c r="K5855">
        <v>1.1203780000000001</v>
      </c>
      <c r="L5855">
        <v>97.646180000000001</v>
      </c>
      <c r="M5855">
        <v>9.3398100000000005E-3</v>
      </c>
      <c r="N5855">
        <v>-1.1131189999999999E-2</v>
      </c>
      <c r="O5855">
        <v>-0.99989470000000003</v>
      </c>
      <c r="P5855">
        <v>2.1242069999999998E-2</v>
      </c>
      <c r="Q5855">
        <v>-0.1150003</v>
      </c>
      <c r="R5855">
        <v>-0.99313870000000004</v>
      </c>
      <c r="S5855">
        <v>0.240509</v>
      </c>
      <c r="T5855">
        <v>-4.898131E-2</v>
      </c>
      <c r="U5855">
        <v>-3.009735</v>
      </c>
      <c r="V5855">
        <v>-1.198727E-2</v>
      </c>
      <c r="W5855">
        <v>-0.1039341</v>
      </c>
      <c r="X5855">
        <v>0.99451199999999995</v>
      </c>
      <c r="Y5855">
        <v>-7.0330550000000006E-2</v>
      </c>
      <c r="Z5855">
        <v>5.0984969999999996E-3</v>
      </c>
      <c r="AA5855">
        <v>0.99751069999999997</v>
      </c>
      <c r="AB5855">
        <v>24</v>
      </c>
      <c r="AC5855">
        <v>5.4990999999999897</v>
      </c>
      <c r="AD5855">
        <v>-1.120386507518</v>
      </c>
      <c r="AE5855">
        <v>-68.600759999999994</v>
      </c>
      <c r="AF5855">
        <v>-4.8568153248705004</v>
      </c>
      <c r="AG5855">
        <v>-1.120386507518</v>
      </c>
      <c r="AH5855">
        <v>68.630941885818402</v>
      </c>
      <c r="AI5855">
        <v>90.932926444251905</v>
      </c>
      <c r="AJ5855">
        <v>94.047910032582294</v>
      </c>
      <c r="AK5855">
        <v>68.8117003507449</v>
      </c>
      <c r="AL5855">
        <v>95.965758655766706</v>
      </c>
      <c r="AM5855">
        <v>90.690576604662198</v>
      </c>
      <c r="AN5855">
        <v>1.0000000549644299</v>
      </c>
    </row>
    <row r="5856" spans="1:40" x14ac:dyDescent="0.25">
      <c r="A5856" t="str">
        <f>"20190303154927170"</f>
        <v>20190303154927170</v>
      </c>
      <c r="B5856" t="str">
        <f>"1551599367167254"</f>
        <v>1551599367167254</v>
      </c>
      <c r="C5856" t="s">
        <v>40</v>
      </c>
      <c r="D5856">
        <v>4.5723219999999998</v>
      </c>
      <c r="E5856">
        <v>0.47823830000000001</v>
      </c>
      <c r="F5856" t="s">
        <v>64</v>
      </c>
      <c r="G5856">
        <v>-416.34660000000002</v>
      </c>
      <c r="H5856" s="1">
        <v>-8.4337920000000002E-6</v>
      </c>
      <c r="I5856">
        <v>28.543209999999998</v>
      </c>
      <c r="J5856">
        <v>-421.79450000000003</v>
      </c>
      <c r="K5856">
        <v>1.1203689999999999</v>
      </c>
      <c r="L5856">
        <v>97.398009999999999</v>
      </c>
      <c r="M5856">
        <v>9.2258449999999999E-3</v>
      </c>
      <c r="N5856">
        <v>-1.110996E-2</v>
      </c>
      <c r="O5856">
        <v>-0.99989589999999995</v>
      </c>
      <c r="P5856">
        <v>2.0996299999999999E-2</v>
      </c>
      <c r="Q5856">
        <v>-0.11553720000000001</v>
      </c>
      <c r="R5856">
        <v>-0.9930814</v>
      </c>
      <c r="S5856">
        <v>0.2373962</v>
      </c>
      <c r="T5856">
        <v>-4.8802140000000001E-2</v>
      </c>
      <c r="U5856">
        <v>-3.0100099999999999</v>
      </c>
      <c r="V5856">
        <v>-1.185569E-2</v>
      </c>
      <c r="W5856">
        <v>-0.1044928</v>
      </c>
      <c r="X5856">
        <v>0.99445499999999998</v>
      </c>
      <c r="Y5856">
        <v>-6.9412070000000006E-2</v>
      </c>
      <c r="Z5856">
        <v>5.0600109999999997E-3</v>
      </c>
      <c r="AA5856">
        <v>0.9975752</v>
      </c>
      <c r="AB5856">
        <v>24</v>
      </c>
      <c r="AC5856">
        <v>5.4478999999999997</v>
      </c>
      <c r="AD5856">
        <v>-1.1203774337920001</v>
      </c>
      <c r="AE5856">
        <v>-68.854799999999997</v>
      </c>
      <c r="AF5856">
        <v>-4.8111194172723204</v>
      </c>
      <c r="AG5856">
        <v>-1.1203774337920001</v>
      </c>
      <c r="AH5856">
        <v>68.884009223467103</v>
      </c>
      <c r="AI5856">
        <v>90.929552152614306</v>
      </c>
      <c r="AJ5856">
        <v>93.995265602544507</v>
      </c>
      <c r="AK5856">
        <v>69.060906758745304</v>
      </c>
      <c r="AL5856">
        <v>95.997945244300098</v>
      </c>
      <c r="AM5856">
        <v>90.683036257110402</v>
      </c>
      <c r="AN5856">
        <v>1.0000000248311001</v>
      </c>
    </row>
    <row r="5857" spans="1:40" x14ac:dyDescent="0.25">
      <c r="A5857" t="str">
        <f>"20190303154927191"</f>
        <v>20190303154927191</v>
      </c>
      <c r="B5857" t="str">
        <f>"1551599367186774"</f>
        <v>1551599367186774</v>
      </c>
      <c r="C5857" t="s">
        <v>40</v>
      </c>
      <c r="D5857">
        <v>4.6282389999999998</v>
      </c>
      <c r="E5857">
        <v>0.47892649999999998</v>
      </c>
      <c r="F5857" t="s">
        <v>64</v>
      </c>
      <c r="G5857">
        <v>-416.46199999999999</v>
      </c>
      <c r="H5857" s="1">
        <v>-8.4285769999999997E-6</v>
      </c>
      <c r="I5857">
        <v>28.857109999999999</v>
      </c>
      <c r="J5857">
        <v>-421.79239999999999</v>
      </c>
      <c r="K5857">
        <v>1.120357</v>
      </c>
      <c r="L5857">
        <v>97.160889999999995</v>
      </c>
      <c r="M5857">
        <v>9.1152200000000003E-3</v>
      </c>
      <c r="N5857">
        <v>-1.10928E-2</v>
      </c>
      <c r="O5857">
        <v>-0.99989709999999998</v>
      </c>
      <c r="P5857">
        <v>2.056243E-2</v>
      </c>
      <c r="Q5857">
        <v>-0.1151345</v>
      </c>
      <c r="R5857">
        <v>-0.99313720000000005</v>
      </c>
      <c r="S5857">
        <v>0.23419190000000001</v>
      </c>
      <c r="T5857">
        <v>-4.9204949999999997E-2</v>
      </c>
      <c r="U5857">
        <v>-3.0101930000000001</v>
      </c>
      <c r="V5857">
        <v>-1.153181E-2</v>
      </c>
      <c r="W5857">
        <v>-0.10410659999999999</v>
      </c>
      <c r="X5857">
        <v>0.99449929999999997</v>
      </c>
      <c r="Y5857">
        <v>-6.8462270000000006E-2</v>
      </c>
      <c r="Z5857">
        <v>5.2107129999999996E-3</v>
      </c>
      <c r="AA5857">
        <v>0.99764010000000003</v>
      </c>
      <c r="AB5857">
        <v>24</v>
      </c>
      <c r="AC5857">
        <v>5.3303999999999903</v>
      </c>
      <c r="AD5857">
        <v>-1.1203654285769999</v>
      </c>
      <c r="AE5857">
        <v>-68.303780000000003</v>
      </c>
      <c r="AF5857">
        <v>-4.7062777913685796</v>
      </c>
      <c r="AG5857">
        <v>-1.1203654285769999</v>
      </c>
      <c r="AH5857">
        <v>68.331259647854793</v>
      </c>
      <c r="AI5857">
        <v>90.937122859958706</v>
      </c>
      <c r="AJ5857">
        <v>93.939993015104307</v>
      </c>
      <c r="AK5857">
        <v>68.502301526340204</v>
      </c>
      <c r="AL5857">
        <v>95.975696342236603</v>
      </c>
      <c r="AM5857">
        <v>90.664348815900595</v>
      </c>
      <c r="AN5857">
        <v>1.00000001225296</v>
      </c>
    </row>
    <row r="5858" spans="1:40" x14ac:dyDescent="0.25">
      <c r="A5858" t="str">
        <f>"20190303154927214"</f>
        <v>20190303154927214</v>
      </c>
      <c r="B5858" t="str">
        <f>"1551599367207275"</f>
        <v>1551599367207275</v>
      </c>
      <c r="C5858" t="s">
        <v>40</v>
      </c>
      <c r="D5858">
        <v>4.6273220000000004</v>
      </c>
      <c r="E5858">
        <v>0.50407279999999999</v>
      </c>
      <c r="F5858" t="s">
        <v>64</v>
      </c>
      <c r="G5858">
        <v>-416.20920000000001</v>
      </c>
      <c r="H5858" s="1">
        <v>-7.9017749999999994E-6</v>
      </c>
      <c r="I5858">
        <v>23.38456</v>
      </c>
      <c r="J5858">
        <v>-421.7903</v>
      </c>
      <c r="K5858">
        <v>1.120352</v>
      </c>
      <c r="L5858">
        <v>96.921999999999997</v>
      </c>
      <c r="M5858">
        <v>9.0020780000000002E-3</v>
      </c>
      <c r="N5858">
        <v>-1.1075949999999999E-2</v>
      </c>
      <c r="O5858">
        <v>-0.99989830000000002</v>
      </c>
      <c r="P5858">
        <v>2.0456519999999999E-2</v>
      </c>
      <c r="Q5858">
        <v>-0.11511200000000001</v>
      </c>
      <c r="R5858">
        <v>-0.99314230000000003</v>
      </c>
      <c r="S5858">
        <v>0.2278442</v>
      </c>
      <c r="T5858">
        <v>-4.5720579999999997E-2</v>
      </c>
      <c r="U5858">
        <v>-3.0107119999999998</v>
      </c>
      <c r="V5858">
        <v>-1.153846E-2</v>
      </c>
      <c r="W5858">
        <v>-0.1041007</v>
      </c>
      <c r="X5858">
        <v>0.99449980000000004</v>
      </c>
      <c r="Y5858">
        <v>-6.6471799999999998E-2</v>
      </c>
      <c r="Z5858">
        <v>4.0730200000000001E-3</v>
      </c>
      <c r="AA5858">
        <v>0.99778</v>
      </c>
      <c r="AB5858">
        <v>24</v>
      </c>
      <c r="AC5858">
        <v>5.5810999999999904</v>
      </c>
      <c r="AD5858">
        <v>-1.1203599017749899</v>
      </c>
      <c r="AE5858">
        <v>-73.537440000000004</v>
      </c>
      <c r="AF5858">
        <v>-4.9177086329644402</v>
      </c>
      <c r="AG5858">
        <v>-1.1203599017749899</v>
      </c>
      <c r="AH5858">
        <v>73.567726326964902</v>
      </c>
      <c r="AI5858">
        <v>90.8705451434884</v>
      </c>
      <c r="AJ5858">
        <v>93.824304600054802</v>
      </c>
      <c r="AK5858">
        <v>73.740419183968797</v>
      </c>
      <c r="AL5858">
        <v>95.975356691725594</v>
      </c>
      <c r="AM5858">
        <v>90.664731554575695</v>
      </c>
      <c r="AN5858">
        <v>0.99999997199985002</v>
      </c>
    </row>
    <row r="5859" spans="1:40" x14ac:dyDescent="0.25">
      <c r="A5859" t="str">
        <f>"20190303154927236"</f>
        <v>20190303154927236</v>
      </c>
      <c r="B5859" t="str">
        <f>"1551599367226791"</f>
        <v>1551599367226791</v>
      </c>
      <c r="C5859" t="s">
        <v>40</v>
      </c>
      <c r="D5859">
        <v>4.5688389999999997</v>
      </c>
      <c r="E5859">
        <v>0.50445209999999996</v>
      </c>
      <c r="F5859" t="s">
        <v>41</v>
      </c>
      <c r="G5859">
        <v>-421.4939</v>
      </c>
      <c r="H5859" s="1">
        <v>-2.5613930000000002E-6</v>
      </c>
      <c r="I5859">
        <v>64.633229999999998</v>
      </c>
      <c r="J5859">
        <v>-421.78829999999999</v>
      </c>
      <c r="K5859">
        <v>1.120344</v>
      </c>
      <c r="L5859">
        <v>96.681179999999998</v>
      </c>
      <c r="M5859">
        <v>8.8841649999999994E-3</v>
      </c>
      <c r="N5859">
        <v>-1.104874E-2</v>
      </c>
      <c r="O5859">
        <v>-0.99989939999999999</v>
      </c>
      <c r="P5859">
        <v>1.9947039999999999E-2</v>
      </c>
      <c r="Q5859">
        <v>-0.11576450000000001</v>
      </c>
      <c r="R5859">
        <v>-0.99307639999999997</v>
      </c>
      <c r="S5859">
        <v>2.7618409999999999E-2</v>
      </c>
      <c r="T5859">
        <v>-0.10437349999999999</v>
      </c>
      <c r="U5859">
        <v>-3.008057</v>
      </c>
      <c r="V5859">
        <v>-1.114738E-2</v>
      </c>
      <c r="W5859">
        <v>-0.1047811</v>
      </c>
      <c r="X5859">
        <v>0.99443280000000001</v>
      </c>
      <c r="Y5859">
        <v>-2.9375640000000003E-4</v>
      </c>
      <c r="Z5859">
        <v>2.3630559999999998E-2</v>
      </c>
      <c r="AA5859">
        <v>0.99972070000000002</v>
      </c>
      <c r="AB5859">
        <v>24</v>
      </c>
      <c r="AC5859">
        <v>0.294399999999996</v>
      </c>
      <c r="AD5859">
        <v>-1.1203465613929999</v>
      </c>
      <c r="AE5859">
        <v>-32.047949999999901</v>
      </c>
      <c r="AF5859">
        <v>-9.6399177996071006E-3</v>
      </c>
      <c r="AG5859">
        <v>-1.1203465613929999</v>
      </c>
      <c r="AH5859">
        <v>32.010184609779301</v>
      </c>
      <c r="AI5859">
        <v>92.004516242812201</v>
      </c>
      <c r="AJ5859">
        <v>90.017254714235605</v>
      </c>
      <c r="AK5859">
        <v>32.029785951482602</v>
      </c>
      <c r="AL5859">
        <v>96.014555136446702</v>
      </c>
      <c r="AM5859">
        <v>90.642246591087499</v>
      </c>
      <c r="AN5859">
        <v>0.99999996835695604</v>
      </c>
    </row>
    <row r="5860" spans="1:40" x14ac:dyDescent="0.25">
      <c r="A5860" t="str">
        <f>"20190303154927258"</f>
        <v>20190303154927258</v>
      </c>
      <c r="B5860" t="str">
        <f>"1551599367247287"</f>
        <v>1551599367247287</v>
      </c>
      <c r="C5860" t="s">
        <v>40</v>
      </c>
      <c r="D5860">
        <v>4.6077349999999999</v>
      </c>
      <c r="E5860">
        <v>0.50447500000000001</v>
      </c>
      <c r="F5860" t="s">
        <v>41</v>
      </c>
      <c r="G5860">
        <v>-421.54829999999998</v>
      </c>
      <c r="H5860" s="1">
        <v>-3.1282599999999902E-6</v>
      </c>
      <c r="I5860">
        <v>65.920850000000002</v>
      </c>
      <c r="J5860">
        <v>-421.78629999999998</v>
      </c>
      <c r="K5860">
        <v>1.120323</v>
      </c>
      <c r="L5860">
        <v>96.442779999999999</v>
      </c>
      <c r="M5860">
        <v>8.7598769999999992E-3</v>
      </c>
      <c r="N5860">
        <v>-1.100343E-2</v>
      </c>
      <c r="O5860">
        <v>-0.99990109999999999</v>
      </c>
      <c r="P5860">
        <v>1.959986E-2</v>
      </c>
      <c r="Q5860">
        <v>-0.116131</v>
      </c>
      <c r="R5860">
        <v>-0.9930409</v>
      </c>
      <c r="S5860">
        <v>2.3468019999999999E-2</v>
      </c>
      <c r="T5860">
        <v>-0.1095444</v>
      </c>
      <c r="U5860">
        <v>-3.00766</v>
      </c>
      <c r="V5860">
        <v>-1.0924980000000001E-2</v>
      </c>
      <c r="W5860">
        <v>-0.10519299999999999</v>
      </c>
      <c r="X5860">
        <v>0.99439180000000005</v>
      </c>
      <c r="Y5860">
        <v>9.6019439999999996E-4</v>
      </c>
      <c r="Z5860">
        <v>2.5397050000000001E-2</v>
      </c>
      <c r="AA5860">
        <v>0.99967700000000004</v>
      </c>
      <c r="AB5860">
        <v>24</v>
      </c>
      <c r="AC5860">
        <v>0.23799999999999899</v>
      </c>
      <c r="AD5860">
        <v>-1.1203261282600001</v>
      </c>
      <c r="AE5860">
        <v>-30.521930000000001</v>
      </c>
      <c r="AF5860">
        <v>2.9354123514564401E-2</v>
      </c>
      <c r="AG5860">
        <v>-1.1203261282600001</v>
      </c>
      <c r="AH5860">
        <v>30.481778092945198</v>
      </c>
      <c r="AI5860">
        <v>92.104898492570101</v>
      </c>
      <c r="AJ5860">
        <v>89.944823859564494</v>
      </c>
      <c r="AK5860">
        <v>30.502373481514301</v>
      </c>
      <c r="AL5860">
        <v>96.038286303736598</v>
      </c>
      <c r="AM5860">
        <v>90.629460200419004</v>
      </c>
      <c r="AN5860">
        <v>0.99999998717212002</v>
      </c>
    </row>
    <row r="5861" spans="1:40" x14ac:dyDescent="0.25">
      <c r="A5861" t="str">
        <f>"20190303154927281"</f>
        <v>20190303154927281</v>
      </c>
      <c r="B5861" t="str">
        <f>"1551599367276566"</f>
        <v>1551599367276566</v>
      </c>
      <c r="C5861" t="s">
        <v>40</v>
      </c>
      <c r="D5861">
        <v>4.5791139999999997</v>
      </c>
      <c r="E5861">
        <v>0.50446449999999998</v>
      </c>
      <c r="F5861" t="s">
        <v>41</v>
      </c>
      <c r="G5861">
        <v>-421.56439999999998</v>
      </c>
      <c r="H5861" s="1">
        <v>-3.0666349999999999E-6</v>
      </c>
      <c r="I5861">
        <v>65.767229999999998</v>
      </c>
      <c r="J5861">
        <v>-421.78440000000001</v>
      </c>
      <c r="K5861">
        <v>1.120304</v>
      </c>
      <c r="L5861">
        <v>96.199709999999996</v>
      </c>
      <c r="M5861">
        <v>8.6205209999999904E-3</v>
      </c>
      <c r="N5861">
        <v>-1.093676E-2</v>
      </c>
      <c r="O5861">
        <v>-0.99990330000000005</v>
      </c>
      <c r="P5861">
        <v>1.923586E-2</v>
      </c>
      <c r="Q5861">
        <v>-0.1163033</v>
      </c>
      <c r="R5861">
        <v>-0.99302789999999996</v>
      </c>
      <c r="S5861">
        <v>2.1759029999999999E-2</v>
      </c>
      <c r="T5861">
        <v>-0.1098485</v>
      </c>
      <c r="U5861">
        <v>-3.0077509999999998</v>
      </c>
      <c r="V5861">
        <v>-1.0701850000000001E-2</v>
      </c>
      <c r="W5861">
        <v>-0.1054316</v>
      </c>
      <c r="X5861">
        <v>0.99436899999999995</v>
      </c>
      <c r="Y5861">
        <v>1.388954E-3</v>
      </c>
      <c r="Z5861">
        <v>2.556363E-2</v>
      </c>
      <c r="AA5861">
        <v>0.99967220000000001</v>
      </c>
      <c r="AB5861">
        <v>24</v>
      </c>
      <c r="AC5861">
        <v>0.22000000000002701</v>
      </c>
      <c r="AD5861">
        <v>-1.1203070666349999</v>
      </c>
      <c r="AE5861">
        <v>-30.432480000000002</v>
      </c>
      <c r="AF5861">
        <v>4.2310294112911699E-2</v>
      </c>
      <c r="AG5861">
        <v>-1.1203070666349999</v>
      </c>
      <c r="AH5861">
        <v>30.392060905957301</v>
      </c>
      <c r="AI5861">
        <v>92.111069574180107</v>
      </c>
      <c r="AJ5861">
        <v>89.920235757488399</v>
      </c>
      <c r="AK5861">
        <v>30.412731613519298</v>
      </c>
      <c r="AL5861">
        <v>96.052033262230395</v>
      </c>
      <c r="AM5861">
        <v>90.616619348570694</v>
      </c>
      <c r="AN5861">
        <v>1.00000003001649</v>
      </c>
    </row>
    <row r="5862" spans="1:40" x14ac:dyDescent="0.25">
      <c r="A5862" t="str">
        <f>"20190303154927303"</f>
        <v>20190303154927303</v>
      </c>
      <c r="B5862" t="str">
        <f>"1551599367297063"</f>
        <v>1551599367297063</v>
      </c>
      <c r="C5862" t="s">
        <v>40</v>
      </c>
      <c r="D5862">
        <v>4.565239</v>
      </c>
      <c r="E5862">
        <v>0.50460419999999995</v>
      </c>
      <c r="F5862" t="s">
        <v>41</v>
      </c>
      <c r="G5862">
        <v>-421.56099999999998</v>
      </c>
      <c r="H5862" s="1">
        <v>-2.686408E-6</v>
      </c>
      <c r="I5862">
        <v>64.883009999999999</v>
      </c>
      <c r="J5862">
        <v>-421.7824</v>
      </c>
      <c r="K5862">
        <v>1.1202799999999999</v>
      </c>
      <c r="L5862">
        <v>95.952240000000003</v>
      </c>
      <c r="M5862">
        <v>8.457895E-3</v>
      </c>
      <c r="N5862">
        <v>-1.0846629999999999E-2</v>
      </c>
      <c r="O5862">
        <v>-0.99990559999999995</v>
      </c>
      <c r="P5862">
        <v>1.980121E-2</v>
      </c>
      <c r="Q5862">
        <v>-0.11580890000000001</v>
      </c>
      <c r="R5862">
        <v>-0.99307440000000002</v>
      </c>
      <c r="S5862">
        <v>2.1453860000000002E-2</v>
      </c>
      <c r="T5862">
        <v>-0.1076086</v>
      </c>
      <c r="U5862">
        <v>-3.008057</v>
      </c>
      <c r="V5862">
        <v>-1.143111E-2</v>
      </c>
      <c r="W5862">
        <v>-0.1050258</v>
      </c>
      <c r="X5862">
        <v>0.99440379999999995</v>
      </c>
      <c r="Y5862">
        <v>1.3283570000000001E-3</v>
      </c>
      <c r="Z5862">
        <v>2.490672E-2</v>
      </c>
      <c r="AA5862">
        <v>0.99968889999999999</v>
      </c>
      <c r="AB5862">
        <v>24</v>
      </c>
      <c r="AC5862">
        <v>0.221400000000016</v>
      </c>
      <c r="AD5862">
        <v>-1.120282686408</v>
      </c>
      <c r="AE5862">
        <v>-31.069230000000001</v>
      </c>
      <c r="AF5862">
        <v>4.13498543111692E-2</v>
      </c>
      <c r="AG5862">
        <v>-1.120282686408</v>
      </c>
      <c r="AH5862">
        <v>31.0296500275348</v>
      </c>
      <c r="AI5862">
        <v>92.067685125879294</v>
      </c>
      <c r="AJ5862">
        <v>89.923648164545199</v>
      </c>
      <c r="AK5862">
        <v>31.0498941051207</v>
      </c>
      <c r="AL5862">
        <v>96.028652990681707</v>
      </c>
      <c r="AM5862">
        <v>90.658611230924905</v>
      </c>
      <c r="AN5862">
        <v>1.0000000031979499</v>
      </c>
    </row>
    <row r="5863" spans="1:40" x14ac:dyDescent="0.25">
      <c r="A5863" t="str">
        <f>"20190303154927324"</f>
        <v>20190303154927324</v>
      </c>
      <c r="B5863" t="str">
        <f>"1551599367316583"</f>
        <v>1551599367316583</v>
      </c>
      <c r="C5863" t="s">
        <v>40</v>
      </c>
      <c r="D5863">
        <v>4.5757430000000001</v>
      </c>
      <c r="E5863">
        <v>0.50426159999999998</v>
      </c>
      <c r="F5863" t="s">
        <v>41</v>
      </c>
      <c r="G5863">
        <v>-421.5444</v>
      </c>
      <c r="H5863" s="1">
        <v>-2.262079E-6</v>
      </c>
      <c r="I5863">
        <v>63.90419</v>
      </c>
      <c r="J5863">
        <v>-421.78059999999999</v>
      </c>
      <c r="K5863">
        <v>1.120247</v>
      </c>
      <c r="L5863">
        <v>95.721190000000007</v>
      </c>
      <c r="M5863">
        <v>8.2896629999999992E-3</v>
      </c>
      <c r="N5863">
        <v>-1.075216E-2</v>
      </c>
      <c r="O5863">
        <v>-0.99990800000000002</v>
      </c>
      <c r="P5863">
        <v>2.0703450000000002E-2</v>
      </c>
      <c r="Q5863">
        <v>-0.1151766</v>
      </c>
      <c r="R5863">
        <v>-0.9931297</v>
      </c>
      <c r="S5863">
        <v>2.233887E-2</v>
      </c>
      <c r="T5863">
        <v>-0.1051559</v>
      </c>
      <c r="U5863">
        <v>-3.0082089999999999</v>
      </c>
      <c r="V5863">
        <v>-1.250392E-2</v>
      </c>
      <c r="W5863">
        <v>-0.1044861</v>
      </c>
      <c r="X5863">
        <v>0.99444779999999999</v>
      </c>
      <c r="Y5863">
        <v>8.6636389999999997E-4</v>
      </c>
      <c r="Z5863">
        <v>2.4185430000000001E-2</v>
      </c>
      <c r="AA5863">
        <v>0.99970709999999996</v>
      </c>
      <c r="AB5863">
        <v>24</v>
      </c>
      <c r="AC5863">
        <v>0.236199999999996</v>
      </c>
      <c r="AD5863">
        <v>-1.1202492620790001</v>
      </c>
      <c r="AE5863">
        <v>-31.817</v>
      </c>
      <c r="AF5863">
        <v>2.7541386748420101E-2</v>
      </c>
      <c r="AG5863">
        <v>-1.1202492620790001</v>
      </c>
      <c r="AH5863">
        <v>31.778471696873101</v>
      </c>
      <c r="AI5863">
        <v>92.018944254117798</v>
      </c>
      <c r="AJ5863">
        <v>89.950343589755093</v>
      </c>
      <c r="AK5863">
        <v>31.798222911448001</v>
      </c>
      <c r="AL5863">
        <v>95.997559037848504</v>
      </c>
      <c r="AM5863">
        <v>90.720383806793606</v>
      </c>
      <c r="AN5863">
        <v>1.0000000600167001</v>
      </c>
    </row>
    <row r="5864" spans="1:40" x14ac:dyDescent="0.25">
      <c r="A5864" t="str">
        <f>"20190303154927347"</f>
        <v>20190303154927347</v>
      </c>
      <c r="B5864" t="str">
        <f>"1551599367337078"</f>
        <v>1551599367337078</v>
      </c>
      <c r="C5864" t="s">
        <v>40</v>
      </c>
      <c r="D5864">
        <v>4.5252819999999998</v>
      </c>
      <c r="E5864">
        <v>0.5038627</v>
      </c>
      <c r="F5864" t="s">
        <v>41</v>
      </c>
      <c r="G5864">
        <v>-421.49009999999998</v>
      </c>
      <c r="H5864" s="1">
        <v>-2.234879E-6</v>
      </c>
      <c r="I5864">
        <v>63.87444</v>
      </c>
      <c r="J5864">
        <v>-421.77870000000001</v>
      </c>
      <c r="K5864">
        <v>1.1202049999999999</v>
      </c>
      <c r="L5864">
        <v>95.471500000000006</v>
      </c>
      <c r="M5864">
        <v>8.0825979999999999E-3</v>
      </c>
      <c r="N5864">
        <v>-1.06429E-2</v>
      </c>
      <c r="O5864">
        <v>-0.99991070000000004</v>
      </c>
      <c r="P5864">
        <v>2.1608309999999999E-2</v>
      </c>
      <c r="Q5864">
        <v>-0.1156842</v>
      </c>
      <c r="R5864">
        <v>-0.99305140000000003</v>
      </c>
      <c r="S5864">
        <v>2.7435299999999999E-2</v>
      </c>
      <c r="T5864">
        <v>-0.10580680000000001</v>
      </c>
      <c r="U5864">
        <v>-3.0079039999999999</v>
      </c>
      <c r="V5864">
        <v>-1.3619259999999999E-2</v>
      </c>
      <c r="W5864">
        <v>-0.1051021</v>
      </c>
      <c r="X5864">
        <v>0.99436820000000004</v>
      </c>
      <c r="Y5864">
        <v>-1.0346769999999999E-3</v>
      </c>
      <c r="Z5864">
        <v>2.4514129999999999E-2</v>
      </c>
      <c r="AA5864">
        <v>0.99969889999999995</v>
      </c>
      <c r="AB5864">
        <v>24</v>
      </c>
      <c r="AC5864">
        <v>0.28860000000003</v>
      </c>
      <c r="AD5864">
        <v>-1.120207234879</v>
      </c>
      <c r="AE5864">
        <v>-31.597059999999999</v>
      </c>
      <c r="AF5864">
        <v>-3.3148113064641202E-2</v>
      </c>
      <c r="AG5864">
        <v>-1.120207234879</v>
      </c>
      <c r="AH5864">
        <v>31.558697481724199</v>
      </c>
      <c r="AI5864">
        <v>92.032915825954802</v>
      </c>
      <c r="AJ5864">
        <v>90.060181389934399</v>
      </c>
      <c r="AK5864">
        <v>31.5785900538555</v>
      </c>
      <c r="AL5864">
        <v>96.033048847821604</v>
      </c>
      <c r="AM5864">
        <v>90.784696583686397</v>
      </c>
      <c r="AN5864">
        <v>1.0000000264192901</v>
      </c>
    </row>
    <row r="5865" spans="1:40" x14ac:dyDescent="0.25">
      <c r="A5865" t="str">
        <f>"20190303154927371"</f>
        <v>20190303154927371</v>
      </c>
      <c r="B5865" t="str">
        <f>"1551599367367334"</f>
        <v>1551599367367334</v>
      </c>
      <c r="C5865" t="s">
        <v>40</v>
      </c>
      <c r="D5865">
        <v>4.5331320000000002</v>
      </c>
      <c r="E5865">
        <v>0.50368480000000004</v>
      </c>
      <c r="F5865" t="s">
        <v>41</v>
      </c>
      <c r="G5865">
        <v>-421.43939999999998</v>
      </c>
      <c r="H5865" s="1">
        <v>-2.7464149999999999E-6</v>
      </c>
      <c r="I5865">
        <v>65.098309999999998</v>
      </c>
      <c r="J5865">
        <v>-421.77690000000001</v>
      </c>
      <c r="K5865">
        <v>1.1201559999999999</v>
      </c>
      <c r="L5865">
        <v>95.221069999999997</v>
      </c>
      <c r="M5865">
        <v>7.8406429999999996E-3</v>
      </c>
      <c r="N5865">
        <v>-1.052429E-2</v>
      </c>
      <c r="O5865">
        <v>-0.99991410000000003</v>
      </c>
      <c r="P5865">
        <v>2.2336129999999999E-2</v>
      </c>
      <c r="Q5865">
        <v>-0.11653289999999999</v>
      </c>
      <c r="R5865">
        <v>-0.99293589999999998</v>
      </c>
      <c r="S5865">
        <v>3.3599850000000001E-2</v>
      </c>
      <c r="T5865">
        <v>-0.1109146</v>
      </c>
      <c r="U5865">
        <v>-3.0073240000000001</v>
      </c>
      <c r="V5865">
        <v>-1.45945E-2</v>
      </c>
      <c r="W5865">
        <v>-0.1060688</v>
      </c>
      <c r="X5865">
        <v>0.99425169999999996</v>
      </c>
      <c r="Y5865">
        <v>-3.3263419999999999E-3</v>
      </c>
      <c r="Z5865">
        <v>2.6334759999999999E-2</v>
      </c>
      <c r="AA5865">
        <v>0.99964759999999997</v>
      </c>
      <c r="AB5865">
        <v>24</v>
      </c>
      <c r="AC5865">
        <v>0.337500000000034</v>
      </c>
      <c r="AD5865">
        <v>-1.120158746415</v>
      </c>
      <c r="AE5865">
        <v>-30.1227599999999</v>
      </c>
      <c r="AF5865">
        <v>-0.101154926057812</v>
      </c>
      <c r="AG5865">
        <v>-1.120158746415</v>
      </c>
      <c r="AH5865">
        <v>30.0828859625103</v>
      </c>
      <c r="AI5865">
        <v>92.132453944463606</v>
      </c>
      <c r="AJ5865">
        <v>90.192658659939696</v>
      </c>
      <c r="AK5865">
        <v>30.103903663306401</v>
      </c>
      <c r="AL5865">
        <v>96.0887480855245</v>
      </c>
      <c r="AM5865">
        <v>90.840977393458502</v>
      </c>
      <c r="AN5865">
        <v>1.0000000163582801</v>
      </c>
    </row>
    <row r="5866" spans="1:40" x14ac:dyDescent="0.25">
      <c r="A5866" t="str">
        <f>"20190303154927393"</f>
        <v>20190303154927393</v>
      </c>
      <c r="B5866" t="str">
        <f>"1551599367386855"</f>
        <v>1551599367386855</v>
      </c>
      <c r="C5866" t="s">
        <v>40</v>
      </c>
      <c r="D5866">
        <v>4.5389280000000003</v>
      </c>
      <c r="E5866">
        <v>0.50353409999999998</v>
      </c>
      <c r="F5866" t="s">
        <v>41</v>
      </c>
      <c r="G5866">
        <v>-421.416</v>
      </c>
      <c r="H5866" s="1">
        <v>-3.247352E-6</v>
      </c>
      <c r="I5866">
        <v>66.280550000000005</v>
      </c>
      <c r="J5866">
        <v>-421.77539999999999</v>
      </c>
      <c r="K5866">
        <v>1.1201049999999999</v>
      </c>
      <c r="L5866">
        <v>94.980069999999998</v>
      </c>
      <c r="M5866">
        <v>7.5728409999999899E-3</v>
      </c>
      <c r="N5866">
        <v>-1.040252E-2</v>
      </c>
      <c r="O5866">
        <v>-0.9999171</v>
      </c>
      <c r="P5866">
        <v>2.2522170000000001E-2</v>
      </c>
      <c r="Q5866">
        <v>-0.1171836</v>
      </c>
      <c r="R5866">
        <v>-0.99285480000000004</v>
      </c>
      <c r="S5866">
        <v>3.7506100000000001E-2</v>
      </c>
      <c r="T5866">
        <v>-0.11638129999999999</v>
      </c>
      <c r="U5866">
        <v>-3.0068359999999998</v>
      </c>
      <c r="V5866">
        <v>-1.5054069999999999E-2</v>
      </c>
      <c r="W5866">
        <v>-0.1068403</v>
      </c>
      <c r="X5866">
        <v>0.9941622</v>
      </c>
      <c r="Y5866">
        <v>-4.8933830000000003E-3</v>
      </c>
      <c r="Z5866">
        <v>2.8276869999999999E-2</v>
      </c>
      <c r="AA5866">
        <v>0.99958809999999998</v>
      </c>
      <c r="AB5866">
        <v>24</v>
      </c>
      <c r="AC5866">
        <v>0.359399999999993</v>
      </c>
      <c r="AD5866">
        <v>-1.1201082473520001</v>
      </c>
      <c r="AE5866">
        <v>-28.69952</v>
      </c>
      <c r="AF5866">
        <v>-0.141825005210585</v>
      </c>
      <c r="AG5866">
        <v>-1.1201082473520001</v>
      </c>
      <c r="AH5866">
        <v>28.657772735601402</v>
      </c>
      <c r="AI5866">
        <v>92.238277199741006</v>
      </c>
      <c r="AJ5866">
        <v>90.283549875421699</v>
      </c>
      <c r="AK5866">
        <v>28.680005142664601</v>
      </c>
      <c r="AL5866">
        <v>96.133204640114897</v>
      </c>
      <c r="AM5866">
        <v>90.8675332453641</v>
      </c>
      <c r="AN5866">
        <v>0.99999997731824697</v>
      </c>
    </row>
    <row r="5867" spans="1:40" x14ac:dyDescent="0.25">
      <c r="A5867" t="str">
        <f>"20190303154927414"</f>
        <v>20190303154927414</v>
      </c>
      <c r="B5867" t="str">
        <f>"1551599367406375"</f>
        <v>1551599367406375</v>
      </c>
      <c r="C5867" t="s">
        <v>40</v>
      </c>
      <c r="D5867">
        <v>4.5416150000000002</v>
      </c>
      <c r="E5867">
        <v>0.50348999999999999</v>
      </c>
      <c r="F5867" t="s">
        <v>41</v>
      </c>
      <c r="G5867">
        <v>-421.40620000000001</v>
      </c>
      <c r="H5867" s="1">
        <v>-3.461846E-6</v>
      </c>
      <c r="I5867">
        <v>66.786580000000001</v>
      </c>
      <c r="J5867">
        <v>-421.77390000000003</v>
      </c>
      <c r="K5867">
        <v>1.120058</v>
      </c>
      <c r="L5867">
        <v>94.746549999999999</v>
      </c>
      <c r="M5867">
        <v>7.2804760000000001E-3</v>
      </c>
      <c r="N5867">
        <v>-1.02802E-2</v>
      </c>
      <c r="O5867">
        <v>-0.99992099999999995</v>
      </c>
      <c r="P5867">
        <v>2.224489E-2</v>
      </c>
      <c r="Q5867">
        <v>-0.1181918</v>
      </c>
      <c r="R5867">
        <v>-0.99274209999999996</v>
      </c>
      <c r="S5867">
        <v>3.9367680000000002E-2</v>
      </c>
      <c r="T5867">
        <v>-0.1194499</v>
      </c>
      <c r="U5867">
        <v>-3.0065919999999999</v>
      </c>
      <c r="V5867">
        <v>-1.5074499999999999E-2</v>
      </c>
      <c r="W5867">
        <v>-0.1079705</v>
      </c>
      <c r="X5867">
        <v>0.99403980000000003</v>
      </c>
      <c r="Y5867">
        <v>-5.8049249999999998E-3</v>
      </c>
      <c r="Z5867">
        <v>2.9420700000000001E-2</v>
      </c>
      <c r="AA5867">
        <v>0.9995503</v>
      </c>
      <c r="AB5867">
        <v>24</v>
      </c>
      <c r="AC5867">
        <v>0.36770000000001302</v>
      </c>
      <c r="AD5867">
        <v>-1.1200614618459901</v>
      </c>
      <c r="AE5867">
        <v>-27.959969999999998</v>
      </c>
      <c r="AF5867">
        <v>-0.163854774358378</v>
      </c>
      <c r="AG5867">
        <v>-1.1200614618459901</v>
      </c>
      <c r="AH5867">
        <v>27.917113527526201</v>
      </c>
      <c r="AI5867">
        <v>92.297490041824204</v>
      </c>
      <c r="AJ5867">
        <v>90.336284022059999</v>
      </c>
      <c r="AK5867">
        <v>27.940053932914601</v>
      </c>
      <c r="AL5867">
        <v>96.198336985806904</v>
      </c>
      <c r="AM5867">
        <v>90.868817352743903</v>
      </c>
      <c r="AN5867">
        <v>0.99999999670227002</v>
      </c>
    </row>
    <row r="5868" spans="1:40" x14ac:dyDescent="0.25">
      <c r="A5868" t="str">
        <f>"20190303154927437"</f>
        <v>20190303154927437</v>
      </c>
      <c r="B5868" t="str">
        <f>"1551599367426871"</f>
        <v>1551599367426871</v>
      </c>
      <c r="C5868" t="s">
        <v>40</v>
      </c>
      <c r="D5868">
        <v>4.5312359999999998</v>
      </c>
      <c r="E5868">
        <v>0.50345050000000002</v>
      </c>
      <c r="F5868" t="s">
        <v>41</v>
      </c>
      <c r="G5868">
        <v>-421.42169999999999</v>
      </c>
      <c r="H5868" s="1">
        <v>-3.758296E-6</v>
      </c>
      <c r="I5868">
        <v>67.468009999999893</v>
      </c>
      <c r="J5868">
        <v>-421.77249999999998</v>
      </c>
      <c r="K5868">
        <v>1.1200129999999999</v>
      </c>
      <c r="L5868">
        <v>94.497410000000002</v>
      </c>
      <c r="M5868">
        <v>6.9375390000000004E-3</v>
      </c>
      <c r="N5868">
        <v>-1.0147420000000001E-2</v>
      </c>
      <c r="O5868">
        <v>-0.99992460000000005</v>
      </c>
      <c r="P5868">
        <v>2.1987670000000001E-2</v>
      </c>
      <c r="Q5868">
        <v>-0.1188543</v>
      </c>
      <c r="R5868">
        <v>-0.99266829999999995</v>
      </c>
      <c r="S5868">
        <v>3.8818360000000003E-2</v>
      </c>
      <c r="T5868">
        <v>-0.12344239999999999</v>
      </c>
      <c r="U5868">
        <v>-3.0063780000000002</v>
      </c>
      <c r="V5868">
        <v>-1.5165130000000001E-2</v>
      </c>
      <c r="W5868">
        <v>-0.108764899999999</v>
      </c>
      <c r="X5868">
        <v>0.99395180000000005</v>
      </c>
      <c r="Y5868">
        <v>-5.9655890000000003E-3</v>
      </c>
      <c r="Z5868">
        <v>3.0881519999999999E-2</v>
      </c>
      <c r="AA5868">
        <v>0.99950519999999998</v>
      </c>
      <c r="AB5868">
        <v>24</v>
      </c>
      <c r="AC5868">
        <v>0.35079999999999201</v>
      </c>
      <c r="AD5868">
        <v>-1.1200167582959999</v>
      </c>
      <c r="AE5868">
        <v>-27.029399999999999</v>
      </c>
      <c r="AF5868">
        <v>-0.162984612733058</v>
      </c>
      <c r="AG5868">
        <v>-1.1200167582959999</v>
      </c>
      <c r="AH5868">
        <v>26.984857453572101</v>
      </c>
      <c r="AI5868">
        <v>92.376675629029705</v>
      </c>
      <c r="AJ5868">
        <v>90.346053963787696</v>
      </c>
      <c r="AK5868">
        <v>27.008582586142101</v>
      </c>
      <c r="AL5868">
        <v>96.244122478097296</v>
      </c>
      <c r="AM5868">
        <v>90.8741173676801</v>
      </c>
      <c r="AN5868">
        <v>0.99999998268158297</v>
      </c>
    </row>
    <row r="5869" spans="1:40" x14ac:dyDescent="0.25">
      <c r="A5869" t="str">
        <f>"20190303154927452"</f>
        <v>20190303154927452</v>
      </c>
      <c r="B5869" t="str">
        <f>"1551599367447367"</f>
        <v>1551599367447367</v>
      </c>
      <c r="C5869" t="s">
        <v>40</v>
      </c>
      <c r="D5869">
        <v>4.5139930000000001</v>
      </c>
      <c r="E5869">
        <v>0.50341749999999996</v>
      </c>
      <c r="F5869" t="s">
        <v>41</v>
      </c>
      <c r="G5869">
        <v>-421.43439999999998</v>
      </c>
      <c r="H5869" s="1">
        <v>-3.9560540000000001E-6</v>
      </c>
      <c r="I5869">
        <v>67.921109999999999</v>
      </c>
      <c r="J5869">
        <v>-421.77159999999998</v>
      </c>
      <c r="K5869">
        <v>1.119988</v>
      </c>
      <c r="L5869">
        <v>94.328280000000007</v>
      </c>
      <c r="M5869">
        <v>6.6887689999999998E-3</v>
      </c>
      <c r="N5869">
        <v>-1.005845E-2</v>
      </c>
      <c r="O5869">
        <v>-0.99992700000000001</v>
      </c>
      <c r="P5869">
        <v>2.1831409999999999E-2</v>
      </c>
      <c r="Q5869">
        <v>-0.1191017</v>
      </c>
      <c r="R5869">
        <v>-0.99264189999999997</v>
      </c>
      <c r="S5869">
        <v>3.823853E-2</v>
      </c>
      <c r="T5869">
        <v>-0.12668879999999999</v>
      </c>
      <c r="U5869">
        <v>-3.0061339999999999</v>
      </c>
      <c r="V5869">
        <v>-1.525983E-2</v>
      </c>
      <c r="W5869">
        <v>-0.1091004</v>
      </c>
      <c r="X5869">
        <v>0.99391359999999995</v>
      </c>
      <c r="Y5869">
        <v>-6.0221700000000003E-3</v>
      </c>
      <c r="Z5869">
        <v>3.2051339999999998E-2</v>
      </c>
      <c r="AA5869">
        <v>0.99946809999999997</v>
      </c>
      <c r="AB5869">
        <v>24</v>
      </c>
      <c r="AC5869">
        <v>0.337199999999995</v>
      </c>
      <c r="AD5869">
        <v>-1.1199919560539999</v>
      </c>
      <c r="AE5869">
        <v>-26.407170000000001</v>
      </c>
      <c r="AF5869">
        <v>-0.16026381520399599</v>
      </c>
      <c r="AG5869">
        <v>-1.1199919560539999</v>
      </c>
      <c r="AH5869">
        <v>26.3614232296902</v>
      </c>
      <c r="AI5869">
        <v>92.432761649529695</v>
      </c>
      <c r="AJ5869">
        <v>90.348324406249105</v>
      </c>
      <c r="AK5869">
        <v>26.3856912201848</v>
      </c>
      <c r="AL5869">
        <v>96.263460167959707</v>
      </c>
      <c r="AM5869">
        <v>90.879608816462294</v>
      </c>
      <c r="AN5869">
        <v>1.0000000019783699</v>
      </c>
    </row>
    <row r="5870" spans="1:40" x14ac:dyDescent="0.25">
      <c r="A5870" t="str">
        <f>"20190303154927471"</f>
        <v>20190303154927471</v>
      </c>
      <c r="B5870" t="str">
        <f>"1551599367466887"</f>
        <v>1551599367466887</v>
      </c>
      <c r="C5870" t="s">
        <v>40</v>
      </c>
      <c r="D5870">
        <v>4.5485810000000004</v>
      </c>
      <c r="E5870">
        <v>0.5033531</v>
      </c>
      <c r="F5870" t="s">
        <v>41</v>
      </c>
      <c r="G5870">
        <v>-421.43889999999999</v>
      </c>
      <c r="H5870" s="1">
        <v>-4.0549480000000004E-6</v>
      </c>
      <c r="I5870">
        <v>68.152410000000003</v>
      </c>
      <c r="J5870">
        <v>-421.7706</v>
      </c>
      <c r="K5870">
        <v>1.1199589999999999</v>
      </c>
      <c r="L5870">
        <v>94.123170000000002</v>
      </c>
      <c r="M5870">
        <v>6.3762310000000004E-3</v>
      </c>
      <c r="N5870">
        <v>-9.9527769999999995E-3</v>
      </c>
      <c r="O5870">
        <v>-0.9999304</v>
      </c>
      <c r="P5870">
        <v>2.195718E-2</v>
      </c>
      <c r="Q5870">
        <v>-0.118686</v>
      </c>
      <c r="R5870">
        <v>-0.99268909999999999</v>
      </c>
      <c r="S5870">
        <v>3.8208010000000001E-2</v>
      </c>
      <c r="T5870">
        <v>-0.12861620000000001</v>
      </c>
      <c r="U5870">
        <v>-3.005951</v>
      </c>
      <c r="V5870">
        <v>-1.5698759999999999E-2</v>
      </c>
      <c r="W5870">
        <v>-0.1087886</v>
      </c>
      <c r="X5870">
        <v>0.99394090000000002</v>
      </c>
      <c r="Y5870">
        <v>-6.3249760000000004E-3</v>
      </c>
      <c r="Z5870">
        <v>3.279924E-2</v>
      </c>
      <c r="AA5870">
        <v>0.99944189999999999</v>
      </c>
      <c r="AB5870">
        <v>25</v>
      </c>
      <c r="AC5870">
        <v>0.33170000000001199</v>
      </c>
      <c r="AD5870">
        <v>-1.119963054948</v>
      </c>
      <c r="AE5870">
        <v>-25.970759999999999</v>
      </c>
      <c r="AF5870">
        <v>-0.16578128226189701</v>
      </c>
      <c r="AG5870">
        <v>-1.119963054948</v>
      </c>
      <c r="AH5870">
        <v>25.924144371255</v>
      </c>
      <c r="AI5870">
        <v>92.473677402592401</v>
      </c>
      <c r="AJ5870">
        <v>90.366393512708697</v>
      </c>
      <c r="AK5870">
        <v>25.948854735029599</v>
      </c>
      <c r="AL5870">
        <v>96.2454886257906</v>
      </c>
      <c r="AM5870">
        <v>90.9048806696036</v>
      </c>
      <c r="AN5870">
        <v>0.99999996162415306</v>
      </c>
    </row>
    <row r="5871" spans="1:40" x14ac:dyDescent="0.25">
      <c r="A5871" t="str">
        <f>"20190303154927492"</f>
        <v>20190303154927492</v>
      </c>
      <c r="B5871" t="str">
        <f>"1551599367486407"</f>
        <v>1551599367486407</v>
      </c>
      <c r="C5871" t="s">
        <v>40</v>
      </c>
      <c r="D5871">
        <v>4.5264179999999996</v>
      </c>
      <c r="E5871">
        <v>0.50332279999999996</v>
      </c>
      <c r="F5871" t="s">
        <v>41</v>
      </c>
      <c r="G5871">
        <v>-421.42790000000002</v>
      </c>
      <c r="H5871" s="1">
        <v>-3.9633429999999999E-6</v>
      </c>
      <c r="I5871">
        <v>67.94211</v>
      </c>
      <c r="J5871">
        <v>-421.76940000000002</v>
      </c>
      <c r="K5871">
        <v>1.1199429999999999</v>
      </c>
      <c r="L5871">
        <v>93.881529999999998</v>
      </c>
      <c r="M5871">
        <v>5.9964789999999999E-3</v>
      </c>
      <c r="N5871">
        <v>-9.8330640000000007E-3</v>
      </c>
      <c r="O5871">
        <v>-0.99993399999999999</v>
      </c>
      <c r="P5871">
        <v>2.1671240000000001E-2</v>
      </c>
      <c r="Q5871">
        <v>-0.11841260000000001</v>
      </c>
      <c r="R5871">
        <v>-0.99272830000000001</v>
      </c>
      <c r="S5871">
        <v>3.9337160000000003E-2</v>
      </c>
      <c r="T5871">
        <v>-0.12858339999999999</v>
      </c>
      <c r="U5871">
        <v>-3.0058590000000001</v>
      </c>
      <c r="V5871">
        <v>-1.5791449999999999E-2</v>
      </c>
      <c r="W5871">
        <v>-0.10863349999999999</v>
      </c>
      <c r="X5871">
        <v>0.99395639999999996</v>
      </c>
      <c r="Y5871">
        <v>-7.0802969999999897E-3</v>
      </c>
      <c r="Z5871">
        <v>3.2909239999999999E-2</v>
      </c>
      <c r="AA5871">
        <v>0.99943329999999997</v>
      </c>
      <c r="AB5871">
        <v>25</v>
      </c>
      <c r="AC5871">
        <v>0.34149999999999597</v>
      </c>
      <c r="AD5871">
        <v>-1.1199469633429999</v>
      </c>
      <c r="AE5871">
        <v>-25.939419999999998</v>
      </c>
      <c r="AF5871">
        <v>-0.18559529025663199</v>
      </c>
      <c r="AG5871">
        <v>-1.1199469633429999</v>
      </c>
      <c r="AH5871">
        <v>25.892742611984001</v>
      </c>
      <c r="AI5871">
        <v>92.476625147594504</v>
      </c>
      <c r="AJ5871">
        <v>90.410680509168301</v>
      </c>
      <c r="AK5871">
        <v>25.9176165336035</v>
      </c>
      <c r="AL5871">
        <v>96.236549040390003</v>
      </c>
      <c r="AM5871">
        <v>90.910208257592302</v>
      </c>
      <c r="AN5871">
        <v>0.99999996615815501</v>
      </c>
    </row>
    <row r="5872" spans="1:40" x14ac:dyDescent="0.25">
      <c r="A5872" t="str">
        <f>"20190303154927515"</f>
        <v>20190303154927515</v>
      </c>
      <c r="B5872" t="str">
        <f>"1551599367506511"</f>
        <v>1551599367506511</v>
      </c>
      <c r="C5872" t="s">
        <v>40</v>
      </c>
      <c r="D5872">
        <v>4.5445779999999996</v>
      </c>
      <c r="E5872">
        <v>0.50328589999999995</v>
      </c>
      <c r="F5872" t="s">
        <v>41</v>
      </c>
      <c r="G5872">
        <v>-421.43950000000001</v>
      </c>
      <c r="H5872" s="1">
        <v>-3.9059019999999998E-6</v>
      </c>
      <c r="I5872">
        <v>67.801050000000004</v>
      </c>
      <c r="J5872">
        <v>-421.76839999999999</v>
      </c>
      <c r="K5872">
        <v>1.119929</v>
      </c>
      <c r="L5872">
        <v>93.638549999999995</v>
      </c>
      <c r="M5872">
        <v>5.6069090000000002E-3</v>
      </c>
      <c r="N5872">
        <v>-9.7206080000000004E-3</v>
      </c>
      <c r="O5872">
        <v>-0.99993710000000002</v>
      </c>
      <c r="P5872">
        <v>2.1337390000000001E-2</v>
      </c>
      <c r="Q5872">
        <v>-0.1178917</v>
      </c>
      <c r="R5872">
        <v>-0.99279709999999999</v>
      </c>
      <c r="S5872">
        <v>3.80249E-2</v>
      </c>
      <c r="T5872">
        <v>-0.1290722</v>
      </c>
      <c r="U5872">
        <v>-3.0057369999999999</v>
      </c>
      <c r="V5872">
        <v>-1.5844299999999999E-2</v>
      </c>
      <c r="W5872">
        <v>-0.10822370000000001</v>
      </c>
      <c r="X5872">
        <v>0.99400029999999995</v>
      </c>
      <c r="Y5872">
        <v>-7.0340699999999999E-3</v>
      </c>
      <c r="Z5872">
        <v>3.3185810000000003E-2</v>
      </c>
      <c r="AA5872">
        <v>0.99942450000000005</v>
      </c>
      <c r="AB5872">
        <v>25</v>
      </c>
      <c r="AC5872">
        <v>0.32889999999997599</v>
      </c>
      <c r="AD5872">
        <v>-1.119932905902</v>
      </c>
      <c r="AE5872">
        <v>-25.837499999999899</v>
      </c>
      <c r="AF5872">
        <v>-0.18367444940293001</v>
      </c>
      <c r="AG5872">
        <v>-1.119932905902</v>
      </c>
      <c r="AH5872">
        <v>25.790490426024</v>
      </c>
      <c r="AI5872">
        <v>92.486401631634493</v>
      </c>
      <c r="AJ5872">
        <v>90.408041594605606</v>
      </c>
      <c r="AK5872">
        <v>25.815448522772598</v>
      </c>
      <c r="AL5872">
        <v>96.212929742196494</v>
      </c>
      <c r="AM5872">
        <v>90.913213652967599</v>
      </c>
      <c r="AN5872">
        <v>1.0000000037421299</v>
      </c>
    </row>
    <row r="5873" spans="1:40" x14ac:dyDescent="0.25">
      <c r="A5873" t="str">
        <f>"20190303154927537"</f>
        <v>20190303154927537</v>
      </c>
      <c r="B5873" t="str">
        <f>"1551599367527007"</f>
        <v>1551599367527007</v>
      </c>
      <c r="C5873" t="s">
        <v>40</v>
      </c>
      <c r="D5873">
        <v>4.5413410000000001</v>
      </c>
      <c r="E5873">
        <v>0.50331990000000004</v>
      </c>
      <c r="F5873" t="s">
        <v>41</v>
      </c>
      <c r="G5873">
        <v>-421.43900000000002</v>
      </c>
      <c r="H5873" s="1">
        <v>-3.763337E-6</v>
      </c>
      <c r="I5873">
        <v>67.469059999999999</v>
      </c>
      <c r="J5873">
        <v>-421.76749999999998</v>
      </c>
      <c r="K5873">
        <v>1.1199209999999999</v>
      </c>
      <c r="L5873">
        <v>93.394130000000004</v>
      </c>
      <c r="M5873">
        <v>5.2129780000000001E-3</v>
      </c>
      <c r="N5873">
        <v>-9.6179820000000006E-3</v>
      </c>
      <c r="O5873">
        <v>-0.99994039999999995</v>
      </c>
      <c r="P5873">
        <v>2.090289E-2</v>
      </c>
      <c r="Q5873">
        <v>-0.117399</v>
      </c>
      <c r="R5873">
        <v>-0.992865</v>
      </c>
      <c r="S5873">
        <v>3.7841800000000002E-2</v>
      </c>
      <c r="T5873">
        <v>-0.12862899999999999</v>
      </c>
      <c r="U5873">
        <v>-3.0056759999999998</v>
      </c>
      <c r="V5873">
        <v>-1.5800419999999999E-2</v>
      </c>
      <c r="W5873">
        <v>-0.1078326</v>
      </c>
      <c r="X5873">
        <v>0.99404349999999997</v>
      </c>
      <c r="Y5873">
        <v>-7.367363E-3</v>
      </c>
      <c r="Z5873">
        <v>3.314222E-2</v>
      </c>
      <c r="AA5873">
        <v>0.99942350000000002</v>
      </c>
      <c r="AB5873">
        <v>25</v>
      </c>
      <c r="AC5873">
        <v>0.32849999999996199</v>
      </c>
      <c r="AD5873">
        <v>-1.119924763337</v>
      </c>
      <c r="AE5873">
        <v>-25.925070000000002</v>
      </c>
      <c r="AF5873">
        <v>-0.19298242875183999</v>
      </c>
      <c r="AG5873">
        <v>-1.119924763337</v>
      </c>
      <c r="AH5873">
        <v>25.878146468503701</v>
      </c>
      <c r="AI5873">
        <v>92.477966008437804</v>
      </c>
      <c r="AJ5873">
        <v>90.427266834542493</v>
      </c>
      <c r="AK5873">
        <v>25.903087428696001</v>
      </c>
      <c r="AL5873">
        <v>96.190389467880493</v>
      </c>
      <c r="AM5873">
        <v>90.910645409080601</v>
      </c>
      <c r="AN5873">
        <v>1.0000000013935899</v>
      </c>
    </row>
    <row r="5874" spans="1:40" x14ac:dyDescent="0.25">
      <c r="A5874" t="str">
        <f>"20190303154927560"</f>
        <v>20190303154927560</v>
      </c>
      <c r="B5874" t="str">
        <f>"1551599367557263"</f>
        <v>1551599367557263</v>
      </c>
      <c r="C5874" t="s">
        <v>40</v>
      </c>
      <c r="D5874">
        <v>4.5425360000000001</v>
      </c>
      <c r="E5874">
        <v>0.50347940000000002</v>
      </c>
      <c r="F5874" t="s">
        <v>41</v>
      </c>
      <c r="G5874">
        <v>-421.4513</v>
      </c>
      <c r="H5874" s="1">
        <v>-3.5848259999999998E-6</v>
      </c>
      <c r="I5874">
        <v>67.045289999999994</v>
      </c>
      <c r="J5874">
        <v>-421.76659999999998</v>
      </c>
      <c r="K5874">
        <v>1.11992</v>
      </c>
      <c r="L5874">
        <v>93.138459999999995</v>
      </c>
      <c r="M5874">
        <v>4.8026240000000001E-3</v>
      </c>
      <c r="N5874">
        <v>-9.5227300000000001E-3</v>
      </c>
      <c r="O5874">
        <v>-0.99994329999999998</v>
      </c>
      <c r="P5874">
        <v>2.0112970000000001E-2</v>
      </c>
      <c r="Q5874">
        <v>-0.1164429</v>
      </c>
      <c r="R5874">
        <v>-0.99299400000000004</v>
      </c>
      <c r="S5874">
        <v>3.6071779999999998E-2</v>
      </c>
      <c r="T5874">
        <v>-0.1277537</v>
      </c>
      <c r="U5874">
        <v>-3.0057070000000001</v>
      </c>
      <c r="V5874">
        <v>-1.541651E-2</v>
      </c>
      <c r="W5874">
        <v>-0.1069703</v>
      </c>
      <c r="X5874">
        <v>0.99414270000000005</v>
      </c>
      <c r="Y5874">
        <v>-7.1893019999999998E-3</v>
      </c>
      <c r="Z5874">
        <v>3.2946789999999997E-2</v>
      </c>
      <c r="AA5874">
        <v>0.99943130000000002</v>
      </c>
      <c r="AB5874">
        <v>25</v>
      </c>
      <c r="AC5874">
        <v>0.31529999999997899</v>
      </c>
      <c r="AD5874">
        <v>-1.1199235848260001</v>
      </c>
      <c r="AE5874">
        <v>-26.093169999999901</v>
      </c>
      <c r="AF5874">
        <v>-0.189625752022374</v>
      </c>
      <c r="AG5874">
        <v>-1.1199235848260001</v>
      </c>
      <c r="AH5874">
        <v>26.046409206478899</v>
      </c>
      <c r="AI5874">
        <v>92.461978450339501</v>
      </c>
      <c r="AJ5874">
        <v>90.417123268073397</v>
      </c>
      <c r="AK5874">
        <v>26.0711645177776</v>
      </c>
      <c r="AL5874">
        <v>96.140695816101896</v>
      </c>
      <c r="AM5874">
        <v>90.888433987725094</v>
      </c>
      <c r="AN5874">
        <v>1.0000000109129701</v>
      </c>
    </row>
    <row r="5875" spans="1:40" x14ac:dyDescent="0.25">
      <c r="A5875" t="str">
        <f>"20190303154927582"</f>
        <v>20190303154927582</v>
      </c>
      <c r="B5875" t="str">
        <f>"1551599367576784"</f>
        <v>1551599367576784</v>
      </c>
      <c r="C5875" t="s">
        <v>40</v>
      </c>
      <c r="D5875">
        <v>4.377948</v>
      </c>
      <c r="E5875">
        <v>0.52191599999999905</v>
      </c>
      <c r="F5875" t="s">
        <v>41</v>
      </c>
      <c r="G5875">
        <v>-421.47559999999999</v>
      </c>
      <c r="H5875" s="1">
        <v>-3.2048970000000001E-6</v>
      </c>
      <c r="I5875">
        <v>66.14461</v>
      </c>
      <c r="J5875">
        <v>-421.76589999999999</v>
      </c>
      <c r="K5875">
        <v>1.119912</v>
      </c>
      <c r="L5875">
        <v>92.888549999999995</v>
      </c>
      <c r="M5875">
        <v>4.4060380000000001E-3</v>
      </c>
      <c r="N5875">
        <v>-9.4425659999999995E-3</v>
      </c>
      <c r="O5875">
        <v>-0.99994559999999999</v>
      </c>
      <c r="P5875">
        <v>1.9140069999999999E-2</v>
      </c>
      <c r="Q5875">
        <v>-0.1155702</v>
      </c>
      <c r="R5875">
        <v>-0.99311479999999996</v>
      </c>
      <c r="S5875">
        <v>3.2409670000000002E-2</v>
      </c>
      <c r="T5875">
        <v>-0.12470870000000001</v>
      </c>
      <c r="U5875">
        <v>-3.00589</v>
      </c>
      <c r="V5875">
        <v>-1.483612E-2</v>
      </c>
      <c r="W5875">
        <v>-0.1061767</v>
      </c>
      <c r="X5875">
        <v>0.99423660000000003</v>
      </c>
      <c r="Y5875">
        <v>-6.3682859999999999E-3</v>
      </c>
      <c r="Z5875">
        <v>3.2014140000000003E-2</v>
      </c>
      <c r="AA5875">
        <v>0.99946710000000005</v>
      </c>
      <c r="AB5875">
        <v>25</v>
      </c>
      <c r="AC5875">
        <v>0.290300000000002</v>
      </c>
      <c r="AD5875">
        <v>-1.119915204897</v>
      </c>
      <c r="AE5875">
        <v>-26.743939999999899</v>
      </c>
      <c r="AF5875">
        <v>-0.17215525117071601</v>
      </c>
      <c r="AG5875">
        <v>-1.119915204897</v>
      </c>
      <c r="AH5875">
        <v>26.698148345249301</v>
      </c>
      <c r="AI5875">
        <v>92.4019451336532</v>
      </c>
      <c r="AJ5875">
        <v>90.369450063692398</v>
      </c>
      <c r="AK5875">
        <v>26.7221812837501</v>
      </c>
      <c r="AL5875">
        <v>96.094965451421899</v>
      </c>
      <c r="AM5875">
        <v>90.8549111705683</v>
      </c>
      <c r="AN5875">
        <v>1.00000000942955</v>
      </c>
    </row>
    <row r="5876" spans="1:40" x14ac:dyDescent="0.25">
      <c r="A5876" t="str">
        <f>"20190303154927727"</f>
        <v>20190303154927727</v>
      </c>
      <c r="B5876" t="str">
        <f>"1551599367717167"</f>
        <v>1551599367717167</v>
      </c>
      <c r="C5876" t="s">
        <v>40</v>
      </c>
      <c r="D5876">
        <v>4.4252320000000003</v>
      </c>
      <c r="E5876">
        <v>0.5231403</v>
      </c>
      <c r="F5876" t="s">
        <v>63</v>
      </c>
      <c r="G5876">
        <v>-425.3623</v>
      </c>
      <c r="H5876">
        <v>1.756089</v>
      </c>
      <c r="I5876">
        <v>0.42285349999999999</v>
      </c>
      <c r="J5876">
        <v>-421.76330000000002</v>
      </c>
      <c r="K5876">
        <v>1.1198840000000001</v>
      </c>
      <c r="L5876">
        <v>91.265289999999993</v>
      </c>
      <c r="M5876">
        <v>1.8892329999999999E-3</v>
      </c>
      <c r="N5876">
        <v>-9.1433669999999995E-3</v>
      </c>
      <c r="O5876">
        <v>-0.99995659999999997</v>
      </c>
      <c r="P5876">
        <v>1.472185E-2</v>
      </c>
      <c r="Q5876">
        <v>-0.11625249999999999</v>
      </c>
      <c r="R5876">
        <v>-0.99311070000000001</v>
      </c>
      <c r="S5876">
        <v>-0.1176758</v>
      </c>
      <c r="T5876">
        <v>2.0815009999999998E-2</v>
      </c>
      <c r="U5876">
        <v>-3.0254819999999998</v>
      </c>
      <c r="V5876">
        <v>-1.291893E-2</v>
      </c>
      <c r="W5876">
        <v>-0.1071583</v>
      </c>
      <c r="X5876">
        <v>0.99415799999999999</v>
      </c>
      <c r="Y5876">
        <v>4.0747899999999997E-2</v>
      </c>
      <c r="Z5876">
        <v>-1.6017460000000001E-2</v>
      </c>
      <c r="AA5876">
        <v>0.99904110000000002</v>
      </c>
      <c r="AB5876">
        <v>25</v>
      </c>
      <c r="AC5876">
        <v>-3.5989999999999802</v>
      </c>
      <c r="AD5876">
        <v>0.63620499999999902</v>
      </c>
      <c r="AE5876">
        <v>-90.842436500000005</v>
      </c>
      <c r="AF5876">
        <v>3.77043860727894</v>
      </c>
      <c r="AG5876">
        <v>0.63620499999999902</v>
      </c>
      <c r="AH5876">
        <v>90.831026685934205</v>
      </c>
      <c r="AI5876">
        <v>89.599036769036104</v>
      </c>
      <c r="AJ5876">
        <v>87.622989927766497</v>
      </c>
      <c r="AK5876">
        <v>90.911475474299607</v>
      </c>
      <c r="AL5876">
        <v>96.151529981302403</v>
      </c>
      <c r="AM5876">
        <v>90.744507919425999</v>
      </c>
      <c r="AN5876">
        <v>0.99999996448761597</v>
      </c>
    </row>
    <row r="5877" spans="1:40" x14ac:dyDescent="0.25">
      <c r="A5877" t="str">
        <f>"20190303154927751"</f>
        <v>20190303154927751</v>
      </c>
      <c r="B5877" t="str">
        <f>"1551599367746450"</f>
        <v>1551599367746450</v>
      </c>
      <c r="C5877" t="s">
        <v>40</v>
      </c>
      <c r="D5877">
        <v>4.4655199999999997</v>
      </c>
      <c r="E5877">
        <v>0.52418580000000004</v>
      </c>
      <c r="F5877" t="s">
        <v>63</v>
      </c>
      <c r="G5877">
        <v>-426.0147</v>
      </c>
      <c r="H5877">
        <v>2.4139339999999998</v>
      </c>
      <c r="I5877">
        <v>0.819828</v>
      </c>
      <c r="J5877">
        <v>-421.76319999999998</v>
      </c>
      <c r="K5877">
        <v>1.119877</v>
      </c>
      <c r="L5877">
        <v>91.002870000000001</v>
      </c>
      <c r="M5877">
        <v>1.483502E-3</v>
      </c>
      <c r="N5877">
        <v>-9.1208209999999994E-3</v>
      </c>
      <c r="O5877">
        <v>-0.99995730000000005</v>
      </c>
      <c r="P5877">
        <v>1.398807E-2</v>
      </c>
      <c r="Q5877">
        <v>-0.1162903</v>
      </c>
      <c r="R5877">
        <v>-0.99311680000000002</v>
      </c>
      <c r="S5877">
        <v>-0.14233399999999999</v>
      </c>
      <c r="T5877">
        <v>4.3322090000000001E-2</v>
      </c>
      <c r="U5877">
        <v>-3.0279850000000001</v>
      </c>
      <c r="V5877">
        <v>-1.258796E-2</v>
      </c>
      <c r="W5877">
        <v>-0.1072186</v>
      </c>
      <c r="X5877">
        <v>0.99415580000000003</v>
      </c>
      <c r="Y5877">
        <v>4.8424490000000001E-2</v>
      </c>
      <c r="Z5877">
        <v>-2.3409079999999999E-2</v>
      </c>
      <c r="AA5877">
        <v>0.99855249999999995</v>
      </c>
      <c r="AB5877">
        <v>25</v>
      </c>
      <c r="AC5877">
        <v>-4.2515000000000196</v>
      </c>
      <c r="AD5877">
        <v>1.29405699999999</v>
      </c>
      <c r="AE5877">
        <v>-90.183042</v>
      </c>
      <c r="AF5877">
        <v>4.3843868653295397</v>
      </c>
      <c r="AG5877">
        <v>1.29405699999999</v>
      </c>
      <c r="AH5877">
        <v>90.158112963924907</v>
      </c>
      <c r="AI5877">
        <v>89.178649444488897</v>
      </c>
      <c r="AJ5877">
        <v>87.215900919487098</v>
      </c>
      <c r="AK5877">
        <v>90.273931812677702</v>
      </c>
      <c r="AL5877">
        <v>96.155004595365398</v>
      </c>
      <c r="AM5877">
        <v>90.725438045255004</v>
      </c>
      <c r="AN5877">
        <v>1.0000000197982799</v>
      </c>
    </row>
    <row r="5878" spans="1:40" x14ac:dyDescent="0.25">
      <c r="A5878" t="str">
        <f>"20190303154927772"</f>
        <v>20190303154927772</v>
      </c>
      <c r="B5878" t="str">
        <f>"1551599367766944"</f>
        <v>1551599367766944</v>
      </c>
      <c r="C5878" t="s">
        <v>40</v>
      </c>
      <c r="D5878">
        <v>4.6191040000000001</v>
      </c>
      <c r="E5878">
        <v>0.51926890000000003</v>
      </c>
      <c r="F5878" t="s">
        <v>63</v>
      </c>
      <c r="G5878">
        <v>-426.24680000000001</v>
      </c>
      <c r="H5878">
        <v>3.1262129999999999</v>
      </c>
      <c r="I5878">
        <v>1.7108920000000001</v>
      </c>
      <c r="J5878">
        <v>-421.76330000000002</v>
      </c>
      <c r="K5878">
        <v>1.119872</v>
      </c>
      <c r="L5878">
        <v>90.755279999999999</v>
      </c>
      <c r="M5878">
        <v>1.100728E-3</v>
      </c>
      <c r="N5878">
        <v>-9.1038319999999992E-3</v>
      </c>
      <c r="O5878">
        <v>-0.99995800000000001</v>
      </c>
      <c r="P5878">
        <v>1.3612239999999999E-2</v>
      </c>
      <c r="Q5878">
        <v>-0.11573070000000001</v>
      </c>
      <c r="R5878">
        <v>-0.9931875</v>
      </c>
      <c r="S5878">
        <v>-0.1521912</v>
      </c>
      <c r="T5878">
        <v>6.8101880000000004E-2</v>
      </c>
      <c r="U5878">
        <v>-3.0309140000000001</v>
      </c>
      <c r="V5878">
        <v>-1.259249E-2</v>
      </c>
      <c r="W5878">
        <v>-0.1066753</v>
      </c>
      <c r="X5878">
        <v>0.99421420000000005</v>
      </c>
      <c r="Y5878">
        <v>5.1227300000000003E-2</v>
      </c>
      <c r="Z5878">
        <v>-3.1535390000000003E-2</v>
      </c>
      <c r="AA5878">
        <v>0.99818899999999999</v>
      </c>
      <c r="AB5878">
        <v>25</v>
      </c>
      <c r="AC5878">
        <v>-4.4834999999999896</v>
      </c>
      <c r="AD5878">
        <v>2.0063409999999999</v>
      </c>
      <c r="AE5878">
        <v>-89.044387999999998</v>
      </c>
      <c r="AF5878">
        <v>4.5791960710209798</v>
      </c>
      <c r="AG5878">
        <v>2.0063409999999999</v>
      </c>
      <c r="AH5878">
        <v>88.994331689054405</v>
      </c>
      <c r="AI5878">
        <v>88.710214453766199</v>
      </c>
      <c r="AJ5878">
        <v>87.054448066542406</v>
      </c>
      <c r="AK5878">
        <v>89.134648221926398</v>
      </c>
      <c r="AL5878">
        <v>96.123696155739196</v>
      </c>
      <c r="AM5878">
        <v>90.725656456147405</v>
      </c>
      <c r="AN5878">
        <v>1.0000000329580601</v>
      </c>
    </row>
    <row r="5879" spans="1:40" x14ac:dyDescent="0.25">
      <c r="A5879" t="str">
        <f>"20190303154927795"</f>
        <v>20190303154927795</v>
      </c>
      <c r="B5879" t="str">
        <f>"1551599367786464"</f>
        <v>1551599367786464</v>
      </c>
      <c r="C5879" t="s">
        <v>40</v>
      </c>
      <c r="D5879">
        <v>4.6303210000000004</v>
      </c>
      <c r="E5879">
        <v>0.51594849999999903</v>
      </c>
      <c r="F5879" t="s">
        <v>63</v>
      </c>
      <c r="G5879">
        <v>-425.18360000000001</v>
      </c>
      <c r="H5879">
        <v>2.4148360000000002</v>
      </c>
      <c r="I5879">
        <v>0.42467690000000002</v>
      </c>
      <c r="J5879">
        <v>-421.76339999999999</v>
      </c>
      <c r="K5879">
        <v>1.1198760000000001</v>
      </c>
      <c r="L5879">
        <v>90.497249999999994</v>
      </c>
      <c r="M5879">
        <v>7.0240979999999895E-4</v>
      </c>
      <c r="N5879">
        <v>-9.0899780000000003E-3</v>
      </c>
      <c r="O5879">
        <v>-0.99995829999999997</v>
      </c>
      <c r="P5879">
        <v>1.3379749999999999E-2</v>
      </c>
      <c r="Q5879">
        <v>-0.1152806</v>
      </c>
      <c r="R5879">
        <v>-0.99324259999999998</v>
      </c>
      <c r="S5879">
        <v>-0.114624</v>
      </c>
      <c r="T5879">
        <v>4.3396469999999999E-2</v>
      </c>
      <c r="U5879">
        <v>-3.0271910000000002</v>
      </c>
      <c r="V5879">
        <v>-1.2755229999999999E-2</v>
      </c>
      <c r="W5879">
        <v>-0.1062384</v>
      </c>
      <c r="X5879">
        <v>0.99425889999999995</v>
      </c>
      <c r="Y5879">
        <v>3.8530170000000002E-2</v>
      </c>
      <c r="Z5879">
        <v>-2.3412200000000001E-2</v>
      </c>
      <c r="AA5879">
        <v>0.99898310000000001</v>
      </c>
      <c r="AB5879">
        <v>25</v>
      </c>
      <c r="AC5879">
        <v>-3.4202000000000199</v>
      </c>
      <c r="AD5879">
        <v>1.2949600000000001</v>
      </c>
      <c r="AE5879">
        <v>-90.0725730999999</v>
      </c>
      <c r="AF5879">
        <v>3.4827508102670302</v>
      </c>
      <c r="AG5879">
        <v>1.2949600000000001</v>
      </c>
      <c r="AH5879">
        <v>90.051562090451796</v>
      </c>
      <c r="AI5879">
        <v>89.176747062543001</v>
      </c>
      <c r="AJ5879">
        <v>87.785185336439596</v>
      </c>
      <c r="AK5879">
        <v>90.128188207344493</v>
      </c>
      <c r="AL5879">
        <v>96.098520602771899</v>
      </c>
      <c r="AM5879">
        <v>90.735000467981095</v>
      </c>
      <c r="AN5879">
        <v>1.00000002687806</v>
      </c>
    </row>
    <row r="5880" spans="1:40" x14ac:dyDescent="0.25">
      <c r="A5880" t="str">
        <f>"20190303154927818"</f>
        <v>20190303154927818</v>
      </c>
      <c r="B5880" t="str">
        <f>"1551599367806960"</f>
        <v>1551599367806960</v>
      </c>
      <c r="C5880" t="s">
        <v>40</v>
      </c>
      <c r="D5880">
        <v>4.6456379999999999</v>
      </c>
      <c r="E5880">
        <v>0.51357209999999998</v>
      </c>
      <c r="F5880" t="s">
        <v>63</v>
      </c>
      <c r="G5880">
        <v>-424.41090000000003</v>
      </c>
      <c r="H5880">
        <v>2.0571609999999998</v>
      </c>
      <c r="I5880">
        <v>0.43253330000000001</v>
      </c>
      <c r="J5880">
        <v>-421.76369999999997</v>
      </c>
      <c r="K5880">
        <v>1.119872</v>
      </c>
      <c r="L5880">
        <v>90.234279999999998</v>
      </c>
      <c r="M5880">
        <v>2.9648469999999998E-4</v>
      </c>
      <c r="N5880">
        <v>-9.0795070000000005E-3</v>
      </c>
      <c r="O5880">
        <v>-0.99995900000000004</v>
      </c>
      <c r="P5880">
        <v>1.332202E-2</v>
      </c>
      <c r="Q5880">
        <v>-0.1152589</v>
      </c>
      <c r="R5880">
        <v>-0.99324630000000003</v>
      </c>
      <c r="S5880">
        <v>-8.8928220000000002E-2</v>
      </c>
      <c r="T5880">
        <v>3.1482459999999997E-2</v>
      </c>
      <c r="U5880">
        <v>-3.0252690000000002</v>
      </c>
      <c r="V5880">
        <v>-1.3100860000000001E-2</v>
      </c>
      <c r="W5880">
        <v>-0.1062269</v>
      </c>
      <c r="X5880">
        <v>0.99425560000000002</v>
      </c>
      <c r="Y5880">
        <v>2.9673430000000001E-2</v>
      </c>
      <c r="Z5880">
        <v>-1.9480029999999999E-2</v>
      </c>
      <c r="AA5880">
        <v>0.99936979999999997</v>
      </c>
      <c r="AB5880">
        <v>25</v>
      </c>
      <c r="AC5880">
        <v>-2.64720000000005</v>
      </c>
      <c r="AD5880">
        <v>0.93728900000000004</v>
      </c>
      <c r="AE5880">
        <v>-89.801746699999995</v>
      </c>
      <c r="AF5880">
        <v>2.67353482268524</v>
      </c>
      <c r="AG5880">
        <v>0.93728900000000004</v>
      </c>
      <c r="AH5880">
        <v>89.791184730134901</v>
      </c>
      <c r="AI5880">
        <v>89.402202266091194</v>
      </c>
      <c r="AJ5880">
        <v>88.294520578779199</v>
      </c>
      <c r="AK5880">
        <v>89.835867861110202</v>
      </c>
      <c r="AL5880">
        <v>96.097858162169899</v>
      </c>
      <c r="AM5880">
        <v>90.754917094786805</v>
      </c>
      <c r="AN5880">
        <v>0.99999999247385396</v>
      </c>
    </row>
    <row r="5881" spans="1:40" x14ac:dyDescent="0.25">
      <c r="A5881" t="str">
        <f>"20190303154927839"</f>
        <v>20190303154927839</v>
      </c>
      <c r="B5881" t="str">
        <f>"1551599367826480"</f>
        <v>1551599367826480</v>
      </c>
      <c r="C5881" t="s">
        <v>40</v>
      </c>
      <c r="D5881">
        <v>4.6859159999999997</v>
      </c>
      <c r="E5881">
        <v>0.51168019999999903</v>
      </c>
      <c r="F5881" t="s">
        <v>63</v>
      </c>
      <c r="G5881">
        <v>-423.83159999999998</v>
      </c>
      <c r="H5881">
        <v>1.830497</v>
      </c>
      <c r="I5881">
        <v>0.43842320000000001</v>
      </c>
      <c r="J5881">
        <v>-421.76400000000001</v>
      </c>
      <c r="K5881">
        <v>1.1198729999999999</v>
      </c>
      <c r="L5881">
        <v>89.996919999999903</v>
      </c>
      <c r="M5881" s="1">
        <v>-7.0328319999999895E-5</v>
      </c>
      <c r="N5881">
        <v>-9.0729379999999991E-3</v>
      </c>
      <c r="O5881">
        <v>-0.99995900000000004</v>
      </c>
      <c r="P5881">
        <v>1.3119820000000001E-2</v>
      </c>
      <c r="Q5881">
        <v>-0.1155659</v>
      </c>
      <c r="R5881">
        <v>-0.99321340000000002</v>
      </c>
      <c r="S5881">
        <v>-6.9641110000000006E-2</v>
      </c>
      <c r="T5881">
        <v>2.3931379999999999E-2</v>
      </c>
      <c r="U5881">
        <v>-3.0241090000000002</v>
      </c>
      <c r="V5881">
        <v>-1.3263499999999999E-2</v>
      </c>
      <c r="W5881">
        <v>-0.1065406</v>
      </c>
      <c r="X5881">
        <v>0.99421990000000005</v>
      </c>
      <c r="Y5881">
        <v>2.2948779999999998E-2</v>
      </c>
      <c r="Z5881">
        <v>-1.6983519999999998E-2</v>
      </c>
      <c r="AA5881">
        <v>0.99959240000000005</v>
      </c>
      <c r="AB5881">
        <v>25</v>
      </c>
      <c r="AC5881">
        <v>-2.0675999999999699</v>
      </c>
      <c r="AD5881">
        <v>0.71062400000000003</v>
      </c>
      <c r="AE5881">
        <v>-89.558496799999901</v>
      </c>
      <c r="AF5881">
        <v>2.0611715353738802</v>
      </c>
      <c r="AG5881">
        <v>0.71062400000000003</v>
      </c>
      <c r="AH5881">
        <v>89.553006722956894</v>
      </c>
      <c r="AI5881">
        <v>89.545474536278405</v>
      </c>
      <c r="AJ5881">
        <v>88.681500632300697</v>
      </c>
      <c r="AK5881">
        <v>89.579542461934693</v>
      </c>
      <c r="AL5881">
        <v>96.115934292009001</v>
      </c>
      <c r="AM5881">
        <v>90.764315312521205</v>
      </c>
      <c r="AN5881">
        <v>1.0000000147183099</v>
      </c>
    </row>
    <row r="5882" spans="1:40" x14ac:dyDescent="0.25">
      <c r="A5882" t="str">
        <f>"20190303154927861"</f>
        <v>20190303154927861</v>
      </c>
      <c r="B5882" t="str">
        <f>"1551599367856736"</f>
        <v>1551599367856736</v>
      </c>
      <c r="C5882" t="s">
        <v>40</v>
      </c>
      <c r="D5882">
        <v>4.7131030000000003</v>
      </c>
      <c r="E5882">
        <v>0.50927509999999998</v>
      </c>
      <c r="F5882" t="s">
        <v>63</v>
      </c>
      <c r="G5882">
        <v>-423.3931</v>
      </c>
      <c r="H5882">
        <v>1.6020099999999999</v>
      </c>
      <c r="I5882">
        <v>0.44288250000000001</v>
      </c>
      <c r="J5882">
        <v>-421.7645</v>
      </c>
      <c r="K5882">
        <v>1.119866</v>
      </c>
      <c r="L5882">
        <v>89.740969999999905</v>
      </c>
      <c r="M5882">
        <v>-4.6549800000000001E-4</v>
      </c>
      <c r="N5882">
        <v>-9.0682760000000001E-3</v>
      </c>
      <c r="O5882">
        <v>-0.99995919999999905</v>
      </c>
      <c r="P5882">
        <v>1.297916E-2</v>
      </c>
      <c r="Q5882">
        <v>-0.11539149999999999</v>
      </c>
      <c r="R5882">
        <v>-0.9932356</v>
      </c>
      <c r="S5882">
        <v>-5.4992680000000002E-2</v>
      </c>
      <c r="T5882">
        <v>1.6275049999999999E-2</v>
      </c>
      <c r="U5882">
        <v>-3.0231020000000002</v>
      </c>
      <c r="V5882">
        <v>-1.351596E-2</v>
      </c>
      <c r="W5882">
        <v>-0.10637050000000001</v>
      </c>
      <c r="X5882">
        <v>0.99423470000000003</v>
      </c>
      <c r="Y5882">
        <v>1.772017E-2</v>
      </c>
      <c r="Z5882">
        <v>-1.445049E-2</v>
      </c>
      <c r="AA5882">
        <v>0.99973860000000003</v>
      </c>
      <c r="AB5882">
        <v>25</v>
      </c>
      <c r="AC5882">
        <v>-1.6286</v>
      </c>
      <c r="AD5882">
        <v>0.48214399999999902</v>
      </c>
      <c r="AE5882">
        <v>-89.298087499999994</v>
      </c>
      <c r="AF5882">
        <v>1.58698380239784</v>
      </c>
      <c r="AG5882">
        <v>0.48214399999999902</v>
      </c>
      <c r="AH5882">
        <v>89.296233661772405</v>
      </c>
      <c r="AI5882">
        <v>89.690690354212506</v>
      </c>
      <c r="AJ5882">
        <v>88.981839445865305</v>
      </c>
      <c r="AK5882">
        <v>89.311636008997596</v>
      </c>
      <c r="AL5882">
        <v>96.106132662081194</v>
      </c>
      <c r="AM5882">
        <v>90.778850068620102</v>
      </c>
      <c r="AN5882">
        <v>1.0000000015645301</v>
      </c>
    </row>
    <row r="5883" spans="1:40" x14ac:dyDescent="0.25">
      <c r="A5883" t="str">
        <f>"20190303154927884"</f>
        <v>20190303154927884</v>
      </c>
      <c r="B5883" t="str">
        <f>"1551599367877236"</f>
        <v>1551599367877236</v>
      </c>
      <c r="C5883" t="s">
        <v>40</v>
      </c>
      <c r="D5883">
        <v>4.6995149999999999</v>
      </c>
      <c r="E5883">
        <v>0.50817820000000002</v>
      </c>
      <c r="F5883" t="s">
        <v>63</v>
      </c>
      <c r="G5883">
        <v>-422.84399999999999</v>
      </c>
      <c r="H5883">
        <v>1.2343759999999999</v>
      </c>
      <c r="I5883">
        <v>0.44846920000000001</v>
      </c>
      <c r="J5883">
        <v>-421.76499999999999</v>
      </c>
      <c r="K5883">
        <v>1.119861</v>
      </c>
      <c r="L5883">
        <v>89.484650000000002</v>
      </c>
      <c r="M5883">
        <v>-8.6116410000000002E-4</v>
      </c>
      <c r="N5883">
        <v>-9.0659369999999996E-3</v>
      </c>
      <c r="O5883">
        <v>-0.99995880000000004</v>
      </c>
      <c r="P5883">
        <v>1.250427E-2</v>
      </c>
      <c r="Q5883">
        <v>-0.1157714</v>
      </c>
      <c r="R5883">
        <v>-0.99319740000000001</v>
      </c>
      <c r="S5883">
        <v>-3.6529539999999999E-2</v>
      </c>
      <c r="T5883">
        <v>3.8739439999999998E-3</v>
      </c>
      <c r="U5883">
        <v>-3.0213619999999999</v>
      </c>
      <c r="V5883">
        <v>-1.3434339999999999E-2</v>
      </c>
      <c r="W5883">
        <v>-0.1067531</v>
      </c>
      <c r="X5883">
        <v>0.99419480000000005</v>
      </c>
      <c r="Y5883">
        <v>1.1227350000000001E-2</v>
      </c>
      <c r="Z5883">
        <v>-1.034792E-2</v>
      </c>
      <c r="AA5883">
        <v>0.99988339999999998</v>
      </c>
      <c r="AB5883">
        <v>26</v>
      </c>
      <c r="AC5883">
        <v>-1.079</v>
      </c>
      <c r="AD5883">
        <v>0.11451499999999901</v>
      </c>
      <c r="AE5883">
        <v>-89.036180799999997</v>
      </c>
      <c r="AF5883">
        <v>1.00232004886185</v>
      </c>
      <c r="AG5883">
        <v>0.11451499999999901</v>
      </c>
      <c r="AH5883">
        <v>89.036929752011005</v>
      </c>
      <c r="AI5883">
        <v>89.926313644392906</v>
      </c>
      <c r="AJ5883">
        <v>89.3550284929604</v>
      </c>
      <c r="AK5883">
        <v>89.042644945161697</v>
      </c>
      <c r="AL5883">
        <v>96.128179551243093</v>
      </c>
      <c r="AM5883">
        <v>90.774178398349704</v>
      </c>
      <c r="AN5883">
        <v>1.00000000309894</v>
      </c>
    </row>
    <row r="5884" spans="1:40" x14ac:dyDescent="0.25">
      <c r="A5884" t="str">
        <f>"20190303154927899"</f>
        <v>20190303154927899</v>
      </c>
      <c r="B5884" t="str">
        <f>"1551599367896753"</f>
        <v>1551599367896753</v>
      </c>
      <c r="C5884" t="s">
        <v>40</v>
      </c>
      <c r="D5884">
        <v>4.7354649999999996</v>
      </c>
      <c r="E5884">
        <v>0.50743470000000002</v>
      </c>
      <c r="F5884" t="s">
        <v>63</v>
      </c>
      <c r="G5884">
        <v>-422.6223</v>
      </c>
      <c r="H5884">
        <v>0.97672740000000002</v>
      </c>
      <c r="I5884">
        <v>0.4507198</v>
      </c>
      <c r="J5884">
        <v>-421.76549999999997</v>
      </c>
      <c r="K5884">
        <v>1.1198589999999999</v>
      </c>
      <c r="L5884">
        <v>89.301479999999998</v>
      </c>
      <c r="M5884">
        <v>-1.143507E-3</v>
      </c>
      <c r="N5884">
        <v>-9.0653450000000007E-3</v>
      </c>
      <c r="O5884">
        <v>-0.99995849999999997</v>
      </c>
      <c r="P5884">
        <v>1.206015E-2</v>
      </c>
      <c r="Q5884">
        <v>-0.11614339999999999</v>
      </c>
      <c r="R5884">
        <v>-0.99315940000000003</v>
      </c>
      <c r="S5884">
        <v>-2.9083250000000001E-2</v>
      </c>
      <c r="T5884">
        <v>-4.8564669999999997E-3</v>
      </c>
      <c r="U5884">
        <v>-3.0203549999999999</v>
      </c>
      <c r="V5884">
        <v>-1.32712E-2</v>
      </c>
      <c r="W5884">
        <v>-0.1071261</v>
      </c>
      <c r="X5884">
        <v>0.99415679999999995</v>
      </c>
      <c r="Y5884">
        <v>8.4844550000000001E-3</v>
      </c>
      <c r="Z5884">
        <v>-7.4575049999999997E-3</v>
      </c>
      <c r="AA5884">
        <v>0.99993620000000005</v>
      </c>
      <c r="AB5884">
        <v>26</v>
      </c>
      <c r="AC5884">
        <v>-0.85680000000002099</v>
      </c>
      <c r="AD5884">
        <v>-0.1431316</v>
      </c>
      <c r="AE5884">
        <v>-88.850760199999996</v>
      </c>
      <c r="AF5884">
        <v>0.75519186373841796</v>
      </c>
      <c r="AG5884">
        <v>-0.1431316</v>
      </c>
      <c r="AH5884">
        <v>88.851451346933501</v>
      </c>
      <c r="AI5884">
        <v>90.092294871655099</v>
      </c>
      <c r="AJ5884">
        <v>89.513026923472594</v>
      </c>
      <c r="AK5884">
        <v>88.854775942897206</v>
      </c>
      <c r="AL5884">
        <v>96.149674560738106</v>
      </c>
      <c r="AM5884">
        <v>90.764807510047703</v>
      </c>
      <c r="AN5884">
        <v>0.99999993451844205</v>
      </c>
    </row>
    <row r="5885" spans="1:40" x14ac:dyDescent="0.25">
      <c r="A5885" t="str">
        <f>"20190303154927917"</f>
        <v>20190303154927917</v>
      </c>
      <c r="B5885" t="str">
        <f>"1551599367906512"</f>
        <v>1551599367906512</v>
      </c>
      <c r="C5885" t="s">
        <v>40</v>
      </c>
      <c r="D5885">
        <v>4.7458210000000003</v>
      </c>
      <c r="E5885">
        <v>0.50705710000000004</v>
      </c>
      <c r="F5885" t="s">
        <v>63</v>
      </c>
      <c r="G5885">
        <v>-422.48379999999997</v>
      </c>
      <c r="H5885">
        <v>0.75057450000000003</v>
      </c>
      <c r="I5885">
        <v>0.45212550000000001</v>
      </c>
      <c r="J5885">
        <v>-421.76600000000002</v>
      </c>
      <c r="K5885">
        <v>1.1198490000000001</v>
      </c>
      <c r="L5885">
        <v>89.10257</v>
      </c>
      <c r="M5885">
        <v>-1.4504079999999901E-3</v>
      </c>
      <c r="N5885">
        <v>-9.0657649999999999E-3</v>
      </c>
      <c r="O5885">
        <v>-0.99995780000000001</v>
      </c>
      <c r="P5885">
        <v>1.1883339999999999E-2</v>
      </c>
      <c r="Q5885">
        <v>-0.1158098</v>
      </c>
      <c r="R5885">
        <v>-0.99320019999999998</v>
      </c>
      <c r="S5885">
        <v>-2.4414060000000001E-2</v>
      </c>
      <c r="T5885">
        <v>-1.255095E-2</v>
      </c>
      <c r="U5885">
        <v>-3.019501</v>
      </c>
      <c r="V5885">
        <v>-1.33992E-2</v>
      </c>
      <c r="W5885">
        <v>-0.1067917</v>
      </c>
      <c r="X5885">
        <v>0.99419109999999999</v>
      </c>
      <c r="Y5885">
        <v>6.6342759999999997E-3</v>
      </c>
      <c r="Z5885">
        <v>-4.9093309999999899E-3</v>
      </c>
      <c r="AA5885">
        <v>0.99996600000000002</v>
      </c>
      <c r="AB5885">
        <v>26</v>
      </c>
      <c r="AC5885">
        <v>-0.71780000000001098</v>
      </c>
      <c r="AD5885">
        <v>-0.36927449999999901</v>
      </c>
      <c r="AE5885">
        <v>-88.650444499999907</v>
      </c>
      <c r="AF5885">
        <v>0.58920441710012295</v>
      </c>
      <c r="AG5885">
        <v>-0.36927449999999901</v>
      </c>
      <c r="AH5885">
        <v>88.649854285427097</v>
      </c>
      <c r="AI5885">
        <v>90.238661200610593</v>
      </c>
      <c r="AJ5885">
        <v>89.619193629181694</v>
      </c>
      <c r="AK5885">
        <v>88.652581408151505</v>
      </c>
      <c r="AL5885">
        <v>96.130404059532495</v>
      </c>
      <c r="AM5885">
        <v>90.772156510432197</v>
      </c>
      <c r="AN5885">
        <v>0.99999997453436895</v>
      </c>
    </row>
    <row r="5886" spans="1:40" x14ac:dyDescent="0.25">
      <c r="A5886" t="str">
        <f>"20190303154927940"</f>
        <v>20190303154927940</v>
      </c>
      <c r="B5886" t="str">
        <f>"1551599367936769"</f>
        <v>1551599367936769</v>
      </c>
      <c r="C5886" t="s">
        <v>40</v>
      </c>
      <c r="D5886">
        <v>4.716386</v>
      </c>
      <c r="E5886">
        <v>0.50572359999999905</v>
      </c>
      <c r="F5886" t="s">
        <v>63</v>
      </c>
      <c r="G5886">
        <v>-422.39150000000001</v>
      </c>
      <c r="H5886">
        <v>0.70118749999999996</v>
      </c>
      <c r="I5886">
        <v>0.45306590000000002</v>
      </c>
      <c r="J5886">
        <v>-421.76690000000002</v>
      </c>
      <c r="K5886">
        <v>1.1198440000000001</v>
      </c>
      <c r="L5886">
        <v>88.837009999999907</v>
      </c>
      <c r="M5886">
        <v>-1.8604209999999999E-3</v>
      </c>
      <c r="N5886">
        <v>-9.0676000000000003E-3</v>
      </c>
      <c r="O5886">
        <v>-0.99995730000000005</v>
      </c>
      <c r="P5886">
        <v>1.159695E-2</v>
      </c>
      <c r="Q5886">
        <v>-0.1162676</v>
      </c>
      <c r="R5886">
        <v>-0.99315050000000005</v>
      </c>
      <c r="S5886">
        <v>-2.1301270000000001E-2</v>
      </c>
      <c r="T5886">
        <v>-1.42591E-2</v>
      </c>
      <c r="U5886">
        <v>-3.0191349999999999</v>
      </c>
      <c r="V5886">
        <v>-1.352037E-2</v>
      </c>
      <c r="W5886">
        <v>-0.107248</v>
      </c>
      <c r="X5886">
        <v>0.99414040000000004</v>
      </c>
      <c r="Y5886">
        <v>5.1943930000000003E-3</v>
      </c>
      <c r="Z5886">
        <v>-4.3448779999999999E-3</v>
      </c>
      <c r="AA5886">
        <v>0.99997709999999995</v>
      </c>
      <c r="AB5886">
        <v>26</v>
      </c>
      <c r="AC5886">
        <v>-0.62459999999998606</v>
      </c>
      <c r="AD5886">
        <v>-0.41865649999999999</v>
      </c>
      <c r="AE5886">
        <v>-88.383944099999994</v>
      </c>
      <c r="AF5886">
        <v>0.46015051242161698</v>
      </c>
      <c r="AG5886">
        <v>-0.41865649999999999</v>
      </c>
      <c r="AH5886">
        <v>88.382970229591393</v>
      </c>
      <c r="AI5886">
        <v>90.271395563718997</v>
      </c>
      <c r="AJ5886">
        <v>89.7017022167758</v>
      </c>
      <c r="AK5886">
        <v>88.385159604788399</v>
      </c>
      <c r="AL5886">
        <v>96.156698770265194</v>
      </c>
      <c r="AM5886">
        <v>90.779178054676507</v>
      </c>
      <c r="AN5886">
        <v>1.00000003441054</v>
      </c>
    </row>
    <row r="5887" spans="1:40" x14ac:dyDescent="0.25">
      <c r="A5887" t="str">
        <f>"20190303154927963"</f>
        <v>20190303154927963</v>
      </c>
      <c r="B5887" t="str">
        <f>"1551599367957268"</f>
        <v>1551599367957268</v>
      </c>
      <c r="C5887" t="s">
        <v>40</v>
      </c>
      <c r="D5887">
        <v>4.8180420000000002</v>
      </c>
      <c r="E5887">
        <v>0.50501459999999998</v>
      </c>
      <c r="F5887" t="s">
        <v>63</v>
      </c>
      <c r="G5887">
        <v>-422.11270000000002</v>
      </c>
      <c r="H5887">
        <v>0.42828290000000002</v>
      </c>
      <c r="I5887">
        <v>0.45590209999999998</v>
      </c>
      <c r="J5887">
        <v>-421.76780000000002</v>
      </c>
      <c r="K5887">
        <v>1.119834</v>
      </c>
      <c r="L5887">
        <v>88.577939999999998</v>
      </c>
      <c r="M5887">
        <v>-2.2599590000000002E-3</v>
      </c>
      <c r="N5887">
        <v>-9.0710170000000007E-3</v>
      </c>
      <c r="O5887">
        <v>-0.99995639999999997</v>
      </c>
      <c r="P5887">
        <v>1.094845E-2</v>
      </c>
      <c r="Q5887">
        <v>-0.11651930000000001</v>
      </c>
      <c r="R5887">
        <v>-0.99312809999999996</v>
      </c>
      <c r="S5887">
        <v>-1.1810299999999999E-2</v>
      </c>
      <c r="T5887">
        <v>-2.3616430000000001E-2</v>
      </c>
      <c r="U5887">
        <v>-3.0180660000000001</v>
      </c>
      <c r="V5887">
        <v>-1.326924E-2</v>
      </c>
      <c r="W5887">
        <v>-0.1074967</v>
      </c>
      <c r="X5887">
        <v>0.99411689999999997</v>
      </c>
      <c r="Y5887">
        <v>1.652997E-3</v>
      </c>
      <c r="Z5887">
        <v>-1.2463050000000001E-3</v>
      </c>
      <c r="AA5887">
        <v>0.9999979</v>
      </c>
      <c r="AB5887">
        <v>26</v>
      </c>
      <c r="AC5887">
        <v>-0.34489999999999499</v>
      </c>
      <c r="AD5887">
        <v>-0.69155109999999897</v>
      </c>
      <c r="AE5887">
        <v>-88.122037899999995</v>
      </c>
      <c r="AF5887">
        <v>0.14572977700453099</v>
      </c>
      <c r="AG5887">
        <v>-0.69155109999999897</v>
      </c>
      <c r="AH5887">
        <v>88.117165665909795</v>
      </c>
      <c r="AI5887">
        <v>90.449652362320805</v>
      </c>
      <c r="AJ5887">
        <v>89.905243280396107</v>
      </c>
      <c r="AK5887">
        <v>88.1199998018907</v>
      </c>
      <c r="AL5887">
        <v>96.171031225539494</v>
      </c>
      <c r="AM5887">
        <v>90.764725258628204</v>
      </c>
      <c r="AN5887">
        <v>1.0000000120533299</v>
      </c>
    </row>
    <row r="5888" spans="1:40" x14ac:dyDescent="0.25">
      <c r="A5888" t="str">
        <f>"20190303154927984"</f>
        <v>20190303154927984</v>
      </c>
      <c r="B5888" t="str">
        <f>"1551599367976785"</f>
        <v>1551599367976785</v>
      </c>
      <c r="C5888" t="s">
        <v>40</v>
      </c>
      <c r="D5888">
        <v>4.7796339999999997</v>
      </c>
      <c r="E5888">
        <v>0.50426890000000002</v>
      </c>
      <c r="F5888" t="s">
        <v>63</v>
      </c>
      <c r="G5888">
        <v>-422.00029999999998</v>
      </c>
      <c r="H5888">
        <v>0.29481689999999999</v>
      </c>
      <c r="I5888">
        <v>0.45704460000000002</v>
      </c>
      <c r="J5888">
        <v>-421.7688</v>
      </c>
      <c r="K5888">
        <v>1.119837</v>
      </c>
      <c r="L5888">
        <v>88.32535</v>
      </c>
      <c r="M5888">
        <v>-2.6494880000000002E-3</v>
      </c>
      <c r="N5888">
        <v>-9.0793609999999993E-3</v>
      </c>
      <c r="O5888">
        <v>-0.99995540000000005</v>
      </c>
      <c r="P5888">
        <v>1.0309209999999999E-2</v>
      </c>
      <c r="Q5888">
        <v>-0.1169866</v>
      </c>
      <c r="R5888">
        <v>-0.99307999999999996</v>
      </c>
      <c r="S5888">
        <v>-7.9650880000000004E-3</v>
      </c>
      <c r="T5888">
        <v>-2.8251890000000002E-2</v>
      </c>
      <c r="U5888">
        <v>-3.0175169999999998</v>
      </c>
      <c r="V5888">
        <v>-1.301735E-2</v>
      </c>
      <c r="W5888">
        <v>-0.10795639999999899</v>
      </c>
      <c r="X5888">
        <v>0.99407040000000002</v>
      </c>
      <c r="Y5888">
        <v>0</v>
      </c>
      <c r="Z5888">
        <v>0</v>
      </c>
      <c r="AA5888">
        <v>1</v>
      </c>
      <c r="AB5888">
        <v>26</v>
      </c>
      <c r="AC5888">
        <v>-0.231499999999982</v>
      </c>
      <c r="AD5888">
        <v>-0.82502009999999903</v>
      </c>
      <c r="AE5888">
        <v>-87.868305399999997</v>
      </c>
      <c r="AF5888">
        <v>-1.3162836875722499E-3</v>
      </c>
      <c r="AG5888">
        <v>-0.82502009999999903</v>
      </c>
      <c r="AH5888">
        <v>87.860864712620497</v>
      </c>
      <c r="AI5888">
        <v>90.537995848785698</v>
      </c>
      <c r="AJ5888">
        <v>90.000858374205393</v>
      </c>
      <c r="AK5888">
        <v>87.864738137363304</v>
      </c>
      <c r="AL5888">
        <v>96.197524357803502</v>
      </c>
      <c r="AM5888">
        <v>90.750245242103105</v>
      </c>
      <c r="AN5888">
        <v>0.99999999792907102</v>
      </c>
    </row>
    <row r="5889" spans="1:40" x14ac:dyDescent="0.25">
      <c r="A5889" t="str">
        <f>"20190303154928008"</f>
        <v>20190303154928008</v>
      </c>
      <c r="B5889" t="str">
        <f>"1551599367997281"</f>
        <v>1551599367997281</v>
      </c>
      <c r="C5889" t="s">
        <v>40</v>
      </c>
      <c r="D5889">
        <v>4.8841539999999997</v>
      </c>
      <c r="E5889">
        <v>0.50374149999999995</v>
      </c>
      <c r="F5889" t="s">
        <v>43</v>
      </c>
      <c r="G5889">
        <v>-421.91059999999999</v>
      </c>
      <c r="H5889">
        <v>-0.05</v>
      </c>
      <c r="I5889">
        <v>-11.83846</v>
      </c>
      <c r="J5889">
        <v>-421.77</v>
      </c>
      <c r="K5889">
        <v>1.119837</v>
      </c>
      <c r="L5889">
        <v>88.061189999999996</v>
      </c>
      <c r="M5889">
        <v>-3.0571650000000001E-3</v>
      </c>
      <c r="N5889">
        <v>-9.0931099999999997E-3</v>
      </c>
      <c r="O5889">
        <v>-0.99995400000000001</v>
      </c>
      <c r="P5889">
        <v>9.7775810000000005E-3</v>
      </c>
      <c r="Q5889">
        <v>-0.11714629999999999</v>
      </c>
      <c r="R5889">
        <v>-0.99306649999999996</v>
      </c>
      <c r="S5889">
        <v>-4.272461E-3</v>
      </c>
      <c r="T5889">
        <v>-3.523374E-2</v>
      </c>
      <c r="U5889">
        <v>-3.016785</v>
      </c>
      <c r="V5889">
        <v>-1.289058E-2</v>
      </c>
      <c r="W5889">
        <v>-0.1081025</v>
      </c>
      <c r="X5889">
        <v>0.99405619999999995</v>
      </c>
      <c r="Y5889">
        <v>-1.6409160000000001E-3</v>
      </c>
      <c r="Z5889">
        <v>2.5853909999999998E-3</v>
      </c>
      <c r="AA5889">
        <v>0.99999530000000003</v>
      </c>
      <c r="AB5889">
        <v>26</v>
      </c>
      <c r="AC5889">
        <v>-0.140600000000006</v>
      </c>
      <c r="AD5889">
        <v>-1.169837</v>
      </c>
      <c r="AE5889">
        <v>-99.899649999999994</v>
      </c>
      <c r="AF5889">
        <v>-0.164800394148788</v>
      </c>
      <c r="AG5889">
        <v>-1.169837</v>
      </c>
      <c r="AH5889">
        <v>99.885915949035095</v>
      </c>
      <c r="AI5889">
        <v>90.671001178225794</v>
      </c>
      <c r="AJ5889">
        <v>90.094531430075506</v>
      </c>
      <c r="AK5889">
        <v>99.892902063931402</v>
      </c>
      <c r="AL5889">
        <v>96.205944391558901</v>
      </c>
      <c r="AM5889">
        <v>90.742950382465907</v>
      </c>
      <c r="AN5889">
        <v>1.0000000231587101</v>
      </c>
    </row>
    <row r="5890" spans="1:40" x14ac:dyDescent="0.25">
      <c r="A5890" t="str">
        <f>"20190303154928030"</f>
        <v>20190303154928030</v>
      </c>
      <c r="B5890" t="str">
        <f>"1551599368026560"</f>
        <v>1551599368026560</v>
      </c>
      <c r="C5890" t="s">
        <v>40</v>
      </c>
      <c r="D5890">
        <v>4.9142760000000001</v>
      </c>
      <c r="E5890">
        <v>0.50323189999999995</v>
      </c>
      <c r="F5890" t="s">
        <v>64</v>
      </c>
      <c r="G5890">
        <v>-421.81319999999999</v>
      </c>
      <c r="H5890">
        <v>7.9986379999999996E-2</v>
      </c>
      <c r="I5890">
        <v>8.8375299999999992</v>
      </c>
      <c r="J5890">
        <v>-421.77120000000002</v>
      </c>
      <c r="K5890">
        <v>1.1198330000000001</v>
      </c>
      <c r="L5890">
        <v>87.800960000000003</v>
      </c>
      <c r="M5890">
        <v>-3.460879E-3</v>
      </c>
      <c r="N5890">
        <v>-9.1109020000000006E-3</v>
      </c>
      <c r="O5890">
        <v>-0.99995259999999997</v>
      </c>
      <c r="P5890">
        <v>9.5349460000000007E-3</v>
      </c>
      <c r="Q5890">
        <v>-0.1175414</v>
      </c>
      <c r="R5890">
        <v>-0.99302210000000002</v>
      </c>
      <c r="S5890">
        <v>-1.6479489999999999E-3</v>
      </c>
      <c r="T5890">
        <v>-3.959E-2</v>
      </c>
      <c r="U5890">
        <v>-3.0162659999999999</v>
      </c>
      <c r="V5890">
        <v>-1.304978E-2</v>
      </c>
      <c r="W5890">
        <v>-0.1084801</v>
      </c>
      <c r="X5890">
        <v>0.99401300000000004</v>
      </c>
      <c r="Y5890">
        <v>-2.9143810000000002E-3</v>
      </c>
      <c r="Z5890">
        <v>4.013572E-3</v>
      </c>
      <c r="AA5890">
        <v>0.99998770000000003</v>
      </c>
      <c r="AB5890">
        <v>26</v>
      </c>
      <c r="AC5890">
        <v>-4.1999999999973101E-2</v>
      </c>
      <c r="AD5890">
        <v>-1.0398466200000001</v>
      </c>
      <c r="AE5890">
        <v>-78.963430000000002</v>
      </c>
      <c r="AF5890">
        <v>-0.231254342613227</v>
      </c>
      <c r="AG5890">
        <v>-1.0398466200000001</v>
      </c>
      <c r="AH5890">
        <v>78.949411417744997</v>
      </c>
      <c r="AI5890">
        <v>90.754598688393003</v>
      </c>
      <c r="AJ5890">
        <v>90.167827216109899</v>
      </c>
      <c r="AK5890">
        <v>78.956597715279401</v>
      </c>
      <c r="AL5890">
        <v>96.227707177008597</v>
      </c>
      <c r="AM5890">
        <v>90.752157532869802</v>
      </c>
      <c r="AN5890">
        <v>1.00000003651152</v>
      </c>
    </row>
    <row r="5891" spans="1:40" x14ac:dyDescent="0.25">
      <c r="A5891" t="str">
        <f>"20190303154928051"</f>
        <v>20190303154928051</v>
      </c>
      <c r="B5891" t="str">
        <f>"1551599368047057"</f>
        <v>1551599368047057</v>
      </c>
      <c r="C5891" t="s">
        <v>40</v>
      </c>
      <c r="D5891">
        <v>4.9236690000000003</v>
      </c>
      <c r="E5891">
        <v>0.50303059999999999</v>
      </c>
      <c r="F5891" t="s">
        <v>64</v>
      </c>
      <c r="G5891">
        <v>-421.70490000000001</v>
      </c>
      <c r="H5891" s="1">
        <v>-9.8919389999999993E-6</v>
      </c>
      <c r="I5891">
        <v>12.539490000000001</v>
      </c>
      <c r="J5891">
        <v>-421.77249999999998</v>
      </c>
      <c r="K5891">
        <v>1.1198220000000001</v>
      </c>
      <c r="L5891">
        <v>87.543819999999997</v>
      </c>
      <c r="M5891">
        <v>-3.8639820000000002E-3</v>
      </c>
      <c r="N5891">
        <v>-9.1336300000000002E-3</v>
      </c>
      <c r="O5891">
        <v>-0.99995089999999998</v>
      </c>
      <c r="P5891">
        <v>9.3150590000000005E-3</v>
      </c>
      <c r="Q5891">
        <v>-0.1179108</v>
      </c>
      <c r="R5891">
        <v>-0.99298050000000004</v>
      </c>
      <c r="S5891">
        <v>2.6550290000000002E-3</v>
      </c>
      <c r="T5891">
        <v>-4.48724E-2</v>
      </c>
      <c r="U5891">
        <v>-3.0157470000000002</v>
      </c>
      <c r="V5891">
        <v>-1.323129E-2</v>
      </c>
      <c r="W5891">
        <v>-0.1088272</v>
      </c>
      <c r="X5891">
        <v>0.99397259999999998</v>
      </c>
      <c r="Y5891">
        <v>-4.7439889999999997E-3</v>
      </c>
      <c r="Z5891">
        <v>5.7442109999999999E-3</v>
      </c>
      <c r="AA5891">
        <v>0.99997219999999998</v>
      </c>
      <c r="AB5891">
        <v>26</v>
      </c>
      <c r="AC5891">
        <v>6.7599999999970295E-2</v>
      </c>
      <c r="AD5891">
        <v>-1.11983189193899</v>
      </c>
      <c r="AE5891">
        <v>-75.004329999999996</v>
      </c>
      <c r="AF5891">
        <v>-0.35734728631819201</v>
      </c>
      <c r="AG5891">
        <v>-1.11983189193899</v>
      </c>
      <c r="AH5891">
        <v>74.986793389591895</v>
      </c>
      <c r="AI5891">
        <v>90.855565904977098</v>
      </c>
      <c r="AJ5891">
        <v>90.273039230153003</v>
      </c>
      <c r="AK5891">
        <v>74.996005916332507</v>
      </c>
      <c r="AL5891">
        <v>96.247713349353603</v>
      </c>
      <c r="AM5891">
        <v>90.762649092991495</v>
      </c>
      <c r="AN5891">
        <v>0.99999997802283103</v>
      </c>
    </row>
    <row r="5892" spans="1:40" x14ac:dyDescent="0.25">
      <c r="A5892" t="str">
        <f>"20190303154928075"</f>
        <v>20190303154928075</v>
      </c>
      <c r="B5892" t="str">
        <f>"1551599368066576"</f>
        <v>1551599368066576</v>
      </c>
      <c r="C5892" t="s">
        <v>40</v>
      </c>
      <c r="D5892">
        <v>4.8954309999999897</v>
      </c>
      <c r="E5892">
        <v>0.50283549999999999</v>
      </c>
      <c r="F5892" t="s">
        <v>64</v>
      </c>
      <c r="G5892">
        <v>-421.67899999999997</v>
      </c>
      <c r="H5892" s="1">
        <v>-1.051706E-5</v>
      </c>
      <c r="I5892">
        <v>18.6126</v>
      </c>
      <c r="J5892">
        <v>-421.774</v>
      </c>
      <c r="K5892">
        <v>1.1198140000000001</v>
      </c>
      <c r="L5892">
        <v>87.28125</v>
      </c>
      <c r="M5892">
        <v>-4.2837600000000002E-3</v>
      </c>
      <c r="N5892">
        <v>-9.1604170000000006E-3</v>
      </c>
      <c r="O5892">
        <v>-0.99994899999999998</v>
      </c>
      <c r="P5892">
        <v>9.5554799999999999E-3</v>
      </c>
      <c r="Q5892">
        <v>-0.1184274</v>
      </c>
      <c r="R5892">
        <v>-0.99291689999999999</v>
      </c>
      <c r="S5892">
        <v>4.0893550000000002E-3</v>
      </c>
      <c r="T5892">
        <v>-4.898632E-2</v>
      </c>
      <c r="U5892">
        <v>-3.0153500000000002</v>
      </c>
      <c r="V5892">
        <v>-1.389029E-2</v>
      </c>
      <c r="W5892">
        <v>-0.1093171</v>
      </c>
      <c r="X5892">
        <v>0.99390990000000001</v>
      </c>
      <c r="Y5892">
        <v>-5.6394110000000004E-3</v>
      </c>
      <c r="Z5892">
        <v>7.0832269999999897E-3</v>
      </c>
      <c r="AA5892">
        <v>0.99995900000000004</v>
      </c>
      <c r="AB5892">
        <v>26</v>
      </c>
      <c r="AC5892">
        <v>9.49999999999704E-2</v>
      </c>
      <c r="AD5892">
        <v>-1.1198245170600001</v>
      </c>
      <c r="AE5892">
        <v>-68.66865</v>
      </c>
      <c r="AF5892">
        <v>-0.38906797957322098</v>
      </c>
      <c r="AG5892">
        <v>-1.1198245170600001</v>
      </c>
      <c r="AH5892">
        <v>68.649356370947203</v>
      </c>
      <c r="AI5892">
        <v>90.934524399361493</v>
      </c>
      <c r="AJ5892">
        <v>90.324718477817697</v>
      </c>
      <c r="AK5892">
        <v>68.659591543986394</v>
      </c>
      <c r="AL5892">
        <v>96.275950702593803</v>
      </c>
      <c r="AM5892">
        <v>90.800679403616101</v>
      </c>
      <c r="AN5892">
        <v>1.0000000289133499</v>
      </c>
    </row>
    <row r="5893" spans="1:40" x14ac:dyDescent="0.25">
      <c r="A5893" t="str">
        <f>"20190303154928095"</f>
        <v>20190303154928095</v>
      </c>
      <c r="B5893" t="str">
        <f>"1551599368087072"</f>
        <v>1551599368087072</v>
      </c>
      <c r="C5893" t="s">
        <v>40</v>
      </c>
      <c r="D5893">
        <v>4.8674429999999997</v>
      </c>
      <c r="E5893">
        <v>0.502494</v>
      </c>
      <c r="F5893" t="s">
        <v>64</v>
      </c>
      <c r="G5893">
        <v>-421.63400000000001</v>
      </c>
      <c r="H5893" s="1">
        <v>-8.2944520000000003E-6</v>
      </c>
      <c r="I5893">
        <v>23.544820000000001</v>
      </c>
      <c r="J5893">
        <v>-421.77550000000002</v>
      </c>
      <c r="K5893">
        <v>1.11981</v>
      </c>
      <c r="L5893">
        <v>87.03049</v>
      </c>
      <c r="M5893">
        <v>-4.696197E-3</v>
      </c>
      <c r="N5893">
        <v>-9.1871620000000005E-3</v>
      </c>
      <c r="O5893">
        <v>-0.99994689999999997</v>
      </c>
      <c r="P5893">
        <v>9.7413480000000004E-3</v>
      </c>
      <c r="Q5893">
        <v>-0.11846279999999999</v>
      </c>
      <c r="R5893">
        <v>-0.99291079999999998</v>
      </c>
      <c r="S5893">
        <v>6.6223139999999998E-3</v>
      </c>
      <c r="T5893">
        <v>-5.2972560000000002E-2</v>
      </c>
      <c r="U5893">
        <v>-3.015015</v>
      </c>
      <c r="V5893">
        <v>-1.448838E-2</v>
      </c>
      <c r="W5893">
        <v>-0.1093252</v>
      </c>
      <c r="X5893">
        <v>0.99390040000000002</v>
      </c>
      <c r="Y5893">
        <v>-6.8918759999999999E-3</v>
      </c>
      <c r="Z5893">
        <v>8.3798229999999998E-3</v>
      </c>
      <c r="AA5893">
        <v>0.99994110000000003</v>
      </c>
      <c r="AB5893">
        <v>26</v>
      </c>
      <c r="AC5893">
        <v>0.14150000000000701</v>
      </c>
      <c r="AD5893">
        <v>-1.1198182944520001</v>
      </c>
      <c r="AE5893">
        <v>-63.485669999999899</v>
      </c>
      <c r="AF5893">
        <v>-0.43951545021106703</v>
      </c>
      <c r="AG5893">
        <v>-1.1198182944520001</v>
      </c>
      <c r="AH5893">
        <v>63.464559619688401</v>
      </c>
      <c r="AI5893">
        <v>91.010842383162498</v>
      </c>
      <c r="AJ5893">
        <v>90.396788032595794</v>
      </c>
      <c r="AK5893">
        <v>63.475959973556499</v>
      </c>
      <c r="AL5893">
        <v>96.2764180384669</v>
      </c>
      <c r="AM5893">
        <v>90.835158365742302</v>
      </c>
      <c r="AN5893">
        <v>0.99999995881511095</v>
      </c>
    </row>
    <row r="5894" spans="1:40" x14ac:dyDescent="0.25">
      <c r="A5894" t="str">
        <f>"20190303154928119"</f>
        <v>20190303154928119</v>
      </c>
      <c r="B5894" t="str">
        <f>"1551599368106592"</f>
        <v>1551599368106592</v>
      </c>
      <c r="C5894" t="s">
        <v>40</v>
      </c>
      <c r="D5894">
        <v>4.9485109999999999</v>
      </c>
      <c r="E5894">
        <v>0.50219859999999905</v>
      </c>
      <c r="F5894" t="s">
        <v>64</v>
      </c>
      <c r="G5894">
        <v>-421.57389999999998</v>
      </c>
      <c r="H5894" s="1">
        <v>-6.8714339999999996E-6</v>
      </c>
      <c r="I5894">
        <v>27.03002</v>
      </c>
      <c r="J5894">
        <v>-421.77719999999999</v>
      </c>
      <c r="K5894">
        <v>1.1198030000000001</v>
      </c>
      <c r="L5894">
        <v>86.759640000000005</v>
      </c>
      <c r="M5894">
        <v>-5.1564760000000001E-3</v>
      </c>
      <c r="N5894">
        <v>-9.2184729999999996E-3</v>
      </c>
      <c r="O5894">
        <v>-0.99994430000000001</v>
      </c>
      <c r="P5894">
        <v>1.0225929999999999E-2</v>
      </c>
      <c r="Q5894">
        <v>-0.1184663</v>
      </c>
      <c r="R5894">
        <v>-0.99290560000000005</v>
      </c>
      <c r="S5894">
        <v>1.013184E-2</v>
      </c>
      <c r="T5894">
        <v>-5.6263210000000001E-2</v>
      </c>
      <c r="U5894">
        <v>-3.014618</v>
      </c>
      <c r="V5894">
        <v>-1.5432960000000001E-2</v>
      </c>
      <c r="W5894">
        <v>-0.1092965</v>
      </c>
      <c r="X5894">
        <v>0.99388940000000003</v>
      </c>
      <c r="Y5894">
        <v>-8.5162599999999995E-3</v>
      </c>
      <c r="Z5894">
        <v>9.4417100000000007E-3</v>
      </c>
      <c r="AA5894">
        <v>0.99991920000000001</v>
      </c>
      <c r="AB5894">
        <v>26</v>
      </c>
      <c r="AC5894">
        <v>0.203300000000012</v>
      </c>
      <c r="AD5894">
        <v>-1.1198098714339999</v>
      </c>
      <c r="AE5894">
        <v>-59.729619999999997</v>
      </c>
      <c r="AF5894">
        <v>-0.51112505829036503</v>
      </c>
      <c r="AG5894">
        <v>-1.1198098714339999</v>
      </c>
      <c r="AH5894">
        <v>59.706791579722399</v>
      </c>
      <c r="AI5894">
        <v>91.074425646697406</v>
      </c>
      <c r="AJ5894">
        <v>90.490473403817305</v>
      </c>
      <c r="AK5894">
        <v>59.719479097843703</v>
      </c>
      <c r="AL5894">
        <v>96.274763348960605</v>
      </c>
      <c r="AM5894">
        <v>90.889608457299701</v>
      </c>
      <c r="AN5894">
        <v>1.0000000202994801</v>
      </c>
    </row>
    <row r="5895" spans="1:40" x14ac:dyDescent="0.25">
      <c r="A5895" t="str">
        <f>"20190303154928141"</f>
        <v>20190303154928141</v>
      </c>
      <c r="B5895" t="str">
        <f>"1551599368136848"</f>
        <v>1551599368136848</v>
      </c>
      <c r="C5895" t="s">
        <v>40</v>
      </c>
      <c r="D5895">
        <v>4.92896</v>
      </c>
      <c r="E5895">
        <v>0.50181889999999996</v>
      </c>
      <c r="F5895" t="s">
        <v>64</v>
      </c>
      <c r="G5895">
        <v>-421.5154</v>
      </c>
      <c r="H5895" s="1">
        <v>-5.8433109999999997E-6</v>
      </c>
      <c r="I5895">
        <v>29.545919999999999</v>
      </c>
      <c r="J5895">
        <v>-421.77910000000003</v>
      </c>
      <c r="K5895">
        <v>1.119791</v>
      </c>
      <c r="L5895">
        <v>86.501279999999994</v>
      </c>
      <c r="M5895">
        <v>-5.6124310000000002E-3</v>
      </c>
      <c r="N5895">
        <v>-9.255147E-3</v>
      </c>
      <c r="O5895">
        <v>-0.99994159999999999</v>
      </c>
      <c r="P5895">
        <v>1.081847E-2</v>
      </c>
      <c r="Q5895">
        <v>-0.1192261</v>
      </c>
      <c r="R5895">
        <v>-0.99280849999999998</v>
      </c>
      <c r="S5895">
        <v>1.3793949999999999E-2</v>
      </c>
      <c r="T5895">
        <v>-5.8996079999999999E-2</v>
      </c>
      <c r="U5895">
        <v>-3.0142519999999999</v>
      </c>
      <c r="V5895">
        <v>-1.6482320000000002E-2</v>
      </c>
      <c r="W5895">
        <v>-0.1100194</v>
      </c>
      <c r="X5895">
        <v>0.99379280000000003</v>
      </c>
      <c r="Y5895">
        <v>-1.0187130000000001E-2</v>
      </c>
      <c r="Z5895">
        <v>1.031323E-2</v>
      </c>
      <c r="AA5895">
        <v>0.99989490000000003</v>
      </c>
      <c r="AB5895">
        <v>26</v>
      </c>
      <c r="AC5895">
        <v>0.26370000000002802</v>
      </c>
      <c r="AD5895">
        <v>-1.1197968433109999</v>
      </c>
      <c r="AE5895">
        <v>-56.955359999999999</v>
      </c>
      <c r="AF5895">
        <v>-0.58314209772731995</v>
      </c>
      <c r="AG5895">
        <v>-1.1197968433109999</v>
      </c>
      <c r="AH5895">
        <v>56.930976446412302</v>
      </c>
      <c r="AI5895">
        <v>91.126767897585395</v>
      </c>
      <c r="AJ5895">
        <v>90.5868582399074</v>
      </c>
      <c r="AK5895">
        <v>56.944974131334803</v>
      </c>
      <c r="AL5895">
        <v>96.316433690352596</v>
      </c>
      <c r="AM5895">
        <v>90.950178746994496</v>
      </c>
      <c r="AN5895">
        <v>1.0000000322903899</v>
      </c>
    </row>
    <row r="5896" spans="1:40" x14ac:dyDescent="0.25">
      <c r="A5896" t="str">
        <f>"20190303154928163"</f>
        <v>20190303154928163</v>
      </c>
      <c r="B5896" t="str">
        <f>"1551599368156368"</f>
        <v>1551599368156368</v>
      </c>
      <c r="C5896" t="s">
        <v>40</v>
      </c>
      <c r="D5896">
        <v>4.9091189999999996</v>
      </c>
      <c r="E5896">
        <v>0.501579</v>
      </c>
      <c r="F5896" t="s">
        <v>64</v>
      </c>
      <c r="G5896">
        <v>-421.4486</v>
      </c>
      <c r="H5896" s="1">
        <v>-3.468026E-6</v>
      </c>
      <c r="I5896">
        <v>34.374679999999998</v>
      </c>
      <c r="J5896">
        <v>-421.78100000000001</v>
      </c>
      <c r="K5896">
        <v>1.1197790000000001</v>
      </c>
      <c r="L5896">
        <v>86.241849999999999</v>
      </c>
      <c r="M5896">
        <v>-6.0863069999999896E-3</v>
      </c>
      <c r="N5896">
        <v>-9.3056660000000006E-3</v>
      </c>
      <c r="O5896">
        <v>-0.99993840000000001</v>
      </c>
      <c r="P5896">
        <v>1.1705E-2</v>
      </c>
      <c r="Q5896">
        <v>-0.1199509</v>
      </c>
      <c r="R5896">
        <v>-0.99271100000000001</v>
      </c>
      <c r="S5896">
        <v>1.9103999999999999E-2</v>
      </c>
      <c r="T5896">
        <v>-6.4741610000000005E-2</v>
      </c>
      <c r="U5896">
        <v>-3.0137330000000002</v>
      </c>
      <c r="V5896">
        <v>-1.7842879999999998E-2</v>
      </c>
      <c r="W5896">
        <v>-0.11069329999999999</v>
      </c>
      <c r="X5896">
        <v>0.99369439999999998</v>
      </c>
      <c r="Y5896">
        <v>-1.242294E-2</v>
      </c>
      <c r="Z5896">
        <v>1.217098E-2</v>
      </c>
      <c r="AA5896">
        <v>0.99984879999999998</v>
      </c>
      <c r="AB5896">
        <v>26</v>
      </c>
      <c r="AC5896">
        <v>0.33240000000000602</v>
      </c>
      <c r="AD5896">
        <v>-1.119782468026</v>
      </c>
      <c r="AE5896">
        <v>-51.867170000000002</v>
      </c>
      <c r="AF5896">
        <v>-0.64778503956868905</v>
      </c>
      <c r="AG5896">
        <v>-1.119782468026</v>
      </c>
      <c r="AH5896">
        <v>51.840024254989402</v>
      </c>
      <c r="AI5896">
        <v>91.237341770102901</v>
      </c>
      <c r="AJ5896">
        <v>90.715922064203696</v>
      </c>
      <c r="AK5896">
        <v>51.8561631148225</v>
      </c>
      <c r="AL5896">
        <v>96.355283013001198</v>
      </c>
      <c r="AM5896">
        <v>91.028698427520993</v>
      </c>
      <c r="AN5896">
        <v>0.99999996781147105</v>
      </c>
    </row>
    <row r="5897" spans="1:40" x14ac:dyDescent="0.25">
      <c r="A5897" t="str">
        <f>"20190303154928185"</f>
        <v>20190303154928185</v>
      </c>
      <c r="B5897" t="str">
        <f>"1551599368176864"</f>
        <v>1551599368176864</v>
      </c>
      <c r="C5897" t="s">
        <v>40</v>
      </c>
      <c r="D5897">
        <v>4.9156309999999896</v>
      </c>
      <c r="E5897">
        <v>0.50131490000000001</v>
      </c>
      <c r="F5897" t="s">
        <v>64</v>
      </c>
      <c r="G5897">
        <v>-421.3972</v>
      </c>
      <c r="H5897" s="1">
        <v>-1.485461E-6</v>
      </c>
      <c r="I5897">
        <v>37.592149999999997</v>
      </c>
      <c r="J5897">
        <v>-421.78309999999999</v>
      </c>
      <c r="K5897">
        <v>1.1197779999999999</v>
      </c>
      <c r="L5897">
        <v>85.984530000000007</v>
      </c>
      <c r="M5897">
        <v>-6.5676379999999998E-3</v>
      </c>
      <c r="N5897">
        <v>-9.3672029999999993E-3</v>
      </c>
      <c r="O5897">
        <v>-0.99993460000000001</v>
      </c>
      <c r="P5897">
        <v>1.196848E-2</v>
      </c>
      <c r="Q5897">
        <v>-0.1203017</v>
      </c>
      <c r="R5897">
        <v>-0.99266540000000003</v>
      </c>
      <c r="S5897">
        <v>2.377319E-2</v>
      </c>
      <c r="T5897">
        <v>-6.9359299999999999E-2</v>
      </c>
      <c r="U5897">
        <v>-3.0133670000000001</v>
      </c>
      <c r="V5897">
        <v>-1.8586189999999999E-2</v>
      </c>
      <c r="W5897">
        <v>-0.110982399999999</v>
      </c>
      <c r="X5897">
        <v>0.99364850000000005</v>
      </c>
      <c r="Y5897">
        <v>-1.445363E-2</v>
      </c>
      <c r="Z5897">
        <v>1.364284E-2</v>
      </c>
      <c r="AA5897">
        <v>0.99980250000000004</v>
      </c>
      <c r="AB5897">
        <v>26</v>
      </c>
      <c r="AC5897">
        <v>0.38589999999999203</v>
      </c>
      <c r="AD5897">
        <v>-1.1197794854609999</v>
      </c>
      <c r="AE5897">
        <v>-48.392380000000003</v>
      </c>
      <c r="AF5897">
        <v>-0.70335266231045701</v>
      </c>
      <c r="AG5897">
        <v>-1.1197794854609999</v>
      </c>
      <c r="AH5897">
        <v>48.362907856386698</v>
      </c>
      <c r="AI5897">
        <v>91.326231192293406</v>
      </c>
      <c r="AJ5897">
        <v>90.833206687612503</v>
      </c>
      <c r="AK5897">
        <v>48.380982497144402</v>
      </c>
      <c r="AL5897">
        <v>96.371950090889001</v>
      </c>
      <c r="AM5897">
        <v>91.071592292935605</v>
      </c>
      <c r="AN5897">
        <v>0.99999994056036101</v>
      </c>
    </row>
    <row r="5898" spans="1:40" x14ac:dyDescent="0.25">
      <c r="A5898" t="str">
        <f>"20190303154928209"</f>
        <v>20190303154928209</v>
      </c>
      <c r="B5898" t="str">
        <f>"1551599368196385"</f>
        <v>1551599368196385</v>
      </c>
      <c r="C5898" t="s">
        <v>40</v>
      </c>
      <c r="D5898">
        <v>4.9874809999999998</v>
      </c>
      <c r="E5898">
        <v>0.50110549999999998</v>
      </c>
      <c r="F5898" t="s">
        <v>41</v>
      </c>
      <c r="G5898">
        <v>-421.3682</v>
      </c>
      <c r="H5898" s="1">
        <v>-4.0679359999999898E-7</v>
      </c>
      <c r="I5898">
        <v>39.688780000000001</v>
      </c>
      <c r="J5898">
        <v>-421.78550000000001</v>
      </c>
      <c r="K5898">
        <v>1.1197859999999999</v>
      </c>
      <c r="L5898">
        <v>85.706760000000003</v>
      </c>
      <c r="M5898">
        <v>-7.0962489999999998E-3</v>
      </c>
      <c r="N5898">
        <v>-9.4564609999999993E-3</v>
      </c>
      <c r="O5898">
        <v>-0.99993030000000005</v>
      </c>
      <c r="P5898">
        <v>1.177217E-2</v>
      </c>
      <c r="Q5898">
        <v>-0.1191585</v>
      </c>
      <c r="R5898">
        <v>-0.99280550000000001</v>
      </c>
      <c r="S5898">
        <v>2.700806E-2</v>
      </c>
      <c r="T5898">
        <v>-7.2876930000000006E-2</v>
      </c>
      <c r="U5898">
        <v>-3.0129999999999999</v>
      </c>
      <c r="V5898">
        <v>-1.891667E-2</v>
      </c>
      <c r="W5898">
        <v>-0.1097487</v>
      </c>
      <c r="X5898">
        <v>0.99377939999999998</v>
      </c>
      <c r="Y5898">
        <v>-1.6056009999999999E-2</v>
      </c>
      <c r="Z5898">
        <v>1.472239E-2</v>
      </c>
      <c r="AA5898">
        <v>0.9997627</v>
      </c>
      <c r="AB5898">
        <v>26</v>
      </c>
      <c r="AC5898">
        <v>0.417300000000011</v>
      </c>
      <c r="AD5898">
        <v>-1.1197864067936001</v>
      </c>
      <c r="AE5898">
        <v>-46.017980000000001</v>
      </c>
      <c r="AF5898">
        <v>-0.743418912855629</v>
      </c>
      <c r="AG5898">
        <v>-1.1197864067936001</v>
      </c>
      <c r="AH5898">
        <v>45.986632114139702</v>
      </c>
      <c r="AI5898">
        <v>91.394709264316404</v>
      </c>
      <c r="AJ5898">
        <v>90.926161673176793</v>
      </c>
      <c r="AK5898">
        <v>46.006270512594803</v>
      </c>
      <c r="AL5898">
        <v>96.300829074631693</v>
      </c>
      <c r="AM5898">
        <v>91.090498029166795</v>
      </c>
      <c r="AN5898">
        <v>1.0000000567099601</v>
      </c>
    </row>
    <row r="5899" spans="1:40" x14ac:dyDescent="0.25">
      <c r="A5899" t="str">
        <f>"20190303154928230"</f>
        <v>20190303154928230</v>
      </c>
      <c r="B5899" t="str">
        <f>"1551599368226641"</f>
        <v>1551599368226641</v>
      </c>
      <c r="C5899" t="s">
        <v>40</v>
      </c>
      <c r="D5899">
        <v>4.9555040000000004</v>
      </c>
      <c r="E5899">
        <v>0.50094320000000003</v>
      </c>
      <c r="F5899" t="s">
        <v>64</v>
      </c>
      <c r="G5899">
        <v>-421.34519999999998</v>
      </c>
      <c r="H5899" s="1">
        <v>-7.651303E-7</v>
      </c>
      <c r="I5899">
        <v>38.714019999999998</v>
      </c>
      <c r="J5899">
        <v>-421.78789999999998</v>
      </c>
      <c r="K5899">
        <v>1.11981</v>
      </c>
      <c r="L5899">
        <v>85.451169999999905</v>
      </c>
      <c r="M5899">
        <v>-7.5877389999999996E-3</v>
      </c>
      <c r="N5899">
        <v>-9.579565E-3</v>
      </c>
      <c r="O5899">
        <v>-0.99992550000000002</v>
      </c>
      <c r="P5899">
        <v>1.123561E-2</v>
      </c>
      <c r="Q5899">
        <v>-0.1187988</v>
      </c>
      <c r="R5899">
        <v>-0.99285480000000004</v>
      </c>
      <c r="S5899">
        <v>2.8228759999999999E-2</v>
      </c>
      <c r="T5899">
        <v>-7.1791530000000006E-2</v>
      </c>
      <c r="U5899">
        <v>-3.0127869999999999</v>
      </c>
      <c r="V5899">
        <v>-1.8869339999999998E-2</v>
      </c>
      <c r="W5899">
        <v>-0.1092661</v>
      </c>
      <c r="X5899">
        <v>0.99383339999999998</v>
      </c>
      <c r="Y5899">
        <v>-1.6953059999999999E-2</v>
      </c>
      <c r="Z5899">
        <v>1.4240640000000001E-2</v>
      </c>
      <c r="AA5899">
        <v>0.99975480000000005</v>
      </c>
      <c r="AB5899">
        <v>26</v>
      </c>
      <c r="AC5899">
        <v>0.44270000000000198</v>
      </c>
      <c r="AD5899">
        <v>-1.1198107651303</v>
      </c>
      <c r="AE5899">
        <v>-46.7371499999999</v>
      </c>
      <c r="AF5899">
        <v>-0.796875340675401</v>
      </c>
      <c r="AG5899">
        <v>-1.1198107651303</v>
      </c>
      <c r="AH5899">
        <v>46.705635297781299</v>
      </c>
      <c r="AI5899">
        <v>91.373256337831407</v>
      </c>
      <c r="AJ5899">
        <v>90.977465866651201</v>
      </c>
      <c r="AK5899">
        <v>46.725853176027101</v>
      </c>
      <c r="AL5899">
        <v>96.273011317827397</v>
      </c>
      <c r="AM5899">
        <v>91.087711141289304</v>
      </c>
      <c r="AN5899">
        <v>0.99999997977840205</v>
      </c>
    </row>
    <row r="5900" spans="1:40" x14ac:dyDescent="0.25">
      <c r="A5900" t="str">
        <f>"20190303154928252"</f>
        <v>20190303154928252</v>
      </c>
      <c r="B5900" t="str">
        <f>"1551599368247137"</f>
        <v>1551599368247137</v>
      </c>
      <c r="C5900" t="s">
        <v>40</v>
      </c>
      <c r="D5900">
        <v>5.0897449999999997</v>
      </c>
      <c r="E5900">
        <v>0.46710689999999999</v>
      </c>
      <c r="F5900" t="s">
        <v>64</v>
      </c>
      <c r="G5900">
        <v>-421.36090000000002</v>
      </c>
      <c r="H5900" s="1">
        <v>-6.3553319999999898E-7</v>
      </c>
      <c r="I5900">
        <v>38.925699999999999</v>
      </c>
      <c r="J5900">
        <v>-421.79050000000001</v>
      </c>
      <c r="K5900">
        <v>1.1198429999999999</v>
      </c>
      <c r="L5900">
        <v>85.180970000000002</v>
      </c>
      <c r="M5900">
        <v>-8.1112430000000006E-3</v>
      </c>
      <c r="N5900">
        <v>-9.7795509999999992E-3</v>
      </c>
      <c r="O5900">
        <v>-0.99991940000000001</v>
      </c>
      <c r="P5900">
        <v>1.0870960000000001E-2</v>
      </c>
      <c r="Q5900">
        <v>-0.1190442</v>
      </c>
      <c r="R5900">
        <v>-0.99282959999999998</v>
      </c>
      <c r="S5900">
        <v>2.7648929999999999E-2</v>
      </c>
      <c r="T5900">
        <v>-7.2509649999999995E-2</v>
      </c>
      <c r="U5900">
        <v>-3.0126040000000001</v>
      </c>
      <c r="V5900">
        <v>-1.9025159999999999E-2</v>
      </c>
      <c r="W5900">
        <v>-0.1093127</v>
      </c>
      <c r="X5900">
        <v>0.99382530000000002</v>
      </c>
      <c r="Y5900">
        <v>-1.7284560000000001E-2</v>
      </c>
      <c r="Z5900">
        <v>1.4280070000000001E-2</v>
      </c>
      <c r="AA5900">
        <v>0.99974859999999999</v>
      </c>
      <c r="AB5900">
        <v>26</v>
      </c>
      <c r="AC5900">
        <v>0.42959999999999299</v>
      </c>
      <c r="AD5900">
        <v>-1.1198436355332</v>
      </c>
      <c r="AE5900">
        <v>-46.255270000000003</v>
      </c>
      <c r="AF5900">
        <v>-0.80432010548615795</v>
      </c>
      <c r="AG5900">
        <v>-1.1198436355332</v>
      </c>
      <c r="AH5900">
        <v>46.223173103467701</v>
      </c>
      <c r="AI5900">
        <v>91.387616969464901</v>
      </c>
      <c r="AJ5900">
        <v>90.996891687307993</v>
      </c>
      <c r="AK5900">
        <v>46.243731600653398</v>
      </c>
      <c r="AL5900">
        <v>96.275697420919698</v>
      </c>
      <c r="AM5900">
        <v>91.096700037871699</v>
      </c>
      <c r="AN5900">
        <v>0.99999997500720195</v>
      </c>
    </row>
    <row r="5901" spans="1:40" x14ac:dyDescent="0.25">
      <c r="A5901" t="str">
        <f>"20190303154928274"</f>
        <v>20190303154928274</v>
      </c>
      <c r="B5901" t="str">
        <f>"1551599368266657"</f>
        <v>1551599368266657</v>
      </c>
      <c r="C5901" t="s">
        <v>40</v>
      </c>
      <c r="D5901">
        <v>5.00427</v>
      </c>
      <c r="E5901">
        <v>0.45246449999999999</v>
      </c>
      <c r="F5901" t="s">
        <v>41</v>
      </c>
      <c r="G5901">
        <v>-419.66289999999998</v>
      </c>
      <c r="H5901" s="1">
        <v>-1.7766090000000001E-6</v>
      </c>
      <c r="I5901">
        <v>63.634720000000002</v>
      </c>
      <c r="J5901">
        <v>-421.79309999999998</v>
      </c>
      <c r="K5901">
        <v>1.1198900000000001</v>
      </c>
      <c r="L5901">
        <v>84.928309999999996</v>
      </c>
      <c r="M5901">
        <v>-8.5913759999999995E-3</v>
      </c>
      <c r="N5901">
        <v>-1.0053080000000001E-2</v>
      </c>
      <c r="O5901">
        <v>-0.99991269999999999</v>
      </c>
      <c r="P5901">
        <v>1.1410419999999999E-2</v>
      </c>
      <c r="Q5901">
        <v>-0.1193451</v>
      </c>
      <c r="R5901">
        <v>-0.99278750000000004</v>
      </c>
      <c r="S5901">
        <v>0.29620360000000001</v>
      </c>
      <c r="T5901">
        <v>-0.15590780000000001</v>
      </c>
      <c r="U5901">
        <v>-2.9997250000000002</v>
      </c>
      <c r="V5901">
        <v>-2.004206E-2</v>
      </c>
      <c r="W5901">
        <v>-0.1093412</v>
      </c>
      <c r="X5901">
        <v>0.99380219999999997</v>
      </c>
      <c r="Y5901">
        <v>-0.1066942</v>
      </c>
      <c r="Z5901">
        <v>4.1581300000000002E-2</v>
      </c>
      <c r="AA5901">
        <v>0.99342200000000003</v>
      </c>
      <c r="AB5901">
        <v>26</v>
      </c>
      <c r="AC5901">
        <v>2.1301999999999999</v>
      </c>
      <c r="AD5901">
        <v>-1.119891776609</v>
      </c>
      <c r="AE5901">
        <v>-21.293589999999998</v>
      </c>
      <c r="AF5901">
        <v>-2.30675453902158</v>
      </c>
      <c r="AG5901">
        <v>-1.119891776609</v>
      </c>
      <c r="AH5901">
        <v>21.2163984190707</v>
      </c>
      <c r="AI5901">
        <v>93.003841391395</v>
      </c>
      <c r="AJ5901">
        <v>96.205114094621607</v>
      </c>
      <c r="AK5901">
        <v>21.370793994874401</v>
      </c>
      <c r="AL5901">
        <v>96.277340056254403</v>
      </c>
      <c r="AM5901">
        <v>91.155330316495906</v>
      </c>
      <c r="AN5901">
        <v>0.99999999745566104</v>
      </c>
    </row>
    <row r="5902" spans="1:40" x14ac:dyDescent="0.25">
      <c r="A5902" t="str">
        <f>"20190303154928296"</f>
        <v>20190303154928296</v>
      </c>
      <c r="B5902" t="str">
        <f>"1551599368287153"</f>
        <v>1551599368287153</v>
      </c>
      <c r="C5902" t="s">
        <v>40</v>
      </c>
      <c r="D5902">
        <v>5.0406719999999998</v>
      </c>
      <c r="E5902">
        <v>0.44588640000000002</v>
      </c>
      <c r="F5902" t="s">
        <v>41</v>
      </c>
      <c r="G5902">
        <v>-418.97829999999999</v>
      </c>
      <c r="H5902" s="1">
        <v>-2.2973009999999998E-6</v>
      </c>
      <c r="I5902">
        <v>64.565380000000005</v>
      </c>
      <c r="J5902">
        <v>-421.79590000000002</v>
      </c>
      <c r="K5902">
        <v>1.119966</v>
      </c>
      <c r="L5902">
        <v>84.670319999999904</v>
      </c>
      <c r="M5902">
        <v>-9.0757489999999993E-3</v>
      </c>
      <c r="N5902">
        <v>-1.0420209999999999E-2</v>
      </c>
      <c r="O5902">
        <v>-0.99990480000000004</v>
      </c>
      <c r="P5902">
        <v>1.3004389999999999E-2</v>
      </c>
      <c r="Q5902">
        <v>-0.119148</v>
      </c>
      <c r="R5902">
        <v>-0.9927916</v>
      </c>
      <c r="S5902">
        <v>0.41430660000000002</v>
      </c>
      <c r="T5902">
        <v>-0.16483709999999999</v>
      </c>
      <c r="U5902">
        <v>-2.997223</v>
      </c>
      <c r="V5902">
        <v>-2.2115679999999999E-2</v>
      </c>
      <c r="W5902">
        <v>-0.1087776</v>
      </c>
      <c r="X5902">
        <v>0.99382009999999998</v>
      </c>
      <c r="Y5902">
        <v>-0.1457319</v>
      </c>
      <c r="Z5902">
        <v>4.3945409999999997E-2</v>
      </c>
      <c r="AA5902">
        <v>0.98834759999999999</v>
      </c>
      <c r="AB5902">
        <v>26</v>
      </c>
      <c r="AC5902">
        <v>2.8176000000000201</v>
      </c>
      <c r="AD5902">
        <v>-1.1199682973009999</v>
      </c>
      <c r="AE5902">
        <v>-20.1049399999999</v>
      </c>
      <c r="AF5902">
        <v>-2.9908588135136398</v>
      </c>
      <c r="AG5902">
        <v>-1.1199682973009999</v>
      </c>
      <c r="AH5902">
        <v>20.017617083963501</v>
      </c>
      <c r="AI5902">
        <v>93.167226222204604</v>
      </c>
      <c r="AJ5902">
        <v>98.497776706283403</v>
      </c>
      <c r="AK5902">
        <v>20.270780921057799</v>
      </c>
      <c r="AL5902">
        <v>96.244854178651394</v>
      </c>
      <c r="AM5902">
        <v>91.274804185680793</v>
      </c>
      <c r="AN5902">
        <v>1.0000000303638099</v>
      </c>
    </row>
    <row r="5903" spans="1:40" x14ac:dyDescent="0.25">
      <c r="A5903" t="str">
        <f>"20190303154928320"</f>
        <v>20190303154928320</v>
      </c>
      <c r="B5903" t="str">
        <f>"1551599368316433"</f>
        <v>1551599368316433</v>
      </c>
      <c r="C5903" t="s">
        <v>40</v>
      </c>
      <c r="D5903">
        <v>4.9746899999999998</v>
      </c>
      <c r="E5903">
        <v>0.44086419999999998</v>
      </c>
      <c r="F5903" t="s">
        <v>41</v>
      </c>
      <c r="G5903">
        <v>-418.87169999999998</v>
      </c>
      <c r="H5903" s="1">
        <v>-2.9628860000000001E-6</v>
      </c>
      <c r="I5903">
        <v>66.072779999999995</v>
      </c>
      <c r="J5903">
        <v>-421.7989</v>
      </c>
      <c r="K5903">
        <v>1.1200600000000001</v>
      </c>
      <c r="L5903">
        <v>84.401790000000005</v>
      </c>
      <c r="M5903">
        <v>-9.5857670000000002E-3</v>
      </c>
      <c r="N5903">
        <v>-1.086371E-2</v>
      </c>
      <c r="O5903">
        <v>-0.99989519999999998</v>
      </c>
      <c r="P5903">
        <v>1.3814420000000001E-2</v>
      </c>
      <c r="Q5903">
        <v>-0.1190295</v>
      </c>
      <c r="R5903">
        <v>-0.99279490000000004</v>
      </c>
      <c r="S5903">
        <v>0.47076420000000002</v>
      </c>
      <c r="T5903">
        <v>-0.18030199999999999</v>
      </c>
      <c r="U5903">
        <v>-2.9939879999999999</v>
      </c>
      <c r="V5903">
        <v>-2.34293E-2</v>
      </c>
      <c r="W5903">
        <v>-0.1082176</v>
      </c>
      <c r="X5903">
        <v>0.99385109999999999</v>
      </c>
      <c r="Y5903">
        <v>-0.16454569999999999</v>
      </c>
      <c r="Z5903">
        <v>4.847957E-2</v>
      </c>
      <c r="AA5903">
        <v>0.98517739999999998</v>
      </c>
      <c r="AB5903">
        <v>26</v>
      </c>
      <c r="AC5903">
        <v>2.92720000000002</v>
      </c>
      <c r="AD5903">
        <v>-1.1200629628859999</v>
      </c>
      <c r="AE5903">
        <v>-18.32901</v>
      </c>
      <c r="AF5903">
        <v>-3.09151599226468</v>
      </c>
      <c r="AG5903">
        <v>-1.1200629628859999</v>
      </c>
      <c r="AH5903">
        <v>18.233710342311699</v>
      </c>
      <c r="AI5903">
        <v>93.465816542462306</v>
      </c>
      <c r="AJ5903">
        <v>99.622955244046096</v>
      </c>
      <c r="AK5903">
        <v>18.5278224575524</v>
      </c>
      <c r="AL5903">
        <v>96.2125782276065</v>
      </c>
      <c r="AM5903">
        <v>91.350455226372503</v>
      </c>
      <c r="AN5903">
        <v>0.99999999500972903</v>
      </c>
    </row>
    <row r="5904" spans="1:40" x14ac:dyDescent="0.25">
      <c r="A5904" t="str">
        <f>"20190303154928342"</f>
        <v>20190303154928342</v>
      </c>
      <c r="B5904" t="str">
        <f>"1551599368336928"</f>
        <v>1551599368336928</v>
      </c>
      <c r="C5904" t="s">
        <v>40</v>
      </c>
      <c r="D5904">
        <v>4.9667430000000001</v>
      </c>
      <c r="E5904">
        <v>0.43863489999999999</v>
      </c>
      <c r="F5904" t="s">
        <v>41</v>
      </c>
      <c r="G5904">
        <v>-418.8596</v>
      </c>
      <c r="H5904" s="1">
        <v>-3.4891659999999999E-6</v>
      </c>
      <c r="I5904">
        <v>67.294589999999999</v>
      </c>
      <c r="J5904">
        <v>-421.80200000000002</v>
      </c>
      <c r="K5904">
        <v>1.1201399999999999</v>
      </c>
      <c r="L5904">
        <v>84.136690000000002</v>
      </c>
      <c r="M5904">
        <v>-1.0095079999999999E-2</v>
      </c>
      <c r="N5904">
        <v>-1.1315479999999999E-2</v>
      </c>
      <c r="O5904">
        <v>-0.99988520000000003</v>
      </c>
      <c r="P5904">
        <v>1.320382E-2</v>
      </c>
      <c r="Q5904">
        <v>-0.1194094</v>
      </c>
      <c r="R5904">
        <v>-0.99275769999999997</v>
      </c>
      <c r="S5904">
        <v>0.51391600000000004</v>
      </c>
      <c r="T5904">
        <v>-0.19584019999999999</v>
      </c>
      <c r="U5904">
        <v>-2.9911500000000002</v>
      </c>
      <c r="V5904">
        <v>-2.3322369999999999E-2</v>
      </c>
      <c r="W5904">
        <v>-0.1081496</v>
      </c>
      <c r="X5904">
        <v>0.99386099999999999</v>
      </c>
      <c r="Y5904">
        <v>-0.1789577</v>
      </c>
      <c r="Z5904">
        <v>5.3026289999999997E-2</v>
      </c>
      <c r="AA5904">
        <v>0.98242680000000004</v>
      </c>
      <c r="AB5904">
        <v>26</v>
      </c>
      <c r="AC5904">
        <v>2.9423999999999602</v>
      </c>
      <c r="AD5904">
        <v>-1.12014348916599</v>
      </c>
      <c r="AE5904">
        <v>-16.842099999999999</v>
      </c>
      <c r="AF5904">
        <v>-3.098981259126</v>
      </c>
      <c r="AG5904">
        <v>-1.12014348916599</v>
      </c>
      <c r="AH5904">
        <v>16.739683022084598</v>
      </c>
      <c r="AI5904">
        <v>93.764489180201096</v>
      </c>
      <c r="AJ5904">
        <v>100.488299948487</v>
      </c>
      <c r="AK5904">
        <v>17.060931802237601</v>
      </c>
      <c r="AL5904">
        <v>96.208659218290506</v>
      </c>
      <c r="AM5904">
        <v>91.344280706127705</v>
      </c>
      <c r="AN5904">
        <v>0.99999997812178798</v>
      </c>
    </row>
    <row r="5905" spans="1:40" x14ac:dyDescent="0.25">
      <c r="A5905" t="str">
        <f>"20190303154928364"</f>
        <v>20190303154928364</v>
      </c>
      <c r="B5905" t="str">
        <f>"1551599368356448"</f>
        <v>1551599368356448</v>
      </c>
      <c r="C5905" t="s">
        <v>40</v>
      </c>
      <c r="D5905">
        <v>4.9632800000000001</v>
      </c>
      <c r="E5905">
        <v>0.43697799999999998</v>
      </c>
      <c r="F5905" t="s">
        <v>41</v>
      </c>
      <c r="G5905">
        <v>-418.86689999999999</v>
      </c>
      <c r="H5905" s="1">
        <v>-3.599737E-6</v>
      </c>
      <c r="I5905">
        <v>67.555340000000001</v>
      </c>
      <c r="J5905">
        <v>-421.80509999999998</v>
      </c>
      <c r="K5905">
        <v>1.1202000000000001</v>
      </c>
      <c r="L5905">
        <v>83.886870000000002</v>
      </c>
      <c r="M5905">
        <v>-1.057024E-2</v>
      </c>
      <c r="N5905">
        <v>-1.1722649999999999E-2</v>
      </c>
      <c r="O5905">
        <v>-0.99987539999999997</v>
      </c>
      <c r="P5905">
        <v>1.190331E-2</v>
      </c>
      <c r="Q5905">
        <v>-0.1201473</v>
      </c>
      <c r="R5905">
        <v>-0.99268489999999998</v>
      </c>
      <c r="S5905">
        <v>0.52935790000000005</v>
      </c>
      <c r="T5905">
        <v>-0.20202429999999999</v>
      </c>
      <c r="U5905">
        <v>-2.9905400000000002</v>
      </c>
      <c r="V5905">
        <v>-2.2491239999999999E-2</v>
      </c>
      <c r="W5905">
        <v>-0.1084846</v>
      </c>
      <c r="X5905">
        <v>0.9938437</v>
      </c>
      <c r="Y5905">
        <v>-0.18435650000000001</v>
      </c>
      <c r="Z5905">
        <v>5.4592790000000002E-2</v>
      </c>
      <c r="AA5905">
        <v>0.98134209999999999</v>
      </c>
      <c r="AB5905">
        <v>26</v>
      </c>
      <c r="AC5905">
        <v>2.9381999999999899</v>
      </c>
      <c r="AD5905">
        <v>-1.1202035997369999</v>
      </c>
      <c r="AE5905">
        <v>-16.331529999999901</v>
      </c>
      <c r="AF5905">
        <v>-3.0965639735123198</v>
      </c>
      <c r="AG5905">
        <v>-1.1202035997369999</v>
      </c>
      <c r="AH5905">
        <v>16.225613186259299</v>
      </c>
      <c r="AI5905">
        <v>93.8795900107188</v>
      </c>
      <c r="AJ5905">
        <v>100.80464300078199</v>
      </c>
      <c r="AK5905">
        <v>16.556391147138001</v>
      </c>
      <c r="AL5905">
        <v>96.227966565796706</v>
      </c>
      <c r="AM5905">
        <v>91.296414319822404</v>
      </c>
      <c r="AN5905">
        <v>1.0000000321717899</v>
      </c>
    </row>
    <row r="5906" spans="1:40" x14ac:dyDescent="0.25">
      <c r="A5906" t="str">
        <f>"20190303154928386"</f>
        <v>20190303154928386</v>
      </c>
      <c r="B5906" t="str">
        <f>"1551599368376945"</f>
        <v>1551599368376945</v>
      </c>
      <c r="C5906" t="s">
        <v>40</v>
      </c>
      <c r="D5906">
        <v>4.9582430000000004</v>
      </c>
      <c r="E5906">
        <v>0.4356524</v>
      </c>
      <c r="F5906" t="s">
        <v>41</v>
      </c>
      <c r="G5906">
        <v>-418.9119</v>
      </c>
      <c r="H5906" s="1">
        <v>-3.70515E-6</v>
      </c>
      <c r="I5906">
        <v>67.819659999999999</v>
      </c>
      <c r="J5906">
        <v>-421.80840000000001</v>
      </c>
      <c r="K5906">
        <v>1.1202460000000001</v>
      </c>
      <c r="L5906">
        <v>83.626619999999903</v>
      </c>
      <c r="M5906">
        <v>-1.1055239999999999E-2</v>
      </c>
      <c r="N5906">
        <v>-1.211507E-2</v>
      </c>
      <c r="O5906">
        <v>-0.99986560000000002</v>
      </c>
      <c r="P5906">
        <v>1.0995019999999999E-2</v>
      </c>
      <c r="Q5906">
        <v>-0.121548</v>
      </c>
      <c r="R5906">
        <v>-0.99252499999999999</v>
      </c>
      <c r="S5906">
        <v>0.53848269999999998</v>
      </c>
      <c r="T5906">
        <v>-0.20849129999999999</v>
      </c>
      <c r="U5906">
        <v>-2.9904169999999999</v>
      </c>
      <c r="V5906">
        <v>-2.206321E-2</v>
      </c>
      <c r="W5906">
        <v>-0.1094975</v>
      </c>
      <c r="X5906">
        <v>0.99374220000000002</v>
      </c>
      <c r="Y5906">
        <v>-0.1877171</v>
      </c>
      <c r="Z5906">
        <v>5.6276130000000001E-2</v>
      </c>
      <c r="AA5906">
        <v>0.98060970000000003</v>
      </c>
      <c r="AB5906">
        <v>26</v>
      </c>
      <c r="AC5906">
        <v>2.8965000000000001</v>
      </c>
      <c r="AD5906">
        <v>-1.12024970514999</v>
      </c>
      <c r="AE5906">
        <v>-15.806959999999901</v>
      </c>
      <c r="AF5906">
        <v>-3.0562338008066701</v>
      </c>
      <c r="AG5906">
        <v>-1.12024970514999</v>
      </c>
      <c r="AH5906">
        <v>15.6976874210839</v>
      </c>
      <c r="AI5906">
        <v>94.006951310339304</v>
      </c>
      <c r="AJ5906">
        <v>101.01727644169701</v>
      </c>
      <c r="AK5906">
        <v>16.0316223389007</v>
      </c>
      <c r="AL5906">
        <v>96.286349315211297</v>
      </c>
      <c r="AM5906">
        <v>91.271880338459496</v>
      </c>
      <c r="AN5906">
        <v>1.0000000239012901</v>
      </c>
    </row>
    <row r="5907" spans="1:40" x14ac:dyDescent="0.25">
      <c r="A5907" t="str">
        <f>"20190303154928409"</f>
        <v>20190303154928409</v>
      </c>
      <c r="B5907" t="str">
        <f>"1551599368396465"</f>
        <v>1551599368396465</v>
      </c>
      <c r="C5907" t="s">
        <v>40</v>
      </c>
      <c r="D5907">
        <v>4.973509</v>
      </c>
      <c r="E5907">
        <v>0.43444949999999999</v>
      </c>
      <c r="F5907" t="s">
        <v>41</v>
      </c>
      <c r="G5907">
        <v>-418.98070000000001</v>
      </c>
      <c r="H5907" s="1">
        <v>-3.8383150000000004E-6</v>
      </c>
      <c r="I5907">
        <v>68.158529999999999</v>
      </c>
      <c r="J5907">
        <v>-421.81189999999998</v>
      </c>
      <c r="K5907">
        <v>1.120279</v>
      </c>
      <c r="L5907">
        <v>83.360900000000001</v>
      </c>
      <c r="M5907">
        <v>-1.1538039999999999E-2</v>
      </c>
      <c r="N5907">
        <v>-1.247887E-2</v>
      </c>
      <c r="O5907">
        <v>-0.99985579999999996</v>
      </c>
      <c r="P5907">
        <v>1.0330280000000001E-2</v>
      </c>
      <c r="Q5907">
        <v>-0.1227766</v>
      </c>
      <c r="R5907">
        <v>-0.99238110000000002</v>
      </c>
      <c r="S5907">
        <v>0.54660030000000004</v>
      </c>
      <c r="T5907">
        <v>-0.21654709999999999</v>
      </c>
      <c r="U5907">
        <v>-2.990021</v>
      </c>
      <c r="V5907">
        <v>-2.187629E-2</v>
      </c>
      <c r="W5907">
        <v>-0.1103666</v>
      </c>
      <c r="X5907">
        <v>0.99365009999999998</v>
      </c>
      <c r="Y5907">
        <v>-0.1907596</v>
      </c>
      <c r="Z5907">
        <v>5.8513349999999999E-2</v>
      </c>
      <c r="AA5907">
        <v>0.97989130000000002</v>
      </c>
      <c r="AB5907">
        <v>26</v>
      </c>
      <c r="AC5907">
        <v>2.83119999999996</v>
      </c>
      <c r="AD5907">
        <v>-1.1202828383149901</v>
      </c>
      <c r="AE5907">
        <v>-15.20237</v>
      </c>
      <c r="AF5907">
        <v>-2.9907341678202202</v>
      </c>
      <c r="AG5907">
        <v>-1.1202828383149901</v>
      </c>
      <c r="AH5907">
        <v>15.089493438281201</v>
      </c>
      <c r="AI5907">
        <v>94.165265541490299</v>
      </c>
      <c r="AJ5907">
        <v>101.21071992474199</v>
      </c>
      <c r="AK5907">
        <v>15.423758839022399</v>
      </c>
      <c r="AL5907">
        <v>96.336449259690696</v>
      </c>
      <c r="AM5907">
        <v>91.261225287556002</v>
      </c>
      <c r="AN5907">
        <v>0.99999993984486502</v>
      </c>
    </row>
    <row r="5908" spans="1:40" x14ac:dyDescent="0.25">
      <c r="A5908" t="str">
        <f>"20190303154928431"</f>
        <v>20190303154928431</v>
      </c>
      <c r="B5908" t="str">
        <f>"1551599368426721"</f>
        <v>1551599368426721</v>
      </c>
      <c r="C5908" t="s">
        <v>40</v>
      </c>
      <c r="D5908">
        <v>4.9799439999999997</v>
      </c>
      <c r="E5908">
        <v>0.43268899999999999</v>
      </c>
      <c r="F5908" t="s">
        <v>41</v>
      </c>
      <c r="G5908">
        <v>-419.05410000000001</v>
      </c>
      <c r="H5908" s="1">
        <v>-3.9656550000000002E-6</v>
      </c>
      <c r="I5908">
        <v>68.485690000000005</v>
      </c>
      <c r="J5908">
        <v>-421.81540000000001</v>
      </c>
      <c r="K5908">
        <v>1.120298</v>
      </c>
      <c r="L5908">
        <v>83.103119999999905</v>
      </c>
      <c r="M5908">
        <v>-1.199446E-2</v>
      </c>
      <c r="N5908">
        <v>-1.2795290000000001E-2</v>
      </c>
      <c r="O5908">
        <v>-0.99984649999999997</v>
      </c>
      <c r="P5908">
        <v>9.3712440000000008E-3</v>
      </c>
      <c r="Q5908">
        <v>-0.123502</v>
      </c>
      <c r="R5908">
        <v>-0.99230030000000002</v>
      </c>
      <c r="S5908">
        <v>0.55422969999999905</v>
      </c>
      <c r="T5908">
        <v>-0.2251388</v>
      </c>
      <c r="U5908">
        <v>-2.9894099999999999</v>
      </c>
      <c r="V5908">
        <v>-2.1367859999999999E-2</v>
      </c>
      <c r="W5908">
        <v>-0.1107794</v>
      </c>
      <c r="X5908">
        <v>0.99361529999999998</v>
      </c>
      <c r="Y5908">
        <v>-0.1936264</v>
      </c>
      <c r="Z5908">
        <v>6.097607E-2</v>
      </c>
      <c r="AA5908">
        <v>0.97917860000000001</v>
      </c>
      <c r="AB5908">
        <v>26</v>
      </c>
      <c r="AC5908">
        <v>2.7612999999999999</v>
      </c>
      <c r="AD5908">
        <v>-1.120301965655</v>
      </c>
      <c r="AE5908">
        <v>-14.617429999999899</v>
      </c>
      <c r="AF5908">
        <v>-2.9198835934791698</v>
      </c>
      <c r="AG5908">
        <v>-1.120301965655</v>
      </c>
      <c r="AH5908">
        <v>14.5010123296152</v>
      </c>
      <c r="AI5908">
        <v>94.331124919315599</v>
      </c>
      <c r="AJ5908">
        <v>101.38468525651</v>
      </c>
      <c r="AK5908">
        <v>14.834424669577601</v>
      </c>
      <c r="AL5908">
        <v>96.360246421043996</v>
      </c>
      <c r="AM5908">
        <v>91.231965243030601</v>
      </c>
      <c r="AN5908">
        <v>1.0000000126497099</v>
      </c>
    </row>
    <row r="5909" spans="1:40" x14ac:dyDescent="0.25">
      <c r="A5909" t="str">
        <f>"20190303154928454"</f>
        <v>20190303154928454</v>
      </c>
      <c r="B5909" t="str">
        <f>"1551599368447217"</f>
        <v>1551599368447217</v>
      </c>
      <c r="C5909" t="s">
        <v>40</v>
      </c>
      <c r="D5909">
        <v>4.9550850000000004</v>
      </c>
      <c r="E5909">
        <v>0.43170619999999998</v>
      </c>
      <c r="F5909" t="s">
        <v>41</v>
      </c>
      <c r="G5909">
        <v>-419.04500000000002</v>
      </c>
      <c r="H5909" s="1">
        <v>-3.9509700000000004E-6</v>
      </c>
      <c r="I5909">
        <v>68.447719999999904</v>
      </c>
      <c r="J5909">
        <v>-421.81909999999999</v>
      </c>
      <c r="K5909">
        <v>1.1203270000000001</v>
      </c>
      <c r="L5909">
        <v>82.842410000000001</v>
      </c>
      <c r="M5909">
        <v>-1.2441320000000001E-2</v>
      </c>
      <c r="N5909">
        <v>-1.3079169999999999E-2</v>
      </c>
      <c r="O5909">
        <v>-0.99983699999999998</v>
      </c>
      <c r="P5909">
        <v>9.1666419999999992E-3</v>
      </c>
      <c r="Q5909">
        <v>-0.1246415</v>
      </c>
      <c r="R5909">
        <v>-0.99215969999999998</v>
      </c>
      <c r="S5909">
        <v>0.56512450000000003</v>
      </c>
      <c r="T5909">
        <v>-0.22852639999999999</v>
      </c>
      <c r="U5909">
        <v>-2.9895019999999999</v>
      </c>
      <c r="V5909">
        <v>-2.160171E-2</v>
      </c>
      <c r="W5909">
        <v>-0.1116391</v>
      </c>
      <c r="X5909">
        <v>0.99351400000000001</v>
      </c>
      <c r="Y5909">
        <v>-0.19749040000000001</v>
      </c>
      <c r="Z5909">
        <v>6.173932E-2</v>
      </c>
      <c r="AA5909">
        <v>0.97835870000000003</v>
      </c>
      <c r="AB5909">
        <v>26</v>
      </c>
      <c r="AC5909">
        <v>2.77409999999997</v>
      </c>
      <c r="AD5909">
        <v>-1.1203309509699999</v>
      </c>
      <c r="AE5909">
        <v>-14.394690000000001</v>
      </c>
      <c r="AF5909">
        <v>-2.9358427165553902</v>
      </c>
      <c r="AG5909">
        <v>-1.1203309509699999</v>
      </c>
      <c r="AH5909">
        <v>14.2756820379667</v>
      </c>
      <c r="AI5909">
        <v>94.395658036277695</v>
      </c>
      <c r="AJ5909">
        <v>101.62104947076401</v>
      </c>
      <c r="AK5909">
        <v>14.6174351903874</v>
      </c>
      <c r="AL5909">
        <v>96.409811163715901</v>
      </c>
      <c r="AM5909">
        <v>91.245570602143403</v>
      </c>
      <c r="AN5909">
        <v>0.99999999535986595</v>
      </c>
    </row>
    <row r="5910" spans="1:40" x14ac:dyDescent="0.25">
      <c r="A5910" t="str">
        <f>"20190303154928476"</f>
        <v>20190303154928476</v>
      </c>
      <c r="B5910" t="str">
        <f>"1551599368466737"</f>
        <v>1551599368466737</v>
      </c>
      <c r="C5910" t="s">
        <v>40</v>
      </c>
      <c r="D5910">
        <v>4.9715059999999998</v>
      </c>
      <c r="E5910">
        <v>0.43086170000000001</v>
      </c>
      <c r="F5910" t="s">
        <v>41</v>
      </c>
      <c r="G5910">
        <v>-419.05610000000001</v>
      </c>
      <c r="H5910" s="1">
        <v>-3.9383449999999998E-6</v>
      </c>
      <c r="I5910">
        <v>68.422849999999997</v>
      </c>
      <c r="J5910">
        <v>-421.8227</v>
      </c>
      <c r="K5910">
        <v>1.120352</v>
      </c>
      <c r="L5910">
        <v>82.590450000000004</v>
      </c>
      <c r="M5910">
        <v>-1.285145E-2</v>
      </c>
      <c r="N5910">
        <v>-1.33206E-2</v>
      </c>
      <c r="O5910">
        <v>-0.99982879999999996</v>
      </c>
      <c r="P5910">
        <v>9.4259240000000005E-3</v>
      </c>
      <c r="Q5910">
        <v>-0.125433399999999</v>
      </c>
      <c r="R5910">
        <v>-0.99205750000000004</v>
      </c>
      <c r="S5910">
        <v>0.57278439999999997</v>
      </c>
      <c r="T5910">
        <v>-0.23224880000000001</v>
      </c>
      <c r="U5910">
        <v>-2.9892270000000001</v>
      </c>
      <c r="V5910">
        <v>-2.2262130000000002E-2</v>
      </c>
      <c r="W5910">
        <v>-0.1121931</v>
      </c>
      <c r="X5910">
        <v>0.99343700000000001</v>
      </c>
      <c r="Y5910">
        <v>-0.20031080000000001</v>
      </c>
      <c r="Z5910">
        <v>6.2676120000000002E-2</v>
      </c>
      <c r="AA5910">
        <v>0.97772559999999997</v>
      </c>
      <c r="AB5910">
        <v>26</v>
      </c>
      <c r="AC5910">
        <v>2.76659999999998</v>
      </c>
      <c r="AD5910">
        <v>-1.1203559383449999</v>
      </c>
      <c r="AE5910">
        <v>-14.1676</v>
      </c>
      <c r="AF5910">
        <v>-2.9308073893299902</v>
      </c>
      <c r="AG5910">
        <v>-1.1203559383449999</v>
      </c>
      <c r="AH5910">
        <v>14.0462607356259</v>
      </c>
      <c r="AI5910">
        <v>94.464613548085893</v>
      </c>
      <c r="AJ5910">
        <v>101.785892096487</v>
      </c>
      <c r="AK5910">
        <v>14.392437946196701</v>
      </c>
      <c r="AL5910">
        <v>96.441753776470307</v>
      </c>
      <c r="AM5910">
        <v>91.283737816271099</v>
      </c>
      <c r="AN5910">
        <v>0.99999998354437303</v>
      </c>
    </row>
    <row r="5911" spans="1:40" x14ac:dyDescent="0.25">
      <c r="A5911" t="str">
        <f>"20190303154928498"</f>
        <v>20190303154928498</v>
      </c>
      <c r="B5911" t="str">
        <f>"1551599368487233"</f>
        <v>1551599368487233</v>
      </c>
      <c r="C5911" t="s">
        <v>40</v>
      </c>
      <c r="D5911">
        <v>4.956467</v>
      </c>
      <c r="E5911">
        <v>0.43021900000000002</v>
      </c>
      <c r="F5911" t="s">
        <v>41</v>
      </c>
      <c r="G5911">
        <v>-419.0521</v>
      </c>
      <c r="H5911" s="1">
        <v>-3.8940049999999998E-6</v>
      </c>
      <c r="I5911">
        <v>68.317840000000004</v>
      </c>
      <c r="J5911">
        <v>-421.82650000000001</v>
      </c>
      <c r="K5911">
        <v>1.120385</v>
      </c>
      <c r="L5911">
        <v>82.329189999999997</v>
      </c>
      <c r="M5911">
        <v>-1.3245170000000001E-2</v>
      </c>
      <c r="N5911">
        <v>-1.354003E-2</v>
      </c>
      <c r="O5911">
        <v>-0.99982059999999995</v>
      </c>
      <c r="P5911">
        <v>9.9511659999999991E-3</v>
      </c>
      <c r="Q5911">
        <v>-0.1263418</v>
      </c>
      <c r="R5911">
        <v>-0.99193679999999995</v>
      </c>
      <c r="S5911">
        <v>0.58020019999999894</v>
      </c>
      <c r="T5911">
        <v>-0.2346164</v>
      </c>
      <c r="U5911">
        <v>-2.988861</v>
      </c>
      <c r="V5911">
        <v>-2.3169809999999999E-2</v>
      </c>
      <c r="W5911">
        <v>-0.112886</v>
      </c>
      <c r="X5911">
        <v>0.99333780000000005</v>
      </c>
      <c r="Y5911">
        <v>-0.20304559999999999</v>
      </c>
      <c r="Z5911">
        <v>6.3195790000000002E-2</v>
      </c>
      <c r="AA5911">
        <v>0.97712779999999999</v>
      </c>
      <c r="AB5911">
        <v>26</v>
      </c>
      <c r="AC5911">
        <v>2.7744000000000102</v>
      </c>
      <c r="AD5911">
        <v>-1.120388894005</v>
      </c>
      <c r="AE5911">
        <v>-14.011349999999901</v>
      </c>
      <c r="AF5911">
        <v>-2.9416567904663502</v>
      </c>
      <c r="AG5911">
        <v>-1.120388894005</v>
      </c>
      <c r="AH5911">
        <v>13.887919885489699</v>
      </c>
      <c r="AI5911">
        <v>94.512578909231607</v>
      </c>
      <c r="AJ5911">
        <v>101.959291004828</v>
      </c>
      <c r="AK5911">
        <v>14.2401873124087</v>
      </c>
      <c r="AL5911">
        <v>96.481707493966695</v>
      </c>
      <c r="AM5911">
        <v>91.336193638184099</v>
      </c>
      <c r="AN5911">
        <v>1.0000000370001301</v>
      </c>
    </row>
    <row r="5912" spans="1:40" x14ac:dyDescent="0.25">
      <c r="A5912" t="str">
        <f>"20190303154928521"</f>
        <v>20190303154928521</v>
      </c>
      <c r="B5912" t="str">
        <f>"1551599368516513"</f>
        <v>1551599368516513</v>
      </c>
      <c r="C5912" t="s">
        <v>40</v>
      </c>
      <c r="D5912">
        <v>4.9133040000000001</v>
      </c>
      <c r="E5912">
        <v>0.42936160000000001</v>
      </c>
      <c r="F5912" t="s">
        <v>41</v>
      </c>
      <c r="G5912">
        <v>-419.05079999999998</v>
      </c>
      <c r="H5912" s="1">
        <v>-3.8408319999999998E-6</v>
      </c>
      <c r="I5912">
        <v>68.193340000000006</v>
      </c>
      <c r="J5912">
        <v>-421.83030000000002</v>
      </c>
      <c r="K5912">
        <v>1.120412</v>
      </c>
      <c r="L5912">
        <v>82.074309999999997</v>
      </c>
      <c r="M5912">
        <v>-1.358903E-2</v>
      </c>
      <c r="N5912">
        <v>-1.37263E-2</v>
      </c>
      <c r="O5912">
        <v>-0.99981339999999996</v>
      </c>
      <c r="P5912">
        <v>1.074833E-2</v>
      </c>
      <c r="Q5912">
        <v>-0.12749559999999999</v>
      </c>
      <c r="R5912">
        <v>-0.99178080000000002</v>
      </c>
      <c r="S5912">
        <v>0.58679199999999998</v>
      </c>
      <c r="T5912">
        <v>-0.23685200000000001</v>
      </c>
      <c r="U5912">
        <v>-2.9883419999999998</v>
      </c>
      <c r="V5912">
        <v>-2.429771E-2</v>
      </c>
      <c r="W5912">
        <v>-0.1138581</v>
      </c>
      <c r="X5912">
        <v>0.99319990000000002</v>
      </c>
      <c r="Y5912">
        <v>-0.20547879999999999</v>
      </c>
      <c r="Z5912">
        <v>6.3712889999999994E-2</v>
      </c>
      <c r="AA5912">
        <v>0.97658540000000005</v>
      </c>
      <c r="AB5912">
        <v>26</v>
      </c>
      <c r="AC5912">
        <v>2.77950000000004</v>
      </c>
      <c r="AD5912">
        <v>-1.120415840832</v>
      </c>
      <c r="AE5912">
        <v>-13.8809699999999</v>
      </c>
      <c r="AF5912">
        <v>-2.94941512572287</v>
      </c>
      <c r="AG5912">
        <v>-1.120415840832</v>
      </c>
      <c r="AH5912">
        <v>13.755748975240699</v>
      </c>
      <c r="AI5912">
        <v>94.553461901444294</v>
      </c>
      <c r="AJ5912">
        <v>102.10174446814101</v>
      </c>
      <c r="AK5912">
        <v>14.112937720760501</v>
      </c>
      <c r="AL5912">
        <v>96.537766111090306</v>
      </c>
      <c r="AM5912">
        <v>91.401408320421496</v>
      </c>
      <c r="AN5912">
        <v>1.00000004350343</v>
      </c>
    </row>
    <row r="5913" spans="1:40" x14ac:dyDescent="0.25">
      <c r="A5913" t="str">
        <f>"20190303154928542"</f>
        <v>20190303154928542</v>
      </c>
      <c r="B5913" t="str">
        <f>"1551599368537009"</f>
        <v>1551599368537009</v>
      </c>
      <c r="C5913" t="s">
        <v>40</v>
      </c>
      <c r="D5913">
        <v>4.9193920000000002</v>
      </c>
      <c r="E5913">
        <v>0.42881930000000001</v>
      </c>
      <c r="F5913" t="s">
        <v>41</v>
      </c>
      <c r="G5913">
        <v>-419.04930000000002</v>
      </c>
      <c r="H5913" s="1">
        <v>-3.8136440000000002E-6</v>
      </c>
      <c r="I5913">
        <v>68.129390000000001</v>
      </c>
      <c r="J5913">
        <v>-421.83409999999998</v>
      </c>
      <c r="K5913">
        <v>1.1204449999999999</v>
      </c>
      <c r="L5913">
        <v>81.819789999999998</v>
      </c>
      <c r="M5913">
        <v>-1.3882179999999999E-2</v>
      </c>
      <c r="N5913">
        <v>-1.388621E-2</v>
      </c>
      <c r="O5913">
        <v>-0.99980749999999996</v>
      </c>
      <c r="P5913">
        <v>1.1291529999999999E-2</v>
      </c>
      <c r="Q5913">
        <v>-0.12880150000000001</v>
      </c>
      <c r="R5913">
        <v>-0.99160649999999995</v>
      </c>
      <c r="S5913">
        <v>0.59579469999999901</v>
      </c>
      <c r="T5913">
        <v>-0.240037</v>
      </c>
      <c r="U5913">
        <v>-2.987549</v>
      </c>
      <c r="V5913">
        <v>-2.5119820000000001E-2</v>
      </c>
      <c r="W5913">
        <v>-0.11500929999999999</v>
      </c>
      <c r="X5913">
        <v>0.99304680000000001</v>
      </c>
      <c r="Y5913">
        <v>-0.2086298</v>
      </c>
      <c r="Z5913">
        <v>6.4558859999999996E-2</v>
      </c>
      <c r="AA5913">
        <v>0.97586150000000005</v>
      </c>
      <c r="AB5913">
        <v>26</v>
      </c>
      <c r="AC5913">
        <v>2.7847999999999602</v>
      </c>
      <c r="AD5913">
        <v>-1.1204488136440001</v>
      </c>
      <c r="AE5913">
        <v>-13.690399999999901</v>
      </c>
      <c r="AF5913">
        <v>-2.9555921913818501</v>
      </c>
      <c r="AG5913">
        <v>-1.1204488136440001</v>
      </c>
      <c r="AH5913">
        <v>13.5631797528899</v>
      </c>
      <c r="AI5913">
        <v>94.614647437411904</v>
      </c>
      <c r="AJ5913">
        <v>102.293308698755</v>
      </c>
      <c r="AK5913">
        <v>13.9266211176637</v>
      </c>
      <c r="AL5913">
        <v>96.604161155322501</v>
      </c>
      <c r="AM5913">
        <v>91.449028187713907</v>
      </c>
      <c r="AN5913">
        <v>1.0000000457167799</v>
      </c>
    </row>
    <row r="5914" spans="1:40" x14ac:dyDescent="0.25">
      <c r="A5914" t="str">
        <f>"20190303154928565"</f>
        <v>20190303154928565</v>
      </c>
      <c r="B5914" t="str">
        <f>"1551599368556529"</f>
        <v>1551599368556529</v>
      </c>
      <c r="C5914" t="s">
        <v>40</v>
      </c>
      <c r="D5914">
        <v>4.9313449999999897</v>
      </c>
      <c r="E5914">
        <v>0.42824620000000002</v>
      </c>
      <c r="F5914" t="s">
        <v>41</v>
      </c>
      <c r="G5914">
        <v>-419.06319999999999</v>
      </c>
      <c r="H5914" s="1">
        <v>-3.7802170000000001E-6</v>
      </c>
      <c r="I5914">
        <v>68.057209999999998</v>
      </c>
      <c r="J5914">
        <v>-421.83800000000002</v>
      </c>
      <c r="K5914">
        <v>1.1204799999999999</v>
      </c>
      <c r="L5914">
        <v>81.567229999999995</v>
      </c>
      <c r="M5914">
        <v>-1.413171E-2</v>
      </c>
      <c r="N5914">
        <v>-1.402379E-2</v>
      </c>
      <c r="O5914">
        <v>-0.99980190000000002</v>
      </c>
      <c r="P5914">
        <v>1.1221099999999999E-2</v>
      </c>
      <c r="Q5914">
        <v>-0.130194</v>
      </c>
      <c r="R5914">
        <v>-0.991425</v>
      </c>
      <c r="S5914">
        <v>0.60137940000000001</v>
      </c>
      <c r="T5914">
        <v>-0.24317720000000001</v>
      </c>
      <c r="U5914">
        <v>-2.9869690000000002</v>
      </c>
      <c r="V5914">
        <v>-2.5286079999999999E-2</v>
      </c>
      <c r="W5914">
        <v>-0.1162696</v>
      </c>
      <c r="X5914">
        <v>0.9928958</v>
      </c>
      <c r="Y5914">
        <v>-0.21064830000000001</v>
      </c>
      <c r="Z5914">
        <v>6.5424200000000002E-2</v>
      </c>
      <c r="AA5914">
        <v>0.97537019999999997</v>
      </c>
      <c r="AB5914">
        <v>26</v>
      </c>
      <c r="AC5914">
        <v>2.7748000000000199</v>
      </c>
      <c r="AD5914">
        <v>-1.120483780217</v>
      </c>
      <c r="AE5914">
        <v>-13.510020000000001</v>
      </c>
      <c r="AF5914">
        <v>-2.9460171106792901</v>
      </c>
      <c r="AG5914">
        <v>-1.120483780217</v>
      </c>
      <c r="AH5914">
        <v>13.3811364628548</v>
      </c>
      <c r="AI5914">
        <v>94.6751075394465</v>
      </c>
      <c r="AJ5914">
        <v>102.416268961565</v>
      </c>
      <c r="AK5914">
        <v>13.7473384244255</v>
      </c>
      <c r="AL5914">
        <v>96.676858791291394</v>
      </c>
      <c r="AM5914">
        <v>91.458836439978398</v>
      </c>
      <c r="AN5914">
        <v>1.0000000376917799</v>
      </c>
    </row>
    <row r="5915" spans="1:40" x14ac:dyDescent="0.25">
      <c r="A5915" t="str">
        <f>"20190303154928587"</f>
        <v>20190303154928587</v>
      </c>
      <c r="B5915" t="str">
        <f>"1551599368577024"</f>
        <v>1551599368577024</v>
      </c>
      <c r="C5915" t="s">
        <v>40</v>
      </c>
      <c r="D5915">
        <v>4.8830359999999997</v>
      </c>
      <c r="E5915">
        <v>0.42789650000000001</v>
      </c>
      <c r="F5915" t="s">
        <v>41</v>
      </c>
      <c r="G5915">
        <v>-419.09780000000001</v>
      </c>
      <c r="H5915" s="1">
        <v>-3.7755390000000001E-6</v>
      </c>
      <c r="I5915">
        <v>68.060590000000005</v>
      </c>
      <c r="J5915">
        <v>-421.84179999999998</v>
      </c>
      <c r="K5915">
        <v>1.120512</v>
      </c>
      <c r="L5915">
        <v>81.311189999999996</v>
      </c>
      <c r="M5915">
        <v>-1.434034E-2</v>
      </c>
      <c r="N5915">
        <v>-1.414429E-2</v>
      </c>
      <c r="O5915">
        <v>-0.99979739999999995</v>
      </c>
      <c r="P5915">
        <v>1.091836E-2</v>
      </c>
      <c r="Q5915">
        <v>-0.13151260000000001</v>
      </c>
      <c r="R5915">
        <v>-0.99125479999999999</v>
      </c>
      <c r="S5915">
        <v>0.60589599999999999</v>
      </c>
      <c r="T5915">
        <v>-0.2477577</v>
      </c>
      <c r="U5915">
        <v>-2.986542</v>
      </c>
      <c r="V5915">
        <v>-2.5178800000000001E-2</v>
      </c>
      <c r="W5915">
        <v>-0.1174728</v>
      </c>
      <c r="X5915">
        <v>0.99275679999999999</v>
      </c>
      <c r="Y5915">
        <v>-0.21227370000000001</v>
      </c>
      <c r="Z5915">
        <v>6.6775749999999995E-2</v>
      </c>
      <c r="AA5915">
        <v>0.97492610000000002</v>
      </c>
      <c r="AB5915">
        <v>26</v>
      </c>
      <c r="AC5915">
        <v>2.74399999999997</v>
      </c>
      <c r="AD5915">
        <v>-1.1205157755390001</v>
      </c>
      <c r="AE5915">
        <v>-13.250599999999899</v>
      </c>
      <c r="AF5915">
        <v>-2.9137753408003402</v>
      </c>
      <c r="AG5915">
        <v>-1.1205157755390001</v>
      </c>
      <c r="AH5915">
        <v>13.1199211890976</v>
      </c>
      <c r="AI5915">
        <v>94.765972141616004</v>
      </c>
      <c r="AJ5915">
        <v>102.52147189097001</v>
      </c>
      <c r="AK5915">
        <v>13.4862142333577</v>
      </c>
      <c r="AL5915">
        <v>96.746273375805501</v>
      </c>
      <c r="AM5915">
        <v>91.452853068824496</v>
      </c>
      <c r="AN5915">
        <v>0.99999994732775799</v>
      </c>
    </row>
    <row r="5916" spans="1:40" x14ac:dyDescent="0.25">
      <c r="A5916" t="str">
        <f>"20190303154928611"</f>
        <v>20190303154928611</v>
      </c>
      <c r="B5916" t="str">
        <f>"1551599368606305"</f>
        <v>1551599368606305</v>
      </c>
      <c r="C5916" t="s">
        <v>40</v>
      </c>
      <c r="D5916">
        <v>4.8290949999999997</v>
      </c>
      <c r="E5916">
        <v>0.42720019999999997</v>
      </c>
      <c r="F5916" t="s">
        <v>41</v>
      </c>
      <c r="G5916">
        <v>-419.12950000000001</v>
      </c>
      <c r="H5916" s="1">
        <v>-3.7423830000000001E-6</v>
      </c>
      <c r="I5916">
        <v>67.996399999999994</v>
      </c>
      <c r="J5916">
        <v>-421.84589999999997</v>
      </c>
      <c r="K5916">
        <v>1.1205430000000001</v>
      </c>
      <c r="L5916">
        <v>81.046660000000003</v>
      </c>
      <c r="M5916">
        <v>-1.4506059999999999E-2</v>
      </c>
      <c r="N5916">
        <v>-1.4251160000000001E-2</v>
      </c>
      <c r="O5916">
        <v>-0.9997933</v>
      </c>
      <c r="P5916">
        <v>1.0495289999999999E-2</v>
      </c>
      <c r="Q5916">
        <v>-0.13245199999999999</v>
      </c>
      <c r="R5916">
        <v>-0.99113399999999996</v>
      </c>
      <c r="S5916">
        <v>0.60836789999999996</v>
      </c>
      <c r="T5916">
        <v>-0.2513243</v>
      </c>
      <c r="U5916">
        <v>-2.9864199999999999</v>
      </c>
      <c r="V5916">
        <v>-2.4909319999999999E-2</v>
      </c>
      <c r="W5916">
        <v>-0.1183097</v>
      </c>
      <c r="X5916">
        <v>0.99266430000000005</v>
      </c>
      <c r="Y5916">
        <v>-0.21320059999999999</v>
      </c>
      <c r="Z5916">
        <v>6.7814509999999995E-2</v>
      </c>
      <c r="AA5916">
        <v>0.97465210000000002</v>
      </c>
      <c r="AB5916">
        <v>26</v>
      </c>
      <c r="AC5916">
        <v>2.7163999999999602</v>
      </c>
      <c r="AD5916">
        <v>-1.120546742383</v>
      </c>
      <c r="AE5916">
        <v>-13.05026</v>
      </c>
      <c r="AF5916">
        <v>-2.88505408861886</v>
      </c>
      <c r="AG5916">
        <v>-1.120546742383</v>
      </c>
      <c r="AH5916">
        <v>12.9181925121184</v>
      </c>
      <c r="AI5916">
        <v>94.838906991574802</v>
      </c>
      <c r="AJ5916">
        <v>102.589421912002</v>
      </c>
      <c r="AK5916">
        <v>13.28378183637</v>
      </c>
      <c r="AL5916">
        <v>96.794560345798402</v>
      </c>
      <c r="AM5916">
        <v>91.437444119621503</v>
      </c>
      <c r="AN5916">
        <v>1.00000003591572</v>
      </c>
    </row>
    <row r="5917" spans="1:40" x14ac:dyDescent="0.25">
      <c r="A5917" t="str">
        <f>"20190303154928632"</f>
        <v>20190303154928632</v>
      </c>
      <c r="B5917" t="str">
        <f>"1551599368626801"</f>
        <v>1551599368626801</v>
      </c>
      <c r="C5917" t="s">
        <v>40</v>
      </c>
      <c r="D5917">
        <v>4.8131709999999996</v>
      </c>
      <c r="E5917">
        <v>0.42687959999999903</v>
      </c>
      <c r="F5917" t="s">
        <v>41</v>
      </c>
      <c r="G5917">
        <v>-419.1497</v>
      </c>
      <c r="H5917" s="1">
        <v>-3.6945579999999999E-6</v>
      </c>
      <c r="I5917">
        <v>67.893280000000004</v>
      </c>
      <c r="J5917">
        <v>-421.84969999999998</v>
      </c>
      <c r="K5917">
        <v>1.1205780000000001</v>
      </c>
      <c r="L5917">
        <v>80.792419999999893</v>
      </c>
      <c r="M5917">
        <v>-1.461811E-2</v>
      </c>
      <c r="N5917">
        <v>-1.433911E-2</v>
      </c>
      <c r="O5917">
        <v>-0.99979039999999997</v>
      </c>
      <c r="P5917">
        <v>9.7741449999999997E-3</v>
      </c>
      <c r="Q5917">
        <v>-0.13353999999999999</v>
      </c>
      <c r="R5917">
        <v>-0.99099559999999998</v>
      </c>
      <c r="S5917">
        <v>0.61215209999999998</v>
      </c>
      <c r="T5917">
        <v>-0.25441000000000003</v>
      </c>
      <c r="U5917">
        <v>-2.9863590000000002</v>
      </c>
      <c r="V5917">
        <v>-2.4288669999999998E-2</v>
      </c>
      <c r="W5917">
        <v>-0.1193143</v>
      </c>
      <c r="X5917">
        <v>0.99255939999999998</v>
      </c>
      <c r="Y5917">
        <v>-0.2144836</v>
      </c>
      <c r="Z5917">
        <v>6.8707019999999994E-2</v>
      </c>
      <c r="AA5917">
        <v>0.97430799999999995</v>
      </c>
      <c r="AB5917">
        <v>25</v>
      </c>
      <c r="AC5917">
        <v>2.6999999999999802</v>
      </c>
      <c r="AD5917">
        <v>-1.1205816945580001</v>
      </c>
      <c r="AE5917">
        <v>-12.8991399999999</v>
      </c>
      <c r="AF5917">
        <v>-2.8675592033758099</v>
      </c>
      <c r="AG5917">
        <v>-1.1205816945580001</v>
      </c>
      <c r="AH5917">
        <v>12.7659894469002</v>
      </c>
      <c r="AI5917">
        <v>94.895129437181495</v>
      </c>
      <c r="AJ5917">
        <v>102.659926219637</v>
      </c>
      <c r="AK5917">
        <v>13.1319871183843</v>
      </c>
      <c r="AL5917">
        <v>96.852530533811901</v>
      </c>
      <c r="AM5917">
        <v>91.401790766019801</v>
      </c>
      <c r="AN5917">
        <v>1.0000000021016</v>
      </c>
    </row>
    <row r="5918" spans="1:40" x14ac:dyDescent="0.25">
      <c r="A5918" t="str">
        <f>"20190303154928655"</f>
        <v>20190303154928655</v>
      </c>
      <c r="B5918" t="str">
        <f>"1551599368646321"</f>
        <v>1551599368646321</v>
      </c>
      <c r="C5918" t="s">
        <v>40</v>
      </c>
      <c r="D5918">
        <v>4.8073100000000002</v>
      </c>
      <c r="E5918">
        <v>0.42650880000000002</v>
      </c>
      <c r="F5918" t="s">
        <v>41</v>
      </c>
      <c r="G5918">
        <v>-419.1823</v>
      </c>
      <c r="H5918" s="1">
        <v>-3.6442089999999998E-6</v>
      </c>
      <c r="I5918">
        <v>67.789429999999996</v>
      </c>
      <c r="J5918">
        <v>-421.85329999999999</v>
      </c>
      <c r="K5918">
        <v>1.120608</v>
      </c>
      <c r="L5918">
        <v>80.550380000000004</v>
      </c>
      <c r="M5918">
        <v>-1.4685119999999999E-2</v>
      </c>
      <c r="N5918">
        <v>-1.441098E-2</v>
      </c>
      <c r="O5918">
        <v>-0.99978829999999996</v>
      </c>
      <c r="P5918">
        <v>9.4587030000000006E-3</v>
      </c>
      <c r="Q5918">
        <v>-0.13456279999999901</v>
      </c>
      <c r="R5918">
        <v>-0.99085999999999996</v>
      </c>
      <c r="S5918">
        <v>0.61264039999999997</v>
      </c>
      <c r="T5918">
        <v>-0.25737379999999999</v>
      </c>
      <c r="U5918">
        <v>-2.9865110000000001</v>
      </c>
      <c r="V5918">
        <v>-2.4028879999999999E-2</v>
      </c>
      <c r="W5918">
        <v>-0.1202693</v>
      </c>
      <c r="X5918">
        <v>0.99245050000000001</v>
      </c>
      <c r="Y5918">
        <v>-0.21467739999999999</v>
      </c>
      <c r="Z5918">
        <v>6.9588990000000003E-2</v>
      </c>
      <c r="AA5918">
        <v>0.97420280000000004</v>
      </c>
      <c r="AB5918">
        <v>25</v>
      </c>
      <c r="AC5918">
        <v>2.67099999999999</v>
      </c>
      <c r="AD5918">
        <v>-1.1206116442089999</v>
      </c>
      <c r="AE5918">
        <v>-12.7609499999999</v>
      </c>
      <c r="AF5918">
        <v>-2.8371666940036802</v>
      </c>
      <c r="AG5918">
        <v>-1.1206116442089999</v>
      </c>
      <c r="AH5918">
        <v>12.6270578953535</v>
      </c>
      <c r="AI5918">
        <v>94.9487866258293</v>
      </c>
      <c r="AJ5918">
        <v>102.66344653949101</v>
      </c>
      <c r="AK5918">
        <v>12.9902993190807</v>
      </c>
      <c r="AL5918">
        <v>96.9076445960158</v>
      </c>
      <c r="AM5918">
        <v>91.386955304271694</v>
      </c>
      <c r="AN5918">
        <v>1.00000004327339</v>
      </c>
    </row>
    <row r="5919" spans="1:40" x14ac:dyDescent="0.25">
      <c r="A5919" t="str">
        <f>"20190303154928676"</f>
        <v>20190303154928676</v>
      </c>
      <c r="B5919" t="str">
        <f>"1551599368666817"</f>
        <v>1551599368666817</v>
      </c>
      <c r="C5919" t="s">
        <v>40</v>
      </c>
      <c r="D5919">
        <v>4.776205</v>
      </c>
      <c r="E5919">
        <v>0.42619180000000001</v>
      </c>
      <c r="F5919" t="s">
        <v>41</v>
      </c>
      <c r="G5919">
        <v>-419.21010000000001</v>
      </c>
      <c r="H5919" s="1">
        <v>-3.603442E-6</v>
      </c>
      <c r="I5919">
        <v>67.705879999999993</v>
      </c>
      <c r="J5919">
        <v>-421.8571</v>
      </c>
      <c r="K5919">
        <v>1.1206339999999999</v>
      </c>
      <c r="L5919">
        <v>80.299589999999995</v>
      </c>
      <c r="M5919">
        <v>-1.4721740000000001E-2</v>
      </c>
      <c r="N5919">
        <v>-1.447504E-2</v>
      </c>
      <c r="O5919">
        <v>-0.99978710000000004</v>
      </c>
      <c r="P5919">
        <v>9.3548989999999999E-3</v>
      </c>
      <c r="Q5919">
        <v>-0.13436310000000001</v>
      </c>
      <c r="R5919">
        <v>-0.9908884</v>
      </c>
      <c r="S5919">
        <v>0.61456299999999997</v>
      </c>
      <c r="T5919">
        <v>-0.26054850000000002</v>
      </c>
      <c r="U5919">
        <v>-2.9864199999999999</v>
      </c>
      <c r="V5919">
        <v>-2.3953929999999998E-2</v>
      </c>
      <c r="W5919">
        <v>-0.1200073</v>
      </c>
      <c r="X5919">
        <v>0.99248400000000003</v>
      </c>
      <c r="Y5919">
        <v>-0.21530440000000001</v>
      </c>
      <c r="Z5919">
        <v>7.0545399999999994E-2</v>
      </c>
      <c r="AA5919">
        <v>0.97399559999999996</v>
      </c>
      <c r="AB5919">
        <v>25</v>
      </c>
      <c r="AC5919">
        <v>2.64699999999999</v>
      </c>
      <c r="AD5919">
        <v>-1.12063760344199</v>
      </c>
      <c r="AE5919">
        <v>-12.59371</v>
      </c>
      <c r="AF5919">
        <v>-2.81081897137204</v>
      </c>
      <c r="AG5919">
        <v>-1.12063760344199</v>
      </c>
      <c r="AH5919">
        <v>12.458894942953799</v>
      </c>
      <c r="AI5919">
        <v>95.014378232448195</v>
      </c>
      <c r="AJ5919">
        <v>102.713504041558</v>
      </c>
      <c r="AK5919">
        <v>12.821099606805699</v>
      </c>
      <c r="AL5919">
        <v>96.892523768582393</v>
      </c>
      <c r="AM5919">
        <v>91.382584195359001</v>
      </c>
      <c r="AN5919">
        <v>1.00000001653586</v>
      </c>
    </row>
    <row r="5920" spans="1:40" x14ac:dyDescent="0.25">
      <c r="A5920" t="str">
        <f>"20190303154928700"</f>
        <v>20190303154928700</v>
      </c>
      <c r="B5920" t="str">
        <f>"1551599368697073"</f>
        <v>1551599368697073</v>
      </c>
      <c r="C5920" t="s">
        <v>40</v>
      </c>
      <c r="D5920">
        <v>4.6539929999999998</v>
      </c>
      <c r="E5920">
        <v>0.42591950000000001</v>
      </c>
      <c r="F5920" t="s">
        <v>41</v>
      </c>
      <c r="G5920">
        <v>-419.1979</v>
      </c>
      <c r="H5920" s="1">
        <v>-3.4823090000000001E-6</v>
      </c>
      <c r="I5920">
        <v>67.418459999999996</v>
      </c>
      <c r="J5920">
        <v>-421.86110000000002</v>
      </c>
      <c r="K5920">
        <v>1.1206590000000001</v>
      </c>
      <c r="L5920">
        <v>80.030209999999997</v>
      </c>
      <c r="M5920">
        <v>-1.4734209999999999E-2</v>
      </c>
      <c r="N5920">
        <v>-1.4533799999999999E-2</v>
      </c>
      <c r="O5920">
        <v>-0.99978590000000001</v>
      </c>
      <c r="P5920">
        <v>9.8104909999999993E-3</v>
      </c>
      <c r="Q5920">
        <v>-0.13564860000000001</v>
      </c>
      <c r="R5920">
        <v>-0.99070849999999999</v>
      </c>
      <c r="S5920">
        <v>0.61654659999999994</v>
      </c>
      <c r="T5920">
        <v>-0.25982430000000001</v>
      </c>
      <c r="U5920">
        <v>-2.986542</v>
      </c>
      <c r="V5920">
        <v>-2.4412619999999999E-2</v>
      </c>
      <c r="W5920">
        <v>-0.12123829999999999</v>
      </c>
      <c r="X5920">
        <v>0.99232319999999996</v>
      </c>
      <c r="Y5920">
        <v>-0.21593280000000001</v>
      </c>
      <c r="Z5920">
        <v>7.0236899999999894E-2</v>
      </c>
      <c r="AA5920">
        <v>0.97387869999999999</v>
      </c>
      <c r="AB5920">
        <v>25</v>
      </c>
      <c r="AC5920">
        <v>2.66320000000001</v>
      </c>
      <c r="AD5920">
        <v>-1.1206624823089999</v>
      </c>
      <c r="AE5920">
        <v>-12.611750000000001</v>
      </c>
      <c r="AF5920">
        <v>-2.82738302885716</v>
      </c>
      <c r="AG5920">
        <v>-1.1206624823089999</v>
      </c>
      <c r="AH5920">
        <v>12.4768266509087</v>
      </c>
      <c r="AI5920">
        <v>95.006243701728394</v>
      </c>
      <c r="AJ5920">
        <v>102.768195228593</v>
      </c>
      <c r="AK5920">
        <v>12.8421642439252</v>
      </c>
      <c r="AL5920">
        <v>96.963573648022802</v>
      </c>
      <c r="AM5920">
        <v>91.409276743170295</v>
      </c>
      <c r="AN5920">
        <v>1.0000000173301899</v>
      </c>
    </row>
    <row r="5921" spans="1:40" x14ac:dyDescent="0.25">
      <c r="A5921" t="str">
        <f>"20190303154928722"</f>
        <v>20190303154928722</v>
      </c>
      <c r="B5921" t="str">
        <f>"1551599368716593"</f>
        <v>1551599368716593</v>
      </c>
      <c r="C5921" t="s">
        <v>40</v>
      </c>
      <c r="D5921">
        <v>4.6026429999999996</v>
      </c>
      <c r="E5921">
        <v>0.4020109</v>
      </c>
      <c r="F5921" t="s">
        <v>41</v>
      </c>
      <c r="G5921">
        <v>-419.21870000000001</v>
      </c>
      <c r="H5921" s="1">
        <v>-3.4282029999999999E-6</v>
      </c>
      <c r="I5921">
        <v>67.30095</v>
      </c>
      <c r="J5921">
        <v>-421.86470000000003</v>
      </c>
      <c r="K5921">
        <v>1.120676</v>
      </c>
      <c r="L5921">
        <v>79.787959999999998</v>
      </c>
      <c r="M5921">
        <v>-1.472741E-2</v>
      </c>
      <c r="N5921">
        <v>-1.4577909999999999E-2</v>
      </c>
      <c r="O5921">
        <v>-0.99978540000000005</v>
      </c>
      <c r="P5921">
        <v>1.0201760000000001E-2</v>
      </c>
      <c r="Q5921">
        <v>-0.13682169999999999</v>
      </c>
      <c r="R5921">
        <v>-0.99054359999999997</v>
      </c>
      <c r="S5921">
        <v>0.61984249999999996</v>
      </c>
      <c r="T5921">
        <v>-0.26288450000000002</v>
      </c>
      <c r="U5921">
        <v>-2.9860229999999999</v>
      </c>
      <c r="V5921">
        <v>-2.479195E-2</v>
      </c>
      <c r="W5921">
        <v>-0.1223706</v>
      </c>
      <c r="X5921">
        <v>0.99217480000000002</v>
      </c>
      <c r="Y5921">
        <v>-0.2169739</v>
      </c>
      <c r="Z5921">
        <v>7.117967E-2</v>
      </c>
      <c r="AA5921">
        <v>0.97357890000000002</v>
      </c>
      <c r="AB5921">
        <v>25</v>
      </c>
      <c r="AC5921">
        <v>2.6460000000000101</v>
      </c>
      <c r="AD5921">
        <v>-1.1206794282029999</v>
      </c>
      <c r="AE5921">
        <v>-12.4870099999999</v>
      </c>
      <c r="AF5921">
        <v>-2.8079883986159202</v>
      </c>
      <c r="AG5921">
        <v>-1.1206794282029999</v>
      </c>
      <c r="AH5921">
        <v>12.3514711406991</v>
      </c>
      <c r="AI5921">
        <v>95.056073928540798</v>
      </c>
      <c r="AJ5921">
        <v>102.807952972123</v>
      </c>
      <c r="AK5921">
        <v>12.7161142086363</v>
      </c>
      <c r="AL5921">
        <v>97.028936331866902</v>
      </c>
      <c r="AM5921">
        <v>91.431379405908103</v>
      </c>
      <c r="AN5921">
        <v>1.0000000191420999</v>
      </c>
    </row>
    <row r="5922" spans="1:40" x14ac:dyDescent="0.25">
      <c r="A5922" t="str">
        <f>"20190303154928743"</f>
        <v>20190303154928743</v>
      </c>
      <c r="B5922" t="str">
        <f>"1551599368737089"</f>
        <v>1551599368737089</v>
      </c>
      <c r="C5922" t="s">
        <v>40</v>
      </c>
      <c r="D5922">
        <v>4.5748870000000004</v>
      </c>
      <c r="E5922">
        <v>0.39662130000000001</v>
      </c>
      <c r="F5922" t="s">
        <v>41</v>
      </c>
      <c r="G5922">
        <v>-418.0419</v>
      </c>
      <c r="H5922" s="1">
        <v>-2.9594719999999999E-6</v>
      </c>
      <c r="I5922">
        <v>65.721719999999905</v>
      </c>
      <c r="J5922">
        <v>-421.8682</v>
      </c>
      <c r="K5922">
        <v>1.120684</v>
      </c>
      <c r="L5922">
        <v>79.545230000000004</v>
      </c>
      <c r="M5922">
        <v>-1.4711500000000001E-2</v>
      </c>
      <c r="N5922">
        <v>-1.461547E-2</v>
      </c>
      <c r="O5922">
        <v>-0.99978489999999998</v>
      </c>
      <c r="P5922">
        <v>1.02922E-2</v>
      </c>
      <c r="Q5922">
        <v>-0.1378895</v>
      </c>
      <c r="R5922">
        <v>-0.99039429999999995</v>
      </c>
      <c r="S5922">
        <v>0.81188959999999999</v>
      </c>
      <c r="T5922">
        <v>-0.23801050000000001</v>
      </c>
      <c r="U5922">
        <v>-2.9873959999999999</v>
      </c>
      <c r="V5922">
        <v>-2.486302E-2</v>
      </c>
      <c r="W5922">
        <v>-0.1234035</v>
      </c>
      <c r="X5922">
        <v>0.99204499999999995</v>
      </c>
      <c r="Y5922">
        <v>-0.27574399999999999</v>
      </c>
      <c r="Z5922">
        <v>6.1881560000000002E-2</v>
      </c>
      <c r="AA5922">
        <v>0.95923720000000001</v>
      </c>
      <c r="AB5922">
        <v>25</v>
      </c>
      <c r="AC5922">
        <v>3.8262999999999998</v>
      </c>
      <c r="AD5922">
        <v>-1.1206869594719999</v>
      </c>
      <c r="AE5922">
        <v>-13.823510000000001</v>
      </c>
      <c r="AF5922">
        <v>-4.0048235100228702</v>
      </c>
      <c r="AG5922">
        <v>-1.1206869594719999</v>
      </c>
      <c r="AH5922">
        <v>13.682190120116299</v>
      </c>
      <c r="AI5922">
        <v>94.494787448961702</v>
      </c>
      <c r="AJ5922">
        <v>106.314932667878</v>
      </c>
      <c r="AK5922">
        <v>14.3002404556906</v>
      </c>
      <c r="AL5922">
        <v>97.0885697007147</v>
      </c>
      <c r="AM5922">
        <v>91.435668705246599</v>
      </c>
      <c r="AN5922">
        <v>0.99999993780038299</v>
      </c>
    </row>
    <row r="5923" spans="1:40" x14ac:dyDescent="0.25">
      <c r="A5923" t="str">
        <f>"20190303154928767"</f>
        <v>20190303154928767</v>
      </c>
      <c r="B5923" t="str">
        <f>"1551599368756609"</f>
        <v>1551599368756609</v>
      </c>
      <c r="C5923" t="s">
        <v>40</v>
      </c>
      <c r="D5923">
        <v>4.5922429999999999</v>
      </c>
      <c r="E5923">
        <v>0.39440950000000002</v>
      </c>
      <c r="F5923" t="s">
        <v>41</v>
      </c>
      <c r="G5923">
        <v>-417.85199999999998</v>
      </c>
      <c r="H5923" s="1">
        <v>-2.9048819999999998E-6</v>
      </c>
      <c r="I5923">
        <v>65.515950000000004</v>
      </c>
      <c r="J5923">
        <v>-421.87209999999999</v>
      </c>
      <c r="K5923">
        <v>1.120681</v>
      </c>
      <c r="L5923">
        <v>79.287629999999993</v>
      </c>
      <c r="M5923">
        <v>-1.4691279999999999E-2</v>
      </c>
      <c r="N5923">
        <v>-1.464902E-2</v>
      </c>
      <c r="O5923">
        <v>-0.99978469999999997</v>
      </c>
      <c r="P5923">
        <v>9.86362E-3</v>
      </c>
      <c r="Q5923">
        <v>-0.1386753</v>
      </c>
      <c r="R5923">
        <v>-0.99028879999999997</v>
      </c>
      <c r="S5923">
        <v>0.85510249999999999</v>
      </c>
      <c r="T5923">
        <v>-0.2386075</v>
      </c>
      <c r="U5923">
        <v>-2.9870000000000001</v>
      </c>
      <c r="V5923">
        <v>-2.4413199999999999E-2</v>
      </c>
      <c r="W5923">
        <v>-0.1241573</v>
      </c>
      <c r="X5923">
        <v>0.99196220000000002</v>
      </c>
      <c r="Y5923">
        <v>-0.2885991</v>
      </c>
      <c r="Z5923">
        <v>6.1754330000000003E-2</v>
      </c>
      <c r="AA5923">
        <v>0.95545639999999998</v>
      </c>
      <c r="AB5923">
        <v>25</v>
      </c>
      <c r="AC5923">
        <v>4.02010000000001</v>
      </c>
      <c r="AD5923">
        <v>-1.1206839048819901</v>
      </c>
      <c r="AE5923">
        <v>-13.77168</v>
      </c>
      <c r="AF5923">
        <v>-4.1964045817509898</v>
      </c>
      <c r="AG5923">
        <v>-1.1206839048819901</v>
      </c>
      <c r="AH5923">
        <v>13.627967696835301</v>
      </c>
      <c r="AI5923">
        <v>94.493780305817893</v>
      </c>
      <c r="AJ5923">
        <v>107.114955893085</v>
      </c>
      <c r="AK5923">
        <v>14.3033998536847</v>
      </c>
      <c r="AL5923">
        <v>97.132093370950102</v>
      </c>
      <c r="AM5923">
        <v>91.409822888035393</v>
      </c>
      <c r="AN5923">
        <v>1.00000002285318</v>
      </c>
    </row>
    <row r="5924" spans="1:40" x14ac:dyDescent="0.25">
      <c r="A5924" t="str">
        <f>"20190303154928788"</f>
        <v>20190303154928788</v>
      </c>
      <c r="B5924" t="str">
        <f>"1551599368777105"</f>
        <v>1551599368777105</v>
      </c>
      <c r="C5924" t="s">
        <v>40</v>
      </c>
      <c r="D5924">
        <v>4.5849029999999997</v>
      </c>
      <c r="E5924">
        <v>0.39336919999999997</v>
      </c>
      <c r="F5924" t="s">
        <v>41</v>
      </c>
      <c r="G5924">
        <v>-417.8288</v>
      </c>
      <c r="H5924" s="1">
        <v>-2.8744509999999999E-6</v>
      </c>
      <c r="I5924">
        <v>65.435429999999997</v>
      </c>
      <c r="J5924">
        <v>-421.87560000000002</v>
      </c>
      <c r="K5924">
        <v>1.120684</v>
      </c>
      <c r="L5924">
        <v>79.047030000000007</v>
      </c>
      <c r="M5924">
        <v>-1.467414E-2</v>
      </c>
      <c r="N5924">
        <v>-1.467538E-2</v>
      </c>
      <c r="O5924">
        <v>-0.99978469999999997</v>
      </c>
      <c r="P5924">
        <v>9.7153970000000006E-3</v>
      </c>
      <c r="Q5924">
        <v>-0.1393315</v>
      </c>
      <c r="R5924">
        <v>-0.99019840000000003</v>
      </c>
      <c r="S5924">
        <v>0.871826199999999</v>
      </c>
      <c r="T5924">
        <v>-0.24164720000000001</v>
      </c>
      <c r="U5924">
        <v>-2.9868769999999998</v>
      </c>
      <c r="V5924">
        <v>-2.4247609999999999E-2</v>
      </c>
      <c r="W5924">
        <v>-0.12478839999999999</v>
      </c>
      <c r="X5924">
        <v>0.99188699999999996</v>
      </c>
      <c r="Y5924">
        <v>-0.29350609999999999</v>
      </c>
      <c r="Z5924">
        <v>6.2581170000000005E-2</v>
      </c>
      <c r="AA5924">
        <v>0.95390660000000005</v>
      </c>
      <c r="AB5924">
        <v>25</v>
      </c>
      <c r="AC5924">
        <v>4.0468000000000099</v>
      </c>
      <c r="AD5924">
        <v>-1.1206868744509999</v>
      </c>
      <c r="AE5924">
        <v>-13.6115999999999</v>
      </c>
      <c r="AF5924">
        <v>-4.2198420058219597</v>
      </c>
      <c r="AG5924">
        <v>-1.1206868744509999</v>
      </c>
      <c r="AH5924">
        <v>13.4668694808118</v>
      </c>
      <c r="AI5924">
        <v>94.540372437802205</v>
      </c>
      <c r="AJ5924">
        <v>107.39837645038401</v>
      </c>
      <c r="AK5924">
        <v>14.156962217859</v>
      </c>
      <c r="AL5924">
        <v>97.1685366334695</v>
      </c>
      <c r="AM5924">
        <v>91.400370271927301</v>
      </c>
      <c r="AN5924">
        <v>0.99999995606713499</v>
      </c>
    </row>
    <row r="5925" spans="1:40" x14ac:dyDescent="0.25">
      <c r="A5925" t="str">
        <f>"20190303154928811"</f>
        <v>20190303154928811</v>
      </c>
      <c r="B5925" t="str">
        <f>"1551599368806385"</f>
        <v>1551599368806385</v>
      </c>
      <c r="C5925" t="s">
        <v>40</v>
      </c>
      <c r="D5925">
        <v>4.594964</v>
      </c>
      <c r="E5925">
        <v>0.3924531</v>
      </c>
      <c r="F5925" t="s">
        <v>41</v>
      </c>
      <c r="G5925">
        <v>-417.75020000000001</v>
      </c>
      <c r="H5925" s="1">
        <v>-2.7117429999999999E-6</v>
      </c>
      <c r="I5925">
        <v>65.023669999999996</v>
      </c>
      <c r="J5925">
        <v>-421.8793</v>
      </c>
      <c r="K5925">
        <v>1.120684</v>
      </c>
      <c r="L5925">
        <v>78.790279999999996</v>
      </c>
      <c r="M5925">
        <v>-1.466113E-2</v>
      </c>
      <c r="N5925">
        <v>-1.469882E-2</v>
      </c>
      <c r="O5925">
        <v>-0.99978449999999996</v>
      </c>
      <c r="P5925">
        <v>9.0929159999999995E-3</v>
      </c>
      <c r="Q5925">
        <v>-0.1394966</v>
      </c>
      <c r="R5925">
        <v>-0.99018090000000003</v>
      </c>
      <c r="S5925">
        <v>0.87884519999999899</v>
      </c>
      <c r="T5925">
        <v>-0.23874719999999999</v>
      </c>
      <c r="U5925">
        <v>-2.9874879999999999</v>
      </c>
      <c r="V5925">
        <v>-2.3612459999999998E-2</v>
      </c>
      <c r="W5925">
        <v>-0.12493020000000001</v>
      </c>
      <c r="X5925">
        <v>0.99188449999999995</v>
      </c>
      <c r="Y5925">
        <v>-0.29552270000000003</v>
      </c>
      <c r="Z5925">
        <v>6.1571470000000003E-2</v>
      </c>
      <c r="AA5925">
        <v>0.95334949999999996</v>
      </c>
      <c r="AB5925">
        <v>25</v>
      </c>
      <c r="AC5925">
        <v>4.1290999999999896</v>
      </c>
      <c r="AD5925">
        <v>-1.1206867117429999</v>
      </c>
      <c r="AE5925">
        <v>-13.76661</v>
      </c>
      <c r="AF5925">
        <v>-4.30434159115533</v>
      </c>
      <c r="AG5925">
        <v>-1.1206867117429999</v>
      </c>
      <c r="AH5925">
        <v>13.6217659557595</v>
      </c>
      <c r="AI5925">
        <v>94.485576197020293</v>
      </c>
      <c r="AJ5925">
        <v>107.536014339847</v>
      </c>
      <c r="AK5925">
        <v>14.329543014092099</v>
      </c>
      <c r="AL5925">
        <v>97.176725066959406</v>
      </c>
      <c r="AM5925">
        <v>91.363705978773396</v>
      </c>
      <c r="AN5925">
        <v>0.99999998223977005</v>
      </c>
    </row>
    <row r="5926" spans="1:40" x14ac:dyDescent="0.25">
      <c r="A5926" t="str">
        <f>"20190303154928834"</f>
        <v>20190303154928834</v>
      </c>
      <c r="B5926" t="str">
        <f>"1551599368826881"</f>
        <v>1551599368826881</v>
      </c>
      <c r="C5926" t="s">
        <v>40</v>
      </c>
      <c r="D5926">
        <v>4.5877059999999998</v>
      </c>
      <c r="E5926">
        <v>0.3920939</v>
      </c>
      <c r="F5926" t="s">
        <v>41</v>
      </c>
      <c r="G5926">
        <v>-417.76569999999998</v>
      </c>
      <c r="H5926" s="1">
        <v>-2.6575010000000002E-6</v>
      </c>
      <c r="I5926">
        <v>64.90361</v>
      </c>
      <c r="J5926">
        <v>-421.88310000000001</v>
      </c>
      <c r="K5926">
        <v>1.1206879999999999</v>
      </c>
      <c r="L5926">
        <v>78.535030000000006</v>
      </c>
      <c r="M5926">
        <v>-1.4654210000000001E-2</v>
      </c>
      <c r="N5926">
        <v>-1.471807E-2</v>
      </c>
      <c r="O5926">
        <v>-0.99978449999999996</v>
      </c>
      <c r="P5926">
        <v>8.7943710000000005E-3</v>
      </c>
      <c r="Q5926">
        <v>-0.13974249999999999</v>
      </c>
      <c r="R5926">
        <v>-0.9901491</v>
      </c>
      <c r="S5926">
        <v>0.8850403</v>
      </c>
      <c r="T5926">
        <v>-0.24111199999999999</v>
      </c>
      <c r="U5926">
        <v>-2.9876710000000002</v>
      </c>
      <c r="V5926">
        <v>-2.3307660000000001E-2</v>
      </c>
      <c r="W5926">
        <v>-0.1251573</v>
      </c>
      <c r="X5926">
        <v>0.9918631</v>
      </c>
      <c r="Y5926">
        <v>-0.29730289999999998</v>
      </c>
      <c r="Z5926">
        <v>6.22553E-2</v>
      </c>
      <c r="AA5926">
        <v>0.95275140000000003</v>
      </c>
      <c r="AB5926">
        <v>25</v>
      </c>
      <c r="AC5926">
        <v>4.1174000000000301</v>
      </c>
      <c r="AD5926">
        <v>-1.1206906575009901</v>
      </c>
      <c r="AE5926">
        <v>-13.63142</v>
      </c>
      <c r="AF5926">
        <v>-4.29016382169032</v>
      </c>
      <c r="AG5926">
        <v>-1.1206906575009901</v>
      </c>
      <c r="AH5926">
        <v>13.4860794894992</v>
      </c>
      <c r="AI5926">
        <v>94.5277704680325</v>
      </c>
      <c r="AJ5926">
        <v>107.64680066044301</v>
      </c>
      <c r="AK5926">
        <v>14.1963302710187</v>
      </c>
      <c r="AL5926">
        <v>97.1898397241834</v>
      </c>
      <c r="AM5926">
        <v>91.346138214952603</v>
      </c>
      <c r="AN5926">
        <v>1.00000000294978</v>
      </c>
    </row>
    <row r="5927" spans="1:40" x14ac:dyDescent="0.25">
      <c r="A5927" t="str">
        <f>"20190303154928855"</f>
        <v>20190303154928855</v>
      </c>
      <c r="B5927" t="str">
        <f>"1551599368846401"</f>
        <v>1551599368846401</v>
      </c>
      <c r="C5927" t="s">
        <v>40</v>
      </c>
      <c r="D5927">
        <v>4.5905559999999896</v>
      </c>
      <c r="E5927">
        <v>0.39195249999999998</v>
      </c>
      <c r="F5927" t="s">
        <v>41</v>
      </c>
      <c r="G5927">
        <v>-417.83</v>
      </c>
      <c r="H5927" s="1">
        <v>-2.6361960000000002E-6</v>
      </c>
      <c r="I5927">
        <v>64.880519999999905</v>
      </c>
      <c r="J5927">
        <v>-421.88650000000001</v>
      </c>
      <c r="K5927">
        <v>1.120687</v>
      </c>
      <c r="L5927">
        <v>78.300659999999993</v>
      </c>
      <c r="M5927">
        <v>-1.465179E-2</v>
      </c>
      <c r="N5927">
        <v>-1.47325999999999E-2</v>
      </c>
      <c r="O5927">
        <v>-0.99978420000000001</v>
      </c>
      <c r="P5927">
        <v>9.0709239999999993E-3</v>
      </c>
      <c r="Q5927">
        <v>-0.13973650000000001</v>
      </c>
      <c r="R5927">
        <v>-0.99014740000000001</v>
      </c>
      <c r="S5927">
        <v>0.88674929999999996</v>
      </c>
      <c r="T5927">
        <v>-0.2451873</v>
      </c>
      <c r="U5927">
        <v>-2.9873660000000002</v>
      </c>
      <c r="V5927">
        <v>-2.3582039999999999E-2</v>
      </c>
      <c r="W5927">
        <v>-0.12513679999999999</v>
      </c>
      <c r="X5927">
        <v>0.99185919999999905</v>
      </c>
      <c r="Y5927">
        <v>-0.29780180000000001</v>
      </c>
      <c r="Z5927">
        <v>6.3529959999999996E-2</v>
      </c>
      <c r="AA5927">
        <v>0.95251140000000001</v>
      </c>
      <c r="AB5927">
        <v>25</v>
      </c>
      <c r="AC5927">
        <v>4.0565000000000202</v>
      </c>
      <c r="AD5927">
        <v>-1.1206896361959999</v>
      </c>
      <c r="AE5927">
        <v>-13.42014</v>
      </c>
      <c r="AF5927">
        <v>-4.2257134909060499</v>
      </c>
      <c r="AG5927">
        <v>-1.1206896361959999</v>
      </c>
      <c r="AH5927">
        <v>13.274436974416</v>
      </c>
      <c r="AI5927">
        <v>94.599361163153006</v>
      </c>
      <c r="AJ5927">
        <v>107.658076420695</v>
      </c>
      <c r="AK5927">
        <v>13.975810414986499</v>
      </c>
      <c r="AL5927">
        <v>97.188655860402307</v>
      </c>
      <c r="AM5927">
        <v>91.361984501650895</v>
      </c>
      <c r="AN5927">
        <v>1.0000000019747199</v>
      </c>
    </row>
    <row r="5928" spans="1:40" x14ac:dyDescent="0.25">
      <c r="A5928" t="str">
        <f>"20190303154928878"</f>
        <v>20190303154928878</v>
      </c>
      <c r="B5928" t="str">
        <f>"1551599368866897"</f>
        <v>1551599368866897</v>
      </c>
      <c r="C5928" t="s">
        <v>40</v>
      </c>
      <c r="D5928">
        <v>4.6217259999999998</v>
      </c>
      <c r="E5928">
        <v>0.39187870000000002</v>
      </c>
      <c r="F5928" t="s">
        <v>41</v>
      </c>
      <c r="G5928">
        <v>-417.88830000000002</v>
      </c>
      <c r="H5928" s="1">
        <v>-2.6190930000000001E-6</v>
      </c>
      <c r="I5928">
        <v>64.864779999999996</v>
      </c>
      <c r="J5928">
        <v>-421.89030000000002</v>
      </c>
      <c r="K5928">
        <v>1.1206940000000001</v>
      </c>
      <c r="L5928">
        <v>78.0441</v>
      </c>
      <c r="M5928">
        <v>-1.4651499999999901E-2</v>
      </c>
      <c r="N5928">
        <v>-1.47455E-2</v>
      </c>
      <c r="O5928">
        <v>-0.99978420000000001</v>
      </c>
      <c r="P5928">
        <v>9.7130830000000008E-3</v>
      </c>
      <c r="Q5928">
        <v>-0.13925750000000001</v>
      </c>
      <c r="R5928">
        <v>-0.99020900000000001</v>
      </c>
      <c r="S5928">
        <v>0.88873289999999905</v>
      </c>
      <c r="T5928">
        <v>-0.2491082</v>
      </c>
      <c r="U5928">
        <v>-2.986542</v>
      </c>
      <c r="V5928">
        <v>-2.422535E-2</v>
      </c>
      <c r="W5928">
        <v>-0.1246442</v>
      </c>
      <c r="X5928">
        <v>0.9919057</v>
      </c>
      <c r="Y5928">
        <v>-0.29842829999999998</v>
      </c>
      <c r="Z5928">
        <v>6.4767229999999995E-2</v>
      </c>
      <c r="AA5928">
        <v>0.95223190000000002</v>
      </c>
      <c r="AB5928">
        <v>25</v>
      </c>
      <c r="AC5928">
        <v>4.0019999999999998</v>
      </c>
      <c r="AD5928">
        <v>-1.1206966190929999</v>
      </c>
      <c r="AE5928">
        <v>-13.179319999999899</v>
      </c>
      <c r="AF5928">
        <v>-4.1671001803273198</v>
      </c>
      <c r="AG5928">
        <v>-1.1206966190929999</v>
      </c>
      <c r="AH5928">
        <v>13.0329797231041</v>
      </c>
      <c r="AI5928">
        <v>94.682334560184799</v>
      </c>
      <c r="AJ5928">
        <v>107.730899171388</v>
      </c>
      <c r="AK5928">
        <v>13.7287743549004</v>
      </c>
      <c r="AL5928">
        <v>97.1602093886614</v>
      </c>
      <c r="AM5928">
        <v>91.399058837236694</v>
      </c>
      <c r="AN5928">
        <v>0.99999998093437603</v>
      </c>
    </row>
    <row r="5929" spans="1:40" x14ac:dyDescent="0.25">
      <c r="A5929" t="str">
        <f>"20190303154928901"</f>
        <v>20190303154928901</v>
      </c>
      <c r="B5929" t="str">
        <f>"1551599368897154"</f>
        <v>1551599368897154</v>
      </c>
      <c r="C5929" t="s">
        <v>40</v>
      </c>
      <c r="D5929">
        <v>4.6194730000000002</v>
      </c>
      <c r="E5929">
        <v>0.39166299999999998</v>
      </c>
      <c r="F5929" t="s">
        <v>41</v>
      </c>
      <c r="G5929">
        <v>-417.88299999999998</v>
      </c>
      <c r="H5929" s="1">
        <v>-2.5179149999999998E-6</v>
      </c>
      <c r="I5929">
        <v>64.626750000000001</v>
      </c>
      <c r="J5929">
        <v>-421.89389999999997</v>
      </c>
      <c r="K5929">
        <v>1.1207069999999999</v>
      </c>
      <c r="L5929">
        <v>77.7941</v>
      </c>
      <c r="M5929">
        <v>-1.465205E-2</v>
      </c>
      <c r="N5929">
        <v>-1.475542E-2</v>
      </c>
      <c r="O5929">
        <v>-0.9997838</v>
      </c>
      <c r="P5929">
        <v>1.0577700000000001E-2</v>
      </c>
      <c r="Q5929">
        <v>-0.1383103</v>
      </c>
      <c r="R5929">
        <v>-0.9903324</v>
      </c>
      <c r="S5929">
        <v>0.89175419999999905</v>
      </c>
      <c r="T5929">
        <v>-0.24939510000000001</v>
      </c>
      <c r="U5929">
        <v>-2.98584</v>
      </c>
      <c r="V5929">
        <v>-2.50925E-2</v>
      </c>
      <c r="W5929">
        <v>-0.1236855</v>
      </c>
      <c r="X5929">
        <v>0.9920042</v>
      </c>
      <c r="Y5929">
        <v>-0.29937239999999998</v>
      </c>
      <c r="Z5929">
        <v>6.4842839999999999E-2</v>
      </c>
      <c r="AA5929">
        <v>0.95193050000000001</v>
      </c>
      <c r="AB5929">
        <v>25</v>
      </c>
      <c r="AC5929">
        <v>4.0108999999999302</v>
      </c>
      <c r="AD5929">
        <v>-1.120709517915</v>
      </c>
      <c r="AE5929">
        <v>-13.167350000000001</v>
      </c>
      <c r="AF5929">
        <v>-4.1757376820268401</v>
      </c>
      <c r="AG5929">
        <v>-1.120709517915</v>
      </c>
      <c r="AH5929">
        <v>13.0208455654725</v>
      </c>
      <c r="AI5929">
        <v>94.685429778737998</v>
      </c>
      <c r="AJ5929">
        <v>107.780856315553</v>
      </c>
      <c r="AK5929">
        <v>13.719883171970899</v>
      </c>
      <c r="AL5929">
        <v>97.104851157017407</v>
      </c>
      <c r="AM5929">
        <v>91.448973543743904</v>
      </c>
      <c r="AN5929">
        <v>1.0000000346420601</v>
      </c>
    </row>
    <row r="5930" spans="1:40" x14ac:dyDescent="0.25">
      <c r="A5930" t="str">
        <f>"20190303154928933"</f>
        <v>20190303154928933</v>
      </c>
      <c r="B5930" t="str">
        <f>"1551599368926434"</f>
        <v>1551599368926434</v>
      </c>
      <c r="C5930" t="s">
        <v>40</v>
      </c>
      <c r="D5930">
        <v>4.6000839999999998</v>
      </c>
      <c r="E5930">
        <v>0.39161669999999998</v>
      </c>
      <c r="F5930" t="s">
        <v>41</v>
      </c>
      <c r="G5930">
        <v>-417.8553</v>
      </c>
      <c r="H5930" s="1">
        <v>-2.398215E-6</v>
      </c>
      <c r="I5930">
        <v>64.336240000000004</v>
      </c>
      <c r="J5930">
        <v>-421.89920000000001</v>
      </c>
      <c r="K5930">
        <v>1.1207180000000001</v>
      </c>
      <c r="L5930">
        <v>77.434079999999994</v>
      </c>
      <c r="M5930">
        <v>-1.465326E-2</v>
      </c>
      <c r="N5930">
        <v>-1.476571E-2</v>
      </c>
      <c r="O5930">
        <v>-0.9997838</v>
      </c>
      <c r="P5930">
        <v>1.173097E-2</v>
      </c>
      <c r="Q5930">
        <v>-0.13809189999999999</v>
      </c>
      <c r="R5930">
        <v>-0.99035030000000002</v>
      </c>
      <c r="S5930">
        <v>0.89578250000000004</v>
      </c>
      <c r="T5930">
        <v>-0.24857599999999999</v>
      </c>
      <c r="U5930">
        <v>-2.984985</v>
      </c>
      <c r="V5930">
        <v>-2.6247889999999999E-2</v>
      </c>
      <c r="W5930">
        <v>-0.1234567</v>
      </c>
      <c r="X5930">
        <v>0.99200279999999996</v>
      </c>
      <c r="Y5930">
        <v>-0.3006317</v>
      </c>
      <c r="Z5930">
        <v>6.4563060000000005E-2</v>
      </c>
      <c r="AA5930">
        <v>0.95155250000000002</v>
      </c>
      <c r="AB5930">
        <v>25</v>
      </c>
      <c r="AC5930">
        <v>4.0438999999999998</v>
      </c>
      <c r="AD5930">
        <v>-1.120720398215</v>
      </c>
      <c r="AE5930">
        <v>-13.09784</v>
      </c>
      <c r="AF5930">
        <v>-4.2072900992658404</v>
      </c>
      <c r="AG5930">
        <v>-1.120720398215</v>
      </c>
      <c r="AH5930">
        <v>12.9506055997958</v>
      </c>
      <c r="AI5930">
        <v>94.705052548136095</v>
      </c>
      <c r="AJ5930">
        <v>107.997531960139</v>
      </c>
      <c r="AK5930">
        <v>13.6629239034629</v>
      </c>
      <c r="AL5930">
        <v>97.091640653820306</v>
      </c>
      <c r="AM5930">
        <v>91.515663569240303</v>
      </c>
      <c r="AN5930">
        <v>1.00000003185609</v>
      </c>
    </row>
    <row r="5931" spans="1:40" x14ac:dyDescent="0.25">
      <c r="A5931" t="str">
        <f>"20190303154928955"</f>
        <v>20190303154928955</v>
      </c>
      <c r="B5931" t="str">
        <f>"1551599368946929"</f>
        <v>1551599368946929</v>
      </c>
      <c r="C5931" t="s">
        <v>40</v>
      </c>
      <c r="D5931">
        <v>4.5982620000000001</v>
      </c>
      <c r="E5931">
        <v>0.39154650000000002</v>
      </c>
      <c r="F5931" t="s">
        <v>41</v>
      </c>
      <c r="G5931">
        <v>-417.86520000000002</v>
      </c>
      <c r="H5931" s="1">
        <v>-2.275553E-6</v>
      </c>
      <c r="I5931">
        <v>64.05444</v>
      </c>
      <c r="J5931">
        <v>-421.90269999999998</v>
      </c>
      <c r="K5931">
        <v>1.120719</v>
      </c>
      <c r="L5931">
        <v>77.189759999999893</v>
      </c>
      <c r="M5931">
        <v>-1.4654260000000001E-2</v>
      </c>
      <c r="N5931">
        <v>-1.477062E-2</v>
      </c>
      <c r="O5931">
        <v>-0.99978350000000005</v>
      </c>
      <c r="P5931">
        <v>1.264032E-2</v>
      </c>
      <c r="Q5931">
        <v>-0.13802679999999901</v>
      </c>
      <c r="R5931">
        <v>-0.99034789999999995</v>
      </c>
      <c r="S5931">
        <v>0.89959719999999999</v>
      </c>
      <c r="T5931">
        <v>-0.2499267</v>
      </c>
      <c r="U5931">
        <v>-2.9837340000000001</v>
      </c>
      <c r="V5931">
        <v>-2.7158209999999999E-2</v>
      </c>
      <c r="W5931">
        <v>-0.12338689999999999</v>
      </c>
      <c r="X5931">
        <v>0.9919869</v>
      </c>
      <c r="Y5931">
        <v>-0.3018479</v>
      </c>
      <c r="Z5931">
        <v>6.4988489999999996E-2</v>
      </c>
      <c r="AA5931">
        <v>0.95113840000000005</v>
      </c>
      <c r="AB5931">
        <v>25</v>
      </c>
      <c r="AC5931">
        <v>4.0374999999999597</v>
      </c>
      <c r="AD5931">
        <v>-1.1207212755530001</v>
      </c>
      <c r="AE5931">
        <v>-13.135319999999901</v>
      </c>
      <c r="AF5931">
        <v>-4.2016295118326301</v>
      </c>
      <c r="AG5931">
        <v>-1.1207212755530001</v>
      </c>
      <c r="AH5931">
        <v>12.988346961384099</v>
      </c>
      <c r="AI5931">
        <v>94.693336328995699</v>
      </c>
      <c r="AJ5931">
        <v>107.925991997221</v>
      </c>
      <c r="AK5931">
        <v>13.696965485883201</v>
      </c>
      <c r="AL5931">
        <v>97.087611160429901</v>
      </c>
      <c r="AM5931">
        <v>91.568228589216005</v>
      </c>
      <c r="AN5931">
        <v>0.99999995261681096</v>
      </c>
    </row>
    <row r="5932" spans="1:40" x14ac:dyDescent="0.25">
      <c r="A5932" t="str">
        <f>"20190303154928979"</f>
        <v>20190303154928979</v>
      </c>
      <c r="B5932" t="str">
        <f>"1551599368966449"</f>
        <v>1551599368966449</v>
      </c>
      <c r="C5932" t="s">
        <v>40</v>
      </c>
      <c r="D5932">
        <v>4.5854150000000002</v>
      </c>
      <c r="E5932">
        <v>0.39143990000000001</v>
      </c>
      <c r="F5932" t="s">
        <v>41</v>
      </c>
      <c r="G5932">
        <v>-417.87950000000001</v>
      </c>
      <c r="H5932" s="1">
        <v>-2.2059860000000002E-6</v>
      </c>
      <c r="I5932">
        <v>63.898169999999901</v>
      </c>
      <c r="J5932">
        <v>-421.90649999999999</v>
      </c>
      <c r="K5932">
        <v>1.120722</v>
      </c>
      <c r="L5932">
        <v>76.937129999999996</v>
      </c>
      <c r="M5932">
        <v>-1.4655339999999999E-2</v>
      </c>
      <c r="N5932">
        <v>-1.477413E-2</v>
      </c>
      <c r="O5932">
        <v>-0.99978350000000005</v>
      </c>
      <c r="P5932">
        <v>1.230785E-2</v>
      </c>
      <c r="Q5932">
        <v>-0.1378731</v>
      </c>
      <c r="R5932">
        <v>-0.99037359999999997</v>
      </c>
      <c r="S5932">
        <v>0.90283199999999997</v>
      </c>
      <c r="T5932">
        <v>-0.25149260000000001</v>
      </c>
      <c r="U5932">
        <v>-2.982666</v>
      </c>
      <c r="V5932">
        <v>-2.6827159999999999E-2</v>
      </c>
      <c r="W5932">
        <v>-0.1232293</v>
      </c>
      <c r="X5932">
        <v>0.99201550000000005</v>
      </c>
      <c r="Y5932">
        <v>-0.3028768</v>
      </c>
      <c r="Z5932">
        <v>6.5483440000000004E-2</v>
      </c>
      <c r="AA5932">
        <v>0.95077739999999999</v>
      </c>
      <c r="AB5932">
        <v>25</v>
      </c>
      <c r="AC5932">
        <v>4.0269999999999797</v>
      </c>
      <c r="AD5932">
        <v>-1.1207242059860001</v>
      </c>
      <c r="AE5932">
        <v>-13.038959999999999</v>
      </c>
      <c r="AF5932">
        <v>-4.1894234062766103</v>
      </c>
      <c r="AG5932">
        <v>-1.1207242059860001</v>
      </c>
      <c r="AH5932">
        <v>12.8915894967271</v>
      </c>
      <c r="AI5932">
        <v>94.726370235954207</v>
      </c>
      <c r="AJ5932">
        <v>108.002782067224</v>
      </c>
      <c r="AK5932">
        <v>13.6014841460432</v>
      </c>
      <c r="AL5932">
        <v>97.078511889702398</v>
      </c>
      <c r="AM5932">
        <v>91.549077110646195</v>
      </c>
      <c r="AN5932">
        <v>0.99999995456620105</v>
      </c>
    </row>
    <row r="5933" spans="1:40" x14ac:dyDescent="0.25">
      <c r="A5933" t="str">
        <f>"20190303154929001"</f>
        <v>20190303154929001</v>
      </c>
      <c r="B5933" t="str">
        <f>"1551599368996705"</f>
        <v>1551599368996705</v>
      </c>
      <c r="C5933" t="s">
        <v>40</v>
      </c>
      <c r="D5933">
        <v>4.5864419999999999</v>
      </c>
      <c r="E5933">
        <v>0.391262</v>
      </c>
      <c r="F5933" t="s">
        <v>41</v>
      </c>
      <c r="G5933">
        <v>-417.89519999999999</v>
      </c>
      <c r="H5933" s="1">
        <v>-2.1098000000000001E-6</v>
      </c>
      <c r="I5933">
        <v>63.680480000000003</v>
      </c>
      <c r="J5933">
        <v>-421.91</v>
      </c>
      <c r="K5933">
        <v>1.1207279999999999</v>
      </c>
      <c r="L5933">
        <v>76.692869999999999</v>
      </c>
      <c r="M5933">
        <v>-1.4656189999999999E-2</v>
      </c>
      <c r="N5933">
        <v>-1.477618E-2</v>
      </c>
      <c r="O5933">
        <v>-0.99978350000000005</v>
      </c>
      <c r="P5933">
        <v>1.150606E-2</v>
      </c>
      <c r="Q5933">
        <v>-0.13790649999999999</v>
      </c>
      <c r="R5933">
        <v>-0.99037839999999999</v>
      </c>
      <c r="S5933">
        <v>0.90255739999999995</v>
      </c>
      <c r="T5933">
        <v>-0.2521716</v>
      </c>
      <c r="U5933">
        <v>-2.9828489999999999</v>
      </c>
      <c r="V5933">
        <v>-2.602668E-2</v>
      </c>
      <c r="W5933">
        <v>-0.1232605</v>
      </c>
      <c r="X5933">
        <v>0.99203300000000005</v>
      </c>
      <c r="Y5933">
        <v>-0.30277680000000001</v>
      </c>
      <c r="Z5933">
        <v>6.5694489999999994E-2</v>
      </c>
      <c r="AA5933">
        <v>0.95079460000000005</v>
      </c>
      <c r="AB5933">
        <v>25</v>
      </c>
      <c r="AC5933">
        <v>4.0148000000000303</v>
      </c>
      <c r="AD5933">
        <v>-1.1207301098</v>
      </c>
      <c r="AE5933">
        <v>-13.0123899999999</v>
      </c>
      <c r="AF5933">
        <v>-4.1768110035815296</v>
      </c>
      <c r="AG5933">
        <v>-1.1207301098</v>
      </c>
      <c r="AH5933">
        <v>12.865006186608101</v>
      </c>
      <c r="AI5933">
        <v>94.7365447842772</v>
      </c>
      <c r="AJ5933">
        <v>107.98677440201899</v>
      </c>
      <c r="AK5933">
        <v>13.5724047360856</v>
      </c>
      <c r="AL5933">
        <v>97.080312885061403</v>
      </c>
      <c r="AM5933">
        <v>91.502850125654305</v>
      </c>
      <c r="AN5933">
        <v>1.0000000060105301</v>
      </c>
    </row>
    <row r="5934" spans="1:40" x14ac:dyDescent="0.25">
      <c r="A5934" t="str">
        <f>"20190303154929024"</f>
        <v>20190303154929024</v>
      </c>
      <c r="B5934" t="str">
        <f>"1551599369017202"</f>
        <v>1551599369017202</v>
      </c>
      <c r="C5934" t="s">
        <v>40</v>
      </c>
      <c r="D5934">
        <v>4.5813459999999999</v>
      </c>
      <c r="E5934">
        <v>0.39113779999999998</v>
      </c>
      <c r="F5934" t="s">
        <v>41</v>
      </c>
      <c r="G5934">
        <v>-417.9393</v>
      </c>
      <c r="H5934" s="1">
        <v>-2.0462279999999999E-6</v>
      </c>
      <c r="I5934">
        <v>63.550510000000003</v>
      </c>
      <c r="J5934">
        <v>-421.91359999999997</v>
      </c>
      <c r="K5934">
        <v>1.1207320000000001</v>
      </c>
      <c r="L5934">
        <v>76.449010000000001</v>
      </c>
      <c r="M5934">
        <v>-1.46567E-2</v>
      </c>
      <c r="N5934">
        <v>-1.477703E-2</v>
      </c>
      <c r="O5934">
        <v>-0.99978350000000005</v>
      </c>
      <c r="P5934">
        <v>1.073792E-2</v>
      </c>
      <c r="Q5934">
        <v>-0.137354799999999</v>
      </c>
      <c r="R5934">
        <v>-0.99046400000000001</v>
      </c>
      <c r="S5934">
        <v>0.90133669999999999</v>
      </c>
      <c r="T5934">
        <v>-0.25439980000000001</v>
      </c>
      <c r="U5934">
        <v>-2.9832459999999998</v>
      </c>
      <c r="V5934">
        <v>-2.5260210000000002E-2</v>
      </c>
      <c r="W5934">
        <v>-0.1227066</v>
      </c>
      <c r="X5934">
        <v>0.99212149999999999</v>
      </c>
      <c r="Y5934">
        <v>-0.3023709</v>
      </c>
      <c r="Z5934">
        <v>6.6400299999999995E-2</v>
      </c>
      <c r="AA5934">
        <v>0.95087480000000002</v>
      </c>
      <c r="AB5934">
        <v>25</v>
      </c>
      <c r="AC5934">
        <v>3.9742999999999702</v>
      </c>
      <c r="AD5934">
        <v>-1.120734046228</v>
      </c>
      <c r="AE5934">
        <v>-12.8985</v>
      </c>
      <c r="AF5934">
        <v>-4.1344359626124199</v>
      </c>
      <c r="AG5934">
        <v>-1.120734046228</v>
      </c>
      <c r="AH5934">
        <v>12.7509394570426</v>
      </c>
      <c r="AI5934">
        <v>94.779323055992606</v>
      </c>
      <c r="AJ5934">
        <v>107.965058156418</v>
      </c>
      <c r="AK5934">
        <v>13.4512476212611</v>
      </c>
      <c r="AL5934">
        <v>97.048333826296599</v>
      </c>
      <c r="AM5934">
        <v>91.458481450962395</v>
      </c>
      <c r="AN5934">
        <v>1.00000002932752</v>
      </c>
    </row>
    <row r="5935" spans="1:40" x14ac:dyDescent="0.25">
      <c r="A5935" t="str">
        <f>"20190303154929044"</f>
        <v>20190303154929044</v>
      </c>
      <c r="B5935" t="str">
        <f>"1551599369036721"</f>
        <v>1551599369036721</v>
      </c>
      <c r="C5935" t="s">
        <v>40</v>
      </c>
      <c r="D5935">
        <v>4.5503749999999998</v>
      </c>
      <c r="E5935">
        <v>0.39086110000000002</v>
      </c>
      <c r="F5935" t="s">
        <v>41</v>
      </c>
      <c r="G5935">
        <v>-417.94470000000001</v>
      </c>
      <c r="H5935" s="1">
        <v>-1.9371559999999999E-6</v>
      </c>
      <c r="I5935">
        <v>63.298499999999997</v>
      </c>
      <c r="J5935">
        <v>-421.9171</v>
      </c>
      <c r="K5935">
        <v>1.120733</v>
      </c>
      <c r="L5935">
        <v>76.212429999999998</v>
      </c>
      <c r="M5935">
        <v>-1.465691E-2</v>
      </c>
      <c r="N5935">
        <v>-1.477703E-2</v>
      </c>
      <c r="O5935">
        <v>-0.99978350000000005</v>
      </c>
      <c r="P5935">
        <v>9.9219470000000004E-3</v>
      </c>
      <c r="Q5935">
        <v>-0.13649710000000001</v>
      </c>
      <c r="R5935">
        <v>-0.99059120000000001</v>
      </c>
      <c r="S5935">
        <v>0.90054319999999899</v>
      </c>
      <c r="T5935">
        <v>-0.2542951</v>
      </c>
      <c r="U5935">
        <v>-2.9838559999999998</v>
      </c>
      <c r="V5935">
        <v>-2.4446269999999999E-2</v>
      </c>
      <c r="W5935">
        <v>-0.12184689999999999</v>
      </c>
      <c r="X5935">
        <v>0.99224780000000001</v>
      </c>
      <c r="Y5935">
        <v>-0.30208669999999999</v>
      </c>
      <c r="Z5935">
        <v>6.6358109999999998E-2</v>
      </c>
      <c r="AA5935">
        <v>0.95096809999999998</v>
      </c>
      <c r="AB5935">
        <v>24</v>
      </c>
      <c r="AC5935">
        <v>3.9723999999999902</v>
      </c>
      <c r="AD5935">
        <v>-1.120734937156</v>
      </c>
      <c r="AE5935">
        <v>-12.913930000000001</v>
      </c>
      <c r="AF5935">
        <v>-4.13283584705857</v>
      </c>
      <c r="AG5935">
        <v>-1.120734937156</v>
      </c>
      <c r="AH5935">
        <v>12.7664723095798</v>
      </c>
      <c r="AI5935">
        <v>94.774263048938906</v>
      </c>
      <c r="AJ5935">
        <v>107.938102711661</v>
      </c>
      <c r="AK5935">
        <v>13.465481579556</v>
      </c>
      <c r="AL5935">
        <v>96.998704489536905</v>
      </c>
      <c r="AM5935">
        <v>91.411325678547797</v>
      </c>
      <c r="AN5935">
        <v>0.99999999188068101</v>
      </c>
    </row>
    <row r="5936" spans="1:40" x14ac:dyDescent="0.25">
      <c r="A5936" t="str">
        <f>"20190303154929067"</f>
        <v>20190303154929067</v>
      </c>
      <c r="B5936" t="str">
        <f>"1551599369056242"</f>
        <v>1551599369056242</v>
      </c>
      <c r="C5936" t="s">
        <v>40</v>
      </c>
      <c r="D5936">
        <v>4.6067910000000003</v>
      </c>
      <c r="E5936">
        <v>0.39073999999999998</v>
      </c>
      <c r="F5936" t="s">
        <v>41</v>
      </c>
      <c r="G5936">
        <v>-417.89760000000001</v>
      </c>
      <c r="H5936" s="1">
        <v>-1.7678240000000001E-6</v>
      </c>
      <c r="I5936">
        <v>62.884320000000002</v>
      </c>
      <c r="J5936">
        <v>-421.92070000000001</v>
      </c>
      <c r="K5936">
        <v>1.1207389999999999</v>
      </c>
      <c r="L5936">
        <v>75.966160000000002</v>
      </c>
      <c r="M5936">
        <v>-1.465695E-2</v>
      </c>
      <c r="N5936">
        <v>-1.477624E-2</v>
      </c>
      <c r="O5936">
        <v>-0.99978350000000005</v>
      </c>
      <c r="P5936">
        <v>9.9103219999999992E-3</v>
      </c>
      <c r="Q5936">
        <v>-0.13579739999999901</v>
      </c>
      <c r="R5936">
        <v>-0.99068730000000005</v>
      </c>
      <c r="S5936">
        <v>0.900177</v>
      </c>
      <c r="T5936">
        <v>-0.25099379999999999</v>
      </c>
      <c r="U5936">
        <v>-2.9848940000000002</v>
      </c>
      <c r="V5936">
        <v>-2.4436079999999999E-2</v>
      </c>
      <c r="W5936">
        <v>-0.121146699999999</v>
      </c>
      <c r="X5936">
        <v>0.99233380000000004</v>
      </c>
      <c r="Y5936">
        <v>-0.30191119999999999</v>
      </c>
      <c r="Z5936">
        <v>6.5288840000000001E-2</v>
      </c>
      <c r="AA5936">
        <v>0.95109779999999999</v>
      </c>
      <c r="AB5936">
        <v>24</v>
      </c>
      <c r="AC5936">
        <v>4.0231000000000003</v>
      </c>
      <c r="AD5936">
        <v>-1.120740767824</v>
      </c>
      <c r="AE5936">
        <v>-13.08184</v>
      </c>
      <c r="AF5936">
        <v>-4.1863572229125996</v>
      </c>
      <c r="AG5936">
        <v>-1.120740767824</v>
      </c>
      <c r="AH5936">
        <v>12.934728759866299</v>
      </c>
      <c r="AI5936">
        <v>94.712565508713695</v>
      </c>
      <c r="AJ5936">
        <v>107.934303417514</v>
      </c>
      <c r="AK5936">
        <v>13.641438881504</v>
      </c>
      <c r="AL5936">
        <v>96.958286449217894</v>
      </c>
      <c r="AM5936">
        <v>91.410615418601196</v>
      </c>
      <c r="AN5936">
        <v>1.0000000077745399</v>
      </c>
    </row>
    <row r="5937" spans="1:40" x14ac:dyDescent="0.25">
      <c r="A5937" t="str">
        <f>"20190303154929090"</f>
        <v>20190303154929090</v>
      </c>
      <c r="B5937" t="str">
        <f>"1551599369086497"</f>
        <v>1551599369086497</v>
      </c>
      <c r="C5937" t="s">
        <v>40</v>
      </c>
      <c r="D5937">
        <v>4.6064679999999996</v>
      </c>
      <c r="E5937">
        <v>0.39052330000000002</v>
      </c>
      <c r="F5937" t="s">
        <v>41</v>
      </c>
      <c r="G5937">
        <v>-417.8698</v>
      </c>
      <c r="H5937" s="1">
        <v>-1.628126E-6</v>
      </c>
      <c r="I5937">
        <v>62.547150000000002</v>
      </c>
      <c r="J5937">
        <v>-421.92430000000002</v>
      </c>
      <c r="K5937">
        <v>1.1207450000000001</v>
      </c>
      <c r="L5937">
        <v>75.721950000000007</v>
      </c>
      <c r="M5937">
        <v>-1.46569E-2</v>
      </c>
      <c r="N5937">
        <v>-1.477478E-2</v>
      </c>
      <c r="O5937">
        <v>-0.99978350000000005</v>
      </c>
      <c r="P5937">
        <v>9.7395699999999995E-3</v>
      </c>
      <c r="Q5937">
        <v>-0.1354795</v>
      </c>
      <c r="R5937">
        <v>-0.99073259999999996</v>
      </c>
      <c r="S5937">
        <v>0.90112300000000001</v>
      </c>
      <c r="T5937">
        <v>-0.2493052</v>
      </c>
      <c r="U5937">
        <v>-2.9850159999999999</v>
      </c>
      <c r="V5937">
        <v>-2.4265729999999999E-2</v>
      </c>
      <c r="W5937">
        <v>-0.1208296</v>
      </c>
      <c r="X5937">
        <v>0.99237660000000005</v>
      </c>
      <c r="Y5937">
        <v>-0.30218800000000001</v>
      </c>
      <c r="Z5937">
        <v>6.4744460000000004E-2</v>
      </c>
      <c r="AA5937">
        <v>0.95104710000000003</v>
      </c>
      <c r="AB5937">
        <v>24</v>
      </c>
      <c r="AC5937">
        <v>4.0545000000000098</v>
      </c>
      <c r="AD5937">
        <v>-1.1207466281259999</v>
      </c>
      <c r="AE5937">
        <v>-13.174799999999999</v>
      </c>
      <c r="AF5937">
        <v>-4.2192958834553203</v>
      </c>
      <c r="AG5937">
        <v>-1.1207466281259999</v>
      </c>
      <c r="AH5937">
        <v>13.0278322548421</v>
      </c>
      <c r="AI5937">
        <v>94.678767601051106</v>
      </c>
      <c r="AJ5937">
        <v>107.945471181012</v>
      </c>
      <c r="AK5937">
        <v>13.739830567256</v>
      </c>
      <c r="AL5937">
        <v>96.939983787231299</v>
      </c>
      <c r="AM5937">
        <v>91.400725208890407</v>
      </c>
      <c r="AN5937">
        <v>0.99999996705807603</v>
      </c>
    </row>
    <row r="5938" spans="1:40" x14ac:dyDescent="0.25">
      <c r="A5938" t="str">
        <f>"20190303154929112"</f>
        <v>20190303154929112</v>
      </c>
      <c r="B5938" t="str">
        <f>"1551599369106993"</f>
        <v>1551599369106993</v>
      </c>
      <c r="C5938" t="s">
        <v>40</v>
      </c>
      <c r="D5938">
        <v>4.5987989999999996</v>
      </c>
      <c r="E5938">
        <v>0.3903759</v>
      </c>
      <c r="F5938" t="s">
        <v>41</v>
      </c>
      <c r="G5938">
        <v>-417.86540000000002</v>
      </c>
      <c r="H5938" s="1">
        <v>-1.5171390000000001E-6</v>
      </c>
      <c r="I5938">
        <v>62.2866199999999</v>
      </c>
      <c r="J5938">
        <v>-421.92779999999999</v>
      </c>
      <c r="K5938">
        <v>1.1207499999999999</v>
      </c>
      <c r="L5938">
        <v>75.479609999999994</v>
      </c>
      <c r="M5938">
        <v>-1.4656809999999999E-2</v>
      </c>
      <c r="N5938">
        <v>-1.4772759999999999E-2</v>
      </c>
      <c r="O5938">
        <v>-0.9997838</v>
      </c>
      <c r="P5938">
        <v>1.0355130000000001E-2</v>
      </c>
      <c r="Q5938">
        <v>-0.13536029999999999</v>
      </c>
      <c r="R5938">
        <v>-0.99074269999999998</v>
      </c>
      <c r="S5938">
        <v>0.90182499999999999</v>
      </c>
      <c r="T5938">
        <v>-0.24901390000000001</v>
      </c>
      <c r="U5938">
        <v>-2.9851380000000001</v>
      </c>
      <c r="V5938">
        <v>-2.4881250000000001E-2</v>
      </c>
      <c r="W5938">
        <v>-0.1207124</v>
      </c>
      <c r="X5938">
        <v>0.99237569999999997</v>
      </c>
      <c r="Y5938">
        <v>-0.30238409999999999</v>
      </c>
      <c r="Z5938">
        <v>6.4645809999999998E-2</v>
      </c>
      <c r="AA5938">
        <v>0.95099149999999999</v>
      </c>
      <c r="AB5938">
        <v>24</v>
      </c>
      <c r="AC5938">
        <v>4.0623999999999603</v>
      </c>
      <c r="AD5938">
        <v>-1.1207515171389999</v>
      </c>
      <c r="AE5938">
        <v>-13.19299</v>
      </c>
      <c r="AF5938">
        <v>-4.2274857930257896</v>
      </c>
      <c r="AG5938">
        <v>-1.1207515171389999</v>
      </c>
      <c r="AH5938">
        <v>13.0460299386363</v>
      </c>
      <c r="AI5938">
        <v>94.672050436239701</v>
      </c>
      <c r="AJ5938">
        <v>107.954598110059</v>
      </c>
      <c r="AK5938">
        <v>13.7596009118433</v>
      </c>
      <c r="AL5938">
        <v>96.933218664318403</v>
      </c>
      <c r="AM5938">
        <v>91.4362423481886</v>
      </c>
      <c r="AN5938">
        <v>1.0000000450329001</v>
      </c>
    </row>
    <row r="5939" spans="1:40" x14ac:dyDescent="0.25">
      <c r="A5939" t="str">
        <f>"20190303154929134"</f>
        <v>20190303154929134</v>
      </c>
      <c r="B5939" t="str">
        <f>"1551599369126513"</f>
        <v>1551599369126513</v>
      </c>
      <c r="C5939" t="s">
        <v>40</v>
      </c>
      <c r="D5939">
        <v>4.6160350000000001</v>
      </c>
      <c r="E5939">
        <v>0.39019189999999998</v>
      </c>
      <c r="F5939" t="s">
        <v>41</v>
      </c>
      <c r="G5939">
        <v>-417.86250000000001</v>
      </c>
      <c r="H5939" s="1">
        <v>-1.4250919999999999E-6</v>
      </c>
      <c r="I5939">
        <v>62.0708699999999</v>
      </c>
      <c r="J5939">
        <v>-421.93130000000002</v>
      </c>
      <c r="K5939">
        <v>1.120752</v>
      </c>
      <c r="L5939">
        <v>75.242739999999998</v>
      </c>
      <c r="M5939">
        <v>-1.465673E-2</v>
      </c>
      <c r="N5939">
        <v>-1.477028E-2</v>
      </c>
      <c r="O5939">
        <v>-0.9997838</v>
      </c>
      <c r="P5939">
        <v>1.055262E-2</v>
      </c>
      <c r="Q5939">
        <v>-0.13547479999999901</v>
      </c>
      <c r="R5939">
        <v>-0.99072499999999997</v>
      </c>
      <c r="S5939">
        <v>0.90484620000000004</v>
      </c>
      <c r="T5939">
        <v>-0.24945510000000001</v>
      </c>
      <c r="U5939">
        <v>-2.9844970000000002</v>
      </c>
      <c r="V5939">
        <v>-2.5078679999999999E-2</v>
      </c>
      <c r="W5939">
        <v>-0.1208297</v>
      </c>
      <c r="X5939">
        <v>0.99235640000000003</v>
      </c>
      <c r="Y5939">
        <v>-0.3033188</v>
      </c>
      <c r="Z5939">
        <v>6.4780920000000006E-2</v>
      </c>
      <c r="AA5939">
        <v>0.95068450000000004</v>
      </c>
      <c r="AB5939">
        <v>24</v>
      </c>
      <c r="AC5939">
        <v>4.0688000000000004</v>
      </c>
      <c r="AD5939">
        <v>-1.1207534250919999</v>
      </c>
      <c r="AE5939">
        <v>-13.17187</v>
      </c>
      <c r="AF5939">
        <v>-4.2334608732149297</v>
      </c>
      <c r="AG5939">
        <v>-1.1207534250919999</v>
      </c>
      <c r="AH5939">
        <v>13.024730807252</v>
      </c>
      <c r="AI5939">
        <v>94.678312397859202</v>
      </c>
      <c r="AJ5939">
        <v>108.005846034405</v>
      </c>
      <c r="AK5939">
        <v>13.741247825662599</v>
      </c>
      <c r="AL5939">
        <v>96.9399893948666</v>
      </c>
      <c r="AM5939">
        <v>91.447662086447195</v>
      </c>
      <c r="AN5939">
        <v>0.99999999060679601</v>
      </c>
    </row>
    <row r="5940" spans="1:40" x14ac:dyDescent="0.25">
      <c r="A5940" t="str">
        <f>"20190303154929156"</f>
        <v>20190303154929156</v>
      </c>
      <c r="B5940" t="str">
        <f>"1551599369147010"</f>
        <v>1551599369147010</v>
      </c>
      <c r="C5940" t="s">
        <v>40</v>
      </c>
      <c r="D5940">
        <v>4.6493289999999998</v>
      </c>
      <c r="E5940">
        <v>0.38999440000000002</v>
      </c>
      <c r="F5940" t="s">
        <v>41</v>
      </c>
      <c r="G5940">
        <v>-417.8843</v>
      </c>
      <c r="H5940" s="1">
        <v>-1.3598019999999999E-6</v>
      </c>
      <c r="I5940">
        <v>61.927680000000002</v>
      </c>
      <c r="J5940">
        <v>-421.9348</v>
      </c>
      <c r="K5940">
        <v>1.1207609999999999</v>
      </c>
      <c r="L5940">
        <v>75.001429999999999</v>
      </c>
      <c r="M5940">
        <v>-1.465665E-2</v>
      </c>
      <c r="N5940">
        <v>-1.476732E-2</v>
      </c>
      <c r="O5940">
        <v>-0.99978350000000005</v>
      </c>
      <c r="P5940">
        <v>9.8961299999999995E-3</v>
      </c>
      <c r="Q5940">
        <v>-0.1349822</v>
      </c>
      <c r="R5940">
        <v>-0.99079890000000004</v>
      </c>
      <c r="S5940">
        <v>0.90698239999999997</v>
      </c>
      <c r="T5940">
        <v>-0.25117479999999998</v>
      </c>
      <c r="U5940">
        <v>-2.98407</v>
      </c>
      <c r="V5940">
        <v>-2.4423360000000002E-2</v>
      </c>
      <c r="W5940">
        <v>-0.12033870000000001</v>
      </c>
      <c r="X5940">
        <v>0.99243239999999999</v>
      </c>
      <c r="Y5940">
        <v>-0.3039676</v>
      </c>
      <c r="Z5940">
        <v>6.5323430000000002E-2</v>
      </c>
      <c r="AA5940">
        <v>0.95044019999999996</v>
      </c>
      <c r="AB5940">
        <v>24</v>
      </c>
      <c r="AC5940">
        <v>4.0505000000000004</v>
      </c>
      <c r="AD5940">
        <v>-1.120762359802</v>
      </c>
      <c r="AE5940">
        <v>-13.073749999999899</v>
      </c>
      <c r="AF5940">
        <v>-4.2134504775577097</v>
      </c>
      <c r="AG5940">
        <v>-1.120762359802</v>
      </c>
      <c r="AH5940">
        <v>12.926296907048901</v>
      </c>
      <c r="AI5940">
        <v>94.712535054983903</v>
      </c>
      <c r="AJ5940">
        <v>108.053875663893</v>
      </c>
      <c r="AK5940">
        <v>13.641789652503901</v>
      </c>
      <c r="AL5940">
        <v>96.911650412369696</v>
      </c>
      <c r="AM5940">
        <v>91.409741413018196</v>
      </c>
      <c r="AN5940">
        <v>0.99999998590056904</v>
      </c>
    </row>
    <row r="5941" spans="1:40" x14ac:dyDescent="0.25">
      <c r="A5941" t="str">
        <f>"20190303154929179"</f>
        <v>20190303154929179</v>
      </c>
      <c r="B5941" t="str">
        <f>"1551599369176290"</f>
        <v>1551599369176290</v>
      </c>
      <c r="C5941" t="s">
        <v>40</v>
      </c>
      <c r="D5941">
        <v>4.6195339999999998</v>
      </c>
      <c r="E5941">
        <v>0.3897022</v>
      </c>
      <c r="F5941" t="s">
        <v>41</v>
      </c>
      <c r="G5941">
        <v>-417.8827</v>
      </c>
      <c r="H5941" s="1">
        <v>-1.248946E-6</v>
      </c>
      <c r="I5941">
        <v>61.662719999999901</v>
      </c>
      <c r="J5941">
        <v>-421.9384</v>
      </c>
      <c r="K5941">
        <v>1.120765</v>
      </c>
      <c r="L5941">
        <v>74.757319999999893</v>
      </c>
      <c r="M5941">
        <v>-1.4656570000000001E-2</v>
      </c>
      <c r="N5941">
        <v>-1.47639E-2</v>
      </c>
      <c r="O5941">
        <v>-0.9997838</v>
      </c>
      <c r="P5941">
        <v>9.3413079999999996E-3</v>
      </c>
      <c r="Q5941">
        <v>-0.134274799999999</v>
      </c>
      <c r="R5941">
        <v>-0.99090040000000001</v>
      </c>
      <c r="S5941">
        <v>0.90667719999999896</v>
      </c>
      <c r="T5941">
        <v>-0.25077739999999998</v>
      </c>
      <c r="U5941">
        <v>-2.9846189999999999</v>
      </c>
      <c r="V5941">
        <v>-2.3869830000000002E-2</v>
      </c>
      <c r="W5941">
        <v>-0.119633199999999</v>
      </c>
      <c r="X5941">
        <v>0.99253119999999995</v>
      </c>
      <c r="Y5941">
        <v>-0.30383290000000002</v>
      </c>
      <c r="Z5941">
        <v>6.5189780000000003E-2</v>
      </c>
      <c r="AA5941">
        <v>0.95049240000000002</v>
      </c>
      <c r="AB5941">
        <v>24</v>
      </c>
      <c r="AC5941">
        <v>4.0556999999999999</v>
      </c>
      <c r="AD5941">
        <v>-1.120766248946</v>
      </c>
      <c r="AE5941">
        <v>-13.0946</v>
      </c>
      <c r="AF5941">
        <v>-4.2190054836869697</v>
      </c>
      <c r="AG5941">
        <v>-1.120766248946</v>
      </c>
      <c r="AH5941">
        <v>12.947199581109</v>
      </c>
      <c r="AI5941">
        <v>94.705111442678799</v>
      </c>
      <c r="AJ5941">
        <v>108.048841445707</v>
      </c>
      <c r="AK5941">
        <v>13.6633122356633</v>
      </c>
      <c r="AL5941">
        <v>96.870933802234802</v>
      </c>
      <c r="AM5941">
        <v>91.377666453179899</v>
      </c>
      <c r="AN5941">
        <v>1.0000000271499501</v>
      </c>
    </row>
    <row r="5942" spans="1:40" x14ac:dyDescent="0.25">
      <c r="A5942" t="str">
        <f>"20190303154929202"</f>
        <v>20190303154929202</v>
      </c>
      <c r="B5942" t="str">
        <f>"1551599369196786"</f>
        <v>1551599369196786</v>
      </c>
      <c r="C5942" t="s">
        <v>40</v>
      </c>
      <c r="D5942">
        <v>4.6459929999999998</v>
      </c>
      <c r="E5942">
        <v>0.38945220000000003</v>
      </c>
      <c r="F5942" t="s">
        <v>41</v>
      </c>
      <c r="G5942">
        <v>-417.88470000000001</v>
      </c>
      <c r="H5942" s="1">
        <v>-1.1654699999999999E-6</v>
      </c>
      <c r="I5942">
        <v>61.418990000000001</v>
      </c>
      <c r="J5942">
        <v>-421.94200000000001</v>
      </c>
      <c r="K5942">
        <v>1.1207659999999999</v>
      </c>
      <c r="L5942">
        <v>74.509399999999999</v>
      </c>
      <c r="M5942">
        <v>-1.4656509999999999E-2</v>
      </c>
      <c r="N5942">
        <v>-1.476006E-2</v>
      </c>
      <c r="O5942">
        <v>-0.9997838</v>
      </c>
      <c r="P5942">
        <v>8.920196E-3</v>
      </c>
      <c r="Q5942">
        <v>-0.133799</v>
      </c>
      <c r="R5942">
        <v>-0.99096859999999998</v>
      </c>
      <c r="S5942">
        <v>0.90716549999999996</v>
      </c>
      <c r="T5942">
        <v>-0.25081609999999999</v>
      </c>
      <c r="U5942">
        <v>-2.984985</v>
      </c>
      <c r="V5942">
        <v>-2.3449480000000002E-2</v>
      </c>
      <c r="W5942">
        <v>-0.1191603</v>
      </c>
      <c r="X5942">
        <v>0.99259810000000004</v>
      </c>
      <c r="Y5942">
        <v>-0.30394270000000001</v>
      </c>
      <c r="Z5942">
        <v>6.5193249999999994E-2</v>
      </c>
      <c r="AA5942">
        <v>0.95045710000000005</v>
      </c>
      <c r="AB5942">
        <v>24</v>
      </c>
      <c r="AC5942">
        <v>4.0572999999999402</v>
      </c>
      <c r="AD5942">
        <v>-1.12076716547</v>
      </c>
      <c r="AE5942">
        <v>-13.09041</v>
      </c>
      <c r="AF5942">
        <v>-4.22051842297659</v>
      </c>
      <c r="AG5942">
        <v>-1.12076716547</v>
      </c>
      <c r="AH5942">
        <v>12.9429704021642</v>
      </c>
      <c r="AI5942">
        <v>94.706337401983703</v>
      </c>
      <c r="AJ5942">
        <v>108.06041030063101</v>
      </c>
      <c r="AK5942">
        <v>13.659772239286299</v>
      </c>
      <c r="AL5942">
        <v>96.843643447818806</v>
      </c>
      <c r="AM5942">
        <v>91.353323534332105</v>
      </c>
      <c r="AN5942">
        <v>1.0000000216659799</v>
      </c>
    </row>
    <row r="5943" spans="1:40" x14ac:dyDescent="0.25">
      <c r="A5943" t="str">
        <f>"20190303154929225"</f>
        <v>20190303154929225</v>
      </c>
      <c r="B5943" t="str">
        <f>"1551599369216305"</f>
        <v>1551599369216305</v>
      </c>
      <c r="C5943" t="s">
        <v>40</v>
      </c>
      <c r="D5943">
        <v>4.6133050000000004</v>
      </c>
      <c r="E5943">
        <v>0.38932499999999998</v>
      </c>
      <c r="F5943" t="s">
        <v>41</v>
      </c>
      <c r="G5943">
        <v>-417.88409999999999</v>
      </c>
      <c r="H5943" s="1">
        <v>-1.0806540000000001E-6</v>
      </c>
      <c r="I5943">
        <v>61.169229999999999</v>
      </c>
      <c r="J5943">
        <v>-421.94549999999998</v>
      </c>
      <c r="K5943">
        <v>1.1207670000000001</v>
      </c>
      <c r="L5943">
        <v>74.273859999999999</v>
      </c>
      <c r="M5943">
        <v>-1.465646E-2</v>
      </c>
      <c r="N5943">
        <v>-1.4756099999999999E-2</v>
      </c>
      <c r="O5943">
        <v>-0.9997838</v>
      </c>
      <c r="P5943">
        <v>9.1747319999999997E-3</v>
      </c>
      <c r="Q5943">
        <v>-0.13418749999999999</v>
      </c>
      <c r="R5943">
        <v>-0.99091370000000001</v>
      </c>
      <c r="S5943">
        <v>0.90811160000000002</v>
      </c>
      <c r="T5943">
        <v>-0.25080999999999998</v>
      </c>
      <c r="U5943">
        <v>-2.9853209999999999</v>
      </c>
      <c r="V5943">
        <v>-2.3703470000000001E-2</v>
      </c>
      <c r="W5943">
        <v>-0.11955349999999999</v>
      </c>
      <c r="X5943">
        <v>0.9925448</v>
      </c>
      <c r="Y5943">
        <v>-0.30418879999999998</v>
      </c>
      <c r="Z5943">
        <v>6.5179909999999994E-2</v>
      </c>
      <c r="AA5943">
        <v>0.95037930000000004</v>
      </c>
      <c r="AB5943">
        <v>24</v>
      </c>
      <c r="AC5943">
        <v>4.0613999999999901</v>
      </c>
      <c r="AD5943">
        <v>-1.1207680806539999</v>
      </c>
      <c r="AE5943">
        <v>-13.104629999999901</v>
      </c>
      <c r="AF5943">
        <v>-4.2248576155999</v>
      </c>
      <c r="AG5943">
        <v>-1.1207680806539999</v>
      </c>
      <c r="AH5943">
        <v>12.957220360073601</v>
      </c>
      <c r="AI5943">
        <v>94.701221286304204</v>
      </c>
      <c r="AJ5943">
        <v>108.059181176213</v>
      </c>
      <c r="AK5943">
        <v>13.674615256825801</v>
      </c>
      <c r="AL5943">
        <v>96.866334250577793</v>
      </c>
      <c r="AM5943">
        <v>91.368049775296797</v>
      </c>
      <c r="AN5943">
        <v>1.00000003692966</v>
      </c>
    </row>
    <row r="5944" spans="1:40" x14ac:dyDescent="0.25">
      <c r="A5944" t="str">
        <f>"20190303154929246"</f>
        <v>20190303154929246</v>
      </c>
      <c r="B5944" t="str">
        <f>"1551599369236802"</f>
        <v>1551599369236802</v>
      </c>
      <c r="C5944" t="s">
        <v>40</v>
      </c>
      <c r="D5944">
        <v>4.5855540000000001</v>
      </c>
      <c r="E5944">
        <v>0.38340570000000002</v>
      </c>
      <c r="F5944" t="s">
        <v>41</v>
      </c>
      <c r="G5944">
        <v>-417.91820000000001</v>
      </c>
      <c r="H5944" s="1">
        <v>-1.0354460000000001E-6</v>
      </c>
      <c r="I5944">
        <v>61.063070000000003</v>
      </c>
      <c r="J5944">
        <v>-421.94889999999998</v>
      </c>
      <c r="K5944">
        <v>1.1207659999999999</v>
      </c>
      <c r="L5944">
        <v>74.040279999999996</v>
      </c>
      <c r="M5944">
        <v>-1.465644E-2</v>
      </c>
      <c r="N5944">
        <v>-1.475197E-2</v>
      </c>
      <c r="O5944">
        <v>-0.9997838</v>
      </c>
      <c r="P5944">
        <v>1.0476890000000001E-2</v>
      </c>
      <c r="Q5944">
        <v>-0.13419210000000001</v>
      </c>
      <c r="R5944">
        <v>-0.99090020000000001</v>
      </c>
      <c r="S5944">
        <v>0.9099121</v>
      </c>
      <c r="T5944">
        <v>-0.25322250000000002</v>
      </c>
      <c r="U5944">
        <v>-2.9848020000000002</v>
      </c>
      <c r="V5944">
        <v>-2.500542E-2</v>
      </c>
      <c r="W5944">
        <v>-0.1195626</v>
      </c>
      <c r="X5944">
        <v>0.9925117</v>
      </c>
      <c r="Y5944">
        <v>-0.30474259999999997</v>
      </c>
      <c r="Z5944">
        <v>6.5947539999999999E-2</v>
      </c>
      <c r="AA5944">
        <v>0.95014889999999996</v>
      </c>
      <c r="AB5944">
        <v>24</v>
      </c>
      <c r="AC5944">
        <v>4.0306999999999604</v>
      </c>
      <c r="AD5944">
        <v>-1.120767035446</v>
      </c>
      <c r="AE5944">
        <v>-12.977209999999999</v>
      </c>
      <c r="AF5944">
        <v>-4.1919713246624903</v>
      </c>
      <c r="AG5944">
        <v>-1.120767035446</v>
      </c>
      <c r="AH5944">
        <v>12.8294608078862</v>
      </c>
      <c r="AI5944">
        <v>94.746867033647206</v>
      </c>
      <c r="AJ5944">
        <v>108.094581620501</v>
      </c>
      <c r="AK5944">
        <v>13.5434045555622</v>
      </c>
      <c r="AL5944">
        <v>96.866859798414197</v>
      </c>
      <c r="AM5944">
        <v>91.443209197231099</v>
      </c>
      <c r="AN5944">
        <v>0.99999998049251304</v>
      </c>
    </row>
    <row r="5945" spans="1:40" x14ac:dyDescent="0.25">
      <c r="A5945" t="str">
        <f>"20190303154929269"</f>
        <v>20190303154929269</v>
      </c>
      <c r="B5945" t="str">
        <f>"1551599369267057"</f>
        <v>1551599369267057</v>
      </c>
      <c r="C5945" t="s">
        <v>40</v>
      </c>
      <c r="D5945">
        <v>4.576784</v>
      </c>
      <c r="E5945">
        <v>0.38417030000000002</v>
      </c>
      <c r="F5945" t="s">
        <v>41</v>
      </c>
      <c r="G5945">
        <v>-418.02080000000001</v>
      </c>
      <c r="H5945" s="1">
        <v>-1.30921E-6</v>
      </c>
      <c r="I5945">
        <v>61.866190000000003</v>
      </c>
      <c r="J5945">
        <v>-421.95249999999999</v>
      </c>
      <c r="K5945">
        <v>1.120773</v>
      </c>
      <c r="L5945">
        <v>73.797030000000007</v>
      </c>
      <c r="M5945">
        <v>-1.465642E-2</v>
      </c>
      <c r="N5945">
        <v>-1.4747430000000001E-2</v>
      </c>
      <c r="O5945">
        <v>-0.99978400000000001</v>
      </c>
      <c r="P5945">
        <v>1.2098380000000001E-2</v>
      </c>
      <c r="Q5945">
        <v>-0.13372719999999999</v>
      </c>
      <c r="R5945">
        <v>-0.99094459999999995</v>
      </c>
      <c r="S5945">
        <v>0.96160889999999999</v>
      </c>
      <c r="T5945">
        <v>-0.27436450000000001</v>
      </c>
      <c r="U5945">
        <v>-2.9802249999999999</v>
      </c>
      <c r="V5945">
        <v>-2.6627330000000001E-2</v>
      </c>
      <c r="W5945">
        <v>-0.1191019</v>
      </c>
      <c r="X5945">
        <v>0.99252490000000004</v>
      </c>
      <c r="Y5945">
        <v>-0.31994929999999999</v>
      </c>
      <c r="Z5945">
        <v>7.2327169999999996E-2</v>
      </c>
      <c r="AA5945">
        <v>0.94466989999999995</v>
      </c>
      <c r="AB5945">
        <v>24</v>
      </c>
      <c r="AC5945">
        <v>3.93169999999997</v>
      </c>
      <c r="AD5945">
        <v>-1.12077430921</v>
      </c>
      <c r="AE5945">
        <v>-11.93084</v>
      </c>
      <c r="AF5945">
        <v>-4.0737325239772604</v>
      </c>
      <c r="AG5945">
        <v>-1.12077430921</v>
      </c>
      <c r="AH5945">
        <v>11.7781714623819</v>
      </c>
      <c r="AI5945">
        <v>95.138774480917206</v>
      </c>
      <c r="AJ5945">
        <v>109.07903880468</v>
      </c>
      <c r="AK5945">
        <v>12.5130633629964</v>
      </c>
      <c r="AL5945">
        <v>96.840273680092196</v>
      </c>
      <c r="AM5945">
        <v>91.536755168103596</v>
      </c>
      <c r="AN5945">
        <v>0.99999997720327405</v>
      </c>
    </row>
    <row r="5946" spans="1:40" x14ac:dyDescent="0.25">
      <c r="A5946" t="str">
        <f>"20190303154929291"</f>
        <v>20190303154929291</v>
      </c>
      <c r="B5946" t="str">
        <f>"1551599369286577"</f>
        <v>1551599369286577</v>
      </c>
      <c r="C5946" t="s">
        <v>40</v>
      </c>
      <c r="D5946">
        <v>4.5498849999999997</v>
      </c>
      <c r="E5946">
        <v>0.38381169999999998</v>
      </c>
      <c r="F5946" t="s">
        <v>41</v>
      </c>
      <c r="G5946">
        <v>-418.06209999999999</v>
      </c>
      <c r="H5946" s="1">
        <v>-1.2438479999999999E-6</v>
      </c>
      <c r="I5946">
        <v>61.730919999999998</v>
      </c>
      <c r="J5946">
        <v>-421.95600000000002</v>
      </c>
      <c r="K5946">
        <v>1.1207750000000001</v>
      </c>
      <c r="L5946">
        <v>73.557680000000005</v>
      </c>
      <c r="M5946">
        <v>-1.46564E-2</v>
      </c>
      <c r="N5946">
        <v>-1.474278E-2</v>
      </c>
      <c r="O5946">
        <v>-0.99978400000000001</v>
      </c>
      <c r="P5946">
        <v>1.393167E-2</v>
      </c>
      <c r="Q5946">
        <v>-0.13276299999999999</v>
      </c>
      <c r="R5946">
        <v>-0.99105019999999999</v>
      </c>
      <c r="S5946">
        <v>0.96029659999999994</v>
      </c>
      <c r="T5946">
        <v>-0.27664879999999997</v>
      </c>
      <c r="U5946">
        <v>-2.9783629999999999</v>
      </c>
      <c r="V5946">
        <v>-2.8461670000000001E-2</v>
      </c>
      <c r="W5946">
        <v>-0.1181412</v>
      </c>
      <c r="X5946">
        <v>0.99258880000000005</v>
      </c>
      <c r="Y5946">
        <v>-0.3197256</v>
      </c>
      <c r="Z5946">
        <v>7.3112709999999997E-2</v>
      </c>
      <c r="AA5946">
        <v>0.9446852</v>
      </c>
      <c r="AB5946">
        <v>24</v>
      </c>
      <c r="AC5946">
        <v>3.8938999999999702</v>
      </c>
      <c r="AD5946">
        <v>-1.120776243848</v>
      </c>
      <c r="AE5946">
        <v>-11.82676</v>
      </c>
      <c r="AF5946">
        <v>-4.0341522550332298</v>
      </c>
      <c r="AG5946">
        <v>-1.120776243848</v>
      </c>
      <c r="AH5946">
        <v>11.6738276699363</v>
      </c>
      <c r="AI5946">
        <v>95.184942068875699</v>
      </c>
      <c r="AJ5946">
        <v>109.063735220315</v>
      </c>
      <c r="AK5946">
        <v>12.4019666292461</v>
      </c>
      <c r="AL5946">
        <v>96.784838285120898</v>
      </c>
      <c r="AM5946">
        <v>91.642459450336901</v>
      </c>
      <c r="AN5946">
        <v>0.99999996784103395</v>
      </c>
    </row>
    <row r="5947" spans="1:40" x14ac:dyDescent="0.25">
      <c r="A5947" t="str">
        <f>"20190303154929313"</f>
        <v>20190303154929313</v>
      </c>
      <c r="B5947" t="str">
        <f>"1551599369307017"</f>
        <v>1551599369307017</v>
      </c>
      <c r="C5947" t="s">
        <v>40</v>
      </c>
      <c r="D5947">
        <v>4.5109859999999999</v>
      </c>
      <c r="E5947">
        <v>0.38358690000000001</v>
      </c>
      <c r="F5947" t="s">
        <v>41</v>
      </c>
      <c r="G5947">
        <v>-417.98770000000002</v>
      </c>
      <c r="H5947" s="1">
        <v>-1.1173840000000001E-6</v>
      </c>
      <c r="I5947">
        <v>61.358159999999998</v>
      </c>
      <c r="J5947">
        <v>-421.95940000000002</v>
      </c>
      <c r="K5947">
        <v>1.120776</v>
      </c>
      <c r="L5947">
        <v>73.322479999999999</v>
      </c>
      <c r="M5947">
        <v>-1.46564E-2</v>
      </c>
      <c r="N5947">
        <v>-1.4738080000000001E-2</v>
      </c>
      <c r="O5947">
        <v>-0.99978400000000001</v>
      </c>
      <c r="P5947">
        <v>1.5094069999999999E-2</v>
      </c>
      <c r="Q5947">
        <v>-0.13189819999999999</v>
      </c>
      <c r="R5947">
        <v>-0.99114849999999999</v>
      </c>
      <c r="S5947">
        <v>0.96832280000000004</v>
      </c>
      <c r="T5947">
        <v>-0.27348359999999999</v>
      </c>
      <c r="U5947">
        <v>-2.9768370000000002</v>
      </c>
      <c r="V5947">
        <v>-2.9625240000000001E-2</v>
      </c>
      <c r="W5947">
        <v>-0.11727990000000001</v>
      </c>
      <c r="X5947">
        <v>0.99265689999999995</v>
      </c>
      <c r="Y5947">
        <v>-0.3221948</v>
      </c>
      <c r="Z5947">
        <v>7.2088769999999996E-2</v>
      </c>
      <c r="AA5947">
        <v>0.9439246</v>
      </c>
      <c r="AB5947">
        <v>24</v>
      </c>
      <c r="AC5947">
        <v>3.97169999999999</v>
      </c>
      <c r="AD5947">
        <v>-1.120777117384</v>
      </c>
      <c r="AE5947">
        <v>-11.964319999999899</v>
      </c>
      <c r="AF5947">
        <v>-4.1141270376512198</v>
      </c>
      <c r="AG5947">
        <v>-1.120777117384</v>
      </c>
      <c r="AH5947">
        <v>11.8114565471419</v>
      </c>
      <c r="AI5947">
        <v>95.120523709274494</v>
      </c>
      <c r="AJ5947">
        <v>109.204078175142</v>
      </c>
      <c r="AK5947">
        <v>12.557574940799901</v>
      </c>
      <c r="AL5947">
        <v>96.7351438978761</v>
      </c>
      <c r="AM5947">
        <v>91.709450200550805</v>
      </c>
      <c r="AN5947">
        <v>0.99999997545333796</v>
      </c>
    </row>
    <row r="5948" spans="1:40" x14ac:dyDescent="0.25">
      <c r="A5948" t="str">
        <f>"20190303154929335"</f>
        <v>20190303154929335</v>
      </c>
      <c r="B5948" t="str">
        <f>"1551599369326536"</f>
        <v>1551599369326536</v>
      </c>
      <c r="C5948" t="s">
        <v>40</v>
      </c>
      <c r="D5948">
        <v>4.506723</v>
      </c>
      <c r="E5948">
        <v>0.38354310000000003</v>
      </c>
      <c r="F5948" t="s">
        <v>41</v>
      </c>
      <c r="G5948">
        <v>-417.93150000000003</v>
      </c>
      <c r="H5948" s="1">
        <v>-1.013288E-6</v>
      </c>
      <c r="I5948">
        <v>61.008339999999997</v>
      </c>
      <c r="J5948">
        <v>-421.96289999999999</v>
      </c>
      <c r="K5948">
        <v>1.1207830000000001</v>
      </c>
      <c r="L5948">
        <v>73.089019999999906</v>
      </c>
      <c r="M5948">
        <v>-1.465641E-2</v>
      </c>
      <c r="N5948">
        <v>-1.4733319999999999E-2</v>
      </c>
      <c r="O5948">
        <v>-0.99978420000000001</v>
      </c>
      <c r="P5948">
        <v>1.549991E-2</v>
      </c>
      <c r="Q5948">
        <v>-0.1318877</v>
      </c>
      <c r="R5948">
        <v>-0.99114360000000001</v>
      </c>
      <c r="S5948">
        <v>0.97341920000000004</v>
      </c>
      <c r="T5948">
        <v>-0.27085479999999901</v>
      </c>
      <c r="U5948">
        <v>-2.9759220000000002</v>
      </c>
      <c r="V5948">
        <v>-3.0031370000000002E-2</v>
      </c>
      <c r="W5948">
        <v>-0.1172742</v>
      </c>
      <c r="X5948">
        <v>0.99264540000000001</v>
      </c>
      <c r="Y5948">
        <v>-0.32376059999999901</v>
      </c>
      <c r="Z5948">
        <v>7.1243699999999993E-2</v>
      </c>
      <c r="AA5948">
        <v>0.94345290000000004</v>
      </c>
      <c r="AB5948">
        <v>24</v>
      </c>
      <c r="AC5948">
        <v>4.0313999999999597</v>
      </c>
      <c r="AD5948">
        <v>-1.120784013288</v>
      </c>
      <c r="AE5948">
        <v>-12.0806799999999</v>
      </c>
      <c r="AF5948">
        <v>-4.1757057611762898</v>
      </c>
      <c r="AG5948">
        <v>-1.120784013288</v>
      </c>
      <c r="AH5948">
        <v>11.927911397621299</v>
      </c>
      <c r="AI5948">
        <v>95.068058376614005</v>
      </c>
      <c r="AJ5948">
        <v>109.29405484158001</v>
      </c>
      <c r="AK5948">
        <v>12.687306480016399</v>
      </c>
      <c r="AL5948">
        <v>96.734814838224494</v>
      </c>
      <c r="AM5948">
        <v>91.732890785780896</v>
      </c>
      <c r="AN5948">
        <v>1.0000000056554299</v>
      </c>
    </row>
    <row r="5949" spans="1:40" x14ac:dyDescent="0.25">
      <c r="A5949" t="str">
        <f>"20190303154929357"</f>
        <v>20190303154929357</v>
      </c>
      <c r="B5949" t="str">
        <f>"1551599369347033"</f>
        <v>1551599369347033</v>
      </c>
      <c r="C5949" t="s">
        <v>40</v>
      </c>
      <c r="D5949">
        <v>4.5153460000000001</v>
      </c>
      <c r="E5949">
        <v>0.38336920000000002</v>
      </c>
      <c r="F5949" t="s">
        <v>41</v>
      </c>
      <c r="G5949">
        <v>-417.91890000000001</v>
      </c>
      <c r="H5949" s="1">
        <v>-9.2825550000000001E-7</v>
      </c>
      <c r="I5949">
        <v>60.748649999999998</v>
      </c>
      <c r="J5949">
        <v>-421.96640000000002</v>
      </c>
      <c r="K5949">
        <v>1.120792</v>
      </c>
      <c r="L5949">
        <v>72.851590000000002</v>
      </c>
      <c r="M5949">
        <v>-1.465642E-2</v>
      </c>
      <c r="N5949">
        <v>-1.4728359999999999E-2</v>
      </c>
      <c r="O5949">
        <v>-0.99978420000000001</v>
      </c>
      <c r="P5949">
        <v>1.480596E-2</v>
      </c>
      <c r="Q5949">
        <v>-0.13113339999999901</v>
      </c>
      <c r="R5949">
        <v>-0.99125439999999998</v>
      </c>
      <c r="S5949">
        <v>0.97509769999999896</v>
      </c>
      <c r="T5949">
        <v>-0.2702504</v>
      </c>
      <c r="U5949">
        <v>-2.9755859999999998</v>
      </c>
      <c r="V5949">
        <v>-2.9339130000000001E-2</v>
      </c>
      <c r="W5949">
        <v>-0.11652319999999999</v>
      </c>
      <c r="X5949">
        <v>0.99275449999999998</v>
      </c>
      <c r="Y5949">
        <v>-0.32427709999999998</v>
      </c>
      <c r="Z5949">
        <v>7.1052069999999995E-2</v>
      </c>
      <c r="AA5949">
        <v>0.94328999999999996</v>
      </c>
      <c r="AB5949">
        <v>24</v>
      </c>
      <c r="AC5949">
        <v>4.0475000000000101</v>
      </c>
      <c r="AD5949">
        <v>-1.1207929282555</v>
      </c>
      <c r="AE5949">
        <v>-12.10294</v>
      </c>
      <c r="AF5949">
        <v>-4.1921359230573501</v>
      </c>
      <c r="AG5949">
        <v>-1.1207929282555</v>
      </c>
      <c r="AH5949">
        <v>11.9501391868267</v>
      </c>
      <c r="AI5949">
        <v>95.057583921211702</v>
      </c>
      <c r="AJ5949">
        <v>109.330986117026</v>
      </c>
      <c r="AK5949">
        <v>12.7136150236645</v>
      </c>
      <c r="AL5949">
        <v>96.691488902446906</v>
      </c>
      <c r="AM5949">
        <v>91.692784253402706</v>
      </c>
      <c r="AN5949">
        <v>0.99999996897882304</v>
      </c>
    </row>
    <row r="5950" spans="1:40" x14ac:dyDescent="0.25">
      <c r="A5950" t="str">
        <f>"20190303154929381"</f>
        <v>20190303154929381</v>
      </c>
      <c r="B5950" t="str">
        <f>"1551599369376313"</f>
        <v>1551599369376313</v>
      </c>
      <c r="C5950" t="s">
        <v>40</v>
      </c>
      <c r="D5950">
        <v>4.5743169999999997</v>
      </c>
      <c r="E5950">
        <v>0.40423619999999999</v>
      </c>
      <c r="F5950" t="s">
        <v>41</v>
      </c>
      <c r="G5950">
        <v>-417.89339999999999</v>
      </c>
      <c r="H5950" s="1">
        <v>-8.1927840000000003E-7</v>
      </c>
      <c r="I5950">
        <v>60.408439999999999</v>
      </c>
      <c r="J5950">
        <v>-421.96980000000002</v>
      </c>
      <c r="K5950">
        <v>1.1207940000000001</v>
      </c>
      <c r="L5950">
        <v>72.614140000000006</v>
      </c>
      <c r="M5950">
        <v>-1.465642E-2</v>
      </c>
      <c r="N5950">
        <v>-1.472332E-2</v>
      </c>
      <c r="O5950">
        <v>-0.99978420000000001</v>
      </c>
      <c r="P5950">
        <v>1.349591E-2</v>
      </c>
      <c r="Q5950">
        <v>-0.13062570000000001</v>
      </c>
      <c r="R5950">
        <v>-0.99134009999999995</v>
      </c>
      <c r="S5950">
        <v>0.97427370000000002</v>
      </c>
      <c r="T5950">
        <v>-0.26809699999999997</v>
      </c>
      <c r="U5950">
        <v>-2.9764400000000002</v>
      </c>
      <c r="V5950">
        <v>-2.8030449999999998E-2</v>
      </c>
      <c r="W5950">
        <v>-0.116019</v>
      </c>
      <c r="X5950">
        <v>0.99285140000000005</v>
      </c>
      <c r="Y5950">
        <v>-0.32397819999999999</v>
      </c>
      <c r="Z5950">
        <v>7.0363099999999998E-2</v>
      </c>
      <c r="AA5950">
        <v>0.94344430000000001</v>
      </c>
      <c r="AB5950">
        <v>24</v>
      </c>
      <c r="AC5950">
        <v>4.0764000000000298</v>
      </c>
      <c r="AD5950">
        <v>-1.1207948192783901</v>
      </c>
      <c r="AE5950">
        <v>-12.2057</v>
      </c>
      <c r="AF5950">
        <v>-4.2228396482100301</v>
      </c>
      <c r="AG5950">
        <v>-1.1207948192783901</v>
      </c>
      <c r="AH5950">
        <v>12.0532034632872</v>
      </c>
      <c r="AI5950">
        <v>95.015272022804993</v>
      </c>
      <c r="AJ5950">
        <v>109.307908539015</v>
      </c>
      <c r="AK5950">
        <v>12.8206189183212</v>
      </c>
      <c r="AL5950">
        <v>96.662402830722101</v>
      </c>
      <c r="AM5950">
        <v>91.6171604193419</v>
      </c>
      <c r="AN5950">
        <v>1.00000000848508</v>
      </c>
    </row>
    <row r="5951" spans="1:40" x14ac:dyDescent="0.25">
      <c r="A5951" t="str">
        <f>"20190303154929403"</f>
        <v>20190303154929403</v>
      </c>
      <c r="B5951" t="str">
        <f>"1551599369396809"</f>
        <v>1551599369396809</v>
      </c>
      <c r="C5951" t="s">
        <v>40</v>
      </c>
      <c r="D5951">
        <v>4.5929200000000003</v>
      </c>
      <c r="E5951">
        <v>0.4507293</v>
      </c>
      <c r="F5951" t="s">
        <v>41</v>
      </c>
      <c r="G5951">
        <v>-416.97250000000003</v>
      </c>
      <c r="H5951" s="1">
        <v>-2.412678E-6</v>
      </c>
      <c r="I5951">
        <v>54.004969999999901</v>
      </c>
      <c r="J5951">
        <v>-421.97329999999999</v>
      </c>
      <c r="K5951">
        <v>1.120792</v>
      </c>
      <c r="L5951">
        <v>72.377319999999997</v>
      </c>
      <c r="M5951">
        <v>-1.46564E-2</v>
      </c>
      <c r="N5951">
        <v>-1.4718180000000001E-2</v>
      </c>
      <c r="O5951">
        <v>-0.99978449999999996</v>
      </c>
      <c r="P5951">
        <v>1.222206E-2</v>
      </c>
      <c r="Q5951">
        <v>-0.13051399999999999</v>
      </c>
      <c r="R5951">
        <v>-0.99137149999999996</v>
      </c>
      <c r="S5951">
        <v>0.80334469999999902</v>
      </c>
      <c r="T5951">
        <v>-0.18017359999999999</v>
      </c>
      <c r="U5951">
        <v>-2.9915159999999998</v>
      </c>
      <c r="V5951">
        <v>-2.6756769999999999E-2</v>
      </c>
      <c r="W5951">
        <v>-0.1159118</v>
      </c>
      <c r="X5951">
        <v>0.99289910000000003</v>
      </c>
      <c r="Y5951">
        <v>-0.27309410000000001</v>
      </c>
      <c r="Z5951">
        <v>4.3217140000000001E-2</v>
      </c>
      <c r="AA5951">
        <v>0.96101610000000004</v>
      </c>
      <c r="AB5951">
        <v>24</v>
      </c>
      <c r="AC5951">
        <v>5.0007999999999697</v>
      </c>
      <c r="AD5951">
        <v>-1.1207944126780001</v>
      </c>
      <c r="AE5951">
        <v>-18.372350000000001</v>
      </c>
      <c r="AF5951">
        <v>-5.2513692338902898</v>
      </c>
      <c r="AG5951">
        <v>-1.1207944126780001</v>
      </c>
      <c r="AH5951">
        <v>18.233897098756401</v>
      </c>
      <c r="AI5951">
        <v>93.380350556617401</v>
      </c>
      <c r="AJ5951">
        <v>106.066420467567</v>
      </c>
      <c r="AK5951">
        <v>19.0081051752714</v>
      </c>
      <c r="AL5951">
        <v>96.656218748639006</v>
      </c>
      <c r="AM5951">
        <v>91.543640290287698</v>
      </c>
      <c r="AN5951">
        <v>1.0000000464504399</v>
      </c>
    </row>
    <row r="5952" spans="1:40" x14ac:dyDescent="0.25">
      <c r="A5952" t="str">
        <f>"20190303154929426"</f>
        <v>20190303154929426</v>
      </c>
      <c r="B5952" t="str">
        <f>"1551599369416329"</f>
        <v>1551599369416329</v>
      </c>
      <c r="C5952" t="s">
        <v>40</v>
      </c>
      <c r="D5952">
        <v>4.5366229999999996</v>
      </c>
      <c r="E5952">
        <v>0.45272000000000001</v>
      </c>
      <c r="F5952" t="s">
        <v>41</v>
      </c>
      <c r="G5952">
        <v>-417.3476</v>
      </c>
      <c r="H5952" s="1">
        <v>-7.9633959999999997E-7</v>
      </c>
      <c r="I5952">
        <v>39.914279999999998</v>
      </c>
      <c r="J5952">
        <v>-421.97680000000003</v>
      </c>
      <c r="K5952">
        <v>1.1207860000000001</v>
      </c>
      <c r="L5952">
        <v>72.141359999999906</v>
      </c>
      <c r="M5952">
        <v>-1.465637E-2</v>
      </c>
      <c r="N5952">
        <v>-1.4712909999999999E-2</v>
      </c>
      <c r="O5952">
        <v>-0.99978449999999996</v>
      </c>
      <c r="P5952">
        <v>1.121079E-2</v>
      </c>
      <c r="Q5952">
        <v>-0.1301032</v>
      </c>
      <c r="R5952">
        <v>-0.99143740000000002</v>
      </c>
      <c r="S5952">
        <v>0.42849730000000003</v>
      </c>
      <c r="T5952">
        <v>-0.1038221</v>
      </c>
      <c r="U5952">
        <v>-3.0071409999999998</v>
      </c>
      <c r="V5952">
        <v>-2.5746689999999999E-2</v>
      </c>
      <c r="W5952">
        <v>-0.1155051</v>
      </c>
      <c r="X5952">
        <v>0.99297310000000005</v>
      </c>
      <c r="Y5952">
        <v>-0.15548229999999999</v>
      </c>
      <c r="Z5952">
        <v>1.939395E-2</v>
      </c>
      <c r="AA5952">
        <v>0.98764830000000003</v>
      </c>
      <c r="AB5952">
        <v>24</v>
      </c>
      <c r="AC5952">
        <v>4.6292000000000204</v>
      </c>
      <c r="AD5952">
        <v>-1.1207867963396001</v>
      </c>
      <c r="AE5952">
        <v>-32.227079999999901</v>
      </c>
      <c r="AF5952">
        <v>-5.0950478771934797</v>
      </c>
      <c r="AG5952">
        <v>-1.1207867963396001</v>
      </c>
      <c r="AH5952">
        <v>32.117702249507097</v>
      </c>
      <c r="AI5952">
        <v>91.973932436201594</v>
      </c>
      <c r="AJ5952">
        <v>99.014101915417896</v>
      </c>
      <c r="AK5952">
        <v>32.538630482885097</v>
      </c>
      <c r="AL5952">
        <v>96.632759632889304</v>
      </c>
      <c r="AM5952">
        <v>91.485283152212205</v>
      </c>
      <c r="AN5952">
        <v>0.99999994874778597</v>
      </c>
    </row>
    <row r="5953" spans="1:40" x14ac:dyDescent="0.25">
      <c r="A5953" t="str">
        <f>"20190303154929447"</f>
        <v>20190303154929447</v>
      </c>
      <c r="B5953" t="str">
        <f>"1551599369436826"</f>
        <v>1551599369436826</v>
      </c>
      <c r="C5953" t="s">
        <v>40</v>
      </c>
      <c r="D5953">
        <v>4.5420220000000002</v>
      </c>
      <c r="E5953">
        <v>0.45305580000000001</v>
      </c>
      <c r="F5953" t="s">
        <v>64</v>
      </c>
      <c r="G5953">
        <v>-417.1087</v>
      </c>
      <c r="H5953" s="1">
        <v>-2.7926000000000002E-6</v>
      </c>
      <c r="I5953">
        <v>36.412999999999997</v>
      </c>
      <c r="J5953">
        <v>-421.98020000000002</v>
      </c>
      <c r="K5953">
        <v>1.12079</v>
      </c>
      <c r="L5953">
        <v>71.911379999999994</v>
      </c>
      <c r="M5953">
        <v>-1.465636E-2</v>
      </c>
      <c r="N5953">
        <v>-1.470773E-2</v>
      </c>
      <c r="O5953">
        <v>-0.99978469999999997</v>
      </c>
      <c r="P5953">
        <v>1.034537E-2</v>
      </c>
      <c r="Q5953">
        <v>-0.13066079999999999</v>
      </c>
      <c r="R5953">
        <v>-0.99137359999999997</v>
      </c>
      <c r="S5953">
        <v>0.40997309999999998</v>
      </c>
      <c r="T5953">
        <v>-9.4388719999999995E-2</v>
      </c>
      <c r="U5953">
        <v>-3.0089109999999999</v>
      </c>
      <c r="V5953">
        <v>-2.4880449999999998E-2</v>
      </c>
      <c r="W5953">
        <v>-0.11606859999999999</v>
      </c>
      <c r="X5953">
        <v>0.99292950000000002</v>
      </c>
      <c r="Y5953">
        <v>-0.14944669999999999</v>
      </c>
      <c r="Z5953">
        <v>1.6311450000000002E-2</v>
      </c>
      <c r="AA5953">
        <v>0.98863520000000005</v>
      </c>
      <c r="AB5953">
        <v>24</v>
      </c>
      <c r="AC5953">
        <v>4.8715000000000197</v>
      </c>
      <c r="AD5953">
        <v>-1.1207927926000001</v>
      </c>
      <c r="AE5953">
        <v>-35.498379999999997</v>
      </c>
      <c r="AF5953">
        <v>-5.3860399319399699</v>
      </c>
      <c r="AG5953">
        <v>-1.1207927926000001</v>
      </c>
      <c r="AH5953">
        <v>35.388534841169701</v>
      </c>
      <c r="AI5953">
        <v>91.793374084783295</v>
      </c>
      <c r="AJ5953">
        <v>98.6538521897442</v>
      </c>
      <c r="AK5953">
        <v>35.813600780109702</v>
      </c>
      <c r="AL5953">
        <v>96.665264260012407</v>
      </c>
      <c r="AM5953">
        <v>91.435395494511994</v>
      </c>
      <c r="AN5953">
        <v>0.99999997433420595</v>
      </c>
    </row>
    <row r="5954" spans="1:40" x14ac:dyDescent="0.25">
      <c r="A5954" t="str">
        <f>"20190303154929470"</f>
        <v>20190303154929470</v>
      </c>
      <c r="B5954" t="str">
        <f>"1551599369467081"</f>
        <v>1551599369467081</v>
      </c>
      <c r="C5954" t="s">
        <v>40</v>
      </c>
      <c r="D5954">
        <v>4.5471839999999997</v>
      </c>
      <c r="E5954">
        <v>0.45339010000000002</v>
      </c>
      <c r="F5954" t="s">
        <v>64</v>
      </c>
      <c r="G5954">
        <v>-417.14760000000001</v>
      </c>
      <c r="H5954" s="1">
        <v>-3.0513119999999998E-6</v>
      </c>
      <c r="I5954">
        <v>35.984580000000001</v>
      </c>
      <c r="J5954">
        <v>-421.9837</v>
      </c>
      <c r="K5954">
        <v>1.1207940000000001</v>
      </c>
      <c r="L5954">
        <v>71.672300000000007</v>
      </c>
      <c r="M5954">
        <v>-1.465636E-2</v>
      </c>
      <c r="N5954">
        <v>-1.470228E-2</v>
      </c>
      <c r="O5954">
        <v>-0.99978469999999997</v>
      </c>
      <c r="P5954">
        <v>9.8474600000000006E-3</v>
      </c>
      <c r="Q5954">
        <v>-0.1308936</v>
      </c>
      <c r="R5954">
        <v>-0.99134800000000001</v>
      </c>
      <c r="S5954">
        <v>0.4048157</v>
      </c>
      <c r="T5954">
        <v>-9.3885780000000002E-2</v>
      </c>
      <c r="U5954">
        <v>-3.0094910000000001</v>
      </c>
      <c r="V5954">
        <v>-2.4382149999999998E-2</v>
      </c>
      <c r="W5954">
        <v>-0.1163071</v>
      </c>
      <c r="X5954">
        <v>0.99291399999999996</v>
      </c>
      <c r="Y5954">
        <v>-0.14775839999999901</v>
      </c>
      <c r="Z5954">
        <v>1.615343E-2</v>
      </c>
      <c r="AA5954">
        <v>0.98889150000000003</v>
      </c>
      <c r="AB5954">
        <v>24</v>
      </c>
      <c r="AC5954">
        <v>4.8360999999999796</v>
      </c>
      <c r="AD5954">
        <v>-1.120797051312</v>
      </c>
      <c r="AE5954">
        <v>-35.687719999999999</v>
      </c>
      <c r="AF5954">
        <v>-5.3535039102018303</v>
      </c>
      <c r="AG5954">
        <v>-1.120797051312</v>
      </c>
      <c r="AH5954">
        <v>35.578539754876999</v>
      </c>
      <c r="AI5954">
        <v>91.7842652679537</v>
      </c>
      <c r="AJ5954">
        <v>98.557101865849901</v>
      </c>
      <c r="AK5954">
        <v>35.996509292376302</v>
      </c>
      <c r="AL5954">
        <v>96.6790221711519</v>
      </c>
      <c r="AM5954">
        <v>91.406681337903507</v>
      </c>
      <c r="AN5954">
        <v>1.00000002107251</v>
      </c>
    </row>
    <row r="5955" spans="1:40" x14ac:dyDescent="0.25">
      <c r="A5955" t="str">
        <f>"20190303154929492"</f>
        <v>20190303154929492</v>
      </c>
      <c r="B5955" t="str">
        <f>"1551599369486601"</f>
        <v>1551599369486601</v>
      </c>
      <c r="C5955" t="s">
        <v>40</v>
      </c>
      <c r="D5955">
        <v>4.5085620000000004</v>
      </c>
      <c r="E5955">
        <v>0.4530537</v>
      </c>
      <c r="F5955" t="s">
        <v>64</v>
      </c>
      <c r="G5955">
        <v>-417.1105</v>
      </c>
      <c r="H5955" s="1">
        <v>-3.5871949999999998E-6</v>
      </c>
      <c r="I5955">
        <v>35.01981</v>
      </c>
      <c r="J5955">
        <v>-421.98719999999997</v>
      </c>
      <c r="K5955">
        <v>1.1207819999999999</v>
      </c>
      <c r="L5955">
        <v>71.43338</v>
      </c>
      <c r="M5955">
        <v>-1.465636E-2</v>
      </c>
      <c r="N5955">
        <v>-1.469673E-2</v>
      </c>
      <c r="O5955">
        <v>-0.99978469999999997</v>
      </c>
      <c r="P5955">
        <v>9.3262199999999996E-3</v>
      </c>
      <c r="Q5955">
        <v>-0.1310491</v>
      </c>
      <c r="R5955">
        <v>-0.9913324</v>
      </c>
      <c r="S5955">
        <v>0.40020749999999999</v>
      </c>
      <c r="T5955">
        <v>-9.2045070000000007E-2</v>
      </c>
      <c r="U5955">
        <v>-3.0100709999999999</v>
      </c>
      <c r="V5955">
        <v>-2.3860889999999999E-2</v>
      </c>
      <c r="W5955">
        <v>-0.1164683</v>
      </c>
      <c r="X5955">
        <v>0.99290780000000001</v>
      </c>
      <c r="Y5955">
        <v>-0.14624819999999999</v>
      </c>
      <c r="Z5955">
        <v>1.5555039999999999E-2</v>
      </c>
      <c r="AA5955">
        <v>0.98912560000000005</v>
      </c>
      <c r="AB5955">
        <v>23</v>
      </c>
      <c r="AC5955">
        <v>4.8766999999999703</v>
      </c>
      <c r="AD5955">
        <v>-1.1207855871950001</v>
      </c>
      <c r="AE5955">
        <v>-36.41357</v>
      </c>
      <c r="AF5955">
        <v>-5.4048938501611099</v>
      </c>
      <c r="AG5955">
        <v>-1.1207855871950001</v>
      </c>
      <c r="AH5955">
        <v>36.304387995430098</v>
      </c>
      <c r="AI5955">
        <v>91.749003777929104</v>
      </c>
      <c r="AJ5955">
        <v>98.467836429294096</v>
      </c>
      <c r="AK5955">
        <v>36.721623406199001</v>
      </c>
      <c r="AL5955">
        <v>96.688321234394195</v>
      </c>
      <c r="AM5955">
        <v>91.376628534185798</v>
      </c>
      <c r="AN5955">
        <v>1.0000000531386499</v>
      </c>
    </row>
    <row r="5956" spans="1:40" x14ac:dyDescent="0.25">
      <c r="A5956" t="str">
        <f>"20190303154929513"</f>
        <v>20190303154929513</v>
      </c>
      <c r="B5956" t="str">
        <f>"1551599369507096"</f>
        <v>1551599369507096</v>
      </c>
      <c r="C5956" t="s">
        <v>40</v>
      </c>
      <c r="D5956">
        <v>4.5158009999999997</v>
      </c>
      <c r="E5956">
        <v>0.45232280000000002</v>
      </c>
      <c r="F5956" t="s">
        <v>64</v>
      </c>
      <c r="G5956">
        <v>-417.17340000000002</v>
      </c>
      <c r="H5956" s="1">
        <v>-3.454156E-6</v>
      </c>
      <c r="I5956">
        <v>35.237559999999903</v>
      </c>
      <c r="J5956">
        <v>-421.99040000000002</v>
      </c>
      <c r="K5956">
        <v>1.120784</v>
      </c>
      <c r="L5956">
        <v>71.21387</v>
      </c>
      <c r="M5956">
        <v>-1.465635E-2</v>
      </c>
      <c r="N5956">
        <v>-1.4691569999999999E-2</v>
      </c>
      <c r="O5956">
        <v>-0.99978469999999997</v>
      </c>
      <c r="P5956">
        <v>9.0958489999999996E-3</v>
      </c>
      <c r="Q5956">
        <v>-0.1312808</v>
      </c>
      <c r="R5956">
        <v>-0.99130370000000001</v>
      </c>
      <c r="S5956">
        <v>0.40032960000000001</v>
      </c>
      <c r="T5956">
        <v>-9.3208189999999996E-2</v>
      </c>
      <c r="U5956">
        <v>-3.0101619999999998</v>
      </c>
      <c r="V5956">
        <v>-2.3630120000000001E-2</v>
      </c>
      <c r="W5956">
        <v>-0.1167054</v>
      </c>
      <c r="X5956">
        <v>0.99288540000000003</v>
      </c>
      <c r="Y5956">
        <v>-0.14628239999999901</v>
      </c>
      <c r="Z5956">
        <v>1.5941299999999999E-2</v>
      </c>
      <c r="AA5956">
        <v>0.98911439999999995</v>
      </c>
      <c r="AB5956">
        <v>23</v>
      </c>
      <c r="AC5956">
        <v>4.8170000000000002</v>
      </c>
      <c r="AD5956">
        <v>-1.1207874541559999</v>
      </c>
      <c r="AE5956">
        <v>-35.976309999999998</v>
      </c>
      <c r="AF5956">
        <v>-5.3387305782744798</v>
      </c>
      <c r="AG5956">
        <v>-1.1207874541559999</v>
      </c>
      <c r="AH5956">
        <v>35.867639809297401</v>
      </c>
      <c r="AI5956">
        <v>91.7702984850539</v>
      </c>
      <c r="AJ5956">
        <v>98.466052586552806</v>
      </c>
      <c r="AK5956">
        <v>36.280101904408802</v>
      </c>
      <c r="AL5956">
        <v>96.701999865285302</v>
      </c>
      <c r="AM5956">
        <v>91.363350300696794</v>
      </c>
      <c r="AN5956">
        <v>0.99999997524676698</v>
      </c>
    </row>
    <row r="5957" spans="1:40" x14ac:dyDescent="0.25">
      <c r="A5957" t="str">
        <f>"20190303154929536"</f>
        <v>20190303154929536</v>
      </c>
      <c r="B5957" t="str">
        <f>"1551599369526617"</f>
        <v>1551599369526617</v>
      </c>
      <c r="C5957" t="s">
        <v>40</v>
      </c>
      <c r="D5957">
        <v>4.5687089999999904</v>
      </c>
      <c r="E5957">
        <v>0.4515904</v>
      </c>
      <c r="F5957" t="s">
        <v>64</v>
      </c>
      <c r="G5957">
        <v>-417.36919999999998</v>
      </c>
      <c r="H5957" s="1">
        <v>-2.3813719999999998E-6</v>
      </c>
      <c r="I5957">
        <v>36.95093</v>
      </c>
      <c r="J5957">
        <v>-421.9939</v>
      </c>
      <c r="K5957">
        <v>1.120789</v>
      </c>
      <c r="L5957">
        <v>70.976349999999996</v>
      </c>
      <c r="M5957">
        <v>-1.465633E-2</v>
      </c>
      <c r="N5957">
        <v>-1.468598E-2</v>
      </c>
      <c r="O5957">
        <v>-0.99978469999999997</v>
      </c>
      <c r="P5957">
        <v>8.9044789999999999E-3</v>
      </c>
      <c r="Q5957">
        <v>-0.13067480000000001</v>
      </c>
      <c r="R5957">
        <v>-0.99138559999999998</v>
      </c>
      <c r="S5957">
        <v>0.40591430000000001</v>
      </c>
      <c r="T5957">
        <v>-9.8446489999999998E-2</v>
      </c>
      <c r="U5957">
        <v>-3.0095519999999998</v>
      </c>
      <c r="V5957">
        <v>-2.343957E-2</v>
      </c>
      <c r="W5957">
        <v>-0.11610379999999999</v>
      </c>
      <c r="X5957">
        <v>0.99296050000000002</v>
      </c>
      <c r="Y5957">
        <v>-0.14810519999999999</v>
      </c>
      <c r="Z5957">
        <v>1.7665819999999999E-2</v>
      </c>
      <c r="AA5957">
        <v>0.98881379999999996</v>
      </c>
      <c r="AB5957">
        <v>23</v>
      </c>
      <c r="AC5957">
        <v>4.6247000000000096</v>
      </c>
      <c r="AD5957">
        <v>-1.1207913813720001</v>
      </c>
      <c r="AE5957">
        <v>-34.025419999999997</v>
      </c>
      <c r="AF5957">
        <v>-5.1174928171370002</v>
      </c>
      <c r="AG5957">
        <v>-1.1207913813720001</v>
      </c>
      <c r="AH5957">
        <v>33.917841705986497</v>
      </c>
      <c r="AI5957">
        <v>91.8714442811617</v>
      </c>
      <c r="AJ5957">
        <v>98.580018594356105</v>
      </c>
      <c r="AK5957">
        <v>34.320036306017499</v>
      </c>
      <c r="AL5957">
        <v>96.667294425608006</v>
      </c>
      <c r="AM5957">
        <v>91.352258288557707</v>
      </c>
      <c r="AN5957">
        <v>1.0000000301882299</v>
      </c>
    </row>
    <row r="5958" spans="1:40" x14ac:dyDescent="0.25">
      <c r="A5958" t="str">
        <f>"20190303154929559"</f>
        <v>20190303154929559</v>
      </c>
      <c r="B5958" t="str">
        <f>"1551599369547113"</f>
        <v>1551599369547113</v>
      </c>
      <c r="C5958" t="s">
        <v>40</v>
      </c>
      <c r="D5958">
        <v>4.5314100000000002</v>
      </c>
      <c r="E5958">
        <v>0.45058500000000001</v>
      </c>
      <c r="F5958" t="s">
        <v>64</v>
      </c>
      <c r="G5958">
        <v>-417.55560000000003</v>
      </c>
      <c r="H5958" s="1">
        <v>-1.327547E-6</v>
      </c>
      <c r="I5958">
        <v>38.530819999999999</v>
      </c>
      <c r="J5958">
        <v>-421.99740000000003</v>
      </c>
      <c r="K5958">
        <v>1.1207910000000001</v>
      </c>
      <c r="L5958">
        <v>70.740259999999907</v>
      </c>
      <c r="M5958">
        <v>-1.465635E-2</v>
      </c>
      <c r="N5958">
        <v>-1.4680260000000001E-2</v>
      </c>
      <c r="O5958">
        <v>-0.99978489999999998</v>
      </c>
      <c r="P5958">
        <v>8.9570069999999995E-3</v>
      </c>
      <c r="Q5958">
        <v>-0.12987899999999999</v>
      </c>
      <c r="R5958">
        <v>-0.99148959999999997</v>
      </c>
      <c r="S5958">
        <v>0.41156009999999998</v>
      </c>
      <c r="T5958">
        <v>-0.1039306</v>
      </c>
      <c r="U5958">
        <v>-3.008667</v>
      </c>
      <c r="V5958">
        <v>-2.349383E-2</v>
      </c>
      <c r="W5958">
        <v>-0.1153122</v>
      </c>
      <c r="X5958">
        <v>0.99305140000000003</v>
      </c>
      <c r="Y5958">
        <v>-0.14995810000000001</v>
      </c>
      <c r="Z5958">
        <v>1.9473589999999999E-2</v>
      </c>
      <c r="AA5958">
        <v>0.9885005</v>
      </c>
      <c r="AB5958">
        <v>23</v>
      </c>
      <c r="AC5958">
        <v>4.4417999999999997</v>
      </c>
      <c r="AD5958">
        <v>-1.120792327547</v>
      </c>
      <c r="AE5958">
        <v>-32.209439999999901</v>
      </c>
      <c r="AF5958">
        <v>-4.9076150666545901</v>
      </c>
      <c r="AG5958">
        <v>-1.120792327547</v>
      </c>
      <c r="AH5958">
        <v>32.1027264673763</v>
      </c>
      <c r="AI5958">
        <v>91.976592784869993</v>
      </c>
      <c r="AJ5958">
        <v>98.691642232643304</v>
      </c>
      <c r="AK5958">
        <v>32.495013582442503</v>
      </c>
      <c r="AL5958">
        <v>96.621632765714907</v>
      </c>
      <c r="AM5958">
        <v>91.355263429347005</v>
      </c>
      <c r="AN5958">
        <v>0.99999997327943402</v>
      </c>
    </row>
    <row r="5959" spans="1:40" x14ac:dyDescent="0.25">
      <c r="A5959" t="str">
        <f>"20190303154929582"</f>
        <v>20190303154929582</v>
      </c>
      <c r="B5959" t="str">
        <f>"1551599369577369"</f>
        <v>1551599369577369</v>
      </c>
      <c r="C5959" t="s">
        <v>40</v>
      </c>
      <c r="D5959">
        <v>4.5388260000000002</v>
      </c>
      <c r="E5959">
        <v>0.44936009999999998</v>
      </c>
      <c r="F5959" t="s">
        <v>64</v>
      </c>
      <c r="G5959">
        <v>-417.64789999999999</v>
      </c>
      <c r="H5959" s="1">
        <v>-6.6559309999999999E-7</v>
      </c>
      <c r="I5959">
        <v>39.533619999999999</v>
      </c>
      <c r="J5959">
        <v>-422.00069999999999</v>
      </c>
      <c r="K5959">
        <v>1.12079</v>
      </c>
      <c r="L5959">
        <v>70.511510000000001</v>
      </c>
      <c r="M5959">
        <v>-1.465637E-2</v>
      </c>
      <c r="N5959">
        <v>-1.4674690000000001E-2</v>
      </c>
      <c r="O5959">
        <v>-0.99978520000000004</v>
      </c>
      <c r="P5959">
        <v>9.3468579999999996E-3</v>
      </c>
      <c r="Q5959">
        <v>-0.12992899999999999</v>
      </c>
      <c r="R5959">
        <v>-0.99147989999999997</v>
      </c>
      <c r="S5959">
        <v>0.41921999999999998</v>
      </c>
      <c r="T5959">
        <v>-0.108026</v>
      </c>
      <c r="U5959">
        <v>-3.0078130000000001</v>
      </c>
      <c r="V5959">
        <v>-2.3883390000000001E-2</v>
      </c>
      <c r="W5959">
        <v>-0.115368</v>
      </c>
      <c r="X5959">
        <v>0.99303569999999997</v>
      </c>
      <c r="Y5959">
        <v>-0.1524595</v>
      </c>
      <c r="Z5959">
        <v>2.0821010000000001E-2</v>
      </c>
      <c r="AA5959">
        <v>0.98809040000000004</v>
      </c>
      <c r="AB5959">
        <v>23</v>
      </c>
      <c r="AC5959">
        <v>4.3528000000000002</v>
      </c>
      <c r="AD5959">
        <v>-1.1207906655930999</v>
      </c>
      <c r="AE5959">
        <v>-30.977889999999999</v>
      </c>
      <c r="AF5959">
        <v>-4.8002425997696898</v>
      </c>
      <c r="AG5959">
        <v>-1.1207906655930999</v>
      </c>
      <c r="AH5959">
        <v>30.871130421735199</v>
      </c>
      <c r="AI5959">
        <v>92.054568704654201</v>
      </c>
      <c r="AJ5959">
        <v>98.838311262126794</v>
      </c>
      <c r="AK5959">
        <v>31.262200726252601</v>
      </c>
      <c r="AL5959">
        <v>96.624850862975094</v>
      </c>
      <c r="AM5959">
        <v>91.377748743073994</v>
      </c>
      <c r="AN5959">
        <v>1.00000004660819</v>
      </c>
    </row>
    <row r="5960" spans="1:40" x14ac:dyDescent="0.25">
      <c r="A5960" t="str">
        <f>"20190303154929603"</f>
        <v>20190303154929603</v>
      </c>
      <c r="B5960" t="str">
        <f>"1551599369596889"</f>
        <v>1551599369596889</v>
      </c>
      <c r="C5960" t="s">
        <v>40</v>
      </c>
      <c r="D5960">
        <v>4.535196</v>
      </c>
      <c r="E5960">
        <v>0.44884740000000001</v>
      </c>
      <c r="F5960" t="s">
        <v>41</v>
      </c>
      <c r="G5960">
        <v>-417.8177</v>
      </c>
      <c r="H5960" s="1">
        <v>-1.1441960000000001E-6</v>
      </c>
      <c r="I5960">
        <v>41.304049999999997</v>
      </c>
      <c r="J5960">
        <v>-422.00409999999999</v>
      </c>
      <c r="K5960">
        <v>1.120787</v>
      </c>
      <c r="L5960">
        <v>70.283810000000003</v>
      </c>
      <c r="M5960">
        <v>-1.465636E-2</v>
      </c>
      <c r="N5960">
        <v>-1.4669359999999999E-2</v>
      </c>
      <c r="O5960">
        <v>-0.99978520000000004</v>
      </c>
      <c r="P5960">
        <v>1.001691E-2</v>
      </c>
      <c r="Q5960">
        <v>-0.13014980000000001</v>
      </c>
      <c r="R5960">
        <v>-0.99144410000000005</v>
      </c>
      <c r="S5960">
        <v>0.43060300000000001</v>
      </c>
      <c r="T5960">
        <v>-0.11537459999999999</v>
      </c>
      <c r="U5960">
        <v>-3.0066220000000001</v>
      </c>
      <c r="V5960">
        <v>-2.4552750000000002E-2</v>
      </c>
      <c r="W5960">
        <v>-0.11559469999999999</v>
      </c>
      <c r="X5960">
        <v>0.99299300000000001</v>
      </c>
      <c r="Y5960">
        <v>-0.1561679</v>
      </c>
      <c r="Z5960">
        <v>2.3232659999999999E-2</v>
      </c>
      <c r="AA5960">
        <v>0.98745729999999998</v>
      </c>
      <c r="AB5960">
        <v>23</v>
      </c>
      <c r="AC5960">
        <v>4.1863999999999901</v>
      </c>
      <c r="AD5960">
        <v>-1.1207881441959999</v>
      </c>
      <c r="AE5960">
        <v>-28.979759999999999</v>
      </c>
      <c r="AF5960">
        <v>-4.6039880293123296</v>
      </c>
      <c r="AG5960">
        <v>-1.1207881441959999</v>
      </c>
      <c r="AH5960">
        <v>28.872978845877199</v>
      </c>
      <c r="AI5960">
        <v>92.195279012524495</v>
      </c>
      <c r="AJ5960">
        <v>99.059918889378494</v>
      </c>
      <c r="AK5960">
        <v>29.259216996917299</v>
      </c>
      <c r="AL5960">
        <v>96.637927378145704</v>
      </c>
      <c r="AM5960">
        <v>91.416407132391598</v>
      </c>
      <c r="AN5960">
        <v>1.0000000351248199</v>
      </c>
    </row>
    <row r="5961" spans="1:40" x14ac:dyDescent="0.25">
      <c r="A5961" t="str">
        <f>"20190303154929626"</f>
        <v>20190303154929626</v>
      </c>
      <c r="B5961" t="str">
        <f>"1551599369617385"</f>
        <v>1551599369617385</v>
      </c>
      <c r="C5961" t="s">
        <v>40</v>
      </c>
      <c r="D5961">
        <v>4.5068380000000001</v>
      </c>
      <c r="E5961">
        <v>0.44842850000000001</v>
      </c>
      <c r="F5961" t="s">
        <v>41</v>
      </c>
      <c r="G5961">
        <v>-417.90219999999999</v>
      </c>
      <c r="H5961" s="1">
        <v>-1.42235E-6</v>
      </c>
      <c r="I5961">
        <v>42.0809</v>
      </c>
      <c r="J5961">
        <v>-422.00749999999999</v>
      </c>
      <c r="K5961">
        <v>1.1207879999999999</v>
      </c>
      <c r="L5961">
        <v>70.050780000000003</v>
      </c>
      <c r="M5961">
        <v>-1.465633E-2</v>
      </c>
      <c r="N5961">
        <v>-1.466404E-2</v>
      </c>
      <c r="O5961">
        <v>-0.99978520000000004</v>
      </c>
      <c r="P5961">
        <v>1.027453E-2</v>
      </c>
      <c r="Q5961">
        <v>-0.13003149999999999</v>
      </c>
      <c r="R5961">
        <v>-0.99145669999999997</v>
      </c>
      <c r="S5961">
        <v>0.43716430000000001</v>
      </c>
      <c r="T5961">
        <v>-0.1194509</v>
      </c>
      <c r="U5961">
        <v>-3.005798</v>
      </c>
      <c r="V5961">
        <v>-2.4810659999999998E-2</v>
      </c>
      <c r="W5961">
        <v>-0.1154816</v>
      </c>
      <c r="X5961">
        <v>0.99299970000000004</v>
      </c>
      <c r="Y5961">
        <v>-0.15830999999999901</v>
      </c>
      <c r="Z5961">
        <v>2.4573580000000001E-2</v>
      </c>
      <c r="AA5961">
        <v>0.98708359999999995</v>
      </c>
      <c r="AB5961">
        <v>23</v>
      </c>
      <c r="AC5961">
        <v>4.1052999999999997</v>
      </c>
      <c r="AD5961">
        <v>-1.1207894223499999</v>
      </c>
      <c r="AE5961">
        <v>-27.96988</v>
      </c>
      <c r="AF5961">
        <v>-4.5077532740813204</v>
      </c>
      <c r="AG5961">
        <v>-1.1207894223499999</v>
      </c>
      <c r="AH5961">
        <v>27.862903814750801</v>
      </c>
      <c r="AI5961">
        <v>92.273954138416698</v>
      </c>
      <c r="AJ5961">
        <v>99.189875769034103</v>
      </c>
      <c r="AK5961">
        <v>28.247432051414801</v>
      </c>
      <c r="AL5961">
        <v>96.631403859757896</v>
      </c>
      <c r="AM5961">
        <v>91.431269719532693</v>
      </c>
      <c r="AN5961">
        <v>0.99999998649414201</v>
      </c>
    </row>
    <row r="5962" spans="1:40" x14ac:dyDescent="0.25">
      <c r="A5962" t="str">
        <f>"20190303154929649"</f>
        <v>20190303154929649</v>
      </c>
      <c r="B5962" t="str">
        <f>"1551599369636905"</f>
        <v>1551599369636905</v>
      </c>
      <c r="C5962" t="s">
        <v>40</v>
      </c>
      <c r="D5962">
        <v>4.4902810000000004</v>
      </c>
      <c r="E5962">
        <v>0.4480094</v>
      </c>
      <c r="F5962" t="s">
        <v>41</v>
      </c>
      <c r="G5962">
        <v>-417.94490000000002</v>
      </c>
      <c r="H5962" s="1">
        <v>-1.5336419999999999E-6</v>
      </c>
      <c r="I5962">
        <v>42.357979999999998</v>
      </c>
      <c r="J5962">
        <v>-422.01089999999999</v>
      </c>
      <c r="K5962">
        <v>1.120792</v>
      </c>
      <c r="L5962">
        <v>69.816649999999996</v>
      </c>
      <c r="M5962">
        <v>-1.465632E-2</v>
      </c>
      <c r="N5962">
        <v>-1.465871E-2</v>
      </c>
      <c r="O5962">
        <v>-0.99978540000000005</v>
      </c>
      <c r="P5962">
        <v>1.030759E-2</v>
      </c>
      <c r="Q5962">
        <v>-0.13017010000000001</v>
      </c>
      <c r="R5962">
        <v>-0.9914385</v>
      </c>
      <c r="S5962">
        <v>0.44088749999999999</v>
      </c>
      <c r="T5962">
        <v>-0.1216328</v>
      </c>
      <c r="U5962">
        <v>-3.005341</v>
      </c>
      <c r="V5962">
        <v>-2.4843859999999999E-2</v>
      </c>
      <c r="W5962">
        <v>-0.1156256</v>
      </c>
      <c r="X5962">
        <v>0.99298209999999998</v>
      </c>
      <c r="Y5962">
        <v>-0.15952469999999999</v>
      </c>
      <c r="Z5962">
        <v>2.5293369999999999E-2</v>
      </c>
      <c r="AA5962">
        <v>0.98686989999999997</v>
      </c>
      <c r="AB5962">
        <v>23</v>
      </c>
      <c r="AC5962">
        <v>4.0659999999999696</v>
      </c>
      <c r="AD5962">
        <v>-1.1207935336419901</v>
      </c>
      <c r="AE5962">
        <v>-27.458670000000001</v>
      </c>
      <c r="AF5962">
        <v>-4.4607768843549396</v>
      </c>
      <c r="AG5962">
        <v>-1.1207935336419901</v>
      </c>
      <c r="AH5962">
        <v>27.351529354859299</v>
      </c>
      <c r="AI5962">
        <v>92.315952768347103</v>
      </c>
      <c r="AJ5962">
        <v>99.262850559180194</v>
      </c>
      <c r="AK5962">
        <v>27.7355523941165</v>
      </c>
      <c r="AL5962">
        <v>96.639710177957198</v>
      </c>
      <c r="AM5962">
        <v>91.433209544373895</v>
      </c>
      <c r="AN5962">
        <v>0.99999997383773398</v>
      </c>
    </row>
    <row r="5963" spans="1:40" x14ac:dyDescent="0.25">
      <c r="A5963" t="str">
        <f>"20190303154929671"</f>
        <v>20190303154929671</v>
      </c>
      <c r="B5963" t="str">
        <f>"1551599369667161"</f>
        <v>1551599369667161</v>
      </c>
      <c r="C5963" t="s">
        <v>40</v>
      </c>
      <c r="D5963">
        <v>4.5237290000000003</v>
      </c>
      <c r="E5963">
        <v>0.44743509999999997</v>
      </c>
      <c r="F5963" t="s">
        <v>41</v>
      </c>
      <c r="G5963">
        <v>-418.01420000000002</v>
      </c>
      <c r="H5963" s="1">
        <v>-1.707646E-6</v>
      </c>
      <c r="I5963">
        <v>42.79224</v>
      </c>
      <c r="J5963">
        <v>-422.01420000000002</v>
      </c>
      <c r="K5963">
        <v>1.120798</v>
      </c>
      <c r="L5963">
        <v>69.588589999999996</v>
      </c>
      <c r="M5963">
        <v>-1.465633E-2</v>
      </c>
      <c r="N5963">
        <v>-1.465347E-2</v>
      </c>
      <c r="O5963">
        <v>-0.99978540000000005</v>
      </c>
      <c r="P5963">
        <v>1.037242E-2</v>
      </c>
      <c r="Q5963">
        <v>-0.1300731</v>
      </c>
      <c r="R5963">
        <v>-0.99145050000000001</v>
      </c>
      <c r="S5963">
        <v>0.44439699999999999</v>
      </c>
      <c r="T5963">
        <v>-0.1246239</v>
      </c>
      <c r="U5963">
        <v>-3.0049130000000002</v>
      </c>
      <c r="V5963">
        <v>-2.490852E-2</v>
      </c>
      <c r="W5963">
        <v>-0.11553380000000001</v>
      </c>
      <c r="X5963">
        <v>0.99299119999999996</v>
      </c>
      <c r="Y5963">
        <v>-0.16066759999999999</v>
      </c>
      <c r="Z5963">
        <v>2.627846E-2</v>
      </c>
      <c r="AA5963">
        <v>0.9866587</v>
      </c>
      <c r="AB5963">
        <v>23</v>
      </c>
      <c r="AC5963">
        <v>4</v>
      </c>
      <c r="AD5963">
        <v>-1.1207997076459999</v>
      </c>
      <c r="AE5963">
        <v>-26.79635</v>
      </c>
      <c r="AF5963">
        <v>-4.3848445995775203</v>
      </c>
      <c r="AG5963">
        <v>-1.1207997076459999</v>
      </c>
      <c r="AH5963">
        <v>26.689165625447401</v>
      </c>
      <c r="AI5963">
        <v>92.372923110264196</v>
      </c>
      <c r="AJ5963">
        <v>99.3299492718821</v>
      </c>
      <c r="AK5963">
        <v>27.070179458763601</v>
      </c>
      <c r="AL5963">
        <v>96.634414708039401</v>
      </c>
      <c r="AM5963">
        <v>91.436924969774694</v>
      </c>
      <c r="AN5963">
        <v>1.00000000829423</v>
      </c>
    </row>
    <row r="5964" spans="1:40" x14ac:dyDescent="0.25">
      <c r="A5964" t="str">
        <f>"20190303154929693"</f>
        <v>20190303154929693</v>
      </c>
      <c r="B5964" t="str">
        <f>"1551599369686681"</f>
        <v>1551599369686681</v>
      </c>
      <c r="C5964" t="s">
        <v>40</v>
      </c>
      <c r="D5964">
        <v>4.5012860000000003</v>
      </c>
      <c r="E5964">
        <v>0.44713760000000002</v>
      </c>
      <c r="F5964" t="s">
        <v>41</v>
      </c>
      <c r="G5964">
        <v>-418.11189999999999</v>
      </c>
      <c r="H5964" s="1">
        <v>-1.9954290000000002E-6</v>
      </c>
      <c r="I5964">
        <v>43.50347</v>
      </c>
      <c r="J5964">
        <v>-422.01760000000002</v>
      </c>
      <c r="K5964">
        <v>1.120806</v>
      </c>
      <c r="L5964">
        <v>69.354950000000002</v>
      </c>
      <c r="M5964">
        <v>-1.465632E-2</v>
      </c>
      <c r="N5964">
        <v>-1.4648069999999999E-2</v>
      </c>
      <c r="O5964">
        <v>-0.99978540000000005</v>
      </c>
      <c r="P5964">
        <v>1.052021E-2</v>
      </c>
      <c r="Q5964">
        <v>-0.1301059</v>
      </c>
      <c r="R5964">
        <v>-0.99144449999999995</v>
      </c>
      <c r="S5964">
        <v>0.44943240000000001</v>
      </c>
      <c r="T5964">
        <v>-0.12908330000000001</v>
      </c>
      <c r="U5964">
        <v>-3.0042420000000001</v>
      </c>
      <c r="V5964">
        <v>-2.5056620000000002E-2</v>
      </c>
      <c r="W5964">
        <v>-0.11557199999999999</v>
      </c>
      <c r="X5964">
        <v>0.99298299999999995</v>
      </c>
      <c r="Y5964">
        <v>-0.16230890000000001</v>
      </c>
      <c r="Z5964">
        <v>2.7745189999999999E-2</v>
      </c>
      <c r="AA5964">
        <v>0.98634980000000005</v>
      </c>
      <c r="AB5964">
        <v>23</v>
      </c>
      <c r="AC5964">
        <v>3.9057000000000199</v>
      </c>
      <c r="AD5964">
        <v>-1.120807995429</v>
      </c>
      <c r="AE5964">
        <v>-25.851479999999999</v>
      </c>
      <c r="AF5964">
        <v>-4.2763496519721702</v>
      </c>
      <c r="AG5964">
        <v>-1.120807995429</v>
      </c>
      <c r="AH5964">
        <v>25.744141705170499</v>
      </c>
      <c r="AI5964">
        <v>92.459224535307897</v>
      </c>
      <c r="AJ5964">
        <v>99.4312657102017</v>
      </c>
      <c r="AK5964">
        <v>26.120953448226999</v>
      </c>
      <c r="AL5964">
        <v>96.636618356741593</v>
      </c>
      <c r="AM5964">
        <v>91.445476893634506</v>
      </c>
      <c r="AN5964">
        <v>0.99999997983941102</v>
      </c>
    </row>
    <row r="5965" spans="1:40" x14ac:dyDescent="0.25">
      <c r="A5965" t="str">
        <f>"20190303154929715"</f>
        <v>20190303154929715</v>
      </c>
      <c r="B5965" t="str">
        <f>"1551599369707178"</f>
        <v>1551599369707178</v>
      </c>
      <c r="C5965" t="s">
        <v>40</v>
      </c>
      <c r="D5965">
        <v>4.5122119999999999</v>
      </c>
      <c r="E5965">
        <v>0.44680409999999998</v>
      </c>
      <c r="F5965" t="s">
        <v>41</v>
      </c>
      <c r="G5965">
        <v>-418.16789999999997</v>
      </c>
      <c r="H5965" s="1">
        <v>-2.1150940000000001E-6</v>
      </c>
      <c r="I5965">
        <v>43.80556</v>
      </c>
      <c r="J5965">
        <v>-422.02089999999998</v>
      </c>
      <c r="K5965">
        <v>1.1208089999999999</v>
      </c>
      <c r="L5965">
        <v>69.129429999999999</v>
      </c>
      <c r="M5965">
        <v>-1.4656310000000001E-2</v>
      </c>
      <c r="N5965">
        <v>-1.4642809999999999E-2</v>
      </c>
      <c r="O5965">
        <v>-0.9997857</v>
      </c>
      <c r="P5965">
        <v>1.0157380000000001E-2</v>
      </c>
      <c r="Q5965">
        <v>-0.13029350000000001</v>
      </c>
      <c r="R5965">
        <v>-0.99142370000000002</v>
      </c>
      <c r="S5965">
        <v>0.45260620000000001</v>
      </c>
      <c r="T5965">
        <v>-0.13177079999999999</v>
      </c>
      <c r="U5965">
        <v>-3.003784</v>
      </c>
      <c r="V5965">
        <v>-2.4692889999999999E-2</v>
      </c>
      <c r="W5965">
        <v>-0.1157651</v>
      </c>
      <c r="X5965">
        <v>0.99296960000000001</v>
      </c>
      <c r="Y5965">
        <v>-0.16334479999999901</v>
      </c>
      <c r="Z5965">
        <v>2.8631360000000002E-2</v>
      </c>
      <c r="AA5965">
        <v>0.98615350000000002</v>
      </c>
      <c r="AB5965">
        <v>23</v>
      </c>
      <c r="AC5965">
        <v>3.8530000000000002</v>
      </c>
      <c r="AD5965">
        <v>-1.1208111150940001</v>
      </c>
      <c r="AE5965">
        <v>-25.323869999999999</v>
      </c>
      <c r="AF5965">
        <v>-4.21570905790532</v>
      </c>
      <c r="AG5965">
        <v>-1.1208111150940001</v>
      </c>
      <c r="AH5965">
        <v>25.2163946607564</v>
      </c>
      <c r="AI5965">
        <v>92.510199116290906</v>
      </c>
      <c r="AJ5965">
        <v>99.491007913868998</v>
      </c>
      <c r="AK5965">
        <v>25.590915968437798</v>
      </c>
      <c r="AL5965">
        <v>96.647757055700097</v>
      </c>
      <c r="AM5965">
        <v>91.424521808509397</v>
      </c>
      <c r="AN5965">
        <v>0.99999996185936002</v>
      </c>
    </row>
    <row r="5966" spans="1:40" x14ac:dyDescent="0.25">
      <c r="A5966" t="str">
        <f>"20190303154929737"</f>
        <v>20190303154929737</v>
      </c>
      <c r="B5966" t="str">
        <f>"1551599369726698"</f>
        <v>1551599369726698</v>
      </c>
      <c r="C5966" t="s">
        <v>40</v>
      </c>
      <c r="D5966">
        <v>4.5486449999999996</v>
      </c>
      <c r="E5966">
        <v>0.44658009999999898</v>
      </c>
      <c r="F5966" t="s">
        <v>41</v>
      </c>
      <c r="G5966">
        <v>-418.21719999999999</v>
      </c>
      <c r="H5966" s="1">
        <v>-2.174374E-6</v>
      </c>
      <c r="I5966">
        <v>43.964129999999997</v>
      </c>
      <c r="J5966">
        <v>-422.02420000000001</v>
      </c>
      <c r="K5966">
        <v>1.1208119999999999</v>
      </c>
      <c r="L5966">
        <v>68.906739999999999</v>
      </c>
      <c r="M5966">
        <v>-1.4656280000000001E-2</v>
      </c>
      <c r="N5966">
        <v>-1.4637539999999999E-2</v>
      </c>
      <c r="O5966">
        <v>-0.99978540000000005</v>
      </c>
      <c r="P5966">
        <v>9.7212089999999998E-3</v>
      </c>
      <c r="Q5966">
        <v>-0.13004839999999901</v>
      </c>
      <c r="R5966">
        <v>-0.99146029999999996</v>
      </c>
      <c r="S5966">
        <v>0.45401000000000002</v>
      </c>
      <c r="T5966">
        <v>-0.13377979999999901</v>
      </c>
      <c r="U5966">
        <v>-3.0037229999999999</v>
      </c>
      <c r="V5966">
        <v>-2.425749E-2</v>
      </c>
      <c r="W5966">
        <v>-0.11552460000000001</v>
      </c>
      <c r="X5966">
        <v>0.99300840000000001</v>
      </c>
      <c r="Y5966">
        <v>-0.16379449999999901</v>
      </c>
      <c r="Z5966">
        <v>2.9293199999999998E-2</v>
      </c>
      <c r="AA5966">
        <v>0.98605949999999998</v>
      </c>
      <c r="AB5966">
        <v>23</v>
      </c>
      <c r="AC5966">
        <v>3.8070000000000102</v>
      </c>
      <c r="AD5966">
        <v>-1.1208141743739899</v>
      </c>
      <c r="AE5966">
        <v>-24.942609999999998</v>
      </c>
      <c r="AF5966">
        <v>-4.1639794943494604</v>
      </c>
      <c r="AG5966">
        <v>-1.1208141743739899</v>
      </c>
      <c r="AH5966">
        <v>24.835122016480501</v>
      </c>
      <c r="AI5966">
        <v>92.548492108926695</v>
      </c>
      <c r="AJ5966">
        <v>99.5179647356114</v>
      </c>
      <c r="AK5966">
        <v>25.206710122828699</v>
      </c>
      <c r="AL5966">
        <v>96.633883950529693</v>
      </c>
      <c r="AM5966">
        <v>91.399359196766696</v>
      </c>
      <c r="AN5966">
        <v>1.0000000207484001</v>
      </c>
    </row>
    <row r="5967" spans="1:40" x14ac:dyDescent="0.25">
      <c r="A5967" t="str">
        <f>"20190303154929760"</f>
        <v>20190303154929760</v>
      </c>
      <c r="B5967" t="str">
        <f>"1551599369756953"</f>
        <v>1551599369756953</v>
      </c>
      <c r="C5967" t="s">
        <v>40</v>
      </c>
      <c r="D5967">
        <v>4.4946190000000001</v>
      </c>
      <c r="E5967">
        <v>0.44621860000000002</v>
      </c>
      <c r="F5967" t="s">
        <v>41</v>
      </c>
      <c r="G5967">
        <v>-418.27229999999997</v>
      </c>
      <c r="H5967" s="1">
        <v>-2.2224040000000002E-6</v>
      </c>
      <c r="I5967">
        <v>44.098880000000001</v>
      </c>
      <c r="J5967">
        <v>-422.02760000000001</v>
      </c>
      <c r="K5967">
        <v>1.120808</v>
      </c>
      <c r="L5967">
        <v>68.675079999999994</v>
      </c>
      <c r="M5967">
        <v>-1.4656270000000001E-2</v>
      </c>
      <c r="N5967">
        <v>-1.463209E-2</v>
      </c>
      <c r="O5967">
        <v>-0.9997857</v>
      </c>
      <c r="P5967">
        <v>9.8889319999999996E-3</v>
      </c>
      <c r="Q5967">
        <v>-0.13009490000000001</v>
      </c>
      <c r="R5967">
        <v>-0.99145260000000002</v>
      </c>
      <c r="S5967">
        <v>0.4542542</v>
      </c>
      <c r="T5967">
        <v>-0.13570209999999999</v>
      </c>
      <c r="U5967">
        <v>-3.0036010000000002</v>
      </c>
      <c r="V5967">
        <v>-2.4424959999999999E-2</v>
      </c>
      <c r="W5967">
        <v>-0.1155767</v>
      </c>
      <c r="X5967">
        <v>0.99299820000000005</v>
      </c>
      <c r="Y5967">
        <v>-0.1638752</v>
      </c>
      <c r="Z5967">
        <v>2.993032E-2</v>
      </c>
      <c r="AA5967">
        <v>0.98602690000000004</v>
      </c>
      <c r="AB5967">
        <v>23</v>
      </c>
      <c r="AC5967">
        <v>3.7553000000000298</v>
      </c>
      <c r="AD5967">
        <v>-1.120810222404</v>
      </c>
      <c r="AE5967">
        <v>-24.5762</v>
      </c>
      <c r="AF5967">
        <v>-4.1067838208817102</v>
      </c>
      <c r="AG5967">
        <v>-1.120810222404</v>
      </c>
      <c r="AH5967">
        <v>24.468784579488201</v>
      </c>
      <c r="AI5967">
        <v>92.586513834670299</v>
      </c>
      <c r="AJ5967">
        <v>99.527590062362805</v>
      </c>
      <c r="AK5967">
        <v>24.836330399306199</v>
      </c>
      <c r="AL5967">
        <v>96.636889404382103</v>
      </c>
      <c r="AM5967">
        <v>91.409030744793796</v>
      </c>
      <c r="AN5967">
        <v>0.99999998872856499</v>
      </c>
    </row>
    <row r="5968" spans="1:40" x14ac:dyDescent="0.25">
      <c r="A5968" t="str">
        <f>"20190303154929783"</f>
        <v>20190303154929783</v>
      </c>
      <c r="B5968" t="str">
        <f>"1551599369777449"</f>
        <v>1551599369777449</v>
      </c>
      <c r="C5968" t="s">
        <v>40</v>
      </c>
      <c r="D5968">
        <v>4.5047829999999998</v>
      </c>
      <c r="E5968">
        <v>0.44598680000000002</v>
      </c>
      <c r="F5968" t="s">
        <v>41</v>
      </c>
      <c r="G5968">
        <v>-418.32900000000001</v>
      </c>
      <c r="H5968" s="1">
        <v>-2.3553510000000001E-6</v>
      </c>
      <c r="I5968">
        <v>44.432220000000001</v>
      </c>
      <c r="J5968">
        <v>-422.03100000000001</v>
      </c>
      <c r="K5968">
        <v>1.1208100000000001</v>
      </c>
      <c r="L5968">
        <v>68.443019999999905</v>
      </c>
      <c r="M5968">
        <v>-1.4656260000000001E-2</v>
      </c>
      <c r="N5968">
        <v>-1.462664E-2</v>
      </c>
      <c r="O5968">
        <v>-0.99978590000000001</v>
      </c>
      <c r="P5968">
        <v>9.9644929999999996E-3</v>
      </c>
      <c r="Q5968">
        <v>-0.13000929999999999</v>
      </c>
      <c r="R5968">
        <v>-0.99146319999999999</v>
      </c>
      <c r="S5968">
        <v>0.45816040000000002</v>
      </c>
      <c r="T5968">
        <v>-0.138840299999999</v>
      </c>
      <c r="U5968">
        <v>-3.003082</v>
      </c>
      <c r="V5968">
        <v>-2.4500950000000001E-2</v>
      </c>
      <c r="W5968">
        <v>-0.1154963</v>
      </c>
      <c r="X5968">
        <v>0.99300569999999999</v>
      </c>
      <c r="Y5968">
        <v>-0.1651474</v>
      </c>
      <c r="Z5968">
        <v>3.0963230000000001E-2</v>
      </c>
      <c r="AA5968">
        <v>0.98578270000000001</v>
      </c>
      <c r="AB5968">
        <v>23</v>
      </c>
      <c r="AC5968">
        <v>3.7019999999999902</v>
      </c>
      <c r="AD5968">
        <v>-1.1208123553509901</v>
      </c>
      <c r="AE5968">
        <v>-24.0107999999999</v>
      </c>
      <c r="AF5968">
        <v>-4.0449391877846699</v>
      </c>
      <c r="AG5968">
        <v>-1.1208123553509901</v>
      </c>
      <c r="AH5968">
        <v>23.903082340588298</v>
      </c>
      <c r="AI5968">
        <v>92.647046558548794</v>
      </c>
      <c r="AJ5968">
        <v>99.604743172313405</v>
      </c>
      <c r="AK5968">
        <v>24.268809174529501</v>
      </c>
      <c r="AL5968">
        <v>96.632251651099097</v>
      </c>
      <c r="AM5968">
        <v>91.413402020856495</v>
      </c>
      <c r="AN5968">
        <v>1.0000000060485399</v>
      </c>
    </row>
    <row r="5969" spans="1:40" x14ac:dyDescent="0.25">
      <c r="A5969" t="str">
        <f>"20190303154929804"</f>
        <v>20190303154929804</v>
      </c>
      <c r="B5969" t="str">
        <f>"1551599369796969"</f>
        <v>1551599369796969</v>
      </c>
      <c r="C5969" t="s">
        <v>40</v>
      </c>
      <c r="D5969">
        <v>4.4316810000000002</v>
      </c>
      <c r="E5969">
        <v>0.44586520000000002</v>
      </c>
      <c r="F5969" t="s">
        <v>41</v>
      </c>
      <c r="G5969">
        <v>-418.33760000000001</v>
      </c>
      <c r="H5969" s="1">
        <v>-2.317722E-6</v>
      </c>
      <c r="I5969">
        <v>44.348080000000003</v>
      </c>
      <c r="J5969">
        <v>-422.03410000000002</v>
      </c>
      <c r="K5969">
        <v>1.1208100000000001</v>
      </c>
      <c r="L5969">
        <v>68.228819999999999</v>
      </c>
      <c r="M5969">
        <v>-1.4656260000000001E-2</v>
      </c>
      <c r="N5969">
        <v>-1.4621520000000001E-2</v>
      </c>
      <c r="O5969">
        <v>-0.99978590000000001</v>
      </c>
      <c r="P5969">
        <v>9.7989749999999997E-3</v>
      </c>
      <c r="Q5969">
        <v>-0.12962370000000001</v>
      </c>
      <c r="R5969">
        <v>-0.99151529999999999</v>
      </c>
      <c r="S5969">
        <v>0.4602966</v>
      </c>
      <c r="T5969">
        <v>-0.13968429999999901</v>
      </c>
      <c r="U5969">
        <v>-3.0028990000000002</v>
      </c>
      <c r="V5969">
        <v>-2.4335829999999999E-2</v>
      </c>
      <c r="W5969">
        <v>-0.1151151</v>
      </c>
      <c r="X5969">
        <v>0.99305399999999999</v>
      </c>
      <c r="Y5969">
        <v>-0.1658396</v>
      </c>
      <c r="Z5969">
        <v>3.1242639999999999E-2</v>
      </c>
      <c r="AA5969">
        <v>0.98565769999999997</v>
      </c>
      <c r="AB5969">
        <v>23</v>
      </c>
      <c r="AC5969">
        <v>3.6965000000000101</v>
      </c>
      <c r="AD5969">
        <v>-1.120812317722</v>
      </c>
      <c r="AE5969">
        <v>-23.880739999999999</v>
      </c>
      <c r="AF5969">
        <v>-4.0374570484092303</v>
      </c>
      <c r="AG5969">
        <v>-1.120812317722</v>
      </c>
      <c r="AH5969">
        <v>23.772850888119802</v>
      </c>
      <c r="AI5969">
        <v>92.661258464204195</v>
      </c>
      <c r="AJ5969">
        <v>99.638844897523697</v>
      </c>
      <c r="AK5969">
        <v>24.139298229610699</v>
      </c>
      <c r="AL5969">
        <v>96.610263996187399</v>
      </c>
      <c r="AM5969">
        <v>91.4038122080335</v>
      </c>
      <c r="AN5969">
        <v>0.99999998289289904</v>
      </c>
    </row>
    <row r="5970" spans="1:40" x14ac:dyDescent="0.25">
      <c r="A5970" t="str">
        <f>"20190303154929827"</f>
        <v>20190303154929827</v>
      </c>
      <c r="B5970" t="str">
        <f>"1551599369817466"</f>
        <v>1551599369817466</v>
      </c>
      <c r="C5970" t="s">
        <v>40</v>
      </c>
      <c r="D5970">
        <v>4.4548579999999998</v>
      </c>
      <c r="E5970">
        <v>0.42465619999999998</v>
      </c>
      <c r="F5970" t="s">
        <v>41</v>
      </c>
      <c r="G5970">
        <v>-418.31369999999998</v>
      </c>
      <c r="H5970" s="1">
        <v>-2.170745E-6</v>
      </c>
      <c r="I5970">
        <v>43.995570000000001</v>
      </c>
      <c r="J5970">
        <v>-422.03750000000002</v>
      </c>
      <c r="K5970">
        <v>1.1208089999999999</v>
      </c>
      <c r="L5970">
        <v>67.99588</v>
      </c>
      <c r="M5970">
        <v>-1.4656249999999999E-2</v>
      </c>
      <c r="N5970">
        <v>-1.4615889999999999E-2</v>
      </c>
      <c r="O5970">
        <v>-0.99978590000000001</v>
      </c>
      <c r="P5970">
        <v>1.007795E-2</v>
      </c>
      <c r="Q5970">
        <v>-0.1301426</v>
      </c>
      <c r="R5970">
        <v>-0.99144429999999995</v>
      </c>
      <c r="S5970">
        <v>0.46102910000000002</v>
      </c>
      <c r="T5970">
        <v>-0.13888989999999901</v>
      </c>
      <c r="U5970">
        <v>-3.0029599999999999</v>
      </c>
      <c r="V5970">
        <v>-2.4614179999999999E-2</v>
      </c>
      <c r="W5970">
        <v>-0.1156406</v>
      </c>
      <c r="X5970">
        <v>0.99298609999999998</v>
      </c>
      <c r="Y5970">
        <v>-0.1660729</v>
      </c>
      <c r="Z5970">
        <v>3.0985140000000001E-2</v>
      </c>
      <c r="AA5970">
        <v>0.98562660000000002</v>
      </c>
      <c r="AB5970">
        <v>23</v>
      </c>
      <c r="AC5970">
        <v>3.7238000000000402</v>
      </c>
      <c r="AD5970">
        <v>-1.1208111707449999</v>
      </c>
      <c r="AE5970">
        <v>-24.000309999999999</v>
      </c>
      <c r="AF5970">
        <v>-4.0665318921270597</v>
      </c>
      <c r="AG5970">
        <v>-1.1208111707449999</v>
      </c>
      <c r="AH5970">
        <v>23.892267631562</v>
      </c>
      <c r="AI5970">
        <v>92.647812600755998</v>
      </c>
      <c r="AJ5970">
        <v>99.659340578386207</v>
      </c>
      <c r="AK5970">
        <v>24.261767286995799</v>
      </c>
      <c r="AL5970">
        <v>96.640575240800501</v>
      </c>
      <c r="AM5970">
        <v>91.419959340243395</v>
      </c>
      <c r="AN5970">
        <v>1.0000000005093199</v>
      </c>
    </row>
    <row r="5971" spans="1:40" x14ac:dyDescent="0.25">
      <c r="A5971" t="str">
        <f>"20190303154929851"</f>
        <v>20190303154929851</v>
      </c>
      <c r="B5971" t="str">
        <f>"1551599369846745"</f>
        <v>1551599369846745</v>
      </c>
      <c r="C5971" t="s">
        <v>40</v>
      </c>
      <c r="D5971">
        <v>4.4876769999999997</v>
      </c>
      <c r="E5971">
        <v>0.35383769999999998</v>
      </c>
      <c r="F5971" t="s">
        <v>41</v>
      </c>
      <c r="G5971">
        <v>-417.59440000000001</v>
      </c>
      <c r="H5971" s="1">
        <v>-3.5330540000000001E-6</v>
      </c>
      <c r="I5971">
        <v>46.873730000000002</v>
      </c>
      <c r="J5971">
        <v>-422.041</v>
      </c>
      <c r="K5971">
        <v>1.1208089999999999</v>
      </c>
      <c r="L5971">
        <v>67.758939999999996</v>
      </c>
      <c r="M5971">
        <v>-1.4656260000000001E-2</v>
      </c>
      <c r="N5971">
        <v>-1.4610100000000001E-2</v>
      </c>
      <c r="O5971">
        <v>-0.99978610000000001</v>
      </c>
      <c r="P5971">
        <v>1.026119E-2</v>
      </c>
      <c r="Q5971">
        <v>-0.13106409999999999</v>
      </c>
      <c r="R5971">
        <v>-0.99132120000000001</v>
      </c>
      <c r="S5971">
        <v>0.63076779999999999</v>
      </c>
      <c r="T5971">
        <v>-0.1591157</v>
      </c>
      <c r="U5971">
        <v>-2.998596</v>
      </c>
      <c r="V5971">
        <v>-2.4795649999999999E-2</v>
      </c>
      <c r="W5971">
        <v>-0.1165696</v>
      </c>
      <c r="X5971">
        <v>0.99287300000000001</v>
      </c>
      <c r="Y5971">
        <v>-0.21992310000000001</v>
      </c>
      <c r="Z5971">
        <v>3.7149059999999998E-2</v>
      </c>
      <c r="AA5971">
        <v>0.97480960000000005</v>
      </c>
      <c r="AB5971">
        <v>23</v>
      </c>
      <c r="AC5971">
        <v>4.4465999999999797</v>
      </c>
      <c r="AD5971">
        <v>-1.120812533054</v>
      </c>
      <c r="AE5971">
        <v>-20.885209999999901</v>
      </c>
      <c r="AF5971">
        <v>-4.7391970636306704</v>
      </c>
      <c r="AG5971">
        <v>-1.120812533054</v>
      </c>
      <c r="AH5971">
        <v>20.760591586123901</v>
      </c>
      <c r="AI5971">
        <v>93.012898693793304</v>
      </c>
      <c r="AJ5971">
        <v>102.85905123054199</v>
      </c>
      <c r="AK5971">
        <v>21.3241265365786</v>
      </c>
      <c r="AL5971">
        <v>96.694165156860706</v>
      </c>
      <c r="AM5971">
        <v>91.430586644396797</v>
      </c>
      <c r="AN5971">
        <v>1.00000004501604</v>
      </c>
    </row>
    <row r="5972" spans="1:40" x14ac:dyDescent="0.25">
      <c r="A5972" t="str">
        <f>"20190303154929872"</f>
        <v>20190303154929872</v>
      </c>
      <c r="B5972" t="str">
        <f>"1551599369867241"</f>
        <v>1551599369867241</v>
      </c>
      <c r="C5972" t="s">
        <v>40</v>
      </c>
      <c r="D5972">
        <v>4.4417269999999904</v>
      </c>
      <c r="E5972">
        <v>0.34875780000000001</v>
      </c>
      <c r="F5972" t="s">
        <v>41</v>
      </c>
      <c r="G5972">
        <v>-418.20269999999999</v>
      </c>
      <c r="H5972" s="1">
        <v>-4.0103749999999997E-6</v>
      </c>
      <c r="I5972">
        <v>58.237900000000003</v>
      </c>
      <c r="J5972">
        <v>-422.04410000000001</v>
      </c>
      <c r="K5972">
        <v>1.1208100000000001</v>
      </c>
      <c r="L5972">
        <v>67.546539999999993</v>
      </c>
      <c r="M5972">
        <v>-1.4656260000000001E-2</v>
      </c>
      <c r="N5972">
        <v>-1.460496E-2</v>
      </c>
      <c r="O5972">
        <v>-0.99978610000000001</v>
      </c>
      <c r="P5972">
        <v>1.059176E-2</v>
      </c>
      <c r="Q5972">
        <v>-0.13098679999999999</v>
      </c>
      <c r="R5972">
        <v>-0.99132790000000004</v>
      </c>
      <c r="S5972">
        <v>1.1963809999999999</v>
      </c>
      <c r="T5972">
        <v>-0.34935440000000001</v>
      </c>
      <c r="U5972">
        <v>-2.9676819999999999</v>
      </c>
      <c r="V5972">
        <v>-2.5126329999999999E-2</v>
      </c>
      <c r="W5972">
        <v>-0.1164973</v>
      </c>
      <c r="X5972">
        <v>0.99287309999999995</v>
      </c>
      <c r="Y5972">
        <v>-0.38546940000000002</v>
      </c>
      <c r="Z5972">
        <v>9.3638120000000005E-2</v>
      </c>
      <c r="AA5972">
        <v>0.91795709999999997</v>
      </c>
      <c r="AB5972">
        <v>23</v>
      </c>
      <c r="AC5972">
        <v>3.8414000000000201</v>
      </c>
      <c r="AD5972">
        <v>-1.1208140103749999</v>
      </c>
      <c r="AE5972">
        <v>-9.3086400000000005</v>
      </c>
      <c r="AF5972">
        <v>-3.9287624703975199</v>
      </c>
      <c r="AG5972">
        <v>-1.1208140103749999</v>
      </c>
      <c r="AH5972">
        <v>9.1381309162215096</v>
      </c>
      <c r="AI5972">
        <v>96.428962332869105</v>
      </c>
      <c r="AJ5972">
        <v>113.26435081144</v>
      </c>
      <c r="AK5972">
        <v>10.0098369235797</v>
      </c>
      <c r="AL5972">
        <v>96.689994738617401</v>
      </c>
      <c r="AM5972">
        <v>91.449657015024101</v>
      </c>
      <c r="AN5972">
        <v>0.99999997303508403</v>
      </c>
    </row>
    <row r="5973" spans="1:40" x14ac:dyDescent="0.25">
      <c r="A5973" t="str">
        <f>"20190303154929894"</f>
        <v>20190303154929894</v>
      </c>
      <c r="B5973" t="str">
        <f>"1551599369886761"</f>
        <v>1551599369886761</v>
      </c>
      <c r="C5973" t="s">
        <v>40</v>
      </c>
      <c r="D5973">
        <v>4.4423680000000001</v>
      </c>
      <c r="E5973">
        <v>0.34651969999999999</v>
      </c>
      <c r="F5973" t="s">
        <v>41</v>
      </c>
      <c r="G5973">
        <v>-418.17250000000001</v>
      </c>
      <c r="H5973" s="1">
        <v>-4.0304969999999999E-6</v>
      </c>
      <c r="I5973">
        <v>58.272319999999901</v>
      </c>
      <c r="J5973">
        <v>-422.04750000000001</v>
      </c>
      <c r="K5973">
        <v>1.1208119999999999</v>
      </c>
      <c r="L5973">
        <v>67.320980000000006</v>
      </c>
      <c r="M5973">
        <v>-1.4656270000000001E-2</v>
      </c>
      <c r="N5973">
        <v>-1.459951E-2</v>
      </c>
      <c r="O5973">
        <v>-0.99978610000000001</v>
      </c>
      <c r="P5973">
        <v>1.055944E-2</v>
      </c>
      <c r="Q5973">
        <v>-0.13013130000000001</v>
      </c>
      <c r="R5973">
        <v>-0.99144080000000001</v>
      </c>
      <c r="S5973">
        <v>1.2380370000000001</v>
      </c>
      <c r="T5973">
        <v>-0.35840889999999997</v>
      </c>
      <c r="U5973">
        <v>-2.965668</v>
      </c>
      <c r="V5973">
        <v>-2.5095220000000001E-2</v>
      </c>
      <c r="W5973">
        <v>-0.11564580000000001</v>
      </c>
      <c r="X5973">
        <v>0.99297340000000001</v>
      </c>
      <c r="Y5973">
        <v>-0.3965899</v>
      </c>
      <c r="Z5973">
        <v>9.5930260000000003E-2</v>
      </c>
      <c r="AA5973">
        <v>0.91296980000000005</v>
      </c>
      <c r="AB5973">
        <v>23</v>
      </c>
      <c r="AC5973">
        <v>3.875</v>
      </c>
      <c r="AD5973">
        <v>-1.1208160304970001</v>
      </c>
      <c r="AE5973">
        <v>-9.0486600000000106</v>
      </c>
      <c r="AF5973">
        <v>-3.9559288313436798</v>
      </c>
      <c r="AG5973">
        <v>-1.1208160304970001</v>
      </c>
      <c r="AH5973">
        <v>8.8758139094583299</v>
      </c>
      <c r="AI5973">
        <v>96.579431972632193</v>
      </c>
      <c r="AJ5973">
        <v>114.022417539869</v>
      </c>
      <c r="AK5973">
        <v>9.7819054405677601</v>
      </c>
      <c r="AL5973">
        <v>96.640875547450605</v>
      </c>
      <c r="AM5973">
        <v>91.447716710188203</v>
      </c>
      <c r="AN5973">
        <v>0.99999994711602203</v>
      </c>
    </row>
    <row r="5974" spans="1:40" x14ac:dyDescent="0.25">
      <c r="A5974" t="str">
        <f>"20190303154929917"</f>
        <v>20190303154929917</v>
      </c>
      <c r="B5974" t="str">
        <f>"1551599369907258"</f>
        <v>1551599369907258</v>
      </c>
      <c r="C5974" t="s">
        <v>40</v>
      </c>
      <c r="D5974">
        <v>4.4314920000000004</v>
      </c>
      <c r="E5974">
        <v>0.3451515</v>
      </c>
      <c r="F5974" t="s">
        <v>41</v>
      </c>
      <c r="G5974">
        <v>-418.12110000000001</v>
      </c>
      <c r="H5974" s="1">
        <v>-3.9427859999999998E-6</v>
      </c>
      <c r="I5974">
        <v>58.046610000000001</v>
      </c>
      <c r="J5974">
        <v>-422.05070000000001</v>
      </c>
      <c r="K5974">
        <v>1.1208119999999999</v>
      </c>
      <c r="L5974">
        <v>67.098179999999999</v>
      </c>
      <c r="M5974">
        <v>-1.4656270000000001E-2</v>
      </c>
      <c r="N5974">
        <v>-1.4594080000000001E-2</v>
      </c>
      <c r="O5974">
        <v>-0.99978639999999996</v>
      </c>
      <c r="P5974">
        <v>1.0593460000000001E-2</v>
      </c>
      <c r="Q5974">
        <v>-0.12950439999999999</v>
      </c>
      <c r="R5974">
        <v>-0.99152280000000004</v>
      </c>
      <c r="S5974">
        <v>1.255463</v>
      </c>
      <c r="T5974">
        <v>-0.35838510000000001</v>
      </c>
      <c r="U5974">
        <v>-2.9655149999999999</v>
      </c>
      <c r="V5974">
        <v>-2.5130670000000001E-2</v>
      </c>
      <c r="W5974">
        <v>-0.1150231</v>
      </c>
      <c r="X5974">
        <v>0.99304490000000001</v>
      </c>
      <c r="Y5974">
        <v>-0.40116550000000001</v>
      </c>
      <c r="Z5974">
        <v>9.5699300000000001E-2</v>
      </c>
      <c r="AA5974">
        <v>0.91099280000000005</v>
      </c>
      <c r="AB5974">
        <v>23</v>
      </c>
      <c r="AC5974">
        <v>3.92959999999999</v>
      </c>
      <c r="AD5974">
        <v>-1.1208159427860001</v>
      </c>
      <c r="AE5974">
        <v>-9.0515699999999892</v>
      </c>
      <c r="AF5974">
        <v>-4.0101186694180901</v>
      </c>
      <c r="AG5974">
        <v>-1.1208159427860001</v>
      </c>
      <c r="AH5974">
        <v>8.8784550890321494</v>
      </c>
      <c r="AI5974">
        <v>96.562967280562503</v>
      </c>
      <c r="AJ5974">
        <v>114.307195991603</v>
      </c>
      <c r="AK5974">
        <v>9.8063369760772403</v>
      </c>
      <c r="AL5974">
        <v>96.604957298193298</v>
      </c>
      <c r="AM5974">
        <v>91.449656571673103</v>
      </c>
      <c r="AN5974">
        <v>1.0000000187621301</v>
      </c>
    </row>
    <row r="5975" spans="1:40" x14ac:dyDescent="0.25">
      <c r="A5975" t="str">
        <f>"20190303154929939"</f>
        <v>20190303154929939</v>
      </c>
      <c r="B5975" t="str">
        <f>"1551599369936537"</f>
        <v>1551599369936537</v>
      </c>
      <c r="C5975" t="s">
        <v>40</v>
      </c>
      <c r="D5975">
        <v>4.4973089999999996</v>
      </c>
      <c r="E5975">
        <v>0.34331349999999999</v>
      </c>
      <c r="F5975" t="s">
        <v>41</v>
      </c>
      <c r="G5975">
        <v>-418.09269999999998</v>
      </c>
      <c r="H5975" s="1">
        <v>-3.8562779999999996E-6</v>
      </c>
      <c r="I5975">
        <v>57.833210000000001</v>
      </c>
      <c r="J5975">
        <v>-422.05410000000001</v>
      </c>
      <c r="K5975">
        <v>1.120811</v>
      </c>
      <c r="L5975">
        <v>66.865840000000006</v>
      </c>
      <c r="M5975">
        <v>-1.4656249999999999E-2</v>
      </c>
      <c r="N5975">
        <v>-1.458841E-2</v>
      </c>
      <c r="O5975">
        <v>-0.99978610000000001</v>
      </c>
      <c r="P5975">
        <v>1.045575E-2</v>
      </c>
      <c r="Q5975">
        <v>-0.1295963</v>
      </c>
      <c r="R5975">
        <v>-0.9915119</v>
      </c>
      <c r="S5975">
        <v>1.2667539999999999</v>
      </c>
      <c r="T5975">
        <v>-0.35871540000000002</v>
      </c>
      <c r="U5975">
        <v>-2.9652400000000001</v>
      </c>
      <c r="V5975">
        <v>-2.4992589999999999E-2</v>
      </c>
      <c r="W5975">
        <v>-0.11512070000000001</v>
      </c>
      <c r="X5975">
        <v>0.99303699999999995</v>
      </c>
      <c r="Y5975">
        <v>-0.40413009999999999</v>
      </c>
      <c r="Z5975">
        <v>9.5661399999999994E-2</v>
      </c>
      <c r="AA5975">
        <v>0.90968559999999998</v>
      </c>
      <c r="AB5975">
        <v>22</v>
      </c>
      <c r="AC5975">
        <v>3.9614000000000198</v>
      </c>
      <c r="AD5975">
        <v>-1.120814856278</v>
      </c>
      <c r="AE5975">
        <v>-9.0326299999999993</v>
      </c>
      <c r="AF5975">
        <v>-4.0411876847361299</v>
      </c>
      <c r="AG5975">
        <v>-1.120814856278</v>
      </c>
      <c r="AH5975">
        <v>8.8591922081188592</v>
      </c>
      <c r="AI5975">
        <v>96.566100369756199</v>
      </c>
      <c r="AJ5975">
        <v>114.520459855571</v>
      </c>
      <c r="AK5975">
        <v>9.8016687571918304</v>
      </c>
      <c r="AL5975">
        <v>96.610587256557395</v>
      </c>
      <c r="AM5975">
        <v>91.441706295835701</v>
      </c>
      <c r="AN5975">
        <v>0.99999994424619698</v>
      </c>
    </row>
    <row r="5976" spans="1:40" x14ac:dyDescent="0.25">
      <c r="A5976" t="str">
        <f>"20190303154929972"</f>
        <v>20190303154929972</v>
      </c>
      <c r="B5976" t="str">
        <f>"1551599369966793"</f>
        <v>1551599369966793</v>
      </c>
      <c r="C5976" t="s">
        <v>40</v>
      </c>
      <c r="D5976">
        <v>4.5104600000000001</v>
      </c>
      <c r="E5976">
        <v>0.34229929999999997</v>
      </c>
      <c r="F5976" t="s">
        <v>41</v>
      </c>
      <c r="G5976">
        <v>-418.09780000000001</v>
      </c>
      <c r="H5976" s="1">
        <v>-3.8026799999999999E-6</v>
      </c>
      <c r="I5976">
        <v>57.710369999999998</v>
      </c>
      <c r="J5976">
        <v>-422.05889999999999</v>
      </c>
      <c r="K5976">
        <v>1.1208129999999901</v>
      </c>
      <c r="L5976">
        <v>66.538269999999997</v>
      </c>
      <c r="M5976">
        <v>-1.4656209999999999E-2</v>
      </c>
      <c r="N5976">
        <v>-1.4580320000000001E-2</v>
      </c>
      <c r="O5976">
        <v>-0.99978639999999996</v>
      </c>
      <c r="P5976">
        <v>1.0567E-2</v>
      </c>
      <c r="Q5976">
        <v>-0.13050780000000001</v>
      </c>
      <c r="R5976">
        <v>-0.99139120000000003</v>
      </c>
      <c r="S5976">
        <v>1.281128</v>
      </c>
      <c r="T5976">
        <v>-0.36294189999999998</v>
      </c>
      <c r="U5976">
        <v>-2.9647220000000001</v>
      </c>
      <c r="V5976">
        <v>-2.510211E-2</v>
      </c>
      <c r="W5976">
        <v>-0.11604200000000001</v>
      </c>
      <c r="X5976">
        <v>0.99292709999999995</v>
      </c>
      <c r="Y5976">
        <v>-0.40785759999999899</v>
      </c>
      <c r="Z5976">
        <v>9.6772559999999994E-2</v>
      </c>
      <c r="AA5976">
        <v>0.90790269999999995</v>
      </c>
      <c r="AB5976">
        <v>22</v>
      </c>
      <c r="AC5976">
        <v>3.9610999999999801</v>
      </c>
      <c r="AD5976">
        <v>-1.1208168026799901</v>
      </c>
      <c r="AE5976">
        <v>-8.8278999999999996</v>
      </c>
      <c r="AF5976">
        <v>-4.0359174429550899</v>
      </c>
      <c r="AG5976">
        <v>-1.1208168026799901</v>
      </c>
      <c r="AH5976">
        <v>8.6527868495031104</v>
      </c>
      <c r="AI5976">
        <v>96.695353679169699</v>
      </c>
      <c r="AJ5976">
        <v>115.005746949478</v>
      </c>
      <c r="AK5976">
        <v>9.6133022512793698</v>
      </c>
      <c r="AL5976">
        <v>96.663729358656994</v>
      </c>
      <c r="AM5976">
        <v>91.448181514302107</v>
      </c>
      <c r="AN5976">
        <v>1.0000000438024299</v>
      </c>
    </row>
    <row r="5977" spans="1:40" x14ac:dyDescent="0.25">
      <c r="A5977" t="str">
        <f>"20190303154929994"</f>
        <v>20190303154929994</v>
      </c>
      <c r="B5977" t="str">
        <f>"1551599369987293"</f>
        <v>1551599369987293</v>
      </c>
      <c r="C5977" t="s">
        <v>40</v>
      </c>
      <c r="D5977">
        <v>4.5359769999999999</v>
      </c>
      <c r="E5977">
        <v>0.34160010000000002</v>
      </c>
      <c r="F5977" t="s">
        <v>41</v>
      </c>
      <c r="G5977">
        <v>-418.15570000000002</v>
      </c>
      <c r="H5977" s="1">
        <v>-3.73097E-6</v>
      </c>
      <c r="I5977">
        <v>57.567149999999998</v>
      </c>
      <c r="J5977">
        <v>-422.06200000000001</v>
      </c>
      <c r="K5977">
        <v>1.1208149999999999</v>
      </c>
      <c r="L5977">
        <v>66.321869999999905</v>
      </c>
      <c r="M5977">
        <v>-1.4656189999999999E-2</v>
      </c>
      <c r="N5977">
        <v>-1.457497E-2</v>
      </c>
      <c r="O5977">
        <v>-0.99978639999999996</v>
      </c>
      <c r="P5977">
        <v>1.034853E-2</v>
      </c>
      <c r="Q5977">
        <v>-0.1305365</v>
      </c>
      <c r="R5977">
        <v>-0.99138979999999999</v>
      </c>
      <c r="S5977">
        <v>1.289398</v>
      </c>
      <c r="T5977">
        <v>-0.37025609999999998</v>
      </c>
      <c r="U5977">
        <v>-2.963562</v>
      </c>
      <c r="V5977">
        <v>-2.4883740000000001E-2</v>
      </c>
      <c r="W5977">
        <v>-0.1160759</v>
      </c>
      <c r="X5977">
        <v>0.99292860000000005</v>
      </c>
      <c r="Y5977">
        <v>-0.41002569999999999</v>
      </c>
      <c r="Z5977">
        <v>9.8916329999999997E-2</v>
      </c>
      <c r="AA5977">
        <v>0.90669429999999995</v>
      </c>
      <c r="AB5977">
        <v>22</v>
      </c>
      <c r="AC5977">
        <v>3.9062999999999302</v>
      </c>
      <c r="AD5977">
        <v>-1.12081873097</v>
      </c>
      <c r="AE5977">
        <v>-8.7547199999999901</v>
      </c>
      <c r="AF5977">
        <v>-3.97980508221961</v>
      </c>
      <c r="AG5977">
        <v>-1.12081873097</v>
      </c>
      <c r="AH5977">
        <v>8.5792526096763702</v>
      </c>
      <c r="AI5977">
        <v>96.758732444402895</v>
      </c>
      <c r="AJ5977">
        <v>114.885979741825</v>
      </c>
      <c r="AK5977">
        <v>9.5235843284339694</v>
      </c>
      <c r="AL5977">
        <v>96.665685127499202</v>
      </c>
      <c r="AM5977">
        <v>91.435586521470398</v>
      </c>
      <c r="AN5977">
        <v>1.0000000098875701</v>
      </c>
    </row>
    <row r="5978" spans="1:40" x14ac:dyDescent="0.25">
      <c r="A5978" t="str">
        <f>"20190303154930018"</f>
        <v>20190303154930018</v>
      </c>
      <c r="B5978" t="str">
        <f>"1551599370006810"</f>
        <v>1551599370006810</v>
      </c>
      <c r="C5978" t="s">
        <v>40</v>
      </c>
      <c r="D5978">
        <v>4.5724679999999998</v>
      </c>
      <c r="E5978">
        <v>0.34103299999999998</v>
      </c>
      <c r="F5978" t="s">
        <v>41</v>
      </c>
      <c r="G5978">
        <v>-418.17329999999998</v>
      </c>
      <c r="H5978" s="1">
        <v>-3.664262E-6</v>
      </c>
      <c r="I5978">
        <v>57.418939999999999</v>
      </c>
      <c r="J5978">
        <v>-422.06549999999999</v>
      </c>
      <c r="K5978">
        <v>1.120816</v>
      </c>
      <c r="L5978">
        <v>66.085909999999998</v>
      </c>
      <c r="M5978">
        <v>-1.4656189999999999E-2</v>
      </c>
      <c r="N5978">
        <v>-1.4569159999999999E-2</v>
      </c>
      <c r="O5978">
        <v>-0.99978659999999997</v>
      </c>
      <c r="P5978">
        <v>1.001121E-2</v>
      </c>
      <c r="Q5978">
        <v>-0.1294931</v>
      </c>
      <c r="R5978">
        <v>-0.99153000000000002</v>
      </c>
      <c r="S5978">
        <v>1.294403</v>
      </c>
      <c r="T5978">
        <v>-0.37307309999999999</v>
      </c>
      <c r="U5978">
        <v>-2.963409</v>
      </c>
      <c r="V5978">
        <v>-2.4548199999999999E-2</v>
      </c>
      <c r="W5978">
        <v>-0.11503620000000001</v>
      </c>
      <c r="X5978">
        <v>0.99305790000000005</v>
      </c>
      <c r="Y5978">
        <v>-0.41129389999999999</v>
      </c>
      <c r="Z5978">
        <v>9.9709030000000004E-2</v>
      </c>
      <c r="AA5978">
        <v>0.90603279999999997</v>
      </c>
      <c r="AB5978">
        <v>22</v>
      </c>
      <c r="AC5978">
        <v>3.8921999999999999</v>
      </c>
      <c r="AD5978">
        <v>-1.1208196642620001</v>
      </c>
      <c r="AE5978">
        <v>-8.6669699999999992</v>
      </c>
      <c r="AF5978">
        <v>-3.9636574003262499</v>
      </c>
      <c r="AG5978">
        <v>-1.1208196642620001</v>
      </c>
      <c r="AH5978">
        <v>8.49082029974692</v>
      </c>
      <c r="AI5978">
        <v>96.820893507019804</v>
      </c>
      <c r="AJ5978">
        <v>115.023955868931</v>
      </c>
      <c r="AK5978">
        <v>9.4372054163058205</v>
      </c>
      <c r="AL5978">
        <v>96.605713231286003</v>
      </c>
      <c r="AM5978">
        <v>91.416052244785504</v>
      </c>
      <c r="AN5978">
        <v>0.99999996709304395</v>
      </c>
    </row>
    <row r="5979" spans="1:40" x14ac:dyDescent="0.25">
      <c r="A5979" t="str">
        <f>"20190303154930039"</f>
        <v>20190303154930039</v>
      </c>
      <c r="B5979" t="str">
        <f>"1551599370037065"</f>
        <v>1551599370037065</v>
      </c>
      <c r="C5979" t="s">
        <v>40</v>
      </c>
      <c r="D5979">
        <v>4.595135</v>
      </c>
      <c r="E5979">
        <v>0.34027929999999901</v>
      </c>
      <c r="F5979" t="s">
        <v>41</v>
      </c>
      <c r="G5979">
        <v>-418.16039999999998</v>
      </c>
      <c r="H5979" s="1">
        <v>-3.5586999999999999E-6</v>
      </c>
      <c r="I5979">
        <v>57.167560000000002</v>
      </c>
      <c r="J5979">
        <v>-422.06869999999998</v>
      </c>
      <c r="K5979">
        <v>1.120824</v>
      </c>
      <c r="L5979">
        <v>65.867580000000004</v>
      </c>
      <c r="M5979">
        <v>-1.4656199999999999E-2</v>
      </c>
      <c r="N5979">
        <v>-1.456382E-2</v>
      </c>
      <c r="O5979">
        <v>-0.99978659999999997</v>
      </c>
      <c r="P5979">
        <v>9.7657690000000005E-3</v>
      </c>
      <c r="Q5979">
        <v>-0.12889600000000001</v>
      </c>
      <c r="R5979">
        <v>-0.9916104</v>
      </c>
      <c r="S5979">
        <v>1.2977909999999999</v>
      </c>
      <c r="T5979">
        <v>-0.37248589999999998</v>
      </c>
      <c r="U5979">
        <v>-2.963867</v>
      </c>
      <c r="V5979">
        <v>-2.4303640000000001E-2</v>
      </c>
      <c r="W5979">
        <v>-0.1144433</v>
      </c>
      <c r="X5979">
        <v>0.99313249999999997</v>
      </c>
      <c r="Y5979">
        <v>-0.41212109999999902</v>
      </c>
      <c r="Z5979">
        <v>9.9473809999999996E-2</v>
      </c>
      <c r="AA5979">
        <v>0.90568269999999995</v>
      </c>
      <c r="AB5979">
        <v>22</v>
      </c>
      <c r="AC5979">
        <v>3.9082999999999899</v>
      </c>
      <c r="AD5979">
        <v>-1.1208275587000001</v>
      </c>
      <c r="AE5979">
        <v>-8.7000200000000092</v>
      </c>
      <c r="AF5979">
        <v>-3.9804319909353398</v>
      </c>
      <c r="AG5979">
        <v>-1.1208275587000001</v>
      </c>
      <c r="AH5979">
        <v>8.5240785301542203</v>
      </c>
      <c r="AI5979">
        <v>96.794199166260498</v>
      </c>
      <c r="AJ5979">
        <v>115.030849161359</v>
      </c>
      <c r="AK5979">
        <v>9.4741758501222204</v>
      </c>
      <c r="AL5979">
        <v>96.571516172081701</v>
      </c>
      <c r="AM5979">
        <v>91.401845299294905</v>
      </c>
      <c r="AN5979">
        <v>1.0000000491941901</v>
      </c>
    </row>
    <row r="5980" spans="1:40" x14ac:dyDescent="0.25">
      <c r="A5980" t="str">
        <f>"20190303154930062"</f>
        <v>20190303154930062</v>
      </c>
      <c r="B5980" t="str">
        <f>"1551599370056586"</f>
        <v>1551599370056586</v>
      </c>
      <c r="C5980" t="s">
        <v>40</v>
      </c>
      <c r="D5980">
        <v>4.6227929999999997</v>
      </c>
      <c r="E5980">
        <v>0.33992250000000002</v>
      </c>
      <c r="F5980" t="s">
        <v>41</v>
      </c>
      <c r="G5980">
        <v>-418.15660000000003</v>
      </c>
      <c r="H5980" s="1">
        <v>-3.4741919999999999E-6</v>
      </c>
      <c r="I5980">
        <v>56.969000000000001</v>
      </c>
      <c r="J5980">
        <v>-422.07190000000003</v>
      </c>
      <c r="K5980">
        <v>1.1208209999999901</v>
      </c>
      <c r="L5980">
        <v>65.648219999999995</v>
      </c>
      <c r="M5980">
        <v>-1.4656209999999999E-2</v>
      </c>
      <c r="N5980">
        <v>-1.4558400000000001E-2</v>
      </c>
      <c r="O5980">
        <v>-0.99978659999999997</v>
      </c>
      <c r="P5980">
        <v>9.6232060000000005E-3</v>
      </c>
      <c r="Q5980">
        <v>-0.12845719999999999</v>
      </c>
      <c r="R5980">
        <v>-0.99166860000000001</v>
      </c>
      <c r="S5980">
        <v>1.30307</v>
      </c>
      <c r="T5980">
        <v>-0.37333509999999998</v>
      </c>
      <c r="U5980">
        <v>-2.9640200000000001</v>
      </c>
      <c r="V5980">
        <v>-2.4162309999999999E-2</v>
      </c>
      <c r="W5980">
        <v>-0.1140091</v>
      </c>
      <c r="X5980">
        <v>0.99318580000000001</v>
      </c>
      <c r="Y5980">
        <v>-0.41344740000000002</v>
      </c>
      <c r="Z5980">
        <v>9.9655869999999994E-2</v>
      </c>
      <c r="AA5980">
        <v>0.90505800000000003</v>
      </c>
      <c r="AB5980">
        <v>22</v>
      </c>
      <c r="AC5980">
        <v>3.9152999999999998</v>
      </c>
      <c r="AD5980">
        <v>-1.1208244741919999</v>
      </c>
      <c r="AE5980">
        <v>-8.6792199999999902</v>
      </c>
      <c r="AF5980">
        <v>-3.98685180653449</v>
      </c>
      <c r="AG5980">
        <v>-1.1208244741919999</v>
      </c>
      <c r="AH5980">
        <v>8.5030715823001497</v>
      </c>
      <c r="AI5980">
        <v>96.805866836148198</v>
      </c>
      <c r="AJ5980">
        <v>115.12056342274801</v>
      </c>
      <c r="AK5980">
        <v>9.4579839904144194</v>
      </c>
      <c r="AL5980">
        <v>96.546475010319597</v>
      </c>
      <c r="AM5980">
        <v>91.3936217793635</v>
      </c>
      <c r="AN5980">
        <v>0.99999996271449199</v>
      </c>
    </row>
    <row r="5981" spans="1:40" x14ac:dyDescent="0.25">
      <c r="A5981" t="str">
        <f>"20190303154930083"</f>
        <v>20190303154930083</v>
      </c>
      <c r="B5981" t="str">
        <f>"1551599370077082"</f>
        <v>1551599370077082</v>
      </c>
      <c r="C5981" t="s">
        <v>40</v>
      </c>
      <c r="D5981">
        <v>4.623672</v>
      </c>
      <c r="E5981">
        <v>0.33949610000000002</v>
      </c>
      <c r="F5981" t="s">
        <v>42</v>
      </c>
      <c r="G5981">
        <v>-421.66079999999999</v>
      </c>
      <c r="H5981">
        <v>1.003255</v>
      </c>
      <c r="I5981">
        <v>64.71454</v>
      </c>
      <c r="J5981">
        <v>-422.07510000000002</v>
      </c>
      <c r="K5981">
        <v>1.120824</v>
      </c>
      <c r="L5981">
        <v>65.4328</v>
      </c>
      <c r="M5981">
        <v>-1.4656199999999999E-2</v>
      </c>
      <c r="N5981">
        <v>-1.455303E-2</v>
      </c>
      <c r="O5981">
        <v>-0.99978690000000003</v>
      </c>
      <c r="P5981">
        <v>9.561969E-3</v>
      </c>
      <c r="Q5981">
        <v>-0.1286041</v>
      </c>
      <c r="R5981">
        <v>-0.99165029999999998</v>
      </c>
      <c r="S5981">
        <v>1.3057559999999999</v>
      </c>
      <c r="T5981">
        <v>-0.37323820000000002</v>
      </c>
      <c r="U5981">
        <v>-2.9642029999999999</v>
      </c>
      <c r="V5981">
        <v>-2.4100799999999999E-2</v>
      </c>
      <c r="W5981">
        <v>-0.1141616</v>
      </c>
      <c r="X5981">
        <v>0.99316979999999999</v>
      </c>
      <c r="Y5981">
        <v>-0.41411599999999998</v>
      </c>
      <c r="Z5981">
        <v>9.9587690000000006E-2</v>
      </c>
      <c r="AA5981">
        <v>0.9047598</v>
      </c>
      <c r="AB5981">
        <v>22</v>
      </c>
      <c r="AC5981">
        <v>0.41430000000002498</v>
      </c>
      <c r="AD5981">
        <v>-0.11756900000000001</v>
      </c>
      <c r="AE5981">
        <v>-0.71826000000000001</v>
      </c>
      <c r="AF5981">
        <v>-0.41641194367665202</v>
      </c>
      <c r="AG5981">
        <v>-0.11756900000000001</v>
      </c>
      <c r="AH5981">
        <v>0.69807588490138495</v>
      </c>
      <c r="AI5981">
        <v>98.230172304233193</v>
      </c>
      <c r="AJ5981">
        <v>120.816662342499</v>
      </c>
      <c r="AK5981">
        <v>0.82129855575084298</v>
      </c>
      <c r="AL5981">
        <v>96.555269889831294</v>
      </c>
      <c r="AM5981">
        <v>91.390097815129394</v>
      </c>
      <c r="AN5981">
        <v>0.99999998555361902</v>
      </c>
    </row>
    <row r="5982" spans="1:40" x14ac:dyDescent="0.25">
      <c r="A5982" t="str">
        <f>"20190303154930106"</f>
        <v>20190303154930106</v>
      </c>
      <c r="B5982" t="str">
        <f>"1551599370096602"</f>
        <v>1551599370096602</v>
      </c>
      <c r="C5982" t="s">
        <v>40</v>
      </c>
      <c r="D5982">
        <v>4.635859</v>
      </c>
      <c r="E5982">
        <v>0.33902339999999997</v>
      </c>
      <c r="F5982" t="s">
        <v>42</v>
      </c>
      <c r="G5982">
        <v>-421.65789999999998</v>
      </c>
      <c r="H5982">
        <v>1.0012570000000001</v>
      </c>
      <c r="I5982">
        <v>64.487790000000004</v>
      </c>
      <c r="J5982">
        <v>-422.07830000000001</v>
      </c>
      <c r="K5982">
        <v>1.1208260000000001</v>
      </c>
      <c r="L5982">
        <v>65.21396</v>
      </c>
      <c r="M5982">
        <v>-1.4656189999999999E-2</v>
      </c>
      <c r="N5982">
        <v>-1.4547650000000001E-2</v>
      </c>
      <c r="O5982">
        <v>-0.99978690000000003</v>
      </c>
      <c r="P5982">
        <v>9.5464859999999999E-3</v>
      </c>
      <c r="Q5982">
        <v>-0.12825919999999999</v>
      </c>
      <c r="R5982">
        <v>-0.9916952</v>
      </c>
      <c r="S5982">
        <v>1.3085329999999999</v>
      </c>
      <c r="T5982">
        <v>-0.37503649999999999</v>
      </c>
      <c r="U5982">
        <v>-2.9640200000000001</v>
      </c>
      <c r="V5982">
        <v>-2.4086110000000001E-2</v>
      </c>
      <c r="W5982">
        <v>-0.1138214</v>
      </c>
      <c r="X5982">
        <v>0.99320920000000001</v>
      </c>
      <c r="Y5982">
        <v>-0.4148232</v>
      </c>
      <c r="Z5982">
        <v>0.10010239999999999</v>
      </c>
      <c r="AA5982">
        <v>0.90437889999999999</v>
      </c>
      <c r="AB5982">
        <v>22</v>
      </c>
      <c r="AC5982">
        <v>0.42040000000002897</v>
      </c>
      <c r="AD5982">
        <v>-0.11956899999999999</v>
      </c>
      <c r="AE5982">
        <v>-0.72616999999999599</v>
      </c>
      <c r="AF5982">
        <v>-0.422421090084596</v>
      </c>
      <c r="AG5982">
        <v>-0.11956899999999999</v>
      </c>
      <c r="AH5982">
        <v>0.70560180020758101</v>
      </c>
      <c r="AI5982">
        <v>98.272459815464202</v>
      </c>
      <c r="AJ5982">
        <v>120.907599715754</v>
      </c>
      <c r="AK5982">
        <v>0.83102961653928897</v>
      </c>
      <c r="AL5982">
        <v>96.535649991547302</v>
      </c>
      <c r="AM5982">
        <v>91.389195761095607</v>
      </c>
      <c r="AN5982">
        <v>0.99999998337876495</v>
      </c>
    </row>
    <row r="5983" spans="1:40" x14ac:dyDescent="0.25">
      <c r="A5983" t="str">
        <f>"20190303154930128"</f>
        <v>20190303154930128</v>
      </c>
      <c r="B5983" t="str">
        <f>"1551599370117098"</f>
        <v>1551599370117098</v>
      </c>
      <c r="C5983" t="s">
        <v>40</v>
      </c>
      <c r="D5983">
        <v>4.7079110000000002</v>
      </c>
      <c r="E5983">
        <v>0.33875349999999999</v>
      </c>
      <c r="F5983" t="s">
        <v>42</v>
      </c>
      <c r="G5983">
        <v>-421.65339999999998</v>
      </c>
      <c r="H5983">
        <v>0.9991873</v>
      </c>
      <c r="I5983">
        <v>64.253959999999907</v>
      </c>
      <c r="J5983">
        <v>-422.08159999999998</v>
      </c>
      <c r="K5983">
        <v>1.120825</v>
      </c>
      <c r="L5983">
        <v>64.992519999999999</v>
      </c>
      <c r="M5983">
        <v>-1.465618E-2</v>
      </c>
      <c r="N5983">
        <v>-1.454217E-2</v>
      </c>
      <c r="O5983">
        <v>-0.99978710000000004</v>
      </c>
      <c r="P5983">
        <v>9.2940239999999997E-3</v>
      </c>
      <c r="Q5983">
        <v>-0.12820480000000001</v>
      </c>
      <c r="R5983">
        <v>-0.99170460000000005</v>
      </c>
      <c r="S5983">
        <v>1.3125610000000001</v>
      </c>
      <c r="T5983">
        <v>-0.3755558</v>
      </c>
      <c r="U5983">
        <v>-2.9639280000000001</v>
      </c>
      <c r="V5983">
        <v>-2.3833819999999999E-2</v>
      </c>
      <c r="W5983">
        <v>-0.1137722</v>
      </c>
      <c r="X5983">
        <v>0.99322089999999996</v>
      </c>
      <c r="Y5983">
        <v>-0.4158558</v>
      </c>
      <c r="Z5983">
        <v>0.10020950000000001</v>
      </c>
      <c r="AA5983">
        <v>0.90389269999999999</v>
      </c>
      <c r="AB5983">
        <v>22</v>
      </c>
      <c r="AC5983">
        <v>0.42820000000000302</v>
      </c>
      <c r="AD5983">
        <v>-0.121637699999999</v>
      </c>
      <c r="AE5983">
        <v>-0.73856000000000599</v>
      </c>
      <c r="AF5983">
        <v>-0.43024529845510101</v>
      </c>
      <c r="AG5983">
        <v>-0.121637699999999</v>
      </c>
      <c r="AH5983">
        <v>0.71763566269157297</v>
      </c>
      <c r="AI5983">
        <v>98.2713304755531</v>
      </c>
      <c r="AJ5983">
        <v>120.94402154415199</v>
      </c>
      <c r="AK5983">
        <v>0.84552214120671199</v>
      </c>
      <c r="AL5983">
        <v>96.532812758841899</v>
      </c>
      <c r="AM5983">
        <v>91.374634053653693</v>
      </c>
      <c r="AN5983">
        <v>0.99999996033271998</v>
      </c>
    </row>
    <row r="5984" spans="1:40" x14ac:dyDescent="0.25">
      <c r="A5984" t="str">
        <f>"20190303154930151"</f>
        <v>20190303154930151</v>
      </c>
      <c r="B5984" t="str">
        <f>"1551599370147354"</f>
        <v>1551599370147354</v>
      </c>
      <c r="C5984" t="s">
        <v>40</v>
      </c>
      <c r="D5984">
        <v>5.0280659999999999</v>
      </c>
      <c r="E5984">
        <v>0.38808550000000003</v>
      </c>
      <c r="F5984" t="s">
        <v>41</v>
      </c>
      <c r="G5984">
        <v>-418.16250000000002</v>
      </c>
      <c r="H5984" s="1">
        <v>-3.1225179999999998E-6</v>
      </c>
      <c r="I5984">
        <v>56.151670000000003</v>
      </c>
      <c r="J5984">
        <v>-422.0847</v>
      </c>
      <c r="K5984">
        <v>1.120824</v>
      </c>
      <c r="L5984">
        <v>64.774199999999993</v>
      </c>
      <c r="M5984">
        <v>-1.4656189999999999E-2</v>
      </c>
      <c r="N5984">
        <v>-1.4536729999999999E-2</v>
      </c>
      <c r="O5984">
        <v>-0.99978710000000004</v>
      </c>
      <c r="P5984">
        <v>8.6843930000000003E-3</v>
      </c>
      <c r="Q5984">
        <v>-0.12739610000000001</v>
      </c>
      <c r="R5984">
        <v>-0.99181399999999997</v>
      </c>
      <c r="S5984">
        <v>1.313995</v>
      </c>
      <c r="T5984">
        <v>-0.37579639999999997</v>
      </c>
      <c r="U5984">
        <v>-2.9642029999999999</v>
      </c>
      <c r="V5984">
        <v>-2.322548E-2</v>
      </c>
      <c r="W5984">
        <v>-0.1129674</v>
      </c>
      <c r="X5984">
        <v>0.99332719999999997</v>
      </c>
      <c r="Y5984">
        <v>-0.416188</v>
      </c>
      <c r="Z5984">
        <v>0.1002581</v>
      </c>
      <c r="AA5984">
        <v>0.90373440000000005</v>
      </c>
      <c r="AB5984">
        <v>22</v>
      </c>
      <c r="AC5984">
        <v>3.9221999999999699</v>
      </c>
      <c r="AD5984">
        <v>-1.120827122518</v>
      </c>
      <c r="AE5984">
        <v>-8.6225299999999905</v>
      </c>
      <c r="AF5984">
        <v>-3.9922731384575099</v>
      </c>
      <c r="AG5984">
        <v>-1.120827122518</v>
      </c>
      <c r="AH5984">
        <v>8.44586998761927</v>
      </c>
      <c r="AI5984">
        <v>96.841563960452405</v>
      </c>
      <c r="AJ5984">
        <v>115.299604565072</v>
      </c>
      <c r="AK5984">
        <v>9.4088903755113105</v>
      </c>
      <c r="AL5984">
        <v>96.486401693185201</v>
      </c>
      <c r="AM5984">
        <v>91.3394172244506</v>
      </c>
      <c r="AN5984">
        <v>0.99999999132191497</v>
      </c>
    </row>
    <row r="5985" spans="1:40" x14ac:dyDescent="0.25">
      <c r="A5985" t="str">
        <f>"20190303154930173"</f>
        <v>20190303154930173</v>
      </c>
      <c r="B5985" t="str">
        <f>"1551599370166874"</f>
        <v>1551599370166874</v>
      </c>
      <c r="C5985" t="s">
        <v>40</v>
      </c>
      <c r="D5985">
        <v>4.755172</v>
      </c>
      <c r="E5985">
        <v>0.48589779999999999</v>
      </c>
      <c r="F5985" t="s">
        <v>41</v>
      </c>
      <c r="G5985">
        <v>-417.70650000000001</v>
      </c>
      <c r="H5985" s="1">
        <v>-9.1146709999999996E-7</v>
      </c>
      <c r="I5985">
        <v>50.533189999999998</v>
      </c>
      <c r="J5985">
        <v>-422.08800000000002</v>
      </c>
      <c r="K5985">
        <v>1.1208279999999999</v>
      </c>
      <c r="L5985">
        <v>64.552090000000007</v>
      </c>
      <c r="M5985">
        <v>-1.4656189999999999E-2</v>
      </c>
      <c r="N5985">
        <v>-1.4531219999999999E-2</v>
      </c>
      <c r="O5985">
        <v>-0.99978710000000004</v>
      </c>
      <c r="P5985">
        <v>8.5784709999999903E-3</v>
      </c>
      <c r="Q5985">
        <v>-0.12780159999999999</v>
      </c>
      <c r="R5985">
        <v>-0.9917629</v>
      </c>
      <c r="S5985">
        <v>0.91818239999999995</v>
      </c>
      <c r="T5985">
        <v>-0.23505039999999999</v>
      </c>
      <c r="U5985">
        <v>-2.9865110000000001</v>
      </c>
      <c r="V5985">
        <v>-2.3119239999999999E-2</v>
      </c>
      <c r="W5985">
        <v>-0.11337899999999999</v>
      </c>
      <c r="X5985">
        <v>0.99328280000000002</v>
      </c>
      <c r="Y5985">
        <v>-0.30711539999999998</v>
      </c>
      <c r="Z5985">
        <v>6.0307029999999998E-2</v>
      </c>
      <c r="AA5985">
        <v>0.94975949999999998</v>
      </c>
      <c r="AB5985">
        <v>22</v>
      </c>
      <c r="AC5985">
        <v>4.3815000000000097</v>
      </c>
      <c r="AD5985">
        <v>-1.1208289114671</v>
      </c>
      <c r="AE5985">
        <v>-14.0189</v>
      </c>
      <c r="AF5985">
        <v>-4.55996032126607</v>
      </c>
      <c r="AG5985">
        <v>-1.1208289114671</v>
      </c>
      <c r="AH5985">
        <v>13.8723871121631</v>
      </c>
      <c r="AI5985">
        <v>94.3891520795665</v>
      </c>
      <c r="AJ5985">
        <v>108.196091883832</v>
      </c>
      <c r="AK5985">
        <v>14.645566556812</v>
      </c>
      <c r="AL5985">
        <v>96.510137015551393</v>
      </c>
      <c r="AM5985">
        <v>91.333352139990197</v>
      </c>
      <c r="AN5985">
        <v>1.0000000088375001</v>
      </c>
    </row>
    <row r="5986" spans="1:40" x14ac:dyDescent="0.25">
      <c r="A5986" t="str">
        <f>"20190303154930195"</f>
        <v>20190303154930195</v>
      </c>
      <c r="B5986" t="str">
        <f>"1551599370187369"</f>
        <v>1551599370187369</v>
      </c>
      <c r="C5986" t="s">
        <v>40</v>
      </c>
      <c r="D5986">
        <v>4.8199909999999999</v>
      </c>
      <c r="E5986">
        <v>0.4996044</v>
      </c>
      <c r="F5986" t="s">
        <v>64</v>
      </c>
      <c r="G5986">
        <v>-420.5831</v>
      </c>
      <c r="H5986" s="1">
        <v>-4.705871E-6</v>
      </c>
      <c r="I5986">
        <v>31.686160000000001</v>
      </c>
      <c r="J5986">
        <v>-422.09109999999998</v>
      </c>
      <c r="K5986">
        <v>1.12083</v>
      </c>
      <c r="L5986">
        <v>64.339479999999995</v>
      </c>
      <c r="M5986">
        <v>-1.465617E-2</v>
      </c>
      <c r="N5986">
        <v>-1.4526000000000001E-2</v>
      </c>
      <c r="O5986">
        <v>-0.99978710000000004</v>
      </c>
      <c r="P5986">
        <v>8.7914329999999995E-3</v>
      </c>
      <c r="Q5986">
        <v>-0.12745790000000001</v>
      </c>
      <c r="R5986">
        <v>-0.9918051</v>
      </c>
      <c r="S5986">
        <v>0.1378479</v>
      </c>
      <c r="T5986">
        <v>-0.1026676</v>
      </c>
      <c r="U5986">
        <v>-3.0104980000000001</v>
      </c>
      <c r="V5986">
        <v>-2.3332809999999999E-2</v>
      </c>
      <c r="W5986">
        <v>-0.11304</v>
      </c>
      <c r="X5986">
        <v>0.99331639999999999</v>
      </c>
      <c r="Y5986">
        <v>-6.0348600000000002E-2</v>
      </c>
      <c r="Z5986">
        <v>1.950298E-2</v>
      </c>
      <c r="AA5986">
        <v>0.99798679999999995</v>
      </c>
      <c r="AB5986">
        <v>22</v>
      </c>
      <c r="AC5986">
        <v>1.50799999999998</v>
      </c>
      <c r="AD5986">
        <v>-1.120834705871</v>
      </c>
      <c r="AE5986">
        <v>-32.653320000000001</v>
      </c>
      <c r="AF5986">
        <v>-1.9841283147265001</v>
      </c>
      <c r="AG5986">
        <v>-1.120834705871</v>
      </c>
      <c r="AH5986">
        <v>32.589392278787699</v>
      </c>
      <c r="AI5986">
        <v>91.966138076392596</v>
      </c>
      <c r="AJ5986">
        <v>93.484017967430503</v>
      </c>
      <c r="AK5986">
        <v>32.668968834474903</v>
      </c>
      <c r="AL5986">
        <v>96.490588347727893</v>
      </c>
      <c r="AM5986">
        <v>91.345619317502894</v>
      </c>
      <c r="AN5986">
        <v>0.99999996606572705</v>
      </c>
    </row>
    <row r="5987" spans="1:40" x14ac:dyDescent="0.25">
      <c r="A5987" t="str">
        <f>"20190303154930218"</f>
        <v>20190303154930218</v>
      </c>
      <c r="B5987" t="str">
        <f>"1551599370206890"</f>
        <v>1551599370206890</v>
      </c>
      <c r="C5987" t="s">
        <v>40</v>
      </c>
      <c r="D5987">
        <v>4.750947</v>
      </c>
      <c r="E5987">
        <v>0.50535200000000002</v>
      </c>
      <c r="F5987" t="s">
        <v>41</v>
      </c>
      <c r="G5987">
        <v>-421.86739999999998</v>
      </c>
      <c r="H5987" s="1">
        <v>-1.256247E-6</v>
      </c>
      <c r="I5987">
        <v>41.359259999999999</v>
      </c>
      <c r="J5987">
        <v>-422.09440000000001</v>
      </c>
      <c r="K5987">
        <v>1.1208309999999999</v>
      </c>
      <c r="L5987">
        <v>64.116699999999994</v>
      </c>
      <c r="M5987">
        <v>-1.465616E-2</v>
      </c>
      <c r="N5987">
        <v>-1.452059E-2</v>
      </c>
      <c r="O5987">
        <v>-0.99978730000000005</v>
      </c>
      <c r="P5987">
        <v>9.0388550000000002E-3</v>
      </c>
      <c r="Q5987">
        <v>-0.12815989999999999</v>
      </c>
      <c r="R5987">
        <v>-0.9917127</v>
      </c>
      <c r="S5987">
        <v>2.9266360000000002E-2</v>
      </c>
      <c r="T5987">
        <v>-0.14659810000000001</v>
      </c>
      <c r="U5987">
        <v>-3.0056759999999998</v>
      </c>
      <c r="V5987">
        <v>-2.357861E-2</v>
      </c>
      <c r="W5987">
        <v>-0.11374869999999999</v>
      </c>
      <c r="X5987">
        <v>0.99322969999999999</v>
      </c>
      <c r="Y5987">
        <v>-2.4375629999999999E-2</v>
      </c>
      <c r="Z5987">
        <v>3.4190089999999999E-2</v>
      </c>
      <c r="AA5987">
        <v>0.99911799999999995</v>
      </c>
      <c r="AB5987">
        <v>22</v>
      </c>
      <c r="AC5987">
        <v>0.22700000000003201</v>
      </c>
      <c r="AD5987">
        <v>-1.1208322562469999</v>
      </c>
      <c r="AE5987">
        <v>-22.7574399999999</v>
      </c>
      <c r="AF5987">
        <v>-0.55919112748372402</v>
      </c>
      <c r="AG5987">
        <v>-1.1208322562469999</v>
      </c>
      <c r="AH5987">
        <v>22.696618498610899</v>
      </c>
      <c r="AI5987">
        <v>92.8262974853792</v>
      </c>
      <c r="AJ5987">
        <v>91.411347296028694</v>
      </c>
      <c r="AK5987">
        <v>22.7311559524628</v>
      </c>
      <c r="AL5987">
        <v>96.531457398792597</v>
      </c>
      <c r="AM5987">
        <v>91.359908132063396</v>
      </c>
      <c r="AN5987">
        <v>0.99999997728165502</v>
      </c>
    </row>
    <row r="5988" spans="1:40" x14ac:dyDescent="0.25">
      <c r="A5988" t="str">
        <f>"20190303154930242"</f>
        <v>20190303154930242</v>
      </c>
      <c r="B5988" t="str">
        <f>"1551599370237145"</f>
        <v>1551599370237145</v>
      </c>
      <c r="C5988" t="s">
        <v>40</v>
      </c>
      <c r="D5988">
        <v>4.7399779999999998</v>
      </c>
      <c r="E5988">
        <v>0.50917570000000001</v>
      </c>
      <c r="F5988" t="s">
        <v>41</v>
      </c>
      <c r="G5988">
        <v>-422.20510000000002</v>
      </c>
      <c r="H5988" s="1">
        <v>-2.3751540000000001E-6</v>
      </c>
      <c r="I5988">
        <v>43.758000000000003</v>
      </c>
      <c r="J5988">
        <v>-422.09769999999997</v>
      </c>
      <c r="K5988">
        <v>1.120835</v>
      </c>
      <c r="L5988">
        <v>63.893709999999999</v>
      </c>
      <c r="M5988">
        <v>-1.465615E-2</v>
      </c>
      <c r="N5988">
        <v>-1.4515200000000001E-2</v>
      </c>
      <c r="O5988">
        <v>-0.99978730000000005</v>
      </c>
      <c r="P5988">
        <v>9.1010589999999999E-3</v>
      </c>
      <c r="Q5988">
        <v>-0.128917899999999</v>
      </c>
      <c r="R5988">
        <v>-0.99161379999999999</v>
      </c>
      <c r="S5988">
        <v>-1.6326899999999998E-2</v>
      </c>
      <c r="T5988">
        <v>-0.16537449999999901</v>
      </c>
      <c r="U5988">
        <v>-3.0038450000000001</v>
      </c>
      <c r="V5988">
        <v>-2.3639509999999999E-2</v>
      </c>
      <c r="W5988">
        <v>-0.1145134</v>
      </c>
      <c r="X5988">
        <v>0.99314040000000003</v>
      </c>
      <c r="Y5988">
        <v>-9.2226010000000004E-3</v>
      </c>
      <c r="Z5988">
        <v>4.0462129999999999E-2</v>
      </c>
      <c r="AA5988">
        <v>0.99913850000000004</v>
      </c>
      <c r="AB5988">
        <v>22</v>
      </c>
      <c r="AC5988">
        <v>-0.107400000000041</v>
      </c>
      <c r="AD5988">
        <v>-1.1208373751539999</v>
      </c>
      <c r="AE5988">
        <v>-20.13571</v>
      </c>
      <c r="AF5988">
        <v>-0.18717465327836399</v>
      </c>
      <c r="AG5988">
        <v>-1.1208373751539999</v>
      </c>
      <c r="AH5988">
        <v>20.072926894073099</v>
      </c>
      <c r="AI5988">
        <v>93.195839332668598</v>
      </c>
      <c r="AJ5988">
        <v>90.5342522746584</v>
      </c>
      <c r="AK5988">
        <v>20.105066646673301</v>
      </c>
      <c r="AL5988">
        <v>96.575559512973498</v>
      </c>
      <c r="AM5988">
        <v>91.363541793942602</v>
      </c>
      <c r="AN5988">
        <v>0.99999999966237996</v>
      </c>
    </row>
    <row r="5989" spans="1:40" x14ac:dyDescent="0.25">
      <c r="A5989" t="str">
        <f>"20190303154930262"</f>
        <v>20190303154930262</v>
      </c>
      <c r="B5989" t="str">
        <f>"1551599370256665"</f>
        <v>1551599370256665</v>
      </c>
      <c r="C5989" t="s">
        <v>40</v>
      </c>
      <c r="D5989">
        <v>4.7264480000000004</v>
      </c>
      <c r="E5989">
        <v>0.51073179999999996</v>
      </c>
      <c r="F5989" t="s">
        <v>41</v>
      </c>
      <c r="G5989">
        <v>-422.37639999999999</v>
      </c>
      <c r="H5989" s="1">
        <v>-3.3527530000000001E-6</v>
      </c>
      <c r="I5989">
        <v>45.930529999999997</v>
      </c>
      <c r="J5989">
        <v>-422.10079999999999</v>
      </c>
      <c r="K5989">
        <v>1.1208320000000001</v>
      </c>
      <c r="L5989">
        <v>63.682369999999999</v>
      </c>
      <c r="M5989">
        <v>-1.465615E-2</v>
      </c>
      <c r="N5989">
        <v>-1.451005E-2</v>
      </c>
      <c r="O5989">
        <v>-0.99978730000000005</v>
      </c>
      <c r="P5989">
        <v>8.7583469999999997E-3</v>
      </c>
      <c r="Q5989">
        <v>-0.12938730000000001</v>
      </c>
      <c r="R5989">
        <v>-0.99155559999999998</v>
      </c>
      <c r="S5989">
        <v>-4.6569819999999998E-2</v>
      </c>
      <c r="T5989">
        <v>-0.1872808</v>
      </c>
      <c r="U5989">
        <v>-3.001465</v>
      </c>
      <c r="V5989">
        <v>-2.329583E-2</v>
      </c>
      <c r="W5989">
        <v>-0.1149887</v>
      </c>
      <c r="X5989">
        <v>0.99309360000000002</v>
      </c>
      <c r="Y5989">
        <v>8.3804439999999995E-4</v>
      </c>
      <c r="Z5989">
        <v>4.7774780000000003E-2</v>
      </c>
      <c r="AA5989">
        <v>0.99885780000000002</v>
      </c>
      <c r="AB5989">
        <v>22</v>
      </c>
      <c r="AC5989">
        <v>-0.27559999999999701</v>
      </c>
      <c r="AD5989">
        <v>-1.1208353527529999</v>
      </c>
      <c r="AE5989">
        <v>-17.751839999999898</v>
      </c>
      <c r="AF5989">
        <v>1.5308355402163999E-2</v>
      </c>
      <c r="AG5989">
        <v>-1.1208353527529999</v>
      </c>
      <c r="AH5989">
        <v>17.683493493567699</v>
      </c>
      <c r="AI5989">
        <v>93.626733571289506</v>
      </c>
      <c r="AJ5989">
        <v>89.950399849608502</v>
      </c>
      <c r="AK5989">
        <v>17.718985534470601</v>
      </c>
      <c r="AL5989">
        <v>96.602973298675096</v>
      </c>
      <c r="AM5989">
        <v>91.343788737697494</v>
      </c>
      <c r="AN5989">
        <v>0.99999999759201896</v>
      </c>
    </row>
    <row r="5990" spans="1:40" x14ac:dyDescent="0.25">
      <c r="A5990" t="str">
        <f>"20190303154930284"</f>
        <v>20190303154930284</v>
      </c>
      <c r="B5990" t="str">
        <f>"1551599370277162"</f>
        <v>1551599370277162</v>
      </c>
      <c r="C5990" t="s">
        <v>40</v>
      </c>
      <c r="D5990">
        <v>4.7482300000000004</v>
      </c>
      <c r="E5990">
        <v>0.51170629999999995</v>
      </c>
      <c r="F5990" t="s">
        <v>41</v>
      </c>
      <c r="G5990">
        <v>-422.44439999999997</v>
      </c>
      <c r="H5990" s="1">
        <v>-3.6478800000000001E-6</v>
      </c>
      <c r="I5990">
        <v>46.576309999999999</v>
      </c>
      <c r="J5990">
        <v>-422.10390000000001</v>
      </c>
      <c r="K5990">
        <v>1.120827</v>
      </c>
      <c r="L5990">
        <v>63.466369999999998</v>
      </c>
      <c r="M5990">
        <v>-1.465615E-2</v>
      </c>
      <c r="N5990">
        <v>-1.450476E-2</v>
      </c>
      <c r="O5990">
        <v>-0.9997876</v>
      </c>
      <c r="P5990">
        <v>8.3294479999999997E-3</v>
      </c>
      <c r="Q5990">
        <v>-0.128917899999999</v>
      </c>
      <c r="R5990">
        <v>-0.99162070000000002</v>
      </c>
      <c r="S5990">
        <v>-6.0272220000000001E-2</v>
      </c>
      <c r="T5990">
        <v>-0.19659599999999999</v>
      </c>
      <c r="U5990">
        <v>-3.0004270000000002</v>
      </c>
      <c r="V5990">
        <v>-2.2868030000000001E-2</v>
      </c>
      <c r="W5990">
        <v>-0.1145236</v>
      </c>
      <c r="X5990">
        <v>0.99315730000000002</v>
      </c>
      <c r="Y5990">
        <v>5.3977720000000003E-3</v>
      </c>
      <c r="Z5990">
        <v>5.0886439999999998E-2</v>
      </c>
      <c r="AA5990">
        <v>0.99868979999999996</v>
      </c>
      <c r="AB5990">
        <v>22</v>
      </c>
      <c r="AC5990">
        <v>-0.340499999999963</v>
      </c>
      <c r="AD5990">
        <v>-1.1208306478799901</v>
      </c>
      <c r="AE5990">
        <v>-16.890059999999998</v>
      </c>
      <c r="AF5990">
        <v>9.2487057422014907E-2</v>
      </c>
      <c r="AG5990">
        <v>-1.1208306478799901</v>
      </c>
      <c r="AH5990">
        <v>16.819199847982901</v>
      </c>
      <c r="AI5990">
        <v>93.8124934193727</v>
      </c>
      <c r="AJ5990">
        <v>89.684939551977905</v>
      </c>
      <c r="AK5990">
        <v>16.856758250725601</v>
      </c>
      <c r="AL5990">
        <v>96.576147717727494</v>
      </c>
      <c r="AM5990">
        <v>91.319035891693801</v>
      </c>
      <c r="AN5990">
        <v>1.00000001214816</v>
      </c>
    </row>
    <row r="5991" spans="1:40" x14ac:dyDescent="0.25">
      <c r="A5991" t="str">
        <f>"20190303154930307"</f>
        <v>20190303154930307</v>
      </c>
      <c r="B5991" t="str">
        <f>"1551599370296682"</f>
        <v>1551599370296682</v>
      </c>
      <c r="C5991" t="s">
        <v>40</v>
      </c>
      <c r="D5991">
        <v>4.7744119999999999</v>
      </c>
      <c r="E5991">
        <v>0.51239389999999996</v>
      </c>
      <c r="F5991" t="s">
        <v>41</v>
      </c>
      <c r="G5991">
        <v>-422.48849999999999</v>
      </c>
      <c r="H5991" s="1">
        <v>-3.7366919999999999E-6</v>
      </c>
      <c r="I5991">
        <v>46.756</v>
      </c>
      <c r="J5991">
        <v>-422.1071</v>
      </c>
      <c r="K5991">
        <v>1.1208290000000001</v>
      </c>
      <c r="L5991">
        <v>63.253720000000001</v>
      </c>
      <c r="M5991">
        <v>-1.465614E-2</v>
      </c>
      <c r="N5991">
        <v>-1.449956E-2</v>
      </c>
      <c r="O5991">
        <v>-0.9997876</v>
      </c>
      <c r="P5991">
        <v>8.0264289999999999E-3</v>
      </c>
      <c r="Q5991">
        <v>-0.12812470000000001</v>
      </c>
      <c r="R5991">
        <v>-0.99172579999999999</v>
      </c>
      <c r="S5991">
        <v>-6.9030759999999997E-2</v>
      </c>
      <c r="T5991">
        <v>-0.20120759999999999</v>
      </c>
      <c r="U5991">
        <v>-2.9997859999999998</v>
      </c>
      <c r="V5991">
        <v>-2.2566530000000001E-2</v>
      </c>
      <c r="W5991">
        <v>-0.1137339</v>
      </c>
      <c r="X5991">
        <v>0.99325490000000005</v>
      </c>
      <c r="Y5991">
        <v>8.3129550000000003E-3</v>
      </c>
      <c r="Z5991">
        <v>5.2431220000000001E-2</v>
      </c>
      <c r="AA5991">
        <v>0.99858990000000003</v>
      </c>
      <c r="AB5991">
        <v>22</v>
      </c>
      <c r="AC5991">
        <v>-0.38139999999998497</v>
      </c>
      <c r="AD5991">
        <v>-1.1208327366919999</v>
      </c>
      <c r="AE5991">
        <v>-16.497719999999902</v>
      </c>
      <c r="AF5991">
        <v>0.13889997336165599</v>
      </c>
      <c r="AG5991">
        <v>-1.1208327366919999</v>
      </c>
      <c r="AH5991">
        <v>16.425762867422598</v>
      </c>
      <c r="AI5991">
        <v>93.903459839007994</v>
      </c>
      <c r="AJ5991">
        <v>89.515505451704797</v>
      </c>
      <c r="AK5991">
        <v>16.4645450894654</v>
      </c>
      <c r="AL5991">
        <v>96.530603914735906</v>
      </c>
      <c r="AM5991">
        <v>91.301523430366601</v>
      </c>
      <c r="AN5991">
        <v>0.99999997232973004</v>
      </c>
    </row>
    <row r="5992" spans="1:40" x14ac:dyDescent="0.25">
      <c r="A5992" t="str">
        <f>"20190303154930329"</f>
        <v>20190303154930329</v>
      </c>
      <c r="B5992" t="str">
        <f>"1551599370326938"</f>
        <v>1551599370326938</v>
      </c>
      <c r="C5992" t="s">
        <v>40</v>
      </c>
      <c r="D5992">
        <v>4.8081680000000002</v>
      </c>
      <c r="E5992">
        <v>0.51346190000000003</v>
      </c>
      <c r="F5992" t="s">
        <v>41</v>
      </c>
      <c r="G5992">
        <v>-422.5224</v>
      </c>
      <c r="H5992" s="1">
        <v>-3.7367269999999998E-6</v>
      </c>
      <c r="I5992">
        <v>46.73507</v>
      </c>
      <c r="J5992">
        <v>-422.11040000000003</v>
      </c>
      <c r="K5992">
        <v>1.1208320000000001</v>
      </c>
      <c r="L5992">
        <v>63.030639999999998</v>
      </c>
      <c r="M5992">
        <v>-1.465613E-2</v>
      </c>
      <c r="N5992">
        <v>-1.4494119999999999E-2</v>
      </c>
      <c r="O5992">
        <v>-0.9997876</v>
      </c>
      <c r="P5992">
        <v>7.7935189999999996E-3</v>
      </c>
      <c r="Q5992">
        <v>-0.12810260000000001</v>
      </c>
      <c r="R5992">
        <v>-0.99173029999999995</v>
      </c>
      <c r="S5992">
        <v>-7.5408939999999994E-2</v>
      </c>
      <c r="T5992">
        <v>-0.2035141</v>
      </c>
      <c r="U5992">
        <v>-2.9993590000000001</v>
      </c>
      <c r="V5992">
        <v>-2.2333550000000001E-2</v>
      </c>
      <c r="W5992">
        <v>-0.1137172</v>
      </c>
      <c r="X5992">
        <v>0.99326210000000004</v>
      </c>
      <c r="Y5992">
        <v>1.043615E-2</v>
      </c>
      <c r="Z5992">
        <v>5.3208159999999997E-2</v>
      </c>
      <c r="AA5992">
        <v>0.99852890000000005</v>
      </c>
      <c r="AB5992">
        <v>22</v>
      </c>
      <c r="AC5992">
        <v>-0.411999999999977</v>
      </c>
      <c r="AD5992">
        <v>-1.1208357367270001</v>
      </c>
      <c r="AE5992">
        <v>-16.295570000000001</v>
      </c>
      <c r="AF5992">
        <v>0.1722861215731</v>
      </c>
      <c r="AG5992">
        <v>-1.1208357367270001</v>
      </c>
      <c r="AH5992">
        <v>16.223157045097398</v>
      </c>
      <c r="AI5992">
        <v>93.951984629748395</v>
      </c>
      <c r="AJ5992">
        <v>89.391555136860802</v>
      </c>
      <c r="AK5992">
        <v>16.2627420740262</v>
      </c>
      <c r="AL5992">
        <v>96.529640683683695</v>
      </c>
      <c r="AM5992">
        <v>91.288081537786695</v>
      </c>
      <c r="AN5992">
        <v>0.99999999416392604</v>
      </c>
    </row>
    <row r="5993" spans="1:40" x14ac:dyDescent="0.25">
      <c r="A5993" t="str">
        <f>"20190303154930352"</f>
        <v>20190303154930352</v>
      </c>
      <c r="B5993" t="str">
        <f>"1551599370347433"</f>
        <v>1551599370347433</v>
      </c>
      <c r="C5993" t="s">
        <v>40</v>
      </c>
      <c r="D5993">
        <v>4.8070309999999896</v>
      </c>
      <c r="E5993">
        <v>0.51403739999999998</v>
      </c>
      <c r="F5993" t="s">
        <v>41</v>
      </c>
      <c r="G5993">
        <v>-422.565</v>
      </c>
      <c r="H5993" s="1">
        <v>-3.7995019999999998E-6</v>
      </c>
      <c r="I5993">
        <v>46.854950000000002</v>
      </c>
      <c r="J5993">
        <v>-422.11340000000001</v>
      </c>
      <c r="K5993">
        <v>1.1208290000000001</v>
      </c>
      <c r="L5993">
        <v>62.822450000000003</v>
      </c>
      <c r="M5993">
        <v>-1.465613E-2</v>
      </c>
      <c r="N5993">
        <v>-1.448905E-2</v>
      </c>
      <c r="O5993">
        <v>-0.9997876</v>
      </c>
      <c r="P5993">
        <v>7.8034419999999998E-3</v>
      </c>
      <c r="Q5993">
        <v>-0.12880899999999901</v>
      </c>
      <c r="R5993">
        <v>-0.99163889999999999</v>
      </c>
      <c r="S5993">
        <v>-8.4289550000000005E-2</v>
      </c>
      <c r="T5993">
        <v>-0.2077937</v>
      </c>
      <c r="U5993">
        <v>-2.99884</v>
      </c>
      <c r="V5993">
        <v>-2.2342609999999999E-2</v>
      </c>
      <c r="W5993">
        <v>-0.1144299</v>
      </c>
      <c r="X5993">
        <v>0.99317999999999995</v>
      </c>
      <c r="Y5993">
        <v>1.339127E-2</v>
      </c>
      <c r="Z5993">
        <v>5.4639140000000003E-2</v>
      </c>
      <c r="AA5993">
        <v>0.99841639999999998</v>
      </c>
      <c r="AB5993">
        <v>22</v>
      </c>
      <c r="AC5993">
        <v>-0.45159999999998401</v>
      </c>
      <c r="AD5993">
        <v>-1.120832799502</v>
      </c>
      <c r="AE5993">
        <v>-15.967499999999999</v>
      </c>
      <c r="AF5993">
        <v>0.21643955118800401</v>
      </c>
      <c r="AG5993">
        <v>-1.120832799502</v>
      </c>
      <c r="AH5993">
        <v>15.894151580072901</v>
      </c>
      <c r="AI5993">
        <v>94.033365998290606</v>
      </c>
      <c r="AJ5993">
        <v>89.219819549188699</v>
      </c>
      <c r="AK5993">
        <v>15.9350923026537</v>
      </c>
      <c r="AL5993">
        <v>96.570743964295403</v>
      </c>
      <c r="AM5993">
        <v>91.288710379649899</v>
      </c>
      <c r="AN5993">
        <v>0.999999953317809</v>
      </c>
    </row>
    <row r="5994" spans="1:40" x14ac:dyDescent="0.25">
      <c r="A5994" t="str">
        <f>"20190303154930373"</f>
        <v>20190303154930373</v>
      </c>
      <c r="B5994" t="str">
        <f>"1551599370366954"</f>
        <v>1551599370366954</v>
      </c>
      <c r="C5994" t="s">
        <v>40</v>
      </c>
      <c r="D5994">
        <v>4.8243119999999999</v>
      </c>
      <c r="E5994">
        <v>0.51454929999999999</v>
      </c>
      <c r="F5994" t="s">
        <v>41</v>
      </c>
      <c r="G5994">
        <v>-422.58319999999998</v>
      </c>
      <c r="H5994" s="1">
        <v>-3.8542789999999997E-6</v>
      </c>
      <c r="I5994">
        <v>46.971359999999997</v>
      </c>
      <c r="J5994">
        <v>-422.11649999999997</v>
      </c>
      <c r="K5994">
        <v>1.1208320000000001</v>
      </c>
      <c r="L5994">
        <v>62.608179999999997</v>
      </c>
      <c r="M5994">
        <v>-1.465614E-2</v>
      </c>
      <c r="N5994">
        <v>-1.44838E-2</v>
      </c>
      <c r="O5994">
        <v>-0.9997878</v>
      </c>
      <c r="P5994">
        <v>7.4411479999999999E-3</v>
      </c>
      <c r="Q5994">
        <v>-0.1295249</v>
      </c>
      <c r="R5994">
        <v>-0.9915486</v>
      </c>
      <c r="S5994">
        <v>-8.8867189999999999E-2</v>
      </c>
      <c r="T5994">
        <v>-0.2120204</v>
      </c>
      <c r="U5994">
        <v>-2.9984440000000001</v>
      </c>
      <c r="V5994">
        <v>-2.1978939999999999E-2</v>
      </c>
      <c r="W5994">
        <v>-0.1151522</v>
      </c>
      <c r="X5994">
        <v>0.99310469999999895</v>
      </c>
      <c r="Y5994">
        <v>1.491455E-2</v>
      </c>
      <c r="Z5994">
        <v>5.6051379999999998E-2</v>
      </c>
      <c r="AA5994">
        <v>0.99831650000000005</v>
      </c>
      <c r="AB5994">
        <v>22</v>
      </c>
      <c r="AC5994">
        <v>-0.466700000000003</v>
      </c>
      <c r="AD5994">
        <v>-1.120835854279</v>
      </c>
      <c r="AE5994">
        <v>-15.63682</v>
      </c>
      <c r="AF5994">
        <v>0.236237733847349</v>
      </c>
      <c r="AG5994">
        <v>-1.120835854279</v>
      </c>
      <c r="AH5994">
        <v>15.5620952762416</v>
      </c>
      <c r="AI5994">
        <v>94.1190536490233</v>
      </c>
      <c r="AJ5994">
        <v>89.130297989910204</v>
      </c>
      <c r="AK5994">
        <v>15.604194649707299</v>
      </c>
      <c r="AL5994">
        <v>96.612403626519594</v>
      </c>
      <c r="AM5994">
        <v>91.267837073559306</v>
      </c>
      <c r="AN5994">
        <v>1.00000002406522</v>
      </c>
    </row>
    <row r="5995" spans="1:40" x14ac:dyDescent="0.25">
      <c r="A5995" t="str">
        <f>"20190303154930396"</f>
        <v>20190303154930396</v>
      </c>
      <c r="B5995" t="str">
        <f>"1551599370387450"</f>
        <v>1551599370387450</v>
      </c>
      <c r="C5995" t="s">
        <v>40</v>
      </c>
      <c r="D5995">
        <v>4.8306680000000002</v>
      </c>
      <c r="E5995">
        <v>0.51487959999999899</v>
      </c>
      <c r="F5995" t="s">
        <v>41</v>
      </c>
      <c r="G5995">
        <v>-422.60719999999998</v>
      </c>
      <c r="H5995" s="1">
        <v>-3.8825940000000002E-6</v>
      </c>
      <c r="I5995">
        <v>47.036940000000001</v>
      </c>
      <c r="J5995">
        <v>-422.11959999999999</v>
      </c>
      <c r="K5995">
        <v>1.120838</v>
      </c>
      <c r="L5995">
        <v>62.397190000000002</v>
      </c>
      <c r="M5995">
        <v>-1.465614E-2</v>
      </c>
      <c r="N5995">
        <v>-1.4478639999999999E-2</v>
      </c>
      <c r="O5995">
        <v>-0.99978800000000001</v>
      </c>
      <c r="P5995">
        <v>7.3939840000000001E-3</v>
      </c>
      <c r="Q5995">
        <v>-0.12927549999999999</v>
      </c>
      <c r="R5995">
        <v>-0.99158170000000001</v>
      </c>
      <c r="S5995">
        <v>-9.4482419999999998E-2</v>
      </c>
      <c r="T5995">
        <v>-0.2158051</v>
      </c>
      <c r="U5995">
        <v>-2.9980769999999999</v>
      </c>
      <c r="V5995">
        <v>-2.1932210000000001E-2</v>
      </c>
      <c r="W5995">
        <v>-0.11490739999999899</v>
      </c>
      <c r="X5995">
        <v>0.99313410000000002</v>
      </c>
      <c r="Y5995">
        <v>1.678261E-2</v>
      </c>
      <c r="Z5995">
        <v>5.7315600000000001E-2</v>
      </c>
      <c r="AA5995">
        <v>0.99821499999999996</v>
      </c>
      <c r="AB5995">
        <v>22</v>
      </c>
      <c r="AC5995">
        <v>-0.48759999999998599</v>
      </c>
      <c r="AD5995">
        <v>-1.1208418825939901</v>
      </c>
      <c r="AE5995">
        <v>-15.360250000000001</v>
      </c>
      <c r="AF5995">
        <v>0.26101368600389802</v>
      </c>
      <c r="AG5995">
        <v>-1.1208418825939901</v>
      </c>
      <c r="AH5995">
        <v>15.284444349896299</v>
      </c>
      <c r="AI5995">
        <v>94.193508780654597</v>
      </c>
      <c r="AJ5995">
        <v>89.021650459913303</v>
      </c>
      <c r="AK5995">
        <v>15.327708692271401</v>
      </c>
      <c r="AL5995">
        <v>96.598283811407597</v>
      </c>
      <c r="AM5995">
        <v>91.265104928823007</v>
      </c>
      <c r="AN5995">
        <v>1.00000003649652</v>
      </c>
    </row>
    <row r="5996" spans="1:40" x14ac:dyDescent="0.25">
      <c r="A5996" t="str">
        <f>"20190303154930419"</f>
        <v>20190303154930419</v>
      </c>
      <c r="B5996" t="str">
        <f>"1551599370417061"</f>
        <v>1551599370417061</v>
      </c>
      <c r="C5996" t="s">
        <v>40</v>
      </c>
      <c r="D5996">
        <v>4.8964569999999998</v>
      </c>
      <c r="E5996">
        <v>0.51525889999999996</v>
      </c>
      <c r="F5996" t="s">
        <v>41</v>
      </c>
      <c r="G5996">
        <v>-422.6198</v>
      </c>
      <c r="H5996" s="1">
        <v>-3.8485449999999901E-6</v>
      </c>
      <c r="I5996">
        <v>46.93526</v>
      </c>
      <c r="J5996">
        <v>-422.12279999999998</v>
      </c>
      <c r="K5996">
        <v>1.1208450000000001</v>
      </c>
      <c r="L5996">
        <v>62.177889999999998</v>
      </c>
      <c r="M5996">
        <v>-1.465614E-2</v>
      </c>
      <c r="N5996">
        <v>-1.447332E-2</v>
      </c>
      <c r="O5996">
        <v>-0.9997878</v>
      </c>
      <c r="P5996">
        <v>7.2948509999999998E-3</v>
      </c>
      <c r="Q5996">
        <v>-0.12832650000000001</v>
      </c>
      <c r="R5996">
        <v>-0.99170539999999996</v>
      </c>
      <c r="S5996">
        <v>-9.6984860000000006E-2</v>
      </c>
      <c r="T5996">
        <v>-0.2173165</v>
      </c>
      <c r="U5996">
        <v>-2.9978639999999999</v>
      </c>
      <c r="V5996">
        <v>-2.1834679999999999E-2</v>
      </c>
      <c r="W5996">
        <v>-0.11396199999999999</v>
      </c>
      <c r="X5996">
        <v>0.99324509999999999</v>
      </c>
      <c r="Y5996">
        <v>1.761571E-2</v>
      </c>
      <c r="Z5996">
        <v>5.7825099999999997E-2</v>
      </c>
      <c r="AA5996">
        <v>0.99817129999999998</v>
      </c>
      <c r="AB5996">
        <v>21</v>
      </c>
      <c r="AC5996">
        <v>-0.49700000000001399</v>
      </c>
      <c r="AD5996">
        <v>-1.1208488485449899</v>
      </c>
      <c r="AE5996">
        <v>-15.24263</v>
      </c>
      <c r="AF5996">
        <v>0.27205557491076299</v>
      </c>
      <c r="AG5996">
        <v>-1.1208488485449899</v>
      </c>
      <c r="AH5996">
        <v>15.166356577672101</v>
      </c>
      <c r="AI5996">
        <v>94.226005012912694</v>
      </c>
      <c r="AJ5996">
        <v>88.972332967860496</v>
      </c>
      <c r="AK5996">
        <v>15.2101508282535</v>
      </c>
      <c r="AL5996">
        <v>96.543758694951507</v>
      </c>
      <c r="AM5996">
        <v>91.259340261930205</v>
      </c>
      <c r="AN5996">
        <v>0.99999995968435496</v>
      </c>
    </row>
    <row r="5997" spans="1:40" x14ac:dyDescent="0.25">
      <c r="A5997" t="str">
        <f>"20190303154930442"</f>
        <v>20190303154930442</v>
      </c>
      <c r="B5997" t="str">
        <f>"1551599370436582"</f>
        <v>1551599370436582</v>
      </c>
      <c r="C5997" t="s">
        <v>40</v>
      </c>
      <c r="D5997">
        <v>4.9116869999999997</v>
      </c>
      <c r="E5997">
        <v>0.51541590000000004</v>
      </c>
      <c r="F5997" t="s">
        <v>41</v>
      </c>
      <c r="G5997">
        <v>-422.63830000000002</v>
      </c>
      <c r="H5997" s="1">
        <v>-3.7821179999999998E-6</v>
      </c>
      <c r="I5997">
        <v>46.76896</v>
      </c>
      <c r="J5997">
        <v>-422.12610000000001</v>
      </c>
      <c r="K5997">
        <v>1.120854</v>
      </c>
      <c r="L5997">
        <v>61.959380000000003</v>
      </c>
      <c r="M5997">
        <v>-1.465613E-2</v>
      </c>
      <c r="N5997">
        <v>-1.446801E-2</v>
      </c>
      <c r="O5997">
        <v>-0.99978800000000001</v>
      </c>
      <c r="P5997">
        <v>7.1428219999999897E-3</v>
      </c>
      <c r="Q5997">
        <v>-0.12681600000000001</v>
      </c>
      <c r="R5997">
        <v>-0.99190060000000002</v>
      </c>
      <c r="S5997">
        <v>-0.1002808</v>
      </c>
      <c r="T5997">
        <v>-0.21804750000000001</v>
      </c>
      <c r="U5997">
        <v>-2.99762</v>
      </c>
      <c r="V5997">
        <v>-2.1685449999999998E-2</v>
      </c>
      <c r="W5997">
        <v>-0.1124542</v>
      </c>
      <c r="X5997">
        <v>0.99342019999999998</v>
      </c>
      <c r="Y5997">
        <v>1.871345E-2</v>
      </c>
      <c r="Z5997">
        <v>5.80764E-2</v>
      </c>
      <c r="AA5997">
        <v>0.99813680000000005</v>
      </c>
      <c r="AB5997">
        <v>21</v>
      </c>
      <c r="AC5997">
        <v>-0.51220000000000698</v>
      </c>
      <c r="AD5997">
        <v>-1.1208577821179999</v>
      </c>
      <c r="AE5997">
        <v>-15.19042</v>
      </c>
      <c r="AF5997">
        <v>0.28792308915829801</v>
      </c>
      <c r="AG5997">
        <v>-1.1208577821179999</v>
      </c>
      <c r="AH5997">
        <v>15.114099839230599</v>
      </c>
      <c r="AI5997">
        <v>94.240509968744703</v>
      </c>
      <c r="AJ5997">
        <v>88.908649348877205</v>
      </c>
      <c r="AK5997">
        <v>15.1583388213629</v>
      </c>
      <c r="AL5997">
        <v>96.4568091977942</v>
      </c>
      <c r="AM5997">
        <v>91.250515609220798</v>
      </c>
      <c r="AN5997">
        <v>0.99999994980369</v>
      </c>
    </row>
    <row r="5998" spans="1:40" x14ac:dyDescent="0.25">
      <c r="A5998" t="str">
        <f>"20190303154930463"</f>
        <v>20190303154930463</v>
      </c>
      <c r="B5998" t="str">
        <f>"1551599370457078"</f>
        <v>1551599370457078</v>
      </c>
      <c r="C5998" t="s">
        <v>40</v>
      </c>
      <c r="D5998">
        <v>4.9310210000000003</v>
      </c>
      <c r="E5998">
        <v>0.51556380000000002</v>
      </c>
      <c r="F5998" t="s">
        <v>41</v>
      </c>
      <c r="G5998">
        <v>-422.65429999999998</v>
      </c>
      <c r="H5998" s="1">
        <v>-3.6412739999999999E-6</v>
      </c>
      <c r="I5998">
        <v>46.430759999999999</v>
      </c>
      <c r="J5998">
        <v>-422.12909999999999</v>
      </c>
      <c r="K5998">
        <v>1.1208579999999999</v>
      </c>
      <c r="L5998">
        <v>61.751739999999998</v>
      </c>
      <c r="M5998">
        <v>-1.465611E-2</v>
      </c>
      <c r="N5998">
        <v>-1.446296E-2</v>
      </c>
      <c r="O5998">
        <v>-0.99978800000000001</v>
      </c>
      <c r="P5998">
        <v>6.8450890000000004E-3</v>
      </c>
      <c r="Q5998">
        <v>-0.12707930000000001</v>
      </c>
      <c r="R5998">
        <v>-0.99186909999999895</v>
      </c>
      <c r="S5998">
        <v>-0.1019592</v>
      </c>
      <c r="T5998">
        <v>-0.2163641</v>
      </c>
      <c r="U5998">
        <v>-2.9975589999999999</v>
      </c>
      <c r="V5998">
        <v>-2.138731E-2</v>
      </c>
      <c r="W5998">
        <v>-0.1127228</v>
      </c>
      <c r="X5998">
        <v>0.99339630000000001</v>
      </c>
      <c r="Y5998">
        <v>1.9273220000000001E-2</v>
      </c>
      <c r="Z5998">
        <v>5.7524489999999998E-2</v>
      </c>
      <c r="AA5998">
        <v>0.99815799999999999</v>
      </c>
      <c r="AB5998">
        <v>21</v>
      </c>
      <c r="AC5998">
        <v>-0.52519999999998301</v>
      </c>
      <c r="AD5998">
        <v>-1.120861641274</v>
      </c>
      <c r="AE5998">
        <v>-15.32098</v>
      </c>
      <c r="AF5998">
        <v>0.29897582905178899</v>
      </c>
      <c r="AG5998">
        <v>-1.120861641274</v>
      </c>
      <c r="AH5998">
        <v>15.245531181693501</v>
      </c>
      <c r="AI5998">
        <v>94.204053311081495</v>
      </c>
      <c r="AJ5998">
        <v>88.876532570548306</v>
      </c>
      <c r="AK5998">
        <v>15.289602296241201</v>
      </c>
      <c r="AL5998">
        <v>96.472296816414797</v>
      </c>
      <c r="AM5998">
        <v>91.233358044960795</v>
      </c>
      <c r="AN5998">
        <v>1.0000000277612799</v>
      </c>
    </row>
    <row r="5999" spans="1:40" x14ac:dyDescent="0.25">
      <c r="A5999" t="str">
        <f>"20190303154930485"</f>
        <v>20190303154930485</v>
      </c>
      <c r="B5999" t="str">
        <f>"1551599370476598"</f>
        <v>1551599370476598</v>
      </c>
      <c r="C5999" t="s">
        <v>40</v>
      </c>
      <c r="D5999">
        <v>4.9374609999999999</v>
      </c>
      <c r="E5999">
        <v>0.51560859999999997</v>
      </c>
      <c r="F5999" t="s">
        <v>41</v>
      </c>
      <c r="G5999">
        <v>-422.6592</v>
      </c>
      <c r="H5999" s="1">
        <v>-3.6707639999999999E-6</v>
      </c>
      <c r="I5999">
        <v>46.496409999999997</v>
      </c>
      <c r="J5999">
        <v>-422.13209999999998</v>
      </c>
      <c r="K5999">
        <v>1.1208499999999999</v>
      </c>
      <c r="L5999">
        <v>61.542079999999999</v>
      </c>
      <c r="M5999">
        <v>-1.465609E-2</v>
      </c>
      <c r="N5999">
        <v>-1.4457899999999999E-2</v>
      </c>
      <c r="O5999">
        <v>-0.99978829999999996</v>
      </c>
      <c r="P5999">
        <v>6.7134219999999897E-3</v>
      </c>
      <c r="Q5999">
        <v>-0.1268514</v>
      </c>
      <c r="R5999">
        <v>-0.99189930000000004</v>
      </c>
      <c r="S5999">
        <v>-0.1041565</v>
      </c>
      <c r="T5999">
        <v>-0.22020729999999999</v>
      </c>
      <c r="U5999">
        <v>-2.9971009999999998</v>
      </c>
      <c r="V5999">
        <v>-2.1256170000000001E-2</v>
      </c>
      <c r="W5999">
        <v>-0.1124994</v>
      </c>
      <c r="X5999">
        <v>0.99342439999999999</v>
      </c>
      <c r="Y5999">
        <v>2.0006079999999999E-2</v>
      </c>
      <c r="Z5999">
        <v>5.8811790000000003E-2</v>
      </c>
      <c r="AA5999">
        <v>0.99806859999999997</v>
      </c>
      <c r="AB5999">
        <v>21</v>
      </c>
      <c r="AC5999">
        <v>-0.527100000000018</v>
      </c>
      <c r="AD5999">
        <v>-1.120853670764</v>
      </c>
      <c r="AE5999">
        <v>-15.045669999999999</v>
      </c>
      <c r="AF5999">
        <v>0.30482007613429102</v>
      </c>
      <c r="AG5999">
        <v>-1.120853670764</v>
      </c>
      <c r="AH5999">
        <v>14.968808126746501</v>
      </c>
      <c r="AI5999">
        <v>94.281391264661707</v>
      </c>
      <c r="AJ5999">
        <v>88.833408096841694</v>
      </c>
      <c r="AK5999">
        <v>15.013808476380399</v>
      </c>
      <c r="AL5999">
        <v>96.459415250708503</v>
      </c>
      <c r="AM5999">
        <v>91.225763148448706</v>
      </c>
      <c r="AN5999">
        <v>0.99999998913939403</v>
      </c>
    </row>
    <row r="6000" spans="1:40" x14ac:dyDescent="0.25">
      <c r="A6000" t="str">
        <f>"20190303154930509"</f>
        <v>20190303154930509</v>
      </c>
      <c r="B6000" t="str">
        <f>"1551599370497094"</f>
        <v>1551599370497094</v>
      </c>
      <c r="C6000" t="s">
        <v>40</v>
      </c>
      <c r="D6000">
        <v>4.9565130000000002</v>
      </c>
      <c r="E6000">
        <v>0.50030149999999995</v>
      </c>
      <c r="F6000" t="s">
        <v>41</v>
      </c>
      <c r="G6000">
        <v>-422.66410000000002</v>
      </c>
      <c r="H6000" s="1">
        <v>-3.623494E-6</v>
      </c>
      <c r="I6000">
        <v>46.383220000000001</v>
      </c>
      <c r="J6000">
        <v>-422.1354</v>
      </c>
      <c r="K6000">
        <v>1.1208549999999999</v>
      </c>
      <c r="L6000">
        <v>61.322240000000001</v>
      </c>
      <c r="M6000">
        <v>-1.465608E-2</v>
      </c>
      <c r="N6000">
        <v>-1.445256E-2</v>
      </c>
      <c r="O6000">
        <v>-0.99978829999999996</v>
      </c>
      <c r="P6000">
        <v>6.6483890000000002E-3</v>
      </c>
      <c r="Q6000">
        <v>-0.12712089999999901</v>
      </c>
      <c r="R6000">
        <v>-0.9918652</v>
      </c>
      <c r="S6000">
        <v>-0.1051636</v>
      </c>
      <c r="T6000">
        <v>-0.22158910000000001</v>
      </c>
      <c r="U6000">
        <v>-2.9968569999999999</v>
      </c>
      <c r="V6000">
        <v>-2.1190609999999999E-2</v>
      </c>
      <c r="W6000">
        <v>-0.11277470000000001</v>
      </c>
      <c r="X6000">
        <v>0.99339460000000002</v>
      </c>
      <c r="Y6000">
        <v>2.0342659999999999E-2</v>
      </c>
      <c r="Z6000">
        <v>5.9279949999999998E-2</v>
      </c>
      <c r="AA6000">
        <v>0.99803410000000004</v>
      </c>
      <c r="AB6000">
        <v>21</v>
      </c>
      <c r="AC6000">
        <v>-0.52870000000001405</v>
      </c>
      <c r="AD6000">
        <v>-1.1208586234939999</v>
      </c>
      <c r="AE6000">
        <v>-14.939019999999999</v>
      </c>
      <c r="AF6000">
        <v>0.307941556344485</v>
      </c>
      <c r="AG6000">
        <v>-1.1208586234939999</v>
      </c>
      <c r="AH6000">
        <v>14.861608213201499</v>
      </c>
      <c r="AI6000">
        <v>94.312145269179695</v>
      </c>
      <c r="AJ6000">
        <v>88.8129664814725</v>
      </c>
      <c r="AK6000">
        <v>14.9069967041884</v>
      </c>
      <c r="AL6000">
        <v>96.475289710669202</v>
      </c>
      <c r="AM6000">
        <v>91.222020344783999</v>
      </c>
      <c r="AN6000">
        <v>1.0000000031107099</v>
      </c>
    </row>
    <row r="6001" spans="1:40" x14ac:dyDescent="0.25">
      <c r="A6001" t="str">
        <f>"20190303154930531"</f>
        <v>20190303154930531</v>
      </c>
      <c r="B6001" t="str">
        <f>"1551599370527350"</f>
        <v>1551599370527350</v>
      </c>
      <c r="C6001" t="s">
        <v>40</v>
      </c>
      <c r="D6001">
        <v>4.9365839999999999</v>
      </c>
      <c r="E6001">
        <v>0.49947629999999998</v>
      </c>
      <c r="F6001" t="s">
        <v>41</v>
      </c>
      <c r="G6001">
        <v>-422.05450000000002</v>
      </c>
      <c r="H6001" s="1">
        <v>-3.9570840000000002E-6</v>
      </c>
      <c r="I6001">
        <v>47.543970000000002</v>
      </c>
      <c r="J6001">
        <v>-422.13839999999999</v>
      </c>
      <c r="K6001">
        <v>1.120862</v>
      </c>
      <c r="L6001">
        <v>61.113430000000001</v>
      </c>
      <c r="M6001">
        <v>-1.465608E-2</v>
      </c>
      <c r="N6001">
        <v>-1.444747E-2</v>
      </c>
      <c r="O6001">
        <v>-0.99978829999999996</v>
      </c>
      <c r="P6001">
        <v>6.6745859999999997E-3</v>
      </c>
      <c r="Q6001">
        <v>-0.12684010000000001</v>
      </c>
      <c r="R6001">
        <v>-0.99190100000000003</v>
      </c>
      <c r="S6001">
        <v>1.7578130000000001E-2</v>
      </c>
      <c r="T6001">
        <v>-0.2435031</v>
      </c>
      <c r="U6001">
        <v>-2.9932859999999999</v>
      </c>
      <c r="V6001">
        <v>-2.121733E-2</v>
      </c>
      <c r="W6001">
        <v>-0.1124985</v>
      </c>
      <c r="X6001">
        <v>0.99342540000000001</v>
      </c>
      <c r="Y6001">
        <v>-2.05019E-2</v>
      </c>
      <c r="Z6001">
        <v>6.6650650000000006E-2</v>
      </c>
      <c r="AA6001">
        <v>0.9975657</v>
      </c>
      <c r="AB6001">
        <v>21</v>
      </c>
      <c r="AC6001">
        <v>8.38999999999714E-2</v>
      </c>
      <c r="AD6001">
        <v>-1.1208659570840001</v>
      </c>
      <c r="AE6001">
        <v>-13.569459999999999</v>
      </c>
      <c r="AF6001">
        <v>-0.28087048315569102</v>
      </c>
      <c r="AG6001">
        <v>-1.1208659570840001</v>
      </c>
      <c r="AH6001">
        <v>13.4748357386786</v>
      </c>
      <c r="AI6001">
        <v>94.754011882317798</v>
      </c>
      <c r="AJ6001">
        <v>91.194104593726493</v>
      </c>
      <c r="AK6001">
        <v>13.524290255182599</v>
      </c>
      <c r="AL6001">
        <v>96.459362918235897</v>
      </c>
      <c r="AM6001">
        <v>91.223522842371096</v>
      </c>
      <c r="AN6001">
        <v>1.0000000564798599</v>
      </c>
    </row>
    <row r="6002" spans="1:40" x14ac:dyDescent="0.25">
      <c r="A6002" t="str">
        <f>"20190303154930553"</f>
        <v>20190303154930553</v>
      </c>
      <c r="B6002" t="str">
        <f>"1551599370546870"</f>
        <v>1551599370546870</v>
      </c>
      <c r="C6002" t="s">
        <v>40</v>
      </c>
      <c r="D6002">
        <v>4.9347890000000003</v>
      </c>
      <c r="E6002">
        <v>0.49923410000000001</v>
      </c>
      <c r="F6002" t="s">
        <v>41</v>
      </c>
      <c r="G6002">
        <v>-422.02980000000002</v>
      </c>
      <c r="H6002" s="1">
        <v>-3.8890420000000003E-6</v>
      </c>
      <c r="I6002">
        <v>47.395650000000003</v>
      </c>
      <c r="J6002">
        <v>-422.14150000000001</v>
      </c>
      <c r="K6002">
        <v>1.1208640000000001</v>
      </c>
      <c r="L6002">
        <v>60.903930000000003</v>
      </c>
      <c r="M6002">
        <v>-1.4656209999999999E-2</v>
      </c>
      <c r="N6002">
        <v>-1.444228E-2</v>
      </c>
      <c r="O6002">
        <v>-0.99978829999999996</v>
      </c>
      <c r="P6002">
        <v>6.2664249999999999E-3</v>
      </c>
      <c r="Q6002">
        <v>-0.12640960000000001</v>
      </c>
      <c r="R6002">
        <v>-0.99195820000000001</v>
      </c>
      <c r="S6002">
        <v>2.3712159999999999E-2</v>
      </c>
      <c r="T6002">
        <v>-0.24456079999999999</v>
      </c>
      <c r="U6002">
        <v>-2.9930729999999999</v>
      </c>
      <c r="V6002">
        <v>-2.0809999999999999E-2</v>
      </c>
      <c r="W6002">
        <v>-0.1120723</v>
      </c>
      <c r="X6002">
        <v>0.99348210000000003</v>
      </c>
      <c r="Y6002">
        <v>-2.2545059999999999E-2</v>
      </c>
      <c r="Z6002">
        <v>6.7009189999999996E-2</v>
      </c>
      <c r="AA6002">
        <v>0.99749759999999998</v>
      </c>
      <c r="AB6002">
        <v>21</v>
      </c>
      <c r="AC6002">
        <v>0.11169999999998401</v>
      </c>
      <c r="AD6002">
        <v>-1.1208678890420001</v>
      </c>
      <c r="AE6002">
        <v>-13.508279999999999</v>
      </c>
      <c r="AF6002">
        <v>-0.307571328895201</v>
      </c>
      <c r="AG6002">
        <v>-1.1208678890420001</v>
      </c>
      <c r="AH6002">
        <v>13.4128493554821</v>
      </c>
      <c r="AI6002">
        <v>94.775671915051902</v>
      </c>
      <c r="AJ6002">
        <v>91.313624771443898</v>
      </c>
      <c r="AK6002">
        <v>13.4631152702449</v>
      </c>
      <c r="AL6002">
        <v>96.434788606964901</v>
      </c>
      <c r="AM6002">
        <v>91.199972135599793</v>
      </c>
      <c r="AN6002">
        <v>0.99999996977384897</v>
      </c>
    </row>
    <row r="6003" spans="1:40" x14ac:dyDescent="0.25">
      <c r="A6003" t="str">
        <f>"20190303154930575"</f>
        <v>20190303154930575</v>
      </c>
      <c r="B6003" t="str">
        <f>"1551599370567366"</f>
        <v>1551599370567366</v>
      </c>
      <c r="C6003" t="s">
        <v>40</v>
      </c>
      <c r="D6003">
        <v>4.9213570000000004</v>
      </c>
      <c r="E6003">
        <v>0.49928460000000002</v>
      </c>
      <c r="F6003" t="s">
        <v>41</v>
      </c>
      <c r="G6003">
        <v>-422.03190000000001</v>
      </c>
      <c r="H6003" s="1">
        <v>-3.8098459999999999E-6</v>
      </c>
      <c r="I6003">
        <v>47.209690000000002</v>
      </c>
      <c r="J6003">
        <v>-422.14449999999999</v>
      </c>
      <c r="K6003">
        <v>1.1208610000000001</v>
      </c>
      <c r="L6003">
        <v>60.699339999999999</v>
      </c>
      <c r="M6003">
        <v>-1.465632E-2</v>
      </c>
      <c r="N6003">
        <v>-1.443711E-2</v>
      </c>
      <c r="O6003">
        <v>-0.99978849999999997</v>
      </c>
      <c r="P6003">
        <v>6.0152410000000002E-3</v>
      </c>
      <c r="Q6003">
        <v>-0.12624360000000001</v>
      </c>
      <c r="R6003">
        <v>-0.99198129999999995</v>
      </c>
      <c r="S6003">
        <v>2.39563E-2</v>
      </c>
      <c r="T6003">
        <v>-0.24497179999999999</v>
      </c>
      <c r="U6003">
        <v>-2.99295</v>
      </c>
      <c r="V6003">
        <v>-2.0559299999999999E-2</v>
      </c>
      <c r="W6003">
        <v>-0.1119111</v>
      </c>
      <c r="X6003">
        <v>0.99350550000000004</v>
      </c>
      <c r="Y6003">
        <v>-2.2626710000000001E-2</v>
      </c>
      <c r="Z6003">
        <v>6.7153580000000004E-2</v>
      </c>
      <c r="AA6003">
        <v>0.99748610000000004</v>
      </c>
      <c r="AB6003">
        <v>21</v>
      </c>
      <c r="AC6003">
        <v>0.112599999999986</v>
      </c>
      <c r="AD6003">
        <v>-1.1208648098459999</v>
      </c>
      <c r="AE6003">
        <v>-13.4896499999999</v>
      </c>
      <c r="AF6003">
        <v>-0.30818949651997801</v>
      </c>
      <c r="AG6003">
        <v>-1.1208648098459999</v>
      </c>
      <c r="AH6003">
        <v>13.394083079252701</v>
      </c>
      <c r="AI6003">
        <v>94.782310402982006</v>
      </c>
      <c r="AJ6003">
        <v>91.318107562887505</v>
      </c>
      <c r="AK6003">
        <v>13.444433056906499</v>
      </c>
      <c r="AL6003">
        <v>96.425493997913904</v>
      </c>
      <c r="AM6003">
        <v>91.185492196289403</v>
      </c>
      <c r="AN6003">
        <v>0.99999997882497405</v>
      </c>
    </row>
    <row r="6004" spans="1:40" x14ac:dyDescent="0.25">
      <c r="A6004" t="str">
        <f>"20190303154930597"</f>
        <v>20190303154930597</v>
      </c>
      <c r="B6004" t="str">
        <f>"1551599370586885"</f>
        <v>1551599370586885</v>
      </c>
      <c r="C6004" t="s">
        <v>40</v>
      </c>
      <c r="D6004">
        <v>4.9243550000000003</v>
      </c>
      <c r="E6004">
        <v>0.49934469999999997</v>
      </c>
      <c r="F6004" t="s">
        <v>41</v>
      </c>
      <c r="G6004">
        <v>-422.03840000000002</v>
      </c>
      <c r="H6004" s="1">
        <v>-3.6718359999999999E-6</v>
      </c>
      <c r="I6004">
        <v>46.883949999999999</v>
      </c>
      <c r="J6004">
        <v>-422.14760000000001</v>
      </c>
      <c r="K6004">
        <v>1.12086</v>
      </c>
      <c r="L6004">
        <v>60.487670000000001</v>
      </c>
      <c r="M6004">
        <v>-1.4656239999999999E-2</v>
      </c>
      <c r="N6004">
        <v>-1.443185E-2</v>
      </c>
      <c r="O6004">
        <v>-0.99978849999999997</v>
      </c>
      <c r="P6004">
        <v>5.7597680000000002E-3</v>
      </c>
      <c r="Q6004">
        <v>-0.12642229999999999</v>
      </c>
      <c r="R6004">
        <v>-0.99195979999999995</v>
      </c>
      <c r="S6004">
        <v>2.2979739999999999E-2</v>
      </c>
      <c r="T6004">
        <v>-0.24284269999999999</v>
      </c>
      <c r="U6004">
        <v>-2.9931950000000001</v>
      </c>
      <c r="V6004">
        <v>-2.030353E-2</v>
      </c>
      <c r="W6004">
        <v>-0.11209529999999999</v>
      </c>
      <c r="X6004">
        <v>0.99348999999999998</v>
      </c>
      <c r="Y6004">
        <v>-2.230126E-2</v>
      </c>
      <c r="Z6004">
        <v>6.6447809999999996E-2</v>
      </c>
      <c r="AA6004">
        <v>0.99754069999999995</v>
      </c>
      <c r="AB6004">
        <v>21</v>
      </c>
      <c r="AC6004">
        <v>0.109199999999987</v>
      </c>
      <c r="AD6004">
        <v>-1.1208636718360001</v>
      </c>
      <c r="AE6004">
        <v>-13.6037199999999</v>
      </c>
      <c r="AF6004">
        <v>-0.30650773516241497</v>
      </c>
      <c r="AG6004">
        <v>-1.1208636718360001</v>
      </c>
      <c r="AH6004">
        <v>13.508954820241399</v>
      </c>
      <c r="AI6004">
        <v>94.741860555282898</v>
      </c>
      <c r="AJ6004">
        <v>91.299773905585297</v>
      </c>
      <c r="AK6004">
        <v>13.558840020366</v>
      </c>
      <c r="AL6004">
        <v>96.436114668902803</v>
      </c>
      <c r="AM6004">
        <v>91.170766354745595</v>
      </c>
      <c r="AN6004">
        <v>0.99999998485627495</v>
      </c>
    </row>
    <row r="6005" spans="1:40" x14ac:dyDescent="0.25">
      <c r="A6005" t="str">
        <f>"20190303154930621"</f>
        <v>20190303154930621</v>
      </c>
      <c r="B6005" t="str">
        <f>"1551599370617142"</f>
        <v>1551599370617142</v>
      </c>
      <c r="C6005" t="s">
        <v>40</v>
      </c>
      <c r="D6005">
        <v>4.9653619999999998</v>
      </c>
      <c r="E6005">
        <v>0.49913220000000003</v>
      </c>
      <c r="F6005" t="s">
        <v>41</v>
      </c>
      <c r="G6005">
        <v>-422.04689999999999</v>
      </c>
      <c r="H6005" s="1">
        <v>-3.5839729999999998E-6</v>
      </c>
      <c r="I6005">
        <v>46.673879999999997</v>
      </c>
      <c r="J6005">
        <v>-422.1508</v>
      </c>
      <c r="K6005">
        <v>1.120857</v>
      </c>
      <c r="L6005">
        <v>60.272519999999901</v>
      </c>
      <c r="M6005">
        <v>-1.465604E-2</v>
      </c>
      <c r="N6005">
        <v>-1.4426670000000001E-2</v>
      </c>
      <c r="O6005">
        <v>-0.99978849999999997</v>
      </c>
      <c r="P6005">
        <v>5.8481210000000004E-3</v>
      </c>
      <c r="Q6005">
        <v>-0.12667909999999999</v>
      </c>
      <c r="R6005">
        <v>-0.99192650000000004</v>
      </c>
      <c r="S6005">
        <v>2.182007E-2</v>
      </c>
      <c r="T6005">
        <v>-0.24287310000000001</v>
      </c>
      <c r="U6005">
        <v>-2.9932249999999998</v>
      </c>
      <c r="V6005">
        <v>-2.0391039999999999E-2</v>
      </c>
      <c r="W6005">
        <v>-0.1123577</v>
      </c>
      <c r="X6005">
        <v>0.99345859999999997</v>
      </c>
      <c r="Y6005">
        <v>-2.191479E-2</v>
      </c>
      <c r="Z6005">
        <v>6.6462740000000006E-2</v>
      </c>
      <c r="AA6005">
        <v>0.9975482</v>
      </c>
      <c r="AB6005">
        <v>21</v>
      </c>
      <c r="AC6005">
        <v>0.10390000000001</v>
      </c>
      <c r="AD6005">
        <v>-1.1208605839729999</v>
      </c>
      <c r="AE6005">
        <v>-13.5986399999999</v>
      </c>
      <c r="AF6005">
        <v>-0.30116585748731201</v>
      </c>
      <c r="AG6005">
        <v>-1.1208605839729999</v>
      </c>
      <c r="AH6005">
        <v>13.503918747166599</v>
      </c>
      <c r="AI6005">
        <v>94.743648980756404</v>
      </c>
      <c r="AJ6005">
        <v>91.277604884070996</v>
      </c>
      <c r="AK6005">
        <v>13.553702477644199</v>
      </c>
      <c r="AL6005">
        <v>96.451244444628998</v>
      </c>
      <c r="AM6005">
        <v>91.175848200240907</v>
      </c>
      <c r="AN6005">
        <v>1.00000001858776</v>
      </c>
    </row>
    <row r="6006" spans="1:40" x14ac:dyDescent="0.25">
      <c r="A6006" t="str">
        <f>"20190303154930644"</f>
        <v>20190303154930644</v>
      </c>
      <c r="B6006" t="str">
        <f>"1551599370636662"</f>
        <v>1551599370636662</v>
      </c>
      <c r="C6006" t="s">
        <v>40</v>
      </c>
      <c r="D6006">
        <v>5.0072769999999904</v>
      </c>
      <c r="E6006">
        <v>0.49916490000000002</v>
      </c>
      <c r="F6006" t="s">
        <v>41</v>
      </c>
      <c r="G6006">
        <v>-422.04079999999999</v>
      </c>
      <c r="H6006" s="1">
        <v>-3.4540779999999999E-6</v>
      </c>
      <c r="I6006">
        <v>46.374879999999997</v>
      </c>
      <c r="J6006">
        <v>-422.15390000000002</v>
      </c>
      <c r="K6006">
        <v>1.1208579999999999</v>
      </c>
      <c r="L6006">
        <v>60.057160000000003</v>
      </c>
      <c r="M6006">
        <v>-1.4655929999999999E-2</v>
      </c>
      <c r="N6006">
        <v>-1.442161E-2</v>
      </c>
      <c r="O6006">
        <v>-0.99978880000000003</v>
      </c>
      <c r="P6006">
        <v>5.2295559999999998E-3</v>
      </c>
      <c r="Q6006">
        <v>-0.12677579999999999</v>
      </c>
      <c r="R6006">
        <v>-0.99191770000000001</v>
      </c>
      <c r="S6006">
        <v>2.368164E-2</v>
      </c>
      <c r="T6006">
        <v>-0.24142430000000001</v>
      </c>
      <c r="U6006">
        <v>-2.993439</v>
      </c>
      <c r="V6006">
        <v>-1.9772600000000001E-2</v>
      </c>
      <c r="W6006">
        <v>-0.1124594</v>
      </c>
      <c r="X6006">
        <v>0.9934596</v>
      </c>
      <c r="Y6006">
        <v>-2.253438E-2</v>
      </c>
      <c r="Z6006">
        <v>6.5981620000000005E-2</v>
      </c>
      <c r="AA6006">
        <v>0.99756630000000002</v>
      </c>
      <c r="AB6006">
        <v>21</v>
      </c>
      <c r="AC6006">
        <v>0.113100000000031</v>
      </c>
      <c r="AD6006">
        <v>-1.120861454078</v>
      </c>
      <c r="AE6006">
        <v>-13.68228</v>
      </c>
      <c r="AF6006">
        <v>-0.31154457058031498</v>
      </c>
      <c r="AG6006">
        <v>-1.120861454078</v>
      </c>
      <c r="AH6006">
        <v>13.5879698384259</v>
      </c>
      <c r="AI6006">
        <v>94.7143761179004</v>
      </c>
      <c r="AJ6006">
        <v>91.313445814452393</v>
      </c>
      <c r="AK6006">
        <v>13.637679962100099</v>
      </c>
      <c r="AL6006">
        <v>96.457108552869101</v>
      </c>
      <c r="AM6006">
        <v>91.140194305916594</v>
      </c>
      <c r="AN6006">
        <v>1.00000002459563</v>
      </c>
    </row>
    <row r="6007" spans="1:40" x14ac:dyDescent="0.25">
      <c r="A6007" t="str">
        <f>"20190303154930665"</f>
        <v>20190303154930665</v>
      </c>
      <c r="B6007" t="str">
        <f>"1551599370657158"</f>
        <v>1551599370657158</v>
      </c>
      <c r="C6007" t="s">
        <v>40</v>
      </c>
      <c r="D6007">
        <v>5.2393479999999997</v>
      </c>
      <c r="E6007">
        <v>0.49920880000000001</v>
      </c>
      <c r="F6007" t="s">
        <v>41</v>
      </c>
      <c r="G6007">
        <v>-422.05290000000002</v>
      </c>
      <c r="H6007" s="1">
        <v>-3.3864119999999998E-6</v>
      </c>
      <c r="I6007">
        <v>46.209679999999999</v>
      </c>
      <c r="J6007">
        <v>-422.15699999999998</v>
      </c>
      <c r="K6007">
        <v>1.1208530000000001</v>
      </c>
      <c r="L6007">
        <v>59.850009999999997</v>
      </c>
      <c r="M6007">
        <v>-1.4655949999999999E-2</v>
      </c>
      <c r="N6007">
        <v>-1.4416760000000001E-2</v>
      </c>
      <c r="O6007">
        <v>-0.99978880000000003</v>
      </c>
      <c r="P6007">
        <v>4.7544090000000002E-3</v>
      </c>
      <c r="Q6007">
        <v>-0.12717619999999999</v>
      </c>
      <c r="R6007">
        <v>-0.99186879999999999</v>
      </c>
      <c r="S6007">
        <v>2.185059E-2</v>
      </c>
      <c r="T6007">
        <v>-0.24229419999999999</v>
      </c>
      <c r="U6007">
        <v>-2.9933779999999999</v>
      </c>
      <c r="V6007">
        <v>-1.9296569999999999E-2</v>
      </c>
      <c r="W6007">
        <v>-0.1128652</v>
      </c>
      <c r="X6007">
        <v>0.9934229</v>
      </c>
      <c r="Y6007">
        <v>-2.1924619999999999E-2</v>
      </c>
      <c r="Z6007">
        <v>6.6276870000000002E-2</v>
      </c>
      <c r="AA6007">
        <v>0.99756040000000001</v>
      </c>
      <c r="AB6007">
        <v>21</v>
      </c>
      <c r="AC6007">
        <v>0.104099999999959</v>
      </c>
      <c r="AD6007">
        <v>-1.120856386412</v>
      </c>
      <c r="AE6007">
        <v>-13.640330000000001</v>
      </c>
      <c r="AF6007">
        <v>-0.30198261013577499</v>
      </c>
      <c r="AG6007">
        <v>-1.120856386412</v>
      </c>
      <c r="AH6007">
        <v>13.545878639895999</v>
      </c>
      <c r="AI6007">
        <v>94.729005029083297</v>
      </c>
      <c r="AJ6007">
        <v>91.277101617966693</v>
      </c>
      <c r="AK6007">
        <v>13.5955264944972</v>
      </c>
      <c r="AL6007">
        <v>96.480508417413603</v>
      </c>
      <c r="AM6007">
        <v>91.112791944677198</v>
      </c>
      <c r="AN6007">
        <v>0.99999998461460704</v>
      </c>
    </row>
    <row r="6008" spans="1:40" x14ac:dyDescent="0.25">
      <c r="A6008" t="str">
        <f>"20190303154930688"</f>
        <v>20190303154930688</v>
      </c>
      <c r="B6008" t="str">
        <f>"1551599370676680"</f>
        <v>1551599370676680</v>
      </c>
      <c r="C6008" t="s">
        <v>40</v>
      </c>
      <c r="D6008">
        <v>4.9888649999999997</v>
      </c>
      <c r="E6008">
        <v>0.49924780000000002</v>
      </c>
      <c r="F6008" t="s">
        <v>41</v>
      </c>
      <c r="G6008">
        <v>-422.06420000000003</v>
      </c>
      <c r="H6008" s="1">
        <v>-3.3400729999999999E-6</v>
      </c>
      <c r="I6008">
        <v>46.094589999999997</v>
      </c>
      <c r="J6008">
        <v>-422.15989999999999</v>
      </c>
      <c r="K6008">
        <v>1.1208560000000001</v>
      </c>
      <c r="L6008">
        <v>59.648409999999998</v>
      </c>
      <c r="M6008">
        <v>-1.4656020000000001E-2</v>
      </c>
      <c r="N6008">
        <v>-1.4412039999999999E-2</v>
      </c>
      <c r="O6008">
        <v>-0.99978880000000003</v>
      </c>
      <c r="P6008">
        <v>4.2648979999999996E-3</v>
      </c>
      <c r="Q6008">
        <v>-0.12708530000000001</v>
      </c>
      <c r="R6008">
        <v>-0.9918825</v>
      </c>
      <c r="S6008">
        <v>2.0172120000000002E-2</v>
      </c>
      <c r="T6008">
        <v>-0.24390220000000001</v>
      </c>
      <c r="U6008">
        <v>-2.9932249999999998</v>
      </c>
      <c r="V6008">
        <v>-1.8807419999999998E-2</v>
      </c>
      <c r="W6008">
        <v>-0.1127787</v>
      </c>
      <c r="X6008">
        <v>0.99344209999999999</v>
      </c>
      <c r="Y6008">
        <v>-2.1365769999999999E-2</v>
      </c>
      <c r="Z6008">
        <v>6.6818740000000001E-2</v>
      </c>
      <c r="AA6008">
        <v>0.99753639999999999</v>
      </c>
      <c r="AB6008">
        <v>21</v>
      </c>
      <c r="AC6008">
        <v>9.5699999999965202E-2</v>
      </c>
      <c r="AD6008">
        <v>-1.12085934007299</v>
      </c>
      <c r="AE6008">
        <v>-13.553819999999901</v>
      </c>
      <c r="AF6008">
        <v>-0.29235613403231597</v>
      </c>
      <c r="AG6008">
        <v>-1.12085934007299</v>
      </c>
      <c r="AH6008">
        <v>13.458923157896599</v>
      </c>
      <c r="AI6008">
        <v>94.759490314420304</v>
      </c>
      <c r="AJ6008">
        <v>91.244389207637099</v>
      </c>
      <c r="AK6008">
        <v>13.5086790745617</v>
      </c>
      <c r="AL6008">
        <v>96.475520514686494</v>
      </c>
      <c r="AM6008">
        <v>91.084569578887596</v>
      </c>
      <c r="AN6008">
        <v>0.99999998013657798</v>
      </c>
    </row>
    <row r="6009" spans="1:40" x14ac:dyDescent="0.25">
      <c r="A6009" t="str">
        <f>"20190303154930710"</f>
        <v>20190303154930710</v>
      </c>
      <c r="B6009" t="str">
        <f>"1551599370697174"</f>
        <v>1551599370697174</v>
      </c>
      <c r="C6009" t="s">
        <v>40</v>
      </c>
      <c r="D6009">
        <v>4.9536879999999996</v>
      </c>
      <c r="E6009">
        <v>0.49972529999999998</v>
      </c>
      <c r="F6009" t="s">
        <v>41</v>
      </c>
      <c r="G6009">
        <v>-422.07659999999998</v>
      </c>
      <c r="H6009" s="1">
        <v>-3.25332E-6</v>
      </c>
      <c r="I6009">
        <v>45.884740000000001</v>
      </c>
      <c r="J6009">
        <v>-422.16300000000001</v>
      </c>
      <c r="K6009">
        <v>1.1208560000000001</v>
      </c>
      <c r="L6009">
        <v>59.438229999999997</v>
      </c>
      <c r="M6009">
        <v>-1.465607E-2</v>
      </c>
      <c r="N6009">
        <v>-1.4407089999999999E-2</v>
      </c>
      <c r="O6009">
        <v>-0.99978880000000003</v>
      </c>
      <c r="P6009">
        <v>4.0835979999999999E-3</v>
      </c>
      <c r="Q6009">
        <v>-0.126554</v>
      </c>
      <c r="R6009">
        <v>-0.99195129999999998</v>
      </c>
      <c r="S6009">
        <v>1.8127440000000002E-2</v>
      </c>
      <c r="T6009">
        <v>-0.2437589</v>
      </c>
      <c r="U6009">
        <v>-2.9932560000000001</v>
      </c>
      <c r="V6009">
        <v>-1.8627580000000001E-2</v>
      </c>
      <c r="W6009">
        <v>-0.1122514</v>
      </c>
      <c r="X6009">
        <v>0.99350519999999998</v>
      </c>
      <c r="Y6009">
        <v>-2.0684859999999999E-2</v>
      </c>
      <c r="Z6009">
        <v>6.6776249999999995E-2</v>
      </c>
      <c r="AA6009">
        <v>0.99755349999999998</v>
      </c>
      <c r="AB6009">
        <v>21</v>
      </c>
      <c r="AC6009">
        <v>8.6400000000025998E-2</v>
      </c>
      <c r="AD6009">
        <v>-1.1208592533199999</v>
      </c>
      <c r="AE6009">
        <v>-13.55349</v>
      </c>
      <c r="AF6009">
        <v>-0.28311604961008802</v>
      </c>
      <c r="AG6009">
        <v>-1.1208592533199999</v>
      </c>
      <c r="AH6009">
        <v>13.4587255297923</v>
      </c>
      <c r="AI6009">
        <v>94.759628990144407</v>
      </c>
      <c r="AJ6009">
        <v>91.205089045115599</v>
      </c>
      <c r="AK6009">
        <v>13.508285348244</v>
      </c>
      <c r="AL6009">
        <v>96.445115423480004</v>
      </c>
      <c r="AM6009">
        <v>91.074132958202696</v>
      </c>
      <c r="AN6009">
        <v>0.99999997298282695</v>
      </c>
    </row>
    <row r="6010" spans="1:40" x14ac:dyDescent="0.25">
      <c r="A6010" t="str">
        <f>"20190303154930732"</f>
        <v>20190303154930732</v>
      </c>
      <c r="B6010" t="str">
        <f>"1551599370726455"</f>
        <v>1551599370726455</v>
      </c>
      <c r="C6010" t="s">
        <v>40</v>
      </c>
      <c r="D6010">
        <v>5.09171</v>
      </c>
      <c r="E6010">
        <v>0.49970239999999999</v>
      </c>
      <c r="F6010" t="s">
        <v>41</v>
      </c>
      <c r="G6010">
        <v>-422.09710000000001</v>
      </c>
      <c r="H6010" s="1">
        <v>-2.9257280000000001E-6</v>
      </c>
      <c r="I6010">
        <v>45.108350000000002</v>
      </c>
      <c r="J6010">
        <v>-422.166</v>
      </c>
      <c r="K6010">
        <v>1.120859</v>
      </c>
      <c r="L6010">
        <v>59.2301</v>
      </c>
      <c r="M6010">
        <v>-1.465606E-2</v>
      </c>
      <c r="N6010">
        <v>-1.440221E-2</v>
      </c>
      <c r="O6010">
        <v>-0.99978900000000004</v>
      </c>
      <c r="P6010">
        <v>4.2503749999999998E-3</v>
      </c>
      <c r="Q6010">
        <v>-0.126433399999999</v>
      </c>
      <c r="R6010">
        <v>-0.99196620000000002</v>
      </c>
      <c r="S6010">
        <v>1.376343E-2</v>
      </c>
      <c r="T6010">
        <v>-0.23421810000000001</v>
      </c>
      <c r="U6010">
        <v>-2.994415</v>
      </c>
      <c r="V6010">
        <v>-1.8794580000000002E-2</v>
      </c>
      <c r="W6010">
        <v>-0.1121355</v>
      </c>
      <c r="X6010">
        <v>0.99351520000000004</v>
      </c>
      <c r="Y6010">
        <v>-1.9231120000000001E-2</v>
      </c>
      <c r="Z6010">
        <v>6.3593040000000003E-2</v>
      </c>
      <c r="AA6010">
        <v>0.99779059999999997</v>
      </c>
      <c r="AB6010">
        <v>21</v>
      </c>
      <c r="AC6010">
        <v>6.8899999999985001E-2</v>
      </c>
      <c r="AD6010">
        <v>-1.1208619257279999</v>
      </c>
      <c r="AE6010">
        <v>-14.12175</v>
      </c>
      <c r="AF6010">
        <v>-0.27415616461597497</v>
      </c>
      <c r="AG6010">
        <v>-1.1208619257279999</v>
      </c>
      <c r="AH6010">
        <v>14.030833590749999</v>
      </c>
      <c r="AI6010">
        <v>94.566541762647304</v>
      </c>
      <c r="AJ6010">
        <v>91.1193912638212</v>
      </c>
      <c r="AK6010">
        <v>14.078202453099699</v>
      </c>
      <c r="AL6010">
        <v>96.438432283822607</v>
      </c>
      <c r="AM6010">
        <v>91.083749583830993</v>
      </c>
      <c r="AN6010">
        <v>1.0000000296143301</v>
      </c>
    </row>
    <row r="6011" spans="1:40" x14ac:dyDescent="0.25">
      <c r="A6011" t="str">
        <f>"20190303154930753"</f>
        <v>20190303154930753</v>
      </c>
      <c r="B6011" t="str">
        <f>"1551599370746950"</f>
        <v>1551599370746950</v>
      </c>
      <c r="C6011" t="s">
        <v>40</v>
      </c>
      <c r="D6011">
        <v>4.981433</v>
      </c>
      <c r="E6011">
        <v>0.50002150000000001</v>
      </c>
      <c r="F6011" t="s">
        <v>41</v>
      </c>
      <c r="G6011">
        <v>-422.09640000000002</v>
      </c>
      <c r="H6011" s="1">
        <v>-2.83942E-6</v>
      </c>
      <c r="I6011">
        <v>44.907609999999998</v>
      </c>
      <c r="J6011">
        <v>-422.16890000000001</v>
      </c>
      <c r="K6011">
        <v>1.120859</v>
      </c>
      <c r="L6011">
        <v>59.033169999999998</v>
      </c>
      <c r="M6011">
        <v>-1.465603E-2</v>
      </c>
      <c r="N6011">
        <v>-1.439762E-2</v>
      </c>
      <c r="O6011">
        <v>-0.99978920000000004</v>
      </c>
      <c r="P6011">
        <v>4.3614700000000001E-3</v>
      </c>
      <c r="Q6011">
        <v>-0.12619919999999901</v>
      </c>
      <c r="R6011">
        <v>-0.99199550000000003</v>
      </c>
      <c r="S6011">
        <v>1.4556879999999999E-2</v>
      </c>
      <c r="T6011">
        <v>-0.23433470000000001</v>
      </c>
      <c r="U6011">
        <v>-2.994354</v>
      </c>
      <c r="V6011">
        <v>-1.8905459999999999E-2</v>
      </c>
      <c r="W6011">
        <v>-0.1119054</v>
      </c>
      <c r="X6011">
        <v>0.99353899999999995</v>
      </c>
      <c r="Y6011">
        <v>-1.949538E-2</v>
      </c>
      <c r="Z6011">
        <v>6.3637550000000001E-2</v>
      </c>
      <c r="AA6011">
        <v>0.99778259999999996</v>
      </c>
      <c r="AB6011">
        <v>21</v>
      </c>
      <c r="AC6011">
        <v>7.2499999999990905E-2</v>
      </c>
      <c r="AD6011">
        <v>-1.1208618394200001</v>
      </c>
      <c r="AE6011">
        <v>-14.12556</v>
      </c>
      <c r="AF6011">
        <v>-0.27778921975792997</v>
      </c>
      <c r="AG6011">
        <v>-1.1208618394200001</v>
      </c>
      <c r="AH6011">
        <v>14.0346145305418</v>
      </c>
      <c r="AI6011">
        <v>94.565293718706499</v>
      </c>
      <c r="AJ6011">
        <v>91.133915851892297</v>
      </c>
      <c r="AK6011">
        <v>14.082041866667501</v>
      </c>
      <c r="AL6011">
        <v>96.425165277108803</v>
      </c>
      <c r="AM6011">
        <v>91.090115597598398</v>
      </c>
      <c r="AN6011">
        <v>0.99999998974398496</v>
      </c>
    </row>
    <row r="6012" spans="1:40" x14ac:dyDescent="0.25">
      <c r="A6012" t="str">
        <f>"20190303154930776"</f>
        <v>20190303154930776</v>
      </c>
      <c r="B6012" t="str">
        <f>"1551599370766471"</f>
        <v>1551599370766471</v>
      </c>
      <c r="C6012" t="s">
        <v>40</v>
      </c>
      <c r="D6012">
        <v>4.9616669999999896</v>
      </c>
      <c r="E6012">
        <v>0.5002704</v>
      </c>
      <c r="F6012" t="s">
        <v>41</v>
      </c>
      <c r="G6012">
        <v>-422.10500000000002</v>
      </c>
      <c r="H6012" s="1">
        <v>-2.5715989999999998E-6</v>
      </c>
      <c r="I6012">
        <v>44.27796</v>
      </c>
      <c r="J6012">
        <v>-422.17200000000003</v>
      </c>
      <c r="K6012">
        <v>1.1208549999999999</v>
      </c>
      <c r="L6012">
        <v>58.828090000000003</v>
      </c>
      <c r="M6012">
        <v>-1.4656020000000001E-2</v>
      </c>
      <c r="N6012">
        <v>-1.43835E-2</v>
      </c>
      <c r="O6012">
        <v>-0.99978920000000004</v>
      </c>
      <c r="P6012">
        <v>4.4650080000000003E-3</v>
      </c>
      <c r="Q6012">
        <v>-0.12661120000000001</v>
      </c>
      <c r="R6012">
        <v>-0.99194249999999995</v>
      </c>
      <c r="S6012">
        <v>1.2969970000000001E-2</v>
      </c>
      <c r="T6012">
        <v>-0.22752729999999999</v>
      </c>
      <c r="U6012">
        <v>-2.995209</v>
      </c>
      <c r="V6012">
        <v>-1.9008290000000001E-2</v>
      </c>
      <c r="W6012">
        <v>-0.11233219999999999</v>
      </c>
      <c r="X6012">
        <v>0.99348890000000001</v>
      </c>
      <c r="Y6012">
        <v>-1.896664E-2</v>
      </c>
      <c r="Z6012">
        <v>6.1375680000000002E-2</v>
      </c>
      <c r="AA6012">
        <v>0.99793449999999995</v>
      </c>
      <c r="AB6012">
        <v>21</v>
      </c>
      <c r="AC6012">
        <v>6.6999999999950405E-2</v>
      </c>
      <c r="AD6012">
        <v>-1.1208575715989999</v>
      </c>
      <c r="AE6012">
        <v>-14.550129999999999</v>
      </c>
      <c r="AF6012">
        <v>-0.27860854462928802</v>
      </c>
      <c r="AG6012">
        <v>-1.1208575715989999</v>
      </c>
      <c r="AH6012">
        <v>14.461766690806099</v>
      </c>
      <c r="AI6012">
        <v>94.431024034596405</v>
      </c>
      <c r="AJ6012">
        <v>91.103677001484698</v>
      </c>
      <c r="AK6012">
        <v>14.507813075590001</v>
      </c>
      <c r="AL6012">
        <v>96.449774108476404</v>
      </c>
      <c r="AM6012">
        <v>91.096098736697698</v>
      </c>
      <c r="AN6012">
        <v>1.0000000163343801</v>
      </c>
    </row>
    <row r="6013" spans="1:40" x14ac:dyDescent="0.25">
      <c r="A6013" t="str">
        <f>"20190303154930800"</f>
        <v>20190303154930800</v>
      </c>
      <c r="B6013" t="str">
        <f>"1551599370786967"</f>
        <v>1551599370786967</v>
      </c>
      <c r="C6013" t="s">
        <v>40</v>
      </c>
      <c r="D6013">
        <v>5.0048859999999999</v>
      </c>
      <c r="E6013">
        <v>0.50043939999999998</v>
      </c>
      <c r="F6013" t="s">
        <v>41</v>
      </c>
      <c r="G6013">
        <v>-422.1173</v>
      </c>
      <c r="H6013" s="1">
        <v>-2.3859119999999998E-6</v>
      </c>
      <c r="I6013">
        <v>43.837519999999998</v>
      </c>
      <c r="J6013">
        <v>-422.17520000000002</v>
      </c>
      <c r="K6013">
        <v>1.120844</v>
      </c>
      <c r="L6013">
        <v>58.607669999999999</v>
      </c>
      <c r="M6013">
        <v>-1.4656010000000001E-2</v>
      </c>
      <c r="N6013">
        <v>-1.4331299999999899E-2</v>
      </c>
      <c r="O6013">
        <v>-0.99979019999999996</v>
      </c>
      <c r="P6013">
        <v>4.5733889999999998E-3</v>
      </c>
      <c r="Q6013">
        <v>-0.1267983</v>
      </c>
      <c r="R6013">
        <v>-0.99191830000000003</v>
      </c>
      <c r="S6013">
        <v>1.0925290000000001E-2</v>
      </c>
      <c r="T6013">
        <v>-0.22399289999999999</v>
      </c>
      <c r="U6013">
        <v>-2.9957280000000002</v>
      </c>
      <c r="V6013">
        <v>-1.9116250000000001E-2</v>
      </c>
      <c r="W6013">
        <v>-0.1125715</v>
      </c>
      <c r="X6013">
        <v>0.99345969999999995</v>
      </c>
      <c r="Y6013">
        <v>-1.8285659999999999E-2</v>
      </c>
      <c r="Z6013">
        <v>6.024475E-2</v>
      </c>
      <c r="AA6013">
        <v>0.99801609999999996</v>
      </c>
      <c r="AB6013">
        <v>21</v>
      </c>
      <c r="AC6013">
        <v>5.7900000000017798E-2</v>
      </c>
      <c r="AD6013">
        <v>-1.1208463859119999</v>
      </c>
      <c r="AE6013">
        <v>-14.770149999999999</v>
      </c>
      <c r="AF6013">
        <v>-0.272816375525192</v>
      </c>
      <c r="AG6013">
        <v>-1.1208463859119999</v>
      </c>
      <c r="AH6013">
        <v>14.6831604034895</v>
      </c>
      <c r="AI6013">
        <v>94.364485803271194</v>
      </c>
      <c r="AJ6013">
        <v>91.064445806018597</v>
      </c>
      <c r="AK6013">
        <v>14.728405372957701</v>
      </c>
      <c r="AL6013">
        <v>96.463572780226599</v>
      </c>
      <c r="AM6013">
        <v>91.102355028814301</v>
      </c>
      <c r="AN6013">
        <v>0.99999997457520096</v>
      </c>
    </row>
    <row r="6014" spans="1:40" x14ac:dyDescent="0.25">
      <c r="A6014" t="str">
        <f>"20190303154930823"</f>
        <v>20190303154930823</v>
      </c>
      <c r="B6014" t="str">
        <f>"1551599370817223"</f>
        <v>1551599370817223</v>
      </c>
      <c r="C6014" t="s">
        <v>40</v>
      </c>
      <c r="D6014">
        <v>5.143764</v>
      </c>
      <c r="E6014">
        <v>0.50057790000000002</v>
      </c>
      <c r="F6014" t="s">
        <v>41</v>
      </c>
      <c r="G6014">
        <v>-422.12549999999999</v>
      </c>
      <c r="H6014" s="1">
        <v>-2.275758E-6</v>
      </c>
      <c r="I6014">
        <v>43.575629999999997</v>
      </c>
      <c r="J6014">
        <v>-422.1782</v>
      </c>
      <c r="K6014">
        <v>1.120816</v>
      </c>
      <c r="L6014">
        <v>58.4054</v>
      </c>
      <c r="M6014">
        <v>-1.4656000000000001E-2</v>
      </c>
      <c r="N6014">
        <v>-1.4218349999999999E-2</v>
      </c>
      <c r="O6014">
        <v>-0.9997916</v>
      </c>
      <c r="P6014">
        <v>4.6473159999999899E-3</v>
      </c>
      <c r="Q6014">
        <v>-0.12646859999999999</v>
      </c>
      <c r="R6014">
        <v>-0.9919597</v>
      </c>
      <c r="S6014">
        <v>9.8876950000000002E-3</v>
      </c>
      <c r="T6014">
        <v>-0.22338189999999999</v>
      </c>
      <c r="U6014">
        <v>-2.9958499999999999</v>
      </c>
      <c r="V6014">
        <v>-1.9191099999999999E-2</v>
      </c>
      <c r="W6014">
        <v>-0.1123535</v>
      </c>
      <c r="X6014">
        <v>0.99348289999999995</v>
      </c>
      <c r="Y6014">
        <v>-1.79402E-2</v>
      </c>
      <c r="Z6014">
        <v>6.0152360000000002E-2</v>
      </c>
      <c r="AA6014">
        <v>0.99802800000000003</v>
      </c>
      <c r="AB6014">
        <v>21</v>
      </c>
      <c r="AC6014">
        <v>5.27000000000157E-2</v>
      </c>
      <c r="AD6014">
        <v>-1.1208182757580001</v>
      </c>
      <c r="AE6014">
        <v>-14.82977</v>
      </c>
      <c r="AF6014">
        <v>-0.26852754118495098</v>
      </c>
      <c r="AG6014">
        <v>-1.1208182757580001</v>
      </c>
      <c r="AH6014">
        <v>14.743189807731699</v>
      </c>
      <c r="AI6014">
        <v>94.346703897413093</v>
      </c>
      <c r="AJ6014">
        <v>91.043450841789607</v>
      </c>
      <c r="AK6014">
        <v>14.7881704870634</v>
      </c>
      <c r="AL6014">
        <v>96.451002778449805</v>
      </c>
      <c r="AM6014">
        <v>91.106644410469102</v>
      </c>
      <c r="AN6014">
        <v>0.99999993993693304</v>
      </c>
    </row>
    <row r="6015" spans="1:40" x14ac:dyDescent="0.25">
      <c r="A6015" t="str">
        <f>"20190303154930844"</f>
        <v>20190303154930844</v>
      </c>
      <c r="B6015" t="str">
        <f>"1551599370836742"</f>
        <v>1551599370836742</v>
      </c>
      <c r="C6015" t="s">
        <v>40</v>
      </c>
      <c r="D6015">
        <v>5.0044529999999998</v>
      </c>
      <c r="E6015">
        <v>0.5007163</v>
      </c>
      <c r="F6015" t="s">
        <v>41</v>
      </c>
      <c r="G6015">
        <v>-422.13240000000002</v>
      </c>
      <c r="H6015" s="1">
        <v>-2.0994679999999999E-6</v>
      </c>
      <c r="I6015">
        <v>43.160469999999997</v>
      </c>
      <c r="J6015">
        <v>-422.18119999999999</v>
      </c>
      <c r="K6015">
        <v>1.120771</v>
      </c>
      <c r="L6015">
        <v>58.202120000000001</v>
      </c>
      <c r="M6015">
        <v>-1.4656000000000001E-2</v>
      </c>
      <c r="N6015">
        <v>-1.403049E-2</v>
      </c>
      <c r="O6015">
        <v>-0.99979419999999997</v>
      </c>
      <c r="P6015">
        <v>4.8436809999999999E-3</v>
      </c>
      <c r="Q6015">
        <v>-0.1257712</v>
      </c>
      <c r="R6015">
        <v>-0.99204749999999997</v>
      </c>
      <c r="S6015">
        <v>9.0026859999999993E-3</v>
      </c>
      <c r="T6015">
        <v>-0.2202818</v>
      </c>
      <c r="U6015">
        <v>-2.9961850000000001</v>
      </c>
      <c r="V6015">
        <v>-1.938836E-2</v>
      </c>
      <c r="W6015">
        <v>-0.1118417</v>
      </c>
      <c r="X6015">
        <v>0.99353689999999995</v>
      </c>
      <c r="Y6015">
        <v>-1.7645629999999999E-2</v>
      </c>
      <c r="Z6015">
        <v>5.930494E-2</v>
      </c>
      <c r="AA6015">
        <v>0.99808390000000002</v>
      </c>
      <c r="AB6015">
        <v>21</v>
      </c>
      <c r="AC6015">
        <v>4.8799999999971498E-2</v>
      </c>
      <c r="AD6015">
        <v>-1.1207730994680001</v>
      </c>
      <c r="AE6015">
        <v>-15.041649999999899</v>
      </c>
      <c r="AF6015">
        <v>-0.267780188267011</v>
      </c>
      <c r="AG6015">
        <v>-1.1207730994680001</v>
      </c>
      <c r="AH6015">
        <v>14.956283399477</v>
      </c>
      <c r="AI6015">
        <v>94.284857191785207</v>
      </c>
      <c r="AJ6015">
        <v>91.025725115912195</v>
      </c>
      <c r="AK6015">
        <v>15.0006083775022</v>
      </c>
      <c r="AL6015">
        <v>96.421492265219101</v>
      </c>
      <c r="AM6015">
        <v>91.117955679069297</v>
      </c>
      <c r="AN6015">
        <v>1.0000000230119901</v>
      </c>
    </row>
    <row r="6016" spans="1:40" x14ac:dyDescent="0.25">
      <c r="A6016" t="str">
        <f>"20190303154930866"</f>
        <v>20190303154930866</v>
      </c>
      <c r="B6016" t="str">
        <f>"1551599370857238"</f>
        <v>1551599370857238</v>
      </c>
      <c r="C6016" t="s">
        <v>40</v>
      </c>
      <c r="D6016">
        <v>5.0100699999999998</v>
      </c>
      <c r="E6016">
        <v>0.50087700000000002</v>
      </c>
      <c r="F6016" t="s">
        <v>41</v>
      </c>
      <c r="G6016">
        <v>-422.13819999999998</v>
      </c>
      <c r="H6016" s="1">
        <v>-1.8545040000000001E-6</v>
      </c>
      <c r="I6016">
        <v>42.585819999999998</v>
      </c>
      <c r="J6016">
        <v>-422.1841</v>
      </c>
      <c r="K6016">
        <v>1.120714</v>
      </c>
      <c r="L6016">
        <v>57.99689</v>
      </c>
      <c r="M6016">
        <v>-1.4655939999999999E-2</v>
      </c>
      <c r="N6016">
        <v>-1.379083E-2</v>
      </c>
      <c r="O6016">
        <v>-0.99979759999999995</v>
      </c>
      <c r="P6016">
        <v>4.751875E-3</v>
      </c>
      <c r="Q6016">
        <v>-0.12576379999999901</v>
      </c>
      <c r="R6016">
        <v>-0.99204910000000002</v>
      </c>
      <c r="S6016">
        <v>8.2397459999999992E-3</v>
      </c>
      <c r="T6016">
        <v>-0.21507390000000001</v>
      </c>
      <c r="U6016">
        <v>-2.9967350000000001</v>
      </c>
      <c r="V6016">
        <v>-1.9296890000000001E-2</v>
      </c>
      <c r="W6016">
        <v>-0.1120724</v>
      </c>
      <c r="X6016">
        <v>0.99351270000000003</v>
      </c>
      <c r="Y6016">
        <v>-1.7391690000000001E-2</v>
      </c>
      <c r="Z6016">
        <v>5.780569E-2</v>
      </c>
      <c r="AA6016">
        <v>0.99817630000000002</v>
      </c>
      <c r="AB6016">
        <v>21</v>
      </c>
      <c r="AC6016">
        <v>4.5900000000017302E-2</v>
      </c>
      <c r="AD6016">
        <v>-1.1207158545039999</v>
      </c>
      <c r="AE6016">
        <v>-15.41107</v>
      </c>
      <c r="AF6016">
        <v>-0.27035052950319499</v>
      </c>
      <c r="AG6016">
        <v>-1.1207158545039999</v>
      </c>
      <c r="AH6016">
        <v>15.3276832868252</v>
      </c>
      <c r="AI6016">
        <v>94.181211957486298</v>
      </c>
      <c r="AJ6016">
        <v>91.010481364155694</v>
      </c>
      <c r="AK6016">
        <v>15.3709781203591</v>
      </c>
      <c r="AL6016">
        <v>96.434793925960093</v>
      </c>
      <c r="AM6016">
        <v>91.112709836157507</v>
      </c>
      <c r="AN6016">
        <v>1.0000000389333601</v>
      </c>
    </row>
    <row r="6017" spans="1:40" x14ac:dyDescent="0.25">
      <c r="A6017" t="str">
        <f>"20190303154930888"</f>
        <v>20190303154930888</v>
      </c>
      <c r="B6017" t="str">
        <f>"1551599370876759"</f>
        <v>1551599370876759</v>
      </c>
      <c r="C6017" t="s">
        <v>40</v>
      </c>
      <c r="D6017">
        <v>5.0238339999999999</v>
      </c>
      <c r="E6017">
        <v>0.50099020000000005</v>
      </c>
      <c r="F6017" t="s">
        <v>41</v>
      </c>
      <c r="G6017">
        <v>-422.14800000000002</v>
      </c>
      <c r="H6017" s="1">
        <v>-1.6965950000000001E-6</v>
      </c>
      <c r="I6017">
        <v>42.211669999999998</v>
      </c>
      <c r="J6017">
        <v>-422.18729999999999</v>
      </c>
      <c r="K6017">
        <v>1.1206640000000001</v>
      </c>
      <c r="L6017">
        <v>57.790500000000002</v>
      </c>
      <c r="M6017">
        <v>-1.465582E-2</v>
      </c>
      <c r="N6017">
        <v>-1.3512440000000001E-2</v>
      </c>
      <c r="O6017">
        <v>-0.99980139999999995</v>
      </c>
      <c r="P6017">
        <v>4.8715759999999999E-3</v>
      </c>
      <c r="Q6017">
        <v>-0.12492350000000001</v>
      </c>
      <c r="R6017">
        <v>-0.99215469999999895</v>
      </c>
      <c r="S6017">
        <v>6.8664549999999996E-3</v>
      </c>
      <c r="T6017">
        <v>-0.21278330000000001</v>
      </c>
      <c r="U6017">
        <v>-2.9970400000000001</v>
      </c>
      <c r="V6017">
        <v>-1.9417520000000001E-2</v>
      </c>
      <c r="W6017">
        <v>-0.11150739999999899</v>
      </c>
      <c r="X6017">
        <v>0.99357390000000001</v>
      </c>
      <c r="Y6017">
        <v>-1.693451E-2</v>
      </c>
      <c r="Z6017">
        <v>5.7317809999999997E-2</v>
      </c>
      <c r="AA6017">
        <v>0.99821230000000005</v>
      </c>
      <c r="AB6017">
        <v>21</v>
      </c>
      <c r="AC6017">
        <v>3.9299999999968797E-2</v>
      </c>
      <c r="AD6017">
        <v>-1.1206656965949999</v>
      </c>
      <c r="AE6017">
        <v>-15.57883</v>
      </c>
      <c r="AF6017">
        <v>-0.26625933372831601</v>
      </c>
      <c r="AG6017">
        <v>-1.1206656965949999</v>
      </c>
      <c r="AH6017">
        <v>15.4963922933765</v>
      </c>
      <c r="AI6017">
        <v>94.135698239929397</v>
      </c>
      <c r="AJ6017">
        <v>90.984360411112604</v>
      </c>
      <c r="AK6017">
        <v>15.5391428253473</v>
      </c>
      <c r="AL6017">
        <v>96.402217756123306</v>
      </c>
      <c r="AM6017">
        <v>91.119594967456393</v>
      </c>
      <c r="AN6017">
        <v>1.0000000175494601</v>
      </c>
    </row>
    <row r="6018" spans="1:40" x14ac:dyDescent="0.25">
      <c r="A6018" t="str">
        <f>"20190303154930910"</f>
        <v>20190303154930910</v>
      </c>
      <c r="B6018" t="str">
        <f>"1551599370907014"</f>
        <v>1551599370907014</v>
      </c>
      <c r="C6018" t="s">
        <v>40</v>
      </c>
      <c r="D6018">
        <v>5.0620229999999999</v>
      </c>
      <c r="E6018">
        <v>0.50096189999999996</v>
      </c>
      <c r="F6018" t="s">
        <v>41</v>
      </c>
      <c r="G6018">
        <v>-422.1533</v>
      </c>
      <c r="H6018" s="1">
        <v>-1.4398599999999999E-6</v>
      </c>
      <c r="I6018">
        <v>41.609909999999999</v>
      </c>
      <c r="J6018">
        <v>-422.1902</v>
      </c>
      <c r="K6018">
        <v>1.1206069999999999</v>
      </c>
      <c r="L6018">
        <v>57.583590000000001</v>
      </c>
      <c r="M6018">
        <v>-1.4655659999999999E-2</v>
      </c>
      <c r="N6018">
        <v>-1.31916E-2</v>
      </c>
      <c r="O6018">
        <v>-0.99980570000000002</v>
      </c>
      <c r="P6018">
        <v>4.9838039999999997E-3</v>
      </c>
      <c r="Q6018">
        <v>-0.1247045</v>
      </c>
      <c r="R6018">
        <v>-0.9921816</v>
      </c>
      <c r="S6018">
        <v>6.286621E-3</v>
      </c>
      <c r="T6018">
        <v>-0.2076105</v>
      </c>
      <c r="U6018">
        <v>-2.9975589999999999</v>
      </c>
      <c r="V6018">
        <v>-1.953005E-2</v>
      </c>
      <c r="W6018">
        <v>-0.1116067</v>
      </c>
      <c r="X6018">
        <v>0.99356060000000002</v>
      </c>
      <c r="Y6018">
        <v>-1.6741539999999999E-2</v>
      </c>
      <c r="Z6018">
        <v>5.5912030000000001E-2</v>
      </c>
      <c r="AA6018">
        <v>0.9982953</v>
      </c>
      <c r="AB6018">
        <v>21</v>
      </c>
      <c r="AC6018">
        <v>3.6900000000002799E-2</v>
      </c>
      <c r="AD6018">
        <v>-1.12060843985999</v>
      </c>
      <c r="AE6018">
        <v>-15.97368</v>
      </c>
      <c r="AF6018">
        <v>-0.26969391008447402</v>
      </c>
      <c r="AG6018">
        <v>-1.12060843985999</v>
      </c>
      <c r="AH6018">
        <v>15.893205237121</v>
      </c>
      <c r="AI6018">
        <v>94.032594643866403</v>
      </c>
      <c r="AJ6018">
        <v>90.972166385627403</v>
      </c>
      <c r="AK6018">
        <v>15.9349449572276</v>
      </c>
      <c r="AL6018">
        <v>96.407942612441602</v>
      </c>
      <c r="AM6018">
        <v>91.126096739937097</v>
      </c>
      <c r="AN6018">
        <v>1.0000000721051201</v>
      </c>
    </row>
    <row r="6019" spans="1:40" x14ac:dyDescent="0.25">
      <c r="A6019" t="str">
        <f>"20190303154930932"</f>
        <v>20190303154930932</v>
      </c>
      <c r="B6019" t="str">
        <f>"1551599370927088"</f>
        <v>1551599370927088</v>
      </c>
      <c r="C6019" t="s">
        <v>40</v>
      </c>
      <c r="D6019">
        <v>4.9916309999999999</v>
      </c>
      <c r="E6019">
        <v>0.50111349999999999</v>
      </c>
      <c r="F6019" t="s">
        <v>41</v>
      </c>
      <c r="G6019">
        <v>-422.1542</v>
      </c>
      <c r="H6019" s="1">
        <v>-1.362314E-6</v>
      </c>
      <c r="I6019">
        <v>41.428600000000003</v>
      </c>
      <c r="J6019">
        <v>-422.19330000000002</v>
      </c>
      <c r="K6019">
        <v>1.120547</v>
      </c>
      <c r="L6019">
        <v>57.375729999999997</v>
      </c>
      <c r="M6019">
        <v>-1.465551E-2</v>
      </c>
      <c r="N6019">
        <v>-1.2824520000000001E-2</v>
      </c>
      <c r="O6019">
        <v>-0.99981050000000005</v>
      </c>
      <c r="P6019">
        <v>5.1208979999999996E-3</v>
      </c>
      <c r="Q6019">
        <v>-0.1243377</v>
      </c>
      <c r="R6019">
        <v>-0.99222679999999996</v>
      </c>
      <c r="S6019">
        <v>6.6833500000000002E-3</v>
      </c>
      <c r="T6019">
        <v>-0.20792269999999999</v>
      </c>
      <c r="U6019">
        <v>-2.9974669999999999</v>
      </c>
      <c r="V6019">
        <v>-1.966793E-2</v>
      </c>
      <c r="W6019">
        <v>-0.1116042</v>
      </c>
      <c r="X6019">
        <v>0.9935581</v>
      </c>
      <c r="Y6019">
        <v>-1.6873659999999999E-2</v>
      </c>
      <c r="Z6019">
        <v>5.638402E-2</v>
      </c>
      <c r="AA6019">
        <v>0.9982666</v>
      </c>
      <c r="AB6019">
        <v>21</v>
      </c>
      <c r="AC6019">
        <v>3.9100000000019002E-2</v>
      </c>
      <c r="AD6019">
        <v>-1.120548362314</v>
      </c>
      <c r="AE6019">
        <v>-15.94713</v>
      </c>
      <c r="AF6019">
        <v>-0.271487881641023</v>
      </c>
      <c r="AG6019">
        <v>-1.120548362314</v>
      </c>
      <c r="AH6019">
        <v>15.8665055335291</v>
      </c>
      <c r="AI6019">
        <v>94.039132583425399</v>
      </c>
      <c r="AJ6019">
        <v>90.980278359118799</v>
      </c>
      <c r="AK6019">
        <v>15.908341590111499</v>
      </c>
      <c r="AL6019">
        <v>96.407798862463594</v>
      </c>
      <c r="AM6019">
        <v>91.134047642630094</v>
      </c>
      <c r="AN6019">
        <v>1.0000000115018599</v>
      </c>
    </row>
    <row r="6020" spans="1:40" x14ac:dyDescent="0.25">
      <c r="A6020" t="str">
        <f>"20190303154930955"</f>
        <v>20190303154930955</v>
      </c>
      <c r="B6020" t="str">
        <f>"1551599370946608"</f>
        <v>1551599370946608</v>
      </c>
      <c r="C6020" t="s">
        <v>40</v>
      </c>
      <c r="D6020">
        <v>5.0027269999999904</v>
      </c>
      <c r="E6020">
        <v>0.50127379999999999</v>
      </c>
      <c r="F6020" t="s">
        <v>41</v>
      </c>
      <c r="G6020">
        <v>-422.15929999999997</v>
      </c>
      <c r="H6020" s="1">
        <v>-1.156813E-6</v>
      </c>
      <c r="I6020">
        <v>40.946399999999997</v>
      </c>
      <c r="J6020">
        <v>-422.19619999999998</v>
      </c>
      <c r="K6020">
        <v>1.1204940000000001</v>
      </c>
      <c r="L6020">
        <v>57.172879999999999</v>
      </c>
      <c r="M6020">
        <v>-1.4655380000000001E-2</v>
      </c>
      <c r="N6020">
        <v>-1.243056E-2</v>
      </c>
      <c r="O6020">
        <v>-0.99981569999999997</v>
      </c>
      <c r="P6020">
        <v>4.9571370000000003E-3</v>
      </c>
      <c r="Q6020">
        <v>-0.12408279999999999</v>
      </c>
      <c r="R6020">
        <v>-0.99225980000000003</v>
      </c>
      <c r="S6020">
        <v>6.1950679999999998E-3</v>
      </c>
      <c r="T6020">
        <v>-0.2044646</v>
      </c>
      <c r="U6020">
        <v>-2.997833</v>
      </c>
      <c r="V6020">
        <v>-1.9503699999999999E-2</v>
      </c>
      <c r="W6020">
        <v>-0.1117403</v>
      </c>
      <c r="X6020">
        <v>0.99354600000000004</v>
      </c>
      <c r="Y6020">
        <v>-1.6711190000000001E-2</v>
      </c>
      <c r="Z6020">
        <v>5.5623060000000002E-2</v>
      </c>
      <c r="AA6020">
        <v>0.99831199999999998</v>
      </c>
      <c r="AB6020">
        <v>21</v>
      </c>
      <c r="AC6020">
        <v>3.6900000000002799E-2</v>
      </c>
      <c r="AD6020">
        <v>-1.1204951568129999</v>
      </c>
      <c r="AE6020">
        <v>-16.226479999999999</v>
      </c>
      <c r="AF6020">
        <v>-0.27341580944525001</v>
      </c>
      <c r="AG6020">
        <v>-1.1204951568129999</v>
      </c>
      <c r="AH6020">
        <v>16.147200576457202</v>
      </c>
      <c r="AI6020">
        <v>93.968968801357406</v>
      </c>
      <c r="AJ6020">
        <v>90.970079917183199</v>
      </c>
      <c r="AK6020">
        <v>16.188340003151598</v>
      </c>
      <c r="AL6020">
        <v>96.415646157946995</v>
      </c>
      <c r="AM6020">
        <v>91.124594318643602</v>
      </c>
      <c r="AN6020">
        <v>0.99999997153688902</v>
      </c>
    </row>
    <row r="6021" spans="1:40" x14ac:dyDescent="0.25">
      <c r="A6021" t="str">
        <f>"20190303154930977"</f>
        <v>20190303154930977</v>
      </c>
      <c r="B6021" t="str">
        <f>"1551599370967104"</f>
        <v>1551599370967104</v>
      </c>
      <c r="C6021" t="s">
        <v>40</v>
      </c>
      <c r="D6021">
        <v>4.9806759999999999</v>
      </c>
      <c r="E6021">
        <v>0.50141229999999903</v>
      </c>
      <c r="F6021" t="s">
        <v>41</v>
      </c>
      <c r="G6021">
        <v>-422.17320000000001</v>
      </c>
      <c r="H6021" s="1">
        <v>-9.8140940000000005E-7</v>
      </c>
      <c r="I6021">
        <v>40.528939999999999</v>
      </c>
      <c r="J6021">
        <v>-422.19920000000002</v>
      </c>
      <c r="K6021">
        <v>1.1204289999999999</v>
      </c>
      <c r="L6021">
        <v>56.968690000000002</v>
      </c>
      <c r="M6021">
        <v>-1.465526E-2</v>
      </c>
      <c r="N6021">
        <v>-1.2006630000000001E-2</v>
      </c>
      <c r="O6021">
        <v>-0.9998205</v>
      </c>
      <c r="P6021">
        <v>4.3271619999999998E-3</v>
      </c>
      <c r="Q6021">
        <v>-0.1244155</v>
      </c>
      <c r="R6021">
        <v>-0.99222060000000001</v>
      </c>
      <c r="S6021">
        <v>4.1503909999999998E-3</v>
      </c>
      <c r="T6021">
        <v>-0.20183909999999999</v>
      </c>
      <c r="U6021">
        <v>-2.998138</v>
      </c>
      <c r="V6021">
        <v>-1.8873399999999999E-2</v>
      </c>
      <c r="W6021">
        <v>-0.1124947</v>
      </c>
      <c r="X6021">
        <v>0.9934731</v>
      </c>
      <c r="Y6021">
        <v>-1.6030740000000002E-2</v>
      </c>
      <c r="Z6021">
        <v>5.5169790000000003E-2</v>
      </c>
      <c r="AA6021">
        <v>0.99834829999999997</v>
      </c>
      <c r="AB6021">
        <v>21</v>
      </c>
      <c r="AC6021">
        <v>2.60000000000104E-2</v>
      </c>
      <c r="AD6021">
        <v>-1.1204299814093901</v>
      </c>
      <c r="AE6021">
        <v>-16.439749999999901</v>
      </c>
      <c r="AF6021">
        <v>-0.26570919262215498</v>
      </c>
      <c r="AG6021">
        <v>-1.1204299814093901</v>
      </c>
      <c r="AH6021">
        <v>16.361604855949501</v>
      </c>
      <c r="AI6021">
        <v>93.916939703083401</v>
      </c>
      <c r="AJ6021">
        <v>90.930390222232404</v>
      </c>
      <c r="AK6021">
        <v>16.402075422961399</v>
      </c>
      <c r="AL6021">
        <v>96.459143964823198</v>
      </c>
      <c r="AM6021">
        <v>91.088339588178798</v>
      </c>
      <c r="AN6021">
        <v>1.00000003158962</v>
      </c>
    </row>
    <row r="6022" spans="1:40" x14ac:dyDescent="0.25">
      <c r="A6022" t="str">
        <f>"20190303154931011"</f>
        <v>20190303154931011</v>
      </c>
      <c r="B6022" t="str">
        <f>"1551599371007120"</f>
        <v>1551599371007120</v>
      </c>
      <c r="C6022" t="s">
        <v>40</v>
      </c>
      <c r="D6022">
        <v>4.976146</v>
      </c>
      <c r="E6022">
        <v>0.50153029999999998</v>
      </c>
      <c r="F6022" t="s">
        <v>41</v>
      </c>
      <c r="G6022">
        <v>-422.19330000000002</v>
      </c>
      <c r="H6022" s="1">
        <v>-8.7172619999999896E-7</v>
      </c>
      <c r="I6022">
        <v>40.260800000000003</v>
      </c>
      <c r="J6022">
        <v>-422.20389999999998</v>
      </c>
      <c r="K6022">
        <v>1.120323</v>
      </c>
      <c r="L6022">
        <v>56.652279999999998</v>
      </c>
      <c r="M6022">
        <v>-1.4655039999999999E-2</v>
      </c>
      <c r="N6022">
        <v>-1.1304639999999999E-2</v>
      </c>
      <c r="O6022">
        <v>-0.99982879999999996</v>
      </c>
      <c r="P6022">
        <v>3.715589E-3</v>
      </c>
      <c r="Q6022">
        <v>-0.1239416</v>
      </c>
      <c r="R6022">
        <v>-0.99228269999999996</v>
      </c>
      <c r="S6022">
        <v>1.0681149999999999E-3</v>
      </c>
      <c r="T6022">
        <v>-0.2010652</v>
      </c>
      <c r="U6022">
        <v>-2.998291</v>
      </c>
      <c r="V6022">
        <v>-1.8262299999999999E-2</v>
      </c>
      <c r="W6022">
        <v>-0.1127174</v>
      </c>
      <c r="X6022">
        <v>0.99345919999999999</v>
      </c>
      <c r="Y6022">
        <v>-1.5004979999999999E-2</v>
      </c>
      <c r="Z6022">
        <v>5.5611500000000001E-2</v>
      </c>
      <c r="AA6022">
        <v>0.99833970000000005</v>
      </c>
      <c r="AB6022">
        <v>21</v>
      </c>
      <c r="AC6022">
        <v>1.05999999999539E-2</v>
      </c>
      <c r="AD6022">
        <v>-1.1203238717261901</v>
      </c>
      <c r="AE6022">
        <v>-16.391479999999898</v>
      </c>
      <c r="AF6022">
        <v>-0.24966568602355299</v>
      </c>
      <c r="AG6022">
        <v>-1.1203238717261901</v>
      </c>
      <c r="AH6022">
        <v>16.313357276921199</v>
      </c>
      <c r="AI6022">
        <v>93.9281749086432</v>
      </c>
      <c r="AJ6022">
        <v>90.876807463464004</v>
      </c>
      <c r="AK6022">
        <v>16.353687173748099</v>
      </c>
      <c r="AL6022">
        <v>96.471985920864398</v>
      </c>
      <c r="AM6022">
        <v>91.053123145613696</v>
      </c>
      <c r="AN6022">
        <v>0.99999995296434396</v>
      </c>
    </row>
    <row r="6023" spans="1:40" x14ac:dyDescent="0.25">
      <c r="A6023" t="str">
        <f>"20190303154931034"</f>
        <v>20190303154931034</v>
      </c>
      <c r="B6023" t="str">
        <f>"1551599371027186"</f>
        <v>1551599371027186</v>
      </c>
      <c r="C6023" t="s">
        <v>40</v>
      </c>
      <c r="D6023">
        <v>4.9810759999999998</v>
      </c>
      <c r="E6023">
        <v>0.50162180000000001</v>
      </c>
      <c r="F6023" t="s">
        <v>41</v>
      </c>
      <c r="G6023">
        <v>-422.21210000000002</v>
      </c>
      <c r="H6023" s="1">
        <v>-7.1526809999999996E-7</v>
      </c>
      <c r="I6023">
        <v>39.884419999999999</v>
      </c>
      <c r="J6023">
        <v>-422.20699999999999</v>
      </c>
      <c r="K6023">
        <v>1.120261</v>
      </c>
      <c r="L6023">
        <v>56.43826</v>
      </c>
      <c r="M6023">
        <v>-1.4654800000000001E-2</v>
      </c>
      <c r="N6023">
        <v>-1.0812449999999999E-2</v>
      </c>
      <c r="O6023">
        <v>-0.99983449999999996</v>
      </c>
      <c r="P6023">
        <v>3.4591880000000002E-3</v>
      </c>
      <c r="Q6023">
        <v>-0.12335</v>
      </c>
      <c r="R6023">
        <v>-0.99235739999999995</v>
      </c>
      <c r="S6023">
        <v>-1.4648440000000001E-3</v>
      </c>
      <c r="T6023">
        <v>-0.20032910000000001</v>
      </c>
      <c r="U6023">
        <v>-2.9983219999999999</v>
      </c>
      <c r="V6023">
        <v>-1.8006709999999999E-2</v>
      </c>
      <c r="W6023">
        <v>-0.11261400000000001</v>
      </c>
      <c r="X6023">
        <v>0.99347560000000001</v>
      </c>
      <c r="Y6023">
        <v>-1.4161969999999999E-2</v>
      </c>
      <c r="Z6023">
        <v>5.5858779999999997E-2</v>
      </c>
      <c r="AA6023">
        <v>0.99833819999999995</v>
      </c>
      <c r="AB6023">
        <v>21</v>
      </c>
      <c r="AC6023">
        <v>-5.1000000000271904E-3</v>
      </c>
      <c r="AD6023">
        <v>-1.1202617152681</v>
      </c>
      <c r="AE6023">
        <v>-16.553840000000001</v>
      </c>
      <c r="AF6023">
        <v>-0.23642509221913</v>
      </c>
      <c r="AG6023">
        <v>-1.1202617152681</v>
      </c>
      <c r="AH6023">
        <v>16.4766778562383</v>
      </c>
      <c r="AI6023">
        <v>93.889197826484406</v>
      </c>
      <c r="AJ6023">
        <v>90.822085039732002</v>
      </c>
      <c r="AK6023">
        <v>16.5164099099404</v>
      </c>
      <c r="AL6023">
        <v>96.466023520954494</v>
      </c>
      <c r="AM6023">
        <v>91.038370274185993</v>
      </c>
      <c r="AN6023">
        <v>0.99999996119819101</v>
      </c>
    </row>
    <row r="6024" spans="1:40" x14ac:dyDescent="0.25">
      <c r="A6024" t="str">
        <f>"20190303154931056"</f>
        <v>20190303154931056</v>
      </c>
      <c r="B6024" t="str">
        <f>"1551599371046706"</f>
        <v>1551599371046706</v>
      </c>
      <c r="C6024" t="s">
        <v>40</v>
      </c>
      <c r="D6024">
        <v>4.9620160000000002</v>
      </c>
      <c r="E6024">
        <v>0.50149779999999999</v>
      </c>
      <c r="F6024" t="s">
        <v>64</v>
      </c>
      <c r="G6024">
        <v>-422.22469999999998</v>
      </c>
      <c r="H6024" s="1">
        <v>-6.2939869999999895E-7</v>
      </c>
      <c r="I6024">
        <v>39.54354</v>
      </c>
      <c r="J6024">
        <v>-422.21</v>
      </c>
      <c r="K6024">
        <v>1.1201989999999999</v>
      </c>
      <c r="L6024">
        <v>56.227870000000003</v>
      </c>
      <c r="M6024">
        <v>-1.4654500000000001E-2</v>
      </c>
      <c r="N6024">
        <v>-1.0327080000000001E-2</v>
      </c>
      <c r="O6024">
        <v>-0.99983929999999999</v>
      </c>
      <c r="P6024">
        <v>3.6378640000000002E-3</v>
      </c>
      <c r="Q6024">
        <v>-0.1226993</v>
      </c>
      <c r="R6024">
        <v>-0.99243729999999997</v>
      </c>
      <c r="S6024">
        <v>-3.1433110000000002E-3</v>
      </c>
      <c r="T6024">
        <v>-0.19881989999999999</v>
      </c>
      <c r="U6024">
        <v>-2.9984130000000002</v>
      </c>
      <c r="V6024">
        <v>-1.818612E-2</v>
      </c>
      <c r="W6024">
        <v>-0.11244469999999999</v>
      </c>
      <c r="X6024">
        <v>0.99349149999999997</v>
      </c>
      <c r="Y6024">
        <v>-1.360331E-2</v>
      </c>
      <c r="Z6024">
        <v>5.5841439999999999E-2</v>
      </c>
      <c r="AA6024">
        <v>0.99834699999999998</v>
      </c>
      <c r="AB6024">
        <v>21</v>
      </c>
      <c r="AC6024">
        <v>-1.47000000000048E-2</v>
      </c>
      <c r="AD6024">
        <v>-1.1201996293987</v>
      </c>
      <c r="AE6024">
        <v>-16.6843299999999</v>
      </c>
      <c r="AF6024">
        <v>-0.22878379664249801</v>
      </c>
      <c r="AG6024">
        <v>-1.1201996293987</v>
      </c>
      <c r="AH6024">
        <v>16.607887159196601</v>
      </c>
      <c r="AI6024">
        <v>93.858382526982993</v>
      </c>
      <c r="AJ6024">
        <v>90.789234461804497</v>
      </c>
      <c r="AK6024">
        <v>16.647195112928799</v>
      </c>
      <c r="AL6024">
        <v>96.456261392491101</v>
      </c>
      <c r="AM6024">
        <v>91.048697005587599</v>
      </c>
      <c r="AN6024">
        <v>0.99999995304549605</v>
      </c>
    </row>
    <row r="6025" spans="1:40" x14ac:dyDescent="0.25">
      <c r="A6025" t="str">
        <f>"20190303154931078"</f>
        <v>20190303154931078</v>
      </c>
      <c r="B6025" t="str">
        <f>"1551599371067202"</f>
        <v>1551599371067202</v>
      </c>
      <c r="C6025" t="s">
        <v>40</v>
      </c>
      <c r="D6025">
        <v>4.9351269999999996</v>
      </c>
      <c r="E6025">
        <v>0.50130189999999997</v>
      </c>
      <c r="F6025" t="s">
        <v>64</v>
      </c>
      <c r="G6025">
        <v>-422.21679999999998</v>
      </c>
      <c r="H6025" s="1">
        <v>-7.8923659999999999E-7</v>
      </c>
      <c r="I6025">
        <v>39.11956</v>
      </c>
      <c r="J6025">
        <v>-422.21319999999997</v>
      </c>
      <c r="K6025">
        <v>1.120136</v>
      </c>
      <c r="L6025">
        <v>56.014189999999999</v>
      </c>
      <c r="M6025">
        <v>-1.4654159999999999E-2</v>
      </c>
      <c r="N6025">
        <v>-9.8335720000000005E-3</v>
      </c>
      <c r="O6025">
        <v>-0.99984430000000002</v>
      </c>
      <c r="P6025">
        <v>4.1035759999999899E-3</v>
      </c>
      <c r="Q6025">
        <v>-0.1224837</v>
      </c>
      <c r="R6025">
        <v>-0.99246239999999997</v>
      </c>
      <c r="S6025">
        <v>-1.190186E-3</v>
      </c>
      <c r="T6025">
        <v>-0.19633890000000001</v>
      </c>
      <c r="U6025">
        <v>-2.998596</v>
      </c>
      <c r="V6025">
        <v>-1.8652169999999999E-2</v>
      </c>
      <c r="W6025">
        <v>-0.11271929999999999</v>
      </c>
      <c r="X6025">
        <v>0.9934518</v>
      </c>
      <c r="Y6025">
        <v>-1.425333E-2</v>
      </c>
      <c r="Z6025">
        <v>5.5507500000000001E-2</v>
      </c>
      <c r="AA6025">
        <v>0.99835649999999998</v>
      </c>
      <c r="AB6025">
        <v>21</v>
      </c>
      <c r="AC6025">
        <v>-3.6000000000058199E-3</v>
      </c>
      <c r="AD6025">
        <v>-1.1201367892366001</v>
      </c>
      <c r="AE6025">
        <v>-16.894629999999999</v>
      </c>
      <c r="AF6025">
        <v>-0.24292111109726799</v>
      </c>
      <c r="AG6025">
        <v>-1.1201367892366001</v>
      </c>
      <c r="AH6025">
        <v>16.818934639280801</v>
      </c>
      <c r="AI6025">
        <v>93.809861364807901</v>
      </c>
      <c r="AJ6025">
        <v>90.827483250731404</v>
      </c>
      <c r="AK6025">
        <v>16.857944106361799</v>
      </c>
      <c r="AL6025">
        <v>96.472095100737505</v>
      </c>
      <c r="AM6025">
        <v>91.075608372170905</v>
      </c>
      <c r="AN6025">
        <v>1.0000000114807099</v>
      </c>
    </row>
    <row r="6026" spans="1:40" x14ac:dyDescent="0.25">
      <c r="A6026" t="str">
        <f>"20190303154931101"</f>
        <v>20190303154931101</v>
      </c>
      <c r="B6026" t="str">
        <f>"1551599371096482"</f>
        <v>1551599371096482</v>
      </c>
      <c r="C6026" t="s">
        <v>40</v>
      </c>
      <c r="D6026">
        <v>5.1079230000000004</v>
      </c>
      <c r="E6026">
        <v>0.5010135</v>
      </c>
      <c r="F6026" t="s">
        <v>64</v>
      </c>
      <c r="G6026">
        <v>-422.20479999999998</v>
      </c>
      <c r="H6026" s="1">
        <v>-9.3168789999999995E-7</v>
      </c>
      <c r="I6026">
        <v>38.738210000000002</v>
      </c>
      <c r="J6026">
        <v>-422.21640000000002</v>
      </c>
      <c r="K6026">
        <v>1.1200680000000001</v>
      </c>
      <c r="L6026">
        <v>55.796329999999998</v>
      </c>
      <c r="M6026">
        <v>-1.465382E-2</v>
      </c>
      <c r="N6026">
        <v>-9.3349139999999997E-3</v>
      </c>
      <c r="O6026">
        <v>-0.99984910000000005</v>
      </c>
      <c r="P6026">
        <v>4.5718809999999999E-3</v>
      </c>
      <c r="Q6026">
        <v>-0.1220646</v>
      </c>
      <c r="R6026">
        <v>-0.99251199999999995</v>
      </c>
      <c r="S6026">
        <v>1.4648440000000001E-3</v>
      </c>
      <c r="T6026">
        <v>-0.1944343</v>
      </c>
      <c r="U6026">
        <v>-2.9987789999999999</v>
      </c>
      <c r="V6026">
        <v>-1.912003E-2</v>
      </c>
      <c r="W6026">
        <v>-0.1127952</v>
      </c>
      <c r="X6026">
        <v>0.99343429999999999</v>
      </c>
      <c r="Y6026">
        <v>-1.513689E-2</v>
      </c>
      <c r="Z6026">
        <v>5.5369620000000001E-2</v>
      </c>
      <c r="AA6026">
        <v>0.99835119999999999</v>
      </c>
      <c r="AB6026">
        <v>21</v>
      </c>
      <c r="AC6026">
        <v>1.1600000000044E-2</v>
      </c>
      <c r="AD6026">
        <v>-1.12006893168789</v>
      </c>
      <c r="AE6026">
        <v>-17.058119999999999</v>
      </c>
      <c r="AF6026">
        <v>-0.26045331320065102</v>
      </c>
      <c r="AG6026">
        <v>-1.12006893168789</v>
      </c>
      <c r="AH6026">
        <v>16.982896747625698</v>
      </c>
      <c r="AI6026">
        <v>93.772907739615505</v>
      </c>
      <c r="AJ6026">
        <v>90.878631369128897</v>
      </c>
      <c r="AK6026">
        <v>17.021785226015702</v>
      </c>
      <c r="AL6026">
        <v>96.476471703214997</v>
      </c>
      <c r="AM6026">
        <v>91.102601135451394</v>
      </c>
      <c r="AN6026">
        <v>1.0000000205533599</v>
      </c>
    </row>
    <row r="6027" spans="1:40" x14ac:dyDescent="0.25">
      <c r="A6027" t="str">
        <f>"20190303154931123"</f>
        <v>20190303154931123</v>
      </c>
      <c r="B6027" t="str">
        <f>"1551599371116508"</f>
        <v>1551599371116508</v>
      </c>
      <c r="C6027" t="s">
        <v>40</v>
      </c>
      <c r="D6027">
        <v>4.9728750000000002</v>
      </c>
      <c r="E6027">
        <v>0.50081579999999903</v>
      </c>
      <c r="F6027" t="s">
        <v>64</v>
      </c>
      <c r="G6027">
        <v>-422.18419999999998</v>
      </c>
      <c r="H6027" s="1">
        <v>-1.138225E-6</v>
      </c>
      <c r="I6027">
        <v>38.310830000000003</v>
      </c>
      <c r="J6027">
        <v>-422.21949999999998</v>
      </c>
      <c r="K6027">
        <v>1.1200159999999999</v>
      </c>
      <c r="L6027">
        <v>55.582180000000001</v>
      </c>
      <c r="M6027">
        <v>-1.465347E-2</v>
      </c>
      <c r="N6027">
        <v>-8.8583610000000004E-3</v>
      </c>
      <c r="O6027">
        <v>-0.9998534</v>
      </c>
      <c r="P6027">
        <v>4.854377E-3</v>
      </c>
      <c r="Q6027">
        <v>-0.12203120000000001</v>
      </c>
      <c r="R6027">
        <v>-0.99251440000000002</v>
      </c>
      <c r="S6027">
        <v>5.5236819999999898E-3</v>
      </c>
      <c r="T6027">
        <v>-0.19210659999999999</v>
      </c>
      <c r="U6027">
        <v>-2.998993</v>
      </c>
      <c r="V6027">
        <v>-1.9402329999999999E-2</v>
      </c>
      <c r="W6027">
        <v>-0.1132353</v>
      </c>
      <c r="X6027">
        <v>0.99337880000000001</v>
      </c>
      <c r="Y6027">
        <v>-1.648755E-2</v>
      </c>
      <c r="Z6027">
        <v>5.506846E-2</v>
      </c>
      <c r="AA6027">
        <v>0.99834639999999997</v>
      </c>
      <c r="AB6027">
        <v>21</v>
      </c>
      <c r="AC6027">
        <v>3.53000000000065E-2</v>
      </c>
      <c r="AD6027">
        <v>-1.1200171382249999</v>
      </c>
      <c r="AE6027">
        <v>-17.271350000000002</v>
      </c>
      <c r="AF6027">
        <v>-0.28718365930678202</v>
      </c>
      <c r="AG6027">
        <v>-1.1200171382249999</v>
      </c>
      <c r="AH6027">
        <v>17.196661396968501</v>
      </c>
      <c r="AI6027">
        <v>93.725888263882098</v>
      </c>
      <c r="AJ6027">
        <v>90.9567486297952</v>
      </c>
      <c r="AK6027">
        <v>17.2354888542819</v>
      </c>
      <c r="AL6027">
        <v>96.501849898664005</v>
      </c>
      <c r="AM6027">
        <v>91.118939010856806</v>
      </c>
      <c r="AN6027">
        <v>1.00000006193247</v>
      </c>
    </row>
    <row r="6028" spans="1:40" x14ac:dyDescent="0.25">
      <c r="A6028" t="str">
        <f>"20190303154931144"</f>
        <v>20190303154931144</v>
      </c>
      <c r="B6028" t="str">
        <f>"1551599371137005"</f>
        <v>1551599371137005</v>
      </c>
      <c r="C6028" t="s">
        <v>40</v>
      </c>
      <c r="D6028">
        <v>4.9943229999999996</v>
      </c>
      <c r="E6028">
        <v>0.50065669999999995</v>
      </c>
      <c r="F6028" t="s">
        <v>64</v>
      </c>
      <c r="G6028">
        <v>-422.17410000000001</v>
      </c>
      <c r="H6028" s="1">
        <v>-1.300198E-6</v>
      </c>
      <c r="I6028">
        <v>38.053789999999999</v>
      </c>
      <c r="J6028">
        <v>-422.2226</v>
      </c>
      <c r="K6028">
        <v>1.1199699999999999</v>
      </c>
      <c r="L6028">
        <v>55.37106</v>
      </c>
      <c r="M6028">
        <v>-1.465311E-2</v>
      </c>
      <c r="N6028">
        <v>-8.4108840000000004E-3</v>
      </c>
      <c r="O6028">
        <v>-0.99985740000000001</v>
      </c>
      <c r="P6028">
        <v>5.4312120000000004E-3</v>
      </c>
      <c r="Q6028">
        <v>-0.1213226</v>
      </c>
      <c r="R6028">
        <v>-0.99259869999999994</v>
      </c>
      <c r="S6028">
        <v>7.7819819999999998E-3</v>
      </c>
      <c r="T6028">
        <v>-0.19162960000000001</v>
      </c>
      <c r="U6028">
        <v>-2.9990230000000002</v>
      </c>
      <c r="V6028">
        <v>-1.997987E-2</v>
      </c>
      <c r="W6028">
        <v>-0.1129705</v>
      </c>
      <c r="X6028">
        <v>0.99339739999999999</v>
      </c>
      <c r="Y6028">
        <v>-1.723891E-2</v>
      </c>
      <c r="Z6028">
        <v>5.5356009999999997E-2</v>
      </c>
      <c r="AA6028">
        <v>0.99831780000000003</v>
      </c>
      <c r="AB6028">
        <v>22</v>
      </c>
      <c r="AC6028">
        <v>4.8499999999990002E-2</v>
      </c>
      <c r="AD6028">
        <v>-1.1199713001980001</v>
      </c>
      <c r="AE6028">
        <v>-17.317270000000001</v>
      </c>
      <c r="AF6028">
        <v>-0.30099663211073402</v>
      </c>
      <c r="AG6028">
        <v>-1.1199713001980001</v>
      </c>
      <c r="AH6028">
        <v>17.2425802630015</v>
      </c>
      <c r="AI6028">
        <v>93.715794134701</v>
      </c>
      <c r="AJ6028">
        <v>91.000087280203005</v>
      </c>
      <c r="AK6028">
        <v>17.281536644982101</v>
      </c>
      <c r="AL6028">
        <v>96.486580647402903</v>
      </c>
      <c r="AM6028">
        <v>91.152215522399601</v>
      </c>
      <c r="AN6028">
        <v>0.99999996170111205</v>
      </c>
    </row>
    <row r="6029" spans="1:40" x14ac:dyDescent="0.25">
      <c r="A6029" t="str">
        <f>"20190303154931167"</f>
        <v>20190303154931167</v>
      </c>
      <c r="B6029" t="str">
        <f>"1551599371156525"</f>
        <v>1551599371156525</v>
      </c>
      <c r="C6029" t="s">
        <v>40</v>
      </c>
      <c r="D6029">
        <v>5.0323409999999997</v>
      </c>
      <c r="E6029">
        <v>0.50051889999999999</v>
      </c>
      <c r="F6029" t="s">
        <v>64</v>
      </c>
      <c r="G6029">
        <v>-422.16019999999997</v>
      </c>
      <c r="H6029" s="1">
        <v>-1.595248E-6</v>
      </c>
      <c r="I6029">
        <v>37.586570000000002</v>
      </c>
      <c r="J6029">
        <v>-422.22579999999999</v>
      </c>
      <c r="K6029">
        <v>1.119937</v>
      </c>
      <c r="L6029">
        <v>55.155239999999999</v>
      </c>
      <c r="M6029">
        <v>-1.465285E-2</v>
      </c>
      <c r="N6029">
        <v>-7.9799190000000002E-3</v>
      </c>
      <c r="O6029">
        <v>-0.999861</v>
      </c>
      <c r="P6029">
        <v>5.3771740000000002E-3</v>
      </c>
      <c r="Q6029">
        <v>-0.1203637</v>
      </c>
      <c r="R6029">
        <v>-0.99271569999999998</v>
      </c>
      <c r="S6029">
        <v>1.0528559999999999E-2</v>
      </c>
      <c r="T6029">
        <v>-0.18887580000000001</v>
      </c>
      <c r="U6029">
        <v>-2.9992369999999999</v>
      </c>
      <c r="V6029">
        <v>-1.992708E-2</v>
      </c>
      <c r="W6029">
        <v>-0.11243880000000001</v>
      </c>
      <c r="X6029">
        <v>0.99345879999999998</v>
      </c>
      <c r="Y6029">
        <v>-1.8152809999999998E-2</v>
      </c>
      <c r="Z6029">
        <v>5.4868269999999997E-2</v>
      </c>
      <c r="AA6029">
        <v>0.99832860000000001</v>
      </c>
      <c r="AB6029">
        <v>22</v>
      </c>
      <c r="AC6029">
        <v>6.5600000000017603E-2</v>
      </c>
      <c r="AD6029">
        <v>-1.1199385952480001</v>
      </c>
      <c r="AE6029">
        <v>-17.568669999999901</v>
      </c>
      <c r="AF6029">
        <v>-0.32172484589253603</v>
      </c>
      <c r="AG6029">
        <v>-1.1199385952480001</v>
      </c>
      <c r="AH6029">
        <v>17.4947319199992</v>
      </c>
      <c r="AI6029">
        <v>93.662217471997707</v>
      </c>
      <c r="AJ6029">
        <v>91.053539909249594</v>
      </c>
      <c r="AK6029">
        <v>17.533494069529599</v>
      </c>
      <c r="AL6029">
        <v>96.455921016588704</v>
      </c>
      <c r="AM6029">
        <v>91.149100998164698</v>
      </c>
      <c r="AN6029">
        <v>0.99999997978010302</v>
      </c>
    </row>
    <row r="6030" spans="1:40" x14ac:dyDescent="0.25">
      <c r="A6030" t="str">
        <f>"20190303154931189"</f>
        <v>20190303154931189</v>
      </c>
      <c r="B6030" t="str">
        <f>"1551599371186780"</f>
        <v>1551599371186780</v>
      </c>
      <c r="C6030" t="s">
        <v>40</v>
      </c>
      <c r="D6030">
        <v>5.0044909999999998</v>
      </c>
      <c r="E6030">
        <v>0.5002858</v>
      </c>
      <c r="F6030" t="s">
        <v>64</v>
      </c>
      <c r="G6030">
        <v>-422.15379999999999</v>
      </c>
      <c r="H6030" s="1">
        <v>-1.95247E-6</v>
      </c>
      <c r="I6030">
        <v>37.02317</v>
      </c>
      <c r="J6030">
        <v>-422.22910000000002</v>
      </c>
      <c r="K6030">
        <v>1.119902</v>
      </c>
      <c r="L6030">
        <v>54.931489999999997</v>
      </c>
      <c r="M6030">
        <v>-1.4652739999999999E-2</v>
      </c>
      <c r="N6030">
        <v>-7.5570890000000003E-3</v>
      </c>
      <c r="O6030">
        <v>-0.99986410000000003</v>
      </c>
      <c r="P6030">
        <v>5.3828829999999998E-3</v>
      </c>
      <c r="Q6030">
        <v>-0.1196918</v>
      </c>
      <c r="R6030">
        <v>-0.99279669999999998</v>
      </c>
      <c r="S6030">
        <v>1.190186E-2</v>
      </c>
      <c r="T6030">
        <v>-0.18526490000000001</v>
      </c>
      <c r="U6030">
        <v>-2.9994809999999998</v>
      </c>
      <c r="V6030">
        <v>-1.993429E-2</v>
      </c>
      <c r="W6030">
        <v>-0.11218640000000001</v>
      </c>
      <c r="X6030">
        <v>0.99348720000000001</v>
      </c>
      <c r="Y6030">
        <v>-1.8609879999999999E-2</v>
      </c>
      <c r="Z6030">
        <v>5.4087980000000001E-2</v>
      </c>
      <c r="AA6030">
        <v>0.99836270000000005</v>
      </c>
      <c r="AB6030">
        <v>22</v>
      </c>
      <c r="AC6030">
        <v>7.5300000000026998E-2</v>
      </c>
      <c r="AD6030">
        <v>-1.1199039524700001</v>
      </c>
      <c r="AE6030">
        <v>-17.90832</v>
      </c>
      <c r="AF6030">
        <v>-0.336389872937575</v>
      </c>
      <c r="AG6030">
        <v>-1.1199039524700001</v>
      </c>
      <c r="AH6030">
        <v>17.8355461078711</v>
      </c>
      <c r="AI6030">
        <v>93.592280037137698</v>
      </c>
      <c r="AJ6030">
        <v>91.080507150569204</v>
      </c>
      <c r="AK6030">
        <v>17.873836968467899</v>
      </c>
      <c r="AL6030">
        <v>96.441367411389706</v>
      </c>
      <c r="AM6030">
        <v>91.149483801951803</v>
      </c>
      <c r="AN6030">
        <v>0.99999999041330201</v>
      </c>
    </row>
    <row r="6031" spans="1:40" x14ac:dyDescent="0.25">
      <c r="A6031" t="str">
        <f>"20190303154931212"</f>
        <v>20190303154931212</v>
      </c>
      <c r="B6031" t="str">
        <f>"1551599371207276"</f>
        <v>1551599371207276</v>
      </c>
      <c r="C6031" t="s">
        <v>40</v>
      </c>
      <c r="D6031">
        <v>4.9914329999999998</v>
      </c>
      <c r="E6031">
        <v>0.50018039999999997</v>
      </c>
      <c r="F6031" t="s">
        <v>64</v>
      </c>
      <c r="G6031">
        <v>-422.14580000000001</v>
      </c>
      <c r="H6031" s="1">
        <v>-2.2401660000000001E-6</v>
      </c>
      <c r="I6031">
        <v>36.56879</v>
      </c>
      <c r="J6031">
        <v>-422.23230000000001</v>
      </c>
      <c r="K6031">
        <v>1.119864</v>
      </c>
      <c r="L6031">
        <v>54.709440000000001</v>
      </c>
      <c r="M6031">
        <v>-1.465237E-2</v>
      </c>
      <c r="N6031">
        <v>-7.1619659999999996E-3</v>
      </c>
      <c r="O6031">
        <v>-0.99986699999999995</v>
      </c>
      <c r="P6031">
        <v>5.1139009999999997E-3</v>
      </c>
      <c r="Q6031">
        <v>-0.1197059</v>
      </c>
      <c r="R6031">
        <v>-0.99279620000000002</v>
      </c>
      <c r="S6031">
        <v>1.3610840000000001E-2</v>
      </c>
      <c r="T6031">
        <v>-0.18294170000000001</v>
      </c>
      <c r="U6031">
        <v>-2.9996339999999999</v>
      </c>
      <c r="V6031">
        <v>-1.9664299999999999E-2</v>
      </c>
      <c r="W6031">
        <v>-0.112593</v>
      </c>
      <c r="X6031">
        <v>0.99344659999999996</v>
      </c>
      <c r="Y6031">
        <v>-1.917833E-2</v>
      </c>
      <c r="Z6031">
        <v>5.370871E-2</v>
      </c>
      <c r="AA6031">
        <v>0.99837240000000005</v>
      </c>
      <c r="AB6031">
        <v>22</v>
      </c>
      <c r="AC6031">
        <v>8.6500000000000896E-2</v>
      </c>
      <c r="AD6031">
        <v>-1.119866240166</v>
      </c>
      <c r="AE6031">
        <v>-18.140650000000001</v>
      </c>
      <c r="AF6031">
        <v>-0.35096359241956199</v>
      </c>
      <c r="AG6031">
        <v>-1.119866240166</v>
      </c>
      <c r="AH6031">
        <v>18.068579172982499</v>
      </c>
      <c r="AI6031">
        <v>93.5459116397343</v>
      </c>
      <c r="AJ6031">
        <v>91.112771737176502</v>
      </c>
      <c r="AK6031">
        <v>18.106651517312699</v>
      </c>
      <c r="AL6031">
        <v>96.464812306241498</v>
      </c>
      <c r="AM6031">
        <v>91.133965616154896</v>
      </c>
      <c r="AN6031">
        <v>1.00000000769752</v>
      </c>
    </row>
    <row r="6032" spans="1:40" x14ac:dyDescent="0.25">
      <c r="A6032" t="str">
        <f>"20190303154931234"</f>
        <v>20190303154931234</v>
      </c>
      <c r="B6032" t="str">
        <f>"1551599371226796"</f>
        <v>1551599371226796</v>
      </c>
      <c r="C6032" t="s">
        <v>40</v>
      </c>
      <c r="D6032">
        <v>5.0077410000000002</v>
      </c>
      <c r="E6032">
        <v>0.50004340000000003</v>
      </c>
      <c r="F6032" t="s">
        <v>64</v>
      </c>
      <c r="G6032">
        <v>-422.15109999999999</v>
      </c>
      <c r="H6032" s="1">
        <v>-2.404346E-6</v>
      </c>
      <c r="I6032">
        <v>36.311660000000003</v>
      </c>
      <c r="J6032">
        <v>-422.2355</v>
      </c>
      <c r="K6032">
        <v>1.1198220000000001</v>
      </c>
      <c r="L6032">
        <v>54.492370000000001</v>
      </c>
      <c r="M6032">
        <v>-1.465197E-2</v>
      </c>
      <c r="N6032">
        <v>-6.8038369999999897E-3</v>
      </c>
      <c r="O6032">
        <v>-0.99986960000000003</v>
      </c>
      <c r="P6032">
        <v>4.846431E-3</v>
      </c>
      <c r="Q6032">
        <v>-0.119446</v>
      </c>
      <c r="R6032">
        <v>-0.99282910000000002</v>
      </c>
      <c r="S6032">
        <v>1.324463E-2</v>
      </c>
      <c r="T6032">
        <v>-0.18258849999999999</v>
      </c>
      <c r="U6032">
        <v>-2.9996640000000001</v>
      </c>
      <c r="V6032">
        <v>-1.939691E-2</v>
      </c>
      <c r="W6032">
        <v>-0.1126887</v>
      </c>
      <c r="X6032">
        <v>0.99344100000000002</v>
      </c>
      <c r="Y6032">
        <v>-1.9056199999999999E-2</v>
      </c>
      <c r="Z6032">
        <v>5.3948700000000002E-2</v>
      </c>
      <c r="AA6032">
        <v>0.99836190000000002</v>
      </c>
      <c r="AB6032">
        <v>22</v>
      </c>
      <c r="AC6032">
        <v>8.4400000000016406E-2</v>
      </c>
      <c r="AD6032">
        <v>-1.1198244043459999</v>
      </c>
      <c r="AE6032">
        <v>-18.180710000000001</v>
      </c>
      <c r="AF6032">
        <v>-0.34945455425557498</v>
      </c>
      <c r="AG6032">
        <v>-1.1198244043459999</v>
      </c>
      <c r="AH6032">
        <v>18.108821273075101</v>
      </c>
      <c r="AI6032">
        <v>93.537928621494103</v>
      </c>
      <c r="AJ6032">
        <v>91.105526746433497</v>
      </c>
      <c r="AK6032">
        <v>18.1467774847832</v>
      </c>
      <c r="AL6032">
        <v>96.470330670185405</v>
      </c>
      <c r="AM6032">
        <v>91.118556496883699</v>
      </c>
      <c r="AN6032">
        <v>1.0000000018531101</v>
      </c>
    </row>
    <row r="6033" spans="1:40" x14ac:dyDescent="0.25">
      <c r="A6033" t="str">
        <f>"20190303154931257"</f>
        <v>20190303154931257</v>
      </c>
      <c r="B6033" t="str">
        <f>"1551599371247293"</f>
        <v>1551599371247293</v>
      </c>
      <c r="C6033" t="s">
        <v>40</v>
      </c>
      <c r="D6033">
        <v>5.0092080000000001</v>
      </c>
      <c r="E6033">
        <v>0.49993029999999999</v>
      </c>
      <c r="F6033" t="s">
        <v>64</v>
      </c>
      <c r="G6033">
        <v>-422.1497</v>
      </c>
      <c r="H6033" s="1">
        <v>-2.6394629999999999E-6</v>
      </c>
      <c r="I6033">
        <v>35.941459999999999</v>
      </c>
      <c r="J6033">
        <v>-422.23880000000003</v>
      </c>
      <c r="K6033">
        <v>1.119793</v>
      </c>
      <c r="L6033">
        <v>54.266080000000002</v>
      </c>
      <c r="M6033">
        <v>-1.465148E-2</v>
      </c>
      <c r="N6033">
        <v>-6.4653050000000002E-3</v>
      </c>
      <c r="O6033">
        <v>-0.99987199999999998</v>
      </c>
      <c r="P6033">
        <v>4.9326600000000002E-3</v>
      </c>
      <c r="Q6033">
        <v>-0.1188439</v>
      </c>
      <c r="R6033">
        <v>-0.99290100000000003</v>
      </c>
      <c r="S6033">
        <v>1.38855E-2</v>
      </c>
      <c r="T6033">
        <v>-0.18108369999999999</v>
      </c>
      <c r="U6033">
        <v>-2.9998170000000002</v>
      </c>
      <c r="V6033">
        <v>-1.948372E-2</v>
      </c>
      <c r="W6033">
        <v>-0.11242249999999999</v>
      </c>
      <c r="X6033">
        <v>0.99346950000000001</v>
      </c>
      <c r="Y6033">
        <v>-1.926899E-2</v>
      </c>
      <c r="Z6033">
        <v>5.378459E-2</v>
      </c>
      <c r="AA6033">
        <v>0.99836670000000005</v>
      </c>
      <c r="AB6033">
        <v>22</v>
      </c>
      <c r="AC6033">
        <v>8.9100000000030294E-2</v>
      </c>
      <c r="AD6033">
        <v>-1.119795639463</v>
      </c>
      <c r="AE6033">
        <v>-18.324619999999999</v>
      </c>
      <c r="AF6033">
        <v>-0.35624848357659</v>
      </c>
      <c r="AG6033">
        <v>-1.119795639463</v>
      </c>
      <c r="AH6033">
        <v>18.253186494788299</v>
      </c>
      <c r="AI6033">
        <v>93.509912378571698</v>
      </c>
      <c r="AJ6033">
        <v>91.118103048734795</v>
      </c>
      <c r="AK6033">
        <v>18.290972430948901</v>
      </c>
      <c r="AL6033">
        <v>96.454980741595904</v>
      </c>
      <c r="AM6033">
        <v>91.123529042135502</v>
      </c>
      <c r="AN6033">
        <v>1.0000000406407601</v>
      </c>
    </row>
    <row r="6034" spans="1:40" x14ac:dyDescent="0.25">
      <c r="A6034" t="str">
        <f>"20190303154931279"</f>
        <v>20190303154931279</v>
      </c>
      <c r="B6034" t="str">
        <f>"1551599371276573"</f>
        <v>1551599371276573</v>
      </c>
      <c r="C6034" t="s">
        <v>40</v>
      </c>
      <c r="D6034">
        <v>4.9680660000000003</v>
      </c>
      <c r="E6034">
        <v>0.49978709999999998</v>
      </c>
      <c r="F6034" t="s">
        <v>64</v>
      </c>
      <c r="G6034">
        <v>-422.14409999999998</v>
      </c>
      <c r="H6034" s="1">
        <v>-2.9238050000000002E-6</v>
      </c>
      <c r="I6034">
        <v>35.492899999999999</v>
      </c>
      <c r="J6034">
        <v>-422.24209999999999</v>
      </c>
      <c r="K6034">
        <v>1.119769</v>
      </c>
      <c r="L6034">
        <v>54.038910000000001</v>
      </c>
      <c r="M6034">
        <v>-1.4650460000000001E-2</v>
      </c>
      <c r="N6034">
        <v>-6.1634919999999996E-3</v>
      </c>
      <c r="O6034">
        <v>-0.99987389999999998</v>
      </c>
      <c r="P6034">
        <v>4.8100870000000002E-3</v>
      </c>
      <c r="Q6034">
        <v>-0.11817279999999999</v>
      </c>
      <c r="R6034">
        <v>-0.99298189999999997</v>
      </c>
      <c r="S6034">
        <v>1.5136719999999999E-2</v>
      </c>
      <c r="T6034">
        <v>-0.1789442</v>
      </c>
      <c r="U6034">
        <v>-2.9999690000000001</v>
      </c>
      <c r="V6034">
        <v>-1.9361840000000002E-2</v>
      </c>
      <c r="W6034">
        <v>-0.1120507</v>
      </c>
      <c r="X6034">
        <v>0.9935138</v>
      </c>
      <c r="Y6034">
        <v>-1.9684380000000001E-2</v>
      </c>
      <c r="Z6034">
        <v>5.3373209999999997E-2</v>
      </c>
      <c r="AA6034">
        <v>0.99838059999999995</v>
      </c>
      <c r="AB6034">
        <v>22</v>
      </c>
      <c r="AC6034">
        <v>9.8000000000013202E-2</v>
      </c>
      <c r="AD6034">
        <v>-1.1197719238049999</v>
      </c>
      <c r="AE6034">
        <v>-18.5460099999999</v>
      </c>
      <c r="AF6034">
        <v>-0.36835934095980799</v>
      </c>
      <c r="AG6034">
        <v>-1.1197719238049999</v>
      </c>
      <c r="AH6034">
        <v>18.475233975612699</v>
      </c>
      <c r="AI6034">
        <v>93.467729539719898</v>
      </c>
      <c r="AJ6034">
        <v>91.142212306271702</v>
      </c>
      <c r="AK6034">
        <v>18.512802278937802</v>
      </c>
      <c r="AL6034">
        <v>96.433543265633801</v>
      </c>
      <c r="AM6034">
        <v>91.116452843182799</v>
      </c>
      <c r="AN6034">
        <v>0.999999955504556</v>
      </c>
    </row>
    <row r="6035" spans="1:40" x14ac:dyDescent="0.25">
      <c r="A6035" t="str">
        <f>"20190303154931301"</f>
        <v>20190303154931301</v>
      </c>
      <c r="B6035" t="str">
        <f>"1551599371297069"</f>
        <v>1551599371297069</v>
      </c>
      <c r="C6035" t="s">
        <v>40</v>
      </c>
      <c r="D6035">
        <v>4.9589569999999998</v>
      </c>
      <c r="E6035">
        <v>0.49965759999999998</v>
      </c>
      <c r="F6035" t="s">
        <v>64</v>
      </c>
      <c r="G6035">
        <v>-422.14120000000003</v>
      </c>
      <c r="H6035" s="1">
        <v>-3.2361269999999999E-6</v>
      </c>
      <c r="I6035">
        <v>35.000909999999998</v>
      </c>
      <c r="J6035">
        <v>-422.24549999999999</v>
      </c>
      <c r="K6035">
        <v>1.119742</v>
      </c>
      <c r="L6035">
        <v>53.814540000000001</v>
      </c>
      <c r="M6035">
        <v>-1.464976E-2</v>
      </c>
      <c r="N6035">
        <v>-5.9031719999999999E-3</v>
      </c>
      <c r="O6035">
        <v>-0.99987550000000003</v>
      </c>
      <c r="P6035">
        <v>4.9477330000000002E-3</v>
      </c>
      <c r="Q6035">
        <v>-0.117767899999999</v>
      </c>
      <c r="R6035">
        <v>-0.9930291</v>
      </c>
      <c r="S6035">
        <v>1.5899659999999999E-2</v>
      </c>
      <c r="T6035">
        <v>-0.17646039999999999</v>
      </c>
      <c r="U6035">
        <v>-3.0001220000000002</v>
      </c>
      <c r="V6035">
        <v>-1.949907E-2</v>
      </c>
      <c r="W6035">
        <v>-0.11190410000000001</v>
      </c>
      <c r="X6035">
        <v>0.99352770000000001</v>
      </c>
      <c r="Y6035">
        <v>-1.9937630000000001E-2</v>
      </c>
      <c r="Z6035">
        <v>5.2806329999999999E-2</v>
      </c>
      <c r="AA6035">
        <v>0.99840569999999895</v>
      </c>
      <c r="AB6035">
        <v>22</v>
      </c>
      <c r="AC6035">
        <v>0.104299999999966</v>
      </c>
      <c r="AD6035">
        <v>-1.1197452361269999</v>
      </c>
      <c r="AE6035">
        <v>-18.81363</v>
      </c>
      <c r="AF6035">
        <v>-0.37856772382246701</v>
      </c>
      <c r="AG6035">
        <v>-1.1197452361269999</v>
      </c>
      <c r="AH6035">
        <v>18.743688043122201</v>
      </c>
      <c r="AI6035">
        <v>93.418083048480099</v>
      </c>
      <c r="AJ6035">
        <v>91.157049999216397</v>
      </c>
      <c r="AK6035">
        <v>18.780920754138499</v>
      </c>
      <c r="AL6035">
        <v>96.425090152403897</v>
      </c>
      <c r="AM6035">
        <v>91.124348122687195</v>
      </c>
      <c r="AN6035">
        <v>1.00000001599748</v>
      </c>
    </row>
    <row r="6036" spans="1:40" x14ac:dyDescent="0.25">
      <c r="A6036" t="str">
        <f>"20190303154931323"</f>
        <v>20190303154931323</v>
      </c>
      <c r="B6036" t="str">
        <f>"1551599371317096"</f>
        <v>1551599371317096</v>
      </c>
      <c r="C6036" t="s">
        <v>40</v>
      </c>
      <c r="D6036">
        <v>4.9790910000000004</v>
      </c>
      <c r="E6036">
        <v>0.49953239999999999</v>
      </c>
      <c r="F6036" t="s">
        <v>64</v>
      </c>
      <c r="G6036">
        <v>-422.13659999999999</v>
      </c>
      <c r="H6036" s="1">
        <v>-3.4684539999999999E-6</v>
      </c>
      <c r="I6036">
        <v>34.63438</v>
      </c>
      <c r="J6036">
        <v>-422.24880000000002</v>
      </c>
      <c r="K6036">
        <v>1.1197299999999999</v>
      </c>
      <c r="L6036">
        <v>53.586269999999899</v>
      </c>
      <c r="M6036">
        <v>-1.46491E-2</v>
      </c>
      <c r="N6036">
        <v>-5.6762610000000002E-3</v>
      </c>
      <c r="O6036">
        <v>-0.99987669999999995</v>
      </c>
      <c r="P6036">
        <v>4.9928339999999998E-3</v>
      </c>
      <c r="Q6036">
        <v>-0.11771470000000001</v>
      </c>
      <c r="R6036">
        <v>-0.99303509999999995</v>
      </c>
      <c r="S6036">
        <v>1.7028809999999998E-2</v>
      </c>
      <c r="T6036">
        <v>-0.17515359999999999</v>
      </c>
      <c r="U6036">
        <v>-3.0002140000000002</v>
      </c>
      <c r="V6036">
        <v>-1.9543700000000001E-2</v>
      </c>
      <c r="W6036">
        <v>-0.11207640000000001</v>
      </c>
      <c r="X6036">
        <v>0.99350740000000004</v>
      </c>
      <c r="Y6036">
        <v>-2.0312710000000001E-2</v>
      </c>
      <c r="Z6036">
        <v>5.2597499999999998E-2</v>
      </c>
      <c r="AA6036">
        <v>0.9984092</v>
      </c>
      <c r="AB6036">
        <v>23</v>
      </c>
      <c r="AC6036">
        <v>0.112200000000029</v>
      </c>
      <c r="AD6036">
        <v>-1.1197334684539999</v>
      </c>
      <c r="AE6036">
        <v>-18.951889999999899</v>
      </c>
      <c r="AF6036">
        <v>-0.38846453024726202</v>
      </c>
      <c r="AG6036">
        <v>-1.1197334684539999</v>
      </c>
      <c r="AH6036">
        <v>18.882300750751298</v>
      </c>
      <c r="AI6036">
        <v>93.392988648633604</v>
      </c>
      <c r="AJ6036">
        <v>91.178576649573202</v>
      </c>
      <c r="AK6036">
        <v>18.919460599432</v>
      </c>
      <c r="AL6036">
        <v>96.435024718392398</v>
      </c>
      <c r="AM6036">
        <v>91.126943918324599</v>
      </c>
      <c r="AN6036">
        <v>1.0000000147507</v>
      </c>
    </row>
    <row r="6037" spans="1:40" x14ac:dyDescent="0.25">
      <c r="A6037" t="str">
        <f>"20190303154931345"</f>
        <v>20190303154931345</v>
      </c>
      <c r="B6037" t="str">
        <f>"1551599371336616"</f>
        <v>1551599371336616</v>
      </c>
      <c r="C6037" t="s">
        <v>40</v>
      </c>
      <c r="D6037">
        <v>4.9653689999999999</v>
      </c>
      <c r="E6037">
        <v>0.4993996</v>
      </c>
      <c r="F6037" t="s">
        <v>64</v>
      </c>
      <c r="G6037">
        <v>-422.13549999999998</v>
      </c>
      <c r="H6037" s="1">
        <v>-3.558021E-6</v>
      </c>
      <c r="I6037">
        <v>34.390949999999997</v>
      </c>
      <c r="J6037">
        <v>-422.25209999999998</v>
      </c>
      <c r="K6037">
        <v>1.1197140000000001</v>
      </c>
      <c r="L6037">
        <v>53.359310000000001</v>
      </c>
      <c r="M6037">
        <v>-1.464855E-2</v>
      </c>
      <c r="N6037">
        <v>-5.4822589999999997E-3</v>
      </c>
      <c r="O6037">
        <v>-0.99987789999999999</v>
      </c>
      <c r="P6037">
        <v>5.2653090000000001E-3</v>
      </c>
      <c r="Q6037">
        <v>-0.1173535</v>
      </c>
      <c r="R6037">
        <v>-0.99307690000000004</v>
      </c>
      <c r="S6037">
        <v>1.7700199999999999E-2</v>
      </c>
      <c r="T6037">
        <v>-0.17501340000000001</v>
      </c>
      <c r="U6037">
        <v>-3.0002140000000002</v>
      </c>
      <c r="V6037">
        <v>-1.9816480000000001E-2</v>
      </c>
      <c r="W6037">
        <v>-0.1119077</v>
      </c>
      <c r="X6037">
        <v>0.99352099999999999</v>
      </c>
      <c r="Y6037">
        <v>-2.0535609999999999E-2</v>
      </c>
      <c r="Z6037">
        <v>5.2744579999999999E-2</v>
      </c>
      <c r="AA6037">
        <v>0.99839690000000003</v>
      </c>
      <c r="AB6037">
        <v>23</v>
      </c>
      <c r="AC6037">
        <v>0.11660000000000501</v>
      </c>
      <c r="AD6037">
        <v>-1.1197175580209999</v>
      </c>
      <c r="AE6037">
        <v>-18.968360000000001</v>
      </c>
      <c r="AF6037">
        <v>-0.39308087993099999</v>
      </c>
      <c r="AG6037">
        <v>-1.1197175580209999</v>
      </c>
      <c r="AH6037">
        <v>18.898763845761898</v>
      </c>
      <c r="AI6037">
        <v>93.389975957996896</v>
      </c>
      <c r="AJ6037">
        <v>91.1915397599914</v>
      </c>
      <c r="AK6037">
        <v>18.935985712018901</v>
      </c>
      <c r="AL6037">
        <v>96.425297812463597</v>
      </c>
      <c r="AM6037">
        <v>91.142653390083296</v>
      </c>
      <c r="AN6037">
        <v>1.00000000181994</v>
      </c>
    </row>
    <row r="6038" spans="1:40" x14ac:dyDescent="0.25">
      <c r="A6038" t="str">
        <f>"20190303154931367"</f>
        <v>20190303154931367</v>
      </c>
      <c r="B6038" t="str">
        <f>"1551599371357112"</f>
        <v>1551599371357112</v>
      </c>
      <c r="C6038" t="s">
        <v>40</v>
      </c>
      <c r="D6038">
        <v>4.949236</v>
      </c>
      <c r="E6038">
        <v>0.49928489999999998</v>
      </c>
      <c r="F6038" t="s">
        <v>64</v>
      </c>
      <c r="G6038">
        <v>-422.1223</v>
      </c>
      <c r="H6038" s="1">
        <v>-3.6673739999999999E-6</v>
      </c>
      <c r="I6038">
        <v>34.070609999999903</v>
      </c>
      <c r="J6038">
        <v>-422.25549999999998</v>
      </c>
      <c r="K6038">
        <v>1.1197029999999999</v>
      </c>
      <c r="L6038">
        <v>53.128230000000002</v>
      </c>
      <c r="M6038">
        <v>-1.4648080000000001E-2</v>
      </c>
      <c r="N6038">
        <v>-5.3140239999999997E-3</v>
      </c>
      <c r="O6038">
        <v>-0.99987890000000001</v>
      </c>
      <c r="P6038">
        <v>5.0741579999999996E-3</v>
      </c>
      <c r="Q6038">
        <v>-0.11748550000000001</v>
      </c>
      <c r="R6038">
        <v>-0.99306190000000005</v>
      </c>
      <c r="S6038">
        <v>2.0202640000000001E-2</v>
      </c>
      <c r="T6038">
        <v>-0.17416379999999901</v>
      </c>
      <c r="U6038">
        <v>-3.0002140000000002</v>
      </c>
      <c r="V6038">
        <v>-1.962442E-2</v>
      </c>
      <c r="W6038">
        <v>-0.1122069</v>
      </c>
      <c r="X6038">
        <v>0.99349109999999996</v>
      </c>
      <c r="Y6038">
        <v>-2.1367870000000001E-2</v>
      </c>
      <c r="Z6038">
        <v>5.2630150000000001E-2</v>
      </c>
      <c r="AA6038">
        <v>0.99838539999999998</v>
      </c>
      <c r="AB6038">
        <v>23</v>
      </c>
      <c r="AC6038">
        <v>0.13319999999998799</v>
      </c>
      <c r="AD6038">
        <v>-1.1197066673739999</v>
      </c>
      <c r="AE6038">
        <v>-19.05762</v>
      </c>
      <c r="AF6038">
        <v>-0.41092864845589999</v>
      </c>
      <c r="AG6038">
        <v>-1.1197066673739999</v>
      </c>
      <c r="AH6038">
        <v>18.988080407240101</v>
      </c>
      <c r="AI6038">
        <v>93.373974171256407</v>
      </c>
      <c r="AJ6038">
        <v>91.239767373967993</v>
      </c>
      <c r="AK6038">
        <v>19.0255040124276</v>
      </c>
      <c r="AL6038">
        <v>96.4425491430802</v>
      </c>
      <c r="AM6038">
        <v>91.131615810532793</v>
      </c>
      <c r="AN6038">
        <v>1.0000000360235699</v>
      </c>
    </row>
    <row r="6039" spans="1:40" x14ac:dyDescent="0.25">
      <c r="A6039" t="str">
        <f>"20190303154931391"</f>
        <v>20190303154931391</v>
      </c>
      <c r="B6039" t="str">
        <f>"1551599371387368"</f>
        <v>1551599371387368</v>
      </c>
      <c r="C6039" t="s">
        <v>40</v>
      </c>
      <c r="D6039">
        <v>4.9891389999999998</v>
      </c>
      <c r="E6039">
        <v>0.49911319999999998</v>
      </c>
      <c r="F6039" t="s">
        <v>64</v>
      </c>
      <c r="G6039">
        <v>-422.12670000000003</v>
      </c>
      <c r="H6039" s="1">
        <v>-3.722263E-6</v>
      </c>
      <c r="I6039">
        <v>33.914279999999998</v>
      </c>
      <c r="J6039">
        <v>-422.25900000000001</v>
      </c>
      <c r="K6039">
        <v>1.1196919999999999</v>
      </c>
      <c r="L6039">
        <v>52.890140000000002</v>
      </c>
      <c r="M6039">
        <v>-1.464763E-2</v>
      </c>
      <c r="N6039">
        <v>-5.1680709999999998E-3</v>
      </c>
      <c r="O6039">
        <v>-0.99987939999999997</v>
      </c>
      <c r="P6039">
        <v>4.6389459999999997E-3</v>
      </c>
      <c r="Q6039">
        <v>-0.1178621</v>
      </c>
      <c r="R6039">
        <v>-0.99301919999999999</v>
      </c>
      <c r="S6039">
        <v>2.011108E-2</v>
      </c>
      <c r="T6039">
        <v>-0.17483779999999999</v>
      </c>
      <c r="U6039">
        <v>-3.0001829999999998</v>
      </c>
      <c r="V6039">
        <v>-1.9187909999999999E-2</v>
      </c>
      <c r="W6039">
        <v>-0.1127288</v>
      </c>
      <c r="X6039">
        <v>0.99344049999999995</v>
      </c>
      <c r="Y6039">
        <v>-2.133699E-2</v>
      </c>
      <c r="Z6039">
        <v>5.3000029999999997E-2</v>
      </c>
      <c r="AA6039">
        <v>0.99836650000000005</v>
      </c>
      <c r="AB6039">
        <v>23</v>
      </c>
      <c r="AC6039">
        <v>0.13229999999998601</v>
      </c>
      <c r="AD6039">
        <v>-1.119695722263</v>
      </c>
      <c r="AE6039">
        <v>-18.975860000000001</v>
      </c>
      <c r="AF6039">
        <v>-0.408817553961772</v>
      </c>
      <c r="AG6039">
        <v>-1.119695722263</v>
      </c>
      <c r="AH6039">
        <v>18.906063351336702</v>
      </c>
      <c r="AI6039">
        <v>93.388545147075305</v>
      </c>
      <c r="AJ6039">
        <v>91.238749189815593</v>
      </c>
      <c r="AK6039">
        <v>18.9436026602027</v>
      </c>
      <c r="AL6039">
        <v>96.472643024611799</v>
      </c>
      <c r="AM6039">
        <v>91.106507718525606</v>
      </c>
      <c r="AN6039">
        <v>0.999999992639929</v>
      </c>
    </row>
    <row r="6040" spans="1:40" x14ac:dyDescent="0.25">
      <c r="A6040" t="str">
        <f>"20190303154931412"</f>
        <v>20190303154931412</v>
      </c>
      <c r="B6040" t="str">
        <f>"1551599371406888"</f>
        <v>1551599371406888</v>
      </c>
      <c r="C6040" t="s">
        <v>40</v>
      </c>
      <c r="D6040">
        <v>4.9631249999999998</v>
      </c>
      <c r="E6040">
        <v>0.49900410000000001</v>
      </c>
      <c r="F6040" t="s">
        <v>64</v>
      </c>
      <c r="G6040">
        <v>-422.13159999999999</v>
      </c>
      <c r="H6040" s="1">
        <v>-3.7540329999999998E-6</v>
      </c>
      <c r="I6040">
        <v>33.824729999999903</v>
      </c>
      <c r="J6040">
        <v>-422.26240000000001</v>
      </c>
      <c r="K6040">
        <v>1.1196839999999999</v>
      </c>
      <c r="L6040">
        <v>52.658869999999901</v>
      </c>
      <c r="M6040">
        <v>-1.4647169999999999E-2</v>
      </c>
      <c r="N6040">
        <v>-5.0494260000000001E-3</v>
      </c>
      <c r="O6040">
        <v>-0.99988010000000005</v>
      </c>
      <c r="P6040">
        <v>4.2354419999999999E-3</v>
      </c>
      <c r="Q6040">
        <v>-0.1174983</v>
      </c>
      <c r="R6040">
        <v>-0.99306419999999995</v>
      </c>
      <c r="S6040">
        <v>2.005005E-2</v>
      </c>
      <c r="T6040">
        <v>-0.17619290000000001</v>
      </c>
      <c r="U6040">
        <v>-3.000092</v>
      </c>
      <c r="V6040">
        <v>-1.8784840000000001E-2</v>
      </c>
      <c r="W6040">
        <v>-0.1124826</v>
      </c>
      <c r="X6040">
        <v>0.99347609999999997</v>
      </c>
      <c r="Y6040">
        <v>-2.1316269999999998E-2</v>
      </c>
      <c r="Z6040">
        <v>5.356967E-2</v>
      </c>
      <c r="AA6040">
        <v>0.99833660000000002</v>
      </c>
      <c r="AB6040">
        <v>23</v>
      </c>
      <c r="AC6040">
        <v>0.13080000000002101</v>
      </c>
      <c r="AD6040">
        <v>-1.1196877540329999</v>
      </c>
      <c r="AE6040">
        <v>-18.834140000000001</v>
      </c>
      <c r="AF6040">
        <v>-0.40522418971198099</v>
      </c>
      <c r="AG6040">
        <v>-1.1196877540329999</v>
      </c>
      <c r="AH6040">
        <v>18.763889789432099</v>
      </c>
      <c r="AI6040">
        <v>93.414137365306601</v>
      </c>
      <c r="AJ6040">
        <v>91.237164982399406</v>
      </c>
      <c r="AK6040">
        <v>18.801634698621701</v>
      </c>
      <c r="AL6040">
        <v>96.4584465701667</v>
      </c>
      <c r="AM6040">
        <v>91.083230701856095</v>
      </c>
      <c r="AN6040">
        <v>0.99999998339389695</v>
      </c>
    </row>
    <row r="6041" spans="1:40" x14ac:dyDescent="0.25">
      <c r="A6041" t="str">
        <f>"20190303154931436"</f>
        <v>20190303154931436</v>
      </c>
      <c r="B6041" t="str">
        <f>"1551599371426408"</f>
        <v>1551599371426408</v>
      </c>
      <c r="C6041" t="s">
        <v>40</v>
      </c>
      <c r="D6041">
        <v>4.9693569999999996</v>
      </c>
      <c r="E6041">
        <v>0.49888870000000002</v>
      </c>
      <c r="F6041" t="s">
        <v>64</v>
      </c>
      <c r="G6041">
        <v>-422.13760000000002</v>
      </c>
      <c r="H6041" s="1">
        <v>-3.8793119999999998E-6</v>
      </c>
      <c r="I6041">
        <v>33.485419999999998</v>
      </c>
      <c r="J6041">
        <v>-422.26589999999999</v>
      </c>
      <c r="K6041">
        <v>1.1196699999999999</v>
      </c>
      <c r="L6041">
        <v>52.420900000000003</v>
      </c>
      <c r="M6041">
        <v>-1.4646650000000001E-2</v>
      </c>
      <c r="N6041">
        <v>-4.9498789999999999E-3</v>
      </c>
      <c r="O6041">
        <v>-0.99988060000000001</v>
      </c>
      <c r="P6041">
        <v>4.2271380000000001E-3</v>
      </c>
      <c r="Q6041">
        <v>-0.1170847</v>
      </c>
      <c r="R6041">
        <v>-0.99311320000000003</v>
      </c>
      <c r="S6041">
        <v>1.953125E-2</v>
      </c>
      <c r="T6041">
        <v>-0.17520239999999901</v>
      </c>
      <c r="U6041">
        <v>-3.0001530000000001</v>
      </c>
      <c r="V6041">
        <v>-1.877699E-2</v>
      </c>
      <c r="W6041">
        <v>-0.11216760000000001</v>
      </c>
      <c r="X6041">
        <v>0.9935119</v>
      </c>
      <c r="Y6041">
        <v>-2.1143180000000001E-2</v>
      </c>
      <c r="Z6041">
        <v>5.3339579999999998E-2</v>
      </c>
      <c r="AA6041">
        <v>0.99835260000000003</v>
      </c>
      <c r="AB6041">
        <v>23</v>
      </c>
      <c r="AC6041">
        <v>0.128299999999967</v>
      </c>
      <c r="AD6041">
        <v>-1.119673879312</v>
      </c>
      <c r="AE6041">
        <v>-18.935479999999998</v>
      </c>
      <c r="AF6041">
        <v>-0.40421767752101101</v>
      </c>
      <c r="AG6041">
        <v>-1.119673879312</v>
      </c>
      <c r="AH6041">
        <v>18.865609484832699</v>
      </c>
      <c r="AI6041">
        <v>93.395742582159897</v>
      </c>
      <c r="AJ6041">
        <v>91.227441065395197</v>
      </c>
      <c r="AK6041">
        <v>18.903128914574999</v>
      </c>
      <c r="AL6041">
        <v>96.440283213253096</v>
      </c>
      <c r="AM6041">
        <v>91.0827391308719</v>
      </c>
      <c r="AN6041">
        <v>1.00000002064241</v>
      </c>
    </row>
    <row r="6042" spans="1:40" x14ac:dyDescent="0.25">
      <c r="A6042" t="str">
        <f>"20190303154931458"</f>
        <v>20190303154931458</v>
      </c>
      <c r="B6042" t="str">
        <f>"1551599371446904"</f>
        <v>1551599371446904</v>
      </c>
      <c r="C6042" t="s">
        <v>40</v>
      </c>
      <c r="D6042">
        <v>4.9638289999999996</v>
      </c>
      <c r="E6042">
        <v>0.49877320000000003</v>
      </c>
      <c r="F6042" t="s">
        <v>64</v>
      </c>
      <c r="G6042">
        <v>-422.13260000000002</v>
      </c>
      <c r="H6042" s="1">
        <v>-4.0603330000000002E-6</v>
      </c>
      <c r="I6042">
        <v>33.12959</v>
      </c>
      <c r="J6042">
        <v>-422.26940000000002</v>
      </c>
      <c r="K6042">
        <v>1.119667</v>
      </c>
      <c r="L6042">
        <v>52.179810000000003</v>
      </c>
      <c r="M6042">
        <v>-1.46461E-2</v>
      </c>
      <c r="N6042">
        <v>-4.8737540000000001E-3</v>
      </c>
      <c r="O6042">
        <v>-0.99988100000000002</v>
      </c>
      <c r="P6042">
        <v>4.8062950000000004E-3</v>
      </c>
      <c r="Q6042">
        <v>-0.1162403</v>
      </c>
      <c r="R6042">
        <v>-0.99321000000000004</v>
      </c>
      <c r="S6042">
        <v>2.0721440000000001E-2</v>
      </c>
      <c r="T6042">
        <v>-0.1741316</v>
      </c>
      <c r="U6042">
        <v>-3.0001829999999998</v>
      </c>
      <c r="V6042">
        <v>-1.9356640000000001E-2</v>
      </c>
      <c r="W6042">
        <v>-0.11139839999999999</v>
      </c>
      <c r="X6042">
        <v>0.99358729999999995</v>
      </c>
      <c r="Y6042">
        <v>-2.1538709999999999E-2</v>
      </c>
      <c r="Z6042">
        <v>5.3059599999999998E-2</v>
      </c>
      <c r="AA6042">
        <v>0.998359</v>
      </c>
      <c r="AB6042">
        <v>23</v>
      </c>
      <c r="AC6042">
        <v>0.13679999999999301</v>
      </c>
      <c r="AD6042">
        <v>-1.119671060333</v>
      </c>
      <c r="AE6042">
        <v>-19.050219999999999</v>
      </c>
      <c r="AF6042">
        <v>-0.41436868027817497</v>
      </c>
      <c r="AG6042">
        <v>-1.119671060333</v>
      </c>
      <c r="AH6042">
        <v>18.980608532970201</v>
      </c>
      <c r="AI6042">
        <v>93.3751783238705</v>
      </c>
      <c r="AJ6042">
        <v>91.250634606269898</v>
      </c>
      <c r="AK6042">
        <v>19.0181193856912</v>
      </c>
      <c r="AL6042">
        <v>96.395933456946395</v>
      </c>
      <c r="AM6042">
        <v>91.116070528004997</v>
      </c>
      <c r="AN6042">
        <v>1.0000000028779601</v>
      </c>
    </row>
    <row r="6043" spans="1:40" x14ac:dyDescent="0.25">
      <c r="A6043" t="str">
        <f>"20190303154931481"</f>
        <v>20190303154931481</v>
      </c>
      <c r="B6043" t="str">
        <f>"1551599371477160"</f>
        <v>1551599371477160</v>
      </c>
      <c r="C6043" t="s">
        <v>40</v>
      </c>
      <c r="D6043">
        <v>4.9275580000000003</v>
      </c>
      <c r="E6043">
        <v>0.49862519999999999</v>
      </c>
      <c r="F6043" t="s">
        <v>64</v>
      </c>
      <c r="G6043">
        <v>-422.11610000000002</v>
      </c>
      <c r="H6043" s="1">
        <v>-4.3167270000000002E-6</v>
      </c>
      <c r="I6043">
        <v>32.624510000000001</v>
      </c>
      <c r="J6043">
        <v>-422.27280000000002</v>
      </c>
      <c r="K6043">
        <v>1.1196660000000001</v>
      </c>
      <c r="L6043">
        <v>51.942540000000001</v>
      </c>
      <c r="M6043">
        <v>-1.464555E-2</v>
      </c>
      <c r="N6043">
        <v>-4.8218929999999998E-3</v>
      </c>
      <c r="O6043">
        <v>-0.99988100000000002</v>
      </c>
      <c r="P6043">
        <v>6.1502930000000003E-3</v>
      </c>
      <c r="Q6043">
        <v>-0.11598269999999999</v>
      </c>
      <c r="R6043">
        <v>-0.99323229999999996</v>
      </c>
      <c r="S6043">
        <v>2.3529049999999999E-2</v>
      </c>
      <c r="T6043">
        <v>-0.17178750000000001</v>
      </c>
      <c r="U6043">
        <v>-3.000305</v>
      </c>
      <c r="V6043">
        <v>-2.0700260000000002E-2</v>
      </c>
      <c r="W6043">
        <v>-0.11119229999999999</v>
      </c>
      <c r="X6043">
        <v>0.99358329999999995</v>
      </c>
      <c r="Y6043">
        <v>-2.2472289999999999E-2</v>
      </c>
      <c r="Z6043">
        <v>5.233082E-2</v>
      </c>
      <c r="AA6043">
        <v>0.99837690000000001</v>
      </c>
      <c r="AB6043">
        <v>24</v>
      </c>
      <c r="AC6043">
        <v>0.15670000000000001</v>
      </c>
      <c r="AD6043">
        <v>-1.1196703167269999</v>
      </c>
      <c r="AE6043">
        <v>-19.31803</v>
      </c>
      <c r="AF6043">
        <v>-0.43813793122794997</v>
      </c>
      <c r="AG6043">
        <v>-1.1196703167269999</v>
      </c>
      <c r="AH6043">
        <v>19.249003276960501</v>
      </c>
      <c r="AI6043">
        <v>93.328152657958199</v>
      </c>
      <c r="AJ6043">
        <v>91.303917922764199</v>
      </c>
      <c r="AK6043">
        <v>19.286517405207601</v>
      </c>
      <c r="AL6043">
        <v>96.384050986203107</v>
      </c>
      <c r="AM6043">
        <v>91.193524464776004</v>
      </c>
      <c r="AN6043">
        <v>1.0000000011911201</v>
      </c>
    </row>
    <row r="6044" spans="1:40" x14ac:dyDescent="0.25">
      <c r="A6044" t="str">
        <f>"20190303154931502"</f>
        <v>20190303154931502</v>
      </c>
      <c r="B6044" t="str">
        <f>"1551599371496680"</f>
        <v>1551599371496680</v>
      </c>
      <c r="C6044" t="s">
        <v>40</v>
      </c>
      <c r="D6044">
        <v>4.9199599999999997</v>
      </c>
      <c r="E6044">
        <v>0.49853209999999998</v>
      </c>
      <c r="F6044" t="s">
        <v>64</v>
      </c>
      <c r="G6044">
        <v>-422.08330000000001</v>
      </c>
      <c r="H6044" s="1">
        <v>-4.4667559999999998E-6</v>
      </c>
      <c r="I6044">
        <v>32.326329999999999</v>
      </c>
      <c r="J6044">
        <v>-422.27629999999999</v>
      </c>
      <c r="K6044">
        <v>1.119651</v>
      </c>
      <c r="L6044">
        <v>51.707149999999999</v>
      </c>
      <c r="M6044">
        <v>-1.464501E-2</v>
      </c>
      <c r="N6044">
        <v>-4.7893520000000002E-3</v>
      </c>
      <c r="O6044">
        <v>-0.99988129999999997</v>
      </c>
      <c r="P6044">
        <v>6.8427459999999898E-3</v>
      </c>
      <c r="Q6044">
        <v>-0.1160651</v>
      </c>
      <c r="R6044">
        <v>-0.99321789999999999</v>
      </c>
      <c r="S6044">
        <v>2.8991699999999999E-2</v>
      </c>
      <c r="T6044">
        <v>-0.1712523</v>
      </c>
      <c r="U6044">
        <v>-3.0002749999999998</v>
      </c>
      <c r="V6044">
        <v>-2.1392169999999999E-2</v>
      </c>
      <c r="W6044">
        <v>-0.11130710000000001</v>
      </c>
      <c r="X6044">
        <v>0.99355579999999999</v>
      </c>
      <c r="Y6044">
        <v>-2.4289249999999998E-2</v>
      </c>
      <c r="Z6044">
        <v>5.2184649999999999E-2</v>
      </c>
      <c r="AA6044">
        <v>0.99834199999999995</v>
      </c>
      <c r="AB6044">
        <v>24</v>
      </c>
      <c r="AC6044">
        <v>0.19299999999998299</v>
      </c>
      <c r="AD6044">
        <v>-1.1196554667559999</v>
      </c>
      <c r="AE6044">
        <v>-19.38082</v>
      </c>
      <c r="AF6044">
        <v>-0.47522892436425002</v>
      </c>
      <c r="AG6044">
        <v>-1.1196554667559999</v>
      </c>
      <c r="AH6044">
        <v>19.311468841143</v>
      </c>
      <c r="AI6044">
        <v>93.317222761546205</v>
      </c>
      <c r="AJ6044">
        <v>91.409686517157198</v>
      </c>
      <c r="AK6044">
        <v>19.349736424489802</v>
      </c>
      <c r="AL6044">
        <v>96.390669560322806</v>
      </c>
      <c r="AM6044">
        <v>91.233440243295306</v>
      </c>
      <c r="AN6044">
        <v>1.00000001158067</v>
      </c>
    </row>
    <row r="6045" spans="1:40" x14ac:dyDescent="0.25">
      <c r="A6045" t="str">
        <f>"20190303154931524"</f>
        <v>20190303154931524</v>
      </c>
      <c r="B6045" t="str">
        <f>"1551599371517176"</f>
        <v>1551599371517176</v>
      </c>
      <c r="C6045" t="s">
        <v>40</v>
      </c>
      <c r="D6045">
        <v>4.9434360000000002</v>
      </c>
      <c r="E6045">
        <v>0.49842180000000003</v>
      </c>
      <c r="F6045" t="s">
        <v>64</v>
      </c>
      <c r="G6045">
        <v>-422.0684</v>
      </c>
      <c r="H6045" s="1">
        <v>-4.5590050000000002E-6</v>
      </c>
      <c r="I6045">
        <v>32.143590000000003</v>
      </c>
      <c r="J6045">
        <v>-422.27980000000002</v>
      </c>
      <c r="K6045">
        <v>1.1196520000000001</v>
      </c>
      <c r="L6045">
        <v>51.470149999999997</v>
      </c>
      <c r="M6045">
        <v>-1.464446E-2</v>
      </c>
      <c r="N6045">
        <v>-4.7724849999999999E-3</v>
      </c>
      <c r="O6045">
        <v>-0.99988129999999997</v>
      </c>
      <c r="P6045">
        <v>7.1303670000000003E-3</v>
      </c>
      <c r="Q6045">
        <v>-0.1158841</v>
      </c>
      <c r="R6045">
        <v>-0.99323720000000004</v>
      </c>
      <c r="S6045">
        <v>3.1890870000000002E-2</v>
      </c>
      <c r="T6045">
        <v>-0.17170550000000001</v>
      </c>
      <c r="U6045">
        <v>-3.0001829999999998</v>
      </c>
      <c r="V6045">
        <v>-2.1679199999999999E-2</v>
      </c>
      <c r="W6045">
        <v>-0.1111428</v>
      </c>
      <c r="X6045">
        <v>0.99356789999999995</v>
      </c>
      <c r="Y6045">
        <v>-2.5253390000000001E-2</v>
      </c>
      <c r="Z6045">
        <v>5.2352559999999999E-2</v>
      </c>
      <c r="AA6045">
        <v>0.99830929999999996</v>
      </c>
      <c r="AB6045">
        <v>24</v>
      </c>
      <c r="AC6045">
        <v>0.21140000000002601</v>
      </c>
      <c r="AD6045">
        <v>-1.1196565590050001</v>
      </c>
      <c r="AE6045">
        <v>-19.326559999999901</v>
      </c>
      <c r="AF6045">
        <v>-0.49275397760044698</v>
      </c>
      <c r="AG6045">
        <v>-1.1196565590050001</v>
      </c>
      <c r="AH6045">
        <v>19.2567678549505</v>
      </c>
      <c r="AI6045">
        <v>93.326546220596796</v>
      </c>
      <c r="AJ6045">
        <v>91.465799652369896</v>
      </c>
      <c r="AK6045">
        <v>19.2955835753163</v>
      </c>
      <c r="AL6045">
        <v>96.381197543084994</v>
      </c>
      <c r="AM6045">
        <v>91.249969526075205</v>
      </c>
      <c r="AN6045">
        <v>0.99999994080744303</v>
      </c>
    </row>
    <row r="6046" spans="1:40" x14ac:dyDescent="0.25">
      <c r="A6046" t="str">
        <f>"20190303154931546"</f>
        <v>20190303154931546</v>
      </c>
      <c r="B6046" t="str">
        <f>"1551599371536696"</f>
        <v>1551599371536696</v>
      </c>
      <c r="C6046" t="s">
        <v>40</v>
      </c>
      <c r="D6046">
        <v>4.9316180000000003</v>
      </c>
      <c r="E6046">
        <v>0.49830439999999998</v>
      </c>
      <c r="F6046" t="s">
        <v>64</v>
      </c>
      <c r="G6046">
        <v>-422.06209999999999</v>
      </c>
      <c r="H6046" s="1">
        <v>-4.6948039999999996E-6</v>
      </c>
      <c r="I6046">
        <v>31.876359999999998</v>
      </c>
      <c r="J6046">
        <v>-422.2833</v>
      </c>
      <c r="K6046">
        <v>1.11965</v>
      </c>
      <c r="L6046">
        <v>51.228610000000003</v>
      </c>
      <c r="M6046">
        <v>-1.464391E-2</v>
      </c>
      <c r="N6046">
        <v>-4.7704109999999996E-3</v>
      </c>
      <c r="O6046">
        <v>-0.99988169999999998</v>
      </c>
      <c r="P6046">
        <v>6.9709460000000004E-3</v>
      </c>
      <c r="Q6046">
        <v>-0.11502080000000001</v>
      </c>
      <c r="R6046">
        <v>-0.99333919999999998</v>
      </c>
      <c r="S6046">
        <v>3.3325199999999902E-2</v>
      </c>
      <c r="T6046">
        <v>-0.1714407</v>
      </c>
      <c r="U6046">
        <v>-3.0001829999999998</v>
      </c>
      <c r="V6046">
        <v>-2.1521140000000001E-2</v>
      </c>
      <c r="W6046">
        <v>-0.11028110000000001</v>
      </c>
      <c r="X6046">
        <v>0.99366739999999998</v>
      </c>
      <c r="Y6046">
        <v>-2.5730030000000001E-2</v>
      </c>
      <c r="Z6046">
        <v>5.2266310000000003E-2</v>
      </c>
      <c r="AA6046">
        <v>0.99830169999999996</v>
      </c>
      <c r="AB6046">
        <v>24</v>
      </c>
      <c r="AC6046">
        <v>0.22120000000001</v>
      </c>
      <c r="AD6046">
        <v>-1.119654694804</v>
      </c>
      <c r="AE6046">
        <v>-19.352250000000002</v>
      </c>
      <c r="AF6046">
        <v>-0.50288888415252997</v>
      </c>
      <c r="AG6046">
        <v>-1.119654694804</v>
      </c>
      <c r="AH6046">
        <v>19.282398463887102</v>
      </c>
      <c r="AI6046">
        <v>93.322086821910801</v>
      </c>
      <c r="AJ6046">
        <v>91.493946959171197</v>
      </c>
      <c r="AK6046">
        <v>19.321423715283402</v>
      </c>
      <c r="AL6046">
        <v>96.331520056673895</v>
      </c>
      <c r="AM6046">
        <v>91.240734820291095</v>
      </c>
      <c r="AN6046">
        <v>0.99999999115343396</v>
      </c>
    </row>
    <row r="6047" spans="1:40" x14ac:dyDescent="0.25">
      <c r="A6047" t="str">
        <f>"20190303154931569"</f>
        <v>20190303154931569</v>
      </c>
      <c r="B6047" t="str">
        <f>"1551599371566952"</f>
        <v>1551599371566952</v>
      </c>
      <c r="C6047" t="s">
        <v>40</v>
      </c>
      <c r="D6047">
        <v>4.9357249999999997</v>
      </c>
      <c r="E6047">
        <v>0.49817729999999999</v>
      </c>
      <c r="F6047" t="s">
        <v>64</v>
      </c>
      <c r="G6047">
        <v>-422.05720000000002</v>
      </c>
      <c r="H6047" s="1">
        <v>-4.9539189999999996E-6</v>
      </c>
      <c r="I6047">
        <v>31.367260000000002</v>
      </c>
      <c r="J6047">
        <v>-422.2869</v>
      </c>
      <c r="K6047">
        <v>1.1196469999999901</v>
      </c>
      <c r="L6047">
        <v>50.979640000000003</v>
      </c>
      <c r="M6047">
        <v>-1.4643369999999999E-2</v>
      </c>
      <c r="N6047">
        <v>-4.788456E-3</v>
      </c>
      <c r="O6047">
        <v>-0.99988149999999998</v>
      </c>
      <c r="P6047">
        <v>7.2035349999999996E-3</v>
      </c>
      <c r="Q6047">
        <v>-0.1134033</v>
      </c>
      <c r="R6047">
        <v>-0.99352320000000005</v>
      </c>
      <c r="S6047">
        <v>3.414917E-2</v>
      </c>
      <c r="T6047">
        <v>-0.16913629999999999</v>
      </c>
      <c r="U6047">
        <v>-3.0002749999999998</v>
      </c>
      <c r="V6047">
        <v>-2.1755839999999999E-2</v>
      </c>
      <c r="W6047">
        <v>-0.108644699999999</v>
      </c>
      <c r="X6047">
        <v>0.99384249999999996</v>
      </c>
      <c r="Y6047">
        <v>-2.6003740000000001E-2</v>
      </c>
      <c r="Z6047">
        <v>5.1481949999999999E-2</v>
      </c>
      <c r="AA6047">
        <v>0.99833530000000004</v>
      </c>
      <c r="AB6047">
        <v>24</v>
      </c>
      <c r="AC6047">
        <v>0.229699999999979</v>
      </c>
      <c r="AD6047">
        <v>-1.11965195391899</v>
      </c>
      <c r="AE6047">
        <v>-19.612380000000002</v>
      </c>
      <c r="AF6047">
        <v>-0.515191088054887</v>
      </c>
      <c r="AG6047">
        <v>-1.11965195391899</v>
      </c>
      <c r="AH6047">
        <v>19.5432277536325</v>
      </c>
      <c r="AI6047">
        <v>93.277814543464402</v>
      </c>
      <c r="AJ6047">
        <v>91.510059671338198</v>
      </c>
      <c r="AK6047">
        <v>19.582052838900101</v>
      </c>
      <c r="AL6047">
        <v>96.2371946681249</v>
      </c>
      <c r="AM6047">
        <v>91.254040513108507</v>
      </c>
      <c r="AN6047">
        <v>0.99999995110922102</v>
      </c>
    </row>
    <row r="6048" spans="1:40" x14ac:dyDescent="0.25">
      <c r="A6048" t="str">
        <f>"20190303154931592"</f>
        <v>20190303154931592</v>
      </c>
      <c r="B6048" t="str">
        <f>"1551599371586471"</f>
        <v>1551599371586471</v>
      </c>
      <c r="C6048" t="s">
        <v>40</v>
      </c>
      <c r="D6048">
        <v>4.9246530000000002</v>
      </c>
      <c r="E6048">
        <v>0.49809290000000001</v>
      </c>
      <c r="F6048" t="s">
        <v>64</v>
      </c>
      <c r="G6048">
        <v>-422.0428</v>
      </c>
      <c r="H6048" s="1">
        <v>-5.3511000000000003E-6</v>
      </c>
      <c r="I6048">
        <v>30.586120000000001</v>
      </c>
      <c r="J6048">
        <v>-422.29050000000001</v>
      </c>
      <c r="K6048">
        <v>1.1196440000000001</v>
      </c>
      <c r="L6048">
        <v>50.730559999999997</v>
      </c>
      <c r="M6048">
        <v>-1.4642840000000001E-2</v>
      </c>
      <c r="N6048">
        <v>-4.8333430000000004E-3</v>
      </c>
      <c r="O6048">
        <v>-0.99988129999999997</v>
      </c>
      <c r="P6048">
        <v>7.4813149999999997E-3</v>
      </c>
      <c r="Q6048">
        <v>-0.1130182</v>
      </c>
      <c r="R6048">
        <v>-0.99356520000000004</v>
      </c>
      <c r="S6048">
        <v>3.5919189999999997E-2</v>
      </c>
      <c r="T6048">
        <v>-0.16473389999999999</v>
      </c>
      <c r="U6048">
        <v>-3.0004879999999998</v>
      </c>
      <c r="V6048">
        <v>-2.2033629999999998E-2</v>
      </c>
      <c r="W6048">
        <v>-0.1082149</v>
      </c>
      <c r="X6048">
        <v>0.99388330000000003</v>
      </c>
      <c r="Y6048">
        <v>-2.6592129999999999E-2</v>
      </c>
      <c r="Z6048">
        <v>4.9972200000000001E-2</v>
      </c>
      <c r="AA6048">
        <v>0.99839650000000002</v>
      </c>
      <c r="AB6048">
        <v>24</v>
      </c>
      <c r="AC6048">
        <v>0.247700000000008</v>
      </c>
      <c r="AD6048">
        <v>-1.1196493511000001</v>
      </c>
      <c r="AE6048">
        <v>-20.144439999999999</v>
      </c>
      <c r="AF6048">
        <v>-0.54097767802432395</v>
      </c>
      <c r="AG6048">
        <v>-1.1196493511000001</v>
      </c>
      <c r="AH6048">
        <v>20.0766406753486</v>
      </c>
      <c r="AI6048">
        <v>93.190852310277705</v>
      </c>
      <c r="AJ6048">
        <v>91.543497234918703</v>
      </c>
      <c r="AK6048">
        <v>20.115113032856701</v>
      </c>
      <c r="AL6048">
        <v>96.212422710471103</v>
      </c>
      <c r="AM6048">
        <v>91.269995430169601</v>
      </c>
      <c r="AN6048">
        <v>0.99999997972593802</v>
      </c>
    </row>
    <row r="6049" spans="1:40" x14ac:dyDescent="0.25">
      <c r="A6049" t="str">
        <f>"20190303154931613"</f>
        <v>20190303154931613</v>
      </c>
      <c r="B6049" t="str">
        <f>"1551599371606968"</f>
        <v>1551599371606968</v>
      </c>
      <c r="C6049" t="s">
        <v>40</v>
      </c>
      <c r="D6049">
        <v>4.9283149999999996</v>
      </c>
      <c r="E6049">
        <v>0.47663850000000002</v>
      </c>
      <c r="F6049" t="s">
        <v>64</v>
      </c>
      <c r="G6049">
        <v>-422.0326</v>
      </c>
      <c r="H6049" s="1">
        <v>-5.532341E-6</v>
      </c>
      <c r="I6049">
        <v>30.22927</v>
      </c>
      <c r="J6049">
        <v>-422.29390000000001</v>
      </c>
      <c r="K6049">
        <v>1.1196440000000001</v>
      </c>
      <c r="L6049">
        <v>50.497070000000001</v>
      </c>
      <c r="M6049">
        <v>-1.464235E-2</v>
      </c>
      <c r="N6049">
        <v>-4.9116400000000001E-3</v>
      </c>
      <c r="O6049">
        <v>-0.99988100000000002</v>
      </c>
      <c r="P6049">
        <v>8.4082259999999995E-3</v>
      </c>
      <c r="Q6049">
        <v>-0.11495710000000001</v>
      </c>
      <c r="R6049">
        <v>-0.99333539999999998</v>
      </c>
      <c r="S6049">
        <v>3.7750239999999997E-2</v>
      </c>
      <c r="T6049">
        <v>-0.16386909999999999</v>
      </c>
      <c r="U6049">
        <v>-3.0005190000000002</v>
      </c>
      <c r="V6049">
        <v>-2.2956359999999999E-2</v>
      </c>
      <c r="W6049">
        <v>-0.1100771</v>
      </c>
      <c r="X6049">
        <v>0.99365789999999998</v>
      </c>
      <c r="Y6049">
        <v>-2.7200780000000001E-2</v>
      </c>
      <c r="Z6049">
        <v>4.960589E-2</v>
      </c>
      <c r="AA6049">
        <v>0.99839840000000002</v>
      </c>
      <c r="AB6049">
        <v>24</v>
      </c>
      <c r="AC6049">
        <v>0.26130000000000497</v>
      </c>
      <c r="AD6049">
        <v>-1.1196495323410001</v>
      </c>
      <c r="AE6049">
        <v>-20.267800000000001</v>
      </c>
      <c r="AF6049">
        <v>-0.55634615291344602</v>
      </c>
      <c r="AG6049">
        <v>-1.1196495323410001</v>
      </c>
      <c r="AH6049">
        <v>20.2001651511891</v>
      </c>
      <c r="AI6049">
        <v>93.171329284318801</v>
      </c>
      <c r="AJ6049">
        <v>91.577622266495297</v>
      </c>
      <c r="AK6049">
        <v>20.2388193393896</v>
      </c>
      <c r="AL6049">
        <v>96.319760112681706</v>
      </c>
      <c r="AM6049">
        <v>91.323462133876006</v>
      </c>
      <c r="AN6049">
        <v>0.99999999232063397</v>
      </c>
    </row>
    <row r="6050" spans="1:40" x14ac:dyDescent="0.25">
      <c r="A6050" t="str">
        <f>"20190303154931636"</f>
        <v>20190303154931636</v>
      </c>
      <c r="B6050" t="str">
        <f>"1551599371626487"</f>
        <v>1551599371626487</v>
      </c>
      <c r="C6050" t="s">
        <v>40</v>
      </c>
      <c r="D6050">
        <v>4.9179170000000001</v>
      </c>
      <c r="E6050">
        <v>0.46491480000000002</v>
      </c>
      <c r="F6050" t="s">
        <v>64</v>
      </c>
      <c r="G6050">
        <v>-421.17469999999997</v>
      </c>
      <c r="H6050" s="1">
        <v>-3.330365E-6</v>
      </c>
      <c r="I6050">
        <v>34.640909999999998</v>
      </c>
      <c r="J6050">
        <v>-422.29759999999999</v>
      </c>
      <c r="K6050">
        <v>1.119658</v>
      </c>
      <c r="L6050">
        <v>50.24823</v>
      </c>
      <c r="M6050">
        <v>-1.46418E-2</v>
      </c>
      <c r="N6050">
        <v>-5.0617470000000001E-3</v>
      </c>
      <c r="O6050">
        <v>-0.99988030000000006</v>
      </c>
      <c r="P6050">
        <v>9.5187910000000004E-3</v>
      </c>
      <c r="Q6050">
        <v>-0.11735660000000001</v>
      </c>
      <c r="R6050">
        <v>-0.99304460000000006</v>
      </c>
      <c r="S6050">
        <v>0.2113342</v>
      </c>
      <c r="T6050">
        <v>-0.21140529999999999</v>
      </c>
      <c r="U6050">
        <v>-2.9938660000000001</v>
      </c>
      <c r="V6050">
        <v>-2.4062279999999998E-2</v>
      </c>
      <c r="W6050">
        <v>-0.1123289</v>
      </c>
      <c r="X6050">
        <v>0.99337969999999998</v>
      </c>
      <c r="Y6050">
        <v>-8.4846030000000003E-2</v>
      </c>
      <c r="Z6050">
        <v>6.5159449999999994E-2</v>
      </c>
      <c r="AA6050">
        <v>0.99426119999999996</v>
      </c>
      <c r="AB6050">
        <v>25</v>
      </c>
      <c r="AC6050">
        <v>1.12290000000001</v>
      </c>
      <c r="AD6050">
        <v>-1.119661330365</v>
      </c>
      <c r="AE6050">
        <v>-15.60732</v>
      </c>
      <c r="AF6050">
        <v>-1.3444182484326801</v>
      </c>
      <c r="AG6050">
        <v>-1.119661330365</v>
      </c>
      <c r="AH6050">
        <v>15.5097944566282</v>
      </c>
      <c r="AI6050">
        <v>94.113681263925002</v>
      </c>
      <c r="AJ6050">
        <v>94.954123028741094</v>
      </c>
      <c r="AK6050">
        <v>15.6081653633054</v>
      </c>
      <c r="AL6050">
        <v>96.449583922675004</v>
      </c>
      <c r="AM6050">
        <v>91.387583767130295</v>
      </c>
      <c r="AN6050">
        <v>1.0000000017330399</v>
      </c>
    </row>
    <row r="6051" spans="1:40" x14ac:dyDescent="0.25">
      <c r="A6051" t="str">
        <f>"20190303154931660"</f>
        <v>20190303154931660</v>
      </c>
      <c r="B6051" t="str">
        <f>"1551599371656744"</f>
        <v>1551599371656744</v>
      </c>
      <c r="C6051" t="s">
        <v>40</v>
      </c>
      <c r="D6051">
        <v>4.722836</v>
      </c>
      <c r="E6051">
        <v>0.32385199999999997</v>
      </c>
      <c r="F6051" t="s">
        <v>64</v>
      </c>
      <c r="G6051">
        <v>-420.81040000000002</v>
      </c>
      <c r="H6051" s="1">
        <v>-2.5221930000000002E-6</v>
      </c>
      <c r="I6051">
        <v>35.832569999999997</v>
      </c>
      <c r="J6051">
        <v>-422.30149999999998</v>
      </c>
      <c r="K6051">
        <v>1.1197029999999999</v>
      </c>
      <c r="L6051">
        <v>49.984679999999997</v>
      </c>
      <c r="M6051">
        <v>-1.464126E-2</v>
      </c>
      <c r="N6051">
        <v>-5.3344600000000001E-3</v>
      </c>
      <c r="O6051">
        <v>-0.99987859999999995</v>
      </c>
      <c r="P6051">
        <v>1.2049799999999999E-2</v>
      </c>
      <c r="Q6051">
        <v>-0.12000479999999999</v>
      </c>
      <c r="R6051">
        <v>-0.99270029999999998</v>
      </c>
      <c r="S6051">
        <v>0.30853269999999999</v>
      </c>
      <c r="T6051">
        <v>-0.23227909999999999</v>
      </c>
      <c r="U6051">
        <v>-2.9906009999999998</v>
      </c>
      <c r="V6051">
        <v>-2.6587699999999999E-2</v>
      </c>
      <c r="W6051">
        <v>-0.11470809999999999</v>
      </c>
      <c r="X6051">
        <v>0.99304340000000002</v>
      </c>
      <c r="Y6051">
        <v>-0.1168864</v>
      </c>
      <c r="Z6051">
        <v>7.1631970000000003E-2</v>
      </c>
      <c r="AA6051">
        <v>0.99055859999999996</v>
      </c>
      <c r="AB6051">
        <v>25</v>
      </c>
      <c r="AC6051">
        <v>1.4910999999999599</v>
      </c>
      <c r="AD6051">
        <v>-1.1197055221929999</v>
      </c>
      <c r="AE6051">
        <v>-14.152109999999899</v>
      </c>
      <c r="AF6051">
        <v>-1.6876990515789201</v>
      </c>
      <c r="AG6051">
        <v>-1.1197055221929999</v>
      </c>
      <c r="AH6051">
        <v>14.0418262045894</v>
      </c>
      <c r="AI6051">
        <v>94.526718517879203</v>
      </c>
      <c r="AJ6051">
        <v>96.853552939910998</v>
      </c>
      <c r="AK6051">
        <v>14.1871403639008</v>
      </c>
      <c r="AL6051">
        <v>96.586788836272902</v>
      </c>
      <c r="AM6051">
        <v>91.533668265195701</v>
      </c>
      <c r="AN6051">
        <v>1.00000002414022</v>
      </c>
    </row>
    <row r="6052" spans="1:40" x14ac:dyDescent="0.25">
      <c r="A6052" t="str">
        <f>"20190303154931686"</f>
        <v>20190303154931686</v>
      </c>
      <c r="B6052" t="str">
        <f>"1551599371677240"</f>
        <v>1551599371677240</v>
      </c>
      <c r="C6052" t="s">
        <v>40</v>
      </c>
      <c r="D6052">
        <v>4.7981819999999997</v>
      </c>
      <c r="E6052">
        <v>0.31418200000000002</v>
      </c>
      <c r="F6052" t="s">
        <v>41</v>
      </c>
      <c r="G6052">
        <v>-418.54649999999998</v>
      </c>
      <c r="H6052" s="1">
        <v>-1.3984240000000001E-6</v>
      </c>
      <c r="I6052">
        <v>42.291539999999998</v>
      </c>
      <c r="J6052">
        <v>-422.30549999999999</v>
      </c>
      <c r="K6052">
        <v>1.119793</v>
      </c>
      <c r="L6052">
        <v>49.709139999999998</v>
      </c>
      <c r="M6052">
        <v>-1.464085E-2</v>
      </c>
      <c r="N6052">
        <v>-5.7991709999999997E-3</v>
      </c>
      <c r="O6052">
        <v>-0.99987599999999999</v>
      </c>
      <c r="P6052">
        <v>1.5635280000000001E-2</v>
      </c>
      <c r="Q6052">
        <v>-0.1214688</v>
      </c>
      <c r="R6052">
        <v>-0.99247240000000003</v>
      </c>
      <c r="S6052">
        <v>1.4411320000000001</v>
      </c>
      <c r="T6052">
        <v>-0.42973939999999999</v>
      </c>
      <c r="U6052">
        <v>-2.9526059999999998</v>
      </c>
      <c r="V6052">
        <v>-3.0169000000000001E-2</v>
      </c>
      <c r="W6052">
        <v>-0.1157121</v>
      </c>
      <c r="X6052">
        <v>0.99282459999999995</v>
      </c>
      <c r="Y6052">
        <v>-0.44820880000000002</v>
      </c>
      <c r="Z6052">
        <v>0.12345879999999999</v>
      </c>
      <c r="AA6052">
        <v>0.88536250000000005</v>
      </c>
      <c r="AB6052">
        <v>25</v>
      </c>
      <c r="AC6052">
        <v>3.7590000000000101</v>
      </c>
      <c r="AD6052">
        <v>-1.119794398424</v>
      </c>
      <c r="AE6052">
        <v>-7.4176000000000002</v>
      </c>
      <c r="AF6052">
        <v>-3.79832243047202</v>
      </c>
      <c r="AG6052">
        <v>-1.119794398424</v>
      </c>
      <c r="AH6052">
        <v>7.2306528268058399</v>
      </c>
      <c r="AI6052">
        <v>97.806700990471001</v>
      </c>
      <c r="AJ6052">
        <v>117.71332162614399</v>
      </c>
      <c r="AK6052">
        <v>8.2439998230448701</v>
      </c>
      <c r="AL6052">
        <v>96.644699095312205</v>
      </c>
      <c r="AM6052">
        <v>91.740513513757506</v>
      </c>
      <c r="AN6052">
        <v>1.0000000725062801</v>
      </c>
    </row>
    <row r="6053" spans="1:40" x14ac:dyDescent="0.25">
      <c r="A6053" t="str">
        <f>"20190303154931704"</f>
        <v>20190303154931704</v>
      </c>
      <c r="B6053" t="str">
        <f>"1551599371696761"</f>
        <v>1551599371696761</v>
      </c>
      <c r="C6053" t="s">
        <v>40</v>
      </c>
      <c r="D6053">
        <v>4.8479289999999997</v>
      </c>
      <c r="E6053">
        <v>0.31084879999999998</v>
      </c>
      <c r="F6053" t="s">
        <v>42</v>
      </c>
      <c r="G6053">
        <v>-421.83819999999997</v>
      </c>
      <c r="H6053">
        <v>0.97701590000000005</v>
      </c>
      <c r="I6053">
        <v>48.809930000000001</v>
      </c>
      <c r="J6053">
        <v>-422.30860000000001</v>
      </c>
      <c r="K6053">
        <v>1.119883</v>
      </c>
      <c r="L6053">
        <v>49.49362</v>
      </c>
      <c r="M6053">
        <v>-1.464096E-2</v>
      </c>
      <c r="N6053">
        <v>-6.2685269999999899E-3</v>
      </c>
      <c r="O6053">
        <v>-0.99987340000000002</v>
      </c>
      <c r="P6053">
        <v>2.076596E-2</v>
      </c>
      <c r="Q6053">
        <v>-0.1225036</v>
      </c>
      <c r="R6053">
        <v>-0.9922512</v>
      </c>
      <c r="S6053">
        <v>1.528931</v>
      </c>
      <c r="T6053">
        <v>-0.46704699999999999</v>
      </c>
      <c r="U6053">
        <v>-2.9414980000000002</v>
      </c>
      <c r="V6053">
        <v>-3.5296139999999997E-2</v>
      </c>
      <c r="W6053">
        <v>-0.1162825</v>
      </c>
      <c r="X6053">
        <v>0.99258880000000005</v>
      </c>
      <c r="Y6053">
        <v>-0.46984569999999998</v>
      </c>
      <c r="Z6053">
        <v>0.13275100000000001</v>
      </c>
      <c r="AA6053">
        <v>0.87270969999999903</v>
      </c>
      <c r="AB6053">
        <v>25</v>
      </c>
      <c r="AC6053">
        <v>0.47040000000004001</v>
      </c>
      <c r="AD6053">
        <v>-0.1428671</v>
      </c>
      <c r="AE6053">
        <v>-0.68368999999999802</v>
      </c>
      <c r="AF6053">
        <v>-0.46653316704145598</v>
      </c>
      <c r="AG6053">
        <v>-0.1428671</v>
      </c>
      <c r="AH6053">
        <v>0.65725075925108301</v>
      </c>
      <c r="AI6053">
        <v>100.05156259623099</v>
      </c>
      <c r="AJ6053">
        <v>125.368093519665</v>
      </c>
      <c r="AK6053">
        <v>0.81856139949808704</v>
      </c>
      <c r="AL6053">
        <v>96.677603330821697</v>
      </c>
      <c r="AM6053">
        <v>92.036561463912605</v>
      </c>
      <c r="AN6053">
        <v>0.99999998159529402</v>
      </c>
    </row>
    <row r="6054" spans="1:40" x14ac:dyDescent="0.25">
      <c r="A6054" t="str">
        <f>"20190303154931726"</f>
        <v>20190303154931726</v>
      </c>
      <c r="B6054" t="str">
        <f>"1551599371717256"</f>
        <v>1551599371717256</v>
      </c>
      <c r="C6054" t="s">
        <v>40</v>
      </c>
      <c r="D6054">
        <v>4.7846320000000002</v>
      </c>
      <c r="E6054">
        <v>0.30774370000000001</v>
      </c>
      <c r="F6054" t="s">
        <v>42</v>
      </c>
      <c r="G6054">
        <v>-421.82530000000003</v>
      </c>
      <c r="H6054">
        <v>0.97318009999999999</v>
      </c>
      <c r="I6054">
        <v>48.591769999999997</v>
      </c>
      <c r="J6054">
        <v>-422.31209999999999</v>
      </c>
      <c r="K6054">
        <v>1.1199809999999999</v>
      </c>
      <c r="L6054">
        <v>49.255369999999999</v>
      </c>
      <c r="M6054">
        <v>-1.464095E-2</v>
      </c>
      <c r="N6054">
        <v>-6.8577079999999997E-3</v>
      </c>
      <c r="O6054">
        <v>-0.99986960000000003</v>
      </c>
      <c r="P6054">
        <v>2.6632920000000001E-2</v>
      </c>
      <c r="Q6054">
        <v>-0.12341920000000001</v>
      </c>
      <c r="R6054">
        <v>-0.99199740000000003</v>
      </c>
      <c r="S6054">
        <v>1.5713809999999999</v>
      </c>
      <c r="T6054">
        <v>-0.4768907</v>
      </c>
      <c r="U6054">
        <v>-2.9316710000000001</v>
      </c>
      <c r="V6054">
        <v>-4.1158569999999998E-2</v>
      </c>
      <c r="W6054">
        <v>-0.11661530000000001</v>
      </c>
      <c r="X6054">
        <v>0.99232390000000004</v>
      </c>
      <c r="Y6054">
        <v>-0.48073379999999999</v>
      </c>
      <c r="Z6054">
        <v>0.13455909999999999</v>
      </c>
      <c r="AA6054">
        <v>0.86648080000000005</v>
      </c>
      <c r="AB6054">
        <v>25</v>
      </c>
      <c r="AC6054">
        <v>0.48679999999995899</v>
      </c>
      <c r="AD6054">
        <v>-0.14680089999999901</v>
      </c>
      <c r="AE6054">
        <v>-0.66359999999999497</v>
      </c>
      <c r="AF6054">
        <v>-0.48115514884608601</v>
      </c>
      <c r="AG6054">
        <v>-0.14680089999999901</v>
      </c>
      <c r="AH6054">
        <v>0.63616112366014199</v>
      </c>
      <c r="AI6054">
        <v>100.42839683530499</v>
      </c>
      <c r="AJ6054">
        <v>127.10173423485701</v>
      </c>
      <c r="AK6054">
        <v>0.811025127082043</v>
      </c>
      <c r="AL6054">
        <v>96.696802265746499</v>
      </c>
      <c r="AM6054">
        <v>92.375092889430206</v>
      </c>
      <c r="AN6054">
        <v>0.99999993929486997</v>
      </c>
    </row>
    <row r="6055" spans="1:40" x14ac:dyDescent="0.25">
      <c r="A6055" t="str">
        <f>"20190303154931749"</f>
        <v>20190303154931749</v>
      </c>
      <c r="B6055" t="str">
        <f>"1551599371736777"</f>
        <v>1551599371736777</v>
      </c>
      <c r="C6055" t="s">
        <v>40</v>
      </c>
      <c r="D6055">
        <v>4.7880960000000004</v>
      </c>
      <c r="E6055">
        <v>0.30393579999999998</v>
      </c>
      <c r="F6055" t="s">
        <v>42</v>
      </c>
      <c r="G6055">
        <v>-421.82389999999998</v>
      </c>
      <c r="H6055">
        <v>0.97519149999999999</v>
      </c>
      <c r="I6055">
        <v>48.371490000000001</v>
      </c>
      <c r="J6055">
        <v>-422.31580000000002</v>
      </c>
      <c r="K6055">
        <v>1.1200909999999999</v>
      </c>
      <c r="L6055">
        <v>49.000700000000002</v>
      </c>
      <c r="M6055">
        <v>-1.464088E-2</v>
      </c>
      <c r="N6055">
        <v>-7.5395309999999899E-3</v>
      </c>
      <c r="O6055">
        <v>-0.99986459999999999</v>
      </c>
      <c r="P6055">
        <v>3.3144060000000003E-2</v>
      </c>
      <c r="Q6055">
        <v>-0.12342930000000001</v>
      </c>
      <c r="R6055">
        <v>-0.99179989999999996</v>
      </c>
      <c r="S6055">
        <v>1.613831</v>
      </c>
      <c r="T6055">
        <v>-0.47855789999999998</v>
      </c>
      <c r="U6055">
        <v>-2.9213559999999998</v>
      </c>
      <c r="V6055">
        <v>-4.7666140000000003E-2</v>
      </c>
      <c r="W6055">
        <v>-0.11595080000000001</v>
      </c>
      <c r="X6055">
        <v>0.99211059999999995</v>
      </c>
      <c r="Y6055">
        <v>-0.49168669999999998</v>
      </c>
      <c r="Z6055">
        <v>0.13388369999999999</v>
      </c>
      <c r="AA6055">
        <v>0.86041809999999996</v>
      </c>
      <c r="AB6055">
        <v>25</v>
      </c>
      <c r="AC6055">
        <v>0.49190000000004303</v>
      </c>
      <c r="AD6055">
        <v>-0.14489949999999899</v>
      </c>
      <c r="AE6055">
        <v>-0.62921000000000005</v>
      </c>
      <c r="AF6055">
        <v>-0.48509263389101998</v>
      </c>
      <c r="AG6055">
        <v>-0.14489949999999899</v>
      </c>
      <c r="AH6055">
        <v>0.60212135177750503</v>
      </c>
      <c r="AI6055">
        <v>100.614018453296</v>
      </c>
      <c r="AJ6055">
        <v>128.856284678273</v>
      </c>
      <c r="AK6055">
        <v>0.78667709437986599</v>
      </c>
      <c r="AL6055">
        <v>96.658468457664696</v>
      </c>
      <c r="AM6055">
        <v>92.750671287686899</v>
      </c>
      <c r="AN6055">
        <v>1.00000004577774</v>
      </c>
    </row>
    <row r="6056" spans="1:40" x14ac:dyDescent="0.25">
      <c r="A6056" t="str">
        <f>"20190303154931770"</f>
        <v>20190303154931770</v>
      </c>
      <c r="B6056" t="str">
        <f>"1551599371767032"</f>
        <v>1551599371767032</v>
      </c>
      <c r="C6056" t="s">
        <v>40</v>
      </c>
      <c r="D6056">
        <v>4.7458150000000003</v>
      </c>
      <c r="E6056">
        <v>0.30120780000000003</v>
      </c>
      <c r="F6056" t="s">
        <v>42</v>
      </c>
      <c r="G6056">
        <v>-421.82979999999998</v>
      </c>
      <c r="H6056">
        <v>0.98104469999999999</v>
      </c>
      <c r="I6056">
        <v>48.150120000000001</v>
      </c>
      <c r="J6056">
        <v>-422.31920000000002</v>
      </c>
      <c r="K6056">
        <v>1.1202030000000001</v>
      </c>
      <c r="L6056">
        <v>48.761600000000001</v>
      </c>
      <c r="M6056">
        <v>-1.4640830000000001E-2</v>
      </c>
      <c r="N6056">
        <v>-8.2184770000000001E-3</v>
      </c>
      <c r="O6056">
        <v>-0.99985930000000001</v>
      </c>
      <c r="P6056">
        <v>4.0604620000000001E-2</v>
      </c>
      <c r="Q6056">
        <v>-0.1230121</v>
      </c>
      <c r="R6056">
        <v>-0.99157450000000003</v>
      </c>
      <c r="S6056">
        <v>1.66363499999999</v>
      </c>
      <c r="T6056">
        <v>-0.47571340000000001</v>
      </c>
      <c r="U6056">
        <v>-2.9100039999999998</v>
      </c>
      <c r="V6056">
        <v>-5.5122669999999999E-2</v>
      </c>
      <c r="W6056">
        <v>-0.11486250000000001</v>
      </c>
      <c r="X6056">
        <v>0.99185089999999998</v>
      </c>
      <c r="Y6056">
        <v>-0.5043434</v>
      </c>
      <c r="Z6056">
        <v>0.13177069999999999</v>
      </c>
      <c r="AA6056">
        <v>0.85338989999999904</v>
      </c>
      <c r="AB6056">
        <v>25</v>
      </c>
      <c r="AC6056">
        <v>0.48940000000004602</v>
      </c>
      <c r="AD6056">
        <v>-0.13915830000000001</v>
      </c>
      <c r="AE6056">
        <v>-0.61148000000000002</v>
      </c>
      <c r="AF6056">
        <v>-0.48305100124769501</v>
      </c>
      <c r="AG6056">
        <v>-0.13915830000000001</v>
      </c>
      <c r="AH6056">
        <v>0.58575724957115904</v>
      </c>
      <c r="AI6056">
        <v>100.386212116595</v>
      </c>
      <c r="AJ6056">
        <v>129.511062982054</v>
      </c>
      <c r="AK6056">
        <v>0.771890444098422</v>
      </c>
      <c r="AL6056">
        <v>96.595693959717394</v>
      </c>
      <c r="AM6056">
        <v>93.180972807998899</v>
      </c>
      <c r="AN6056">
        <v>1.0000000552424899</v>
      </c>
    </row>
    <row r="6057" spans="1:40" x14ac:dyDescent="0.25">
      <c r="A6057" t="str">
        <f>"20190303154931793"</f>
        <v>20190303154931793</v>
      </c>
      <c r="B6057" t="str">
        <f>"1551599371786552"</f>
        <v>1551599371786552</v>
      </c>
      <c r="C6057" t="s">
        <v>40</v>
      </c>
      <c r="D6057">
        <v>4.7324199999999896</v>
      </c>
      <c r="E6057">
        <v>0.30041060000000003</v>
      </c>
      <c r="F6057" t="s">
        <v>42</v>
      </c>
      <c r="G6057">
        <v>-421.82920000000001</v>
      </c>
      <c r="H6057">
        <v>0.98486770000000001</v>
      </c>
      <c r="I6057">
        <v>47.930459999999997</v>
      </c>
      <c r="J6057">
        <v>-422.32279999999997</v>
      </c>
      <c r="K6057">
        <v>1.1203050000000001</v>
      </c>
      <c r="L6057">
        <v>48.513150000000003</v>
      </c>
      <c r="M6057">
        <v>-1.4640810000000001E-2</v>
      </c>
      <c r="N6057">
        <v>-8.938573E-3</v>
      </c>
      <c r="O6057">
        <v>-0.99985290000000004</v>
      </c>
      <c r="P6057">
        <v>4.9683070000000003E-2</v>
      </c>
      <c r="Q6057">
        <v>-0.1225354</v>
      </c>
      <c r="R6057">
        <v>-0.99121990000000004</v>
      </c>
      <c r="S6057">
        <v>1.7075199999999999</v>
      </c>
      <c r="T6057">
        <v>-0.4717211</v>
      </c>
      <c r="U6057">
        <v>-2.8970340000000001</v>
      </c>
      <c r="V6057">
        <v>-6.4195070000000007E-2</v>
      </c>
      <c r="W6057">
        <v>-0.1136755</v>
      </c>
      <c r="X6057">
        <v>0.99144180000000004</v>
      </c>
      <c r="Y6057">
        <v>-0.51572470000000004</v>
      </c>
      <c r="Z6057">
        <v>0.12944849999999999</v>
      </c>
      <c r="AA6057">
        <v>0.84691859999999997</v>
      </c>
      <c r="AB6057">
        <v>25</v>
      </c>
      <c r="AC6057">
        <v>0.49359999999995802</v>
      </c>
      <c r="AD6057">
        <v>-0.13543729999999901</v>
      </c>
      <c r="AE6057">
        <v>-0.58269000000000604</v>
      </c>
      <c r="AF6057">
        <v>-0.48676746927362202</v>
      </c>
      <c r="AG6057">
        <v>-0.13543729999999901</v>
      </c>
      <c r="AH6057">
        <v>0.55785355765200095</v>
      </c>
      <c r="AI6057">
        <v>100.366646748981</v>
      </c>
      <c r="AJ6057">
        <v>131.10704433949101</v>
      </c>
      <c r="AK6057">
        <v>0.75265292343770895</v>
      </c>
      <c r="AL6057">
        <v>96.527235918692696</v>
      </c>
      <c r="AM6057">
        <v>93.704684796579102</v>
      </c>
      <c r="AN6057">
        <v>0.99999998454989703</v>
      </c>
    </row>
    <row r="6058" spans="1:40" x14ac:dyDescent="0.25">
      <c r="A6058" t="str">
        <f>"20190303154931816"</f>
        <v>20190303154931816</v>
      </c>
      <c r="B6058" t="str">
        <f>"1551599371807048"</f>
        <v>1551599371807048</v>
      </c>
      <c r="C6058" t="s">
        <v>40</v>
      </c>
      <c r="D6058">
        <v>4.7437839999999998</v>
      </c>
      <c r="E6058">
        <v>0.29993130000000001</v>
      </c>
      <c r="F6058" t="s">
        <v>42</v>
      </c>
      <c r="G6058">
        <v>-421.83760000000001</v>
      </c>
      <c r="H6058">
        <v>0.98978409999999994</v>
      </c>
      <c r="I6058">
        <v>47.709499999999998</v>
      </c>
      <c r="J6058">
        <v>-422.32650000000001</v>
      </c>
      <c r="K6058">
        <v>1.120387</v>
      </c>
      <c r="L6058">
        <v>48.259979999999999</v>
      </c>
      <c r="M6058">
        <v>-1.4640770000000001E-2</v>
      </c>
      <c r="N6058">
        <v>-9.6472190000000003E-3</v>
      </c>
      <c r="O6058">
        <v>-0.99984649999999997</v>
      </c>
      <c r="P6058">
        <v>5.989154E-2</v>
      </c>
      <c r="Q6058">
        <v>-0.122464</v>
      </c>
      <c r="R6058">
        <v>-0.99066419999999999</v>
      </c>
      <c r="S6058">
        <v>1.74057</v>
      </c>
      <c r="T6058">
        <v>-0.46799360000000001</v>
      </c>
      <c r="U6058">
        <v>-2.8814700000000002</v>
      </c>
      <c r="V6058">
        <v>-7.4393989999999993E-2</v>
      </c>
      <c r="W6058">
        <v>-0.11290790000000001</v>
      </c>
      <c r="X6058">
        <v>0.99081649999999999</v>
      </c>
      <c r="Y6058">
        <v>-0.52494439999999998</v>
      </c>
      <c r="Z6058">
        <v>0.12751469999999901</v>
      </c>
      <c r="AA6058">
        <v>0.84153040000000001</v>
      </c>
      <c r="AB6058">
        <v>25</v>
      </c>
      <c r="AC6058">
        <v>0.488900000000001</v>
      </c>
      <c r="AD6058">
        <v>-0.13060289999999899</v>
      </c>
      <c r="AE6058">
        <v>-0.55047999999999997</v>
      </c>
      <c r="AF6058">
        <v>-0.48174791466781203</v>
      </c>
      <c r="AG6058">
        <v>-0.13060289999999899</v>
      </c>
      <c r="AH6058">
        <v>0.52668908962459604</v>
      </c>
      <c r="AI6058">
        <v>100.36891027956899</v>
      </c>
      <c r="AJ6058">
        <v>132.448291750979</v>
      </c>
      <c r="AK6058">
        <v>0.72563046235999595</v>
      </c>
      <c r="AL6058">
        <v>96.482970598211196</v>
      </c>
      <c r="AM6058">
        <v>94.293911847268404</v>
      </c>
      <c r="AN6058">
        <v>0.99999999815138996</v>
      </c>
    </row>
    <row r="6059" spans="1:40" x14ac:dyDescent="0.25">
      <c r="A6059" t="str">
        <f>"20190303154931837"</f>
        <v>20190303154931837</v>
      </c>
      <c r="B6059" t="str">
        <f>"1551599371826568"</f>
        <v>1551599371826568</v>
      </c>
      <c r="C6059" t="s">
        <v>40</v>
      </c>
      <c r="D6059">
        <v>4.7848819999999996</v>
      </c>
      <c r="E6059">
        <v>0.29973719999999998</v>
      </c>
      <c r="F6059" t="s">
        <v>42</v>
      </c>
      <c r="G6059">
        <v>-421.8485</v>
      </c>
      <c r="H6059">
        <v>0.99463140000000005</v>
      </c>
      <c r="I6059">
        <v>47.488480000000003</v>
      </c>
      <c r="J6059">
        <v>-422.32990000000001</v>
      </c>
      <c r="K6059">
        <v>1.120444</v>
      </c>
      <c r="L6059">
        <v>48.026490000000003</v>
      </c>
      <c r="M6059">
        <v>-1.464068E-2</v>
      </c>
      <c r="N6059">
        <v>-1.025119E-2</v>
      </c>
      <c r="O6059">
        <v>-0.99984050000000002</v>
      </c>
      <c r="P6059">
        <v>6.9806720000000003E-2</v>
      </c>
      <c r="Q6059">
        <v>-0.12302630000000001</v>
      </c>
      <c r="R6059">
        <v>-0.98994550000000003</v>
      </c>
      <c r="S6059">
        <v>1.77417</v>
      </c>
      <c r="T6059">
        <v>-0.46673550000000003</v>
      </c>
      <c r="U6059">
        <v>-2.8633120000000001</v>
      </c>
      <c r="V6059">
        <v>-8.4297819999999996E-2</v>
      </c>
      <c r="W6059">
        <v>-0.1128801</v>
      </c>
      <c r="X6059">
        <v>0.99002619999999997</v>
      </c>
      <c r="Y6059">
        <v>-0.53448240000000002</v>
      </c>
      <c r="Z6059">
        <v>0.12645719999999999</v>
      </c>
      <c r="AA6059">
        <v>0.83566569999999996</v>
      </c>
      <c r="AB6059">
        <v>25</v>
      </c>
      <c r="AC6059">
        <v>0.48140000000000699</v>
      </c>
      <c r="AD6059">
        <v>-0.125812599999999</v>
      </c>
      <c r="AE6059">
        <v>-0.53801000000000698</v>
      </c>
      <c r="AF6059">
        <v>-0.47480583950467398</v>
      </c>
      <c r="AG6059">
        <v>-0.125812599999999</v>
      </c>
      <c r="AH6059">
        <v>0.51525567769028702</v>
      </c>
      <c r="AI6059">
        <v>100.17967216306801</v>
      </c>
      <c r="AJ6059">
        <v>132.66043145621501</v>
      </c>
      <c r="AK6059">
        <v>0.71186923584221196</v>
      </c>
      <c r="AL6059">
        <v>96.481367788128097</v>
      </c>
      <c r="AM6059">
        <v>94.866828277387597</v>
      </c>
      <c r="AN6059">
        <v>0.99999995805959996</v>
      </c>
    </row>
    <row r="6060" spans="1:40" x14ac:dyDescent="0.25">
      <c r="A6060" t="str">
        <f>"20190303154931860"</f>
        <v>20190303154931860</v>
      </c>
      <c r="B6060" t="str">
        <f>"1551599371856825"</f>
        <v>1551599371856825</v>
      </c>
      <c r="C6060" t="s">
        <v>40</v>
      </c>
      <c r="D6060">
        <v>4.7416640000000001</v>
      </c>
      <c r="E6060">
        <v>0.30035250000000002</v>
      </c>
      <c r="F6060" t="s">
        <v>42</v>
      </c>
      <c r="G6060">
        <v>-421.85019999999997</v>
      </c>
      <c r="H6060">
        <v>0.99597950000000002</v>
      </c>
      <c r="I6060">
        <v>47.269779999999997</v>
      </c>
      <c r="J6060">
        <v>-422.33350000000002</v>
      </c>
      <c r="K6060">
        <v>1.1204809999999901</v>
      </c>
      <c r="L6060">
        <v>47.773589999999999</v>
      </c>
      <c r="M6060">
        <v>-1.464054E-2</v>
      </c>
      <c r="N6060">
        <v>-1.0844370000000001E-2</v>
      </c>
      <c r="O6060">
        <v>-0.99983409999999995</v>
      </c>
      <c r="P6060">
        <v>7.9850729999999995E-2</v>
      </c>
      <c r="Q6060">
        <v>-0.12416629999999999</v>
      </c>
      <c r="R6060">
        <v>-0.98904340000000002</v>
      </c>
      <c r="S6060">
        <v>1.804108</v>
      </c>
      <c r="T6060">
        <v>-0.4679796</v>
      </c>
      <c r="U6060">
        <v>-2.8450929999999999</v>
      </c>
      <c r="V6060">
        <v>-9.4327430000000004E-2</v>
      </c>
      <c r="W6060">
        <v>-0.1134438</v>
      </c>
      <c r="X6060">
        <v>0.98905650000000001</v>
      </c>
      <c r="Y6060">
        <v>-0.54313210000000001</v>
      </c>
      <c r="Z6060">
        <v>0.12619459999999999</v>
      </c>
      <c r="AA6060">
        <v>0.83010989999999996</v>
      </c>
      <c r="AB6060">
        <v>25</v>
      </c>
      <c r="AC6060">
        <v>0.48330000000004197</v>
      </c>
      <c r="AD6060">
        <v>-0.124501499999999</v>
      </c>
      <c r="AE6060">
        <v>-0.50381000000000797</v>
      </c>
      <c r="AF6060">
        <v>-0.47550253162998501</v>
      </c>
      <c r="AG6060">
        <v>-0.124501499999999</v>
      </c>
      <c r="AH6060">
        <v>0.48137102851851699</v>
      </c>
      <c r="AI6060">
        <v>100.426020706695</v>
      </c>
      <c r="AJ6060">
        <v>134.648609908178</v>
      </c>
      <c r="AK6060">
        <v>0.68798353772873799</v>
      </c>
      <c r="AL6060">
        <v>96.513874211428103</v>
      </c>
      <c r="AM6060">
        <v>95.447885404497399</v>
      </c>
      <c r="AN6060">
        <v>0.99999996000054603</v>
      </c>
    </row>
    <row r="6061" spans="1:40" x14ac:dyDescent="0.25">
      <c r="A6061" t="str">
        <f>"20190303154931883"</f>
        <v>20190303154931883</v>
      </c>
      <c r="B6061" t="str">
        <f>"1551599371877320"</f>
        <v>1551599371877320</v>
      </c>
      <c r="C6061" t="s">
        <v>40</v>
      </c>
      <c r="D6061">
        <v>4.7254559999999897</v>
      </c>
      <c r="E6061">
        <v>0.30105530000000003</v>
      </c>
      <c r="F6061" t="s">
        <v>42</v>
      </c>
      <c r="G6061">
        <v>-421.86489999999998</v>
      </c>
      <c r="H6061">
        <v>0.99996810000000003</v>
      </c>
      <c r="I6061">
        <v>47.048900000000003</v>
      </c>
      <c r="J6061">
        <v>-422.33710000000002</v>
      </c>
      <c r="K6061">
        <v>1.1205050000000001</v>
      </c>
      <c r="L6061">
        <v>47.526209999999999</v>
      </c>
      <c r="M6061">
        <v>-1.464039E-2</v>
      </c>
      <c r="N6061">
        <v>-1.1356339999999999E-2</v>
      </c>
      <c r="O6061">
        <v>-0.99982859999999996</v>
      </c>
      <c r="P6061">
        <v>9.1630030000000001E-2</v>
      </c>
      <c r="Q6061">
        <v>-0.1248817</v>
      </c>
      <c r="R6061">
        <v>-0.98793180000000003</v>
      </c>
      <c r="S6061">
        <v>1.827698</v>
      </c>
      <c r="T6061">
        <v>-0.47007310000000002</v>
      </c>
      <c r="U6061">
        <v>-2.82666</v>
      </c>
      <c r="V6061">
        <v>-0.1060889</v>
      </c>
      <c r="W6061">
        <v>-0.1136668</v>
      </c>
      <c r="X6061">
        <v>0.98783860000000001</v>
      </c>
      <c r="Y6061">
        <v>-0.55041470000000003</v>
      </c>
      <c r="Z6061">
        <v>0.12638969999999999</v>
      </c>
      <c r="AA6061">
        <v>0.82526919999999904</v>
      </c>
      <c r="AB6061">
        <v>24</v>
      </c>
      <c r="AC6061">
        <v>0.47220000000004297</v>
      </c>
      <c r="AD6061">
        <v>-0.120536899999999</v>
      </c>
      <c r="AE6061">
        <v>-0.47730999999999502</v>
      </c>
      <c r="AF6061">
        <v>-0.464177465258237</v>
      </c>
      <c r="AG6061">
        <v>-0.120536899999999</v>
      </c>
      <c r="AH6061">
        <v>0.45565936519942901</v>
      </c>
      <c r="AI6061">
        <v>100.49855050971399</v>
      </c>
      <c r="AJ6061">
        <v>135.530569353511</v>
      </c>
      <c r="AK6061">
        <v>0.66152499620884897</v>
      </c>
      <c r="AL6061">
        <v>96.526733778249096</v>
      </c>
      <c r="AM6061">
        <v>96.1297844293385</v>
      </c>
      <c r="AN6061">
        <v>1.0000000478877</v>
      </c>
    </row>
    <row r="6062" spans="1:40" x14ac:dyDescent="0.25">
      <c r="A6062" t="str">
        <f>"20190303154931904"</f>
        <v>20190303154931904</v>
      </c>
      <c r="B6062" t="str">
        <f>"1551599371896841"</f>
        <v>1551599371896841</v>
      </c>
      <c r="C6062" t="s">
        <v>40</v>
      </c>
      <c r="D6062">
        <v>4.6981250000000001</v>
      </c>
      <c r="E6062">
        <v>0.30191869999999998</v>
      </c>
      <c r="F6062" t="s">
        <v>42</v>
      </c>
      <c r="G6062">
        <v>-421.7491</v>
      </c>
      <c r="H6062">
        <v>0.97066560000000002</v>
      </c>
      <c r="I6062">
        <v>46.637619999999998</v>
      </c>
      <c r="J6062">
        <v>-422.34050000000002</v>
      </c>
      <c r="K6062">
        <v>1.12053</v>
      </c>
      <c r="L6062">
        <v>47.294249999999998</v>
      </c>
      <c r="M6062">
        <v>-1.4640179999999999E-2</v>
      </c>
      <c r="N6062">
        <v>-1.178444E-2</v>
      </c>
      <c r="O6062">
        <v>-0.99982360000000003</v>
      </c>
      <c r="P6062">
        <v>0.104259</v>
      </c>
      <c r="Q6062">
        <v>-0.1253204</v>
      </c>
      <c r="R6062">
        <v>-0.98662340000000004</v>
      </c>
      <c r="S6062">
        <v>1.855804</v>
      </c>
      <c r="T6062">
        <v>-0.47295389999999998</v>
      </c>
      <c r="U6062">
        <v>-2.8047490000000002</v>
      </c>
      <c r="V6062">
        <v>-0.1186971</v>
      </c>
      <c r="W6062">
        <v>-0.1136997</v>
      </c>
      <c r="X6062">
        <v>0.98639920000000003</v>
      </c>
      <c r="Y6062">
        <v>-0.55902980000000002</v>
      </c>
      <c r="Z6062">
        <v>0.12689990000000001</v>
      </c>
      <c r="AA6062">
        <v>0.81937909999999903</v>
      </c>
      <c r="AB6062">
        <v>24</v>
      </c>
      <c r="AC6062">
        <v>0.59140000000002102</v>
      </c>
      <c r="AD6062">
        <v>-0.14986440000000001</v>
      </c>
      <c r="AE6062">
        <v>-0.65662999999999905</v>
      </c>
      <c r="AF6062">
        <v>-0.58415017137338998</v>
      </c>
      <c r="AG6062">
        <v>-0.14986440000000001</v>
      </c>
      <c r="AH6062">
        <v>0.62978797771168105</v>
      </c>
      <c r="AI6062">
        <v>99.896543078543402</v>
      </c>
      <c r="AJ6062">
        <v>132.84698848542499</v>
      </c>
      <c r="AK6062">
        <v>0.87196539952746399</v>
      </c>
      <c r="AL6062">
        <v>96.528631406934096</v>
      </c>
      <c r="AM6062">
        <v>96.861622835993501</v>
      </c>
      <c r="AN6062">
        <v>1.0000000025445701</v>
      </c>
    </row>
    <row r="6063" spans="1:40" x14ac:dyDescent="0.25">
      <c r="A6063" t="str">
        <f>"20190303154931927"</f>
        <v>20190303154931927</v>
      </c>
      <c r="B6063" t="str">
        <f>"1551599371917337"</f>
        <v>1551599371917337</v>
      </c>
      <c r="C6063" t="s">
        <v>40</v>
      </c>
      <c r="D6063">
        <v>4.6491429999999996</v>
      </c>
      <c r="E6063">
        <v>0.30283409999999999</v>
      </c>
      <c r="F6063" t="s">
        <v>42</v>
      </c>
      <c r="G6063">
        <v>-421.7482</v>
      </c>
      <c r="H6063">
        <v>0.97218280000000001</v>
      </c>
      <c r="I6063">
        <v>46.420180000000002</v>
      </c>
      <c r="J6063">
        <v>-422.34399999999999</v>
      </c>
      <c r="K6063">
        <v>1.1205449999999999</v>
      </c>
      <c r="L6063">
        <v>47.051270000000002</v>
      </c>
      <c r="M6063">
        <v>-1.463969E-2</v>
      </c>
      <c r="N6063">
        <v>-1.217998E-2</v>
      </c>
      <c r="O6063">
        <v>-0.99981880000000001</v>
      </c>
      <c r="P6063">
        <v>0.11708780000000001</v>
      </c>
      <c r="Q6063">
        <v>-0.1249359</v>
      </c>
      <c r="R6063">
        <v>-0.98523190000000005</v>
      </c>
      <c r="S6063">
        <v>1.8851929999999999</v>
      </c>
      <c r="T6063">
        <v>-0.4720839</v>
      </c>
      <c r="U6063">
        <v>-2.7814939999999999</v>
      </c>
      <c r="V6063">
        <v>-0.13150400000000001</v>
      </c>
      <c r="W6063">
        <v>-0.11294369999999999</v>
      </c>
      <c r="X6063">
        <v>0.98486059999999997</v>
      </c>
      <c r="Y6063">
        <v>-0.56811330000000004</v>
      </c>
      <c r="Z6063">
        <v>0.12636310000000001</v>
      </c>
      <c r="AA6063">
        <v>0.81319109999999994</v>
      </c>
      <c r="AB6063">
        <v>24</v>
      </c>
      <c r="AC6063">
        <v>0.595799999999997</v>
      </c>
      <c r="AD6063">
        <v>-0.1483622</v>
      </c>
      <c r="AE6063">
        <v>-0.63109000000000004</v>
      </c>
      <c r="AF6063">
        <v>-0.58779926831799401</v>
      </c>
      <c r="AG6063">
        <v>-0.1483622</v>
      </c>
      <c r="AH6063">
        <v>0.60463101397211305</v>
      </c>
      <c r="AI6063">
        <v>99.978436630861296</v>
      </c>
      <c r="AJ6063">
        <v>134.19129532413999</v>
      </c>
      <c r="AK6063">
        <v>0.85621141389317801</v>
      </c>
      <c r="AL6063">
        <v>96.485035036087197</v>
      </c>
      <c r="AM6063">
        <v>97.605460883542406</v>
      </c>
      <c r="AN6063">
        <v>0.99999999140902496</v>
      </c>
    </row>
    <row r="6064" spans="1:40" x14ac:dyDescent="0.25">
      <c r="A6064" t="str">
        <f>"20190303154931949"</f>
        <v>20190303154931949</v>
      </c>
      <c r="B6064" t="str">
        <f>"1551599371946617"</f>
        <v>1551599371946617</v>
      </c>
      <c r="C6064" t="s">
        <v>40</v>
      </c>
      <c r="D6064">
        <v>4.6156290000000002</v>
      </c>
      <c r="E6064">
        <v>0.32132149999999998</v>
      </c>
      <c r="F6064" t="s">
        <v>42</v>
      </c>
      <c r="G6064">
        <v>-421.75569999999999</v>
      </c>
      <c r="H6064">
        <v>0.97687139999999995</v>
      </c>
      <c r="I6064">
        <v>46.203470000000003</v>
      </c>
      <c r="J6064">
        <v>-422.34750000000003</v>
      </c>
      <c r="K6064">
        <v>1.120566</v>
      </c>
      <c r="L6064">
        <v>46.80444</v>
      </c>
      <c r="M6064">
        <v>-1.4639569999999999E-2</v>
      </c>
      <c r="N6064">
        <v>-1.2531469999999999E-2</v>
      </c>
      <c r="O6064">
        <v>-0.99981430000000004</v>
      </c>
      <c r="P6064">
        <v>0.1301398</v>
      </c>
      <c r="Q6064">
        <v>-0.1238702</v>
      </c>
      <c r="R6064">
        <v>-0.98372749999999998</v>
      </c>
      <c r="S6064">
        <v>1.9133</v>
      </c>
      <c r="T6064">
        <v>-0.46744239999999998</v>
      </c>
      <c r="U6064">
        <v>-2.7583310000000001</v>
      </c>
      <c r="V6064">
        <v>-0.14453279999999999</v>
      </c>
      <c r="W6064">
        <v>-0.1115527</v>
      </c>
      <c r="X6064">
        <v>0.98319179999999995</v>
      </c>
      <c r="Y6064">
        <v>-0.57695730000000001</v>
      </c>
      <c r="Z6064">
        <v>0.1247916</v>
      </c>
      <c r="AA6064">
        <v>0.80718480000000004</v>
      </c>
      <c r="AB6064">
        <v>24</v>
      </c>
      <c r="AC6064">
        <v>0.59180000000003397</v>
      </c>
      <c r="AD6064">
        <v>-0.14369460000000001</v>
      </c>
      <c r="AE6064">
        <v>-0.60096999999999601</v>
      </c>
      <c r="AF6064">
        <v>-0.58359633628403496</v>
      </c>
      <c r="AG6064">
        <v>-0.14369460000000001</v>
      </c>
      <c r="AH6064">
        <v>0.57553628496400999</v>
      </c>
      <c r="AI6064">
        <v>99.943593579613307</v>
      </c>
      <c r="AJ6064">
        <v>135.398400900844</v>
      </c>
      <c r="AK6064">
        <v>0.83215072979808302</v>
      </c>
      <c r="AL6064">
        <v>96.404830142572294</v>
      </c>
      <c r="AM6064">
        <v>98.362792762629596</v>
      </c>
      <c r="AN6064">
        <v>0.99999992537018201</v>
      </c>
    </row>
    <row r="6065" spans="1:40" x14ac:dyDescent="0.25">
      <c r="A6065" t="str">
        <f>"20190303154931971"</f>
        <v>20190303154931971</v>
      </c>
      <c r="B6065" t="str">
        <f>"1551599371967112"</f>
        <v>1551599371967112</v>
      </c>
      <c r="C6065" t="s">
        <v>40</v>
      </c>
      <c r="D6065">
        <v>4.6015959999999998</v>
      </c>
      <c r="E6065">
        <v>0.32327640000000002</v>
      </c>
      <c r="F6065" t="s">
        <v>42</v>
      </c>
      <c r="G6065">
        <v>-421.80650000000003</v>
      </c>
      <c r="H6065">
        <v>0.99063889999999999</v>
      </c>
      <c r="I6065">
        <v>45.977510000000002</v>
      </c>
      <c r="J6065">
        <v>-422.351</v>
      </c>
      <c r="K6065">
        <v>1.1205849999999999</v>
      </c>
      <c r="L6065">
        <v>46.563899999999997</v>
      </c>
      <c r="M6065">
        <v>-1.46395E-2</v>
      </c>
      <c r="N6065">
        <v>-1.283019E-2</v>
      </c>
      <c r="O6065">
        <v>-0.99981070000000005</v>
      </c>
      <c r="P6065">
        <v>0.1442359</v>
      </c>
      <c r="Q6065">
        <v>-0.1230695</v>
      </c>
      <c r="R6065">
        <v>-0.98186059999999997</v>
      </c>
      <c r="S6065">
        <v>1.8040160000000001</v>
      </c>
      <c r="T6065">
        <v>-0.43309409999999998</v>
      </c>
      <c r="U6065">
        <v>-2.7564389999999999</v>
      </c>
      <c r="V6065">
        <v>-0.1585994</v>
      </c>
      <c r="W6065">
        <v>-0.1104844</v>
      </c>
      <c r="X6065">
        <v>0.98114190000000001</v>
      </c>
      <c r="Y6065">
        <v>-0.55556949999999905</v>
      </c>
      <c r="Z6065">
        <v>0.1169761</v>
      </c>
      <c r="AA6065">
        <v>0.823200499999999</v>
      </c>
      <c r="AB6065">
        <v>24</v>
      </c>
      <c r="AC6065">
        <v>0.54449999999997001</v>
      </c>
      <c r="AD6065">
        <v>-0.12994609999999901</v>
      </c>
      <c r="AE6065">
        <v>-0.58639000000000097</v>
      </c>
      <c r="AF6065">
        <v>-0.53881784265214006</v>
      </c>
      <c r="AG6065">
        <v>-0.12994609999999901</v>
      </c>
      <c r="AH6065">
        <v>0.56349556221054098</v>
      </c>
      <c r="AI6065">
        <v>99.462656066563099</v>
      </c>
      <c r="AJ6065">
        <v>133.71752168745499</v>
      </c>
      <c r="AK6065">
        <v>0.79040363428851401</v>
      </c>
      <c r="AL6065">
        <v>96.343239849813898</v>
      </c>
      <c r="AM6065">
        <v>99.182306865575498</v>
      </c>
      <c r="AN6065">
        <v>1.0000000001296601</v>
      </c>
    </row>
    <row r="6066" spans="1:40" x14ac:dyDescent="0.25">
      <c r="A6066" t="str">
        <f>"20190303154931993"</f>
        <v>20190303154931993</v>
      </c>
      <c r="B6066" t="str">
        <f>"1551599371986632"</f>
        <v>1551599371986632</v>
      </c>
      <c r="C6066" t="s">
        <v>40</v>
      </c>
      <c r="D6066">
        <v>4.5589839999999997</v>
      </c>
      <c r="E6066">
        <v>0.32416329999999999</v>
      </c>
      <c r="F6066" t="s">
        <v>42</v>
      </c>
      <c r="G6066">
        <v>-421.81360000000001</v>
      </c>
      <c r="H6066">
        <v>0.99372289999999996</v>
      </c>
      <c r="I6066">
        <v>45.760739999999998</v>
      </c>
      <c r="J6066">
        <v>-422.3544</v>
      </c>
      <c r="K6066">
        <v>1.120608</v>
      </c>
      <c r="L6066">
        <v>46.327759999999998</v>
      </c>
      <c r="M6066">
        <v>-1.463951E-2</v>
      </c>
      <c r="N6066">
        <v>-1.30857E-2</v>
      </c>
      <c r="O6066">
        <v>-0.99980740000000001</v>
      </c>
      <c r="P6066">
        <v>0.15889890000000001</v>
      </c>
      <c r="Q6066">
        <v>-0.1216632</v>
      </c>
      <c r="R6066">
        <v>-0.97976980000000002</v>
      </c>
      <c r="S6066">
        <v>1.827942</v>
      </c>
      <c r="T6066">
        <v>-0.4316545</v>
      </c>
      <c r="U6066">
        <v>-2.7327880000000002</v>
      </c>
      <c r="V6066">
        <v>-0.173230299999999</v>
      </c>
      <c r="W6066">
        <v>-0.1088571</v>
      </c>
      <c r="X6066">
        <v>0.97884700000000002</v>
      </c>
      <c r="Y6066">
        <v>-0.56380710000000001</v>
      </c>
      <c r="Z6066">
        <v>0.1165384</v>
      </c>
      <c r="AA6066">
        <v>0.81764320000000001</v>
      </c>
      <c r="AB6066">
        <v>24</v>
      </c>
      <c r="AC6066">
        <v>0.54079999999998996</v>
      </c>
      <c r="AD6066">
        <v>-0.1268851</v>
      </c>
      <c r="AE6066">
        <v>-0.56701999999999197</v>
      </c>
      <c r="AF6066">
        <v>-0.53501437015109798</v>
      </c>
      <c r="AG6066">
        <v>-0.1268851</v>
      </c>
      <c r="AH6066">
        <v>0.54475676498008196</v>
      </c>
      <c r="AI6066">
        <v>99.435135960207802</v>
      </c>
      <c r="AJ6066">
        <v>134.483054379457</v>
      </c>
      <c r="AK6066">
        <v>0.77401559277688303</v>
      </c>
      <c r="AL6066">
        <v>96.249436422969197</v>
      </c>
      <c r="AM6066">
        <v>100.03594005991999</v>
      </c>
      <c r="AN6066">
        <v>1.0000000272337399</v>
      </c>
    </row>
    <row r="6067" spans="1:40" x14ac:dyDescent="0.25">
      <c r="A6067" t="str">
        <f>"20190303154932015"</f>
        <v>20190303154932015</v>
      </c>
      <c r="B6067" t="str">
        <f>"1551599372007128"</f>
        <v>1551599372007128</v>
      </c>
      <c r="C6067" t="s">
        <v>40</v>
      </c>
      <c r="D6067">
        <v>4.5049849999999996</v>
      </c>
      <c r="E6067">
        <v>0.33475840000000001</v>
      </c>
      <c r="F6067" t="s">
        <v>42</v>
      </c>
      <c r="G6067">
        <v>-421.81650000000002</v>
      </c>
      <c r="H6067">
        <v>0.99770789999999998</v>
      </c>
      <c r="I6067">
        <v>45.545229999999997</v>
      </c>
      <c r="J6067">
        <v>-422.3578</v>
      </c>
      <c r="K6067">
        <v>1.120628</v>
      </c>
      <c r="L6067">
        <v>46.087429999999998</v>
      </c>
      <c r="M6067">
        <v>-1.463953E-2</v>
      </c>
      <c r="N6067">
        <v>-1.331184E-2</v>
      </c>
      <c r="O6067">
        <v>-0.99980429999999998</v>
      </c>
      <c r="P6067">
        <v>0.18040239999999999</v>
      </c>
      <c r="Q6067">
        <v>-0.1200706</v>
      </c>
      <c r="R6067">
        <v>-0.97623669999999996</v>
      </c>
      <c r="S6067">
        <v>1.8614809999999999</v>
      </c>
      <c r="T6067">
        <v>-0.4251897</v>
      </c>
      <c r="U6067">
        <v>-2.7072449999999999</v>
      </c>
      <c r="V6067">
        <v>-0.19468009999999999</v>
      </c>
      <c r="W6067">
        <v>-0.1070938</v>
      </c>
      <c r="X6067">
        <v>0.97500290000000001</v>
      </c>
      <c r="Y6067">
        <v>-0.57435499999999995</v>
      </c>
      <c r="Z6067">
        <v>0.1144758</v>
      </c>
      <c r="AA6067">
        <v>0.81056260000000002</v>
      </c>
      <c r="AB6067">
        <v>24</v>
      </c>
      <c r="AC6067">
        <v>0.54129999999997802</v>
      </c>
      <c r="AD6067">
        <v>-0.12292009999999901</v>
      </c>
      <c r="AE6067">
        <v>-0.54220000000000101</v>
      </c>
      <c r="AF6067">
        <v>-0.53539878348523495</v>
      </c>
      <c r="AG6067">
        <v>-0.12292009999999901</v>
      </c>
      <c r="AH6067">
        <v>0.520810853157048</v>
      </c>
      <c r="AI6067">
        <v>99.345308096026301</v>
      </c>
      <c r="AJ6067">
        <v>135.791295278234</v>
      </c>
      <c r="AK6067">
        <v>0.75697103848671299</v>
      </c>
      <c r="AL6067">
        <v>96.147812552993202</v>
      </c>
      <c r="AM6067">
        <v>101.291822753163</v>
      </c>
      <c r="AN6067">
        <v>1.0000000391714201</v>
      </c>
    </row>
    <row r="6068" spans="1:40" x14ac:dyDescent="0.25">
      <c r="A6068" t="str">
        <f>"20190303154932051"</f>
        <v>20190303154932051</v>
      </c>
      <c r="B6068" t="str">
        <f>"1551599372047145"</f>
        <v>1551599372047145</v>
      </c>
      <c r="C6068" t="s">
        <v>40</v>
      </c>
      <c r="D6068">
        <v>4.5231180000000002</v>
      </c>
      <c r="E6068">
        <v>0.34391529999999998</v>
      </c>
      <c r="F6068" t="s">
        <v>42</v>
      </c>
      <c r="G6068">
        <v>-421.83699999999999</v>
      </c>
      <c r="H6068">
        <v>1.007334</v>
      </c>
      <c r="I6068">
        <v>45.326560000000001</v>
      </c>
      <c r="J6068">
        <v>-422.36309999999997</v>
      </c>
      <c r="K6068">
        <v>1.1206480000000001</v>
      </c>
      <c r="L6068">
        <v>45.71902</v>
      </c>
      <c r="M6068">
        <v>-1.463942E-2</v>
      </c>
      <c r="N6068">
        <v>-1.359902E-2</v>
      </c>
      <c r="O6068">
        <v>-0.99980040000000003</v>
      </c>
      <c r="P6068">
        <v>0.20127929999999999</v>
      </c>
      <c r="Q6068">
        <v>-0.119264</v>
      </c>
      <c r="R6068">
        <v>-0.97224630000000001</v>
      </c>
      <c r="S6068">
        <v>1.837402</v>
      </c>
      <c r="T6068">
        <v>-0.39969710000000003</v>
      </c>
      <c r="U6068">
        <v>-2.684326</v>
      </c>
      <c r="V6068">
        <v>-0.21549650000000001</v>
      </c>
      <c r="W6068">
        <v>-0.1060647</v>
      </c>
      <c r="X6068">
        <v>0.97072729999999996</v>
      </c>
      <c r="Y6068">
        <v>-0.57308000000000003</v>
      </c>
      <c r="Z6068">
        <v>0.1078204</v>
      </c>
      <c r="AA6068">
        <v>0.81237550000000003</v>
      </c>
      <c r="AB6068">
        <v>24</v>
      </c>
      <c r="AC6068">
        <v>0.52609999999998502</v>
      </c>
      <c r="AD6068">
        <v>-0.113313999999999</v>
      </c>
      <c r="AE6068">
        <v>-0.39245999999999898</v>
      </c>
      <c r="AF6068">
        <v>-0.51639840922735503</v>
      </c>
      <c r="AG6068">
        <v>-0.113313999999999</v>
      </c>
      <c r="AH6068">
        <v>0.37358094182784002</v>
      </c>
      <c r="AI6068">
        <v>100.08105454666</v>
      </c>
      <c r="AJ6068">
        <v>144.11668754503401</v>
      </c>
      <c r="AK6068">
        <v>0.64735623867042402</v>
      </c>
      <c r="AL6068">
        <v>96.088512083576006</v>
      </c>
      <c r="AM6068">
        <v>102.516394874078</v>
      </c>
      <c r="AN6068">
        <v>0.99999997653181405</v>
      </c>
    </row>
    <row r="6069" spans="1:40" x14ac:dyDescent="0.25">
      <c r="A6069" t="str">
        <f>"20190303154932073"</f>
        <v>20190303154932073</v>
      </c>
      <c r="B6069" t="str">
        <f>"1551599372066664"</f>
        <v>1551599372066664</v>
      </c>
      <c r="C6069" t="s">
        <v>40</v>
      </c>
      <c r="D6069">
        <v>4.5159770000000004</v>
      </c>
      <c r="E6069">
        <v>0.34621010000000002</v>
      </c>
      <c r="F6069" t="s">
        <v>42</v>
      </c>
      <c r="G6069">
        <v>-421.80540000000002</v>
      </c>
      <c r="H6069">
        <v>1.0028619999999999</v>
      </c>
      <c r="I6069">
        <v>44.905169999999998</v>
      </c>
      <c r="J6069">
        <v>-422.36660000000001</v>
      </c>
      <c r="K6069">
        <v>1.1206590000000001</v>
      </c>
      <c r="L6069">
        <v>45.475949999999997</v>
      </c>
      <c r="M6069">
        <v>-1.4639279999999999E-2</v>
      </c>
      <c r="N6069">
        <v>-1.3756340000000001E-2</v>
      </c>
      <c r="O6069">
        <v>-0.99979830000000003</v>
      </c>
      <c r="P6069">
        <v>0.21469489999999999</v>
      </c>
      <c r="Q6069">
        <v>-0.1186677</v>
      </c>
      <c r="R6069">
        <v>-0.96944549999999996</v>
      </c>
      <c r="S6069">
        <v>1.8233950000000001</v>
      </c>
      <c r="T6069">
        <v>-0.38510309999999998</v>
      </c>
      <c r="U6069">
        <v>-2.6609189999999998</v>
      </c>
      <c r="V6069">
        <v>-0.22886919999999999</v>
      </c>
      <c r="W6069">
        <v>-0.1053563</v>
      </c>
      <c r="X6069">
        <v>0.96773909999999996</v>
      </c>
      <c r="Y6069">
        <v>-0.57371930000000004</v>
      </c>
      <c r="Z6069">
        <v>0.1042611</v>
      </c>
      <c r="AA6069">
        <v>0.81238900000000003</v>
      </c>
      <c r="AB6069">
        <v>24</v>
      </c>
      <c r="AC6069">
        <v>0.56119999999998504</v>
      </c>
      <c r="AD6069">
        <v>-0.117796999999999</v>
      </c>
      <c r="AE6069">
        <v>-0.57077999999999895</v>
      </c>
      <c r="AF6069">
        <v>-0.55742454030330102</v>
      </c>
      <c r="AG6069">
        <v>-0.117796999999999</v>
      </c>
      <c r="AH6069">
        <v>0.55057882938031599</v>
      </c>
      <c r="AI6069">
        <v>98.550307513717996</v>
      </c>
      <c r="AJ6069">
        <v>135.35399292425001</v>
      </c>
      <c r="AK6069">
        <v>0.79229748119197396</v>
      </c>
      <c r="AL6069">
        <v>96.047694829201305</v>
      </c>
      <c r="AM6069">
        <v>103.30590824612</v>
      </c>
      <c r="AN6069">
        <v>1.00000001316357</v>
      </c>
    </row>
    <row r="6070" spans="1:40" x14ac:dyDescent="0.25">
      <c r="A6070" t="str">
        <f>"20190303154932094"</f>
        <v>20190303154932094</v>
      </c>
      <c r="B6070" t="str">
        <f>"1551599372087162"</f>
        <v>1551599372087162</v>
      </c>
      <c r="C6070" t="s">
        <v>40</v>
      </c>
      <c r="D6070">
        <v>4.502103</v>
      </c>
      <c r="E6070">
        <v>0.34705920000000001</v>
      </c>
      <c r="F6070" t="s">
        <v>42</v>
      </c>
      <c r="G6070">
        <v>-421.81799999999998</v>
      </c>
      <c r="H6070">
        <v>1.007125</v>
      </c>
      <c r="I6070">
        <v>44.68938</v>
      </c>
      <c r="J6070">
        <v>-422.36989999999997</v>
      </c>
      <c r="K6070">
        <v>1.1206739999999999</v>
      </c>
      <c r="L6070">
        <v>45.248899999999999</v>
      </c>
      <c r="M6070">
        <v>-1.46392E-2</v>
      </c>
      <c r="N6070">
        <v>-1.3883029999999999E-2</v>
      </c>
      <c r="O6070">
        <v>-0.99979660000000004</v>
      </c>
      <c r="P6070">
        <v>0.22828850000000001</v>
      </c>
      <c r="Q6070">
        <v>-0.1173604</v>
      </c>
      <c r="R6070">
        <v>-0.96649450000000003</v>
      </c>
      <c r="S6070">
        <v>1.8423160000000001</v>
      </c>
      <c r="T6070">
        <v>-0.3810596</v>
      </c>
      <c r="U6070">
        <v>-2.6398929999999998</v>
      </c>
      <c r="V6070">
        <v>-0.2424182</v>
      </c>
      <c r="W6070">
        <v>-0.103969699999999</v>
      </c>
      <c r="X6070">
        <v>0.96458469999999996</v>
      </c>
      <c r="Y6070">
        <v>-0.58069550000000003</v>
      </c>
      <c r="Z6070">
        <v>0.1031363</v>
      </c>
      <c r="AA6070">
        <v>0.80756159999999999</v>
      </c>
      <c r="AB6070">
        <v>24</v>
      </c>
      <c r="AC6070">
        <v>0.551899999999932</v>
      </c>
      <c r="AD6070">
        <v>-0.113548999999999</v>
      </c>
      <c r="AE6070">
        <v>-0.55951999999999902</v>
      </c>
      <c r="AF6070">
        <v>-0.54858110693459095</v>
      </c>
      <c r="AG6070">
        <v>-0.113548999999999</v>
      </c>
      <c r="AH6070">
        <v>0.54010535333844401</v>
      </c>
      <c r="AI6070">
        <v>98.390442440108501</v>
      </c>
      <c r="AJ6070">
        <v>135.44605597289501</v>
      </c>
      <c r="AK6070">
        <v>0.77816990367877004</v>
      </c>
      <c r="AL6070">
        <v>95.9678100479574</v>
      </c>
      <c r="AM6070">
        <v>104.10733436800599</v>
      </c>
      <c r="AN6070">
        <v>0.999999962841709</v>
      </c>
    </row>
    <row r="6071" spans="1:40" x14ac:dyDescent="0.25">
      <c r="A6071" t="str">
        <f>"20190303154932117"</f>
        <v>20190303154932117</v>
      </c>
      <c r="B6071" t="str">
        <f>"1551599372106680"</f>
        <v>1551599372106680</v>
      </c>
      <c r="C6071" t="s">
        <v>40</v>
      </c>
      <c r="D6071">
        <v>4.5241989999999896</v>
      </c>
      <c r="E6071">
        <v>0.35653010000000002</v>
      </c>
      <c r="F6071" t="s">
        <v>42</v>
      </c>
      <c r="G6071">
        <v>-421.81709999999998</v>
      </c>
      <c r="H6071">
        <v>1.0100009999999999</v>
      </c>
      <c r="I6071">
        <v>44.476689999999998</v>
      </c>
      <c r="J6071">
        <v>-422.37329999999997</v>
      </c>
      <c r="K6071">
        <v>1.120682</v>
      </c>
      <c r="L6071">
        <v>45.011290000000002</v>
      </c>
      <c r="M6071">
        <v>-1.463918E-2</v>
      </c>
      <c r="N6071">
        <v>-1.3997559999999999E-2</v>
      </c>
      <c r="O6071">
        <v>-0.99979499999999999</v>
      </c>
      <c r="P6071">
        <v>0.2412869</v>
      </c>
      <c r="Q6071">
        <v>-0.1166567</v>
      </c>
      <c r="R6071">
        <v>-0.96341679999999996</v>
      </c>
      <c r="S6071">
        <v>1.8724670000000001</v>
      </c>
      <c r="T6071">
        <v>-0.3749518</v>
      </c>
      <c r="U6071">
        <v>-2.6161799999999999</v>
      </c>
      <c r="V6071">
        <v>-0.25537009999999999</v>
      </c>
      <c r="W6071">
        <v>-0.1032008</v>
      </c>
      <c r="X6071">
        <v>0.9613197</v>
      </c>
      <c r="Y6071">
        <v>-0.59037359999999905</v>
      </c>
      <c r="Z6071">
        <v>0.10122630000000001</v>
      </c>
      <c r="AA6071">
        <v>0.80075730000000001</v>
      </c>
      <c r="AB6071">
        <v>24</v>
      </c>
      <c r="AC6071">
        <v>0.55619999999998904</v>
      </c>
      <c r="AD6071">
        <v>-0.110681</v>
      </c>
      <c r="AE6071">
        <v>-0.53459999999999697</v>
      </c>
      <c r="AF6071">
        <v>-0.55259305325497299</v>
      </c>
      <c r="AG6071">
        <v>-0.110681</v>
      </c>
      <c r="AH6071">
        <v>0.51578306063307999</v>
      </c>
      <c r="AI6071">
        <v>98.330166944717703</v>
      </c>
      <c r="AJ6071">
        <v>136.973296895857</v>
      </c>
      <c r="AK6071">
        <v>0.76396435250781203</v>
      </c>
      <c r="AL6071">
        <v>95.923517248703106</v>
      </c>
      <c r="AM6071">
        <v>104.87677066555401</v>
      </c>
      <c r="AN6071">
        <v>0.99999992935136695</v>
      </c>
    </row>
    <row r="6072" spans="1:40" x14ac:dyDescent="0.25">
      <c r="A6072" t="str">
        <f>"20190303154932139"</f>
        <v>20190303154932139</v>
      </c>
      <c r="B6072" t="str">
        <f>"1551599372136937"</f>
        <v>1551599372136937</v>
      </c>
      <c r="C6072" t="s">
        <v>40</v>
      </c>
      <c r="D6072">
        <v>4.5146509999999997</v>
      </c>
      <c r="E6072">
        <v>0.36285010000000001</v>
      </c>
      <c r="F6072" t="s">
        <v>42</v>
      </c>
      <c r="G6072">
        <v>-421.84460000000001</v>
      </c>
      <c r="H6072">
        <v>1.0126440000000001</v>
      </c>
      <c r="I6072">
        <v>44.25882</v>
      </c>
      <c r="J6072">
        <v>-422.37670000000003</v>
      </c>
      <c r="K6072">
        <v>1.120692</v>
      </c>
      <c r="L6072">
        <v>44.768099999999997</v>
      </c>
      <c r="M6072">
        <v>-1.463916E-2</v>
      </c>
      <c r="N6072">
        <v>-1.409814E-2</v>
      </c>
      <c r="O6072">
        <v>-0.9997935</v>
      </c>
      <c r="P6072">
        <v>0.253546299999999</v>
      </c>
      <c r="Q6072">
        <v>-0.11654929999999999</v>
      </c>
      <c r="R6072">
        <v>-0.96027629999999997</v>
      </c>
      <c r="S6072">
        <v>1.8340449999999999</v>
      </c>
      <c r="T6072">
        <v>-0.37463469999999999</v>
      </c>
      <c r="U6072">
        <v>-2.6092219999999999</v>
      </c>
      <c r="V6072">
        <v>-0.2675825</v>
      </c>
      <c r="W6072">
        <v>-0.1030431</v>
      </c>
      <c r="X6072">
        <v>0.95800920000000001</v>
      </c>
      <c r="Y6072">
        <v>-0.58347689999999997</v>
      </c>
      <c r="Z6072">
        <v>0.1020334</v>
      </c>
      <c r="AA6072">
        <v>0.80569469999999899</v>
      </c>
      <c r="AB6072">
        <v>24</v>
      </c>
      <c r="AC6072">
        <v>0.53210000000001401</v>
      </c>
      <c r="AD6072">
        <v>-0.10804799999999901</v>
      </c>
      <c r="AE6072">
        <v>-0.50927999999999596</v>
      </c>
      <c r="AF6072">
        <v>-0.52813385218789599</v>
      </c>
      <c r="AG6072">
        <v>-0.10804799999999901</v>
      </c>
      <c r="AH6072">
        <v>0.49087172545970398</v>
      </c>
      <c r="AI6072">
        <v>98.522519808314698</v>
      </c>
      <c r="AJ6072">
        <v>137.094210094522</v>
      </c>
      <c r="AK6072">
        <v>0.72907803902367896</v>
      </c>
      <c r="AL6072">
        <v>95.914433145772506</v>
      </c>
      <c r="AM6072">
        <v>105.605632669635</v>
      </c>
      <c r="AN6072">
        <v>0.99999995102424799</v>
      </c>
    </row>
    <row r="6073" spans="1:40" x14ac:dyDescent="0.25">
      <c r="A6073" t="str">
        <f>"20190303154932162"</f>
        <v>20190303154932162</v>
      </c>
      <c r="B6073" t="str">
        <f>"1551599372157432"</f>
        <v>1551599372157432</v>
      </c>
      <c r="C6073" t="s">
        <v>40</v>
      </c>
      <c r="D6073">
        <v>4.4356730000000004</v>
      </c>
      <c r="E6073">
        <v>0.3630988</v>
      </c>
      <c r="F6073" t="s">
        <v>42</v>
      </c>
      <c r="G6073">
        <v>-421.86860000000001</v>
      </c>
      <c r="H6073">
        <v>1.0162679999999999</v>
      </c>
      <c r="I6073">
        <v>44.042020000000001</v>
      </c>
      <c r="J6073">
        <v>-422.3802</v>
      </c>
      <c r="K6073">
        <v>1.120695</v>
      </c>
      <c r="L6073">
        <v>44.53293</v>
      </c>
      <c r="M6073">
        <v>-1.463914E-2</v>
      </c>
      <c r="N6073">
        <v>-1.4180669999999999E-2</v>
      </c>
      <c r="O6073">
        <v>-0.99979229999999997</v>
      </c>
      <c r="P6073">
        <v>0.26515080000000002</v>
      </c>
      <c r="Q6073">
        <v>-0.1172922</v>
      </c>
      <c r="R6073">
        <v>-0.95704639999999996</v>
      </c>
      <c r="S6073">
        <v>1.818573</v>
      </c>
      <c r="T6073">
        <v>-0.37372909999999998</v>
      </c>
      <c r="U6073">
        <v>-2.5985719999999999</v>
      </c>
      <c r="V6073">
        <v>-0.2791381</v>
      </c>
      <c r="W6073">
        <v>-0.1037545</v>
      </c>
      <c r="X6073">
        <v>0.95462919999999996</v>
      </c>
      <c r="Y6073">
        <v>-0.58179689999999995</v>
      </c>
      <c r="Z6073">
        <v>0.1023109</v>
      </c>
      <c r="AA6073">
        <v>0.80687359999999997</v>
      </c>
      <c r="AB6073">
        <v>24</v>
      </c>
      <c r="AC6073">
        <v>0.51159999999998695</v>
      </c>
      <c r="AD6073">
        <v>-0.10442700000000001</v>
      </c>
      <c r="AE6073">
        <v>-0.49090999999999901</v>
      </c>
      <c r="AF6073">
        <v>-0.50771910825139999</v>
      </c>
      <c r="AG6073">
        <v>-0.10442700000000001</v>
      </c>
      <c r="AH6073">
        <v>0.47310480840729402</v>
      </c>
      <c r="AI6073">
        <v>98.557421545096204</v>
      </c>
      <c r="AJ6073">
        <v>137.02118904339099</v>
      </c>
      <c r="AK6073">
        <v>0.70179188578288598</v>
      </c>
      <c r="AL6073">
        <v>95.9554127724019</v>
      </c>
      <c r="AM6073">
        <v>106.29916987429</v>
      </c>
      <c r="AN6073">
        <v>0.99999999231724901</v>
      </c>
    </row>
    <row r="6074" spans="1:40" x14ac:dyDescent="0.25">
      <c r="A6074" t="str">
        <f>"20190303154932183"</f>
        <v>20190303154932183</v>
      </c>
      <c r="B6074" t="str">
        <f>"1551599372176952"</f>
        <v>1551599372176952</v>
      </c>
      <c r="C6074" t="s">
        <v>40</v>
      </c>
      <c r="D6074">
        <v>4.4561489999999999</v>
      </c>
      <c r="E6074">
        <v>0.362234</v>
      </c>
      <c r="F6074" t="s">
        <v>64</v>
      </c>
      <c r="G6074">
        <v>-416.51069999999999</v>
      </c>
      <c r="H6074" s="1">
        <v>-2.9982489999999998E-6</v>
      </c>
      <c r="I6074">
        <v>36.339779999999998</v>
      </c>
      <c r="J6074">
        <v>-422.38350000000003</v>
      </c>
      <c r="K6074">
        <v>1.120708</v>
      </c>
      <c r="L6074">
        <v>44.2973</v>
      </c>
      <c r="M6074">
        <v>-1.463912E-2</v>
      </c>
      <c r="N6074">
        <v>-1.425098E-2</v>
      </c>
      <c r="O6074">
        <v>-0.9997914</v>
      </c>
      <c r="P6074">
        <v>0.27763969999999999</v>
      </c>
      <c r="Q6074">
        <v>-0.11731080000000001</v>
      </c>
      <c r="R6074">
        <v>-0.95349609999999996</v>
      </c>
      <c r="S6074">
        <v>1.8478699999999999</v>
      </c>
      <c r="T6074">
        <v>-0.35282790000000003</v>
      </c>
      <c r="U6074">
        <v>-2.579437</v>
      </c>
      <c r="V6074">
        <v>-0.29157369999999999</v>
      </c>
      <c r="W6074">
        <v>-0.10375860000000001</v>
      </c>
      <c r="X6074">
        <v>0.95090430000000004</v>
      </c>
      <c r="Y6074">
        <v>-0.59104939999999995</v>
      </c>
      <c r="Z6074">
        <v>9.5742530000000006E-2</v>
      </c>
      <c r="AA6074">
        <v>0.80093319999999901</v>
      </c>
      <c r="AB6074">
        <v>24</v>
      </c>
      <c r="AC6074">
        <v>5.8728000000000398</v>
      </c>
      <c r="AD6074">
        <v>-1.120710998249</v>
      </c>
      <c r="AE6074">
        <v>-7.9575199999999997</v>
      </c>
      <c r="AF6074">
        <v>-5.9127484370233496</v>
      </c>
      <c r="AG6074">
        <v>-1.120710998249</v>
      </c>
      <c r="AH6074">
        <v>7.7709003971719</v>
      </c>
      <c r="AI6074">
        <v>96.547348848449005</v>
      </c>
      <c r="AJ6074">
        <v>127.266900765682</v>
      </c>
      <c r="AK6074">
        <v>9.8287069446537494</v>
      </c>
      <c r="AL6074">
        <v>95.955648742509197</v>
      </c>
      <c r="AM6074">
        <v>107.04699583564501</v>
      </c>
      <c r="AN6074">
        <v>1.0000000286820601</v>
      </c>
    </row>
    <row r="6075" spans="1:40" x14ac:dyDescent="0.25">
      <c r="A6075" t="str">
        <f>"20190303154932206"</f>
        <v>20190303154932206</v>
      </c>
      <c r="B6075" t="str">
        <f>"1551599372197448"</f>
        <v>1551599372197448</v>
      </c>
      <c r="C6075" t="s">
        <v>40</v>
      </c>
      <c r="D6075">
        <v>4.4419329999999997</v>
      </c>
      <c r="E6075">
        <v>0.36274879999999998</v>
      </c>
      <c r="F6075" t="s">
        <v>64</v>
      </c>
      <c r="G6075">
        <v>-416.07470000000001</v>
      </c>
      <c r="H6075" s="1">
        <v>-3.4114329999999999E-6</v>
      </c>
      <c r="I6075">
        <v>35.761099999999999</v>
      </c>
      <c r="J6075">
        <v>-422.38690000000003</v>
      </c>
      <c r="K6075">
        <v>1.120725</v>
      </c>
      <c r="L6075">
        <v>44.063569999999999</v>
      </c>
      <c r="M6075">
        <v>-1.463909E-2</v>
      </c>
      <c r="N6075">
        <v>-1.4310659999999999E-2</v>
      </c>
      <c r="O6075">
        <v>-0.99979039999999997</v>
      </c>
      <c r="P6075">
        <v>0.29119010000000001</v>
      </c>
      <c r="Q6075">
        <v>-0.11573460000000001</v>
      </c>
      <c r="R6075">
        <v>-0.94963869999999895</v>
      </c>
      <c r="S6075">
        <v>1.888458</v>
      </c>
      <c r="T6075">
        <v>-0.33546700000000002</v>
      </c>
      <c r="U6075">
        <v>-2.5551759999999999</v>
      </c>
      <c r="V6075">
        <v>-0.30506620000000001</v>
      </c>
      <c r="W6075">
        <v>-0.10218339999999999</v>
      </c>
      <c r="X6075">
        <v>0.94683329999999999</v>
      </c>
      <c r="Y6075">
        <v>-0.60318059999999996</v>
      </c>
      <c r="Z6075">
        <v>9.0171169999999995E-2</v>
      </c>
      <c r="AA6075">
        <v>0.79249130000000001</v>
      </c>
      <c r="AB6075">
        <v>24</v>
      </c>
      <c r="AC6075">
        <v>6.3122000000000096</v>
      </c>
      <c r="AD6075">
        <v>-1.1207284114330001</v>
      </c>
      <c r="AE6075">
        <v>-8.3024699999999996</v>
      </c>
      <c r="AF6075">
        <v>-6.35964123590872</v>
      </c>
      <c r="AG6075">
        <v>-1.1207284114330001</v>
      </c>
      <c r="AH6075">
        <v>8.1154560008835706</v>
      </c>
      <c r="AI6075">
        <v>96.203589763401794</v>
      </c>
      <c r="AJ6075">
        <v>128.083867434165</v>
      </c>
      <c r="AK6075">
        <v>10.3711954433392</v>
      </c>
      <c r="AL6075">
        <v>95.864913892256396</v>
      </c>
      <c r="AM6075">
        <v>107.858749298036</v>
      </c>
      <c r="AN6075">
        <v>1.00000006580344</v>
      </c>
    </row>
    <row r="6076" spans="1:40" x14ac:dyDescent="0.25">
      <c r="A6076" t="str">
        <f>"20190303154932229"</f>
        <v>20190303154932229</v>
      </c>
      <c r="B6076" t="str">
        <f>"1551599372216969"</f>
        <v>1551599372216969</v>
      </c>
      <c r="C6076" t="s">
        <v>40</v>
      </c>
      <c r="D6076">
        <v>4.4733910000000003</v>
      </c>
      <c r="E6076">
        <v>0.3638168</v>
      </c>
      <c r="F6076" t="s">
        <v>64</v>
      </c>
      <c r="G6076">
        <v>-415.67320000000001</v>
      </c>
      <c r="H6076" s="1">
        <v>-3.7987379999999999E-6</v>
      </c>
      <c r="I6076">
        <v>35.215730000000001</v>
      </c>
      <c r="J6076">
        <v>-422.3904</v>
      </c>
      <c r="K6076">
        <v>1.1207469999999999</v>
      </c>
      <c r="L6076">
        <v>43.820099999999996</v>
      </c>
      <c r="M6076">
        <v>-1.46385E-2</v>
      </c>
      <c r="N6076">
        <v>-1.4363529999999999E-2</v>
      </c>
      <c r="O6076">
        <v>-0.99978999999999996</v>
      </c>
      <c r="P6076">
        <v>0.30440420000000001</v>
      </c>
      <c r="Q6076">
        <v>-0.1138861</v>
      </c>
      <c r="R6076">
        <v>-0.94571079999999996</v>
      </c>
      <c r="S6076">
        <v>1.920593</v>
      </c>
      <c r="T6076">
        <v>-0.32060640000000001</v>
      </c>
      <c r="U6076">
        <v>-2.5310969999999999</v>
      </c>
      <c r="V6076">
        <v>-0.31822099999999998</v>
      </c>
      <c r="W6076">
        <v>-0.1003438</v>
      </c>
      <c r="X6076">
        <v>0.9426911</v>
      </c>
      <c r="Y6076">
        <v>-0.61340220000000001</v>
      </c>
      <c r="Z6076">
        <v>8.5519739999999997E-2</v>
      </c>
      <c r="AA6076">
        <v>0.78512680000000001</v>
      </c>
      <c r="AB6076">
        <v>24</v>
      </c>
      <c r="AC6076">
        <v>6.7171999999999903</v>
      </c>
      <c r="AD6076">
        <v>-1.1207507987380001</v>
      </c>
      <c r="AE6076">
        <v>-8.6043699999999905</v>
      </c>
      <c r="AF6076">
        <v>-6.7710709050797497</v>
      </c>
      <c r="AG6076">
        <v>-1.1207507987380001</v>
      </c>
      <c r="AH6076">
        <v>8.4163866917709704</v>
      </c>
      <c r="AI6076">
        <v>95.923478273361994</v>
      </c>
      <c r="AJ6076">
        <v>128.81704044966301</v>
      </c>
      <c r="AK6076">
        <v>10.8599746086217</v>
      </c>
      <c r="AL6076">
        <v>95.758968366822302</v>
      </c>
      <c r="AM6076">
        <v>108.652962767864</v>
      </c>
      <c r="AN6076">
        <v>0.99999999652932503</v>
      </c>
    </row>
    <row r="6077" spans="1:40" x14ac:dyDescent="0.25">
      <c r="A6077" t="str">
        <f>"20190303154932251"</f>
        <v>20190303154932251</v>
      </c>
      <c r="B6077" t="str">
        <f>"1551599372247226"</f>
        <v>1551599372247226</v>
      </c>
      <c r="C6077" t="s">
        <v>40</v>
      </c>
      <c r="D6077">
        <v>4.5783880000000003</v>
      </c>
      <c r="E6077">
        <v>0.36275639999999998</v>
      </c>
      <c r="F6077" t="s">
        <v>64</v>
      </c>
      <c r="G6077">
        <v>-415.31369999999998</v>
      </c>
      <c r="H6077" s="1">
        <v>-4.1566750000000003E-6</v>
      </c>
      <c r="I6077">
        <v>34.707039999999999</v>
      </c>
      <c r="J6077">
        <v>-422.39370000000002</v>
      </c>
      <c r="K6077">
        <v>1.120768</v>
      </c>
      <c r="L6077">
        <v>43.589419999999997</v>
      </c>
      <c r="M6077">
        <v>-1.463422E-2</v>
      </c>
      <c r="N6077">
        <v>-1.440607E-2</v>
      </c>
      <c r="O6077">
        <v>-0.9997895</v>
      </c>
      <c r="P6077">
        <v>0.31720690000000001</v>
      </c>
      <c r="Q6077">
        <v>-0.11197120000000001</v>
      </c>
      <c r="R6077">
        <v>-0.94172350000000005</v>
      </c>
      <c r="S6077">
        <v>1.9476929999999999</v>
      </c>
      <c r="T6077">
        <v>-0.30845939999999999</v>
      </c>
      <c r="U6077">
        <v>-2.5081479999999998</v>
      </c>
      <c r="V6077">
        <v>-0.33095869999999999</v>
      </c>
      <c r="W6077">
        <v>-9.8450090000000004E-2</v>
      </c>
      <c r="X6077">
        <v>0.93849559999999999</v>
      </c>
      <c r="Y6077">
        <v>-0.62232670000000001</v>
      </c>
      <c r="Z6077">
        <v>8.1764719999999999E-2</v>
      </c>
      <c r="AA6077">
        <v>0.77847549999999999</v>
      </c>
      <c r="AB6077">
        <v>24</v>
      </c>
      <c r="AC6077">
        <v>7.08000000000004</v>
      </c>
      <c r="AD6077">
        <v>-1.120772156675</v>
      </c>
      <c r="AE6077">
        <v>-8.8823799999999995</v>
      </c>
      <c r="AF6077">
        <v>-7.1397315205082004</v>
      </c>
      <c r="AG6077">
        <v>-1.120772156675</v>
      </c>
      <c r="AH6077">
        <v>8.6931734849571303</v>
      </c>
      <c r="AI6077">
        <v>95.689618730865305</v>
      </c>
      <c r="AJ6077">
        <v>129.39637249298099</v>
      </c>
      <c r="AK6077">
        <v>11.3050060438585</v>
      </c>
      <c r="AL6077">
        <v>95.649926544621394</v>
      </c>
      <c r="AM6077">
        <v>109.425101984189</v>
      </c>
      <c r="AN6077">
        <v>1.0000000362730199</v>
      </c>
    </row>
    <row r="6078" spans="1:40" x14ac:dyDescent="0.25">
      <c r="A6078" t="str">
        <f>"20190303154932274"</f>
        <v>20190303154932274</v>
      </c>
      <c r="B6078" t="str">
        <f>"1551599372266745"</f>
        <v>1551599372266745</v>
      </c>
      <c r="C6078" t="s">
        <v>40</v>
      </c>
      <c r="D6078">
        <v>4.5871979999999999</v>
      </c>
      <c r="E6078">
        <v>0.32143749999999999</v>
      </c>
      <c r="F6078" t="s">
        <v>64</v>
      </c>
      <c r="G6078">
        <v>-415.09390000000002</v>
      </c>
      <c r="H6078" s="1">
        <v>-4.318099E-6</v>
      </c>
      <c r="I6078">
        <v>34.492539999999998</v>
      </c>
      <c r="J6078">
        <v>-422.3972</v>
      </c>
      <c r="K6078">
        <v>1.120789</v>
      </c>
      <c r="L6078">
        <v>43.347990000000003</v>
      </c>
      <c r="M6078">
        <v>-1.461812E-2</v>
      </c>
      <c r="N6078">
        <v>-1.444374E-2</v>
      </c>
      <c r="O6078">
        <v>-0.99978900000000004</v>
      </c>
      <c r="P6078">
        <v>0.32943250000000002</v>
      </c>
      <c r="Q6078">
        <v>-0.1100849</v>
      </c>
      <c r="R6078">
        <v>-0.93774000000000002</v>
      </c>
      <c r="S6078">
        <v>1.989471</v>
      </c>
      <c r="T6078">
        <v>-0.30544949999999998</v>
      </c>
      <c r="U6078">
        <v>-2.4792179999999999</v>
      </c>
      <c r="V6078">
        <v>-0.34310849999999998</v>
      </c>
      <c r="W6078">
        <v>-9.6593559999999995E-2</v>
      </c>
      <c r="X6078">
        <v>0.93431589999999998</v>
      </c>
      <c r="Y6078">
        <v>-0.63470799999999905</v>
      </c>
      <c r="Z6078">
        <v>8.0688060000000006E-2</v>
      </c>
      <c r="AA6078">
        <v>0.76852799999999999</v>
      </c>
      <c r="AB6078">
        <v>24</v>
      </c>
      <c r="AC6078">
        <v>7.3032999999999699</v>
      </c>
      <c r="AD6078">
        <v>-1.120793318099</v>
      </c>
      <c r="AE6078">
        <v>-8.8554499999999905</v>
      </c>
      <c r="AF6078">
        <v>-7.36179537246728</v>
      </c>
      <c r="AG6078">
        <v>-1.120793318099</v>
      </c>
      <c r="AH6078">
        <v>8.6651184143970301</v>
      </c>
      <c r="AI6078">
        <v>95.629647828574505</v>
      </c>
      <c r="AJ6078">
        <v>130.350886008532</v>
      </c>
      <c r="AK6078">
        <v>11.4252564918035</v>
      </c>
      <c r="AL6078">
        <v>95.543046053641504</v>
      </c>
      <c r="AM6078">
        <v>110.164732004003</v>
      </c>
      <c r="AN6078">
        <v>0.99999997979926603</v>
      </c>
    </row>
    <row r="6079" spans="1:40" x14ac:dyDescent="0.25">
      <c r="A6079" t="str">
        <f>"20190303154932296"</f>
        <v>20190303154932296</v>
      </c>
      <c r="B6079" t="str">
        <f>"1551599372287240"</f>
        <v>1551599372287240</v>
      </c>
      <c r="C6079" t="s">
        <v>40</v>
      </c>
      <c r="D6079">
        <v>4.6413149999999996</v>
      </c>
      <c r="E6079">
        <v>0.31957140000000001</v>
      </c>
      <c r="F6079" t="s">
        <v>64</v>
      </c>
      <c r="G6079">
        <v>-415.6309</v>
      </c>
      <c r="H6079" s="1">
        <v>-3.0648299999999998E-6</v>
      </c>
      <c r="I6079">
        <v>36.574730000000002</v>
      </c>
      <c r="J6079">
        <v>-422.40039999999999</v>
      </c>
      <c r="K6079">
        <v>1.120811</v>
      </c>
      <c r="L6079">
        <v>43.121490000000001</v>
      </c>
      <c r="M6079">
        <v>-1.4582599999999999E-2</v>
      </c>
      <c r="N6079">
        <v>-1.447353E-2</v>
      </c>
      <c r="O6079">
        <v>-0.99978900000000004</v>
      </c>
      <c r="P6079">
        <v>0.34170400000000001</v>
      </c>
      <c r="Q6079">
        <v>-0.1077441</v>
      </c>
      <c r="R6079">
        <v>-0.93361139999999998</v>
      </c>
      <c r="S6079">
        <v>2.3321529999999999</v>
      </c>
      <c r="T6079">
        <v>-0.3863026</v>
      </c>
      <c r="U6079">
        <v>-2.3345340000000001</v>
      </c>
      <c r="V6079">
        <v>-0.35528209999999999</v>
      </c>
      <c r="W6079">
        <v>-9.4298569999999998E-2</v>
      </c>
      <c r="X6079">
        <v>0.92999050000000005</v>
      </c>
      <c r="Y6079">
        <v>-0.71279329999999996</v>
      </c>
      <c r="Z6079">
        <v>0.1010949</v>
      </c>
      <c r="AA6079">
        <v>0.6940501</v>
      </c>
      <c r="AB6079">
        <v>24</v>
      </c>
      <c r="AC6079">
        <v>6.7694999999999901</v>
      </c>
      <c r="AD6079">
        <v>-1.12081406483</v>
      </c>
      <c r="AE6079">
        <v>-6.5467599999999999</v>
      </c>
      <c r="AF6079">
        <v>-6.7683858325289199</v>
      </c>
      <c r="AG6079">
        <v>-1.12081406483</v>
      </c>
      <c r="AH6079">
        <v>6.3572866503431396</v>
      </c>
      <c r="AI6079">
        <v>96.882415014621898</v>
      </c>
      <c r="AJ6079">
        <v>136.79393099724399</v>
      </c>
      <c r="AK6079">
        <v>9.3532007623342501</v>
      </c>
      <c r="AL6079">
        <v>95.410949812545098</v>
      </c>
      <c r="AM6079">
        <v>110.908240162957</v>
      </c>
      <c r="AN6079">
        <v>0.99999996048735096</v>
      </c>
    </row>
    <row r="6080" spans="1:40" x14ac:dyDescent="0.25">
      <c r="A6080" t="str">
        <f>"20190303154932318"</f>
        <v>20190303154932318</v>
      </c>
      <c r="B6080" t="str">
        <f>"1551599372306761"</f>
        <v>1551599372306761</v>
      </c>
      <c r="C6080" t="s">
        <v>40</v>
      </c>
      <c r="D6080">
        <v>4.5921409999999998</v>
      </c>
      <c r="E6080">
        <v>0.32099070000000002</v>
      </c>
      <c r="F6080" t="s">
        <v>64</v>
      </c>
      <c r="G6080">
        <v>-415.43029999999999</v>
      </c>
      <c r="H6080" s="1">
        <v>-3.216551E-6</v>
      </c>
      <c r="I6080">
        <v>36.378660000000004</v>
      </c>
      <c r="J6080">
        <v>-422.40370000000001</v>
      </c>
      <c r="K6080">
        <v>1.120859</v>
      </c>
      <c r="L6080">
        <v>42.881500000000003</v>
      </c>
      <c r="M6080">
        <v>-1.4511019999999999E-2</v>
      </c>
      <c r="N6080">
        <v>-1.450004E-2</v>
      </c>
      <c r="O6080">
        <v>-0.9997895</v>
      </c>
      <c r="P6080">
        <v>0.3565412</v>
      </c>
      <c r="Q6080">
        <v>-0.10461520000000001</v>
      </c>
      <c r="R6080">
        <v>-0.92840400000000001</v>
      </c>
      <c r="S6080">
        <v>2.3768009999999999</v>
      </c>
      <c r="T6080">
        <v>-0.38219439999999999</v>
      </c>
      <c r="U6080">
        <v>-2.2992859999999999</v>
      </c>
      <c r="V6080">
        <v>-0.36997059999999998</v>
      </c>
      <c r="W6080">
        <v>-9.1244530000000004E-2</v>
      </c>
      <c r="X6080">
        <v>0.92455189999999998</v>
      </c>
      <c r="Y6080">
        <v>-0.72459819999999997</v>
      </c>
      <c r="Z6080">
        <v>9.9597050000000006E-2</v>
      </c>
      <c r="AA6080">
        <v>0.68193689999999996</v>
      </c>
      <c r="AB6080">
        <v>23</v>
      </c>
      <c r="AC6080">
        <v>6.9734000000000202</v>
      </c>
      <c r="AD6080">
        <v>-1.120862216551</v>
      </c>
      <c r="AE6080">
        <v>-6.50284</v>
      </c>
      <c r="AF6080">
        <v>-6.97071207018426</v>
      </c>
      <c r="AG6080">
        <v>-1.120862216551</v>
      </c>
      <c r="AH6080">
        <v>6.3137060454795</v>
      </c>
      <c r="AI6080">
        <v>96.796311019143999</v>
      </c>
      <c r="AJ6080">
        <v>137.83136416107499</v>
      </c>
      <c r="AK6080">
        <v>9.4715385710363105</v>
      </c>
      <c r="AL6080">
        <v>95.235207960379697</v>
      </c>
      <c r="AM6080">
        <v>111.80941403483</v>
      </c>
      <c r="AN6080">
        <v>1.0000000124564401</v>
      </c>
    </row>
    <row r="6081" spans="1:40" x14ac:dyDescent="0.25">
      <c r="A6081" t="str">
        <f>"20190303154932340"</f>
        <v>20190303154932340</v>
      </c>
      <c r="B6081" t="str">
        <f>"1551599372337016"</f>
        <v>1551599372337016</v>
      </c>
      <c r="C6081" t="s">
        <v>40</v>
      </c>
      <c r="D6081">
        <v>4.602125</v>
      </c>
      <c r="E6081">
        <v>0.3240111</v>
      </c>
      <c r="F6081" t="s">
        <v>64</v>
      </c>
      <c r="G6081">
        <v>-415.1771</v>
      </c>
      <c r="H6081" s="1">
        <v>-3.445127E-6</v>
      </c>
      <c r="I6081">
        <v>36.063360000000003</v>
      </c>
      <c r="J6081">
        <v>-422.40690000000001</v>
      </c>
      <c r="K6081">
        <v>1.120908</v>
      </c>
      <c r="L6081">
        <v>42.65146</v>
      </c>
      <c r="M6081">
        <v>-1.439782E-2</v>
      </c>
      <c r="N6081">
        <v>-1.452123E-2</v>
      </c>
      <c r="O6081">
        <v>-0.99979119999999999</v>
      </c>
      <c r="P6081">
        <v>0.37203419999999998</v>
      </c>
      <c r="Q6081">
        <v>-0.1026711</v>
      </c>
      <c r="R6081">
        <v>-0.92252350000000005</v>
      </c>
      <c r="S6081">
        <v>2.4024960000000002</v>
      </c>
      <c r="T6081">
        <v>-0.37263109999999999</v>
      </c>
      <c r="U6081">
        <v>-2.2666930000000001</v>
      </c>
      <c r="V6081">
        <v>-0.3852661</v>
      </c>
      <c r="W6081">
        <v>-8.9399889999999996E-2</v>
      </c>
      <c r="X6081">
        <v>0.91846490000000003</v>
      </c>
      <c r="Y6081">
        <v>-0.73318709999999998</v>
      </c>
      <c r="Z6081">
        <v>9.6876909999999997E-2</v>
      </c>
      <c r="AA6081">
        <v>0.67309110000000005</v>
      </c>
      <c r="AB6081">
        <v>23</v>
      </c>
      <c r="AC6081">
        <v>7.2298000000000098</v>
      </c>
      <c r="AD6081">
        <v>-1.1209114451269999</v>
      </c>
      <c r="AE6081">
        <v>-6.5880999999999998</v>
      </c>
      <c r="AF6081">
        <v>-7.2289789306007597</v>
      </c>
      <c r="AG6081">
        <v>-1.1209114451269999</v>
      </c>
      <c r="AH6081">
        <v>6.3992731526405597</v>
      </c>
      <c r="AI6081">
        <v>96.622550752712996</v>
      </c>
      <c r="AJ6081">
        <v>138.48394165175</v>
      </c>
      <c r="AK6081">
        <v>9.7193248597313904</v>
      </c>
      <c r="AL6081">
        <v>95.129083944957102</v>
      </c>
      <c r="AM6081">
        <v>112.75646174040401</v>
      </c>
      <c r="AN6081">
        <v>1.0000000403366101</v>
      </c>
    </row>
    <row r="6082" spans="1:40" x14ac:dyDescent="0.25">
      <c r="A6082" t="str">
        <f>"20190303154932363"</f>
        <v>20190303154932363</v>
      </c>
      <c r="B6082" t="str">
        <f>"1551599372357512"</f>
        <v>1551599372357512</v>
      </c>
      <c r="C6082" t="s">
        <v>40</v>
      </c>
      <c r="D6082">
        <v>4.6080990000000002</v>
      </c>
      <c r="E6082">
        <v>0.32627800000000001</v>
      </c>
      <c r="F6082" t="s">
        <v>64</v>
      </c>
      <c r="G6082">
        <v>-414.88569999999999</v>
      </c>
      <c r="H6082" s="1">
        <v>-3.711164E-6</v>
      </c>
      <c r="I6082">
        <v>35.69509</v>
      </c>
      <c r="J6082">
        <v>-422.41</v>
      </c>
      <c r="K6082">
        <v>1.1209629999999999</v>
      </c>
      <c r="L6082">
        <v>42.418239999999997</v>
      </c>
      <c r="M6082">
        <v>-1.422617E-2</v>
      </c>
      <c r="N6082">
        <v>-1.453891E-2</v>
      </c>
      <c r="O6082">
        <v>-0.99979309999999999</v>
      </c>
      <c r="P6082">
        <v>0.38679160000000001</v>
      </c>
      <c r="Q6082">
        <v>-0.1016136</v>
      </c>
      <c r="R6082">
        <v>-0.91655180000000003</v>
      </c>
      <c r="S6082">
        <v>2.4182429999999999</v>
      </c>
      <c r="T6082">
        <v>-0.36039900000000002</v>
      </c>
      <c r="U6082">
        <v>-2.2366329999999999</v>
      </c>
      <c r="V6082">
        <v>-0.3997713</v>
      </c>
      <c r="W6082">
        <v>-8.845546E-2</v>
      </c>
      <c r="X6082">
        <v>0.91233690000000001</v>
      </c>
      <c r="Y6082">
        <v>-0.73995419999999901</v>
      </c>
      <c r="Z6082">
        <v>9.3531470000000005E-2</v>
      </c>
      <c r="AA6082">
        <v>0.66612289999999996</v>
      </c>
      <c r="AB6082">
        <v>23</v>
      </c>
      <c r="AC6082">
        <v>7.5243000000000304</v>
      </c>
      <c r="AD6082">
        <v>-1.120966711164</v>
      </c>
      <c r="AE6082">
        <v>-6.7231500000000004</v>
      </c>
      <c r="AF6082">
        <v>-7.5263068111688698</v>
      </c>
      <c r="AG6082">
        <v>-1.120966711164</v>
      </c>
      <c r="AH6082">
        <v>6.5347669813226004</v>
      </c>
      <c r="AI6082">
        <v>96.416729194614007</v>
      </c>
      <c r="AJ6082">
        <v>139.03362944359199</v>
      </c>
      <c r="AK6082">
        <v>10.030206382899999</v>
      </c>
      <c r="AL6082">
        <v>95.074756854963397</v>
      </c>
      <c r="AM6082">
        <v>113.662256667034</v>
      </c>
      <c r="AN6082">
        <v>1.0000000399045501</v>
      </c>
    </row>
    <row r="6083" spans="1:40" x14ac:dyDescent="0.25">
      <c r="A6083" t="str">
        <f>"20190303154932384"</f>
        <v>20190303154932384</v>
      </c>
      <c r="B6083" t="str">
        <f>"1551599372377033"</f>
        <v>1551599372377033</v>
      </c>
      <c r="C6083" t="s">
        <v>40</v>
      </c>
      <c r="D6083">
        <v>4.6279859999999999</v>
      </c>
      <c r="E6083">
        <v>0.327314099999999</v>
      </c>
      <c r="F6083" t="s">
        <v>64</v>
      </c>
      <c r="G6083">
        <v>-414.71890000000002</v>
      </c>
      <c r="H6083" s="1">
        <v>-3.877961E-6</v>
      </c>
      <c r="I6083">
        <v>35.45776</v>
      </c>
      <c r="J6083">
        <v>-422.41300000000001</v>
      </c>
      <c r="K6083">
        <v>1.1210089999999999</v>
      </c>
      <c r="L6083">
        <v>42.188809999999997</v>
      </c>
      <c r="M6083">
        <v>-1.400966E-2</v>
      </c>
      <c r="N6083">
        <v>-1.455331E-2</v>
      </c>
      <c r="O6083">
        <v>-0.99979629999999997</v>
      </c>
      <c r="P6083">
        <v>0.39899869999999998</v>
      </c>
      <c r="Q6083">
        <v>-9.9912169999999995E-2</v>
      </c>
      <c r="R6083">
        <v>-0.91149239999999998</v>
      </c>
      <c r="S6083">
        <v>2.43689</v>
      </c>
      <c r="T6083">
        <v>-0.3551705</v>
      </c>
      <c r="U6083">
        <v>-2.2053829999999999</v>
      </c>
      <c r="V6083">
        <v>-0.4117015</v>
      </c>
      <c r="W6083">
        <v>-8.6855929999999998E-2</v>
      </c>
      <c r="X6083">
        <v>0.90717029999999999</v>
      </c>
      <c r="Y6083">
        <v>-0.74707309999999905</v>
      </c>
      <c r="Z6083">
        <v>9.2201820000000004E-2</v>
      </c>
      <c r="AA6083">
        <v>0.65831640000000002</v>
      </c>
      <c r="AB6083">
        <v>23</v>
      </c>
      <c r="AC6083">
        <v>7.6940999999999899</v>
      </c>
      <c r="AD6083">
        <v>-1.121012877961</v>
      </c>
      <c r="AE6083">
        <v>-6.73104999999999</v>
      </c>
      <c r="AF6083">
        <v>-7.6951218499335496</v>
      </c>
      <c r="AG6083">
        <v>-1.121012877961</v>
      </c>
      <c r="AH6083">
        <v>6.5438968934970498</v>
      </c>
      <c r="AI6083">
        <v>96.332568719177104</v>
      </c>
      <c r="AJ6083">
        <v>139.62231084803599</v>
      </c>
      <c r="AK6083">
        <v>10.1633732938724</v>
      </c>
      <c r="AL6083">
        <v>94.982756527346197</v>
      </c>
      <c r="AM6083">
        <v>114.409993460612</v>
      </c>
      <c r="AN6083">
        <v>1.00000001544025</v>
      </c>
    </row>
    <row r="6084" spans="1:40" x14ac:dyDescent="0.25">
      <c r="A6084" t="str">
        <f>"20190303154932408"</f>
        <v>20190303154932408</v>
      </c>
      <c r="B6084" t="str">
        <f>"1551599372397529"</f>
        <v>1551599372397529</v>
      </c>
      <c r="C6084" t="s">
        <v>40</v>
      </c>
      <c r="D6084">
        <v>4.6609249999999998</v>
      </c>
      <c r="E6084">
        <v>0.34527540000000001</v>
      </c>
      <c r="F6084" t="s">
        <v>64</v>
      </c>
      <c r="G6084">
        <v>-414.58240000000001</v>
      </c>
      <c r="H6084" s="1">
        <v>-4.0180739999999901E-6</v>
      </c>
      <c r="I6084">
        <v>35.256900000000002</v>
      </c>
      <c r="J6084">
        <v>-422.41590000000002</v>
      </c>
      <c r="K6084">
        <v>1.1210629999999999</v>
      </c>
      <c r="L6084">
        <v>41.957610000000003</v>
      </c>
      <c r="M6084">
        <v>-1.3737890000000001E-2</v>
      </c>
      <c r="N6084">
        <v>-1.4565109999999999E-2</v>
      </c>
      <c r="O6084">
        <v>-0.99979980000000002</v>
      </c>
      <c r="P6084">
        <v>0.40896870000000002</v>
      </c>
      <c r="Q6084">
        <v>-9.8469849999999998E-2</v>
      </c>
      <c r="R6084">
        <v>-0.90722069999999999</v>
      </c>
      <c r="S6084">
        <v>2.458618</v>
      </c>
      <c r="T6084">
        <v>-0.35197139999999999</v>
      </c>
      <c r="U6084">
        <v>-2.176453</v>
      </c>
      <c r="V6084">
        <v>-0.42135919999999999</v>
      </c>
      <c r="W6084">
        <v>-8.5504469999999999E-2</v>
      </c>
      <c r="X6084">
        <v>0.90285400000000005</v>
      </c>
      <c r="Y6084">
        <v>-0.75412969999999901</v>
      </c>
      <c r="Z6084">
        <v>9.1341820000000004E-2</v>
      </c>
      <c r="AA6084">
        <v>0.65034230000000004</v>
      </c>
      <c r="AB6084">
        <v>23</v>
      </c>
      <c r="AC6084">
        <v>7.8335000000000097</v>
      </c>
      <c r="AD6084">
        <v>-1.1210670180740001</v>
      </c>
      <c r="AE6084">
        <v>-6.7007099999999902</v>
      </c>
      <c r="AF6084">
        <v>-7.8321914564593902</v>
      </c>
      <c r="AG6084">
        <v>-1.1210670180740001</v>
      </c>
      <c r="AH6084">
        <v>6.5153918566461204</v>
      </c>
      <c r="AI6084">
        <v>96.279502703472801</v>
      </c>
      <c r="AJ6084">
        <v>140.243829889246</v>
      </c>
      <c r="AK6084">
        <v>10.2494070714017</v>
      </c>
      <c r="AL6084">
        <v>94.905034643669495</v>
      </c>
      <c r="AM6084">
        <v>115.018317854011</v>
      </c>
      <c r="AN6084">
        <v>0.99999996756530996</v>
      </c>
    </row>
    <row r="6085" spans="1:40" x14ac:dyDescent="0.25">
      <c r="A6085" t="str">
        <f>"20190303154932430"</f>
        <v>20190303154932430</v>
      </c>
      <c r="B6085" t="str">
        <f>"1551599372426809"</f>
        <v>1551599372426809</v>
      </c>
      <c r="C6085" t="s">
        <v>40</v>
      </c>
      <c r="D6085">
        <v>4.6736559999999896</v>
      </c>
      <c r="E6085">
        <v>0.35490569999999999</v>
      </c>
      <c r="F6085" t="s">
        <v>64</v>
      </c>
      <c r="G6085">
        <v>-414.83789999999999</v>
      </c>
      <c r="H6085" s="1">
        <v>-4.1894489999999999E-6</v>
      </c>
      <c r="I6085">
        <v>34.839979999999997</v>
      </c>
      <c r="J6085">
        <v>-422.41849999999999</v>
      </c>
      <c r="K6085">
        <v>1.1211070000000001</v>
      </c>
      <c r="L6085">
        <v>41.729309999999998</v>
      </c>
      <c r="M6085">
        <v>-1.340742E-2</v>
      </c>
      <c r="N6085">
        <v>-1.4574500000000001E-2</v>
      </c>
      <c r="O6085">
        <v>-0.99980400000000003</v>
      </c>
      <c r="P6085">
        <v>0.41872239999999999</v>
      </c>
      <c r="Q6085">
        <v>-9.6125050000000004E-2</v>
      </c>
      <c r="R6085">
        <v>-0.90301240000000005</v>
      </c>
      <c r="S6085">
        <v>2.3517459999999999</v>
      </c>
      <c r="T6085">
        <v>-0.34791329999999998</v>
      </c>
      <c r="U6085">
        <v>-2.2088930000000002</v>
      </c>
      <c r="V6085">
        <v>-0.43075170000000002</v>
      </c>
      <c r="W6085">
        <v>-8.3253640000000004E-2</v>
      </c>
      <c r="X6085">
        <v>0.89862219999999904</v>
      </c>
      <c r="Y6085">
        <v>-0.7343788</v>
      </c>
      <c r="Z6085">
        <v>9.200469E-2</v>
      </c>
      <c r="AA6085">
        <v>0.67247519999999905</v>
      </c>
      <c r="AB6085">
        <v>23</v>
      </c>
      <c r="AC6085">
        <v>7.5805999999999996</v>
      </c>
      <c r="AD6085">
        <v>-1.121111189449</v>
      </c>
      <c r="AE6085">
        <v>-6.8893300000000002</v>
      </c>
      <c r="AF6085">
        <v>-7.5814812289602402</v>
      </c>
      <c r="AG6085">
        <v>-1.121111189449</v>
      </c>
      <c r="AH6085">
        <v>6.7067266563636698</v>
      </c>
      <c r="AI6085">
        <v>96.320183418844096</v>
      </c>
      <c r="AJ6085">
        <v>138.50339715097701</v>
      </c>
      <c r="AK6085">
        <v>10.1841018439214</v>
      </c>
      <c r="AL6085">
        <v>94.775609704176205</v>
      </c>
      <c r="AM6085">
        <v>115.61058189168401</v>
      </c>
      <c r="AN6085">
        <v>1.00000002697948</v>
      </c>
    </row>
    <row r="6086" spans="1:40" x14ac:dyDescent="0.25">
      <c r="A6086" t="str">
        <f>"20190303154932452"</f>
        <v>20190303154932452</v>
      </c>
      <c r="B6086" t="str">
        <f>"1551599372447305"</f>
        <v>1551599372447305</v>
      </c>
      <c r="C6086" t="s">
        <v>40</v>
      </c>
      <c r="D6086">
        <v>4.7166680000000003</v>
      </c>
      <c r="E6086">
        <v>0.3561454</v>
      </c>
      <c r="F6086" t="s">
        <v>64</v>
      </c>
      <c r="G6086">
        <v>-414.90620000000001</v>
      </c>
      <c r="H6086" s="1">
        <v>-4.3518730000000001E-6</v>
      </c>
      <c r="I6086">
        <v>34.507909999999903</v>
      </c>
      <c r="J6086">
        <v>-422.4212</v>
      </c>
      <c r="K6086">
        <v>1.1211719999999901</v>
      </c>
      <c r="L6086">
        <v>41.496310000000001</v>
      </c>
      <c r="M6086">
        <v>-1.299807E-2</v>
      </c>
      <c r="N6086">
        <v>-1.458213E-2</v>
      </c>
      <c r="O6086">
        <v>-0.99980950000000002</v>
      </c>
      <c r="P6086">
        <v>0.4265776</v>
      </c>
      <c r="Q6086">
        <v>-9.5143069999999996E-2</v>
      </c>
      <c r="R6086">
        <v>-0.89943309999999999</v>
      </c>
      <c r="S6086">
        <v>2.3057249999999998</v>
      </c>
      <c r="T6086">
        <v>-0.3440975</v>
      </c>
      <c r="U6086">
        <v>-2.216431</v>
      </c>
      <c r="V6086">
        <v>-0.43818370000000001</v>
      </c>
      <c r="W6086">
        <v>-8.236446E-2</v>
      </c>
      <c r="X6086">
        <v>0.89510400000000001</v>
      </c>
      <c r="Y6086">
        <v>-0.726294199999999</v>
      </c>
      <c r="Z6086">
        <v>9.1791780000000003E-2</v>
      </c>
      <c r="AA6086">
        <v>0.68122769999999899</v>
      </c>
      <c r="AB6086">
        <v>23</v>
      </c>
      <c r="AC6086">
        <v>7.5149999999999801</v>
      </c>
      <c r="AD6086">
        <v>-1.12117635187299</v>
      </c>
      <c r="AE6086">
        <v>-6.9884000000000004</v>
      </c>
      <c r="AF6086">
        <v>-7.5155038058950803</v>
      </c>
      <c r="AG6086">
        <v>-1.12117635187299</v>
      </c>
      <c r="AH6086">
        <v>6.8088469032629799</v>
      </c>
      <c r="AI6086">
        <v>96.308827436463602</v>
      </c>
      <c r="AJ6086">
        <v>137.82425787924399</v>
      </c>
      <c r="AK6086">
        <v>10.2029520248061</v>
      </c>
      <c r="AL6086">
        <v>94.724487917834907</v>
      </c>
      <c r="AM6086">
        <v>116.08331234936701</v>
      </c>
      <c r="AN6086">
        <v>1.0000000150163899</v>
      </c>
    </row>
    <row r="6087" spans="1:40" x14ac:dyDescent="0.25">
      <c r="A6087" t="str">
        <f>"20190303154932475"</f>
        <v>20190303154932475</v>
      </c>
      <c r="B6087" t="str">
        <f>"1551599372466824"</f>
        <v>1551599372466824</v>
      </c>
      <c r="C6087" t="s">
        <v>40</v>
      </c>
      <c r="D6087">
        <v>4.7158879999999996</v>
      </c>
      <c r="E6087">
        <v>0.361653</v>
      </c>
      <c r="F6087" t="s">
        <v>64</v>
      </c>
      <c r="G6087">
        <v>-414.91950000000003</v>
      </c>
      <c r="H6087" s="1">
        <v>-4.4202800000000001E-6</v>
      </c>
      <c r="I6087">
        <v>34.36788</v>
      </c>
      <c r="J6087">
        <v>-422.4237</v>
      </c>
      <c r="K6087">
        <v>1.1212340000000001</v>
      </c>
      <c r="L6087">
        <v>41.262729999999998</v>
      </c>
      <c r="M6087">
        <v>-1.2507819999999999E-2</v>
      </c>
      <c r="N6087">
        <v>-1.4588179999999999E-2</v>
      </c>
      <c r="O6087">
        <v>-0.99981560000000003</v>
      </c>
      <c r="P6087">
        <v>0.4330447</v>
      </c>
      <c r="Q6087">
        <v>-9.4964359999999998E-2</v>
      </c>
      <c r="R6087">
        <v>-0.89635609999999999</v>
      </c>
      <c r="S6087">
        <v>2.3157649999999999</v>
      </c>
      <c r="T6087">
        <v>-0.3461051</v>
      </c>
      <c r="U6087">
        <v>-2.2005309999999998</v>
      </c>
      <c r="V6087">
        <v>-0.4441638</v>
      </c>
      <c r="W6087">
        <v>-8.2282220000000003E-2</v>
      </c>
      <c r="X6087">
        <v>0.89215929999999999</v>
      </c>
      <c r="Y6087">
        <v>-0.729819</v>
      </c>
      <c r="Z6087">
        <v>9.2545840000000004E-2</v>
      </c>
      <c r="AA6087">
        <v>0.67734740000000004</v>
      </c>
      <c r="AB6087">
        <v>23</v>
      </c>
      <c r="AC6087">
        <v>7.50419999999996</v>
      </c>
      <c r="AD6087">
        <v>-1.1212384202799901</v>
      </c>
      <c r="AE6087">
        <v>-6.8948499999999902</v>
      </c>
      <c r="AF6087">
        <v>-7.4990817417125797</v>
      </c>
      <c r="AG6087">
        <v>-1.1212384202799901</v>
      </c>
      <c r="AH6087">
        <v>6.7191015867363699</v>
      </c>
      <c r="AI6087">
        <v>96.354091073380999</v>
      </c>
      <c r="AJ6087">
        <v>138.13998077200901</v>
      </c>
      <c r="AK6087">
        <v>10.1311267239573</v>
      </c>
      <c r="AL6087">
        <v>94.719759789928702</v>
      </c>
      <c r="AM6087">
        <v>116.46653569317201</v>
      </c>
      <c r="AN6087">
        <v>1.0000000307675201</v>
      </c>
    </row>
    <row r="6088" spans="1:40" x14ac:dyDescent="0.25">
      <c r="A6088" t="str">
        <f>"20190303154932497"</f>
        <v>20190303154932497</v>
      </c>
      <c r="B6088" t="str">
        <f>"1551599372487320"</f>
        <v>1551599372487320</v>
      </c>
      <c r="C6088" t="s">
        <v>40</v>
      </c>
      <c r="D6088">
        <v>4.7035619999999998</v>
      </c>
      <c r="E6088">
        <v>0.3622302</v>
      </c>
      <c r="F6088" t="s">
        <v>64</v>
      </c>
      <c r="G6088">
        <v>-414.86130000000003</v>
      </c>
      <c r="H6088" s="1">
        <v>-4.6243029999999998E-6</v>
      </c>
      <c r="I6088">
        <v>33.992800000000003</v>
      </c>
      <c r="J6088">
        <v>-422.42590000000001</v>
      </c>
      <c r="K6088">
        <v>1.121297</v>
      </c>
      <c r="L6088">
        <v>41.038089999999997</v>
      </c>
      <c r="M6088">
        <v>-1.195183E-2</v>
      </c>
      <c r="N6088">
        <v>-1.459271E-2</v>
      </c>
      <c r="O6088">
        <v>-0.99982210000000005</v>
      </c>
      <c r="P6088">
        <v>0.4382376</v>
      </c>
      <c r="Q6088">
        <v>-9.5339569999999998E-2</v>
      </c>
      <c r="R6088">
        <v>-0.89378860000000004</v>
      </c>
      <c r="S6088">
        <v>2.2921450000000001</v>
      </c>
      <c r="T6088">
        <v>-0.33984389999999998</v>
      </c>
      <c r="U6088">
        <v>-2.2034910000000001</v>
      </c>
      <c r="V6088">
        <v>-0.4488183</v>
      </c>
      <c r="W6088">
        <v>-8.2755659999999995E-2</v>
      </c>
      <c r="X6088">
        <v>0.88978289999999904</v>
      </c>
      <c r="Y6088">
        <v>-0.72560719999999901</v>
      </c>
      <c r="Z6088">
        <v>9.1149369999999993E-2</v>
      </c>
      <c r="AA6088">
        <v>0.68204549999999997</v>
      </c>
      <c r="AB6088">
        <v>23</v>
      </c>
      <c r="AC6088">
        <v>7.56459999999998</v>
      </c>
      <c r="AD6088">
        <v>-1.1213016243030001</v>
      </c>
      <c r="AE6088">
        <v>-7.0452899999999996</v>
      </c>
      <c r="AF6088">
        <v>-7.5593288121044298</v>
      </c>
      <c r="AG6088">
        <v>-1.1213016243030001</v>
      </c>
      <c r="AH6088">
        <v>6.8734920240162198</v>
      </c>
      <c r="AI6088">
        <v>96.263029765396993</v>
      </c>
      <c r="AJ6088">
        <v>137.72060578870199</v>
      </c>
      <c r="AK6088">
        <v>10.2784075627692</v>
      </c>
      <c r="AL6088">
        <v>94.746978939818504</v>
      </c>
      <c r="AM6088">
        <v>116.76698315121099</v>
      </c>
      <c r="AN6088">
        <v>0.999999987404667</v>
      </c>
    </row>
    <row r="6089" spans="1:40" x14ac:dyDescent="0.25">
      <c r="A6089" t="str">
        <f>"20190303154932520"</f>
        <v>20190303154932520</v>
      </c>
      <c r="B6089" t="str">
        <f>"1551599372516601"</f>
        <v>1551599372516601</v>
      </c>
      <c r="C6089" t="s">
        <v>40</v>
      </c>
      <c r="D6089">
        <v>4.7909750000000004</v>
      </c>
      <c r="E6089">
        <v>0.36332189999999998</v>
      </c>
      <c r="F6089" t="s">
        <v>64</v>
      </c>
      <c r="G6089">
        <v>-415.0829</v>
      </c>
      <c r="H6089" s="1">
        <v>-4.5497459999999998E-6</v>
      </c>
      <c r="I6089">
        <v>34.04269</v>
      </c>
      <c r="J6089">
        <v>-422.42790000000002</v>
      </c>
      <c r="K6089">
        <v>1.1213759999999999</v>
      </c>
      <c r="L6089">
        <v>40.800840000000001</v>
      </c>
      <c r="M6089">
        <v>-1.126448E-2</v>
      </c>
      <c r="N6089">
        <v>-1.4596400000000001E-2</v>
      </c>
      <c r="O6089">
        <v>-0.9998302</v>
      </c>
      <c r="P6089">
        <v>0.44304250000000001</v>
      </c>
      <c r="Q6089">
        <v>-9.4883400000000007E-2</v>
      </c>
      <c r="R6089">
        <v>-0.89146530000000002</v>
      </c>
      <c r="S6089">
        <v>2.3001399999999999</v>
      </c>
      <c r="T6089">
        <v>-0.35123910000000003</v>
      </c>
      <c r="U6089">
        <v>-2.1912539999999998</v>
      </c>
      <c r="V6089">
        <v>-0.45297179999999998</v>
      </c>
      <c r="W6089">
        <v>-8.2407510000000003E-2</v>
      </c>
      <c r="X6089">
        <v>0.8877081</v>
      </c>
      <c r="Y6089">
        <v>-0.72795030000000005</v>
      </c>
      <c r="Z6089">
        <v>9.4781249999999997E-2</v>
      </c>
      <c r="AA6089">
        <v>0.67904699999999996</v>
      </c>
      <c r="AB6089">
        <v>23</v>
      </c>
      <c r="AC6089">
        <v>7.3450000000000202</v>
      </c>
      <c r="AD6089">
        <v>-1.1213805497460001</v>
      </c>
      <c r="AE6089">
        <v>-6.7581499999999997</v>
      </c>
      <c r="AF6089">
        <v>-7.32816772634924</v>
      </c>
      <c r="AG6089">
        <v>-1.1213805497460001</v>
      </c>
      <c r="AH6089">
        <v>6.5917687673046101</v>
      </c>
      <c r="AI6089">
        <v>96.490575421865898</v>
      </c>
      <c r="AJ6089">
        <v>138.028265060797</v>
      </c>
      <c r="AK6089">
        <v>9.9202294350719402</v>
      </c>
      <c r="AL6089">
        <v>94.726962701498195</v>
      </c>
      <c r="AM6089">
        <v>117.033907527889</v>
      </c>
      <c r="AN6089">
        <v>1.00000006005262</v>
      </c>
    </row>
    <row r="6090" spans="1:40" x14ac:dyDescent="0.25">
      <c r="A6090" t="str">
        <f>"20190303154932542"</f>
        <v>20190303154932542</v>
      </c>
      <c r="B6090" t="str">
        <f>"1551599372536631"</f>
        <v>1551599372536631</v>
      </c>
      <c r="C6090" t="s">
        <v>40</v>
      </c>
      <c r="D6090">
        <v>4.6969529999999997</v>
      </c>
      <c r="E6090">
        <v>0.36459760000000002</v>
      </c>
      <c r="F6090" t="s">
        <v>64</v>
      </c>
      <c r="G6090">
        <v>-415.07420000000002</v>
      </c>
      <c r="H6090" s="1">
        <v>-4.6581509999999998E-6</v>
      </c>
      <c r="I6090">
        <v>33.83372</v>
      </c>
      <c r="J6090">
        <v>-422.42950000000002</v>
      </c>
      <c r="K6090">
        <v>1.121453</v>
      </c>
      <c r="L6090">
        <v>40.579900000000002</v>
      </c>
      <c r="M6090">
        <v>-1.05053E-2</v>
      </c>
      <c r="N6090">
        <v>-1.4598959999999999E-2</v>
      </c>
      <c r="O6090">
        <v>-0.99983849999999996</v>
      </c>
      <c r="P6090">
        <v>0.44431920000000003</v>
      </c>
      <c r="Q6090">
        <v>-9.4482029999999995E-2</v>
      </c>
      <c r="R6090">
        <v>-0.89087249999999996</v>
      </c>
      <c r="S6090">
        <v>2.3039550000000002</v>
      </c>
      <c r="T6090">
        <v>-0.35133370000000003</v>
      </c>
      <c r="U6090">
        <v>-2.1828310000000002</v>
      </c>
      <c r="V6090">
        <v>-0.45355420000000002</v>
      </c>
      <c r="W6090">
        <v>-8.2090780000000002E-2</v>
      </c>
      <c r="X6090">
        <v>0.88744000000000001</v>
      </c>
      <c r="Y6090">
        <v>-0.72928559999999998</v>
      </c>
      <c r="Z6090">
        <v>9.495178E-2</v>
      </c>
      <c r="AA6090">
        <v>0.67758890000000005</v>
      </c>
      <c r="AB6090">
        <v>23</v>
      </c>
      <c r="AC6090">
        <v>7.3552999999999997</v>
      </c>
      <c r="AD6090">
        <v>-1.1214576581510001</v>
      </c>
      <c r="AE6090">
        <v>-6.7461799999999998</v>
      </c>
      <c r="AF6090">
        <v>-7.33318533102572</v>
      </c>
      <c r="AG6090">
        <v>-1.1214576581510001</v>
      </c>
      <c r="AH6090">
        <v>6.5853844604619702</v>
      </c>
      <c r="AI6090">
        <v>96.491367773306294</v>
      </c>
      <c r="AJ6090">
        <v>138.075364768328</v>
      </c>
      <c r="AK6090">
        <v>9.9197057854701693</v>
      </c>
      <c r="AL6090">
        <v>94.708753851444499</v>
      </c>
      <c r="AM6090">
        <v>117.070736760622</v>
      </c>
      <c r="AN6090">
        <v>1.00000003104932</v>
      </c>
    </row>
    <row r="6091" spans="1:40" x14ac:dyDescent="0.25">
      <c r="A6091" t="str">
        <f>"20190303154932563"</f>
        <v>20190303154932563</v>
      </c>
      <c r="B6091" t="str">
        <f>"1551599372557127"</f>
        <v>1551599372557127</v>
      </c>
      <c r="C6091" t="s">
        <v>40</v>
      </c>
      <c r="D6091">
        <v>4.668488</v>
      </c>
      <c r="E6091">
        <v>0.36526370000000002</v>
      </c>
      <c r="F6091" t="s">
        <v>64</v>
      </c>
      <c r="G6091">
        <v>-415.08510000000001</v>
      </c>
      <c r="H6091" s="1">
        <v>-4.775481E-6</v>
      </c>
      <c r="I6091">
        <v>33.598689999999998</v>
      </c>
      <c r="J6091">
        <v>-422.43090000000001</v>
      </c>
      <c r="K6091">
        <v>1.1215440000000001</v>
      </c>
      <c r="L6091">
        <v>40.353639999999999</v>
      </c>
      <c r="M6091">
        <v>-9.588783E-3</v>
      </c>
      <c r="N6091">
        <v>-1.4601080000000001E-2</v>
      </c>
      <c r="O6091">
        <v>-0.99984740000000005</v>
      </c>
      <c r="P6091">
        <v>0.448241</v>
      </c>
      <c r="Q6091">
        <v>-9.4590960000000002E-2</v>
      </c>
      <c r="R6091">
        <v>-0.88889390000000001</v>
      </c>
      <c r="S6091">
        <v>2.2978519999999998</v>
      </c>
      <c r="T6091">
        <v>-0.35087429999999997</v>
      </c>
      <c r="U6091">
        <v>-2.1842350000000001</v>
      </c>
      <c r="V6091">
        <v>-0.45662720000000001</v>
      </c>
      <c r="W6091">
        <v>-8.2320660000000004E-2</v>
      </c>
      <c r="X6091">
        <v>0.8858414</v>
      </c>
      <c r="Y6091">
        <v>-0.72754529999999995</v>
      </c>
      <c r="Z6091">
        <v>9.4978240000000005E-2</v>
      </c>
      <c r="AA6091">
        <v>0.67945349999999904</v>
      </c>
      <c r="AB6091">
        <v>23</v>
      </c>
      <c r="AC6091">
        <v>7.3457999999999899</v>
      </c>
      <c r="AD6091">
        <v>-1.1215487754809901</v>
      </c>
      <c r="AE6091">
        <v>-6.75495</v>
      </c>
      <c r="AF6091">
        <v>-7.3178133376590404</v>
      </c>
      <c r="AG6091">
        <v>-1.1215487754809901</v>
      </c>
      <c r="AH6091">
        <v>6.6008229933612697</v>
      </c>
      <c r="AI6091">
        <v>96.492607694806196</v>
      </c>
      <c r="AJ6091">
        <v>137.948869454163</v>
      </c>
      <c r="AK6091">
        <v>9.9186253024444007</v>
      </c>
      <c r="AL6091">
        <v>94.721969700796095</v>
      </c>
      <c r="AM6091">
        <v>117.269876796258</v>
      </c>
      <c r="AN6091">
        <v>1.0000000383983101</v>
      </c>
    </row>
    <row r="6092" spans="1:40" x14ac:dyDescent="0.25">
      <c r="A6092" t="str">
        <f>"20190303154932586"</f>
        <v>20190303154932586</v>
      </c>
      <c r="B6092" t="str">
        <f>"1551599372576646"</f>
        <v>1551599372576646</v>
      </c>
      <c r="C6092" t="s">
        <v>40</v>
      </c>
      <c r="D6092">
        <v>5.2839900000000002</v>
      </c>
      <c r="E6092">
        <v>0.38558209999999998</v>
      </c>
      <c r="F6092" t="s">
        <v>64</v>
      </c>
      <c r="G6092">
        <v>-415.13069999999999</v>
      </c>
      <c r="H6092" s="1">
        <v>-4.8397819999999997E-6</v>
      </c>
      <c r="I6092">
        <v>33.452680000000001</v>
      </c>
      <c r="J6092">
        <v>-422.43189999999998</v>
      </c>
      <c r="K6092">
        <v>1.1216219999999999</v>
      </c>
      <c r="L6092">
        <v>40.128300000000003</v>
      </c>
      <c r="M6092">
        <v>-8.5544920000000003E-3</v>
      </c>
      <c r="N6092">
        <v>-1.4602739999999999E-2</v>
      </c>
      <c r="O6092">
        <v>-0.99985690000000005</v>
      </c>
      <c r="P6092">
        <v>0.45029720000000001</v>
      </c>
      <c r="Q6092">
        <v>-9.5574300000000001E-2</v>
      </c>
      <c r="R6092">
        <v>-0.88774920000000002</v>
      </c>
      <c r="S6092">
        <v>2.3023069999999999</v>
      </c>
      <c r="T6092">
        <v>-0.35370889999999999</v>
      </c>
      <c r="U6092">
        <v>-2.1763919999999999</v>
      </c>
      <c r="V6092">
        <v>-0.45773970000000003</v>
      </c>
      <c r="W6092">
        <v>-8.3408620000000003E-2</v>
      </c>
      <c r="X6092">
        <v>0.88516519999999999</v>
      </c>
      <c r="Y6092">
        <v>-0.72864090000000004</v>
      </c>
      <c r="Z6092">
        <v>9.5983040000000006E-2</v>
      </c>
      <c r="AA6092">
        <v>0.67813690000000004</v>
      </c>
      <c r="AB6092">
        <v>23</v>
      </c>
      <c r="AC6092">
        <v>7.3011999999999899</v>
      </c>
      <c r="AD6092">
        <v>-1.121626839782</v>
      </c>
      <c r="AE6092">
        <v>-6.6756200000000003</v>
      </c>
      <c r="AF6092">
        <v>-7.26466485276055</v>
      </c>
      <c r="AG6092">
        <v>-1.121626839782</v>
      </c>
      <c r="AH6092">
        <v>6.5289868782235301</v>
      </c>
      <c r="AI6092">
        <v>96.550761828883196</v>
      </c>
      <c r="AJ6092">
        <v>138.05295106022101</v>
      </c>
      <c r="AK6092">
        <v>9.8316362751410207</v>
      </c>
      <c r="AL6092">
        <v>94.784520376405297</v>
      </c>
      <c r="AM6092">
        <v>117.344545753595</v>
      </c>
      <c r="AN6092">
        <v>1.00000003106871</v>
      </c>
    </row>
    <row r="6093" spans="1:40" x14ac:dyDescent="0.25">
      <c r="A6093" t="str">
        <f>"20190303154932608"</f>
        <v>20190303154932608</v>
      </c>
      <c r="B6093" t="str">
        <f>"1551599372597142"</f>
        <v>1551599372597142</v>
      </c>
      <c r="C6093" t="s">
        <v>40</v>
      </c>
      <c r="D6093">
        <v>4.9793200000000004</v>
      </c>
      <c r="E6093">
        <v>0.47563480000000002</v>
      </c>
      <c r="F6093" t="s">
        <v>64</v>
      </c>
      <c r="G6093">
        <v>-410.37400000000002</v>
      </c>
      <c r="H6093" s="1">
        <v>-1.044068E-5</v>
      </c>
      <c r="I6093">
        <v>27.564299999999999</v>
      </c>
      <c r="J6093">
        <v>-422.4325</v>
      </c>
      <c r="K6093">
        <v>1.121715</v>
      </c>
      <c r="L6093">
        <v>39.89987</v>
      </c>
      <c r="M6093">
        <v>-7.3637540000000001E-3</v>
      </c>
      <c r="N6093">
        <v>-1.4603980000000001E-2</v>
      </c>
      <c r="O6093">
        <v>-0.99986640000000004</v>
      </c>
      <c r="P6093">
        <v>0.45142080000000001</v>
      </c>
      <c r="Q6093">
        <v>-9.6473809999999993E-2</v>
      </c>
      <c r="R6093">
        <v>-0.88708099999999901</v>
      </c>
      <c r="S6093">
        <v>2.1673279999999999</v>
      </c>
      <c r="T6093">
        <v>-0.20160649999999999</v>
      </c>
      <c r="U6093">
        <v>-2.2583009999999999</v>
      </c>
      <c r="V6093">
        <v>-0.45778550000000001</v>
      </c>
      <c r="W6093">
        <v>-8.4407739999999995E-2</v>
      </c>
      <c r="X6093">
        <v>0.88504680000000002</v>
      </c>
      <c r="Y6093">
        <v>-0.69653390000000004</v>
      </c>
      <c r="Z6093">
        <v>4.946652E-2</v>
      </c>
      <c r="AA6093">
        <v>0.71581669999999997</v>
      </c>
      <c r="AB6093">
        <v>23</v>
      </c>
      <c r="AC6093">
        <v>12.058499999999899</v>
      </c>
      <c r="AD6093">
        <v>-1.1217254406799999</v>
      </c>
      <c r="AE6093">
        <v>-12.335570000000001</v>
      </c>
      <c r="AF6093">
        <v>-12.0978638632119</v>
      </c>
      <c r="AG6093">
        <v>-1.1217254406799999</v>
      </c>
      <c r="AH6093">
        <v>12.1948651263915</v>
      </c>
      <c r="AI6093">
        <v>93.736183994084996</v>
      </c>
      <c r="AJ6093">
        <v>134.77121823355799</v>
      </c>
      <c r="AK6093">
        <v>17.214276443346598</v>
      </c>
      <c r="AL6093">
        <v>94.841968310930596</v>
      </c>
      <c r="AM6093">
        <v>117.350012269291</v>
      </c>
      <c r="AN6093">
        <v>1.0000000343861899</v>
      </c>
    </row>
    <row r="6094" spans="1:40" x14ac:dyDescent="0.25">
      <c r="A6094" t="str">
        <f>"20190303154932631"</f>
        <v>20190303154932631</v>
      </c>
      <c r="B6094" t="str">
        <f>"1551599372627400"</f>
        <v>1551599372627400</v>
      </c>
      <c r="C6094" t="s">
        <v>40</v>
      </c>
      <c r="D6094">
        <v>4.9798850000000003</v>
      </c>
      <c r="E6094">
        <v>0.55934289999999998</v>
      </c>
      <c r="F6094" t="s">
        <v>42</v>
      </c>
      <c r="G6094">
        <v>-421.93650000000002</v>
      </c>
      <c r="H6094">
        <v>1.050824</v>
      </c>
      <c r="I6094">
        <v>39.063499999999998</v>
      </c>
      <c r="J6094">
        <v>-422.43270000000001</v>
      </c>
      <c r="K6094">
        <v>1.1218269999999999</v>
      </c>
      <c r="L6094">
        <v>39.669649999999997</v>
      </c>
      <c r="M6094">
        <v>-5.9855630000000002E-3</v>
      </c>
      <c r="N6094">
        <v>-1.460505E-2</v>
      </c>
      <c r="O6094">
        <v>-0.99987550000000003</v>
      </c>
      <c r="P6094">
        <v>0.45105339999999999</v>
      </c>
      <c r="Q6094">
        <v>-9.7424780000000002E-2</v>
      </c>
      <c r="R6094">
        <v>-0.88716349999999999</v>
      </c>
      <c r="S6094">
        <v>1.52984599999999</v>
      </c>
      <c r="T6094">
        <v>-0.21864159999999999</v>
      </c>
      <c r="U6094">
        <v>-2.5795590000000002</v>
      </c>
      <c r="V6094">
        <v>-0.4561771</v>
      </c>
      <c r="W6094">
        <v>-8.5458190000000003E-2</v>
      </c>
      <c r="X6094">
        <v>0.88577609999999996</v>
      </c>
      <c r="Y6094">
        <v>-0.51407919999999996</v>
      </c>
      <c r="Z6094">
        <v>5.7993990000000002E-2</v>
      </c>
      <c r="AA6094">
        <v>0.85577990000000004</v>
      </c>
      <c r="AB6094">
        <v>23</v>
      </c>
      <c r="AC6094">
        <v>0.49619999999998698</v>
      </c>
      <c r="AD6094">
        <v>-7.1003000000000094E-2</v>
      </c>
      <c r="AE6094">
        <v>-0.60614999999999897</v>
      </c>
      <c r="AF6094">
        <v>-0.49574673267903402</v>
      </c>
      <c r="AG6094">
        <v>-7.1003000000000094E-2</v>
      </c>
      <c r="AH6094">
        <v>0.59825370615895301</v>
      </c>
      <c r="AI6094">
        <v>95.221485588306805</v>
      </c>
      <c r="AJ6094">
        <v>129.647059845021</v>
      </c>
      <c r="AK6094">
        <v>0.78020109324703002</v>
      </c>
      <c r="AL6094">
        <v>94.9023732216627</v>
      </c>
      <c r="AM6094">
        <v>117.248590560387</v>
      </c>
      <c r="AN6094">
        <v>0.99999997406684704</v>
      </c>
    </row>
    <row r="6095" spans="1:40" x14ac:dyDescent="0.25">
      <c r="A6095" t="str">
        <f>"20190303154932653"</f>
        <v>20190303154932653</v>
      </c>
      <c r="B6095" t="str">
        <f>"1551599372646919"</f>
        <v>1551599372646919</v>
      </c>
      <c r="C6095" t="s">
        <v>40</v>
      </c>
      <c r="D6095">
        <v>4.7316159999999998</v>
      </c>
      <c r="E6095">
        <v>0.57402379999999997</v>
      </c>
      <c r="F6095" t="s">
        <v>64</v>
      </c>
      <c r="G6095">
        <v>-418.00020000000001</v>
      </c>
      <c r="H6095" s="1">
        <v>-7.56576699999999E-6</v>
      </c>
      <c r="I6095">
        <v>25.986550000000001</v>
      </c>
      <c r="J6095">
        <v>-422.4323</v>
      </c>
      <c r="K6095">
        <v>1.1219539999999999</v>
      </c>
      <c r="L6095">
        <v>39.443330000000003</v>
      </c>
      <c r="M6095">
        <v>-4.4252060000000001E-3</v>
      </c>
      <c r="N6095">
        <v>-1.460653E-2</v>
      </c>
      <c r="O6095">
        <v>-0.99988379999999999</v>
      </c>
      <c r="P6095">
        <v>0.45074690000000001</v>
      </c>
      <c r="Q6095">
        <v>-9.7759540000000006E-2</v>
      </c>
      <c r="R6095">
        <v>-0.88728259999999903</v>
      </c>
      <c r="S6095">
        <v>0.93328860000000002</v>
      </c>
      <c r="T6095">
        <v>-0.2362128</v>
      </c>
      <c r="U6095">
        <v>-2.8811040000000001</v>
      </c>
      <c r="V6095">
        <v>-0.45446389999999998</v>
      </c>
      <c r="W6095">
        <v>-8.5912059999999998E-2</v>
      </c>
      <c r="X6095">
        <v>0.88661250000000003</v>
      </c>
      <c r="Y6095">
        <v>-0.31155569999999999</v>
      </c>
      <c r="Z6095">
        <v>6.3125630000000002E-2</v>
      </c>
      <c r="AA6095">
        <v>0.94812879999999999</v>
      </c>
      <c r="AB6095">
        <v>23</v>
      </c>
      <c r="AC6095">
        <v>4.4320999999999904</v>
      </c>
      <c r="AD6095">
        <v>-1.1219615657669999</v>
      </c>
      <c r="AE6095">
        <v>-13.456779999999901</v>
      </c>
      <c r="AF6095">
        <v>-4.4636199341620797</v>
      </c>
      <c r="AG6095">
        <v>-1.1219615657669999</v>
      </c>
      <c r="AH6095">
        <v>13.3532926948042</v>
      </c>
      <c r="AI6095">
        <v>94.556112466327704</v>
      </c>
      <c r="AJ6095">
        <v>108.483292648175</v>
      </c>
      <c r="AK6095">
        <v>14.124203569221899</v>
      </c>
      <c r="AL6095">
        <v>94.928473814036195</v>
      </c>
      <c r="AM6095">
        <v>117.138977700193</v>
      </c>
      <c r="AN6095">
        <v>1.00000002180645</v>
      </c>
    </row>
    <row r="6096" spans="1:40" x14ac:dyDescent="0.25">
      <c r="A6096" t="str">
        <f>"20190303154932676"</f>
        <v>20190303154932676</v>
      </c>
      <c r="B6096" t="str">
        <f>"1551599372667415"</f>
        <v>1551599372667415</v>
      </c>
      <c r="C6096" t="s">
        <v>40</v>
      </c>
      <c r="D6096">
        <v>4.9999719999999996</v>
      </c>
      <c r="E6096">
        <v>0.57957910000000001</v>
      </c>
      <c r="F6096" t="s">
        <v>64</v>
      </c>
      <c r="G6096">
        <v>-417.86369999999999</v>
      </c>
      <c r="H6096" s="1">
        <v>-7.3065819999999902E-6</v>
      </c>
      <c r="I6096">
        <v>23.256</v>
      </c>
      <c r="J6096">
        <v>-422.43130000000002</v>
      </c>
      <c r="K6096">
        <v>1.1221099999999999</v>
      </c>
      <c r="L6096">
        <v>39.219670000000001</v>
      </c>
      <c r="M6096">
        <v>-2.6569319999999999E-3</v>
      </c>
      <c r="N6096">
        <v>-1.4608909999999999E-2</v>
      </c>
      <c r="O6096">
        <v>-0.99988969999999999</v>
      </c>
      <c r="P6096">
        <v>0.44983479999999998</v>
      </c>
      <c r="Q6096">
        <v>-9.8379060000000004E-2</v>
      </c>
      <c r="R6096">
        <v>-0.88767680000000004</v>
      </c>
      <c r="S6096">
        <v>0.829070999999999</v>
      </c>
      <c r="T6096">
        <v>-0.20360339999999999</v>
      </c>
      <c r="U6096">
        <v>-2.9375309999999999</v>
      </c>
      <c r="V6096">
        <v>-0.45195419999999997</v>
      </c>
      <c r="W6096">
        <v>-8.6668529999999994E-2</v>
      </c>
      <c r="X6096">
        <v>0.88782099999999897</v>
      </c>
      <c r="Y6096">
        <v>-0.27365309999999998</v>
      </c>
      <c r="Z6096">
        <v>5.1944369999999997E-2</v>
      </c>
      <c r="AA6096">
        <v>0.96042479999999997</v>
      </c>
      <c r="AB6096">
        <v>23</v>
      </c>
      <c r="AC6096">
        <v>4.5676000000000201</v>
      </c>
      <c r="AD6096">
        <v>-1.122117306582</v>
      </c>
      <c r="AE6096">
        <v>-15.96367</v>
      </c>
      <c r="AF6096">
        <v>-4.5890443333205804</v>
      </c>
      <c r="AG6096">
        <v>-1.122117306582</v>
      </c>
      <c r="AH6096">
        <v>15.878956344633201</v>
      </c>
      <c r="AI6096">
        <v>93.8837763102607</v>
      </c>
      <c r="AJ6096">
        <v>106.11938029593</v>
      </c>
      <c r="AK6096">
        <v>16.5668261817912</v>
      </c>
      <c r="AL6096">
        <v>94.971978331208504</v>
      </c>
      <c r="AM6096">
        <v>116.97882639328699</v>
      </c>
      <c r="AN6096">
        <v>1.0000000805154901</v>
      </c>
    </row>
    <row r="6097" spans="1:40" x14ac:dyDescent="0.25">
      <c r="A6097" t="str">
        <f>"20190303154932700"</f>
        <v>20190303154932700</v>
      </c>
      <c r="B6097" t="str">
        <f>"1551599372686935"</f>
        <v>1551599372686935</v>
      </c>
      <c r="C6097" t="s">
        <v>40</v>
      </c>
      <c r="D6097">
        <v>4.9496260000000003</v>
      </c>
      <c r="E6097">
        <v>0.58358659999999996</v>
      </c>
      <c r="F6097" t="s">
        <v>64</v>
      </c>
      <c r="G6097">
        <v>-418.5926</v>
      </c>
      <c r="H6097" s="1">
        <v>-7.2222199999999998E-6</v>
      </c>
      <c r="I6097">
        <v>24.780719999999999</v>
      </c>
      <c r="J6097">
        <v>-422.42959999999999</v>
      </c>
      <c r="K6097">
        <v>1.122304</v>
      </c>
      <c r="L6097">
        <v>38.983060000000002</v>
      </c>
      <c r="M6097">
        <v>-5.232851E-4</v>
      </c>
      <c r="N6097">
        <v>-1.4612719999999999E-2</v>
      </c>
      <c r="O6097">
        <v>-0.99989309999999998</v>
      </c>
      <c r="P6097">
        <v>0.44883050000000002</v>
      </c>
      <c r="Q6097">
        <v>-9.7956710000000002E-2</v>
      </c>
      <c r="R6097">
        <v>-0.88823189999999996</v>
      </c>
      <c r="S6097">
        <v>0.78585819999999995</v>
      </c>
      <c r="T6097">
        <v>-0.22971929999999999</v>
      </c>
      <c r="U6097">
        <v>-2.9559329999999999</v>
      </c>
      <c r="V6097">
        <v>-0.4490209</v>
      </c>
      <c r="W6097">
        <v>-8.6408570000000004E-2</v>
      </c>
      <c r="X6097">
        <v>0.88933329999999999</v>
      </c>
      <c r="Y6097">
        <v>-0.25680530000000001</v>
      </c>
      <c r="Z6097">
        <v>6.0309969999999997E-2</v>
      </c>
      <c r="AA6097">
        <v>0.96457959999999998</v>
      </c>
      <c r="AB6097">
        <v>23</v>
      </c>
      <c r="AC6097">
        <v>3.8369999999999802</v>
      </c>
      <c r="AD6097">
        <v>-1.12231122222</v>
      </c>
      <c r="AE6097">
        <v>-14.2023399999999</v>
      </c>
      <c r="AF6097">
        <v>-3.8221876179419998</v>
      </c>
      <c r="AG6097">
        <v>-1.12231122222</v>
      </c>
      <c r="AH6097">
        <v>14.118164527295701</v>
      </c>
      <c r="AI6097">
        <v>94.387813931496893</v>
      </c>
      <c r="AJ6097">
        <v>105.148464731625</v>
      </c>
      <c r="AK6097">
        <v>14.669399111281299</v>
      </c>
      <c r="AL6097">
        <v>94.957028212812503</v>
      </c>
      <c r="AM6097">
        <v>116.789031315324</v>
      </c>
      <c r="AN6097">
        <v>0.99999996404757097</v>
      </c>
    </row>
    <row r="6098" spans="1:40" x14ac:dyDescent="0.25">
      <c r="A6098" t="str">
        <f>"20190303154932722"</f>
        <v>20190303154932722</v>
      </c>
      <c r="B6098" t="str">
        <f>"1551599372717190"</f>
        <v>1551599372717190</v>
      </c>
      <c r="C6098" t="s">
        <v>40</v>
      </c>
      <c r="D6098">
        <v>4.9781769999999996</v>
      </c>
      <c r="E6098">
        <v>0.58539200000000002</v>
      </c>
      <c r="F6098" t="s">
        <v>64</v>
      </c>
      <c r="G6098">
        <v>-418.71870000000001</v>
      </c>
      <c r="H6098" s="1">
        <v>-7.1306830000000004E-6</v>
      </c>
      <c r="I6098">
        <v>24.360399999999998</v>
      </c>
      <c r="J6098">
        <v>-422.42720000000003</v>
      </c>
      <c r="K6098">
        <v>1.1224940000000001</v>
      </c>
      <c r="L6098">
        <v>38.766109999999998</v>
      </c>
      <c r="M6098">
        <v>1.704875E-3</v>
      </c>
      <c r="N6098">
        <v>-1.461751E-2</v>
      </c>
      <c r="O6098">
        <v>-0.99989189999999994</v>
      </c>
      <c r="P6098">
        <v>0.44765549999999998</v>
      </c>
      <c r="Q6098">
        <v>-9.8200380000000004E-2</v>
      </c>
      <c r="R6098">
        <v>-0.88879769999999902</v>
      </c>
      <c r="S6098">
        <v>0.75405880000000003</v>
      </c>
      <c r="T6098">
        <v>-0.2280529</v>
      </c>
      <c r="U6098">
        <v>-2.9713129999999999</v>
      </c>
      <c r="V6098">
        <v>-0.44582769999999999</v>
      </c>
      <c r="W6098">
        <v>-8.6804649999999997E-2</v>
      </c>
      <c r="X6098">
        <v>0.89089989999999997</v>
      </c>
      <c r="Y6098">
        <v>-0.24373529999999999</v>
      </c>
      <c r="Z6098">
        <v>5.9622679999999997E-2</v>
      </c>
      <c r="AA6098">
        <v>0.96800730000000001</v>
      </c>
      <c r="AB6098">
        <v>23</v>
      </c>
      <c r="AC6098">
        <v>3.7085000000000101</v>
      </c>
      <c r="AD6098">
        <v>-1.1225011306829999</v>
      </c>
      <c r="AE6098">
        <v>-14.405709999999999</v>
      </c>
      <c r="AF6098">
        <v>-3.6630736038223102</v>
      </c>
      <c r="AG6098">
        <v>-1.1225011306829999</v>
      </c>
      <c r="AH6098">
        <v>14.3304113407243</v>
      </c>
      <c r="AI6098">
        <v>94.339854167620302</v>
      </c>
      <c r="AJ6098">
        <v>104.338653165396</v>
      </c>
      <c r="AK6098">
        <v>14.833705073573601</v>
      </c>
      <c r="AL6098">
        <v>94.979807295012904</v>
      </c>
      <c r="AM6098">
        <v>116.58448304338501</v>
      </c>
      <c r="AN6098">
        <v>1.00000000858446</v>
      </c>
    </row>
    <row r="6099" spans="1:40" x14ac:dyDescent="0.25">
      <c r="A6099" t="str">
        <f>"20190303154932743"</f>
        <v>20190303154932743</v>
      </c>
      <c r="B6099" t="str">
        <f>"1551599372736712"</f>
        <v>1551599372736712</v>
      </c>
      <c r="C6099" t="s">
        <v>40</v>
      </c>
      <c r="D6099">
        <v>4.7987479999999998</v>
      </c>
      <c r="E6099">
        <v>0.58497639999999995</v>
      </c>
      <c r="F6099" t="s">
        <v>64</v>
      </c>
      <c r="G6099">
        <v>-419.07369999999997</v>
      </c>
      <c r="H6099" s="1">
        <v>-7.1022399999999896E-6</v>
      </c>
      <c r="I6099">
        <v>25.215479999999999</v>
      </c>
      <c r="J6099">
        <v>-422.42399999999998</v>
      </c>
      <c r="K6099">
        <v>1.122681</v>
      </c>
      <c r="L6099">
        <v>38.54712</v>
      </c>
      <c r="M6099">
        <v>4.2287720000000004E-3</v>
      </c>
      <c r="N6099">
        <v>-1.462334E-2</v>
      </c>
      <c r="O6099">
        <v>-0.99988429999999995</v>
      </c>
      <c r="P6099">
        <v>0.44630520000000001</v>
      </c>
      <c r="Q6099">
        <v>-9.8260500000000001E-2</v>
      </c>
      <c r="R6099">
        <v>-0.88946990000000004</v>
      </c>
      <c r="S6099">
        <v>0.73675539999999995</v>
      </c>
      <c r="T6099">
        <v>-0.24660899999999999</v>
      </c>
      <c r="U6099">
        <v>-2.97702</v>
      </c>
      <c r="V6099">
        <v>-0.44219079999999999</v>
      </c>
      <c r="W6099">
        <v>-8.7005879999999994E-2</v>
      </c>
      <c r="X6099">
        <v>0.89269100000000001</v>
      </c>
      <c r="Y6099">
        <v>-0.23544689999999999</v>
      </c>
      <c r="Z6099">
        <v>6.5616320000000006E-2</v>
      </c>
      <c r="AA6099">
        <v>0.96966960000000002</v>
      </c>
      <c r="AB6099">
        <v>22</v>
      </c>
      <c r="AC6099">
        <v>3.3503000000000598</v>
      </c>
      <c r="AD6099">
        <v>-1.1226881022399999</v>
      </c>
      <c r="AE6099">
        <v>-13.33164</v>
      </c>
      <c r="AF6099">
        <v>-3.2720614396146401</v>
      </c>
      <c r="AG6099">
        <v>-1.1226881022399999</v>
      </c>
      <c r="AH6099">
        <v>13.2572581010102</v>
      </c>
      <c r="AI6099">
        <v>94.700149877027499</v>
      </c>
      <c r="AJ6099">
        <v>103.86424565821601</v>
      </c>
      <c r="AK6099">
        <v>13.7011571407792</v>
      </c>
      <c r="AL6099">
        <v>94.991380884198406</v>
      </c>
      <c r="AM6099">
        <v>116.351324675271</v>
      </c>
      <c r="AN6099">
        <v>0.99999997412010599</v>
      </c>
    </row>
    <row r="6100" spans="1:40" x14ac:dyDescent="0.25">
      <c r="A6100" t="str">
        <f>"20190303154932765"</f>
        <v>20190303154932765</v>
      </c>
      <c r="B6100" t="str">
        <f>"1551599372757207"</f>
        <v>1551599372757207</v>
      </c>
      <c r="C6100" t="s">
        <v>40</v>
      </c>
      <c r="D6100">
        <v>5.0057130000000001</v>
      </c>
      <c r="E6100">
        <v>0.58450939999999996</v>
      </c>
      <c r="F6100" t="s">
        <v>64</v>
      </c>
      <c r="G6100">
        <v>-419.15789999999998</v>
      </c>
      <c r="H6100" s="1">
        <v>-7.0842679999999899E-6</v>
      </c>
      <c r="I6100">
        <v>25.318269999999998</v>
      </c>
      <c r="J6100">
        <v>-422.42</v>
      </c>
      <c r="K6100">
        <v>1.122835</v>
      </c>
      <c r="L6100">
        <v>38.33334</v>
      </c>
      <c r="M6100">
        <v>6.9085989999999996E-3</v>
      </c>
      <c r="N6100">
        <v>-1.4629069999999999E-2</v>
      </c>
      <c r="O6100">
        <v>-0.99986920000000001</v>
      </c>
      <c r="P6100">
        <v>0.4455945</v>
      </c>
      <c r="Q6100">
        <v>-9.7872020000000004E-2</v>
      </c>
      <c r="R6100">
        <v>-0.88986900000000002</v>
      </c>
      <c r="S6100">
        <v>0.73480219999999996</v>
      </c>
      <c r="T6100">
        <v>-0.25257980000000002</v>
      </c>
      <c r="U6100">
        <v>-2.9761959999999998</v>
      </c>
      <c r="V6100">
        <v>-0.43905870000000002</v>
      </c>
      <c r="W6100">
        <v>-8.6728589999999994E-2</v>
      </c>
      <c r="X6100">
        <v>0.89426269999999997</v>
      </c>
      <c r="Y6100">
        <v>-0.23227139999999999</v>
      </c>
      <c r="Z6100">
        <v>6.7604049999999999E-2</v>
      </c>
      <c r="AA6100">
        <v>0.97029880000000002</v>
      </c>
      <c r="AB6100">
        <v>22</v>
      </c>
      <c r="AC6100">
        <v>3.26210000000003</v>
      </c>
      <c r="AD6100">
        <v>-1.122842084268</v>
      </c>
      <c r="AE6100">
        <v>-13.0150699999999</v>
      </c>
      <c r="AF6100">
        <v>-3.1500368957779399</v>
      </c>
      <c r="AG6100">
        <v>-1.122842084268</v>
      </c>
      <c r="AH6100">
        <v>12.946632953268599</v>
      </c>
      <c r="AI6100">
        <v>94.816934259257394</v>
      </c>
      <c r="AJ6100">
        <v>103.67488332809</v>
      </c>
      <c r="AK6100">
        <v>13.3715672835171</v>
      </c>
      <c r="AL6100">
        <v>94.975432507051494</v>
      </c>
      <c r="AM6100">
        <v>116.14978454310101</v>
      </c>
      <c r="AN6100">
        <v>1.0000000834901801</v>
      </c>
    </row>
    <row r="6101" spans="1:40" x14ac:dyDescent="0.25">
      <c r="A6101" t="str">
        <f>"20190303154932787"</f>
        <v>20190303154932787</v>
      </c>
      <c r="B6101" t="str">
        <f>"1551599372776727"</f>
        <v>1551599372776727</v>
      </c>
      <c r="C6101" t="s">
        <v>40</v>
      </c>
      <c r="D6101">
        <v>4.9919739999999999</v>
      </c>
      <c r="E6101">
        <v>0.58467550000000001</v>
      </c>
      <c r="F6101" t="s">
        <v>64</v>
      </c>
      <c r="G6101">
        <v>-419.1927</v>
      </c>
      <c r="H6101" s="1">
        <v>-7.068057E-6</v>
      </c>
      <c r="I6101">
        <v>25.282859999999999</v>
      </c>
      <c r="J6101">
        <v>-422.4151</v>
      </c>
      <c r="K6101">
        <v>1.12296</v>
      </c>
      <c r="L6101">
        <v>38.11307</v>
      </c>
      <c r="M6101">
        <v>9.8807900000000004E-3</v>
      </c>
      <c r="N6101">
        <v>-1.46342E-2</v>
      </c>
      <c r="O6101">
        <v>-0.99984419999999996</v>
      </c>
      <c r="P6101">
        <v>0.4454979</v>
      </c>
      <c r="Q6101">
        <v>-9.6934820000000005E-2</v>
      </c>
      <c r="R6101">
        <v>-0.89001969999999997</v>
      </c>
      <c r="S6101">
        <v>0.73565669999999905</v>
      </c>
      <c r="T6101">
        <v>-0.25594630000000002</v>
      </c>
      <c r="U6101">
        <v>-2.9747919999999999</v>
      </c>
      <c r="V6101">
        <v>-0.43628410000000001</v>
      </c>
      <c r="W6101">
        <v>-8.5877949999999995E-2</v>
      </c>
      <c r="X6101">
        <v>0.89570149999999904</v>
      </c>
      <c r="Y6101">
        <v>-0.2297302</v>
      </c>
      <c r="Z6101">
        <v>6.8750510000000001E-2</v>
      </c>
      <c r="AA6101">
        <v>0.97082299999999999</v>
      </c>
      <c r="AB6101">
        <v>22</v>
      </c>
      <c r="AC6101">
        <v>3.2223999999999902</v>
      </c>
      <c r="AD6101">
        <v>-1.1229670680570001</v>
      </c>
      <c r="AE6101">
        <v>-12.830209999999999</v>
      </c>
      <c r="AF6101">
        <v>-3.0733098933516101</v>
      </c>
      <c r="AG6101">
        <v>-1.1229670680570001</v>
      </c>
      <c r="AH6101">
        <v>12.769409106125501</v>
      </c>
      <c r="AI6101">
        <v>94.886932394983702</v>
      </c>
      <c r="AJ6101">
        <v>103.532433225392</v>
      </c>
      <c r="AK6101">
        <v>13.181961070194101</v>
      </c>
      <c r="AL6101">
        <v>94.926512275202199</v>
      </c>
      <c r="AM6101">
        <v>115.970087541672</v>
      </c>
      <c r="AN6101">
        <v>1.0000000076556299</v>
      </c>
    </row>
    <row r="6102" spans="1:40" x14ac:dyDescent="0.25">
      <c r="A6102" t="str">
        <f>"20190303154932809"</f>
        <v>20190303154932809</v>
      </c>
      <c r="B6102" t="str">
        <f>"1551599372806983"</f>
        <v>1551599372806983</v>
      </c>
      <c r="C6102" t="s">
        <v>40</v>
      </c>
      <c r="D6102">
        <v>4.9868009999999998</v>
      </c>
      <c r="E6102">
        <v>0.58462230000000004</v>
      </c>
      <c r="F6102" t="s">
        <v>64</v>
      </c>
      <c r="G6102">
        <v>-419.30880000000002</v>
      </c>
      <c r="H6102" s="1">
        <v>-7.0537809999999998E-6</v>
      </c>
      <c r="I6102">
        <v>25.518219999999999</v>
      </c>
      <c r="J6102">
        <v>-422.40910000000002</v>
      </c>
      <c r="K6102">
        <v>1.123073</v>
      </c>
      <c r="L6102">
        <v>37.884189999999997</v>
      </c>
      <c r="M6102">
        <v>1.319061E-2</v>
      </c>
      <c r="N6102">
        <v>-1.4638719999999999E-2</v>
      </c>
      <c r="O6102">
        <v>-0.99980590000000003</v>
      </c>
      <c r="P6102">
        <v>0.44595279999999998</v>
      </c>
      <c r="Q6102">
        <v>-9.667212E-2</v>
      </c>
      <c r="R6102">
        <v>-0.88982090000000003</v>
      </c>
      <c r="S6102">
        <v>0.73364259999999903</v>
      </c>
      <c r="T6102">
        <v>-0.26521860000000003</v>
      </c>
      <c r="U6102">
        <v>-2.9746090000000001</v>
      </c>
      <c r="V6102">
        <v>-0.43375789999999997</v>
      </c>
      <c r="W6102">
        <v>-8.5691530000000002E-2</v>
      </c>
      <c r="X6102">
        <v>0.8969454</v>
      </c>
      <c r="Y6102">
        <v>-0.22584779999999999</v>
      </c>
      <c r="Z6102">
        <v>7.1798000000000001E-2</v>
      </c>
      <c r="AA6102">
        <v>0.97151319999999997</v>
      </c>
      <c r="AB6102">
        <v>22</v>
      </c>
      <c r="AC6102">
        <v>3.1002999999999998</v>
      </c>
      <c r="AD6102">
        <v>-1.123080053781</v>
      </c>
      <c r="AE6102">
        <v>-12.365970000000001</v>
      </c>
      <c r="AF6102">
        <v>-2.9142817409821702</v>
      </c>
      <c r="AG6102">
        <v>-1.123080053781</v>
      </c>
      <c r="AH6102">
        <v>12.310259246858299</v>
      </c>
      <c r="AI6102">
        <v>95.073271176601494</v>
      </c>
      <c r="AJ6102">
        <v>103.318775562498</v>
      </c>
      <c r="AK6102">
        <v>12.7002688789602</v>
      </c>
      <c r="AL6102">
        <v>94.915791702780894</v>
      </c>
      <c r="AM6102">
        <v>115.80815724455201</v>
      </c>
      <c r="AN6102">
        <v>1.0000000023536499</v>
      </c>
    </row>
    <row r="6103" spans="1:40" x14ac:dyDescent="0.25">
      <c r="A6103" t="str">
        <f>"20190303154932833"</f>
        <v>20190303154932833</v>
      </c>
      <c r="B6103" t="str">
        <f>"1551599372826502"</f>
        <v>1551599372826502</v>
      </c>
      <c r="C6103" t="s">
        <v>40</v>
      </c>
      <c r="D6103">
        <v>5.0148979999999996</v>
      </c>
      <c r="E6103">
        <v>0.58478149999999995</v>
      </c>
      <c r="F6103" t="s">
        <v>64</v>
      </c>
      <c r="G6103">
        <v>-419.40960000000001</v>
      </c>
      <c r="H6103" s="1">
        <v>-7.04492499999999E-6</v>
      </c>
      <c r="I6103">
        <v>25.75422</v>
      </c>
      <c r="J6103">
        <v>-422.40219999999999</v>
      </c>
      <c r="K6103">
        <v>1.123181</v>
      </c>
      <c r="L6103">
        <v>37.659579999999998</v>
      </c>
      <c r="M6103">
        <v>1.665411E-2</v>
      </c>
      <c r="N6103">
        <v>-1.4643400000000001E-2</v>
      </c>
      <c r="O6103">
        <v>-0.99975409999999998</v>
      </c>
      <c r="P6103">
        <v>0.44703609999999999</v>
      </c>
      <c r="Q6103">
        <v>-9.5620620000000003E-2</v>
      </c>
      <c r="R6103">
        <v>-0.88939049999999997</v>
      </c>
      <c r="S6103">
        <v>0.7351685</v>
      </c>
      <c r="T6103">
        <v>-0.27527239999999997</v>
      </c>
      <c r="U6103">
        <v>-2.9731139999999998</v>
      </c>
      <c r="V6103">
        <v>-0.43172709999999997</v>
      </c>
      <c r="W6103">
        <v>-8.4717940000000005E-2</v>
      </c>
      <c r="X6103">
        <v>0.89801699999999995</v>
      </c>
      <c r="Y6103">
        <v>-0.22299450000000001</v>
      </c>
      <c r="Z6103">
        <v>7.5111899999999995E-2</v>
      </c>
      <c r="AA6103">
        <v>0.97192160000000005</v>
      </c>
      <c r="AB6103">
        <v>22</v>
      </c>
      <c r="AC6103">
        <v>2.9925999999999799</v>
      </c>
      <c r="AD6103">
        <v>-1.123188044925</v>
      </c>
      <c r="AE6103">
        <v>-11.9053599999999</v>
      </c>
      <c r="AF6103">
        <v>-2.7706951438668201</v>
      </c>
      <c r="AG6103">
        <v>-1.123188044925</v>
      </c>
      <c r="AH6103">
        <v>11.854312757367101</v>
      </c>
      <c r="AI6103">
        <v>95.271340320737906</v>
      </c>
      <c r="AJ6103">
        <v>103.155512946805</v>
      </c>
      <c r="AK6103">
        <v>12.225507511509999</v>
      </c>
      <c r="AL6103">
        <v>94.8598056388564</v>
      </c>
      <c r="AM6103">
        <v>115.67620196287299</v>
      </c>
      <c r="AN6103">
        <v>0.99999997526062601</v>
      </c>
    </row>
    <row r="6104" spans="1:40" x14ac:dyDescent="0.25">
      <c r="A6104" t="str">
        <f>"20190303154932853"</f>
        <v>20190303154932853</v>
      </c>
      <c r="B6104" t="str">
        <f>"1551599372846999"</f>
        <v>1551599372846999</v>
      </c>
      <c r="C6104" t="s">
        <v>40</v>
      </c>
      <c r="D6104">
        <v>5.0519069999999999</v>
      </c>
      <c r="E6104">
        <v>0.58446940000000003</v>
      </c>
      <c r="F6104" t="s">
        <v>64</v>
      </c>
      <c r="G6104">
        <v>-419.36669999999998</v>
      </c>
      <c r="H6104" s="1">
        <v>-7.0225769999999999E-6</v>
      </c>
      <c r="I6104">
        <v>25.421420000000001</v>
      </c>
      <c r="J6104">
        <v>-422.3947</v>
      </c>
      <c r="K6104">
        <v>1.123294</v>
      </c>
      <c r="L6104">
        <v>37.447049999999997</v>
      </c>
      <c r="M6104">
        <v>2.0124380000000001E-2</v>
      </c>
      <c r="N6104">
        <v>-1.464883E-2</v>
      </c>
      <c r="O6104">
        <v>-0.99969019999999997</v>
      </c>
      <c r="P6104">
        <v>0.44834249999999998</v>
      </c>
      <c r="Q6104">
        <v>-9.3217460000000002E-2</v>
      </c>
      <c r="R6104">
        <v>-0.888987999999999</v>
      </c>
      <c r="S6104">
        <v>0.73742680000000005</v>
      </c>
      <c r="T6104">
        <v>-0.2728623</v>
      </c>
      <c r="U6104">
        <v>-2.9730829999999999</v>
      </c>
      <c r="V6104">
        <v>-0.42991699999999999</v>
      </c>
      <c r="W6104">
        <v>-8.2397449999999997E-2</v>
      </c>
      <c r="X6104">
        <v>0.89910069999999997</v>
      </c>
      <c r="Y6104">
        <v>-0.22032560000000001</v>
      </c>
      <c r="Z6104">
        <v>7.4344770000000004E-2</v>
      </c>
      <c r="AA6104">
        <v>0.97258909999999998</v>
      </c>
      <c r="AB6104">
        <v>22</v>
      </c>
      <c r="AC6104">
        <v>3.02800000000002</v>
      </c>
      <c r="AD6104">
        <v>-1.1233010225769999</v>
      </c>
      <c r="AE6104">
        <v>-12.0256299999999</v>
      </c>
      <c r="AF6104">
        <v>-2.7626844639015502</v>
      </c>
      <c r="AG6104">
        <v>-1.1233010225769999</v>
      </c>
      <c r="AH6104">
        <v>11.9857935966175</v>
      </c>
      <c r="AI6104">
        <v>95.218050100365801</v>
      </c>
      <c r="AJ6104">
        <v>102.979784173038</v>
      </c>
      <c r="AK6104">
        <v>12.3512541377433</v>
      </c>
      <c r="AL6104">
        <v>94.726384539696795</v>
      </c>
      <c r="AM6104">
        <v>115.55541752678501</v>
      </c>
      <c r="AN6104">
        <v>1.00000001769799</v>
      </c>
    </row>
    <row r="6105" spans="1:40" x14ac:dyDescent="0.25">
      <c r="A6105" t="str">
        <f>"20190303154932877"</f>
        <v>20190303154932877</v>
      </c>
      <c r="B6105" t="str">
        <f>"1551599372866520"</f>
        <v>1551599372866520</v>
      </c>
      <c r="C6105" t="s">
        <v>40</v>
      </c>
      <c r="D6105">
        <v>5.0533380000000001</v>
      </c>
      <c r="E6105">
        <v>0.5841075</v>
      </c>
      <c r="F6105" t="s">
        <v>64</v>
      </c>
      <c r="G6105">
        <v>-419.32190000000003</v>
      </c>
      <c r="H6105" s="1">
        <v>-7.0102640000000003E-6</v>
      </c>
      <c r="I6105">
        <v>25.17231</v>
      </c>
      <c r="J6105">
        <v>-422.38580000000002</v>
      </c>
      <c r="K6105">
        <v>1.123429</v>
      </c>
      <c r="L6105">
        <v>37.223390000000002</v>
      </c>
      <c r="M6105">
        <v>2.3974479999999999E-2</v>
      </c>
      <c r="N6105">
        <v>-1.4655680000000001E-2</v>
      </c>
      <c r="O6105">
        <v>-0.99960519999999997</v>
      </c>
      <c r="P6105">
        <v>0.45102569999999997</v>
      </c>
      <c r="Q6105">
        <v>-9.1209269999999995E-2</v>
      </c>
      <c r="R6105">
        <v>-0.88783819999999902</v>
      </c>
      <c r="S6105">
        <v>0.74374390000000001</v>
      </c>
      <c r="T6105">
        <v>-0.2718893</v>
      </c>
      <c r="U6105">
        <v>-2.9710390000000002</v>
      </c>
      <c r="V6105">
        <v>-0.42915209999999998</v>
      </c>
      <c r="W6105">
        <v>-8.0502690000000002E-2</v>
      </c>
      <c r="X6105">
        <v>0.89963760000000004</v>
      </c>
      <c r="Y6105">
        <v>-0.21867919999999999</v>
      </c>
      <c r="Z6105">
        <v>7.4072059999999995E-2</v>
      </c>
      <c r="AA6105">
        <v>0.9729814</v>
      </c>
      <c r="AB6105">
        <v>22</v>
      </c>
      <c r="AC6105">
        <v>3.0638999999999799</v>
      </c>
      <c r="AD6105">
        <v>-1.123436010264</v>
      </c>
      <c r="AE6105">
        <v>-12.051080000000001</v>
      </c>
      <c r="AF6105">
        <v>-2.7516087742458</v>
      </c>
      <c r="AG6105">
        <v>-1.123436010264</v>
      </c>
      <c r="AH6105">
        <v>12.022937196739599</v>
      </c>
      <c r="AI6105">
        <v>95.204483820722203</v>
      </c>
      <c r="AJ6105">
        <v>102.890891844694</v>
      </c>
      <c r="AK6105">
        <v>12.3848487335296</v>
      </c>
      <c r="AL6105">
        <v>94.617460903596196</v>
      </c>
      <c r="AM6105">
        <v>115.50243726874299</v>
      </c>
      <c r="AN6105">
        <v>1.0000000096827</v>
      </c>
    </row>
    <row r="6106" spans="1:40" x14ac:dyDescent="0.25">
      <c r="A6106" t="str">
        <f>"20190303154932899"</f>
        <v>20190303154932899</v>
      </c>
      <c r="B6106" t="str">
        <f>"1551599372887016"</f>
        <v>1551599372887016</v>
      </c>
      <c r="C6106" t="s">
        <v>40</v>
      </c>
      <c r="D6106">
        <v>4.954771</v>
      </c>
      <c r="E6106">
        <v>0.58404129999999999</v>
      </c>
      <c r="F6106" t="s">
        <v>64</v>
      </c>
      <c r="G6106">
        <v>-419.28289999999998</v>
      </c>
      <c r="H6106" s="1">
        <v>-7.0076359999999998E-6</v>
      </c>
      <c r="I6106">
        <v>25.027180000000001</v>
      </c>
      <c r="J6106">
        <v>-422.37610000000001</v>
      </c>
      <c r="K6106">
        <v>1.1235580000000001</v>
      </c>
      <c r="L6106">
        <v>37.005220000000001</v>
      </c>
      <c r="M6106">
        <v>2.7931399999999999E-2</v>
      </c>
      <c r="N6106">
        <v>-1.466318E-2</v>
      </c>
      <c r="O6106">
        <v>-0.99950240000000001</v>
      </c>
      <c r="P6106">
        <v>0.4544224</v>
      </c>
      <c r="Q6106">
        <v>-9.0953720000000002E-2</v>
      </c>
      <c r="R6106">
        <v>-0.88613120000000001</v>
      </c>
      <c r="S6106">
        <v>0.75494380000000005</v>
      </c>
      <c r="T6106">
        <v>-0.27333560000000001</v>
      </c>
      <c r="U6106">
        <v>-2.9673769999999999</v>
      </c>
      <c r="V6106">
        <v>-0.429012</v>
      </c>
      <c r="W6106">
        <v>-8.0373559999999997E-2</v>
      </c>
      <c r="X6106">
        <v>0.89971599999999996</v>
      </c>
      <c r="Y6106">
        <v>-0.21854179999999901</v>
      </c>
      <c r="Z6106">
        <v>7.4593969999999996E-2</v>
      </c>
      <c r="AA6106">
        <v>0.97297239999999996</v>
      </c>
      <c r="AB6106">
        <v>22</v>
      </c>
      <c r="AC6106">
        <v>3.0932000000000199</v>
      </c>
      <c r="AD6106">
        <v>-1.123565007636</v>
      </c>
      <c r="AE6106">
        <v>-11.97804</v>
      </c>
      <c r="AF6106">
        <v>-2.7348345993255698</v>
      </c>
      <c r="AG6106">
        <v>-1.123565007636</v>
      </c>
      <c r="AH6106">
        <v>11.961108270542301</v>
      </c>
      <c r="AI6106">
        <v>95.232083205575407</v>
      </c>
      <c r="AJ6106">
        <v>102.878948348994</v>
      </c>
      <c r="AK6106">
        <v>12.321113166905301</v>
      </c>
      <c r="AL6106">
        <v>94.610038093504301</v>
      </c>
      <c r="AM6106">
        <v>115.493228422863</v>
      </c>
      <c r="AN6106">
        <v>1.0000000429735301</v>
      </c>
    </row>
    <row r="6107" spans="1:40" x14ac:dyDescent="0.25">
      <c r="A6107" t="str">
        <f>"20190303154932922"</f>
        <v>20190303154932922</v>
      </c>
      <c r="B6107" t="str">
        <f>"1551599372917272"</f>
        <v>1551599372917272</v>
      </c>
      <c r="C6107" t="s">
        <v>40</v>
      </c>
      <c r="D6107">
        <v>4.9484940000000002</v>
      </c>
      <c r="E6107">
        <v>0.58405890000000005</v>
      </c>
      <c r="F6107" t="s">
        <v>64</v>
      </c>
      <c r="G6107">
        <v>-419.267</v>
      </c>
      <c r="H6107" s="1">
        <v>-7.0086010000000004E-6</v>
      </c>
      <c r="I6107">
        <v>24.986080000000001</v>
      </c>
      <c r="J6107">
        <v>-422.36540000000002</v>
      </c>
      <c r="K6107">
        <v>1.1236889999999999</v>
      </c>
      <c r="L6107">
        <v>36.790990000000001</v>
      </c>
      <c r="M6107">
        <v>3.2029719999999998E-2</v>
      </c>
      <c r="N6107">
        <v>-1.4671089999999999E-2</v>
      </c>
      <c r="O6107">
        <v>-0.99937940000000003</v>
      </c>
      <c r="P6107">
        <v>0.45831880000000003</v>
      </c>
      <c r="Q6107">
        <v>-9.2120099999999996E-2</v>
      </c>
      <c r="R6107">
        <v>-0.88400109999999998</v>
      </c>
      <c r="S6107">
        <v>0.76669309999999902</v>
      </c>
      <c r="T6107">
        <v>-0.27706910000000001</v>
      </c>
      <c r="U6107">
        <v>-2.9638979999999999</v>
      </c>
      <c r="V6107">
        <v>-0.42925459999999899</v>
      </c>
      <c r="W6107">
        <v>-8.1669729999999996E-2</v>
      </c>
      <c r="X6107">
        <v>0.89948349999999899</v>
      </c>
      <c r="Y6107">
        <v>-0.21840689999999999</v>
      </c>
      <c r="Z6107">
        <v>7.5846839999999999E-2</v>
      </c>
      <c r="AA6107">
        <v>0.97290580000000004</v>
      </c>
      <c r="AB6107">
        <v>22</v>
      </c>
      <c r="AC6107">
        <v>3.0984000000000198</v>
      </c>
      <c r="AD6107">
        <v>-1.1236960086009999</v>
      </c>
      <c r="AE6107">
        <v>-11.80491</v>
      </c>
      <c r="AF6107">
        <v>-2.69580907881251</v>
      </c>
      <c r="AG6107">
        <v>-1.1236960086009999</v>
      </c>
      <c r="AH6107">
        <v>11.7980914923219</v>
      </c>
      <c r="AI6107">
        <v>95.304751601622399</v>
      </c>
      <c r="AJ6107">
        <v>102.87085909405999</v>
      </c>
      <c r="AK6107">
        <v>12.1542191098545</v>
      </c>
      <c r="AL6107">
        <v>94.684548276982298</v>
      </c>
      <c r="AM6107">
        <v>115.511569829324</v>
      </c>
      <c r="AN6107">
        <v>1.0000000115958401</v>
      </c>
    </row>
    <row r="6108" spans="1:40" x14ac:dyDescent="0.25">
      <c r="A6108" t="str">
        <f>"20190303154932944"</f>
        <v>20190303154932944</v>
      </c>
      <c r="B6108" t="str">
        <f>"1551599372937299"</f>
        <v>1551599372937299</v>
      </c>
      <c r="C6108" t="s">
        <v>40</v>
      </c>
      <c r="D6108">
        <v>5.1634339999999996</v>
      </c>
      <c r="E6108">
        <v>0.58408329999999997</v>
      </c>
      <c r="F6108" t="s">
        <v>64</v>
      </c>
      <c r="G6108">
        <v>-419.30509999999998</v>
      </c>
      <c r="H6108" s="1">
        <v>-7.0159720000000003E-6</v>
      </c>
      <c r="I6108">
        <v>25.17071</v>
      </c>
      <c r="J6108">
        <v>-422.35309999999998</v>
      </c>
      <c r="K6108">
        <v>1.1238220000000001</v>
      </c>
      <c r="L6108">
        <v>36.570979999999999</v>
      </c>
      <c r="M6108">
        <v>3.6479640000000001E-2</v>
      </c>
      <c r="N6108">
        <v>-1.4679940000000001E-2</v>
      </c>
      <c r="O6108">
        <v>-0.99922670000000002</v>
      </c>
      <c r="P6108">
        <v>0.46384370000000003</v>
      </c>
      <c r="Q6108">
        <v>-9.2720430000000006E-2</v>
      </c>
      <c r="R6108">
        <v>-0.88105180000000005</v>
      </c>
      <c r="S6108">
        <v>0.77944950000000002</v>
      </c>
      <c r="T6108">
        <v>-0.28620849999999998</v>
      </c>
      <c r="U6108">
        <v>-2.9597169999999999</v>
      </c>
      <c r="V6108">
        <v>-0.4308498</v>
      </c>
      <c r="W6108">
        <v>-8.2417480000000001E-2</v>
      </c>
      <c r="X6108">
        <v>0.89865219999999901</v>
      </c>
      <c r="Y6108">
        <v>-0.2182566</v>
      </c>
      <c r="Z6108">
        <v>7.8864390000000006E-2</v>
      </c>
      <c r="AA6108">
        <v>0.9726996</v>
      </c>
      <c r="AB6108">
        <v>22</v>
      </c>
      <c r="AC6108">
        <v>3.048</v>
      </c>
      <c r="AD6108">
        <v>-1.1238290159719999</v>
      </c>
      <c r="AE6108">
        <v>-11.400270000000001</v>
      </c>
      <c r="AF6108">
        <v>-2.6064093673853601</v>
      </c>
      <c r="AG6108">
        <v>-1.1238290159719999</v>
      </c>
      <c r="AH6108">
        <v>11.4004850914899</v>
      </c>
      <c r="AI6108">
        <v>95.489145456472301</v>
      </c>
      <c r="AJ6108">
        <v>102.87779180166</v>
      </c>
      <c r="AK6108">
        <v>11.7485072144855</v>
      </c>
      <c r="AL6108">
        <v>94.727536251187701</v>
      </c>
      <c r="AM6108">
        <v>115.61492216672301</v>
      </c>
      <c r="AN6108">
        <v>0.999999983867214</v>
      </c>
    </row>
    <row r="6109" spans="1:40" x14ac:dyDescent="0.25">
      <c r="A6109" t="str">
        <f>"20190303154932967"</f>
        <v>20190303154932967</v>
      </c>
      <c r="B6109" t="str">
        <f>"1551599372956819"</f>
        <v>1551599372956819</v>
      </c>
      <c r="C6109" t="s">
        <v>40</v>
      </c>
      <c r="D6109">
        <v>4.8767449999999997</v>
      </c>
      <c r="E6109">
        <v>0.49666399999999999</v>
      </c>
      <c r="F6109" t="s">
        <v>64</v>
      </c>
      <c r="G6109">
        <v>-419.2303</v>
      </c>
      <c r="H6109" s="1">
        <v>-7.0234829999999999E-6</v>
      </c>
      <c r="I6109">
        <v>25.003879999999999</v>
      </c>
      <c r="J6109">
        <v>-422.33969999999999</v>
      </c>
      <c r="K6109">
        <v>1.1239440000000001</v>
      </c>
      <c r="L6109">
        <v>36.350859999999997</v>
      </c>
      <c r="M6109">
        <v>4.113373E-2</v>
      </c>
      <c r="N6109">
        <v>-1.468915E-2</v>
      </c>
      <c r="O6109">
        <v>-0.99904579999999998</v>
      </c>
      <c r="P6109">
        <v>0.46966049999999998</v>
      </c>
      <c r="Q6109">
        <v>-9.15961E-2</v>
      </c>
      <c r="R6109">
        <v>-0.8780829</v>
      </c>
      <c r="S6109">
        <v>0.79772949999999998</v>
      </c>
      <c r="T6109">
        <v>-0.2870839</v>
      </c>
      <c r="U6109">
        <v>-2.954834</v>
      </c>
      <c r="V6109">
        <v>-0.43258489999999999</v>
      </c>
      <c r="W6109">
        <v>-8.1421960000000002E-2</v>
      </c>
      <c r="X6109">
        <v>0.89790910000000002</v>
      </c>
      <c r="Y6109">
        <v>-0.21971650000000001</v>
      </c>
      <c r="Z6109">
        <v>7.9183939999999994E-2</v>
      </c>
      <c r="AA6109">
        <v>0.97234489999999996</v>
      </c>
      <c r="AB6109">
        <v>22</v>
      </c>
      <c r="AC6109">
        <v>3.1093999999999902</v>
      </c>
      <c r="AD6109">
        <v>-1.1239510234829999</v>
      </c>
      <c r="AE6109">
        <v>-11.34698</v>
      </c>
      <c r="AF6109">
        <v>-2.6160989109270201</v>
      </c>
      <c r="AG6109">
        <v>-1.1239510234829999</v>
      </c>
      <c r="AH6109">
        <v>11.3616014892972</v>
      </c>
      <c r="AI6109">
        <v>95.506459337983898</v>
      </c>
      <c r="AJ6109">
        <v>102.966799866279</v>
      </c>
      <c r="AK6109">
        <v>11.712951285501999</v>
      </c>
      <c r="AL6109">
        <v>94.670304758509403</v>
      </c>
      <c r="AM6109">
        <v>115.72333238463099</v>
      </c>
      <c r="AN6109">
        <v>0.99999999157052999</v>
      </c>
    </row>
    <row r="6110" spans="1:40" x14ac:dyDescent="0.25">
      <c r="A6110" t="str">
        <f>"20190303154932988"</f>
        <v>20190303154932988</v>
      </c>
      <c r="B6110" t="str">
        <f>"1551599372977315"</f>
        <v>1551599372977315</v>
      </c>
      <c r="C6110" t="s">
        <v>40</v>
      </c>
      <c r="D6110">
        <v>4.8189330000000004</v>
      </c>
      <c r="E6110">
        <v>0.4822072</v>
      </c>
      <c r="F6110" t="s">
        <v>42</v>
      </c>
      <c r="G6110">
        <v>-421.87740000000002</v>
      </c>
      <c r="H6110">
        <v>1.0360579999999999</v>
      </c>
      <c r="I6110">
        <v>35.504939999999998</v>
      </c>
      <c r="J6110">
        <v>-422.32569999999998</v>
      </c>
      <c r="K6110">
        <v>1.12405</v>
      </c>
      <c r="L6110">
        <v>36.141570000000002</v>
      </c>
      <c r="M6110">
        <v>4.5753240000000001E-2</v>
      </c>
      <c r="N6110">
        <v>-1.469788E-2</v>
      </c>
      <c r="O6110">
        <v>-0.99884479999999998</v>
      </c>
      <c r="P6110">
        <v>0.47509960000000001</v>
      </c>
      <c r="Q6110">
        <v>-8.9546890000000004E-2</v>
      </c>
      <c r="R6110">
        <v>-0.87536409999999998</v>
      </c>
      <c r="S6110">
        <v>1.4325870000000001</v>
      </c>
      <c r="T6110">
        <v>-0.27239439999999998</v>
      </c>
      <c r="U6110">
        <v>-2.6218569999999999</v>
      </c>
      <c r="V6110">
        <v>-0.43398750000000003</v>
      </c>
      <c r="W6110">
        <v>-7.9483590000000007E-2</v>
      </c>
      <c r="X6110">
        <v>0.89740580000000003</v>
      </c>
      <c r="Y6110">
        <v>-0.43709320000000002</v>
      </c>
      <c r="Z6110">
        <v>7.7185149999999994E-2</v>
      </c>
      <c r="AA6110">
        <v>0.89609819999999996</v>
      </c>
      <c r="AB6110">
        <v>22</v>
      </c>
      <c r="AC6110">
        <v>0.44829999999996001</v>
      </c>
      <c r="AD6110">
        <v>-8.7992000000000001E-2</v>
      </c>
      <c r="AE6110">
        <v>-0.63662999999999603</v>
      </c>
      <c r="AF6110">
        <v>-0.41341967810719998</v>
      </c>
      <c r="AG6110">
        <v>-8.7992000000000001E-2</v>
      </c>
      <c r="AH6110">
        <v>0.64819850301305804</v>
      </c>
      <c r="AI6110">
        <v>96.529172302507703</v>
      </c>
      <c r="AJ6110">
        <v>122.529647308511</v>
      </c>
      <c r="AK6110">
        <v>0.77383442778066502</v>
      </c>
      <c r="AL6110">
        <v>94.558883187995406</v>
      </c>
      <c r="AM6110">
        <v>115.808517028712</v>
      </c>
      <c r="AN6110">
        <v>0.99999998055458905</v>
      </c>
    </row>
    <row r="6111" spans="1:40" x14ac:dyDescent="0.25">
      <c r="A6111" t="str">
        <f>"20190303154933011"</f>
        <v>20190303154933011</v>
      </c>
      <c r="B6111" t="str">
        <f>"1551599373006594"</f>
        <v>1551599373006594</v>
      </c>
      <c r="C6111" t="s">
        <v>40</v>
      </c>
      <c r="D6111">
        <v>4.752529</v>
      </c>
      <c r="E6111">
        <v>0.47225129999999998</v>
      </c>
      <c r="F6111" t="s">
        <v>42</v>
      </c>
      <c r="G6111">
        <v>-421.82990000000001</v>
      </c>
      <c r="H6111">
        <v>1.0428309999999901</v>
      </c>
      <c r="I6111">
        <v>35.32282</v>
      </c>
      <c r="J6111">
        <v>-422.30919999999998</v>
      </c>
      <c r="K6111">
        <v>1.12418</v>
      </c>
      <c r="L6111">
        <v>35.915469999999999</v>
      </c>
      <c r="M6111">
        <v>5.0987350000000001E-2</v>
      </c>
      <c r="N6111">
        <v>-1.4707990000000001E-2</v>
      </c>
      <c r="O6111">
        <v>-0.99859120000000001</v>
      </c>
      <c r="P6111">
        <v>0.48062159999999898</v>
      </c>
      <c r="Q6111">
        <v>-8.7700139999999996E-2</v>
      </c>
      <c r="R6111">
        <v>-0.87253179999999997</v>
      </c>
      <c r="S6111">
        <v>1.550446</v>
      </c>
      <c r="T6111">
        <v>-0.25391859999999999</v>
      </c>
      <c r="U6111">
        <v>-2.559723</v>
      </c>
      <c r="V6111">
        <v>-0.43493540000000003</v>
      </c>
      <c r="W6111">
        <v>-7.7759969999999998E-2</v>
      </c>
      <c r="X6111">
        <v>0.897097899999999</v>
      </c>
      <c r="Y6111">
        <v>-0.47216979999999997</v>
      </c>
      <c r="Z6111">
        <v>7.1064180000000005E-2</v>
      </c>
      <c r="AA6111">
        <v>0.87863840000000004</v>
      </c>
      <c r="AB6111">
        <v>22</v>
      </c>
      <c r="AC6111">
        <v>0.47929999999996598</v>
      </c>
      <c r="AD6111">
        <v>-8.1349000000000102E-2</v>
      </c>
      <c r="AE6111">
        <v>-0.59264999999999901</v>
      </c>
      <c r="AF6111">
        <v>-0.443404764362059</v>
      </c>
      <c r="AG6111">
        <v>-8.1349000000000102E-2</v>
      </c>
      <c r="AH6111">
        <v>0.60937850625673995</v>
      </c>
      <c r="AI6111">
        <v>96.160862256145293</v>
      </c>
      <c r="AJ6111">
        <v>126.040924607684</v>
      </c>
      <c r="AK6111">
        <v>0.758002380436677</v>
      </c>
      <c r="AL6111">
        <v>94.459820159865998</v>
      </c>
      <c r="AM6111">
        <v>115.865262690831</v>
      </c>
      <c r="AN6111">
        <v>1.00000002864598</v>
      </c>
    </row>
    <row r="6112" spans="1:40" x14ac:dyDescent="0.25">
      <c r="A6112" t="str">
        <f>"20190303154933033"</f>
        <v>20190303154933033</v>
      </c>
      <c r="B6112" t="str">
        <f>"1551599373027091"</f>
        <v>1551599373027091</v>
      </c>
      <c r="C6112" t="s">
        <v>40</v>
      </c>
      <c r="D6112">
        <v>4.7737869999999996</v>
      </c>
      <c r="E6112">
        <v>0.46911770000000003</v>
      </c>
      <c r="F6112" t="s">
        <v>42</v>
      </c>
      <c r="G6112">
        <v>-421.80099999999999</v>
      </c>
      <c r="H6112">
        <v>1.0515000000000001</v>
      </c>
      <c r="I6112">
        <v>35.135300000000001</v>
      </c>
      <c r="J6112">
        <v>-422.29270000000002</v>
      </c>
      <c r="K6112">
        <v>1.1243259999999999</v>
      </c>
      <c r="L6112">
        <v>35.705599999999997</v>
      </c>
      <c r="M6112">
        <v>5.6099749999999997E-2</v>
      </c>
      <c r="N6112">
        <v>-1.4719579999999999E-2</v>
      </c>
      <c r="O6112">
        <v>-0.9983168</v>
      </c>
      <c r="P6112">
        <v>0.4860893</v>
      </c>
      <c r="Q6112">
        <v>-8.5774569999999994E-2</v>
      </c>
      <c r="R6112">
        <v>-0.86968959999999995</v>
      </c>
      <c r="S6112">
        <v>1.6369629999999999</v>
      </c>
      <c r="T6112">
        <v>-0.2341086</v>
      </c>
      <c r="U6112">
        <v>-2.5130620000000001</v>
      </c>
      <c r="V6112">
        <v>-0.43595139999999999</v>
      </c>
      <c r="W6112">
        <v>-7.5973689999999997E-2</v>
      </c>
      <c r="X6112">
        <v>0.89675769999999899</v>
      </c>
      <c r="Y6112">
        <v>-0.49649450000000001</v>
      </c>
      <c r="Z6112">
        <v>6.4423809999999998E-2</v>
      </c>
      <c r="AA6112">
        <v>0.86564589999999997</v>
      </c>
      <c r="AB6112">
        <v>22</v>
      </c>
      <c r="AC6112">
        <v>0.491700000000037</v>
      </c>
      <c r="AD6112">
        <v>-7.2825999999999794E-2</v>
      </c>
      <c r="AE6112">
        <v>-0.57029999999999503</v>
      </c>
      <c r="AF6112">
        <v>-0.45467546005695902</v>
      </c>
      <c r="AG6112">
        <v>-7.2825999999999794E-2</v>
      </c>
      <c r="AH6112">
        <v>0.59145662880630001</v>
      </c>
      <c r="AI6112">
        <v>95.575487532478604</v>
      </c>
      <c r="AJ6112">
        <v>127.55086666040999</v>
      </c>
      <c r="AK6112">
        <v>0.74956943908681395</v>
      </c>
      <c r="AL6112">
        <v>94.357170271344003</v>
      </c>
      <c r="AM6112">
        <v>115.926323622636</v>
      </c>
      <c r="AN6112">
        <v>0.99999999862173194</v>
      </c>
    </row>
    <row r="6113" spans="1:40" x14ac:dyDescent="0.25">
      <c r="A6113" t="str">
        <f>"20190303154933055"</f>
        <v>20190303154933055</v>
      </c>
      <c r="B6113" t="str">
        <f>"1551599373046611"</f>
        <v>1551599373046611</v>
      </c>
      <c r="C6113" t="s">
        <v>40</v>
      </c>
      <c r="D6113">
        <v>4.7391690000000004</v>
      </c>
      <c r="E6113">
        <v>0.4666921</v>
      </c>
      <c r="F6113" t="s">
        <v>42</v>
      </c>
      <c r="G6113">
        <v>-421.78219999999999</v>
      </c>
      <c r="H6113">
        <v>1.053933</v>
      </c>
      <c r="I6113">
        <v>34.945549999999997</v>
      </c>
      <c r="J6113">
        <v>-422.2749</v>
      </c>
      <c r="K6113">
        <v>1.124501</v>
      </c>
      <c r="L6113">
        <v>35.497959999999999</v>
      </c>
      <c r="M6113">
        <v>6.1426660000000001E-2</v>
      </c>
      <c r="N6113">
        <v>-1.473436E-2</v>
      </c>
      <c r="O6113">
        <v>-0.99800279999999997</v>
      </c>
      <c r="P6113">
        <v>0.49190440000000002</v>
      </c>
      <c r="Q6113">
        <v>-8.3511390000000005E-2</v>
      </c>
      <c r="R6113">
        <v>-0.86663489999999999</v>
      </c>
      <c r="S6113">
        <v>1.6741330000000001</v>
      </c>
      <c r="T6113">
        <v>-0.23071040000000001</v>
      </c>
      <c r="U6113">
        <v>-2.4910580000000002</v>
      </c>
      <c r="V6113">
        <v>-0.4371468</v>
      </c>
      <c r="W6113">
        <v>-7.3879269999999997E-2</v>
      </c>
      <c r="X6113">
        <v>0.89635069999999994</v>
      </c>
      <c r="Y6113">
        <v>-0.50432979999999905</v>
      </c>
      <c r="Z6113">
        <v>6.3351920000000006E-2</v>
      </c>
      <c r="AA6113">
        <v>0.86118410000000001</v>
      </c>
      <c r="AB6113">
        <v>22</v>
      </c>
      <c r="AC6113">
        <v>0.49270000000001302</v>
      </c>
      <c r="AD6113">
        <v>-7.0567999999999895E-2</v>
      </c>
      <c r="AE6113">
        <v>-0.55241000000000096</v>
      </c>
      <c r="AF6113">
        <v>-0.45370932522386498</v>
      </c>
      <c r="AG6113">
        <v>-7.0567999999999895E-2</v>
      </c>
      <c r="AH6113">
        <v>0.57639605862098298</v>
      </c>
      <c r="AI6113">
        <v>95.495038659459098</v>
      </c>
      <c r="AJ6113">
        <v>128.208001341243</v>
      </c>
      <c r="AK6113">
        <v>0.73692904055471897</v>
      </c>
      <c r="AL6113">
        <v>94.236830445413403</v>
      </c>
      <c r="AM6113">
        <v>115.99831415800401</v>
      </c>
      <c r="AN6113">
        <v>1.0000000243382301</v>
      </c>
    </row>
    <row r="6114" spans="1:40" x14ac:dyDescent="0.25">
      <c r="A6114" t="str">
        <f>"20190303154933090"</f>
        <v>20190303154933090</v>
      </c>
      <c r="B6114" t="str">
        <f>"1551599373086627"</f>
        <v>1551599373086627</v>
      </c>
      <c r="C6114" t="s">
        <v>40</v>
      </c>
      <c r="D6114">
        <v>4.7333449999999999</v>
      </c>
      <c r="E6114">
        <v>0.46364440000000001</v>
      </c>
      <c r="F6114" t="s">
        <v>42</v>
      </c>
      <c r="G6114">
        <v>-421.76249999999999</v>
      </c>
      <c r="H6114">
        <v>1.0571820000000001</v>
      </c>
      <c r="I6114">
        <v>34.756399999999999</v>
      </c>
      <c r="J6114">
        <v>-422.24380000000002</v>
      </c>
      <c r="K6114">
        <v>1.124806</v>
      </c>
      <c r="L6114">
        <v>35.170720000000003</v>
      </c>
      <c r="M6114">
        <v>7.0435460000000005E-2</v>
      </c>
      <c r="N6114">
        <v>-1.476529E-2</v>
      </c>
      <c r="O6114">
        <v>-0.99740709999999999</v>
      </c>
      <c r="P6114">
        <v>0.50159500000000001</v>
      </c>
      <c r="Q6114">
        <v>-8.0669879999999999E-2</v>
      </c>
      <c r="R6114">
        <v>-0.86133329999999997</v>
      </c>
      <c r="S6114">
        <v>1.7077329999999999</v>
      </c>
      <c r="T6114">
        <v>-0.2242992</v>
      </c>
      <c r="U6114">
        <v>-2.4707340000000002</v>
      </c>
      <c r="V6114">
        <v>-0.4390579</v>
      </c>
      <c r="W6114">
        <v>-7.1351849999999994E-2</v>
      </c>
      <c r="X6114">
        <v>0.89562109999999995</v>
      </c>
      <c r="Y6114">
        <v>-0.50785970000000002</v>
      </c>
      <c r="Z6114">
        <v>6.1312949999999998E-2</v>
      </c>
      <c r="AA6114">
        <v>0.85925509999999905</v>
      </c>
      <c r="AB6114">
        <v>22</v>
      </c>
      <c r="AC6114">
        <v>0.48130000000003198</v>
      </c>
      <c r="AD6114">
        <v>-6.7623999999999906E-2</v>
      </c>
      <c r="AE6114">
        <v>-0.41432000000000302</v>
      </c>
      <c r="AF6114">
        <v>-0.44586286333236103</v>
      </c>
      <c r="AG6114">
        <v>-6.7623999999999906E-2</v>
      </c>
      <c r="AH6114">
        <v>0.44218128096634202</v>
      </c>
      <c r="AI6114">
        <v>96.146525709891606</v>
      </c>
      <c r="AJ6114">
        <v>135.23753089798399</v>
      </c>
      <c r="AK6114">
        <v>0.63157816896403796</v>
      </c>
      <c r="AL6114">
        <v>94.091636533708893</v>
      </c>
      <c r="AM6114">
        <v>116.11535419959699</v>
      </c>
      <c r="AN6114">
        <v>1.00000004040802</v>
      </c>
    </row>
    <row r="6115" spans="1:40" x14ac:dyDescent="0.25">
      <c r="A6115" t="str">
        <f>"20190303154933112"</f>
        <v>20190303154933112</v>
      </c>
      <c r="B6115" t="str">
        <f>"1551599373107123"</f>
        <v>1551599373107123</v>
      </c>
      <c r="C6115" t="s">
        <v>40</v>
      </c>
      <c r="D6115">
        <v>4.6756190000000002</v>
      </c>
      <c r="E6115">
        <v>0.4625649</v>
      </c>
      <c r="F6115" t="s">
        <v>42</v>
      </c>
      <c r="G6115">
        <v>-421.6825</v>
      </c>
      <c r="H6115">
        <v>1.0546150000000001</v>
      </c>
      <c r="I6115">
        <v>34.391120000000001</v>
      </c>
      <c r="J6115">
        <v>-422.22179999999997</v>
      </c>
      <c r="K6115">
        <v>1.125006</v>
      </c>
      <c r="L6115">
        <v>34.960329999999999</v>
      </c>
      <c r="M6115">
        <v>7.6613260000000002E-2</v>
      </c>
      <c r="N6115">
        <v>-1.478847E-2</v>
      </c>
      <c r="O6115">
        <v>-0.99695129999999998</v>
      </c>
      <c r="P6115">
        <v>0.50782570000000005</v>
      </c>
      <c r="Q6115">
        <v>-7.9575220000000002E-2</v>
      </c>
      <c r="R6115">
        <v>-0.85777689999999995</v>
      </c>
      <c r="S6115">
        <v>1.756073</v>
      </c>
      <c r="T6115">
        <v>-0.2196581</v>
      </c>
      <c r="U6115">
        <v>-2.4397280000000001</v>
      </c>
      <c r="V6115">
        <v>-0.43996990000000002</v>
      </c>
      <c r="W6115">
        <v>-7.0453520000000006E-2</v>
      </c>
      <c r="X6115">
        <v>0.8952445</v>
      </c>
      <c r="Y6115">
        <v>-0.51894249999999997</v>
      </c>
      <c r="Z6115">
        <v>5.9836630000000002E-2</v>
      </c>
      <c r="AA6115">
        <v>0.85271229999999998</v>
      </c>
      <c r="AB6115">
        <v>22</v>
      </c>
      <c r="AC6115">
        <v>0.53929999999996803</v>
      </c>
      <c r="AD6115">
        <v>-7.0390999999999995E-2</v>
      </c>
      <c r="AE6115">
        <v>-0.569209999999998</v>
      </c>
      <c r="AF6115">
        <v>-0.49015077500099902</v>
      </c>
      <c r="AG6115">
        <v>-7.0390999999999995E-2</v>
      </c>
      <c r="AH6115">
        <v>0.60399127714735201</v>
      </c>
      <c r="AI6115">
        <v>95.170846553517194</v>
      </c>
      <c r="AJ6115">
        <v>129.060007685605</v>
      </c>
      <c r="AK6115">
        <v>0.78103017738444003</v>
      </c>
      <c r="AL6115">
        <v>94.040036463431704</v>
      </c>
      <c r="AM6115">
        <v>116.171911919987</v>
      </c>
      <c r="AN6115">
        <v>0.99999996308332395</v>
      </c>
    </row>
    <row r="6116" spans="1:40" x14ac:dyDescent="0.25">
      <c r="A6116" t="str">
        <f>"20190303154933134"</f>
        <v>20190303154933134</v>
      </c>
      <c r="B6116" t="str">
        <f>"1551599373126643"</f>
        <v>1551599373126643</v>
      </c>
      <c r="C6116" t="s">
        <v>40</v>
      </c>
      <c r="D6116">
        <v>4.7311209999999999</v>
      </c>
      <c r="E6116">
        <v>0.46153129999999998</v>
      </c>
      <c r="F6116" t="s">
        <v>42</v>
      </c>
      <c r="G6116">
        <v>-421.66500000000002</v>
      </c>
      <c r="H6116">
        <v>1.056108</v>
      </c>
      <c r="I6116">
        <v>34.202629999999999</v>
      </c>
      <c r="J6116">
        <v>-422.19810000000001</v>
      </c>
      <c r="K6116">
        <v>1.1251869999999999</v>
      </c>
      <c r="L6116">
        <v>34.748899999999999</v>
      </c>
      <c r="M6116">
        <v>8.3120440000000004E-2</v>
      </c>
      <c r="N6116">
        <v>-1.481232E-2</v>
      </c>
      <c r="O6116">
        <v>-0.99642960000000003</v>
      </c>
      <c r="P6116">
        <v>0.51423829999999904</v>
      </c>
      <c r="Q6116">
        <v>-7.7661060000000004E-2</v>
      </c>
      <c r="R6116">
        <v>-0.85412399999999999</v>
      </c>
      <c r="S6116">
        <v>1.78085299999999</v>
      </c>
      <c r="T6116">
        <v>-0.2203002</v>
      </c>
      <c r="U6116">
        <v>-2.4226679999999998</v>
      </c>
      <c r="V6116">
        <v>-0.44080619999999998</v>
      </c>
      <c r="W6116">
        <v>-6.8713930000000006E-2</v>
      </c>
      <c r="X6116">
        <v>0.89496830000000005</v>
      </c>
      <c r="Y6116">
        <v>-0.52188000000000001</v>
      </c>
      <c r="Z6116">
        <v>6.01536999999999E-2</v>
      </c>
      <c r="AA6116">
        <v>0.85089530000000002</v>
      </c>
      <c r="AB6116">
        <v>22</v>
      </c>
      <c r="AC6116">
        <v>0.53309999999999003</v>
      </c>
      <c r="AD6116">
        <v>-6.9079000000000099E-2</v>
      </c>
      <c r="AE6116">
        <v>-0.54626999999999903</v>
      </c>
      <c r="AF6116">
        <v>-0.48189659905776999</v>
      </c>
      <c r="AG6116">
        <v>-6.9079000000000099E-2</v>
      </c>
      <c r="AH6116">
        <v>0.58391297412460297</v>
      </c>
      <c r="AI6116">
        <v>95.213420612024095</v>
      </c>
      <c r="AJ6116">
        <v>129.53246169952499</v>
      </c>
      <c r="AK6116">
        <v>0.76023062407106701</v>
      </c>
      <c r="AL6116">
        <v>93.9401230205236</v>
      </c>
      <c r="AM6116">
        <v>116.22201406939401</v>
      </c>
      <c r="AN6116">
        <v>0.99999998406968704</v>
      </c>
    </row>
    <row r="6117" spans="1:40" x14ac:dyDescent="0.25">
      <c r="A6117" t="str">
        <f>"20190303154933155"</f>
        <v>20190303154933155</v>
      </c>
      <c r="B6117" t="str">
        <f>"1551599373147141"</f>
        <v>1551599373147141</v>
      </c>
      <c r="C6117" t="s">
        <v>40</v>
      </c>
      <c r="D6117">
        <v>4.6828240000000001</v>
      </c>
      <c r="E6117">
        <v>0.46066170000000001</v>
      </c>
      <c r="F6117" t="s">
        <v>42</v>
      </c>
      <c r="G6117">
        <v>-421.64679999999998</v>
      </c>
      <c r="H6117">
        <v>1.0583309999999999</v>
      </c>
      <c r="I6117">
        <v>34.014609999999998</v>
      </c>
      <c r="J6117">
        <v>-422.17329999999998</v>
      </c>
      <c r="K6117">
        <v>1.1253569999999999</v>
      </c>
      <c r="L6117">
        <v>34.544490000000003</v>
      </c>
      <c r="M6117">
        <v>8.9727840000000003E-2</v>
      </c>
      <c r="N6117">
        <v>-1.4835630000000001E-2</v>
      </c>
      <c r="O6117">
        <v>-0.99585590000000002</v>
      </c>
      <c r="P6117">
        <v>0.52135750000000003</v>
      </c>
      <c r="Q6117">
        <v>-7.4444010000000005E-2</v>
      </c>
      <c r="R6117">
        <v>-0.85008479999999997</v>
      </c>
      <c r="S6117">
        <v>1.806122</v>
      </c>
      <c r="T6117">
        <v>-0.21897759999999999</v>
      </c>
      <c r="U6117">
        <v>-2.4050600000000002</v>
      </c>
      <c r="V6117">
        <v>-0.44232660000000001</v>
      </c>
      <c r="W6117">
        <v>-6.5666760000000005E-2</v>
      </c>
      <c r="X6117">
        <v>0.89444679999999999</v>
      </c>
      <c r="Y6117">
        <v>-0.52494589999999997</v>
      </c>
      <c r="Z6117">
        <v>5.9807659999999999E-2</v>
      </c>
      <c r="AA6117">
        <v>0.84903169999999994</v>
      </c>
      <c r="AB6117">
        <v>22</v>
      </c>
      <c r="AC6117">
        <v>0.52649999999999797</v>
      </c>
      <c r="AD6117">
        <v>-6.7026000000000002E-2</v>
      </c>
      <c r="AE6117">
        <v>-0.52988000000000501</v>
      </c>
      <c r="AF6117">
        <v>-0.47301712944872198</v>
      </c>
      <c r="AG6117">
        <v>-6.7026000000000002E-2</v>
      </c>
      <c r="AH6117">
        <v>0.57039657211397998</v>
      </c>
      <c r="AI6117">
        <v>95.168458014854195</v>
      </c>
      <c r="AJ6117">
        <v>129.66815882458999</v>
      </c>
      <c r="AK6117">
        <v>0.74403624838262306</v>
      </c>
      <c r="AL6117">
        <v>93.765137429554898</v>
      </c>
      <c r="AM6117">
        <v>116.313561726317</v>
      </c>
      <c r="AN6117">
        <v>1.00000001123334</v>
      </c>
    </row>
    <row r="6118" spans="1:40" x14ac:dyDescent="0.25">
      <c r="A6118" t="str">
        <f>"20190303154933178"</f>
        <v>20190303154933178</v>
      </c>
      <c r="B6118" t="str">
        <f>"1551599373166658"</f>
        <v>1551599373166658</v>
      </c>
      <c r="C6118" t="s">
        <v>40</v>
      </c>
      <c r="D6118">
        <v>4.6033019999999896</v>
      </c>
      <c r="E6118">
        <v>0.41725980000000001</v>
      </c>
      <c r="F6118" t="s">
        <v>42</v>
      </c>
      <c r="G6118">
        <v>-421.62380000000002</v>
      </c>
      <c r="H6118">
        <v>1.0622</v>
      </c>
      <c r="I6118">
        <v>33.828330000000001</v>
      </c>
      <c r="J6118">
        <v>-422.14600000000002</v>
      </c>
      <c r="K6118">
        <v>1.1255360000000001</v>
      </c>
      <c r="L6118">
        <v>34.332520000000002</v>
      </c>
      <c r="M6118">
        <v>9.6911159999999996E-2</v>
      </c>
      <c r="N6118">
        <v>-1.4861589999999999E-2</v>
      </c>
      <c r="O6118">
        <v>-0.99518220000000002</v>
      </c>
      <c r="P6118">
        <v>0.53012320000000002</v>
      </c>
      <c r="Q6118">
        <v>-7.0135000000000003E-2</v>
      </c>
      <c r="R6118">
        <v>-0.84501499999999996</v>
      </c>
      <c r="S6118">
        <v>1.831879</v>
      </c>
      <c r="T6118">
        <v>-0.2105165</v>
      </c>
      <c r="U6118">
        <v>-2.3871150000000001</v>
      </c>
      <c r="V6118">
        <v>-0.4451039</v>
      </c>
      <c r="W6118">
        <v>-6.1552299999999997E-2</v>
      </c>
      <c r="X6118">
        <v>0.89336099999999996</v>
      </c>
      <c r="Y6118">
        <v>-0.52776489999999998</v>
      </c>
      <c r="Z6118">
        <v>5.7047929999999997E-2</v>
      </c>
      <c r="AA6118">
        <v>0.84747260000000002</v>
      </c>
      <c r="AB6118">
        <v>22</v>
      </c>
      <c r="AC6118">
        <v>0.52219999999994104</v>
      </c>
      <c r="AD6118">
        <v>-6.3336000000000003E-2</v>
      </c>
      <c r="AE6118">
        <v>-0.50419000000000103</v>
      </c>
      <c r="AF6118">
        <v>-0.46731663110149002</v>
      </c>
      <c r="AG6118">
        <v>-6.3336000000000003E-2</v>
      </c>
      <c r="AH6118">
        <v>0.54825483524747198</v>
      </c>
      <c r="AI6118">
        <v>95.024439703476105</v>
      </c>
      <c r="AJ6118">
        <v>130.44331788274101</v>
      </c>
      <c r="AK6118">
        <v>0.72317331738130297</v>
      </c>
      <c r="AL6118">
        <v>93.528917655372297</v>
      </c>
      <c r="AM6118">
        <v>116.484101793099</v>
      </c>
      <c r="AN6118">
        <v>1.0000000218757401</v>
      </c>
    </row>
    <row r="6119" spans="1:40" x14ac:dyDescent="0.25">
      <c r="A6119" t="str">
        <f>"20190303154933201"</f>
        <v>20190303154933201</v>
      </c>
      <c r="B6119" t="str">
        <f>"1551599373196915"</f>
        <v>1551599373196915</v>
      </c>
      <c r="C6119" t="s">
        <v>40</v>
      </c>
      <c r="D6119">
        <v>4.4813400000000003</v>
      </c>
      <c r="E6119">
        <v>0.39030579999999998</v>
      </c>
      <c r="F6119" t="s">
        <v>42</v>
      </c>
      <c r="G6119">
        <v>-421.49889999999999</v>
      </c>
      <c r="H6119">
        <v>1.067593</v>
      </c>
      <c r="I6119">
        <v>33.67474</v>
      </c>
      <c r="J6119">
        <v>-422.1164</v>
      </c>
      <c r="K6119">
        <v>1.125715</v>
      </c>
      <c r="L6119">
        <v>34.118899999999996</v>
      </c>
      <c r="M6119">
        <v>0.10449029999999999</v>
      </c>
      <c r="N6119">
        <v>-1.4891E-2</v>
      </c>
      <c r="O6119">
        <v>-0.99441460000000004</v>
      </c>
      <c r="P6119">
        <v>0.53944250000000005</v>
      </c>
      <c r="Q6119">
        <v>-6.6846840000000005E-2</v>
      </c>
      <c r="R6119">
        <v>-0.83936469999999896</v>
      </c>
      <c r="S6119">
        <v>2.149994</v>
      </c>
      <c r="T6119">
        <v>-0.19251299999999999</v>
      </c>
      <c r="U6119">
        <v>-2.1853940000000001</v>
      </c>
      <c r="V6119">
        <v>-0.44816139999999999</v>
      </c>
      <c r="W6119">
        <v>-5.8470630000000003E-2</v>
      </c>
      <c r="X6119">
        <v>0.89203849999999996</v>
      </c>
      <c r="Y6119">
        <v>-0.62179359999999995</v>
      </c>
      <c r="Z6119">
        <v>5.0376450000000003E-2</v>
      </c>
      <c r="AA6119">
        <v>0.78155929999999996</v>
      </c>
      <c r="AB6119">
        <v>21</v>
      </c>
      <c r="AC6119">
        <v>0.61750000000000604</v>
      </c>
      <c r="AD6119">
        <v>-5.8122E-2</v>
      </c>
      <c r="AE6119">
        <v>-0.444159999999996</v>
      </c>
      <c r="AF6119">
        <v>-0.56440805054555199</v>
      </c>
      <c r="AG6119">
        <v>-5.8122E-2</v>
      </c>
      <c r="AH6119">
        <v>0.50331927150869105</v>
      </c>
      <c r="AI6119">
        <v>94.394962941664602</v>
      </c>
      <c r="AJ6119">
        <v>138.274541627601</v>
      </c>
      <c r="AK6119">
        <v>0.75846219647169599</v>
      </c>
      <c r="AL6119">
        <v>93.352031938190606</v>
      </c>
      <c r="AM6119">
        <v>116.67501792917599</v>
      </c>
      <c r="AN6119">
        <v>1.0000000702523999</v>
      </c>
    </row>
    <row r="6120" spans="1:40" x14ac:dyDescent="0.25">
      <c r="A6120" t="str">
        <f>"20190303154933223"</f>
        <v>20190303154933223</v>
      </c>
      <c r="B6120" t="str">
        <f>"1551599373217411"</f>
        <v>1551599373217411</v>
      </c>
      <c r="C6120" t="s">
        <v>40</v>
      </c>
      <c r="D6120">
        <v>4.4154350000000004</v>
      </c>
      <c r="E6120">
        <v>0.32676739999999999</v>
      </c>
      <c r="F6120" t="s">
        <v>64</v>
      </c>
      <c r="G6120">
        <v>-407.34750000000003</v>
      </c>
      <c r="H6120" s="1">
        <v>-2.7898660000000001E-6</v>
      </c>
      <c r="I6120">
        <v>21.287430000000001</v>
      </c>
      <c r="J6120">
        <v>-422.08600000000001</v>
      </c>
      <c r="K6120">
        <v>1.125891</v>
      </c>
      <c r="L6120">
        <v>33.913879999999999</v>
      </c>
      <c r="M6120">
        <v>0.11208899999999999</v>
      </c>
      <c r="N6120">
        <v>-1.49219E-2</v>
      </c>
      <c r="O6120">
        <v>-0.99358619999999997</v>
      </c>
      <c r="P6120">
        <v>0.54879860000000003</v>
      </c>
      <c r="Q6120">
        <v>-6.4645569999999999E-2</v>
      </c>
      <c r="R6120">
        <v>-0.83345130000000001</v>
      </c>
      <c r="S6120">
        <v>2.3551639999999998</v>
      </c>
      <c r="T6120">
        <v>-0.1795156</v>
      </c>
      <c r="U6120">
        <v>-2.0462039999999999</v>
      </c>
      <c r="V6120">
        <v>-0.45129750000000002</v>
      </c>
      <c r="W6120">
        <v>-5.6475919999999999E-2</v>
      </c>
      <c r="X6120">
        <v>0.89058470000000001</v>
      </c>
      <c r="Y6120">
        <v>-0.67554329999999996</v>
      </c>
      <c r="Z6120">
        <v>4.5434799999999997E-2</v>
      </c>
      <c r="AA6120">
        <v>0.73591909999999905</v>
      </c>
      <c r="AB6120">
        <v>21</v>
      </c>
      <c r="AC6120">
        <v>14.738499999999901</v>
      </c>
      <c r="AD6120">
        <v>-1.125893789866</v>
      </c>
      <c r="AE6120">
        <v>-12.626449999999901</v>
      </c>
      <c r="AF6120">
        <v>-13.185778709805801</v>
      </c>
      <c r="AG6120">
        <v>-1.125893789866</v>
      </c>
      <c r="AH6120">
        <v>14.1514426724614</v>
      </c>
      <c r="AI6120">
        <v>93.331348886885905</v>
      </c>
      <c r="AJ6120">
        <v>132.97691678088199</v>
      </c>
      <c r="AK6120">
        <v>19.3751316568943</v>
      </c>
      <c r="AL6120">
        <v>93.237554348989605</v>
      </c>
      <c r="AM6120">
        <v>116.873289951839</v>
      </c>
      <c r="AN6120">
        <v>1.00000003546009</v>
      </c>
    </row>
    <row r="6121" spans="1:40" x14ac:dyDescent="0.25">
      <c r="A6121" t="str">
        <f>"20190303154933244"</f>
        <v>20190303154933244</v>
      </c>
      <c r="B6121" t="str">
        <f>"1551599373236931"</f>
        <v>1551599373236931</v>
      </c>
      <c r="C6121" t="s">
        <v>40</v>
      </c>
      <c r="D6121">
        <v>4.3728949999999998</v>
      </c>
      <c r="E6121">
        <v>0.3267967</v>
      </c>
      <c r="F6121" t="s">
        <v>64</v>
      </c>
      <c r="G6121">
        <v>-408.65480000000002</v>
      </c>
      <c r="H6121" s="1">
        <v>-2.9684939999999999E-6</v>
      </c>
      <c r="I6121">
        <v>25.57077</v>
      </c>
      <c r="J6121">
        <v>-422.05399999999997</v>
      </c>
      <c r="K6121">
        <v>1.1260380000000001</v>
      </c>
      <c r="L6121">
        <v>33.711030000000001</v>
      </c>
      <c r="M6121">
        <v>0.1198472</v>
      </c>
      <c r="N6121">
        <v>-1.495176E-2</v>
      </c>
      <c r="O6121">
        <v>-0.99268000000000001</v>
      </c>
      <c r="P6121">
        <v>0.55795740000000005</v>
      </c>
      <c r="Q6121">
        <v>-6.3509679999999999E-2</v>
      </c>
      <c r="R6121">
        <v>-0.82743599999999995</v>
      </c>
      <c r="S6121">
        <v>2.7986759999999999</v>
      </c>
      <c r="T6121">
        <v>-0.23460400000000001</v>
      </c>
      <c r="U6121">
        <v>-1.738464</v>
      </c>
      <c r="V6121">
        <v>-0.45414100000000002</v>
      </c>
      <c r="W6121">
        <v>-5.5522080000000001E-2</v>
      </c>
      <c r="X6121">
        <v>0.88919809999999999</v>
      </c>
      <c r="Y6121">
        <v>-0.77818920000000003</v>
      </c>
      <c r="Z6121">
        <v>6.0647960000000001E-2</v>
      </c>
      <c r="AA6121">
        <v>0.625094699999999</v>
      </c>
      <c r="AB6121">
        <v>21</v>
      </c>
      <c r="AC6121">
        <v>13.3992</v>
      </c>
      <c r="AD6121">
        <v>-1.12604096849399</v>
      </c>
      <c r="AE6121">
        <v>-8.1402599999999996</v>
      </c>
      <c r="AF6121">
        <v>-12.26364358611</v>
      </c>
      <c r="AG6121">
        <v>-1.12604096849399</v>
      </c>
      <c r="AH6121">
        <v>9.6378935078129704</v>
      </c>
      <c r="AI6121">
        <v>94.129196217658404</v>
      </c>
      <c r="AJ6121">
        <v>141.83649526356899</v>
      </c>
      <c r="AK6121">
        <v>15.638219640924801</v>
      </c>
      <c r="AL6121">
        <v>93.182817547307494</v>
      </c>
      <c r="AM6121">
        <v>117.05480798638</v>
      </c>
      <c r="AN6121">
        <v>1.00000000514606</v>
      </c>
    </row>
    <row r="6122" spans="1:40" x14ac:dyDescent="0.25">
      <c r="A6122" t="str">
        <f>"20190303154933268"</f>
        <v>20190303154933268</v>
      </c>
      <c r="B6122" t="str">
        <f>"1551599373257427"</f>
        <v>1551599373257427</v>
      </c>
      <c r="C6122" t="s">
        <v>40</v>
      </c>
      <c r="D6122">
        <v>4.4161219999999997</v>
      </c>
      <c r="E6122">
        <v>0.32766699999999999</v>
      </c>
      <c r="F6122" t="s">
        <v>64</v>
      </c>
      <c r="G6122">
        <v>-408.61540000000002</v>
      </c>
      <c r="H6122" s="1">
        <v>-2.9906889999999999E-6</v>
      </c>
      <c r="I6122">
        <v>25.565750000000001</v>
      </c>
      <c r="J6122">
        <v>-422.01900000000001</v>
      </c>
      <c r="K6122">
        <v>1.126163</v>
      </c>
      <c r="L6122">
        <v>33.502409999999998</v>
      </c>
      <c r="M6122">
        <v>0.12806909999999999</v>
      </c>
      <c r="N6122">
        <v>-1.4979869999999999E-2</v>
      </c>
      <c r="O6122">
        <v>-0.99165219999999998</v>
      </c>
      <c r="P6122">
        <v>0.56812609999999997</v>
      </c>
      <c r="Q6122">
        <v>-6.2277829999999999E-2</v>
      </c>
      <c r="R6122">
        <v>-0.82058169999999897</v>
      </c>
      <c r="S6122">
        <v>2.8174130000000002</v>
      </c>
      <c r="T6122">
        <v>-0.2360766</v>
      </c>
      <c r="U6122">
        <v>-1.7076720000000001</v>
      </c>
      <c r="V6122">
        <v>-0.4577251</v>
      </c>
      <c r="W6122">
        <v>-5.4469209999999997E-2</v>
      </c>
      <c r="X6122">
        <v>0.88742369999999904</v>
      </c>
      <c r="Y6122">
        <v>-0.77979799999999999</v>
      </c>
      <c r="Z6122">
        <v>6.1391429999999997E-2</v>
      </c>
      <c r="AA6122">
        <v>0.6230137</v>
      </c>
      <c r="AB6122">
        <v>21</v>
      </c>
      <c r="AC6122">
        <v>13.4035999999999</v>
      </c>
      <c r="AD6122">
        <v>-1.126165990689</v>
      </c>
      <c r="AE6122">
        <v>-7.9366599999999901</v>
      </c>
      <c r="AF6122">
        <v>-12.212811908328399</v>
      </c>
      <c r="AG6122">
        <v>-1.126165990689</v>
      </c>
      <c r="AH6122">
        <v>9.5382146771532099</v>
      </c>
      <c r="AI6122">
        <v>94.156604598687906</v>
      </c>
      <c r="AJ6122">
        <v>142.010138561487</v>
      </c>
      <c r="AK6122">
        <v>15.5370062680767</v>
      </c>
      <c r="AL6122">
        <v>93.122401141842303</v>
      </c>
      <c r="AM6122">
        <v>117.284273428636</v>
      </c>
      <c r="AN6122">
        <v>0.99999999266486195</v>
      </c>
    </row>
    <row r="6123" spans="1:40" x14ac:dyDescent="0.25">
      <c r="A6123" t="str">
        <f>"20190303154933291"</f>
        <v>20190303154933291</v>
      </c>
      <c r="B6123" t="str">
        <f>"1551599373286707"</f>
        <v>1551599373286707</v>
      </c>
      <c r="C6123" t="s">
        <v>40</v>
      </c>
      <c r="D6123">
        <v>4.5360069999999997</v>
      </c>
      <c r="E6123">
        <v>0.33177329999999999</v>
      </c>
      <c r="F6123" t="s">
        <v>64</v>
      </c>
      <c r="G6123">
        <v>-408.37490000000003</v>
      </c>
      <c r="H6123" s="1">
        <v>-3.1017369999999998E-6</v>
      </c>
      <c r="I6123">
        <v>25.424890000000001</v>
      </c>
      <c r="J6123">
        <v>-421.98050000000001</v>
      </c>
      <c r="K6123">
        <v>1.126285</v>
      </c>
      <c r="L6123">
        <v>33.285249999999998</v>
      </c>
      <c r="M6123">
        <v>0.1369002</v>
      </c>
      <c r="N6123">
        <v>-1.500695E-2</v>
      </c>
      <c r="O6123">
        <v>-0.9904712</v>
      </c>
      <c r="P6123">
        <v>0.57912980000000003</v>
      </c>
      <c r="Q6123">
        <v>-6.0351099999999998E-2</v>
      </c>
      <c r="R6123">
        <v>-0.81299849999999996</v>
      </c>
      <c r="S6123">
        <v>2.832703</v>
      </c>
      <c r="T6123">
        <v>-0.23380719999999999</v>
      </c>
      <c r="U6123">
        <v>-1.6770020000000001</v>
      </c>
      <c r="V6123">
        <v>-0.46175339999999998</v>
      </c>
      <c r="W6123">
        <v>-5.2721799999999999E-2</v>
      </c>
      <c r="X6123">
        <v>0.88544009999999995</v>
      </c>
      <c r="Y6123">
        <v>-0.78072450000000004</v>
      </c>
      <c r="Z6123">
        <v>6.1014220000000001E-2</v>
      </c>
      <c r="AA6123">
        <v>0.62188949999999998</v>
      </c>
      <c r="AB6123">
        <v>21</v>
      </c>
      <c r="AC6123">
        <v>13.6055999999999</v>
      </c>
      <c r="AD6123">
        <v>-1.1262881017369999</v>
      </c>
      <c r="AE6123">
        <v>-7.86036</v>
      </c>
      <c r="AF6123">
        <v>-12.337875918781799</v>
      </c>
      <c r="AG6123">
        <v>-1.1262881017369999</v>
      </c>
      <c r="AH6123">
        <v>9.5998332349940902</v>
      </c>
      <c r="AI6123">
        <v>94.120876100413795</v>
      </c>
      <c r="AJ6123">
        <v>142.11429019057499</v>
      </c>
      <c r="AK6123">
        <v>15.6731778913871</v>
      </c>
      <c r="AL6123">
        <v>93.022137840811197</v>
      </c>
      <c r="AM6123">
        <v>117.541857195269</v>
      </c>
      <c r="AN6123">
        <v>0.99999998064740403</v>
      </c>
    </row>
    <row r="6124" spans="1:40" x14ac:dyDescent="0.25">
      <c r="A6124" t="str">
        <f>"20190303154933313"</f>
        <v>20190303154933313</v>
      </c>
      <c r="B6124" t="str">
        <f>"1551599373307203"</f>
        <v>1551599373307203</v>
      </c>
      <c r="C6124" t="s">
        <v>40</v>
      </c>
      <c r="D6124">
        <v>4.5635219999999999</v>
      </c>
      <c r="E6124">
        <v>0.33538279999999998</v>
      </c>
      <c r="F6124" t="s">
        <v>64</v>
      </c>
      <c r="G6124">
        <v>-408.32040000000001</v>
      </c>
      <c r="H6124" s="1">
        <v>-3.101129E-6</v>
      </c>
      <c r="I6124">
        <v>25.277000000000001</v>
      </c>
      <c r="J6124">
        <v>-421.94299999999998</v>
      </c>
      <c r="K6124">
        <v>1.126387</v>
      </c>
      <c r="L6124">
        <v>33.085720000000002</v>
      </c>
      <c r="M6124">
        <v>0.1452755</v>
      </c>
      <c r="N6124">
        <v>-1.50326E-2</v>
      </c>
      <c r="O6124">
        <v>-0.98927699999999996</v>
      </c>
      <c r="P6124">
        <v>0.58939989999999998</v>
      </c>
      <c r="Q6124">
        <v>-5.9943870000000003E-2</v>
      </c>
      <c r="R6124">
        <v>-0.80561419999999995</v>
      </c>
      <c r="S6124">
        <v>2.8282780000000001</v>
      </c>
      <c r="T6124">
        <v>-0.23319400000000001</v>
      </c>
      <c r="U6124">
        <v>-1.6580809999999999</v>
      </c>
      <c r="V6124">
        <v>-0.46547729999999998</v>
      </c>
      <c r="W6124">
        <v>-5.2482710000000002E-2</v>
      </c>
      <c r="X6124">
        <v>0.88350239999999902</v>
      </c>
      <c r="Y6124">
        <v>-0.77809379999999995</v>
      </c>
      <c r="Z6124">
        <v>6.1346970000000001E-2</v>
      </c>
      <c r="AA6124">
        <v>0.62514539999999996</v>
      </c>
      <c r="AB6124">
        <v>21</v>
      </c>
      <c r="AC6124">
        <v>13.6226</v>
      </c>
      <c r="AD6124">
        <v>-1.1263901011290001</v>
      </c>
      <c r="AE6124">
        <v>-7.8087200000000001</v>
      </c>
      <c r="AF6124">
        <v>-12.280309791439301</v>
      </c>
      <c r="AG6124">
        <v>-1.1263901011290001</v>
      </c>
      <c r="AH6124">
        <v>9.6554272006822792</v>
      </c>
      <c r="AI6124">
        <v>94.124164399859694</v>
      </c>
      <c r="AJ6124">
        <v>141.82370329803899</v>
      </c>
      <c r="AK6124">
        <v>15.662121109904501</v>
      </c>
      <c r="AL6124">
        <v>93.0084198786125</v>
      </c>
      <c r="AM6124">
        <v>117.782709968433</v>
      </c>
      <c r="AN6124">
        <v>1.00000002123499</v>
      </c>
    </row>
    <row r="6125" spans="1:40" x14ac:dyDescent="0.25">
      <c r="A6125" t="str">
        <f>"20190303154933334"</f>
        <v>20190303154933334</v>
      </c>
      <c r="B6125" t="str">
        <f>"1551599373326723"</f>
        <v>1551599373326723</v>
      </c>
      <c r="C6125" t="s">
        <v>40</v>
      </c>
      <c r="D6125">
        <v>4.566757</v>
      </c>
      <c r="E6125">
        <v>0.33799839999999998</v>
      </c>
      <c r="F6125" t="s">
        <v>64</v>
      </c>
      <c r="G6125">
        <v>-408.45830000000001</v>
      </c>
      <c r="H6125" s="1">
        <v>-3.0164859999999999E-6</v>
      </c>
      <c r="I6125">
        <v>25.263559999999998</v>
      </c>
      <c r="J6125">
        <v>-421.90359999999998</v>
      </c>
      <c r="K6125">
        <v>1.126501</v>
      </c>
      <c r="L6125">
        <v>32.886780000000002</v>
      </c>
      <c r="M6125">
        <v>0.15387609999999999</v>
      </c>
      <c r="N6125">
        <v>-1.506065E-2</v>
      </c>
      <c r="O6125">
        <v>-0.98797539999999995</v>
      </c>
      <c r="P6125">
        <v>0.60001979999999999</v>
      </c>
      <c r="Q6125">
        <v>-6.0201789999999998E-2</v>
      </c>
      <c r="R6125">
        <v>-0.79771650000000005</v>
      </c>
      <c r="S6125">
        <v>2.8255919999999999</v>
      </c>
      <c r="T6125">
        <v>-0.23602529999999999</v>
      </c>
      <c r="U6125">
        <v>-1.6390690000000001</v>
      </c>
      <c r="V6125">
        <v>-0.46947179999999999</v>
      </c>
      <c r="W6125">
        <v>-5.2926140000000003E-2</v>
      </c>
      <c r="X6125">
        <v>0.88135980000000003</v>
      </c>
      <c r="Y6125">
        <v>-0.77544269999999904</v>
      </c>
      <c r="Z6125">
        <v>6.2756110000000004E-2</v>
      </c>
      <c r="AA6125">
        <v>0.62829159999999995</v>
      </c>
      <c r="AB6125">
        <v>21</v>
      </c>
      <c r="AC6125">
        <v>13.4452999999999</v>
      </c>
      <c r="AD6125">
        <v>-1.1265040164860001</v>
      </c>
      <c r="AE6125">
        <v>-7.6232199999999999</v>
      </c>
      <c r="AF6125">
        <v>-12.0479672752134</v>
      </c>
      <c r="AG6125">
        <v>-1.1265040164860001</v>
      </c>
      <c r="AH6125">
        <v>9.5508176792086399</v>
      </c>
      <c r="AI6125">
        <v>94.190658775827202</v>
      </c>
      <c r="AJ6125">
        <v>141.59498684667301</v>
      </c>
      <c r="AK6125">
        <v>15.4155974618324</v>
      </c>
      <c r="AL6125">
        <v>93.033861903392605</v>
      </c>
      <c r="AM6125">
        <v>118.04278159082899</v>
      </c>
      <c r="AN6125">
        <v>1.0000000221732801</v>
      </c>
    </row>
    <row r="6126" spans="1:40" x14ac:dyDescent="0.25">
      <c r="A6126" t="str">
        <f>"20190303154933356"</f>
        <v>20190303154933356</v>
      </c>
      <c r="B6126" t="str">
        <f>"1551599373347219"</f>
        <v>1551599373347219</v>
      </c>
      <c r="C6126" t="s">
        <v>40</v>
      </c>
      <c r="D6126">
        <v>4.565842</v>
      </c>
      <c r="E6126">
        <v>0.35744860000000001</v>
      </c>
      <c r="F6126" t="s">
        <v>64</v>
      </c>
      <c r="G6126">
        <v>-408.6293</v>
      </c>
      <c r="H6126" s="1">
        <v>-2.9273860000000002E-6</v>
      </c>
      <c r="I6126">
        <v>25.318069999999999</v>
      </c>
      <c r="J6126">
        <v>-421.86250000000001</v>
      </c>
      <c r="K6126">
        <v>1.1266179999999999</v>
      </c>
      <c r="L6126">
        <v>32.689790000000002</v>
      </c>
      <c r="M6126">
        <v>0.16264049999999999</v>
      </c>
      <c r="N6126">
        <v>-1.5090869999999999E-2</v>
      </c>
      <c r="O6126">
        <v>-0.98657010000000001</v>
      </c>
      <c r="P6126">
        <v>0.61028680000000002</v>
      </c>
      <c r="Q6126">
        <v>-5.9609200000000001E-2</v>
      </c>
      <c r="R6126">
        <v>-0.78993459999999904</v>
      </c>
      <c r="S6126">
        <v>2.830292</v>
      </c>
      <c r="T6126">
        <v>-0.2401884</v>
      </c>
      <c r="U6126">
        <v>-1.6137699999999999</v>
      </c>
      <c r="V6126">
        <v>-0.4730239</v>
      </c>
      <c r="W6126">
        <v>-5.2521739999999997E-2</v>
      </c>
      <c r="X6126">
        <v>0.87948269999999995</v>
      </c>
      <c r="Y6126">
        <v>-0.77442809999999995</v>
      </c>
      <c r="Z6126">
        <v>6.4549720000000005E-2</v>
      </c>
      <c r="AA6126">
        <v>0.62936029999999998</v>
      </c>
      <c r="AB6126">
        <v>21</v>
      </c>
      <c r="AC6126">
        <v>13.2332</v>
      </c>
      <c r="AD6126">
        <v>-1.1266209273859999</v>
      </c>
      <c r="AE6126">
        <v>-7.3717199999999998</v>
      </c>
      <c r="AF6126">
        <v>-11.7926561818231</v>
      </c>
      <c r="AG6126">
        <v>-1.1266209273859999</v>
      </c>
      <c r="AH6126">
        <v>9.37419104432918</v>
      </c>
      <c r="AI6126">
        <v>94.276959253751698</v>
      </c>
      <c r="AJ6126">
        <v>141.518190239169</v>
      </c>
      <c r="AK6126">
        <v>15.1066697942431</v>
      </c>
      <c r="AL6126">
        <v>93.010659341450804</v>
      </c>
      <c r="AM6126">
        <v>118.273289281568</v>
      </c>
      <c r="AN6126">
        <v>0.99999998137156298</v>
      </c>
    </row>
    <row r="6127" spans="1:40" x14ac:dyDescent="0.25">
      <c r="A6127" t="str">
        <f>"20190303154933380"</f>
        <v>20190303154933380</v>
      </c>
      <c r="B6127" t="str">
        <f>"1551599373376499"</f>
        <v>1551599373376499</v>
      </c>
      <c r="C6127" t="s">
        <v>40</v>
      </c>
      <c r="D6127">
        <v>4.5887260000000003</v>
      </c>
      <c r="E6127">
        <v>0.35877290000000001</v>
      </c>
      <c r="F6127" t="s">
        <v>64</v>
      </c>
      <c r="G6127">
        <v>-409.18920000000003</v>
      </c>
      <c r="H6127" s="1">
        <v>-2.5081420000000001E-6</v>
      </c>
      <c r="I6127">
        <v>24.923169999999999</v>
      </c>
      <c r="J6127">
        <v>-421.81740000000002</v>
      </c>
      <c r="K6127">
        <v>1.12676</v>
      </c>
      <c r="L6127">
        <v>32.483800000000002</v>
      </c>
      <c r="M6127">
        <v>0.1720624</v>
      </c>
      <c r="N6127">
        <v>-1.512379E-2</v>
      </c>
      <c r="O6127">
        <v>-0.98497000000000001</v>
      </c>
      <c r="P6127">
        <v>0.62126800000000004</v>
      </c>
      <c r="Q6127">
        <v>-5.840828E-2</v>
      </c>
      <c r="R6127">
        <v>-0.78141830000000001</v>
      </c>
      <c r="S6127">
        <v>2.7280579999999999</v>
      </c>
      <c r="T6127">
        <v>-0.2425166</v>
      </c>
      <c r="U6127">
        <v>-1.6718440000000001</v>
      </c>
      <c r="V6127">
        <v>-0.47688540000000001</v>
      </c>
      <c r="W6127">
        <v>-5.1531489999999999E-2</v>
      </c>
      <c r="X6127">
        <v>0.87745359999999994</v>
      </c>
      <c r="Y6127">
        <v>-0.74775639999999999</v>
      </c>
      <c r="Z6127">
        <v>6.6629480000000005E-2</v>
      </c>
      <c r="AA6127">
        <v>0.66062169999999998</v>
      </c>
      <c r="AB6127">
        <v>21</v>
      </c>
      <c r="AC6127">
        <v>12.6281999999999</v>
      </c>
      <c r="AD6127">
        <v>-1.1267625081420001</v>
      </c>
      <c r="AE6127">
        <v>-7.5606299999999997</v>
      </c>
      <c r="AF6127">
        <v>-11.0738726265115</v>
      </c>
      <c r="AG6127">
        <v>-1.1267625081420001</v>
      </c>
      <c r="AH6127">
        <v>9.5648767436323308</v>
      </c>
      <c r="AI6127">
        <v>94.403243891249701</v>
      </c>
      <c r="AJ6127">
        <v>139.18172259181799</v>
      </c>
      <c r="AK6127">
        <v>14.6760729017961</v>
      </c>
      <c r="AL6127">
        <v>92.953845194869601</v>
      </c>
      <c r="AM6127">
        <v>118.523544228966</v>
      </c>
      <c r="AN6127">
        <v>0.99999999967386999</v>
      </c>
    </row>
    <row r="6128" spans="1:40" x14ac:dyDescent="0.25">
      <c r="A6128" t="str">
        <f>"20190303154933401"</f>
        <v>20190303154933401</v>
      </c>
      <c r="B6128" t="str">
        <f>"1551599373396995"</f>
        <v>1551599373396995</v>
      </c>
      <c r="C6128" t="s">
        <v>40</v>
      </c>
      <c r="D6128">
        <v>4.5658859999999999</v>
      </c>
      <c r="E6128">
        <v>0.35987560000000002</v>
      </c>
      <c r="F6128" t="s">
        <v>64</v>
      </c>
      <c r="G6128">
        <v>-409.28969999999998</v>
      </c>
      <c r="H6128" s="1">
        <v>-2.4639880000000001E-6</v>
      </c>
      <c r="I6128">
        <v>24.991879999999998</v>
      </c>
      <c r="J6128">
        <v>-421.7722</v>
      </c>
      <c r="K6128">
        <v>1.1269049999999901</v>
      </c>
      <c r="L6128">
        <v>32.288330000000002</v>
      </c>
      <c r="M6128">
        <v>0.18127869999999999</v>
      </c>
      <c r="N6128">
        <v>-1.515617E-2</v>
      </c>
      <c r="O6128">
        <v>-0.98331500000000005</v>
      </c>
      <c r="P6128">
        <v>0.63274039999999998</v>
      </c>
      <c r="Q6128">
        <v>-5.6184369999999997E-2</v>
      </c>
      <c r="R6128">
        <v>-0.77232309999999904</v>
      </c>
      <c r="S6128">
        <v>2.742645</v>
      </c>
      <c r="T6128">
        <v>-0.24667629999999999</v>
      </c>
      <c r="U6128">
        <v>-1.6401669999999999</v>
      </c>
      <c r="V6128">
        <v>-0.48159879999999999</v>
      </c>
      <c r="W6128">
        <v>-4.9535660000000002E-2</v>
      </c>
      <c r="X6128">
        <v>0.87499079999999996</v>
      </c>
      <c r="Y6128">
        <v>-0.74861219999999995</v>
      </c>
      <c r="Z6128">
        <v>6.8365399999999896E-2</v>
      </c>
      <c r="AA6128">
        <v>0.659474</v>
      </c>
      <c r="AB6128">
        <v>21</v>
      </c>
      <c r="AC6128">
        <v>12.4825</v>
      </c>
      <c r="AD6128">
        <v>-1.1269074639879999</v>
      </c>
      <c r="AE6128">
        <v>-7.2964500000000001</v>
      </c>
      <c r="AF6128">
        <v>-10.886663081028701</v>
      </c>
      <c r="AG6128">
        <v>-1.1269074639879999</v>
      </c>
      <c r="AH6128">
        <v>9.3816135093455397</v>
      </c>
      <c r="AI6128">
        <v>94.483603955010693</v>
      </c>
      <c r="AJ6128">
        <v>139.24678505226399</v>
      </c>
      <c r="AK6128">
        <v>14.4154093077845</v>
      </c>
      <c r="AL6128">
        <v>92.839346128998002</v>
      </c>
      <c r="AM6128">
        <v>118.82858057953899</v>
      </c>
      <c r="AN6128">
        <v>1.00000004292885</v>
      </c>
    </row>
    <row r="6129" spans="1:40" x14ac:dyDescent="0.25">
      <c r="A6129" t="str">
        <f>"20190303154933424"</f>
        <v>20190303154933424</v>
      </c>
      <c r="B6129" t="str">
        <f>"1551599373417491"</f>
        <v>1551599373417491</v>
      </c>
      <c r="C6129" t="s">
        <v>40</v>
      </c>
      <c r="D6129">
        <v>4.586646</v>
      </c>
      <c r="E6129">
        <v>0.3610816</v>
      </c>
      <c r="F6129" t="s">
        <v>64</v>
      </c>
      <c r="G6129">
        <v>-408.90230000000003</v>
      </c>
      <c r="H6129" s="1">
        <v>-2.6507829999999998E-6</v>
      </c>
      <c r="I6129">
        <v>24.800709999999999</v>
      </c>
      <c r="J6129">
        <v>-421.72359999999998</v>
      </c>
      <c r="K6129">
        <v>1.1270579999999999</v>
      </c>
      <c r="L6129">
        <v>32.088349999999998</v>
      </c>
      <c r="M6129">
        <v>0.19100629999999999</v>
      </c>
      <c r="N6129">
        <v>-1.519097E-2</v>
      </c>
      <c r="O6129">
        <v>-0.98147139999999999</v>
      </c>
      <c r="P6129">
        <v>0.64463619999999899</v>
      </c>
      <c r="Q6129">
        <v>-5.3272720000000003E-2</v>
      </c>
      <c r="R6129">
        <v>-0.76263149999999902</v>
      </c>
      <c r="S6129">
        <v>2.7599490000000002</v>
      </c>
      <c r="T6129">
        <v>-0.2416643</v>
      </c>
      <c r="U6129">
        <v>-1.6057129999999999</v>
      </c>
      <c r="V6129">
        <v>-0.48647040000000003</v>
      </c>
      <c r="W6129">
        <v>-4.6859669999999999E-2</v>
      </c>
      <c r="X6129">
        <v>0.87243950000000003</v>
      </c>
      <c r="Y6129">
        <v>-0.75009239999999999</v>
      </c>
      <c r="Z6129">
        <v>6.7050810000000002E-2</v>
      </c>
      <c r="AA6129">
        <v>0.65792519999999999</v>
      </c>
      <c r="AB6129">
        <v>21</v>
      </c>
      <c r="AC6129">
        <v>12.8212999999999</v>
      </c>
      <c r="AD6129">
        <v>-1.1270606507830001</v>
      </c>
      <c r="AE6129">
        <v>-7.2876399999999899</v>
      </c>
      <c r="AF6129">
        <v>-11.1280515452699</v>
      </c>
      <c r="AG6129">
        <v>-1.1270606507830001</v>
      </c>
      <c r="AH6129">
        <v>9.5469080050599793</v>
      </c>
      <c r="AI6129">
        <v>94.395625931222298</v>
      </c>
      <c r="AJ6129">
        <v>139.37325424033199</v>
      </c>
      <c r="AK6129">
        <v>14.7053476450509</v>
      </c>
      <c r="AL6129">
        <v>92.6858449290159</v>
      </c>
      <c r="AM6129">
        <v>119.14394410619001</v>
      </c>
      <c r="AN6129">
        <v>0.999999979954459</v>
      </c>
    </row>
    <row r="6130" spans="1:40" x14ac:dyDescent="0.25">
      <c r="A6130" t="str">
        <f>"20190303154933445"</f>
        <v>20190303154933445</v>
      </c>
      <c r="B6130" t="str">
        <f>"1551599373437012"</f>
        <v>1551599373437012</v>
      </c>
      <c r="C6130" t="s">
        <v>40</v>
      </c>
      <c r="D6130">
        <v>4.5801790000000002</v>
      </c>
      <c r="E6130">
        <v>0.3563712</v>
      </c>
      <c r="F6130" t="s">
        <v>64</v>
      </c>
      <c r="G6130">
        <v>-408.19830000000002</v>
      </c>
      <c r="H6130" s="1">
        <v>-2.9877790000000001E-6</v>
      </c>
      <c r="I6130">
        <v>24.442399999999999</v>
      </c>
      <c r="J6130">
        <v>-421.6737</v>
      </c>
      <c r="K6130">
        <v>1.127178</v>
      </c>
      <c r="L6130">
        <v>31.893280000000001</v>
      </c>
      <c r="M6130">
        <v>0.20073779999999999</v>
      </c>
      <c r="N6130">
        <v>-1.5225280000000001E-2</v>
      </c>
      <c r="O6130">
        <v>-0.97952660000000003</v>
      </c>
      <c r="P6130">
        <v>0.65623100000000001</v>
      </c>
      <c r="Q6130">
        <v>-5.1790679999999999E-2</v>
      </c>
      <c r="R6130">
        <v>-0.75278059999999902</v>
      </c>
      <c r="S6130">
        <v>2.7772519999999998</v>
      </c>
      <c r="T6130">
        <v>-0.23142889999999999</v>
      </c>
      <c r="U6130">
        <v>-1.5700069999999999</v>
      </c>
      <c r="V6130">
        <v>-0.49113879999999999</v>
      </c>
      <c r="W6130">
        <v>-4.5588879999999998E-2</v>
      </c>
      <c r="X6130">
        <v>0.86988750000000004</v>
      </c>
      <c r="Y6130">
        <v>-0.75189329999999999</v>
      </c>
      <c r="Z6130">
        <v>6.3989089999999998E-2</v>
      </c>
      <c r="AA6130">
        <v>0.65617209999999904</v>
      </c>
      <c r="AB6130">
        <v>21</v>
      </c>
      <c r="AC6130">
        <v>13.475399999999899</v>
      </c>
      <c r="AD6130">
        <v>-1.127180987779</v>
      </c>
      <c r="AE6130">
        <v>-7.45087999999999</v>
      </c>
      <c r="AF6130">
        <v>-11.642807970664199</v>
      </c>
      <c r="AG6130">
        <v>-1.127180987779</v>
      </c>
      <c r="AH6130">
        <v>9.9511932201815991</v>
      </c>
      <c r="AI6130">
        <v>94.209082356230695</v>
      </c>
      <c r="AJ6130">
        <v>139.47924632925699</v>
      </c>
      <c r="AK6130">
        <v>15.357465966960801</v>
      </c>
      <c r="AL6130">
        <v>92.612956146903301</v>
      </c>
      <c r="AM6130">
        <v>119.449088599219</v>
      </c>
      <c r="AN6130">
        <v>0.99999996475067099</v>
      </c>
    </row>
    <row r="6131" spans="1:40" x14ac:dyDescent="0.25">
      <c r="A6131" t="str">
        <f>"20190303154933469"</f>
        <v>20190303154933469</v>
      </c>
      <c r="B6131" t="str">
        <f>"1551599373456532"</f>
        <v>1551599373456532</v>
      </c>
      <c r="C6131" t="s">
        <v>40</v>
      </c>
      <c r="D6131">
        <v>4.6133860000000002</v>
      </c>
      <c r="E6131">
        <v>0.35801739999999999</v>
      </c>
      <c r="F6131" t="s">
        <v>64</v>
      </c>
      <c r="G6131">
        <v>-402.03140000000002</v>
      </c>
      <c r="H6131" s="1">
        <v>-5.5226960000000004E-6</v>
      </c>
      <c r="I6131">
        <v>21.451820000000001</v>
      </c>
      <c r="J6131">
        <v>-421.61939999999998</v>
      </c>
      <c r="K6131">
        <v>1.1272899999999999</v>
      </c>
      <c r="L6131">
        <v>31.690580000000001</v>
      </c>
      <c r="M6131">
        <v>0.21110380000000001</v>
      </c>
      <c r="N6131">
        <v>-1.5260259999999999E-2</v>
      </c>
      <c r="O6131">
        <v>-0.97734449999999995</v>
      </c>
      <c r="P6131">
        <v>0.66816399999999998</v>
      </c>
      <c r="Q6131">
        <v>-5.1506339999999998E-2</v>
      </c>
      <c r="R6131">
        <v>-0.74222919999999903</v>
      </c>
      <c r="S6131">
        <v>2.8318789999999998</v>
      </c>
      <c r="T6131">
        <v>-0.16250899999999999</v>
      </c>
      <c r="U6131">
        <v>-1.505371</v>
      </c>
      <c r="V6131">
        <v>-0.49578640000000002</v>
      </c>
      <c r="W6131">
        <v>-4.5505139999999999E-2</v>
      </c>
      <c r="X6131">
        <v>0.86725149999999995</v>
      </c>
      <c r="Y6131">
        <v>-0.76299430000000001</v>
      </c>
      <c r="Z6131">
        <v>4.1019409999999999E-2</v>
      </c>
      <c r="AA6131">
        <v>0.64510239999999996</v>
      </c>
      <c r="AB6131">
        <v>21</v>
      </c>
      <c r="AC6131">
        <v>19.587999999999901</v>
      </c>
      <c r="AD6131">
        <v>-1.127295522696</v>
      </c>
      <c r="AE6131">
        <v>-10.2387599999999</v>
      </c>
      <c r="AF6131">
        <v>-16.940693101157699</v>
      </c>
      <c r="AG6131">
        <v>-1.127295522696</v>
      </c>
      <c r="AH6131">
        <v>14.1068479858563</v>
      </c>
      <c r="AI6131">
        <v>92.927308732756899</v>
      </c>
      <c r="AJ6131">
        <v>140.215186288187</v>
      </c>
      <c r="AK6131">
        <v>22.073990079710601</v>
      </c>
      <c r="AL6131">
        <v>92.608153074097302</v>
      </c>
      <c r="AM6131">
        <v>119.755543814269</v>
      </c>
      <c r="AN6131">
        <v>1.0000000182218101</v>
      </c>
    </row>
    <row r="6132" spans="1:40" x14ac:dyDescent="0.25">
      <c r="A6132" t="str">
        <f>"20190303154933492"</f>
        <v>20190303154933492</v>
      </c>
      <c r="B6132" t="str">
        <f>"1551599373486787"</f>
        <v>1551599373486787</v>
      </c>
      <c r="C6132" t="s">
        <v>40</v>
      </c>
      <c r="D6132">
        <v>4.6493080000000004</v>
      </c>
      <c r="E6132">
        <v>0.37331039999999999</v>
      </c>
      <c r="F6132" t="s">
        <v>64</v>
      </c>
      <c r="G6132">
        <v>-402.04520000000002</v>
      </c>
      <c r="H6132" s="1">
        <v>-5.5404320000000004E-6</v>
      </c>
      <c r="I6132">
        <v>21.587679999999999</v>
      </c>
      <c r="J6132">
        <v>-421.5616</v>
      </c>
      <c r="K6132">
        <v>1.1273839999999999</v>
      </c>
      <c r="L6132">
        <v>31.484380000000002</v>
      </c>
      <c r="M6132">
        <v>0.22192519999999999</v>
      </c>
      <c r="N6132">
        <v>-1.529501E-2</v>
      </c>
      <c r="O6132">
        <v>-0.97494380000000003</v>
      </c>
      <c r="P6132">
        <v>0.67989009999999905</v>
      </c>
      <c r="Q6132">
        <v>-5.2022329999999999E-2</v>
      </c>
      <c r="R6132">
        <v>-0.73146659999999997</v>
      </c>
      <c r="S6132">
        <v>2.8457340000000002</v>
      </c>
      <c r="T6132">
        <v>-0.16388849999999999</v>
      </c>
      <c r="U6132">
        <v>-1.4687809999999999</v>
      </c>
      <c r="V6132">
        <v>-0.49995279999999998</v>
      </c>
      <c r="W6132">
        <v>-4.6210010000000003E-2</v>
      </c>
      <c r="X6132">
        <v>0.864819</v>
      </c>
      <c r="Y6132">
        <v>-0.76362699999999994</v>
      </c>
      <c r="Z6132">
        <v>4.1786950000000003E-2</v>
      </c>
      <c r="AA6132">
        <v>0.64430410000000005</v>
      </c>
      <c r="AB6132">
        <v>21</v>
      </c>
      <c r="AC6132">
        <v>19.516399999999901</v>
      </c>
      <c r="AD6132">
        <v>-1.127389540432</v>
      </c>
      <c r="AE6132">
        <v>-9.8966999999999992</v>
      </c>
      <c r="AF6132">
        <v>-16.788470960891999</v>
      </c>
      <c r="AG6132">
        <v>-1.127389540432</v>
      </c>
      <c r="AH6132">
        <v>13.944527736224501</v>
      </c>
      <c r="AI6132">
        <v>92.957122362325293</v>
      </c>
      <c r="AJ6132">
        <v>140.28692992849699</v>
      </c>
      <c r="AK6132">
        <v>21.853457808020298</v>
      </c>
      <c r="AL6132">
        <v>92.648581637199598</v>
      </c>
      <c r="AM6132">
        <v>120.032253332764</v>
      </c>
      <c r="AN6132">
        <v>1.0000000350065099</v>
      </c>
    </row>
    <row r="6133" spans="1:40" x14ac:dyDescent="0.25">
      <c r="A6133" t="str">
        <f>"20190303154933514"</f>
        <v>20190303154933514</v>
      </c>
      <c r="B6133" t="str">
        <f>"1551599373507283"</f>
        <v>1551599373507283</v>
      </c>
      <c r="C6133" t="s">
        <v>40</v>
      </c>
      <c r="D6133">
        <v>4.6149149999999999</v>
      </c>
      <c r="E6133">
        <v>0.37344509999999997</v>
      </c>
      <c r="F6133" t="s">
        <v>64</v>
      </c>
      <c r="G6133">
        <v>-408.23020000000002</v>
      </c>
      <c r="H6133" s="1">
        <v>-2.9292900000000002E-6</v>
      </c>
      <c r="I6133">
        <v>24.26426</v>
      </c>
      <c r="J6133">
        <v>-421.50779999999997</v>
      </c>
      <c r="K6133">
        <v>1.1274759999999999</v>
      </c>
      <c r="L6133">
        <v>31.301120000000001</v>
      </c>
      <c r="M6133">
        <v>0.2317844</v>
      </c>
      <c r="N6133">
        <v>-1.53268E-2</v>
      </c>
      <c r="O6133">
        <v>-0.97264649999999997</v>
      </c>
      <c r="P6133">
        <v>0.69089129999999999</v>
      </c>
      <c r="Q6133">
        <v>-5.1274569999999998E-2</v>
      </c>
      <c r="R6133">
        <v>-0.721138099999999</v>
      </c>
      <c r="S6133">
        <v>2.776672</v>
      </c>
      <c r="T6133">
        <v>-0.23481350000000001</v>
      </c>
      <c r="U6133">
        <v>-1.5038149999999999</v>
      </c>
      <c r="V6133">
        <v>-0.50427420000000001</v>
      </c>
      <c r="W6133">
        <v>-4.565044E-2</v>
      </c>
      <c r="X6133">
        <v>0.86233609999999905</v>
      </c>
      <c r="Y6133">
        <v>-0.74268859999999903</v>
      </c>
      <c r="Z6133">
        <v>6.6519830000000002E-2</v>
      </c>
      <c r="AA6133">
        <v>0.6663249</v>
      </c>
      <c r="AB6133">
        <v>21</v>
      </c>
      <c r="AC6133">
        <v>13.2775999999999</v>
      </c>
      <c r="AD6133">
        <v>-1.1274789292899901</v>
      </c>
      <c r="AE6133">
        <v>-7.0368599999999999</v>
      </c>
      <c r="AF6133">
        <v>-11.2215299825444</v>
      </c>
      <c r="AG6133">
        <v>-1.1274789292899901</v>
      </c>
      <c r="AH6133">
        <v>9.86753346000806</v>
      </c>
      <c r="AI6133">
        <v>94.314926234730294</v>
      </c>
      <c r="AJ6133">
        <v>138.67356064221499</v>
      </c>
      <c r="AK6133">
        <v>14.985398241939199</v>
      </c>
      <c r="AL6133">
        <v>92.616486884016098</v>
      </c>
      <c r="AM6133">
        <v>120.31810813617</v>
      </c>
      <c r="AN6133">
        <v>0.99999999041052101</v>
      </c>
    </row>
    <row r="6134" spans="1:40" x14ac:dyDescent="0.25">
      <c r="A6134" t="str">
        <f>"20190303154933535"</f>
        <v>20190303154933535</v>
      </c>
      <c r="B6134" t="str">
        <f>"1551599373526802"</f>
        <v>1551599373526802</v>
      </c>
      <c r="C6134" t="s">
        <v>40</v>
      </c>
      <c r="D6134">
        <v>4.675459</v>
      </c>
      <c r="E6134">
        <v>0.3737915</v>
      </c>
      <c r="F6134" t="s">
        <v>41</v>
      </c>
      <c r="G6134">
        <v>-397.1327</v>
      </c>
      <c r="H6134" s="1">
        <v>-1.525084E-6</v>
      </c>
      <c r="I6134">
        <v>18.549620000000001</v>
      </c>
      <c r="J6134">
        <v>-421.45030000000003</v>
      </c>
      <c r="K6134">
        <v>1.1275869999999999</v>
      </c>
      <c r="L6134">
        <v>31.113160000000001</v>
      </c>
      <c r="M6134">
        <v>0.2421381</v>
      </c>
      <c r="N6134">
        <v>-1.536158E-2</v>
      </c>
      <c r="O6134">
        <v>-0.97012030000000005</v>
      </c>
      <c r="P6134">
        <v>0.70226690000000003</v>
      </c>
      <c r="Q6134">
        <v>-5.010568E-2</v>
      </c>
      <c r="R6134">
        <v>-0.71014840000000001</v>
      </c>
      <c r="S6134">
        <v>2.8023380000000002</v>
      </c>
      <c r="T6134">
        <v>-0.12962280000000001</v>
      </c>
      <c r="U6134">
        <v>-1.4660029999999999</v>
      </c>
      <c r="V6134">
        <v>-0.50876579999999905</v>
      </c>
      <c r="W6134">
        <v>-4.4687610000000003E-2</v>
      </c>
      <c r="X6134">
        <v>0.85974439999999996</v>
      </c>
      <c r="Y6134">
        <v>-0.74680579999999996</v>
      </c>
      <c r="Z6134">
        <v>3.095997E-2</v>
      </c>
      <c r="AA6134">
        <v>0.664321099999999</v>
      </c>
      <c r="AB6134">
        <v>21</v>
      </c>
      <c r="AC6134">
        <v>24.317599999999999</v>
      </c>
      <c r="AD6134">
        <v>-1.1275885250839901</v>
      </c>
      <c r="AE6134">
        <v>-12.5635399999999</v>
      </c>
      <c r="AF6134">
        <v>-20.516489500402901</v>
      </c>
      <c r="AG6134">
        <v>-1.1275885250839901</v>
      </c>
      <c r="AH6134">
        <v>18.047864491333399</v>
      </c>
      <c r="AI6134">
        <v>92.363022735899904</v>
      </c>
      <c r="AJ6134">
        <v>138.66268480502401</v>
      </c>
      <c r="AK6134">
        <v>27.348184766078699</v>
      </c>
      <c r="AL6134">
        <v>92.561264328480206</v>
      </c>
      <c r="AM6134">
        <v>120.615519707518</v>
      </c>
      <c r="AN6134">
        <v>1.00000002753425</v>
      </c>
    </row>
    <row r="6135" spans="1:40" x14ac:dyDescent="0.25">
      <c r="A6135" t="str">
        <f>"20190303154933558"</f>
        <v>20190303154933558</v>
      </c>
      <c r="B6135" t="str">
        <f>"1551599373547300"</f>
        <v>1551599373547300</v>
      </c>
      <c r="C6135" t="s">
        <v>40</v>
      </c>
      <c r="D6135">
        <v>4.7064570000000003</v>
      </c>
      <c r="E6135">
        <v>0.3744845</v>
      </c>
      <c r="F6135" t="s">
        <v>41</v>
      </c>
      <c r="G6135">
        <v>-393.75110000000001</v>
      </c>
      <c r="H6135" s="1">
        <v>-3.3722999999999999E-6</v>
      </c>
      <c r="I6135">
        <v>17.14742</v>
      </c>
      <c r="J6135">
        <v>-421.3888</v>
      </c>
      <c r="K6135">
        <v>1.1277060000000001</v>
      </c>
      <c r="L6135">
        <v>30.92023</v>
      </c>
      <c r="M6135">
        <v>0.2530172</v>
      </c>
      <c r="N6135">
        <v>-1.539944E-2</v>
      </c>
      <c r="O6135">
        <v>-0.96733930000000001</v>
      </c>
      <c r="P6135">
        <v>0.71350019999999903</v>
      </c>
      <c r="Q6135">
        <v>-4.9590960000000003E-2</v>
      </c>
      <c r="R6135">
        <v>-0.69889820000000002</v>
      </c>
      <c r="S6135">
        <v>2.8239139999999998</v>
      </c>
      <c r="T6135">
        <v>-0.11495710000000001</v>
      </c>
      <c r="U6135">
        <v>-1.4237979999999999</v>
      </c>
      <c r="V6135">
        <v>-0.51279549999999996</v>
      </c>
      <c r="W6135">
        <v>-4.4383649999999997E-2</v>
      </c>
      <c r="X6135">
        <v>0.85736270000000003</v>
      </c>
      <c r="Y6135">
        <v>-0.74943340000000003</v>
      </c>
      <c r="Z6135">
        <v>2.6158540000000001E-2</v>
      </c>
      <c r="AA6135">
        <v>0.66156280000000001</v>
      </c>
      <c r="AB6135">
        <v>21</v>
      </c>
      <c r="AC6135">
        <v>27.637699999999899</v>
      </c>
      <c r="AD6135">
        <v>-1.12770937229999</v>
      </c>
      <c r="AE6135">
        <v>-13.77281</v>
      </c>
      <c r="AF6135">
        <v>-23.222059603605501</v>
      </c>
      <c r="AG6135">
        <v>-1.12770937229999</v>
      </c>
      <c r="AH6135">
        <v>20.2911391198815</v>
      </c>
      <c r="AI6135">
        <v>92.094292661156203</v>
      </c>
      <c r="AJ6135">
        <v>138.853453761911</v>
      </c>
      <c r="AK6135">
        <v>30.8588092356812</v>
      </c>
      <c r="AL6135">
        <v>92.543831562672494</v>
      </c>
      <c r="AM6135">
        <v>120.883981957976</v>
      </c>
      <c r="AN6135">
        <v>0.99999996627943</v>
      </c>
    </row>
    <row r="6136" spans="1:40" x14ac:dyDescent="0.25">
      <c r="A6136" t="str">
        <f>"20190303154933581"</f>
        <v>20190303154933581</v>
      </c>
      <c r="B6136" t="str">
        <f>"1551599373576579"</f>
        <v>1551599373576579</v>
      </c>
      <c r="C6136" t="s">
        <v>40</v>
      </c>
      <c r="D6136">
        <v>4.9128619999999996</v>
      </c>
      <c r="E6136">
        <v>0.37556830000000002</v>
      </c>
      <c r="F6136" t="s">
        <v>41</v>
      </c>
      <c r="G6136">
        <v>-392.66980000000001</v>
      </c>
      <c r="H6136" s="1">
        <v>-3.9185809999999997E-6</v>
      </c>
      <c r="I6136">
        <v>16.949390000000001</v>
      </c>
      <c r="J6136">
        <v>-421.32389999999998</v>
      </c>
      <c r="K6136">
        <v>1.127826</v>
      </c>
      <c r="L6136">
        <v>30.725770000000001</v>
      </c>
      <c r="M6136">
        <v>0.26424730000000002</v>
      </c>
      <c r="N6136">
        <v>-1.543898E-2</v>
      </c>
      <c r="O6136">
        <v>-0.96433139999999995</v>
      </c>
      <c r="P6136">
        <v>0.72351599999999905</v>
      </c>
      <c r="Q6136">
        <v>-4.9386289999999999E-2</v>
      </c>
      <c r="R6136">
        <v>-0.68853869999999995</v>
      </c>
      <c r="S6136">
        <v>2.842438</v>
      </c>
      <c r="T6136">
        <v>-0.11161409999999999</v>
      </c>
      <c r="U6136">
        <v>-1.3827510000000001</v>
      </c>
      <c r="V6136">
        <v>-0.51518719999999996</v>
      </c>
      <c r="W6136">
        <v>-4.4356E-2</v>
      </c>
      <c r="X6136">
        <v>0.855929099999999</v>
      </c>
      <c r="Y6136">
        <v>-0.75117880000000004</v>
      </c>
      <c r="Z6136">
        <v>2.5221130000000001E-2</v>
      </c>
      <c r="AA6136">
        <v>0.6596168</v>
      </c>
      <c r="AB6136">
        <v>21</v>
      </c>
      <c r="AC6136">
        <v>28.6540999999999</v>
      </c>
      <c r="AD6136">
        <v>-1.1278299185809999</v>
      </c>
      <c r="AE6136">
        <v>-13.77638</v>
      </c>
      <c r="AF6136">
        <v>-23.964380824856899</v>
      </c>
      <c r="AG6136">
        <v>-1.1278299185809999</v>
      </c>
      <c r="AH6136">
        <v>20.833034766306</v>
      </c>
      <c r="AI6136">
        <v>92.034170505406905</v>
      </c>
      <c r="AJ6136">
        <v>138.99847979982101</v>
      </c>
      <c r="AK6136">
        <v>31.7738711242135</v>
      </c>
      <c r="AL6136">
        <v>92.5422457758349</v>
      </c>
      <c r="AM6136">
        <v>121.043905753545</v>
      </c>
      <c r="AN6136">
        <v>0.999999965003324</v>
      </c>
    </row>
    <row r="6137" spans="1:40" x14ac:dyDescent="0.25">
      <c r="A6137" t="str">
        <f>"20190303154933602"</f>
        <v>20190303154933602</v>
      </c>
      <c r="B6137" t="str">
        <f>"1551599373597075"</f>
        <v>1551599373597075</v>
      </c>
      <c r="C6137" t="s">
        <v>40</v>
      </c>
      <c r="D6137">
        <v>4.9518339999999998</v>
      </c>
      <c r="E6137">
        <v>0.36996770000000001</v>
      </c>
      <c r="F6137" t="s">
        <v>41</v>
      </c>
      <c r="G6137">
        <v>-392.0428</v>
      </c>
      <c r="H6137" s="1">
        <v>-4.2220859999999998E-6</v>
      </c>
      <c r="I6137">
        <v>16.909120000000001</v>
      </c>
      <c r="J6137">
        <v>-421.25760000000002</v>
      </c>
      <c r="K6137">
        <v>1.127945</v>
      </c>
      <c r="L6137">
        <v>30.535920000000001</v>
      </c>
      <c r="M6137">
        <v>0.27548470000000003</v>
      </c>
      <c r="N6137">
        <v>-1.547808E-2</v>
      </c>
      <c r="O6137">
        <v>-0.9611809</v>
      </c>
      <c r="P6137">
        <v>0.73471529999999996</v>
      </c>
      <c r="Q6137">
        <v>-4.8899489999999997E-2</v>
      </c>
      <c r="R6137">
        <v>-0.67661079999999996</v>
      </c>
      <c r="S6137">
        <v>2.856293</v>
      </c>
      <c r="T6137">
        <v>-0.1100169</v>
      </c>
      <c r="U6137">
        <v>-1.3477779999999999</v>
      </c>
      <c r="V6137">
        <v>-0.51921669999999998</v>
      </c>
      <c r="W6137">
        <v>-4.407821E-2</v>
      </c>
      <c r="X6137">
        <v>0.85350519999999996</v>
      </c>
      <c r="Y6137">
        <v>-0.7513223</v>
      </c>
      <c r="Z6137">
        <v>2.486901E-2</v>
      </c>
      <c r="AA6137">
        <v>0.65946680000000002</v>
      </c>
      <c r="AB6137">
        <v>20</v>
      </c>
      <c r="AC6137">
        <v>29.2148</v>
      </c>
      <c r="AD6137">
        <v>-1.1279492220859999</v>
      </c>
      <c r="AE6137">
        <v>-13.626799999999999</v>
      </c>
      <c r="AF6137">
        <v>-24.299895992597701</v>
      </c>
      <c r="AG6137">
        <v>-1.1279492220859999</v>
      </c>
      <c r="AH6137">
        <v>21.122722324006102</v>
      </c>
      <c r="AI6137">
        <v>92.006400477164505</v>
      </c>
      <c r="AJ6137">
        <v>139.00114828026901</v>
      </c>
      <c r="AK6137">
        <v>32.2168684554495</v>
      </c>
      <c r="AL6137">
        <v>92.526313914337507</v>
      </c>
      <c r="AM6137">
        <v>121.31359406423201</v>
      </c>
      <c r="AN6137">
        <v>0.99999999829136699</v>
      </c>
    </row>
    <row r="6138" spans="1:40" x14ac:dyDescent="0.25">
      <c r="A6138" t="str">
        <f>"20190303154933640"</f>
        <v>20190303154933640</v>
      </c>
      <c r="B6138" t="str">
        <f>"1551599373637091"</f>
        <v>1551599373637091</v>
      </c>
      <c r="C6138" t="s">
        <v>40</v>
      </c>
      <c r="D6138">
        <v>4.9513160000000003</v>
      </c>
      <c r="E6138">
        <v>0.30045699999999997</v>
      </c>
      <c r="F6138" t="s">
        <v>41</v>
      </c>
      <c r="G6138">
        <v>-396.20299999999997</v>
      </c>
      <c r="H6138" s="1">
        <v>-1.7759379999999901E-6</v>
      </c>
      <c r="I6138">
        <v>19.613019999999999</v>
      </c>
      <c r="J6138">
        <v>-421.1447</v>
      </c>
      <c r="K6138">
        <v>1.1280840000000001</v>
      </c>
      <c r="L6138">
        <v>30.228580000000001</v>
      </c>
      <c r="M6138">
        <v>0.2941106</v>
      </c>
      <c r="N6138">
        <v>-1.5536700000000001E-2</v>
      </c>
      <c r="O6138">
        <v>-0.95564519999999997</v>
      </c>
      <c r="P6138">
        <v>0.75231359999999903</v>
      </c>
      <c r="Q6138">
        <v>-4.937863E-2</v>
      </c>
      <c r="R6138">
        <v>-0.65695249999999905</v>
      </c>
      <c r="S6138">
        <v>2.907257</v>
      </c>
      <c r="T6138">
        <v>-0.1308831</v>
      </c>
      <c r="U6138">
        <v>-1.2674559999999999</v>
      </c>
      <c r="V6138">
        <v>-0.52512530000000002</v>
      </c>
      <c r="W6138">
        <v>-4.4827260000000001E-2</v>
      </c>
      <c r="X6138">
        <v>0.84984349999999997</v>
      </c>
      <c r="Y6138">
        <v>-0.75787510000000002</v>
      </c>
      <c r="Z6138">
        <v>3.2235519999999997E-2</v>
      </c>
      <c r="AA6138">
        <v>0.65160269999999898</v>
      </c>
      <c r="AB6138">
        <v>20</v>
      </c>
      <c r="AC6138">
        <v>24.941699999999901</v>
      </c>
      <c r="AD6138">
        <v>-1.1280857759379901</v>
      </c>
      <c r="AE6138">
        <v>-10.615559999999901</v>
      </c>
      <c r="AF6138">
        <v>-20.6799496890706</v>
      </c>
      <c r="AG6138">
        <v>-1.1280857759379901</v>
      </c>
      <c r="AH6138">
        <v>17.4522100490639</v>
      </c>
      <c r="AI6138">
        <v>92.387188113729394</v>
      </c>
      <c r="AJ6138">
        <v>139.83833233449801</v>
      </c>
      <c r="AK6138">
        <v>27.083436492753499</v>
      </c>
      <c r="AL6138">
        <v>92.569273731592403</v>
      </c>
      <c r="AM6138">
        <v>121.71226055706801</v>
      </c>
      <c r="AN6138">
        <v>1.0000000192157199</v>
      </c>
    </row>
    <row r="6139" spans="1:40" x14ac:dyDescent="0.25">
      <c r="A6139" t="str">
        <f>"20190303154933654"</f>
        <v>20190303154933654</v>
      </c>
      <c r="B6139" t="str">
        <f>"1551599373646852"</f>
        <v>1551599373646852</v>
      </c>
      <c r="C6139" t="s">
        <v>40</v>
      </c>
      <c r="D6139">
        <v>4.960477</v>
      </c>
      <c r="E6139">
        <v>0.3003575</v>
      </c>
      <c r="F6139" t="s">
        <v>64</v>
      </c>
      <c r="G6139">
        <v>-409.53300000000002</v>
      </c>
      <c r="H6139" s="1">
        <v>-2.8831800000000001E-6</v>
      </c>
      <c r="I6139">
        <v>27.52469</v>
      </c>
      <c r="J6139">
        <v>-421.09949999999998</v>
      </c>
      <c r="K6139">
        <v>1.1281190000000001</v>
      </c>
      <c r="L6139">
        <v>30.112120000000001</v>
      </c>
      <c r="M6139">
        <v>0.3013323</v>
      </c>
      <c r="N6139">
        <v>-1.55566E-2</v>
      </c>
      <c r="O6139">
        <v>-0.95339240000000003</v>
      </c>
      <c r="P6139">
        <v>0.75846029999999998</v>
      </c>
      <c r="Q6139">
        <v>-4.9127770000000001E-2</v>
      </c>
      <c r="R6139">
        <v>-0.64986499999999903</v>
      </c>
      <c r="S6139">
        <v>3.2963260000000001</v>
      </c>
      <c r="T6139">
        <v>-0.320241</v>
      </c>
      <c r="U6139">
        <v>-0.76757810000000004</v>
      </c>
      <c r="V6139">
        <v>-0.5266824</v>
      </c>
      <c r="W6139">
        <v>-4.4643210000000003E-2</v>
      </c>
      <c r="X6139">
        <v>0.84888909999999995</v>
      </c>
      <c r="Y6139">
        <v>-0.85562499999999997</v>
      </c>
      <c r="Z6139">
        <v>9.3845139999999994E-2</v>
      </c>
      <c r="AA6139">
        <v>0.50901770000000002</v>
      </c>
      <c r="AB6139">
        <v>20</v>
      </c>
      <c r="AC6139">
        <v>11.5664999999999</v>
      </c>
      <c r="AD6139">
        <v>-1.12812188318</v>
      </c>
      <c r="AE6139">
        <v>-2.5874299999999901</v>
      </c>
      <c r="AF6139">
        <v>-10.1569596167028</v>
      </c>
      <c r="AG6139">
        <v>-1.12812188318</v>
      </c>
      <c r="AH6139">
        <v>5.8994699129017096</v>
      </c>
      <c r="AI6139">
        <v>95.486054162393202</v>
      </c>
      <c r="AJ6139">
        <v>149.85068198779899</v>
      </c>
      <c r="AK6139">
        <v>11.8000098682956</v>
      </c>
      <c r="AL6139">
        <v>92.558717834467203</v>
      </c>
      <c r="AM6139">
        <v>121.817004711213</v>
      </c>
      <c r="AN6139">
        <v>1.0000000353838301</v>
      </c>
    </row>
    <row r="6140" spans="1:40" x14ac:dyDescent="0.25">
      <c r="A6140" t="str">
        <f>"20190303154933671"</f>
        <v>20190303154933671</v>
      </c>
      <c r="B6140" t="str">
        <f>"1551599373667348"</f>
        <v>1551599373667348</v>
      </c>
      <c r="C6140" t="s">
        <v>40</v>
      </c>
      <c r="D6140">
        <v>5.0214359999999996</v>
      </c>
      <c r="E6140">
        <v>0.30187140000000001</v>
      </c>
      <c r="F6140" t="s">
        <v>64</v>
      </c>
      <c r="G6140">
        <v>-409.34980000000002</v>
      </c>
      <c r="H6140" s="1">
        <v>-2.9847739999999999E-6</v>
      </c>
      <c r="I6140">
        <v>27.49408</v>
      </c>
      <c r="J6140">
        <v>-421.0444</v>
      </c>
      <c r="K6140">
        <v>1.1281570000000001</v>
      </c>
      <c r="L6140">
        <v>29.9726</v>
      </c>
      <c r="M6140">
        <v>0.31007970000000001</v>
      </c>
      <c r="N6140">
        <v>-1.5579829999999999E-2</v>
      </c>
      <c r="O6140">
        <v>-0.95058290000000001</v>
      </c>
      <c r="P6140">
        <v>0.76694010000000001</v>
      </c>
      <c r="Q6140">
        <v>-4.9189589999999998E-2</v>
      </c>
      <c r="R6140">
        <v>-0.63983059999999903</v>
      </c>
      <c r="S6140">
        <v>3.3040769999999902</v>
      </c>
      <c r="T6140">
        <v>-0.31723299999999999</v>
      </c>
      <c r="U6140">
        <v>-0.73620609999999997</v>
      </c>
      <c r="V6140">
        <v>-0.53003350000000005</v>
      </c>
      <c r="W6140">
        <v>-4.4825669999999998E-2</v>
      </c>
      <c r="X6140">
        <v>0.84679110000000002</v>
      </c>
      <c r="Y6140">
        <v>-0.85585869999999997</v>
      </c>
      <c r="Z6140">
        <v>9.3152360000000003E-2</v>
      </c>
      <c r="AA6140">
        <v>0.50875179999999998</v>
      </c>
      <c r="AB6140">
        <v>20</v>
      </c>
      <c r="AC6140">
        <v>11.6945999999999</v>
      </c>
      <c r="AD6140">
        <v>-1.128159984774</v>
      </c>
      <c r="AE6140">
        <v>-2.4785200000000001</v>
      </c>
      <c r="AF6140">
        <v>-10.258044764649201</v>
      </c>
      <c r="AG6140">
        <v>-1.128159984774</v>
      </c>
      <c r="AH6140">
        <v>5.9302078008119397</v>
      </c>
      <c r="AI6140">
        <v>95.4388928889786</v>
      </c>
      <c r="AJ6140">
        <v>149.967658674896</v>
      </c>
      <c r="AK6140">
        <v>11.902419581984301</v>
      </c>
      <c r="AL6140">
        <v>92.569182564805502</v>
      </c>
      <c r="AM6140">
        <v>122.043759747537</v>
      </c>
      <c r="AN6140">
        <v>1.0000000094262</v>
      </c>
    </row>
    <row r="6141" spans="1:40" x14ac:dyDescent="0.25">
      <c r="A6141" t="str">
        <f>"20190303154933694"</f>
        <v>20190303154933694</v>
      </c>
      <c r="B6141" t="str">
        <f>"1551599373686868"</f>
        <v>1551599373686868</v>
      </c>
      <c r="C6141" t="s">
        <v>40</v>
      </c>
      <c r="D6141">
        <v>4.9666670000000002</v>
      </c>
      <c r="E6141">
        <v>0.30438130000000002</v>
      </c>
      <c r="F6141" t="s">
        <v>64</v>
      </c>
      <c r="G6141">
        <v>-409.19970000000001</v>
      </c>
      <c r="H6141" s="1">
        <v>-3.0655210000000001E-6</v>
      </c>
      <c r="I6141">
        <v>27.457599999999999</v>
      </c>
      <c r="J6141">
        <v>-420.96660000000003</v>
      </c>
      <c r="K6141">
        <v>1.1282160000000001</v>
      </c>
      <c r="L6141">
        <v>29.782530000000001</v>
      </c>
      <c r="M6141">
        <v>0.32218190000000002</v>
      </c>
      <c r="N6141">
        <v>-1.561161E-2</v>
      </c>
      <c r="O6141">
        <v>-0.94654919999999998</v>
      </c>
      <c r="P6141">
        <v>0.77709689999999998</v>
      </c>
      <c r="Q6141">
        <v>-4.8934329999999998E-2</v>
      </c>
      <c r="R6141">
        <v>-0.62747600000000003</v>
      </c>
      <c r="S6141">
        <v>3.305847</v>
      </c>
      <c r="T6141">
        <v>-0.31486920000000002</v>
      </c>
      <c r="U6141">
        <v>-0.70193479999999997</v>
      </c>
      <c r="V6141">
        <v>-0.53278950000000003</v>
      </c>
      <c r="W6141">
        <v>-4.4690430000000003E-2</v>
      </c>
      <c r="X6141">
        <v>0.84506700000000001</v>
      </c>
      <c r="Y6141">
        <v>-0.8544638</v>
      </c>
      <c r="Z6141">
        <v>9.2891199999999993E-2</v>
      </c>
      <c r="AA6141">
        <v>0.51113889999999995</v>
      </c>
      <c r="AB6141">
        <v>20</v>
      </c>
      <c r="AC6141">
        <v>11.7669</v>
      </c>
      <c r="AD6141">
        <v>-1.12821906552099</v>
      </c>
      <c r="AE6141">
        <v>-2.3249299999999899</v>
      </c>
      <c r="AF6141">
        <v>-10.2990412029346</v>
      </c>
      <c r="AG6141">
        <v>-1.12821906552099</v>
      </c>
      <c r="AH6141">
        <v>5.9399175807923896</v>
      </c>
      <c r="AI6141">
        <v>95.420822748015496</v>
      </c>
      <c r="AJ6141">
        <v>150.026028608454</v>
      </c>
      <c r="AK6141">
        <v>11.942602263583799</v>
      </c>
      <c r="AL6141">
        <v>92.561425980515907</v>
      </c>
      <c r="AM6141">
        <v>122.23020659999101</v>
      </c>
      <c r="AN6141">
        <v>1.0000000601664101</v>
      </c>
    </row>
    <row r="6142" spans="1:40" x14ac:dyDescent="0.25">
      <c r="A6142" t="str">
        <f>"20190303154933717"</f>
        <v>20190303154933717</v>
      </c>
      <c r="B6142" t="str">
        <f>"1551599373707364"</f>
        <v>1551599373707364</v>
      </c>
      <c r="C6142" t="s">
        <v>40</v>
      </c>
      <c r="D6142">
        <v>5.0302379999999998</v>
      </c>
      <c r="E6142">
        <v>0.30685119999999999</v>
      </c>
      <c r="F6142" t="s">
        <v>64</v>
      </c>
      <c r="G6142">
        <v>-408.41410000000002</v>
      </c>
      <c r="H6142" s="1">
        <v>-3.4537629999999999E-6</v>
      </c>
      <c r="I6142">
        <v>27.257750000000001</v>
      </c>
      <c r="J6142">
        <v>-420.89089999999999</v>
      </c>
      <c r="K6142">
        <v>1.128277</v>
      </c>
      <c r="L6142">
        <v>29.604369999999999</v>
      </c>
      <c r="M6142">
        <v>0.33371089999999998</v>
      </c>
      <c r="N6142">
        <v>-1.564225E-2</v>
      </c>
      <c r="O6142">
        <v>-0.94254570000000004</v>
      </c>
      <c r="P6142">
        <v>0.78653009999999901</v>
      </c>
      <c r="Q6142">
        <v>-4.9228189999999998E-2</v>
      </c>
      <c r="R6142">
        <v>-0.61558649999999904</v>
      </c>
      <c r="S6142">
        <v>3.3050229999999998</v>
      </c>
      <c r="T6142">
        <v>-0.29705540000000002</v>
      </c>
      <c r="U6142">
        <v>-0.66476440000000003</v>
      </c>
      <c r="V6142">
        <v>-0.53529169999999904</v>
      </c>
      <c r="W6142">
        <v>-4.5098859999999998E-2</v>
      </c>
      <c r="X6142">
        <v>0.8434625</v>
      </c>
      <c r="Y6142">
        <v>-0.85418470000000002</v>
      </c>
      <c r="Z6142">
        <v>8.7582110000000005E-2</v>
      </c>
      <c r="AA6142">
        <v>0.51254060000000001</v>
      </c>
      <c r="AB6142">
        <v>20</v>
      </c>
      <c r="AC6142">
        <v>12.4767999999999</v>
      </c>
      <c r="AD6142">
        <v>-1.128280453763</v>
      </c>
      <c r="AE6142">
        <v>-2.3466199999999899</v>
      </c>
      <c r="AF6142">
        <v>-10.892175372787101</v>
      </c>
      <c r="AG6142">
        <v>-1.128280453763</v>
      </c>
      <c r="AH6142">
        <v>6.32625442080196</v>
      </c>
      <c r="AI6142">
        <v>95.118552113336406</v>
      </c>
      <c r="AJ6142">
        <v>149.851669578122</v>
      </c>
      <c r="AK6142">
        <v>12.6465013395251</v>
      </c>
      <c r="AL6142">
        <v>92.584850939298704</v>
      </c>
      <c r="AM6142">
        <v>122.400683806912</v>
      </c>
      <c r="AN6142">
        <v>1.0000000500842099</v>
      </c>
    </row>
    <row r="6143" spans="1:40" x14ac:dyDescent="0.25">
      <c r="A6143" t="str">
        <f>"20190303154933737"</f>
        <v>20190303154933737</v>
      </c>
      <c r="B6143" t="str">
        <f>"1551599373726883"</f>
        <v>1551599373726883</v>
      </c>
      <c r="C6143" t="s">
        <v>40</v>
      </c>
      <c r="D6143">
        <v>5.1034699999999997</v>
      </c>
      <c r="E6143">
        <v>0.30933369999999999</v>
      </c>
      <c r="F6143" t="s">
        <v>64</v>
      </c>
      <c r="G6143">
        <v>-407.92680000000001</v>
      </c>
      <c r="H6143" s="1">
        <v>-3.676391E-6</v>
      </c>
      <c r="I6143">
        <v>27.130780000000001</v>
      </c>
      <c r="J6143">
        <v>-420.81740000000002</v>
      </c>
      <c r="K6143">
        <v>1.128328</v>
      </c>
      <c r="L6143">
        <v>29.43713</v>
      </c>
      <c r="M6143">
        <v>0.34468900000000002</v>
      </c>
      <c r="N6143">
        <v>-1.5670650000000001E-2</v>
      </c>
      <c r="O6143">
        <v>-0.93858609999999998</v>
      </c>
      <c r="P6143">
        <v>0.79508449999999997</v>
      </c>
      <c r="Q6143">
        <v>-4.9240140000000002E-2</v>
      </c>
      <c r="R6143">
        <v>-0.60449659999999905</v>
      </c>
      <c r="S6143">
        <v>3.3029790000000001</v>
      </c>
      <c r="T6143">
        <v>-0.28746090000000002</v>
      </c>
      <c r="U6143">
        <v>-0.63021850000000001</v>
      </c>
      <c r="V6143">
        <v>-0.53726549999999995</v>
      </c>
      <c r="W6143">
        <v>-4.5210220000000002E-2</v>
      </c>
      <c r="X6143">
        <v>0.84220059999999997</v>
      </c>
      <c r="Y6143">
        <v>-0.85352240000000001</v>
      </c>
      <c r="Z6143">
        <v>8.4932709999999995E-2</v>
      </c>
      <c r="AA6143">
        <v>0.51408759999999998</v>
      </c>
      <c r="AB6143">
        <v>20</v>
      </c>
      <c r="AC6143">
        <v>12.890599999999999</v>
      </c>
      <c r="AD6143">
        <v>-1.1283316763910001</v>
      </c>
      <c r="AE6143">
        <v>-2.3063500000000001</v>
      </c>
      <c r="AF6143">
        <v>-11.2220396822292</v>
      </c>
      <c r="AG6143">
        <v>-1.1283316763910001</v>
      </c>
      <c r="AH6143">
        <v>6.5600652989883903</v>
      </c>
      <c r="AI6143">
        <v>94.960999137115607</v>
      </c>
      <c r="AJ6143">
        <v>149.69073407922099</v>
      </c>
      <c r="AK6143">
        <v>13.0476727322717</v>
      </c>
      <c r="AL6143">
        <v>92.591237999834505</v>
      </c>
      <c r="AM6143">
        <v>122.53504781658999</v>
      </c>
      <c r="AN6143">
        <v>1.0000000160615199</v>
      </c>
    </row>
    <row r="6144" spans="1:40" x14ac:dyDescent="0.25">
      <c r="A6144" t="str">
        <f>"20190303154933761"</f>
        <v>20190303154933761</v>
      </c>
      <c r="B6144" t="str">
        <f>"1551599373757140"</f>
        <v>1551599373757140</v>
      </c>
      <c r="C6144" t="s">
        <v>40</v>
      </c>
      <c r="D6144">
        <v>5.1186780000000001</v>
      </c>
      <c r="E6144">
        <v>0.31204609999999999</v>
      </c>
      <c r="F6144" t="s">
        <v>64</v>
      </c>
      <c r="G6144">
        <v>-407.94990000000001</v>
      </c>
      <c r="H6144" s="1">
        <v>-3.6591580000000002E-6</v>
      </c>
      <c r="I6144">
        <v>27.099240000000002</v>
      </c>
      <c r="J6144">
        <v>-420.73320000000001</v>
      </c>
      <c r="K6144">
        <v>1.128385</v>
      </c>
      <c r="L6144">
        <v>29.25235</v>
      </c>
      <c r="M6144">
        <v>0.35698039999999998</v>
      </c>
      <c r="N6144">
        <v>-1.5700229999999999E-2</v>
      </c>
      <c r="O6144">
        <v>-0.93398009999999998</v>
      </c>
      <c r="P6144">
        <v>0.80398429999999999</v>
      </c>
      <c r="Q6144">
        <v>-4.9460900000000002E-2</v>
      </c>
      <c r="R6144">
        <v>-0.59258999999999995</v>
      </c>
      <c r="S6144">
        <v>3.2995000000000001</v>
      </c>
      <c r="T6144">
        <v>-0.28932859999999899</v>
      </c>
      <c r="U6144">
        <v>-0.59948729999999995</v>
      </c>
      <c r="V6144">
        <v>-0.53872600000000004</v>
      </c>
      <c r="W6144">
        <v>-4.5522170000000001E-2</v>
      </c>
      <c r="X6144">
        <v>0.84125019999999995</v>
      </c>
      <c r="Y6144">
        <v>-0.851174599999999</v>
      </c>
      <c r="Z6144">
        <v>8.6071800000000004E-2</v>
      </c>
      <c r="AA6144">
        <v>0.51777759999999995</v>
      </c>
      <c r="AB6144">
        <v>20</v>
      </c>
      <c r="AC6144">
        <v>12.783299999999899</v>
      </c>
      <c r="AD6144">
        <v>-1.1283886591579999</v>
      </c>
      <c r="AE6144">
        <v>-2.1531099999999901</v>
      </c>
      <c r="AF6144">
        <v>-11.088093321791201</v>
      </c>
      <c r="AG6144">
        <v>-1.1283886591579999</v>
      </c>
      <c r="AH6144">
        <v>6.5257151323868099</v>
      </c>
      <c r="AI6144">
        <v>95.012243255328798</v>
      </c>
      <c r="AJ6144">
        <v>149.52176014623399</v>
      </c>
      <c r="AK6144">
        <v>12.915263546204899</v>
      </c>
      <c r="AL6144">
        <v>92.609130050641696</v>
      </c>
      <c r="AM6144">
        <v>122.634985517503</v>
      </c>
      <c r="AN6144">
        <v>0.99999993501877205</v>
      </c>
    </row>
    <row r="6145" spans="1:40" x14ac:dyDescent="0.25">
      <c r="A6145" t="str">
        <f>"20190303154933774"</f>
        <v>20190303154933774</v>
      </c>
      <c r="B6145" t="str">
        <f>"1551599373766900"</f>
        <v>1551599373766900</v>
      </c>
      <c r="C6145" t="s">
        <v>40</v>
      </c>
      <c r="D6145">
        <v>5.0931189999999997</v>
      </c>
      <c r="E6145">
        <v>0.33169340000000003</v>
      </c>
      <c r="F6145" t="s">
        <v>64</v>
      </c>
      <c r="G6145">
        <v>-407.87909999999999</v>
      </c>
      <c r="H6145" s="1">
        <v>-3.6839200000000001E-6</v>
      </c>
      <c r="I6145">
        <v>27.038160000000001</v>
      </c>
      <c r="J6145">
        <v>-420.6782</v>
      </c>
      <c r="K6145">
        <v>1.12842</v>
      </c>
      <c r="L6145">
        <v>29.136109999999999</v>
      </c>
      <c r="M6145">
        <v>0.36482959999999998</v>
      </c>
      <c r="N6145">
        <v>-1.5717729999999999E-2</v>
      </c>
      <c r="O6145">
        <v>-0.93094149999999998</v>
      </c>
      <c r="P6145">
        <v>0.80938650000000001</v>
      </c>
      <c r="Q6145">
        <v>-4.993583E-2</v>
      </c>
      <c r="R6145">
        <v>-0.58514929999999998</v>
      </c>
      <c r="S6145">
        <v>3.295258</v>
      </c>
      <c r="T6145">
        <v>-0.28927199999999997</v>
      </c>
      <c r="U6145">
        <v>-0.56762699999999999</v>
      </c>
      <c r="V6145">
        <v>-0.53936399999999995</v>
      </c>
      <c r="W6145">
        <v>-4.6044130000000003E-2</v>
      </c>
      <c r="X6145">
        <v>0.84081289999999997</v>
      </c>
      <c r="Y6145">
        <v>-0.85149599999999903</v>
      </c>
      <c r="Z6145">
        <v>8.6574330000000005E-2</v>
      </c>
      <c r="AA6145">
        <v>0.51716490000000004</v>
      </c>
      <c r="AB6145">
        <v>20</v>
      </c>
      <c r="AC6145">
        <v>12.799099999999999</v>
      </c>
      <c r="AD6145">
        <v>-1.1284236839199999</v>
      </c>
      <c r="AE6145">
        <v>-2.09795</v>
      </c>
      <c r="AF6145">
        <v>-11.067422360568701</v>
      </c>
      <c r="AG6145">
        <v>-1.1284236839199999</v>
      </c>
      <c r="AH6145">
        <v>6.5736187960075299</v>
      </c>
      <c r="AI6145">
        <v>95.009846313676704</v>
      </c>
      <c r="AJ6145">
        <v>149.29133406398299</v>
      </c>
      <c r="AK6145">
        <v>12.9218281134238</v>
      </c>
      <c r="AL6145">
        <v>92.639067485483807</v>
      </c>
      <c r="AM6145">
        <v>122.679328150259</v>
      </c>
      <c r="AN6145">
        <v>0.99999995960493204</v>
      </c>
    </row>
    <row r="6146" spans="1:40" x14ac:dyDescent="0.25">
      <c r="A6146" t="str">
        <f>"20190303154933789"</f>
        <v>20190303154933789</v>
      </c>
      <c r="B6146" t="str">
        <f>"1551599373776660"</f>
        <v>1551599373776660</v>
      </c>
      <c r="C6146" t="s">
        <v>40</v>
      </c>
      <c r="D6146">
        <v>5.1204609999999997</v>
      </c>
      <c r="E6146">
        <v>0.33308660000000001</v>
      </c>
      <c r="F6146" t="s">
        <v>64</v>
      </c>
      <c r="G6146">
        <v>-407.6275</v>
      </c>
      <c r="H6146" s="1">
        <v>-3.7030040000000001E-6</v>
      </c>
      <c r="I6146">
        <v>26.434229999999999</v>
      </c>
      <c r="J6146">
        <v>-420.62650000000002</v>
      </c>
      <c r="K6146">
        <v>1.128447</v>
      </c>
      <c r="L6146">
        <v>29.028659999999999</v>
      </c>
      <c r="M6146">
        <v>0.37213849999999998</v>
      </c>
      <c r="N6146">
        <v>-1.5733489999999999E-2</v>
      </c>
      <c r="O6146">
        <v>-0.92804399999999998</v>
      </c>
      <c r="P6146">
        <v>0.81412589999999996</v>
      </c>
      <c r="Q6146">
        <v>-5.01915E-2</v>
      </c>
      <c r="R6146">
        <v>-0.57851519999999901</v>
      </c>
      <c r="S6146">
        <v>3.2090450000000001</v>
      </c>
      <c r="T6146">
        <v>-0.27746880000000002</v>
      </c>
      <c r="U6146">
        <v>-0.66436770000000001</v>
      </c>
      <c r="V6146">
        <v>-0.53960189999999997</v>
      </c>
      <c r="W6146">
        <v>-4.6331610000000002E-2</v>
      </c>
      <c r="X6146">
        <v>0.84064450000000002</v>
      </c>
      <c r="Y6146">
        <v>-0.82958109999999996</v>
      </c>
      <c r="Z6146">
        <v>8.3702879999999993E-2</v>
      </c>
      <c r="AA6146">
        <v>0.55207709999999999</v>
      </c>
      <c r="AB6146">
        <v>20</v>
      </c>
      <c r="AC6146">
        <v>12.999000000000001</v>
      </c>
      <c r="AD6146">
        <v>-1.1284507030040001</v>
      </c>
      <c r="AE6146">
        <v>-2.5944299999999898</v>
      </c>
      <c r="AF6146">
        <v>-11.019665370554399</v>
      </c>
      <c r="AG6146">
        <v>-1.1284507030040001</v>
      </c>
      <c r="AH6146">
        <v>7.1939323381094802</v>
      </c>
      <c r="AI6146">
        <v>94.901039169389307</v>
      </c>
      <c r="AJ6146">
        <v>146.862422956611</v>
      </c>
      <c r="AK6146">
        <v>13.208296194188099</v>
      </c>
      <c r="AL6146">
        <v>92.655556361836503</v>
      </c>
      <c r="AM6146">
        <v>122.696028731409</v>
      </c>
      <c r="AN6146">
        <v>1.0000000019745201</v>
      </c>
    </row>
    <row r="6147" spans="1:40" x14ac:dyDescent="0.25">
      <c r="A6147" t="str">
        <f>"20190303154933804"</f>
        <v>20190303154933804</v>
      </c>
      <c r="B6147" t="str">
        <f>"1551599373797156"</f>
        <v>1551599373797156</v>
      </c>
      <c r="C6147" t="s">
        <v>40</v>
      </c>
      <c r="D6147">
        <v>5.1607629999999904</v>
      </c>
      <c r="E6147">
        <v>0.33663880000000002</v>
      </c>
      <c r="F6147" t="s">
        <v>64</v>
      </c>
      <c r="G6147">
        <v>-407.72059999999999</v>
      </c>
      <c r="H6147" s="1">
        <v>-3.6545010000000001E-6</v>
      </c>
      <c r="I6147">
        <v>26.424910000000001</v>
      </c>
      <c r="J6147">
        <v>-420.56490000000002</v>
      </c>
      <c r="K6147">
        <v>1.128476</v>
      </c>
      <c r="L6147">
        <v>28.90353</v>
      </c>
      <c r="M6147">
        <v>0.380718</v>
      </c>
      <c r="N6147">
        <v>-1.5751439999999998E-2</v>
      </c>
      <c r="O6147">
        <v>-0.92455719999999997</v>
      </c>
      <c r="P6147">
        <v>0.81974550000000002</v>
      </c>
      <c r="Q6147">
        <v>-5.1143340000000002E-2</v>
      </c>
      <c r="R6147">
        <v>-0.57043999999999995</v>
      </c>
      <c r="S6147">
        <v>3.2077330000000002</v>
      </c>
      <c r="T6147">
        <v>-0.28047420000000001</v>
      </c>
      <c r="U6147">
        <v>-0.64715579999999995</v>
      </c>
      <c r="V6147">
        <v>-0.54004969999999997</v>
      </c>
      <c r="W6147">
        <v>-4.732277E-2</v>
      </c>
      <c r="X6147">
        <v>0.84030169999999904</v>
      </c>
      <c r="Y6147">
        <v>-0.82713349999999997</v>
      </c>
      <c r="Z6147">
        <v>8.4968509999999997E-2</v>
      </c>
      <c r="AA6147">
        <v>0.55554530000000002</v>
      </c>
      <c r="AB6147">
        <v>20</v>
      </c>
      <c r="AC6147">
        <v>12.8443</v>
      </c>
      <c r="AD6147">
        <v>-1.1284796545010001</v>
      </c>
      <c r="AE6147">
        <v>-2.4786199999999998</v>
      </c>
      <c r="AF6147">
        <v>-10.852227499034299</v>
      </c>
      <c r="AG6147">
        <v>-1.1284796545010001</v>
      </c>
      <c r="AH6147">
        <v>7.1295145004401901</v>
      </c>
      <c r="AI6147">
        <v>94.967028581749702</v>
      </c>
      <c r="AJ6147">
        <v>146.696557394509</v>
      </c>
      <c r="AK6147">
        <v>13.0335829699053</v>
      </c>
      <c r="AL6147">
        <v>92.712407925127295</v>
      </c>
      <c r="AM6147">
        <v>122.72826620502001</v>
      </c>
      <c r="AN6147">
        <v>1.00000003502672</v>
      </c>
    </row>
    <row r="6148" spans="1:40" x14ac:dyDescent="0.25">
      <c r="A6148" t="str">
        <f>"20190303154933827"</f>
        <v>20190303154933827</v>
      </c>
      <c r="B6148" t="str">
        <f>"1551599373816676"</f>
        <v>1551599373816676</v>
      </c>
      <c r="C6148" t="s">
        <v>40</v>
      </c>
      <c r="D6148">
        <v>5.1359909999999998</v>
      </c>
      <c r="E6148">
        <v>0.339358099999999</v>
      </c>
      <c r="F6148" t="s">
        <v>64</v>
      </c>
      <c r="G6148">
        <v>-407.80970000000002</v>
      </c>
      <c r="H6148" s="1">
        <v>-3.597552E-6</v>
      </c>
      <c r="I6148">
        <v>26.356819999999999</v>
      </c>
      <c r="J6148">
        <v>-420.4796</v>
      </c>
      <c r="K6148">
        <v>1.128501</v>
      </c>
      <c r="L6148">
        <v>28.73535</v>
      </c>
      <c r="M6148">
        <v>0.39238810000000002</v>
      </c>
      <c r="N6148">
        <v>-1.5775020000000001E-2</v>
      </c>
      <c r="O6148">
        <v>-0.91966460000000005</v>
      </c>
      <c r="P6148">
        <v>0.82729949999999997</v>
      </c>
      <c r="Q6148">
        <v>-5.124389E-2</v>
      </c>
      <c r="R6148">
        <v>-0.55941909999999995</v>
      </c>
      <c r="S6148">
        <v>3.1977229999999999</v>
      </c>
      <c r="T6148">
        <v>-0.28290890000000002</v>
      </c>
      <c r="U6148">
        <v>-0.63845830000000003</v>
      </c>
      <c r="V6148">
        <v>-0.54064809999999996</v>
      </c>
      <c r="W6148">
        <v>-4.7464779999999998E-2</v>
      </c>
      <c r="X6148">
        <v>0.83990880000000001</v>
      </c>
      <c r="Y6148">
        <v>-0.82104439999999901</v>
      </c>
      <c r="Z6148">
        <v>8.6138049999999994E-2</v>
      </c>
      <c r="AA6148">
        <v>0.5643281</v>
      </c>
      <c r="AB6148">
        <v>20</v>
      </c>
      <c r="AC6148">
        <v>12.669899999999901</v>
      </c>
      <c r="AD6148">
        <v>-1.1285045975520001</v>
      </c>
      <c r="AE6148">
        <v>-2.3785299999999898</v>
      </c>
      <c r="AF6148">
        <v>-10.6385573756057</v>
      </c>
      <c r="AG6148">
        <v>-1.1285045975520001</v>
      </c>
      <c r="AH6148">
        <v>7.1054067210554903</v>
      </c>
      <c r="AI6148">
        <v>95.041089972433795</v>
      </c>
      <c r="AJ6148">
        <v>146.261357897034</v>
      </c>
      <c r="AK6148">
        <v>12.842866904720699</v>
      </c>
      <c r="AL6148">
        <v>92.7205536579214</v>
      </c>
      <c r="AM6148">
        <v>122.769326180178</v>
      </c>
      <c r="AN6148">
        <v>1.0000000328457399</v>
      </c>
    </row>
    <row r="6149" spans="1:40" x14ac:dyDescent="0.25">
      <c r="A6149" t="str">
        <f>"20190303154933843"</f>
        <v>20190303154933843</v>
      </c>
      <c r="B6149" t="str">
        <f>"1551599373837171"</f>
        <v>1551599373837171</v>
      </c>
      <c r="C6149" t="s">
        <v>40</v>
      </c>
      <c r="D6149">
        <v>5.1494330000000001</v>
      </c>
      <c r="E6149">
        <v>0.34177390000000002</v>
      </c>
      <c r="F6149" t="s">
        <v>64</v>
      </c>
      <c r="G6149">
        <v>-407.62709999999998</v>
      </c>
      <c r="H6149" s="1">
        <v>-3.6732330000000001E-6</v>
      </c>
      <c r="I6149">
        <v>26.265989999999999</v>
      </c>
      <c r="J6149">
        <v>-420.41430000000003</v>
      </c>
      <c r="K6149">
        <v>1.1285210000000001</v>
      </c>
      <c r="L6149">
        <v>28.61008</v>
      </c>
      <c r="M6149">
        <v>0.40115040000000002</v>
      </c>
      <c r="N6149">
        <v>-1.5791699999999999E-2</v>
      </c>
      <c r="O6149">
        <v>-0.91587600000000002</v>
      </c>
      <c r="P6149">
        <v>0.83275440000000001</v>
      </c>
      <c r="Q6149">
        <v>-5.1160070000000002E-2</v>
      </c>
      <c r="R6149">
        <v>-0.55127360000000003</v>
      </c>
      <c r="S6149">
        <v>3.1938780000000002</v>
      </c>
      <c r="T6149">
        <v>-0.28043820000000003</v>
      </c>
      <c r="U6149">
        <v>-0.61364750000000001</v>
      </c>
      <c r="V6149">
        <v>-0.54087569999999996</v>
      </c>
      <c r="W6149">
        <v>-4.7398559999999999E-2</v>
      </c>
      <c r="X6149">
        <v>0.83976600000000001</v>
      </c>
      <c r="Y6149">
        <v>-0.81977129999999998</v>
      </c>
      <c r="Z6149">
        <v>8.5676749999999996E-2</v>
      </c>
      <c r="AA6149">
        <v>0.56624600000000003</v>
      </c>
      <c r="AB6149">
        <v>20</v>
      </c>
      <c r="AC6149">
        <v>12.7872</v>
      </c>
      <c r="AD6149">
        <v>-1.1285246732330001</v>
      </c>
      <c r="AE6149">
        <v>-2.3440899999999898</v>
      </c>
      <c r="AF6149">
        <v>-10.6919310254123</v>
      </c>
      <c r="AG6149">
        <v>-1.1285246732330001</v>
      </c>
      <c r="AH6149">
        <v>7.2229648683244703</v>
      </c>
      <c r="AI6149">
        <v>94.998476908740599</v>
      </c>
      <c r="AJ6149">
        <v>145.95889306609601</v>
      </c>
      <c r="AK6149">
        <v>12.952303983435501</v>
      </c>
      <c r="AL6149">
        <v>92.716755235426504</v>
      </c>
      <c r="AM6149">
        <v>122.784737192192</v>
      </c>
      <c r="AN6149">
        <v>1.0000000405482801</v>
      </c>
    </row>
    <row r="6150" spans="1:40" x14ac:dyDescent="0.25">
      <c r="A6150" t="str">
        <f>"20190303154933855"</f>
        <v>20190303154933855</v>
      </c>
      <c r="B6150" t="str">
        <f>"1551599373846932"</f>
        <v>1551599373846932</v>
      </c>
      <c r="C6150" t="s">
        <v>40</v>
      </c>
      <c r="D6150">
        <v>5.1373980000000001</v>
      </c>
      <c r="E6150">
        <v>0.34275670000000003</v>
      </c>
      <c r="F6150" t="s">
        <v>64</v>
      </c>
      <c r="G6150">
        <v>-407.49720000000002</v>
      </c>
      <c r="H6150" s="1">
        <v>-3.724512E-6</v>
      </c>
      <c r="I6150">
        <v>26.186620000000001</v>
      </c>
      <c r="J6150">
        <v>-420.35840000000002</v>
      </c>
      <c r="K6150">
        <v>1.1285339999999999</v>
      </c>
      <c r="L6150">
        <v>28.505649999999999</v>
      </c>
      <c r="M6150">
        <v>0.40852440000000001</v>
      </c>
      <c r="N6150">
        <v>-1.5804550000000001E-2</v>
      </c>
      <c r="O6150">
        <v>-0.91261049999999999</v>
      </c>
      <c r="P6150">
        <v>0.83736559999999904</v>
      </c>
      <c r="Q6150">
        <v>-5.1301159999999998E-2</v>
      </c>
      <c r="R6150">
        <v>-0.54423080000000001</v>
      </c>
      <c r="S6150">
        <v>3.18927</v>
      </c>
      <c r="T6150">
        <v>-0.27863569999999999</v>
      </c>
      <c r="U6150">
        <v>-0.59835819999999995</v>
      </c>
      <c r="V6150">
        <v>-0.54117320000000002</v>
      </c>
      <c r="W6150">
        <v>-4.7551589999999998E-2</v>
      </c>
      <c r="X6150">
        <v>0.83956559999999902</v>
      </c>
      <c r="Y6150">
        <v>-0.81768399999999997</v>
      </c>
      <c r="Z6150">
        <v>8.5333560000000003E-2</v>
      </c>
      <c r="AA6150">
        <v>0.56930760000000002</v>
      </c>
      <c r="AB6150">
        <v>20</v>
      </c>
      <c r="AC6150">
        <v>12.861199999999901</v>
      </c>
      <c r="AD6150">
        <v>-1.1285377245120001</v>
      </c>
      <c r="AE6150">
        <v>-2.3190299999999899</v>
      </c>
      <c r="AF6150">
        <v>-10.711357831555899</v>
      </c>
      <c r="AG6150">
        <v>-1.1285377245120001</v>
      </c>
      <c r="AH6150">
        <v>7.3168432948739799</v>
      </c>
      <c r="AI6150">
        <v>94.972147964536404</v>
      </c>
      <c r="AJ6150">
        <v>145.66332798958399</v>
      </c>
      <c r="AK6150">
        <v>13.0208670906749</v>
      </c>
      <c r="AL6150">
        <v>92.7255332399819</v>
      </c>
      <c r="AM6150">
        <v>122.805308158225</v>
      </c>
      <c r="AN6150">
        <v>0.99999999140656304</v>
      </c>
    </row>
    <row r="6151" spans="1:40" x14ac:dyDescent="0.25">
      <c r="A6151" t="str">
        <f>"20190303154933872"</f>
        <v>20190303154933872</v>
      </c>
      <c r="B6151" t="str">
        <f>"1551599373866451"</f>
        <v>1551599373866451</v>
      </c>
      <c r="C6151" t="s">
        <v>40</v>
      </c>
      <c r="D6151">
        <v>5.2372529999999999</v>
      </c>
      <c r="E6151">
        <v>0.31843129999999997</v>
      </c>
      <c r="F6151" t="s">
        <v>64</v>
      </c>
      <c r="G6151">
        <v>-407.35860000000002</v>
      </c>
      <c r="H6151" s="1">
        <v>-3.78771E-6</v>
      </c>
      <c r="I6151">
        <v>26.150079999999999</v>
      </c>
      <c r="J6151">
        <v>-420.2937</v>
      </c>
      <c r="K6151">
        <v>1.128544</v>
      </c>
      <c r="L6151">
        <v>28.3873</v>
      </c>
      <c r="M6151">
        <v>0.41693239999999998</v>
      </c>
      <c r="N6151">
        <v>-1.5817810000000002E-2</v>
      </c>
      <c r="O6151">
        <v>-0.90879989999999999</v>
      </c>
      <c r="P6151">
        <v>0.84258529999999998</v>
      </c>
      <c r="Q6151">
        <v>-5.1231409999999998E-2</v>
      </c>
      <c r="R6151">
        <v>-0.53612090000000001</v>
      </c>
      <c r="S6151">
        <v>3.1900019999999998</v>
      </c>
      <c r="T6151">
        <v>-0.27693190000000001</v>
      </c>
      <c r="U6151">
        <v>-0.57803340000000003</v>
      </c>
      <c r="V6151">
        <v>-0.54153149999999906</v>
      </c>
      <c r="W6151">
        <v>-4.749192E-2</v>
      </c>
      <c r="X6151">
        <v>0.83933789999999997</v>
      </c>
      <c r="Y6151">
        <v>-0.8159769</v>
      </c>
      <c r="Z6151">
        <v>8.4924050000000001E-2</v>
      </c>
      <c r="AA6151">
        <v>0.5718126</v>
      </c>
      <c r="AB6151">
        <v>20</v>
      </c>
      <c r="AC6151">
        <v>12.935099999999901</v>
      </c>
      <c r="AD6151">
        <v>-1.1285477877100001</v>
      </c>
      <c r="AE6151">
        <v>-2.2372200000000002</v>
      </c>
      <c r="AF6151">
        <v>-10.7445892531741</v>
      </c>
      <c r="AG6151">
        <v>-1.1285477877100001</v>
      </c>
      <c r="AH6151">
        <v>7.3726854592783297</v>
      </c>
      <c r="AI6151">
        <v>94.949803927799493</v>
      </c>
      <c r="AJ6151">
        <v>145.54299853540499</v>
      </c>
      <c r="AK6151">
        <v>13.079614260750301</v>
      </c>
      <c r="AL6151">
        <v>92.7221105671685</v>
      </c>
      <c r="AM6151">
        <v>122.829658939319</v>
      </c>
      <c r="AN6151">
        <v>0.99999997916697303</v>
      </c>
    </row>
    <row r="6152" spans="1:40" x14ac:dyDescent="0.25">
      <c r="A6152" t="str">
        <f>"20190303154933895"</f>
        <v>20190303154933895</v>
      </c>
      <c r="B6152" t="str">
        <f>"1551599373886947"</f>
        <v>1551599373886947</v>
      </c>
      <c r="C6152" t="s">
        <v>40</v>
      </c>
      <c r="D6152">
        <v>4.2467480000000002</v>
      </c>
      <c r="E6152">
        <v>0.25077949999999999</v>
      </c>
      <c r="F6152" t="s">
        <v>64</v>
      </c>
      <c r="G6152">
        <v>-407.87920000000003</v>
      </c>
      <c r="H6152" s="1">
        <v>-3.6675629999999999E-6</v>
      </c>
      <c r="I6152">
        <v>26.946750000000002</v>
      </c>
      <c r="J6152">
        <v>-420.19720000000001</v>
      </c>
      <c r="K6152">
        <v>1.1285540000000001</v>
      </c>
      <c r="L6152">
        <v>28.21536</v>
      </c>
      <c r="M6152">
        <v>0.42924410000000002</v>
      </c>
      <c r="N6152">
        <v>-1.5835120000000001E-2</v>
      </c>
      <c r="O6152">
        <v>-0.90304980000000001</v>
      </c>
      <c r="P6152">
        <v>0.84987769999999996</v>
      </c>
      <c r="Q6152">
        <v>-5.0942010000000003E-2</v>
      </c>
      <c r="R6152">
        <v>-0.52451199999999998</v>
      </c>
      <c r="S6152">
        <v>3.2987669999999998</v>
      </c>
      <c r="T6152">
        <v>-0.29987780000000003</v>
      </c>
      <c r="U6152">
        <v>-0.38278200000000001</v>
      </c>
      <c r="V6152">
        <v>-0.54165889999999906</v>
      </c>
      <c r="W6152">
        <v>-4.7203969999999998E-2</v>
      </c>
      <c r="X6152">
        <v>0.83927199999999902</v>
      </c>
      <c r="Y6152">
        <v>-0.84292909999999899</v>
      </c>
      <c r="Z6152">
        <v>9.2054410000000003E-2</v>
      </c>
      <c r="AA6152">
        <v>0.53009099999999998</v>
      </c>
      <c r="AB6152">
        <v>20</v>
      </c>
      <c r="AC6152">
        <v>12.3179999999999</v>
      </c>
      <c r="AD6152">
        <v>-1.128557667563</v>
      </c>
      <c r="AE6152">
        <v>-1.26860999999999</v>
      </c>
      <c r="AF6152">
        <v>-10.493392971119301</v>
      </c>
      <c r="AG6152">
        <v>-1.128557667563</v>
      </c>
      <c r="AH6152">
        <v>6.3808543890082703</v>
      </c>
      <c r="AI6152">
        <v>95.250364022759896</v>
      </c>
      <c r="AJ6152">
        <v>148.69692470083399</v>
      </c>
      <c r="AK6152">
        <v>12.3328926529455</v>
      </c>
      <c r="AL6152">
        <v>92.705593573269596</v>
      </c>
      <c r="AM6152">
        <v>122.837848741923</v>
      </c>
      <c r="AN6152">
        <v>1.0000000343584801</v>
      </c>
    </row>
    <row r="6153" spans="1:40" x14ac:dyDescent="0.25">
      <c r="A6153" t="str">
        <f>"20190303154933916"</f>
        <v>20190303154933916</v>
      </c>
      <c r="B6153" t="str">
        <f>"1551599373906468"</f>
        <v>1551599373906468</v>
      </c>
      <c r="C6153" t="s">
        <v>40</v>
      </c>
      <c r="D6153">
        <v>4.7062019999999896</v>
      </c>
      <c r="E6153">
        <v>0.25164330000000001</v>
      </c>
      <c r="F6153" t="s">
        <v>64</v>
      </c>
      <c r="G6153">
        <v>-412.55650000000003</v>
      </c>
      <c r="H6153" s="1">
        <v>-9.7579250000000003E-6</v>
      </c>
      <c r="I6153">
        <v>28.488099999999999</v>
      </c>
      <c r="J6153">
        <v>-420.10550000000001</v>
      </c>
      <c r="K6153">
        <v>1.128557</v>
      </c>
      <c r="L6153">
        <v>28.057009999999998</v>
      </c>
      <c r="M6153">
        <v>0.44069150000000001</v>
      </c>
      <c r="N6153">
        <v>-1.5849740000000001E-2</v>
      </c>
      <c r="O6153">
        <v>-0.89751879999999995</v>
      </c>
      <c r="P6153">
        <v>0.85685009999999995</v>
      </c>
      <c r="Q6153">
        <v>-5.0497449999999999E-2</v>
      </c>
      <c r="R6153">
        <v>-0.51308659999999995</v>
      </c>
      <c r="S6153">
        <v>3.5770870000000001</v>
      </c>
      <c r="T6153">
        <v>-0.52835189999999999</v>
      </c>
      <c r="U6153">
        <v>0.12768550000000001</v>
      </c>
      <c r="V6153">
        <v>-0.54225440000000003</v>
      </c>
      <c r="W6153">
        <v>-4.6773660000000002E-2</v>
      </c>
      <c r="X6153">
        <v>0.83891139999999997</v>
      </c>
      <c r="Y6153">
        <v>-0.89832819999999902</v>
      </c>
      <c r="Z6153">
        <v>0.16287789999999999</v>
      </c>
      <c r="AA6153">
        <v>0.4080162</v>
      </c>
      <c r="AB6153">
        <v>20</v>
      </c>
      <c r="AC6153">
        <v>7.5489999999999702</v>
      </c>
      <c r="AD6153">
        <v>-1.1285667579250001</v>
      </c>
      <c r="AE6153">
        <v>0.43109000000000097</v>
      </c>
      <c r="AF6153">
        <v>-6.8144149837153698</v>
      </c>
      <c r="AG6153">
        <v>-1.1285667579250001</v>
      </c>
      <c r="AH6153">
        <v>2.8761647255357001</v>
      </c>
      <c r="AI6153">
        <v>98.675319080435898</v>
      </c>
      <c r="AJ6153">
        <v>157.11681807181901</v>
      </c>
      <c r="AK6153">
        <v>7.4821279076071496</v>
      </c>
      <c r="AL6153">
        <v>92.680911527219394</v>
      </c>
      <c r="AM6153">
        <v>122.87776367020901</v>
      </c>
      <c r="AN6153">
        <v>0.99999997331955703</v>
      </c>
    </row>
    <row r="6154" spans="1:40" x14ac:dyDescent="0.25">
      <c r="A6154" t="str">
        <f>"20190303154933931"</f>
        <v>20190303154933931</v>
      </c>
      <c r="B6154" t="str">
        <f>"1551599373926964"</f>
        <v>1551599373926964</v>
      </c>
      <c r="C6154" t="s">
        <v>40</v>
      </c>
      <c r="D6154">
        <v>5.0985259999999997</v>
      </c>
      <c r="E6154">
        <v>0.26107059999999999</v>
      </c>
      <c r="F6154" t="s">
        <v>64</v>
      </c>
      <c r="G6154">
        <v>-412.32819999999998</v>
      </c>
      <c r="H6154" s="1">
        <v>-9.8310570000000005E-6</v>
      </c>
      <c r="I6154">
        <v>28.425909999999998</v>
      </c>
      <c r="J6154">
        <v>-420.04309999999998</v>
      </c>
      <c r="K6154">
        <v>1.1285609999999999</v>
      </c>
      <c r="L6154">
        <v>27.952269999999999</v>
      </c>
      <c r="M6154">
        <v>0.44832519999999998</v>
      </c>
      <c r="N6154">
        <v>-1.5858980000000002E-2</v>
      </c>
      <c r="O6154">
        <v>-0.89372999999999903</v>
      </c>
      <c r="P6154">
        <v>0.86105750000000003</v>
      </c>
      <c r="Q6154">
        <v>-5.0398600000000002E-2</v>
      </c>
      <c r="R6154">
        <v>-0.50600429999999996</v>
      </c>
      <c r="S6154">
        <v>3.5720519999999998</v>
      </c>
      <c r="T6154">
        <v>-0.51834690000000005</v>
      </c>
      <c r="U6154">
        <v>0.16943359999999999</v>
      </c>
      <c r="V6154">
        <v>-0.54202799999999995</v>
      </c>
      <c r="W6154">
        <v>-4.6667069999999998E-2</v>
      </c>
      <c r="X6154">
        <v>0.83906369999999897</v>
      </c>
      <c r="Y6154">
        <v>-0.90004699999999904</v>
      </c>
      <c r="Z6154">
        <v>0.160291299999999</v>
      </c>
      <c r="AA6154">
        <v>0.40524329999999997</v>
      </c>
      <c r="AB6154">
        <v>20</v>
      </c>
      <c r="AC6154">
        <v>7.7149000000000001</v>
      </c>
      <c r="AD6154">
        <v>-1.128570831057</v>
      </c>
      <c r="AE6154">
        <v>0.47363999999999601</v>
      </c>
      <c r="AF6154">
        <v>-6.9598983468396396</v>
      </c>
      <c r="AG6154">
        <v>-1.128570831057</v>
      </c>
      <c r="AH6154">
        <v>2.9724891689325199</v>
      </c>
      <c r="AI6154">
        <v>98.481584199688001</v>
      </c>
      <c r="AJ6154">
        <v>156.873252755588</v>
      </c>
      <c r="AK6154">
        <v>7.6517677028563202</v>
      </c>
      <c r="AL6154">
        <v>92.674797540779196</v>
      </c>
      <c r="AM6154">
        <v>122.86211556062599</v>
      </c>
      <c r="AN6154">
        <v>1.00000003043203</v>
      </c>
    </row>
    <row r="6155" spans="1:40" x14ac:dyDescent="0.25">
      <c r="A6155" t="str">
        <f>"20190303154933950"</f>
        <v>20190303154933950</v>
      </c>
      <c r="B6155" t="str">
        <f>"1551599373946993"</f>
        <v>1551599373946993</v>
      </c>
      <c r="C6155" t="s">
        <v>40</v>
      </c>
      <c r="D6155">
        <v>5.0868679999999999</v>
      </c>
      <c r="E6155">
        <v>0.267565</v>
      </c>
      <c r="F6155" t="s">
        <v>64</v>
      </c>
      <c r="G6155">
        <v>-411.25099999999998</v>
      </c>
      <c r="H6155" s="1">
        <v>-1.0193510000000001E-5</v>
      </c>
      <c r="I6155">
        <v>28.282019999999999</v>
      </c>
      <c r="J6155">
        <v>-419.95260000000002</v>
      </c>
      <c r="K6155">
        <v>1.1285639999999999</v>
      </c>
      <c r="L6155">
        <v>27.803920000000002</v>
      </c>
      <c r="M6155">
        <v>0.45920040000000001</v>
      </c>
      <c r="N6155">
        <v>-1.5871340000000001E-2</v>
      </c>
      <c r="O6155">
        <v>-0.88819099999999995</v>
      </c>
      <c r="P6155">
        <v>0.86685619999999997</v>
      </c>
      <c r="Q6155">
        <v>-5.0265419999999998E-2</v>
      </c>
      <c r="R6155">
        <v>-0.49601810000000002</v>
      </c>
      <c r="S6155">
        <v>3.5354309999999902</v>
      </c>
      <c r="T6155">
        <v>-0.4538162</v>
      </c>
      <c r="U6155">
        <v>0.13259889999999999</v>
      </c>
      <c r="V6155">
        <v>-0.54149340000000001</v>
      </c>
      <c r="W6155">
        <v>-4.6516849999999998E-2</v>
      </c>
      <c r="X6155">
        <v>0.83941710000000003</v>
      </c>
      <c r="Y6155">
        <v>-0.89401929999999996</v>
      </c>
      <c r="Z6155">
        <v>0.14049700000000001</v>
      </c>
      <c r="AA6155">
        <v>0.42542940000000001</v>
      </c>
      <c r="AB6155">
        <v>20</v>
      </c>
      <c r="AC6155">
        <v>8.70160000000004</v>
      </c>
      <c r="AD6155">
        <v>-1.12857419351</v>
      </c>
      <c r="AE6155">
        <v>0.47810000000000102</v>
      </c>
      <c r="AF6155">
        <v>-7.8181114286840199</v>
      </c>
      <c r="AG6155">
        <v>-1.12857419351</v>
      </c>
      <c r="AH6155">
        <v>3.51267344139396</v>
      </c>
      <c r="AI6155">
        <v>97.501202092917495</v>
      </c>
      <c r="AJ6155">
        <v>155.80564100408</v>
      </c>
      <c r="AK6155">
        <v>8.6449650506783993</v>
      </c>
      <c r="AL6155">
        <v>92.666181309816196</v>
      </c>
      <c r="AM6155">
        <v>122.825359815273</v>
      </c>
      <c r="AN6155">
        <v>0.99999999367494596</v>
      </c>
    </row>
    <row r="6156" spans="1:40" x14ac:dyDescent="0.25">
      <c r="A6156" t="str">
        <f>"20190303154933965"</f>
        <v>20190303154933965</v>
      </c>
      <c r="B6156" t="str">
        <f>"1551599373956753"</f>
        <v>1551599373956753</v>
      </c>
      <c r="C6156" t="s">
        <v>40</v>
      </c>
      <c r="D6156">
        <v>5.1004740000000002</v>
      </c>
      <c r="E6156">
        <v>0.27052969999999998</v>
      </c>
      <c r="F6156" t="s">
        <v>64</v>
      </c>
      <c r="G6156">
        <v>-410.50069999999999</v>
      </c>
      <c r="H6156" s="1">
        <v>-1.045286E-5</v>
      </c>
      <c r="I6156">
        <v>28.147410000000001</v>
      </c>
      <c r="J6156">
        <v>-419.88720000000001</v>
      </c>
      <c r="K6156">
        <v>1.128566</v>
      </c>
      <c r="L6156">
        <v>27.698969999999999</v>
      </c>
      <c r="M6156">
        <v>0.46693459999999998</v>
      </c>
      <c r="N6156">
        <v>-1.587935E-2</v>
      </c>
      <c r="O6156">
        <v>-0.88414930000000003</v>
      </c>
      <c r="P6156">
        <v>0.87092530000000001</v>
      </c>
      <c r="Q6156">
        <v>-5.0532380000000002E-2</v>
      </c>
      <c r="R6156">
        <v>-0.48881019999999997</v>
      </c>
      <c r="S6156">
        <v>3.5094599999999998</v>
      </c>
      <c r="T6156">
        <v>-0.41903459999999998</v>
      </c>
      <c r="U6156">
        <v>0.12753299999999901</v>
      </c>
      <c r="V6156">
        <v>-0.54111229999999999</v>
      </c>
      <c r="W6156">
        <v>-4.6771239999999999E-2</v>
      </c>
      <c r="X6156">
        <v>0.83964869999999903</v>
      </c>
      <c r="Y6156">
        <v>-0.89127259999999997</v>
      </c>
      <c r="Z6156">
        <v>0.13001179999999901</v>
      </c>
      <c r="AA6156">
        <v>0.43443090000000001</v>
      </c>
      <c r="AB6156">
        <v>20</v>
      </c>
      <c r="AC6156">
        <v>9.3865000000000105</v>
      </c>
      <c r="AD6156">
        <v>-1.12857645286</v>
      </c>
      <c r="AE6156">
        <v>0.44843999999999401</v>
      </c>
      <c r="AF6156">
        <v>-8.3885418178150495</v>
      </c>
      <c r="AG6156">
        <v>-1.12857645286</v>
      </c>
      <c r="AH6156">
        <v>3.9302097075778799</v>
      </c>
      <c r="AI6156">
        <v>96.9460695384427</v>
      </c>
      <c r="AJ6156">
        <v>154.89591361302101</v>
      </c>
      <c r="AK6156">
        <v>9.3320880291991095</v>
      </c>
      <c r="AL6156">
        <v>92.6807726351756</v>
      </c>
      <c r="AM6156">
        <v>122.799789699318</v>
      </c>
      <c r="AN6156">
        <v>1.0000000047570501</v>
      </c>
    </row>
    <row r="6157" spans="1:40" x14ac:dyDescent="0.25">
      <c r="A6157" t="str">
        <f>"20190303154933978"</f>
        <v>20190303154933978</v>
      </c>
      <c r="B6157" t="str">
        <f>"1551599373967488"</f>
        <v>1551599373967488</v>
      </c>
      <c r="C6157" t="s">
        <v>40</v>
      </c>
      <c r="D6157">
        <v>5.1261070000000002</v>
      </c>
      <c r="E6157">
        <v>0.27287070000000002</v>
      </c>
      <c r="F6157" t="s">
        <v>64</v>
      </c>
      <c r="G6157">
        <v>-410.17430000000002</v>
      </c>
      <c r="H6157" s="1">
        <v>-1.056442E-5</v>
      </c>
      <c r="I6157">
        <v>28.076059999999998</v>
      </c>
      <c r="J6157">
        <v>-419.82839999999999</v>
      </c>
      <c r="K6157">
        <v>1.128566</v>
      </c>
      <c r="L6157">
        <v>27.60651</v>
      </c>
      <c r="M6157">
        <v>0.47378179999999998</v>
      </c>
      <c r="N6157">
        <v>-1.5885739999999999E-2</v>
      </c>
      <c r="O6157">
        <v>-0.88049920000000004</v>
      </c>
      <c r="P6157">
        <v>0.87431619999999999</v>
      </c>
      <c r="Q6157">
        <v>-5.0397709999999998E-2</v>
      </c>
      <c r="R6157">
        <v>-0.48273319999999997</v>
      </c>
      <c r="S6157">
        <v>3.4972530000000002</v>
      </c>
      <c r="T6157">
        <v>-0.40635680000000002</v>
      </c>
      <c r="U6157">
        <v>0.1357727</v>
      </c>
      <c r="V6157">
        <v>-0.54045350000000003</v>
      </c>
      <c r="W6157">
        <v>-4.661477E-2</v>
      </c>
      <c r="X6157">
        <v>0.84008159999999898</v>
      </c>
      <c r="Y6157">
        <v>-0.88946080000000005</v>
      </c>
      <c r="Z6157">
        <v>0.12627769999999999</v>
      </c>
      <c r="AA6157">
        <v>0.43921909999999997</v>
      </c>
      <c r="AB6157">
        <v>20</v>
      </c>
      <c r="AC6157">
        <v>9.6540999999999695</v>
      </c>
      <c r="AD6157">
        <v>-1.1285765644200001</v>
      </c>
      <c r="AE6157">
        <v>0.46955000000000102</v>
      </c>
      <c r="AF6157">
        <v>-8.6066505994686295</v>
      </c>
      <c r="AG6157">
        <v>-1.1285765644200001</v>
      </c>
      <c r="AH6157">
        <v>4.1050558076569299</v>
      </c>
      <c r="AI6157">
        <v>96.749850605786094</v>
      </c>
      <c r="AJ6157">
        <v>154.500574585631</v>
      </c>
      <c r="AK6157">
        <v>9.6020624236186691</v>
      </c>
      <c r="AL6157">
        <v>92.671797765445802</v>
      </c>
      <c r="AM6157">
        <v>122.754575958665</v>
      </c>
      <c r="AN6157">
        <v>1.00000000855148</v>
      </c>
    </row>
    <row r="6158" spans="1:40" x14ac:dyDescent="0.25">
      <c r="A6158" t="str">
        <f>"20190303154933994"</f>
        <v>20190303154933994</v>
      </c>
      <c r="B6158" t="str">
        <f>"1551599373987007"</f>
        <v>1551599373987007</v>
      </c>
      <c r="C6158" t="s">
        <v>40</v>
      </c>
      <c r="D6158">
        <v>5.1550029999999998</v>
      </c>
      <c r="E6158">
        <v>0.27732760000000001</v>
      </c>
      <c r="F6158" t="s">
        <v>64</v>
      </c>
      <c r="G6158">
        <v>-409.88440000000003</v>
      </c>
      <c r="H6158" s="1">
        <v>-2.7843390000000002E-6</v>
      </c>
      <c r="I6158">
        <v>28.015799999999999</v>
      </c>
      <c r="J6158">
        <v>-419.75290000000001</v>
      </c>
      <c r="K6158">
        <v>1.1285609999999999</v>
      </c>
      <c r="L6158">
        <v>27.490449999999999</v>
      </c>
      <c r="M6158">
        <v>0.48243000000000003</v>
      </c>
      <c r="N6158">
        <v>-1.5892590000000002E-2</v>
      </c>
      <c r="O6158">
        <v>-0.87579050000000003</v>
      </c>
      <c r="P6158">
        <v>0.878386</v>
      </c>
      <c r="Q6158">
        <v>-5.0455420000000001E-2</v>
      </c>
      <c r="R6158">
        <v>-0.47528150000000002</v>
      </c>
      <c r="S6158">
        <v>3.4877009999999999</v>
      </c>
      <c r="T6158">
        <v>-0.3958277</v>
      </c>
      <c r="U6158">
        <v>0.14355470000000001</v>
      </c>
      <c r="V6158">
        <v>-0.53932040000000003</v>
      </c>
      <c r="W6158">
        <v>-4.6633769999999998E-2</v>
      </c>
      <c r="X6158">
        <v>0.84080840000000001</v>
      </c>
      <c r="Y6158">
        <v>-0.88653899999999997</v>
      </c>
      <c r="Z6158">
        <v>0.1230694</v>
      </c>
      <c r="AA6158">
        <v>0.44598500000000002</v>
      </c>
      <c r="AB6158">
        <v>20</v>
      </c>
      <c r="AC6158">
        <v>9.8684999999999796</v>
      </c>
      <c r="AD6158">
        <v>-1.128563784339</v>
      </c>
      <c r="AE6158">
        <v>0.52534999999999898</v>
      </c>
      <c r="AF6158">
        <v>-8.7827668947898907</v>
      </c>
      <c r="AG6158">
        <v>-1.128563784339</v>
      </c>
      <c r="AH6158">
        <v>4.2459340490619502</v>
      </c>
      <c r="AI6158">
        <v>96.599087551309296</v>
      </c>
      <c r="AJ6158">
        <v>154.199055361494</v>
      </c>
      <c r="AK6158">
        <v>9.8203160077730001</v>
      </c>
      <c r="AL6158">
        <v>92.672887636256306</v>
      </c>
      <c r="AM6158">
        <v>122.67736256270599</v>
      </c>
      <c r="AN6158">
        <v>0.99999998393556599</v>
      </c>
    </row>
    <row r="6159" spans="1:40" x14ac:dyDescent="0.25">
      <c r="A6159" t="str">
        <f>"20190303154934009"</f>
        <v>20190303154934009</v>
      </c>
      <c r="B6159" t="str">
        <f>"1551599374006527"</f>
        <v>1551599374006527</v>
      </c>
      <c r="C6159" t="s">
        <v>40</v>
      </c>
      <c r="D6159">
        <v>5.1808930000000002</v>
      </c>
      <c r="E6159">
        <v>0.30482599999999999</v>
      </c>
      <c r="F6159" t="s">
        <v>64</v>
      </c>
      <c r="G6159">
        <v>-409.39679999999998</v>
      </c>
      <c r="H6159" s="1">
        <v>-3.0501900000000002E-6</v>
      </c>
      <c r="I6159">
        <v>27.91338</v>
      </c>
      <c r="J6159">
        <v>-419.68459999999999</v>
      </c>
      <c r="K6159">
        <v>1.128558</v>
      </c>
      <c r="L6159">
        <v>27.387450000000001</v>
      </c>
      <c r="M6159">
        <v>0.49013709999999999</v>
      </c>
      <c r="N6159">
        <v>-1.5897930000000001E-2</v>
      </c>
      <c r="O6159">
        <v>-0.87150069999999902</v>
      </c>
      <c r="P6159">
        <v>0.8823704</v>
      </c>
      <c r="Q6159">
        <v>-5.0888709999999997E-2</v>
      </c>
      <c r="R6159">
        <v>-0.4677964</v>
      </c>
      <c r="S6159">
        <v>3.4703059999999999</v>
      </c>
      <c r="T6159">
        <v>-0.37817980000000001</v>
      </c>
      <c r="U6159">
        <v>0.14172360000000001</v>
      </c>
      <c r="V6159">
        <v>-0.53902280000000002</v>
      </c>
      <c r="W6159">
        <v>-4.7051790000000003E-2</v>
      </c>
      <c r="X6159">
        <v>0.8409759</v>
      </c>
      <c r="Y6159">
        <v>-0.88310519999999904</v>
      </c>
      <c r="Z6159">
        <v>0.117688</v>
      </c>
      <c r="AA6159">
        <v>0.45417489999999999</v>
      </c>
      <c r="AB6159">
        <v>20</v>
      </c>
      <c r="AC6159">
        <v>10.287800000000001</v>
      </c>
      <c r="AD6159">
        <v>-1.1285610501900001</v>
      </c>
      <c r="AE6159">
        <v>0.52592999999999801</v>
      </c>
      <c r="AF6159">
        <v>-9.1153587490585206</v>
      </c>
      <c r="AG6159">
        <v>-1.1285610501900001</v>
      </c>
      <c r="AH6159">
        <v>4.5302873925251603</v>
      </c>
      <c r="AI6159">
        <v>96.326593208315302</v>
      </c>
      <c r="AJ6159">
        <v>153.57285503032699</v>
      </c>
      <c r="AK6159">
        <v>10.241431493053801</v>
      </c>
      <c r="AL6159">
        <v>92.696864811214795</v>
      </c>
      <c r="AM6159">
        <v>122.657806957044</v>
      </c>
      <c r="AN6159">
        <v>0.99999995712142598</v>
      </c>
    </row>
    <row r="6160" spans="1:40" x14ac:dyDescent="0.25">
      <c r="A6160" t="str">
        <f>"20190303154934028"</f>
        <v>20190303154934028</v>
      </c>
      <c r="B6160" t="str">
        <f>"1551599374017264"</f>
        <v>1551599374017264</v>
      </c>
      <c r="C6160" t="s">
        <v>40</v>
      </c>
      <c r="D6160">
        <v>5.1704150000000002</v>
      </c>
      <c r="E6160">
        <v>0.30609690000000001</v>
      </c>
      <c r="F6160" t="s">
        <v>64</v>
      </c>
      <c r="G6160">
        <v>-406.75799999999998</v>
      </c>
      <c r="H6160" s="1">
        <v>-4.2934350000000002E-6</v>
      </c>
      <c r="I6160">
        <v>27.29298</v>
      </c>
      <c r="J6160">
        <v>-419.59530000000001</v>
      </c>
      <c r="K6160">
        <v>1.1285400000000001</v>
      </c>
      <c r="L6160">
        <v>27.255949999999999</v>
      </c>
      <c r="M6160">
        <v>0.50003009999999903</v>
      </c>
      <c r="N6160">
        <v>-1.5903980000000002E-2</v>
      </c>
      <c r="O6160">
        <v>-0.86586209999999997</v>
      </c>
      <c r="P6160">
        <v>0.88729899999999995</v>
      </c>
      <c r="Q6160">
        <v>-5.1583320000000002E-2</v>
      </c>
      <c r="R6160">
        <v>-0.45830080000000001</v>
      </c>
      <c r="S6160">
        <v>3.3698730000000001</v>
      </c>
      <c r="T6160">
        <v>-0.29420849999999998</v>
      </c>
      <c r="U6160">
        <v>-2.4627690000000001E-2</v>
      </c>
      <c r="V6160">
        <v>-0.53842409999999996</v>
      </c>
      <c r="W6160">
        <v>-4.7719860000000003E-2</v>
      </c>
      <c r="X6160">
        <v>0.84132180000000001</v>
      </c>
      <c r="Y6160">
        <v>-0.85753729999999995</v>
      </c>
      <c r="Z6160">
        <v>9.0959369999999998E-2</v>
      </c>
      <c r="AA6160">
        <v>0.50631629999999905</v>
      </c>
      <c r="AB6160">
        <v>20</v>
      </c>
      <c r="AC6160">
        <v>12.8372999999999</v>
      </c>
      <c r="AD6160">
        <v>-1.1285442934349901</v>
      </c>
      <c r="AE6160">
        <v>3.7030000000001402E-2</v>
      </c>
      <c r="AF6160">
        <v>-11.049857748379299</v>
      </c>
      <c r="AG6160">
        <v>-1.1285442934349901</v>
      </c>
      <c r="AH6160">
        <v>6.3387924060597101</v>
      </c>
      <c r="AI6160">
        <v>95.062638417649893</v>
      </c>
      <c r="AJ6160">
        <v>150.15910018573101</v>
      </c>
      <c r="AK6160">
        <v>12.7887942218484</v>
      </c>
      <c r="AL6160">
        <v>92.735185242109395</v>
      </c>
      <c r="AM6160">
        <v>122.61818732162401</v>
      </c>
      <c r="AN6160">
        <v>1.0000000338272299</v>
      </c>
    </row>
    <row r="6161" spans="1:40" x14ac:dyDescent="0.25">
      <c r="A6161" t="str">
        <f>"20190303154934051"</f>
        <v>20190303154934051</v>
      </c>
      <c r="B6161" t="str">
        <f>"1551599374046544"</f>
        <v>1551599374046544</v>
      </c>
      <c r="C6161" t="s">
        <v>40</v>
      </c>
      <c r="D6161">
        <v>5.1787029999999996</v>
      </c>
      <c r="E6161">
        <v>0.31040329999999999</v>
      </c>
      <c r="F6161" t="s">
        <v>64</v>
      </c>
      <c r="G6161">
        <v>-406.7244</v>
      </c>
      <c r="H6161" s="1">
        <v>-4.3054999999999997E-6</v>
      </c>
      <c r="I6161">
        <v>27.26587</v>
      </c>
      <c r="J6161">
        <v>-419.47930000000002</v>
      </c>
      <c r="K6161">
        <v>1.128528</v>
      </c>
      <c r="L6161">
        <v>27.089780000000001</v>
      </c>
      <c r="M6161">
        <v>0.51261979999999996</v>
      </c>
      <c r="N6161">
        <v>-1.5910799999999999E-2</v>
      </c>
      <c r="O6161">
        <v>-0.85846829999999996</v>
      </c>
      <c r="P6161">
        <v>0.89387030000000001</v>
      </c>
      <c r="Q6161">
        <v>-5.2816929999999998E-2</v>
      </c>
      <c r="R6161">
        <v>-0.44520340000000003</v>
      </c>
      <c r="S6161">
        <v>3.3652340000000001</v>
      </c>
      <c r="T6161">
        <v>-0.29506959999999999</v>
      </c>
      <c r="U6161">
        <v>2.5939940000000001E-3</v>
      </c>
      <c r="V6161">
        <v>-0.53842840000000003</v>
      </c>
      <c r="W6161">
        <v>-4.8939669999999998E-2</v>
      </c>
      <c r="X6161">
        <v>0.84124889999999997</v>
      </c>
      <c r="Y6161">
        <v>-0.8541453</v>
      </c>
      <c r="Z6161">
        <v>9.1370930000000003E-2</v>
      </c>
      <c r="AA6161">
        <v>0.51194450000000002</v>
      </c>
      <c r="AB6161">
        <v>19</v>
      </c>
      <c r="AC6161">
        <v>12.754899999999999</v>
      </c>
      <c r="AD6161">
        <v>-1.1285323055000001</v>
      </c>
      <c r="AE6161">
        <v>0.17609000000000199</v>
      </c>
      <c r="AF6161">
        <v>-10.9555934175264</v>
      </c>
      <c r="AG6161">
        <v>-1.1285323055000001</v>
      </c>
      <c r="AH6161">
        <v>6.3384445996594501</v>
      </c>
      <c r="AI6161">
        <v>95.095152871163293</v>
      </c>
      <c r="AJ6161">
        <v>149.94813506729199</v>
      </c>
      <c r="AK6161">
        <v>12.707261398021901</v>
      </c>
      <c r="AL6161">
        <v>92.805157147702104</v>
      </c>
      <c r="AM6161">
        <v>122.62064927442501</v>
      </c>
      <c r="AN6161">
        <v>0.99999997248873895</v>
      </c>
    </row>
    <row r="6162" spans="1:40" x14ac:dyDescent="0.25">
      <c r="A6162" t="str">
        <f>"20190303154934065"</f>
        <v>20190303154934065</v>
      </c>
      <c r="B6162" t="str">
        <f>"1551599374057279"</f>
        <v>1551599374057279</v>
      </c>
      <c r="C6162" t="s">
        <v>40</v>
      </c>
      <c r="D6162">
        <v>5.1980940000000002</v>
      </c>
      <c r="E6162">
        <v>0.31148340000000002</v>
      </c>
      <c r="F6162" t="s">
        <v>64</v>
      </c>
      <c r="G6162">
        <v>-406.66309999999999</v>
      </c>
      <c r="H6162" s="1">
        <v>-4.3195220000000001E-6</v>
      </c>
      <c r="I6162">
        <v>27.17118</v>
      </c>
      <c r="J6162">
        <v>-419.4153</v>
      </c>
      <c r="K6162">
        <v>1.128522</v>
      </c>
      <c r="L6162">
        <v>27.000209999999999</v>
      </c>
      <c r="M6162">
        <v>0.51943470000000003</v>
      </c>
      <c r="N6162">
        <v>-1.591418E-2</v>
      </c>
      <c r="O6162">
        <v>-0.85436209999999901</v>
      </c>
      <c r="P6162">
        <v>0.89735619999999905</v>
      </c>
      <c r="Q6162">
        <v>-5.3229190000000003E-2</v>
      </c>
      <c r="R6162">
        <v>-0.43808530000000001</v>
      </c>
      <c r="S6162">
        <v>3.3493650000000001</v>
      </c>
      <c r="T6162">
        <v>-0.29492829999999998</v>
      </c>
      <c r="U6162">
        <v>2.1270750000000001E-2</v>
      </c>
      <c r="V6162">
        <v>-0.53839239999999999</v>
      </c>
      <c r="W6162">
        <v>-4.9342459999999998E-2</v>
      </c>
      <c r="X6162">
        <v>0.84124849999999995</v>
      </c>
      <c r="Y6162">
        <v>-0.85286489999999904</v>
      </c>
      <c r="Z6162">
        <v>9.1811119999999996E-2</v>
      </c>
      <c r="AA6162">
        <v>0.51399640000000002</v>
      </c>
      <c r="AB6162">
        <v>19</v>
      </c>
      <c r="AC6162">
        <v>12.7522</v>
      </c>
      <c r="AD6162">
        <v>-1.1285263195219899</v>
      </c>
      <c r="AE6162">
        <v>0.17097000000000001</v>
      </c>
      <c r="AF6162">
        <v>-10.899845397263199</v>
      </c>
      <c r="AG6162">
        <v>-1.1285263195219899</v>
      </c>
      <c r="AH6162">
        <v>6.4283489629940602</v>
      </c>
      <c r="AI6162">
        <v>95.096243258657694</v>
      </c>
      <c r="AJ6162">
        <v>149.46937753922001</v>
      </c>
      <c r="AK6162">
        <v>12.704482347900701</v>
      </c>
      <c r="AL6162">
        <v>92.828263021000595</v>
      </c>
      <c r="AM6162">
        <v>122.61892224333199</v>
      </c>
      <c r="AN6162">
        <v>1.0000000467444199</v>
      </c>
    </row>
    <row r="6163" spans="1:40" x14ac:dyDescent="0.25">
      <c r="A6163" t="str">
        <f>"20190303154934077"</f>
        <v>20190303154934077</v>
      </c>
      <c r="B6163" t="str">
        <f>"1551599374067047"</f>
        <v>1551599374067047</v>
      </c>
      <c r="C6163" t="s">
        <v>40</v>
      </c>
      <c r="D6163">
        <v>5.1988799999999999</v>
      </c>
      <c r="E6163">
        <v>0.31148340000000002</v>
      </c>
      <c r="F6163" t="s">
        <v>64</v>
      </c>
      <c r="G6163">
        <v>-406.642</v>
      </c>
      <c r="H6163" s="1">
        <v>-4.326967E-6</v>
      </c>
      <c r="I6163">
        <v>27.153449999999999</v>
      </c>
      <c r="J6163">
        <v>-419.35160000000002</v>
      </c>
      <c r="K6163">
        <v>1.1285160000000001</v>
      </c>
      <c r="L6163">
        <v>26.912600000000001</v>
      </c>
      <c r="M6163">
        <v>0.52613069999999995</v>
      </c>
      <c r="N6163">
        <v>-1.5917239999999999E-2</v>
      </c>
      <c r="O6163">
        <v>-0.85025499999999898</v>
      </c>
      <c r="P6163">
        <v>0.90086739999999998</v>
      </c>
      <c r="Q6163">
        <v>-5.3300710000000001E-2</v>
      </c>
      <c r="R6163">
        <v>-0.43080950000000001</v>
      </c>
      <c r="S6163">
        <v>3.3452449999999998</v>
      </c>
      <c r="T6163">
        <v>-0.29555389999999998</v>
      </c>
      <c r="U6163">
        <v>4.0130619999999999E-2</v>
      </c>
      <c r="V6163">
        <v>-0.53858629999999996</v>
      </c>
      <c r="W6163">
        <v>-4.9410429999999998E-2</v>
      </c>
      <c r="X6163">
        <v>0.84112030000000004</v>
      </c>
      <c r="Y6163">
        <v>-0.85167479999999995</v>
      </c>
      <c r="Z6163">
        <v>9.2156249999999995E-2</v>
      </c>
      <c r="AA6163">
        <v>0.51590440000000004</v>
      </c>
      <c r="AB6163">
        <v>19</v>
      </c>
      <c r="AC6163">
        <v>12.7096</v>
      </c>
      <c r="AD6163">
        <v>-1.1285203269670001</v>
      </c>
      <c r="AE6163">
        <v>0.24084999999999801</v>
      </c>
      <c r="AF6163">
        <v>-10.848997952978999</v>
      </c>
      <c r="AG6163">
        <v>-1.1285203269670001</v>
      </c>
      <c r="AH6163">
        <v>6.4322520679770303</v>
      </c>
      <c r="AI6163">
        <v>95.113009206509503</v>
      </c>
      <c r="AJ6163">
        <v>149.33676257714399</v>
      </c>
      <c r="AK6163">
        <v>12.6628662386568</v>
      </c>
      <c r="AL6163">
        <v>92.832162371203594</v>
      </c>
      <c r="AM6163">
        <v>122.632255391496</v>
      </c>
      <c r="AN6163">
        <v>0.999999976106282</v>
      </c>
    </row>
    <row r="6164" spans="1:40" x14ac:dyDescent="0.25">
      <c r="A6164" t="str">
        <f>"20190303154934093"</f>
        <v>20190303154934093</v>
      </c>
      <c r="B6164" t="str">
        <f>"1551599374086560"</f>
        <v>1551599374086560</v>
      </c>
      <c r="C6164" t="s">
        <v>40</v>
      </c>
      <c r="D6164">
        <v>5.1708069999999999</v>
      </c>
      <c r="E6164">
        <v>0.32499889999999998</v>
      </c>
      <c r="F6164" t="s">
        <v>64</v>
      </c>
      <c r="G6164">
        <v>-406.59980000000002</v>
      </c>
      <c r="H6164" s="1">
        <v>-4.3509140000000001E-6</v>
      </c>
      <c r="I6164">
        <v>27.168679999999998</v>
      </c>
      <c r="J6164">
        <v>-419.2765</v>
      </c>
      <c r="K6164">
        <v>1.1285130000000001</v>
      </c>
      <c r="L6164">
        <v>26.811579999999999</v>
      </c>
      <c r="M6164">
        <v>0.53389540000000002</v>
      </c>
      <c r="N6164">
        <v>-1.5920360000000001E-2</v>
      </c>
      <c r="O6164">
        <v>-0.84540059999999995</v>
      </c>
      <c r="P6164">
        <v>0.9048157</v>
      </c>
      <c r="Q6164">
        <v>-5.3227320000000002E-2</v>
      </c>
      <c r="R6164">
        <v>-0.42246329999999999</v>
      </c>
      <c r="S6164">
        <v>3.3447269999999998</v>
      </c>
      <c r="T6164">
        <v>-0.29600520000000002</v>
      </c>
      <c r="U6164">
        <v>6.7169190000000004E-2</v>
      </c>
      <c r="V6164">
        <v>-0.53866429999999998</v>
      </c>
      <c r="W6164">
        <v>-4.9329709999999999E-2</v>
      </c>
      <c r="X6164">
        <v>0.84107509999999996</v>
      </c>
      <c r="Y6164">
        <v>-0.85107889999999997</v>
      </c>
      <c r="Z6164">
        <v>9.2374709999999999E-2</v>
      </c>
      <c r="AA6164">
        <v>0.51684779999999997</v>
      </c>
      <c r="AB6164">
        <v>19</v>
      </c>
      <c r="AC6164">
        <v>12.676699999999901</v>
      </c>
      <c r="AD6164">
        <v>-1.1285173509140001</v>
      </c>
      <c r="AE6164">
        <v>0.35709999999999897</v>
      </c>
      <c r="AF6164">
        <v>-10.823219826254</v>
      </c>
      <c r="AG6164">
        <v>-1.1285173509140001</v>
      </c>
      <c r="AH6164">
        <v>6.4161508529273901</v>
      </c>
      <c r="AI6164">
        <v>95.125277799119004</v>
      </c>
      <c r="AJ6164">
        <v>149.339965335941</v>
      </c>
      <c r="AK6164">
        <v>12.632601892969401</v>
      </c>
      <c r="AL6164">
        <v>92.827531780737999</v>
      </c>
      <c r="AM6164">
        <v>122.637421824794</v>
      </c>
      <c r="AN6164">
        <v>0.99999998611159202</v>
      </c>
    </row>
    <row r="6165" spans="1:40" x14ac:dyDescent="0.25">
      <c r="A6165" t="str">
        <f>"20190303154934109"</f>
        <v>20190303154934109</v>
      </c>
      <c r="B6165" t="str">
        <f>"1551599374097296"</f>
        <v>1551599374097296</v>
      </c>
      <c r="C6165" t="s">
        <v>40</v>
      </c>
      <c r="D6165">
        <v>5.1831940000000003</v>
      </c>
      <c r="E6165">
        <v>0.32651409999999997</v>
      </c>
      <c r="F6165" t="s">
        <v>64</v>
      </c>
      <c r="G6165">
        <v>-405.89359999999999</v>
      </c>
      <c r="H6165" s="1">
        <v>-4.6427600000000004E-6</v>
      </c>
      <c r="I6165">
        <v>26.81183</v>
      </c>
      <c r="J6165">
        <v>-419.19929999999999</v>
      </c>
      <c r="K6165">
        <v>1.1285160000000001</v>
      </c>
      <c r="L6165">
        <v>26.70947</v>
      </c>
      <c r="M6165">
        <v>0.54177120000000001</v>
      </c>
      <c r="N6165">
        <v>-1.5923349999999999E-2</v>
      </c>
      <c r="O6165">
        <v>-0.84037519999999999</v>
      </c>
      <c r="P6165">
        <v>0.90863389999999999</v>
      </c>
      <c r="Q6165">
        <v>-5.3312350000000001E-2</v>
      </c>
      <c r="R6165">
        <v>-0.4141764</v>
      </c>
      <c r="S6165">
        <v>3.299255</v>
      </c>
      <c r="T6165">
        <v>-0.27821040000000002</v>
      </c>
      <c r="U6165" s="1">
        <v>6.1035159999999999E-5</v>
      </c>
      <c r="V6165">
        <v>-0.5384871</v>
      </c>
      <c r="W6165">
        <v>-4.9402330000000001E-2</v>
      </c>
      <c r="X6165">
        <v>0.8411843</v>
      </c>
      <c r="Y6165">
        <v>-0.83605439999999998</v>
      </c>
      <c r="Z6165">
        <v>8.6728559999999996E-2</v>
      </c>
      <c r="AA6165">
        <v>0.54174820000000001</v>
      </c>
      <c r="AB6165">
        <v>19</v>
      </c>
      <c r="AC6165">
        <v>13.3057</v>
      </c>
      <c r="AD6165">
        <v>-1.1285206427600001</v>
      </c>
      <c r="AE6165">
        <v>0.10236000000000001</v>
      </c>
      <c r="AF6165">
        <v>-11.158396744308799</v>
      </c>
      <c r="AG6165">
        <v>-1.1285206427600001</v>
      </c>
      <c r="AH6165">
        <v>7.0726526750558696</v>
      </c>
      <c r="AI6165">
        <v>94.882489243605903</v>
      </c>
      <c r="AJ6165">
        <v>147.63178902251499</v>
      </c>
      <c r="AK6165">
        <v>13.2591776745963</v>
      </c>
      <c r="AL6165">
        <v>92.831697677546501</v>
      </c>
      <c r="AM6165">
        <v>122.625483191944</v>
      </c>
      <c r="AN6165">
        <v>0.99999998682116398</v>
      </c>
    </row>
    <row r="6166" spans="1:40" x14ac:dyDescent="0.25">
      <c r="A6166" t="str">
        <f>"20190303154934129"</f>
        <v>20190303154934129</v>
      </c>
      <c r="B6166" t="str">
        <f>"1551599374126576"</f>
        <v>1551599374126576</v>
      </c>
      <c r="C6166" t="s">
        <v>40</v>
      </c>
      <c r="D6166">
        <v>5.1859710000000003</v>
      </c>
      <c r="E6166">
        <v>0.33705289999999999</v>
      </c>
      <c r="F6166" t="s">
        <v>64</v>
      </c>
      <c r="G6166">
        <v>-405.75259999999997</v>
      </c>
      <c r="H6166" s="1">
        <v>-4.709502E-6</v>
      </c>
      <c r="I6166">
        <v>26.788070000000001</v>
      </c>
      <c r="J6166">
        <v>-419.09050000000002</v>
      </c>
      <c r="K6166">
        <v>1.1285080000000001</v>
      </c>
      <c r="L6166">
        <v>26.569030000000001</v>
      </c>
      <c r="M6166">
        <v>0.55267100000000002</v>
      </c>
      <c r="N6166">
        <v>-1.592737E-2</v>
      </c>
      <c r="O6166">
        <v>-0.83324739999999997</v>
      </c>
      <c r="P6166">
        <v>0.91334579999999999</v>
      </c>
      <c r="Q6166">
        <v>-5.3615049999999997E-2</v>
      </c>
      <c r="R6166">
        <v>-0.40364</v>
      </c>
      <c r="S6166">
        <v>3.2942499999999999</v>
      </c>
      <c r="T6166">
        <v>-0.27647139999999998</v>
      </c>
      <c r="U6166">
        <v>1.9256590000000001E-2</v>
      </c>
      <c r="V6166">
        <v>-0.53724099999999997</v>
      </c>
      <c r="W6166">
        <v>-4.9663989999999998E-2</v>
      </c>
      <c r="X6166">
        <v>0.84196539999999997</v>
      </c>
      <c r="Y6166">
        <v>-0.83216480000000004</v>
      </c>
      <c r="Z6166">
        <v>8.6127099999999998E-2</v>
      </c>
      <c r="AA6166">
        <v>0.54779909999999998</v>
      </c>
      <c r="AB6166">
        <v>19</v>
      </c>
      <c r="AC6166">
        <v>13.337899999999999</v>
      </c>
      <c r="AD6166">
        <v>-1.128512709502</v>
      </c>
      <c r="AE6166">
        <v>0.21904000000000301</v>
      </c>
      <c r="AF6166">
        <v>-11.1564074951946</v>
      </c>
      <c r="AG6166">
        <v>-1.128512709502</v>
      </c>
      <c r="AH6166">
        <v>7.1387764925898196</v>
      </c>
      <c r="AI6166">
        <v>94.870040006606402</v>
      </c>
      <c r="AJ6166">
        <v>147.38558210947301</v>
      </c>
      <c r="AK6166">
        <v>13.2928965596477</v>
      </c>
      <c r="AL6166">
        <v>92.846707881831307</v>
      </c>
      <c r="AM6166">
        <v>122.541119445291</v>
      </c>
      <c r="AN6166">
        <v>1.0000000693904301</v>
      </c>
    </row>
    <row r="6167" spans="1:40" x14ac:dyDescent="0.25">
      <c r="A6167" t="str">
        <f>"20190303154934143"</f>
        <v>20190303154934143</v>
      </c>
      <c r="B6167" t="str">
        <f>"1551599374137312"</f>
        <v>1551599374137312</v>
      </c>
      <c r="C6167" t="s">
        <v>40</v>
      </c>
      <c r="D6167">
        <v>5.1809070000000004</v>
      </c>
      <c r="E6167">
        <v>0.33810659999999998</v>
      </c>
      <c r="F6167" t="s">
        <v>64</v>
      </c>
      <c r="G6167">
        <v>-405.96879999999999</v>
      </c>
      <c r="H6167" s="1">
        <v>-4.54785E-6</v>
      </c>
      <c r="I6167">
        <v>26.49127</v>
      </c>
      <c r="J6167">
        <v>-419.01769999999999</v>
      </c>
      <c r="K6167">
        <v>1.128509</v>
      </c>
      <c r="L6167">
        <v>26.47702</v>
      </c>
      <c r="M6167">
        <v>0.55984179999999995</v>
      </c>
      <c r="N6167">
        <v>-1.5930090000000001E-2</v>
      </c>
      <c r="O6167">
        <v>-0.82844669999999898</v>
      </c>
      <c r="P6167">
        <v>0.91629609999999995</v>
      </c>
      <c r="Q6167">
        <v>-5.411738E-2</v>
      </c>
      <c r="R6167">
        <v>-0.3968293</v>
      </c>
      <c r="S6167">
        <v>3.2597049999999999</v>
      </c>
      <c r="T6167">
        <v>-0.28034730000000002</v>
      </c>
      <c r="U6167">
        <v>-1.9317629999999999E-2</v>
      </c>
      <c r="V6167">
        <v>-0.53621019999999997</v>
      </c>
      <c r="W6167">
        <v>-5.0135039999999999E-2</v>
      </c>
      <c r="X6167">
        <v>0.84259430000000002</v>
      </c>
      <c r="Y6167">
        <v>-0.82062479999999904</v>
      </c>
      <c r="Z6167">
        <v>8.7764300000000003E-2</v>
      </c>
      <c r="AA6167">
        <v>0.56468799999999997</v>
      </c>
      <c r="AB6167">
        <v>19</v>
      </c>
      <c r="AC6167">
        <v>13.0489</v>
      </c>
      <c r="AD6167">
        <v>-1.1285135478499999</v>
      </c>
      <c r="AE6167">
        <v>1.42500000000005E-2</v>
      </c>
      <c r="AF6167">
        <v>-10.7393423227141</v>
      </c>
      <c r="AG6167">
        <v>-1.1285135478499999</v>
      </c>
      <c r="AH6167">
        <v>7.24028512339925</v>
      </c>
      <c r="AI6167">
        <v>94.9796177059755</v>
      </c>
      <c r="AJ6167">
        <v>146.01280928621301</v>
      </c>
      <c r="AK6167">
        <v>13.001105530693801</v>
      </c>
      <c r="AL6167">
        <v>92.873730841207504</v>
      </c>
      <c r="AM6167">
        <v>122.47186151848101</v>
      </c>
      <c r="AN6167">
        <v>1.00000002760616</v>
      </c>
    </row>
    <row r="6168" spans="1:40" x14ac:dyDescent="0.25">
      <c r="A6168" t="str">
        <f>"20190303154934162"</f>
        <v>20190303154934162</v>
      </c>
      <c r="B6168" t="str">
        <f>"1551599374156832"</f>
        <v>1551599374156832</v>
      </c>
      <c r="C6168" t="s">
        <v>40</v>
      </c>
      <c r="D6168">
        <v>5.18194</v>
      </c>
      <c r="E6168">
        <v>0.3404508</v>
      </c>
      <c r="F6168" t="s">
        <v>64</v>
      </c>
      <c r="G6168">
        <v>-405.81110000000001</v>
      </c>
      <c r="H6168" s="1">
        <v>-4.6226840000000002E-6</v>
      </c>
      <c r="I6168">
        <v>26.465879999999999</v>
      </c>
      <c r="J6168">
        <v>-418.91550000000001</v>
      </c>
      <c r="K6168">
        <v>1.1285069999999999</v>
      </c>
      <c r="L6168">
        <v>26.35098</v>
      </c>
      <c r="M6168">
        <v>0.56972730000000005</v>
      </c>
      <c r="N6168">
        <v>-1.593406E-2</v>
      </c>
      <c r="O6168">
        <v>-0.82167950000000001</v>
      </c>
      <c r="P6168">
        <v>0.92015709999999995</v>
      </c>
      <c r="Q6168">
        <v>-5.5075869999999999E-2</v>
      </c>
      <c r="R6168">
        <v>-0.38765719999999998</v>
      </c>
      <c r="S6168">
        <v>3.2564389999999999</v>
      </c>
      <c r="T6168">
        <v>-0.27826620000000002</v>
      </c>
      <c r="U6168">
        <v>-2.746582E-3</v>
      </c>
      <c r="V6168">
        <v>-0.53446850000000001</v>
      </c>
      <c r="W6168">
        <v>-5.1042120000000003E-2</v>
      </c>
      <c r="X6168">
        <v>0.8436458</v>
      </c>
      <c r="Y6168">
        <v>-0.81676269999999995</v>
      </c>
      <c r="Z6168">
        <v>8.695398E-2</v>
      </c>
      <c r="AA6168">
        <v>0.5703838</v>
      </c>
      <c r="AB6168">
        <v>19</v>
      </c>
      <c r="AC6168">
        <v>13.104399999999901</v>
      </c>
      <c r="AD6168">
        <v>-1.128511622684</v>
      </c>
      <c r="AE6168">
        <v>0.114899999999998</v>
      </c>
      <c r="AF6168">
        <v>-10.7547002105996</v>
      </c>
      <c r="AG6168">
        <v>-1.128511622684</v>
      </c>
      <c r="AH6168">
        <v>7.3181898212939798</v>
      </c>
      <c r="AI6168">
        <v>94.958125723814902</v>
      </c>
      <c r="AJ6168">
        <v>145.766109868786</v>
      </c>
      <c r="AK6168">
        <v>13.0572974754692</v>
      </c>
      <c r="AL6168">
        <v>92.925769246256493</v>
      </c>
      <c r="AM6168">
        <v>122.355173781261</v>
      </c>
      <c r="AN6168">
        <v>1.0000000556819899</v>
      </c>
    </row>
    <row r="6169" spans="1:40" x14ac:dyDescent="0.25">
      <c r="A6169" t="str">
        <f>"20190303154934176"</f>
        <v>20190303154934176</v>
      </c>
      <c r="B6169" t="str">
        <f>"1551599374167568"</f>
        <v>1551599374167568</v>
      </c>
      <c r="C6169" t="s">
        <v>40</v>
      </c>
      <c r="D6169">
        <v>5.1940010000000001</v>
      </c>
      <c r="E6169">
        <v>0.34143069999999998</v>
      </c>
      <c r="F6169" t="s">
        <v>64</v>
      </c>
      <c r="G6169">
        <v>-405.57909999999998</v>
      </c>
      <c r="H6169" s="1">
        <v>-4.728197E-6</v>
      </c>
      <c r="I6169">
        <v>26.40259</v>
      </c>
      <c r="J6169">
        <v>-418.8442</v>
      </c>
      <c r="K6169">
        <v>1.128503</v>
      </c>
      <c r="L6169">
        <v>26.264980000000001</v>
      </c>
      <c r="M6169">
        <v>0.57651450000000004</v>
      </c>
      <c r="N6169">
        <v>-1.593661E-2</v>
      </c>
      <c r="O6169">
        <v>-0.81693169999999904</v>
      </c>
      <c r="P6169">
        <v>0.92283800000000005</v>
      </c>
      <c r="Q6169">
        <v>-5.528864E-2</v>
      </c>
      <c r="R6169">
        <v>-0.38120019999999999</v>
      </c>
      <c r="S6169">
        <v>3.2491460000000001</v>
      </c>
      <c r="T6169">
        <v>-0.27493770000000001</v>
      </c>
      <c r="U6169">
        <v>1.2573239999999999E-2</v>
      </c>
      <c r="V6169">
        <v>-0.53337769999999995</v>
      </c>
      <c r="W6169">
        <v>-5.1221799999999998E-2</v>
      </c>
      <c r="X6169">
        <v>0.84432489999999905</v>
      </c>
      <c r="Y6169">
        <v>-0.81480459999999999</v>
      </c>
      <c r="Z6169">
        <v>8.5929829999999999E-2</v>
      </c>
      <c r="AA6169">
        <v>0.57333210000000001</v>
      </c>
      <c r="AB6169">
        <v>19</v>
      </c>
      <c r="AC6169">
        <v>13.2651</v>
      </c>
      <c r="AD6169">
        <v>-1.128507728197</v>
      </c>
      <c r="AE6169">
        <v>0.13761000000000501</v>
      </c>
      <c r="AF6169">
        <v>-10.8389609873669</v>
      </c>
      <c r="AG6169">
        <v>-1.128507728197</v>
      </c>
      <c r="AH6169">
        <v>7.4819157952481703</v>
      </c>
      <c r="AI6169">
        <v>94.897397421696795</v>
      </c>
      <c r="AJ6169">
        <v>145.38346534799999</v>
      </c>
      <c r="AK6169">
        <v>13.218762005023301</v>
      </c>
      <c r="AL6169">
        <v>92.936077828113596</v>
      </c>
      <c r="AM6169">
        <v>122.281458726632</v>
      </c>
      <c r="AN6169">
        <v>0.99999999020626895</v>
      </c>
    </row>
    <row r="6170" spans="1:40" x14ac:dyDescent="0.25">
      <c r="A6170" t="str">
        <f>"20190303154934195"</f>
        <v>20190303154934195</v>
      </c>
      <c r="B6170" t="str">
        <f>"1551599374187088"</f>
        <v>1551599374187088</v>
      </c>
      <c r="C6170" t="s">
        <v>40</v>
      </c>
      <c r="D6170">
        <v>5.1556769999999998</v>
      </c>
      <c r="E6170">
        <v>0.3516572</v>
      </c>
      <c r="F6170" t="s">
        <v>64</v>
      </c>
      <c r="G6170">
        <v>-405.45960000000002</v>
      </c>
      <c r="H6170" s="1">
        <v>-4.7845130000000002E-6</v>
      </c>
      <c r="I6170">
        <v>26.381129999999999</v>
      </c>
      <c r="J6170">
        <v>-418.7389</v>
      </c>
      <c r="K6170">
        <v>1.1284920000000001</v>
      </c>
      <c r="L6170">
        <v>26.140440000000002</v>
      </c>
      <c r="M6170">
        <v>0.58638749999999995</v>
      </c>
      <c r="N6170">
        <v>-1.5940019999999999E-2</v>
      </c>
      <c r="O6170">
        <v>-0.80987410000000004</v>
      </c>
      <c r="P6170">
        <v>0.92657920000000005</v>
      </c>
      <c r="Q6170">
        <v>-5.6543240000000002E-2</v>
      </c>
      <c r="R6170">
        <v>-0.37182559999999998</v>
      </c>
      <c r="S6170">
        <v>3.2460939999999998</v>
      </c>
      <c r="T6170">
        <v>-0.27368900000000002</v>
      </c>
      <c r="U6170">
        <v>2.816772E-2</v>
      </c>
      <c r="V6170">
        <v>-0.53160750000000001</v>
      </c>
      <c r="W6170">
        <v>-5.2422099999999999E-2</v>
      </c>
      <c r="X6170">
        <v>0.84536710000000004</v>
      </c>
      <c r="Y6170">
        <v>-0.81060900000000002</v>
      </c>
      <c r="Z6170">
        <v>8.5348080000000007E-2</v>
      </c>
      <c r="AA6170">
        <v>0.57933489999999999</v>
      </c>
      <c r="AB6170">
        <v>19</v>
      </c>
      <c r="AC6170">
        <v>13.2792999999999</v>
      </c>
      <c r="AD6170">
        <v>-1.1284967845130001</v>
      </c>
      <c r="AE6170">
        <v>0.24068999999999999</v>
      </c>
      <c r="AF6170">
        <v>-10.818973140744401</v>
      </c>
      <c r="AG6170">
        <v>-1.1284967845130001</v>
      </c>
      <c r="AH6170">
        <v>7.5384261931561198</v>
      </c>
      <c r="AI6170">
        <v>94.891517963431497</v>
      </c>
      <c r="AJ6170">
        <v>145.132051466885</v>
      </c>
      <c r="AK6170">
        <v>13.234483529116901</v>
      </c>
      <c r="AL6170">
        <v>93.004942241204304</v>
      </c>
      <c r="AM6170">
        <v>122.16365667043399</v>
      </c>
      <c r="AN6170">
        <v>1.00000007219353</v>
      </c>
    </row>
    <row r="6171" spans="1:40" x14ac:dyDescent="0.25">
      <c r="A6171" t="str">
        <f>"20190303154934209"</f>
        <v>20190303154934209</v>
      </c>
      <c r="B6171" t="str">
        <f>"1551599374207583"</f>
        <v>1551599374207583</v>
      </c>
      <c r="C6171" t="s">
        <v>40</v>
      </c>
      <c r="D6171">
        <v>5.1818070000000001</v>
      </c>
      <c r="E6171">
        <v>0.35367999999999999</v>
      </c>
      <c r="F6171" t="s">
        <v>64</v>
      </c>
      <c r="G6171">
        <v>-405.4348</v>
      </c>
      <c r="H6171" s="1">
        <v>-4.7432989999999997E-6</v>
      </c>
      <c r="I6171">
        <v>26.07958</v>
      </c>
      <c r="J6171">
        <v>-418.66410000000002</v>
      </c>
      <c r="K6171">
        <v>1.128487</v>
      </c>
      <c r="L6171">
        <v>26.054079999999999</v>
      </c>
      <c r="M6171">
        <v>0.59327410000000003</v>
      </c>
      <c r="N6171">
        <v>-1.594226E-2</v>
      </c>
      <c r="O6171">
        <v>-0.80484270000000002</v>
      </c>
      <c r="P6171">
        <v>0.92935069999999997</v>
      </c>
      <c r="Q6171">
        <v>-5.722551E-2</v>
      </c>
      <c r="R6171">
        <v>-0.3647358</v>
      </c>
      <c r="S6171">
        <v>3.2152099999999999</v>
      </c>
      <c r="T6171">
        <v>-0.27272489999999999</v>
      </c>
      <c r="U6171">
        <v>-1.4709470000000001E-2</v>
      </c>
      <c r="V6171">
        <v>-0.53080989999999995</v>
      </c>
      <c r="W6171">
        <v>-5.3077779999999998E-2</v>
      </c>
      <c r="X6171">
        <v>0.84582710000000005</v>
      </c>
      <c r="Y6171">
        <v>-0.79779169999999999</v>
      </c>
      <c r="Z6171">
        <v>8.5105810000000004E-2</v>
      </c>
      <c r="AA6171">
        <v>0.5968966</v>
      </c>
      <c r="AB6171">
        <v>19</v>
      </c>
      <c r="AC6171">
        <v>13.2293</v>
      </c>
      <c r="AD6171">
        <v>-1.128491743299</v>
      </c>
      <c r="AE6171">
        <v>2.55000000000009E-2</v>
      </c>
      <c r="AF6171">
        <v>-10.5869530416433</v>
      </c>
      <c r="AG6171">
        <v>-1.128491743299</v>
      </c>
      <c r="AH6171">
        <v>7.7725156277164098</v>
      </c>
      <c r="AI6171">
        <v>94.910963202490294</v>
      </c>
      <c r="AJ6171">
        <v>143.71538017232399</v>
      </c>
      <c r="AK6171">
        <v>13.1821495782649</v>
      </c>
      <c r="AL6171">
        <v>93.042562709174106</v>
      </c>
      <c r="AM6171">
        <v>122.11086615979799</v>
      </c>
      <c r="AN6171">
        <v>0.999999941881072</v>
      </c>
    </row>
    <row r="6172" spans="1:40" x14ac:dyDescent="0.25">
      <c r="A6172" t="str">
        <f>"20190303154934222"</f>
        <v>20190303154934222</v>
      </c>
      <c r="B6172" t="str">
        <f>"1551599374217344"</f>
        <v>1551599374217344</v>
      </c>
      <c r="C6172" t="s">
        <v>40</v>
      </c>
      <c r="D6172">
        <v>5.1783070000000002</v>
      </c>
      <c r="E6172">
        <v>0.354699599999999</v>
      </c>
      <c r="F6172" t="s">
        <v>64</v>
      </c>
      <c r="G6172">
        <v>-405.3954</v>
      </c>
      <c r="H6172" s="1">
        <v>-4.754762E-6</v>
      </c>
      <c r="I6172">
        <v>26.032509999999998</v>
      </c>
      <c r="J6172">
        <v>-418.59539999999998</v>
      </c>
      <c r="K6172">
        <v>1.128479</v>
      </c>
      <c r="L6172">
        <v>25.975680000000001</v>
      </c>
      <c r="M6172">
        <v>0.59953299999999998</v>
      </c>
      <c r="N6172">
        <v>-1.5944280000000002E-2</v>
      </c>
      <c r="O6172">
        <v>-0.80019130000000005</v>
      </c>
      <c r="P6172">
        <v>0.93178970000000005</v>
      </c>
      <c r="Q6172">
        <v>-5.7814259999999999E-2</v>
      </c>
      <c r="R6172">
        <v>-0.35836479999999998</v>
      </c>
      <c r="S6172">
        <v>3.2091980000000002</v>
      </c>
      <c r="T6172">
        <v>-0.27293849999999997</v>
      </c>
      <c r="U6172">
        <v>-5.2185060000000004E-3</v>
      </c>
      <c r="V6172">
        <v>-0.52996580000000004</v>
      </c>
      <c r="W6172">
        <v>-5.3638980000000003E-2</v>
      </c>
      <c r="X6172">
        <v>0.84632099999999899</v>
      </c>
      <c r="Y6172">
        <v>-0.79486109999999999</v>
      </c>
      <c r="Z6172">
        <v>8.5164080000000003E-2</v>
      </c>
      <c r="AA6172">
        <v>0.60078529999999997</v>
      </c>
      <c r="AB6172">
        <v>19</v>
      </c>
      <c r="AC6172">
        <v>13.1999999999999</v>
      </c>
      <c r="AD6172">
        <v>-1.1284837547619999</v>
      </c>
      <c r="AE6172">
        <v>5.68300000000014E-2</v>
      </c>
      <c r="AF6172">
        <v>-10.521048762220699</v>
      </c>
      <c r="AG6172">
        <v>-1.1284837547619999</v>
      </c>
      <c r="AH6172">
        <v>7.8122636793749596</v>
      </c>
      <c r="AI6172">
        <v>94.9218958118948</v>
      </c>
      <c r="AJ6172">
        <v>143.40476219246801</v>
      </c>
      <c r="AK6172">
        <v>13.1528478451577</v>
      </c>
      <c r="AL6172">
        <v>93.0747626042821</v>
      </c>
      <c r="AM6172">
        <v>122.05477834806</v>
      </c>
      <c r="AN6172">
        <v>1.0000000621930301</v>
      </c>
    </row>
    <row r="6173" spans="1:40" x14ac:dyDescent="0.25">
      <c r="A6173" t="str">
        <f>"20190303154934234"</f>
        <v>20190303154934234</v>
      </c>
      <c r="B6173" t="str">
        <f>"1551599374227103"</f>
        <v>1551599374227103</v>
      </c>
      <c r="C6173" t="s">
        <v>40</v>
      </c>
      <c r="D6173">
        <v>5.2107869999999998</v>
      </c>
      <c r="E6173">
        <v>0.35603879999999999</v>
      </c>
      <c r="F6173" t="s">
        <v>64</v>
      </c>
      <c r="G6173">
        <v>-405.30739999999997</v>
      </c>
      <c r="H6173" s="1">
        <v>-4.795634E-6</v>
      </c>
      <c r="I6173">
        <v>26.01362</v>
      </c>
      <c r="J6173">
        <v>-418.52429999999998</v>
      </c>
      <c r="K6173">
        <v>1.128471</v>
      </c>
      <c r="L6173">
        <v>25.8963</v>
      </c>
      <c r="M6173">
        <v>0.60592679999999999</v>
      </c>
      <c r="N6173">
        <v>-1.5946200000000001E-2</v>
      </c>
      <c r="O6173">
        <v>-0.79536070000000003</v>
      </c>
      <c r="P6173">
        <v>0.93414439999999999</v>
      </c>
      <c r="Q6173">
        <v>-5.8719159999999999E-2</v>
      </c>
      <c r="R6173">
        <v>-0.35203129999999999</v>
      </c>
      <c r="S6173">
        <v>3.2062379999999999</v>
      </c>
      <c r="T6173">
        <v>-0.27229009999999998</v>
      </c>
      <c r="U6173">
        <v>9.1552730000000002E-3</v>
      </c>
      <c r="V6173">
        <v>-0.52886899999999903</v>
      </c>
      <c r="W6173">
        <v>-5.4510250000000003E-2</v>
      </c>
      <c r="X6173">
        <v>0.84695119999999902</v>
      </c>
      <c r="Y6173">
        <v>-0.7927419</v>
      </c>
      <c r="Z6173">
        <v>8.4882540000000006E-2</v>
      </c>
      <c r="AA6173">
        <v>0.60361849999999995</v>
      </c>
      <c r="AB6173">
        <v>19</v>
      </c>
      <c r="AC6173">
        <v>13.216900000000001</v>
      </c>
      <c r="AD6173">
        <v>-1.1284757956339999</v>
      </c>
      <c r="AE6173">
        <v>0.11731999999999899</v>
      </c>
      <c r="AF6173">
        <v>-10.5080377076158</v>
      </c>
      <c r="AG6173">
        <v>-1.1284757956339999</v>
      </c>
      <c r="AH6173">
        <v>7.8588814629438799</v>
      </c>
      <c r="AI6173">
        <v>94.915358010717298</v>
      </c>
      <c r="AJ6173">
        <v>143.20746505605399</v>
      </c>
      <c r="AK6173">
        <v>13.1702062221747</v>
      </c>
      <c r="AL6173">
        <v>93.124755846009194</v>
      </c>
      <c r="AM6173">
        <v>121.982245821262</v>
      </c>
      <c r="AN6173">
        <v>1.00000006084874</v>
      </c>
    </row>
    <row r="6174" spans="1:40" x14ac:dyDescent="0.25">
      <c r="A6174" t="str">
        <f>"20190303154934247"</f>
        <v>20190303154934247</v>
      </c>
      <c r="B6174" t="str">
        <f>"1551599374236864"</f>
        <v>1551599374236864</v>
      </c>
      <c r="C6174" t="s">
        <v>40</v>
      </c>
      <c r="D6174">
        <v>5.1850849999999999</v>
      </c>
      <c r="E6174">
        <v>0.35709600000000002</v>
      </c>
      <c r="F6174" t="s">
        <v>64</v>
      </c>
      <c r="G6174">
        <v>-405.21609999999998</v>
      </c>
      <c r="H6174" s="1">
        <v>-4.8361829999999997E-6</v>
      </c>
      <c r="I6174">
        <v>25.983049999999999</v>
      </c>
      <c r="J6174">
        <v>-418.45800000000003</v>
      </c>
      <c r="K6174">
        <v>1.1284639999999999</v>
      </c>
      <c r="L6174">
        <v>25.8233</v>
      </c>
      <c r="M6174">
        <v>0.61181660000000004</v>
      </c>
      <c r="N6174">
        <v>-1.594808E-2</v>
      </c>
      <c r="O6174">
        <v>-0.79083899999999996</v>
      </c>
      <c r="P6174">
        <v>0.93641300000000005</v>
      </c>
      <c r="Q6174">
        <v>-5.9632249999999998E-2</v>
      </c>
      <c r="R6174">
        <v>-0.3457963</v>
      </c>
      <c r="S6174">
        <v>3.2023009999999998</v>
      </c>
      <c r="T6174">
        <v>-0.27154080000000003</v>
      </c>
      <c r="U6174">
        <v>2.087402E-2</v>
      </c>
      <c r="V6174">
        <v>-0.52816439999999998</v>
      </c>
      <c r="W6174">
        <v>-5.5400360000000003E-2</v>
      </c>
      <c r="X6174">
        <v>0.847333</v>
      </c>
      <c r="Y6174">
        <v>-0.79047599999999996</v>
      </c>
      <c r="Z6174">
        <v>8.4578929999999997E-2</v>
      </c>
      <c r="AA6174">
        <v>0.60662519999999998</v>
      </c>
      <c r="AB6174">
        <v>19</v>
      </c>
      <c r="AC6174">
        <v>13.241899999999999</v>
      </c>
      <c r="AD6174">
        <v>-1.128468836183</v>
      </c>
      <c r="AE6174">
        <v>0.159749999999998</v>
      </c>
      <c r="AF6174">
        <v>-10.495083832080701</v>
      </c>
      <c r="AG6174">
        <v>-1.128468836183</v>
      </c>
      <c r="AH6174">
        <v>7.9187904147505996</v>
      </c>
      <c r="AI6174">
        <v>94.905794335801403</v>
      </c>
      <c r="AJ6174">
        <v>142.964578081507</v>
      </c>
      <c r="AK6174">
        <v>13.1957367429554</v>
      </c>
      <c r="AL6174">
        <v>93.175832697272796</v>
      </c>
      <c r="AM6174">
        <v>121.93634596723901</v>
      </c>
      <c r="AN6174">
        <v>1.0000000231022399</v>
      </c>
    </row>
    <row r="6175" spans="1:40" x14ac:dyDescent="0.25">
      <c r="A6175" t="str">
        <f>"20190303154934263"</f>
        <v>20190303154934263</v>
      </c>
      <c r="B6175" t="str">
        <f>"1551599374257359"</f>
        <v>1551599374257359</v>
      </c>
      <c r="C6175" t="s">
        <v>40</v>
      </c>
      <c r="D6175">
        <v>5.2306100000000004</v>
      </c>
      <c r="E6175">
        <v>0.36347960000000001</v>
      </c>
      <c r="F6175" t="s">
        <v>64</v>
      </c>
      <c r="G6175">
        <v>-405.24189999999999</v>
      </c>
      <c r="H6175" s="1">
        <v>-4.8200179999999997E-6</v>
      </c>
      <c r="I6175">
        <v>25.965150000000001</v>
      </c>
      <c r="J6175">
        <v>-418.36680000000001</v>
      </c>
      <c r="K6175">
        <v>1.1284449999999999</v>
      </c>
      <c r="L6175">
        <v>25.724519999999998</v>
      </c>
      <c r="M6175">
        <v>0.61981730000000002</v>
      </c>
      <c r="N6175">
        <v>-1.5950760000000001E-2</v>
      </c>
      <c r="O6175">
        <v>-0.78458399999999995</v>
      </c>
      <c r="P6175">
        <v>0.93926500000000002</v>
      </c>
      <c r="Q6175">
        <v>-6.1753860000000001E-2</v>
      </c>
      <c r="R6175">
        <v>-0.33759129999999998</v>
      </c>
      <c r="S6175">
        <v>3.1989749999999999</v>
      </c>
      <c r="T6175">
        <v>-0.27314620000000001</v>
      </c>
      <c r="U6175">
        <v>3.433228E-2</v>
      </c>
      <c r="V6175">
        <v>-0.52682779999999996</v>
      </c>
      <c r="W6175">
        <v>-5.7480789999999997E-2</v>
      </c>
      <c r="X6175">
        <v>0.84802619999999895</v>
      </c>
      <c r="Y6175">
        <v>-0.78679180000000004</v>
      </c>
      <c r="Z6175">
        <v>8.4947030000000007E-2</v>
      </c>
      <c r="AA6175">
        <v>0.61134509999999997</v>
      </c>
      <c r="AB6175">
        <v>19</v>
      </c>
      <c r="AC6175">
        <v>13.1249</v>
      </c>
      <c r="AD6175">
        <v>-1.128449820018</v>
      </c>
      <c r="AE6175">
        <v>0.24062999999999901</v>
      </c>
      <c r="AF6175">
        <v>-10.371420935856699</v>
      </c>
      <c r="AG6175">
        <v>-1.128449820018</v>
      </c>
      <c r="AH6175">
        <v>7.8889598221596602</v>
      </c>
      <c r="AI6175">
        <v>94.949385509557899</v>
      </c>
      <c r="AJ6175">
        <v>142.74178177143801</v>
      </c>
      <c r="AK6175">
        <v>13.0795817326348</v>
      </c>
      <c r="AL6175">
        <v>93.295222950646405</v>
      </c>
      <c r="AM6175">
        <v>121.85020403498901</v>
      </c>
      <c r="AN6175">
        <v>1.0000000039791499</v>
      </c>
    </row>
    <row r="6176" spans="1:40" x14ac:dyDescent="0.25">
      <c r="A6176" t="str">
        <f>"20190303154934288"</f>
        <v>20190303154934288</v>
      </c>
      <c r="B6176" t="str">
        <f>"1551599374276880"</f>
        <v>1551599374276880</v>
      </c>
      <c r="C6176" t="s">
        <v>40</v>
      </c>
      <c r="D6176">
        <v>5.2181410000000001</v>
      </c>
      <c r="E6176">
        <v>0.37377440000000001</v>
      </c>
      <c r="F6176" t="s">
        <v>64</v>
      </c>
      <c r="G6176">
        <v>-403.75310000000002</v>
      </c>
      <c r="H6176" s="1">
        <v>-5.4923940000000004E-6</v>
      </c>
      <c r="I6176">
        <v>25.78687</v>
      </c>
      <c r="J6176">
        <v>-418.22489999999999</v>
      </c>
      <c r="K6176">
        <v>1.1284209999999999</v>
      </c>
      <c r="L6176">
        <v>25.575320000000001</v>
      </c>
      <c r="M6176">
        <v>0.63200089999999998</v>
      </c>
      <c r="N6176">
        <v>-1.5954619999999999E-2</v>
      </c>
      <c r="O6176">
        <v>-0.77480380000000004</v>
      </c>
      <c r="P6176">
        <v>0.94344640000000002</v>
      </c>
      <c r="Q6176">
        <v>-6.4379850000000002E-2</v>
      </c>
      <c r="R6176">
        <v>-0.32521460000000002</v>
      </c>
      <c r="S6176">
        <v>3.1826780000000001</v>
      </c>
      <c r="T6176">
        <v>-0.24576310000000001</v>
      </c>
      <c r="U6176">
        <v>1.358032E-2</v>
      </c>
      <c r="V6176">
        <v>-0.52454559999999995</v>
      </c>
      <c r="W6176">
        <v>-6.003489E-2</v>
      </c>
      <c r="X6176">
        <v>0.84926309999999905</v>
      </c>
      <c r="Y6176">
        <v>-0.77398440000000002</v>
      </c>
      <c r="Z6176">
        <v>7.5312989999999996E-2</v>
      </c>
      <c r="AA6176">
        <v>0.62870990000000004</v>
      </c>
      <c r="AB6176">
        <v>19</v>
      </c>
      <c r="AC6176">
        <v>14.471799999999901</v>
      </c>
      <c r="AD6176">
        <v>-1.1284264923939999</v>
      </c>
      <c r="AE6176">
        <v>0.21154999999999899</v>
      </c>
      <c r="AF6176">
        <v>-11.2793826707644</v>
      </c>
      <c r="AG6176">
        <v>-1.1284264923939999</v>
      </c>
      <c r="AH6176">
        <v>8.9291442193801593</v>
      </c>
      <c r="AI6176">
        <v>94.485083746548398</v>
      </c>
      <c r="AJ6176">
        <v>141.63366083010399</v>
      </c>
      <c r="AK6176">
        <v>14.4300878816716</v>
      </c>
      <c r="AL6176">
        <v>93.441815276608395</v>
      </c>
      <c r="AM6176">
        <v>121.70146600865201</v>
      </c>
      <c r="AN6176">
        <v>1.0000000437591401</v>
      </c>
    </row>
    <row r="6177" spans="1:40" x14ac:dyDescent="0.25">
      <c r="A6177" t="str">
        <f>"20190303154934309"</f>
        <v>20190303154934309</v>
      </c>
      <c r="B6177" t="str">
        <f>"1551599374297377"</f>
        <v>1551599374297377</v>
      </c>
      <c r="C6177" t="s">
        <v>40</v>
      </c>
      <c r="D6177">
        <v>5.1671849999999999</v>
      </c>
      <c r="E6177">
        <v>0.38136120000000001</v>
      </c>
      <c r="F6177" t="s">
        <v>64</v>
      </c>
      <c r="G6177">
        <v>-403.83030000000002</v>
      </c>
      <c r="H6177" s="1">
        <v>-5.4007259999999899E-6</v>
      </c>
      <c r="I6177">
        <v>25.47382</v>
      </c>
      <c r="J6177">
        <v>-418.10930000000002</v>
      </c>
      <c r="K6177">
        <v>1.128396</v>
      </c>
      <c r="L6177">
        <v>25.457149999999999</v>
      </c>
      <c r="M6177">
        <v>0.64170539999999998</v>
      </c>
      <c r="N6177">
        <v>-1.5956990000000001E-2</v>
      </c>
      <c r="O6177">
        <v>-0.76678519999999994</v>
      </c>
      <c r="P6177">
        <v>0.94671640000000001</v>
      </c>
      <c r="Q6177">
        <v>-6.6606780000000004E-2</v>
      </c>
      <c r="R6177">
        <v>-0.31510569999999999</v>
      </c>
      <c r="S6177">
        <v>3.1553040000000001</v>
      </c>
      <c r="T6177">
        <v>-0.24735180000000001</v>
      </c>
      <c r="U6177">
        <v>-2.2247309999999999E-2</v>
      </c>
      <c r="V6177">
        <v>-0.52278159999999996</v>
      </c>
      <c r="W6177">
        <v>-6.2204259999999997E-2</v>
      </c>
      <c r="X6177">
        <v>0.85019419999999901</v>
      </c>
      <c r="Y6177">
        <v>-0.75866650000000002</v>
      </c>
      <c r="Z6177">
        <v>7.5617630000000005E-2</v>
      </c>
      <c r="AA6177">
        <v>0.64707590000000004</v>
      </c>
      <c r="AB6177">
        <v>19</v>
      </c>
      <c r="AC6177">
        <v>14.2789999999999</v>
      </c>
      <c r="AD6177">
        <v>-1.1284014007259999</v>
      </c>
      <c r="AE6177">
        <v>1.6670000000001298E-2</v>
      </c>
      <c r="AF6177">
        <v>-10.8929922085026</v>
      </c>
      <c r="AG6177">
        <v>-1.1284014007259999</v>
      </c>
      <c r="AH6177">
        <v>9.0944993323275707</v>
      </c>
      <c r="AI6177">
        <v>94.546518937978604</v>
      </c>
      <c r="AJ6177">
        <v>140.14168013306099</v>
      </c>
      <c r="AK6177">
        <v>14.2351848277908</v>
      </c>
      <c r="AL6177">
        <v>93.566343743617495</v>
      </c>
      <c r="AM6177">
        <v>121.587220711524</v>
      </c>
      <c r="AN6177">
        <v>1.00000007448717</v>
      </c>
    </row>
    <row r="6178" spans="1:40" x14ac:dyDescent="0.25">
      <c r="A6178" t="str">
        <f>"20190303154934332"</f>
        <v>20190303154934332</v>
      </c>
      <c r="B6178" t="str">
        <f>"1551599374327631"</f>
        <v>1551599374327631</v>
      </c>
      <c r="C6178" t="s">
        <v>40</v>
      </c>
      <c r="D6178">
        <v>5.1973089999999997</v>
      </c>
      <c r="E6178">
        <v>0.38974720000000002</v>
      </c>
      <c r="F6178" t="s">
        <v>64</v>
      </c>
      <c r="G6178">
        <v>-403.90859999999998</v>
      </c>
      <c r="H6178" s="1">
        <v>-5.3241869999999899E-6</v>
      </c>
      <c r="I6178">
        <v>25.248760000000001</v>
      </c>
      <c r="J6178">
        <v>-417.97469999999998</v>
      </c>
      <c r="K6178">
        <v>1.1283810000000001</v>
      </c>
      <c r="L6178">
        <v>25.323239999999998</v>
      </c>
      <c r="M6178">
        <v>0.6527752</v>
      </c>
      <c r="N6178">
        <v>-1.5958690000000001E-2</v>
      </c>
      <c r="O6178">
        <v>-0.75738380000000005</v>
      </c>
      <c r="P6178">
        <v>0.950596</v>
      </c>
      <c r="Q6178">
        <v>-6.8046570000000001E-2</v>
      </c>
      <c r="R6178">
        <v>-0.30288140000000002</v>
      </c>
      <c r="S6178">
        <v>3.1360169999999998</v>
      </c>
      <c r="T6178">
        <v>-0.24918940000000001</v>
      </c>
      <c r="U6178">
        <v>-4.6020510000000001E-2</v>
      </c>
      <c r="V6178">
        <v>-0.52128739999999996</v>
      </c>
      <c r="W6178">
        <v>-6.3589300000000001E-2</v>
      </c>
      <c r="X6178">
        <v>0.85100869999999995</v>
      </c>
      <c r="Y6178">
        <v>-0.74408879999999999</v>
      </c>
      <c r="Z6178">
        <v>7.5796630000000004E-2</v>
      </c>
      <c r="AA6178">
        <v>0.66376709999999906</v>
      </c>
      <c r="AB6178">
        <v>19</v>
      </c>
      <c r="AC6178">
        <v>14.0661</v>
      </c>
      <c r="AD6178">
        <v>-1.12838632418699</v>
      </c>
      <c r="AE6178">
        <v>-7.4479999999997604E-2</v>
      </c>
      <c r="AF6178">
        <v>-10.5383508674452</v>
      </c>
      <c r="AG6178">
        <v>-1.12838632418699</v>
      </c>
      <c r="AH6178">
        <v>9.1805085635573196</v>
      </c>
      <c r="AI6178">
        <v>94.615784089587507</v>
      </c>
      <c r="AJ6178">
        <v>138.93917386432901</v>
      </c>
      <c r="AK6178">
        <v>14.021834123521201</v>
      </c>
      <c r="AL6178">
        <v>93.645858471132598</v>
      </c>
      <c r="AM6178">
        <v>121.48965149747001</v>
      </c>
      <c r="AN6178">
        <v>0.99999997997446899</v>
      </c>
    </row>
    <row r="6179" spans="1:40" x14ac:dyDescent="0.25">
      <c r="A6179" t="str">
        <f>"20190303154934345"</f>
        <v>20190303154934345</v>
      </c>
      <c r="B6179" t="str">
        <f>"1551599374337392"</f>
        <v>1551599374337392</v>
      </c>
      <c r="C6179" t="s">
        <v>40</v>
      </c>
      <c r="D6179">
        <v>5.1766920000000001</v>
      </c>
      <c r="E6179">
        <v>0.39198450000000001</v>
      </c>
      <c r="F6179" t="s">
        <v>64</v>
      </c>
      <c r="G6179">
        <v>-403.98439999999999</v>
      </c>
      <c r="H6179" s="1">
        <v>-5.2466739999999998E-6</v>
      </c>
      <c r="I6179">
        <v>25.01192</v>
      </c>
      <c r="J6179">
        <v>-417.89580000000001</v>
      </c>
      <c r="K6179">
        <v>1.1283669999999999</v>
      </c>
      <c r="L6179">
        <v>25.246490000000001</v>
      </c>
      <c r="M6179">
        <v>0.65915029999999997</v>
      </c>
      <c r="N6179">
        <v>-1.595943E-2</v>
      </c>
      <c r="O6179">
        <v>-0.75184209999999996</v>
      </c>
      <c r="P6179">
        <v>0.95281340000000003</v>
      </c>
      <c r="Q6179">
        <v>-6.8368700000000004E-2</v>
      </c>
      <c r="R6179">
        <v>-0.29575829999999997</v>
      </c>
      <c r="S6179">
        <v>3.1158450000000002</v>
      </c>
      <c r="T6179">
        <v>-0.2513089</v>
      </c>
      <c r="U6179">
        <v>-6.9335939999999999E-2</v>
      </c>
      <c r="V6179">
        <v>-0.52044679999999999</v>
      </c>
      <c r="W6179">
        <v>-6.3879420000000006E-2</v>
      </c>
      <c r="X6179">
        <v>0.85150130000000002</v>
      </c>
      <c r="Y6179">
        <v>-0.73327739999999997</v>
      </c>
      <c r="Z6179">
        <v>7.6336699999999993E-2</v>
      </c>
      <c r="AA6179">
        <v>0.67563079999999998</v>
      </c>
      <c r="AB6179">
        <v>19</v>
      </c>
      <c r="AC6179">
        <v>13.9114</v>
      </c>
      <c r="AD6179">
        <v>-1.1283722466739901</v>
      </c>
      <c r="AE6179">
        <v>-0.234569999999997</v>
      </c>
      <c r="AF6179">
        <v>-10.2385293389054</v>
      </c>
      <c r="AG6179">
        <v>-1.1283722466739901</v>
      </c>
      <c r="AH6179">
        <v>9.2861750098691402</v>
      </c>
      <c r="AI6179">
        <v>94.666890425333506</v>
      </c>
      <c r="AJ6179">
        <v>137.79249663616901</v>
      </c>
      <c r="AK6179">
        <v>13.8684445149631</v>
      </c>
      <c r="AL6179">
        <v>93.662515068360307</v>
      </c>
      <c r="AM6179">
        <v>121.433724551639</v>
      </c>
      <c r="AN6179">
        <v>0.99999995791573204</v>
      </c>
    </row>
    <row r="6180" spans="1:40" x14ac:dyDescent="0.25">
      <c r="A6180" t="str">
        <f>"20190303154934357"</f>
        <v>20190303154934357</v>
      </c>
      <c r="B6180" t="str">
        <f>"1551599374347152"</f>
        <v>1551599374347152</v>
      </c>
      <c r="C6180" t="s">
        <v>40</v>
      </c>
      <c r="D6180">
        <v>5.149546</v>
      </c>
      <c r="E6180">
        <v>0.39395249999999998</v>
      </c>
      <c r="F6180" t="s">
        <v>64</v>
      </c>
      <c r="G6180">
        <v>-403.89569999999998</v>
      </c>
      <c r="H6180" s="1">
        <v>-5.2792729999999897E-6</v>
      </c>
      <c r="I6180">
        <v>24.962759999999999</v>
      </c>
      <c r="J6180">
        <v>-417.81599999999997</v>
      </c>
      <c r="K6180">
        <v>1.128355</v>
      </c>
      <c r="L6180">
        <v>25.17023</v>
      </c>
      <c r="M6180">
        <v>0.6655084</v>
      </c>
      <c r="N6180">
        <v>-1.5960149999999999E-2</v>
      </c>
      <c r="O6180">
        <v>-0.74621990000000005</v>
      </c>
      <c r="P6180">
        <v>0.95487109999999997</v>
      </c>
      <c r="Q6180">
        <v>-6.9304959999999999E-2</v>
      </c>
      <c r="R6180">
        <v>-0.28882210000000003</v>
      </c>
      <c r="S6180">
        <v>3.1110229999999999</v>
      </c>
      <c r="T6180">
        <v>-0.25074089999999999</v>
      </c>
      <c r="U6180">
        <v>-6.3049320000000006E-2</v>
      </c>
      <c r="V6180">
        <v>-0.51934599999999997</v>
      </c>
      <c r="W6180">
        <v>-6.4777489999999993E-2</v>
      </c>
      <c r="X6180">
        <v>0.85210540000000001</v>
      </c>
      <c r="Y6180">
        <v>-0.72888219999999904</v>
      </c>
      <c r="Z6180">
        <v>7.5939290000000007E-2</v>
      </c>
      <c r="AA6180">
        <v>0.68041459999999998</v>
      </c>
      <c r="AB6180">
        <v>19</v>
      </c>
      <c r="AC6180">
        <v>13.9202999999999</v>
      </c>
      <c r="AD6180">
        <v>-1.1283602792730001</v>
      </c>
      <c r="AE6180">
        <v>-0.20746999999999999</v>
      </c>
      <c r="AF6180">
        <v>-10.1839372962748</v>
      </c>
      <c r="AG6180">
        <v>-1.1283602792730001</v>
      </c>
      <c r="AH6180">
        <v>9.3586161513083006</v>
      </c>
      <c r="AI6180">
        <v>94.663977341851407</v>
      </c>
      <c r="AJ6180">
        <v>137.418278424622</v>
      </c>
      <c r="AK6180">
        <v>13.8769402982728</v>
      </c>
      <c r="AL6180">
        <v>93.714077326836303</v>
      </c>
      <c r="AM6180">
        <v>121.361707391011</v>
      </c>
      <c r="AN6180">
        <v>1.00000000181793</v>
      </c>
    </row>
    <row r="6181" spans="1:40" x14ac:dyDescent="0.25">
      <c r="A6181" t="str">
        <f>"20190303154934376"</f>
        <v>20190303154934376</v>
      </c>
      <c r="B6181" t="str">
        <f>"1551599374367647"</f>
        <v>1551599374367647</v>
      </c>
      <c r="C6181" t="s">
        <v>40</v>
      </c>
      <c r="D6181">
        <v>5.183675</v>
      </c>
      <c r="E6181">
        <v>0.42928260000000001</v>
      </c>
      <c r="F6181" t="s">
        <v>64</v>
      </c>
      <c r="G6181">
        <v>-403.89780000000002</v>
      </c>
      <c r="H6181" s="1">
        <v>-5.2709769999999996E-6</v>
      </c>
      <c r="I6181">
        <v>24.921669999999999</v>
      </c>
      <c r="J6181">
        <v>-417.71510000000001</v>
      </c>
      <c r="K6181">
        <v>1.128341</v>
      </c>
      <c r="L6181">
        <v>25.075839999999999</v>
      </c>
      <c r="M6181">
        <v>0.67343199999999903</v>
      </c>
      <c r="N6181">
        <v>-1.5960990000000001E-2</v>
      </c>
      <c r="O6181">
        <v>-0.73907719999999999</v>
      </c>
      <c r="P6181">
        <v>0.95692900000000003</v>
      </c>
      <c r="Q6181">
        <v>-7.1526320000000004E-2</v>
      </c>
      <c r="R6181">
        <v>-0.28137400000000001</v>
      </c>
      <c r="S6181">
        <v>3.1066889999999998</v>
      </c>
      <c r="T6181">
        <v>-0.25186160000000002</v>
      </c>
      <c r="U6181">
        <v>-5.5480960000000003E-2</v>
      </c>
      <c r="V6181">
        <v>-0.516737</v>
      </c>
      <c r="W6181">
        <v>-6.6921369999999994E-2</v>
      </c>
      <c r="X6181">
        <v>0.85352469999999903</v>
      </c>
      <c r="Y6181">
        <v>-0.72320069999999903</v>
      </c>
      <c r="Z6181">
        <v>7.5978610000000002E-2</v>
      </c>
      <c r="AA6181">
        <v>0.68644589999999905</v>
      </c>
      <c r="AB6181">
        <v>19</v>
      </c>
      <c r="AC6181">
        <v>13.8172999999999</v>
      </c>
      <c r="AD6181">
        <v>-1.128346270977</v>
      </c>
      <c r="AE6181">
        <v>-0.154169999999997</v>
      </c>
      <c r="AF6181">
        <v>-10.0425515542422</v>
      </c>
      <c r="AG6181">
        <v>-1.128346270977</v>
      </c>
      <c r="AH6181">
        <v>9.3577571317976709</v>
      </c>
      <c r="AI6181">
        <v>94.699218839417298</v>
      </c>
      <c r="AJ6181">
        <v>137.021593968258</v>
      </c>
      <c r="AK6181">
        <v>13.772930899578</v>
      </c>
      <c r="AL6181">
        <v>93.837179798467105</v>
      </c>
      <c r="AM6181">
        <v>121.191358411378</v>
      </c>
      <c r="AN6181">
        <v>1.00000000522088</v>
      </c>
    </row>
    <row r="6182" spans="1:40" x14ac:dyDescent="0.25">
      <c r="A6182" t="str">
        <f>"20190303154934389"</f>
        <v>20190303154934389</v>
      </c>
      <c r="B6182" t="str">
        <f>"1551599374377409"</f>
        <v>1551599374377409</v>
      </c>
      <c r="C6182" t="s">
        <v>40</v>
      </c>
      <c r="D6182">
        <v>5.1393750000000002</v>
      </c>
      <c r="E6182">
        <v>0.42876589999999998</v>
      </c>
      <c r="F6182" t="s">
        <v>64</v>
      </c>
      <c r="G6182">
        <v>-402.72539999999998</v>
      </c>
      <c r="H6182" s="1">
        <v>-5.5780359999999999E-6</v>
      </c>
      <c r="I6182">
        <v>23.578769999999999</v>
      </c>
      <c r="J6182">
        <v>-417.63900000000001</v>
      </c>
      <c r="K6182">
        <v>1.128331</v>
      </c>
      <c r="L6182">
        <v>25.0061</v>
      </c>
      <c r="M6182">
        <v>0.67931430000000004</v>
      </c>
      <c r="N6182">
        <v>-1.5961840000000001E-2</v>
      </c>
      <c r="O6182">
        <v>-0.73367419999999905</v>
      </c>
      <c r="P6182">
        <v>0.95849470000000003</v>
      </c>
      <c r="Q6182">
        <v>-7.2823869999999999E-2</v>
      </c>
      <c r="R6182">
        <v>-0.27565390000000001</v>
      </c>
      <c r="S6182">
        <v>3.0290530000000002</v>
      </c>
      <c r="T6182">
        <v>-0.2280122</v>
      </c>
      <c r="U6182">
        <v>-0.30252079999999998</v>
      </c>
      <c r="V6182">
        <v>-0.5149241</v>
      </c>
      <c r="W6182">
        <v>-6.8165859999999995E-2</v>
      </c>
      <c r="X6182">
        <v>0.85452129999999904</v>
      </c>
      <c r="Y6182">
        <v>-0.65961950000000003</v>
      </c>
      <c r="Z6182">
        <v>6.6410529999999995E-2</v>
      </c>
      <c r="AA6182">
        <v>0.74865999999999999</v>
      </c>
      <c r="AB6182">
        <v>19</v>
      </c>
      <c r="AC6182">
        <v>14.913600000000001</v>
      </c>
      <c r="AD6182">
        <v>-1.128336578036</v>
      </c>
      <c r="AE6182">
        <v>-1.42732999999999</v>
      </c>
      <c r="AF6182">
        <v>-9.9171337349746995</v>
      </c>
      <c r="AG6182">
        <v>-1.128336578036</v>
      </c>
      <c r="AH6182">
        <v>11.1165826326057</v>
      </c>
      <c r="AI6182">
        <v>94.331385882740904</v>
      </c>
      <c r="AJ6182">
        <v>131.73623954360599</v>
      </c>
      <c r="AK6182">
        <v>14.939916143615299</v>
      </c>
      <c r="AL6182">
        <v>93.908646928008807</v>
      </c>
      <c r="AM6182">
        <v>121.07265364445701</v>
      </c>
      <c r="AN6182">
        <v>1.00000003269201</v>
      </c>
    </row>
    <row r="6183" spans="1:40" x14ac:dyDescent="0.25">
      <c r="A6183" t="str">
        <f>"20190303154934403"</f>
        <v>20190303154934403</v>
      </c>
      <c r="B6183" t="str">
        <f>"1551599374396928"</f>
        <v>1551599374396928</v>
      </c>
      <c r="C6183" t="s">
        <v>40</v>
      </c>
      <c r="D6183">
        <v>5.1436999999999999</v>
      </c>
      <c r="E6183">
        <v>0.4287898</v>
      </c>
      <c r="F6183" t="s">
        <v>64</v>
      </c>
      <c r="G6183">
        <v>-402.76319999999998</v>
      </c>
      <c r="H6183" s="1">
        <v>-5.5695169999999996E-6</v>
      </c>
      <c r="I6183">
        <v>23.629709999999999</v>
      </c>
      <c r="J6183">
        <v>-417.54669999999999</v>
      </c>
      <c r="K6183">
        <v>1.12832</v>
      </c>
      <c r="L6183">
        <v>24.922730000000001</v>
      </c>
      <c r="M6183">
        <v>0.68636509999999995</v>
      </c>
      <c r="N6183">
        <v>-1.5963109999999999E-2</v>
      </c>
      <c r="O6183">
        <v>-0.7270818</v>
      </c>
      <c r="P6183">
        <v>0.96055829999999998</v>
      </c>
      <c r="Q6183">
        <v>-7.3866470000000004E-2</v>
      </c>
      <c r="R6183">
        <v>-0.2680883</v>
      </c>
      <c r="S6183">
        <v>3.0317989999999999</v>
      </c>
      <c r="T6183">
        <v>-0.2299629</v>
      </c>
      <c r="U6183">
        <v>-0.28051759999999998</v>
      </c>
      <c r="V6183">
        <v>-0.51333830000000003</v>
      </c>
      <c r="W6183">
        <v>-6.9161429999999996E-2</v>
      </c>
      <c r="X6183">
        <v>0.85539489999999996</v>
      </c>
      <c r="Y6183">
        <v>-0.65778519999999996</v>
      </c>
      <c r="Z6183">
        <v>6.6790829999999995E-2</v>
      </c>
      <c r="AA6183">
        <v>0.75023839999999997</v>
      </c>
      <c r="AB6183">
        <v>19</v>
      </c>
      <c r="AC6183">
        <v>14.7835</v>
      </c>
      <c r="AD6183">
        <v>-1.128325569517</v>
      </c>
      <c r="AE6183">
        <v>-1.2930199999999901</v>
      </c>
      <c r="AF6183">
        <v>-9.8058994509126904</v>
      </c>
      <c r="AG6183">
        <v>-1.128325569517</v>
      </c>
      <c r="AH6183">
        <v>11.024689680840201</v>
      </c>
      <c r="AI6183">
        <v>94.373044983847294</v>
      </c>
      <c r="AJ6183">
        <v>131.65146230147599</v>
      </c>
      <c r="AK6183">
        <v>14.797721621623401</v>
      </c>
      <c r="AL6183">
        <v>93.965824064814001</v>
      </c>
      <c r="AM6183">
        <v>120.968748375617</v>
      </c>
      <c r="AN6183">
        <v>0.99999997429627197</v>
      </c>
    </row>
    <row r="6184" spans="1:40" x14ac:dyDescent="0.25">
      <c r="A6184" t="str">
        <f>"20190303154934420"</f>
        <v>20190303154934420</v>
      </c>
      <c r="B6184" t="str">
        <f>"1551599374417424"</f>
        <v>1551599374417424</v>
      </c>
      <c r="C6184" t="s">
        <v>40</v>
      </c>
      <c r="D6184">
        <v>5.17204</v>
      </c>
      <c r="E6184">
        <v>0.42969049999999998</v>
      </c>
      <c r="F6184" t="s">
        <v>64</v>
      </c>
      <c r="G6184">
        <v>-402.91879999999998</v>
      </c>
      <c r="H6184" s="1">
        <v>-5.5067719999999996E-6</v>
      </c>
      <c r="I6184">
        <v>23.684380000000001</v>
      </c>
      <c r="J6184">
        <v>-417.44560000000001</v>
      </c>
      <c r="K6184">
        <v>1.1283129999999999</v>
      </c>
      <c r="L6184">
        <v>24.83325</v>
      </c>
      <c r="M6184">
        <v>0.69397189999999997</v>
      </c>
      <c r="N6184">
        <v>-1.5964780000000001E-2</v>
      </c>
      <c r="O6184">
        <v>-0.7198253</v>
      </c>
      <c r="P6184">
        <v>0.96217379999999997</v>
      </c>
      <c r="Q6184">
        <v>-7.4594740000000007E-2</v>
      </c>
      <c r="R6184">
        <v>-0.26202629999999999</v>
      </c>
      <c r="S6184">
        <v>3.0334780000000001</v>
      </c>
      <c r="T6184">
        <v>-0.23398730000000001</v>
      </c>
      <c r="U6184">
        <v>-0.25680540000000002</v>
      </c>
      <c r="V6184">
        <v>-0.50968630000000004</v>
      </c>
      <c r="W6184">
        <v>-6.9787790000000002E-2</v>
      </c>
      <c r="X6184">
        <v>0.85752530000000005</v>
      </c>
      <c r="Y6184">
        <v>-0.65563530000000003</v>
      </c>
      <c r="Z6184">
        <v>6.7817169999999996E-2</v>
      </c>
      <c r="AA6184">
        <v>0.75202609999999903</v>
      </c>
      <c r="AB6184">
        <v>19</v>
      </c>
      <c r="AC6184">
        <v>14.5268</v>
      </c>
      <c r="AD6184">
        <v>-1.1283185067720001</v>
      </c>
      <c r="AE6184">
        <v>-1.1488700000000001</v>
      </c>
      <c r="AF6184">
        <v>-9.6031299971602309</v>
      </c>
      <c r="AG6184">
        <v>-1.1283185067720001</v>
      </c>
      <c r="AH6184">
        <v>10.844548212442399</v>
      </c>
      <c r="AI6184">
        <v>94.454001556168706</v>
      </c>
      <c r="AJ6184">
        <v>131.52572653092199</v>
      </c>
      <c r="AK6184">
        <v>14.529192487095401</v>
      </c>
      <c r="AL6184">
        <v>94.001798471959404</v>
      </c>
      <c r="AM6184">
        <v>120.72592962916799</v>
      </c>
      <c r="AN6184">
        <v>1.00000005009043</v>
      </c>
    </row>
    <row r="6185" spans="1:40" x14ac:dyDescent="0.25">
      <c r="A6185" t="str">
        <f>"20190303154934433"</f>
        <v>20190303154934433</v>
      </c>
      <c r="B6185" t="str">
        <f>"1551599374427184"</f>
        <v>1551599374427184</v>
      </c>
      <c r="C6185" t="s">
        <v>40</v>
      </c>
      <c r="D6185">
        <v>5.1844449999999904</v>
      </c>
      <c r="E6185">
        <v>0.43012840000000002</v>
      </c>
      <c r="F6185" t="s">
        <v>64</v>
      </c>
      <c r="G6185">
        <v>-402.42950000000002</v>
      </c>
      <c r="H6185" s="1">
        <v>-5.7234549999999997E-6</v>
      </c>
      <c r="I6185">
        <v>23.621300000000002</v>
      </c>
      <c r="J6185">
        <v>-417.36739999999998</v>
      </c>
      <c r="K6185">
        <v>1.128312</v>
      </c>
      <c r="L6185">
        <v>24.765930000000001</v>
      </c>
      <c r="M6185">
        <v>0.69975209999999999</v>
      </c>
      <c r="N6185">
        <v>-1.5966009999999999E-2</v>
      </c>
      <c r="O6185">
        <v>-0.71420729999999999</v>
      </c>
      <c r="P6185">
        <v>0.96378299999999995</v>
      </c>
      <c r="Q6185">
        <v>-7.4575630000000004E-2</v>
      </c>
      <c r="R6185">
        <v>-0.25604840000000001</v>
      </c>
      <c r="S6185">
        <v>3.0335999999999999</v>
      </c>
      <c r="T6185">
        <v>-0.22794619999999999</v>
      </c>
      <c r="U6185">
        <v>-0.24484249999999999</v>
      </c>
      <c r="V6185">
        <v>-0.50809989999999905</v>
      </c>
      <c r="W6185">
        <v>-6.9722489999999998E-2</v>
      </c>
      <c r="X6185">
        <v>0.85847150000000005</v>
      </c>
      <c r="Y6185">
        <v>-0.65268700000000002</v>
      </c>
      <c r="Z6185">
        <v>6.5626260000000006E-2</v>
      </c>
      <c r="AA6185">
        <v>0.75478000000000001</v>
      </c>
      <c r="AB6185">
        <v>19</v>
      </c>
      <c r="AC6185">
        <v>14.9378999999999</v>
      </c>
      <c r="AD6185">
        <v>-1.1283177234549999</v>
      </c>
      <c r="AE6185">
        <v>-1.14462999999999</v>
      </c>
      <c r="AF6185">
        <v>-9.8133958057263797</v>
      </c>
      <c r="AG6185">
        <v>-1.1283177234549999</v>
      </c>
      <c r="AH6185">
        <v>11.2081932482285</v>
      </c>
      <c r="AI6185">
        <v>94.331329507683606</v>
      </c>
      <c r="AJ6185">
        <v>131.20394819844901</v>
      </c>
      <c r="AK6185">
        <v>14.9398605754721</v>
      </c>
      <c r="AL6185">
        <v>93.998048021810405</v>
      </c>
      <c r="AM6185">
        <v>120.61983767164701</v>
      </c>
      <c r="AN6185">
        <v>1.00000002515202</v>
      </c>
    </row>
    <row r="6186" spans="1:40" x14ac:dyDescent="0.25">
      <c r="A6186" t="str">
        <f>"20190303154934446"</f>
        <v>20190303154934446</v>
      </c>
      <c r="B6186" t="str">
        <f>"1551599374437426"</f>
        <v>1551599374437426</v>
      </c>
      <c r="C6186" t="s">
        <v>40</v>
      </c>
      <c r="D6186">
        <v>5.1642640000000002</v>
      </c>
      <c r="E6186">
        <v>0.43052059999999998</v>
      </c>
      <c r="F6186" t="s">
        <v>64</v>
      </c>
      <c r="G6186">
        <v>-402.25810000000001</v>
      </c>
      <c r="H6186" s="1">
        <v>-5.8036889999999999E-6</v>
      </c>
      <c r="I6186">
        <v>23.623449999999998</v>
      </c>
      <c r="J6186">
        <v>-417.29</v>
      </c>
      <c r="K6186">
        <v>1.1283099999999999</v>
      </c>
      <c r="L6186">
        <v>24.69998</v>
      </c>
      <c r="M6186">
        <v>0.70541640000000005</v>
      </c>
      <c r="N6186">
        <v>-1.5967240000000001E-2</v>
      </c>
      <c r="O6186">
        <v>-0.70861319999999905</v>
      </c>
      <c r="P6186">
        <v>0.96537490000000004</v>
      </c>
      <c r="Q6186">
        <v>-7.4387399999999895E-2</v>
      </c>
      <c r="R6186">
        <v>-0.25003589999999998</v>
      </c>
      <c r="S6186">
        <v>3.0342410000000002</v>
      </c>
      <c r="T6186">
        <v>-0.22658719999999999</v>
      </c>
      <c r="U6186">
        <v>-0.2294312</v>
      </c>
      <c r="V6186">
        <v>-0.50663080000000005</v>
      </c>
      <c r="W6186">
        <v>-6.9490960000000004E-2</v>
      </c>
      <c r="X6186">
        <v>0.85935799999999996</v>
      </c>
      <c r="Y6186">
        <v>-0.65053549999999905</v>
      </c>
      <c r="Z6186">
        <v>6.4966689999999994E-2</v>
      </c>
      <c r="AA6186">
        <v>0.75669209999999998</v>
      </c>
      <c r="AB6186">
        <v>19</v>
      </c>
      <c r="AC6186">
        <v>15.0319</v>
      </c>
      <c r="AD6186">
        <v>-1.128315803689</v>
      </c>
      <c r="AE6186">
        <v>-1.07653</v>
      </c>
      <c r="AF6186">
        <v>-9.8385130780218706</v>
      </c>
      <c r="AG6186">
        <v>-1.128315803689</v>
      </c>
      <c r="AH6186">
        <v>11.304673890324599</v>
      </c>
      <c r="AI6186">
        <v>94.305638679404893</v>
      </c>
      <c r="AJ6186">
        <v>131.03321087564399</v>
      </c>
      <c r="AK6186">
        <v>15.028808599015701</v>
      </c>
      <c r="AL6186">
        <v>93.984750309959693</v>
      </c>
      <c r="AM6186">
        <v>120.521292069355</v>
      </c>
      <c r="AN6186">
        <v>0.99999996659718005</v>
      </c>
    </row>
    <row r="6187" spans="1:40" x14ac:dyDescent="0.25">
      <c r="A6187" t="str">
        <f>"20190303154934457"</f>
        <v>20190303154934457</v>
      </c>
      <c r="B6187" t="str">
        <f>"1551599374447187"</f>
        <v>1551599374447187</v>
      </c>
      <c r="C6187" t="s">
        <v>40</v>
      </c>
      <c r="D6187">
        <v>5.1902350000000004</v>
      </c>
      <c r="E6187">
        <v>0.4308419</v>
      </c>
      <c r="F6187" t="s">
        <v>64</v>
      </c>
      <c r="G6187">
        <v>-402.11489999999998</v>
      </c>
      <c r="H6187" s="1">
        <v>-5.8719469999999999E-6</v>
      </c>
      <c r="I6187">
        <v>23.63212</v>
      </c>
      <c r="J6187">
        <v>-417.21249999999998</v>
      </c>
      <c r="K6187">
        <v>1.1283110000000001</v>
      </c>
      <c r="L6187">
        <v>24.63486</v>
      </c>
      <c r="M6187">
        <v>0.71102549999999998</v>
      </c>
      <c r="N6187">
        <v>-1.5968469999999998E-2</v>
      </c>
      <c r="O6187">
        <v>-0.70298499999999997</v>
      </c>
      <c r="P6187">
        <v>0.96686939999999999</v>
      </c>
      <c r="Q6187">
        <v>-7.4543739999999997E-2</v>
      </c>
      <c r="R6187">
        <v>-0.24414530000000001</v>
      </c>
      <c r="S6187">
        <v>3.0348820000000001</v>
      </c>
      <c r="T6187">
        <v>-0.22565209999999999</v>
      </c>
      <c r="U6187">
        <v>-0.213562</v>
      </c>
      <c r="V6187">
        <v>-0.5050325</v>
      </c>
      <c r="W6187">
        <v>-6.9601040000000003E-2</v>
      </c>
      <c r="X6187">
        <v>0.86028939999999998</v>
      </c>
      <c r="Y6187">
        <v>-0.6484934</v>
      </c>
      <c r="Z6187">
        <v>6.4444009999999996E-2</v>
      </c>
      <c r="AA6187">
        <v>0.75848749999999998</v>
      </c>
      <c r="AB6187">
        <v>19</v>
      </c>
      <c r="AC6187">
        <v>15.0976</v>
      </c>
      <c r="AD6187">
        <v>-1.128316871947</v>
      </c>
      <c r="AE6187">
        <v>-1.00273999999999</v>
      </c>
      <c r="AF6187">
        <v>-9.8469178939348208</v>
      </c>
      <c r="AG6187">
        <v>-1.128316871947</v>
      </c>
      <c r="AH6187">
        <v>11.377877885344301</v>
      </c>
      <c r="AI6187">
        <v>94.288311586891695</v>
      </c>
      <c r="AJ6187">
        <v>130.87435877767101</v>
      </c>
      <c r="AK6187">
        <v>15.089433261299799</v>
      </c>
      <c r="AL6187">
        <v>93.9910726390831</v>
      </c>
      <c r="AM6187">
        <v>120.415045191845</v>
      </c>
      <c r="AN6187">
        <v>0.99999999128884498</v>
      </c>
    </row>
    <row r="6188" spans="1:40" x14ac:dyDescent="0.25">
      <c r="A6188" t="str">
        <f>"20190303154934476"</f>
        <v>20190303154934476</v>
      </c>
      <c r="B6188" t="str">
        <f>"1551599374467685"</f>
        <v>1551599374467685</v>
      </c>
      <c r="C6188" t="s">
        <v>40</v>
      </c>
      <c r="D6188">
        <v>5.209079</v>
      </c>
      <c r="E6188">
        <v>0.43152249999999998</v>
      </c>
      <c r="F6188" t="s">
        <v>64</v>
      </c>
      <c r="G6188">
        <v>-401.95249999999999</v>
      </c>
      <c r="H6188" s="1">
        <v>-5.9469169999999996E-6</v>
      </c>
      <c r="I6188">
        <v>23.641660000000002</v>
      </c>
      <c r="J6188">
        <v>-417.1044</v>
      </c>
      <c r="K6188">
        <v>1.1283080000000001</v>
      </c>
      <c r="L6188">
        <v>24.54626</v>
      </c>
      <c r="M6188">
        <v>0.71871339999999995</v>
      </c>
      <c r="N6188">
        <v>-1.5969819999999999E-2</v>
      </c>
      <c r="O6188">
        <v>-0.69512320000000005</v>
      </c>
      <c r="P6188">
        <v>0.96865520000000005</v>
      </c>
      <c r="Q6188">
        <v>-7.5456110000000007E-2</v>
      </c>
      <c r="R6188">
        <v>-0.2366722</v>
      </c>
      <c r="S6188">
        <v>3.0355829999999999</v>
      </c>
      <c r="T6188">
        <v>-0.2244498</v>
      </c>
      <c r="U6188">
        <v>-0.19757079999999999</v>
      </c>
      <c r="V6188">
        <v>-0.50215180000000004</v>
      </c>
      <c r="W6188">
        <v>-7.0431599999999997E-2</v>
      </c>
      <c r="X6188">
        <v>0.86190659999999897</v>
      </c>
      <c r="Y6188">
        <v>-0.64417049999999998</v>
      </c>
      <c r="Z6188">
        <v>6.3665599999999906E-2</v>
      </c>
      <c r="AA6188">
        <v>0.76222769999999995</v>
      </c>
      <c r="AB6188">
        <v>19</v>
      </c>
      <c r="AC6188">
        <v>15.151899999999999</v>
      </c>
      <c r="AD6188">
        <v>-1.128313946917</v>
      </c>
      <c r="AE6188">
        <v>-0.90459999999999796</v>
      </c>
      <c r="AF6188">
        <v>-9.8292356878482501</v>
      </c>
      <c r="AG6188">
        <v>-1.128313946917</v>
      </c>
      <c r="AH6188">
        <v>11.456843599813901</v>
      </c>
      <c r="AI6188">
        <v>94.274636535299706</v>
      </c>
      <c r="AJ6188">
        <v>130.62747305456401</v>
      </c>
      <c r="AK6188">
        <v>15.1375768153517</v>
      </c>
      <c r="AL6188">
        <v>94.038777206944999</v>
      </c>
      <c r="AM6188">
        <v>120.225326643195</v>
      </c>
      <c r="AN6188">
        <v>1.0000000138226799</v>
      </c>
    </row>
    <row r="6189" spans="1:40" x14ac:dyDescent="0.25">
      <c r="A6189" t="str">
        <f>"20190303154934491"</f>
        <v>20190303154934491</v>
      </c>
      <c r="B6189" t="str">
        <f>"1551599374487202"</f>
        <v>1551599374487202</v>
      </c>
      <c r="C6189" t="s">
        <v>40</v>
      </c>
      <c r="D6189">
        <v>5.1952030000000002</v>
      </c>
      <c r="E6189">
        <v>0.43246240000000002</v>
      </c>
      <c r="F6189" t="s">
        <v>64</v>
      </c>
      <c r="G6189">
        <v>-402.04599999999999</v>
      </c>
      <c r="H6189" s="1">
        <v>-5.908354E-6</v>
      </c>
      <c r="I6189">
        <v>23.656389999999998</v>
      </c>
      <c r="J6189">
        <v>-417.01580000000001</v>
      </c>
      <c r="K6189">
        <v>1.128295</v>
      </c>
      <c r="L6189">
        <v>24.475100000000001</v>
      </c>
      <c r="M6189">
        <v>0.7249255</v>
      </c>
      <c r="N6189">
        <v>-1.5970829999999998E-2</v>
      </c>
      <c r="O6189">
        <v>-0.68864219999999998</v>
      </c>
      <c r="P6189">
        <v>0.97035760000000004</v>
      </c>
      <c r="Q6189">
        <v>-7.6207059999999993E-2</v>
      </c>
      <c r="R6189">
        <v>-0.22934370000000001</v>
      </c>
      <c r="S6189">
        <v>3.0355219999999998</v>
      </c>
      <c r="T6189">
        <v>-0.22744829999999999</v>
      </c>
      <c r="U6189">
        <v>-0.17938229999999999</v>
      </c>
      <c r="V6189">
        <v>-0.50087649999999995</v>
      </c>
      <c r="W6189">
        <v>-7.1143310000000001E-2</v>
      </c>
      <c r="X6189">
        <v>0.86258989999999902</v>
      </c>
      <c r="Y6189">
        <v>-0.641791</v>
      </c>
      <c r="Z6189">
        <v>6.4343689999999995E-2</v>
      </c>
      <c r="AA6189">
        <v>0.76417550000000001</v>
      </c>
      <c r="AB6189">
        <v>19</v>
      </c>
      <c r="AC6189">
        <v>14.969799999999999</v>
      </c>
      <c r="AD6189">
        <v>-1.1283009083540001</v>
      </c>
      <c r="AE6189">
        <v>-0.81871000000000205</v>
      </c>
      <c r="AF6189">
        <v>-9.6618465072698392</v>
      </c>
      <c r="AG6189">
        <v>-1.1283009083540001</v>
      </c>
      <c r="AH6189">
        <v>11.3529407575838</v>
      </c>
      <c r="AI6189">
        <v>94.328213944754097</v>
      </c>
      <c r="AJ6189">
        <v>130.399229007689</v>
      </c>
      <c r="AK6189">
        <v>14.9503713905388</v>
      </c>
      <c r="AL6189">
        <v>94.079657847322906</v>
      </c>
      <c r="AM6189">
        <v>120.14227216406</v>
      </c>
      <c r="AN6189">
        <v>0.99999998719600702</v>
      </c>
    </row>
    <row r="6190" spans="1:40" x14ac:dyDescent="0.25">
      <c r="A6190" t="str">
        <f>"20190303154934511"</f>
        <v>20190303154934511</v>
      </c>
      <c r="B6190" t="str">
        <f>"1551599374507698"</f>
        <v>1551599374507698</v>
      </c>
      <c r="C6190" t="s">
        <v>40</v>
      </c>
      <c r="D6190">
        <v>5.1968560000000004</v>
      </c>
      <c r="E6190">
        <v>0.4331353</v>
      </c>
      <c r="F6190" t="s">
        <v>64</v>
      </c>
      <c r="G6190">
        <v>-401.98939999999999</v>
      </c>
      <c r="H6190" s="1">
        <v>-5.9360770000000002E-6</v>
      </c>
      <c r="I6190">
        <v>23.664210000000001</v>
      </c>
      <c r="J6190">
        <v>-416.88670000000002</v>
      </c>
      <c r="K6190">
        <v>1.128277</v>
      </c>
      <c r="L6190">
        <v>24.373750000000001</v>
      </c>
      <c r="M6190">
        <v>0.73381240000000003</v>
      </c>
      <c r="N6190">
        <v>-1.5972130000000001E-2</v>
      </c>
      <c r="O6190">
        <v>-0.67916460000000001</v>
      </c>
      <c r="P6190">
        <v>0.97255369999999997</v>
      </c>
      <c r="Q6190">
        <v>-7.7050439999999998E-2</v>
      </c>
      <c r="R6190">
        <v>-0.2195513</v>
      </c>
      <c r="S6190">
        <v>3.0350950000000001</v>
      </c>
      <c r="T6190">
        <v>-0.22789999999999999</v>
      </c>
      <c r="U6190">
        <v>-0.16378779999999901</v>
      </c>
      <c r="V6190">
        <v>-0.49830659999999999</v>
      </c>
      <c r="W6190">
        <v>-7.1907739999999998E-2</v>
      </c>
      <c r="X6190">
        <v>0.86401380000000005</v>
      </c>
      <c r="Y6190">
        <v>-0.63574779999999997</v>
      </c>
      <c r="Z6190">
        <v>6.3953880000000005E-2</v>
      </c>
      <c r="AA6190">
        <v>0.76924289999999995</v>
      </c>
      <c r="AB6190">
        <v>18</v>
      </c>
      <c r="AC6190">
        <v>14.8973</v>
      </c>
      <c r="AD6190">
        <v>-1.1282829360769999</v>
      </c>
      <c r="AE6190">
        <v>-0.70953999999999995</v>
      </c>
      <c r="AF6190">
        <v>-9.5436525110466395</v>
      </c>
      <c r="AG6190">
        <v>-1.1282829360769999</v>
      </c>
      <c r="AH6190">
        <v>11.350213119469799</v>
      </c>
      <c r="AI6190">
        <v>94.350944815928401</v>
      </c>
      <c r="AJ6190">
        <v>130.05828603490801</v>
      </c>
      <c r="AK6190">
        <v>14.8721774966826</v>
      </c>
      <c r="AL6190">
        <v>94.123568798242701</v>
      </c>
      <c r="AM6190">
        <v>119.97353385814399</v>
      </c>
      <c r="AN6190">
        <v>1.0000000186329501</v>
      </c>
    </row>
    <row r="6191" spans="1:40" x14ac:dyDescent="0.25">
      <c r="A6191" t="str">
        <f>"20190303154934534"</f>
        <v>20190303154934534</v>
      </c>
      <c r="B6191" t="str">
        <f>"1551599374527217"</f>
        <v>1551599374527217</v>
      </c>
      <c r="C6191" t="s">
        <v>40</v>
      </c>
      <c r="D6191">
        <v>5.218432</v>
      </c>
      <c r="E6191">
        <v>0.43363879999999999</v>
      </c>
      <c r="F6191" t="s">
        <v>64</v>
      </c>
      <c r="G6191">
        <v>-401.93209999999999</v>
      </c>
      <c r="H6191" s="1">
        <v>-5.9593379999999996E-6</v>
      </c>
      <c r="I6191">
        <v>23.691410000000001</v>
      </c>
      <c r="J6191">
        <v>-416.73719999999997</v>
      </c>
      <c r="K6191">
        <v>1.1282589999999999</v>
      </c>
      <c r="L6191">
        <v>24.259640000000001</v>
      </c>
      <c r="M6191">
        <v>0.74388929999999998</v>
      </c>
      <c r="N6191">
        <v>-1.59731E-2</v>
      </c>
      <c r="O6191">
        <v>-0.66811229999999999</v>
      </c>
      <c r="P6191">
        <v>0.97492460000000003</v>
      </c>
      <c r="Q6191">
        <v>-7.8666269999999996E-2</v>
      </c>
      <c r="R6191">
        <v>-0.2081682</v>
      </c>
      <c r="S6191">
        <v>3.0352480000000002</v>
      </c>
      <c r="T6191">
        <v>-0.22900010000000001</v>
      </c>
      <c r="U6191">
        <v>-0.1384888</v>
      </c>
      <c r="V6191">
        <v>-0.49537229999999999</v>
      </c>
      <c r="W6191">
        <v>-7.3430140000000005E-2</v>
      </c>
      <c r="X6191">
        <v>0.86557169999999894</v>
      </c>
      <c r="Y6191">
        <v>-0.63060360000000004</v>
      </c>
      <c r="Z6191">
        <v>6.3740140000000001E-2</v>
      </c>
      <c r="AA6191">
        <v>0.77348329999999998</v>
      </c>
      <c r="AB6191">
        <v>18</v>
      </c>
      <c r="AC6191">
        <v>14.8050999999999</v>
      </c>
      <c r="AD6191">
        <v>-1.1282649593379901</v>
      </c>
      <c r="AE6191">
        <v>-0.56822999999999901</v>
      </c>
      <c r="AF6191">
        <v>-9.4153744511657091</v>
      </c>
      <c r="AG6191">
        <v>-1.1282649593379901</v>
      </c>
      <c r="AH6191">
        <v>11.328751390684699</v>
      </c>
      <c r="AI6191">
        <v>94.379926979373806</v>
      </c>
      <c r="AJ6191">
        <v>129.730117468701</v>
      </c>
      <c r="AK6191">
        <v>14.7737221425771</v>
      </c>
      <c r="AL6191">
        <v>94.211027062747903</v>
      </c>
      <c r="AM6191">
        <v>119.78278612038</v>
      </c>
      <c r="AN6191">
        <v>1.0000000344542901</v>
      </c>
    </row>
    <row r="6192" spans="1:40" x14ac:dyDescent="0.25">
      <c r="A6192" t="str">
        <f>"20190303154934555"</f>
        <v>20190303154934555</v>
      </c>
      <c r="B6192" t="str">
        <f>"1551599374547245"</f>
        <v>1551599374547245</v>
      </c>
      <c r="C6192" t="s">
        <v>40</v>
      </c>
      <c r="D6192">
        <v>5.8905890000000003</v>
      </c>
      <c r="E6192">
        <v>0.43400139999999998</v>
      </c>
      <c r="F6192" t="s">
        <v>64</v>
      </c>
      <c r="G6192">
        <v>-402.0949</v>
      </c>
      <c r="H6192" s="1">
        <v>-5.9010839999999997E-6</v>
      </c>
      <c r="I6192">
        <v>23.743680000000001</v>
      </c>
      <c r="J6192">
        <v>-416.60539999999997</v>
      </c>
      <c r="K6192">
        <v>1.1282369999999999</v>
      </c>
      <c r="L6192">
        <v>24.162050000000001</v>
      </c>
      <c r="M6192">
        <v>0.75256069999999997</v>
      </c>
      <c r="N6192">
        <v>-1.5973040000000001E-2</v>
      </c>
      <c r="O6192">
        <v>-0.6583291</v>
      </c>
      <c r="P6192">
        <v>0.97671620000000003</v>
      </c>
      <c r="Q6192">
        <v>-8.0004329999999999E-2</v>
      </c>
      <c r="R6192">
        <v>-0.19905929999999999</v>
      </c>
      <c r="S6192">
        <v>3.035431</v>
      </c>
      <c r="T6192">
        <v>-0.23389689999999999</v>
      </c>
      <c r="U6192">
        <v>-0.10696410000000001</v>
      </c>
      <c r="V6192">
        <v>-0.49204439999999999</v>
      </c>
      <c r="W6192">
        <v>-7.4662539999999999E-2</v>
      </c>
      <c r="X6192">
        <v>0.86736259999999998</v>
      </c>
      <c r="Y6192">
        <v>-0.62837460000000001</v>
      </c>
      <c r="Z6192">
        <v>6.4841460000000004E-2</v>
      </c>
      <c r="AA6192">
        <v>0.7752038</v>
      </c>
      <c r="AB6192">
        <v>18</v>
      </c>
      <c r="AC6192">
        <v>14.510499999999899</v>
      </c>
      <c r="AD6192">
        <v>-1.128242901084</v>
      </c>
      <c r="AE6192">
        <v>-0.41837000000000202</v>
      </c>
      <c r="AF6192">
        <v>-9.1835404759623902</v>
      </c>
      <c r="AG6192">
        <v>-1.128242901084</v>
      </c>
      <c r="AH6192">
        <v>11.1296562094807</v>
      </c>
      <c r="AI6192">
        <v>94.470902554756293</v>
      </c>
      <c r="AJ6192">
        <v>129.527452670429</v>
      </c>
      <c r="AK6192">
        <v>14.473409931965501</v>
      </c>
      <c r="AL6192">
        <v>94.281832764750206</v>
      </c>
      <c r="AM6192">
        <v>119.565722192324</v>
      </c>
      <c r="AN6192">
        <v>1.0000000331646799</v>
      </c>
    </row>
    <row r="6193" spans="1:40" x14ac:dyDescent="0.25">
      <c r="A6193" t="str">
        <f>"20190303154934568"</f>
        <v>20190303154934568</v>
      </c>
      <c r="B6193" t="str">
        <f>"1551599374557005"</f>
        <v>1551599374557005</v>
      </c>
      <c r="C6193" t="s">
        <v>40</v>
      </c>
      <c r="D6193">
        <v>5.2843390000000001</v>
      </c>
      <c r="E6193">
        <v>0.48374210000000001</v>
      </c>
      <c r="F6193" t="s">
        <v>42</v>
      </c>
      <c r="G6193">
        <v>-415.65170000000001</v>
      </c>
      <c r="H6193">
        <v>1.0536190000000001</v>
      </c>
      <c r="I6193">
        <v>24.136420000000001</v>
      </c>
      <c r="J6193">
        <v>-416.5204</v>
      </c>
      <c r="K6193">
        <v>1.128225</v>
      </c>
      <c r="L6193">
        <v>24.100650000000002</v>
      </c>
      <c r="M6193">
        <v>0.75805319999999898</v>
      </c>
      <c r="N6193">
        <v>-1.5972399999999901E-2</v>
      </c>
      <c r="O6193">
        <v>-0.6519971</v>
      </c>
      <c r="P6193">
        <v>0.97782469999999999</v>
      </c>
      <c r="Q6193">
        <v>-8.0987539999999997E-2</v>
      </c>
      <c r="R6193">
        <v>-0.19313250000000001</v>
      </c>
      <c r="S6193">
        <v>3.0354920000000001</v>
      </c>
      <c r="T6193">
        <v>-0.23749600000000001</v>
      </c>
      <c r="U6193">
        <v>-8.1451419999999997E-2</v>
      </c>
      <c r="V6193">
        <v>-0.48996719999999999</v>
      </c>
      <c r="W6193">
        <v>-7.5578430000000002E-2</v>
      </c>
      <c r="X6193">
        <v>0.86845839999999996</v>
      </c>
      <c r="Y6193">
        <v>-0.62827939999999904</v>
      </c>
      <c r="Z6193">
        <v>6.5736030000000001E-2</v>
      </c>
      <c r="AA6193">
        <v>0.77520559999999905</v>
      </c>
      <c r="AB6193">
        <v>18</v>
      </c>
      <c r="AC6193">
        <v>0.86869999999998904</v>
      </c>
      <c r="AD6193">
        <v>-7.4605999999999895E-2</v>
      </c>
      <c r="AE6193">
        <v>3.5769999999999399E-2</v>
      </c>
      <c r="AF6193">
        <v>-0.58924240293143204</v>
      </c>
      <c r="AG6193">
        <v>-7.4605999999999895E-2</v>
      </c>
      <c r="AH6193">
        <v>0.63063636147110802</v>
      </c>
      <c r="AI6193">
        <v>94.940451181053703</v>
      </c>
      <c r="AJ6193">
        <v>133.05653682070201</v>
      </c>
      <c r="AK6193">
        <v>0.866299535413662</v>
      </c>
      <c r="AL6193">
        <v>94.334458346543798</v>
      </c>
      <c r="AM6193">
        <v>119.43083903543</v>
      </c>
      <c r="AN6193">
        <v>0.99999997434383203</v>
      </c>
    </row>
    <row r="6194" spans="1:40" x14ac:dyDescent="0.25">
      <c r="A6194" t="str">
        <f>"20190303154934582"</f>
        <v>20190303154934582</v>
      </c>
      <c r="B6194" t="str">
        <f>"1551599374577502"</f>
        <v>1551599374577502</v>
      </c>
      <c r="C6194" t="s">
        <v>40</v>
      </c>
      <c r="D6194">
        <v>5.3967280000000004</v>
      </c>
      <c r="E6194">
        <v>0.50412259999999998</v>
      </c>
      <c r="F6194" t="s">
        <v>42</v>
      </c>
      <c r="G6194">
        <v>-415.57709999999997</v>
      </c>
      <c r="H6194">
        <v>1.0685</v>
      </c>
      <c r="I6194">
        <v>23.95617</v>
      </c>
      <c r="J6194">
        <v>-416.42959999999999</v>
      </c>
      <c r="K6194">
        <v>1.128209</v>
      </c>
      <c r="L6194">
        <v>24.035979999999999</v>
      </c>
      <c r="M6194">
        <v>0.76383719999999999</v>
      </c>
      <c r="N6194">
        <v>-1.5971389999999999E-2</v>
      </c>
      <c r="O6194">
        <v>-0.64521149999999905</v>
      </c>
      <c r="P6194">
        <v>0.97894780000000003</v>
      </c>
      <c r="Q6194">
        <v>-8.1958470000000005E-2</v>
      </c>
      <c r="R6194">
        <v>-0.18693370000000001</v>
      </c>
      <c r="S6194">
        <v>2.962799</v>
      </c>
      <c r="T6194">
        <v>-0.1876178</v>
      </c>
      <c r="U6194">
        <v>-0.45410159999999999</v>
      </c>
      <c r="V6194">
        <v>-0.4876607</v>
      </c>
      <c r="W6194">
        <v>-7.6474550000000002E-2</v>
      </c>
      <c r="X6194">
        <v>0.86967739999999905</v>
      </c>
      <c r="Y6194">
        <v>-0.5203702</v>
      </c>
      <c r="Z6194">
        <v>4.6883609999999999E-2</v>
      </c>
      <c r="AA6194">
        <v>0.85265279999999999</v>
      </c>
      <c r="AB6194">
        <v>18</v>
      </c>
      <c r="AC6194">
        <v>0.85250000000002002</v>
      </c>
      <c r="AD6194">
        <v>-5.9708999999999998E-2</v>
      </c>
      <c r="AE6194">
        <v>-7.9809999999998299E-2</v>
      </c>
      <c r="AF6194">
        <v>-0.48677611574920898</v>
      </c>
      <c r="AG6194">
        <v>-5.9708999999999998E-2</v>
      </c>
      <c r="AH6194">
        <v>0.69935416383340099</v>
      </c>
      <c r="AI6194">
        <v>94.008396285923595</v>
      </c>
      <c r="AJ6194">
        <v>124.8393306545</v>
      </c>
      <c r="AK6194">
        <v>0.85417351751034998</v>
      </c>
      <c r="AL6194">
        <v>94.385950952576906</v>
      </c>
      <c r="AM6194">
        <v>119.280982476426</v>
      </c>
      <c r="AN6194">
        <v>1.0000000475964701</v>
      </c>
    </row>
    <row r="6195" spans="1:40" x14ac:dyDescent="0.25">
      <c r="A6195" t="str">
        <f>"20190303154934612"</f>
        <v>20190303154934612</v>
      </c>
      <c r="B6195" t="str">
        <f>"1551599374606781"</f>
        <v>1551599374606781</v>
      </c>
      <c r="C6195" t="s">
        <v>40</v>
      </c>
      <c r="D6195">
        <v>5.3190339999999896</v>
      </c>
      <c r="E6195">
        <v>0.51341059999999905</v>
      </c>
      <c r="F6195" t="s">
        <v>42</v>
      </c>
      <c r="G6195">
        <v>-415.46530000000001</v>
      </c>
      <c r="H6195">
        <v>1.0613629999999901</v>
      </c>
      <c r="I6195">
        <v>23.840109999999999</v>
      </c>
      <c r="J6195">
        <v>-416.22669999999999</v>
      </c>
      <c r="K6195">
        <v>1.1281699999999999</v>
      </c>
      <c r="L6195">
        <v>23.896550000000001</v>
      </c>
      <c r="M6195">
        <v>0.77643399999999996</v>
      </c>
      <c r="N6195">
        <v>-1.5966660000000001E-2</v>
      </c>
      <c r="O6195">
        <v>-0.62999620000000001</v>
      </c>
      <c r="P6195">
        <v>0.98131259999999998</v>
      </c>
      <c r="Q6195">
        <v>-8.3261840000000004E-2</v>
      </c>
      <c r="R6195">
        <v>-0.1734725</v>
      </c>
      <c r="S6195">
        <v>2.933929</v>
      </c>
      <c r="T6195">
        <v>-0.20330190000000001</v>
      </c>
      <c r="U6195">
        <v>-0.59466549999999996</v>
      </c>
      <c r="V6195">
        <v>-0.48233799999999999</v>
      </c>
      <c r="W6195">
        <v>-7.76028E-2</v>
      </c>
      <c r="X6195">
        <v>0.87254100000000001</v>
      </c>
      <c r="Y6195">
        <v>-0.46136529999999998</v>
      </c>
      <c r="Z6195">
        <v>4.8591290000000002E-2</v>
      </c>
      <c r="AA6195">
        <v>0.88587859999999996</v>
      </c>
      <c r="AB6195">
        <v>18</v>
      </c>
      <c r="AC6195">
        <v>0.76139999999997998</v>
      </c>
      <c r="AD6195">
        <v>-6.68070000000002E-2</v>
      </c>
      <c r="AE6195">
        <v>-5.6440000000002002E-2</v>
      </c>
      <c r="AF6195">
        <v>-0.43260049358730801</v>
      </c>
      <c r="AG6195">
        <v>-6.68070000000002E-2</v>
      </c>
      <c r="AH6195">
        <v>0.62205094501281999</v>
      </c>
      <c r="AI6195">
        <v>95.038864966851406</v>
      </c>
      <c r="AJ6195">
        <v>124.816382086578</v>
      </c>
      <c r="AK6195">
        <v>0.76062720204599898</v>
      </c>
      <c r="AL6195">
        <v>94.450787955587899</v>
      </c>
      <c r="AM6195">
        <v>118.933683499487</v>
      </c>
      <c r="AN6195">
        <v>0.99999996874641905</v>
      </c>
    </row>
    <row r="6196" spans="1:40" x14ac:dyDescent="0.25">
      <c r="A6196" t="str">
        <f>"20190303154934626"</f>
        <v>20190303154934626</v>
      </c>
      <c r="B6196" t="str">
        <f>"1551599374617518"</f>
        <v>1551599374617518</v>
      </c>
      <c r="C6196" t="s">
        <v>40</v>
      </c>
      <c r="D6196">
        <v>5.3544179999999999</v>
      </c>
      <c r="E6196">
        <v>0.51479249999999999</v>
      </c>
      <c r="F6196" t="s">
        <v>42</v>
      </c>
      <c r="G6196">
        <v>-415.25790000000001</v>
      </c>
      <c r="H6196">
        <v>1.051706</v>
      </c>
      <c r="I6196">
        <v>23.689219999999999</v>
      </c>
      <c r="J6196">
        <v>-416.14190000000002</v>
      </c>
      <c r="K6196">
        <v>1.12815</v>
      </c>
      <c r="L6196">
        <v>23.839870000000001</v>
      </c>
      <c r="M6196">
        <v>0.78157239999999994</v>
      </c>
      <c r="N6196">
        <v>-1.5963919999999999E-2</v>
      </c>
      <c r="O6196">
        <v>-0.62361060000000001</v>
      </c>
      <c r="P6196">
        <v>0.98166509999999996</v>
      </c>
      <c r="Q6196">
        <v>-8.3707199999999995E-2</v>
      </c>
      <c r="R6196">
        <v>-0.17125179999999901</v>
      </c>
      <c r="S6196">
        <v>2.9267880000000002</v>
      </c>
      <c r="T6196">
        <v>-0.2310063</v>
      </c>
      <c r="U6196">
        <v>-0.62640379999999996</v>
      </c>
      <c r="V6196">
        <v>-0.47713149999999999</v>
      </c>
      <c r="W6196">
        <v>-7.7896820000000006E-2</v>
      </c>
      <c r="X6196">
        <v>0.87537279999999995</v>
      </c>
      <c r="Y6196">
        <v>-0.44385479999999999</v>
      </c>
      <c r="Z6196">
        <v>5.5132010000000002E-2</v>
      </c>
      <c r="AA6196">
        <v>0.89440109999999995</v>
      </c>
      <c r="AB6196">
        <v>18</v>
      </c>
      <c r="AC6196">
        <v>0.884000000000014</v>
      </c>
      <c r="AD6196">
        <v>-7.6443999999999901E-2</v>
      </c>
      <c r="AE6196">
        <v>-0.15064999999999801</v>
      </c>
      <c r="AF6196">
        <v>-0.43045497256711801</v>
      </c>
      <c r="AG6196">
        <v>-7.6443999999999901E-2</v>
      </c>
      <c r="AH6196">
        <v>0.77929374560065701</v>
      </c>
      <c r="AI6196">
        <v>94.907696969303899</v>
      </c>
      <c r="AJ6196">
        <v>118.914745581209</v>
      </c>
      <c r="AK6196">
        <v>0.893551291463484</v>
      </c>
      <c r="AL6196">
        <v>94.467685245963494</v>
      </c>
      <c r="AM6196">
        <v>118.593074931557</v>
      </c>
      <c r="AN6196">
        <v>0.99999996091910004</v>
      </c>
    </row>
    <row r="6197" spans="1:40" x14ac:dyDescent="0.25">
      <c r="A6197" t="str">
        <f>"20190303154934643"</f>
        <v>20190303154934643</v>
      </c>
      <c r="B6197" t="str">
        <f>"1551599374637544"</f>
        <v>1551599374637544</v>
      </c>
      <c r="C6197" t="s">
        <v>40</v>
      </c>
      <c r="D6197">
        <v>5.3721489999999896</v>
      </c>
      <c r="E6197">
        <v>0.51651720000000001</v>
      </c>
      <c r="F6197" t="s">
        <v>42</v>
      </c>
      <c r="G6197">
        <v>-415.14519999999999</v>
      </c>
      <c r="H6197">
        <v>1.0453410000000001</v>
      </c>
      <c r="I6197">
        <v>23.624829999999999</v>
      </c>
      <c r="J6197">
        <v>-416.02710000000002</v>
      </c>
      <c r="K6197">
        <v>1.128123</v>
      </c>
      <c r="L6197">
        <v>23.76474</v>
      </c>
      <c r="M6197">
        <v>0.78840299999999996</v>
      </c>
      <c r="N6197">
        <v>-1.595941E-2</v>
      </c>
      <c r="O6197">
        <v>-0.6149519</v>
      </c>
      <c r="P6197">
        <v>0.98236449999999997</v>
      </c>
      <c r="Q6197">
        <v>-8.4436029999999995E-2</v>
      </c>
      <c r="R6197">
        <v>-0.16682379999999999</v>
      </c>
      <c r="S6197">
        <v>2.925354</v>
      </c>
      <c r="T6197">
        <v>-0.2429926</v>
      </c>
      <c r="U6197">
        <v>-0.63027949999999999</v>
      </c>
      <c r="V6197">
        <v>-0.47137669999999998</v>
      </c>
      <c r="W6197">
        <v>-7.8454449999999995E-2</v>
      </c>
      <c r="X6197">
        <v>0.87843549999999904</v>
      </c>
      <c r="Y6197">
        <v>-0.43249559999999998</v>
      </c>
      <c r="Z6197">
        <v>5.7443920000000002E-2</v>
      </c>
      <c r="AA6197">
        <v>0.8998043</v>
      </c>
      <c r="AB6197">
        <v>18</v>
      </c>
      <c r="AC6197">
        <v>0.88190000000002999</v>
      </c>
      <c r="AD6197">
        <v>-8.2781999999999897E-2</v>
      </c>
      <c r="AE6197">
        <v>-0.13991000000000001</v>
      </c>
      <c r="AF6197">
        <v>-0.42839370616183597</v>
      </c>
      <c r="AG6197">
        <v>-8.2781999999999897E-2</v>
      </c>
      <c r="AH6197">
        <v>0.77477107967722103</v>
      </c>
      <c r="AI6197">
        <v>95.3419197725473</v>
      </c>
      <c r="AJ6197">
        <v>118.939495824368</v>
      </c>
      <c r="AK6197">
        <v>0.88918178844782902</v>
      </c>
      <c r="AL6197">
        <v>94.499732947471898</v>
      </c>
      <c r="AM6197">
        <v>118.218422689815</v>
      </c>
      <c r="AN6197">
        <v>1.0000000108439699</v>
      </c>
    </row>
    <row r="6198" spans="1:40" x14ac:dyDescent="0.25">
      <c r="A6198" t="str">
        <f>"20190303154934667"</f>
        <v>20190303154934667</v>
      </c>
      <c r="B6198" t="str">
        <f>"1551599374657064"</f>
        <v>1551599374657064</v>
      </c>
      <c r="C6198" t="s">
        <v>40</v>
      </c>
      <c r="D6198">
        <v>5.3632879999999998</v>
      </c>
      <c r="E6198">
        <v>0.5178952</v>
      </c>
      <c r="F6198" t="s">
        <v>64</v>
      </c>
      <c r="G6198">
        <v>-403.22309999999999</v>
      </c>
      <c r="H6198" s="1">
        <v>-4.8881279999999998E-6</v>
      </c>
      <c r="I6198">
        <v>21.005690000000001</v>
      </c>
      <c r="J6198">
        <v>-415.86750000000001</v>
      </c>
      <c r="K6198">
        <v>1.128082</v>
      </c>
      <c r="L6198">
        <v>23.663509999999999</v>
      </c>
      <c r="M6198">
        <v>0.79766519999999996</v>
      </c>
      <c r="N6198">
        <v>-1.5951300000000002E-2</v>
      </c>
      <c r="O6198">
        <v>-0.60288949999999997</v>
      </c>
      <c r="P6198">
        <v>0.98358380000000001</v>
      </c>
      <c r="Q6198">
        <v>-8.5989650000000001E-2</v>
      </c>
      <c r="R6198">
        <v>-0.1586465</v>
      </c>
      <c r="S6198">
        <v>2.924652</v>
      </c>
      <c r="T6198">
        <v>-0.2576852</v>
      </c>
      <c r="U6198">
        <v>-0.63021850000000001</v>
      </c>
      <c r="V6198">
        <v>-0.46522170000000002</v>
      </c>
      <c r="W6198">
        <v>-7.9817299999999994E-2</v>
      </c>
      <c r="X6198">
        <v>0.88158829999999999</v>
      </c>
      <c r="Y6198">
        <v>-0.41843520000000001</v>
      </c>
      <c r="Z6198">
        <v>6.0049499999999999E-2</v>
      </c>
      <c r="AA6198">
        <v>0.90625940000000005</v>
      </c>
      <c r="AB6198">
        <v>18</v>
      </c>
      <c r="AC6198">
        <v>12.644399999999999</v>
      </c>
      <c r="AD6198">
        <v>-1.128086888128</v>
      </c>
      <c r="AE6198">
        <v>-2.6578200000000001</v>
      </c>
      <c r="AF6198">
        <v>-5.4621888853696703</v>
      </c>
      <c r="AG6198">
        <v>-1.128086888128</v>
      </c>
      <c r="AH6198">
        <v>11.6014223160194</v>
      </c>
      <c r="AI6198">
        <v>95.027591368477204</v>
      </c>
      <c r="AJ6198">
        <v>115.212023494729</v>
      </c>
      <c r="AK6198">
        <v>12.8724934337235</v>
      </c>
      <c r="AL6198">
        <v>94.5780643016423</v>
      </c>
      <c r="AM6198">
        <v>117.82099482257701</v>
      </c>
      <c r="AN6198">
        <v>0.99999998111353405</v>
      </c>
    </row>
    <row r="6199" spans="1:40" x14ac:dyDescent="0.25">
      <c r="A6199" t="str">
        <f>"20190303154934683"</f>
        <v>20190303154934683</v>
      </c>
      <c r="B6199" t="str">
        <f>"1551599374677560"</f>
        <v>1551599374677560</v>
      </c>
      <c r="C6199" t="s">
        <v>40</v>
      </c>
      <c r="D6199">
        <v>5.3678670000000004</v>
      </c>
      <c r="E6199">
        <v>0.51915940000000005</v>
      </c>
      <c r="F6199" t="s">
        <v>64</v>
      </c>
      <c r="G6199">
        <v>-403.62950000000001</v>
      </c>
      <c r="H6199" s="1">
        <v>-4.7131449999999996E-6</v>
      </c>
      <c r="I6199">
        <v>21.086179999999999</v>
      </c>
      <c r="J6199">
        <v>-415.76479999999998</v>
      </c>
      <c r="K6199">
        <v>1.1280539999999999</v>
      </c>
      <c r="L6199">
        <v>23.600010000000001</v>
      </c>
      <c r="M6199">
        <v>0.80348619999999904</v>
      </c>
      <c r="N6199">
        <v>-1.5945210000000001E-2</v>
      </c>
      <c r="O6199">
        <v>-0.59510989999999997</v>
      </c>
      <c r="P6199">
        <v>0.98431679999999999</v>
      </c>
      <c r="Q6199">
        <v>-8.746255E-2</v>
      </c>
      <c r="R6199">
        <v>-0.15320220000000001</v>
      </c>
      <c r="S6199">
        <v>2.9270939999999999</v>
      </c>
      <c r="T6199">
        <v>-0.26981850000000002</v>
      </c>
      <c r="U6199">
        <v>-0.61645509999999903</v>
      </c>
      <c r="V6199">
        <v>-0.46143770000000001</v>
      </c>
      <c r="W6199">
        <v>-8.1172679999999997E-2</v>
      </c>
      <c r="X6199">
        <v>0.88345130000000005</v>
      </c>
      <c r="Y6199">
        <v>-0.41357509999999997</v>
      </c>
      <c r="Z6199">
        <v>6.2520500000000007E-2</v>
      </c>
      <c r="AA6199">
        <v>0.90832089999999999</v>
      </c>
      <c r="AB6199">
        <v>18</v>
      </c>
      <c r="AC6199">
        <v>12.1352999999999</v>
      </c>
      <c r="AD6199">
        <v>-1.1280587131449999</v>
      </c>
      <c r="AE6199">
        <v>-2.51383</v>
      </c>
      <c r="AF6199">
        <v>-5.1599184416761998</v>
      </c>
      <c r="AG6199">
        <v>-1.1280587131449999</v>
      </c>
      <c r="AH6199">
        <v>11.1555519948301</v>
      </c>
      <c r="AI6199">
        <v>95.243830849753806</v>
      </c>
      <c r="AJ6199">
        <v>114.822553768576</v>
      </c>
      <c r="AK6199">
        <v>12.3427555713629</v>
      </c>
      <c r="AL6199">
        <v>94.655974699186402</v>
      </c>
      <c r="AM6199">
        <v>117.578630164462</v>
      </c>
      <c r="AN6199">
        <v>0.99999997721568101</v>
      </c>
    </row>
    <row r="6200" spans="1:40" x14ac:dyDescent="0.25">
      <c r="A6200" t="str">
        <f>"20190303154934701"</f>
        <v>20190303154934701</v>
      </c>
      <c r="B6200" t="str">
        <f>"1551599374697080"</f>
        <v>1551599374697080</v>
      </c>
      <c r="C6200" t="s">
        <v>40</v>
      </c>
      <c r="D6200">
        <v>5.4505420000000004</v>
      </c>
      <c r="E6200">
        <v>0.52016899999999999</v>
      </c>
      <c r="F6200" t="s">
        <v>64</v>
      </c>
      <c r="G6200">
        <v>-403.93389999999999</v>
      </c>
      <c r="H6200" s="1">
        <v>-4.5801109999999997E-6</v>
      </c>
      <c r="I6200">
        <v>21.135200000000001</v>
      </c>
      <c r="J6200">
        <v>-415.64519999999999</v>
      </c>
      <c r="K6200">
        <v>1.1280159999999999</v>
      </c>
      <c r="L6200">
        <v>23.52777</v>
      </c>
      <c r="M6200">
        <v>0.81013179999999996</v>
      </c>
      <c r="N6200">
        <v>-1.593727E-2</v>
      </c>
      <c r="O6200">
        <v>-0.58603130000000003</v>
      </c>
      <c r="P6200">
        <v>0.98452289999999998</v>
      </c>
      <c r="Q6200">
        <v>-9.0133210000000005E-2</v>
      </c>
      <c r="R6200">
        <v>-0.15030299999999999</v>
      </c>
      <c r="S6200">
        <v>2.9280400000000002</v>
      </c>
      <c r="T6200">
        <v>-0.27918280000000001</v>
      </c>
      <c r="U6200">
        <v>-0.61001590000000006</v>
      </c>
      <c r="V6200">
        <v>-0.4539147</v>
      </c>
      <c r="W6200">
        <v>-8.3630300000000005E-2</v>
      </c>
      <c r="X6200">
        <v>0.88711180000000001</v>
      </c>
      <c r="Y6200">
        <v>-0.40511039999999998</v>
      </c>
      <c r="Z6200">
        <v>6.3953070000000001E-2</v>
      </c>
      <c r="AA6200">
        <v>0.91202830000000001</v>
      </c>
      <c r="AB6200">
        <v>18</v>
      </c>
      <c r="AC6200">
        <v>11.7112999999999</v>
      </c>
      <c r="AD6200">
        <v>-1.1280205801109999</v>
      </c>
      <c r="AE6200">
        <v>-2.3925699999999899</v>
      </c>
      <c r="AF6200">
        <v>-4.88203861847808</v>
      </c>
      <c r="AG6200">
        <v>-1.1280205801109999</v>
      </c>
      <c r="AH6200">
        <v>10.7950624462074</v>
      </c>
      <c r="AI6200">
        <v>95.438748034321506</v>
      </c>
      <c r="AJ6200">
        <v>114.334736221207</v>
      </c>
      <c r="AK6200">
        <v>11.9012648369399</v>
      </c>
      <c r="AL6200">
        <v>94.797266559940496</v>
      </c>
      <c r="AM6200">
        <v>117.09778149943</v>
      </c>
      <c r="AN6200">
        <v>0.99999996382670897</v>
      </c>
    </row>
    <row r="6201" spans="1:40" x14ac:dyDescent="0.25">
      <c r="A6201" t="str">
        <f>"20190303154934725"</f>
        <v>20190303154934725</v>
      </c>
      <c r="B6201" t="str">
        <f>"1551599374717577"</f>
        <v>1551599374717577</v>
      </c>
      <c r="C6201" t="s">
        <v>40</v>
      </c>
      <c r="D6201">
        <v>5.4446139999999996</v>
      </c>
      <c r="E6201">
        <v>0.52086999999999894</v>
      </c>
      <c r="F6201" t="s">
        <v>64</v>
      </c>
      <c r="G6201">
        <v>-404.29899999999998</v>
      </c>
      <c r="H6201" s="1">
        <v>-4.4156480000000002E-6</v>
      </c>
      <c r="I6201">
        <v>21.166820000000001</v>
      </c>
      <c r="J6201">
        <v>-415.48390000000001</v>
      </c>
      <c r="K6201">
        <v>1.1279729999999999</v>
      </c>
      <c r="L6201">
        <v>23.43356</v>
      </c>
      <c r="M6201">
        <v>0.81885299999999905</v>
      </c>
      <c r="N6201">
        <v>-1.5925249999999998E-2</v>
      </c>
      <c r="O6201">
        <v>-0.57378229999999997</v>
      </c>
      <c r="P6201">
        <v>0.98527310000000001</v>
      </c>
      <c r="Q6201">
        <v>-9.1522660000000006E-2</v>
      </c>
      <c r="R6201">
        <v>-0.14443110000000001</v>
      </c>
      <c r="S6201">
        <v>2.9274900000000001</v>
      </c>
      <c r="T6201">
        <v>-0.29104649999999999</v>
      </c>
      <c r="U6201">
        <v>-0.60916139999999996</v>
      </c>
      <c r="V6201">
        <v>-0.4457701</v>
      </c>
      <c r="W6201">
        <v>-8.478173E-2</v>
      </c>
      <c r="X6201">
        <v>0.89112349999999996</v>
      </c>
      <c r="Y6201">
        <v>-0.39133190000000001</v>
      </c>
      <c r="Z6201">
        <v>6.5448679999999995E-2</v>
      </c>
      <c r="AA6201">
        <v>0.91791929999999999</v>
      </c>
      <c r="AB6201">
        <v>18</v>
      </c>
      <c r="AC6201">
        <v>11.184899999999899</v>
      </c>
      <c r="AD6201">
        <v>-1.12797741564799</v>
      </c>
      <c r="AE6201">
        <v>-2.2667399999999902</v>
      </c>
      <c r="AF6201">
        <v>-4.5180123282007703</v>
      </c>
      <c r="AG6201">
        <v>-1.12797741564799</v>
      </c>
      <c r="AH6201">
        <v>10.3595272901239</v>
      </c>
      <c r="AI6201">
        <v>95.699502698420403</v>
      </c>
      <c r="AJ6201">
        <v>113.563049727102</v>
      </c>
      <c r="AK6201">
        <v>11.3580180543441</v>
      </c>
      <c r="AL6201">
        <v>94.863473573843393</v>
      </c>
      <c r="AM6201">
        <v>116.57576705131601</v>
      </c>
      <c r="AN6201">
        <v>1.0000000080240199</v>
      </c>
    </row>
    <row r="6202" spans="1:40" x14ac:dyDescent="0.25">
      <c r="A6202" t="str">
        <f>"20190303154934747"</f>
        <v>20190303154934747</v>
      </c>
      <c r="B6202" t="str">
        <f>"1551599374737604"</f>
        <v>1551599374737604</v>
      </c>
      <c r="C6202" t="s">
        <v>40</v>
      </c>
      <c r="D6202">
        <v>5.4648389999999996</v>
      </c>
      <c r="E6202">
        <v>0.52153620000000001</v>
      </c>
      <c r="F6202" t="s">
        <v>64</v>
      </c>
      <c r="G6202">
        <v>-404.42059999999998</v>
      </c>
      <c r="H6202" s="1">
        <v>-4.361158E-6</v>
      </c>
      <c r="I6202">
        <v>21.178830000000001</v>
      </c>
      <c r="J6202">
        <v>-415.3349</v>
      </c>
      <c r="K6202">
        <v>1.1279440000000001</v>
      </c>
      <c r="L6202">
        <v>23.349270000000001</v>
      </c>
      <c r="M6202">
        <v>0.82668240000000004</v>
      </c>
      <c r="N6202">
        <v>-1.5913170000000001E-2</v>
      </c>
      <c r="O6202">
        <v>-0.56244380000000005</v>
      </c>
      <c r="P6202">
        <v>0.98590009999999995</v>
      </c>
      <c r="Q6202">
        <v>-9.0950520000000007E-2</v>
      </c>
      <c r="R6202">
        <v>-0.14046049999999999</v>
      </c>
      <c r="S6202">
        <v>2.929535</v>
      </c>
      <c r="T6202">
        <v>-0.29868470000000003</v>
      </c>
      <c r="U6202">
        <v>-0.59704590000000002</v>
      </c>
      <c r="V6202">
        <v>-0.43712190000000001</v>
      </c>
      <c r="W6202">
        <v>-8.3962930000000005E-2</v>
      </c>
      <c r="X6202">
        <v>0.89547459999999901</v>
      </c>
      <c r="Y6202">
        <v>-0.38228450000000003</v>
      </c>
      <c r="Z6202">
        <v>6.6090419999999997E-2</v>
      </c>
      <c r="AA6202">
        <v>0.92167809999999994</v>
      </c>
      <c r="AB6202">
        <v>18</v>
      </c>
      <c r="AC6202">
        <v>10.914300000000001</v>
      </c>
      <c r="AD6202">
        <v>-1.1279483611579999</v>
      </c>
      <c r="AE6202">
        <v>-2.1704400000000001</v>
      </c>
      <c r="AF6202">
        <v>-4.3007793382531503</v>
      </c>
      <c r="AG6202">
        <v>-1.1279483611579999</v>
      </c>
      <c r="AH6202">
        <v>10.140522674718801</v>
      </c>
      <c r="AI6202">
        <v>95.846852042858103</v>
      </c>
      <c r="AJ6202">
        <v>112.982680397138</v>
      </c>
      <c r="AK6202">
        <v>11.072450972493399</v>
      </c>
      <c r="AL6202">
        <v>94.816391734963204</v>
      </c>
      <c r="AM6202">
        <v>116.01910880512899</v>
      </c>
      <c r="AN6202">
        <v>1.0000000441594701</v>
      </c>
    </row>
    <row r="6203" spans="1:40" x14ac:dyDescent="0.25">
      <c r="A6203" t="str">
        <f>"20190303154934767"</f>
        <v>20190303154934767</v>
      </c>
      <c r="B6203" t="str">
        <f>"1551599374757125"</f>
        <v>1551599374757125</v>
      </c>
      <c r="C6203" t="s">
        <v>40</v>
      </c>
      <c r="D6203">
        <v>5.4496419999999999</v>
      </c>
      <c r="E6203">
        <v>0.52200040000000003</v>
      </c>
      <c r="F6203" t="s">
        <v>64</v>
      </c>
      <c r="G6203">
        <v>-404.28149999999999</v>
      </c>
      <c r="H6203" s="1">
        <v>-4.4160380000000004E-6</v>
      </c>
      <c r="I6203">
        <v>21.123200000000001</v>
      </c>
      <c r="J6203">
        <v>-415.19369999999998</v>
      </c>
      <c r="K6203">
        <v>1.1279079999999999</v>
      </c>
      <c r="L6203">
        <v>23.271850000000001</v>
      </c>
      <c r="M6203">
        <v>0.833901</v>
      </c>
      <c r="N6203">
        <v>-1.590103E-2</v>
      </c>
      <c r="O6203">
        <v>-0.55168490000000003</v>
      </c>
      <c r="P6203">
        <v>0.98621420000000004</v>
      </c>
      <c r="Q6203">
        <v>-9.1364210000000001E-2</v>
      </c>
      <c r="R6203">
        <v>-0.13796340000000001</v>
      </c>
      <c r="S6203">
        <v>2.931244</v>
      </c>
      <c r="T6203">
        <v>-0.299120099999999</v>
      </c>
      <c r="U6203">
        <v>-0.59033199999999997</v>
      </c>
      <c r="V6203">
        <v>-0.42775849999999999</v>
      </c>
      <c r="W6203">
        <v>-8.4119070000000004E-2</v>
      </c>
      <c r="X6203">
        <v>0.89997039999999995</v>
      </c>
      <c r="Y6203">
        <v>-0.3725041</v>
      </c>
      <c r="Z6203">
        <v>6.4926800000000007E-2</v>
      </c>
      <c r="AA6203">
        <v>0.92575660000000004</v>
      </c>
      <c r="AB6203">
        <v>18</v>
      </c>
      <c r="AC6203">
        <v>10.912199999999901</v>
      </c>
      <c r="AD6203">
        <v>-1.1279124160380001</v>
      </c>
      <c r="AE6203">
        <v>-2.1486499999999999</v>
      </c>
      <c r="AF6203">
        <v>-4.18581800408914</v>
      </c>
      <c r="AG6203">
        <v>-1.1279124160380001</v>
      </c>
      <c r="AH6203">
        <v>10.181654212080099</v>
      </c>
      <c r="AI6203">
        <v>95.850013741448294</v>
      </c>
      <c r="AJ6203">
        <v>112.348237491624</v>
      </c>
      <c r="AK6203">
        <v>11.0661348842303</v>
      </c>
      <c r="AL6203">
        <v>94.825369695529901</v>
      </c>
      <c r="AM6203">
        <v>115.42187434956099</v>
      </c>
      <c r="AN6203">
        <v>1.0000000365680299</v>
      </c>
    </row>
    <row r="6204" spans="1:40" x14ac:dyDescent="0.25">
      <c r="A6204" t="str">
        <f>"20190303154934779"</f>
        <v>20190303154934779</v>
      </c>
      <c r="B6204" t="str">
        <f>"1551599374777621"</f>
        <v>1551599374777621</v>
      </c>
      <c r="C6204" t="s">
        <v>40</v>
      </c>
      <c r="D6204">
        <v>5.5219680000000002</v>
      </c>
      <c r="E6204">
        <v>0.52241740000000003</v>
      </c>
      <c r="F6204" t="s">
        <v>64</v>
      </c>
      <c r="G6204">
        <v>-404.19499999999999</v>
      </c>
      <c r="H6204" s="1">
        <v>-4.4471719999999996E-6</v>
      </c>
      <c r="I6204">
        <v>21.071829999999999</v>
      </c>
      <c r="J6204">
        <v>-415.1071</v>
      </c>
      <c r="K6204">
        <v>1.1278820000000001</v>
      </c>
      <c r="L6204">
        <v>23.225249999999999</v>
      </c>
      <c r="M6204">
        <v>0.83823729999999996</v>
      </c>
      <c r="N6204">
        <v>-1.5893350000000001E-2</v>
      </c>
      <c r="O6204">
        <v>-0.54507399999999995</v>
      </c>
      <c r="P6204">
        <v>0.98647229999999997</v>
      </c>
      <c r="Q6204">
        <v>-9.1786690000000004E-2</v>
      </c>
      <c r="R6204">
        <v>-0.1358211</v>
      </c>
      <c r="S6204">
        <v>2.9320369999999998</v>
      </c>
      <c r="T6204">
        <v>-0.30068159999999999</v>
      </c>
      <c r="U6204">
        <v>-0.58648679999999997</v>
      </c>
      <c r="V6204">
        <v>-0.4225759</v>
      </c>
      <c r="W6204">
        <v>-8.4398139999999996E-2</v>
      </c>
      <c r="X6204">
        <v>0.90238929999999995</v>
      </c>
      <c r="Y6204">
        <v>-0.3663902</v>
      </c>
      <c r="Z6204">
        <v>6.4506060000000004E-2</v>
      </c>
      <c r="AA6204">
        <v>0.92822260000000001</v>
      </c>
      <c r="AB6204">
        <v>18</v>
      </c>
      <c r="AC6204">
        <v>10.912100000000001</v>
      </c>
      <c r="AD6204">
        <v>-1.127886447172</v>
      </c>
      <c r="AE6204">
        <v>-2.1534200000000001</v>
      </c>
      <c r="AF6204">
        <v>-4.1011756976252398</v>
      </c>
      <c r="AG6204">
        <v>-1.127886447172</v>
      </c>
      <c r="AH6204">
        <v>10.2169447075121</v>
      </c>
      <c r="AI6204">
        <v>95.849437906253797</v>
      </c>
      <c r="AJ6204">
        <v>111.870980603451</v>
      </c>
      <c r="AK6204">
        <v>11.066965668007899</v>
      </c>
      <c r="AL6204">
        <v>94.8414167451065</v>
      </c>
      <c r="AM6204">
        <v>115.09301536672599</v>
      </c>
      <c r="AN6204">
        <v>0.99999994302537798</v>
      </c>
    </row>
    <row r="6205" spans="1:40" x14ac:dyDescent="0.25">
      <c r="A6205" t="str">
        <f>"20190303154934792"</f>
        <v>20190303154934792</v>
      </c>
      <c r="B6205" t="str">
        <f>"1551599374787381"</f>
        <v>1551599374787381</v>
      </c>
      <c r="C6205" t="s">
        <v>40</v>
      </c>
      <c r="D6205">
        <v>5.53627</v>
      </c>
      <c r="E6205">
        <v>0.52263820000000005</v>
      </c>
      <c r="F6205" t="s">
        <v>64</v>
      </c>
      <c r="G6205">
        <v>-404.17660000000001</v>
      </c>
      <c r="H6205" s="1">
        <v>-4.45198699999999E-6</v>
      </c>
      <c r="I6205">
        <v>21.050699999999999</v>
      </c>
      <c r="J6205">
        <v>-415.02260000000001</v>
      </c>
      <c r="K6205">
        <v>1.127853</v>
      </c>
      <c r="L6205">
        <v>23.18121</v>
      </c>
      <c r="M6205">
        <v>0.84237489999999904</v>
      </c>
      <c r="N6205">
        <v>-1.5884430000000001E-2</v>
      </c>
      <c r="O6205">
        <v>-0.53865799999999997</v>
      </c>
      <c r="P6205">
        <v>0.98669519999999999</v>
      </c>
      <c r="Q6205">
        <v>-9.2204449999999993E-2</v>
      </c>
      <c r="R6205">
        <v>-0.13390679999999999</v>
      </c>
      <c r="S6205">
        <v>2.9326479999999999</v>
      </c>
      <c r="T6205">
        <v>-0.30261349999999998</v>
      </c>
      <c r="U6205">
        <v>-0.58343509999999998</v>
      </c>
      <c r="V6205">
        <v>-0.41741689999999998</v>
      </c>
      <c r="W6205">
        <v>-8.4672189999999994E-2</v>
      </c>
      <c r="X6205">
        <v>0.9047617</v>
      </c>
      <c r="Y6205">
        <v>-0.36025099999999999</v>
      </c>
      <c r="Z6205">
        <v>6.4171389999999995E-2</v>
      </c>
      <c r="AA6205">
        <v>0.93064559999999996</v>
      </c>
      <c r="AB6205">
        <v>18</v>
      </c>
      <c r="AC6205">
        <v>10.846</v>
      </c>
      <c r="AD6205">
        <v>-1.1278574519869999</v>
      </c>
      <c r="AE6205">
        <v>-2.1305100000000001</v>
      </c>
      <c r="AF6205">
        <v>-4.0063929301278796</v>
      </c>
      <c r="AG6205">
        <v>-1.1278574519869999</v>
      </c>
      <c r="AH6205">
        <v>10.179325549863099</v>
      </c>
      <c r="AI6205">
        <v>95.886439615197204</v>
      </c>
      <c r="AJ6205">
        <v>111.483674819931</v>
      </c>
      <c r="AK6205">
        <v>10.997359473649899</v>
      </c>
      <c r="AL6205">
        <v>94.857174827917802</v>
      </c>
      <c r="AM6205">
        <v>114.766503874032</v>
      </c>
      <c r="AN6205">
        <v>0.99999999097594805</v>
      </c>
    </row>
    <row r="6206" spans="1:40" x14ac:dyDescent="0.25">
      <c r="A6206" t="str">
        <f>"20190303154934815"</f>
        <v>20190303154934815</v>
      </c>
      <c r="B6206" t="str">
        <f>"1551599374806902"</f>
        <v>1551599374806902</v>
      </c>
      <c r="C6206" t="s">
        <v>40</v>
      </c>
      <c r="D6206">
        <v>5.6369720000000001</v>
      </c>
      <c r="E6206">
        <v>0.52300000000000002</v>
      </c>
      <c r="F6206" t="s">
        <v>64</v>
      </c>
      <c r="G6206">
        <v>-404.09820000000002</v>
      </c>
      <c r="H6206" s="1">
        <v>-4.4835439999999999E-6</v>
      </c>
      <c r="I6206">
        <v>21.022829999999999</v>
      </c>
      <c r="J6206">
        <v>-414.86829999999998</v>
      </c>
      <c r="K6206">
        <v>1.127783</v>
      </c>
      <c r="L6206">
        <v>23.1022</v>
      </c>
      <c r="M6206">
        <v>0.84975859999999903</v>
      </c>
      <c r="N6206">
        <v>-1.5865339999999999E-2</v>
      </c>
      <c r="O6206">
        <v>-0.5269334</v>
      </c>
      <c r="P6206">
        <v>0.98683480000000001</v>
      </c>
      <c r="Q6206">
        <v>-9.3392859999999994E-2</v>
      </c>
      <c r="R6206">
        <v>-0.13204289999999999</v>
      </c>
      <c r="S6206">
        <v>2.9335330000000002</v>
      </c>
      <c r="T6206">
        <v>-0.30286380000000002</v>
      </c>
      <c r="U6206">
        <v>-0.57958980000000004</v>
      </c>
      <c r="V6206">
        <v>-0.4065125</v>
      </c>
      <c r="W6206">
        <v>-8.5556789999999994E-2</v>
      </c>
      <c r="X6206">
        <v>0.90963050000000001</v>
      </c>
      <c r="Y6206">
        <v>-0.34862520000000002</v>
      </c>
      <c r="Z6206">
        <v>6.2758019999999998E-2</v>
      </c>
      <c r="AA6206">
        <v>0.93515879999999996</v>
      </c>
      <c r="AB6206">
        <v>18</v>
      </c>
      <c r="AC6206">
        <v>10.7700999999999</v>
      </c>
      <c r="AD6206">
        <v>-1.127787483544</v>
      </c>
      <c r="AE6206">
        <v>-2.0793699999999999</v>
      </c>
      <c r="AF6206">
        <v>-3.86776781163312</v>
      </c>
      <c r="AG6206">
        <v>-1.127787483544</v>
      </c>
      <c r="AH6206">
        <v>10.141753881471001</v>
      </c>
      <c r="AI6206">
        <v>95.931907769975794</v>
      </c>
      <c r="AJ6206">
        <v>110.87538569495899</v>
      </c>
      <c r="AK6206">
        <v>10.9126854735705</v>
      </c>
      <c r="AL6206">
        <v>94.908043166960894</v>
      </c>
      <c r="AM6206">
        <v>114.07979576841601</v>
      </c>
      <c r="AN6206">
        <v>1.0000000117508001</v>
      </c>
    </row>
    <row r="6207" spans="1:40" x14ac:dyDescent="0.25">
      <c r="A6207" t="str">
        <f>"20190303154934834"</f>
        <v>20190303154934834</v>
      </c>
      <c r="B6207" t="str">
        <f>"1551599374827397"</f>
        <v>1551599374827397</v>
      </c>
      <c r="C6207" t="s">
        <v>40</v>
      </c>
      <c r="D6207">
        <v>5.5833589999999997</v>
      </c>
      <c r="E6207">
        <v>0.52329170000000003</v>
      </c>
      <c r="F6207" t="s">
        <v>64</v>
      </c>
      <c r="G6207">
        <v>-404.08659999999998</v>
      </c>
      <c r="H6207" s="1">
        <v>-4.481722E-6</v>
      </c>
      <c r="I6207">
        <v>20.98217</v>
      </c>
      <c r="J6207">
        <v>-414.73230000000001</v>
      </c>
      <c r="K6207">
        <v>1.1277010000000001</v>
      </c>
      <c r="L6207">
        <v>23.03473</v>
      </c>
      <c r="M6207">
        <v>0.85605059999999999</v>
      </c>
      <c r="N6207">
        <v>-1.5843409999999999E-2</v>
      </c>
      <c r="O6207">
        <v>-0.51664940000000004</v>
      </c>
      <c r="P6207">
        <v>0.9867882</v>
      </c>
      <c r="Q6207">
        <v>-9.4764979999999999E-2</v>
      </c>
      <c r="R6207">
        <v>-0.13141069999999999</v>
      </c>
      <c r="S6207">
        <v>2.9337770000000001</v>
      </c>
      <c r="T6207">
        <v>-0.30687789999999998</v>
      </c>
      <c r="U6207">
        <v>-0.57687379999999999</v>
      </c>
      <c r="V6207">
        <v>-0.3960458</v>
      </c>
      <c r="W6207">
        <v>-8.6631130000000001E-2</v>
      </c>
      <c r="X6207">
        <v>0.91413500000000003</v>
      </c>
      <c r="Y6207">
        <v>-0.33814519999999998</v>
      </c>
      <c r="Z6207">
        <v>6.234021E-2</v>
      </c>
      <c r="AA6207">
        <v>0.9390269</v>
      </c>
      <c r="AB6207">
        <v>18</v>
      </c>
      <c r="AC6207">
        <v>10.6457</v>
      </c>
      <c r="AD6207">
        <v>-1.127705481722</v>
      </c>
      <c r="AE6207">
        <v>-2.0525600000000002</v>
      </c>
      <c r="AF6207">
        <v>-3.7034012263799201</v>
      </c>
      <c r="AG6207">
        <v>-1.127705481722</v>
      </c>
      <c r="AH6207">
        <v>10.0660816705459</v>
      </c>
      <c r="AI6207">
        <v>96.002041223085399</v>
      </c>
      <c r="AJ6207">
        <v>110.19901890416099</v>
      </c>
      <c r="AK6207">
        <v>10.7848458725732</v>
      </c>
      <c r="AL6207">
        <v>94.969827714003102</v>
      </c>
      <c r="AM6207">
        <v>113.424504593477</v>
      </c>
      <c r="AN6207">
        <v>1.00000001330385</v>
      </c>
    </row>
    <row r="6208" spans="1:40" x14ac:dyDescent="0.25">
      <c r="A6208" t="str">
        <f>"20190303154934847"</f>
        <v>20190303154934847</v>
      </c>
      <c r="B6208" t="str">
        <f>"1551599374837664"</f>
        <v>1551599374837664</v>
      </c>
      <c r="C6208" t="s">
        <v>40</v>
      </c>
      <c r="D6208">
        <v>5.6338540000000004</v>
      </c>
      <c r="E6208">
        <v>0.52348419999999996</v>
      </c>
      <c r="F6208" t="s">
        <v>64</v>
      </c>
      <c r="G6208">
        <v>-404.12360000000001</v>
      </c>
      <c r="H6208" s="1">
        <v>-4.4582589999999997E-6</v>
      </c>
      <c r="I6208">
        <v>20.94707</v>
      </c>
      <c r="J6208">
        <v>-414.64690000000002</v>
      </c>
      <c r="K6208">
        <v>1.1276349999999999</v>
      </c>
      <c r="L6208">
        <v>22.993379999999998</v>
      </c>
      <c r="M6208">
        <v>0.85988889999999996</v>
      </c>
      <c r="N6208">
        <v>-1.5826460000000001E-2</v>
      </c>
      <c r="O6208">
        <v>-0.51023580000000002</v>
      </c>
      <c r="P6208">
        <v>0.98689559999999998</v>
      </c>
      <c r="Q6208">
        <v>-9.5396800000000004E-2</v>
      </c>
      <c r="R6208">
        <v>-0.13014100000000001</v>
      </c>
      <c r="S6208">
        <v>2.933319</v>
      </c>
      <c r="T6208">
        <v>-0.31181179999999997</v>
      </c>
      <c r="U6208">
        <v>-0.57723999999999998</v>
      </c>
      <c r="V6208">
        <v>-0.3903625</v>
      </c>
      <c r="W6208">
        <v>-8.709095E-2</v>
      </c>
      <c r="X6208">
        <v>0.91653280000000004</v>
      </c>
      <c r="Y6208">
        <v>-0.33090009999999997</v>
      </c>
      <c r="Z6208">
        <v>6.2551629999999997E-2</v>
      </c>
      <c r="AA6208">
        <v>0.94159040000000005</v>
      </c>
      <c r="AB6208">
        <v>18</v>
      </c>
      <c r="AC6208">
        <v>10.523300000000001</v>
      </c>
      <c r="AD6208">
        <v>-1.1276394582589999</v>
      </c>
      <c r="AE6208">
        <v>-2.0463099999999899</v>
      </c>
      <c r="AF6208">
        <v>-3.5707105264189201</v>
      </c>
      <c r="AG6208">
        <v>-1.1276394582589999</v>
      </c>
      <c r="AH6208">
        <v>9.9837720682751403</v>
      </c>
      <c r="AI6208">
        <v>96.070588165733795</v>
      </c>
      <c r="AJ6208">
        <v>109.67966355846001</v>
      </c>
      <c r="AK6208">
        <v>10.662891217797</v>
      </c>
      <c r="AL6208">
        <v>94.996273257506303</v>
      </c>
      <c r="AM6208">
        <v>113.06974650646001</v>
      </c>
      <c r="AN6208">
        <v>1.0000000442269901</v>
      </c>
    </row>
    <row r="6209" spans="1:40" x14ac:dyDescent="0.25">
      <c r="A6209" t="str">
        <f>"20190303154934862"</f>
        <v>20190303154934862</v>
      </c>
      <c r="B6209" t="str">
        <f>"1551599374857184"</f>
        <v>1551599374857184</v>
      </c>
      <c r="C6209" t="s">
        <v>40</v>
      </c>
      <c r="D6209">
        <v>5.6264560000000001</v>
      </c>
      <c r="E6209">
        <v>0.52375300000000002</v>
      </c>
      <c r="F6209" t="s">
        <v>64</v>
      </c>
      <c r="G6209">
        <v>-404.10899999999998</v>
      </c>
      <c r="H6209" s="1">
        <v>-4.4616480000000002E-6</v>
      </c>
      <c r="I6209">
        <v>20.928000000000001</v>
      </c>
      <c r="J6209">
        <v>-414.5489</v>
      </c>
      <c r="K6209">
        <v>1.1275500000000001</v>
      </c>
      <c r="L6209">
        <v>22.946560000000002</v>
      </c>
      <c r="M6209">
        <v>0.864206699999999</v>
      </c>
      <c r="N6209">
        <v>-1.5804829999999999E-2</v>
      </c>
      <c r="O6209">
        <v>-0.50288869999999997</v>
      </c>
      <c r="P6209">
        <v>0.98717109999999997</v>
      </c>
      <c r="Q6209">
        <v>-9.6195879999999998E-2</v>
      </c>
      <c r="R6209">
        <v>-0.12743599999999999</v>
      </c>
      <c r="S6209">
        <v>2.9336549999999999</v>
      </c>
      <c r="T6209">
        <v>-0.31392409999999998</v>
      </c>
      <c r="U6209">
        <v>-0.57498169999999904</v>
      </c>
      <c r="V6209">
        <v>-0.38503009999999999</v>
      </c>
      <c r="W6209">
        <v>-8.771574E-2</v>
      </c>
      <c r="X6209">
        <v>0.91872619999999905</v>
      </c>
      <c r="Y6209">
        <v>-0.32358399999999998</v>
      </c>
      <c r="Z6209">
        <v>6.204283E-2</v>
      </c>
      <c r="AA6209">
        <v>0.94416310000000003</v>
      </c>
      <c r="AB6209">
        <v>18</v>
      </c>
      <c r="AC6209">
        <v>10.4398999999999</v>
      </c>
      <c r="AD6209">
        <v>-1.127554461648</v>
      </c>
      <c r="AE6209">
        <v>-2.0185599999999999</v>
      </c>
      <c r="AF6209">
        <v>-3.4671063843919301</v>
      </c>
      <c r="AG6209">
        <v>-1.127554461648</v>
      </c>
      <c r="AH6209">
        <v>9.92697163751434</v>
      </c>
      <c r="AI6209">
        <v>96.120596735960206</v>
      </c>
      <c r="AJ6209">
        <v>109.25232880044599</v>
      </c>
      <c r="AK6209">
        <v>10.5753000731273</v>
      </c>
      <c r="AL6209">
        <v>95.032208684020603</v>
      </c>
      <c r="AM6209">
        <v>112.738130696932</v>
      </c>
      <c r="AN6209">
        <v>1.00000002975809</v>
      </c>
    </row>
    <row r="6210" spans="1:40" x14ac:dyDescent="0.25">
      <c r="A6210" t="str">
        <f>"20190303154934878"</f>
        <v>20190303154934878</v>
      </c>
      <c r="B6210" t="str">
        <f>"1551599374866944"</f>
        <v>1551599374866944</v>
      </c>
      <c r="C6210" t="s">
        <v>40</v>
      </c>
      <c r="D6210">
        <v>5.6251829999999998</v>
      </c>
      <c r="E6210">
        <v>0.52382959999999901</v>
      </c>
      <c r="F6210" t="s">
        <v>64</v>
      </c>
      <c r="G6210">
        <v>-404.10680000000002</v>
      </c>
      <c r="H6210" s="1">
        <v>-4.4616249999999998E-6</v>
      </c>
      <c r="I6210">
        <v>20.922059999999998</v>
      </c>
      <c r="J6210">
        <v>-414.42739999999998</v>
      </c>
      <c r="K6210">
        <v>1.1274169999999999</v>
      </c>
      <c r="L6210">
        <v>22.890170000000001</v>
      </c>
      <c r="M6210">
        <v>0.86937809999999904</v>
      </c>
      <c r="N6210">
        <v>-1.5771440000000001E-2</v>
      </c>
      <c r="O6210">
        <v>-0.4938959</v>
      </c>
      <c r="P6210">
        <v>0.9869348</v>
      </c>
      <c r="Q6210">
        <v>-9.6988190000000002E-2</v>
      </c>
      <c r="R6210">
        <v>-0.128659199999999</v>
      </c>
      <c r="S6210">
        <v>2.9346619999999999</v>
      </c>
      <c r="T6210">
        <v>-0.31689020000000001</v>
      </c>
      <c r="U6210">
        <v>-0.56896969999999902</v>
      </c>
      <c r="V6210">
        <v>-0.37432739999999998</v>
      </c>
      <c r="W6210">
        <v>-8.8191450000000005E-2</v>
      </c>
      <c r="X6210">
        <v>0.92309330000000001</v>
      </c>
      <c r="Y6210">
        <v>-0.31568930000000001</v>
      </c>
      <c r="Z6210">
        <v>6.153877E-2</v>
      </c>
      <c r="AA6210">
        <v>0.94686499999999996</v>
      </c>
      <c r="AB6210">
        <v>18</v>
      </c>
      <c r="AC6210">
        <v>10.320599999999899</v>
      </c>
      <c r="AD6210">
        <v>-1.127421461625</v>
      </c>
      <c r="AE6210">
        <v>-1.96810999999999</v>
      </c>
      <c r="AF6210">
        <v>-3.3481386564191</v>
      </c>
      <c r="AG6210">
        <v>-1.127421461625</v>
      </c>
      <c r="AH6210">
        <v>9.8325629426440493</v>
      </c>
      <c r="AI6210">
        <v>96.194736138855404</v>
      </c>
      <c r="AJ6210">
        <v>108.804497009473</v>
      </c>
      <c r="AK6210">
        <v>10.4479857214583</v>
      </c>
      <c r="AL6210">
        <v>95.059571114007198</v>
      </c>
      <c r="AM6210">
        <v>112.07325075983</v>
      </c>
      <c r="AN6210">
        <v>0.99999998737437601</v>
      </c>
    </row>
    <row r="6211" spans="1:40" x14ac:dyDescent="0.25">
      <c r="A6211" t="str">
        <f>"20190303154934890"</f>
        <v>20190303154934890</v>
      </c>
      <c r="B6211" t="str">
        <f>"1551599374877680"</f>
        <v>1551599374877680</v>
      </c>
      <c r="C6211" t="s">
        <v>40</v>
      </c>
      <c r="D6211">
        <v>5.607259</v>
      </c>
      <c r="E6211">
        <v>0.52388659999999998</v>
      </c>
      <c r="F6211" t="s">
        <v>64</v>
      </c>
      <c r="G6211">
        <v>-404.05900000000003</v>
      </c>
      <c r="H6211" s="1">
        <v>-4.4736139999999998E-6</v>
      </c>
      <c r="I6211">
        <v>20.864249999999998</v>
      </c>
      <c r="J6211">
        <v>-414.346</v>
      </c>
      <c r="K6211">
        <v>1.1273169999999999</v>
      </c>
      <c r="L6211">
        <v>22.85333</v>
      </c>
      <c r="M6211">
        <v>0.87273109999999998</v>
      </c>
      <c r="N6211">
        <v>-1.5745579999999999E-2</v>
      </c>
      <c r="O6211">
        <v>-0.48794759999999998</v>
      </c>
      <c r="P6211">
        <v>0.98701329999999998</v>
      </c>
      <c r="Q6211">
        <v>-9.753908E-2</v>
      </c>
      <c r="R6211">
        <v>-0.1276361</v>
      </c>
      <c r="S6211">
        <v>2.933624</v>
      </c>
      <c r="T6211">
        <v>-0.31899090000000002</v>
      </c>
      <c r="U6211">
        <v>-0.57321169999999899</v>
      </c>
      <c r="V6211">
        <v>-0.36896780000000001</v>
      </c>
      <c r="W6211">
        <v>-8.8568670000000002E-2</v>
      </c>
      <c r="X6211">
        <v>0.92521260000000005</v>
      </c>
      <c r="Y6211">
        <v>-0.30783559999999999</v>
      </c>
      <c r="Z6211">
        <v>6.1069760000000001E-2</v>
      </c>
      <c r="AA6211">
        <v>0.94947760000000003</v>
      </c>
      <c r="AB6211">
        <v>18</v>
      </c>
      <c r="AC6211">
        <v>10.2869999999999</v>
      </c>
      <c r="AD6211">
        <v>-1.12732147361399</v>
      </c>
      <c r="AE6211">
        <v>-1.98908</v>
      </c>
      <c r="AF6211">
        <v>-3.2464094740241198</v>
      </c>
      <c r="AG6211">
        <v>-1.12732147361399</v>
      </c>
      <c r="AH6211">
        <v>9.8357201527028995</v>
      </c>
      <c r="AI6211">
        <v>96.211603554605205</v>
      </c>
      <c r="AJ6211">
        <v>108.266156445764</v>
      </c>
      <c r="AK6211">
        <v>10.418801231436801</v>
      </c>
      <c r="AL6211">
        <v>95.081269067231403</v>
      </c>
      <c r="AM6211">
        <v>111.74174027469201</v>
      </c>
      <c r="AN6211">
        <v>1.0000000009705801</v>
      </c>
    </row>
    <row r="6212" spans="1:40" x14ac:dyDescent="0.25">
      <c r="A6212" t="str">
        <f>"20190303154934904"</f>
        <v>20190303154934904</v>
      </c>
      <c r="B6212" t="str">
        <f>"1551599374897200"</f>
        <v>1551599374897200</v>
      </c>
      <c r="C6212" t="s">
        <v>40</v>
      </c>
      <c r="D6212">
        <v>5.6587870000000002</v>
      </c>
      <c r="E6212">
        <v>0.52411220000000003</v>
      </c>
      <c r="F6212" t="s">
        <v>64</v>
      </c>
      <c r="G6212">
        <v>-404.01749999999998</v>
      </c>
      <c r="H6212" s="1">
        <v>-4.4893950000000002E-6</v>
      </c>
      <c r="I6212">
        <v>20.84441</v>
      </c>
      <c r="J6212">
        <v>-414.2475</v>
      </c>
      <c r="K6212">
        <v>1.1271899999999999</v>
      </c>
      <c r="L6212">
        <v>22.80911</v>
      </c>
      <c r="M6212">
        <v>0.87670149999999902</v>
      </c>
      <c r="N6212">
        <v>-1.5712250000000001E-2</v>
      </c>
      <c r="O6212">
        <v>-0.48077829999999999</v>
      </c>
      <c r="P6212">
        <v>0.98731360000000001</v>
      </c>
      <c r="Q6212">
        <v>-9.8294300000000001E-2</v>
      </c>
      <c r="R6212">
        <v>-0.12470050000000001</v>
      </c>
      <c r="S6212">
        <v>2.9340519999999999</v>
      </c>
      <c r="T6212">
        <v>-0.32024059999999999</v>
      </c>
      <c r="U6212">
        <v>-0.57067869999999998</v>
      </c>
      <c r="V6212">
        <v>-0.36411759999999999</v>
      </c>
      <c r="W6212">
        <v>-8.9145849999999999E-2</v>
      </c>
      <c r="X6212">
        <v>0.92707680000000003</v>
      </c>
      <c r="Y6212">
        <v>-0.30088569999999998</v>
      </c>
      <c r="Z6212">
        <v>6.0364330000000001E-2</v>
      </c>
      <c r="AA6212">
        <v>0.95174780000000003</v>
      </c>
      <c r="AB6212">
        <v>18</v>
      </c>
      <c r="AC6212">
        <v>10.23</v>
      </c>
      <c r="AD6212">
        <v>-1.1271944893950001</v>
      </c>
      <c r="AE6212">
        <v>-1.9646999999999999</v>
      </c>
      <c r="AF6212">
        <v>-3.15930883329621</v>
      </c>
      <c r="AG6212">
        <v>-1.1271944893950001</v>
      </c>
      <c r="AH6212">
        <v>9.7997205615590897</v>
      </c>
      <c r="AI6212">
        <v>96.247557535916201</v>
      </c>
      <c r="AJ6212">
        <v>107.868680168593</v>
      </c>
      <c r="AK6212">
        <v>10.357911121732499</v>
      </c>
      <c r="AL6212">
        <v>95.114470376865995</v>
      </c>
      <c r="AM6212">
        <v>111.44285641981</v>
      </c>
      <c r="AN6212">
        <v>1.00000000115011</v>
      </c>
    </row>
    <row r="6213" spans="1:40" x14ac:dyDescent="0.25">
      <c r="A6213" t="str">
        <f>"20190303154934918"</f>
        <v>20190303154934918</v>
      </c>
      <c r="B6213" t="str">
        <f>"1551599374906959"</f>
        <v>1551599374906959</v>
      </c>
      <c r="C6213" t="s">
        <v>40</v>
      </c>
      <c r="D6213">
        <v>5.6856679999999997</v>
      </c>
      <c r="E6213">
        <v>0.52413739999999998</v>
      </c>
      <c r="F6213" t="s">
        <v>64</v>
      </c>
      <c r="G6213">
        <v>-403.70139999999998</v>
      </c>
      <c r="H6213" s="1">
        <v>-4.6256699999999899E-6</v>
      </c>
      <c r="I6213">
        <v>20.782859999999999</v>
      </c>
      <c r="J6213">
        <v>-414.14240000000001</v>
      </c>
      <c r="K6213">
        <v>1.12703</v>
      </c>
      <c r="L6213">
        <v>22.762910000000002</v>
      </c>
      <c r="M6213">
        <v>0.88078639999999997</v>
      </c>
      <c r="N6213">
        <v>-1.5671540000000001E-2</v>
      </c>
      <c r="O6213">
        <v>-0.47325450000000002</v>
      </c>
      <c r="P6213">
        <v>0.98767190000000005</v>
      </c>
      <c r="Q6213">
        <v>-9.8657090000000003E-2</v>
      </c>
      <c r="R6213">
        <v>-0.12153600000000001</v>
      </c>
      <c r="S6213">
        <v>2.9360659999999998</v>
      </c>
      <c r="T6213">
        <v>-0.31381510000000001</v>
      </c>
      <c r="U6213">
        <v>-0.56411739999999999</v>
      </c>
      <c r="V6213">
        <v>-0.35916290000000001</v>
      </c>
      <c r="W6213">
        <v>-8.9313569999999995E-2</v>
      </c>
      <c r="X6213">
        <v>0.92899140000000002</v>
      </c>
      <c r="Y6213">
        <v>-0.29510819999999999</v>
      </c>
      <c r="Z6213">
        <v>5.8128050000000001E-2</v>
      </c>
      <c r="AA6213">
        <v>0.95369400000000004</v>
      </c>
      <c r="AB6213">
        <v>18</v>
      </c>
      <c r="AC6213">
        <v>10.441000000000001</v>
      </c>
      <c r="AD6213">
        <v>-1.1270346256699999</v>
      </c>
      <c r="AE6213">
        <v>-1.9800500000000001</v>
      </c>
      <c r="AF6213">
        <v>-3.1620770366809201</v>
      </c>
      <c r="AG6213">
        <v>-1.1270346256699999</v>
      </c>
      <c r="AH6213">
        <v>10.021883997131599</v>
      </c>
      <c r="AI6213">
        <v>96.121333099107204</v>
      </c>
      <c r="AJ6213">
        <v>107.511383101093</v>
      </c>
      <c r="AK6213">
        <v>10.5691578228981</v>
      </c>
      <c r="AL6213">
        <v>95.124118712370702</v>
      </c>
      <c r="AM6213">
        <v>111.13729725816999</v>
      </c>
      <c r="AN6213">
        <v>0.99999996189825602</v>
      </c>
    </row>
    <row r="6214" spans="1:40" x14ac:dyDescent="0.25">
      <c r="A6214" t="str">
        <f>"20190303154934937"</f>
        <v>20190303154934937</v>
      </c>
      <c r="B6214" t="str">
        <f>"1551599374927456"</f>
        <v>1551599374927456</v>
      </c>
      <c r="C6214" t="s">
        <v>40</v>
      </c>
      <c r="D6214">
        <v>5.6913549999999997</v>
      </c>
      <c r="E6214">
        <v>0.52425459999999902</v>
      </c>
      <c r="F6214" t="s">
        <v>64</v>
      </c>
      <c r="G6214">
        <v>-403.6574</v>
      </c>
      <c r="H6214" s="1">
        <v>-4.6460970000000004E-6</v>
      </c>
      <c r="I6214">
        <v>20.782350000000001</v>
      </c>
      <c r="J6214">
        <v>-414.0188</v>
      </c>
      <c r="K6214">
        <v>1.1268149999999999</v>
      </c>
      <c r="L6214">
        <v>22.709810000000001</v>
      </c>
      <c r="M6214">
        <v>0.88538109999999903</v>
      </c>
      <c r="N6214">
        <v>-1.5615769999999999E-2</v>
      </c>
      <c r="O6214">
        <v>-0.46460380000000001</v>
      </c>
      <c r="P6214">
        <v>0.98752110000000004</v>
      </c>
      <c r="Q6214">
        <v>-9.997926E-2</v>
      </c>
      <c r="R6214">
        <v>-0.121682399999999</v>
      </c>
      <c r="S6214">
        <v>2.9376220000000002</v>
      </c>
      <c r="T6214">
        <v>-0.31576500000000002</v>
      </c>
      <c r="U6214">
        <v>-0.55490109999999904</v>
      </c>
      <c r="V6214">
        <v>-0.34988399999999997</v>
      </c>
      <c r="W6214">
        <v>-9.0332759999999998E-2</v>
      </c>
      <c r="X6214">
        <v>0.93242760000000002</v>
      </c>
      <c r="Y6214">
        <v>-0.28874840000000002</v>
      </c>
      <c r="Z6214">
        <v>5.7487410000000003E-2</v>
      </c>
      <c r="AA6214">
        <v>0.95567760000000002</v>
      </c>
      <c r="AB6214">
        <v>18</v>
      </c>
      <c r="AC6214">
        <v>10.3614</v>
      </c>
      <c r="AD6214">
        <v>-1.1268196460969999</v>
      </c>
      <c r="AE6214">
        <v>-1.92746</v>
      </c>
      <c r="AF6214">
        <v>-3.0726630482451101</v>
      </c>
      <c r="AG6214">
        <v>-1.1268196460969999</v>
      </c>
      <c r="AH6214">
        <v>9.9567011790993405</v>
      </c>
      <c r="AI6214">
        <v>96.171964511393895</v>
      </c>
      <c r="AJ6214">
        <v>107.15035757221899</v>
      </c>
      <c r="AK6214">
        <v>10.480786186768499</v>
      </c>
      <c r="AL6214">
        <v>95.182750681826704</v>
      </c>
      <c r="AM6214">
        <v>110.56809278452999</v>
      </c>
      <c r="AN6214">
        <v>1.00000002511348</v>
      </c>
    </row>
    <row r="6215" spans="1:40" x14ac:dyDescent="0.25">
      <c r="A6215" t="str">
        <f>"20190303154934957"</f>
        <v>20190303154934957</v>
      </c>
      <c r="B6215" t="str">
        <f>"1551599374947481"</f>
        <v>1551599374947481</v>
      </c>
      <c r="C6215" t="s">
        <v>40</v>
      </c>
      <c r="D6215">
        <v>5.698455</v>
      </c>
      <c r="E6215">
        <v>0.52426949999999894</v>
      </c>
      <c r="F6215" t="s">
        <v>64</v>
      </c>
      <c r="G6215">
        <v>-403.66719999999998</v>
      </c>
      <c r="H6215" s="1">
        <v>-4.63561E-6</v>
      </c>
      <c r="I6215">
        <v>20.749199999999998</v>
      </c>
      <c r="J6215">
        <v>-413.87650000000002</v>
      </c>
      <c r="K6215">
        <v>1.126544</v>
      </c>
      <c r="L6215">
        <v>22.649989999999999</v>
      </c>
      <c r="M6215">
        <v>0.89040169999999996</v>
      </c>
      <c r="N6215">
        <v>-1.5542500000000001E-2</v>
      </c>
      <c r="O6215">
        <v>-0.45491019999999999</v>
      </c>
      <c r="P6215">
        <v>0.98747879999999999</v>
      </c>
      <c r="Q6215">
        <v>-0.1018049</v>
      </c>
      <c r="R6215">
        <v>-0.12050470000000001</v>
      </c>
      <c r="S6215">
        <v>2.9370120000000002</v>
      </c>
      <c r="T6215">
        <v>-0.3197082</v>
      </c>
      <c r="U6215">
        <v>-0.55627439999999995</v>
      </c>
      <c r="V6215">
        <v>-0.34076060000000002</v>
      </c>
      <c r="W6215">
        <v>-9.1836420000000002E-2</v>
      </c>
      <c r="X6215">
        <v>0.93565390000000004</v>
      </c>
      <c r="Y6215">
        <v>-0.2778214</v>
      </c>
      <c r="Z6215">
        <v>5.6872039999999999E-2</v>
      </c>
      <c r="AA6215">
        <v>0.95894780000000002</v>
      </c>
      <c r="AB6215">
        <v>18</v>
      </c>
      <c r="AC6215">
        <v>10.209300000000001</v>
      </c>
      <c r="AD6215">
        <v>-1.1265486356100001</v>
      </c>
      <c r="AE6215">
        <v>-1.90079</v>
      </c>
      <c r="AF6215">
        <v>-2.9178666586612998</v>
      </c>
      <c r="AG6215">
        <v>-1.1265486356100001</v>
      </c>
      <c r="AH6215">
        <v>9.8404650362119508</v>
      </c>
      <c r="AI6215">
        <v>96.263586513998604</v>
      </c>
      <c r="AJ6215">
        <v>106.515993473446</v>
      </c>
      <c r="AK6215">
        <v>10.3255900458536</v>
      </c>
      <c r="AL6215">
        <v>95.269263984711898</v>
      </c>
      <c r="AM6215">
        <v>110.011377765916</v>
      </c>
      <c r="AN6215">
        <v>0.99999996756799203</v>
      </c>
    </row>
    <row r="6216" spans="1:40" x14ac:dyDescent="0.25">
      <c r="A6216" t="str">
        <f>"20190303154934971"</f>
        <v>20190303154934971</v>
      </c>
      <c r="B6216" t="str">
        <f>"1551599374967002"</f>
        <v>1551599374967002</v>
      </c>
      <c r="C6216" t="s">
        <v>40</v>
      </c>
      <c r="D6216">
        <v>5.703468</v>
      </c>
      <c r="E6216">
        <v>0.52423799999999998</v>
      </c>
      <c r="F6216" t="s">
        <v>64</v>
      </c>
      <c r="G6216">
        <v>-403.70890000000003</v>
      </c>
      <c r="H6216" s="1">
        <v>-4.6138209999999997E-6</v>
      </c>
      <c r="I6216">
        <v>20.735849999999999</v>
      </c>
      <c r="J6216">
        <v>-413.77109999999999</v>
      </c>
      <c r="K6216">
        <v>1.126325</v>
      </c>
      <c r="L6216">
        <v>22.6066</v>
      </c>
      <c r="M6216">
        <v>0.89391799999999999</v>
      </c>
      <c r="N6216">
        <v>-1.548123E-2</v>
      </c>
      <c r="O6216">
        <v>-0.44796350000000001</v>
      </c>
      <c r="P6216">
        <v>0.98774249999999997</v>
      </c>
      <c r="Q6216">
        <v>-0.1026594</v>
      </c>
      <c r="R6216">
        <v>-0.11758540000000001</v>
      </c>
      <c r="S6216">
        <v>2.9370120000000002</v>
      </c>
      <c r="T6216">
        <v>-0.32541389999999998</v>
      </c>
      <c r="U6216">
        <v>-0.55291749999999995</v>
      </c>
      <c r="V6216">
        <v>-0.33624039999999999</v>
      </c>
      <c r="W6216">
        <v>-9.2490279999999994E-2</v>
      </c>
      <c r="X6216">
        <v>0.93722360000000005</v>
      </c>
      <c r="Y6216">
        <v>-0.27132909999999999</v>
      </c>
      <c r="Z6216">
        <v>5.7038369999999998E-2</v>
      </c>
      <c r="AA6216">
        <v>0.96079499999999995</v>
      </c>
      <c r="AB6216">
        <v>18</v>
      </c>
      <c r="AC6216">
        <v>10.062199999999899</v>
      </c>
      <c r="AD6216">
        <v>-1.1263296138209999</v>
      </c>
      <c r="AE6216">
        <v>-1.8707499999999999</v>
      </c>
      <c r="AF6216">
        <v>-2.8016096968441899</v>
      </c>
      <c r="AG6216">
        <v>-1.1263296138209999</v>
      </c>
      <c r="AH6216">
        <v>9.7163100478970197</v>
      </c>
      <c r="AI6216">
        <v>96.355620520917398</v>
      </c>
      <c r="AJ6216">
        <v>106.084435656065</v>
      </c>
      <c r="AK6216">
        <v>10.174689982465599</v>
      </c>
      <c r="AL6216">
        <v>95.306887003022993</v>
      </c>
      <c r="AM6216">
        <v>109.736067648844</v>
      </c>
      <c r="AN6216">
        <v>1.0000000674417899</v>
      </c>
    </row>
    <row r="6217" spans="1:40" x14ac:dyDescent="0.25">
      <c r="A6217" t="str">
        <f>"20190303154934990"</f>
        <v>20190303154934990</v>
      </c>
      <c r="B6217" t="str">
        <f>"1551599374987497"</f>
        <v>1551599374987497</v>
      </c>
      <c r="C6217" t="s">
        <v>40</v>
      </c>
      <c r="D6217">
        <v>5.7167469999999998</v>
      </c>
      <c r="E6217">
        <v>0.52421779999999996</v>
      </c>
      <c r="F6217" t="s">
        <v>64</v>
      </c>
      <c r="G6217">
        <v>-403.67829999999998</v>
      </c>
      <c r="H6217" s="1">
        <v>-4.6285160000000003E-6</v>
      </c>
      <c r="I6217">
        <v>20.73847</v>
      </c>
      <c r="J6217">
        <v>-413.64</v>
      </c>
      <c r="K6217">
        <v>1.1260380000000001</v>
      </c>
      <c r="L6217">
        <v>22.553439999999998</v>
      </c>
      <c r="M6217">
        <v>0.89807559999999997</v>
      </c>
      <c r="N6217">
        <v>-1.5399660000000001E-2</v>
      </c>
      <c r="O6217">
        <v>-0.4395715</v>
      </c>
      <c r="P6217">
        <v>0.98782349999999997</v>
      </c>
      <c r="Q6217">
        <v>-0.10294349999999999</v>
      </c>
      <c r="R6217">
        <v>-0.1166509</v>
      </c>
      <c r="S6217">
        <v>2.9383849999999998</v>
      </c>
      <c r="T6217">
        <v>-0.32791690000000001</v>
      </c>
      <c r="U6217">
        <v>-0.54388429999999999</v>
      </c>
      <c r="V6217">
        <v>-0.3283952</v>
      </c>
      <c r="W6217">
        <v>-9.2482549999999997E-2</v>
      </c>
      <c r="X6217">
        <v>0.94000189999999995</v>
      </c>
      <c r="Y6217">
        <v>-0.26526040000000001</v>
      </c>
      <c r="Z6217">
        <v>5.6469100000000001E-2</v>
      </c>
      <c r="AA6217">
        <v>0.96252170000000004</v>
      </c>
      <c r="AB6217">
        <v>18</v>
      </c>
      <c r="AC6217">
        <v>9.9617000000000004</v>
      </c>
      <c r="AD6217">
        <v>-1.1260426285159999</v>
      </c>
      <c r="AE6217">
        <v>-1.81496999999999</v>
      </c>
      <c r="AF6217">
        <v>-2.71564106535447</v>
      </c>
      <c r="AG6217">
        <v>-1.1260426285159999</v>
      </c>
      <c r="AH6217">
        <v>9.6262771268071798</v>
      </c>
      <c r="AI6217">
        <v>96.423414627078998</v>
      </c>
      <c r="AJ6217">
        <v>105.754135757184</v>
      </c>
      <c r="AK6217">
        <v>10.065182050969799</v>
      </c>
      <c r="AL6217">
        <v>95.306442555296897</v>
      </c>
      <c r="AM6217">
        <v>109.25716228446301</v>
      </c>
      <c r="AN6217">
        <v>1.00000000072057</v>
      </c>
    </row>
    <row r="6218" spans="1:40" x14ac:dyDescent="0.25">
      <c r="A6218" t="str">
        <f>"20190303154935004"</f>
        <v>20190303154935004</v>
      </c>
      <c r="B6218" t="str">
        <f>"1551599374997258"</f>
        <v>1551599374997258</v>
      </c>
      <c r="C6218" t="s">
        <v>40</v>
      </c>
      <c r="D6218">
        <v>5.7102250000000003</v>
      </c>
      <c r="E6218">
        <v>0.52419910000000003</v>
      </c>
      <c r="F6218" t="s">
        <v>64</v>
      </c>
      <c r="G6218">
        <v>-403.57310000000001</v>
      </c>
      <c r="H6218" s="1">
        <v>-4.6707089999999996E-6</v>
      </c>
      <c r="I6218">
        <v>20.700109999999999</v>
      </c>
      <c r="J6218">
        <v>-413.54610000000002</v>
      </c>
      <c r="K6218">
        <v>1.1258269999999999</v>
      </c>
      <c r="L6218">
        <v>22.515899999999998</v>
      </c>
      <c r="M6218">
        <v>0.90090749999999997</v>
      </c>
      <c r="N6218">
        <v>-1.5338879999999999E-2</v>
      </c>
      <c r="O6218">
        <v>-0.43373990000000001</v>
      </c>
      <c r="P6218">
        <v>0.98817319999999997</v>
      </c>
      <c r="Q6218">
        <v>-0.1024388</v>
      </c>
      <c r="R6218">
        <v>-0.11410380000000001</v>
      </c>
      <c r="S6218">
        <v>2.9388429999999999</v>
      </c>
      <c r="T6218">
        <v>-0.32872889999999999</v>
      </c>
      <c r="U6218">
        <v>-0.54104609999999997</v>
      </c>
      <c r="V6218">
        <v>-0.3248028</v>
      </c>
      <c r="W6218">
        <v>-9.1806189999999996E-2</v>
      </c>
      <c r="X6218">
        <v>0.94131549999999997</v>
      </c>
      <c r="Y6218">
        <v>-0.25997110000000001</v>
      </c>
      <c r="Z6218">
        <v>5.58243E-2</v>
      </c>
      <c r="AA6218">
        <v>0.96400140000000001</v>
      </c>
      <c r="AB6218">
        <v>18</v>
      </c>
      <c r="AC6218">
        <v>9.9730000000000096</v>
      </c>
      <c r="AD6218">
        <v>-1.1258316707089999</v>
      </c>
      <c r="AE6218">
        <v>-1.81578999999999</v>
      </c>
      <c r="AF6218">
        <v>-2.65736771603799</v>
      </c>
      <c r="AG6218">
        <v>-1.1258316707089999</v>
      </c>
      <c r="AH6218">
        <v>9.6543963319913608</v>
      </c>
      <c r="AI6218">
        <v>96.414942868460102</v>
      </c>
      <c r="AJ6218">
        <v>105.389540364608</v>
      </c>
      <c r="AK6218">
        <v>10.076530586674201</v>
      </c>
      <c r="AL6218">
        <v>95.267524133992097</v>
      </c>
      <c r="AM6218">
        <v>109.037097013804</v>
      </c>
      <c r="AN6218">
        <v>1.0000000529752</v>
      </c>
    </row>
    <row r="6219" spans="1:40" x14ac:dyDescent="0.25">
      <c r="A6219" t="str">
        <f>"20190303154935016"</f>
        <v>20190303154935016</v>
      </c>
      <c r="B6219" t="str">
        <f>"1551599375007017"</f>
        <v>1551599375007017</v>
      </c>
      <c r="C6219" t="s">
        <v>40</v>
      </c>
      <c r="D6219">
        <v>5.7412910000000004</v>
      </c>
      <c r="E6219">
        <v>0.52419870000000002</v>
      </c>
      <c r="F6219" t="s">
        <v>64</v>
      </c>
      <c r="G6219">
        <v>-403.41090000000003</v>
      </c>
      <c r="H6219" s="1">
        <v>-4.7423079999999997E-6</v>
      </c>
      <c r="I6219">
        <v>20.67773</v>
      </c>
      <c r="J6219">
        <v>-413.45139999999998</v>
      </c>
      <c r="K6219">
        <v>1.125607</v>
      </c>
      <c r="L6219">
        <v>22.47861</v>
      </c>
      <c r="M6219">
        <v>0.9036189</v>
      </c>
      <c r="N6219">
        <v>-1.5275179999999999E-2</v>
      </c>
      <c r="O6219">
        <v>-0.42806509999999998</v>
      </c>
      <c r="P6219">
        <v>0.98854350000000002</v>
      </c>
      <c r="Q6219">
        <v>-0.1016896</v>
      </c>
      <c r="R6219">
        <v>-0.11153970000000001</v>
      </c>
      <c r="S6219">
        <v>2.9404599999999999</v>
      </c>
      <c r="T6219">
        <v>-0.32662940000000001</v>
      </c>
      <c r="U6219">
        <v>-0.53329469999999901</v>
      </c>
      <c r="V6219">
        <v>-0.32141550000000002</v>
      </c>
      <c r="W6219">
        <v>-9.0891920000000001E-2</v>
      </c>
      <c r="X6219">
        <v>0.94256600000000001</v>
      </c>
      <c r="Y6219">
        <v>-0.25654280000000002</v>
      </c>
      <c r="Z6219">
        <v>5.4765719999999997E-2</v>
      </c>
      <c r="AA6219">
        <v>0.96498010000000001</v>
      </c>
      <c r="AB6219">
        <v>18</v>
      </c>
      <c r="AC6219">
        <v>10.0404999999999</v>
      </c>
      <c r="AD6219">
        <v>-1.1256117423080001</v>
      </c>
      <c r="AE6219">
        <v>-1.80087999999999</v>
      </c>
      <c r="AF6219">
        <v>-2.6388583148809301</v>
      </c>
      <c r="AG6219">
        <v>-1.1256117423080001</v>
      </c>
      <c r="AH6219">
        <v>9.7263957487523491</v>
      </c>
      <c r="AI6219">
        <v>96.372944430366204</v>
      </c>
      <c r="AJ6219">
        <v>105.179454093592</v>
      </c>
      <c r="AK6219">
        <v>10.140677948824999</v>
      </c>
      <c r="AL6219">
        <v>95.214920845197597</v>
      </c>
      <c r="AM6219">
        <v>108.829403174044</v>
      </c>
      <c r="AN6219">
        <v>0.99999996455876705</v>
      </c>
    </row>
    <row r="6220" spans="1:40" x14ac:dyDescent="0.25">
      <c r="A6220" t="str">
        <f>"20190303154935027"</f>
        <v>20190303154935027</v>
      </c>
      <c r="B6220" t="str">
        <f>"1551599375016778"</f>
        <v>1551599375016778</v>
      </c>
      <c r="C6220" t="s">
        <v>40</v>
      </c>
      <c r="D6220">
        <v>5.7441420000000001</v>
      </c>
      <c r="E6220">
        <v>0.52416890000000005</v>
      </c>
      <c r="F6220" t="s">
        <v>64</v>
      </c>
      <c r="G6220">
        <v>-403.2319</v>
      </c>
      <c r="H6220" s="1">
        <v>-4.821159E-6</v>
      </c>
      <c r="I6220">
        <v>20.652460000000001</v>
      </c>
      <c r="J6220">
        <v>-413.37569999999999</v>
      </c>
      <c r="K6220">
        <v>1.125435</v>
      </c>
      <c r="L6220">
        <v>22.449100000000001</v>
      </c>
      <c r="M6220">
        <v>0.90569160000000004</v>
      </c>
      <c r="N6220">
        <v>-1.522363E-2</v>
      </c>
      <c r="O6220">
        <v>-0.42366409999999999</v>
      </c>
      <c r="P6220">
        <v>0.9887089</v>
      </c>
      <c r="Q6220">
        <v>-0.1016331</v>
      </c>
      <c r="R6220">
        <v>-0.11011700000000001</v>
      </c>
      <c r="S6220">
        <v>2.942078</v>
      </c>
      <c r="T6220">
        <v>-0.32405129999999999</v>
      </c>
      <c r="U6220">
        <v>-0.52572629999999998</v>
      </c>
      <c r="V6220">
        <v>-0.3182294</v>
      </c>
      <c r="W6220">
        <v>-9.0702279999999996E-2</v>
      </c>
      <c r="X6220">
        <v>0.94366470000000002</v>
      </c>
      <c r="Y6220">
        <v>-0.2544264</v>
      </c>
      <c r="Z6220">
        <v>5.3810320000000002E-2</v>
      </c>
      <c r="AA6220">
        <v>0.9655939</v>
      </c>
      <c r="AB6220">
        <v>18</v>
      </c>
      <c r="AC6220">
        <v>10.143800000000001</v>
      </c>
      <c r="AD6220">
        <v>-1.125439821159</v>
      </c>
      <c r="AE6220">
        <v>-1.79664</v>
      </c>
      <c r="AF6220">
        <v>-2.63917226795702</v>
      </c>
      <c r="AG6220">
        <v>-1.125439821159</v>
      </c>
      <c r="AH6220">
        <v>9.8321297068930704</v>
      </c>
      <c r="AI6220">
        <v>96.3085507024999</v>
      </c>
      <c r="AJ6220">
        <v>105.025339331053</v>
      </c>
      <c r="AK6220">
        <v>10.2421979879405</v>
      </c>
      <c r="AL6220">
        <v>95.204010227913798</v>
      </c>
      <c r="AM6220">
        <v>108.635505387382</v>
      </c>
      <c r="AN6220">
        <v>0.99999996032382299</v>
      </c>
    </row>
    <row r="6221" spans="1:40" x14ac:dyDescent="0.25">
      <c r="A6221" t="str">
        <f>"20190303154935046"</f>
        <v>20190303154935046</v>
      </c>
      <c r="B6221" t="str">
        <f>"1551599375036805"</f>
        <v>1551599375036805</v>
      </c>
      <c r="C6221" t="s">
        <v>40</v>
      </c>
      <c r="D6221">
        <v>5.7368800000000002</v>
      </c>
      <c r="E6221">
        <v>0.52411059999999998</v>
      </c>
      <c r="F6221" t="s">
        <v>64</v>
      </c>
      <c r="G6221">
        <v>-403.1669</v>
      </c>
      <c r="H6221" s="1">
        <v>-4.849412E-6</v>
      </c>
      <c r="I6221">
        <v>20.641010000000001</v>
      </c>
      <c r="J6221">
        <v>-413.24369999999999</v>
      </c>
      <c r="K6221">
        <v>1.1251409999999999</v>
      </c>
      <c r="L6221">
        <v>22.398099999999999</v>
      </c>
      <c r="M6221">
        <v>0.90913080000000002</v>
      </c>
      <c r="N6221">
        <v>-1.513366E-2</v>
      </c>
      <c r="O6221">
        <v>-0.4162361</v>
      </c>
      <c r="P6221">
        <v>0.98873999999999995</v>
      </c>
      <c r="Q6221">
        <v>-0.10261199999999999</v>
      </c>
      <c r="R6221">
        <v>-0.1089218</v>
      </c>
      <c r="S6221">
        <v>2.942841</v>
      </c>
      <c r="T6221">
        <v>-0.32442470000000001</v>
      </c>
      <c r="U6221">
        <v>-0.5212097</v>
      </c>
      <c r="V6221">
        <v>-0.31165789999999999</v>
      </c>
      <c r="W6221">
        <v>-9.1444949999999997E-2</v>
      </c>
      <c r="X6221">
        <v>0.94578390000000001</v>
      </c>
      <c r="Y6221">
        <v>-0.24804599999999999</v>
      </c>
      <c r="Z6221">
        <v>5.2893269999999999E-2</v>
      </c>
      <c r="AA6221">
        <v>0.96730320000000003</v>
      </c>
      <c r="AB6221">
        <v>17</v>
      </c>
      <c r="AC6221">
        <v>10.076799999999899</v>
      </c>
      <c r="AD6221">
        <v>-1.1251458494119999</v>
      </c>
      <c r="AE6221">
        <v>-1.75708999999999</v>
      </c>
      <c r="AF6221">
        <v>-2.5661513610797999</v>
      </c>
      <c r="AG6221">
        <v>-1.1251458494119999</v>
      </c>
      <c r="AH6221">
        <v>9.7753488917228708</v>
      </c>
      <c r="AI6221">
        <v>96.352481323710094</v>
      </c>
      <c r="AJ6221">
        <v>104.708974392607</v>
      </c>
      <c r="AK6221">
        <v>10.1689985714094</v>
      </c>
      <c r="AL6221">
        <v>95.246739426051406</v>
      </c>
      <c r="AM6221">
        <v>108.238259551908</v>
      </c>
      <c r="AN6221">
        <v>1.0000000055060601</v>
      </c>
    </row>
    <row r="6222" spans="1:40" x14ac:dyDescent="0.25">
      <c r="A6222" t="str">
        <f>"20190303154935058"</f>
        <v>20190303154935058</v>
      </c>
      <c r="B6222" t="str">
        <f>"1551599375047541"</f>
        <v>1551599375047541</v>
      </c>
      <c r="C6222" t="s">
        <v>40</v>
      </c>
      <c r="D6222">
        <v>5.7446279999999996</v>
      </c>
      <c r="E6222">
        <v>0.52407899999999996</v>
      </c>
      <c r="F6222" t="s">
        <v>64</v>
      </c>
      <c r="G6222">
        <v>-403.13560000000001</v>
      </c>
      <c r="H6222" s="1">
        <v>-4.8605899999999998E-6</v>
      </c>
      <c r="I6222">
        <v>20.62189</v>
      </c>
      <c r="J6222">
        <v>-413.15359999999998</v>
      </c>
      <c r="K6222">
        <v>1.1249359999999999</v>
      </c>
      <c r="L6222">
        <v>22.363769999999999</v>
      </c>
      <c r="M6222">
        <v>0.91134539999999997</v>
      </c>
      <c r="N6222">
        <v>-1.5072260000000001E-2</v>
      </c>
      <c r="O6222">
        <v>-0.41136660000000003</v>
      </c>
      <c r="P6222">
        <v>0.98883770000000004</v>
      </c>
      <c r="Q6222">
        <v>-0.1033805</v>
      </c>
      <c r="R6222">
        <v>-0.10729519999999999</v>
      </c>
      <c r="S6222">
        <v>2.9431759999999998</v>
      </c>
      <c r="T6222">
        <v>-0.32761030000000002</v>
      </c>
      <c r="U6222">
        <v>-0.51718140000000001</v>
      </c>
      <c r="V6222">
        <v>-0.30815999999999999</v>
      </c>
      <c r="W6222">
        <v>-9.2073440000000006E-2</v>
      </c>
      <c r="X6222">
        <v>0.9468685</v>
      </c>
      <c r="Y6222">
        <v>-0.2441402</v>
      </c>
      <c r="Z6222">
        <v>5.2823639999999998E-2</v>
      </c>
      <c r="AA6222">
        <v>0.96830020000000006</v>
      </c>
      <c r="AB6222">
        <v>17</v>
      </c>
      <c r="AC6222">
        <v>10.017999999999899</v>
      </c>
      <c r="AD6222">
        <v>-1.12494086059</v>
      </c>
      <c r="AE6222">
        <v>-1.7418800000000001</v>
      </c>
      <c r="AF6222">
        <v>-2.50326538862035</v>
      </c>
      <c r="AG6222">
        <v>-1.12494086059</v>
      </c>
      <c r="AH6222">
        <v>9.7284566284823892</v>
      </c>
      <c r="AI6222">
        <v>96.389711350960795</v>
      </c>
      <c r="AJ6222">
        <v>104.429955427891</v>
      </c>
      <c r="AK6222">
        <v>10.108150073972601</v>
      </c>
      <c r="AL6222">
        <v>95.282901681444301</v>
      </c>
      <c r="AM6222">
        <v>108.027568551743</v>
      </c>
      <c r="AN6222">
        <v>1.00000003012284</v>
      </c>
    </row>
    <row r="6223" spans="1:40" x14ac:dyDescent="0.25">
      <c r="A6223" t="str">
        <f>"20190303154935072"</f>
        <v>20190303154935072</v>
      </c>
      <c r="B6223" t="str">
        <f>"1551599375067061"</f>
        <v>1551599375067061</v>
      </c>
      <c r="C6223" t="s">
        <v>40</v>
      </c>
      <c r="D6223">
        <v>5.7568409999999997</v>
      </c>
      <c r="E6223">
        <v>0.52405779999999902</v>
      </c>
      <c r="F6223" t="s">
        <v>64</v>
      </c>
      <c r="G6223">
        <v>-403.1472</v>
      </c>
      <c r="H6223" s="1">
        <v>-4.8553650000000002E-6</v>
      </c>
      <c r="I6223">
        <v>20.622969999999999</v>
      </c>
      <c r="J6223">
        <v>-413.0573</v>
      </c>
      <c r="K6223">
        <v>1.124738</v>
      </c>
      <c r="L6223">
        <v>22.327480000000001</v>
      </c>
      <c r="M6223">
        <v>0.91356530000000002</v>
      </c>
      <c r="N6223">
        <v>-1.5006469999999999E-2</v>
      </c>
      <c r="O6223">
        <v>-0.40641500000000003</v>
      </c>
      <c r="P6223">
        <v>0.98900750000000004</v>
      </c>
      <c r="Q6223">
        <v>-0.1036461</v>
      </c>
      <c r="R6223">
        <v>-0.1054583</v>
      </c>
      <c r="S6223">
        <v>2.9437259999999998</v>
      </c>
      <c r="T6223">
        <v>-0.33094109999999999</v>
      </c>
      <c r="U6223">
        <v>-0.51211549999999995</v>
      </c>
      <c r="V6223">
        <v>-0.30481360000000002</v>
      </c>
      <c r="W6223">
        <v>-9.2205200000000001E-2</v>
      </c>
      <c r="X6223">
        <v>0.94793819999999995</v>
      </c>
      <c r="Y6223">
        <v>-0.24049619999999999</v>
      </c>
      <c r="Z6223">
        <v>5.277254E-2</v>
      </c>
      <c r="AA6223">
        <v>0.96921440000000003</v>
      </c>
      <c r="AB6223">
        <v>17</v>
      </c>
      <c r="AC6223">
        <v>9.9100999999999999</v>
      </c>
      <c r="AD6223">
        <v>-1.1247428553650001</v>
      </c>
      <c r="AE6223">
        <v>-1.70450999999999</v>
      </c>
      <c r="AF6223">
        <v>-2.440181530986</v>
      </c>
      <c r="AG6223">
        <v>-1.1247428553650001</v>
      </c>
      <c r="AH6223">
        <v>9.6269184215137003</v>
      </c>
      <c r="AI6223">
        <v>96.4613066935066</v>
      </c>
      <c r="AJ6223">
        <v>104.223471572706</v>
      </c>
      <c r="AK6223">
        <v>9.9948532099946092</v>
      </c>
      <c r="AL6223">
        <v>95.290483488212502</v>
      </c>
      <c r="AM6223">
        <v>107.825417586212</v>
      </c>
      <c r="AN6223">
        <v>0.99999998033561899</v>
      </c>
    </row>
    <row r="6224" spans="1:40" x14ac:dyDescent="0.25">
      <c r="A6224" t="str">
        <f>"20190303154935091"</f>
        <v>20190303154935091</v>
      </c>
      <c r="B6224" t="str">
        <f>"1551599375087557"</f>
        <v>1551599375087557</v>
      </c>
      <c r="C6224" t="s">
        <v>40</v>
      </c>
      <c r="D6224">
        <v>5.7696740000000002</v>
      </c>
      <c r="E6224">
        <v>0.52414459999999996</v>
      </c>
      <c r="F6224" t="s">
        <v>64</v>
      </c>
      <c r="G6224">
        <v>-403.11599999999999</v>
      </c>
      <c r="H6224" s="1">
        <v>-4.8690219999999996E-6</v>
      </c>
      <c r="I6224">
        <v>20.617909999999998</v>
      </c>
      <c r="J6224">
        <v>-412.92009999999999</v>
      </c>
      <c r="K6224">
        <v>1.1244730000000001</v>
      </c>
      <c r="L6224">
        <v>22.276250000000001</v>
      </c>
      <c r="M6224">
        <v>0.91654029999999997</v>
      </c>
      <c r="N6224">
        <v>-1.491434E-2</v>
      </c>
      <c r="O6224">
        <v>-0.39966370000000001</v>
      </c>
      <c r="P6224">
        <v>0.98914740000000001</v>
      </c>
      <c r="Q6224">
        <v>-0.1034127</v>
      </c>
      <c r="R6224">
        <v>-0.1043702</v>
      </c>
      <c r="S6224">
        <v>2.944458</v>
      </c>
      <c r="T6224">
        <v>-0.33312999999999998</v>
      </c>
      <c r="U6224">
        <v>-0.50634769999999996</v>
      </c>
      <c r="V6224">
        <v>-0.29893960000000003</v>
      </c>
      <c r="W6224">
        <v>-9.177275E-2</v>
      </c>
      <c r="X6224">
        <v>0.9498489</v>
      </c>
      <c r="Y6224">
        <v>-0.23523189999999999</v>
      </c>
      <c r="Z6224">
        <v>5.225904E-2</v>
      </c>
      <c r="AA6224">
        <v>0.97053339999999999</v>
      </c>
      <c r="AB6224">
        <v>17</v>
      </c>
      <c r="AC6224">
        <v>9.8041</v>
      </c>
      <c r="AD6224">
        <v>-1.1244778690220001</v>
      </c>
      <c r="AE6224">
        <v>-1.6583399999999899</v>
      </c>
      <c r="AF6224">
        <v>-2.3683854862084699</v>
      </c>
      <c r="AG6224">
        <v>-1.1244778690220001</v>
      </c>
      <c r="AH6224">
        <v>9.5278547638887492</v>
      </c>
      <c r="AI6224">
        <v>96.533875694517306</v>
      </c>
      <c r="AJ6224">
        <v>103.95936825884</v>
      </c>
      <c r="AK6224">
        <v>9.8819895107696194</v>
      </c>
      <c r="AL6224">
        <v>95.265600175270706</v>
      </c>
      <c r="AM6224">
        <v>107.47000460621901</v>
      </c>
      <c r="AN6224">
        <v>1.00000002746096</v>
      </c>
    </row>
    <row r="6225" spans="1:40" x14ac:dyDescent="0.25">
      <c r="A6225" t="str">
        <f>"20190303154935106"</f>
        <v>20190303154935106</v>
      </c>
      <c r="B6225" t="str">
        <f>"1551599375097317"</f>
        <v>1551599375097317</v>
      </c>
      <c r="C6225" t="s">
        <v>40</v>
      </c>
      <c r="D6225">
        <v>5.7101680000000004</v>
      </c>
      <c r="E6225">
        <v>0.52420459999999902</v>
      </c>
      <c r="F6225" t="s">
        <v>64</v>
      </c>
      <c r="G6225">
        <v>-402.98590000000002</v>
      </c>
      <c r="H6225" s="1">
        <v>-4.9223210000000002E-6</v>
      </c>
      <c r="I6225">
        <v>20.576910000000002</v>
      </c>
      <c r="J6225">
        <v>-412.8227</v>
      </c>
      <c r="K6225">
        <v>1.124282</v>
      </c>
      <c r="L6225">
        <v>22.240200000000002</v>
      </c>
      <c r="M6225">
        <v>0.91851830000000001</v>
      </c>
      <c r="N6225">
        <v>-1.485036E-2</v>
      </c>
      <c r="O6225">
        <v>-0.3950996</v>
      </c>
      <c r="P6225">
        <v>0.98943639999999999</v>
      </c>
      <c r="Q6225">
        <v>-0.102618</v>
      </c>
      <c r="R6225">
        <v>-0.1023966</v>
      </c>
      <c r="S6225">
        <v>2.9449160000000001</v>
      </c>
      <c r="T6225">
        <v>-0.33334200000000003</v>
      </c>
      <c r="U6225">
        <v>-0.50375369999999997</v>
      </c>
      <c r="V6225">
        <v>-0.29619450000000003</v>
      </c>
      <c r="W6225">
        <v>-9.0859590000000004E-2</v>
      </c>
      <c r="X6225">
        <v>0.95079619999999998</v>
      </c>
      <c r="Y6225">
        <v>-0.231292</v>
      </c>
      <c r="Z6225">
        <v>5.1665099999999999E-2</v>
      </c>
      <c r="AA6225">
        <v>0.97151160000000003</v>
      </c>
      <c r="AB6225">
        <v>17</v>
      </c>
      <c r="AC6225">
        <v>9.8367999999999807</v>
      </c>
      <c r="AD6225">
        <v>-1.1242869223209999</v>
      </c>
      <c r="AE6225">
        <v>-1.6632899999999999</v>
      </c>
      <c r="AF6225">
        <v>-2.3294296929137102</v>
      </c>
      <c r="AG6225">
        <v>-1.1242869223209999</v>
      </c>
      <c r="AH6225">
        <v>9.5719506625090904</v>
      </c>
      <c r="AI6225">
        <v>96.510741703861498</v>
      </c>
      <c r="AJ6225">
        <v>103.677621688415</v>
      </c>
      <c r="AK6225">
        <v>9.9152661720923199</v>
      </c>
      <c r="AL6225">
        <v>95.213060431715803</v>
      </c>
      <c r="AM6225">
        <v>107.30299160444601</v>
      </c>
      <c r="AN6225">
        <v>1.00000003042982</v>
      </c>
    </row>
    <row r="6226" spans="1:40" x14ac:dyDescent="0.25">
      <c r="A6226" t="str">
        <f>"20190303154935119"</f>
        <v>20190303154935119</v>
      </c>
      <c r="B6226" t="str">
        <f>"1551599375107077"</f>
        <v>1551599375107077</v>
      </c>
      <c r="C6226" t="s">
        <v>40</v>
      </c>
      <c r="D6226">
        <v>5.6904519999999996</v>
      </c>
      <c r="E6226">
        <v>0.52426519999999999</v>
      </c>
      <c r="F6226" t="s">
        <v>64</v>
      </c>
      <c r="G6226">
        <v>-402.82249999999999</v>
      </c>
      <c r="H6226" s="1">
        <v>-4.9933909999999999E-6</v>
      </c>
      <c r="I6226">
        <v>20.5487</v>
      </c>
      <c r="J6226">
        <v>-412.7165</v>
      </c>
      <c r="K6226">
        <v>1.124074</v>
      </c>
      <c r="L6226">
        <v>22.201229999999999</v>
      </c>
      <c r="M6226">
        <v>0.92055140000000002</v>
      </c>
      <c r="N6226">
        <v>-1.478256E-2</v>
      </c>
      <c r="O6226">
        <v>-0.39034210000000003</v>
      </c>
      <c r="P6226">
        <v>0.98978730000000004</v>
      </c>
      <c r="Q6226">
        <v>-0.1013739</v>
      </c>
      <c r="R6226">
        <v>-0.1002238</v>
      </c>
      <c r="S6226">
        <v>2.946075</v>
      </c>
      <c r="T6226">
        <v>-0.33121820000000002</v>
      </c>
      <c r="U6226">
        <v>-0.49832149999999997</v>
      </c>
      <c r="V6226">
        <v>-0.29347050000000002</v>
      </c>
      <c r="W6226">
        <v>-8.9494030000000002E-2</v>
      </c>
      <c r="X6226">
        <v>0.95176989999999995</v>
      </c>
      <c r="Y6226">
        <v>-0.2281473</v>
      </c>
      <c r="Z6226">
        <v>5.0711720000000002E-2</v>
      </c>
      <c r="AA6226">
        <v>0.97230510000000003</v>
      </c>
      <c r="AB6226">
        <v>17</v>
      </c>
      <c r="AC6226">
        <v>9.8940000000000001</v>
      </c>
      <c r="AD6226">
        <v>-1.124078993391</v>
      </c>
      <c r="AE6226">
        <v>-1.6525299999999901</v>
      </c>
      <c r="AF6226">
        <v>-2.31202821213471</v>
      </c>
      <c r="AG6226">
        <v>-1.124078993391</v>
      </c>
      <c r="AH6226">
        <v>9.6330849690430895</v>
      </c>
      <c r="AI6226">
        <v>96.4734970761629</v>
      </c>
      <c r="AJ6226">
        <v>103.49622716618499</v>
      </c>
      <c r="AK6226">
        <v>9.9702233705114907</v>
      </c>
      <c r="AL6226">
        <v>95.134499534648299</v>
      </c>
      <c r="AM6226">
        <v>107.13672056214401</v>
      </c>
      <c r="AN6226">
        <v>1.0000000291609501</v>
      </c>
    </row>
    <row r="6227" spans="1:40" x14ac:dyDescent="0.25">
      <c r="A6227" t="str">
        <f>"20190303154935137"</f>
        <v>20190303154935137</v>
      </c>
      <c r="B6227" t="str">
        <f>"1551599375127572"</f>
        <v>1551599375127572</v>
      </c>
      <c r="C6227" t="s">
        <v>40</v>
      </c>
      <c r="D6227">
        <v>5.653168</v>
      </c>
      <c r="E6227">
        <v>0.52437449999999997</v>
      </c>
      <c r="F6227" t="s">
        <v>64</v>
      </c>
      <c r="G6227">
        <v>-402.60599999999999</v>
      </c>
      <c r="H6227" s="1">
        <v>-5.0878020000000003E-6</v>
      </c>
      <c r="I6227">
        <v>20.512339999999998</v>
      </c>
      <c r="J6227">
        <v>-412.58980000000003</v>
      </c>
      <c r="K6227">
        <v>1.1238410000000001</v>
      </c>
      <c r="L6227">
        <v>22.155180000000001</v>
      </c>
      <c r="M6227">
        <v>0.92279169999999999</v>
      </c>
      <c r="N6227">
        <v>-1.470552E-2</v>
      </c>
      <c r="O6227">
        <v>-0.38501859999999999</v>
      </c>
      <c r="P6227">
        <v>0.98998050000000004</v>
      </c>
      <c r="Q6227">
        <v>-9.9797839999999999E-2</v>
      </c>
      <c r="R6227">
        <v>-9.9896009999999993E-2</v>
      </c>
      <c r="S6227">
        <v>2.9475709999999999</v>
      </c>
      <c r="T6227">
        <v>-0.32770840000000001</v>
      </c>
      <c r="U6227">
        <v>-0.49237059999999999</v>
      </c>
      <c r="V6227">
        <v>-0.28841519999999998</v>
      </c>
      <c r="W6227">
        <v>-8.7761359999999997E-2</v>
      </c>
      <c r="X6227">
        <v>0.95347510000000002</v>
      </c>
      <c r="Y6227">
        <v>-0.22462979999999999</v>
      </c>
      <c r="Z6227">
        <v>4.9465429999999998E-2</v>
      </c>
      <c r="AA6227">
        <v>0.97318789999999999</v>
      </c>
      <c r="AB6227">
        <v>17</v>
      </c>
      <c r="AC6227">
        <v>9.9838000000000306</v>
      </c>
      <c r="AD6227">
        <v>-1.123846087802</v>
      </c>
      <c r="AE6227">
        <v>-1.6428399999999901</v>
      </c>
      <c r="AF6227">
        <v>-2.2998276350236</v>
      </c>
      <c r="AG6227">
        <v>-1.123846087802</v>
      </c>
      <c r="AH6227">
        <v>9.7265568535634301</v>
      </c>
      <c r="AI6227">
        <v>96.415595178188894</v>
      </c>
      <c r="AJ6227">
        <v>103.303163340898</v>
      </c>
      <c r="AK6227">
        <v>10.0577405715939</v>
      </c>
      <c r="AL6227">
        <v>95.0348324076501</v>
      </c>
      <c r="AM6227">
        <v>106.82995941261299</v>
      </c>
      <c r="AN6227">
        <v>1.00000007511004</v>
      </c>
    </row>
    <row r="6228" spans="1:40" x14ac:dyDescent="0.25">
      <c r="A6228" t="str">
        <f>"20190303154935158"</f>
        <v>20190303154935158</v>
      </c>
      <c r="B6228" t="str">
        <f>"1551599375147598"</f>
        <v>1551599375147598</v>
      </c>
      <c r="C6228" t="s">
        <v>40</v>
      </c>
      <c r="D6228">
        <v>5.6600489999999999</v>
      </c>
      <c r="E6228">
        <v>0.52454540000000005</v>
      </c>
      <c r="F6228" t="s">
        <v>64</v>
      </c>
      <c r="G6228">
        <v>-402.34350000000001</v>
      </c>
      <c r="H6228" s="1">
        <v>-5.1979400000000001E-6</v>
      </c>
      <c r="I6228">
        <v>20.444220000000001</v>
      </c>
      <c r="J6228">
        <v>-412.44209999999998</v>
      </c>
      <c r="K6228">
        <v>1.123577</v>
      </c>
      <c r="L6228">
        <v>22.101929999999999</v>
      </c>
      <c r="M6228">
        <v>0.92520199999999997</v>
      </c>
      <c r="N6228">
        <v>-1.462084E-2</v>
      </c>
      <c r="O6228">
        <v>-0.37919340000000001</v>
      </c>
      <c r="P6228">
        <v>0.98995489999999997</v>
      </c>
      <c r="Q6228">
        <v>-9.9605250000000006E-2</v>
      </c>
      <c r="R6228">
        <v>-0.10034</v>
      </c>
      <c r="S6228">
        <v>2.9480900000000001</v>
      </c>
      <c r="T6228">
        <v>-0.32335419999999998</v>
      </c>
      <c r="U6228">
        <v>-0.49227910000000002</v>
      </c>
      <c r="V6228">
        <v>-0.28204509999999899</v>
      </c>
      <c r="W6228">
        <v>-8.7391060000000007E-2</v>
      </c>
      <c r="X6228">
        <v>0.9554127</v>
      </c>
      <c r="Y6228">
        <v>-0.21868760000000001</v>
      </c>
      <c r="Z6228">
        <v>4.7913200000000003E-2</v>
      </c>
      <c r="AA6228">
        <v>0.97461790000000004</v>
      </c>
      <c r="AB6228">
        <v>17</v>
      </c>
      <c r="AC6228">
        <v>10.0985999999999</v>
      </c>
      <c r="AD6228">
        <v>-1.12358219794</v>
      </c>
      <c r="AE6228">
        <v>-1.65770999999999</v>
      </c>
      <c r="AF6228">
        <v>-2.2685059904082698</v>
      </c>
      <c r="AG6228">
        <v>-1.12358219794</v>
      </c>
      <c r="AH6228">
        <v>9.8541190045160096</v>
      </c>
      <c r="AI6228">
        <v>96.340425836761</v>
      </c>
      <c r="AJ6228">
        <v>102.964132248203</v>
      </c>
      <c r="AK6228">
        <v>10.1740954260911</v>
      </c>
      <c r="AL6228">
        <v>95.013534168412406</v>
      </c>
      <c r="AM6228">
        <v>106.447001496095</v>
      </c>
      <c r="AN6228">
        <v>1.00000003156161</v>
      </c>
    </row>
    <row r="6229" spans="1:40" x14ac:dyDescent="0.25">
      <c r="A6229" t="str">
        <f>"20190303154935171"</f>
        <v>20190303154935171</v>
      </c>
      <c r="B6229" t="str">
        <f>"1551599375167118"</f>
        <v>1551599375167118</v>
      </c>
      <c r="C6229" t="s">
        <v>40</v>
      </c>
      <c r="D6229">
        <v>5.4727269999999999</v>
      </c>
      <c r="E6229">
        <v>0.52451130000000001</v>
      </c>
      <c r="F6229" t="s">
        <v>64</v>
      </c>
      <c r="G6229">
        <v>-402.20890000000003</v>
      </c>
      <c r="H6229" s="1">
        <v>-5.2498579999999996E-6</v>
      </c>
      <c r="I6229">
        <v>20.383610000000001</v>
      </c>
      <c r="J6229">
        <v>-412.34480000000002</v>
      </c>
      <c r="K6229">
        <v>1.1234090000000001</v>
      </c>
      <c r="L6229">
        <v>22.067139999999998</v>
      </c>
      <c r="M6229">
        <v>0.9266567</v>
      </c>
      <c r="N6229">
        <v>-1.4568650000000001E-2</v>
      </c>
      <c r="O6229">
        <v>-0.37562640000000003</v>
      </c>
      <c r="P6229">
        <v>0.98995789999999995</v>
      </c>
      <c r="Q6229">
        <v>-9.9521209999999999E-2</v>
      </c>
      <c r="R6229">
        <v>-0.10039380000000001</v>
      </c>
      <c r="S6229">
        <v>2.9476930000000001</v>
      </c>
      <c r="T6229">
        <v>-0.32364999999999999</v>
      </c>
      <c r="U6229">
        <v>-0.49496459999999998</v>
      </c>
      <c r="V6229">
        <v>-0.27835520000000002</v>
      </c>
      <c r="W6229">
        <v>-8.7202180000000004E-2</v>
      </c>
      <c r="X6229">
        <v>0.95651140000000001</v>
      </c>
      <c r="Y6229">
        <v>-0.2140784</v>
      </c>
      <c r="Z6229">
        <v>4.738912E-2</v>
      </c>
      <c r="AA6229">
        <v>0.97566629999999999</v>
      </c>
      <c r="AB6229">
        <v>17</v>
      </c>
      <c r="AC6229">
        <v>10.1358999999999</v>
      </c>
      <c r="AD6229">
        <v>-1.123414249858</v>
      </c>
      <c r="AE6229">
        <v>-1.68352999999999</v>
      </c>
      <c r="AF6229">
        <v>-2.2209451235908699</v>
      </c>
      <c r="AG6229">
        <v>-1.123414249858</v>
      </c>
      <c r="AH6229">
        <v>9.9075010585063392</v>
      </c>
      <c r="AI6229">
        <v>96.313772268471098</v>
      </c>
      <c r="AJ6229">
        <v>102.63500468616201</v>
      </c>
      <c r="AK6229">
        <v>10.215343070258999</v>
      </c>
      <c r="AL6229">
        <v>95.002671088370406</v>
      </c>
      <c r="AM6229">
        <v>106.225569246837</v>
      </c>
      <c r="AN6229">
        <v>0.99999994794687397</v>
      </c>
    </row>
    <row r="6230" spans="1:40" x14ac:dyDescent="0.25">
      <c r="A6230" t="str">
        <f>"20190303154935184"</f>
        <v>20190303154935184</v>
      </c>
      <c r="B6230" t="str">
        <f>"1551599375176879"</f>
        <v>1551599375176879</v>
      </c>
      <c r="C6230" t="s">
        <v>40</v>
      </c>
      <c r="D6230">
        <v>5.4248200000000004</v>
      </c>
      <c r="E6230">
        <v>0.50616720000000004</v>
      </c>
      <c r="F6230" t="s">
        <v>64</v>
      </c>
      <c r="G6230">
        <v>-402.06400000000002</v>
      </c>
      <c r="H6230" s="1">
        <v>-5.3097470000000004E-6</v>
      </c>
      <c r="I6230">
        <v>20.34103</v>
      </c>
      <c r="J6230">
        <v>-412.25279999999998</v>
      </c>
      <c r="K6230">
        <v>1.123254</v>
      </c>
      <c r="L6230">
        <v>22.034330000000001</v>
      </c>
      <c r="M6230">
        <v>0.9279712</v>
      </c>
      <c r="N6230">
        <v>-1.4521549999999999E-2</v>
      </c>
      <c r="O6230">
        <v>-0.37236900000000001</v>
      </c>
      <c r="P6230">
        <v>0.989869</v>
      </c>
      <c r="Q6230">
        <v>-9.9888379999999999E-2</v>
      </c>
      <c r="R6230">
        <v>-0.1009052</v>
      </c>
      <c r="S6230">
        <v>2.947845</v>
      </c>
      <c r="T6230">
        <v>-0.32211960000000001</v>
      </c>
      <c r="U6230">
        <v>-0.49493409999999899</v>
      </c>
      <c r="V6230">
        <v>-0.27452120000000002</v>
      </c>
      <c r="W6230">
        <v>-8.7471960000000001E-2</v>
      </c>
      <c r="X6230">
        <v>0.95759430000000001</v>
      </c>
      <c r="Y6230">
        <v>-0.2107271</v>
      </c>
      <c r="Z6230">
        <v>4.6676170000000003E-2</v>
      </c>
      <c r="AA6230">
        <v>0.97642989999999996</v>
      </c>
      <c r="AB6230">
        <v>17</v>
      </c>
      <c r="AC6230">
        <v>10.188799999999899</v>
      </c>
      <c r="AD6230">
        <v>-1.1232593097470001</v>
      </c>
      <c r="AE6230">
        <v>-1.69329999999999</v>
      </c>
      <c r="AF6230">
        <v>-2.1969106430240601</v>
      </c>
      <c r="AG6230">
        <v>-1.1232593097470001</v>
      </c>
      <c r="AH6230">
        <v>9.9686078678782106</v>
      </c>
      <c r="AI6230">
        <v>96.279512768634007</v>
      </c>
      <c r="AJ6230">
        <v>102.42834222104599</v>
      </c>
      <c r="AK6230">
        <v>10.269433804932399</v>
      </c>
      <c r="AL6230">
        <v>95.018187182049701</v>
      </c>
      <c r="AM6230">
        <v>105.996431317903</v>
      </c>
      <c r="AN6230">
        <v>1.0000000382140799</v>
      </c>
    </row>
    <row r="6231" spans="1:40" x14ac:dyDescent="0.25">
      <c r="A6231" t="str">
        <f>"20190303154935204"</f>
        <v>20190303154935204</v>
      </c>
      <c r="B6231" t="str">
        <f>"1551599375197375"</f>
        <v>1551599375197375</v>
      </c>
      <c r="C6231" t="s">
        <v>40</v>
      </c>
      <c r="D6231">
        <v>5.3865439999999998</v>
      </c>
      <c r="E6231">
        <v>0.50398209999999999</v>
      </c>
      <c r="F6231" t="s">
        <v>41</v>
      </c>
      <c r="G6231">
        <v>-394.0813</v>
      </c>
      <c r="H6231" s="1">
        <v>-2.8433229999999999E-6</v>
      </c>
      <c r="I6231">
        <v>19.860779999999998</v>
      </c>
      <c r="J6231">
        <v>-412.11169999999998</v>
      </c>
      <c r="K6231">
        <v>1.123035</v>
      </c>
      <c r="L6231">
        <v>21.98434</v>
      </c>
      <c r="M6231">
        <v>0.92983320000000003</v>
      </c>
      <c r="N6231">
        <v>-1.44546E-2</v>
      </c>
      <c r="O6231">
        <v>-0.36769760000000001</v>
      </c>
      <c r="P6231">
        <v>0.98945209999999995</v>
      </c>
      <c r="Q6231">
        <v>-0.1007965</v>
      </c>
      <c r="R6231">
        <v>-0.1040418</v>
      </c>
      <c r="S6231">
        <v>2.9758909999999998</v>
      </c>
      <c r="T6231">
        <v>-0.18395259999999999</v>
      </c>
      <c r="U6231">
        <v>-0.35595700000000002</v>
      </c>
      <c r="V6231">
        <v>-0.26668109999999901</v>
      </c>
      <c r="W6231">
        <v>-8.8227089999999994E-2</v>
      </c>
      <c r="X6231">
        <v>0.95973810000000004</v>
      </c>
      <c r="Y6231">
        <v>-0.25373200000000001</v>
      </c>
      <c r="Z6231">
        <v>2.632483E-2</v>
      </c>
      <c r="AA6231">
        <v>0.96691629999999995</v>
      </c>
      <c r="AB6231">
        <v>17</v>
      </c>
      <c r="AC6231">
        <v>18.030399999999901</v>
      </c>
      <c r="AD6231">
        <v>-1.1230378433229999</v>
      </c>
      <c r="AE6231">
        <v>-2.1235599999999999</v>
      </c>
      <c r="AF6231">
        <v>-4.6379173245586598</v>
      </c>
      <c r="AG6231">
        <v>-1.1230378433229999</v>
      </c>
      <c r="AH6231">
        <v>17.481033450712701</v>
      </c>
      <c r="AI6231">
        <v>93.553216085504701</v>
      </c>
      <c r="AJ6231">
        <v>104.85889653534301</v>
      </c>
      <c r="AK6231">
        <v>18.1206517987602</v>
      </c>
      <c r="AL6231">
        <v>95.061620937979399</v>
      </c>
      <c r="AM6231">
        <v>105.52894283931199</v>
      </c>
      <c r="AN6231">
        <v>1.0000000245493399</v>
      </c>
    </row>
    <row r="6232" spans="1:40" x14ac:dyDescent="0.25">
      <c r="A6232" t="str">
        <f>"20190303154935216"</f>
        <v>20190303154935216</v>
      </c>
      <c r="B6232" t="str">
        <f>"1551599375207134"</f>
        <v>1551599375207134</v>
      </c>
      <c r="C6232" t="s">
        <v>40</v>
      </c>
      <c r="D6232">
        <v>5.4085729999999996</v>
      </c>
      <c r="E6232">
        <v>0.50359509999999996</v>
      </c>
      <c r="F6232" t="s">
        <v>41</v>
      </c>
      <c r="G6232">
        <v>-392.07310000000001</v>
      </c>
      <c r="H6232" s="1">
        <v>-3.73269E-6</v>
      </c>
      <c r="I6232">
        <v>19.635549999999999</v>
      </c>
      <c r="J6232">
        <v>-412.0213</v>
      </c>
      <c r="K6232">
        <v>1.12290499999999</v>
      </c>
      <c r="L6232">
        <v>21.95251</v>
      </c>
      <c r="M6232">
        <v>0.93094359999999998</v>
      </c>
      <c r="N6232">
        <v>-1.441506E-2</v>
      </c>
      <c r="O6232">
        <v>-0.36487829999999999</v>
      </c>
      <c r="P6232">
        <v>0.98939120000000003</v>
      </c>
      <c r="Q6232">
        <v>-0.10099569999999999</v>
      </c>
      <c r="R6232">
        <v>-0.1044258</v>
      </c>
      <c r="S6232">
        <v>2.9782410000000001</v>
      </c>
      <c r="T6232">
        <v>-0.16691210000000001</v>
      </c>
      <c r="U6232">
        <v>-0.34909059999999997</v>
      </c>
      <c r="V6232">
        <v>-0.26342189999999999</v>
      </c>
      <c r="W6232">
        <v>-8.8354290000000002E-2</v>
      </c>
      <c r="X6232">
        <v>0.96062610000000004</v>
      </c>
      <c r="Y6232">
        <v>-0.25327309999999997</v>
      </c>
      <c r="Z6232">
        <v>2.3432729999999999E-2</v>
      </c>
      <c r="AA6232">
        <v>0.96711100000000005</v>
      </c>
      <c r="AB6232">
        <v>17</v>
      </c>
      <c r="AC6232">
        <v>19.9481999999999</v>
      </c>
      <c r="AD6232">
        <v>-1.12290873268999</v>
      </c>
      <c r="AE6232">
        <v>-2.3169599999999999</v>
      </c>
      <c r="AF6232">
        <v>-5.1062736628831997</v>
      </c>
      <c r="AG6232">
        <v>-1.12290873268999</v>
      </c>
      <c r="AH6232">
        <v>19.3575537177278</v>
      </c>
      <c r="AI6232">
        <v>93.210365018588803</v>
      </c>
      <c r="AJ6232">
        <v>104.77727547134999</v>
      </c>
      <c r="AK6232">
        <v>20.051180530754898</v>
      </c>
      <c r="AL6232">
        <v>95.068937450574296</v>
      </c>
      <c r="AM6232">
        <v>105.334639502871</v>
      </c>
      <c r="AN6232">
        <v>1.0000000409811101</v>
      </c>
    </row>
    <row r="6233" spans="1:40" x14ac:dyDescent="0.25">
      <c r="A6233" t="str">
        <f>"20190303154935229"</f>
        <v>20190303154935229</v>
      </c>
      <c r="B6233" t="str">
        <f>"1551599375216896"</f>
        <v>1551599375216896</v>
      </c>
      <c r="C6233" t="s">
        <v>40</v>
      </c>
      <c r="D6233">
        <v>5.430212</v>
      </c>
      <c r="E6233">
        <v>0.50350320000000004</v>
      </c>
      <c r="F6233" t="s">
        <v>41</v>
      </c>
      <c r="G6233">
        <v>-391.9</v>
      </c>
      <c r="H6233" s="1">
        <v>-3.8111860000000001E-6</v>
      </c>
      <c r="I6233">
        <v>19.606249999999999</v>
      </c>
      <c r="J6233">
        <v>-411.9359</v>
      </c>
      <c r="K6233">
        <v>1.122797</v>
      </c>
      <c r="L6233">
        <v>21.92258</v>
      </c>
      <c r="M6233">
        <v>0.93193599999999999</v>
      </c>
      <c r="N6233">
        <v>-1.438063E-2</v>
      </c>
      <c r="O6233">
        <v>-0.36233739999999998</v>
      </c>
      <c r="P6233">
        <v>0.98935439999999997</v>
      </c>
      <c r="Q6233">
        <v>-0.1010682</v>
      </c>
      <c r="R6233">
        <v>-0.1047049</v>
      </c>
      <c r="S6233">
        <v>2.978577</v>
      </c>
      <c r="T6233">
        <v>-0.1662257</v>
      </c>
      <c r="U6233">
        <v>-0.34732059999999998</v>
      </c>
      <c r="V6233">
        <v>-0.26055240000000002</v>
      </c>
      <c r="W6233">
        <v>-8.8370180000000007E-2</v>
      </c>
      <c r="X6233">
        <v>0.96140689999999995</v>
      </c>
      <c r="Y6233">
        <v>-0.25122549999999999</v>
      </c>
      <c r="Z6233">
        <v>2.316404E-2</v>
      </c>
      <c r="AA6233">
        <v>0.96765140000000005</v>
      </c>
      <c r="AB6233">
        <v>17</v>
      </c>
      <c r="AC6233">
        <v>20.035900000000002</v>
      </c>
      <c r="AD6233">
        <v>-1.1228008111859999</v>
      </c>
      <c r="AE6233">
        <v>-2.3163299999999998</v>
      </c>
      <c r="AF6233">
        <v>-5.0858513325835704</v>
      </c>
      <c r="AG6233">
        <v>-1.1228008111859999</v>
      </c>
      <c r="AH6233">
        <v>19.453202787591501</v>
      </c>
      <c r="AI6233">
        <v>93.196144797063198</v>
      </c>
      <c r="AJ6233">
        <v>104.651487269117</v>
      </c>
      <c r="AK6233">
        <v>20.138362995385201</v>
      </c>
      <c r="AL6233">
        <v>95.069851488057097</v>
      </c>
      <c r="AM6233">
        <v>105.163582316313</v>
      </c>
      <c r="AN6233">
        <v>1.0000000346133</v>
      </c>
    </row>
    <row r="6234" spans="1:40" x14ac:dyDescent="0.25">
      <c r="A6234" t="str">
        <f>"20190303154935247"</f>
        <v>20190303154935247</v>
      </c>
      <c r="B6234" t="str">
        <f>"1551599375237391"</f>
        <v>1551599375237391</v>
      </c>
      <c r="C6234" t="s">
        <v>40</v>
      </c>
      <c r="D6234">
        <v>5.4024380000000001</v>
      </c>
      <c r="E6234">
        <v>0.50325640000000005</v>
      </c>
      <c r="F6234" t="s">
        <v>41</v>
      </c>
      <c r="G6234">
        <v>-391.43729999999999</v>
      </c>
      <c r="H6234" s="1">
        <v>-4.0432950000000004E-6</v>
      </c>
      <c r="I6234">
        <v>19.530819999999999</v>
      </c>
      <c r="J6234">
        <v>-411.80680000000001</v>
      </c>
      <c r="K6234">
        <v>1.122654</v>
      </c>
      <c r="L6234">
        <v>21.87744</v>
      </c>
      <c r="M6234">
        <v>0.93335380000000001</v>
      </c>
      <c r="N6234">
        <v>-1.433238E-2</v>
      </c>
      <c r="O6234">
        <v>-0.35867159999999998</v>
      </c>
      <c r="P6234">
        <v>0.98928609999999995</v>
      </c>
      <c r="Q6234">
        <v>-0.10012260000000001</v>
      </c>
      <c r="R6234">
        <v>-0.1062463</v>
      </c>
      <c r="S6234">
        <v>2.9788209999999999</v>
      </c>
      <c r="T6234">
        <v>-0.16316329999999901</v>
      </c>
      <c r="U6234">
        <v>-0.3475647</v>
      </c>
      <c r="V6234">
        <v>-0.25534709999999999</v>
      </c>
      <c r="W6234">
        <v>-8.7339420000000001E-2</v>
      </c>
      <c r="X6234">
        <v>0.96289650000000004</v>
      </c>
      <c r="Y6234">
        <v>-0.24738930000000001</v>
      </c>
      <c r="Z6234">
        <v>2.2419430000000001E-2</v>
      </c>
      <c r="AA6234">
        <v>0.96865679999999998</v>
      </c>
      <c r="AB6234">
        <v>17</v>
      </c>
      <c r="AC6234">
        <v>20.369499999999999</v>
      </c>
      <c r="AD6234">
        <v>-1.122658043295</v>
      </c>
      <c r="AE6234">
        <v>-2.3466199999999899</v>
      </c>
      <c r="AF6234">
        <v>-5.1009679629448703</v>
      </c>
      <c r="AG6234">
        <v>-1.122658043295</v>
      </c>
      <c r="AH6234">
        <v>19.796308981543199</v>
      </c>
      <c r="AI6234">
        <v>93.143335881989103</v>
      </c>
      <c r="AJ6234">
        <v>104.449243267925</v>
      </c>
      <c r="AK6234">
        <v>20.473741341872401</v>
      </c>
      <c r="AL6234">
        <v>95.010564252804599</v>
      </c>
      <c r="AM6234">
        <v>104.852208168378</v>
      </c>
      <c r="AN6234">
        <v>0.99999999273829798</v>
      </c>
    </row>
    <row r="6235" spans="1:40" x14ac:dyDescent="0.25">
      <c r="A6235" t="str">
        <f>"20190303154935260"</f>
        <v>20190303154935260</v>
      </c>
      <c r="B6235" t="str">
        <f>"1551599375256911"</f>
        <v>1551599375256911</v>
      </c>
      <c r="C6235" t="s">
        <v>40</v>
      </c>
      <c r="D6235">
        <v>5.3683489999999896</v>
      </c>
      <c r="E6235">
        <v>0.50308469999999905</v>
      </c>
      <c r="F6235" t="s">
        <v>41</v>
      </c>
      <c r="G6235">
        <v>-390.7278</v>
      </c>
      <c r="H6235" s="1">
        <v>-4.4019000000000002E-6</v>
      </c>
      <c r="I6235">
        <v>19.39986</v>
      </c>
      <c r="J6235">
        <v>-411.7088</v>
      </c>
      <c r="K6235">
        <v>1.122552</v>
      </c>
      <c r="L6235">
        <v>21.843350000000001</v>
      </c>
      <c r="M6235">
        <v>0.93436529999999995</v>
      </c>
      <c r="N6235">
        <v>-1.4298430000000001E-2</v>
      </c>
      <c r="O6235">
        <v>-0.3560296</v>
      </c>
      <c r="P6235">
        <v>0.98929849999999997</v>
      </c>
      <c r="Q6235">
        <v>-0.100074</v>
      </c>
      <c r="R6235">
        <v>-0.1061781</v>
      </c>
      <c r="S6235">
        <v>2.9788510000000001</v>
      </c>
      <c r="T6235">
        <v>-0.15865219999999999</v>
      </c>
      <c r="U6235">
        <v>-0.3501282</v>
      </c>
      <c r="V6235">
        <v>-0.25271519999999997</v>
      </c>
      <c r="W6235">
        <v>-8.7240319999999996E-2</v>
      </c>
      <c r="X6235">
        <v>0.9635996</v>
      </c>
      <c r="Y6235">
        <v>-0.24387539999999999</v>
      </c>
      <c r="Z6235">
        <v>2.150138E-2</v>
      </c>
      <c r="AA6235">
        <v>0.96956819999999999</v>
      </c>
      <c r="AB6235">
        <v>17</v>
      </c>
      <c r="AC6235">
        <v>20.980999999999899</v>
      </c>
      <c r="AD6235">
        <v>-1.1225564019000001</v>
      </c>
      <c r="AE6235">
        <v>-2.4434900000000002</v>
      </c>
      <c r="AF6235">
        <v>-5.1726657287414897</v>
      </c>
      <c r="AG6235">
        <v>-1.1225564019000001</v>
      </c>
      <c r="AH6235">
        <v>20.418298285040098</v>
      </c>
      <c r="AI6235">
        <v>93.050656748841504</v>
      </c>
      <c r="AJ6235">
        <v>104.215933010111</v>
      </c>
      <c r="AK6235">
        <v>21.093210008759101</v>
      </c>
      <c r="AL6235">
        <v>95.004864360829998</v>
      </c>
      <c r="AM6235">
        <v>104.69552588557799</v>
      </c>
      <c r="AN6235">
        <v>1.0000000174324499</v>
      </c>
    </row>
    <row r="6236" spans="1:40" x14ac:dyDescent="0.25">
      <c r="A6236" t="str">
        <f>"20190303154935272"</f>
        <v>20190303154935272</v>
      </c>
      <c r="B6236" t="str">
        <f>"1551599375266671"</f>
        <v>1551599375266671</v>
      </c>
      <c r="C6236" t="s">
        <v>40</v>
      </c>
      <c r="D6236">
        <v>5.3759189999999997</v>
      </c>
      <c r="E6236">
        <v>0.50281659999999995</v>
      </c>
      <c r="F6236" t="s">
        <v>41</v>
      </c>
      <c r="G6236">
        <v>-390.4923</v>
      </c>
      <c r="H6236" s="1">
        <v>-4.5202039999999996E-6</v>
      </c>
      <c r="I6236">
        <v>19.360440000000001</v>
      </c>
      <c r="J6236">
        <v>-411.62259999999998</v>
      </c>
      <c r="K6236">
        <v>1.1224670000000001</v>
      </c>
      <c r="L6236">
        <v>21.813510000000001</v>
      </c>
      <c r="M6236">
        <v>0.93517819999999996</v>
      </c>
      <c r="N6236">
        <v>-1.427137E-2</v>
      </c>
      <c r="O6236">
        <v>-0.35389019999999999</v>
      </c>
      <c r="P6236">
        <v>0.98926449999999999</v>
      </c>
      <c r="Q6236">
        <v>-9.9928760000000005E-2</v>
      </c>
      <c r="R6236">
        <v>-0.1066305</v>
      </c>
      <c r="S6236">
        <v>2.9790649999999999</v>
      </c>
      <c r="T6236">
        <v>-0.15762139999999999</v>
      </c>
      <c r="U6236">
        <v>-0.34863280000000002</v>
      </c>
      <c r="V6236">
        <v>-0.25009569999999998</v>
      </c>
      <c r="W6236">
        <v>-8.7048990000000007E-2</v>
      </c>
      <c r="X6236">
        <v>0.96430000000000005</v>
      </c>
      <c r="Y6236">
        <v>-0.24215719999999999</v>
      </c>
      <c r="Z6236">
        <v>2.1214460000000001E-2</v>
      </c>
      <c r="AA6236">
        <v>0.97000509999999995</v>
      </c>
      <c r="AB6236">
        <v>17</v>
      </c>
      <c r="AC6236">
        <v>21.130299999999899</v>
      </c>
      <c r="AD6236">
        <v>-1.1224715202040001</v>
      </c>
      <c r="AE6236">
        <v>-2.4530699999999999</v>
      </c>
      <c r="AF6236">
        <v>-5.1698811255504902</v>
      </c>
      <c r="AG6236">
        <v>-1.1224715202040001</v>
      </c>
      <c r="AH6236">
        <v>20.5735281489209</v>
      </c>
      <c r="AI6236">
        <v>93.028921144061698</v>
      </c>
      <c r="AJ6236">
        <v>104.105679363261</v>
      </c>
      <c r="AK6236">
        <v>21.242826404704999</v>
      </c>
      <c r="AL6236">
        <v>94.9938604937702</v>
      </c>
      <c r="AM6236">
        <v>104.53957683405299</v>
      </c>
      <c r="AN6236">
        <v>0.99999993790925301</v>
      </c>
    </row>
    <row r="6237" spans="1:40" x14ac:dyDescent="0.25">
      <c r="A6237" t="str">
        <f>"20190303154935286"</f>
        <v>20190303154935286</v>
      </c>
      <c r="B6237" t="str">
        <f>"1551599375277407"</f>
        <v>1551599375277407</v>
      </c>
      <c r="C6237" t="s">
        <v>40</v>
      </c>
      <c r="D6237">
        <v>5.3419600000000003</v>
      </c>
      <c r="E6237">
        <v>0.50263599999999997</v>
      </c>
      <c r="F6237" t="s">
        <v>41</v>
      </c>
      <c r="G6237">
        <v>-390.1474</v>
      </c>
      <c r="H6237" s="1">
        <v>-4.6932000000000002E-6</v>
      </c>
      <c r="I6237">
        <v>19.304459999999999</v>
      </c>
      <c r="J6237">
        <v>-411.53</v>
      </c>
      <c r="K6237">
        <v>1.1223669999999999</v>
      </c>
      <c r="L6237">
        <v>21.78152</v>
      </c>
      <c r="M6237">
        <v>0.93601449999999997</v>
      </c>
      <c r="N6237">
        <v>-1.424339E-2</v>
      </c>
      <c r="O6237">
        <v>-0.35167349999999997</v>
      </c>
      <c r="P6237">
        <v>0.98915390000000003</v>
      </c>
      <c r="Q6237">
        <v>-0.100102</v>
      </c>
      <c r="R6237">
        <v>-0.1074929</v>
      </c>
      <c r="S6237">
        <v>2.979279</v>
      </c>
      <c r="T6237">
        <v>-0.1557219</v>
      </c>
      <c r="U6237">
        <v>-0.34808349999999999</v>
      </c>
      <c r="V6237">
        <v>-0.24698719999999999</v>
      </c>
      <c r="W6237">
        <v>-8.7168399999999993E-2</v>
      </c>
      <c r="X6237">
        <v>0.96509020000000001</v>
      </c>
      <c r="Y6237">
        <v>-0.2400641</v>
      </c>
      <c r="Z6237">
        <v>2.077915E-2</v>
      </c>
      <c r="AA6237">
        <v>0.97053460000000003</v>
      </c>
      <c r="AB6237">
        <v>17</v>
      </c>
      <c r="AC6237">
        <v>21.382599999999901</v>
      </c>
      <c r="AD6237">
        <v>-1.1223716931999901</v>
      </c>
      <c r="AE6237">
        <v>-2.4770599999999998</v>
      </c>
      <c r="AF6237">
        <v>-5.1875532177120602</v>
      </c>
      <c r="AG6237">
        <v>-1.1223716931999901</v>
      </c>
      <c r="AH6237">
        <v>20.831022574274801</v>
      </c>
      <c r="AI6237">
        <v>92.992870762045598</v>
      </c>
      <c r="AJ6237">
        <v>103.983933359563</v>
      </c>
      <c r="AK6237">
        <v>21.4965561914982</v>
      </c>
      <c r="AL6237">
        <v>95.000727724390998</v>
      </c>
      <c r="AM6237">
        <v>104.35510804532601</v>
      </c>
      <c r="AN6237">
        <v>1.0000000505292099</v>
      </c>
    </row>
    <row r="6238" spans="1:40" x14ac:dyDescent="0.25">
      <c r="A6238" t="str">
        <f>"20190303154935303"</f>
        <v>20190303154935303</v>
      </c>
      <c r="B6238" t="str">
        <f>"1551599375296928"</f>
        <v>1551599375296928</v>
      </c>
      <c r="C6238" t="s">
        <v>40</v>
      </c>
      <c r="D6238">
        <v>5.3547289999999998</v>
      </c>
      <c r="E6238">
        <v>0.50245790000000001</v>
      </c>
      <c r="F6238" t="s">
        <v>41</v>
      </c>
      <c r="G6238">
        <v>-390.04390000000001</v>
      </c>
      <c r="H6238" s="1">
        <v>-4.7498699999999996E-6</v>
      </c>
      <c r="I6238">
        <v>19.260750000000002</v>
      </c>
      <c r="J6238">
        <v>-411.39920000000001</v>
      </c>
      <c r="K6238">
        <v>1.1222000000000001</v>
      </c>
      <c r="L6238">
        <v>21.73648</v>
      </c>
      <c r="M6238">
        <v>0.93709869999999995</v>
      </c>
      <c r="N6238">
        <v>-1.4206460000000001E-2</v>
      </c>
      <c r="O6238">
        <v>-0.34877540000000001</v>
      </c>
      <c r="P6238">
        <v>0.98852839999999997</v>
      </c>
      <c r="Q6238">
        <v>-0.1025778</v>
      </c>
      <c r="R6238">
        <v>-0.11085979999999999</v>
      </c>
      <c r="S6238">
        <v>2.9791560000000001</v>
      </c>
      <c r="T6238">
        <v>-0.1556225</v>
      </c>
      <c r="U6238">
        <v>-0.34951779999999999</v>
      </c>
      <c r="V6238">
        <v>-0.2406549</v>
      </c>
      <c r="W6238">
        <v>-8.9550920000000006E-2</v>
      </c>
      <c r="X6238">
        <v>0.96647079999999996</v>
      </c>
      <c r="Y6238">
        <v>-0.23660139999999999</v>
      </c>
      <c r="Z6238">
        <v>2.0559770000000002E-2</v>
      </c>
      <c r="AA6238">
        <v>0.97138919999999995</v>
      </c>
      <c r="AB6238">
        <v>17</v>
      </c>
      <c r="AC6238">
        <v>21.3553</v>
      </c>
      <c r="AD6238">
        <v>-1.1222047498700001</v>
      </c>
      <c r="AE6238">
        <v>-2.4757299999999902</v>
      </c>
      <c r="AF6238">
        <v>-5.1147805508248503</v>
      </c>
      <c r="AG6238">
        <v>-1.1222047498700001</v>
      </c>
      <c r="AH6238">
        <v>20.820870950763499</v>
      </c>
      <c r="AI6238">
        <v>92.996233692522196</v>
      </c>
      <c r="AJ6238">
        <v>103.801775507202</v>
      </c>
      <c r="AK6238">
        <v>21.469256874239399</v>
      </c>
      <c r="AL6238">
        <v>95.137772497031506</v>
      </c>
      <c r="AM6238">
        <v>103.982510265896</v>
      </c>
      <c r="AN6238">
        <v>0.99999997770974702</v>
      </c>
    </row>
    <row r="6239" spans="1:40" x14ac:dyDescent="0.25">
      <c r="A6239" t="str">
        <f>"20190303154935316"</f>
        <v>20190303154935316</v>
      </c>
      <c r="B6239" t="str">
        <f>"1551599375306687"</f>
        <v>1551599375306687</v>
      </c>
      <c r="C6239" t="s">
        <v>40</v>
      </c>
      <c r="D6239">
        <v>5.352983</v>
      </c>
      <c r="E6239">
        <v>0.50198849999999995</v>
      </c>
      <c r="F6239" t="s">
        <v>41</v>
      </c>
      <c r="G6239">
        <v>-391.1454</v>
      </c>
      <c r="H6239" s="1">
        <v>-4.2230110000000001E-6</v>
      </c>
      <c r="I6239">
        <v>19.295400000000001</v>
      </c>
      <c r="J6239">
        <v>-411.30619999999999</v>
      </c>
      <c r="K6239">
        <v>1.12207099999999</v>
      </c>
      <c r="L6239">
        <v>21.704499999999999</v>
      </c>
      <c r="M6239">
        <v>0.93780479999999999</v>
      </c>
      <c r="N6239">
        <v>-1.4182169999999999E-2</v>
      </c>
      <c r="O6239">
        <v>-0.3468734</v>
      </c>
      <c r="P6239">
        <v>0.98824540000000005</v>
      </c>
      <c r="Q6239">
        <v>-0.1042191</v>
      </c>
      <c r="R6239">
        <v>-0.1118471</v>
      </c>
      <c r="S6239">
        <v>2.9774479999999999</v>
      </c>
      <c r="T6239">
        <v>-0.164971799999999</v>
      </c>
      <c r="U6239">
        <v>-0.35885620000000001</v>
      </c>
      <c r="V6239">
        <v>-0.23769270000000001</v>
      </c>
      <c r="W6239">
        <v>-9.1132630000000006E-2</v>
      </c>
      <c r="X6239">
        <v>0.96705589999999997</v>
      </c>
      <c r="Y6239">
        <v>-0.23148440000000001</v>
      </c>
      <c r="Z6239">
        <v>2.1760620000000001E-2</v>
      </c>
      <c r="AA6239">
        <v>0.97259519999999999</v>
      </c>
      <c r="AB6239">
        <v>17</v>
      </c>
      <c r="AC6239">
        <v>20.160799999999899</v>
      </c>
      <c r="AD6239">
        <v>-1.1220752230109901</v>
      </c>
      <c r="AE6239">
        <v>-2.4090999999999898</v>
      </c>
      <c r="AF6239">
        <v>-4.7200404689828002</v>
      </c>
      <c r="AG6239">
        <v>-1.1220752230109901</v>
      </c>
      <c r="AH6239">
        <v>19.684415676113399</v>
      </c>
      <c r="AI6239">
        <v>93.172767480997607</v>
      </c>
      <c r="AJ6239">
        <v>103.48412041261</v>
      </c>
      <c r="AK6239">
        <v>20.2734815792688</v>
      </c>
      <c r="AL6239">
        <v>95.2287695691831</v>
      </c>
      <c r="AM6239">
        <v>103.808995141834</v>
      </c>
      <c r="AN6239">
        <v>1.0000000448044</v>
      </c>
    </row>
    <row r="6240" spans="1:40" x14ac:dyDescent="0.25">
      <c r="A6240" t="str">
        <f>"20190303154935338"</f>
        <v>20190303154935338</v>
      </c>
      <c r="B6240" t="str">
        <f>"1551599375327183"</f>
        <v>1551599375327183</v>
      </c>
      <c r="C6240" t="s">
        <v>40</v>
      </c>
      <c r="D6240">
        <v>5.3663610000000004</v>
      </c>
      <c r="E6240">
        <v>0.50172570000000005</v>
      </c>
      <c r="F6240" t="s">
        <v>41</v>
      </c>
      <c r="G6240">
        <v>-391.81119999999999</v>
      </c>
      <c r="H6240" s="1">
        <v>-3.8970019999999998E-6</v>
      </c>
      <c r="I6240">
        <v>19.358979999999999</v>
      </c>
      <c r="J6240">
        <v>-411.15460000000002</v>
      </c>
      <c r="K6240">
        <v>1.1218729999999999</v>
      </c>
      <c r="L6240">
        <v>21.652470000000001</v>
      </c>
      <c r="M6240">
        <v>0.93886309999999995</v>
      </c>
      <c r="N6240">
        <v>-1.4146219999999999E-2</v>
      </c>
      <c r="O6240">
        <v>-0.34399999999999997</v>
      </c>
      <c r="P6240">
        <v>0.98767919999999998</v>
      </c>
      <c r="Q6240">
        <v>-0.1071946</v>
      </c>
      <c r="R6240">
        <v>-0.1140147</v>
      </c>
      <c r="S6240">
        <v>2.9770810000000001</v>
      </c>
      <c r="T6240">
        <v>-0.17135239999999999</v>
      </c>
      <c r="U6240">
        <v>-0.35818480000000003</v>
      </c>
      <c r="V6240">
        <v>-0.23253789999999999</v>
      </c>
      <c r="W6240">
        <v>-9.4013369999999999E-2</v>
      </c>
      <c r="X6240">
        <v>0.96803289999999997</v>
      </c>
      <c r="Y6240">
        <v>-0.228654</v>
      </c>
      <c r="Z6240">
        <v>2.252989E-2</v>
      </c>
      <c r="AA6240">
        <v>0.97324699999999997</v>
      </c>
      <c r="AB6240">
        <v>17</v>
      </c>
      <c r="AC6240">
        <v>19.343399999999999</v>
      </c>
      <c r="AD6240">
        <v>-1.1218768970020001</v>
      </c>
      <c r="AE6240">
        <v>-2.2934899999999998</v>
      </c>
      <c r="AF6240">
        <v>-4.48642476605281</v>
      </c>
      <c r="AG6240">
        <v>-1.1218768970020001</v>
      </c>
      <c r="AH6240">
        <v>18.889003862786399</v>
      </c>
      <c r="AI6240">
        <v>93.3071898338263</v>
      </c>
      <c r="AJ6240">
        <v>103.361040642471</v>
      </c>
      <c r="AK6240">
        <v>19.4468784611269</v>
      </c>
      <c r="AL6240">
        <v>95.394535695632797</v>
      </c>
      <c r="AM6240">
        <v>103.50748542884099</v>
      </c>
      <c r="AN6240">
        <v>1.00000004207878</v>
      </c>
    </row>
    <row r="6241" spans="1:40" x14ac:dyDescent="0.25">
      <c r="A6241" t="str">
        <f>"20190303154935360"</f>
        <v>20190303154935360</v>
      </c>
      <c r="B6241" t="str">
        <f>"1551599375357440"</f>
        <v>1551599375357440</v>
      </c>
      <c r="C6241" t="s">
        <v>40</v>
      </c>
      <c r="D6241">
        <v>5.283404</v>
      </c>
      <c r="E6241">
        <v>0.47674800000000001</v>
      </c>
      <c r="F6241" t="s">
        <v>41</v>
      </c>
      <c r="G6241">
        <v>-392.47680000000003</v>
      </c>
      <c r="H6241" s="1">
        <v>-3.5794509999999999E-6</v>
      </c>
      <c r="I6241">
        <v>19.375440000000001</v>
      </c>
      <c r="J6241">
        <v>-410.99900000000002</v>
      </c>
      <c r="K6241">
        <v>1.121686</v>
      </c>
      <c r="L6241">
        <v>21.599119999999999</v>
      </c>
      <c r="M6241">
        <v>0.93982810000000006</v>
      </c>
      <c r="N6241">
        <v>-1.411373E-2</v>
      </c>
      <c r="O6241">
        <v>-0.34135659999999901</v>
      </c>
      <c r="P6241">
        <v>0.98740539999999999</v>
      </c>
      <c r="Q6241">
        <v>-0.1083827</v>
      </c>
      <c r="R6241">
        <v>-0.115257399999999</v>
      </c>
      <c r="S6241">
        <v>2.9761350000000002</v>
      </c>
      <c r="T6241">
        <v>-0.1787608</v>
      </c>
      <c r="U6241">
        <v>-0.36282350000000002</v>
      </c>
      <c r="V6241">
        <v>-0.2285934</v>
      </c>
      <c r="W6241">
        <v>-9.5115560000000002E-2</v>
      </c>
      <c r="X6241">
        <v>0.96886430000000001</v>
      </c>
      <c r="Y6241">
        <v>-0.22431989999999999</v>
      </c>
      <c r="Z6241">
        <v>2.3388989999999998E-2</v>
      </c>
      <c r="AA6241">
        <v>0.97423490000000001</v>
      </c>
      <c r="AB6241">
        <v>17</v>
      </c>
      <c r="AC6241">
        <v>18.522200000000002</v>
      </c>
      <c r="AD6241">
        <v>-1.121689579451</v>
      </c>
      <c r="AE6241">
        <v>-2.2236799999999999</v>
      </c>
      <c r="AF6241">
        <v>-4.2179698379111104</v>
      </c>
      <c r="AG6241">
        <v>-1.121689579451</v>
      </c>
      <c r="AH6241">
        <v>18.103109725320401</v>
      </c>
      <c r="AI6241">
        <v>93.453315483151499</v>
      </c>
      <c r="AJ6241">
        <v>103.11574420759101</v>
      </c>
      <c r="AK6241">
        <v>18.6218162055468</v>
      </c>
      <c r="AL6241">
        <v>95.457971184072903</v>
      </c>
      <c r="AM6241">
        <v>103.275555066233</v>
      </c>
      <c r="AN6241">
        <v>0.99999997204608104</v>
      </c>
    </row>
    <row r="6242" spans="1:40" x14ac:dyDescent="0.25">
      <c r="A6242" t="str">
        <f>"20190303154935373"</f>
        <v>20190303154935373</v>
      </c>
      <c r="B6242" t="str">
        <f>"1551599375367199"</f>
        <v>1551599375367199</v>
      </c>
      <c r="C6242" t="s">
        <v>40</v>
      </c>
      <c r="D6242">
        <v>5.3454249999999996</v>
      </c>
      <c r="E6242">
        <v>0.4761919</v>
      </c>
      <c r="F6242" t="s">
        <v>65</v>
      </c>
      <c r="G6242">
        <v>-377.40780000000001</v>
      </c>
      <c r="H6242" s="1">
        <v>-1.22027E-6</v>
      </c>
      <c r="I6242">
        <v>19.670660000000002</v>
      </c>
      <c r="J6242">
        <v>-410.90839999999997</v>
      </c>
      <c r="K6242">
        <v>1.1215980000000001</v>
      </c>
      <c r="L6242">
        <v>21.568020000000001</v>
      </c>
      <c r="M6242">
        <v>0.94032039999999995</v>
      </c>
      <c r="N6242">
        <v>-1.4096869999999999E-2</v>
      </c>
      <c r="O6242">
        <v>-0.33999849999999998</v>
      </c>
      <c r="P6242">
        <v>0.98738349999999997</v>
      </c>
      <c r="Q6242">
        <v>-0.10827630000000001</v>
      </c>
      <c r="R6242">
        <v>-0.1155426</v>
      </c>
      <c r="S6242">
        <v>3.0071110000000001</v>
      </c>
      <c r="T6242">
        <v>-0.1004143</v>
      </c>
      <c r="U6242">
        <v>-0.17263789999999901</v>
      </c>
      <c r="V6242">
        <v>-0.22694010000000001</v>
      </c>
      <c r="W6242">
        <v>-9.4967209999999996E-2</v>
      </c>
      <c r="X6242">
        <v>0.96926749999999995</v>
      </c>
      <c r="Y6242">
        <v>-0.28529330000000003</v>
      </c>
      <c r="Z6242">
        <v>1.303696E-2</v>
      </c>
      <c r="AA6242">
        <v>0.95835159999999997</v>
      </c>
      <c r="AB6242">
        <v>17</v>
      </c>
      <c r="AC6242">
        <v>33.500599999999899</v>
      </c>
      <c r="AD6242">
        <v>-1.12159922026999</v>
      </c>
      <c r="AE6242">
        <v>-1.8973599999999899</v>
      </c>
      <c r="AF6242">
        <v>-9.59625915247058</v>
      </c>
      <c r="AG6242">
        <v>-1.12159922026999</v>
      </c>
      <c r="AH6242">
        <v>32.113707765460703</v>
      </c>
      <c r="AI6242">
        <v>91.916616669635999</v>
      </c>
      <c r="AJ6242">
        <v>106.637264634166</v>
      </c>
      <c r="AK6242">
        <v>33.535599010271099</v>
      </c>
      <c r="AL6242">
        <v>95.449432369396504</v>
      </c>
      <c r="AM6242">
        <v>103.17761170585899</v>
      </c>
      <c r="AN6242">
        <v>1.0000000332597201</v>
      </c>
    </row>
    <row r="6243" spans="1:40" x14ac:dyDescent="0.25">
      <c r="A6243" t="str">
        <f>"20190303154935394"</f>
        <v>20190303154935394</v>
      </c>
      <c r="B6243" t="str">
        <f>"1551599375386719"</f>
        <v>1551599375386719</v>
      </c>
      <c r="C6243" t="s">
        <v>40</v>
      </c>
      <c r="D6243">
        <v>5.3240930000000004</v>
      </c>
      <c r="E6243">
        <v>0.47575650000000003</v>
      </c>
      <c r="F6243" t="s">
        <v>65</v>
      </c>
      <c r="G6243">
        <v>-377.34429999999998</v>
      </c>
      <c r="H6243" s="1">
        <v>-1.2531919999999999E-6</v>
      </c>
      <c r="I6243">
        <v>19.68158</v>
      </c>
      <c r="J6243">
        <v>-410.7534</v>
      </c>
      <c r="K6243">
        <v>1.1214729999999999</v>
      </c>
      <c r="L6243">
        <v>21.51492</v>
      </c>
      <c r="M6243">
        <v>0.94108689999999995</v>
      </c>
      <c r="N6243">
        <v>-1.4070549999999999E-2</v>
      </c>
      <c r="O6243">
        <v>-0.33787149999999999</v>
      </c>
      <c r="P6243">
        <v>0.98751869999999997</v>
      </c>
      <c r="Q6243">
        <v>-0.10681069999999999</v>
      </c>
      <c r="R6243">
        <v>-0.1157508</v>
      </c>
      <c r="S6243">
        <v>3.0075379999999998</v>
      </c>
      <c r="T6243">
        <v>-0.10050199999999999</v>
      </c>
      <c r="U6243">
        <v>-0.16903689999999999</v>
      </c>
      <c r="V6243">
        <v>-0.2246339</v>
      </c>
      <c r="W6243">
        <v>-9.343949E-2</v>
      </c>
      <c r="X6243">
        <v>0.96995290000000001</v>
      </c>
      <c r="Y6243">
        <v>-0.28427829999999998</v>
      </c>
      <c r="Z6243">
        <v>1.299516E-2</v>
      </c>
      <c r="AA6243">
        <v>0.95865370000000005</v>
      </c>
      <c r="AB6243">
        <v>17</v>
      </c>
      <c r="AC6243">
        <v>33.409100000000002</v>
      </c>
      <c r="AD6243">
        <v>-1.1214742531919999</v>
      </c>
      <c r="AE6243">
        <v>-1.83334</v>
      </c>
      <c r="AF6243">
        <v>-9.5528668244752595</v>
      </c>
      <c r="AG6243">
        <v>-1.1214742531919999</v>
      </c>
      <c r="AH6243">
        <v>32.027498454602998</v>
      </c>
      <c r="AI6243">
        <v>91.921847623792402</v>
      </c>
      <c r="AJ6243">
        <v>106.608304492971</v>
      </c>
      <c r="AK6243">
        <v>33.440628378161897</v>
      </c>
      <c r="AL6243">
        <v>95.361509758367802</v>
      </c>
      <c r="AM6243">
        <v>103.03939821945799</v>
      </c>
      <c r="AN6243">
        <v>0.99999997776953897</v>
      </c>
    </row>
    <row r="6244" spans="1:40" x14ac:dyDescent="0.25">
      <c r="A6244" t="str">
        <f>"20190303154935408"</f>
        <v>20190303154935408</v>
      </c>
      <c r="B6244" t="str">
        <f>"1551599375397455"</f>
        <v>1551599375397455</v>
      </c>
      <c r="C6244" t="s">
        <v>40</v>
      </c>
      <c r="D6244">
        <v>5.3037489999999998</v>
      </c>
      <c r="E6244">
        <v>0.47563149999999998</v>
      </c>
      <c r="F6244" t="s">
        <v>65</v>
      </c>
      <c r="G6244">
        <v>-373.99790000000002</v>
      </c>
      <c r="H6244" s="1">
        <v>-2.8413210000000002E-6</v>
      </c>
      <c r="I6244">
        <v>19.483280000000001</v>
      </c>
      <c r="J6244">
        <v>-410.65989999999999</v>
      </c>
      <c r="K6244">
        <v>1.121416</v>
      </c>
      <c r="L6244">
        <v>21.482939999999999</v>
      </c>
      <c r="M6244">
        <v>0.94149850000000002</v>
      </c>
      <c r="N6244">
        <v>-1.4056509999999999E-2</v>
      </c>
      <c r="O6244">
        <v>-0.33672410000000003</v>
      </c>
      <c r="P6244">
        <v>0.98767629999999995</v>
      </c>
      <c r="Q6244">
        <v>-0.10559979999999999</v>
      </c>
      <c r="R6244">
        <v>-0.1155178</v>
      </c>
      <c r="S6244">
        <v>3.0084529999999998</v>
      </c>
      <c r="T6244">
        <v>-9.1793299999999994E-2</v>
      </c>
      <c r="U6244">
        <v>-0.166290299999999</v>
      </c>
      <c r="V6244">
        <v>-0.22374160000000001</v>
      </c>
      <c r="W6244">
        <v>-9.2201279999999997E-2</v>
      </c>
      <c r="X6244">
        <v>0.97027759999999996</v>
      </c>
      <c r="Y6244">
        <v>-0.28404689999999999</v>
      </c>
      <c r="Z6244">
        <v>1.1602060000000001E-2</v>
      </c>
      <c r="AA6244">
        <v>0.95874020000000004</v>
      </c>
      <c r="AB6244">
        <v>17</v>
      </c>
      <c r="AC6244">
        <v>36.6619999999999</v>
      </c>
      <c r="AD6244">
        <v>-1.121418841321</v>
      </c>
      <c r="AE6244">
        <v>-1.99965999999999</v>
      </c>
      <c r="AF6244">
        <v>-10.4535834747381</v>
      </c>
      <c r="AG6244">
        <v>-1.121418841321</v>
      </c>
      <c r="AH6244">
        <v>35.161226247924702</v>
      </c>
      <c r="AI6244">
        <v>91.7510517719235</v>
      </c>
      <c r="AJ6244">
        <v>106.557439595246</v>
      </c>
      <c r="AK6244">
        <v>36.699411697447403</v>
      </c>
      <c r="AL6244">
        <v>95.290257821819594</v>
      </c>
      <c r="AM6244">
        <v>102.98516297779</v>
      </c>
      <c r="AN6244">
        <v>1.0000000003329701</v>
      </c>
    </row>
    <row r="6245" spans="1:40" x14ac:dyDescent="0.25">
      <c r="A6245" t="str">
        <f>"20190303154935426"</f>
        <v>20190303154935426</v>
      </c>
      <c r="B6245" t="str">
        <f>"1551599375416975"</f>
        <v>1551599375416975</v>
      </c>
      <c r="C6245" t="s">
        <v>40</v>
      </c>
      <c r="D6245">
        <v>5.3205650000000002</v>
      </c>
      <c r="E6245">
        <v>0.475325</v>
      </c>
      <c r="F6245" t="s">
        <v>65</v>
      </c>
      <c r="G6245">
        <v>-371.7253</v>
      </c>
      <c r="H6245" s="1">
        <v>-3.9387010000000003E-6</v>
      </c>
      <c r="I6245">
        <v>19.352869999999999</v>
      </c>
      <c r="J6245">
        <v>-410.52350000000001</v>
      </c>
      <c r="K6245">
        <v>1.1213519999999999</v>
      </c>
      <c r="L6245">
        <v>21.436219999999999</v>
      </c>
      <c r="M6245">
        <v>0.94204480000000002</v>
      </c>
      <c r="N6245">
        <v>-1.4038200000000001E-2</v>
      </c>
      <c r="O6245">
        <v>-0.33519310000000002</v>
      </c>
      <c r="P6245">
        <v>0.98781439999999998</v>
      </c>
      <c r="Q6245">
        <v>-0.10390919999999999</v>
      </c>
      <c r="R6245">
        <v>-0.1158674</v>
      </c>
      <c r="S6245">
        <v>3.0088499999999998</v>
      </c>
      <c r="T6245">
        <v>-8.6662890000000006E-2</v>
      </c>
      <c r="U6245">
        <v>-0.1646118</v>
      </c>
      <c r="V6245">
        <v>-0.22189980000000001</v>
      </c>
      <c r="W6245">
        <v>-9.0481220000000001E-2</v>
      </c>
      <c r="X6245">
        <v>0.97086229999999996</v>
      </c>
      <c r="Y6245">
        <v>-0.2830549</v>
      </c>
      <c r="Z6245">
        <v>1.0758449999999999E-2</v>
      </c>
      <c r="AA6245">
        <v>0.95904339999999999</v>
      </c>
      <c r="AB6245">
        <v>17</v>
      </c>
      <c r="AC6245">
        <v>38.798200000000001</v>
      </c>
      <c r="AD6245">
        <v>-1.1213559387009999</v>
      </c>
      <c r="AE6245">
        <v>-2.0833499999999998</v>
      </c>
      <c r="AF6245">
        <v>-11.0341779193806</v>
      </c>
      <c r="AG6245">
        <v>-1.1213559387009999</v>
      </c>
      <c r="AH6245">
        <v>37.220637399823701</v>
      </c>
      <c r="AI6245">
        <v>91.654512980923698</v>
      </c>
      <c r="AJ6245">
        <v>106.512626617897</v>
      </c>
      <c r="AK6245">
        <v>38.837950125450298</v>
      </c>
      <c r="AL6245">
        <v>95.191291977767705</v>
      </c>
      <c r="AM6245">
        <v>102.87435193122801</v>
      </c>
      <c r="AN6245">
        <v>0.99999998898700904</v>
      </c>
    </row>
    <row r="6246" spans="1:40" x14ac:dyDescent="0.25">
      <c r="A6246" t="str">
        <f>"20190303154935439"</f>
        <v>20190303154935439</v>
      </c>
      <c r="B6246" t="str">
        <f>"1551599375427711"</f>
        <v>1551599375427711</v>
      </c>
      <c r="C6246" t="s">
        <v>40</v>
      </c>
      <c r="D6246">
        <v>5.3344009999999997</v>
      </c>
      <c r="E6246">
        <v>0.4753174</v>
      </c>
      <c r="F6246" t="s">
        <v>65</v>
      </c>
      <c r="G6246">
        <v>-370.55720000000002</v>
      </c>
      <c r="H6246" s="1">
        <v>-4.5059460000000003E-6</v>
      </c>
      <c r="I6246">
        <v>19.26803</v>
      </c>
      <c r="J6246">
        <v>-410.43790000000001</v>
      </c>
      <c r="K6246">
        <v>1.1213299999999999</v>
      </c>
      <c r="L6246">
        <v>21.40692</v>
      </c>
      <c r="M6246">
        <v>0.94236279999999994</v>
      </c>
      <c r="N6246">
        <v>-1.402781E-2</v>
      </c>
      <c r="O6246">
        <v>-0.3342984</v>
      </c>
      <c r="P6246">
        <v>0.98791470000000003</v>
      </c>
      <c r="Q6246">
        <v>-0.1030206</v>
      </c>
      <c r="R6246">
        <v>-0.1158059</v>
      </c>
      <c r="S6246">
        <v>3.008972</v>
      </c>
      <c r="T6246">
        <v>-8.4424379999999993E-2</v>
      </c>
      <c r="U6246">
        <v>-0.16323850000000001</v>
      </c>
      <c r="V6246">
        <v>-0.22107750000000001</v>
      </c>
      <c r="W6246">
        <v>-8.9582560000000006E-2</v>
      </c>
      <c r="X6246">
        <v>0.97113320000000003</v>
      </c>
      <c r="Y6246">
        <v>-0.282593599999999</v>
      </c>
      <c r="Z6246">
        <v>1.039003E-2</v>
      </c>
      <c r="AA6246">
        <v>0.95918349999999997</v>
      </c>
      <c r="AB6246">
        <v>17</v>
      </c>
      <c r="AC6246">
        <v>39.880699999999898</v>
      </c>
      <c r="AD6246">
        <v>-1.121334505946</v>
      </c>
      <c r="AE6246">
        <v>-2.13889</v>
      </c>
      <c r="AF6246">
        <v>-11.308643561938</v>
      </c>
      <c r="AG6246">
        <v>-1.121334505946</v>
      </c>
      <c r="AH6246">
        <v>38.270717945769697</v>
      </c>
      <c r="AI6246">
        <v>91.609530834966606</v>
      </c>
      <c r="AJ6246">
        <v>106.46192318904301</v>
      </c>
      <c r="AK6246">
        <v>39.922307828704596</v>
      </c>
      <c r="AL6246">
        <v>95.139592566580106</v>
      </c>
      <c r="AM6246">
        <v>102.82476425111101</v>
      </c>
      <c r="AN6246">
        <v>0.99999999410232099</v>
      </c>
    </row>
    <row r="6247" spans="1:40" x14ac:dyDescent="0.25">
      <c r="A6247" t="str">
        <f>"20190303154935451"</f>
        <v>20190303154935451</v>
      </c>
      <c r="B6247" t="str">
        <f>"1551599375447232"</f>
        <v>1551599375447232</v>
      </c>
      <c r="C6247" t="s">
        <v>40</v>
      </c>
      <c r="D6247">
        <v>5.2745680000000004</v>
      </c>
      <c r="E6247">
        <v>0.47528110000000001</v>
      </c>
      <c r="F6247" t="s">
        <v>66</v>
      </c>
      <c r="G6247">
        <v>-369.34410000000003</v>
      </c>
      <c r="H6247" s="1">
        <v>-3.8795570000000001E-7</v>
      </c>
      <c r="I6247">
        <v>19.17962</v>
      </c>
      <c r="J6247">
        <v>-410.35090000000002</v>
      </c>
      <c r="K6247">
        <v>1.1213229999999901</v>
      </c>
      <c r="L6247">
        <v>21.37726</v>
      </c>
      <c r="M6247">
        <v>0.94266490000000003</v>
      </c>
      <c r="N6247">
        <v>-1.4018640000000001E-2</v>
      </c>
      <c r="O6247">
        <v>-0.33344659999999998</v>
      </c>
      <c r="P6247">
        <v>0.98795529999999998</v>
      </c>
      <c r="Q6247">
        <v>-0.1024072</v>
      </c>
      <c r="R6247">
        <v>-0.1160052</v>
      </c>
      <c r="S6247">
        <v>3.0089419999999998</v>
      </c>
      <c r="T6247">
        <v>-8.2105280000000003E-2</v>
      </c>
      <c r="U6247">
        <v>-0.16308590000000001</v>
      </c>
      <c r="V6247">
        <v>-0.22003010000000001</v>
      </c>
      <c r="W6247">
        <v>-8.8966909999999996E-2</v>
      </c>
      <c r="X6247">
        <v>0.97142759999999995</v>
      </c>
      <c r="Y6247">
        <v>-0.28178569999999997</v>
      </c>
      <c r="Z6247">
        <v>1.000408E-2</v>
      </c>
      <c r="AA6247">
        <v>0.95942519999999998</v>
      </c>
      <c r="AB6247">
        <v>17</v>
      </c>
      <c r="AC6247">
        <v>41.006799999999998</v>
      </c>
      <c r="AD6247">
        <v>-1.1213233879557001</v>
      </c>
      <c r="AE6247">
        <v>-2.1976399999999998</v>
      </c>
      <c r="AF6247">
        <v>-11.5944337803778</v>
      </c>
      <c r="AG6247">
        <v>-1.1213233879557001</v>
      </c>
      <c r="AH6247">
        <v>39.362983252226897</v>
      </c>
      <c r="AI6247">
        <v>91.565274396642295</v>
      </c>
      <c r="AJ6247">
        <v>106.41242719342</v>
      </c>
      <c r="AK6247">
        <v>41.050367980604499</v>
      </c>
      <c r="AL6247">
        <v>95.104177134594394</v>
      </c>
      <c r="AM6247">
        <v>102.76225768974101</v>
      </c>
      <c r="AN6247">
        <v>0.99999996901135801</v>
      </c>
    </row>
    <row r="6248" spans="1:40" x14ac:dyDescent="0.25">
      <c r="A6248" t="str">
        <f>"20190303154935463"</f>
        <v>20190303154935463</v>
      </c>
      <c r="B6248" t="str">
        <f>"1551599375456991"</f>
        <v>1551599375456991</v>
      </c>
      <c r="C6248" t="s">
        <v>40</v>
      </c>
      <c r="D6248">
        <v>5.2871129999999997</v>
      </c>
      <c r="E6248">
        <v>0.47530909999999899</v>
      </c>
      <c r="F6248" t="s">
        <v>65</v>
      </c>
      <c r="G6248">
        <v>-370.3349</v>
      </c>
      <c r="H6248" s="1">
        <v>-4.6221880000000001E-6</v>
      </c>
      <c r="I6248">
        <v>19.20496</v>
      </c>
      <c r="J6248">
        <v>-410.26170000000002</v>
      </c>
      <c r="K6248">
        <v>1.121321</v>
      </c>
      <c r="L6248">
        <v>21.346800000000002</v>
      </c>
      <c r="M6248">
        <v>0.94296659999999999</v>
      </c>
      <c r="N6248">
        <v>-1.4009880000000001E-2</v>
      </c>
      <c r="O6248">
        <v>-0.33259290000000002</v>
      </c>
      <c r="P6248">
        <v>0.98799870000000001</v>
      </c>
      <c r="Q6248">
        <v>-0.1018684</v>
      </c>
      <c r="R6248">
        <v>-0.1161099</v>
      </c>
      <c r="S6248">
        <v>3.0086979999999999</v>
      </c>
      <c r="T6248">
        <v>-8.4309700000000001E-2</v>
      </c>
      <c r="U6248">
        <v>-0.16333010000000001</v>
      </c>
      <c r="V6248">
        <v>-0.21906819999999999</v>
      </c>
      <c r="W6248">
        <v>-8.842991E-2</v>
      </c>
      <c r="X6248">
        <v>0.97169410000000001</v>
      </c>
      <c r="Y6248">
        <v>-0.280825299999999</v>
      </c>
      <c r="Z6248">
        <v>1.0319460000000001E-2</v>
      </c>
      <c r="AA6248">
        <v>0.95970339999999998</v>
      </c>
      <c r="AB6248">
        <v>17</v>
      </c>
      <c r="AC6248">
        <v>39.9268</v>
      </c>
      <c r="AD6248">
        <v>-1.1213256221879999</v>
      </c>
      <c r="AE6248">
        <v>-2.1418400000000002</v>
      </c>
      <c r="AF6248">
        <v>-11.2519405682027</v>
      </c>
      <c r="AG6248">
        <v>-1.1213256221879999</v>
      </c>
      <c r="AH6248">
        <v>38.335608662823297</v>
      </c>
      <c r="AI6248">
        <v>91.607656725021499</v>
      </c>
      <c r="AJ6248">
        <v>106.35756855133</v>
      </c>
      <c r="AK6248">
        <v>39.968517976658603</v>
      </c>
      <c r="AL6248">
        <v>95.073287012123103</v>
      </c>
      <c r="AM6248">
        <v>102.70490867423</v>
      </c>
      <c r="AN6248">
        <v>1.0000000746043201</v>
      </c>
    </row>
    <row r="6249" spans="1:40" x14ac:dyDescent="0.25">
      <c r="A6249" t="str">
        <f>"20190303154935483"</f>
        <v>20190303154935483</v>
      </c>
      <c r="B6249" t="str">
        <f>"1551599375477486"</f>
        <v>1551599375477486</v>
      </c>
      <c r="C6249" t="s">
        <v>40</v>
      </c>
      <c r="D6249">
        <v>5.3271519999999999</v>
      </c>
      <c r="E6249">
        <v>0.47523480000000001</v>
      </c>
      <c r="F6249" t="s">
        <v>65</v>
      </c>
      <c r="G6249">
        <v>-370.46280000000002</v>
      </c>
      <c r="H6249" s="1">
        <v>-4.5665189999999997E-6</v>
      </c>
      <c r="I6249">
        <v>19.17801</v>
      </c>
      <c r="J6249">
        <v>-410.12259999999998</v>
      </c>
      <c r="K6249">
        <v>1.1213439999999999</v>
      </c>
      <c r="L6249">
        <v>21.299499999999998</v>
      </c>
      <c r="M6249">
        <v>0.94341609999999998</v>
      </c>
      <c r="N6249">
        <v>-1.3998460000000001E-2</v>
      </c>
      <c r="O6249">
        <v>-0.33131579999999999</v>
      </c>
      <c r="P6249">
        <v>0.98807250000000002</v>
      </c>
      <c r="Q6249">
        <v>-0.1005998</v>
      </c>
      <c r="R6249">
        <v>-0.1165881</v>
      </c>
      <c r="S6249">
        <v>3.0084230000000001</v>
      </c>
      <c r="T6249">
        <v>-8.4761619999999996E-2</v>
      </c>
      <c r="U6249">
        <v>-0.16394039999999999</v>
      </c>
      <c r="V6249">
        <v>-0.2173243</v>
      </c>
      <c r="W6249">
        <v>-8.717345E-2</v>
      </c>
      <c r="X6249">
        <v>0.97219900000000004</v>
      </c>
      <c r="Y6249">
        <v>-0.2793254</v>
      </c>
      <c r="Z6249">
        <v>1.034587E-2</v>
      </c>
      <c r="AA6249">
        <v>0.96014080000000002</v>
      </c>
      <c r="AB6249">
        <v>17</v>
      </c>
      <c r="AC6249">
        <v>39.659799999999898</v>
      </c>
      <c r="AD6249">
        <v>-1.1213485665189999</v>
      </c>
      <c r="AE6249">
        <v>-2.1214899999999899</v>
      </c>
      <c r="AF6249">
        <v>-11.130688919303299</v>
      </c>
      <c r="AG6249">
        <v>-1.1213485665189999</v>
      </c>
      <c r="AH6249">
        <v>38.091946375733102</v>
      </c>
      <c r="AI6249">
        <v>91.618537625727498</v>
      </c>
      <c r="AJ6249">
        <v>106.288670603737</v>
      </c>
      <c r="AK6249">
        <v>39.700705750876303</v>
      </c>
      <c r="AL6249">
        <v>95.001018533939501</v>
      </c>
      <c r="AM6249">
        <v>102.60067786885401</v>
      </c>
      <c r="AN6249">
        <v>0.99999997867819601</v>
      </c>
    </row>
    <row r="6250" spans="1:40" x14ac:dyDescent="0.25">
      <c r="A6250" t="str">
        <f>"20190303154935496"</f>
        <v>20190303154935496</v>
      </c>
      <c r="B6250" t="str">
        <f>"1551599375487247"</f>
        <v>1551599375487247</v>
      </c>
      <c r="C6250" t="s">
        <v>40</v>
      </c>
      <c r="D6250">
        <v>5.1466629999999904</v>
      </c>
      <c r="E6250">
        <v>0.47532479999999999</v>
      </c>
      <c r="F6250" t="s">
        <v>66</v>
      </c>
      <c r="G6250">
        <v>-367.13499999999999</v>
      </c>
      <c r="H6250" s="1">
        <v>-1.4752990000000001E-6</v>
      </c>
      <c r="I6250">
        <v>18.936640000000001</v>
      </c>
      <c r="J6250">
        <v>-410.03359999999998</v>
      </c>
      <c r="K6250">
        <v>1.1213649999999999</v>
      </c>
      <c r="L6250">
        <v>21.269259999999999</v>
      </c>
      <c r="M6250">
        <v>0.94369749999999997</v>
      </c>
      <c r="N6250">
        <v>-1.3992370000000001E-2</v>
      </c>
      <c r="O6250">
        <v>-0.33051370000000002</v>
      </c>
      <c r="P6250">
        <v>0.98806950000000004</v>
      </c>
      <c r="Q6250">
        <v>-0.10069640000000001</v>
      </c>
      <c r="R6250">
        <v>-0.1165293</v>
      </c>
      <c r="S6250">
        <v>3.008667</v>
      </c>
      <c r="T6250">
        <v>-7.8482029999999994E-2</v>
      </c>
      <c r="U6250">
        <v>-0.16537479999999999</v>
      </c>
      <c r="V6250">
        <v>-0.21654799999999999</v>
      </c>
      <c r="W6250">
        <v>-8.7285849999999998E-2</v>
      </c>
      <c r="X6250">
        <v>0.97236219999999995</v>
      </c>
      <c r="Y6250">
        <v>-0.27808569999999999</v>
      </c>
      <c r="Z6250">
        <v>9.3424319999999995E-3</v>
      </c>
      <c r="AA6250">
        <v>0.9605108</v>
      </c>
      <c r="AB6250">
        <v>17</v>
      </c>
      <c r="AC6250">
        <v>42.898599999999902</v>
      </c>
      <c r="AD6250">
        <v>-1.121366475299</v>
      </c>
      <c r="AE6250">
        <v>-2.3326199999999901</v>
      </c>
      <c r="AF6250">
        <v>-11.9703044838844</v>
      </c>
      <c r="AG6250">
        <v>-1.121366475299</v>
      </c>
      <c r="AH6250">
        <v>41.2302128392543</v>
      </c>
      <c r="AI6250">
        <v>91.496177236237898</v>
      </c>
      <c r="AJ6250">
        <v>106.189517297726</v>
      </c>
      <c r="AK6250">
        <v>42.947364330992897</v>
      </c>
      <c r="AL6250">
        <v>95.0074828537538</v>
      </c>
      <c r="AM6250">
        <v>102.555056442352</v>
      </c>
      <c r="AN6250">
        <v>1.00000005195152</v>
      </c>
    </row>
    <row r="6251" spans="1:40" x14ac:dyDescent="0.25">
      <c r="A6251" t="str">
        <f>"20190303154935508"</f>
        <v>20190303154935508</v>
      </c>
      <c r="B6251" t="str">
        <f>"1551599375497007"</f>
        <v>1551599375497007</v>
      </c>
      <c r="C6251" t="s">
        <v>40</v>
      </c>
      <c r="D6251">
        <v>5.2602330000000004</v>
      </c>
      <c r="E6251">
        <v>0.47539369999999997</v>
      </c>
      <c r="F6251" t="s">
        <v>66</v>
      </c>
      <c r="G6251">
        <v>-367.6977</v>
      </c>
      <c r="H6251" s="1">
        <v>-1.2102549999999999E-6</v>
      </c>
      <c r="I6251">
        <v>18.931370000000001</v>
      </c>
      <c r="J6251">
        <v>-409.94799999999998</v>
      </c>
      <c r="K6251">
        <v>1.1213930000000001</v>
      </c>
      <c r="L6251">
        <v>21.240300000000001</v>
      </c>
      <c r="M6251">
        <v>0.94396760000000002</v>
      </c>
      <c r="N6251">
        <v>-1.3987370000000001E-2</v>
      </c>
      <c r="O6251">
        <v>-0.32974179999999997</v>
      </c>
      <c r="P6251">
        <v>0.98807940000000005</v>
      </c>
      <c r="Q6251">
        <v>-0.10045519999999999</v>
      </c>
      <c r="R6251">
        <v>-0.11665440000000001</v>
      </c>
      <c r="S6251">
        <v>3.0085139999999999</v>
      </c>
      <c r="T6251">
        <v>-7.9687599999999997E-2</v>
      </c>
      <c r="U6251">
        <v>-0.1661377</v>
      </c>
      <c r="V6251">
        <v>-0.21563360000000001</v>
      </c>
      <c r="W6251">
        <v>-8.7060670000000007E-2</v>
      </c>
      <c r="X6251">
        <v>0.97258549999999999</v>
      </c>
      <c r="Y6251">
        <v>-0.27704970000000001</v>
      </c>
      <c r="Z6251">
        <v>9.5005339999999997E-3</v>
      </c>
      <c r="AA6251">
        <v>0.96080860000000001</v>
      </c>
      <c r="AB6251">
        <v>17</v>
      </c>
      <c r="AC6251">
        <v>42.250300000000003</v>
      </c>
      <c r="AD6251">
        <v>-1.1213942102550001</v>
      </c>
      <c r="AE6251">
        <v>-2.3089300000000001</v>
      </c>
      <c r="AF6251">
        <v>-11.745034608819401</v>
      </c>
      <c r="AG6251">
        <v>-1.1213942102550001</v>
      </c>
      <c r="AH6251">
        <v>40.6197090974647</v>
      </c>
      <c r="AI6251">
        <v>91.519171268360694</v>
      </c>
      <c r="AJ6251">
        <v>106.127024626436</v>
      </c>
      <c r="AK6251">
        <v>42.298512149954099</v>
      </c>
      <c r="AL6251">
        <v>94.994532036784193</v>
      </c>
      <c r="AM6251">
        <v>102.50093130030299</v>
      </c>
      <c r="AN6251">
        <v>0.99999998226002895</v>
      </c>
    </row>
    <row r="6252" spans="1:40" x14ac:dyDescent="0.25">
      <c r="A6252" t="str">
        <f>"20190303154935528"</f>
        <v>20190303154935528</v>
      </c>
      <c r="B6252" t="str">
        <f>"1551599375517503"</f>
        <v>1551599375517503</v>
      </c>
      <c r="C6252" t="s">
        <v>40</v>
      </c>
      <c r="D6252">
        <v>5.2833379999999996</v>
      </c>
      <c r="E6252">
        <v>0.47502949999999999</v>
      </c>
      <c r="F6252" t="s">
        <v>66</v>
      </c>
      <c r="G6252">
        <v>-366.61919999999998</v>
      </c>
      <c r="H6252" s="1">
        <v>-1.738035E-6</v>
      </c>
      <c r="I6252">
        <v>18.829989999999999</v>
      </c>
      <c r="J6252">
        <v>-409.81099999999998</v>
      </c>
      <c r="K6252">
        <v>1.121443</v>
      </c>
      <c r="L6252">
        <v>21.194120000000002</v>
      </c>
      <c r="M6252">
        <v>0.94440259999999998</v>
      </c>
      <c r="N6252">
        <v>-1.398072E-2</v>
      </c>
      <c r="O6252">
        <v>-0.32849390000000001</v>
      </c>
      <c r="P6252">
        <v>0.98800949999999998</v>
      </c>
      <c r="Q6252">
        <v>-0.1005868</v>
      </c>
      <c r="R6252">
        <v>-0.11713129999999999</v>
      </c>
      <c r="S6252">
        <v>3.0085139999999999</v>
      </c>
      <c r="T6252">
        <v>-7.7863450000000001E-2</v>
      </c>
      <c r="U6252">
        <v>-0.16735839999999999</v>
      </c>
      <c r="V6252">
        <v>-0.21386430000000001</v>
      </c>
      <c r="W6252">
        <v>-8.7220409999999998E-2</v>
      </c>
      <c r="X6252">
        <v>0.97296179999999999</v>
      </c>
      <c r="Y6252">
        <v>-0.27539940000000002</v>
      </c>
      <c r="Z6252">
        <v>9.1760079999999994E-3</v>
      </c>
      <c r="AA6252">
        <v>0.96128610000000003</v>
      </c>
      <c r="AB6252">
        <v>17</v>
      </c>
      <c r="AC6252">
        <v>43.191800000000001</v>
      </c>
      <c r="AD6252">
        <v>-1.1214447380350001</v>
      </c>
      <c r="AE6252">
        <v>-2.3641299999999998</v>
      </c>
      <c r="AF6252">
        <v>-11.9486899734119</v>
      </c>
      <c r="AG6252">
        <v>-1.1214447380350001</v>
      </c>
      <c r="AH6252">
        <v>41.543191534086198</v>
      </c>
      <c r="AI6252">
        <v>91.486086229373598</v>
      </c>
      <c r="AJ6252">
        <v>106.046341098954</v>
      </c>
      <c r="AK6252">
        <v>43.241942523653499</v>
      </c>
      <c r="AL6252">
        <v>95.003719316797302</v>
      </c>
      <c r="AM6252">
        <v>102.39689779747999</v>
      </c>
      <c r="AN6252">
        <v>1.00000000149714</v>
      </c>
    </row>
    <row r="6253" spans="1:40" x14ac:dyDescent="0.25">
      <c r="A6253" t="str">
        <f>"20190303154935550"</f>
        <v>20190303154935550</v>
      </c>
      <c r="B6253" t="str">
        <f>"1551599375546782"</f>
        <v>1551599375546782</v>
      </c>
      <c r="C6253" t="s">
        <v>40</v>
      </c>
      <c r="D6253">
        <v>5.2698669999999996</v>
      </c>
      <c r="E6253">
        <v>0.47438399999999997</v>
      </c>
      <c r="F6253" t="s">
        <v>66</v>
      </c>
      <c r="G6253">
        <v>-366.75029999999998</v>
      </c>
      <c r="H6253" s="1">
        <v>-1.6796490000000001E-6</v>
      </c>
      <c r="I6253">
        <v>18.80977</v>
      </c>
      <c r="J6253">
        <v>-409.64870000000002</v>
      </c>
      <c r="K6253">
        <v>1.1215139999999999</v>
      </c>
      <c r="L6253">
        <v>21.139679999999998</v>
      </c>
      <c r="M6253">
        <v>0.94493139999999998</v>
      </c>
      <c r="N6253">
        <v>-1.3974540000000001E-2</v>
      </c>
      <c r="O6253">
        <v>-0.32697009999999899</v>
      </c>
      <c r="P6253">
        <v>0.9879713</v>
      </c>
      <c r="Q6253">
        <v>-0.1003363</v>
      </c>
      <c r="R6253">
        <v>-0.1176659</v>
      </c>
      <c r="S6253">
        <v>3.008667</v>
      </c>
      <c r="T6253">
        <v>-7.8355789999999995E-2</v>
      </c>
      <c r="U6253">
        <v>-0.16659549999999901</v>
      </c>
      <c r="V6253">
        <v>-0.21176420000000001</v>
      </c>
      <c r="W6253">
        <v>-8.7004280000000003E-2</v>
      </c>
      <c r="X6253">
        <v>0.97344039999999998</v>
      </c>
      <c r="Y6253">
        <v>-0.27409309999999998</v>
      </c>
      <c r="Z6253">
        <v>9.2105739999999992E-3</v>
      </c>
      <c r="AA6253">
        <v>0.96165909999999999</v>
      </c>
      <c r="AB6253">
        <v>17</v>
      </c>
      <c r="AC6253">
        <v>42.898400000000002</v>
      </c>
      <c r="AD6253">
        <v>-1.121515679649</v>
      </c>
      <c r="AE6253">
        <v>-2.3299099999999902</v>
      </c>
      <c r="AF6253">
        <v>-11.8179896626356</v>
      </c>
      <c r="AG6253">
        <v>-1.121515679649</v>
      </c>
      <c r="AH6253">
        <v>41.273760402909801</v>
      </c>
      <c r="AI6253">
        <v>91.496388580623602</v>
      </c>
      <c r="AJ6253">
        <v>105.97810069101899</v>
      </c>
      <c r="AK6253">
        <v>42.947013573503099</v>
      </c>
      <c r="AL6253">
        <v>94.991288648690201</v>
      </c>
      <c r="AM6253">
        <v>102.273019665578</v>
      </c>
      <c r="AN6253">
        <v>1.0000000167460501</v>
      </c>
    </row>
    <row r="6254" spans="1:40" x14ac:dyDescent="0.25">
      <c r="A6254" t="str">
        <f>"20190303154935572"</f>
        <v>20190303154935572</v>
      </c>
      <c r="B6254" t="str">
        <f>"1551599375567279"</f>
        <v>1551599375567279</v>
      </c>
      <c r="C6254" t="s">
        <v>40</v>
      </c>
      <c r="D6254">
        <v>5.2681779999999998</v>
      </c>
      <c r="E6254">
        <v>0.47404180000000001</v>
      </c>
      <c r="F6254" t="s">
        <v>66</v>
      </c>
      <c r="G6254">
        <v>-368.16219999999998</v>
      </c>
      <c r="H6254" s="1">
        <v>-9.9788670000000004E-7</v>
      </c>
      <c r="I6254">
        <v>18.890609999999999</v>
      </c>
      <c r="J6254">
        <v>-409.49900000000002</v>
      </c>
      <c r="K6254">
        <v>1.1215839999999999</v>
      </c>
      <c r="L6254">
        <v>21.089749999999999</v>
      </c>
      <c r="M6254">
        <v>0.94543730000000004</v>
      </c>
      <c r="N6254">
        <v>-1.3970160000000001E-2</v>
      </c>
      <c r="O6254">
        <v>-0.32550489999999999</v>
      </c>
      <c r="P6254">
        <v>0.98782740000000002</v>
      </c>
      <c r="Q6254">
        <v>-0.10083449999999999</v>
      </c>
      <c r="R6254">
        <v>-0.118448</v>
      </c>
      <c r="S6254">
        <v>3.0088499999999998</v>
      </c>
      <c r="T6254">
        <v>-8.1338999999999995E-2</v>
      </c>
      <c r="U6254">
        <v>-0.1631165</v>
      </c>
      <c r="V6254">
        <v>-0.20945540000000001</v>
      </c>
      <c r="W6254">
        <v>-8.7531919999999999E-2</v>
      </c>
      <c r="X6254">
        <v>0.97389250000000005</v>
      </c>
      <c r="Y6254">
        <v>-0.27370139999999998</v>
      </c>
      <c r="Z6254">
        <v>9.6415070000000005E-3</v>
      </c>
      <c r="AA6254">
        <v>0.96176640000000002</v>
      </c>
      <c r="AB6254">
        <v>17</v>
      </c>
      <c r="AC6254">
        <v>41.336799999999997</v>
      </c>
      <c r="AD6254">
        <v>-1.1215849978867001</v>
      </c>
      <c r="AE6254">
        <v>-2.1991399999999901</v>
      </c>
      <c r="AF6254">
        <v>-11.3689444812192</v>
      </c>
      <c r="AG6254">
        <v>-1.1215849978867001</v>
      </c>
      <c r="AH6254">
        <v>39.771864606516402</v>
      </c>
      <c r="AI6254">
        <v>91.553161282187205</v>
      </c>
      <c r="AJ6254">
        <v>105.95279371069</v>
      </c>
      <c r="AK6254">
        <v>41.380092626812697</v>
      </c>
      <c r="AL6254">
        <v>95.021636049225194</v>
      </c>
      <c r="AM6254">
        <v>102.137732736332</v>
      </c>
      <c r="AN6254">
        <v>1.00000000158214</v>
      </c>
    </row>
    <row r="6255" spans="1:40" x14ac:dyDescent="0.25">
      <c r="A6255" t="str">
        <f>"20190303154935584"</f>
        <v>20190303154935584</v>
      </c>
      <c r="B6255" t="str">
        <f>"1551599375577040"</f>
        <v>1551599375577040</v>
      </c>
      <c r="C6255" t="s">
        <v>40</v>
      </c>
      <c r="D6255">
        <v>5.295903</v>
      </c>
      <c r="E6255">
        <v>0.47376960000000001</v>
      </c>
      <c r="F6255" t="s">
        <v>65</v>
      </c>
      <c r="G6255">
        <v>-370.01389999999998</v>
      </c>
      <c r="H6255" s="1">
        <v>-4.8176189999999997E-6</v>
      </c>
      <c r="I6255">
        <v>18.95872</v>
      </c>
      <c r="J6255">
        <v>-409.411</v>
      </c>
      <c r="K6255">
        <v>1.121621</v>
      </c>
      <c r="L6255">
        <v>21.060580000000002</v>
      </c>
      <c r="M6255">
        <v>0.94574309999999995</v>
      </c>
      <c r="N6255">
        <v>-1.396705E-2</v>
      </c>
      <c r="O6255">
        <v>-0.32461580000000001</v>
      </c>
      <c r="P6255">
        <v>0.98781529999999995</v>
      </c>
      <c r="Q6255">
        <v>-0.100814</v>
      </c>
      <c r="R6255">
        <v>-0.11856559999999999</v>
      </c>
      <c r="S6255">
        <v>3.008759</v>
      </c>
      <c r="T6255">
        <v>-8.546484E-2</v>
      </c>
      <c r="U6255">
        <v>-0.162384</v>
      </c>
      <c r="V6255">
        <v>-0.2084173</v>
      </c>
      <c r="W6255">
        <v>-8.7529620000000002E-2</v>
      </c>
      <c r="X6255">
        <v>0.97411539999999996</v>
      </c>
      <c r="Y6255">
        <v>-0.2730107</v>
      </c>
      <c r="Z6255">
        <v>1.024309E-2</v>
      </c>
      <c r="AA6255">
        <v>0.96195640000000004</v>
      </c>
      <c r="AB6255">
        <v>17</v>
      </c>
      <c r="AC6255">
        <v>39.397100000000002</v>
      </c>
      <c r="AD6255">
        <v>-1.1216258176189999</v>
      </c>
      <c r="AE6255">
        <v>-2.1018599999999901</v>
      </c>
      <c r="AF6255">
        <v>-10.793428951133601</v>
      </c>
      <c r="AG6255">
        <v>-1.1216258176189999</v>
      </c>
      <c r="AH6255">
        <v>37.914880369953899</v>
      </c>
      <c r="AI6255">
        <v>91.629757186039001</v>
      </c>
      <c r="AJ6255">
        <v>105.890342717118</v>
      </c>
      <c r="AK6255">
        <v>39.437219811566798</v>
      </c>
      <c r="AL6255">
        <v>95.021503724260697</v>
      </c>
      <c r="AM6255">
        <v>102.07666392832699</v>
      </c>
      <c r="AN6255">
        <v>1.0000000089168899</v>
      </c>
    </row>
    <row r="6256" spans="1:40" x14ac:dyDescent="0.25">
      <c r="A6256" t="str">
        <f>"20190303154935596"</f>
        <v>20190303154935596</v>
      </c>
      <c r="B6256" t="str">
        <f>"1551599375586800"</f>
        <v>1551599375586800</v>
      </c>
      <c r="C6256" t="s">
        <v>40</v>
      </c>
      <c r="D6256">
        <v>5.2361079999999998</v>
      </c>
      <c r="E6256">
        <v>0.47358699999999998</v>
      </c>
      <c r="F6256" t="s">
        <v>65</v>
      </c>
      <c r="G6256">
        <v>-370.4581</v>
      </c>
      <c r="H6256" s="1">
        <v>-4.6033620000000001E-6</v>
      </c>
      <c r="I6256">
        <v>18.982890000000001</v>
      </c>
      <c r="J6256">
        <v>-409.3263</v>
      </c>
      <c r="K6256">
        <v>1.1216569999999999</v>
      </c>
      <c r="L6256">
        <v>21.032589999999999</v>
      </c>
      <c r="M6256">
        <v>0.94604509999999997</v>
      </c>
      <c r="N6256">
        <v>-1.3962209999999999E-2</v>
      </c>
      <c r="O6256">
        <v>-0.32373400000000002</v>
      </c>
      <c r="P6256">
        <v>0.98775679999999999</v>
      </c>
      <c r="Q6256">
        <v>-0.10103470000000001</v>
      </c>
      <c r="R6256">
        <v>-0.11886380000000001</v>
      </c>
      <c r="S6256">
        <v>3.0089419999999998</v>
      </c>
      <c r="T6256">
        <v>-8.6640599999999998E-2</v>
      </c>
      <c r="U6256">
        <v>-0.16049189999999999</v>
      </c>
      <c r="V6256">
        <v>-0.20720140000000001</v>
      </c>
      <c r="W6256">
        <v>-8.7768390000000002E-2</v>
      </c>
      <c r="X6256">
        <v>0.97435329999999998</v>
      </c>
      <c r="Y6256">
        <v>-0.27271499999999999</v>
      </c>
      <c r="Z6256">
        <v>1.040404E-2</v>
      </c>
      <c r="AA6256">
        <v>0.96203859999999997</v>
      </c>
      <c r="AB6256">
        <v>17</v>
      </c>
      <c r="AC6256">
        <v>38.868200000000002</v>
      </c>
      <c r="AD6256">
        <v>-1.1216616033619999</v>
      </c>
      <c r="AE6256">
        <v>-2.0496999999999899</v>
      </c>
      <c r="AF6256">
        <v>-10.6360539415369</v>
      </c>
      <c r="AG6256">
        <v>-1.1216616033619999</v>
      </c>
      <c r="AH6256">
        <v>37.4072115968292</v>
      </c>
      <c r="AI6256">
        <v>91.652065126749406</v>
      </c>
      <c r="AJ6256">
        <v>105.87212843823301</v>
      </c>
      <c r="AK6256">
        <v>38.9060823991531</v>
      </c>
      <c r="AL6256">
        <v>95.035236975719201</v>
      </c>
      <c r="AM6256">
        <v>102.005413007645</v>
      </c>
      <c r="AN6256">
        <v>1.00000003183302</v>
      </c>
    </row>
    <row r="6257" spans="1:40" x14ac:dyDescent="0.25">
      <c r="A6257" t="str">
        <f>"20190303154935608"</f>
        <v>20190303154935608</v>
      </c>
      <c r="B6257" t="str">
        <f>"1551599375597536"</f>
        <v>1551599375597536</v>
      </c>
      <c r="C6257" t="s">
        <v>40</v>
      </c>
      <c r="D6257">
        <v>5.2595190000000001</v>
      </c>
      <c r="E6257">
        <v>0.47345159999999997</v>
      </c>
      <c r="F6257" t="s">
        <v>65</v>
      </c>
      <c r="G6257">
        <v>-371.16579999999999</v>
      </c>
      <c r="H6257" s="1">
        <v>-4.2648640000000003E-6</v>
      </c>
      <c r="I6257">
        <v>19.005240000000001</v>
      </c>
      <c r="J6257">
        <v>-409.2473</v>
      </c>
      <c r="K6257">
        <v>1.121688</v>
      </c>
      <c r="L6257">
        <v>21.00656</v>
      </c>
      <c r="M6257">
        <v>0.94633420000000001</v>
      </c>
      <c r="N6257">
        <v>-1.3950260000000001E-2</v>
      </c>
      <c r="O6257">
        <v>-0.32288889999999998</v>
      </c>
      <c r="P6257">
        <v>0.98773619999999995</v>
      </c>
      <c r="Q6257">
        <v>-0.1010064</v>
      </c>
      <c r="R6257">
        <v>-0.1190586</v>
      </c>
      <c r="S6257">
        <v>3.0088499999999998</v>
      </c>
      <c r="T6257">
        <v>-8.8439820000000002E-2</v>
      </c>
      <c r="U6257">
        <v>-0.1598511</v>
      </c>
      <c r="V6257">
        <v>-0.2061337</v>
      </c>
      <c r="W6257">
        <v>-8.7763899999999895E-2</v>
      </c>
      <c r="X6257">
        <v>0.97458009999999995</v>
      </c>
      <c r="Y6257">
        <v>-0.27205030000000002</v>
      </c>
      <c r="Z6257">
        <v>1.06529E-2</v>
      </c>
      <c r="AA6257">
        <v>0.96222410000000003</v>
      </c>
      <c r="AB6257">
        <v>17</v>
      </c>
      <c r="AC6257">
        <v>38.081499999999998</v>
      </c>
      <c r="AD6257">
        <v>-1.121692264864</v>
      </c>
      <c r="AE6257">
        <v>-2.0013200000000002</v>
      </c>
      <c r="AF6257">
        <v>-10.394193851202401</v>
      </c>
      <c r="AG6257">
        <v>-1.121692264864</v>
      </c>
      <c r="AH6257">
        <v>36.655879925920097</v>
      </c>
      <c r="AI6257">
        <v>91.6862950859623</v>
      </c>
      <c r="AJ6257">
        <v>105.83129119182399</v>
      </c>
      <c r="AK6257">
        <v>38.1175942642883</v>
      </c>
      <c r="AL6257">
        <v>95.034978943037601</v>
      </c>
      <c r="AM6257">
        <v>101.942631102942</v>
      </c>
      <c r="AN6257">
        <v>0.99999998786745403</v>
      </c>
    </row>
    <row r="6258" spans="1:40" x14ac:dyDescent="0.25">
      <c r="A6258" t="str">
        <f>"20190303154935620"</f>
        <v>20190303154935620</v>
      </c>
      <c r="B6258" t="str">
        <f>"1551599375617055"</f>
        <v>1551599375617055</v>
      </c>
      <c r="C6258" t="s">
        <v>40</v>
      </c>
      <c r="D6258">
        <v>5.2272619999999996</v>
      </c>
      <c r="E6258">
        <v>0.47331400000000001</v>
      </c>
      <c r="F6258" t="s">
        <v>65</v>
      </c>
      <c r="G6258">
        <v>-371.73719999999997</v>
      </c>
      <c r="H6258" s="1">
        <v>-3.992021E-6</v>
      </c>
      <c r="I6258">
        <v>19.02064</v>
      </c>
      <c r="J6258">
        <v>-409.15559999999999</v>
      </c>
      <c r="K6258">
        <v>1.121723</v>
      </c>
      <c r="L6258">
        <v>20.976500000000001</v>
      </c>
      <c r="M6258">
        <v>0.94667310000000005</v>
      </c>
      <c r="N6258">
        <v>-1.393107E-2</v>
      </c>
      <c r="O6258">
        <v>-0.32189440000000002</v>
      </c>
      <c r="P6258">
        <v>0.9878188</v>
      </c>
      <c r="Q6258">
        <v>-0.10074809999999999</v>
      </c>
      <c r="R6258">
        <v>-0.1185904</v>
      </c>
      <c r="S6258">
        <v>3.0088810000000001</v>
      </c>
      <c r="T6258">
        <v>-8.9976909999999993E-2</v>
      </c>
      <c r="U6258">
        <v>-0.15930179999999999</v>
      </c>
      <c r="V6258">
        <v>-0.20557310000000001</v>
      </c>
      <c r="W6258">
        <v>-8.754083E-2</v>
      </c>
      <c r="X6258">
        <v>0.97471859999999999</v>
      </c>
      <c r="Y6258">
        <v>-0.271208</v>
      </c>
      <c r="Z6258">
        <v>1.085585E-2</v>
      </c>
      <c r="AA6258">
        <v>0.96245959999999997</v>
      </c>
      <c r="AB6258">
        <v>17</v>
      </c>
      <c r="AC6258">
        <v>37.418399999999998</v>
      </c>
      <c r="AD6258">
        <v>-1.121726992021</v>
      </c>
      <c r="AE6258">
        <v>-1.9558599999999999</v>
      </c>
      <c r="AF6258">
        <v>-10.1850742832004</v>
      </c>
      <c r="AG6258">
        <v>-1.121726992021</v>
      </c>
      <c r="AH6258">
        <v>36.023785821534197</v>
      </c>
      <c r="AI6258">
        <v>91.716292273499803</v>
      </c>
      <c r="AJ6258">
        <v>105.78729137857199</v>
      </c>
      <c r="AK6258">
        <v>37.452732270352598</v>
      </c>
      <c r="AL6258">
        <v>95.022148415137593</v>
      </c>
      <c r="AM6258">
        <v>101.909436777813</v>
      </c>
      <c r="AN6258">
        <v>1.0000000227733199</v>
      </c>
    </row>
    <row r="6259" spans="1:40" x14ac:dyDescent="0.25">
      <c r="A6259" t="str">
        <f>"20190303154935637"</f>
        <v>20190303154935637</v>
      </c>
      <c r="B6259" t="str">
        <f>"1551599375626814"</f>
        <v>1551599375626814</v>
      </c>
      <c r="C6259" t="s">
        <v>40</v>
      </c>
      <c r="D6259">
        <v>5.2580260000000001</v>
      </c>
      <c r="E6259">
        <v>0.47327940000000002</v>
      </c>
      <c r="F6259" t="s">
        <v>65</v>
      </c>
      <c r="G6259">
        <v>-372.0736</v>
      </c>
      <c r="H6259" s="1">
        <v>-3.828582E-6</v>
      </c>
      <c r="I6259">
        <v>19.0456</v>
      </c>
      <c r="J6259">
        <v>-409.03710000000001</v>
      </c>
      <c r="K6259">
        <v>1.121767</v>
      </c>
      <c r="L6259">
        <v>20.937930000000001</v>
      </c>
      <c r="M6259">
        <v>0.94712669999999999</v>
      </c>
      <c r="N6259">
        <v>-1.3883599999999999E-2</v>
      </c>
      <c r="O6259">
        <v>-0.32055929999999999</v>
      </c>
      <c r="P6259">
        <v>0.98796490000000003</v>
      </c>
      <c r="Q6259">
        <v>-9.98502E-2</v>
      </c>
      <c r="R6259">
        <v>-0.1181333</v>
      </c>
      <c r="S6259">
        <v>3.0089109999999999</v>
      </c>
      <c r="T6259">
        <v>-9.1019149999999993E-2</v>
      </c>
      <c r="U6259">
        <v>-0.15667719999999999</v>
      </c>
      <c r="V6259">
        <v>-0.20467050000000001</v>
      </c>
      <c r="W6259">
        <v>-8.6708740000000006E-2</v>
      </c>
      <c r="X6259">
        <v>0.97498289999999999</v>
      </c>
      <c r="Y6259">
        <v>-0.27068370000000003</v>
      </c>
      <c r="Z6259">
        <v>1.0991310000000001E-2</v>
      </c>
      <c r="AA6259">
        <v>0.96260559999999995</v>
      </c>
      <c r="AB6259">
        <v>17</v>
      </c>
      <c r="AC6259">
        <v>36.963500000000003</v>
      </c>
      <c r="AD6259">
        <v>-1.1217708285820001</v>
      </c>
      <c r="AE6259">
        <v>-1.8923299999999901</v>
      </c>
      <c r="AF6259">
        <v>-10.0484562811932</v>
      </c>
      <c r="AG6259">
        <v>-1.1217708285820001</v>
      </c>
      <c r="AH6259">
        <v>35.586465059408702</v>
      </c>
      <c r="AI6259">
        <v>91.7376043750875</v>
      </c>
      <c r="AJ6259">
        <v>105.767947813202</v>
      </c>
      <c r="AK6259">
        <v>36.994950180415501</v>
      </c>
      <c r="AL6259">
        <v>94.974291115956603</v>
      </c>
      <c r="AM6259">
        <v>101.85550660583</v>
      </c>
      <c r="AN6259">
        <v>1.00000003722752</v>
      </c>
    </row>
    <row r="6260" spans="1:40" x14ac:dyDescent="0.25">
      <c r="A6260" t="str">
        <f>"20190303154935649"</f>
        <v>20190303154935649</v>
      </c>
      <c r="B6260" t="str">
        <f>"1551599375637552"</f>
        <v>1551599375637552</v>
      </c>
      <c r="C6260" t="s">
        <v>40</v>
      </c>
      <c r="D6260">
        <v>5.2590769999999996</v>
      </c>
      <c r="E6260">
        <v>0.47317589999999998</v>
      </c>
      <c r="F6260" t="s">
        <v>65</v>
      </c>
      <c r="G6260">
        <v>-370.98759999999999</v>
      </c>
      <c r="H6260" s="1">
        <v>-4.3537850000000004E-6</v>
      </c>
      <c r="I6260">
        <v>18.978750000000002</v>
      </c>
      <c r="J6260">
        <v>-408.95639999999997</v>
      </c>
      <c r="K6260">
        <v>1.121791</v>
      </c>
      <c r="L6260">
        <v>20.911740000000002</v>
      </c>
      <c r="M6260">
        <v>0.9474418</v>
      </c>
      <c r="N6260">
        <v>-1.3843650000000001E-2</v>
      </c>
      <c r="O6260">
        <v>-0.31962879999999999</v>
      </c>
      <c r="P6260">
        <v>0.98808110000000005</v>
      </c>
      <c r="Q6260">
        <v>-9.9503519999999998E-2</v>
      </c>
      <c r="R6260">
        <v>-0.1174531</v>
      </c>
      <c r="S6260">
        <v>3.009064</v>
      </c>
      <c r="T6260">
        <v>-8.8712810000000003E-2</v>
      </c>
      <c r="U6260">
        <v>-0.15493770000000001</v>
      </c>
      <c r="V6260">
        <v>-0.2043893</v>
      </c>
      <c r="W6260">
        <v>-8.6415309999999995E-2</v>
      </c>
      <c r="X6260">
        <v>0.97506789999999999</v>
      </c>
      <c r="Y6260">
        <v>-0.27030690000000002</v>
      </c>
      <c r="Z6260">
        <v>1.0632600000000001E-2</v>
      </c>
      <c r="AA6260">
        <v>0.96271549999999995</v>
      </c>
      <c r="AB6260">
        <v>17</v>
      </c>
      <c r="AC6260">
        <v>37.968799999999902</v>
      </c>
      <c r="AD6260">
        <v>-1.1217953537850001</v>
      </c>
      <c r="AE6260">
        <v>-1.93298999999999</v>
      </c>
      <c r="AF6260">
        <v>-10.296548271646101</v>
      </c>
      <c r="AG6260">
        <v>-1.1217953537850001</v>
      </c>
      <c r="AH6260">
        <v>36.5627371925695</v>
      </c>
      <c r="AI6260">
        <v>91.691605406323802</v>
      </c>
      <c r="AJ6260">
        <v>105.727918734268</v>
      </c>
      <c r="AK6260">
        <v>38.001461578984298</v>
      </c>
      <c r="AL6260">
        <v>94.957415654214003</v>
      </c>
      <c r="AM6260">
        <v>101.838675205838</v>
      </c>
      <c r="AN6260">
        <v>1.00000000068364</v>
      </c>
    </row>
    <row r="6261" spans="1:40" x14ac:dyDescent="0.25">
      <c r="A6261" t="str">
        <f>"20190303154935663"</f>
        <v>20190303154935663</v>
      </c>
      <c r="B6261" t="str">
        <f>"1551599375657072"</f>
        <v>1551599375657072</v>
      </c>
      <c r="C6261" t="s">
        <v>40</v>
      </c>
      <c r="D6261">
        <v>5.2947769999999998</v>
      </c>
      <c r="E6261">
        <v>0.47296969999999999</v>
      </c>
      <c r="F6261" t="s">
        <v>65</v>
      </c>
      <c r="G6261">
        <v>-370.92689999999999</v>
      </c>
      <c r="H6261" s="1">
        <v>-4.3801389999999998E-6</v>
      </c>
      <c r="I6261">
        <v>18.991859999999999</v>
      </c>
      <c r="J6261">
        <v>-408.86160000000001</v>
      </c>
      <c r="K6261">
        <v>1.121818</v>
      </c>
      <c r="L6261">
        <v>20.881160000000001</v>
      </c>
      <c r="M6261">
        <v>0.94781499999999996</v>
      </c>
      <c r="N6261">
        <v>-1.379318E-2</v>
      </c>
      <c r="O6261">
        <v>-0.31852279999999999</v>
      </c>
      <c r="P6261">
        <v>0.98827770000000004</v>
      </c>
      <c r="Q6261">
        <v>-9.8912570000000005E-2</v>
      </c>
      <c r="R6261">
        <v>-0.11629109999999999</v>
      </c>
      <c r="S6261">
        <v>3.0091860000000001</v>
      </c>
      <c r="T6261">
        <v>-8.8765140000000006E-2</v>
      </c>
      <c r="U6261">
        <v>-0.15191650000000001</v>
      </c>
      <c r="V6261">
        <v>-0.2044098</v>
      </c>
      <c r="W6261">
        <v>-8.5891250000000002E-2</v>
      </c>
      <c r="X6261">
        <v>0.97510989999999997</v>
      </c>
      <c r="Y6261">
        <v>-0.27014899999999997</v>
      </c>
      <c r="Z6261">
        <v>1.063157E-2</v>
      </c>
      <c r="AA6261">
        <v>0.9627599</v>
      </c>
      <c r="AB6261">
        <v>17</v>
      </c>
      <c r="AC6261">
        <v>37.934699999999999</v>
      </c>
      <c r="AD6261">
        <v>-1.1218223801389999</v>
      </c>
      <c r="AE6261">
        <v>-1.8893</v>
      </c>
      <c r="AF6261">
        <v>-10.284365909952699</v>
      </c>
      <c r="AG6261">
        <v>-1.1218223801389999</v>
      </c>
      <c r="AH6261">
        <v>36.528469106437399</v>
      </c>
      <c r="AI6261">
        <v>91.693262783623993</v>
      </c>
      <c r="AJ6261">
        <v>105.724238960535</v>
      </c>
      <c r="AK6261">
        <v>37.965190936992897</v>
      </c>
      <c r="AL6261">
        <v>94.927277197069003</v>
      </c>
      <c r="AM6261">
        <v>101.839333524268</v>
      </c>
      <c r="AN6261">
        <v>0.99999999512030602</v>
      </c>
    </row>
    <row r="6262" spans="1:40" x14ac:dyDescent="0.25">
      <c r="A6262" t="str">
        <f>"20190303154935684"</f>
        <v>20190303154935684</v>
      </c>
      <c r="B6262" t="str">
        <f>"1551599375677567"</f>
        <v>1551599375677567</v>
      </c>
      <c r="C6262" t="s">
        <v>40</v>
      </c>
      <c r="D6262">
        <v>5.4452489999999996</v>
      </c>
      <c r="E6262">
        <v>0.47283740000000002</v>
      </c>
      <c r="F6262" t="s">
        <v>65</v>
      </c>
      <c r="G6262">
        <v>-370.95760000000001</v>
      </c>
      <c r="H6262" s="1">
        <v>-4.3580009999999998E-6</v>
      </c>
      <c r="I6262">
        <v>19.035019999999999</v>
      </c>
      <c r="J6262">
        <v>-408.7115</v>
      </c>
      <c r="K6262">
        <v>1.121858</v>
      </c>
      <c r="L6262">
        <v>20.83304</v>
      </c>
      <c r="M6262">
        <v>0.94841969999999998</v>
      </c>
      <c r="N6262">
        <v>-1.370847E-2</v>
      </c>
      <c r="O6262">
        <v>-0.31672109999999998</v>
      </c>
      <c r="P6262">
        <v>0.98861529999999997</v>
      </c>
      <c r="Q6262">
        <v>-9.8083290000000004E-2</v>
      </c>
      <c r="R6262">
        <v>-0.11410389999999999</v>
      </c>
      <c r="S6262">
        <v>3.00943</v>
      </c>
      <c r="T6262">
        <v>-8.9068170000000002E-2</v>
      </c>
      <c r="U6262">
        <v>-0.14657590000000001</v>
      </c>
      <c r="V6262">
        <v>-0.20473069999999999</v>
      </c>
      <c r="W6262">
        <v>-8.5170490000000001E-2</v>
      </c>
      <c r="X6262">
        <v>0.97510580000000002</v>
      </c>
      <c r="Y6262">
        <v>-0.27002599999999999</v>
      </c>
      <c r="Z6262">
        <v>1.06651E-2</v>
      </c>
      <c r="AA6262">
        <v>0.96279389999999998</v>
      </c>
      <c r="AB6262">
        <v>17</v>
      </c>
      <c r="AC6262">
        <v>37.753899999999902</v>
      </c>
      <c r="AD6262">
        <v>-1.1218623580010001</v>
      </c>
      <c r="AE6262">
        <v>-1.79801999999999</v>
      </c>
      <c r="AF6262">
        <v>-10.2441170755831</v>
      </c>
      <c r="AG6262">
        <v>-1.1218623580010001</v>
      </c>
      <c r="AH6262">
        <v>36.347408142116201</v>
      </c>
      <c r="AI6262">
        <v>91.701622261771206</v>
      </c>
      <c r="AJ6262">
        <v>105.739906334018</v>
      </c>
      <c r="AK6262">
        <v>37.780081901156997</v>
      </c>
      <c r="AL6262">
        <v>94.885828796171495</v>
      </c>
      <c r="AM6262">
        <v>101.857442603973</v>
      </c>
      <c r="AN6262">
        <v>0.99999999654148497</v>
      </c>
    </row>
    <row r="6263" spans="1:40" x14ac:dyDescent="0.25">
      <c r="A6263" t="str">
        <f>"20190303154935706"</f>
        <v>20190303154935706</v>
      </c>
      <c r="B6263" t="str">
        <f>"1551599375697087"</f>
        <v>1551599375697087</v>
      </c>
      <c r="C6263" t="s">
        <v>40</v>
      </c>
      <c r="D6263">
        <v>5.4633459999999996</v>
      </c>
      <c r="E6263">
        <v>0.51651590000000003</v>
      </c>
      <c r="F6263" t="s">
        <v>66</v>
      </c>
      <c r="G6263">
        <v>-369.95580000000001</v>
      </c>
      <c r="H6263" s="1">
        <v>-1.6875020000000001E-7</v>
      </c>
      <c r="I6263">
        <v>19.047499999999999</v>
      </c>
      <c r="J6263">
        <v>-408.5564</v>
      </c>
      <c r="K6263">
        <v>1.1218889999999999</v>
      </c>
      <c r="L6263">
        <v>20.783750000000001</v>
      </c>
      <c r="M6263">
        <v>0.94905790000000001</v>
      </c>
      <c r="N6263">
        <v>-1.362318E-2</v>
      </c>
      <c r="O6263">
        <v>-0.31480710000000001</v>
      </c>
      <c r="P6263">
        <v>0.98897460000000004</v>
      </c>
      <c r="Q6263">
        <v>-9.7263210000000003E-2</v>
      </c>
      <c r="R6263">
        <v>-0.1116653</v>
      </c>
      <c r="S6263">
        <v>3.0099179999999999</v>
      </c>
      <c r="T6263">
        <v>-8.7128040000000004E-2</v>
      </c>
      <c r="U6263">
        <v>-0.13867189999999999</v>
      </c>
      <c r="V6263">
        <v>-0.20518639999999999</v>
      </c>
      <c r="W6263">
        <v>-8.445532E-2</v>
      </c>
      <c r="X6263">
        <v>0.97507219999999994</v>
      </c>
      <c r="Y6263">
        <v>-0.27062239999999999</v>
      </c>
      <c r="Z6263">
        <v>1.0379869999999999E-2</v>
      </c>
      <c r="AA6263">
        <v>0.96262959999999997</v>
      </c>
      <c r="AB6263">
        <v>17</v>
      </c>
      <c r="AC6263">
        <v>38.600599999999901</v>
      </c>
      <c r="AD6263">
        <v>-1.1218891687501999</v>
      </c>
      <c r="AE6263">
        <v>-1.7362500000000001</v>
      </c>
      <c r="AF6263">
        <v>-10.496067709500499</v>
      </c>
      <c r="AG6263">
        <v>-1.1218891687501999</v>
      </c>
      <c r="AH6263">
        <v>37.152918539571203</v>
      </c>
      <c r="AI6263">
        <v>91.664498499447504</v>
      </c>
      <c r="AJ6263">
        <v>105.775511842554</v>
      </c>
      <c r="AK6263">
        <v>38.623379301627601</v>
      </c>
      <c r="AL6263">
        <v>94.844704489329999</v>
      </c>
      <c r="AM6263">
        <v>101.88348377084</v>
      </c>
      <c r="AN6263">
        <v>0.99999997751705005</v>
      </c>
    </row>
    <row r="6264" spans="1:40" x14ac:dyDescent="0.25">
      <c r="A6264" t="str">
        <f>"20190303154935729"</f>
        <v>20190303154935729</v>
      </c>
      <c r="B6264" t="str">
        <f>"1551599375716607"</f>
        <v>1551599375716607</v>
      </c>
      <c r="C6264" t="s">
        <v>40</v>
      </c>
      <c r="D6264">
        <v>5.5201440000000002</v>
      </c>
      <c r="E6264">
        <v>0.52266099999999904</v>
      </c>
      <c r="F6264" t="s">
        <v>65</v>
      </c>
      <c r="G6264">
        <v>-378.69150000000002</v>
      </c>
      <c r="H6264" s="1">
        <v>-1.450619E-6</v>
      </c>
      <c r="I6264">
        <v>15.993639999999999</v>
      </c>
      <c r="J6264">
        <v>-408.40449999999998</v>
      </c>
      <c r="K6264">
        <v>1.1219079999999999</v>
      </c>
      <c r="L6264">
        <v>20.73593</v>
      </c>
      <c r="M6264">
        <v>0.94969440000000005</v>
      </c>
      <c r="N6264">
        <v>-1.3541630000000001E-2</v>
      </c>
      <c r="O6264">
        <v>-0.31288569999999999</v>
      </c>
      <c r="P6264">
        <v>0.98926000000000003</v>
      </c>
      <c r="Q6264">
        <v>-9.6942230000000004E-2</v>
      </c>
      <c r="R6264">
        <v>-0.1093948</v>
      </c>
      <c r="S6264">
        <v>2.96875</v>
      </c>
      <c r="T6264">
        <v>-0.1115226</v>
      </c>
      <c r="U6264">
        <v>-0.47616579999999997</v>
      </c>
      <c r="V6264">
        <v>-0.20545530000000001</v>
      </c>
      <c r="W6264">
        <v>-8.4229319999999996E-2</v>
      </c>
      <c r="X6264">
        <v>0.97503510000000004</v>
      </c>
      <c r="Y6264">
        <v>-0.15832260000000001</v>
      </c>
      <c r="Z6264">
        <v>1.119555E-2</v>
      </c>
      <c r="AA6264">
        <v>0.98732390000000003</v>
      </c>
      <c r="AB6264">
        <v>16</v>
      </c>
      <c r="AC6264">
        <v>29.712999999999901</v>
      </c>
      <c r="AD6264">
        <v>-1.1219094506189999</v>
      </c>
      <c r="AE6264">
        <v>-4.7422899999999997</v>
      </c>
      <c r="AF6264">
        <v>-4.7868304028236297</v>
      </c>
      <c r="AG6264">
        <v>-1.1219094506189999</v>
      </c>
      <c r="AH6264">
        <v>29.663543559421701</v>
      </c>
      <c r="AI6264">
        <v>92.138323693647294</v>
      </c>
      <c r="AJ6264">
        <v>99.166842312643496</v>
      </c>
      <c r="AK6264">
        <v>30.0682264628709</v>
      </c>
      <c r="AL6264">
        <v>94.831709460477299</v>
      </c>
      <c r="AM6264">
        <v>101.899053465203</v>
      </c>
      <c r="AN6264">
        <v>0.99999995243887996</v>
      </c>
    </row>
    <row r="6265" spans="1:40" x14ac:dyDescent="0.25">
      <c r="A6265" t="str">
        <f>"20190303154935751"</f>
        <v>20190303154935751</v>
      </c>
      <c r="B6265" t="str">
        <f>"1551599375746863"</f>
        <v>1551599375746863</v>
      </c>
      <c r="C6265" t="s">
        <v>40</v>
      </c>
      <c r="D6265">
        <v>5.0597659999999998</v>
      </c>
      <c r="E6265">
        <v>0.52604819999999997</v>
      </c>
      <c r="F6265" t="s">
        <v>67</v>
      </c>
      <c r="G6265">
        <v>-381.4316</v>
      </c>
      <c r="H6265" s="1">
        <v>-4.6876419999999997E-6</v>
      </c>
      <c r="I6265">
        <v>16.025860000000002</v>
      </c>
      <c r="J6265">
        <v>-408.24579999999997</v>
      </c>
      <c r="K6265">
        <v>1.12192</v>
      </c>
      <c r="L6265">
        <v>20.686340000000001</v>
      </c>
      <c r="M6265">
        <v>0.9503722</v>
      </c>
      <c r="N6265">
        <v>-1.34462E-2</v>
      </c>
      <c r="O6265">
        <v>-0.31082510000000002</v>
      </c>
      <c r="P6265">
        <v>0.98959160000000002</v>
      </c>
      <c r="Q6265">
        <v>-9.6688479999999993E-2</v>
      </c>
      <c r="R6265">
        <v>-0.1065842</v>
      </c>
      <c r="S6265">
        <v>2.9632869999999998</v>
      </c>
      <c r="T6265">
        <v>-0.1232553</v>
      </c>
      <c r="U6265">
        <v>-0.51745609999999997</v>
      </c>
      <c r="V6265">
        <v>-0.20611199999999999</v>
      </c>
      <c r="W6265">
        <v>-8.4083649999999996E-2</v>
      </c>
      <c r="X6265">
        <v>0.97490909999999997</v>
      </c>
      <c r="Y6265">
        <v>-0.14245539999999901</v>
      </c>
      <c r="Z6265">
        <v>1.225416E-2</v>
      </c>
      <c r="AA6265">
        <v>0.98972539999999998</v>
      </c>
      <c r="AB6265">
        <v>16</v>
      </c>
      <c r="AC6265">
        <v>26.8141999999999</v>
      </c>
      <c r="AD6265">
        <v>-1.1219246876419999</v>
      </c>
      <c r="AE6265">
        <v>-4.66047999999999</v>
      </c>
      <c r="AF6265">
        <v>-3.8990624358944799</v>
      </c>
      <c r="AG6265">
        <v>-1.1219246876419999</v>
      </c>
      <c r="AH6265">
        <v>26.888802128644699</v>
      </c>
      <c r="AI6265">
        <v>92.3645560442895</v>
      </c>
      <c r="AJ6265">
        <v>98.250775669235097</v>
      </c>
      <c r="AK6265">
        <v>27.193180814262099</v>
      </c>
      <c r="AL6265">
        <v>94.823333313034198</v>
      </c>
      <c r="AM6265">
        <v>101.937495773718</v>
      </c>
      <c r="AN6265">
        <v>0.99999998500206599</v>
      </c>
    </row>
    <row r="6266" spans="1:40" x14ac:dyDescent="0.25">
      <c r="A6266" t="str">
        <f>"20190303154935765"</f>
        <v>20190303154935765</v>
      </c>
      <c r="B6266" t="str">
        <f>"1551599375756624"</f>
        <v>1551599375756624</v>
      </c>
      <c r="C6266" t="s">
        <v>40</v>
      </c>
      <c r="D6266">
        <v>5.5399949999999896</v>
      </c>
      <c r="E6266">
        <v>0.52676899999999904</v>
      </c>
      <c r="F6266" t="s">
        <v>67</v>
      </c>
      <c r="G6266">
        <v>-383.03829999999999</v>
      </c>
      <c r="H6266" s="1">
        <v>-3.909785E-6</v>
      </c>
      <c r="I6266">
        <v>16.129460000000002</v>
      </c>
      <c r="J6266">
        <v>-408.14269999999999</v>
      </c>
      <c r="K6266">
        <v>1.121931</v>
      </c>
      <c r="L6266">
        <v>20.654330000000002</v>
      </c>
      <c r="M6266">
        <v>0.95081939999999998</v>
      </c>
      <c r="N6266">
        <v>-1.3372159999999999E-2</v>
      </c>
      <c r="O6266">
        <v>-0.30945689999999998</v>
      </c>
      <c r="P6266">
        <v>0.98982729999999997</v>
      </c>
      <c r="Q6266">
        <v>-9.6306130000000004E-2</v>
      </c>
      <c r="R6266">
        <v>-0.104724499999999</v>
      </c>
      <c r="S6266">
        <v>2.9610289999999999</v>
      </c>
      <c r="T6266">
        <v>-0.13178790000000001</v>
      </c>
      <c r="U6266">
        <v>-0.53527829999999998</v>
      </c>
      <c r="V6266">
        <v>-0.2065496</v>
      </c>
      <c r="W6266">
        <v>-8.3783060000000006E-2</v>
      </c>
      <c r="X6266">
        <v>0.9748424</v>
      </c>
      <c r="Y6266">
        <v>-0.1350896</v>
      </c>
      <c r="Z6266">
        <v>1.309774E-2</v>
      </c>
      <c r="AA6266">
        <v>0.99074680000000004</v>
      </c>
      <c r="AB6266">
        <v>16</v>
      </c>
      <c r="AC6266">
        <v>25.104399999999998</v>
      </c>
      <c r="AD6266">
        <v>-1.121934909785</v>
      </c>
      <c r="AE6266">
        <v>-4.5248699999999902</v>
      </c>
      <c r="AF6266">
        <v>-3.4600126047409399</v>
      </c>
      <c r="AG6266">
        <v>-1.121934909785</v>
      </c>
      <c r="AH6266">
        <v>25.223470632717301</v>
      </c>
      <c r="AI6266">
        <v>92.523228134482494</v>
      </c>
      <c r="AJ6266">
        <v>97.8107622473362</v>
      </c>
      <c r="AK6266">
        <v>25.4843853354621</v>
      </c>
      <c r="AL6266">
        <v>94.806049610778004</v>
      </c>
      <c r="AM6266">
        <v>101.96290600685199</v>
      </c>
      <c r="AN6266">
        <v>1.0000000216204401</v>
      </c>
    </row>
    <row r="6267" spans="1:40" x14ac:dyDescent="0.25">
      <c r="A6267" t="str">
        <f>"20190303154935784"</f>
        <v>20190303154935784</v>
      </c>
      <c r="B6267" t="str">
        <f>"1551599375777120"</f>
        <v>1551599375777120</v>
      </c>
      <c r="C6267" t="s">
        <v>40</v>
      </c>
      <c r="D6267">
        <v>5.568778</v>
      </c>
      <c r="E6267">
        <v>0.52838609999999997</v>
      </c>
      <c r="F6267" t="s">
        <v>67</v>
      </c>
      <c r="G6267">
        <v>-382.26190000000003</v>
      </c>
      <c r="H6267" s="1">
        <v>-4.3040830000000002E-6</v>
      </c>
      <c r="I6267">
        <v>15.975529999999999</v>
      </c>
      <c r="J6267">
        <v>-408.01220000000001</v>
      </c>
      <c r="K6267">
        <v>1.121939</v>
      </c>
      <c r="L6267">
        <v>20.614139999999999</v>
      </c>
      <c r="M6267">
        <v>0.95139309999999999</v>
      </c>
      <c r="N6267">
        <v>-1.326138E-2</v>
      </c>
      <c r="O6267">
        <v>-0.30769350000000001</v>
      </c>
      <c r="P6267">
        <v>0.99019190000000001</v>
      </c>
      <c r="Q6267">
        <v>-9.5186699999999999E-2</v>
      </c>
      <c r="R6267">
        <v>-0.1022705</v>
      </c>
      <c r="S6267">
        <v>2.9617309999999999</v>
      </c>
      <c r="T6267">
        <v>-0.1283917</v>
      </c>
      <c r="U6267">
        <v>-0.53543090000000004</v>
      </c>
      <c r="V6267">
        <v>-0.20718829999999999</v>
      </c>
      <c r="W6267">
        <v>-8.2784650000000001E-2</v>
      </c>
      <c r="X6267">
        <v>0.97479210000000005</v>
      </c>
      <c r="Y6267">
        <v>-0.1332632</v>
      </c>
      <c r="Z6267">
        <v>1.26006E-2</v>
      </c>
      <c r="AA6267">
        <v>0.99100060000000001</v>
      </c>
      <c r="AB6267">
        <v>16</v>
      </c>
      <c r="AC6267">
        <v>25.7502999999999</v>
      </c>
      <c r="AD6267">
        <v>-1.121943304083</v>
      </c>
      <c r="AE6267">
        <v>-4.6386099999999999</v>
      </c>
      <c r="AF6267">
        <v>-3.5039244715439799</v>
      </c>
      <c r="AG6267">
        <v>-1.121943304083</v>
      </c>
      <c r="AH6267">
        <v>25.880621688220099</v>
      </c>
      <c r="AI6267">
        <v>92.459844464079893</v>
      </c>
      <c r="AJ6267">
        <v>97.710277031271104</v>
      </c>
      <c r="AK6267">
        <v>26.140826736135001</v>
      </c>
      <c r="AL6267">
        <v>94.748645774604398</v>
      </c>
      <c r="AM6267">
        <v>101.999428796467</v>
      </c>
      <c r="AN6267">
        <v>0.99999996407745995</v>
      </c>
    </row>
    <row r="6268" spans="1:40" x14ac:dyDescent="0.25">
      <c r="A6268" t="str">
        <f>"20190303154935795"</f>
        <v>20190303154935795</v>
      </c>
      <c r="B6268" t="str">
        <f>"1551599375786879"</f>
        <v>1551599375786879</v>
      </c>
      <c r="C6268" t="s">
        <v>40</v>
      </c>
      <c r="D6268">
        <v>5.5595869999999996</v>
      </c>
      <c r="E6268">
        <v>0.52907720000000003</v>
      </c>
      <c r="F6268" t="s">
        <v>67</v>
      </c>
      <c r="G6268">
        <v>-382.64949999999999</v>
      </c>
      <c r="H6268" s="1">
        <v>-4.1192359999999996E-6</v>
      </c>
      <c r="I6268">
        <v>15.984690000000001</v>
      </c>
      <c r="J6268">
        <v>-407.92930000000001</v>
      </c>
      <c r="K6268">
        <v>1.1219490000000001</v>
      </c>
      <c r="L6268">
        <v>20.588750000000001</v>
      </c>
      <c r="M6268">
        <v>0.95176249999999996</v>
      </c>
      <c r="N6268">
        <v>-1.318162E-2</v>
      </c>
      <c r="O6268">
        <v>-0.30655290000000002</v>
      </c>
      <c r="P6268">
        <v>0.99038780000000004</v>
      </c>
      <c r="Q6268">
        <v>-9.453106E-2</v>
      </c>
      <c r="R6268">
        <v>-0.1009772</v>
      </c>
      <c r="S6268">
        <v>2.9613040000000002</v>
      </c>
      <c r="T6268">
        <v>-0.13099649999999999</v>
      </c>
      <c r="U6268">
        <v>-0.54052730000000004</v>
      </c>
      <c r="V6268">
        <v>-0.2073102</v>
      </c>
      <c r="W6268">
        <v>-8.221444E-2</v>
      </c>
      <c r="X6268">
        <v>0.97481450000000003</v>
      </c>
      <c r="Y6268">
        <v>-0.13038849999999999</v>
      </c>
      <c r="Z6268">
        <v>1.282667E-2</v>
      </c>
      <c r="AA6268">
        <v>0.99138000000000004</v>
      </c>
      <c r="AB6268">
        <v>16</v>
      </c>
      <c r="AC6268">
        <v>25.279800000000002</v>
      </c>
      <c r="AD6268">
        <v>-1.1219531192359999</v>
      </c>
      <c r="AE6268">
        <v>-4.6040599999999996</v>
      </c>
      <c r="AF6268">
        <v>-3.3615078382248602</v>
      </c>
      <c r="AG6268">
        <v>-1.1219531192359999</v>
      </c>
      <c r="AH6268">
        <v>25.425490068051499</v>
      </c>
      <c r="AI6268">
        <v>92.504888258696099</v>
      </c>
      <c r="AJ6268">
        <v>97.531404467288993</v>
      </c>
      <c r="AK6268">
        <v>25.671269133971499</v>
      </c>
      <c r="AL6268">
        <v>94.715863124336096</v>
      </c>
      <c r="AM6268">
        <v>102.006016014728</v>
      </c>
      <c r="AN6268">
        <v>1.0000000212894</v>
      </c>
    </row>
    <row r="6269" spans="1:40" x14ac:dyDescent="0.25">
      <c r="A6269" t="str">
        <f>"20190303154935808"</f>
        <v>20190303154935808</v>
      </c>
      <c r="B6269" t="str">
        <f>"1551599375797616"</f>
        <v>1551599375797616</v>
      </c>
      <c r="C6269" t="s">
        <v>40</v>
      </c>
      <c r="D6269">
        <v>5.5677810000000001</v>
      </c>
      <c r="E6269">
        <v>0.52970169999999905</v>
      </c>
      <c r="F6269" t="s">
        <v>67</v>
      </c>
      <c r="G6269">
        <v>-382.84969999999998</v>
      </c>
      <c r="H6269" s="1">
        <v>-4.0220130000000003E-6</v>
      </c>
      <c r="I6269">
        <v>15.9994</v>
      </c>
      <c r="J6269">
        <v>-407.84769999999997</v>
      </c>
      <c r="K6269">
        <v>1.1219539999999999</v>
      </c>
      <c r="L6269">
        <v>20.563960000000002</v>
      </c>
      <c r="M6269">
        <v>0.952129</v>
      </c>
      <c r="N6269">
        <v>-1.309892E-2</v>
      </c>
      <c r="O6269">
        <v>-0.30541629999999997</v>
      </c>
      <c r="P6269">
        <v>0.9905735</v>
      </c>
      <c r="Q6269">
        <v>-9.381507E-2</v>
      </c>
      <c r="R6269">
        <v>-9.9816790000000002E-2</v>
      </c>
      <c r="S6269">
        <v>2.961182</v>
      </c>
      <c r="T6269">
        <v>-0.1324707</v>
      </c>
      <c r="U6269">
        <v>-0.54187010000000002</v>
      </c>
      <c r="V6269">
        <v>-0.20730750000000001</v>
      </c>
      <c r="W6269">
        <v>-8.1586190000000003E-2</v>
      </c>
      <c r="X6269">
        <v>0.97486779999999995</v>
      </c>
      <c r="Y6269">
        <v>-0.12875639999999999</v>
      </c>
      <c r="Z6269">
        <v>1.294797E-2</v>
      </c>
      <c r="AA6269">
        <v>0.99159169999999996</v>
      </c>
      <c r="AB6269">
        <v>16</v>
      </c>
      <c r="AC6269">
        <v>24.997999999999902</v>
      </c>
      <c r="AD6269">
        <v>-1.1219580220129901</v>
      </c>
      <c r="AE6269">
        <v>-4.5645600000000002</v>
      </c>
      <c r="AF6269">
        <v>-3.2826292312118399</v>
      </c>
      <c r="AG6269">
        <v>-1.1219580220129901</v>
      </c>
      <c r="AH6269">
        <v>25.148545092051702</v>
      </c>
      <c r="AI6269">
        <v>92.532997299105105</v>
      </c>
      <c r="AJ6269">
        <v>97.436748989445505</v>
      </c>
      <c r="AK6269">
        <v>25.386684791829801</v>
      </c>
      <c r="AL6269">
        <v>94.679745971490306</v>
      </c>
      <c r="AM6269">
        <v>102.00522682117899</v>
      </c>
      <c r="AN6269">
        <v>0.99999996671590197</v>
      </c>
    </row>
    <row r="6270" spans="1:40" x14ac:dyDescent="0.25">
      <c r="A6270" t="str">
        <f>"20190303154935826"</f>
        <v>20190303154935826</v>
      </c>
      <c r="B6270" t="str">
        <f>"1551599375817135"</f>
        <v>1551599375817135</v>
      </c>
      <c r="C6270" t="s">
        <v>40</v>
      </c>
      <c r="D6270">
        <v>5.3303010000000004</v>
      </c>
      <c r="E6270">
        <v>0.53010000000000002</v>
      </c>
      <c r="F6270" t="s">
        <v>67</v>
      </c>
      <c r="G6270">
        <v>-382.91300000000001</v>
      </c>
      <c r="H6270" s="1">
        <v>-3.9939400000000003E-6</v>
      </c>
      <c r="I6270">
        <v>15.989039999999999</v>
      </c>
      <c r="J6270">
        <v>-407.71749999999997</v>
      </c>
      <c r="K6270">
        <v>1.1219600000000001</v>
      </c>
      <c r="L6270">
        <v>20.524539999999998</v>
      </c>
      <c r="M6270">
        <v>0.95272120000000005</v>
      </c>
      <c r="N6270">
        <v>-1.2959470000000001E-2</v>
      </c>
      <c r="O6270">
        <v>-0.30356929999999999</v>
      </c>
      <c r="P6270">
        <v>0.99079039999999996</v>
      </c>
      <c r="Q6270">
        <v>-9.3618679999999996E-2</v>
      </c>
      <c r="R6270">
        <v>-9.7825690000000007E-2</v>
      </c>
      <c r="S6270">
        <v>2.961182</v>
      </c>
      <c r="T6270">
        <v>-0.13324049999999901</v>
      </c>
      <c r="U6270">
        <v>-0.54330440000000002</v>
      </c>
      <c r="V6270">
        <v>-0.20737610000000001</v>
      </c>
      <c r="W6270">
        <v>-8.1539109999999998E-2</v>
      </c>
      <c r="X6270">
        <v>0.97485719999999998</v>
      </c>
      <c r="Y6270">
        <v>-0.1263666</v>
      </c>
      <c r="Z6270">
        <v>1.2952770000000001E-2</v>
      </c>
      <c r="AA6270">
        <v>0.99189899999999998</v>
      </c>
      <c r="AB6270">
        <v>16</v>
      </c>
      <c r="AC6270">
        <v>24.804499999999901</v>
      </c>
      <c r="AD6270">
        <v>-1.1219639939399999</v>
      </c>
      <c r="AE6270">
        <v>-4.5354999999999901</v>
      </c>
      <c r="AF6270">
        <v>-3.2027465738122798</v>
      </c>
      <c r="AG6270">
        <v>-1.1219639939399999</v>
      </c>
      <c r="AH6270">
        <v>24.9612949423984</v>
      </c>
      <c r="AI6270">
        <v>92.552708051045201</v>
      </c>
      <c r="AJ6270">
        <v>97.311587040174203</v>
      </c>
      <c r="AK6270">
        <v>25.190923643669102</v>
      </c>
      <c r="AL6270">
        <v>94.677039233611495</v>
      </c>
      <c r="AM6270">
        <v>102.009210939216</v>
      </c>
      <c r="AN6270">
        <v>1.0000000168513199</v>
      </c>
    </row>
    <row r="6271" spans="1:40" x14ac:dyDescent="0.25">
      <c r="A6271" t="str">
        <f>"20190303154935838"</f>
        <v>20190303154935838</v>
      </c>
      <c r="B6271" t="str">
        <f>"1551599375826895"</f>
        <v>1551599375826895</v>
      </c>
      <c r="C6271" t="s">
        <v>40</v>
      </c>
      <c r="D6271">
        <v>5.5859839999999998</v>
      </c>
      <c r="E6271">
        <v>0.53060399999999996</v>
      </c>
      <c r="F6271" t="s">
        <v>67</v>
      </c>
      <c r="G6271">
        <v>-383.1148</v>
      </c>
      <c r="H6271" s="1">
        <v>-3.8902310000000003E-6</v>
      </c>
      <c r="I6271">
        <v>16.035769999999999</v>
      </c>
      <c r="J6271">
        <v>-407.63170000000002</v>
      </c>
      <c r="K6271">
        <v>1.1219619999999999</v>
      </c>
      <c r="L6271">
        <v>20.498750000000001</v>
      </c>
      <c r="M6271">
        <v>0.9531155</v>
      </c>
      <c r="N6271">
        <v>-1.286327E-2</v>
      </c>
      <c r="O6271">
        <v>-0.30233320000000002</v>
      </c>
      <c r="P6271">
        <v>0.99090710000000004</v>
      </c>
      <c r="Q6271">
        <v>-9.376073E-2</v>
      </c>
      <c r="R6271">
        <v>-9.6498390000000003E-2</v>
      </c>
      <c r="S6271">
        <v>2.9617610000000001</v>
      </c>
      <c r="T6271">
        <v>-0.135066299999999</v>
      </c>
      <c r="U6271">
        <v>-0.54037480000000004</v>
      </c>
      <c r="V6271">
        <v>-0.20740819999999999</v>
      </c>
      <c r="W6271">
        <v>-8.1784309999999999E-2</v>
      </c>
      <c r="X6271">
        <v>0.97482979999999997</v>
      </c>
      <c r="Y6271">
        <v>-0.12605430000000001</v>
      </c>
      <c r="Z6271">
        <v>1.3149599999999999E-2</v>
      </c>
      <c r="AA6271">
        <v>0.99193620000000005</v>
      </c>
      <c r="AB6271">
        <v>16</v>
      </c>
      <c r="AC6271">
        <v>24.5169</v>
      </c>
      <c r="AD6271">
        <v>-1.1219658902309999</v>
      </c>
      <c r="AE6271">
        <v>-4.4629799999999999</v>
      </c>
      <c r="AF6271">
        <v>-3.1524086135831002</v>
      </c>
      <c r="AG6271">
        <v>-1.1219658902309999</v>
      </c>
      <c r="AH6271">
        <v>24.668784233611301</v>
      </c>
      <c r="AI6271">
        <v>92.583109161072699</v>
      </c>
      <c r="AJ6271">
        <v>97.282322819456198</v>
      </c>
      <c r="AK6271">
        <v>24.894686242053801</v>
      </c>
      <c r="AL6271">
        <v>94.691135378638506</v>
      </c>
      <c r="AM6271">
        <v>102.011343674339</v>
      </c>
      <c r="AN6271">
        <v>0.99999998687872704</v>
      </c>
    </row>
    <row r="6272" spans="1:40" x14ac:dyDescent="0.25">
      <c r="A6272" t="str">
        <f>"20190303154935850"</f>
        <v>20190303154935850</v>
      </c>
      <c r="B6272" t="str">
        <f>"1551599375847392"</f>
        <v>1551599375847392</v>
      </c>
      <c r="C6272" t="s">
        <v>40</v>
      </c>
      <c r="D6272">
        <v>5.5876150000000004</v>
      </c>
      <c r="E6272">
        <v>0.53147609999999901</v>
      </c>
      <c r="F6272" t="s">
        <v>67</v>
      </c>
      <c r="G6272">
        <v>-383.46839999999997</v>
      </c>
      <c r="H6272" s="1">
        <v>-3.713197E-6</v>
      </c>
      <c r="I6272">
        <v>16.091609999999999</v>
      </c>
      <c r="J6272">
        <v>-407.55160000000001</v>
      </c>
      <c r="K6272">
        <v>1.121964</v>
      </c>
      <c r="L6272">
        <v>20.474820000000001</v>
      </c>
      <c r="M6272">
        <v>0.95348929999999998</v>
      </c>
      <c r="N6272">
        <v>-1.276853E-2</v>
      </c>
      <c r="O6272">
        <v>-0.3011566</v>
      </c>
      <c r="P6272">
        <v>0.99101419999999996</v>
      </c>
      <c r="Q6272">
        <v>-9.3773129999999996E-2</v>
      </c>
      <c r="R6272">
        <v>-9.5381709999999995E-2</v>
      </c>
      <c r="S6272">
        <v>2.9619140000000002</v>
      </c>
      <c r="T6272">
        <v>-0.1375294</v>
      </c>
      <c r="U6272">
        <v>-0.54022219999999999</v>
      </c>
      <c r="V6272">
        <v>-0.20729980000000001</v>
      </c>
      <c r="W6272">
        <v>-8.1896590000000005E-2</v>
      </c>
      <c r="X6272">
        <v>0.97484340000000003</v>
      </c>
      <c r="Y6272">
        <v>-0.124876399999999</v>
      </c>
      <c r="Z6272">
        <v>1.3397610000000001E-2</v>
      </c>
      <c r="AA6272">
        <v>0.99208180000000001</v>
      </c>
      <c r="AB6272">
        <v>16</v>
      </c>
      <c r="AC6272">
        <v>24.083200000000001</v>
      </c>
      <c r="AD6272">
        <v>-1.1219677131970001</v>
      </c>
      <c r="AE6272">
        <v>-4.3832100000000001</v>
      </c>
      <c r="AF6272">
        <v>-3.06727743477889</v>
      </c>
      <c r="AG6272">
        <v>-1.1219677131970001</v>
      </c>
      <c r="AH6272">
        <v>24.234173174622502</v>
      </c>
      <c r="AI6272">
        <v>92.629775280651998</v>
      </c>
      <c r="AJ6272">
        <v>97.213472211101205</v>
      </c>
      <c r="AK6272">
        <v>24.453264646442499</v>
      </c>
      <c r="AL6272">
        <v>94.697590344810607</v>
      </c>
      <c r="AM6272">
        <v>102.005085607295</v>
      </c>
      <c r="AN6272">
        <v>0.99999995652861295</v>
      </c>
    </row>
    <row r="6273" spans="1:40" x14ac:dyDescent="0.25">
      <c r="A6273" t="str">
        <f>"20190303154935874"</f>
        <v>20190303154935874</v>
      </c>
      <c r="B6273" t="str">
        <f>"1551599375866912"</f>
        <v>1551599375866912</v>
      </c>
      <c r="C6273" t="s">
        <v>40</v>
      </c>
      <c r="D6273">
        <v>5.5683769999999999</v>
      </c>
      <c r="E6273">
        <v>0.53140829999999994</v>
      </c>
      <c r="F6273" t="s">
        <v>67</v>
      </c>
      <c r="G6273">
        <v>-384.12369999999999</v>
      </c>
      <c r="H6273" s="1">
        <v>-3.388699E-6</v>
      </c>
      <c r="I6273">
        <v>16.174610000000001</v>
      </c>
      <c r="J6273">
        <v>-407.38099999999997</v>
      </c>
      <c r="K6273">
        <v>1.1219680000000001</v>
      </c>
      <c r="L6273">
        <v>20.42426</v>
      </c>
      <c r="M6273">
        <v>0.95429219999999904</v>
      </c>
      <c r="N6273">
        <v>-1.255592E-2</v>
      </c>
      <c r="O6273">
        <v>-0.29861100000000002</v>
      </c>
      <c r="P6273">
        <v>0.99127670000000001</v>
      </c>
      <c r="Q6273">
        <v>-9.3429079999999998E-2</v>
      </c>
      <c r="R6273">
        <v>-9.2958819999999998E-2</v>
      </c>
      <c r="S6273">
        <v>2.9614560000000001</v>
      </c>
      <c r="T6273">
        <v>-0.14182510000000001</v>
      </c>
      <c r="U6273">
        <v>-0.54357909999999998</v>
      </c>
      <c r="V6273">
        <v>-0.2070843</v>
      </c>
      <c r="W6273">
        <v>-8.1774929999999996E-2</v>
      </c>
      <c r="X6273">
        <v>0.97489950000000003</v>
      </c>
      <c r="Y6273">
        <v>-0.1210939</v>
      </c>
      <c r="Z6273">
        <v>1.376849E-2</v>
      </c>
      <c r="AA6273">
        <v>0.99254549999999997</v>
      </c>
      <c r="AB6273">
        <v>16</v>
      </c>
      <c r="AC6273">
        <v>23.257299999999901</v>
      </c>
      <c r="AD6273">
        <v>-1.1219713886989999</v>
      </c>
      <c r="AE6273">
        <v>-4.2496499999999902</v>
      </c>
      <c r="AF6273">
        <v>-2.8832126739836901</v>
      </c>
      <c r="AG6273">
        <v>-1.1219713886989999</v>
      </c>
      <c r="AH6273">
        <v>23.412378197758599</v>
      </c>
      <c r="AI6273">
        <v>92.723097849464494</v>
      </c>
      <c r="AJ6273">
        <v>97.020573915086501</v>
      </c>
      <c r="AK6273">
        <v>23.615909637262799</v>
      </c>
      <c r="AL6273">
        <v>94.690595884549097</v>
      </c>
      <c r="AM6273">
        <v>101.992297012477</v>
      </c>
      <c r="AN6273">
        <v>1.0000000407916201</v>
      </c>
    </row>
    <row r="6274" spans="1:40" x14ac:dyDescent="0.25">
      <c r="A6274" t="str">
        <f>"20190303154935887"</f>
        <v>20190303154935887</v>
      </c>
      <c r="B6274" t="str">
        <f>"1551599375876671"</f>
        <v>1551599375876671</v>
      </c>
      <c r="C6274" t="s">
        <v>40</v>
      </c>
      <c r="D6274">
        <v>5.5755999999999997</v>
      </c>
      <c r="E6274">
        <v>0.49620160000000002</v>
      </c>
      <c r="F6274" t="s">
        <v>67</v>
      </c>
      <c r="G6274">
        <v>-383.92469999999997</v>
      </c>
      <c r="H6274" s="1">
        <v>-3.4812549999999998E-6</v>
      </c>
      <c r="I6274">
        <v>16.183109999999999</v>
      </c>
      <c r="J6274">
        <v>-407.2921</v>
      </c>
      <c r="K6274">
        <v>1.1219680000000001</v>
      </c>
      <c r="L6274">
        <v>20.398129999999998</v>
      </c>
      <c r="M6274">
        <v>0.95471569999999994</v>
      </c>
      <c r="N6274">
        <v>-1.2437190000000001E-2</v>
      </c>
      <c r="O6274">
        <v>-0.29725970000000002</v>
      </c>
      <c r="P6274">
        <v>0.99137609999999998</v>
      </c>
      <c r="Q6274">
        <v>-9.3149099999999999E-2</v>
      </c>
      <c r="R6274">
        <v>-9.2178769999999993E-2</v>
      </c>
      <c r="S6274">
        <v>2.962799</v>
      </c>
      <c r="T6274">
        <v>-0.14171800000000001</v>
      </c>
      <c r="U6274">
        <v>-0.5357056</v>
      </c>
      <c r="V6274">
        <v>-0.2064771</v>
      </c>
      <c r="W6274">
        <v>-8.1614870000000006E-2</v>
      </c>
      <c r="X6274">
        <v>0.97504159999999995</v>
      </c>
      <c r="Y6274">
        <v>-0.1223197</v>
      </c>
      <c r="Z6274">
        <v>1.377486E-2</v>
      </c>
      <c r="AA6274">
        <v>0.99239520000000003</v>
      </c>
      <c r="AB6274">
        <v>16</v>
      </c>
      <c r="AC6274">
        <v>23.3674</v>
      </c>
      <c r="AD6274">
        <v>-1.1219714812549999</v>
      </c>
      <c r="AE6274">
        <v>-4.2150199999999902</v>
      </c>
      <c r="AF6274">
        <v>-2.9157563367141099</v>
      </c>
      <c r="AG6274">
        <v>-1.1219714812549999</v>
      </c>
      <c r="AH6274">
        <v>23.511505867107498</v>
      </c>
      <c r="AI6274">
        <v>92.711349249335896</v>
      </c>
      <c r="AJ6274">
        <v>97.069386185090195</v>
      </c>
      <c r="AK6274">
        <v>23.7181652570107</v>
      </c>
      <c r="AL6274">
        <v>94.681394787631504</v>
      </c>
      <c r="AM6274">
        <v>101.956455022642</v>
      </c>
      <c r="AN6274">
        <v>0.999999950780042</v>
      </c>
    </row>
    <row r="6275" spans="1:40" x14ac:dyDescent="0.25">
      <c r="A6275" t="str">
        <f>"20190303154935905"</f>
        <v>20190303154935905</v>
      </c>
      <c r="B6275" t="str">
        <f>"1551599375897167"</f>
        <v>1551599375897167</v>
      </c>
      <c r="C6275" t="s">
        <v>40</v>
      </c>
      <c r="D6275">
        <v>5.4898790000000002</v>
      </c>
      <c r="E6275">
        <v>0.49002790000000002</v>
      </c>
      <c r="F6275" t="s">
        <v>67</v>
      </c>
      <c r="G6275">
        <v>-385.5292</v>
      </c>
      <c r="H6275" s="1">
        <v>-2.3017619999999999E-6</v>
      </c>
      <c r="I6275">
        <v>18.556699999999999</v>
      </c>
      <c r="J6275">
        <v>-407.1583</v>
      </c>
      <c r="K6275">
        <v>1.121964</v>
      </c>
      <c r="L6275">
        <v>20.35913</v>
      </c>
      <c r="M6275">
        <v>0.95535720000000002</v>
      </c>
      <c r="N6275">
        <v>-1.224926E-2</v>
      </c>
      <c r="O6275">
        <v>-0.2951995</v>
      </c>
      <c r="P6275">
        <v>0.99159980000000003</v>
      </c>
      <c r="Q6275">
        <v>-9.2209379999999994E-2</v>
      </c>
      <c r="R6275">
        <v>-9.0706120000000001E-2</v>
      </c>
      <c r="S6275">
        <v>2.988159</v>
      </c>
      <c r="T6275">
        <v>-0.15405239999999901</v>
      </c>
      <c r="U6275">
        <v>-0.25283810000000001</v>
      </c>
      <c r="V6275">
        <v>-0.20584620000000001</v>
      </c>
      <c r="W6275">
        <v>-8.0864060000000001E-2</v>
      </c>
      <c r="X6275">
        <v>0.97523760000000004</v>
      </c>
      <c r="Y6275">
        <v>-0.213056</v>
      </c>
      <c r="Z6275">
        <v>1.8088099999999999E-2</v>
      </c>
      <c r="AA6275">
        <v>0.97687259999999998</v>
      </c>
      <c r="AB6275">
        <v>17</v>
      </c>
      <c r="AC6275">
        <v>21.629099999999902</v>
      </c>
      <c r="AD6275">
        <v>-1.1219663017620001</v>
      </c>
      <c r="AE6275">
        <v>-1.80243</v>
      </c>
      <c r="AF6275">
        <v>-4.6508562429172997</v>
      </c>
      <c r="AG6275">
        <v>-1.1219663017620001</v>
      </c>
      <c r="AH6275">
        <v>21.140688159952202</v>
      </c>
      <c r="AI6275">
        <v>92.967097128516897</v>
      </c>
      <c r="AJ6275">
        <v>102.407172549509</v>
      </c>
      <c r="AK6275">
        <v>21.675284728254798</v>
      </c>
      <c r="AL6275">
        <v>94.6382335765189</v>
      </c>
      <c r="AM6275">
        <v>101.918641000758</v>
      </c>
      <c r="AN6275">
        <v>1.0000000153539399</v>
      </c>
    </row>
    <row r="6276" spans="1:40" x14ac:dyDescent="0.25">
      <c r="A6276" t="str">
        <f>"20190303154935919"</f>
        <v>20190303154935919</v>
      </c>
      <c r="B6276" t="str">
        <f>"1551599375906928"</f>
        <v>1551599375906928</v>
      </c>
      <c r="C6276" t="s">
        <v>40</v>
      </c>
      <c r="D6276">
        <v>5.5145339999999896</v>
      </c>
      <c r="E6276">
        <v>0.48892629999999998</v>
      </c>
      <c r="F6276" t="s">
        <v>67</v>
      </c>
      <c r="G6276">
        <v>-383.54020000000003</v>
      </c>
      <c r="H6276" s="1">
        <v>-3.2016789999999998E-6</v>
      </c>
      <c r="I6276">
        <v>18.783950000000001</v>
      </c>
      <c r="J6276">
        <v>-407.06</v>
      </c>
      <c r="K6276">
        <v>1.1219570000000001</v>
      </c>
      <c r="L6276">
        <v>20.330629999999999</v>
      </c>
      <c r="M6276">
        <v>0.95583079999999998</v>
      </c>
      <c r="N6276">
        <v>-1.2105599999999999E-2</v>
      </c>
      <c r="O6276">
        <v>-0.293668599999999</v>
      </c>
      <c r="P6276">
        <v>0.99173670000000003</v>
      </c>
      <c r="Q6276">
        <v>-9.1750910000000005E-2</v>
      </c>
      <c r="R6276">
        <v>-8.9668449999999997E-2</v>
      </c>
      <c r="S6276">
        <v>2.9939269999999998</v>
      </c>
      <c r="T6276">
        <v>-0.14222509999999999</v>
      </c>
      <c r="U6276">
        <v>-0.19967650000000001</v>
      </c>
      <c r="V6276">
        <v>-0.20531479999999999</v>
      </c>
      <c r="W6276">
        <v>-8.0548519999999998E-2</v>
      </c>
      <c r="X6276">
        <v>0.97537569999999996</v>
      </c>
      <c r="Y6276">
        <v>-0.2289332</v>
      </c>
      <c r="Z6276">
        <v>1.69547E-2</v>
      </c>
      <c r="AA6276">
        <v>0.97329449999999995</v>
      </c>
      <c r="AB6276">
        <v>17</v>
      </c>
      <c r="AC6276">
        <v>23.519799999999901</v>
      </c>
      <c r="AD6276">
        <v>-1.12196020167899</v>
      </c>
      <c r="AE6276">
        <v>-1.5466799999999901</v>
      </c>
      <c r="AF6276">
        <v>-5.4167862016147801</v>
      </c>
      <c r="AG6276">
        <v>-1.12196020167899</v>
      </c>
      <c r="AH6276">
        <v>22.884985897271601</v>
      </c>
      <c r="AI6276">
        <v>92.731386532081899</v>
      </c>
      <c r="AJ6276">
        <v>103.316608167407</v>
      </c>
      <c r="AK6276">
        <v>23.544063943305801</v>
      </c>
      <c r="AL6276">
        <v>94.620095398499302</v>
      </c>
      <c r="AM6276">
        <v>101.88711384158201</v>
      </c>
      <c r="AN6276">
        <v>0.99999999366185999</v>
      </c>
    </row>
    <row r="6277" spans="1:40" x14ac:dyDescent="0.25">
      <c r="A6277" t="str">
        <f>"20190303154935933"</f>
        <v>20190303154935933</v>
      </c>
      <c r="B6277" t="str">
        <f>"1551599375927423"</f>
        <v>1551599375927423</v>
      </c>
      <c r="C6277" t="s">
        <v>40</v>
      </c>
      <c r="D6277">
        <v>5.5294780000000001</v>
      </c>
      <c r="E6277">
        <v>0.48717929999999998</v>
      </c>
      <c r="F6277" t="s">
        <v>67</v>
      </c>
      <c r="G6277">
        <v>-382.55200000000002</v>
      </c>
      <c r="H6277" s="1">
        <v>-3.6670199999999999E-6</v>
      </c>
      <c r="I6277">
        <v>18.793990000000001</v>
      </c>
      <c r="J6277">
        <v>-406.97050000000002</v>
      </c>
      <c r="K6277">
        <v>1.121945</v>
      </c>
      <c r="L6277">
        <v>20.304960000000001</v>
      </c>
      <c r="M6277">
        <v>0.95626409999999995</v>
      </c>
      <c r="N6277">
        <v>-1.197022E-2</v>
      </c>
      <c r="O6277">
        <v>-0.29225980000000001</v>
      </c>
      <c r="P6277">
        <v>0.99188949999999998</v>
      </c>
      <c r="Q6277">
        <v>-9.1208929999999994E-2</v>
      </c>
      <c r="R6277">
        <v>-8.852169E-2</v>
      </c>
      <c r="S6277">
        <v>2.9953310000000002</v>
      </c>
      <c r="T6277">
        <v>-0.13712439999999901</v>
      </c>
      <c r="U6277">
        <v>-0.18780520000000001</v>
      </c>
      <c r="V6277">
        <v>-0.2050198</v>
      </c>
      <c r="W6277">
        <v>-8.0140310000000006E-2</v>
      </c>
      <c r="X6277">
        <v>0.97547139999999999</v>
      </c>
      <c r="Y6277">
        <v>-0.23140340000000001</v>
      </c>
      <c r="Z6277">
        <v>1.6315099999999999E-2</v>
      </c>
      <c r="AA6277">
        <v>0.97272110000000001</v>
      </c>
      <c r="AB6277">
        <v>17</v>
      </c>
      <c r="AC6277">
        <v>24.418500000000002</v>
      </c>
      <c r="AD6277">
        <v>-1.1219486670200001</v>
      </c>
      <c r="AE6277">
        <v>-1.5109699999999999</v>
      </c>
      <c r="AF6277">
        <v>-5.6801215255008097</v>
      </c>
      <c r="AG6277">
        <v>-1.1219486670200001</v>
      </c>
      <c r="AH6277">
        <v>23.7438997207847</v>
      </c>
      <c r="AI6277">
        <v>92.631199163142099</v>
      </c>
      <c r="AJ6277">
        <v>103.453710648624</v>
      </c>
      <c r="AK6277">
        <v>24.439626087699601</v>
      </c>
      <c r="AL6277">
        <v>94.596630709789807</v>
      </c>
      <c r="AM6277">
        <v>101.869387581675</v>
      </c>
      <c r="AN6277">
        <v>1.00000001994844</v>
      </c>
    </row>
    <row r="6278" spans="1:40" x14ac:dyDescent="0.25">
      <c r="A6278" t="str">
        <f>"20190303154935946"</f>
        <v>20190303154935946</v>
      </c>
      <c r="B6278" t="str">
        <f>"1551599375937184"</f>
        <v>1551599375937184</v>
      </c>
      <c r="C6278" t="s">
        <v>40</v>
      </c>
      <c r="D6278">
        <v>5.5578349999999999</v>
      </c>
      <c r="E6278">
        <v>0.48672559999999898</v>
      </c>
      <c r="F6278" t="s">
        <v>67</v>
      </c>
      <c r="G6278">
        <v>-382.80560000000003</v>
      </c>
      <c r="H6278" s="1">
        <v>-3.5224360000000001E-6</v>
      </c>
      <c r="I6278">
        <v>18.933199999999999</v>
      </c>
      <c r="J6278">
        <v>-406.87299999999999</v>
      </c>
      <c r="K6278">
        <v>1.121929</v>
      </c>
      <c r="L6278">
        <v>20.277069999999998</v>
      </c>
      <c r="M6278">
        <v>0.95673569999999997</v>
      </c>
      <c r="N6278">
        <v>-1.1818739999999999E-2</v>
      </c>
      <c r="O6278">
        <v>-0.29071829999999999</v>
      </c>
      <c r="P6278">
        <v>0.99200790000000005</v>
      </c>
      <c r="Q6278">
        <v>-9.1067780000000001E-2</v>
      </c>
      <c r="R6278">
        <v>-8.733436E-2</v>
      </c>
      <c r="S6278">
        <v>2.9965519999999999</v>
      </c>
      <c r="T6278">
        <v>-0.13912649999999999</v>
      </c>
      <c r="U6278">
        <v>-0.17010500000000001</v>
      </c>
      <c r="V6278">
        <v>-0.20461770000000001</v>
      </c>
      <c r="W6278">
        <v>-8.0148029999999995E-2</v>
      </c>
      <c r="X6278">
        <v>0.97555519999999996</v>
      </c>
      <c r="Y6278">
        <v>-0.2355633</v>
      </c>
      <c r="Z6278">
        <v>1.6681499999999998E-2</v>
      </c>
      <c r="AA6278">
        <v>0.97171589999999997</v>
      </c>
      <c r="AB6278">
        <v>17</v>
      </c>
      <c r="AC6278">
        <v>24.067399999999999</v>
      </c>
      <c r="AD6278">
        <v>-1.1219325224359999</v>
      </c>
      <c r="AE6278">
        <v>-1.3438699999999999</v>
      </c>
      <c r="AF6278">
        <v>-5.6991578708153696</v>
      </c>
      <c r="AG6278">
        <v>-1.1219325224359999</v>
      </c>
      <c r="AH6278">
        <v>23.3678415911454</v>
      </c>
      <c r="AI6278">
        <v>92.670603086335703</v>
      </c>
      <c r="AJ6278">
        <v>103.706230424967</v>
      </c>
      <c r="AK6278">
        <v>24.0789358911527</v>
      </c>
      <c r="AL6278">
        <v>94.597074418658906</v>
      </c>
      <c r="AM6278">
        <v>101.84577802914001</v>
      </c>
      <c r="AN6278">
        <v>1.0000000290566</v>
      </c>
    </row>
    <row r="6279" spans="1:40" x14ac:dyDescent="0.25">
      <c r="A6279" t="str">
        <f>"20190303154935964"</f>
        <v>20190303154935964</v>
      </c>
      <c r="B6279" t="str">
        <f>"1551599375956703"</f>
        <v>1551599375956703</v>
      </c>
      <c r="C6279" t="s">
        <v>40</v>
      </c>
      <c r="D6279">
        <v>5.5338909999999997</v>
      </c>
      <c r="E6279">
        <v>0.4859733</v>
      </c>
      <c r="F6279" t="s">
        <v>67</v>
      </c>
      <c r="G6279">
        <v>-382.7989</v>
      </c>
      <c r="H6279" s="1">
        <v>-3.5191680000000001E-6</v>
      </c>
      <c r="I6279">
        <v>18.969740000000002</v>
      </c>
      <c r="J6279">
        <v>-406.74459999999999</v>
      </c>
      <c r="K6279">
        <v>1.121909</v>
      </c>
      <c r="L6279">
        <v>20.240629999999999</v>
      </c>
      <c r="M6279">
        <v>0.95735680000000001</v>
      </c>
      <c r="N6279">
        <v>-1.161037E-2</v>
      </c>
      <c r="O6279">
        <v>-0.28867510000000002</v>
      </c>
      <c r="P6279">
        <v>0.99205929999999998</v>
      </c>
      <c r="Q6279">
        <v>-9.1997590000000004E-2</v>
      </c>
      <c r="R6279">
        <v>-8.5761260000000006E-2</v>
      </c>
      <c r="S6279">
        <v>2.9970089999999998</v>
      </c>
      <c r="T6279">
        <v>-0.13967009999999999</v>
      </c>
      <c r="U6279">
        <v>-0.16275020000000001</v>
      </c>
      <c r="V6279">
        <v>-0.20405180000000001</v>
      </c>
      <c r="W6279">
        <v>-8.1282190000000004E-2</v>
      </c>
      <c r="X6279">
        <v>0.97557990000000006</v>
      </c>
      <c r="Y6279">
        <v>-0.2358693</v>
      </c>
      <c r="Z6279">
        <v>1.6733049999999999E-2</v>
      </c>
      <c r="AA6279">
        <v>0.97164070000000002</v>
      </c>
      <c r="AB6279">
        <v>17</v>
      </c>
      <c r="AC6279">
        <v>23.945699999999899</v>
      </c>
      <c r="AD6279">
        <v>-1.1219125191679999</v>
      </c>
      <c r="AE6279">
        <v>-1.2708900000000001</v>
      </c>
      <c r="AF6279">
        <v>-5.6837739989851102</v>
      </c>
      <c r="AG6279">
        <v>-1.1219125191679999</v>
      </c>
      <c r="AH6279">
        <v>23.2421446787435</v>
      </c>
      <c r="AI6279">
        <v>92.684571226462793</v>
      </c>
      <c r="AJ6279">
        <v>103.74175993138</v>
      </c>
      <c r="AK6279">
        <v>23.953314255857102</v>
      </c>
      <c r="AL6279">
        <v>94.662269685769999</v>
      </c>
      <c r="AM6279">
        <v>101.81364802706</v>
      </c>
      <c r="AN6279">
        <v>1.0000000363892201</v>
      </c>
    </row>
    <row r="6280" spans="1:40" x14ac:dyDescent="0.25">
      <c r="A6280" t="str">
        <f>"20190303154935985"</f>
        <v>20190303154935985</v>
      </c>
      <c r="B6280" t="str">
        <f>"1551599375977199"</f>
        <v>1551599375977199</v>
      </c>
      <c r="C6280" t="s">
        <v>40</v>
      </c>
      <c r="D6280">
        <v>5.5642690000000004</v>
      </c>
      <c r="E6280">
        <v>0.48591760000000001</v>
      </c>
      <c r="F6280" t="s">
        <v>67</v>
      </c>
      <c r="G6280">
        <v>-383.85180000000003</v>
      </c>
      <c r="H6280" s="1">
        <v>-3.0014830000000001E-6</v>
      </c>
      <c r="I6280">
        <v>19.082170000000001</v>
      </c>
      <c r="J6280">
        <v>-406.59539999999998</v>
      </c>
      <c r="K6280">
        <v>1.1218790000000001</v>
      </c>
      <c r="L6280">
        <v>20.198699999999999</v>
      </c>
      <c r="M6280">
        <v>0.95807609999999999</v>
      </c>
      <c r="N6280">
        <v>-1.135886E-2</v>
      </c>
      <c r="O6280">
        <v>-0.28628910000000002</v>
      </c>
      <c r="P6280">
        <v>0.99218600000000001</v>
      </c>
      <c r="Q6280">
        <v>-9.1939259999999995E-2</v>
      </c>
      <c r="R6280">
        <v>-8.4347140000000001E-2</v>
      </c>
      <c r="S6280">
        <v>2.9972530000000002</v>
      </c>
      <c r="T6280">
        <v>-0.1468872</v>
      </c>
      <c r="U6280">
        <v>-0.15167240000000001</v>
      </c>
      <c r="V6280">
        <v>-0.20301269999999999</v>
      </c>
      <c r="W6280">
        <v>-8.1465540000000003E-2</v>
      </c>
      <c r="X6280">
        <v>0.97578129999999996</v>
      </c>
      <c r="Y6280">
        <v>-0.2369771</v>
      </c>
      <c r="Z6280">
        <v>1.7696090000000001E-2</v>
      </c>
      <c r="AA6280">
        <v>0.9713541</v>
      </c>
      <c r="AB6280">
        <v>17</v>
      </c>
      <c r="AC6280">
        <v>22.743599999999901</v>
      </c>
      <c r="AD6280">
        <v>-1.121882001483</v>
      </c>
      <c r="AE6280">
        <v>-1.11652999999999</v>
      </c>
      <c r="AF6280">
        <v>-5.4286970742798299</v>
      </c>
      <c r="AG6280">
        <v>-1.121882001483</v>
      </c>
      <c r="AH6280">
        <v>22.0576319114647</v>
      </c>
      <c r="AI6280">
        <v>92.827405359135398</v>
      </c>
      <c r="AJ6280">
        <v>103.82651074318601</v>
      </c>
      <c r="AK6280">
        <v>22.743537470921499</v>
      </c>
      <c r="AL6280">
        <v>94.672810141658104</v>
      </c>
      <c r="AM6280">
        <v>101.75280835548899</v>
      </c>
      <c r="AN6280">
        <v>0.99999996799923496</v>
      </c>
    </row>
    <row r="6281" spans="1:40" x14ac:dyDescent="0.25">
      <c r="A6281" t="str">
        <f>"20190303154935995"</f>
        <v>20190303154935995</v>
      </c>
      <c r="B6281" t="str">
        <f>"1551599375986960"</f>
        <v>1551599375986960</v>
      </c>
      <c r="C6281" t="s">
        <v>40</v>
      </c>
      <c r="D6281">
        <v>5.5164090000000003</v>
      </c>
      <c r="E6281">
        <v>0.48587039999999998</v>
      </c>
      <c r="F6281" t="s">
        <v>67</v>
      </c>
      <c r="G6281">
        <v>-383.54379999999998</v>
      </c>
      <c r="H6281" s="1">
        <v>-3.149558E-6</v>
      </c>
      <c r="I6281">
        <v>19.068239999999999</v>
      </c>
      <c r="J6281">
        <v>-406.51769999999999</v>
      </c>
      <c r="K6281">
        <v>1.121858</v>
      </c>
      <c r="L6281">
        <v>20.176970000000001</v>
      </c>
      <c r="M6281">
        <v>0.95844890000000005</v>
      </c>
      <c r="N6281">
        <v>-1.122678E-2</v>
      </c>
      <c r="O6281">
        <v>-0.2850433</v>
      </c>
      <c r="P6281">
        <v>0.99228050000000001</v>
      </c>
      <c r="Q6281">
        <v>-9.1907169999999996E-2</v>
      </c>
      <c r="R6281">
        <v>-8.326045E-2</v>
      </c>
      <c r="S6281">
        <v>2.9975890000000001</v>
      </c>
      <c r="T6281">
        <v>-0.1458875</v>
      </c>
      <c r="U6281">
        <v>-0.1470032</v>
      </c>
      <c r="V6281">
        <v>-0.2028124</v>
      </c>
      <c r="W6281">
        <v>-8.1561819999999993E-2</v>
      </c>
      <c r="X6281">
        <v>0.97581490000000004</v>
      </c>
      <c r="Y6281">
        <v>-0.23723610000000001</v>
      </c>
      <c r="Z6281">
        <v>1.7548370000000001E-2</v>
      </c>
      <c r="AA6281">
        <v>0.97129350000000003</v>
      </c>
      <c r="AB6281">
        <v>17</v>
      </c>
      <c r="AC6281">
        <v>22.9739</v>
      </c>
      <c r="AD6281">
        <v>-1.121861149558</v>
      </c>
      <c r="AE6281">
        <v>-1.10873</v>
      </c>
      <c r="AF6281">
        <v>-5.47322001845997</v>
      </c>
      <c r="AG6281">
        <v>-1.121861149558</v>
      </c>
      <c r="AH6281">
        <v>22.283739257147001</v>
      </c>
      <c r="AI6281">
        <v>92.799033778907997</v>
      </c>
      <c r="AJ6281">
        <v>103.799536083033</v>
      </c>
      <c r="AK6281">
        <v>22.973457403923099</v>
      </c>
      <c r="AL6281">
        <v>94.678345037786997</v>
      </c>
      <c r="AM6281">
        <v>101.741141605056</v>
      </c>
      <c r="AN6281">
        <v>0.99999995956873999</v>
      </c>
    </row>
    <row r="6282" spans="1:40" x14ac:dyDescent="0.25">
      <c r="A6282" t="str">
        <f>"20190303154936008"</f>
        <v>20190303154936008</v>
      </c>
      <c r="B6282" t="str">
        <f>"1551599375996720"</f>
        <v>1551599375996720</v>
      </c>
      <c r="C6282" t="s">
        <v>40</v>
      </c>
      <c r="D6282">
        <v>5.5066240000000004</v>
      </c>
      <c r="E6282">
        <v>0.48579620000000001</v>
      </c>
      <c r="F6282" t="s">
        <v>67</v>
      </c>
      <c r="G6282">
        <v>-383.46749999999997</v>
      </c>
      <c r="H6282" s="1">
        <v>-3.1844439999999999E-6</v>
      </c>
      <c r="I6282">
        <v>19.074819999999999</v>
      </c>
      <c r="J6282">
        <v>-406.43520000000001</v>
      </c>
      <c r="K6282">
        <v>1.1218399999999999</v>
      </c>
      <c r="L6282">
        <v>20.15408</v>
      </c>
      <c r="M6282">
        <v>0.95884290000000005</v>
      </c>
      <c r="N6282">
        <v>-1.108876E-2</v>
      </c>
      <c r="O6282">
        <v>-0.2837208</v>
      </c>
      <c r="P6282">
        <v>0.99237609999999998</v>
      </c>
      <c r="Q6282">
        <v>-9.1786000000000006E-2</v>
      </c>
      <c r="R6282">
        <v>-8.224832E-2</v>
      </c>
      <c r="S6282">
        <v>2.9978030000000002</v>
      </c>
      <c r="T6282">
        <v>-0.14590420000000001</v>
      </c>
      <c r="U6282">
        <v>-0.1433411</v>
      </c>
      <c r="V6282">
        <v>-0.20246459999999999</v>
      </c>
      <c r="W6282">
        <v>-8.1573859999999998E-2</v>
      </c>
      <c r="X6282">
        <v>0.97588620000000004</v>
      </c>
      <c r="Y6282">
        <v>-0.23708299999999999</v>
      </c>
      <c r="Z6282">
        <v>1.7522409999999999E-2</v>
      </c>
      <c r="AA6282">
        <v>0.97133139999999996</v>
      </c>
      <c r="AB6282">
        <v>17</v>
      </c>
      <c r="AC6282">
        <v>22.967700000000001</v>
      </c>
      <c r="AD6282">
        <v>-1.121843184444</v>
      </c>
      <c r="AE6282">
        <v>-1.0792599999999899</v>
      </c>
      <c r="AF6282">
        <v>-5.4688912400011001</v>
      </c>
      <c r="AG6282">
        <v>-1.121843184444</v>
      </c>
      <c r="AH6282">
        <v>22.276964991041702</v>
      </c>
      <c r="AI6282">
        <v>92.7999162713961</v>
      </c>
      <c r="AJ6282">
        <v>103.793071765655</v>
      </c>
      <c r="AK6282">
        <v>22.965854496132799</v>
      </c>
      <c r="AL6282">
        <v>94.679036798261393</v>
      </c>
      <c r="AM6282">
        <v>101.720731760375</v>
      </c>
      <c r="AN6282">
        <v>1.0000000421194399</v>
      </c>
    </row>
    <row r="6283" spans="1:40" x14ac:dyDescent="0.25">
      <c r="A6283" t="str">
        <f>"20190303154936022"</f>
        <v>20190303154936022</v>
      </c>
      <c r="B6283" t="str">
        <f>"1551599376017216"</f>
        <v>1551599376017216</v>
      </c>
      <c r="C6283" t="s">
        <v>40</v>
      </c>
      <c r="D6283">
        <v>5.5342079999999996</v>
      </c>
      <c r="E6283">
        <v>0.48563600000000001</v>
      </c>
      <c r="F6283" t="s">
        <v>67</v>
      </c>
      <c r="G6283">
        <v>-383.63830000000002</v>
      </c>
      <c r="H6283" s="1">
        <v>-3.1006049999999999E-6</v>
      </c>
      <c r="I6283">
        <v>19.092359999999999</v>
      </c>
      <c r="J6283">
        <v>-406.3347</v>
      </c>
      <c r="K6283">
        <v>1.1218170000000001</v>
      </c>
      <c r="L6283">
        <v>20.12631</v>
      </c>
      <c r="M6283">
        <v>0.95932050000000002</v>
      </c>
      <c r="N6283">
        <v>-1.0922279999999999E-2</v>
      </c>
      <c r="O6283">
        <v>-0.28210760000000001</v>
      </c>
      <c r="P6283">
        <v>0.99247649999999998</v>
      </c>
      <c r="Q6283">
        <v>-9.1767249999999995E-2</v>
      </c>
      <c r="R6283">
        <v>-8.1051129999999999E-2</v>
      </c>
      <c r="S6283">
        <v>2.997833</v>
      </c>
      <c r="T6283">
        <v>-0.14752419999999999</v>
      </c>
      <c r="U6283">
        <v>-0.13961789999999999</v>
      </c>
      <c r="V6283">
        <v>-0.20200019999999999</v>
      </c>
      <c r="W6283">
        <v>-8.1715650000000001E-2</v>
      </c>
      <c r="X6283">
        <v>0.97597060000000002</v>
      </c>
      <c r="Y6283">
        <v>-0.23664109999999999</v>
      </c>
      <c r="Z6283">
        <v>1.7694939999999999E-2</v>
      </c>
      <c r="AA6283">
        <v>0.97143599999999997</v>
      </c>
      <c r="AB6283">
        <v>17</v>
      </c>
      <c r="AC6283">
        <v>22.696399999999901</v>
      </c>
      <c r="AD6283">
        <v>-1.1218201006049999</v>
      </c>
      <c r="AE6283">
        <v>-1.0339499999999999</v>
      </c>
      <c r="AF6283">
        <v>-5.3981002604956796</v>
      </c>
      <c r="AG6283">
        <v>-1.1218201006049999</v>
      </c>
      <c r="AH6283">
        <v>22.0124590431363</v>
      </c>
      <c r="AI6283">
        <v>92.833622060322398</v>
      </c>
      <c r="AJ6283">
        <v>103.778694832451</v>
      </c>
      <c r="AK6283">
        <v>22.6924286907823</v>
      </c>
      <c r="AL6283">
        <v>94.687187847542702</v>
      </c>
      <c r="AM6283">
        <v>101.693605334013</v>
      </c>
      <c r="AN6283">
        <v>1.0000000701596501</v>
      </c>
    </row>
    <row r="6284" spans="1:40" x14ac:dyDescent="0.25">
      <c r="A6284" t="str">
        <f>"20190303154936040"</f>
        <v>20190303154936040</v>
      </c>
      <c r="B6284" t="str">
        <f>"1551599376036736"</f>
        <v>1551599376036736</v>
      </c>
      <c r="C6284" t="s">
        <v>40</v>
      </c>
      <c r="D6284">
        <v>5.5185449999999996</v>
      </c>
      <c r="E6284">
        <v>0.48571039999999999</v>
      </c>
      <c r="F6284" t="s">
        <v>67</v>
      </c>
      <c r="G6284">
        <v>-383.8297</v>
      </c>
      <c r="H6284" s="1">
        <v>-3.005872E-6</v>
      </c>
      <c r="I6284">
        <v>19.116250000000001</v>
      </c>
      <c r="J6284">
        <v>-406.19799999999998</v>
      </c>
      <c r="K6284">
        <v>1.121793</v>
      </c>
      <c r="L6284">
        <v>20.088899999999999</v>
      </c>
      <c r="M6284">
        <v>0.95996490000000001</v>
      </c>
      <c r="N6284">
        <v>-1.069896E-2</v>
      </c>
      <c r="O6284">
        <v>-0.27991640000000001</v>
      </c>
      <c r="P6284">
        <v>0.99259379999999997</v>
      </c>
      <c r="Q6284">
        <v>-9.2179759999999999E-2</v>
      </c>
      <c r="R6284">
        <v>-7.9127249999999996E-2</v>
      </c>
      <c r="S6284">
        <v>2.997925</v>
      </c>
      <c r="T6284">
        <v>-0.14943989999999999</v>
      </c>
      <c r="U6284">
        <v>-0.134552</v>
      </c>
      <c r="V6284">
        <v>-0.20165040000000001</v>
      </c>
      <c r="W6284">
        <v>-8.2346009999999997E-2</v>
      </c>
      <c r="X6284">
        <v>0.97598989999999997</v>
      </c>
      <c r="Y6284">
        <v>-0.2360477</v>
      </c>
      <c r="Z6284">
        <v>1.788735E-2</v>
      </c>
      <c r="AA6284">
        <v>0.97157680000000002</v>
      </c>
      <c r="AB6284">
        <v>17</v>
      </c>
      <c r="AC6284">
        <v>22.368300000000001</v>
      </c>
      <c r="AD6284">
        <v>-1.121796005872</v>
      </c>
      <c r="AE6284">
        <v>-0.97264999999999702</v>
      </c>
      <c r="AF6284">
        <v>-5.3145068862689904</v>
      </c>
      <c r="AG6284">
        <v>-1.121796005872</v>
      </c>
      <c r="AH6284">
        <v>21.691830321910501</v>
      </c>
      <c r="AI6284">
        <v>92.875526574033898</v>
      </c>
      <c r="AJ6284">
        <v>103.76632175947699</v>
      </c>
      <c r="AK6284">
        <v>22.361527506803899</v>
      </c>
      <c r="AL6284">
        <v>94.7234271979341</v>
      </c>
      <c r="AM6284">
        <v>101.673687466423</v>
      </c>
      <c r="AN6284">
        <v>1.00000001704254</v>
      </c>
    </row>
    <row r="6285" spans="1:40" x14ac:dyDescent="0.25">
      <c r="A6285" t="str">
        <f>"20190303154936052"</f>
        <v>20190303154936052</v>
      </c>
      <c r="B6285" t="str">
        <f>"1551599376047471"</f>
        <v>1551599376047471</v>
      </c>
      <c r="C6285" t="s">
        <v>40</v>
      </c>
      <c r="D6285">
        <v>5.5308279999999996</v>
      </c>
      <c r="E6285">
        <v>0.48564200000000002</v>
      </c>
      <c r="F6285" t="s">
        <v>67</v>
      </c>
      <c r="G6285">
        <v>-383.85140000000001</v>
      </c>
      <c r="H6285" s="1">
        <v>-2.9939510000000002E-6</v>
      </c>
      <c r="I6285">
        <v>19.12556</v>
      </c>
      <c r="J6285">
        <v>-406.10599999999999</v>
      </c>
      <c r="K6285">
        <v>1.121774</v>
      </c>
      <c r="L6285">
        <v>20.0639</v>
      </c>
      <c r="M6285">
        <v>0.96039609999999997</v>
      </c>
      <c r="N6285">
        <v>-1.055124E-2</v>
      </c>
      <c r="O6285">
        <v>-0.27843899999999999</v>
      </c>
      <c r="P6285">
        <v>0.99268970000000001</v>
      </c>
      <c r="Q6285">
        <v>-9.2413049999999997E-2</v>
      </c>
      <c r="R6285">
        <v>-7.763565E-2</v>
      </c>
      <c r="S6285">
        <v>2.9980470000000001</v>
      </c>
      <c r="T6285">
        <v>-0.15050169999999999</v>
      </c>
      <c r="U6285">
        <v>-0.12924189999999999</v>
      </c>
      <c r="V6285">
        <v>-0.2016068</v>
      </c>
      <c r="W6285">
        <v>-8.2725069999999998E-2</v>
      </c>
      <c r="X6285">
        <v>0.97596689999999997</v>
      </c>
      <c r="Y6285">
        <v>-0.2362631</v>
      </c>
      <c r="Z6285">
        <v>1.8003120000000001E-2</v>
      </c>
      <c r="AA6285">
        <v>0.97152229999999995</v>
      </c>
      <c r="AB6285">
        <v>17</v>
      </c>
      <c r="AC6285">
        <v>22.2545999999999</v>
      </c>
      <c r="AD6285">
        <v>-1.1217769939510001</v>
      </c>
      <c r="AE6285">
        <v>-0.93833999999999995</v>
      </c>
      <c r="AF6285">
        <v>-5.2822670956715196</v>
      </c>
      <c r="AG6285">
        <v>-1.1217769939510001</v>
      </c>
      <c r="AH6285">
        <v>21.5809669122294</v>
      </c>
      <c r="AI6285">
        <v>92.8903813943828</v>
      </c>
      <c r="AJ6285">
        <v>103.753602260988</v>
      </c>
      <c r="AK6285">
        <v>22.246322441269001</v>
      </c>
      <c r="AL6285">
        <v>94.745219865076805</v>
      </c>
      <c r="AM6285">
        <v>101.67150018554599</v>
      </c>
      <c r="AN6285">
        <v>1.00000006445417</v>
      </c>
    </row>
    <row r="6286" spans="1:40" x14ac:dyDescent="0.25">
      <c r="A6286" t="str">
        <f>"20190303154936073"</f>
        <v>20190303154936073</v>
      </c>
      <c r="B6286" t="str">
        <f>"1551599376066991"</f>
        <v>1551599376066991</v>
      </c>
      <c r="C6286" t="s">
        <v>40</v>
      </c>
      <c r="D6286">
        <v>5.4798679999999997</v>
      </c>
      <c r="E6286">
        <v>0.48569790000000002</v>
      </c>
      <c r="F6286" t="s">
        <v>67</v>
      </c>
      <c r="G6286">
        <v>-383.89210000000003</v>
      </c>
      <c r="H6286" s="1">
        <v>-2.9715689999999998E-6</v>
      </c>
      <c r="I6286">
        <v>19.143450000000001</v>
      </c>
      <c r="J6286">
        <v>-405.9538</v>
      </c>
      <c r="K6286">
        <v>1.1217509999999999</v>
      </c>
      <c r="L6286">
        <v>20.022829999999999</v>
      </c>
      <c r="M6286">
        <v>0.96110309999999999</v>
      </c>
      <c r="N6286">
        <v>-1.031261E-2</v>
      </c>
      <c r="O6286">
        <v>-0.27599770000000001</v>
      </c>
      <c r="P6286">
        <v>0.99276489999999995</v>
      </c>
      <c r="Q6286">
        <v>-9.3447000000000002E-2</v>
      </c>
      <c r="R6286">
        <v>-7.5406409999999993E-2</v>
      </c>
      <c r="S6286">
        <v>2.998291</v>
      </c>
      <c r="T6286">
        <v>-0.15141060000000001</v>
      </c>
      <c r="U6286">
        <v>-0.1242371</v>
      </c>
      <c r="V6286">
        <v>-0.2012861</v>
      </c>
      <c r="W6286">
        <v>-8.3994410000000005E-2</v>
      </c>
      <c r="X6286">
        <v>0.97592460000000003</v>
      </c>
      <c r="Y6286">
        <v>-0.23541029999999999</v>
      </c>
      <c r="Z6286">
        <v>1.8042039999999999E-2</v>
      </c>
      <c r="AA6286">
        <v>0.97172860000000005</v>
      </c>
      <c r="AB6286">
        <v>17</v>
      </c>
      <c r="AC6286">
        <v>22.061699999999899</v>
      </c>
      <c r="AD6286">
        <v>-1.1217539715689999</v>
      </c>
      <c r="AE6286">
        <v>-0.87937999999999705</v>
      </c>
      <c r="AF6286">
        <v>-5.2305804562603502</v>
      </c>
      <c r="AG6286">
        <v>-1.1217539715689999</v>
      </c>
      <c r="AH6286">
        <v>21.392194626756499</v>
      </c>
      <c r="AI6286">
        <v>92.915955750914407</v>
      </c>
      <c r="AJ6286">
        <v>103.73974921461</v>
      </c>
      <c r="AK6286">
        <v>22.050925033457698</v>
      </c>
      <c r="AL6286">
        <v>94.818202061913297</v>
      </c>
      <c r="AM6286">
        <v>101.653933573793</v>
      </c>
      <c r="AN6286">
        <v>0.99999998992480899</v>
      </c>
    </row>
    <row r="6287" spans="1:40" x14ac:dyDescent="0.25">
      <c r="A6287" t="str">
        <f>"20190303154936087"</f>
        <v>20190303154936087</v>
      </c>
      <c r="B6287" t="str">
        <f>"1551599376076751"</f>
        <v>1551599376076751</v>
      </c>
      <c r="C6287" t="s">
        <v>40</v>
      </c>
      <c r="D6287">
        <v>5.4563290000000002</v>
      </c>
      <c r="E6287">
        <v>0.48576940000000002</v>
      </c>
      <c r="F6287" t="s">
        <v>67</v>
      </c>
      <c r="G6287">
        <v>-384.24169999999998</v>
      </c>
      <c r="H6287" s="1">
        <v>-2.8018290000000002E-6</v>
      </c>
      <c r="I6287">
        <v>19.168700000000001</v>
      </c>
      <c r="J6287">
        <v>-405.86309999999997</v>
      </c>
      <c r="K6287">
        <v>1.1217360000000001</v>
      </c>
      <c r="L6287">
        <v>19.9986</v>
      </c>
      <c r="M6287">
        <v>0.96152059999999995</v>
      </c>
      <c r="N6287">
        <v>-1.017647E-2</v>
      </c>
      <c r="O6287">
        <v>-0.27454460000000003</v>
      </c>
      <c r="P6287">
        <v>0.99285380000000001</v>
      </c>
      <c r="Q6287">
        <v>-9.3733559999999994E-2</v>
      </c>
      <c r="R6287">
        <v>-7.3864109999999997E-2</v>
      </c>
      <c r="S6287">
        <v>2.9983219999999999</v>
      </c>
      <c r="T6287">
        <v>-0.1549082</v>
      </c>
      <c r="U6287">
        <v>-0.1179504</v>
      </c>
      <c r="V6287">
        <v>-0.2013171</v>
      </c>
      <c r="W6287">
        <v>-8.4416519999999995E-2</v>
      </c>
      <c r="X6287">
        <v>0.97588180000000002</v>
      </c>
      <c r="Y6287">
        <v>-0.23594680000000001</v>
      </c>
      <c r="Z6287">
        <v>1.8479639999999999E-2</v>
      </c>
      <c r="AA6287">
        <v>0.97159019999999996</v>
      </c>
      <c r="AB6287">
        <v>17</v>
      </c>
      <c r="AC6287">
        <v>21.621399999999898</v>
      </c>
      <c r="AD6287">
        <v>-1.121738801829</v>
      </c>
      <c r="AE6287">
        <v>-0.82989999999999797</v>
      </c>
      <c r="AF6287">
        <v>-5.12456516566888</v>
      </c>
      <c r="AG6287">
        <v>-1.121738801829</v>
      </c>
      <c r="AH6287">
        <v>20.962013677116602</v>
      </c>
      <c r="AI6287">
        <v>92.975677354483096</v>
      </c>
      <c r="AJ6287">
        <v>103.73760271894101</v>
      </c>
      <c r="AK6287">
        <v>21.608458609450601</v>
      </c>
      <c r="AL6287">
        <v>94.842473309531101</v>
      </c>
      <c r="AM6287">
        <v>101.656176490345</v>
      </c>
      <c r="AN6287">
        <v>1.0000000055862801</v>
      </c>
    </row>
    <row r="6288" spans="1:40" x14ac:dyDescent="0.25">
      <c r="A6288" t="str">
        <f>"20190303154936099"</f>
        <v>20190303154936099</v>
      </c>
      <c r="B6288" t="str">
        <f>"1551599376087487"</f>
        <v>1551599376087487</v>
      </c>
      <c r="C6288" t="s">
        <v>40</v>
      </c>
      <c r="D6288">
        <v>5.4620850000000001</v>
      </c>
      <c r="E6288">
        <v>0.48586639999999998</v>
      </c>
      <c r="F6288" t="s">
        <v>67</v>
      </c>
      <c r="G6288">
        <v>-384.3023</v>
      </c>
      <c r="H6288" s="1">
        <v>-2.7711879999999999E-6</v>
      </c>
      <c r="I6288">
        <v>19.179839999999999</v>
      </c>
      <c r="J6288">
        <v>-405.77010000000001</v>
      </c>
      <c r="K6288">
        <v>1.121723</v>
      </c>
      <c r="L6288">
        <v>19.973849999999999</v>
      </c>
      <c r="M6288">
        <v>0.96194650000000004</v>
      </c>
      <c r="N6288">
        <v>-1.004126E-2</v>
      </c>
      <c r="O6288">
        <v>-0.27305359999999901</v>
      </c>
      <c r="P6288">
        <v>0.99291220000000002</v>
      </c>
      <c r="Q6288">
        <v>-9.4287289999999996E-2</v>
      </c>
      <c r="R6288">
        <v>-7.2357859999999996E-2</v>
      </c>
      <c r="S6288">
        <v>2.998383</v>
      </c>
      <c r="T6288">
        <v>-0.15599640000000001</v>
      </c>
      <c r="U6288">
        <v>-0.11386110000000001</v>
      </c>
      <c r="V6288">
        <v>-0.20126659999999999</v>
      </c>
      <c r="W6288">
        <v>-8.5104929999999995E-2</v>
      </c>
      <c r="X6288">
        <v>0.97583240000000004</v>
      </c>
      <c r="Y6288">
        <v>-0.23575579999999999</v>
      </c>
      <c r="Z6288">
        <v>1.85776E-2</v>
      </c>
      <c r="AA6288">
        <v>0.97163469999999996</v>
      </c>
      <c r="AB6288">
        <v>17</v>
      </c>
      <c r="AC6288">
        <v>21.4678</v>
      </c>
      <c r="AD6288">
        <v>-1.121725771188</v>
      </c>
      <c r="AE6288">
        <v>-0.79400999999999999</v>
      </c>
      <c r="AF6288">
        <v>-5.0844587966993098</v>
      </c>
      <c r="AG6288">
        <v>-1.121725771188</v>
      </c>
      <c r="AH6288">
        <v>20.8119889667847</v>
      </c>
      <c r="AI6288">
        <v>92.997167719886704</v>
      </c>
      <c r="AJ6288">
        <v>103.72869216171</v>
      </c>
      <c r="AK6288">
        <v>21.4534117266846</v>
      </c>
      <c r="AL6288">
        <v>94.882058862311695</v>
      </c>
      <c r="AM6288">
        <v>101.65390633827</v>
      </c>
      <c r="AN6288">
        <v>0.99999998313781202</v>
      </c>
    </row>
    <row r="6289" spans="1:40" x14ac:dyDescent="0.25">
      <c r="A6289" t="str">
        <f>"20190303154936119"</f>
        <v>20190303154936119</v>
      </c>
      <c r="B6289" t="str">
        <f>"1551599376107008"</f>
        <v>1551599376107008</v>
      </c>
      <c r="C6289" t="s">
        <v>40</v>
      </c>
      <c r="D6289">
        <v>5.4661030000000004</v>
      </c>
      <c r="E6289">
        <v>0.48593510000000001</v>
      </c>
      <c r="F6289" t="s">
        <v>67</v>
      </c>
      <c r="G6289">
        <v>-384.38479999999998</v>
      </c>
      <c r="H6289" s="1">
        <v>-2.7306510000000001E-6</v>
      </c>
      <c r="I6289">
        <v>19.188549999999999</v>
      </c>
      <c r="J6289">
        <v>-405.62720000000002</v>
      </c>
      <c r="K6289">
        <v>1.1217090000000001</v>
      </c>
      <c r="L6289">
        <v>19.936160000000001</v>
      </c>
      <c r="M6289">
        <v>0.9625956</v>
      </c>
      <c r="N6289">
        <v>-9.8478309999999996E-3</v>
      </c>
      <c r="O6289">
        <v>-0.27076409999999901</v>
      </c>
      <c r="P6289">
        <v>0.99303319999999995</v>
      </c>
      <c r="Q6289">
        <v>-9.5074039999999999E-2</v>
      </c>
      <c r="R6289">
        <v>-6.961552E-2</v>
      </c>
      <c r="S6289">
        <v>2.9984440000000001</v>
      </c>
      <c r="T6289">
        <v>-0.1572781</v>
      </c>
      <c r="U6289">
        <v>-0.11010739999999899</v>
      </c>
      <c r="V6289">
        <v>-0.20161380000000001</v>
      </c>
      <c r="W6289">
        <v>-8.6086819999999994E-2</v>
      </c>
      <c r="X6289">
        <v>0.97567459999999995</v>
      </c>
      <c r="Y6289">
        <v>-0.23465069999999999</v>
      </c>
      <c r="Z6289">
        <v>1.8647E-2</v>
      </c>
      <c r="AA6289">
        <v>0.97190089999999996</v>
      </c>
      <c r="AB6289">
        <v>17</v>
      </c>
      <c r="AC6289">
        <v>21.2424</v>
      </c>
      <c r="AD6289">
        <v>-1.121711730651</v>
      </c>
      <c r="AE6289">
        <v>-0.747610000000001</v>
      </c>
      <c r="AF6289">
        <v>-5.0183003402251902</v>
      </c>
      <c r="AG6289">
        <v>-1.121711730651</v>
      </c>
      <c r="AH6289">
        <v>20.593910246621199</v>
      </c>
      <c r="AI6289">
        <v>93.029244999943401</v>
      </c>
      <c r="AJ6289">
        <v>103.69486890555299</v>
      </c>
      <c r="AK6289">
        <v>21.226179937927501</v>
      </c>
      <c r="AL6289">
        <v>94.938524191230499</v>
      </c>
      <c r="AM6289">
        <v>101.67529508517801</v>
      </c>
      <c r="AN6289">
        <v>0.99999999500665604</v>
      </c>
    </row>
    <row r="6290" spans="1:40" x14ac:dyDescent="0.25">
      <c r="A6290" t="str">
        <f>"20190303154936131"</f>
        <v>20190303154936131</v>
      </c>
      <c r="B6290" t="str">
        <f>"1551599376127503"</f>
        <v>1551599376127503</v>
      </c>
      <c r="C6290" t="s">
        <v>40</v>
      </c>
      <c r="D6290">
        <v>5.4796610000000001</v>
      </c>
      <c r="E6290">
        <v>0.46605770000000002</v>
      </c>
      <c r="F6290" t="s">
        <v>67</v>
      </c>
      <c r="G6290">
        <v>-384.54289999999997</v>
      </c>
      <c r="H6290" s="1">
        <v>-2.650966E-6</v>
      </c>
      <c r="I6290">
        <v>19.216460000000001</v>
      </c>
      <c r="J6290">
        <v>-405.5367</v>
      </c>
      <c r="K6290">
        <v>1.121704</v>
      </c>
      <c r="L6290">
        <v>19.912510000000001</v>
      </c>
      <c r="M6290">
        <v>0.96300330000000001</v>
      </c>
      <c r="N6290">
        <v>-9.7342039999999998E-3</v>
      </c>
      <c r="O6290">
        <v>-0.26931389999999999</v>
      </c>
      <c r="P6290">
        <v>0.99312129999999998</v>
      </c>
      <c r="Q6290">
        <v>-9.5322530000000003E-2</v>
      </c>
      <c r="R6290">
        <v>-6.7998399999999903E-2</v>
      </c>
      <c r="S6290">
        <v>2.9986269999999999</v>
      </c>
      <c r="T6290">
        <v>-0.15953120000000001</v>
      </c>
      <c r="U6290">
        <v>-0.102356</v>
      </c>
      <c r="V6290">
        <v>-0.20172380000000001</v>
      </c>
      <c r="W6290">
        <v>-8.6449349999999994E-2</v>
      </c>
      <c r="X6290">
        <v>0.97561980000000004</v>
      </c>
      <c r="Y6290">
        <v>-0.235678</v>
      </c>
      <c r="Z6290">
        <v>1.8926729999999999E-2</v>
      </c>
      <c r="AA6290">
        <v>0.97164689999999998</v>
      </c>
      <c r="AB6290">
        <v>17</v>
      </c>
      <c r="AC6290">
        <v>20.9938</v>
      </c>
      <c r="AD6290">
        <v>-1.1217066509659901</v>
      </c>
      <c r="AE6290">
        <v>-0.69604999999999895</v>
      </c>
      <c r="AF6290">
        <v>-4.9696877053556596</v>
      </c>
      <c r="AG6290">
        <v>-1.1217066509659901</v>
      </c>
      <c r="AH6290">
        <v>20.347496157660501</v>
      </c>
      <c r="AI6290">
        <v>93.065450731810898</v>
      </c>
      <c r="AJ6290">
        <v>103.72525495948901</v>
      </c>
      <c r="AK6290">
        <v>20.9756196949123</v>
      </c>
      <c r="AL6290">
        <v>94.959373392378296</v>
      </c>
      <c r="AM6290">
        <v>101.68212819157399</v>
      </c>
      <c r="AN6290">
        <v>0.99999998787695099</v>
      </c>
    </row>
    <row r="6291" spans="1:40" x14ac:dyDescent="0.25">
      <c r="A6291" t="str">
        <f>"20190303154936144"</f>
        <v>20190303154936144</v>
      </c>
      <c r="B6291" t="str">
        <f>"1551599376137263"</f>
        <v>1551599376137263</v>
      </c>
      <c r="C6291" t="s">
        <v>40</v>
      </c>
      <c r="D6291">
        <v>5.499816</v>
      </c>
      <c r="E6291">
        <v>0.46451680000000001</v>
      </c>
      <c r="F6291" t="s">
        <v>67</v>
      </c>
      <c r="G6291">
        <v>-388.39350000000002</v>
      </c>
      <c r="H6291" s="1">
        <v>-9.3326469999999998E-7</v>
      </c>
      <c r="I6291">
        <v>20.268049999999999</v>
      </c>
      <c r="J6291">
        <v>-405.43860000000001</v>
      </c>
      <c r="K6291">
        <v>1.12169599999999</v>
      </c>
      <c r="L6291">
        <v>19.886990000000001</v>
      </c>
      <c r="M6291">
        <v>0.96344269999999999</v>
      </c>
      <c r="N6291">
        <v>-9.6156769999999996E-3</v>
      </c>
      <c r="O6291">
        <v>-0.26774219999999999</v>
      </c>
      <c r="P6291">
        <v>0.99323189999999995</v>
      </c>
      <c r="Q6291">
        <v>-9.5416329999999994E-2</v>
      </c>
      <c r="R6291">
        <v>-6.6231479999999995E-2</v>
      </c>
      <c r="S6291">
        <v>3.0061650000000002</v>
      </c>
      <c r="T6291">
        <v>-0.1966976</v>
      </c>
      <c r="U6291">
        <v>6.2347409999999999E-2</v>
      </c>
      <c r="V6291">
        <v>-0.20186290000000001</v>
      </c>
      <c r="W6291">
        <v>-8.6662080000000002E-2</v>
      </c>
      <c r="X6291">
        <v>0.9755722</v>
      </c>
      <c r="Y6291">
        <v>-0.28656690000000001</v>
      </c>
      <c r="Z6291">
        <v>2.5497200000000001E-2</v>
      </c>
      <c r="AA6291">
        <v>0.95772089999999999</v>
      </c>
      <c r="AB6291">
        <v>17</v>
      </c>
      <c r="AC6291">
        <v>17.045099999999898</v>
      </c>
      <c r="AD6291">
        <v>-1.12169693326469</v>
      </c>
      <c r="AE6291">
        <v>0.38105999999999801</v>
      </c>
      <c r="AF6291">
        <v>-4.9097976294278398</v>
      </c>
      <c r="AG6291">
        <v>-1.12169693326469</v>
      </c>
      <c r="AH6291">
        <v>16.250365056856499</v>
      </c>
      <c r="AI6291">
        <v>93.7803763027201</v>
      </c>
      <c r="AJ6291">
        <v>106.81138358800899</v>
      </c>
      <c r="AK6291">
        <v>17.012897497285199</v>
      </c>
      <c r="AL6291">
        <v>94.971607619750898</v>
      </c>
      <c r="AM6291">
        <v>101.69051673123499</v>
      </c>
      <c r="AN6291">
        <v>1.0000000319595801</v>
      </c>
    </row>
    <row r="6292" spans="1:40" x14ac:dyDescent="0.25">
      <c r="A6292" t="str">
        <f>"20190303154936165"</f>
        <v>20190303154936165</v>
      </c>
      <c r="B6292" t="str">
        <f>"1551599376157291"</f>
        <v>1551599376157291</v>
      </c>
      <c r="C6292" t="s">
        <v>40</v>
      </c>
      <c r="D6292">
        <v>5.4800040000000001</v>
      </c>
      <c r="E6292">
        <v>0.4642464</v>
      </c>
      <c r="F6292" t="s">
        <v>67</v>
      </c>
      <c r="G6292">
        <v>-388.41570000000002</v>
      </c>
      <c r="H6292" s="1">
        <v>-9.4186990000000001E-7</v>
      </c>
      <c r="I6292">
        <v>20.339839999999999</v>
      </c>
      <c r="J6292">
        <v>-405.28590000000003</v>
      </c>
      <c r="K6292">
        <v>1.1216820000000001</v>
      </c>
      <c r="L6292">
        <v>19.847629999999999</v>
      </c>
      <c r="M6292">
        <v>0.96412120000000001</v>
      </c>
      <c r="N6292">
        <v>-9.4470049999999996E-3</v>
      </c>
      <c r="O6292">
        <v>-0.26529449999999999</v>
      </c>
      <c r="P6292">
        <v>0.9933997</v>
      </c>
      <c r="Q6292">
        <v>-9.5504210000000006E-2</v>
      </c>
      <c r="R6292">
        <v>-6.3530939999999994E-2</v>
      </c>
      <c r="S6292">
        <v>3.0067439999999999</v>
      </c>
      <c r="T6292">
        <v>-0.1981243</v>
      </c>
      <c r="U6292">
        <v>7.9986570000000007E-2</v>
      </c>
      <c r="V6292">
        <v>-0.20203280000000001</v>
      </c>
      <c r="W6292">
        <v>-8.6919109999999994E-2</v>
      </c>
      <c r="X6292">
        <v>0.97551410000000005</v>
      </c>
      <c r="Y6292">
        <v>-0.2897227</v>
      </c>
      <c r="Z6292">
        <v>2.5694749999999999E-2</v>
      </c>
      <c r="AA6292">
        <v>0.95676570000000005</v>
      </c>
      <c r="AB6292">
        <v>17</v>
      </c>
      <c r="AC6292">
        <v>16.870200000000001</v>
      </c>
      <c r="AD6292">
        <v>-1.1216829418698999</v>
      </c>
      <c r="AE6292">
        <v>0.49220999999999998</v>
      </c>
      <c r="AF6292">
        <v>-4.9285723653607301</v>
      </c>
      <c r="AG6292">
        <v>-1.1216829418698999</v>
      </c>
      <c r="AH6292">
        <v>16.064100423744701</v>
      </c>
      <c r="AI6292">
        <v>93.819073044128302</v>
      </c>
      <c r="AJ6292">
        <v>107.05636016246901</v>
      </c>
      <c r="AK6292">
        <v>16.840555828322099</v>
      </c>
      <c r="AL6292">
        <v>94.986390435801496</v>
      </c>
      <c r="AM6292">
        <v>101.700762647453</v>
      </c>
      <c r="AN6292">
        <v>0.99999997162891996</v>
      </c>
    </row>
    <row r="6293" spans="1:40" x14ac:dyDescent="0.25">
      <c r="A6293" t="str">
        <f>"20190303154936186"</f>
        <v>20190303154936186</v>
      </c>
      <c r="B6293" t="str">
        <f>"1551599376176811"</f>
        <v>1551599376176811</v>
      </c>
      <c r="C6293" t="s">
        <v>40</v>
      </c>
      <c r="D6293">
        <v>5.4346100000000002</v>
      </c>
      <c r="E6293">
        <v>0.46397060000000001</v>
      </c>
      <c r="F6293" t="s">
        <v>67</v>
      </c>
      <c r="G6293">
        <v>-388.12509999999997</v>
      </c>
      <c r="H6293" s="1">
        <v>-1.085393E-6</v>
      </c>
      <c r="I6293">
        <v>20.363009999999999</v>
      </c>
      <c r="J6293">
        <v>-405.12819999999999</v>
      </c>
      <c r="K6293">
        <v>1.121675</v>
      </c>
      <c r="L6293">
        <v>19.80743</v>
      </c>
      <c r="M6293">
        <v>0.96481459999999997</v>
      </c>
      <c r="N6293">
        <v>-9.2911139999999996E-3</v>
      </c>
      <c r="O6293">
        <v>-0.26276680000000002</v>
      </c>
      <c r="P6293">
        <v>0.99353080000000005</v>
      </c>
      <c r="Q6293">
        <v>-9.5897689999999994E-2</v>
      </c>
      <c r="R6293">
        <v>-6.0831980000000001E-2</v>
      </c>
      <c r="S6293">
        <v>3.0067750000000002</v>
      </c>
      <c r="T6293">
        <v>-0.19653209999999999</v>
      </c>
      <c r="U6293">
        <v>9.0301510000000001E-2</v>
      </c>
      <c r="V6293">
        <v>-0.20211280000000001</v>
      </c>
      <c r="W6293">
        <v>-8.7468959999999998E-2</v>
      </c>
      <c r="X6293">
        <v>0.97544839999999999</v>
      </c>
      <c r="Y6293">
        <v>-0.29051339999999998</v>
      </c>
      <c r="Z6293">
        <v>2.5392120000000001E-2</v>
      </c>
      <c r="AA6293">
        <v>0.956534</v>
      </c>
      <c r="AB6293">
        <v>17</v>
      </c>
      <c r="AC6293">
        <v>17.0031</v>
      </c>
      <c r="AD6293">
        <v>-1.1216760853929999</v>
      </c>
      <c r="AE6293">
        <v>0.55557999999999896</v>
      </c>
      <c r="AF6293">
        <v>-4.9824381088076102</v>
      </c>
      <c r="AG6293">
        <v>-1.1216760853929999</v>
      </c>
      <c r="AH6293">
        <v>16.189175048727002</v>
      </c>
      <c r="AI6293">
        <v>93.788615688327198</v>
      </c>
      <c r="AJ6293">
        <v>107.10645815182301</v>
      </c>
      <c r="AK6293">
        <v>16.975636527298899</v>
      </c>
      <c r="AL6293">
        <v>95.018014865982096</v>
      </c>
      <c r="AM6293">
        <v>101.706034676177</v>
      </c>
      <c r="AN6293">
        <v>0.99999999197494005</v>
      </c>
    </row>
    <row r="6294" spans="1:40" x14ac:dyDescent="0.25">
      <c r="A6294" t="str">
        <f>"20190303154936199"</f>
        <v>20190303154936199</v>
      </c>
      <c r="B6294" t="str">
        <f>"1551599376187547"</f>
        <v>1551599376187547</v>
      </c>
      <c r="C6294" t="s">
        <v>40</v>
      </c>
      <c r="D6294">
        <v>5.4158309999999998</v>
      </c>
      <c r="E6294">
        <v>0.46393079999999998</v>
      </c>
      <c r="F6294" t="s">
        <v>67</v>
      </c>
      <c r="G6294">
        <v>-388.28980000000001</v>
      </c>
      <c r="H6294" s="1">
        <v>-1.010042E-6</v>
      </c>
      <c r="I6294">
        <v>20.372340000000001</v>
      </c>
      <c r="J6294">
        <v>-405.0351</v>
      </c>
      <c r="K6294">
        <v>1.1216740000000001</v>
      </c>
      <c r="L6294">
        <v>19.78387</v>
      </c>
      <c r="M6294">
        <v>0.96522090000000005</v>
      </c>
      <c r="N6294">
        <v>-9.2054679999999996E-3</v>
      </c>
      <c r="O6294">
        <v>-0.2612737</v>
      </c>
      <c r="P6294">
        <v>0.99358760000000002</v>
      </c>
      <c r="Q6294">
        <v>-9.6094789999999999E-2</v>
      </c>
      <c r="R6294">
        <v>-5.9575320000000001E-2</v>
      </c>
      <c r="S6294">
        <v>3.0064090000000001</v>
      </c>
      <c r="T6294">
        <v>-0.20026869999999999</v>
      </c>
      <c r="U6294">
        <v>0.10086059999999999</v>
      </c>
      <c r="V6294">
        <v>-0.20183010000000001</v>
      </c>
      <c r="W6294">
        <v>-8.7750439999999999E-2</v>
      </c>
      <c r="X6294">
        <v>0.97548170000000001</v>
      </c>
      <c r="Y6294">
        <v>-0.29234549999999998</v>
      </c>
      <c r="Z6294">
        <v>2.589609E-2</v>
      </c>
      <c r="AA6294">
        <v>0.95596210000000004</v>
      </c>
      <c r="AB6294">
        <v>17</v>
      </c>
      <c r="AC6294">
        <v>16.745299999999901</v>
      </c>
      <c r="AD6294">
        <v>-1.1216750100419901</v>
      </c>
      <c r="AE6294">
        <v>0.58846999999999705</v>
      </c>
      <c r="AF6294">
        <v>-4.9212652246701403</v>
      </c>
      <c r="AG6294">
        <v>-1.1216750100419901</v>
      </c>
      <c r="AH6294">
        <v>15.9384134180169</v>
      </c>
      <c r="AI6294">
        <v>93.846957005119506</v>
      </c>
      <c r="AJ6294">
        <v>107.158991823863</v>
      </c>
      <c r="AK6294">
        <v>16.718553421971698</v>
      </c>
      <c r="AL6294">
        <v>95.034204501856394</v>
      </c>
      <c r="AM6294">
        <v>101.68972402142801</v>
      </c>
      <c r="AN6294">
        <v>1.00000003801054</v>
      </c>
    </row>
    <row r="6295" spans="1:40" x14ac:dyDescent="0.25">
      <c r="A6295" t="str">
        <f>"20190303154936210"</f>
        <v>20190303154936210</v>
      </c>
      <c r="B6295" t="str">
        <f>"1551599376207067"</f>
        <v>1551599376207067</v>
      </c>
      <c r="C6295" t="s">
        <v>40</v>
      </c>
      <c r="D6295">
        <v>5.4085760000000001</v>
      </c>
      <c r="E6295">
        <v>0.46422449999999998</v>
      </c>
      <c r="F6295" t="s">
        <v>67</v>
      </c>
      <c r="G6295">
        <v>-388.28800000000001</v>
      </c>
      <c r="H6295" s="1">
        <v>-1.0098869999999999E-6</v>
      </c>
      <c r="I6295">
        <v>20.3687</v>
      </c>
      <c r="J6295">
        <v>-404.94400000000002</v>
      </c>
      <c r="K6295">
        <v>1.1216699999999999</v>
      </c>
      <c r="L6295">
        <v>19.761019999999998</v>
      </c>
      <c r="M6295">
        <v>0.96561569999999997</v>
      </c>
      <c r="N6295">
        <v>-9.1276169999999993E-3</v>
      </c>
      <c r="O6295">
        <v>-0.25981349999999998</v>
      </c>
      <c r="P6295">
        <v>0.99365680000000001</v>
      </c>
      <c r="Q6295">
        <v>-9.6226770000000003E-2</v>
      </c>
      <c r="R6295">
        <v>-5.8194669999999997E-2</v>
      </c>
      <c r="S6295">
        <v>3.006195</v>
      </c>
      <c r="T6295">
        <v>-0.20134759999999999</v>
      </c>
      <c r="U6295">
        <v>0.1049805</v>
      </c>
      <c r="V6295">
        <v>-0.20170489999999999</v>
      </c>
      <c r="W6295">
        <v>-8.7959919999999997E-2</v>
      </c>
      <c r="X6295">
        <v>0.97548869999999999</v>
      </c>
      <c r="Y6295">
        <v>-0.2921995</v>
      </c>
      <c r="Z6295">
        <v>2.596528E-2</v>
      </c>
      <c r="AA6295">
        <v>0.95600490000000005</v>
      </c>
      <c r="AB6295">
        <v>17</v>
      </c>
      <c r="AC6295">
        <v>16.655999999999999</v>
      </c>
      <c r="AD6295">
        <v>-1.121671009887</v>
      </c>
      <c r="AE6295">
        <v>0.607679999999998</v>
      </c>
      <c r="AF6295">
        <v>-4.8922859596962196</v>
      </c>
      <c r="AG6295">
        <v>-1.121671009887</v>
      </c>
      <c r="AH6295">
        <v>15.8542691258441</v>
      </c>
      <c r="AI6295">
        <v>93.867504133667495</v>
      </c>
      <c r="AJ6295">
        <v>107.14909906407399</v>
      </c>
      <c r="AK6295">
        <v>16.629806291131398</v>
      </c>
      <c r="AL6295">
        <v>95.046253558016005</v>
      </c>
      <c r="AM6295">
        <v>101.68259046171499</v>
      </c>
      <c r="AN6295">
        <v>1.00000000901905</v>
      </c>
    </row>
    <row r="6296" spans="1:40" x14ac:dyDescent="0.25">
      <c r="A6296" t="str">
        <f>"20190303154936223"</f>
        <v>20190303154936223</v>
      </c>
      <c r="B6296" t="str">
        <f>"1551599376216827"</f>
        <v>1551599376216827</v>
      </c>
      <c r="C6296" t="s">
        <v>40</v>
      </c>
      <c r="D6296">
        <v>5.3849099999999996</v>
      </c>
      <c r="E6296">
        <v>0.46440900000000002</v>
      </c>
      <c r="F6296" t="s">
        <v>67</v>
      </c>
      <c r="G6296">
        <v>-388.20510000000002</v>
      </c>
      <c r="H6296" s="1">
        <v>-1.0456789999999901E-6</v>
      </c>
      <c r="I6296">
        <v>20.355979999999999</v>
      </c>
      <c r="J6296">
        <v>-404.84949999999998</v>
      </c>
      <c r="K6296">
        <v>1.1216680000000001</v>
      </c>
      <c r="L6296">
        <v>19.73743</v>
      </c>
      <c r="M6296">
        <v>0.96602259999999995</v>
      </c>
      <c r="N6296">
        <v>-9.0496989999999996E-3</v>
      </c>
      <c r="O6296">
        <v>-0.25829960000000002</v>
      </c>
      <c r="P6296">
        <v>0.99375179999999996</v>
      </c>
      <c r="Q6296">
        <v>-9.6147570000000002E-2</v>
      </c>
      <c r="R6296">
        <v>-5.6686920000000002E-2</v>
      </c>
      <c r="S6296">
        <v>3.00589</v>
      </c>
      <c r="T6296">
        <v>-0.2014253</v>
      </c>
      <c r="U6296">
        <v>0.10684200000000001</v>
      </c>
      <c r="V6296">
        <v>-0.201657</v>
      </c>
      <c r="W6296">
        <v>-8.7958620000000001E-2</v>
      </c>
      <c r="X6296">
        <v>0.97549870000000005</v>
      </c>
      <c r="Y6296">
        <v>-0.29129850000000002</v>
      </c>
      <c r="Z6296">
        <v>2.5868499999999999E-2</v>
      </c>
      <c r="AA6296">
        <v>0.95628239999999998</v>
      </c>
      <c r="AB6296">
        <v>17</v>
      </c>
      <c r="AC6296">
        <v>16.644399999999901</v>
      </c>
      <c r="AD6296">
        <v>-1.1216690456789999</v>
      </c>
      <c r="AE6296">
        <v>0.61854999999999905</v>
      </c>
      <c r="AF6296">
        <v>-4.8748667104457999</v>
      </c>
      <c r="AG6296">
        <v>-1.1216690456789999</v>
      </c>
      <c r="AH6296">
        <v>15.8478724711564</v>
      </c>
      <c r="AI6296">
        <v>93.870111628557495</v>
      </c>
      <c r="AJ6296">
        <v>107.098099346436</v>
      </c>
      <c r="AK6296">
        <v>16.618589854578001</v>
      </c>
      <c r="AL6296">
        <v>95.046178884502197</v>
      </c>
      <c r="AM6296">
        <v>101.679775920312</v>
      </c>
      <c r="AN6296">
        <v>0.99999998909149701</v>
      </c>
    </row>
    <row r="6297" spans="1:40" x14ac:dyDescent="0.25">
      <c r="A6297" t="str">
        <f>"20190303154936241"</f>
        <v>20190303154936241</v>
      </c>
      <c r="B6297" t="str">
        <f>"1551599376237323"</f>
        <v>1551599376237323</v>
      </c>
      <c r="C6297" t="s">
        <v>40</v>
      </c>
      <c r="D6297">
        <v>5.3621100000000004</v>
      </c>
      <c r="E6297">
        <v>0.46479369999999998</v>
      </c>
      <c r="F6297" t="s">
        <v>67</v>
      </c>
      <c r="G6297">
        <v>-388.0908</v>
      </c>
      <c r="H6297" s="1">
        <v>-1.09818E-6</v>
      </c>
      <c r="I6297">
        <v>20.350149999999999</v>
      </c>
      <c r="J6297">
        <v>-404.71440000000001</v>
      </c>
      <c r="K6297">
        <v>1.1216619999999999</v>
      </c>
      <c r="L6297">
        <v>19.703949999999999</v>
      </c>
      <c r="M6297">
        <v>0.96660020000000002</v>
      </c>
      <c r="N6297">
        <v>-8.9468080000000005E-3</v>
      </c>
      <c r="O6297">
        <v>-0.256133</v>
      </c>
      <c r="P6297">
        <v>0.99384620000000001</v>
      </c>
      <c r="Q6297">
        <v>-9.6282270000000003E-2</v>
      </c>
      <c r="R6297">
        <v>-5.476644E-2</v>
      </c>
      <c r="S6297">
        <v>3.0057070000000001</v>
      </c>
      <c r="T6297">
        <v>-0.2011734</v>
      </c>
      <c r="U6297">
        <v>0.1098938</v>
      </c>
      <c r="V6297">
        <v>-0.20134949999999999</v>
      </c>
      <c r="W6297">
        <v>-8.8195739999999995E-2</v>
      </c>
      <c r="X6297">
        <v>0.97554079999999999</v>
      </c>
      <c r="Y6297">
        <v>-0.29013430000000001</v>
      </c>
      <c r="Z6297">
        <v>2.568289E-2</v>
      </c>
      <c r="AA6297">
        <v>0.95664130000000003</v>
      </c>
      <c r="AB6297">
        <v>17</v>
      </c>
      <c r="AC6297">
        <v>16.6236</v>
      </c>
      <c r="AD6297">
        <v>-1.12166309818</v>
      </c>
      <c r="AE6297">
        <v>0.6462</v>
      </c>
      <c r="AF6297">
        <v>-4.8605691371662498</v>
      </c>
      <c r="AG6297">
        <v>-1.12166309818</v>
      </c>
      <c r="AH6297">
        <v>15.831529217940799</v>
      </c>
      <c r="AI6297">
        <v>93.874709287860099</v>
      </c>
      <c r="AJ6297">
        <v>107.067444245736</v>
      </c>
      <c r="AK6297">
        <v>16.598812542513599</v>
      </c>
      <c r="AL6297">
        <v>95.059817906351199</v>
      </c>
      <c r="AM6297">
        <v>101.661964541255</v>
      </c>
      <c r="AN6297">
        <v>0.99999998108451804</v>
      </c>
    </row>
    <row r="6298" spans="1:40" x14ac:dyDescent="0.25">
      <c r="A6298" t="str">
        <f>"20190303154936264"</f>
        <v>20190303154936264</v>
      </c>
      <c r="B6298" t="str">
        <f>"1551599376257819"</f>
        <v>1551599376257819</v>
      </c>
      <c r="C6298" t="s">
        <v>40</v>
      </c>
      <c r="D6298">
        <v>5.3660050000000004</v>
      </c>
      <c r="E6298">
        <v>0.46488570000000001</v>
      </c>
      <c r="F6298" t="s">
        <v>67</v>
      </c>
      <c r="G6298">
        <v>-387.73689999999999</v>
      </c>
      <c r="H6298" s="1">
        <v>-1.2626180000000001E-6</v>
      </c>
      <c r="I6298">
        <v>20.339369999999999</v>
      </c>
      <c r="J6298">
        <v>-404.54399999999998</v>
      </c>
      <c r="K6298">
        <v>1.121656</v>
      </c>
      <c r="L6298">
        <v>19.662230000000001</v>
      </c>
      <c r="M6298">
        <v>0.96732090000000004</v>
      </c>
      <c r="N6298">
        <v>-8.8326540000000005E-3</v>
      </c>
      <c r="O6298">
        <v>-0.25340210000000002</v>
      </c>
      <c r="P6298">
        <v>0.99390489999999998</v>
      </c>
      <c r="Q6298">
        <v>-9.710394E-2</v>
      </c>
      <c r="R6298">
        <v>-5.2195730000000003E-2</v>
      </c>
      <c r="S6298">
        <v>3.0055239999999999</v>
      </c>
      <c r="T6298">
        <v>-0.19856760000000001</v>
      </c>
      <c r="U6298">
        <v>0.1124878</v>
      </c>
      <c r="V6298">
        <v>-0.20109260000000001</v>
      </c>
      <c r="W6298">
        <v>-8.9132829999999996E-2</v>
      </c>
      <c r="X6298">
        <v>0.97550859999999995</v>
      </c>
      <c r="Y6298">
        <v>-0.28829660000000001</v>
      </c>
      <c r="Z6298">
        <v>2.5132399999999999E-2</v>
      </c>
      <c r="AA6298">
        <v>0.95721129999999999</v>
      </c>
      <c r="AB6298">
        <v>17</v>
      </c>
      <c r="AC6298">
        <v>16.807099999999998</v>
      </c>
      <c r="AD6298">
        <v>-1.1216572626179999</v>
      </c>
      <c r="AE6298">
        <v>0.67714000000000496</v>
      </c>
      <c r="AF6298">
        <v>-4.8924022372643901</v>
      </c>
      <c r="AG6298">
        <v>-1.1216572626179999</v>
      </c>
      <c r="AH6298">
        <v>16.015679300233199</v>
      </c>
      <c r="AI6298">
        <v>93.831920623088394</v>
      </c>
      <c r="AJ6298">
        <v>106.98664306716999</v>
      </c>
      <c r="AK6298">
        <v>16.783792721369402</v>
      </c>
      <c r="AL6298">
        <v>95.113721605447097</v>
      </c>
      <c r="AM6298">
        <v>101.647865913586</v>
      </c>
      <c r="AN6298">
        <v>0.99999996191626295</v>
      </c>
    </row>
    <row r="6299" spans="1:40" x14ac:dyDescent="0.25">
      <c r="A6299" t="str">
        <f>"20190303154936275"</f>
        <v>20190303154936275</v>
      </c>
      <c r="B6299" t="str">
        <f>"1551599376266602"</f>
        <v>1551599376266602</v>
      </c>
      <c r="C6299" t="s">
        <v>40</v>
      </c>
      <c r="D6299">
        <v>5.3719020000000004</v>
      </c>
      <c r="E6299">
        <v>0.46493699999999999</v>
      </c>
      <c r="F6299" t="s">
        <v>67</v>
      </c>
      <c r="G6299">
        <v>-387.6952</v>
      </c>
      <c r="H6299" s="1">
        <v>-1.280398E-6</v>
      </c>
      <c r="I6299">
        <v>20.332090000000001</v>
      </c>
      <c r="J6299">
        <v>-404.45339999999999</v>
      </c>
      <c r="K6299">
        <v>1.121653</v>
      </c>
      <c r="L6299">
        <v>19.640260000000001</v>
      </c>
      <c r="M6299">
        <v>0.96770040000000002</v>
      </c>
      <c r="N6299">
        <v>-8.7783819999999995E-3</v>
      </c>
      <c r="O6299">
        <v>-0.25195040000000002</v>
      </c>
      <c r="P6299">
        <v>0.99393750000000003</v>
      </c>
      <c r="Q6299">
        <v>-9.7610520000000006E-2</v>
      </c>
      <c r="R6299">
        <v>-5.0603189999999999E-2</v>
      </c>
      <c r="S6299">
        <v>3.0051269999999999</v>
      </c>
      <c r="T6299">
        <v>-0.20005700000000001</v>
      </c>
      <c r="U6299">
        <v>0.11947629999999999</v>
      </c>
      <c r="V6299">
        <v>-0.20117589999999999</v>
      </c>
      <c r="W6299">
        <v>-8.9695769999999994E-2</v>
      </c>
      <c r="X6299">
        <v>0.97543979999999997</v>
      </c>
      <c r="Y6299">
        <v>-0.2890703</v>
      </c>
      <c r="Z6299">
        <v>2.528555E-2</v>
      </c>
      <c r="AA6299">
        <v>0.95697390000000004</v>
      </c>
      <c r="AB6299">
        <v>18</v>
      </c>
      <c r="AC6299">
        <v>16.758199999999899</v>
      </c>
      <c r="AD6299">
        <v>-1.1216542803980001</v>
      </c>
      <c r="AE6299">
        <v>0.69182999999999895</v>
      </c>
      <c r="AF6299">
        <v>-4.8701272255591297</v>
      </c>
      <c r="AG6299">
        <v>-1.1216542803980001</v>
      </c>
      <c r="AH6299">
        <v>15.9717976348416</v>
      </c>
      <c r="AI6299">
        <v>93.843000985045194</v>
      </c>
      <c r="AJ6299">
        <v>106.957534196184</v>
      </c>
      <c r="AK6299">
        <v>16.7354285038119</v>
      </c>
      <c r="AL6299">
        <v>95.146105525924298</v>
      </c>
      <c r="AM6299">
        <v>101.653358370608</v>
      </c>
      <c r="AN6299">
        <v>0.99999993866036896</v>
      </c>
    </row>
    <row r="6300" spans="1:40" x14ac:dyDescent="0.25">
      <c r="A6300" t="str">
        <f>"20190303154936288"</f>
        <v>20190303154936288</v>
      </c>
      <c r="B6300" t="str">
        <f>"1551599376277338"</f>
        <v>1551599376277338</v>
      </c>
      <c r="C6300" t="s">
        <v>40</v>
      </c>
      <c r="D6300">
        <v>5.3317730000000001</v>
      </c>
      <c r="E6300">
        <v>0.46497579999999999</v>
      </c>
      <c r="F6300" t="s">
        <v>67</v>
      </c>
      <c r="G6300">
        <v>-387.75850000000003</v>
      </c>
      <c r="H6300" s="1">
        <v>-1.2495249999999999E-6</v>
      </c>
      <c r="I6300">
        <v>20.32865</v>
      </c>
      <c r="J6300">
        <v>-404.35500000000002</v>
      </c>
      <c r="K6300">
        <v>1.12165</v>
      </c>
      <c r="L6300">
        <v>19.61655</v>
      </c>
      <c r="M6300">
        <v>0.96810969999999996</v>
      </c>
      <c r="N6300">
        <v>-8.7241790000000003E-3</v>
      </c>
      <c r="O6300">
        <v>-0.25037490000000001</v>
      </c>
      <c r="P6300">
        <v>0.99400940000000004</v>
      </c>
      <c r="Q6300">
        <v>-9.7745979999999996E-2</v>
      </c>
      <c r="R6300">
        <v>-4.8899360000000003E-2</v>
      </c>
      <c r="S6300">
        <v>3.0048219999999999</v>
      </c>
      <c r="T6300">
        <v>-0.20188120000000001</v>
      </c>
      <c r="U6300">
        <v>0.12390139999999999</v>
      </c>
      <c r="V6300">
        <v>-0.2012543</v>
      </c>
      <c r="W6300">
        <v>-8.9887510000000004E-2</v>
      </c>
      <c r="X6300">
        <v>0.97540610000000005</v>
      </c>
      <c r="Y6300">
        <v>-0.28890450000000001</v>
      </c>
      <c r="Z6300">
        <v>2.5437540000000002E-2</v>
      </c>
      <c r="AA6300">
        <v>0.95701990000000003</v>
      </c>
      <c r="AB6300">
        <v>18</v>
      </c>
      <c r="AC6300">
        <v>16.596499999999899</v>
      </c>
      <c r="AD6300">
        <v>-1.1216512495249999</v>
      </c>
      <c r="AE6300">
        <v>0.71209999999999896</v>
      </c>
      <c r="AF6300">
        <v>-4.8229336223086099</v>
      </c>
      <c r="AG6300">
        <v>-1.1216512495249999</v>
      </c>
      <c r="AH6300">
        <v>15.817430590783401</v>
      </c>
      <c r="AI6300">
        <v>93.880389958107003</v>
      </c>
      <c r="AJ6300">
        <v>106.957123437634</v>
      </c>
      <c r="AK6300">
        <v>16.574374822146599</v>
      </c>
      <c r="AL6300">
        <v>95.157135354734194</v>
      </c>
      <c r="AM6300">
        <v>101.658167251482</v>
      </c>
      <c r="AN6300">
        <v>1.0000000588198401</v>
      </c>
    </row>
    <row r="6301" spans="1:40" x14ac:dyDescent="0.25">
      <c r="A6301" t="str">
        <f>"20190303154936301"</f>
        <v>20190303154936301</v>
      </c>
      <c r="B6301" t="str">
        <f>"1551599376297612"</f>
        <v>1551599376297612</v>
      </c>
      <c r="C6301" t="s">
        <v>40</v>
      </c>
      <c r="D6301">
        <v>5.2666789999999999</v>
      </c>
      <c r="E6301">
        <v>0.46568660000000001</v>
      </c>
      <c r="F6301" t="s">
        <v>67</v>
      </c>
      <c r="G6301">
        <v>-387.70909999999998</v>
      </c>
      <c r="H6301" s="1">
        <v>-1.273226E-6</v>
      </c>
      <c r="I6301">
        <v>20.329879999999999</v>
      </c>
      <c r="J6301">
        <v>-404.25979999999998</v>
      </c>
      <c r="K6301">
        <v>1.121658</v>
      </c>
      <c r="L6301">
        <v>19.593779999999999</v>
      </c>
      <c r="M6301">
        <v>0.96850320000000001</v>
      </c>
      <c r="N6301">
        <v>-8.6747249999999995E-3</v>
      </c>
      <c r="O6301">
        <v>-0.24885070000000001</v>
      </c>
      <c r="P6301">
        <v>0.99406159999999999</v>
      </c>
      <c r="Q6301">
        <v>-9.7908780000000001E-2</v>
      </c>
      <c r="R6301">
        <v>-4.7494960000000003E-2</v>
      </c>
      <c r="S6301">
        <v>3.0045169999999999</v>
      </c>
      <c r="T6301">
        <v>-0.20245360000000001</v>
      </c>
      <c r="U6301">
        <v>0.1287537</v>
      </c>
      <c r="V6301">
        <v>-0.20109179999999999</v>
      </c>
      <c r="W6301">
        <v>-9.0100669999999994E-2</v>
      </c>
      <c r="X6301">
        <v>0.97541990000000001</v>
      </c>
      <c r="Y6301">
        <v>-0.28894009999999998</v>
      </c>
      <c r="Z6301">
        <v>2.543488E-2</v>
      </c>
      <c r="AA6301">
        <v>0.95700929999999995</v>
      </c>
      <c r="AB6301">
        <v>18</v>
      </c>
      <c r="AC6301">
        <v>16.550699999999999</v>
      </c>
      <c r="AD6301">
        <v>-1.121659273226</v>
      </c>
      <c r="AE6301">
        <v>0.73609999999999998</v>
      </c>
      <c r="AF6301">
        <v>-4.8097024091373397</v>
      </c>
      <c r="AG6301">
        <v>-1.121659273226</v>
      </c>
      <c r="AH6301">
        <v>15.7745121434011</v>
      </c>
      <c r="AI6301">
        <v>93.890952814222601</v>
      </c>
      <c r="AJ6301">
        <v>106.956642107619</v>
      </c>
      <c r="AK6301">
        <v>16.529567149565199</v>
      </c>
      <c r="AL6301">
        <v>95.169398524168599</v>
      </c>
      <c r="AM6301">
        <v>101.648851091821</v>
      </c>
      <c r="AN6301">
        <v>1.0000000120388399</v>
      </c>
    </row>
    <row r="6302" spans="1:40" x14ac:dyDescent="0.25">
      <c r="A6302" t="str">
        <f>"20190303154936319"</f>
        <v>20190303154936319</v>
      </c>
      <c r="B6302" t="str">
        <f>"1551599376307372"</f>
        <v>1551599376307372</v>
      </c>
      <c r="C6302" t="s">
        <v>40</v>
      </c>
      <c r="D6302">
        <v>5.2791649999999999</v>
      </c>
      <c r="E6302">
        <v>0.46601500000000001</v>
      </c>
      <c r="F6302" t="s">
        <v>67</v>
      </c>
      <c r="G6302">
        <v>-387.07</v>
      </c>
      <c r="H6302" s="1">
        <v>-1.5728499999999999E-6</v>
      </c>
      <c r="I6302">
        <v>20.320609999999999</v>
      </c>
      <c r="J6302">
        <v>-404.11849999999998</v>
      </c>
      <c r="K6302">
        <v>1.1216600000000001</v>
      </c>
      <c r="L6302">
        <v>19.560210000000001</v>
      </c>
      <c r="M6302">
        <v>0.96908240000000001</v>
      </c>
      <c r="N6302">
        <v>-8.6103209999999902E-3</v>
      </c>
      <c r="O6302">
        <v>-0.246588</v>
      </c>
      <c r="P6302">
        <v>0.99413430000000003</v>
      </c>
      <c r="Q6302">
        <v>-9.8157289999999994E-2</v>
      </c>
      <c r="R6302">
        <v>-4.5414919999999998E-2</v>
      </c>
      <c r="S6302">
        <v>3.0046689999999998</v>
      </c>
      <c r="T6302">
        <v>-0.19605900000000001</v>
      </c>
      <c r="U6302">
        <v>0.12704469999999901</v>
      </c>
      <c r="V6302">
        <v>-0.2008451</v>
      </c>
      <c r="W6302">
        <v>-9.0415289999999995E-2</v>
      </c>
      <c r="X6302">
        <v>0.97544160000000002</v>
      </c>
      <c r="Y6302">
        <v>-0.28624110000000003</v>
      </c>
      <c r="Z6302">
        <v>2.4385710000000001E-2</v>
      </c>
      <c r="AA6302">
        <v>0.95784729999999996</v>
      </c>
      <c r="AB6302">
        <v>18</v>
      </c>
      <c r="AC6302">
        <v>17.048499999999901</v>
      </c>
      <c r="AD6302">
        <v>-1.1216615728499999</v>
      </c>
      <c r="AE6302">
        <v>0.76039999999999996</v>
      </c>
      <c r="AF6302">
        <v>-4.9197741135269499</v>
      </c>
      <c r="AG6302">
        <v>-1.1216615728499999</v>
      </c>
      <c r="AH6302">
        <v>16.264235172984201</v>
      </c>
      <c r="AI6302">
        <v>93.776671922707195</v>
      </c>
      <c r="AJ6302">
        <v>106.83005918354201</v>
      </c>
      <c r="AK6302">
        <v>17.029023688229302</v>
      </c>
      <c r="AL6302">
        <v>95.187498878486096</v>
      </c>
      <c r="AM6302">
        <v>101.63469834257999</v>
      </c>
      <c r="AN6302">
        <v>0.99999999693517705</v>
      </c>
    </row>
    <row r="6303" spans="1:40" x14ac:dyDescent="0.25">
      <c r="A6303" t="str">
        <f>"20190303154936332"</f>
        <v>20190303154936332</v>
      </c>
      <c r="B6303" t="str">
        <f>"1551599376326892"</f>
        <v>1551599376326892</v>
      </c>
      <c r="C6303" t="s">
        <v>40</v>
      </c>
      <c r="D6303">
        <v>5.2316739999999999</v>
      </c>
      <c r="E6303">
        <v>0.46662409999999999</v>
      </c>
      <c r="F6303" t="s">
        <v>67</v>
      </c>
      <c r="G6303">
        <v>-386.76780000000002</v>
      </c>
      <c r="H6303" s="1">
        <v>-1.7140569999999999E-6</v>
      </c>
      <c r="I6303">
        <v>20.314319999999999</v>
      </c>
      <c r="J6303">
        <v>-404.02260000000001</v>
      </c>
      <c r="K6303">
        <v>1.121664</v>
      </c>
      <c r="L6303">
        <v>19.537690000000001</v>
      </c>
      <c r="M6303">
        <v>0.96947209999999995</v>
      </c>
      <c r="N6303">
        <v>-8.5718889999999992E-3</v>
      </c>
      <c r="O6303">
        <v>-0.24505209999999999</v>
      </c>
      <c r="P6303">
        <v>0.99420209999999998</v>
      </c>
      <c r="Q6303">
        <v>-9.8082820000000001E-2</v>
      </c>
      <c r="R6303">
        <v>-4.4070449999999997E-2</v>
      </c>
      <c r="S6303">
        <v>3.0045169999999999</v>
      </c>
      <c r="T6303">
        <v>-0.1942314</v>
      </c>
      <c r="U6303">
        <v>0.1305847</v>
      </c>
      <c r="V6303">
        <v>-0.2006192</v>
      </c>
      <c r="W6303">
        <v>-9.0380089999999996E-2</v>
      </c>
      <c r="X6303">
        <v>0.97549129999999995</v>
      </c>
      <c r="Y6303">
        <v>-0.28587509999999999</v>
      </c>
      <c r="Z6303">
        <v>2.405885E-2</v>
      </c>
      <c r="AA6303">
        <v>0.95796479999999995</v>
      </c>
      <c r="AB6303">
        <v>18</v>
      </c>
      <c r="AC6303">
        <v>17.2547999999999</v>
      </c>
      <c r="AD6303">
        <v>-1.1216657140570001</v>
      </c>
      <c r="AE6303">
        <v>0.77663000000000404</v>
      </c>
      <c r="AF6303">
        <v>-4.9605090568020298</v>
      </c>
      <c r="AG6303">
        <v>-1.1216657140570001</v>
      </c>
      <c r="AH6303">
        <v>16.468885440803799</v>
      </c>
      <c r="AI6303">
        <v>93.731211089397803</v>
      </c>
      <c r="AJ6303">
        <v>106.762558907919</v>
      </c>
      <c r="AK6303">
        <v>17.236269078284501</v>
      </c>
      <c r="AL6303">
        <v>95.185474018629506</v>
      </c>
      <c r="AM6303">
        <v>101.62139242833901</v>
      </c>
      <c r="AN6303">
        <v>0.99999995022636701</v>
      </c>
    </row>
    <row r="6304" spans="1:40" x14ac:dyDescent="0.25">
      <c r="A6304" t="str">
        <f>"20190303154936346"</f>
        <v>20190303154936346</v>
      </c>
      <c r="B6304" t="str">
        <f>"1551599376336652"</f>
        <v>1551599376336652</v>
      </c>
      <c r="C6304" t="s">
        <v>40</v>
      </c>
      <c r="D6304">
        <v>5.2548300000000001</v>
      </c>
      <c r="E6304">
        <v>0.4669161</v>
      </c>
      <c r="F6304" t="s">
        <v>67</v>
      </c>
      <c r="G6304">
        <v>-386.20960000000002</v>
      </c>
      <c r="H6304" s="1">
        <v>-1.9756580000000001E-6</v>
      </c>
      <c r="I6304">
        <v>20.305900000000001</v>
      </c>
      <c r="J6304">
        <v>-403.91840000000002</v>
      </c>
      <c r="K6304">
        <v>1.1216649999999999</v>
      </c>
      <c r="L6304">
        <v>19.513400000000001</v>
      </c>
      <c r="M6304">
        <v>0.96989210000000003</v>
      </c>
      <c r="N6304">
        <v>-8.5327659999999902E-3</v>
      </c>
      <c r="O6304">
        <v>-0.24338589999999999</v>
      </c>
      <c r="P6304">
        <v>0.99425980000000003</v>
      </c>
      <c r="Q6304">
        <v>-9.8227060000000005E-2</v>
      </c>
      <c r="R6304">
        <v>-4.2416120000000002E-2</v>
      </c>
      <c r="S6304">
        <v>3.004578</v>
      </c>
      <c r="T6304">
        <v>-0.1891958</v>
      </c>
      <c r="U6304">
        <v>0.12957759999999999</v>
      </c>
      <c r="V6304">
        <v>-0.20056099999999999</v>
      </c>
      <c r="W6304">
        <v>-9.0565469999999995E-2</v>
      </c>
      <c r="X6304">
        <v>0.97548619999999997</v>
      </c>
      <c r="Y6304">
        <v>-0.2839682</v>
      </c>
      <c r="Z6304">
        <v>2.3260639999999999E-2</v>
      </c>
      <c r="AA6304">
        <v>0.9585515</v>
      </c>
      <c r="AB6304">
        <v>18</v>
      </c>
      <c r="AC6304">
        <v>17.708799999999901</v>
      </c>
      <c r="AD6304">
        <v>-1.121666975658</v>
      </c>
      <c r="AE6304">
        <v>0.79249999999999998</v>
      </c>
      <c r="AF6304">
        <v>-5.0586419493729604</v>
      </c>
      <c r="AG6304">
        <v>-1.121666975658</v>
      </c>
      <c r="AH6304">
        <v>16.915630455543401</v>
      </c>
      <c r="AI6304">
        <v>93.6350896017194</v>
      </c>
      <c r="AJ6304">
        <v>106.649364955123</v>
      </c>
      <c r="AK6304">
        <v>17.691425857876599</v>
      </c>
      <c r="AL6304">
        <v>95.1961386113408</v>
      </c>
      <c r="AM6304">
        <v>101.618171801838</v>
      </c>
      <c r="AN6304">
        <v>1.00000007273387</v>
      </c>
    </row>
    <row r="6305" spans="1:40" x14ac:dyDescent="0.25">
      <c r="A6305" t="str">
        <f>"20190303154936365"</f>
        <v>20190303154936365</v>
      </c>
      <c r="B6305" t="str">
        <f>"1551599376357147"</f>
        <v>1551599376357147</v>
      </c>
      <c r="C6305" t="s">
        <v>40</v>
      </c>
      <c r="D6305">
        <v>5.2493379999999998</v>
      </c>
      <c r="E6305">
        <v>0.46740429999999999</v>
      </c>
      <c r="F6305" t="s">
        <v>67</v>
      </c>
      <c r="G6305">
        <v>-385.84699999999998</v>
      </c>
      <c r="H6305" s="1">
        <v>-2.147602E-6</v>
      </c>
      <c r="I6305">
        <v>20.308009999999999</v>
      </c>
      <c r="J6305">
        <v>-403.76049999999998</v>
      </c>
      <c r="K6305">
        <v>1.121659</v>
      </c>
      <c r="L6305">
        <v>19.476900000000001</v>
      </c>
      <c r="M6305">
        <v>0.97052309999999997</v>
      </c>
      <c r="N6305">
        <v>-8.4808619999999901E-3</v>
      </c>
      <c r="O6305">
        <v>-0.24085889999999999</v>
      </c>
      <c r="P6305">
        <v>0.99429959999999995</v>
      </c>
      <c r="Q6305">
        <v>-9.8683129999999994E-2</v>
      </c>
      <c r="R6305">
        <v>-4.0370999999999997E-2</v>
      </c>
      <c r="S6305">
        <v>3.0045169999999999</v>
      </c>
      <c r="T6305">
        <v>-0.1864866</v>
      </c>
      <c r="U6305">
        <v>0.13211059999999999</v>
      </c>
      <c r="V6305">
        <v>-0.200012</v>
      </c>
      <c r="W6305">
        <v>-9.1074459999999996E-2</v>
      </c>
      <c r="X6305">
        <v>0.97555139999999996</v>
      </c>
      <c r="Y6305">
        <v>-0.28231400000000001</v>
      </c>
      <c r="Z6305">
        <v>2.2731640000000001E-2</v>
      </c>
      <c r="AA6305">
        <v>0.95905269999999998</v>
      </c>
      <c r="AB6305">
        <v>18</v>
      </c>
      <c r="AC6305">
        <v>17.913499999999999</v>
      </c>
      <c r="AD6305">
        <v>-1.121661147602</v>
      </c>
      <c r="AE6305">
        <v>0.83110999999999802</v>
      </c>
      <c r="AF6305">
        <v>-5.1014631919670297</v>
      </c>
      <c r="AG6305">
        <v>-1.121661147602</v>
      </c>
      <c r="AH6305">
        <v>17.118929336369899</v>
      </c>
      <c r="AI6305">
        <v>93.593046813940404</v>
      </c>
      <c r="AJ6305">
        <v>106.59412497443201</v>
      </c>
      <c r="AK6305">
        <v>17.898066712711199</v>
      </c>
      <c r="AL6305">
        <v>95.225423275036704</v>
      </c>
      <c r="AM6305">
        <v>101.58647684563201</v>
      </c>
      <c r="AN6305">
        <v>0.99999994572512396</v>
      </c>
    </row>
    <row r="6306" spans="1:40" x14ac:dyDescent="0.25">
      <c r="A6306" t="str">
        <f>"20190303154936387"</f>
        <v>20190303154936387</v>
      </c>
      <c r="B6306" t="str">
        <f>"1551599376376668"</f>
        <v>1551599376376668</v>
      </c>
      <c r="C6306" t="s">
        <v>40</v>
      </c>
      <c r="D6306">
        <v>5.2408669999999997</v>
      </c>
      <c r="E6306">
        <v>0.46782170000000001</v>
      </c>
      <c r="F6306" t="s">
        <v>67</v>
      </c>
      <c r="G6306">
        <v>-385.39210000000003</v>
      </c>
      <c r="H6306" s="1">
        <v>-2.3597800000000001E-6</v>
      </c>
      <c r="I6306">
        <v>20.297090000000001</v>
      </c>
      <c r="J6306">
        <v>-403.59780000000001</v>
      </c>
      <c r="K6306">
        <v>1.121661</v>
      </c>
      <c r="L6306">
        <v>19.439730000000001</v>
      </c>
      <c r="M6306">
        <v>0.97116570000000002</v>
      </c>
      <c r="N6306">
        <v>-8.4354389999999994E-3</v>
      </c>
      <c r="O6306">
        <v>-0.23825669999999999</v>
      </c>
      <c r="P6306">
        <v>0.99433769999999999</v>
      </c>
      <c r="Q6306">
        <v>-9.9237519999999996E-2</v>
      </c>
      <c r="R6306">
        <v>-3.8009790000000002E-2</v>
      </c>
      <c r="S6306">
        <v>3.0044249999999999</v>
      </c>
      <c r="T6306">
        <v>-0.1834643</v>
      </c>
      <c r="U6306">
        <v>0.13415529999999901</v>
      </c>
      <c r="V6306">
        <v>-0.19969719999999999</v>
      </c>
      <c r="W6306">
        <v>-9.1676640000000004E-2</v>
      </c>
      <c r="X6306">
        <v>0.97555950000000002</v>
      </c>
      <c r="Y6306">
        <v>-0.28043390000000001</v>
      </c>
      <c r="Z6306">
        <v>2.2156929999999998E-2</v>
      </c>
      <c r="AA6306">
        <v>0.95961759999999996</v>
      </c>
      <c r="AB6306">
        <v>18</v>
      </c>
      <c r="AC6306">
        <v>18.205699999999901</v>
      </c>
      <c r="AD6306">
        <v>-1.1216633597799901</v>
      </c>
      <c r="AE6306">
        <v>0.85736000000000301</v>
      </c>
      <c r="AF6306">
        <v>-5.1509429982764301</v>
      </c>
      <c r="AG6306">
        <v>-1.1216633597799901</v>
      </c>
      <c r="AH6306">
        <v>17.411155360681999</v>
      </c>
      <c r="AI6306">
        <v>93.534980035870305</v>
      </c>
      <c r="AJ6306">
        <v>106.48040559770899</v>
      </c>
      <c r="AK6306">
        <v>18.191719914784699</v>
      </c>
      <c r="AL6306">
        <v>95.260070532037204</v>
      </c>
      <c r="AM6306">
        <v>101.56863934414299</v>
      </c>
      <c r="AN6306">
        <v>0.99999995802488895</v>
      </c>
    </row>
    <row r="6307" spans="1:40" x14ac:dyDescent="0.25">
      <c r="A6307" t="str">
        <f>"20190303154936398"</f>
        <v>20190303154936398</v>
      </c>
      <c r="B6307" t="str">
        <f>"1551599376387404"</f>
        <v>1551599376387404</v>
      </c>
      <c r="C6307" t="s">
        <v>40</v>
      </c>
      <c r="D6307">
        <v>5.2099120000000001</v>
      </c>
      <c r="E6307">
        <v>0.4680994</v>
      </c>
      <c r="F6307" t="s">
        <v>67</v>
      </c>
      <c r="G6307">
        <v>-385.04559999999998</v>
      </c>
      <c r="H6307" s="1">
        <v>-2.5217829999999999E-6</v>
      </c>
      <c r="I6307">
        <v>20.29044</v>
      </c>
      <c r="J6307">
        <v>-403.51240000000001</v>
      </c>
      <c r="K6307">
        <v>1.1216649999999999</v>
      </c>
      <c r="L6307">
        <v>19.42041</v>
      </c>
      <c r="M6307">
        <v>0.97150040000000004</v>
      </c>
      <c r="N6307">
        <v>-8.4141379999999998E-3</v>
      </c>
      <c r="O6307">
        <v>-0.23688909999999999</v>
      </c>
      <c r="P6307">
        <v>0.99435010000000001</v>
      </c>
      <c r="Q6307">
        <v>-9.9525909999999995E-2</v>
      </c>
      <c r="R6307">
        <v>-3.6918149999999997E-2</v>
      </c>
      <c r="S6307">
        <v>3.004181</v>
      </c>
      <c r="T6307">
        <v>-0.18163190000000001</v>
      </c>
      <c r="U6307">
        <v>0.1377563</v>
      </c>
      <c r="V6307">
        <v>-0.1993858</v>
      </c>
      <c r="W6307">
        <v>-9.1986830000000006E-2</v>
      </c>
      <c r="X6307">
        <v>0.97559399999999996</v>
      </c>
      <c r="Y6307">
        <v>-0.28025450000000002</v>
      </c>
      <c r="Z6307">
        <v>2.1856270000000001E-2</v>
      </c>
      <c r="AA6307">
        <v>0.95967690000000005</v>
      </c>
      <c r="AB6307">
        <v>18</v>
      </c>
      <c r="AC6307">
        <v>18.466799999999999</v>
      </c>
      <c r="AD6307">
        <v>-1.1216675217830001</v>
      </c>
      <c r="AE6307">
        <v>0.87002999999999897</v>
      </c>
      <c r="AF6307">
        <v>-5.2008571318007499</v>
      </c>
      <c r="AG6307">
        <v>-1.1216675217830001</v>
      </c>
      <c r="AH6307">
        <v>17.669982731534301</v>
      </c>
      <c r="AI6307">
        <v>93.484764770367207</v>
      </c>
      <c r="AJ6307">
        <v>106.400890440523</v>
      </c>
      <c r="AK6307">
        <v>18.4535997211261</v>
      </c>
      <c r="AL6307">
        <v>95.2779184978139</v>
      </c>
      <c r="AM6307">
        <v>101.550687368808</v>
      </c>
      <c r="AN6307">
        <v>0.99999996348554299</v>
      </c>
    </row>
    <row r="6308" spans="1:40" x14ac:dyDescent="0.25">
      <c r="A6308" t="str">
        <f>"20190303154936408"</f>
        <v>20190303154936408</v>
      </c>
      <c r="B6308" t="str">
        <f>"1551599376397165"</f>
        <v>1551599376397165</v>
      </c>
      <c r="C6308" t="s">
        <v>40</v>
      </c>
      <c r="D6308">
        <v>5.2464690000000003</v>
      </c>
      <c r="E6308">
        <v>0.46835260000000001</v>
      </c>
      <c r="F6308" t="s">
        <v>67</v>
      </c>
      <c r="G6308">
        <v>-384.81299999999999</v>
      </c>
      <c r="H6308" s="1">
        <v>-2.6300229999999998E-6</v>
      </c>
      <c r="I6308">
        <v>20.283950000000001</v>
      </c>
      <c r="J6308">
        <v>-403.42579999999998</v>
      </c>
      <c r="K6308">
        <v>1.1216649999999999</v>
      </c>
      <c r="L6308">
        <v>19.400939999999999</v>
      </c>
      <c r="M6308">
        <v>0.97183719999999996</v>
      </c>
      <c r="N6308">
        <v>-8.3950350000000003E-3</v>
      </c>
      <c r="O6308">
        <v>-0.2355042</v>
      </c>
      <c r="P6308">
        <v>0.99438510000000002</v>
      </c>
      <c r="Q6308">
        <v>-9.9603940000000002E-2</v>
      </c>
      <c r="R6308">
        <v>-3.5743270000000001E-2</v>
      </c>
      <c r="S6308">
        <v>3.004181</v>
      </c>
      <c r="T6308">
        <v>-0.18020320000000001</v>
      </c>
      <c r="U6308">
        <v>0.13873289999999999</v>
      </c>
      <c r="V6308">
        <v>-0.1991444</v>
      </c>
      <c r="W6308">
        <v>-9.2084730000000004E-2</v>
      </c>
      <c r="X6308">
        <v>0.97563409999999995</v>
      </c>
      <c r="Y6308">
        <v>-0.27921600000000002</v>
      </c>
      <c r="Z6308">
        <v>2.1575049999999998E-2</v>
      </c>
      <c r="AA6308">
        <v>0.95998589999999995</v>
      </c>
      <c r="AB6308">
        <v>18</v>
      </c>
      <c r="AC6308">
        <v>18.612799999999901</v>
      </c>
      <c r="AD6308">
        <v>-1.121667630023</v>
      </c>
      <c r="AE6308">
        <v>0.88301000000000196</v>
      </c>
      <c r="AF6308">
        <v>-5.2227937937858</v>
      </c>
      <c r="AG6308">
        <v>-1.121667630023</v>
      </c>
      <c r="AH6308">
        <v>17.816727807532999</v>
      </c>
      <c r="AI6308">
        <v>93.457245564438793</v>
      </c>
      <c r="AJ6308">
        <v>106.33796612917</v>
      </c>
      <c r="AK6308">
        <v>18.600309219267501</v>
      </c>
      <c r="AL6308">
        <v>95.283551505617197</v>
      </c>
      <c r="AM6308">
        <v>101.53661644117101</v>
      </c>
      <c r="AN6308">
        <v>0.999999993316671</v>
      </c>
    </row>
    <row r="6309" spans="1:40" x14ac:dyDescent="0.25">
      <c r="A6309" t="str">
        <f>"20190303154936433"</f>
        <v>20190303154936433</v>
      </c>
      <c r="B6309" t="str">
        <f>"1551599376427420"</f>
        <v>1551599376427420</v>
      </c>
      <c r="C6309" t="s">
        <v>40</v>
      </c>
      <c r="D6309">
        <v>5.2140209999999998</v>
      </c>
      <c r="E6309">
        <v>0.46906300000000001</v>
      </c>
      <c r="F6309" t="s">
        <v>67</v>
      </c>
      <c r="G6309">
        <v>-384.54880000000003</v>
      </c>
      <c r="H6309" s="1">
        <v>-2.754231E-6</v>
      </c>
      <c r="I6309">
        <v>20.28152</v>
      </c>
      <c r="J6309">
        <v>-403.24239999999998</v>
      </c>
      <c r="K6309">
        <v>1.121667</v>
      </c>
      <c r="L6309">
        <v>19.36017</v>
      </c>
      <c r="M6309">
        <v>0.9725433</v>
      </c>
      <c r="N6309">
        <v>-8.3593109999999995E-3</v>
      </c>
      <c r="O6309">
        <v>-0.23257220000000001</v>
      </c>
      <c r="P6309">
        <v>0.99444219999999905</v>
      </c>
      <c r="Q6309">
        <v>-9.9900199999999995E-2</v>
      </c>
      <c r="R6309">
        <v>-3.3234699999999999E-2</v>
      </c>
      <c r="S6309">
        <v>3.004089</v>
      </c>
      <c r="T6309">
        <v>-0.17850289999999999</v>
      </c>
      <c r="U6309">
        <v>0.1401367</v>
      </c>
      <c r="V6309">
        <v>-0.19865350000000001</v>
      </c>
      <c r="W6309">
        <v>-9.2418509999999995E-2</v>
      </c>
      <c r="X6309">
        <v>0.97570259999999998</v>
      </c>
      <c r="Y6309">
        <v>-0.27679389999999998</v>
      </c>
      <c r="Z6309">
        <v>2.1140530000000001E-2</v>
      </c>
      <c r="AA6309">
        <v>0.96069680000000002</v>
      </c>
      <c r="AB6309">
        <v>18</v>
      </c>
      <c r="AC6309">
        <v>18.693599999999901</v>
      </c>
      <c r="AD6309">
        <v>-1.1216697542309999</v>
      </c>
      <c r="AE6309">
        <v>0.92135</v>
      </c>
      <c r="AF6309">
        <v>-5.2250806964030501</v>
      </c>
      <c r="AG6309">
        <v>-1.1216697542309999</v>
      </c>
      <c r="AH6309">
        <v>17.902382637823901</v>
      </c>
      <c r="AI6309">
        <v>93.441929775025699</v>
      </c>
      <c r="AJ6309">
        <v>106.27068217433199</v>
      </c>
      <c r="AK6309">
        <v>18.683011412310901</v>
      </c>
      <c r="AL6309">
        <v>95.302757668044094</v>
      </c>
      <c r="AM6309">
        <v>101.50815142597</v>
      </c>
      <c r="AN6309">
        <v>0.99999997884981395</v>
      </c>
    </row>
    <row r="6310" spans="1:40" x14ac:dyDescent="0.25">
      <c r="A6310" t="str">
        <f>"20190303154936444"</f>
        <v>20190303154936444</v>
      </c>
      <c r="B6310" t="str">
        <f>"1551599376437180"</f>
        <v>1551599376437180</v>
      </c>
      <c r="C6310" t="s">
        <v>40</v>
      </c>
      <c r="D6310">
        <v>5.217276</v>
      </c>
      <c r="E6310">
        <v>0.4692769</v>
      </c>
      <c r="F6310" t="s">
        <v>67</v>
      </c>
      <c r="G6310">
        <v>-383.87860000000001</v>
      </c>
      <c r="H6310" s="1">
        <v>-3.0691349999999999E-6</v>
      </c>
      <c r="I6310">
        <v>20.27431</v>
      </c>
      <c r="J6310">
        <v>-403.14240000000001</v>
      </c>
      <c r="K6310">
        <v>1.121667</v>
      </c>
      <c r="L6310">
        <v>19.33813</v>
      </c>
      <c r="M6310">
        <v>0.97292469999999998</v>
      </c>
      <c r="N6310">
        <v>-8.3423890000000004E-3</v>
      </c>
      <c r="O6310">
        <v>-0.2309718</v>
      </c>
      <c r="P6310">
        <v>0.99447660000000004</v>
      </c>
      <c r="Q6310">
        <v>-0.1000137</v>
      </c>
      <c r="R6310">
        <v>-3.1834130000000002E-2</v>
      </c>
      <c r="S6310">
        <v>3.0039980000000002</v>
      </c>
      <c r="T6310">
        <v>-0.17400979999999999</v>
      </c>
      <c r="U6310">
        <v>0.1418152</v>
      </c>
      <c r="V6310">
        <v>-0.19841839999999999</v>
      </c>
      <c r="W6310">
        <v>-9.2550090000000002E-2</v>
      </c>
      <c r="X6310">
        <v>0.97573799999999999</v>
      </c>
      <c r="Y6310">
        <v>-0.27579690000000001</v>
      </c>
      <c r="Z6310">
        <v>2.0481200000000001E-2</v>
      </c>
      <c r="AA6310">
        <v>0.96099769999999896</v>
      </c>
      <c r="AB6310">
        <v>18</v>
      </c>
      <c r="AC6310">
        <v>19.2638</v>
      </c>
      <c r="AD6310">
        <v>-1.1216700691349999</v>
      </c>
      <c r="AE6310">
        <v>0.93618000000000001</v>
      </c>
      <c r="AF6310">
        <v>-5.3423438192413704</v>
      </c>
      <c r="AG6310">
        <v>-1.1216700691349999</v>
      </c>
      <c r="AH6310">
        <v>18.464187165255201</v>
      </c>
      <c r="AI6310">
        <v>93.339702536821093</v>
      </c>
      <c r="AJ6310">
        <v>106.137030399057</v>
      </c>
      <c r="AK6310">
        <v>19.254220028361399</v>
      </c>
      <c r="AL6310">
        <v>95.310328917038106</v>
      </c>
      <c r="AM6310">
        <v>101.49448869453801</v>
      </c>
      <c r="AN6310">
        <v>1.00000001263078</v>
      </c>
    </row>
    <row r="6311" spans="1:40" x14ac:dyDescent="0.25">
      <c r="A6311" t="str">
        <f>"20190303154936456"</f>
        <v>20190303154936456</v>
      </c>
      <c r="B6311" t="str">
        <f>"1551599376446940"</f>
        <v>1551599376446940</v>
      </c>
      <c r="C6311" t="s">
        <v>40</v>
      </c>
      <c r="D6311">
        <v>5.2132459999999998</v>
      </c>
      <c r="E6311">
        <v>0.4694778</v>
      </c>
      <c r="F6311" t="s">
        <v>67</v>
      </c>
      <c r="G6311">
        <v>-383.67520000000002</v>
      </c>
      <c r="H6311" s="1">
        <v>-3.164941E-6</v>
      </c>
      <c r="I6311">
        <v>20.273019999999999</v>
      </c>
      <c r="J6311">
        <v>-403.048</v>
      </c>
      <c r="K6311">
        <v>1.121667</v>
      </c>
      <c r="L6311">
        <v>19.317540000000001</v>
      </c>
      <c r="M6311">
        <v>0.97328210000000004</v>
      </c>
      <c r="N6311">
        <v>-8.3280209999999997E-3</v>
      </c>
      <c r="O6311">
        <v>-0.22946240000000001</v>
      </c>
      <c r="P6311">
        <v>0.99448650000000005</v>
      </c>
      <c r="Q6311">
        <v>-0.1003218</v>
      </c>
      <c r="R6311">
        <v>-3.053867E-2</v>
      </c>
      <c r="S6311">
        <v>3.003876</v>
      </c>
      <c r="T6311">
        <v>-0.17307910000000001</v>
      </c>
      <c r="U6311">
        <v>0.14425660000000001</v>
      </c>
      <c r="V6311">
        <v>-0.19816629999999999</v>
      </c>
      <c r="W6311">
        <v>-9.2873689999999995E-2</v>
      </c>
      <c r="X6311">
        <v>0.97575849999999997</v>
      </c>
      <c r="Y6311">
        <v>-0.27509909999999999</v>
      </c>
      <c r="Z6311">
        <v>2.0274360000000002E-2</v>
      </c>
      <c r="AA6311">
        <v>0.96120209999999995</v>
      </c>
      <c r="AB6311">
        <v>18</v>
      </c>
      <c r="AC6311">
        <v>19.372799999999899</v>
      </c>
      <c r="AD6311">
        <v>-1.1216701649409999</v>
      </c>
      <c r="AE6311">
        <v>0.955480000000001</v>
      </c>
      <c r="AF6311">
        <v>-5.3575494743396801</v>
      </c>
      <c r="AG6311">
        <v>-1.1216701649409999</v>
      </c>
      <c r="AH6311">
        <v>18.574478833497999</v>
      </c>
      <c r="AI6311">
        <v>93.320711252285903</v>
      </c>
      <c r="AJ6311">
        <v>106.089468622724</v>
      </c>
      <c r="AK6311">
        <v>19.364212978197202</v>
      </c>
      <c r="AL6311">
        <v>95.328949953040706</v>
      </c>
      <c r="AM6311">
        <v>101.48003760608999</v>
      </c>
      <c r="AN6311">
        <v>1.0000000275360701</v>
      </c>
    </row>
    <row r="6312" spans="1:40" x14ac:dyDescent="0.25">
      <c r="A6312" t="str">
        <f>"20190303154936476"</f>
        <v>20190303154936476</v>
      </c>
      <c r="B6312" t="str">
        <f>"1551599376467436"</f>
        <v>1551599376467436</v>
      </c>
      <c r="C6312" t="s">
        <v>40</v>
      </c>
      <c r="D6312">
        <v>5.2349500000000004</v>
      </c>
      <c r="E6312">
        <v>0.46986309999999898</v>
      </c>
      <c r="F6312" t="s">
        <v>67</v>
      </c>
      <c r="G6312">
        <v>-383.52539999999999</v>
      </c>
      <c r="H6312" s="1">
        <v>-3.2349429999999999E-6</v>
      </c>
      <c r="I6312">
        <v>20.26999</v>
      </c>
      <c r="J6312">
        <v>-402.89830000000001</v>
      </c>
      <c r="K6312">
        <v>1.1216649999999999</v>
      </c>
      <c r="L6312">
        <v>19.285160000000001</v>
      </c>
      <c r="M6312">
        <v>0.97384349999999997</v>
      </c>
      <c r="N6312">
        <v>-8.3084730000000002E-3</v>
      </c>
      <c r="O6312">
        <v>-0.2270683</v>
      </c>
      <c r="P6312">
        <v>0.99448780000000003</v>
      </c>
      <c r="Q6312">
        <v>-0.10080160000000001</v>
      </c>
      <c r="R6312">
        <v>-2.8867469999999999E-2</v>
      </c>
      <c r="S6312">
        <v>3.0037539999999998</v>
      </c>
      <c r="T6312">
        <v>-0.1725806</v>
      </c>
      <c r="U6312">
        <v>0.14654539999999999</v>
      </c>
      <c r="V6312">
        <v>-0.1973925</v>
      </c>
      <c r="W6312">
        <v>-9.3373100000000001E-2</v>
      </c>
      <c r="X6312">
        <v>0.97586759999999995</v>
      </c>
      <c r="Y6312">
        <v>-0.2734779</v>
      </c>
      <c r="Z6312">
        <v>2.004852E-2</v>
      </c>
      <c r="AA6312">
        <v>0.96166929999999995</v>
      </c>
      <c r="AB6312">
        <v>18</v>
      </c>
      <c r="AC6312">
        <v>19.372900000000001</v>
      </c>
      <c r="AD6312">
        <v>-1.1216682349429901</v>
      </c>
      <c r="AE6312">
        <v>0.98482999999999798</v>
      </c>
      <c r="AF6312">
        <v>-5.3403699145177503</v>
      </c>
      <c r="AG6312">
        <v>-1.1216682349429901</v>
      </c>
      <c r="AH6312">
        <v>18.581062367406101</v>
      </c>
      <c r="AI6312">
        <v>93.320435934671593</v>
      </c>
      <c r="AJ6312">
        <v>106.035142602672</v>
      </c>
      <c r="AK6312">
        <v>19.3657834634854</v>
      </c>
      <c r="AL6312">
        <v>95.357689317059297</v>
      </c>
      <c r="AM6312">
        <v>101.435148876992</v>
      </c>
      <c r="AN6312">
        <v>0.99999995379480799</v>
      </c>
    </row>
    <row r="6313" spans="1:40" x14ac:dyDescent="0.25">
      <c r="A6313" t="str">
        <f>"20190303154936487"</f>
        <v>20190303154936487</v>
      </c>
      <c r="B6313" t="str">
        <f>"1551599376477195"</f>
        <v>1551599376477195</v>
      </c>
      <c r="C6313" t="s">
        <v>40</v>
      </c>
      <c r="D6313">
        <v>5.2517319999999996</v>
      </c>
      <c r="E6313">
        <v>0.47006399999999998</v>
      </c>
      <c r="F6313" t="s">
        <v>67</v>
      </c>
      <c r="G6313">
        <v>-383.20740000000001</v>
      </c>
      <c r="H6313" s="1">
        <v>-3.3820419999999999E-6</v>
      </c>
      <c r="I6313">
        <v>20.25787</v>
      </c>
      <c r="J6313">
        <v>-402.80680000000001</v>
      </c>
      <c r="K6313">
        <v>1.121658</v>
      </c>
      <c r="L6313">
        <v>19.265560000000001</v>
      </c>
      <c r="M6313">
        <v>0.97418349999999998</v>
      </c>
      <c r="N6313">
        <v>-8.2982590000000005E-3</v>
      </c>
      <c r="O6313">
        <v>-0.225605</v>
      </c>
      <c r="P6313">
        <v>0.99450110000000003</v>
      </c>
      <c r="Q6313">
        <v>-0.1009808</v>
      </c>
      <c r="R6313">
        <v>-2.7758100000000001E-2</v>
      </c>
      <c r="S6313">
        <v>3.0036010000000002</v>
      </c>
      <c r="T6313">
        <v>-0.171097</v>
      </c>
      <c r="U6313">
        <v>0.14837649999999999</v>
      </c>
      <c r="V6313">
        <v>-0.19700970000000001</v>
      </c>
      <c r="W6313">
        <v>-9.3562870000000006E-2</v>
      </c>
      <c r="X6313">
        <v>0.97592679999999998</v>
      </c>
      <c r="Y6313">
        <v>-0.27263700000000002</v>
      </c>
      <c r="Z6313">
        <v>1.9775029999999999E-2</v>
      </c>
      <c r="AA6313">
        <v>0.96191369999999998</v>
      </c>
      <c r="AB6313">
        <v>18</v>
      </c>
      <c r="AC6313">
        <v>19.599399999999999</v>
      </c>
      <c r="AD6313">
        <v>-1.1216613820420001</v>
      </c>
      <c r="AE6313">
        <v>0.99230999999999903</v>
      </c>
      <c r="AF6313">
        <v>-5.3710539807094699</v>
      </c>
      <c r="AG6313">
        <v>-1.1216613820420001</v>
      </c>
      <c r="AH6313">
        <v>18.808747083597002</v>
      </c>
      <c r="AI6313">
        <v>93.281911175567302</v>
      </c>
      <c r="AJ6313">
        <v>105.937302135501</v>
      </c>
      <c r="AK6313">
        <v>19.592736204378799</v>
      </c>
      <c r="AL6313">
        <v>95.368610027728494</v>
      </c>
      <c r="AM6313">
        <v>101.412881268623</v>
      </c>
      <c r="AN6313">
        <v>0.99999997574748301</v>
      </c>
    </row>
    <row r="6314" spans="1:40" x14ac:dyDescent="0.25">
      <c r="A6314" t="str">
        <f>"20190303154936499"</f>
        <v>20190303154936499</v>
      </c>
      <c r="B6314" t="str">
        <f>"1551599376486956"</f>
        <v>1551599376486956</v>
      </c>
      <c r="C6314" t="s">
        <v>40</v>
      </c>
      <c r="D6314">
        <v>5.2023169999999999</v>
      </c>
      <c r="E6314">
        <v>0.47024969999999999</v>
      </c>
      <c r="F6314" t="s">
        <v>67</v>
      </c>
      <c r="G6314">
        <v>-383.0213</v>
      </c>
      <c r="H6314" s="1">
        <v>-3.4689969999999999E-6</v>
      </c>
      <c r="I6314">
        <v>20.25404</v>
      </c>
      <c r="J6314">
        <v>-402.70839999999998</v>
      </c>
      <c r="K6314">
        <v>1.1216569999999999</v>
      </c>
      <c r="L6314">
        <v>19.24466</v>
      </c>
      <c r="M6314">
        <v>0.97454629999999998</v>
      </c>
      <c r="N6314">
        <v>-8.2881840000000005E-3</v>
      </c>
      <c r="O6314">
        <v>-0.22403339999999999</v>
      </c>
      <c r="P6314">
        <v>0.99447470000000004</v>
      </c>
      <c r="Q6314">
        <v>-0.1015254</v>
      </c>
      <c r="R6314">
        <v>-2.6695440000000001E-2</v>
      </c>
      <c r="S6314">
        <v>3.0035099999999999</v>
      </c>
      <c r="T6314">
        <v>-0.1702726</v>
      </c>
      <c r="U6314">
        <v>0.15005489999999999</v>
      </c>
      <c r="V6314">
        <v>-0.19646279999999999</v>
      </c>
      <c r="W6314">
        <v>-9.4117640000000002E-2</v>
      </c>
      <c r="X6314">
        <v>0.97598370000000001</v>
      </c>
      <c r="Y6314">
        <v>-0.27163409999999999</v>
      </c>
      <c r="Z6314">
        <v>1.9571020000000001E-2</v>
      </c>
      <c r="AA6314">
        <v>0.96220159999999999</v>
      </c>
      <c r="AB6314">
        <v>18</v>
      </c>
      <c r="AC6314">
        <v>19.687099999999901</v>
      </c>
      <c r="AD6314">
        <v>-1.121660468997</v>
      </c>
      <c r="AE6314">
        <v>1.0093799999999999</v>
      </c>
      <c r="AF6314">
        <v>-5.3770318592181399</v>
      </c>
      <c r="AG6314">
        <v>-1.121660468997</v>
      </c>
      <c r="AH6314">
        <v>18.899317596238699</v>
      </c>
      <c r="AI6314">
        <v>93.267119000137299</v>
      </c>
      <c r="AJ6314">
        <v>105.881546290644</v>
      </c>
      <c r="AK6314">
        <v>19.6813312412106</v>
      </c>
      <c r="AL6314">
        <v>95.400536911906798</v>
      </c>
      <c r="AM6314">
        <v>101.381380866805</v>
      </c>
      <c r="AN6314">
        <v>0.99999997230434901</v>
      </c>
    </row>
    <row r="6315" spans="1:40" x14ac:dyDescent="0.25">
      <c r="A6315" t="str">
        <f>"20190303154936511"</f>
        <v>20190303154936511</v>
      </c>
      <c r="B6315" t="str">
        <f>"1551599376507452"</f>
        <v>1551599376507452</v>
      </c>
      <c r="C6315" t="s">
        <v>40</v>
      </c>
      <c r="D6315">
        <v>5.2237309999999999</v>
      </c>
      <c r="E6315">
        <v>0.4706458</v>
      </c>
      <c r="F6315" t="s">
        <v>67</v>
      </c>
      <c r="G6315">
        <v>-382.99200000000002</v>
      </c>
      <c r="H6315" s="1">
        <v>-3.479359E-6</v>
      </c>
      <c r="I6315">
        <v>20.24098</v>
      </c>
      <c r="J6315">
        <v>-402.6182</v>
      </c>
      <c r="K6315">
        <v>1.1216569999999999</v>
      </c>
      <c r="L6315">
        <v>19.225650000000002</v>
      </c>
      <c r="M6315">
        <v>0.97487699999999999</v>
      </c>
      <c r="N6315">
        <v>-8.2807369999999998E-3</v>
      </c>
      <c r="O6315">
        <v>-0.2225898</v>
      </c>
      <c r="P6315">
        <v>0.99445340000000004</v>
      </c>
      <c r="Q6315">
        <v>-0.1020523</v>
      </c>
      <c r="R6315">
        <v>-2.5452780000000001E-2</v>
      </c>
      <c r="S6315">
        <v>3.0032960000000002</v>
      </c>
      <c r="T6315">
        <v>-0.1708566</v>
      </c>
      <c r="U6315">
        <v>0.15176389999999901</v>
      </c>
      <c r="V6315">
        <v>-0.19622239999999999</v>
      </c>
      <c r="W6315">
        <v>-9.4653409999999993E-2</v>
      </c>
      <c r="X6315">
        <v>0.97598030000000002</v>
      </c>
      <c r="Y6315">
        <v>-0.2707562</v>
      </c>
      <c r="Z6315">
        <v>1.95456E-2</v>
      </c>
      <c r="AA6315">
        <v>0.96244949999999996</v>
      </c>
      <c r="AB6315">
        <v>18</v>
      </c>
      <c r="AC6315">
        <v>19.626200000000001</v>
      </c>
      <c r="AD6315">
        <v>-1.1216604793589999</v>
      </c>
      <c r="AE6315">
        <v>1.0153299999999901</v>
      </c>
      <c r="AF6315">
        <v>-5.3411984800935004</v>
      </c>
      <c r="AG6315">
        <v>-1.1216604793589999</v>
      </c>
      <c r="AH6315">
        <v>18.8463847393623</v>
      </c>
      <c r="AI6315">
        <v>93.277222262950403</v>
      </c>
      <c r="AJ6315">
        <v>105.823104157689</v>
      </c>
      <c r="AK6315">
        <v>19.620722238969101</v>
      </c>
      <c r="AL6315">
        <v>95.431371657565904</v>
      </c>
      <c r="AM6315">
        <v>101.36785553842</v>
      </c>
      <c r="AN6315">
        <v>1.00000002213723</v>
      </c>
    </row>
    <row r="6316" spans="1:40" x14ac:dyDescent="0.25">
      <c r="A6316" t="str">
        <f>"20190303154936525"</f>
        <v>20190303154936525</v>
      </c>
      <c r="B6316" t="str">
        <f>"1551599376517211"</f>
        <v>1551599376517211</v>
      </c>
      <c r="C6316" t="s">
        <v>40</v>
      </c>
      <c r="D6316">
        <v>5.259404</v>
      </c>
      <c r="E6316">
        <v>0.47082550000000001</v>
      </c>
      <c r="F6316" t="s">
        <v>67</v>
      </c>
      <c r="G6316">
        <v>-382.82209999999998</v>
      </c>
      <c r="H6316" s="1">
        <v>-3.5566489999999998E-6</v>
      </c>
      <c r="I6316">
        <v>20.22946</v>
      </c>
      <c r="J6316">
        <v>-402.5111</v>
      </c>
      <c r="K6316">
        <v>1.1216630000000001</v>
      </c>
      <c r="L6316">
        <v>19.203220000000002</v>
      </c>
      <c r="M6316">
        <v>0.97526630000000003</v>
      </c>
      <c r="N6316">
        <v>-8.2732359999999998E-3</v>
      </c>
      <c r="O6316">
        <v>-0.22087899999999999</v>
      </c>
      <c r="P6316">
        <v>0.99444339999999998</v>
      </c>
      <c r="Q6316">
        <v>-0.10243919999999999</v>
      </c>
      <c r="R6316">
        <v>-2.426563E-2</v>
      </c>
      <c r="S6316">
        <v>3.0031430000000001</v>
      </c>
      <c r="T6316">
        <v>-0.1701599</v>
      </c>
      <c r="U6316">
        <v>0.15228269999999999</v>
      </c>
      <c r="V6316">
        <v>-0.19566349999999999</v>
      </c>
      <c r="W6316">
        <v>-9.5047900000000005E-2</v>
      </c>
      <c r="X6316">
        <v>0.97605410000000004</v>
      </c>
      <c r="Y6316">
        <v>-0.2692464</v>
      </c>
      <c r="Z6316">
        <v>1.9334919999999998E-2</v>
      </c>
      <c r="AA6316">
        <v>0.96287719999999999</v>
      </c>
      <c r="AB6316">
        <v>18</v>
      </c>
      <c r="AC6316">
        <v>19.689</v>
      </c>
      <c r="AD6316">
        <v>-1.1216665566489901</v>
      </c>
      <c r="AE6316">
        <v>1.02623999999999</v>
      </c>
      <c r="AF6316">
        <v>-5.3326658973879697</v>
      </c>
      <c r="AG6316">
        <v>-1.1216665566489901</v>
      </c>
      <c r="AH6316">
        <v>18.9147682073421</v>
      </c>
      <c r="AI6316">
        <v>93.266676170875897</v>
      </c>
      <c r="AJ6316">
        <v>105.74480756761299</v>
      </c>
      <c r="AK6316">
        <v>19.684103174260901</v>
      </c>
      <c r="AL6316">
        <v>95.454076988909804</v>
      </c>
      <c r="AM6316">
        <v>101.33548112354001</v>
      </c>
      <c r="AN6316">
        <v>0.99999995732673397</v>
      </c>
    </row>
    <row r="6317" spans="1:40" x14ac:dyDescent="0.25">
      <c r="A6317" t="str">
        <f>"20190303154936545"</f>
        <v>20190303154936545</v>
      </c>
      <c r="B6317" t="str">
        <f>"1551599376537708"</f>
        <v>1551599376537708</v>
      </c>
      <c r="C6317" t="s">
        <v>40</v>
      </c>
      <c r="D6317">
        <v>5.2853760000000003</v>
      </c>
      <c r="E6317">
        <v>0.4711632</v>
      </c>
      <c r="F6317" t="s">
        <v>67</v>
      </c>
      <c r="G6317">
        <v>-382.75529999999998</v>
      </c>
      <c r="H6317" s="1">
        <v>-3.5854200000000001E-6</v>
      </c>
      <c r="I6317">
        <v>20.219110000000001</v>
      </c>
      <c r="J6317">
        <v>-402.3476</v>
      </c>
      <c r="K6317">
        <v>1.1216660000000001</v>
      </c>
      <c r="L6317">
        <v>19.1694</v>
      </c>
      <c r="M6317">
        <v>0.97585460000000002</v>
      </c>
      <c r="N6317">
        <v>-8.2675809999999995E-3</v>
      </c>
      <c r="O6317">
        <v>-0.21826470000000001</v>
      </c>
      <c r="P6317">
        <v>0.99446860000000004</v>
      </c>
      <c r="Q6317">
        <v>-0.102616</v>
      </c>
      <c r="R6317">
        <v>-2.2402729999999999E-2</v>
      </c>
      <c r="S6317">
        <v>3.0029599999999999</v>
      </c>
      <c r="T6317">
        <v>-0.17049790000000001</v>
      </c>
      <c r="U6317">
        <v>0.1544189</v>
      </c>
      <c r="V6317">
        <v>-0.19487019999999999</v>
      </c>
      <c r="W6317">
        <v>-9.5230659999999995E-2</v>
      </c>
      <c r="X6317">
        <v>0.97619500000000003</v>
      </c>
      <c r="Y6317">
        <v>-0.26735510000000001</v>
      </c>
      <c r="Z6317">
        <v>1.9191030000000001E-2</v>
      </c>
      <c r="AA6317">
        <v>0.96340700000000001</v>
      </c>
      <c r="AB6317">
        <v>18</v>
      </c>
      <c r="AC6317">
        <v>19.592300000000002</v>
      </c>
      <c r="AD6317">
        <v>-1.1216695854200001</v>
      </c>
      <c r="AE6317">
        <v>1.0497099999999999</v>
      </c>
      <c r="AF6317">
        <v>-5.2835848632358102</v>
      </c>
      <c r="AG6317">
        <v>-1.1216695854200001</v>
      </c>
      <c r="AH6317">
        <v>18.8292282968752</v>
      </c>
      <c r="AI6317">
        <v>93.282624674210794</v>
      </c>
      <c r="AJ6317">
        <v>105.674411384926</v>
      </c>
      <c r="AK6317">
        <v>19.5886255240565</v>
      </c>
      <c r="AL6317">
        <v>95.464595980027696</v>
      </c>
      <c r="AM6317">
        <v>101.289117534121</v>
      </c>
      <c r="AN6317">
        <v>0.99999997573853705</v>
      </c>
    </row>
    <row r="6318" spans="1:40" x14ac:dyDescent="0.25">
      <c r="A6318" t="str">
        <f>"20190303154936569"</f>
        <v>20190303154936569</v>
      </c>
      <c r="B6318" t="str">
        <f>"1551599376557228"</f>
        <v>1551599376557228</v>
      </c>
      <c r="C6318" t="s">
        <v>40</v>
      </c>
      <c r="D6318">
        <v>5.2869539999999997</v>
      </c>
      <c r="E6318">
        <v>0.47145350000000003</v>
      </c>
      <c r="F6318" t="s">
        <v>67</v>
      </c>
      <c r="G6318">
        <v>-382.44589999999999</v>
      </c>
      <c r="H6318" s="1">
        <v>-3.729714E-6</v>
      </c>
      <c r="I6318">
        <v>20.211680000000001</v>
      </c>
      <c r="J6318">
        <v>-402.15699999999998</v>
      </c>
      <c r="K6318">
        <v>1.1216699999999999</v>
      </c>
      <c r="L6318">
        <v>19.130549999999999</v>
      </c>
      <c r="M6318">
        <v>0.97653080000000003</v>
      </c>
      <c r="N6318">
        <v>-8.270754E-3</v>
      </c>
      <c r="O6318">
        <v>-0.21521899999999999</v>
      </c>
      <c r="P6318">
        <v>0.99454520000000002</v>
      </c>
      <c r="Q6318">
        <v>-0.10232140000000001</v>
      </c>
      <c r="R6318">
        <v>-2.0257850000000001E-2</v>
      </c>
      <c r="S6318">
        <v>3.0027469999999998</v>
      </c>
      <c r="T6318">
        <v>-0.1692362</v>
      </c>
      <c r="U6318">
        <v>0.15725710000000001</v>
      </c>
      <c r="V6318">
        <v>-0.19393589999999999</v>
      </c>
      <c r="W6318">
        <v>-9.4932840000000004E-2</v>
      </c>
      <c r="X6318">
        <v>0.97641009999999995</v>
      </c>
      <c r="Y6318">
        <v>-0.26527859999999998</v>
      </c>
      <c r="Z6318">
        <v>1.8834859999999998E-2</v>
      </c>
      <c r="AA6318">
        <v>0.96398779999999995</v>
      </c>
      <c r="AB6318">
        <v>18</v>
      </c>
      <c r="AC6318">
        <v>19.711099999999899</v>
      </c>
      <c r="AD6318">
        <v>-1.121673729714</v>
      </c>
      <c r="AE6318">
        <v>1.0811299999999899</v>
      </c>
      <c r="AF6318">
        <v>-5.2810908796048004</v>
      </c>
      <c r="AG6318">
        <v>-1.121673729714</v>
      </c>
      <c r="AH6318">
        <v>18.955268772811301</v>
      </c>
      <c r="AI6318">
        <v>93.262542486298997</v>
      </c>
      <c r="AJ6318">
        <v>105.568266105741</v>
      </c>
      <c r="AK6318">
        <v>19.709142220910799</v>
      </c>
      <c r="AL6318">
        <v>95.447454191745194</v>
      </c>
      <c r="AM6318">
        <v>101.23396009797401</v>
      </c>
      <c r="AN6318">
        <v>1.00000003040064</v>
      </c>
    </row>
    <row r="6319" spans="1:40" x14ac:dyDescent="0.25">
      <c r="A6319" t="str">
        <f>"20190303154936587"</f>
        <v>20190303154936587</v>
      </c>
      <c r="B6319" t="str">
        <f>"1551599376577724"</f>
        <v>1551599376577724</v>
      </c>
      <c r="C6319" t="s">
        <v>40</v>
      </c>
      <c r="D6319">
        <v>5.3209470000000003</v>
      </c>
      <c r="E6319">
        <v>0.47958889999999998</v>
      </c>
      <c r="F6319" t="s">
        <v>67</v>
      </c>
      <c r="G6319">
        <v>-382.0009</v>
      </c>
      <c r="H6319" s="1">
        <v>-3.9405489999999997E-6</v>
      </c>
      <c r="I6319">
        <v>20.213450000000002</v>
      </c>
      <c r="J6319">
        <v>-402.00580000000002</v>
      </c>
      <c r="K6319">
        <v>1.1216759999999999</v>
      </c>
      <c r="L6319">
        <v>19.10013</v>
      </c>
      <c r="M6319">
        <v>0.97706029999999999</v>
      </c>
      <c r="N6319">
        <v>-8.2828559999999999E-3</v>
      </c>
      <c r="O6319">
        <v>-0.21280250000000001</v>
      </c>
      <c r="P6319">
        <v>0.99459330000000001</v>
      </c>
      <c r="Q6319">
        <v>-0.10220509999999999</v>
      </c>
      <c r="R6319">
        <v>-1.840634E-2</v>
      </c>
      <c r="S6319">
        <v>3.0025940000000002</v>
      </c>
      <c r="T6319">
        <v>-0.16709209999999999</v>
      </c>
      <c r="U6319">
        <v>0.16131589999999901</v>
      </c>
      <c r="V6319">
        <v>-0.19333990000000001</v>
      </c>
      <c r="W6319">
        <v>-9.4805399999999998E-2</v>
      </c>
      <c r="X6319">
        <v>0.97654059999999998</v>
      </c>
      <c r="Y6319">
        <v>-0.26421869999999997</v>
      </c>
      <c r="Z6319">
        <v>1.844194E-2</v>
      </c>
      <c r="AA6319">
        <v>0.96428639999999999</v>
      </c>
      <c r="AB6319">
        <v>18</v>
      </c>
      <c r="AC6319">
        <v>20.004899999999999</v>
      </c>
      <c r="AD6319">
        <v>-1.1216799405490001</v>
      </c>
      <c r="AE6319">
        <v>1.1133200000000001</v>
      </c>
      <c r="AF6319">
        <v>-5.3283559945816403</v>
      </c>
      <c r="AG6319">
        <v>-1.1216799405490001</v>
      </c>
      <c r="AH6319">
        <v>19.249404580719499</v>
      </c>
      <c r="AI6319">
        <v>93.214302713094398</v>
      </c>
      <c r="AJ6319">
        <v>105.472422419748</v>
      </c>
      <c r="AK6319">
        <v>20.004727446437499</v>
      </c>
      <c r="AL6319">
        <v>95.440119708366495</v>
      </c>
      <c r="AM6319">
        <v>101.198851303032</v>
      </c>
      <c r="AN6319">
        <v>0.99999996212476405</v>
      </c>
    </row>
    <row r="6320" spans="1:40" x14ac:dyDescent="0.25">
      <c r="A6320" t="str">
        <f>"20190303154936599"</f>
        <v>20190303154936599</v>
      </c>
      <c r="B6320" t="str">
        <f>"1551599376587484"</f>
        <v>1551599376587484</v>
      </c>
      <c r="C6320" t="s">
        <v>40</v>
      </c>
      <c r="D6320">
        <v>5.3303940000000001</v>
      </c>
      <c r="E6320">
        <v>0.47985929999999999</v>
      </c>
      <c r="F6320" t="s">
        <v>65</v>
      </c>
      <c r="G6320">
        <v>-377.38650000000001</v>
      </c>
      <c r="H6320" s="1">
        <v>-1.298212E-6</v>
      </c>
      <c r="I6320">
        <v>19.925699999999999</v>
      </c>
      <c r="J6320">
        <v>-401.90679999999998</v>
      </c>
      <c r="K6320">
        <v>1.12168</v>
      </c>
      <c r="L6320">
        <v>19.080380000000002</v>
      </c>
      <c r="M6320">
        <v>0.97740320000000003</v>
      </c>
      <c r="N6320">
        <v>-8.2960940000000004E-3</v>
      </c>
      <c r="O6320">
        <v>-0.21122099999999999</v>
      </c>
      <c r="P6320">
        <v>0.99459330000000001</v>
      </c>
      <c r="Q6320">
        <v>-0.1024294</v>
      </c>
      <c r="R6320">
        <v>-1.7103549999999999E-2</v>
      </c>
      <c r="S6320">
        <v>3.0041199999999999</v>
      </c>
      <c r="T6320">
        <v>-0.13687050000000001</v>
      </c>
      <c r="U6320">
        <v>0.10073849999999999</v>
      </c>
      <c r="V6320">
        <v>-0.19303190000000001</v>
      </c>
      <c r="W6320">
        <v>-9.5017820000000003E-2</v>
      </c>
      <c r="X6320">
        <v>0.97658089999999997</v>
      </c>
      <c r="Y6320">
        <v>-0.24342549999999999</v>
      </c>
      <c r="Z6320">
        <v>1.43614E-2</v>
      </c>
      <c r="AA6320">
        <v>0.96981329999999999</v>
      </c>
      <c r="AB6320">
        <v>19</v>
      </c>
      <c r="AC6320">
        <v>24.520299999999899</v>
      </c>
      <c r="AD6320">
        <v>-1.1216812982119999</v>
      </c>
      <c r="AE6320">
        <v>0.84532000000000096</v>
      </c>
      <c r="AF6320">
        <v>-5.9931006681919801</v>
      </c>
      <c r="AG6320">
        <v>-1.1216812982119999</v>
      </c>
      <c r="AH6320">
        <v>23.738870060589701</v>
      </c>
      <c r="AI6320">
        <v>92.623080539577103</v>
      </c>
      <c r="AJ6320">
        <v>104.16879024635899</v>
      </c>
      <c r="AK6320">
        <v>24.509373233671301</v>
      </c>
      <c r="AL6320">
        <v>95.452345586469207</v>
      </c>
      <c r="AM6320">
        <v>101.181011057327</v>
      </c>
      <c r="AN6320">
        <v>0.99999997738998503</v>
      </c>
    </row>
    <row r="6321" spans="1:40" x14ac:dyDescent="0.25">
      <c r="A6321" t="str">
        <f>"20190303154936611"</f>
        <v>20190303154936611</v>
      </c>
      <c r="B6321" t="str">
        <f>"1551599376607004"</f>
        <v>1551599376607004</v>
      </c>
      <c r="C6321" t="s">
        <v>40</v>
      </c>
      <c r="D6321">
        <v>5.3135250000000003</v>
      </c>
      <c r="E6321">
        <v>0.48017989999999999</v>
      </c>
      <c r="F6321" t="s">
        <v>65</v>
      </c>
      <c r="G6321">
        <v>-376.74090000000001</v>
      </c>
      <c r="H6321" s="1">
        <v>-1.6066889999999999E-6</v>
      </c>
      <c r="I6321">
        <v>19.938040000000001</v>
      </c>
      <c r="J6321">
        <v>-401.81229999999999</v>
      </c>
      <c r="K6321">
        <v>1.1216870000000001</v>
      </c>
      <c r="L6321">
        <v>19.061769999999999</v>
      </c>
      <c r="M6321">
        <v>0.97772769999999998</v>
      </c>
      <c r="N6321">
        <v>-8.3174049999999999E-3</v>
      </c>
      <c r="O6321">
        <v>-0.2097127</v>
      </c>
      <c r="P6321">
        <v>0.99459649999999999</v>
      </c>
      <c r="Q6321">
        <v>-0.1025929</v>
      </c>
      <c r="R6321">
        <v>-1.5898829999999999E-2</v>
      </c>
      <c r="S6321">
        <v>3.0043030000000002</v>
      </c>
      <c r="T6321">
        <v>-0.1339062</v>
      </c>
      <c r="U6321">
        <v>0.10238650000000001</v>
      </c>
      <c r="V6321">
        <v>-0.19270319999999999</v>
      </c>
      <c r="W6321">
        <v>-9.5161209999999996E-2</v>
      </c>
      <c r="X6321">
        <v>0.9766319</v>
      </c>
      <c r="Y6321">
        <v>-0.24248</v>
      </c>
      <c r="Z6321">
        <v>1.395325E-2</v>
      </c>
      <c r="AA6321">
        <v>0.97005609999999998</v>
      </c>
      <c r="AB6321">
        <v>19</v>
      </c>
      <c r="AC6321">
        <v>25.071399999999901</v>
      </c>
      <c r="AD6321">
        <v>-1.1216886066889999</v>
      </c>
      <c r="AE6321">
        <v>0.87626999999999799</v>
      </c>
      <c r="AF6321">
        <v>-6.1025555356216303</v>
      </c>
      <c r="AG6321">
        <v>-1.1216886066889999</v>
      </c>
      <c r="AH6321">
        <v>24.2815345147662</v>
      </c>
      <c r="AI6321">
        <v>92.565241827328293</v>
      </c>
      <c r="AJ6321">
        <v>104.107669869517</v>
      </c>
      <c r="AK6321">
        <v>25.061769446459799</v>
      </c>
      <c r="AL6321">
        <v>95.460598371959094</v>
      </c>
      <c r="AM6321">
        <v>101.16188196784999</v>
      </c>
      <c r="AN6321">
        <v>1.00000002363825</v>
      </c>
    </row>
    <row r="6322" spans="1:40" x14ac:dyDescent="0.25">
      <c r="A6322" t="str">
        <f>"20190303154936625"</f>
        <v>20190303154936625</v>
      </c>
      <c r="B6322" t="str">
        <f>"1551599376617740"</f>
        <v>1551599376617740</v>
      </c>
      <c r="C6322" t="s">
        <v>40</v>
      </c>
      <c r="D6322">
        <v>5.3203800000000001</v>
      </c>
      <c r="E6322">
        <v>0.4803598</v>
      </c>
      <c r="F6322" t="s">
        <v>65</v>
      </c>
      <c r="G6322">
        <v>-375.7602</v>
      </c>
      <c r="H6322" s="1">
        <v>-2.0753030000000001E-6</v>
      </c>
      <c r="I6322">
        <v>19.956939999999999</v>
      </c>
      <c r="J6322">
        <v>-401.70429999999999</v>
      </c>
      <c r="K6322">
        <v>1.121707</v>
      </c>
      <c r="L6322">
        <v>19.040649999999999</v>
      </c>
      <c r="M6322">
        <v>0.97809539999999995</v>
      </c>
      <c r="N6322">
        <v>-8.3468320000000002E-3</v>
      </c>
      <c r="O6322">
        <v>-0.2079906</v>
      </c>
      <c r="P6322">
        <v>0.99458899999999995</v>
      </c>
      <c r="Q6322">
        <v>-0.1028849</v>
      </c>
      <c r="R6322">
        <v>-1.4415839999999999E-2</v>
      </c>
      <c r="S6322">
        <v>3.0046080000000002</v>
      </c>
      <c r="T6322">
        <v>-0.12936520000000001</v>
      </c>
      <c r="U6322">
        <v>0.103241</v>
      </c>
      <c r="V6322">
        <v>-0.19243150000000001</v>
      </c>
      <c r="W6322">
        <v>-9.5425919999999997E-2</v>
      </c>
      <c r="X6322">
        <v>0.97665959999999996</v>
      </c>
      <c r="Y6322">
        <v>-0.24107509999999999</v>
      </c>
      <c r="Z6322">
        <v>1.335677E-2</v>
      </c>
      <c r="AA6322">
        <v>0.97041449999999996</v>
      </c>
      <c r="AB6322">
        <v>19</v>
      </c>
      <c r="AC6322">
        <v>25.944099999999899</v>
      </c>
      <c r="AD6322">
        <v>-1.1217090753029999</v>
      </c>
      <c r="AE6322">
        <v>0.91628999999999905</v>
      </c>
      <c r="AF6322">
        <v>-6.2808397353414804</v>
      </c>
      <c r="AG6322">
        <v>-1.1217090753029999</v>
      </c>
      <c r="AH6322">
        <v>25.139163305590099</v>
      </c>
      <c r="AI6322">
        <v>92.478749097530994</v>
      </c>
      <c r="AJ6322">
        <v>104.02776776023001</v>
      </c>
      <c r="AK6322">
        <v>25.936166076268599</v>
      </c>
      <c r="AL6322">
        <v>95.475834706032899</v>
      </c>
      <c r="AM6322">
        <v>101.14623051490101</v>
      </c>
      <c r="AN6322">
        <v>0.999999981336128</v>
      </c>
    </row>
    <row r="6323" spans="1:40" x14ac:dyDescent="0.25">
      <c r="A6323" t="str">
        <f>"20190303154936638"</f>
        <v>20190303154936638</v>
      </c>
      <c r="B6323" t="str">
        <f>"1551599376627500"</f>
        <v>1551599376627500</v>
      </c>
      <c r="C6323" t="s">
        <v>40</v>
      </c>
      <c r="D6323">
        <v>5.33704</v>
      </c>
      <c r="E6323">
        <v>0.48044789999999998</v>
      </c>
      <c r="F6323" t="s">
        <v>65</v>
      </c>
      <c r="G6323">
        <v>-375.29199999999997</v>
      </c>
      <c r="H6323" s="1">
        <v>-2.3010530000000001E-6</v>
      </c>
      <c r="I6323">
        <v>19.973669999999998</v>
      </c>
      <c r="J6323">
        <v>-401.59129999999999</v>
      </c>
      <c r="K6323">
        <v>1.121718</v>
      </c>
      <c r="L6323">
        <v>19.018740000000001</v>
      </c>
      <c r="M6323">
        <v>0.97847649999999997</v>
      </c>
      <c r="N6323">
        <v>-8.3879130000000003E-3</v>
      </c>
      <c r="O6323">
        <v>-0.2061886</v>
      </c>
      <c r="P6323">
        <v>0.99458239999999998</v>
      </c>
      <c r="Q6323">
        <v>-0.10313170000000001</v>
      </c>
      <c r="R6323">
        <v>-1.303904E-2</v>
      </c>
      <c r="S6323">
        <v>3.0046689999999998</v>
      </c>
      <c r="T6323">
        <v>-0.12760579999999999</v>
      </c>
      <c r="U6323">
        <v>0.1061401</v>
      </c>
      <c r="V6323">
        <v>-0.19197729999999999</v>
      </c>
      <c r="W6323">
        <v>-9.5633090000000004E-2</v>
      </c>
      <c r="X6323">
        <v>0.97672870000000001</v>
      </c>
      <c r="Y6323">
        <v>-0.2402349</v>
      </c>
      <c r="Z6323">
        <v>1.3080059999999999E-2</v>
      </c>
      <c r="AA6323">
        <v>0.97062669999999995</v>
      </c>
      <c r="AB6323">
        <v>19</v>
      </c>
      <c r="AC6323">
        <v>26.299299999999999</v>
      </c>
      <c r="AD6323">
        <v>-1.1217203010529999</v>
      </c>
      <c r="AE6323">
        <v>0.95493000000000094</v>
      </c>
      <c r="AF6323">
        <v>-6.34568603812526</v>
      </c>
      <c r="AG6323">
        <v>-1.1217203010529999</v>
      </c>
      <c r="AH6323">
        <v>25.4909330759269</v>
      </c>
      <c r="AI6323">
        <v>92.445127301930796</v>
      </c>
      <c r="AJ6323">
        <v>103.97901144936699</v>
      </c>
      <c r="AK6323">
        <v>26.2928442130105</v>
      </c>
      <c r="AL6323">
        <v>95.487759312078495</v>
      </c>
      <c r="AM6323">
        <v>101.11981121122299</v>
      </c>
      <c r="AN6323">
        <v>0.99999996251096301</v>
      </c>
    </row>
    <row r="6324" spans="1:40" x14ac:dyDescent="0.25">
      <c r="A6324" t="str">
        <f>"20190303154936655"</f>
        <v>20190303154936655</v>
      </c>
      <c r="B6324" t="str">
        <f>"1551599376647019"</f>
        <v>1551599376647019</v>
      </c>
      <c r="C6324" t="s">
        <v>40</v>
      </c>
      <c r="D6324">
        <v>5.3365239999999998</v>
      </c>
      <c r="E6324">
        <v>0.48051300000000002</v>
      </c>
      <c r="F6324" t="s">
        <v>65</v>
      </c>
      <c r="G6324">
        <v>-374.60469999999998</v>
      </c>
      <c r="H6324" s="1">
        <v>-2.6334550000000001E-6</v>
      </c>
      <c r="I6324">
        <v>20.00187</v>
      </c>
      <c r="J6324">
        <v>-401.45240000000001</v>
      </c>
      <c r="K6324">
        <v>1.121729</v>
      </c>
      <c r="L6324">
        <v>18.992159999999998</v>
      </c>
      <c r="M6324">
        <v>0.97893960000000002</v>
      </c>
      <c r="N6324">
        <v>-8.456557E-3</v>
      </c>
      <c r="O6324">
        <v>-0.20397489999999999</v>
      </c>
      <c r="P6324">
        <v>0.99460040000000005</v>
      </c>
      <c r="Q6324">
        <v>-0.10314719999999999</v>
      </c>
      <c r="R6324">
        <v>-1.14295E-2</v>
      </c>
      <c r="S6324">
        <v>3.0048219999999999</v>
      </c>
      <c r="T6324">
        <v>-0.1248978</v>
      </c>
      <c r="U6324">
        <v>0.1094666</v>
      </c>
      <c r="V6324">
        <v>-0.19134760000000001</v>
      </c>
      <c r="W6324">
        <v>-9.5581200000000005E-2</v>
      </c>
      <c r="X6324">
        <v>0.97685739999999999</v>
      </c>
      <c r="Y6324">
        <v>-0.23912949999999999</v>
      </c>
      <c r="Z6324">
        <v>1.2681420000000001E-2</v>
      </c>
      <c r="AA6324">
        <v>0.97090489999999996</v>
      </c>
      <c r="AB6324">
        <v>19</v>
      </c>
      <c r="AC6324">
        <v>26.8477</v>
      </c>
      <c r="AD6324">
        <v>-1.121731633455</v>
      </c>
      <c r="AE6324">
        <v>1.0097099999999899</v>
      </c>
      <c r="AF6324">
        <v>-6.4536830205755802</v>
      </c>
      <c r="AG6324">
        <v>-1.121731633455</v>
      </c>
      <c r="AH6324">
        <v>26.031874431540199</v>
      </c>
      <c r="AI6324">
        <v>92.394974842790006</v>
      </c>
      <c r="AJ6324">
        <v>103.923734955266</v>
      </c>
      <c r="AK6324">
        <v>26.8433752126485</v>
      </c>
      <c r="AL6324">
        <v>95.484772208939404</v>
      </c>
      <c r="AM6324">
        <v>101.082817884492</v>
      </c>
      <c r="AN6324">
        <v>1.00000002487697</v>
      </c>
    </row>
    <row r="6325" spans="1:40" x14ac:dyDescent="0.25">
      <c r="A6325" t="str">
        <f>"20190303154936669"</f>
        <v>20190303154936669</v>
      </c>
      <c r="B6325" t="str">
        <f>"1551599376657757"</f>
        <v>1551599376657757</v>
      </c>
      <c r="C6325" t="s">
        <v>40</v>
      </c>
      <c r="D6325">
        <v>5.3897550000000001</v>
      </c>
      <c r="E6325">
        <v>0.48023690000000002</v>
      </c>
      <c r="F6325" t="s">
        <v>65</v>
      </c>
      <c r="G6325">
        <v>-374.75099999999998</v>
      </c>
      <c r="H6325" s="1">
        <v>-2.5649970000000001E-6</v>
      </c>
      <c r="I6325">
        <v>20.0046</v>
      </c>
      <c r="J6325">
        <v>-401.34230000000002</v>
      </c>
      <c r="K6325">
        <v>1.1217459999999999</v>
      </c>
      <c r="L6325">
        <v>18.97128</v>
      </c>
      <c r="M6325">
        <v>0.97930280000000003</v>
      </c>
      <c r="N6325">
        <v>-8.528463E-3</v>
      </c>
      <c r="O6325">
        <v>-0.2022215</v>
      </c>
      <c r="P6325">
        <v>0.99454520000000002</v>
      </c>
      <c r="Q6325">
        <v>-0.103836999999999</v>
      </c>
      <c r="R6325">
        <v>-9.8851489999999993E-3</v>
      </c>
      <c r="S6325">
        <v>3.004486</v>
      </c>
      <c r="T6325">
        <v>-0.12621940000000001</v>
      </c>
      <c r="U6325">
        <v>0.1139221</v>
      </c>
      <c r="V6325">
        <v>-0.19109760000000001</v>
      </c>
      <c r="W6325">
        <v>-9.6202259999999998E-2</v>
      </c>
      <c r="X6325">
        <v>0.97684530000000003</v>
      </c>
      <c r="Y6325">
        <v>-0.23882619999999999</v>
      </c>
      <c r="Z6325">
        <v>1.2753530000000001E-2</v>
      </c>
      <c r="AA6325">
        <v>0.97097860000000003</v>
      </c>
      <c r="AB6325">
        <v>19</v>
      </c>
      <c r="AC6325">
        <v>26.5913</v>
      </c>
      <c r="AD6325">
        <v>-1.12174856499699</v>
      </c>
      <c r="AE6325">
        <v>1.03331999999999</v>
      </c>
      <c r="AF6325">
        <v>-6.3781641434288803</v>
      </c>
      <c r="AG6325">
        <v>-1.12174856499699</v>
      </c>
      <c r="AH6325">
        <v>25.7870909595546</v>
      </c>
      <c r="AI6325">
        <v>92.418042819745196</v>
      </c>
      <c r="AJ6325">
        <v>103.892680995478</v>
      </c>
      <c r="AK6325">
        <v>26.587842293799199</v>
      </c>
      <c r="AL6325">
        <v>95.520521457765796</v>
      </c>
      <c r="AM6325">
        <v>101.068829461711</v>
      </c>
      <c r="AN6325">
        <v>0.99999995384347695</v>
      </c>
    </row>
    <row r="6326" spans="1:40" x14ac:dyDescent="0.25">
      <c r="A6326" t="str">
        <f>"20190303154936689"</f>
        <v>20190303154936689</v>
      </c>
      <c r="B6326" t="str">
        <f>"1551599376687037"</f>
        <v>1551599376687037</v>
      </c>
      <c r="C6326" t="s">
        <v>40</v>
      </c>
      <c r="D6326">
        <v>5.3277700000000001</v>
      </c>
      <c r="E6326">
        <v>0.48043150000000001</v>
      </c>
      <c r="F6326" t="s">
        <v>65</v>
      </c>
      <c r="G6326">
        <v>-375.24439999999998</v>
      </c>
      <c r="H6326" s="1">
        <v>-2.3362650000000001E-6</v>
      </c>
      <c r="I6326">
        <v>20.021380000000001</v>
      </c>
      <c r="J6326">
        <v>-401.17059999999998</v>
      </c>
      <c r="K6326">
        <v>1.1217820000000001</v>
      </c>
      <c r="L6326">
        <v>18.939209999999999</v>
      </c>
      <c r="M6326">
        <v>0.97986150000000005</v>
      </c>
      <c r="N6326">
        <v>-8.6782140000000001E-3</v>
      </c>
      <c r="O6326">
        <v>-0.19949030000000001</v>
      </c>
      <c r="P6326">
        <v>0.9944866</v>
      </c>
      <c r="Q6326">
        <v>-0.10456650000000001</v>
      </c>
      <c r="R6326">
        <v>-7.9118899999999995E-3</v>
      </c>
      <c r="S6326">
        <v>3.0042110000000002</v>
      </c>
      <c r="T6326">
        <v>-0.12912789999999999</v>
      </c>
      <c r="U6326">
        <v>0.1208801</v>
      </c>
      <c r="V6326">
        <v>-0.19029399999999999</v>
      </c>
      <c r="W6326">
        <v>-9.6784949999999995E-2</v>
      </c>
      <c r="X6326">
        <v>0.9769447</v>
      </c>
      <c r="Y6326">
        <v>-0.23835300000000001</v>
      </c>
      <c r="Z6326">
        <v>1.294855E-2</v>
      </c>
      <c r="AA6326">
        <v>0.97109230000000002</v>
      </c>
      <c r="AB6326">
        <v>19</v>
      </c>
      <c r="AC6326">
        <v>25.926199999999898</v>
      </c>
      <c r="AD6326">
        <v>-1.121784336265</v>
      </c>
      <c r="AE6326">
        <v>1.0821699999999901</v>
      </c>
      <c r="AF6326">
        <v>-6.2210096369462304</v>
      </c>
      <c r="AG6326">
        <v>-1.121784336265</v>
      </c>
      <c r="AH6326">
        <v>25.1421601133686</v>
      </c>
      <c r="AI6326">
        <v>92.480017186364293</v>
      </c>
      <c r="AJ6326">
        <v>103.897753946748</v>
      </c>
      <c r="AK6326">
        <v>25.924651900581601</v>
      </c>
      <c r="AL6326">
        <v>95.554063179173397</v>
      </c>
      <c r="AM6326">
        <v>101.02233138976899</v>
      </c>
      <c r="AN6326">
        <v>1.00000003992029</v>
      </c>
    </row>
    <row r="6327" spans="1:40" x14ac:dyDescent="0.25">
      <c r="A6327" t="str">
        <f>"20190303154936705"</f>
        <v>20190303154936705</v>
      </c>
      <c r="B6327" t="str">
        <f>"1551599376697772"</f>
        <v>1551599376697772</v>
      </c>
      <c r="C6327" t="s">
        <v>40</v>
      </c>
      <c r="D6327">
        <v>5.3835319999999998</v>
      </c>
      <c r="E6327">
        <v>0.4805005</v>
      </c>
      <c r="F6327" t="s">
        <v>65</v>
      </c>
      <c r="G6327">
        <v>-375.33100000000002</v>
      </c>
      <c r="H6327" s="1">
        <v>-2.293979E-6</v>
      </c>
      <c r="I6327">
        <v>20.016279999999998</v>
      </c>
      <c r="J6327">
        <v>-401.04680000000002</v>
      </c>
      <c r="K6327">
        <v>1.121812</v>
      </c>
      <c r="L6327">
        <v>18.916319999999999</v>
      </c>
      <c r="M6327">
        <v>0.98025879999999999</v>
      </c>
      <c r="N6327">
        <v>-8.8173339999999996E-3</v>
      </c>
      <c r="O6327">
        <v>-0.1975219</v>
      </c>
      <c r="P6327">
        <v>0.99447350000000001</v>
      </c>
      <c r="Q6327">
        <v>-0.1048014</v>
      </c>
      <c r="R6327">
        <v>-6.2677050000000002E-3</v>
      </c>
      <c r="S6327">
        <v>3.0039370000000001</v>
      </c>
      <c r="T6327">
        <v>-0.1304109</v>
      </c>
      <c r="U6327">
        <v>0.12521360000000001</v>
      </c>
      <c r="V6327">
        <v>-0.18994179999999999</v>
      </c>
      <c r="W6327">
        <v>-9.688418E-2</v>
      </c>
      <c r="X6327">
        <v>0.97700330000000002</v>
      </c>
      <c r="Y6327">
        <v>-0.23779910000000001</v>
      </c>
      <c r="Z6327">
        <v>1.2993009999999999E-2</v>
      </c>
      <c r="AA6327">
        <v>0.97122750000000002</v>
      </c>
      <c r="AB6327">
        <v>19</v>
      </c>
      <c r="AC6327">
        <v>25.715800000000002</v>
      </c>
      <c r="AD6327">
        <v>-1.1218142939789999</v>
      </c>
      <c r="AE6327">
        <v>1.0999599999999901</v>
      </c>
      <c r="AF6327">
        <v>-6.1462436203983097</v>
      </c>
      <c r="AG6327">
        <v>-1.1218142939789999</v>
      </c>
      <c r="AH6327">
        <v>24.944462106433701</v>
      </c>
      <c r="AI6327">
        <v>92.500316617104204</v>
      </c>
      <c r="AJ6327">
        <v>103.841792477469</v>
      </c>
      <c r="AK6327">
        <v>25.714994997681199</v>
      </c>
      <c r="AL6327">
        <v>95.559776041650807</v>
      </c>
      <c r="AM6327">
        <v>101.001785485555</v>
      </c>
      <c r="AN6327">
        <v>0.99999993996619896</v>
      </c>
    </row>
    <row r="6328" spans="1:40" x14ac:dyDescent="0.25">
      <c r="A6328" t="str">
        <f>"20190303154936724"</f>
        <v>20190303154936724</v>
      </c>
      <c r="B6328" t="str">
        <f>"1551599376717292"</f>
        <v>1551599376717292</v>
      </c>
      <c r="C6328" t="s">
        <v>40</v>
      </c>
      <c r="D6328">
        <v>5.4213809999999896</v>
      </c>
      <c r="E6328">
        <v>0.48067989999999999</v>
      </c>
      <c r="F6328" t="s">
        <v>65</v>
      </c>
      <c r="G6328">
        <v>-375.29629999999997</v>
      </c>
      <c r="H6328" s="1">
        <v>-2.313072E-6</v>
      </c>
      <c r="I6328">
        <v>20.026409999999998</v>
      </c>
      <c r="J6328">
        <v>-400.89170000000001</v>
      </c>
      <c r="K6328">
        <v>1.1218549999999901</v>
      </c>
      <c r="L6328">
        <v>18.888030000000001</v>
      </c>
      <c r="M6328">
        <v>0.9807498</v>
      </c>
      <c r="N6328">
        <v>-9.0311179999999994E-3</v>
      </c>
      <c r="O6328">
        <v>-0.19506039999999999</v>
      </c>
      <c r="P6328">
        <v>0.99444999999999995</v>
      </c>
      <c r="Q6328">
        <v>-0.1051078</v>
      </c>
      <c r="R6328">
        <v>-4.6395990000000003E-3</v>
      </c>
      <c r="S6328">
        <v>3.0036619999999998</v>
      </c>
      <c r="T6328">
        <v>-0.13085379999999999</v>
      </c>
      <c r="U6328">
        <v>0.12948609999999999</v>
      </c>
      <c r="V6328">
        <v>-0.1890819</v>
      </c>
      <c r="W6328">
        <v>-9.697944E-2</v>
      </c>
      <c r="X6328">
        <v>0.97716069999999999</v>
      </c>
      <c r="Y6328">
        <v>-0.23674400000000001</v>
      </c>
      <c r="Z6328">
        <v>1.291285E-2</v>
      </c>
      <c r="AA6328">
        <v>0.97148619999999997</v>
      </c>
      <c r="AB6328">
        <v>19</v>
      </c>
      <c r="AC6328">
        <v>25.595400000000001</v>
      </c>
      <c r="AD6328">
        <v>-1.12185731307199</v>
      </c>
      <c r="AE6328">
        <v>1.1383799999999999</v>
      </c>
      <c r="AF6328">
        <v>-6.09767202898015</v>
      </c>
      <c r="AG6328">
        <v>-1.12185731307199</v>
      </c>
      <c r="AH6328">
        <v>24.834027040985799</v>
      </c>
      <c r="AI6328">
        <v>92.512017764562799</v>
      </c>
      <c r="AJ6328">
        <v>103.79532163485</v>
      </c>
      <c r="AK6328">
        <v>25.596270569681</v>
      </c>
      <c r="AL6328">
        <v>95.565259497158195</v>
      </c>
      <c r="AM6328">
        <v>100.951464080262</v>
      </c>
      <c r="AN6328">
        <v>1.0000000051574001</v>
      </c>
    </row>
    <row r="6329" spans="1:40" x14ac:dyDescent="0.25">
      <c r="A6329" t="str">
        <f>"20190303154936745"</f>
        <v>20190303154936745</v>
      </c>
      <c r="B6329" t="str">
        <f>"1551599376736812"</f>
        <v>1551599376736812</v>
      </c>
      <c r="C6329" t="s">
        <v>40</v>
      </c>
      <c r="D6329">
        <v>5.3984269999999999</v>
      </c>
      <c r="E6329">
        <v>0.48088120000000001</v>
      </c>
      <c r="F6329" t="s">
        <v>65</v>
      </c>
      <c r="G6329">
        <v>-375.26400000000001</v>
      </c>
      <c r="H6329" s="1">
        <v>-2.3270820000000001E-6</v>
      </c>
      <c r="I6329">
        <v>20.02177</v>
      </c>
      <c r="J6329">
        <v>-400.71589999999998</v>
      </c>
      <c r="K6329">
        <v>1.121907</v>
      </c>
      <c r="L6329">
        <v>18.856539999999999</v>
      </c>
      <c r="M6329">
        <v>0.98129690000000003</v>
      </c>
      <c r="N6329">
        <v>-9.32646E-3</v>
      </c>
      <c r="O6329">
        <v>-0.19227469999999999</v>
      </c>
      <c r="P6329">
        <v>0.9943959</v>
      </c>
      <c r="Q6329">
        <v>-0.10568660000000001</v>
      </c>
      <c r="R6329">
        <v>-2.757823E-3</v>
      </c>
      <c r="S6329">
        <v>3.0035400000000001</v>
      </c>
      <c r="T6329">
        <v>-0.13148070000000001</v>
      </c>
      <c r="U6329">
        <v>0.13287349999999901</v>
      </c>
      <c r="V6329">
        <v>-0.18814410000000001</v>
      </c>
      <c r="W6329">
        <v>-9.7265809999999994E-2</v>
      </c>
      <c r="X6329">
        <v>0.97731319999999999</v>
      </c>
      <c r="Y6329">
        <v>-0.23508109999999999</v>
      </c>
      <c r="Z6329">
        <v>1.281763E-2</v>
      </c>
      <c r="AA6329">
        <v>0.97189119999999996</v>
      </c>
      <c r="AB6329">
        <v>19</v>
      </c>
      <c r="AC6329">
        <v>25.451899999999899</v>
      </c>
      <c r="AD6329">
        <v>-1.121909327082</v>
      </c>
      <c r="AE6329">
        <v>1.16523</v>
      </c>
      <c r="AF6329">
        <v>-6.0257715093673498</v>
      </c>
      <c r="AG6329">
        <v>-1.121909327082</v>
      </c>
      <c r="AH6329">
        <v>24.704999369826499</v>
      </c>
      <c r="AI6329">
        <v>92.526185524461297</v>
      </c>
      <c r="AJ6329">
        <v>103.70731541449</v>
      </c>
      <c r="AK6329">
        <v>25.453989798937702</v>
      </c>
      <c r="AL6329">
        <v>95.581745448979305</v>
      </c>
      <c r="AM6329">
        <v>100.89679144868001</v>
      </c>
      <c r="AN6329">
        <v>0.99999996552700199</v>
      </c>
    </row>
    <row r="6330" spans="1:40" x14ac:dyDescent="0.25">
      <c r="A6330" t="str">
        <f>"20190303154936759"</f>
        <v>20190303154936759</v>
      </c>
      <c r="B6330" t="str">
        <f>"1551599376747081"</f>
        <v>1551599376747081</v>
      </c>
      <c r="C6330" t="s">
        <v>40</v>
      </c>
      <c r="D6330">
        <v>5.4061709999999996</v>
      </c>
      <c r="E6330">
        <v>0.48103040000000002</v>
      </c>
      <c r="F6330" t="s">
        <v>65</v>
      </c>
      <c r="G6330">
        <v>-375.52809999999999</v>
      </c>
      <c r="H6330" s="1">
        <v>-2.1981889999999999E-6</v>
      </c>
      <c r="I6330">
        <v>20.00656</v>
      </c>
      <c r="J6330">
        <v>-400.59660000000002</v>
      </c>
      <c r="K6330">
        <v>1.121947</v>
      </c>
      <c r="L6330">
        <v>18.835419999999999</v>
      </c>
      <c r="M6330">
        <v>0.98166260000000005</v>
      </c>
      <c r="N6330">
        <v>-9.5508439999999993E-3</v>
      </c>
      <c r="O6330">
        <v>-0.19038769999999999</v>
      </c>
      <c r="P6330">
        <v>0.99434739999999999</v>
      </c>
      <c r="Q6330">
        <v>-0.1061705</v>
      </c>
      <c r="R6330">
        <v>-1.1249260000000001E-3</v>
      </c>
      <c r="S6330">
        <v>3.003082</v>
      </c>
      <c r="T6330">
        <v>-0.13376279999999999</v>
      </c>
      <c r="U6330">
        <v>0.1371155</v>
      </c>
      <c r="V6330">
        <v>-0.1878601</v>
      </c>
      <c r="W6330">
        <v>-9.7528729999999994E-2</v>
      </c>
      <c r="X6330">
        <v>0.97734169999999998</v>
      </c>
      <c r="Y6330">
        <v>-0.2345777</v>
      </c>
      <c r="Z6330">
        <v>1.295899E-2</v>
      </c>
      <c r="AA6330">
        <v>0.97201099999999996</v>
      </c>
      <c r="AB6330">
        <v>19</v>
      </c>
      <c r="AC6330">
        <v>25.0685</v>
      </c>
      <c r="AD6330">
        <v>-1.121949198189</v>
      </c>
      <c r="AE6330">
        <v>1.1711399999999901</v>
      </c>
      <c r="AF6330">
        <v>-5.9108541753111004</v>
      </c>
      <c r="AG6330">
        <v>-1.121949198189</v>
      </c>
      <c r="AH6330">
        <v>24.3383042060413</v>
      </c>
      <c r="AI6330">
        <v>92.564903125704205</v>
      </c>
      <c r="AJ6330">
        <v>103.65069290875201</v>
      </c>
      <c r="AK6330">
        <v>25.0708998384764</v>
      </c>
      <c r="AL6330">
        <v>95.596881232551596</v>
      </c>
      <c r="AM6330">
        <v>100.88042613524</v>
      </c>
      <c r="AN6330">
        <v>1.0000000344531501</v>
      </c>
    </row>
    <row r="6331" spans="1:40" x14ac:dyDescent="0.25">
      <c r="A6331" t="str">
        <f>"20190303154936780"</f>
        <v>20190303154936780</v>
      </c>
      <c r="B6331" t="str">
        <f>"1551599376767577"</f>
        <v>1551599376767577</v>
      </c>
      <c r="C6331" t="s">
        <v>40</v>
      </c>
      <c r="D6331">
        <v>5.4592910000000003</v>
      </c>
      <c r="E6331">
        <v>0.48126350000000001</v>
      </c>
      <c r="F6331" t="s">
        <v>65</v>
      </c>
      <c r="G6331">
        <v>-375.63330000000002</v>
      </c>
      <c r="H6331" s="1">
        <v>-2.1485529999999998E-6</v>
      </c>
      <c r="I6331">
        <v>20.006779999999999</v>
      </c>
      <c r="J6331">
        <v>-400.4384</v>
      </c>
      <c r="K6331">
        <v>1.1219889999999999</v>
      </c>
      <c r="L6331">
        <v>18.807829999999999</v>
      </c>
      <c r="M6331">
        <v>0.98214140000000005</v>
      </c>
      <c r="N6331">
        <v>-9.8796690000000006E-3</v>
      </c>
      <c r="O6331">
        <v>-0.18788469999999999</v>
      </c>
      <c r="P6331">
        <v>0.99427650000000001</v>
      </c>
      <c r="Q6331">
        <v>-0.106836899999999</v>
      </c>
      <c r="R6331">
        <v>4.9458420000000002E-4</v>
      </c>
      <c r="S6331">
        <v>3.002777</v>
      </c>
      <c r="T6331">
        <v>-0.1349561</v>
      </c>
      <c r="U6331">
        <v>0.14089969999999999</v>
      </c>
      <c r="V6331">
        <v>-0.18694920000000001</v>
      </c>
      <c r="W6331">
        <v>-9.786628E-2</v>
      </c>
      <c r="X6331">
        <v>0.97748259999999998</v>
      </c>
      <c r="Y6331">
        <v>-0.23332339999999999</v>
      </c>
      <c r="Z6331">
        <v>1.2937560000000001E-2</v>
      </c>
      <c r="AA6331">
        <v>0.97231310000000004</v>
      </c>
      <c r="AB6331">
        <v>19</v>
      </c>
      <c r="AC6331">
        <v>24.8050999999999</v>
      </c>
      <c r="AD6331">
        <v>-1.1219911485530001</v>
      </c>
      <c r="AE6331">
        <v>1.19895</v>
      </c>
      <c r="AF6331">
        <v>-5.8264292995759597</v>
      </c>
      <c r="AG6331">
        <v>-1.1219911485530001</v>
      </c>
      <c r="AH6331">
        <v>24.0888594223801</v>
      </c>
      <c r="AI6331">
        <v>92.592110424261804</v>
      </c>
      <c r="AJ6331">
        <v>103.5971257753</v>
      </c>
      <c r="AK6331">
        <v>24.808855088286101</v>
      </c>
      <c r="AL6331">
        <v>95.616314453623701</v>
      </c>
      <c r="AM6331">
        <v>100.82739519700699</v>
      </c>
      <c r="AN6331">
        <v>1.0000000227222099</v>
      </c>
    </row>
    <row r="6332" spans="1:40" x14ac:dyDescent="0.25">
      <c r="A6332" t="str">
        <f>"20190303154936801"</f>
        <v>20190303154936801</v>
      </c>
      <c r="B6332" t="str">
        <f>"1551599376797833"</f>
        <v>1551599376797833</v>
      </c>
      <c r="C6332" t="s">
        <v>40</v>
      </c>
      <c r="D6332">
        <v>5.406663</v>
      </c>
      <c r="E6332">
        <v>0.4815895</v>
      </c>
      <c r="F6332" t="s">
        <v>65</v>
      </c>
      <c r="G6332">
        <v>-375.99520000000001</v>
      </c>
      <c r="H6332" s="1">
        <v>-1.9701239999999998E-6</v>
      </c>
      <c r="I6332">
        <v>19.979279999999999</v>
      </c>
      <c r="J6332">
        <v>-400.26170000000002</v>
      </c>
      <c r="K6332">
        <v>1.122037</v>
      </c>
      <c r="L6332">
        <v>18.777470000000001</v>
      </c>
      <c r="M6332">
        <v>0.98266799999999999</v>
      </c>
      <c r="N6332">
        <v>-1.027134E-2</v>
      </c>
      <c r="O6332">
        <v>-0.18508959999999999</v>
      </c>
      <c r="P6332">
        <v>0.99419020000000002</v>
      </c>
      <c r="Q6332">
        <v>-0.1076131</v>
      </c>
      <c r="R6332">
        <v>2.2512130000000002E-3</v>
      </c>
      <c r="S6332">
        <v>3.00238</v>
      </c>
      <c r="T6332">
        <v>-0.13781550000000001</v>
      </c>
      <c r="U6332">
        <v>0.1438904</v>
      </c>
      <c r="V6332">
        <v>-0.1858822</v>
      </c>
      <c r="W6332">
        <v>-9.8249279999999994E-2</v>
      </c>
      <c r="X6332">
        <v>0.97764770000000001</v>
      </c>
      <c r="Y6332">
        <v>-0.23151669999999999</v>
      </c>
      <c r="Z6332">
        <v>1.3051780000000001E-2</v>
      </c>
      <c r="AA6332">
        <v>0.97274340000000004</v>
      </c>
      <c r="AB6332">
        <v>19</v>
      </c>
      <c r="AC6332">
        <v>24.266500000000001</v>
      </c>
      <c r="AD6332">
        <v>-1.1220389701239999</v>
      </c>
      <c r="AE6332">
        <v>1.2018099999999901</v>
      </c>
      <c r="AF6332">
        <v>-5.6606833288650202</v>
      </c>
      <c r="AG6332">
        <v>-1.1220389701239999</v>
      </c>
      <c r="AH6332">
        <v>23.5744379191142</v>
      </c>
      <c r="AI6332">
        <v>92.649762469900693</v>
      </c>
      <c r="AJ6332">
        <v>103.502209540086</v>
      </c>
      <c r="AK6332">
        <v>24.270484758288902</v>
      </c>
      <c r="AL6332">
        <v>95.638364741012694</v>
      </c>
      <c r="AM6332">
        <v>100.76527139082501</v>
      </c>
      <c r="AN6332">
        <v>1.00000006930632</v>
      </c>
    </row>
    <row r="6333" spans="1:40" x14ac:dyDescent="0.25">
      <c r="A6333" t="str">
        <f>"20190303154936815"</f>
        <v>20190303154936815</v>
      </c>
      <c r="B6333" t="str">
        <f>"1551599376807593"</f>
        <v>1551599376807593</v>
      </c>
      <c r="C6333" t="s">
        <v>40</v>
      </c>
      <c r="D6333">
        <v>5.388738</v>
      </c>
      <c r="E6333">
        <v>0.48275240000000003</v>
      </c>
      <c r="F6333" t="s">
        <v>65</v>
      </c>
      <c r="G6333">
        <v>-376.28039999999999</v>
      </c>
      <c r="H6333" s="1">
        <v>-1.82696E-6</v>
      </c>
      <c r="I6333">
        <v>19.947890000000001</v>
      </c>
      <c r="J6333">
        <v>-400.1465</v>
      </c>
      <c r="K6333">
        <v>1.122066</v>
      </c>
      <c r="L6333">
        <v>18.758030000000002</v>
      </c>
      <c r="M6333">
        <v>0.98300710000000002</v>
      </c>
      <c r="N6333">
        <v>-1.05327999999999E-2</v>
      </c>
      <c r="O6333">
        <v>-0.18326539999999999</v>
      </c>
      <c r="P6333">
        <v>0.99413249999999997</v>
      </c>
      <c r="Q6333">
        <v>-0.10810739999999899</v>
      </c>
      <c r="R6333">
        <v>3.6788099999999998E-3</v>
      </c>
      <c r="S6333">
        <v>3.002014</v>
      </c>
      <c r="T6333">
        <v>-0.14045859999999999</v>
      </c>
      <c r="U6333">
        <v>0.146514899999999</v>
      </c>
      <c r="V6333">
        <v>-0.18546389999999999</v>
      </c>
      <c r="W6333">
        <v>-9.8482620000000007E-2</v>
      </c>
      <c r="X6333">
        <v>0.97770360000000001</v>
      </c>
      <c r="Y6333">
        <v>-0.23055229999999999</v>
      </c>
      <c r="Z6333">
        <v>1.3206529999999999E-2</v>
      </c>
      <c r="AA6333">
        <v>0.97297029999999995</v>
      </c>
      <c r="AB6333">
        <v>19</v>
      </c>
      <c r="AC6333">
        <v>23.866099999999999</v>
      </c>
      <c r="AD6333">
        <v>-1.12206782696</v>
      </c>
      <c r="AE6333">
        <v>1.1898599999999999</v>
      </c>
      <c r="AF6333">
        <v>-5.5315816038151997</v>
      </c>
      <c r="AG6333">
        <v>-1.12206782696</v>
      </c>
      <c r="AH6333">
        <v>23.192635306526299</v>
      </c>
      <c r="AI6333">
        <v>92.694371387706298</v>
      </c>
      <c r="AJ6333">
        <v>103.414765504599</v>
      </c>
      <c r="AK6333">
        <v>23.869557258346799</v>
      </c>
      <c r="AL6333">
        <v>95.651799643709793</v>
      </c>
      <c r="AM6333">
        <v>100.74101018280599</v>
      </c>
      <c r="AN6333">
        <v>1.00000000704911</v>
      </c>
    </row>
    <row r="6334" spans="1:40" x14ac:dyDescent="0.25">
      <c r="A6334" t="str">
        <f>"20190303154936834"</f>
        <v>20190303154936834</v>
      </c>
      <c r="B6334" t="str">
        <f>"1551599376827113"</f>
        <v>1551599376827113</v>
      </c>
      <c r="C6334" t="s">
        <v>40</v>
      </c>
      <c r="D6334">
        <v>5.4382789999999996</v>
      </c>
      <c r="E6334">
        <v>0.50755600000000001</v>
      </c>
      <c r="F6334" t="s">
        <v>65</v>
      </c>
      <c r="G6334">
        <v>-376.83870000000002</v>
      </c>
      <c r="H6334" s="1">
        <v>-1.5392739999999999E-6</v>
      </c>
      <c r="I6334">
        <v>19.85858</v>
      </c>
      <c r="J6334">
        <v>-399.9873</v>
      </c>
      <c r="K6334">
        <v>1.1220920000000001</v>
      </c>
      <c r="L6334">
        <v>18.73141</v>
      </c>
      <c r="M6334">
        <v>0.98346940000000005</v>
      </c>
      <c r="N6334">
        <v>-1.0885779999999999E-2</v>
      </c>
      <c r="O6334">
        <v>-0.18074660000000001</v>
      </c>
      <c r="P6334">
        <v>0.994062</v>
      </c>
      <c r="Q6334">
        <v>-0.10867259999999999</v>
      </c>
      <c r="R6334">
        <v>5.5721980000000004E-3</v>
      </c>
      <c r="S6334">
        <v>3.001465</v>
      </c>
      <c r="T6334">
        <v>-0.14449479999999901</v>
      </c>
      <c r="U6334">
        <v>0.14172360000000001</v>
      </c>
      <c r="V6334">
        <v>-0.18481239999999999</v>
      </c>
      <c r="W6334">
        <v>-9.8695900000000003E-2</v>
      </c>
      <c r="X6334">
        <v>0.97780540000000005</v>
      </c>
      <c r="Y6334">
        <v>-0.22650000000000001</v>
      </c>
      <c r="Z6334">
        <v>1.337322E-2</v>
      </c>
      <c r="AA6334">
        <v>0.97391930000000004</v>
      </c>
      <c r="AB6334">
        <v>19</v>
      </c>
      <c r="AC6334">
        <v>23.148599999999899</v>
      </c>
      <c r="AD6334">
        <v>-1.1220935392739999</v>
      </c>
      <c r="AE6334">
        <v>1.12716999999999</v>
      </c>
      <c r="AF6334">
        <v>-5.2805036971993298</v>
      </c>
      <c r="AG6334">
        <v>-1.1220935392739999</v>
      </c>
      <c r="AH6334">
        <v>22.510777726811501</v>
      </c>
      <c r="AI6334">
        <v>92.778362928837296</v>
      </c>
      <c r="AJ6334">
        <v>103.201564396573</v>
      </c>
      <c r="AK6334">
        <v>23.1490372817733</v>
      </c>
      <c r="AL6334">
        <v>95.664079824846894</v>
      </c>
      <c r="AM6334">
        <v>100.703063670883</v>
      </c>
      <c r="AN6334">
        <v>0.99999995206986303</v>
      </c>
    </row>
    <row r="6335" spans="1:40" x14ac:dyDescent="0.25">
      <c r="A6335" t="str">
        <f>"20190303154936848"</f>
        <v>20190303154936848</v>
      </c>
      <c r="B6335" t="str">
        <f>"1551599376836873"</f>
        <v>1551599376836873</v>
      </c>
      <c r="C6335" t="s">
        <v>40</v>
      </c>
      <c r="D6335">
        <v>5.4304389999999998</v>
      </c>
      <c r="E6335">
        <v>0.50819340000000002</v>
      </c>
      <c r="F6335" t="s">
        <v>67</v>
      </c>
      <c r="G6335">
        <v>-381.49239999999998</v>
      </c>
      <c r="H6335" s="1">
        <v>-4.232657E-6</v>
      </c>
      <c r="I6335">
        <v>18.428899999999999</v>
      </c>
      <c r="J6335">
        <v>-399.88350000000003</v>
      </c>
      <c r="K6335">
        <v>1.122115</v>
      </c>
      <c r="L6335">
        <v>18.714320000000001</v>
      </c>
      <c r="M6335">
        <v>0.98376770000000002</v>
      </c>
      <c r="N6335">
        <v>-1.110568E-2</v>
      </c>
      <c r="O6335">
        <v>-0.1791034</v>
      </c>
      <c r="P6335">
        <v>0.99402230000000003</v>
      </c>
      <c r="Q6335">
        <v>-0.10896740000000001</v>
      </c>
      <c r="R6335">
        <v>6.7893930000000003E-3</v>
      </c>
      <c r="S6335">
        <v>2.9983219999999999</v>
      </c>
      <c r="T6335">
        <v>-0.18190980000000001</v>
      </c>
      <c r="U6335">
        <v>-4.9041750000000002E-2</v>
      </c>
      <c r="V6335">
        <v>-0.18437220000000001</v>
      </c>
      <c r="W6335">
        <v>-9.8771810000000002E-2</v>
      </c>
      <c r="X6335">
        <v>0.97788090000000005</v>
      </c>
      <c r="Y6335">
        <v>-0.1624312</v>
      </c>
      <c r="Z6335">
        <v>1.463657E-2</v>
      </c>
      <c r="AA6335">
        <v>0.98661129999999997</v>
      </c>
      <c r="AB6335">
        <v>19</v>
      </c>
      <c r="AC6335">
        <v>18.391100000000002</v>
      </c>
      <c r="AD6335">
        <v>-1.122119232657</v>
      </c>
      <c r="AE6335">
        <v>-0.28542000000000201</v>
      </c>
      <c r="AF6335">
        <v>-3.0021335455195399</v>
      </c>
      <c r="AG6335">
        <v>-1.122119232657</v>
      </c>
      <c r="AH6335">
        <v>18.0775248434167</v>
      </c>
      <c r="AI6335">
        <v>93.504072501449301</v>
      </c>
      <c r="AJ6335">
        <v>99.429053369764603</v>
      </c>
      <c r="AK6335">
        <v>18.359435227200699</v>
      </c>
      <c r="AL6335">
        <v>95.668450136465296</v>
      </c>
      <c r="AM6335">
        <v>100.677351733555</v>
      </c>
      <c r="AN6335">
        <v>1.00000001658416</v>
      </c>
    </row>
    <row r="6336" spans="1:40" x14ac:dyDescent="0.25">
      <c r="A6336" t="str">
        <f>"20190303154936859"</f>
        <v>20190303154936859</v>
      </c>
      <c r="B6336" t="str">
        <f>"1551599376847109"</f>
        <v>1551599376847109</v>
      </c>
      <c r="C6336" t="s">
        <v>40</v>
      </c>
      <c r="D6336">
        <v>5.4197050000000004</v>
      </c>
      <c r="E6336">
        <v>0.50864540000000003</v>
      </c>
      <c r="F6336" t="s">
        <v>67</v>
      </c>
      <c r="G6336">
        <v>-381.01519999999999</v>
      </c>
      <c r="H6336" s="1">
        <v>-4.4640919999999999E-6</v>
      </c>
      <c r="I6336">
        <v>18.395969999999998</v>
      </c>
      <c r="J6336">
        <v>-399.78309999999999</v>
      </c>
      <c r="K6336">
        <v>1.1221319999999999</v>
      </c>
      <c r="L6336">
        <v>18.697880000000001</v>
      </c>
      <c r="M6336">
        <v>0.98405330000000002</v>
      </c>
      <c r="N6336">
        <v>-1.131102E-2</v>
      </c>
      <c r="O6336">
        <v>-0.17751459999999999</v>
      </c>
      <c r="P6336">
        <v>0.99400500000000003</v>
      </c>
      <c r="Q6336">
        <v>-0.1090368</v>
      </c>
      <c r="R6336">
        <v>8.0995159999999993E-3</v>
      </c>
      <c r="S6336">
        <v>2.9988709999999998</v>
      </c>
      <c r="T6336">
        <v>-0.17834639999999999</v>
      </c>
      <c r="U6336">
        <v>-5.059814E-2</v>
      </c>
      <c r="V6336">
        <v>-0.18408279999999999</v>
      </c>
      <c r="W6336">
        <v>-9.8637890000000006E-2</v>
      </c>
      <c r="X6336">
        <v>0.97794890000000001</v>
      </c>
      <c r="Y6336">
        <v>-0.16035920000000001</v>
      </c>
      <c r="Z6336">
        <v>1.4157390000000001E-2</v>
      </c>
      <c r="AA6336">
        <v>0.98695719999999998</v>
      </c>
      <c r="AB6336">
        <v>19</v>
      </c>
      <c r="AC6336">
        <v>18.767900000000001</v>
      </c>
      <c r="AD6336">
        <v>-1.122136464092</v>
      </c>
      <c r="AE6336">
        <v>-0.30190999999999502</v>
      </c>
      <c r="AF6336">
        <v>-3.0238673241042502</v>
      </c>
      <c r="AG6336">
        <v>-1.122136464092</v>
      </c>
      <c r="AH6336">
        <v>18.457424055102699</v>
      </c>
      <c r="AI6336">
        <v>93.433409015777002</v>
      </c>
      <c r="AJ6336">
        <v>99.304075818465407</v>
      </c>
      <c r="AK6336">
        <v>18.737114681500799</v>
      </c>
      <c r="AL6336">
        <v>95.660739635721598</v>
      </c>
      <c r="AM6336">
        <v>100.660252170261</v>
      </c>
      <c r="AN6336">
        <v>0.99999998080535002</v>
      </c>
    </row>
    <row r="6337" spans="1:40" x14ac:dyDescent="0.25">
      <c r="A6337" t="str">
        <f>"20190303154936878"</f>
        <v>20190303154936878</v>
      </c>
      <c r="B6337" t="str">
        <f>"1551599376867604"</f>
        <v>1551599376867604</v>
      </c>
      <c r="C6337" t="s">
        <v>40</v>
      </c>
      <c r="D6337">
        <v>5.4099309999999896</v>
      </c>
      <c r="E6337">
        <v>0.50929489999999999</v>
      </c>
      <c r="F6337" t="s">
        <v>67</v>
      </c>
      <c r="G6337">
        <v>-380.8426</v>
      </c>
      <c r="H6337" s="1">
        <v>-4.5484509999999999E-6</v>
      </c>
      <c r="I6337">
        <v>18.38025</v>
      </c>
      <c r="J6337">
        <v>-399.63350000000003</v>
      </c>
      <c r="K6337">
        <v>1.122158</v>
      </c>
      <c r="L6337">
        <v>18.673860000000001</v>
      </c>
      <c r="M6337">
        <v>0.9844733</v>
      </c>
      <c r="N6337">
        <v>-1.1590090000000001E-2</v>
      </c>
      <c r="O6337">
        <v>-0.17515229999999901</v>
      </c>
      <c r="P6337">
        <v>0.99400960000000005</v>
      </c>
      <c r="Q6337">
        <v>-0.10884389999999899</v>
      </c>
      <c r="R6337">
        <v>9.9086339999999995E-3</v>
      </c>
      <c r="S6337">
        <v>2.9990540000000001</v>
      </c>
      <c r="T6337">
        <v>-0.17768049999999999</v>
      </c>
      <c r="U6337">
        <v>-5.0292969999999999E-2</v>
      </c>
      <c r="V6337">
        <v>-0.18352189999999999</v>
      </c>
      <c r="W6337">
        <v>-9.8168069999999996E-2</v>
      </c>
      <c r="X6337">
        <v>0.97810160000000002</v>
      </c>
      <c r="Y6337">
        <v>-0.15810450000000001</v>
      </c>
      <c r="Z6337">
        <v>1.388212E-2</v>
      </c>
      <c r="AA6337">
        <v>0.9873248</v>
      </c>
      <c r="AB6337">
        <v>19</v>
      </c>
      <c r="AC6337">
        <v>18.790900000000001</v>
      </c>
      <c r="AD6337">
        <v>-1.1221625484510001</v>
      </c>
      <c r="AE6337">
        <v>-0.29361000000000098</v>
      </c>
      <c r="AF6337">
        <v>-2.9917524615611799</v>
      </c>
      <c r="AG6337">
        <v>-1.1221625484510001</v>
      </c>
      <c r="AH6337">
        <v>18.485898808967999</v>
      </c>
      <c r="AI6337">
        <v>93.429292050125397</v>
      </c>
      <c r="AJ6337">
        <v>99.193023737621999</v>
      </c>
      <c r="AK6337">
        <v>18.760018292949699</v>
      </c>
      <c r="AL6337">
        <v>95.633689546835996</v>
      </c>
      <c r="AM6337">
        <v>100.626890020719</v>
      </c>
      <c r="AN6337">
        <v>0.99999999883484703</v>
      </c>
    </row>
    <row r="6338" spans="1:40" x14ac:dyDescent="0.25">
      <c r="A6338" t="str">
        <f>"20190303154936892"</f>
        <v>20190303154936892</v>
      </c>
      <c r="B6338" t="str">
        <f>"1551599376887125"</f>
        <v>1551599376887125</v>
      </c>
      <c r="C6338" t="s">
        <v>40</v>
      </c>
      <c r="D6338">
        <v>5.3938649999999999</v>
      </c>
      <c r="E6338">
        <v>0.51005069999999997</v>
      </c>
      <c r="F6338" t="s">
        <v>65</v>
      </c>
      <c r="G6338">
        <v>-379.95240000000001</v>
      </c>
      <c r="H6338" s="1">
        <v>-3.4090030000000002E-7</v>
      </c>
      <c r="I6338">
        <v>18.3445</v>
      </c>
      <c r="J6338">
        <v>-399.517</v>
      </c>
      <c r="K6338">
        <v>1.12218</v>
      </c>
      <c r="L6338">
        <v>18.655360000000002</v>
      </c>
      <c r="M6338">
        <v>0.98479649999999996</v>
      </c>
      <c r="N6338">
        <v>-1.178915E-2</v>
      </c>
      <c r="O6338">
        <v>-0.17331150000000001</v>
      </c>
      <c r="P6338">
        <v>0.99400310000000003</v>
      </c>
      <c r="Q6338">
        <v>-0.1087446</v>
      </c>
      <c r="R6338">
        <v>1.1513010000000001E-2</v>
      </c>
      <c r="S6338">
        <v>2.9998170000000002</v>
      </c>
      <c r="T6338">
        <v>-0.1710402</v>
      </c>
      <c r="U6338">
        <v>-5.0201419999999997E-2</v>
      </c>
      <c r="V6338">
        <v>-0.18327589999999999</v>
      </c>
      <c r="W6338">
        <v>-9.7872180000000003E-2</v>
      </c>
      <c r="X6338">
        <v>0.97817739999999997</v>
      </c>
      <c r="Y6338">
        <v>-0.15633939999999999</v>
      </c>
      <c r="Z6338">
        <v>1.315701E-2</v>
      </c>
      <c r="AA6338">
        <v>0.98761580000000004</v>
      </c>
      <c r="AB6338">
        <v>19</v>
      </c>
      <c r="AC6338">
        <v>19.564599999999899</v>
      </c>
      <c r="AD6338">
        <v>-1.1221803409002999</v>
      </c>
      <c r="AE6338">
        <v>-0.31086000000000102</v>
      </c>
      <c r="AF6338">
        <v>-3.0747376609656998</v>
      </c>
      <c r="AG6338">
        <v>-1.1221803409002999</v>
      </c>
      <c r="AH6338">
        <v>19.2590235836613</v>
      </c>
      <c r="AI6338">
        <v>93.293115716460406</v>
      </c>
      <c r="AJ6338">
        <v>99.070823106756393</v>
      </c>
      <c r="AK6338">
        <v>19.535180823255399</v>
      </c>
      <c r="AL6338">
        <v>95.616654130627595</v>
      </c>
      <c r="AM6338">
        <v>100.61216539886099</v>
      </c>
      <c r="AN6338">
        <v>1.0000000225047601</v>
      </c>
    </row>
    <row r="6339" spans="1:40" x14ac:dyDescent="0.25">
      <c r="A6339" t="str">
        <f>"20190303154936912"</f>
        <v>20190303154936912</v>
      </c>
      <c r="B6339" t="str">
        <f>"1551599376907620"</f>
        <v>1551599376907620</v>
      </c>
      <c r="C6339" t="s">
        <v>40</v>
      </c>
      <c r="D6339">
        <v>5.4931340000000004</v>
      </c>
      <c r="E6339">
        <v>0.5107372</v>
      </c>
      <c r="F6339" t="s">
        <v>67</v>
      </c>
      <c r="G6339">
        <v>-380.75990000000002</v>
      </c>
      <c r="H6339" s="1">
        <v>-4.5954229999999997E-6</v>
      </c>
      <c r="I6339">
        <v>18.336040000000001</v>
      </c>
      <c r="J6339">
        <v>-399.35559999999998</v>
      </c>
      <c r="K6339">
        <v>1.1221989999999999</v>
      </c>
      <c r="L6339">
        <v>18.630099999999999</v>
      </c>
      <c r="M6339">
        <v>0.98523910000000003</v>
      </c>
      <c r="N6339">
        <v>-1.2043969999999999E-2</v>
      </c>
      <c r="O6339">
        <v>-0.17075960000000001</v>
      </c>
      <c r="P6339">
        <v>0.99399499999999996</v>
      </c>
      <c r="Q6339">
        <v>-0.10856010000000001</v>
      </c>
      <c r="R6339">
        <v>1.3740469999999999E-2</v>
      </c>
      <c r="S6339">
        <v>2.9990540000000001</v>
      </c>
      <c r="T6339">
        <v>-0.17942420000000001</v>
      </c>
      <c r="U6339">
        <v>-5.1055910000000003E-2</v>
      </c>
      <c r="V6339">
        <v>-0.18294050000000001</v>
      </c>
      <c r="W6339">
        <v>-9.7435209999999994E-2</v>
      </c>
      <c r="X6339">
        <v>0.97828380000000004</v>
      </c>
      <c r="Y6339">
        <v>-0.15345449999999999</v>
      </c>
      <c r="Z6339">
        <v>1.361235E-2</v>
      </c>
      <c r="AA6339">
        <v>0.988062</v>
      </c>
      <c r="AB6339">
        <v>19</v>
      </c>
      <c r="AC6339">
        <v>18.595699999999901</v>
      </c>
      <c r="AD6339">
        <v>-1.1222035954230001</v>
      </c>
      <c r="AE6339">
        <v>-0.29405999999999799</v>
      </c>
      <c r="AF6339">
        <v>-2.87541510533018</v>
      </c>
      <c r="AG6339">
        <v>-1.1222035954230001</v>
      </c>
      <c r="AH6339">
        <v>18.306106218542102</v>
      </c>
      <c r="AI6339">
        <v>93.465578491656899</v>
      </c>
      <c r="AJ6339">
        <v>98.926745339541796</v>
      </c>
      <c r="AK6339">
        <v>18.564505859895299</v>
      </c>
      <c r="AL6339">
        <v>95.5914973702682</v>
      </c>
      <c r="AM6339">
        <v>100.592058717112</v>
      </c>
      <c r="AN6339">
        <v>1.0000000200152099</v>
      </c>
    </row>
    <row r="6340" spans="1:40" x14ac:dyDescent="0.25">
      <c r="A6340" t="str">
        <f>"20190303154936925"</f>
        <v>20190303154936925</v>
      </c>
      <c r="B6340" t="str">
        <f>"1551599376917381"</f>
        <v>1551599376917381</v>
      </c>
      <c r="C6340" t="s">
        <v>40</v>
      </c>
      <c r="D6340">
        <v>5.4000059999999896</v>
      </c>
      <c r="E6340">
        <v>0.51091160000000002</v>
      </c>
      <c r="F6340" t="s">
        <v>67</v>
      </c>
      <c r="G6340">
        <v>-380.3972</v>
      </c>
      <c r="H6340" s="1">
        <v>-4.7705609999999997E-6</v>
      </c>
      <c r="I6340">
        <v>18.315100000000001</v>
      </c>
      <c r="J6340">
        <v>-399.25790000000001</v>
      </c>
      <c r="K6340">
        <v>1.1222030000000001</v>
      </c>
      <c r="L6340">
        <v>18.615020000000001</v>
      </c>
      <c r="M6340">
        <v>0.98550389999999999</v>
      </c>
      <c r="N6340">
        <v>-1.218663E-2</v>
      </c>
      <c r="O6340">
        <v>-0.1692147</v>
      </c>
      <c r="P6340">
        <v>0.99399009999999999</v>
      </c>
      <c r="Q6340">
        <v>-0.10843319999999999</v>
      </c>
      <c r="R6340">
        <v>1.50435E-2</v>
      </c>
      <c r="S6340">
        <v>2.9994200000000002</v>
      </c>
      <c r="T6340">
        <v>-0.17754500000000001</v>
      </c>
      <c r="U6340">
        <v>-4.9835209999999998E-2</v>
      </c>
      <c r="V6340">
        <v>-0.18269340000000001</v>
      </c>
      <c r="W6340">
        <v>-9.7166009999999997E-2</v>
      </c>
      <c r="X6340">
        <v>0.97835669999999997</v>
      </c>
      <c r="Y6340">
        <v>-0.15232560000000001</v>
      </c>
      <c r="Z6340">
        <v>1.333144E-2</v>
      </c>
      <c r="AA6340">
        <v>0.98824049999999997</v>
      </c>
      <c r="AB6340">
        <v>18</v>
      </c>
      <c r="AC6340">
        <v>18.860700000000001</v>
      </c>
      <c r="AD6340">
        <v>-1.1222077705609901</v>
      </c>
      <c r="AE6340">
        <v>-0.29992000000000002</v>
      </c>
      <c r="AF6340">
        <v>-2.8859360534046399</v>
      </c>
      <c r="AG6340">
        <v>-1.1222077705609901</v>
      </c>
      <c r="AH6340">
        <v>18.573689401336701</v>
      </c>
      <c r="AI6340">
        <v>93.416664877990897</v>
      </c>
      <c r="AJ6340">
        <v>98.831861403001497</v>
      </c>
      <c r="AK6340">
        <v>18.830026955954601</v>
      </c>
      <c r="AL6340">
        <v>95.576000078999996</v>
      </c>
      <c r="AM6340">
        <v>100.577304582073</v>
      </c>
      <c r="AN6340">
        <v>0.99999997216888403</v>
      </c>
    </row>
    <row r="6341" spans="1:40" x14ac:dyDescent="0.25">
      <c r="A6341" t="str">
        <f>"20190303154936937"</f>
        <v>20190303154936937</v>
      </c>
      <c r="B6341" t="str">
        <f>"1551599376927140"</f>
        <v>1551599376927140</v>
      </c>
      <c r="C6341" t="s">
        <v>40</v>
      </c>
      <c r="D6341">
        <v>5.4153060000000002</v>
      </c>
      <c r="E6341">
        <v>0.51105940000000005</v>
      </c>
      <c r="F6341" t="s">
        <v>67</v>
      </c>
      <c r="G6341">
        <v>-380.15530000000001</v>
      </c>
      <c r="H6341" s="1">
        <v>-4.885128E-6</v>
      </c>
      <c r="I6341">
        <v>18.313790000000001</v>
      </c>
      <c r="J6341">
        <v>-399.15170000000001</v>
      </c>
      <c r="K6341">
        <v>1.122207</v>
      </c>
      <c r="L6341">
        <v>18.59882</v>
      </c>
      <c r="M6341">
        <v>0.98578949999999999</v>
      </c>
      <c r="N6341">
        <v>-1.2330509999999999E-2</v>
      </c>
      <c r="O6341">
        <v>-0.16753289999999901</v>
      </c>
      <c r="P6341">
        <v>0.99397360000000001</v>
      </c>
      <c r="Q6341">
        <v>-0.1083364</v>
      </c>
      <c r="R6341">
        <v>1.6733399999999999E-2</v>
      </c>
      <c r="S6341">
        <v>2.9996640000000001</v>
      </c>
      <c r="T6341">
        <v>-0.17621989999999901</v>
      </c>
      <c r="U6341">
        <v>-4.7302249999999997E-2</v>
      </c>
      <c r="V6341">
        <v>-0.18269160000000001</v>
      </c>
      <c r="W6341">
        <v>-9.6926349999999994E-2</v>
      </c>
      <c r="X6341">
        <v>0.9783809</v>
      </c>
      <c r="Y6341">
        <v>-0.15148689999999901</v>
      </c>
      <c r="Z6341">
        <v>1.3102870000000001E-2</v>
      </c>
      <c r="AA6341">
        <v>0.98837240000000004</v>
      </c>
      <c r="AB6341">
        <v>18</v>
      </c>
      <c r="AC6341">
        <v>18.996399999999898</v>
      </c>
      <c r="AD6341">
        <v>-1.1222118851280001</v>
      </c>
      <c r="AE6341">
        <v>-0.28502999999999801</v>
      </c>
      <c r="AF6341">
        <v>-2.8916733934743499</v>
      </c>
      <c r="AG6341">
        <v>-1.1222118851280001</v>
      </c>
      <c r="AH6341">
        <v>18.710346921670599</v>
      </c>
      <c r="AI6341">
        <v>93.392205095676005</v>
      </c>
      <c r="AJ6341">
        <v>98.785521006556394</v>
      </c>
      <c r="AK6341">
        <v>18.965711599065301</v>
      </c>
      <c r="AL6341">
        <v>95.562202950420399</v>
      </c>
      <c r="AM6341">
        <v>100.57694699913</v>
      </c>
      <c r="AN6341">
        <v>1.0000000617598399</v>
      </c>
    </row>
    <row r="6342" spans="1:40" x14ac:dyDescent="0.25">
      <c r="A6342" t="str">
        <f>"20190303154936958"</f>
        <v>20190303154936958</v>
      </c>
      <c r="B6342" t="str">
        <f>"1551599376947636"</f>
        <v>1551599376947636</v>
      </c>
      <c r="C6342" t="s">
        <v>40</v>
      </c>
      <c r="D6342">
        <v>5.4179190000000004</v>
      </c>
      <c r="E6342">
        <v>0.51128490000000004</v>
      </c>
      <c r="F6342" t="s">
        <v>67</v>
      </c>
      <c r="G6342">
        <v>-380.02800000000002</v>
      </c>
      <c r="H6342" s="1">
        <v>-4.9438379999999998E-6</v>
      </c>
      <c r="I6342">
        <v>18.32216</v>
      </c>
      <c r="J6342">
        <v>-398.98790000000002</v>
      </c>
      <c r="K6342">
        <v>1.1222129999999999</v>
      </c>
      <c r="L6342">
        <v>18.574159999999999</v>
      </c>
      <c r="M6342">
        <v>0.98622520000000002</v>
      </c>
      <c r="N6342">
        <v>-1.253191E-2</v>
      </c>
      <c r="O6342">
        <v>-0.16493239999999901</v>
      </c>
      <c r="P6342">
        <v>0.99396059999999997</v>
      </c>
      <c r="Q6342">
        <v>-0.1081139</v>
      </c>
      <c r="R6342">
        <v>1.8808769999999999E-2</v>
      </c>
      <c r="S6342">
        <v>2.9997560000000001</v>
      </c>
      <c r="T6342">
        <v>-0.17603079999999999</v>
      </c>
      <c r="U6342">
        <v>-4.3395999999999997E-2</v>
      </c>
      <c r="V6342">
        <v>-0.1821622</v>
      </c>
      <c r="W6342">
        <v>-9.6499390000000004E-2</v>
      </c>
      <c r="X6342">
        <v>0.9785218</v>
      </c>
      <c r="Y6342">
        <v>-0.150174799999999</v>
      </c>
      <c r="Z6342">
        <v>1.2904499999999999E-2</v>
      </c>
      <c r="AA6342">
        <v>0.98857519999999999</v>
      </c>
      <c r="AB6342">
        <v>18</v>
      </c>
      <c r="AC6342">
        <v>18.959900000000001</v>
      </c>
      <c r="AD6342">
        <v>-1.122217943838</v>
      </c>
      <c r="AE6342">
        <v>-0.251999999999998</v>
      </c>
      <c r="AF6342">
        <v>-2.8687508473624601</v>
      </c>
      <c r="AG6342">
        <v>-1.122217943838</v>
      </c>
      <c r="AH6342">
        <v>18.676348854183299</v>
      </c>
      <c r="AI6342">
        <v>93.398866804639596</v>
      </c>
      <c r="AJ6342">
        <v>98.732575077167994</v>
      </c>
      <c r="AK6342">
        <v>18.928684874044201</v>
      </c>
      <c r="AL6342">
        <v>95.537624761716799</v>
      </c>
      <c r="AM6342">
        <v>100.54550138549099</v>
      </c>
      <c r="AN6342">
        <v>1.00000005622722</v>
      </c>
    </row>
    <row r="6343" spans="1:40" x14ac:dyDescent="0.25">
      <c r="A6343" t="str">
        <f>"20190303154936979"</f>
        <v>20190303154936979</v>
      </c>
      <c r="B6343" t="str">
        <f>"1551599376967158"</f>
        <v>1551599376967158</v>
      </c>
      <c r="C6343" t="s">
        <v>40</v>
      </c>
      <c r="D6343">
        <v>5.4138010000000003</v>
      </c>
      <c r="E6343">
        <v>0.51149560000000005</v>
      </c>
      <c r="F6343" t="s">
        <v>65</v>
      </c>
      <c r="G6343">
        <v>-379.74919999999997</v>
      </c>
      <c r="H6343" s="1">
        <v>-4.2441789999999999E-7</v>
      </c>
      <c r="I6343">
        <v>18.32385</v>
      </c>
      <c r="J6343">
        <v>-398.8109</v>
      </c>
      <c r="K6343">
        <v>1.122209</v>
      </c>
      <c r="L6343">
        <v>18.548069999999999</v>
      </c>
      <c r="M6343">
        <v>0.98668909999999999</v>
      </c>
      <c r="N6343">
        <v>-1.272408E-2</v>
      </c>
      <c r="O6343">
        <v>-0.1621194</v>
      </c>
      <c r="P6343">
        <v>0.99393189999999998</v>
      </c>
      <c r="Q6343">
        <v>-0.10798679999999999</v>
      </c>
      <c r="R6343">
        <v>2.0934370000000001E-2</v>
      </c>
      <c r="S6343">
        <v>2.9999690000000001</v>
      </c>
      <c r="T6343">
        <v>-0.1749918</v>
      </c>
      <c r="U6343">
        <v>-3.9031980000000001E-2</v>
      </c>
      <c r="V6343">
        <v>-0.1814722</v>
      </c>
      <c r="W6343">
        <v>-9.6175099999999999E-2</v>
      </c>
      <c r="X6343">
        <v>0.97868189999999999</v>
      </c>
      <c r="Y6343">
        <v>-0.1488072</v>
      </c>
      <c r="Z6343">
        <v>1.2629319999999999E-2</v>
      </c>
      <c r="AA6343">
        <v>0.98878560000000004</v>
      </c>
      <c r="AB6343">
        <v>18</v>
      </c>
      <c r="AC6343">
        <v>19.061699999999998</v>
      </c>
      <c r="AD6343">
        <v>-1.1222094244178999</v>
      </c>
      <c r="AE6343">
        <v>-0.224220000000002</v>
      </c>
      <c r="AF6343">
        <v>-2.8593591658346602</v>
      </c>
      <c r="AG6343">
        <v>-1.1222094244178999</v>
      </c>
      <c r="AH6343">
        <v>18.780763330306399</v>
      </c>
      <c r="AI6343">
        <v>93.380671009378702</v>
      </c>
      <c r="AJ6343">
        <v>98.656766605047494</v>
      </c>
      <c r="AK6343">
        <v>19.030301103778601</v>
      </c>
      <c r="AL6343">
        <v>95.518957604001201</v>
      </c>
      <c r="AM6343">
        <v>100.504767387431</v>
      </c>
      <c r="AN6343">
        <v>1.0000000353102201</v>
      </c>
    </row>
    <row r="6344" spans="1:40" x14ac:dyDescent="0.25">
      <c r="A6344" t="str">
        <f>"20190303154937003"</f>
        <v>20190303154937003</v>
      </c>
      <c r="B6344" t="str">
        <f>"1551599376997412"</f>
        <v>1551599376997412</v>
      </c>
      <c r="C6344" t="s">
        <v>40</v>
      </c>
      <c r="D6344">
        <v>5.4487290000000002</v>
      </c>
      <c r="E6344">
        <v>0.51159359999999998</v>
      </c>
      <c r="F6344" t="s">
        <v>65</v>
      </c>
      <c r="G6344">
        <v>-379.6026</v>
      </c>
      <c r="H6344" s="1">
        <v>-4.7921979999999898E-7</v>
      </c>
      <c r="I6344">
        <v>18.329409999999999</v>
      </c>
      <c r="J6344">
        <v>-398.62369999999999</v>
      </c>
      <c r="K6344">
        <v>1.1222099999999999</v>
      </c>
      <c r="L6344">
        <v>18.520969999999998</v>
      </c>
      <c r="M6344">
        <v>0.98717189999999999</v>
      </c>
      <c r="N6344">
        <v>-1.289014E-2</v>
      </c>
      <c r="O6344">
        <v>-0.15914</v>
      </c>
      <c r="P6344">
        <v>0.99385950000000001</v>
      </c>
      <c r="Q6344">
        <v>-0.10805049999999999</v>
      </c>
      <c r="R6344">
        <v>2.3846920000000001E-2</v>
      </c>
      <c r="S6344">
        <v>2.9999690000000001</v>
      </c>
      <c r="T6344">
        <v>-0.17526789999999901</v>
      </c>
      <c r="U6344">
        <v>-3.414917E-2</v>
      </c>
      <c r="V6344">
        <v>-0.1813872</v>
      </c>
      <c r="W6344">
        <v>-9.6071379999999998E-2</v>
      </c>
      <c r="X6344">
        <v>0.97870780000000002</v>
      </c>
      <c r="Y6344">
        <v>-0.14743619999999999</v>
      </c>
      <c r="Z6344">
        <v>1.2454639999999999E-2</v>
      </c>
      <c r="AA6344">
        <v>0.98899320000000002</v>
      </c>
      <c r="AB6344">
        <v>18</v>
      </c>
      <c r="AC6344">
        <v>19.021099999999901</v>
      </c>
      <c r="AD6344">
        <v>-1.1222104792198</v>
      </c>
      <c r="AE6344">
        <v>-0.19156000000000201</v>
      </c>
      <c r="AF6344">
        <v>-2.82830718840746</v>
      </c>
      <c r="AG6344">
        <v>-1.1222104792198</v>
      </c>
      <c r="AH6344">
        <v>18.743905535780701</v>
      </c>
      <c r="AI6344">
        <v>93.387986106554806</v>
      </c>
      <c r="AJ6344">
        <v>98.580747633238701</v>
      </c>
      <c r="AK6344">
        <v>18.989277833712901</v>
      </c>
      <c r="AL6344">
        <v>95.512987478898197</v>
      </c>
      <c r="AM6344">
        <v>100.499684809459</v>
      </c>
      <c r="AN6344">
        <v>0.99999999207989199</v>
      </c>
    </row>
    <row r="6345" spans="1:40" x14ac:dyDescent="0.25">
      <c r="A6345" t="str">
        <f>"20190303154937014"</f>
        <v>20190303154937014</v>
      </c>
      <c r="B6345" t="str">
        <f>"1551599377007173"</f>
        <v>1551599377007173</v>
      </c>
      <c r="C6345" t="s">
        <v>40</v>
      </c>
      <c r="D6345">
        <v>5.4240649999999997</v>
      </c>
      <c r="E6345">
        <v>0.51159359999999998</v>
      </c>
      <c r="F6345" t="s">
        <v>65</v>
      </c>
      <c r="G6345">
        <v>-379.52620000000002</v>
      </c>
      <c r="H6345" s="1">
        <v>-5.0172240000000005E-7</v>
      </c>
      <c r="I6345">
        <v>18.355250000000002</v>
      </c>
      <c r="J6345">
        <v>-398.52600000000001</v>
      </c>
      <c r="K6345">
        <v>1.122206</v>
      </c>
      <c r="L6345">
        <v>18.507110000000001</v>
      </c>
      <c r="M6345">
        <v>0.98742030000000003</v>
      </c>
      <c r="N6345">
        <v>-1.296113E-2</v>
      </c>
      <c r="O6345">
        <v>-0.15758610000000001</v>
      </c>
      <c r="P6345">
        <v>0.99387740000000002</v>
      </c>
      <c r="Q6345">
        <v>-0.10753359999999999</v>
      </c>
      <c r="R6345">
        <v>2.5389499999999999E-2</v>
      </c>
      <c r="S6345">
        <v>2.9999690000000001</v>
      </c>
      <c r="T6345">
        <v>-0.1762842</v>
      </c>
      <c r="U6345">
        <v>-2.6031490000000001E-2</v>
      </c>
      <c r="V6345">
        <v>-0.1813784</v>
      </c>
      <c r="W6345">
        <v>-9.5482540000000005E-2</v>
      </c>
      <c r="X6345">
        <v>0.97876700000000005</v>
      </c>
      <c r="Y6345">
        <v>-0.14854919999999999</v>
      </c>
      <c r="Z6345">
        <v>1.249773E-2</v>
      </c>
      <c r="AA6345">
        <v>0.98882599999999998</v>
      </c>
      <c r="AB6345">
        <v>18</v>
      </c>
      <c r="AC6345">
        <v>18.9998</v>
      </c>
      <c r="AD6345">
        <v>-1.1222065017223899</v>
      </c>
      <c r="AE6345">
        <v>-0.151859999999999</v>
      </c>
      <c r="AF6345">
        <v>-2.83450561019407</v>
      </c>
      <c r="AG6345">
        <v>-1.1222065017223899</v>
      </c>
      <c r="AH6345">
        <v>18.720989895666101</v>
      </c>
      <c r="AI6345">
        <v>93.391853599453896</v>
      </c>
      <c r="AJ6345">
        <v>98.609640468639398</v>
      </c>
      <c r="AK6345">
        <v>18.967583719608601</v>
      </c>
      <c r="AL6345">
        <v>95.479093902111401</v>
      </c>
      <c r="AM6345">
        <v>100.49856582826</v>
      </c>
      <c r="AN6345">
        <v>0.99999993986020397</v>
      </c>
    </row>
    <row r="6346" spans="1:40" x14ac:dyDescent="0.25">
      <c r="A6346" t="str">
        <f>"20190303154937035"</f>
        <v>20190303154937035</v>
      </c>
      <c r="B6346" t="str">
        <f>"1551599377027668"</f>
        <v>1551599377027668</v>
      </c>
      <c r="C6346" t="s">
        <v>40</v>
      </c>
      <c r="D6346">
        <v>5.3846150000000002</v>
      </c>
      <c r="E6346">
        <v>0.47185250000000001</v>
      </c>
      <c r="F6346" t="s">
        <v>65</v>
      </c>
      <c r="G6346">
        <v>-379.25619999999998</v>
      </c>
      <c r="H6346" s="1">
        <v>-6.0141829999999997E-7</v>
      </c>
      <c r="I6346">
        <v>18.370100000000001</v>
      </c>
      <c r="J6346">
        <v>-398.36439999999999</v>
      </c>
      <c r="K6346">
        <v>1.122201</v>
      </c>
      <c r="L6346">
        <v>18.484500000000001</v>
      </c>
      <c r="M6346">
        <v>0.98782539999999996</v>
      </c>
      <c r="N6346">
        <v>-1.3062509999999999E-2</v>
      </c>
      <c r="O6346">
        <v>-0.15501809999999999</v>
      </c>
      <c r="P6346">
        <v>0.99388889999999996</v>
      </c>
      <c r="Q6346">
        <v>-0.1068216</v>
      </c>
      <c r="R6346">
        <v>2.7821229999999999E-2</v>
      </c>
      <c r="S6346">
        <v>3.0001220000000002</v>
      </c>
      <c r="T6346">
        <v>-0.17471739999999999</v>
      </c>
      <c r="U6346">
        <v>-2.133179E-2</v>
      </c>
      <c r="V6346">
        <v>-0.18124409999999999</v>
      </c>
      <c r="W6346">
        <v>-9.4667580000000001E-2</v>
      </c>
      <c r="X6346">
        <v>0.97887109999999999</v>
      </c>
      <c r="Y6346">
        <v>-0.14754110000000001</v>
      </c>
      <c r="Z6346">
        <v>1.2218359999999999E-2</v>
      </c>
      <c r="AA6346">
        <v>0.98898050000000004</v>
      </c>
      <c r="AB6346">
        <v>18</v>
      </c>
      <c r="AC6346">
        <v>19.1082</v>
      </c>
      <c r="AD6346">
        <v>-1.1222016014183001</v>
      </c>
      <c r="AE6346">
        <v>-0.114399999999999</v>
      </c>
      <c r="AF6346">
        <v>-2.8395588710664099</v>
      </c>
      <c r="AG6346">
        <v>-1.1222016014183001</v>
      </c>
      <c r="AH6346">
        <v>18.829965418016599</v>
      </c>
      <c r="AI6346">
        <v>93.372556667491295</v>
      </c>
      <c r="AJ6346">
        <v>98.575588590135595</v>
      </c>
      <c r="AK6346">
        <v>19.075901778426601</v>
      </c>
      <c r="AL6346">
        <v>95.432187308105995</v>
      </c>
      <c r="AM6346">
        <v>100.48987398962799</v>
      </c>
      <c r="AN6346">
        <v>1.0000000024515301</v>
      </c>
    </row>
    <row r="6347" spans="1:40" x14ac:dyDescent="0.25">
      <c r="A6347" t="str">
        <f>"20190303154937048"</f>
        <v>20190303154937048</v>
      </c>
      <c r="B6347" t="str">
        <f>"1551599377037429"</f>
        <v>1551599377037429</v>
      </c>
      <c r="C6347" t="s">
        <v>40</v>
      </c>
      <c r="D6347">
        <v>5.4627939999999997</v>
      </c>
      <c r="E6347">
        <v>0.46863060000000001</v>
      </c>
      <c r="F6347" t="s">
        <v>65</v>
      </c>
      <c r="G6347">
        <v>-378.7672</v>
      </c>
      <c r="H6347" s="1">
        <v>-7.903613E-7</v>
      </c>
      <c r="I6347">
        <v>20.47007</v>
      </c>
      <c r="J6347">
        <v>-398.26830000000001</v>
      </c>
      <c r="K6347">
        <v>1.1222000000000001</v>
      </c>
      <c r="L6347">
        <v>18.471219999999999</v>
      </c>
      <c r="M6347">
        <v>0.98806309999999997</v>
      </c>
      <c r="N6347">
        <v>-1.3113069999999999E-2</v>
      </c>
      <c r="O6347">
        <v>-0.15349090000000001</v>
      </c>
      <c r="P6347">
        <v>0.99389819999999995</v>
      </c>
      <c r="Q6347">
        <v>-0.1063519</v>
      </c>
      <c r="R6347">
        <v>2.925436E-2</v>
      </c>
      <c r="S6347">
        <v>2.9915470000000002</v>
      </c>
      <c r="T6347">
        <v>-0.17130609999999999</v>
      </c>
      <c r="U6347">
        <v>0.3031006</v>
      </c>
      <c r="V6347">
        <v>-0.1811528</v>
      </c>
      <c r="W6347">
        <v>-9.414633E-2</v>
      </c>
      <c r="X6347">
        <v>0.97893830000000004</v>
      </c>
      <c r="Y6347">
        <v>-0.2516796</v>
      </c>
      <c r="Z6347">
        <v>1.558009E-2</v>
      </c>
      <c r="AA6347">
        <v>0.96768520000000002</v>
      </c>
      <c r="AB6347">
        <v>18</v>
      </c>
      <c r="AC6347">
        <v>19.501100000000001</v>
      </c>
      <c r="AD6347">
        <v>-1.1222007903613</v>
      </c>
      <c r="AE6347">
        <v>1.99884999999999</v>
      </c>
      <c r="AF6347">
        <v>-4.95242888675413</v>
      </c>
      <c r="AG6347">
        <v>-1.1222007903613</v>
      </c>
      <c r="AH6347">
        <v>18.901201239179802</v>
      </c>
      <c r="AI6347">
        <v>93.287067823592096</v>
      </c>
      <c r="AJ6347">
        <v>104.682390638405</v>
      </c>
      <c r="AK6347">
        <v>19.571440794591901</v>
      </c>
      <c r="AL6347">
        <v>95.402187737031198</v>
      </c>
      <c r="AM6347">
        <v>100.484003248354</v>
      </c>
      <c r="AN6347">
        <v>1.00000003180359</v>
      </c>
    </row>
    <row r="6348" spans="1:40" x14ac:dyDescent="0.25">
      <c r="A6348" t="str">
        <f>"20190303154937058"</f>
        <v>20190303154937058</v>
      </c>
      <c r="B6348" t="str">
        <f>"1551599377047189"</f>
        <v>1551599377047189</v>
      </c>
      <c r="C6348" t="s">
        <v>40</v>
      </c>
      <c r="D6348">
        <v>5.3667749999999996</v>
      </c>
      <c r="E6348">
        <v>0.46782309999999999</v>
      </c>
      <c r="F6348" t="s">
        <v>65</v>
      </c>
      <c r="G6348">
        <v>-379.4579</v>
      </c>
      <c r="H6348" s="1">
        <v>-4.9021569999999997E-7</v>
      </c>
      <c r="I6348">
        <v>20.56906</v>
      </c>
      <c r="J6348">
        <v>-398.17059999999998</v>
      </c>
      <c r="K6348">
        <v>1.1222030000000001</v>
      </c>
      <c r="L6348">
        <v>18.45786</v>
      </c>
      <c r="M6348">
        <v>0.98830249999999997</v>
      </c>
      <c r="N6348">
        <v>-1.315945E-2</v>
      </c>
      <c r="O6348">
        <v>-0.1519382</v>
      </c>
      <c r="P6348">
        <v>0.99387599999999998</v>
      </c>
      <c r="Q6348">
        <v>-0.10616299999999999</v>
      </c>
      <c r="R6348">
        <v>3.065936E-2</v>
      </c>
      <c r="S6348">
        <v>2.9895019999999999</v>
      </c>
      <c r="T6348">
        <v>-0.17834939999999999</v>
      </c>
      <c r="U6348">
        <v>0.33340449999999999</v>
      </c>
      <c r="V6348">
        <v>-0.18100279999999999</v>
      </c>
      <c r="W6348">
        <v>-9.3910129999999994E-2</v>
      </c>
      <c r="X6348">
        <v>0.97898870000000004</v>
      </c>
      <c r="Y6348">
        <v>-0.25984499999999999</v>
      </c>
      <c r="Z6348">
        <v>1.6464759999999998E-2</v>
      </c>
      <c r="AA6348">
        <v>0.96550999999999998</v>
      </c>
      <c r="AB6348">
        <v>18</v>
      </c>
      <c r="AC6348">
        <v>18.712699999999899</v>
      </c>
      <c r="AD6348">
        <v>-1.1222034902156901</v>
      </c>
      <c r="AE6348">
        <v>2.1112000000000002</v>
      </c>
      <c r="AF6348">
        <v>-4.9126586313976004</v>
      </c>
      <c r="AG6348">
        <v>-1.1222034902156901</v>
      </c>
      <c r="AH6348">
        <v>18.110294417358801</v>
      </c>
      <c r="AI6348">
        <v>93.422424023122204</v>
      </c>
      <c r="AJ6348">
        <v>105.17701849778599</v>
      </c>
      <c r="AK6348">
        <v>18.798306290342101</v>
      </c>
      <c r="AL6348">
        <v>95.388594418370801</v>
      </c>
      <c r="AM6348">
        <v>100.474987062393</v>
      </c>
      <c r="AN6348">
        <v>1.0000000004260701</v>
      </c>
    </row>
    <row r="6349" spans="1:40" x14ac:dyDescent="0.25">
      <c r="A6349" t="str">
        <f>"20190303154937080"</f>
        <v>20190303154937080</v>
      </c>
      <c r="B6349" t="str">
        <f>"1551599377066708"</f>
        <v>1551599377066708</v>
      </c>
      <c r="C6349" t="s">
        <v>40</v>
      </c>
      <c r="D6349">
        <v>5.4073969999999996</v>
      </c>
      <c r="E6349">
        <v>0.4663948</v>
      </c>
      <c r="F6349" t="s">
        <v>65</v>
      </c>
      <c r="G6349">
        <v>-379.38499999999999</v>
      </c>
      <c r="H6349" s="1">
        <v>-5.384988E-7</v>
      </c>
      <c r="I6349">
        <v>20.620930000000001</v>
      </c>
      <c r="J6349">
        <v>-398.01049999999998</v>
      </c>
      <c r="K6349">
        <v>1.1222030000000001</v>
      </c>
      <c r="L6349">
        <v>18.436340000000001</v>
      </c>
      <c r="M6349">
        <v>0.9886895</v>
      </c>
      <c r="N6349">
        <v>-1.32208E-2</v>
      </c>
      <c r="O6349">
        <v>-0.14939379999999999</v>
      </c>
      <c r="P6349">
        <v>0.99382079999999995</v>
      </c>
      <c r="Q6349">
        <v>-0.1058597</v>
      </c>
      <c r="R6349">
        <v>3.3382420000000003E-2</v>
      </c>
      <c r="S6349">
        <v>2.9887999999999999</v>
      </c>
      <c r="T6349">
        <v>-0.17854289999999901</v>
      </c>
      <c r="U6349">
        <v>0.34414670000000003</v>
      </c>
      <c r="V6349">
        <v>-0.181172</v>
      </c>
      <c r="W6349">
        <v>-9.3545980000000001E-2</v>
      </c>
      <c r="X6349">
        <v>0.97899230000000004</v>
      </c>
      <c r="Y6349">
        <v>-0.26080999999999999</v>
      </c>
      <c r="Z6349">
        <v>1.640171E-2</v>
      </c>
      <c r="AA6349">
        <v>0.96525079999999996</v>
      </c>
      <c r="AB6349">
        <v>18</v>
      </c>
      <c r="AC6349">
        <v>18.625499999999899</v>
      </c>
      <c r="AD6349">
        <v>-1.1222035384988001</v>
      </c>
      <c r="AE6349">
        <v>2.18459</v>
      </c>
      <c r="AF6349">
        <v>-4.9252101211314203</v>
      </c>
      <c r="AG6349">
        <v>-1.1222035384988001</v>
      </c>
      <c r="AH6349">
        <v>18.0255033736318</v>
      </c>
      <c r="AI6349">
        <v>93.436770154252699</v>
      </c>
      <c r="AJ6349">
        <v>105.282226501105</v>
      </c>
      <c r="AK6349">
        <v>18.719930752861401</v>
      </c>
      <c r="AL6349">
        <v>95.367637726980306</v>
      </c>
      <c r="AM6349">
        <v>100.484524264737</v>
      </c>
      <c r="AN6349">
        <v>1.00000003370872</v>
      </c>
    </row>
    <row r="6350" spans="1:40" x14ac:dyDescent="0.25">
      <c r="A6350" t="str">
        <f>"20190303154937093"</f>
        <v>20190303154937093</v>
      </c>
      <c r="B6350" t="str">
        <f>"1551599377087205"</f>
        <v>1551599377087205</v>
      </c>
      <c r="C6350" t="s">
        <v>40</v>
      </c>
      <c r="D6350">
        <v>5.3886250000000002</v>
      </c>
      <c r="E6350">
        <v>0.46548669999999998</v>
      </c>
      <c r="F6350" t="s">
        <v>65</v>
      </c>
      <c r="G6350">
        <v>-379.50659999999999</v>
      </c>
      <c r="H6350" s="1">
        <v>-4.9952390000000003E-7</v>
      </c>
      <c r="I6350">
        <v>20.69049</v>
      </c>
      <c r="J6350">
        <v>-397.9033</v>
      </c>
      <c r="K6350">
        <v>1.1222049999999999</v>
      </c>
      <c r="L6350">
        <v>18.42221</v>
      </c>
      <c r="M6350">
        <v>0.98894490000000002</v>
      </c>
      <c r="N6350">
        <v>-1.325373E-2</v>
      </c>
      <c r="O6350">
        <v>-0.14769009999999999</v>
      </c>
      <c r="P6350">
        <v>0.99377879999999996</v>
      </c>
      <c r="Q6350">
        <v>-0.10574939999999999</v>
      </c>
      <c r="R6350">
        <v>3.493338E-2</v>
      </c>
      <c r="S6350">
        <v>2.9871219999999998</v>
      </c>
      <c r="T6350">
        <v>-0.1811593</v>
      </c>
      <c r="U6350">
        <v>0.36389159999999998</v>
      </c>
      <c r="V6350">
        <v>-0.18101619999999999</v>
      </c>
      <c r="W6350">
        <v>-9.3401230000000002E-2</v>
      </c>
      <c r="X6350">
        <v>0.97903490000000004</v>
      </c>
      <c r="Y6350">
        <v>-0.26546740000000002</v>
      </c>
      <c r="Z6350">
        <v>1.6742E-2</v>
      </c>
      <c r="AA6350">
        <v>0.96397449999999996</v>
      </c>
      <c r="AB6350">
        <v>18</v>
      </c>
      <c r="AC6350">
        <v>18.396699999999999</v>
      </c>
      <c r="AD6350">
        <v>-1.1222054995238999</v>
      </c>
      <c r="AE6350">
        <v>2.2682799999999999</v>
      </c>
      <c r="AF6350">
        <v>-4.9425340273756504</v>
      </c>
      <c r="AG6350">
        <v>-1.1222054995238999</v>
      </c>
      <c r="AH6350">
        <v>17.794665279944098</v>
      </c>
      <c r="AI6350">
        <v>93.477234957863999</v>
      </c>
      <c r="AJ6350">
        <v>105.522829973596</v>
      </c>
      <c r="AK6350">
        <v>18.502380933819801</v>
      </c>
      <c r="AL6350">
        <v>95.359307900736198</v>
      </c>
      <c r="AM6350">
        <v>100.475261979374</v>
      </c>
      <c r="AN6350">
        <v>0.99999999492298097</v>
      </c>
    </row>
    <row r="6351" spans="1:40" x14ac:dyDescent="0.25">
      <c r="A6351" t="str">
        <f>"20190303154937105"</f>
        <v>20190303154937105</v>
      </c>
      <c r="B6351" t="str">
        <f>"1551599377096965"</f>
        <v>1551599377096965</v>
      </c>
      <c r="C6351" t="s">
        <v>40</v>
      </c>
      <c r="D6351">
        <v>5.3933619999999998</v>
      </c>
      <c r="E6351">
        <v>0.46530290000000002</v>
      </c>
      <c r="F6351" t="s">
        <v>65</v>
      </c>
      <c r="G6351">
        <v>-379.64690000000002</v>
      </c>
      <c r="H6351" s="1">
        <v>-4.4116140000000001E-7</v>
      </c>
      <c r="I6351">
        <v>20.720359999999999</v>
      </c>
      <c r="J6351">
        <v>-397.80340000000001</v>
      </c>
      <c r="K6351">
        <v>1.1222030000000001</v>
      </c>
      <c r="L6351">
        <v>18.409179999999999</v>
      </c>
      <c r="M6351">
        <v>0.98918059999999997</v>
      </c>
      <c r="N6351">
        <v>-1.328083E-2</v>
      </c>
      <c r="O6351">
        <v>-0.1461006</v>
      </c>
      <c r="P6351">
        <v>0.99372859999999996</v>
      </c>
      <c r="Q6351">
        <v>-0.1056154</v>
      </c>
      <c r="R6351">
        <v>3.6728040000000003E-2</v>
      </c>
      <c r="S6351">
        <v>2.9860229999999999</v>
      </c>
      <c r="T6351">
        <v>-0.18354760000000001</v>
      </c>
      <c r="U6351">
        <v>0.37588500000000002</v>
      </c>
      <c r="V6351">
        <v>-0.18121399999999999</v>
      </c>
      <c r="W6351">
        <v>-9.3240429999999999E-2</v>
      </c>
      <c r="X6351">
        <v>0.97901360000000004</v>
      </c>
      <c r="Y6351">
        <v>-0.26775019999999999</v>
      </c>
      <c r="Z6351">
        <v>1.6977490000000001E-2</v>
      </c>
      <c r="AA6351">
        <v>0.96333880000000005</v>
      </c>
      <c r="AB6351">
        <v>18</v>
      </c>
      <c r="AC6351">
        <v>18.156499999999902</v>
      </c>
      <c r="AD6351">
        <v>-1.1222034411613999</v>
      </c>
      <c r="AE6351">
        <v>2.3111799999999998</v>
      </c>
      <c r="AF6351">
        <v>-4.9207871702920203</v>
      </c>
      <c r="AG6351">
        <v>-1.1222034411613999</v>
      </c>
      <c r="AH6351">
        <v>17.557942627777301</v>
      </c>
      <c r="AI6351">
        <v>93.521712836789803</v>
      </c>
      <c r="AJ6351">
        <v>105.656053879336</v>
      </c>
      <c r="AK6351">
        <v>18.268958269671099</v>
      </c>
      <c r="AL6351">
        <v>95.350054543561498</v>
      </c>
      <c r="AM6351">
        <v>100.48667781570499</v>
      </c>
      <c r="AN6351">
        <v>0.99999996028377103</v>
      </c>
    </row>
    <row r="6352" spans="1:40" x14ac:dyDescent="0.25">
      <c r="A6352" t="str">
        <f>"20190303154937125"</f>
        <v>20190303154937125</v>
      </c>
      <c r="B6352" t="str">
        <f>"1551599377117461"</f>
        <v>1551599377117461</v>
      </c>
      <c r="C6352" t="s">
        <v>40</v>
      </c>
      <c r="D6352">
        <v>5.3975239999999998</v>
      </c>
      <c r="E6352">
        <v>0.4653504</v>
      </c>
      <c r="F6352" t="s">
        <v>65</v>
      </c>
      <c r="G6352">
        <v>-379.51229999999998</v>
      </c>
      <c r="H6352" s="1">
        <v>-5.1385169999999998E-7</v>
      </c>
      <c r="I6352">
        <v>20.75451</v>
      </c>
      <c r="J6352">
        <v>-397.64670000000001</v>
      </c>
      <c r="K6352">
        <v>1.1221969999999999</v>
      </c>
      <c r="L6352">
        <v>18.38907</v>
      </c>
      <c r="M6352">
        <v>0.98954529999999996</v>
      </c>
      <c r="N6352">
        <v>-1.33132999999999E-2</v>
      </c>
      <c r="O6352">
        <v>-0.14360729999999999</v>
      </c>
      <c r="P6352">
        <v>0.99366889999999997</v>
      </c>
      <c r="Q6352">
        <v>-0.1053277</v>
      </c>
      <c r="R6352">
        <v>3.9097220000000002E-2</v>
      </c>
      <c r="S6352">
        <v>2.9852910000000001</v>
      </c>
      <c r="T6352">
        <v>-0.18315519999999999</v>
      </c>
      <c r="U6352">
        <v>0.38278200000000001</v>
      </c>
      <c r="V6352">
        <v>-0.1810879</v>
      </c>
      <c r="W6352">
        <v>-9.2917730000000004E-2</v>
      </c>
      <c r="X6352">
        <v>0.97906769999999999</v>
      </c>
      <c r="Y6352">
        <v>-0.26754840000000002</v>
      </c>
      <c r="Z6352">
        <v>1.6817209999999999E-2</v>
      </c>
      <c r="AA6352">
        <v>0.96339759999999997</v>
      </c>
      <c r="AB6352">
        <v>18</v>
      </c>
      <c r="AC6352">
        <v>18.134399999999999</v>
      </c>
      <c r="AD6352">
        <v>-1.1221975138517</v>
      </c>
      <c r="AE6352">
        <v>2.3654399999999902</v>
      </c>
      <c r="AF6352">
        <v>-4.9268288220569003</v>
      </c>
      <c r="AG6352">
        <v>-1.1221975138517</v>
      </c>
      <c r="AH6352">
        <v>17.540627905627201</v>
      </c>
      <c r="AI6352">
        <v>93.524593877474501</v>
      </c>
      <c r="AJ6352">
        <v>105.68904272674</v>
      </c>
      <c r="AK6352">
        <v>18.253947431326001</v>
      </c>
      <c r="AL6352">
        <v>95.331484115566596</v>
      </c>
      <c r="AM6352">
        <v>100.47897600882899</v>
      </c>
      <c r="AN6352">
        <v>1.00000004662902</v>
      </c>
    </row>
    <row r="6353" spans="1:40" x14ac:dyDescent="0.25">
      <c r="A6353" t="str">
        <f>"20190303154937136"</f>
        <v>20190303154937136</v>
      </c>
      <c r="B6353" t="str">
        <f>"1551599377127221"</f>
        <v>1551599377127221</v>
      </c>
      <c r="C6353" t="s">
        <v>40</v>
      </c>
      <c r="D6353">
        <v>5.3677029999999997</v>
      </c>
      <c r="E6353">
        <v>0.46536959999999999</v>
      </c>
      <c r="F6353" t="s">
        <v>65</v>
      </c>
      <c r="G6353">
        <v>-378.94099999999997</v>
      </c>
      <c r="H6353" s="1">
        <v>-8.039154E-7</v>
      </c>
      <c r="I6353">
        <v>20.82968</v>
      </c>
      <c r="J6353">
        <v>-397.54610000000002</v>
      </c>
      <c r="K6353">
        <v>1.1221950000000001</v>
      </c>
      <c r="L6353">
        <v>18.376370000000001</v>
      </c>
      <c r="M6353">
        <v>0.98977649999999995</v>
      </c>
      <c r="N6353">
        <v>-1.33285E-2</v>
      </c>
      <c r="O6353">
        <v>-0.14200360000000001</v>
      </c>
      <c r="P6353">
        <v>0.99362680000000003</v>
      </c>
      <c r="Q6353">
        <v>-0.1051718</v>
      </c>
      <c r="R6353">
        <v>4.0558289999999997E-2</v>
      </c>
      <c r="S6353">
        <v>2.984772</v>
      </c>
      <c r="T6353">
        <v>-0.179063</v>
      </c>
      <c r="U6353">
        <v>0.38943480000000003</v>
      </c>
      <c r="V6353">
        <v>-0.18094470000000001</v>
      </c>
      <c r="W6353">
        <v>-9.2744460000000001E-2</v>
      </c>
      <c r="X6353">
        <v>0.97911049999999999</v>
      </c>
      <c r="Y6353">
        <v>-0.26815440000000001</v>
      </c>
      <c r="Z6353">
        <v>1.638885E-2</v>
      </c>
      <c r="AA6353">
        <v>0.96323650000000005</v>
      </c>
      <c r="AB6353">
        <v>18</v>
      </c>
      <c r="AC6353">
        <v>18.6051</v>
      </c>
      <c r="AD6353">
        <v>-1.1221958039153901</v>
      </c>
      <c r="AE6353">
        <v>2.4533099999999899</v>
      </c>
      <c r="AF6353">
        <v>-5.0526020386179598</v>
      </c>
      <c r="AG6353">
        <v>-1.1221958039153901</v>
      </c>
      <c r="AH6353">
        <v>18.003735371402399</v>
      </c>
      <c r="AI6353">
        <v>93.434359067686501</v>
      </c>
      <c r="AJ6353">
        <v>105.676343781555</v>
      </c>
      <c r="AK6353">
        <v>18.732928177582298</v>
      </c>
      <c r="AL6353">
        <v>95.3215139625284</v>
      </c>
      <c r="AM6353">
        <v>100.47042523569699</v>
      </c>
      <c r="AN6353">
        <v>0.99999994526451397</v>
      </c>
    </row>
    <row r="6354" spans="1:40" x14ac:dyDescent="0.25">
      <c r="A6354" t="str">
        <f>"20190303154937149"</f>
        <v>20190303154937149</v>
      </c>
      <c r="B6354" t="str">
        <f>"1551599377136981"</f>
        <v>1551599377136981</v>
      </c>
      <c r="C6354" t="s">
        <v>40</v>
      </c>
      <c r="D6354">
        <v>5.3534959999999998</v>
      </c>
      <c r="E6354">
        <v>0.46531889999999998</v>
      </c>
      <c r="F6354" t="s">
        <v>65</v>
      </c>
      <c r="G6354">
        <v>-378.66550000000001</v>
      </c>
      <c r="H6354" s="1">
        <v>-9.4403620000000001E-7</v>
      </c>
      <c r="I6354">
        <v>20.86693</v>
      </c>
      <c r="J6354">
        <v>-397.44839999999999</v>
      </c>
      <c r="K6354">
        <v>1.1221920000000001</v>
      </c>
      <c r="L6354">
        <v>18.364229999999999</v>
      </c>
      <c r="M6354">
        <v>0.98999820000000005</v>
      </c>
      <c r="N6354">
        <v>-1.3339429999999999E-2</v>
      </c>
      <c r="O6354">
        <v>-0.14044799999999999</v>
      </c>
      <c r="P6354">
        <v>0.99356929999999999</v>
      </c>
      <c r="Q6354">
        <v>-0.1050529</v>
      </c>
      <c r="R6354">
        <v>4.2237320000000002E-2</v>
      </c>
      <c r="S6354">
        <v>2.9844059999999999</v>
      </c>
      <c r="T6354">
        <v>-0.17738319999999999</v>
      </c>
      <c r="U6354">
        <v>0.39367679999999999</v>
      </c>
      <c r="V6354">
        <v>-0.1810631</v>
      </c>
      <c r="W6354">
        <v>-9.2614260000000004E-2</v>
      </c>
      <c r="X6354">
        <v>0.979101</v>
      </c>
      <c r="Y6354">
        <v>-0.26801730000000001</v>
      </c>
      <c r="Z6354">
        <v>1.615954E-2</v>
      </c>
      <c r="AA6354">
        <v>0.96327859999999998</v>
      </c>
      <c r="AB6354">
        <v>18</v>
      </c>
      <c r="AC6354">
        <v>18.782899999999898</v>
      </c>
      <c r="AD6354">
        <v>-1.1221929440362</v>
      </c>
      <c r="AE6354">
        <v>2.5026999999999999</v>
      </c>
      <c r="AF6354">
        <v>-5.0982634981571904</v>
      </c>
      <c r="AG6354">
        <v>-1.1221929440362</v>
      </c>
      <c r="AH6354">
        <v>18.181394433099001</v>
      </c>
      <c r="AI6354">
        <v>93.401074513111993</v>
      </c>
      <c r="AJ6354">
        <v>105.664082175671</v>
      </c>
      <c r="AK6354">
        <v>18.9159908868717</v>
      </c>
      <c r="AL6354">
        <v>95.314021472313001</v>
      </c>
      <c r="AM6354">
        <v>100.477224235497</v>
      </c>
      <c r="AN6354">
        <v>1.0000000077689699</v>
      </c>
    </row>
    <row r="6355" spans="1:40" x14ac:dyDescent="0.25">
      <c r="A6355" t="str">
        <f>"20190303154937171"</f>
        <v>20190303154937171</v>
      </c>
      <c r="B6355" t="str">
        <f>"1551599377157476"</f>
        <v>1551599377157476</v>
      </c>
      <c r="C6355" t="s">
        <v>40</v>
      </c>
      <c r="D6355">
        <v>5.3522780000000001</v>
      </c>
      <c r="E6355">
        <v>0.46552500000000002</v>
      </c>
      <c r="F6355" t="s">
        <v>65</v>
      </c>
      <c r="G6355">
        <v>-378.31330000000003</v>
      </c>
      <c r="H6355" s="1">
        <v>-1.1254780000000001E-6</v>
      </c>
      <c r="I6355">
        <v>20.923010000000001</v>
      </c>
      <c r="J6355">
        <v>-397.28640000000001</v>
      </c>
      <c r="K6355">
        <v>1.12219</v>
      </c>
      <c r="L6355">
        <v>18.34442</v>
      </c>
      <c r="M6355">
        <v>0.99036069999999998</v>
      </c>
      <c r="N6355">
        <v>-1.335327E-2</v>
      </c>
      <c r="O6355">
        <v>-0.13786860000000001</v>
      </c>
      <c r="P6355">
        <v>0.99352989999999997</v>
      </c>
      <c r="Q6355">
        <v>-0.10454720000000001</v>
      </c>
      <c r="R6355">
        <v>4.436756E-2</v>
      </c>
      <c r="S6355">
        <v>2.9839479999999998</v>
      </c>
      <c r="T6355">
        <v>-0.1749954</v>
      </c>
      <c r="U6355">
        <v>0.39901730000000002</v>
      </c>
      <c r="V6355">
        <v>-0.18062239999999999</v>
      </c>
      <c r="W6355">
        <v>-9.2089679999999993E-2</v>
      </c>
      <c r="X6355">
        <v>0.97923190000000004</v>
      </c>
      <c r="Y6355">
        <v>-0.26724429999999999</v>
      </c>
      <c r="Z6355">
        <v>1.5799199999999999E-2</v>
      </c>
      <c r="AA6355">
        <v>0.9634992</v>
      </c>
      <c r="AB6355">
        <v>18</v>
      </c>
      <c r="AC6355">
        <v>18.973099999999899</v>
      </c>
      <c r="AD6355">
        <v>-1.1221911254779999</v>
      </c>
      <c r="AE6355">
        <v>2.5785900000000002</v>
      </c>
      <c r="AF6355">
        <v>-5.15229153261674</v>
      </c>
      <c r="AG6355">
        <v>-1.1221911254779999</v>
      </c>
      <c r="AH6355">
        <v>18.373236884480399</v>
      </c>
      <c r="AI6355">
        <v>93.3656280462734</v>
      </c>
      <c r="AJ6355">
        <v>105.66475665597299</v>
      </c>
      <c r="AK6355">
        <v>19.114948458533899</v>
      </c>
      <c r="AL6355">
        <v>95.283836097106899</v>
      </c>
      <c r="AM6355">
        <v>100.450919361159</v>
      </c>
      <c r="AN6355">
        <v>1.0000000372609299</v>
      </c>
    </row>
    <row r="6356" spans="1:40" x14ac:dyDescent="0.25">
      <c r="A6356" t="str">
        <f>"20190303154937193"</f>
        <v>20190303154937193</v>
      </c>
      <c r="B6356" t="str">
        <f>"1551599377186756"</f>
        <v>1551599377186756</v>
      </c>
      <c r="C6356" t="s">
        <v>40</v>
      </c>
      <c r="D6356">
        <v>5.3431920000000002</v>
      </c>
      <c r="E6356">
        <v>0.46590500000000001</v>
      </c>
      <c r="F6356" t="s">
        <v>65</v>
      </c>
      <c r="G6356">
        <v>-377.4418</v>
      </c>
      <c r="H6356" s="1">
        <v>-1.5658830000000001E-6</v>
      </c>
      <c r="I6356">
        <v>21.02993</v>
      </c>
      <c r="J6356">
        <v>-397.10550000000001</v>
      </c>
      <c r="K6356">
        <v>1.1221890000000001</v>
      </c>
      <c r="L6356">
        <v>18.322749999999999</v>
      </c>
      <c r="M6356">
        <v>0.99075729999999995</v>
      </c>
      <c r="N6356">
        <v>-1.3364310000000001E-2</v>
      </c>
      <c r="O6356">
        <v>-0.13498669999999999</v>
      </c>
      <c r="P6356">
        <v>0.99341970000000002</v>
      </c>
      <c r="Q6356">
        <v>-0.1043973</v>
      </c>
      <c r="R6356">
        <v>4.7101520000000001E-2</v>
      </c>
      <c r="S6356">
        <v>2.9837340000000001</v>
      </c>
      <c r="T6356">
        <v>-0.16872670000000001</v>
      </c>
      <c r="U6356">
        <v>0.40377809999999997</v>
      </c>
      <c r="V6356">
        <v>-0.18047240000000001</v>
      </c>
      <c r="W6356">
        <v>-9.1925870000000007E-2</v>
      </c>
      <c r="X6356">
        <v>0.97927489999999995</v>
      </c>
      <c r="Y6356">
        <v>-0.26601340000000001</v>
      </c>
      <c r="Z6356">
        <v>1.50665E-2</v>
      </c>
      <c r="AA6356">
        <v>0.96385160000000003</v>
      </c>
      <c r="AB6356">
        <v>18</v>
      </c>
      <c r="AC6356">
        <v>19.663699999999999</v>
      </c>
      <c r="AD6356">
        <v>-1.12219056588299</v>
      </c>
      <c r="AE6356">
        <v>2.7071800000000001</v>
      </c>
      <c r="AF6356">
        <v>-5.3199685969474597</v>
      </c>
      <c r="AG6356">
        <v>-1.12219056588299</v>
      </c>
      <c r="AH6356">
        <v>19.057315031499801</v>
      </c>
      <c r="AI6356">
        <v>93.246142539435397</v>
      </c>
      <c r="AJ6356">
        <v>105.597407896224</v>
      </c>
      <c r="AK6356">
        <v>19.8177353334959</v>
      </c>
      <c r="AL6356">
        <v>95.274410738473307</v>
      </c>
      <c r="AM6356">
        <v>100.441982828714</v>
      </c>
      <c r="AN6356">
        <v>0.99999999125351302</v>
      </c>
    </row>
    <row r="6357" spans="1:40" x14ac:dyDescent="0.25">
      <c r="A6357" t="str">
        <f>"20190303154937216"</f>
        <v>20190303154937216</v>
      </c>
      <c r="B6357" t="str">
        <f>"1551599377207253"</f>
        <v>1551599377207253</v>
      </c>
      <c r="C6357" t="s">
        <v>40</v>
      </c>
      <c r="D6357">
        <v>5.3995290000000002</v>
      </c>
      <c r="E6357">
        <v>0.46613090000000001</v>
      </c>
      <c r="F6357" t="s">
        <v>65</v>
      </c>
      <c r="G6357">
        <v>-376.84010000000001</v>
      </c>
      <c r="H6357" s="1">
        <v>-1.8691809999999999E-6</v>
      </c>
      <c r="I6357">
        <v>21.1008</v>
      </c>
      <c r="J6357">
        <v>-396.92669999999998</v>
      </c>
      <c r="K6357">
        <v>1.1221890000000001</v>
      </c>
      <c r="L6357">
        <v>18.301880000000001</v>
      </c>
      <c r="M6357">
        <v>0.99114080000000004</v>
      </c>
      <c r="N6357">
        <v>-1.337236E-2</v>
      </c>
      <c r="O6357">
        <v>-0.13214100000000001</v>
      </c>
      <c r="P6357">
        <v>0.99329970000000001</v>
      </c>
      <c r="Q6357">
        <v>-0.10438600000000001</v>
      </c>
      <c r="R6357">
        <v>4.9593810000000002E-2</v>
      </c>
      <c r="S6357">
        <v>2.9831240000000001</v>
      </c>
      <c r="T6357">
        <v>-0.16518949999999999</v>
      </c>
      <c r="U6357">
        <v>0.40893550000000001</v>
      </c>
      <c r="V6357">
        <v>-0.18011930000000001</v>
      </c>
      <c r="W6357">
        <v>-9.1902570000000003E-2</v>
      </c>
      <c r="X6357">
        <v>0.97934209999999999</v>
      </c>
      <c r="Y6357">
        <v>-0.26493820000000001</v>
      </c>
      <c r="Z6357">
        <v>1.4597540000000001E-2</v>
      </c>
      <c r="AA6357">
        <v>0.96415490000000004</v>
      </c>
      <c r="AB6357">
        <v>18</v>
      </c>
      <c r="AC6357">
        <v>20.086599999999901</v>
      </c>
      <c r="AD6357">
        <v>-1.1221908691810001</v>
      </c>
      <c r="AE6357">
        <v>2.7989199999999901</v>
      </c>
      <c r="AF6357">
        <v>-5.4123011452915799</v>
      </c>
      <c r="AG6357">
        <v>-1.1221908691810001</v>
      </c>
      <c r="AH6357">
        <v>19.480896909126798</v>
      </c>
      <c r="AI6357">
        <v>93.1767968245736</v>
      </c>
      <c r="AJ6357">
        <v>105.526680019699</v>
      </c>
      <c r="AK6357">
        <v>20.249880503801101</v>
      </c>
      <c r="AL6357">
        <v>95.273070042760295</v>
      </c>
      <c r="AM6357">
        <v>100.421301390628</v>
      </c>
      <c r="AN6357">
        <v>0.99999999671875195</v>
      </c>
    </row>
    <row r="6358" spans="1:40" x14ac:dyDescent="0.25">
      <c r="A6358" t="str">
        <f>"20190303154937228"</f>
        <v>20190303154937228</v>
      </c>
      <c r="B6358" t="str">
        <f>"1551599377217014"</f>
        <v>1551599377217014</v>
      </c>
      <c r="C6358" t="s">
        <v>40</v>
      </c>
      <c r="D6358">
        <v>5.3788689999999999</v>
      </c>
      <c r="E6358">
        <v>0.46622940000000002</v>
      </c>
      <c r="F6358" t="s">
        <v>65</v>
      </c>
      <c r="G6358">
        <v>-376.32819999999998</v>
      </c>
      <c r="H6358" s="1">
        <v>-2.1283539999999998E-6</v>
      </c>
      <c r="I6358">
        <v>21.165430000000001</v>
      </c>
      <c r="J6358">
        <v>-396.822</v>
      </c>
      <c r="K6358">
        <v>1.1221840000000001</v>
      </c>
      <c r="L6358">
        <v>18.28989</v>
      </c>
      <c r="M6358">
        <v>0.99136159999999995</v>
      </c>
      <c r="N6358">
        <v>-1.337584E-2</v>
      </c>
      <c r="O6358">
        <v>-0.13047329999999999</v>
      </c>
      <c r="P6358">
        <v>0.993197</v>
      </c>
      <c r="Q6358">
        <v>-0.1045744</v>
      </c>
      <c r="R6358">
        <v>5.1224619999999998E-2</v>
      </c>
      <c r="S6358">
        <v>2.9824519999999999</v>
      </c>
      <c r="T6358">
        <v>-0.1624815</v>
      </c>
      <c r="U6358">
        <v>0.41461179999999997</v>
      </c>
      <c r="V6358">
        <v>-0.18007699999999999</v>
      </c>
      <c r="W6358">
        <v>-9.2086370000000001E-2</v>
      </c>
      <c r="X6358">
        <v>0.9793326</v>
      </c>
      <c r="Y6358">
        <v>-0.26516650000000003</v>
      </c>
      <c r="Z6358">
        <v>1.4300770000000001E-2</v>
      </c>
      <c r="AA6358">
        <v>0.96409659999999997</v>
      </c>
      <c r="AB6358">
        <v>18</v>
      </c>
      <c r="AC6358">
        <v>20.493799999999901</v>
      </c>
      <c r="AD6358">
        <v>-1.122186128354</v>
      </c>
      <c r="AE6358">
        <v>2.8755399999999902</v>
      </c>
      <c r="AF6358">
        <v>-5.50888912453647</v>
      </c>
      <c r="AG6358">
        <v>-1.122186128354</v>
      </c>
      <c r="AH6358">
        <v>19.884898073089499</v>
      </c>
      <c r="AI6358">
        <v>93.1129989729355</v>
      </c>
      <c r="AJ6358">
        <v>105.48479838199199</v>
      </c>
      <c r="AK6358">
        <v>20.6643735078096</v>
      </c>
      <c r="AL6358">
        <v>95.2836459239509</v>
      </c>
      <c r="AM6358">
        <v>100.419006464612</v>
      </c>
      <c r="AN6358">
        <v>0.99999998344576801</v>
      </c>
    </row>
    <row r="6359" spans="1:40" x14ac:dyDescent="0.25">
      <c r="A6359" t="str">
        <f>"20190303154937248"</f>
        <v>20190303154937248</v>
      </c>
      <c r="B6359" t="str">
        <f>"1551599377237508"</f>
        <v>1551599377237508</v>
      </c>
      <c r="C6359" t="s">
        <v>40</v>
      </c>
      <c r="D6359">
        <v>5.3794810000000002</v>
      </c>
      <c r="E6359">
        <v>0.46660469999999998</v>
      </c>
      <c r="F6359" t="s">
        <v>65</v>
      </c>
      <c r="G6359">
        <v>-376.24639999999999</v>
      </c>
      <c r="H6359" s="1">
        <v>-2.170745E-6</v>
      </c>
      <c r="I6359">
        <v>21.17944</v>
      </c>
      <c r="J6359">
        <v>-396.66829999999999</v>
      </c>
      <c r="K6359">
        <v>1.122182</v>
      </c>
      <c r="L6359">
        <v>18.272639999999999</v>
      </c>
      <c r="M6359">
        <v>0.99168040000000002</v>
      </c>
      <c r="N6359">
        <v>-1.33822E-2</v>
      </c>
      <c r="O6359">
        <v>-0.1280261</v>
      </c>
      <c r="P6359">
        <v>0.9930563</v>
      </c>
      <c r="Q6359">
        <v>-0.104736999999999</v>
      </c>
      <c r="R6359">
        <v>5.3565729999999999E-2</v>
      </c>
      <c r="S6359">
        <v>2.9818730000000002</v>
      </c>
      <c r="T6359">
        <v>-0.16263039999999901</v>
      </c>
      <c r="U6359">
        <v>0.41876219999999997</v>
      </c>
      <c r="V6359">
        <v>-0.17996699999999999</v>
      </c>
      <c r="W6359">
        <v>-9.2240420000000004E-2</v>
      </c>
      <c r="X6359">
        <v>0.97933829999999999</v>
      </c>
      <c r="Y6359">
        <v>-0.26413150000000002</v>
      </c>
      <c r="Z6359">
        <v>1.418089E-2</v>
      </c>
      <c r="AA6359">
        <v>0.96438239999999997</v>
      </c>
      <c r="AB6359">
        <v>18</v>
      </c>
      <c r="AC6359">
        <v>20.421899999999901</v>
      </c>
      <c r="AD6359">
        <v>-1.122184170745</v>
      </c>
      <c r="AE6359">
        <v>2.9068000000000001</v>
      </c>
      <c r="AF6359">
        <v>-5.4814231635355899</v>
      </c>
      <c r="AG6359">
        <v>-1.122184170745</v>
      </c>
      <c r="AH6359">
        <v>19.822967189978399</v>
      </c>
      <c r="AI6359">
        <v>93.123116631621201</v>
      </c>
      <c r="AJ6359">
        <v>105.45712253643801</v>
      </c>
      <c r="AK6359">
        <v>20.597459198303401</v>
      </c>
      <c r="AL6359">
        <v>95.292510184727007</v>
      </c>
      <c r="AM6359">
        <v>100.412721994009</v>
      </c>
      <c r="AN6359">
        <v>0.99999996100883204</v>
      </c>
    </row>
    <row r="6360" spans="1:40" x14ac:dyDescent="0.25">
      <c r="A6360" t="str">
        <f>"20190303154937261"</f>
        <v>20190303154937261</v>
      </c>
      <c r="B6360" t="str">
        <f>"1551599377257029"</f>
        <v>1551599377257029</v>
      </c>
      <c r="C6360" t="s">
        <v>40</v>
      </c>
      <c r="D6360">
        <v>5.3948589999999896</v>
      </c>
      <c r="E6360">
        <v>0.4667557</v>
      </c>
      <c r="F6360" t="s">
        <v>65</v>
      </c>
      <c r="G6360">
        <v>-375.91129999999998</v>
      </c>
      <c r="H6360" s="1">
        <v>-2.3389970000000001E-6</v>
      </c>
      <c r="I6360">
        <v>21.216609999999999</v>
      </c>
      <c r="J6360">
        <v>-396.5575</v>
      </c>
      <c r="K6360">
        <v>1.1221909999999999</v>
      </c>
      <c r="L6360">
        <v>18.260380000000001</v>
      </c>
      <c r="M6360">
        <v>0.99190639999999997</v>
      </c>
      <c r="N6360">
        <v>-1.3389740000000001E-2</v>
      </c>
      <c r="O6360">
        <v>-0.12626289999999901</v>
      </c>
      <c r="P6360">
        <v>0.99296600000000002</v>
      </c>
      <c r="Q6360">
        <v>-0.1046685</v>
      </c>
      <c r="R6360">
        <v>5.5345079999999998E-2</v>
      </c>
      <c r="S6360">
        <v>2.9811709999999998</v>
      </c>
      <c r="T6360">
        <v>-0.1611716</v>
      </c>
      <c r="U6360">
        <v>0.422821</v>
      </c>
      <c r="V6360">
        <v>-0.17998229999999901</v>
      </c>
      <c r="W6360">
        <v>-9.2163120000000001E-2</v>
      </c>
      <c r="X6360">
        <v>0.97934279999999996</v>
      </c>
      <c r="Y6360">
        <v>-0.26374789999999998</v>
      </c>
      <c r="Z6360">
        <v>1.3972979999999999E-2</v>
      </c>
      <c r="AA6360">
        <v>0.96449039999999997</v>
      </c>
      <c r="AB6360">
        <v>18</v>
      </c>
      <c r="AC6360">
        <v>20.6462</v>
      </c>
      <c r="AD6360">
        <v>-1.122193338997</v>
      </c>
      <c r="AE6360">
        <v>2.9562300000000001</v>
      </c>
      <c r="AF6360">
        <v>-5.5236586763470603</v>
      </c>
      <c r="AG6360">
        <v>-1.122193338997</v>
      </c>
      <c r="AH6360">
        <v>20.049596610100998</v>
      </c>
      <c r="AI6360">
        <v>93.088714152985304</v>
      </c>
      <c r="AJ6360">
        <v>105.40286777326401</v>
      </c>
      <c r="AK6360">
        <v>20.826820383597799</v>
      </c>
      <c r="AL6360">
        <v>95.288062096850794</v>
      </c>
      <c r="AM6360">
        <v>100.41354106892101</v>
      </c>
      <c r="AN6360">
        <v>0.99999999445663201</v>
      </c>
    </row>
    <row r="6361" spans="1:40" x14ac:dyDescent="0.25">
      <c r="A6361" t="str">
        <f>"20190303154937282"</f>
        <v>20190303154937282</v>
      </c>
      <c r="B6361" t="str">
        <f>"1551599377277524"</f>
        <v>1551599377277524</v>
      </c>
      <c r="C6361" t="s">
        <v>40</v>
      </c>
      <c r="D6361">
        <v>5.4086889999999999</v>
      </c>
      <c r="E6361">
        <v>0.46691139999999998</v>
      </c>
      <c r="F6361" t="s">
        <v>65</v>
      </c>
      <c r="G6361">
        <v>-375.62799999999999</v>
      </c>
      <c r="H6361" s="1">
        <v>-2.4840930000000001E-6</v>
      </c>
      <c r="I6361">
        <v>21.258479999999999</v>
      </c>
      <c r="J6361">
        <v>-396.4067</v>
      </c>
      <c r="K6361">
        <v>1.1221939999999999</v>
      </c>
      <c r="L6361">
        <v>18.244109999999999</v>
      </c>
      <c r="M6361">
        <v>0.99220870000000005</v>
      </c>
      <c r="N6361">
        <v>-1.3407560000000001E-2</v>
      </c>
      <c r="O6361">
        <v>-0.1238644</v>
      </c>
      <c r="P6361">
        <v>0.99282440000000005</v>
      </c>
      <c r="Q6361">
        <v>-0.1047323</v>
      </c>
      <c r="R6361">
        <v>5.7711970000000001E-2</v>
      </c>
      <c r="S6361">
        <v>2.9806520000000001</v>
      </c>
      <c r="T6361">
        <v>-0.15981579999999901</v>
      </c>
      <c r="U6361">
        <v>0.4269714</v>
      </c>
      <c r="V6361">
        <v>-0.17994939999999901</v>
      </c>
      <c r="W6361">
        <v>-9.220718E-2</v>
      </c>
      <c r="X6361">
        <v>0.97934469999999996</v>
      </c>
      <c r="Y6361">
        <v>-0.26276860000000002</v>
      </c>
      <c r="Z6361">
        <v>1.3729689999999999E-2</v>
      </c>
      <c r="AA6361">
        <v>0.96476119999999999</v>
      </c>
      <c r="AB6361">
        <v>18</v>
      </c>
      <c r="AC6361">
        <v>20.778699999999901</v>
      </c>
      <c r="AD6361">
        <v>-1.1221964840930001</v>
      </c>
      <c r="AE6361">
        <v>3.0143699999999898</v>
      </c>
      <c r="AF6361">
        <v>-5.5492725638502201</v>
      </c>
      <c r="AG6361">
        <v>-1.1221964840930001</v>
      </c>
      <c r="AH6361">
        <v>20.187582214515299</v>
      </c>
      <c r="AI6361">
        <v>93.068132494163606</v>
      </c>
      <c r="AJ6361">
        <v>105.37014913403399</v>
      </c>
      <c r="AK6361">
        <v>20.9664547934224</v>
      </c>
      <c r="AL6361">
        <v>95.290597336042893</v>
      </c>
      <c r="AM6361">
        <v>100.41165939331999</v>
      </c>
      <c r="AN6361">
        <v>0.99999999601100098</v>
      </c>
    </row>
    <row r="6362" spans="1:40" x14ac:dyDescent="0.25">
      <c r="A6362" t="str">
        <f>"20190303154937294"</f>
        <v>20190303154937294</v>
      </c>
      <c r="B6362" t="str">
        <f>"1551599377287285"</f>
        <v>1551599377287285</v>
      </c>
      <c r="C6362" t="s">
        <v>40</v>
      </c>
      <c r="D6362">
        <v>5.4072480000000001</v>
      </c>
      <c r="E6362">
        <v>0.46705770000000002</v>
      </c>
      <c r="F6362" t="s">
        <v>65</v>
      </c>
      <c r="G6362">
        <v>-375.5324</v>
      </c>
      <c r="H6362" s="1">
        <v>-2.5341649999999999E-6</v>
      </c>
      <c r="I6362">
        <v>21.276859999999999</v>
      </c>
      <c r="J6362">
        <v>-396.29820000000001</v>
      </c>
      <c r="K6362">
        <v>1.1221920000000001</v>
      </c>
      <c r="L6362">
        <v>18.23264</v>
      </c>
      <c r="M6362">
        <v>0.99242249999999999</v>
      </c>
      <c r="N6362">
        <v>-1.3424E-2</v>
      </c>
      <c r="O6362">
        <v>-0.1221373</v>
      </c>
      <c r="P6362">
        <v>0.99271889999999996</v>
      </c>
      <c r="Q6362">
        <v>-0.1047066</v>
      </c>
      <c r="R6362">
        <v>5.9545830000000001E-2</v>
      </c>
      <c r="S6362">
        <v>2.979584</v>
      </c>
      <c r="T6362">
        <v>-0.1601813</v>
      </c>
      <c r="U6362">
        <v>0.43289179999999999</v>
      </c>
      <c r="V6362">
        <v>-0.18005560000000001</v>
      </c>
      <c r="W6362">
        <v>-9.2164170000000004E-2</v>
      </c>
      <c r="X6362">
        <v>0.97932920000000001</v>
      </c>
      <c r="Y6362">
        <v>-0.26301409999999997</v>
      </c>
      <c r="Z6362">
        <v>1.3703720000000001E-2</v>
      </c>
      <c r="AA6362">
        <v>0.96469470000000002</v>
      </c>
      <c r="AB6362">
        <v>18</v>
      </c>
      <c r="AC6362">
        <v>20.765799999999999</v>
      </c>
      <c r="AD6362">
        <v>-1.1221945341649999</v>
      </c>
      <c r="AE6362">
        <v>3.0442200000000001</v>
      </c>
      <c r="AF6362">
        <v>-5.5420871011244497</v>
      </c>
      <c r="AG6362">
        <v>-1.1221945341649999</v>
      </c>
      <c r="AH6362">
        <v>20.180760996371401</v>
      </c>
      <c r="AI6362">
        <v>93.069368171716107</v>
      </c>
      <c r="AJ6362">
        <v>105.356130463771</v>
      </c>
      <c r="AK6362">
        <v>20.957985695233798</v>
      </c>
      <c r="AL6362">
        <v>95.288122656736803</v>
      </c>
      <c r="AM6362">
        <v>100.417830777669</v>
      </c>
      <c r="AN6362">
        <v>0.99999996764789401</v>
      </c>
    </row>
    <row r="6363" spans="1:40" x14ac:dyDescent="0.25">
      <c r="A6363" t="str">
        <f>"20190303154937306"</f>
        <v>20190303154937306</v>
      </c>
      <c r="B6363" t="str">
        <f>"1551599377297045"</f>
        <v>1551599377297045</v>
      </c>
      <c r="C6363" t="s">
        <v>40</v>
      </c>
      <c r="D6363">
        <v>5.4464829999999997</v>
      </c>
      <c r="E6363">
        <v>0.46705730000000001</v>
      </c>
      <c r="F6363" t="s">
        <v>65</v>
      </c>
      <c r="G6363">
        <v>-375.3159</v>
      </c>
      <c r="H6363" s="1">
        <v>-2.6459630000000002E-6</v>
      </c>
      <c r="I6363">
        <v>21.312429999999999</v>
      </c>
      <c r="J6363">
        <v>-396.20350000000002</v>
      </c>
      <c r="K6363">
        <v>1.1221939999999999</v>
      </c>
      <c r="L6363">
        <v>18.22278</v>
      </c>
      <c r="M6363">
        <v>0.99260660000000001</v>
      </c>
      <c r="N6363">
        <v>-1.343839E-2</v>
      </c>
      <c r="O6363">
        <v>-0.1206313</v>
      </c>
      <c r="P6363">
        <v>0.99258950000000001</v>
      </c>
      <c r="Q6363">
        <v>-0.10503129999999999</v>
      </c>
      <c r="R6363">
        <v>6.1113550000000003E-2</v>
      </c>
      <c r="S6363">
        <v>2.9789729999999999</v>
      </c>
      <c r="T6363">
        <v>-0.1593244</v>
      </c>
      <c r="U6363">
        <v>0.43725589999999998</v>
      </c>
      <c r="V6363">
        <v>-0.1801111</v>
      </c>
      <c r="W6363">
        <v>-9.2474180000000003E-2</v>
      </c>
      <c r="X6363">
        <v>0.97928979999999999</v>
      </c>
      <c r="Y6363">
        <v>-0.26296920000000001</v>
      </c>
      <c r="Z6363">
        <v>1.3571969999999999E-2</v>
      </c>
      <c r="AA6363">
        <v>0.96470869999999997</v>
      </c>
      <c r="AB6363">
        <v>18</v>
      </c>
      <c r="AC6363">
        <v>20.887599999999999</v>
      </c>
      <c r="AD6363">
        <v>-1.122196645963</v>
      </c>
      <c r="AE6363">
        <v>3.08964999999999</v>
      </c>
      <c r="AF6363">
        <v>-5.5712720471593</v>
      </c>
      <c r="AG6363">
        <v>-1.122196645963</v>
      </c>
      <c r="AH6363">
        <v>20.304942239708499</v>
      </c>
      <c r="AI6363">
        <v>93.050826045666199</v>
      </c>
      <c r="AJ6363">
        <v>105.34322544639301</v>
      </c>
      <c r="AK6363">
        <v>21.085281048484202</v>
      </c>
      <c r="AL6363">
        <v>95.305960943644195</v>
      </c>
      <c r="AM6363">
        <v>100.421381693276</v>
      </c>
      <c r="AN6363">
        <v>0.99999999734696099</v>
      </c>
    </row>
    <row r="6364" spans="1:40" x14ac:dyDescent="0.25">
      <c r="A6364" t="str">
        <f>"20190303154937326"</f>
        <v>20190303154937326</v>
      </c>
      <c r="B6364" t="str">
        <f>"1551599377317540"</f>
        <v>1551599377317540</v>
      </c>
      <c r="C6364" t="s">
        <v>40</v>
      </c>
      <c r="D6364">
        <v>5.3927180000000003</v>
      </c>
      <c r="E6364">
        <v>0.46725270000000002</v>
      </c>
      <c r="F6364" t="s">
        <v>65</v>
      </c>
      <c r="G6364">
        <v>-375.39940000000001</v>
      </c>
      <c r="H6364" s="1">
        <v>-2.6058410000000002E-6</v>
      </c>
      <c r="I6364">
        <v>21.31005</v>
      </c>
      <c r="J6364">
        <v>-396.05130000000003</v>
      </c>
      <c r="K6364">
        <v>1.122201</v>
      </c>
      <c r="L6364">
        <v>18.20721</v>
      </c>
      <c r="M6364">
        <v>0.99289760000000005</v>
      </c>
      <c r="N6364">
        <v>-1.3461799999999999E-2</v>
      </c>
      <c r="O6364">
        <v>-0.11820940000000001</v>
      </c>
      <c r="P6364">
        <v>0.99241100000000004</v>
      </c>
      <c r="Q6364">
        <v>-0.10523009999999999</v>
      </c>
      <c r="R6364">
        <v>6.3618679999999997E-2</v>
      </c>
      <c r="S6364">
        <v>2.97818</v>
      </c>
      <c r="T6364">
        <v>-0.16064690000000001</v>
      </c>
      <c r="U6364">
        <v>0.4419556</v>
      </c>
      <c r="V6364">
        <v>-0.18019180000000001</v>
      </c>
      <c r="W6364">
        <v>-9.2648679999999997E-2</v>
      </c>
      <c r="X6364">
        <v>0.97925850000000003</v>
      </c>
      <c r="Y6364">
        <v>-0.2621368</v>
      </c>
      <c r="Z6364">
        <v>1.35608E-2</v>
      </c>
      <c r="AA6364">
        <v>0.96493549999999995</v>
      </c>
      <c r="AB6364">
        <v>18</v>
      </c>
      <c r="AC6364">
        <v>20.651900000000001</v>
      </c>
      <c r="AD6364">
        <v>-1.1222036058409901</v>
      </c>
      <c r="AE6364">
        <v>3.10284</v>
      </c>
      <c r="AF6364">
        <v>-5.5066499173557801</v>
      </c>
      <c r="AG6364">
        <v>-1.1222036058409901</v>
      </c>
      <c r="AH6364">
        <v>20.082270336249302</v>
      </c>
      <c r="AI6364">
        <v>93.084745555492304</v>
      </c>
      <c r="AJ6364">
        <v>105.333871105105</v>
      </c>
      <c r="AK6364">
        <v>20.853779420131001</v>
      </c>
      <c r="AL6364">
        <v>95.316001956967995</v>
      </c>
      <c r="AM6364">
        <v>100.426274627832</v>
      </c>
      <c r="AN6364">
        <v>1.00000003625761</v>
      </c>
    </row>
    <row r="6365" spans="1:40" x14ac:dyDescent="0.25">
      <c r="A6365" t="str">
        <f>"20190303154937339"</f>
        <v>20190303154937339</v>
      </c>
      <c r="B6365" t="str">
        <f>"1551599377327301"</f>
        <v>1551599377327301</v>
      </c>
      <c r="C6365" t="s">
        <v>40</v>
      </c>
      <c r="D6365">
        <v>5.4500970000000004</v>
      </c>
      <c r="E6365">
        <v>0.46744999999999998</v>
      </c>
      <c r="F6365" t="s">
        <v>65</v>
      </c>
      <c r="G6365">
        <v>-375.15280000000001</v>
      </c>
      <c r="H6365" s="1">
        <v>-2.7331199999999998E-6</v>
      </c>
      <c r="I6365">
        <v>21.35014</v>
      </c>
      <c r="J6365">
        <v>-395.94990000000001</v>
      </c>
      <c r="K6365">
        <v>1.1222019999999999</v>
      </c>
      <c r="L6365">
        <v>18.197019999999998</v>
      </c>
      <c r="M6365">
        <v>0.99308810000000003</v>
      </c>
      <c r="N6365">
        <v>-1.347778E-2</v>
      </c>
      <c r="O6365">
        <v>-0.1165953</v>
      </c>
      <c r="P6365">
        <v>0.99231279999999999</v>
      </c>
      <c r="Q6365">
        <v>-0.10513019999999999</v>
      </c>
      <c r="R6365">
        <v>6.5291399999999999E-2</v>
      </c>
      <c r="S6365">
        <v>2.9772949999999998</v>
      </c>
      <c r="T6365">
        <v>-0.1598736</v>
      </c>
      <c r="U6365">
        <v>0.44775389999999998</v>
      </c>
      <c r="V6365">
        <v>-0.180253</v>
      </c>
      <c r="W6365">
        <v>-9.2532169999999997E-2</v>
      </c>
      <c r="X6365">
        <v>0.97925819999999997</v>
      </c>
      <c r="Y6365">
        <v>-0.26245400000000002</v>
      </c>
      <c r="Z6365">
        <v>1.344568E-2</v>
      </c>
      <c r="AA6365">
        <v>0.96485080000000001</v>
      </c>
      <c r="AB6365">
        <v>18</v>
      </c>
      <c r="AC6365">
        <v>20.7971</v>
      </c>
      <c r="AD6365">
        <v>-1.12220473312</v>
      </c>
      <c r="AE6365">
        <v>3.1531199999999902</v>
      </c>
      <c r="AF6365">
        <v>-5.5409038869995699</v>
      </c>
      <c r="AG6365">
        <v>-1.12220473312</v>
      </c>
      <c r="AH6365">
        <v>20.2299763663021</v>
      </c>
      <c r="AI6365">
        <v>93.062509482462403</v>
      </c>
      <c r="AJ6365">
        <v>105.317412354027</v>
      </c>
      <c r="AK6365">
        <v>21.0050685104606</v>
      </c>
      <c r="AL6365">
        <v>95.309297902230298</v>
      </c>
      <c r="AM6365">
        <v>100.42974121565599</v>
      </c>
      <c r="AN6365">
        <v>0.99999998438057403</v>
      </c>
    </row>
    <row r="6366" spans="1:40" x14ac:dyDescent="0.25">
      <c r="A6366" t="str">
        <f>"20190303154937358"</f>
        <v>20190303154937358</v>
      </c>
      <c r="B6366" t="str">
        <f>"1551599377346820"</f>
        <v>1551599377346820</v>
      </c>
      <c r="C6366" t="s">
        <v>40</v>
      </c>
      <c r="D6366">
        <v>5.505973</v>
      </c>
      <c r="E6366">
        <v>0.4676614</v>
      </c>
      <c r="F6366" t="s">
        <v>65</v>
      </c>
      <c r="G6366">
        <v>-374.94220000000001</v>
      </c>
      <c r="H6366" s="1">
        <v>-2.841085E-6</v>
      </c>
      <c r="I6366">
        <v>21.38175</v>
      </c>
      <c r="J6366">
        <v>-395.79379999999998</v>
      </c>
      <c r="K6366">
        <v>1.122209</v>
      </c>
      <c r="L6366">
        <v>18.181699999999999</v>
      </c>
      <c r="M6366">
        <v>0.99337640000000005</v>
      </c>
      <c r="N6366">
        <v>-1.3504230000000001E-2</v>
      </c>
      <c r="O6366">
        <v>-0.1141112</v>
      </c>
      <c r="P6366">
        <v>0.99210140000000002</v>
      </c>
      <c r="Q6366">
        <v>-0.10542650000000001</v>
      </c>
      <c r="R6366">
        <v>6.7974019999999996E-2</v>
      </c>
      <c r="S6366">
        <v>2.976715</v>
      </c>
      <c r="T6366">
        <v>-0.15901179999999901</v>
      </c>
      <c r="U6366">
        <v>0.45126339999999998</v>
      </c>
      <c r="V6366">
        <v>-0.18044740000000001</v>
      </c>
      <c r="W6366">
        <v>-9.2802369999999995E-2</v>
      </c>
      <c r="X6366">
        <v>0.97919679999999998</v>
      </c>
      <c r="Y6366">
        <v>-0.26119039999999999</v>
      </c>
      <c r="Z6366">
        <v>1.323618E-2</v>
      </c>
      <c r="AA6366">
        <v>0.96519650000000001</v>
      </c>
      <c r="AB6366">
        <v>18</v>
      </c>
      <c r="AC6366">
        <v>20.851599999999902</v>
      </c>
      <c r="AD6366">
        <v>-1.1222118410849999</v>
      </c>
      <c r="AE6366">
        <v>3.2000500000000001</v>
      </c>
      <c r="AF6366">
        <v>-5.5430750329878098</v>
      </c>
      <c r="AG6366">
        <v>-1.1222118410849999</v>
      </c>
      <c r="AH6366">
        <v>20.292752254015799</v>
      </c>
      <c r="AI6366">
        <v>93.053646981171298</v>
      </c>
      <c r="AJ6366">
        <v>105.277948340782</v>
      </c>
      <c r="AK6366">
        <v>21.066106291397801</v>
      </c>
      <c r="AL6366">
        <v>95.324846261848194</v>
      </c>
      <c r="AM6366">
        <v>100.441382577742</v>
      </c>
      <c r="AN6366">
        <v>0.99999995858730695</v>
      </c>
    </row>
    <row r="6367" spans="1:40" x14ac:dyDescent="0.25">
      <c r="A6367" t="str">
        <f>"20190303154937484"</f>
        <v>20190303154937484</v>
      </c>
      <c r="B6367" t="str">
        <f>"1551599377477604"</f>
        <v>1551599377477604</v>
      </c>
      <c r="C6367" t="s">
        <v>40</v>
      </c>
      <c r="D6367">
        <v>5.5610390000000001</v>
      </c>
      <c r="E6367">
        <v>0.46805210000000003</v>
      </c>
      <c r="F6367" t="s">
        <v>65</v>
      </c>
      <c r="G6367">
        <v>-374.93990000000002</v>
      </c>
      <c r="H6367" s="1">
        <v>-2.844254E-6</v>
      </c>
      <c r="I6367">
        <v>21.389700000000001</v>
      </c>
      <c r="J6367">
        <v>-394.80450000000002</v>
      </c>
      <c r="K6367">
        <v>1.1222219999999901</v>
      </c>
      <c r="L6367">
        <v>18.093779999999999</v>
      </c>
      <c r="M6367">
        <v>0.99505589999999999</v>
      </c>
      <c r="N6367">
        <v>-1.369097E-2</v>
      </c>
      <c r="O6367">
        <v>-9.8368430000000007E-2</v>
      </c>
      <c r="P6367">
        <v>0.99104709999999996</v>
      </c>
      <c r="Q6367">
        <v>-0.1078843</v>
      </c>
      <c r="R6367">
        <v>7.8655240000000001E-2</v>
      </c>
      <c r="S6367">
        <v>2.9755250000000002</v>
      </c>
      <c r="T6367">
        <v>-0.1601226</v>
      </c>
      <c r="U6367">
        <v>0.45773320000000001</v>
      </c>
      <c r="V6367">
        <v>-0.17546789999999901</v>
      </c>
      <c r="W6367">
        <v>-9.5039449999999998E-2</v>
      </c>
      <c r="X6367">
        <v>0.97988699999999995</v>
      </c>
      <c r="Y6367">
        <v>-0.2480205</v>
      </c>
      <c r="Z6367">
        <v>1.226402E-2</v>
      </c>
      <c r="AA6367">
        <v>0.96867720000000002</v>
      </c>
      <c r="AB6367">
        <v>18</v>
      </c>
      <c r="AC6367">
        <v>19.864599999999999</v>
      </c>
      <c r="AD6367">
        <v>-1.1222248442539999</v>
      </c>
      <c r="AE6367">
        <v>3.2959200000000002</v>
      </c>
      <c r="AF6367">
        <v>-5.2179574979716703</v>
      </c>
      <c r="AG6367">
        <v>-1.1222248442539999</v>
      </c>
      <c r="AH6367">
        <v>19.383788351255699</v>
      </c>
      <c r="AI6367">
        <v>93.1997836253381</v>
      </c>
      <c r="AJ6367">
        <v>105.06640798252</v>
      </c>
      <c r="AK6367">
        <v>20.105166497643701</v>
      </c>
      <c r="AL6367">
        <v>95.4535903668407</v>
      </c>
      <c r="AM6367">
        <v>100.152326196183</v>
      </c>
      <c r="AN6367">
        <v>1.0000000068778501</v>
      </c>
    </row>
    <row r="6368" spans="1:40" x14ac:dyDescent="0.25">
      <c r="A6368" t="str">
        <f>"20190303154937497"</f>
        <v>20190303154937497</v>
      </c>
      <c r="B6368" t="str">
        <f>"1551599377487364"</f>
        <v>1551599377487364</v>
      </c>
      <c r="C6368" t="s">
        <v>40</v>
      </c>
      <c r="D6368">
        <v>5.4628519999999998</v>
      </c>
      <c r="E6368">
        <v>0.4684065</v>
      </c>
      <c r="F6368" t="s">
        <v>65</v>
      </c>
      <c r="G6368">
        <v>-374.72809999999998</v>
      </c>
      <c r="H6368" s="1">
        <v>-2.9442620000000001E-6</v>
      </c>
      <c r="I6368">
        <v>21.389340000000001</v>
      </c>
      <c r="J6368">
        <v>-394.71109999999999</v>
      </c>
      <c r="K6368">
        <v>1.1222209999999999</v>
      </c>
      <c r="L6368">
        <v>18.086269999999999</v>
      </c>
      <c r="M6368">
        <v>0.99520149999999996</v>
      </c>
      <c r="N6368">
        <v>-1.3713049999999999E-2</v>
      </c>
      <c r="O6368">
        <v>-9.6881019999999998E-2</v>
      </c>
      <c r="P6368">
        <v>0.99097710000000006</v>
      </c>
      <c r="Q6368">
        <v>-0.1082198</v>
      </c>
      <c r="R6368">
        <v>7.9074530000000004E-2</v>
      </c>
      <c r="S6368">
        <v>2.9703059999999999</v>
      </c>
      <c r="T6368">
        <v>-0.16603399999999999</v>
      </c>
      <c r="U6368">
        <v>0.48757929999999999</v>
      </c>
      <c r="V6368">
        <v>-0.17441519999999999</v>
      </c>
      <c r="W6368">
        <v>-9.5346230000000004E-2</v>
      </c>
      <c r="X6368">
        <v>0.9800451</v>
      </c>
      <c r="Y6368">
        <v>-0.25625910000000002</v>
      </c>
      <c r="Z6368">
        <v>1.2941319999999999E-2</v>
      </c>
      <c r="AA6368">
        <v>0.96652150000000003</v>
      </c>
      <c r="AB6368">
        <v>18</v>
      </c>
      <c r="AC6368">
        <v>19.983000000000001</v>
      </c>
      <c r="AD6368">
        <v>-1.1222239442619999</v>
      </c>
      <c r="AE6368">
        <v>3.3030699999999902</v>
      </c>
      <c r="AF6368">
        <v>-5.2076974398536304</v>
      </c>
      <c r="AG6368">
        <v>-1.1222239442619999</v>
      </c>
      <c r="AH6368">
        <v>19.509054977041899</v>
      </c>
      <c r="AI6368">
        <v>93.181067035524407</v>
      </c>
      <c r="AJ6368">
        <v>104.94590106277499</v>
      </c>
      <c r="AK6368">
        <v>20.223321322259999</v>
      </c>
      <c r="AL6368">
        <v>95.4712478884733</v>
      </c>
      <c r="AM6368">
        <v>100.09107956977</v>
      </c>
      <c r="AN6368">
        <v>0.99999998180013105</v>
      </c>
    </row>
    <row r="6369" spans="1:40" x14ac:dyDescent="0.25">
      <c r="A6369" t="str">
        <f>"20190303154937516"</f>
        <v>20190303154937516</v>
      </c>
      <c r="B6369" t="str">
        <f>"1551599377506884"</f>
        <v>1551599377506884</v>
      </c>
      <c r="C6369" t="s">
        <v>40</v>
      </c>
      <c r="D6369">
        <v>5.4834250000000004</v>
      </c>
      <c r="E6369">
        <v>0.46867320000000001</v>
      </c>
      <c r="F6369" t="s">
        <v>65</v>
      </c>
      <c r="G6369">
        <v>-374.3526</v>
      </c>
      <c r="H6369" s="1">
        <v>-3.1293109999999999E-6</v>
      </c>
      <c r="I6369">
        <v>21.417549999999999</v>
      </c>
      <c r="J6369">
        <v>-394.56220000000002</v>
      </c>
      <c r="K6369">
        <v>1.122215</v>
      </c>
      <c r="L6369">
        <v>18.074649999999998</v>
      </c>
      <c r="M6369">
        <v>0.99542900000000001</v>
      </c>
      <c r="N6369">
        <v>-1.3749290000000001E-2</v>
      </c>
      <c r="O6369">
        <v>-9.4511369999999997E-2</v>
      </c>
      <c r="P6369">
        <v>0.99081949999999996</v>
      </c>
      <c r="Q6369">
        <v>-0.1095998</v>
      </c>
      <c r="R6369">
        <v>7.9150680000000001E-2</v>
      </c>
      <c r="S6369">
        <v>2.970612</v>
      </c>
      <c r="T6369">
        <v>-0.16374949999999999</v>
      </c>
      <c r="U6369">
        <v>0.48608400000000002</v>
      </c>
      <c r="V6369">
        <v>-0.172142299999999</v>
      </c>
      <c r="W6369">
        <v>-9.6677440000000003E-2</v>
      </c>
      <c r="X6369">
        <v>0.98031650000000004</v>
      </c>
      <c r="Y6369">
        <v>-0.25348969999999998</v>
      </c>
      <c r="Z6369">
        <v>1.2577609999999999E-2</v>
      </c>
      <c r="AA6369">
        <v>0.96725629999999996</v>
      </c>
      <c r="AB6369">
        <v>18</v>
      </c>
      <c r="AC6369">
        <v>20.209599999999998</v>
      </c>
      <c r="AD6369">
        <v>-1.1222181293110001</v>
      </c>
      <c r="AE6369">
        <v>3.3429000000000002</v>
      </c>
      <c r="AF6369">
        <v>-5.2224763894713</v>
      </c>
      <c r="AG6369">
        <v>-1.1222181293110001</v>
      </c>
      <c r="AH6369">
        <v>19.743890196984399</v>
      </c>
      <c r="AI6369">
        <v>93.145181055533797</v>
      </c>
      <c r="AJ6369">
        <v>104.816045364678</v>
      </c>
      <c r="AK6369">
        <v>20.4537241909368</v>
      </c>
      <c r="AL6369">
        <v>95.547874679453699</v>
      </c>
      <c r="AM6369">
        <v>99.959525620994199</v>
      </c>
      <c r="AN6369">
        <v>0.99999996951324599</v>
      </c>
    </row>
    <row r="6370" spans="1:40" x14ac:dyDescent="0.25">
      <c r="A6370" t="str">
        <f>"20190303154937528"</f>
        <v>20190303154937528</v>
      </c>
      <c r="B6370" t="str">
        <f>"1551599377517620"</f>
        <v>1551599377517620</v>
      </c>
      <c r="C6370" t="s">
        <v>40</v>
      </c>
      <c r="D6370">
        <v>5.4395720000000001</v>
      </c>
      <c r="E6370">
        <v>0.46863149999999998</v>
      </c>
      <c r="F6370" t="s">
        <v>65</v>
      </c>
      <c r="G6370">
        <v>-374.37270000000001</v>
      </c>
      <c r="H6370" s="1">
        <v>-3.1062660000000001E-6</v>
      </c>
      <c r="I6370">
        <v>21.366669999999999</v>
      </c>
      <c r="J6370">
        <v>-394.4649</v>
      </c>
      <c r="K6370">
        <v>1.1222179999999999</v>
      </c>
      <c r="L6370">
        <v>18.067229999999999</v>
      </c>
      <c r="M6370">
        <v>0.99557439999999997</v>
      </c>
      <c r="N6370">
        <v>-1.377229E-2</v>
      </c>
      <c r="O6370">
        <v>-9.2962230000000007E-2</v>
      </c>
      <c r="P6370">
        <v>0.99068049999999996</v>
      </c>
      <c r="Q6370">
        <v>-0.11067920000000001</v>
      </c>
      <c r="R6370">
        <v>7.93875E-2</v>
      </c>
      <c r="S6370">
        <v>2.9707949999999999</v>
      </c>
      <c r="T6370">
        <v>-0.16512929999999901</v>
      </c>
      <c r="U6370">
        <v>0.48440549999999999</v>
      </c>
      <c r="V6370">
        <v>-0.17083960000000001</v>
      </c>
      <c r="W6370">
        <v>-9.7727019999999998E-2</v>
      </c>
      <c r="X6370">
        <v>0.98044030000000004</v>
      </c>
      <c r="Y6370">
        <v>-0.25143850000000001</v>
      </c>
      <c r="Z6370">
        <v>1.254479E-2</v>
      </c>
      <c r="AA6370">
        <v>0.96779199999999999</v>
      </c>
      <c r="AB6370">
        <v>18</v>
      </c>
      <c r="AC6370">
        <v>20.092199999999899</v>
      </c>
      <c r="AD6370">
        <v>-1.1222211062659999</v>
      </c>
      <c r="AE6370">
        <v>3.2994400000000002</v>
      </c>
      <c r="AF6370">
        <v>-5.1375360362478997</v>
      </c>
      <c r="AG6370">
        <v>-1.1222211062659999</v>
      </c>
      <c r="AH6370">
        <v>19.6387677509254</v>
      </c>
      <c r="AI6370">
        <v>93.164250351700105</v>
      </c>
      <c r="AJ6370">
        <v>104.660145134633</v>
      </c>
      <c r="AK6370">
        <v>20.330638344869602</v>
      </c>
      <c r="AL6370">
        <v>95.608297360712598</v>
      </c>
      <c r="AM6370">
        <v>99.884424907466396</v>
      </c>
      <c r="AN6370">
        <v>0.99999996061516405</v>
      </c>
    </row>
    <row r="6371" spans="1:40" x14ac:dyDescent="0.25">
      <c r="A6371" t="str">
        <f>"20190303154937548"</f>
        <v>20190303154937548</v>
      </c>
      <c r="B6371" t="str">
        <f>"1551599377537141"</f>
        <v>1551599377537141</v>
      </c>
      <c r="C6371" t="s">
        <v>40</v>
      </c>
      <c r="D6371">
        <v>5.4543699999999999</v>
      </c>
      <c r="E6371">
        <v>0.46853899999999998</v>
      </c>
      <c r="F6371" t="s">
        <v>65</v>
      </c>
      <c r="G6371">
        <v>-374.64120000000003</v>
      </c>
      <c r="H6371" s="1">
        <v>-2.9633469999999999E-6</v>
      </c>
      <c r="I6371">
        <v>21.30659</v>
      </c>
      <c r="J6371">
        <v>-394.3109</v>
      </c>
      <c r="K6371">
        <v>1.122207</v>
      </c>
      <c r="L6371">
        <v>18.055789999999998</v>
      </c>
      <c r="M6371">
        <v>0.99580000000000002</v>
      </c>
      <c r="N6371">
        <v>-1.380635E-2</v>
      </c>
      <c r="O6371">
        <v>-9.0509590000000001E-2</v>
      </c>
      <c r="P6371">
        <v>0.99042799999999998</v>
      </c>
      <c r="Q6371">
        <v>-0.1130401</v>
      </c>
      <c r="R6371">
        <v>7.9211889999999993E-2</v>
      </c>
      <c r="S6371">
        <v>2.9705509999999999</v>
      </c>
      <c r="T6371">
        <v>-0.1681628</v>
      </c>
      <c r="U6371">
        <v>0.48541260000000003</v>
      </c>
      <c r="V6371">
        <v>-0.1682236</v>
      </c>
      <c r="W6371">
        <v>-0.1000413</v>
      </c>
      <c r="X6371">
        <v>0.98065919999999895</v>
      </c>
      <c r="Y6371">
        <v>-0.2493727</v>
      </c>
      <c r="Z6371">
        <v>1.259151E-2</v>
      </c>
      <c r="AA6371">
        <v>0.96832569999999996</v>
      </c>
      <c r="AB6371">
        <v>18</v>
      </c>
      <c r="AC6371">
        <v>19.669699999999899</v>
      </c>
      <c r="AD6371">
        <v>-1.122209963347</v>
      </c>
      <c r="AE6371">
        <v>3.2507999999999999</v>
      </c>
      <c r="AF6371">
        <v>-5.0020718727332296</v>
      </c>
      <c r="AG6371">
        <v>-1.122209963347</v>
      </c>
      <c r="AH6371">
        <v>19.233753809926899</v>
      </c>
      <c r="AI6371">
        <v>93.231917994827995</v>
      </c>
      <c r="AJ6371">
        <v>104.57783203130801</v>
      </c>
      <c r="AK6371">
        <v>19.905209464929101</v>
      </c>
      <c r="AL6371">
        <v>95.741548984422096</v>
      </c>
      <c r="AM6371">
        <v>99.733855521465401</v>
      </c>
      <c r="AN6371">
        <v>0.99999995392364305</v>
      </c>
    </row>
    <row r="6372" spans="1:40" x14ac:dyDescent="0.25">
      <c r="A6372" t="str">
        <f>"20190303154937561"</f>
        <v>20190303154937561</v>
      </c>
      <c r="B6372" t="str">
        <f>"1551599377557637"</f>
        <v>1551599377557637</v>
      </c>
      <c r="C6372" t="s">
        <v>40</v>
      </c>
      <c r="D6372">
        <v>5.4867839999999903</v>
      </c>
      <c r="E6372">
        <v>0.46855239999999998</v>
      </c>
      <c r="F6372" t="s">
        <v>65</v>
      </c>
      <c r="G6372">
        <v>-375.161</v>
      </c>
      <c r="H6372" s="1">
        <v>-2.6858939999999998E-6</v>
      </c>
      <c r="I6372">
        <v>21.187329999999999</v>
      </c>
      <c r="J6372">
        <v>-394.21120000000002</v>
      </c>
      <c r="K6372">
        <v>1.122204</v>
      </c>
      <c r="L6372">
        <v>18.048549999999999</v>
      </c>
      <c r="M6372">
        <v>0.99594280000000002</v>
      </c>
      <c r="N6372">
        <v>-1.3826740000000001E-2</v>
      </c>
      <c r="O6372">
        <v>-8.8920379999999993E-2</v>
      </c>
      <c r="P6372">
        <v>0.99024460000000003</v>
      </c>
      <c r="Q6372">
        <v>-0.1143361</v>
      </c>
      <c r="R6372">
        <v>7.9642379999999999E-2</v>
      </c>
      <c r="S6372">
        <v>2.9702449999999998</v>
      </c>
      <c r="T6372">
        <v>-0.1740602</v>
      </c>
      <c r="U6372">
        <v>0.48571779999999998</v>
      </c>
      <c r="V6372">
        <v>-0.1670703</v>
      </c>
      <c r="W6372">
        <v>-0.1013116</v>
      </c>
      <c r="X6372">
        <v>0.98072599999999999</v>
      </c>
      <c r="Y6372">
        <v>-0.2479056</v>
      </c>
      <c r="Z6372">
        <v>1.289356E-2</v>
      </c>
      <c r="AA6372">
        <v>0.96869839999999996</v>
      </c>
      <c r="AB6372">
        <v>18</v>
      </c>
      <c r="AC6372">
        <v>19.0502</v>
      </c>
      <c r="AD6372">
        <v>-1.1222066858939901</v>
      </c>
      <c r="AE6372">
        <v>3.1387800000000001</v>
      </c>
      <c r="AF6372">
        <v>-4.8042262862751199</v>
      </c>
      <c r="AG6372">
        <v>-1.1222066858939901</v>
      </c>
      <c r="AH6372">
        <v>18.632645560996998</v>
      </c>
      <c r="AI6372">
        <v>93.337741721610499</v>
      </c>
      <c r="AJ6372">
        <v>104.45818944296001</v>
      </c>
      <c r="AK6372">
        <v>19.2747352422113</v>
      </c>
      <c r="AL6372">
        <v>95.814703198361698</v>
      </c>
      <c r="AM6372">
        <v>99.667740300460594</v>
      </c>
      <c r="AN6372">
        <v>1.0000000062563199</v>
      </c>
    </row>
    <row r="6373" spans="1:40" x14ac:dyDescent="0.25">
      <c r="A6373" t="str">
        <f>"20190303154937575"</f>
        <v>20190303154937575</v>
      </c>
      <c r="B6373" t="str">
        <f>"1551599377567397"</f>
        <v>1551599377567397</v>
      </c>
      <c r="C6373" t="s">
        <v>40</v>
      </c>
      <c r="D6373">
        <v>5.4739940000000002</v>
      </c>
      <c r="E6373">
        <v>0.46849780000000002</v>
      </c>
      <c r="F6373" t="s">
        <v>65</v>
      </c>
      <c r="G6373">
        <v>-375.26249999999999</v>
      </c>
      <c r="H6373" s="1">
        <v>-2.6293989999999999E-6</v>
      </c>
      <c r="I6373">
        <v>21.155180000000001</v>
      </c>
      <c r="J6373">
        <v>-394.10399999999998</v>
      </c>
      <c r="K6373">
        <v>1.122196</v>
      </c>
      <c r="L6373">
        <v>18.04102</v>
      </c>
      <c r="M6373">
        <v>0.99609349999999997</v>
      </c>
      <c r="N6373">
        <v>-1.384608E-2</v>
      </c>
      <c r="O6373">
        <v>-8.7212670000000006E-2</v>
      </c>
      <c r="P6373">
        <v>0.99008689999999999</v>
      </c>
      <c r="Q6373">
        <v>-0.1154121</v>
      </c>
      <c r="R6373">
        <v>8.0051280000000002E-2</v>
      </c>
      <c r="S6373">
        <v>2.970062</v>
      </c>
      <c r="T6373">
        <v>-0.17589659999999999</v>
      </c>
      <c r="U6373">
        <v>0.4869385</v>
      </c>
      <c r="V6373">
        <v>-0.16578209999999999</v>
      </c>
      <c r="W6373">
        <v>-0.10236199999999999</v>
      </c>
      <c r="X6373">
        <v>0.98083549999999997</v>
      </c>
      <c r="Y6373">
        <v>-0.24663389999999999</v>
      </c>
      <c r="Z6373">
        <v>1.290202E-2</v>
      </c>
      <c r="AA6373">
        <v>0.96902279999999996</v>
      </c>
      <c r="AB6373">
        <v>17</v>
      </c>
      <c r="AC6373">
        <v>18.8415</v>
      </c>
      <c r="AD6373">
        <v>-1.1221986293990001</v>
      </c>
      <c r="AE6373">
        <v>3.1141599999999898</v>
      </c>
      <c r="AF6373">
        <v>-4.7293362637605396</v>
      </c>
      <c r="AG6373">
        <v>-1.1221986293990001</v>
      </c>
      <c r="AH6373">
        <v>18.434419424935701</v>
      </c>
      <c r="AI6373">
        <v>93.374573515084293</v>
      </c>
      <c r="AJ6373">
        <v>104.38886617750001</v>
      </c>
      <c r="AK6373">
        <v>19.064463559040799</v>
      </c>
      <c r="AL6373">
        <v>95.875201359175904</v>
      </c>
      <c r="AM6373">
        <v>99.593536692264493</v>
      </c>
      <c r="AN6373">
        <v>0.999999980892329</v>
      </c>
    </row>
    <row r="6374" spans="1:40" x14ac:dyDescent="0.25">
      <c r="A6374" t="str">
        <f>"20190303154937595"</f>
        <v>20190303154937595</v>
      </c>
      <c r="B6374" t="str">
        <f>"1551599377586917"</f>
        <v>1551599377586917</v>
      </c>
      <c r="C6374" t="s">
        <v>40</v>
      </c>
      <c r="D6374">
        <v>5.4601600000000001</v>
      </c>
      <c r="E6374">
        <v>0.46836309999999898</v>
      </c>
      <c r="F6374" t="s">
        <v>65</v>
      </c>
      <c r="G6374">
        <v>-375.42970000000003</v>
      </c>
      <c r="H6374" s="1">
        <v>-2.5391840000000002E-6</v>
      </c>
      <c r="I6374">
        <v>21.11317</v>
      </c>
      <c r="J6374">
        <v>-393.94760000000002</v>
      </c>
      <c r="K6374">
        <v>1.122185</v>
      </c>
      <c r="L6374">
        <v>18.030329999999999</v>
      </c>
      <c r="M6374">
        <v>0.99630810000000003</v>
      </c>
      <c r="N6374">
        <v>-1.3872249999999999E-2</v>
      </c>
      <c r="O6374">
        <v>-8.4720530000000002E-2</v>
      </c>
      <c r="P6374">
        <v>0.98981110000000005</v>
      </c>
      <c r="Q6374">
        <v>-0.1173693</v>
      </c>
      <c r="R6374">
        <v>8.0613799999999999E-2</v>
      </c>
      <c r="S6374">
        <v>2.9697269999999998</v>
      </c>
      <c r="T6374">
        <v>-0.1784599</v>
      </c>
      <c r="U6374">
        <v>0.48855589999999999</v>
      </c>
      <c r="V6374">
        <v>-0.16386410000000001</v>
      </c>
      <c r="W6374">
        <v>-0.1042843</v>
      </c>
      <c r="X6374">
        <v>0.98095529999999997</v>
      </c>
      <c r="Y6374">
        <v>-0.24473039999999999</v>
      </c>
      <c r="Z6374">
        <v>1.289966E-2</v>
      </c>
      <c r="AA6374">
        <v>0.96950539999999996</v>
      </c>
      <c r="AB6374">
        <v>17</v>
      </c>
      <c r="AC6374">
        <v>18.517900000000001</v>
      </c>
      <c r="AD6374">
        <v>-1.1221875391839999</v>
      </c>
      <c r="AE6374">
        <v>3.08284</v>
      </c>
      <c r="AF6374">
        <v>-4.6242277466039701</v>
      </c>
      <c r="AG6374">
        <v>-1.1221875391839999</v>
      </c>
      <c r="AH6374">
        <v>18.125337696882902</v>
      </c>
      <c r="AI6374">
        <v>93.433119124131494</v>
      </c>
      <c r="AJ6374">
        <v>104.312279213267</v>
      </c>
      <c r="AK6374">
        <v>18.7395478534463</v>
      </c>
      <c r="AL6374">
        <v>95.985933721258306</v>
      </c>
      <c r="AM6374">
        <v>99.483435928280301</v>
      </c>
      <c r="AN6374">
        <v>0.99999997954669395</v>
      </c>
    </row>
    <row r="6375" spans="1:40" x14ac:dyDescent="0.25">
      <c r="A6375" t="str">
        <f>"20190303154937617"</f>
        <v>20190303154937617</v>
      </c>
      <c r="B6375" t="str">
        <f>"1551599377607413"</f>
        <v>1551599377607413</v>
      </c>
      <c r="C6375" t="s">
        <v>40</v>
      </c>
      <c r="D6375">
        <v>5.4966860000000004</v>
      </c>
      <c r="E6375">
        <v>0.46804240000000003</v>
      </c>
      <c r="F6375" t="s">
        <v>65</v>
      </c>
      <c r="G6375">
        <v>-375.661</v>
      </c>
      <c r="H6375" s="1">
        <v>-2.4144679999999999E-6</v>
      </c>
      <c r="I6375">
        <v>21.055510000000002</v>
      </c>
      <c r="J6375">
        <v>-393.78179999999998</v>
      </c>
      <c r="K6375">
        <v>1.12218</v>
      </c>
      <c r="L6375">
        <v>18.019380000000002</v>
      </c>
      <c r="M6375">
        <v>0.99652879999999999</v>
      </c>
      <c r="N6375">
        <v>-1.389686E-2</v>
      </c>
      <c r="O6375">
        <v>-8.2081890000000005E-2</v>
      </c>
      <c r="P6375">
        <v>0.98963020000000002</v>
      </c>
      <c r="Q6375">
        <v>-0.1183222</v>
      </c>
      <c r="R6375">
        <v>8.1437190000000007E-2</v>
      </c>
      <c r="S6375">
        <v>2.9692690000000002</v>
      </c>
      <c r="T6375">
        <v>-0.1822146</v>
      </c>
      <c r="U6375">
        <v>0.49121090000000001</v>
      </c>
      <c r="V6375">
        <v>-0.1620743</v>
      </c>
      <c r="W6375">
        <v>-0.1052027</v>
      </c>
      <c r="X6375">
        <v>0.98115459999999999</v>
      </c>
      <c r="Y6375">
        <v>-0.2430119</v>
      </c>
      <c r="Z6375">
        <v>1.297268E-2</v>
      </c>
      <c r="AA6375">
        <v>0.96993649999999998</v>
      </c>
      <c r="AB6375">
        <v>17</v>
      </c>
      <c r="AC6375">
        <v>18.1207999999999</v>
      </c>
      <c r="AD6375">
        <v>-1.1221824144679999</v>
      </c>
      <c r="AE6375">
        <v>3.03613</v>
      </c>
      <c r="AF6375">
        <v>-4.4966418708623497</v>
      </c>
      <c r="AG6375">
        <v>-1.1221824144679999</v>
      </c>
      <c r="AH6375">
        <v>17.7442138784481</v>
      </c>
      <c r="AI6375">
        <v>93.508089486226794</v>
      </c>
      <c r="AJ6375">
        <v>104.220225812341</v>
      </c>
      <c r="AK6375">
        <v>18.339471302364299</v>
      </c>
      <c r="AL6375">
        <v>96.038844987219306</v>
      </c>
      <c r="AM6375">
        <v>99.379833039048705</v>
      </c>
      <c r="AN6375">
        <v>1.0000000179544599</v>
      </c>
    </row>
    <row r="6376" spans="1:40" x14ac:dyDescent="0.25">
      <c r="A6376" t="str">
        <f>"20190303154937638"</f>
        <v>20190303154937638</v>
      </c>
      <c r="B6376" t="str">
        <f>"1551599377626932"</f>
        <v>1551599377626932</v>
      </c>
      <c r="C6376" t="s">
        <v>40</v>
      </c>
      <c r="D6376">
        <v>5.4172180000000001</v>
      </c>
      <c r="E6376">
        <v>0.46794799999999998</v>
      </c>
      <c r="F6376" t="s">
        <v>65</v>
      </c>
      <c r="G6376">
        <v>-375.67809999999997</v>
      </c>
      <c r="H6376" s="1">
        <v>-2.4037730000000001E-6</v>
      </c>
      <c r="I6376">
        <v>21.045660000000002</v>
      </c>
      <c r="J6376">
        <v>-393.62079999999997</v>
      </c>
      <c r="K6376">
        <v>1.122179</v>
      </c>
      <c r="L6376">
        <v>18.009219999999999</v>
      </c>
      <c r="M6376">
        <v>0.99673610000000001</v>
      </c>
      <c r="N6376">
        <v>-1.391765E-2</v>
      </c>
      <c r="O6376">
        <v>-7.9520380000000002E-2</v>
      </c>
      <c r="P6376">
        <v>0.98950150000000003</v>
      </c>
      <c r="Q6376">
        <v>-0.1187346</v>
      </c>
      <c r="R6376">
        <v>8.2395259999999998E-2</v>
      </c>
      <c r="S6376">
        <v>2.9686279999999998</v>
      </c>
      <c r="T6376">
        <v>-0.18401410000000001</v>
      </c>
      <c r="U6376">
        <v>0.49624629999999997</v>
      </c>
      <c r="V6376">
        <v>-0.16050120000000001</v>
      </c>
      <c r="W6376">
        <v>-0.10558430000000001</v>
      </c>
      <c r="X6376">
        <v>0.98137220000000003</v>
      </c>
      <c r="Y6376">
        <v>-0.24214640000000001</v>
      </c>
      <c r="Z6376">
        <v>1.2942250000000001E-2</v>
      </c>
      <c r="AA6376">
        <v>0.97015340000000005</v>
      </c>
      <c r="AB6376">
        <v>17</v>
      </c>
      <c r="AC6376">
        <v>17.942699999999999</v>
      </c>
      <c r="AD6376">
        <v>-1.122181403773</v>
      </c>
      <c r="AE6376">
        <v>3.03643999999999</v>
      </c>
      <c r="AF6376">
        <v>-4.4368989317807799</v>
      </c>
      <c r="AG6376">
        <v>-1.122181403773</v>
      </c>
      <c r="AH6376">
        <v>17.577545059146601</v>
      </c>
      <c r="AI6376">
        <v>93.542101831729198</v>
      </c>
      <c r="AJ6376">
        <v>104.16659195615701</v>
      </c>
      <c r="AK6376">
        <v>18.163574910797099</v>
      </c>
      <c r="AL6376">
        <v>96.060831390733398</v>
      </c>
      <c r="AM6376">
        <v>99.288362882338902</v>
      </c>
      <c r="AN6376">
        <v>1.0000000372703799</v>
      </c>
    </row>
    <row r="6377" spans="1:40" x14ac:dyDescent="0.25">
      <c r="A6377" t="str">
        <f>"20190303154937650"</f>
        <v>20190303154937650</v>
      </c>
      <c r="B6377" t="str">
        <f>"1551599377647429"</f>
        <v>1551599377647429</v>
      </c>
      <c r="C6377" t="s">
        <v>40</v>
      </c>
      <c r="D6377">
        <v>5.3370290000000002</v>
      </c>
      <c r="E6377">
        <v>0.46797660000000002</v>
      </c>
      <c r="F6377" t="s">
        <v>65</v>
      </c>
      <c r="G6377">
        <v>-375.50810000000001</v>
      </c>
      <c r="H6377" s="1">
        <v>-2.4876320000000002E-6</v>
      </c>
      <c r="I6377">
        <v>21.058720000000001</v>
      </c>
      <c r="J6377">
        <v>-393.52289999999999</v>
      </c>
      <c r="K6377">
        <v>1.1221760000000001</v>
      </c>
      <c r="L6377">
        <v>18.003270000000001</v>
      </c>
      <c r="M6377">
        <v>0.99685900000000005</v>
      </c>
      <c r="N6377">
        <v>-1.3928690000000001E-2</v>
      </c>
      <c r="O6377">
        <v>-7.7962749999999997E-2</v>
      </c>
      <c r="P6377">
        <v>0.98950000000000005</v>
      </c>
      <c r="Q6377">
        <v>-0.1183123</v>
      </c>
      <c r="R6377">
        <v>8.3017869999999994E-2</v>
      </c>
      <c r="S6377">
        <v>2.9681700000000002</v>
      </c>
      <c r="T6377">
        <v>-0.18389340000000001</v>
      </c>
      <c r="U6377">
        <v>0.49972529999999998</v>
      </c>
      <c r="V6377">
        <v>-0.15959329999999999</v>
      </c>
      <c r="W6377">
        <v>-0.1051436</v>
      </c>
      <c r="X6377">
        <v>0.98156750000000004</v>
      </c>
      <c r="Y6377">
        <v>-0.24176420000000001</v>
      </c>
      <c r="Z6377">
        <v>1.2846929999999999E-2</v>
      </c>
      <c r="AA6377">
        <v>0.97024999999999995</v>
      </c>
      <c r="AB6377">
        <v>17</v>
      </c>
      <c r="AC6377">
        <v>18.014799999999902</v>
      </c>
      <c r="AD6377">
        <v>-1.122178487632</v>
      </c>
      <c r="AE6377">
        <v>3.05545</v>
      </c>
      <c r="AF6377">
        <v>-4.4340434985177204</v>
      </c>
      <c r="AG6377">
        <v>-1.122178487632</v>
      </c>
      <c r="AH6377">
        <v>17.655131289343402</v>
      </c>
      <c r="AI6377">
        <v>93.527624899737901</v>
      </c>
      <c r="AJ6377">
        <v>104.09811049640599</v>
      </c>
      <c r="AK6377">
        <v>18.2379737676312</v>
      </c>
      <c r="AL6377">
        <v>96.035440166781996</v>
      </c>
      <c r="AM6377">
        <v>99.234923786801303</v>
      </c>
      <c r="AN6377">
        <v>0.99999997754104897</v>
      </c>
    </row>
    <row r="6378" spans="1:40" x14ac:dyDescent="0.25">
      <c r="A6378" t="str">
        <f>"20190303154937665"</f>
        <v>20190303154937665</v>
      </c>
      <c r="B6378" t="str">
        <f>"1551599377657189"</f>
        <v>1551599377657189</v>
      </c>
      <c r="C6378" t="s">
        <v>40</v>
      </c>
      <c r="D6378">
        <v>5.3448000000000002</v>
      </c>
      <c r="E6378">
        <v>0.46802460000000001</v>
      </c>
      <c r="F6378" t="s">
        <v>65</v>
      </c>
      <c r="G6378">
        <v>-375.2115</v>
      </c>
      <c r="H6378" s="1">
        <v>-2.637885E-6</v>
      </c>
      <c r="I6378">
        <v>21.096550000000001</v>
      </c>
      <c r="J6378">
        <v>-393.40949999999998</v>
      </c>
      <c r="K6378">
        <v>1.1221749999999999</v>
      </c>
      <c r="L6378">
        <v>17.996489999999898</v>
      </c>
      <c r="M6378">
        <v>0.99699789999999999</v>
      </c>
      <c r="N6378">
        <v>-1.3940370000000001E-2</v>
      </c>
      <c r="O6378">
        <v>-7.6163629999999996E-2</v>
      </c>
      <c r="P6378">
        <v>0.98942889999999994</v>
      </c>
      <c r="Q6378">
        <v>-0.1183345</v>
      </c>
      <c r="R6378">
        <v>8.3829920000000002E-2</v>
      </c>
      <c r="S6378">
        <v>2.9679869999999999</v>
      </c>
      <c r="T6378">
        <v>-0.18188760000000001</v>
      </c>
      <c r="U6378">
        <v>0.50137330000000002</v>
      </c>
      <c r="V6378">
        <v>-0.15863039999999901</v>
      </c>
      <c r="W6378">
        <v>-0.1051463</v>
      </c>
      <c r="X6378">
        <v>0.98172329999999997</v>
      </c>
      <c r="Y6378">
        <v>-0.24056469999999999</v>
      </c>
      <c r="Z6378">
        <v>1.258511E-2</v>
      </c>
      <c r="AA6378">
        <v>0.97055150000000001</v>
      </c>
      <c r="AB6378">
        <v>17</v>
      </c>
      <c r="AC6378">
        <v>18.197999999999901</v>
      </c>
      <c r="AD6378">
        <v>-1.1221776378849999</v>
      </c>
      <c r="AE6378">
        <v>3.10006</v>
      </c>
      <c r="AF6378">
        <v>-4.4607301747113199</v>
      </c>
      <c r="AG6378">
        <v>-1.1221776378849999</v>
      </c>
      <c r="AH6378">
        <v>17.843059964718801</v>
      </c>
      <c r="AI6378">
        <v>93.491504381584406</v>
      </c>
      <c r="AJ6378">
        <v>104.036138245266</v>
      </c>
      <c r="AK6378">
        <v>18.426399139471101</v>
      </c>
      <c r="AL6378">
        <v>96.035595634116703</v>
      </c>
      <c r="AM6378">
        <v>99.178724647040198</v>
      </c>
      <c r="AN6378">
        <v>0.99999999298536901</v>
      </c>
    </row>
    <row r="6379" spans="1:40" x14ac:dyDescent="0.25">
      <c r="A6379" t="str">
        <f>"20190303154937685"</f>
        <v>20190303154937685</v>
      </c>
      <c r="B6379" t="str">
        <f>"1551599377676709"</f>
        <v>1551599377676709</v>
      </c>
      <c r="C6379" t="s">
        <v>40</v>
      </c>
      <c r="D6379">
        <v>5.3769770000000001</v>
      </c>
      <c r="E6379">
        <v>0.46809919999999999</v>
      </c>
      <c r="F6379" t="s">
        <v>65</v>
      </c>
      <c r="G6379">
        <v>-375.07830000000001</v>
      </c>
      <c r="H6379" s="1">
        <v>-2.7034229999999998E-6</v>
      </c>
      <c r="I6379">
        <v>21.106259999999999</v>
      </c>
      <c r="J6379">
        <v>-393.25889999999998</v>
      </c>
      <c r="K6379">
        <v>1.12217099999999</v>
      </c>
      <c r="L6379">
        <v>17.987850000000002</v>
      </c>
      <c r="M6379">
        <v>0.99717679999999997</v>
      </c>
      <c r="N6379">
        <v>-1.395355E-2</v>
      </c>
      <c r="O6379">
        <v>-7.3781810000000003E-2</v>
      </c>
      <c r="P6379">
        <v>0.98945660000000002</v>
      </c>
      <c r="Q6379">
        <v>-0.1174251</v>
      </c>
      <c r="R6379">
        <v>8.4775699999999996E-2</v>
      </c>
      <c r="S6379">
        <v>2.9676819999999999</v>
      </c>
      <c r="T6379">
        <v>-0.18167220000000001</v>
      </c>
      <c r="U6379">
        <v>0.50344849999999997</v>
      </c>
      <c r="V6379">
        <v>-0.15723960000000001</v>
      </c>
      <c r="W6379">
        <v>-0.10421030000000001</v>
      </c>
      <c r="X6379">
        <v>0.9820468</v>
      </c>
      <c r="Y6379">
        <v>-0.23893</v>
      </c>
      <c r="Z6379">
        <v>1.239931E-2</v>
      </c>
      <c r="AA6379">
        <v>0.97095759999999998</v>
      </c>
      <c r="AB6379">
        <v>17</v>
      </c>
      <c r="AC6379">
        <v>18.180599999999899</v>
      </c>
      <c r="AD6379">
        <v>-1.1221737034229899</v>
      </c>
      <c r="AE6379">
        <v>3.1184099999999901</v>
      </c>
      <c r="AF6379">
        <v>-4.4350232772026601</v>
      </c>
      <c r="AG6379">
        <v>-1.1221737034229899</v>
      </c>
      <c r="AH6379">
        <v>17.834927276490301</v>
      </c>
      <c r="AI6379">
        <v>93.494166226187502</v>
      </c>
      <c r="AJ6379">
        <v>103.964536256909</v>
      </c>
      <c r="AK6379">
        <v>18.412314798734101</v>
      </c>
      <c r="AL6379">
        <v>95.981670495243904</v>
      </c>
      <c r="AM6379">
        <v>99.096654513803699</v>
      </c>
      <c r="AN6379">
        <v>0.99999999791224503</v>
      </c>
    </row>
    <row r="6380" spans="1:40" x14ac:dyDescent="0.25">
      <c r="A6380" t="str">
        <f>"20190303154937706"</f>
        <v>20190303154937706</v>
      </c>
      <c r="B6380" t="str">
        <f>"1551599377697204"</f>
        <v>1551599377697204</v>
      </c>
      <c r="C6380" t="s">
        <v>40</v>
      </c>
      <c r="D6380">
        <v>5.2987669999999998</v>
      </c>
      <c r="E6380">
        <v>0.46814450000000002</v>
      </c>
      <c r="F6380" t="s">
        <v>65</v>
      </c>
      <c r="G6380">
        <v>-374.46969999999999</v>
      </c>
      <c r="H6380" s="1">
        <v>-3.0135820000000002E-6</v>
      </c>
      <c r="I6380">
        <v>21.19068</v>
      </c>
      <c r="J6380">
        <v>-393.09410000000003</v>
      </c>
      <c r="K6380">
        <v>1.1221570000000001</v>
      </c>
      <c r="L6380">
        <v>17.97879</v>
      </c>
      <c r="M6380">
        <v>0.9973651</v>
      </c>
      <c r="N6380">
        <v>-1.3965490000000001E-2</v>
      </c>
      <c r="O6380">
        <v>-7.1190710000000004E-2</v>
      </c>
      <c r="P6380">
        <v>0.98940090000000003</v>
      </c>
      <c r="Q6380">
        <v>-0.1166466</v>
      </c>
      <c r="R6380">
        <v>8.6484409999999998E-2</v>
      </c>
      <c r="S6380">
        <v>2.96759</v>
      </c>
      <c r="T6380">
        <v>-0.17723800000000001</v>
      </c>
      <c r="U6380">
        <v>0.50585939999999996</v>
      </c>
      <c r="V6380">
        <v>-0.1563986</v>
      </c>
      <c r="W6380">
        <v>-0.103408</v>
      </c>
      <c r="X6380">
        <v>0.98226590000000003</v>
      </c>
      <c r="Y6380">
        <v>-0.23721349999999999</v>
      </c>
      <c r="Z6380">
        <v>1.193279E-2</v>
      </c>
      <c r="AA6380">
        <v>0.97138429999999998</v>
      </c>
      <c r="AB6380">
        <v>17</v>
      </c>
      <c r="AC6380">
        <v>18.624400000000001</v>
      </c>
      <c r="AD6380">
        <v>-1.122160013582</v>
      </c>
      <c r="AE6380">
        <v>3.2118899999999999</v>
      </c>
      <c r="AF6380">
        <v>-4.5138389327098896</v>
      </c>
      <c r="AG6380">
        <v>-1.122160013582</v>
      </c>
      <c r="AH6380">
        <v>18.2839968433954</v>
      </c>
      <c r="AI6380">
        <v>93.409936810770702</v>
      </c>
      <c r="AJ6380">
        <v>103.86753564801499</v>
      </c>
      <c r="AK6380">
        <v>18.866333124797301</v>
      </c>
      <c r="AL6380">
        <v>95.935452268147003</v>
      </c>
      <c r="AM6380">
        <v>99.046822927760502</v>
      </c>
      <c r="AN6380">
        <v>1.0000000174243799</v>
      </c>
    </row>
    <row r="6381" spans="1:40" x14ac:dyDescent="0.25">
      <c r="A6381" t="str">
        <f>"20190303154937729"</f>
        <v>20190303154937729</v>
      </c>
      <c r="B6381" t="str">
        <f>"1551599377716725"</f>
        <v>1551599377716725</v>
      </c>
      <c r="C6381" t="s">
        <v>40</v>
      </c>
      <c r="D6381">
        <v>5.2922510000000003</v>
      </c>
      <c r="E6381">
        <v>0.46812110000000001</v>
      </c>
      <c r="F6381" t="s">
        <v>65</v>
      </c>
      <c r="G6381">
        <v>-373.92540000000002</v>
      </c>
      <c r="H6381" s="1">
        <v>-3.2940670000000001E-6</v>
      </c>
      <c r="I6381">
        <v>21.277899999999999</v>
      </c>
      <c r="J6381">
        <v>-392.92840000000001</v>
      </c>
      <c r="K6381">
        <v>1.1221449999999999</v>
      </c>
      <c r="L6381">
        <v>17.970089999999999</v>
      </c>
      <c r="M6381">
        <v>0.99754600000000004</v>
      </c>
      <c r="N6381">
        <v>-1.397526E-2</v>
      </c>
      <c r="O6381">
        <v>-6.8605970000000002E-2</v>
      </c>
      <c r="P6381">
        <v>0.98924460000000003</v>
      </c>
      <c r="Q6381">
        <v>-0.11631859999999999</v>
      </c>
      <c r="R6381">
        <v>8.8685310000000003E-2</v>
      </c>
      <c r="S6381">
        <v>2.9670100000000001</v>
      </c>
      <c r="T6381">
        <v>-0.17369319999999999</v>
      </c>
      <c r="U6381">
        <v>0.51065059999999995</v>
      </c>
      <c r="V6381">
        <v>-0.15604779999999999</v>
      </c>
      <c r="W6381">
        <v>-0.1030604</v>
      </c>
      <c r="X6381">
        <v>0.98235819999999996</v>
      </c>
      <c r="Y6381">
        <v>-0.23627799999999999</v>
      </c>
      <c r="Z6381">
        <v>1.1561439999999999E-2</v>
      </c>
      <c r="AA6381">
        <v>0.9716167</v>
      </c>
      <c r="AB6381">
        <v>17</v>
      </c>
      <c r="AC6381">
        <v>19.002999999999901</v>
      </c>
      <c r="AD6381">
        <v>-1.122148294067</v>
      </c>
      <c r="AE6381">
        <v>3.3078099999999999</v>
      </c>
      <c r="AF6381">
        <v>-4.5883320952049402</v>
      </c>
      <c r="AG6381">
        <v>-1.122148294067</v>
      </c>
      <c r="AH6381">
        <v>18.668077537391</v>
      </c>
      <c r="AI6381">
        <v>93.340748527332806</v>
      </c>
      <c r="AJ6381">
        <v>103.80871940335599</v>
      </c>
      <c r="AK6381">
        <v>19.256404834542899</v>
      </c>
      <c r="AL6381">
        <v>95.9154293922726</v>
      </c>
      <c r="AM6381">
        <v>99.026031330862395</v>
      </c>
      <c r="AN6381">
        <v>0.99999999752011903</v>
      </c>
    </row>
    <row r="6382" spans="1:40" x14ac:dyDescent="0.25">
      <c r="A6382" t="str">
        <f>"20190303154937742"</f>
        <v>20190303154937742</v>
      </c>
      <c r="B6382" t="str">
        <f>"1551599377737222"</f>
        <v>1551599377737222</v>
      </c>
      <c r="C6382" t="s">
        <v>40</v>
      </c>
      <c r="D6382">
        <v>5.2434219999999998</v>
      </c>
      <c r="E6382">
        <v>0.46819470000000002</v>
      </c>
      <c r="F6382" t="s">
        <v>65</v>
      </c>
      <c r="G6382">
        <v>-373.51740000000001</v>
      </c>
      <c r="H6382" s="1">
        <v>-3.5080480000000002E-6</v>
      </c>
      <c r="I6382">
        <v>21.357119999999998</v>
      </c>
      <c r="J6382">
        <v>-392.8245</v>
      </c>
      <c r="K6382">
        <v>1.122131</v>
      </c>
      <c r="L6382">
        <v>17.964779999999902</v>
      </c>
      <c r="M6382">
        <v>0.99765519999999996</v>
      </c>
      <c r="N6382">
        <v>-1.39805E-2</v>
      </c>
      <c r="O6382">
        <v>-6.6995979999999997E-2</v>
      </c>
      <c r="P6382">
        <v>0.98912679999999997</v>
      </c>
      <c r="Q6382">
        <v>-0.11619690000000001</v>
      </c>
      <c r="R6382">
        <v>9.0147030000000003E-2</v>
      </c>
      <c r="S6382">
        <v>2.9660639999999998</v>
      </c>
      <c r="T6382">
        <v>-0.17146749999999999</v>
      </c>
      <c r="U6382">
        <v>0.5175476</v>
      </c>
      <c r="V6382">
        <v>-0.15591930000000001</v>
      </c>
      <c r="W6382">
        <v>-0.1029273</v>
      </c>
      <c r="X6382">
        <v>0.9823925</v>
      </c>
      <c r="Y6382">
        <v>-0.23696880000000001</v>
      </c>
      <c r="Z6382">
        <v>1.137932E-2</v>
      </c>
      <c r="AA6382">
        <v>0.97145060000000005</v>
      </c>
      <c r="AB6382">
        <v>17</v>
      </c>
      <c r="AC6382">
        <v>19.307099999999899</v>
      </c>
      <c r="AD6382">
        <v>-1.1221345080480001</v>
      </c>
      <c r="AE6382">
        <v>3.3923399999999999</v>
      </c>
      <c r="AF6382">
        <v>-4.6630614284222904</v>
      </c>
      <c r="AG6382">
        <v>-1.1221345080480001</v>
      </c>
      <c r="AH6382">
        <v>18.974242856090498</v>
      </c>
      <c r="AI6382">
        <v>93.286942509022794</v>
      </c>
      <c r="AJ6382">
        <v>103.807234387669</v>
      </c>
      <c r="AK6382">
        <v>19.571030113443001</v>
      </c>
      <c r="AL6382">
        <v>95.907762888988401</v>
      </c>
      <c r="AM6382">
        <v>99.018411206109107</v>
      </c>
      <c r="AN6382">
        <v>0.99999994062701303</v>
      </c>
    </row>
    <row r="6383" spans="1:40" x14ac:dyDescent="0.25">
      <c r="A6383" t="str">
        <f>"20190303154937761"</f>
        <v>20190303154937761</v>
      </c>
      <c r="B6383" t="str">
        <f>"1551599377756741"</f>
        <v>1551599377756741</v>
      </c>
      <c r="C6383" t="s">
        <v>40</v>
      </c>
      <c r="D6383">
        <v>5.2563490000000002</v>
      </c>
      <c r="E6383">
        <v>0.46822959999999902</v>
      </c>
      <c r="F6383" t="s">
        <v>65</v>
      </c>
      <c r="G6383">
        <v>-373.23439999999999</v>
      </c>
      <c r="H6383" s="1">
        <v>-3.655753E-6</v>
      </c>
      <c r="I6383">
        <v>21.409520000000001</v>
      </c>
      <c r="J6383">
        <v>-392.67959999999999</v>
      </c>
      <c r="K6383">
        <v>1.1221049999999999</v>
      </c>
      <c r="L6383">
        <v>17.957699999999999</v>
      </c>
      <c r="M6383">
        <v>0.99780190000000002</v>
      </c>
      <c r="N6383">
        <v>-1.39863E-2</v>
      </c>
      <c r="O6383">
        <v>-6.4777580000000001E-2</v>
      </c>
      <c r="P6383">
        <v>0.98897489999999999</v>
      </c>
      <c r="Q6383">
        <v>-0.11586340000000001</v>
      </c>
      <c r="R6383">
        <v>9.222081E-2</v>
      </c>
      <c r="S6383">
        <v>2.9654850000000001</v>
      </c>
      <c r="T6383">
        <v>-0.169865299999999</v>
      </c>
      <c r="U6383">
        <v>0.52145390000000003</v>
      </c>
      <c r="V6383">
        <v>-0.15580450000000001</v>
      </c>
      <c r="W6383">
        <v>-0.102578</v>
      </c>
      <c r="X6383">
        <v>0.98244730000000002</v>
      </c>
      <c r="Y6383">
        <v>-0.23609569999999999</v>
      </c>
      <c r="Z6383">
        <v>1.1155170000000001E-2</v>
      </c>
      <c r="AA6383">
        <v>0.97166569999999997</v>
      </c>
      <c r="AB6383">
        <v>17</v>
      </c>
      <c r="AC6383">
        <v>19.4452</v>
      </c>
      <c r="AD6383">
        <v>-1.122108655753</v>
      </c>
      <c r="AE6383">
        <v>3.4518200000000001</v>
      </c>
      <c r="AF6383">
        <v>-4.6891668628654397</v>
      </c>
      <c r="AG6383">
        <v>-1.122108655753</v>
      </c>
      <c r="AH6383">
        <v>19.119007949616101</v>
      </c>
      <c r="AI6383">
        <v>93.262406844939704</v>
      </c>
      <c r="AJ6383">
        <v>103.78046335872</v>
      </c>
      <c r="AK6383">
        <v>19.717603269175399</v>
      </c>
      <c r="AL6383">
        <v>95.887642667747301</v>
      </c>
      <c r="AM6383">
        <v>99.011385731737107</v>
      </c>
      <c r="AN6383">
        <v>0.99999999279077001</v>
      </c>
    </row>
    <row r="6384" spans="1:40" x14ac:dyDescent="0.25">
      <c r="A6384" t="str">
        <f>"20190303154937784"</f>
        <v>20190303154937784</v>
      </c>
      <c r="B6384" t="str">
        <f>"1551599377777237"</f>
        <v>1551599377777237</v>
      </c>
      <c r="C6384" t="s">
        <v>40</v>
      </c>
      <c r="D6384">
        <v>5.2484010000000003</v>
      </c>
      <c r="E6384">
        <v>0.46829609999999999</v>
      </c>
      <c r="F6384" t="s">
        <v>65</v>
      </c>
      <c r="G6384">
        <v>-372.84530000000001</v>
      </c>
      <c r="H6384" s="1">
        <v>-3.860066E-6</v>
      </c>
      <c r="I6384">
        <v>21.4862</v>
      </c>
      <c r="J6384">
        <v>-392.50540000000001</v>
      </c>
      <c r="K6384">
        <v>1.1220730000000001</v>
      </c>
      <c r="L6384">
        <v>17.949619999999999</v>
      </c>
      <c r="M6384">
        <v>0.99796799999999997</v>
      </c>
      <c r="N6384">
        <v>-1.3991129999999999E-2</v>
      </c>
      <c r="O6384">
        <v>-6.2162740000000001E-2</v>
      </c>
      <c r="P6384">
        <v>0.98885400000000001</v>
      </c>
      <c r="Q6384">
        <v>-0.1152929</v>
      </c>
      <c r="R6384">
        <v>9.4210219999999997E-2</v>
      </c>
      <c r="S6384">
        <v>2.9646300000000001</v>
      </c>
      <c r="T6384">
        <v>-0.16772200000000001</v>
      </c>
      <c r="U6384">
        <v>0.52740480000000001</v>
      </c>
      <c r="V6384">
        <v>-0.15522230000000001</v>
      </c>
      <c r="W6384">
        <v>-0.1019854</v>
      </c>
      <c r="X6384">
        <v>0.98260119999999895</v>
      </c>
      <c r="Y6384">
        <v>-0.23550470000000001</v>
      </c>
      <c r="Z6384">
        <v>1.089481E-2</v>
      </c>
      <c r="AA6384">
        <v>0.97181209999999996</v>
      </c>
      <c r="AB6384">
        <v>17</v>
      </c>
      <c r="AC6384">
        <v>19.6601</v>
      </c>
      <c r="AD6384">
        <v>-1.1220768600659901</v>
      </c>
      <c r="AE6384">
        <v>3.5365799999999998</v>
      </c>
      <c r="AF6384">
        <v>-4.7370374197377698</v>
      </c>
      <c r="AG6384">
        <v>-1.1220768600659901</v>
      </c>
      <c r="AH6384">
        <v>19.341177881763102</v>
      </c>
      <c r="AI6384">
        <v>93.2251749635534</v>
      </c>
      <c r="AJ6384">
        <v>103.76196569033399</v>
      </c>
      <c r="AK6384">
        <v>19.9444163075758</v>
      </c>
      <c r="AL6384">
        <v>95.853509836028607</v>
      </c>
      <c r="AM6384">
        <v>98.976878789180006</v>
      </c>
      <c r="AN6384">
        <v>1.0000000512359399</v>
      </c>
    </row>
    <row r="6385" spans="1:40" x14ac:dyDescent="0.25">
      <c r="A6385" t="str">
        <f>"20190303154937798"</f>
        <v>20190303154937798</v>
      </c>
      <c r="B6385" t="str">
        <f>"1551599377786997"</f>
        <v>1551599377786997</v>
      </c>
      <c r="C6385" t="s">
        <v>40</v>
      </c>
      <c r="D6385">
        <v>5.2179719999999996</v>
      </c>
      <c r="E6385">
        <v>0.46835270000000001</v>
      </c>
      <c r="F6385" t="s">
        <v>65</v>
      </c>
      <c r="G6385">
        <v>-372.31400000000002</v>
      </c>
      <c r="H6385" s="1">
        <v>-4.1357239999999999E-6</v>
      </c>
      <c r="I6385">
        <v>21.578289999999999</v>
      </c>
      <c r="J6385">
        <v>-392.39569999999998</v>
      </c>
      <c r="K6385">
        <v>1.1220490000000001</v>
      </c>
      <c r="L6385">
        <v>17.944669999999999</v>
      </c>
      <c r="M6385">
        <v>0.9980677</v>
      </c>
      <c r="N6385">
        <v>-1.3993240000000001E-2</v>
      </c>
      <c r="O6385">
        <v>-6.0541320000000003E-2</v>
      </c>
      <c r="P6385">
        <v>0.98877890000000002</v>
      </c>
      <c r="Q6385">
        <v>-0.1148057</v>
      </c>
      <c r="R6385">
        <v>9.5583420000000002E-2</v>
      </c>
      <c r="S6385">
        <v>2.9638979999999999</v>
      </c>
      <c r="T6385">
        <v>-0.16471</v>
      </c>
      <c r="U6385">
        <v>0.53265379999999996</v>
      </c>
      <c r="V6385">
        <v>-0.1550021</v>
      </c>
      <c r="W6385">
        <v>-0.1014848</v>
      </c>
      <c r="X6385">
        <v>0.98268770000000005</v>
      </c>
      <c r="Y6385">
        <v>-0.23565340000000001</v>
      </c>
      <c r="Z6385">
        <v>1.0653360000000001E-2</v>
      </c>
      <c r="AA6385">
        <v>0.97177880000000005</v>
      </c>
      <c r="AB6385">
        <v>17</v>
      </c>
      <c r="AC6385">
        <v>20.081699999999898</v>
      </c>
      <c r="AD6385">
        <v>-1.122053135724</v>
      </c>
      <c r="AE6385">
        <v>3.6336199999999899</v>
      </c>
      <c r="AF6385">
        <v>-4.8282493817640004</v>
      </c>
      <c r="AG6385">
        <v>-1.122053135724</v>
      </c>
      <c r="AH6385">
        <v>19.765101633708401</v>
      </c>
      <c r="AI6385">
        <v>93.156539892554804</v>
      </c>
      <c r="AJ6385">
        <v>103.72746028213</v>
      </c>
      <c r="AK6385">
        <v>20.377198971466001</v>
      </c>
      <c r="AL6385">
        <v>95.824678476622907</v>
      </c>
      <c r="AM6385">
        <v>98.963574778461407</v>
      </c>
      <c r="AN6385">
        <v>0.99999996568336902</v>
      </c>
    </row>
    <row r="6386" spans="1:40" x14ac:dyDescent="0.25">
      <c r="A6386" t="str">
        <f>"20190303154937821"</f>
        <v>20190303154937821</v>
      </c>
      <c r="B6386" t="str">
        <f>"1551599377817253"</f>
        <v>1551599377817253</v>
      </c>
      <c r="C6386" t="s">
        <v>40</v>
      </c>
      <c r="D6386">
        <v>5.1532479999999996</v>
      </c>
      <c r="E6386">
        <v>0.46857090000000001</v>
      </c>
      <c r="F6386" t="s">
        <v>65</v>
      </c>
      <c r="G6386">
        <v>-371.9384</v>
      </c>
      <c r="H6386" s="1">
        <v>-4.3270389999999901E-6</v>
      </c>
      <c r="I6386">
        <v>21.646629999999998</v>
      </c>
      <c r="J6386">
        <v>-392.23059999999998</v>
      </c>
      <c r="K6386">
        <v>1.122012</v>
      </c>
      <c r="L6386">
        <v>17.937529999999999</v>
      </c>
      <c r="M6386">
        <v>0.99820969999999998</v>
      </c>
      <c r="N6386">
        <v>-1.399513E-2</v>
      </c>
      <c r="O6386">
        <v>-5.8150319999999998E-2</v>
      </c>
      <c r="P6386">
        <v>0.98865599999999998</v>
      </c>
      <c r="Q6386">
        <v>-0.1143074</v>
      </c>
      <c r="R6386">
        <v>9.7432539999999998E-2</v>
      </c>
      <c r="S6386">
        <v>2.9633790000000002</v>
      </c>
      <c r="T6386">
        <v>-0.1625375</v>
      </c>
      <c r="U6386">
        <v>0.53625489999999998</v>
      </c>
      <c r="V6386">
        <v>-0.15450139999999901</v>
      </c>
      <c r="W6386">
        <v>-0.1009655</v>
      </c>
      <c r="X6386">
        <v>0.98282000000000003</v>
      </c>
      <c r="Y6386">
        <v>-0.234515</v>
      </c>
      <c r="Z6386">
        <v>1.038889E-2</v>
      </c>
      <c r="AA6386">
        <v>0.97205699999999995</v>
      </c>
      <c r="AB6386">
        <v>17</v>
      </c>
      <c r="AC6386">
        <v>20.292199999999902</v>
      </c>
      <c r="AD6386">
        <v>-1.122016327039</v>
      </c>
      <c r="AE6386">
        <v>3.7090999999999998</v>
      </c>
      <c r="AF6386">
        <v>-4.8685325011859799</v>
      </c>
      <c r="AG6386">
        <v>-1.122016327039</v>
      </c>
      <c r="AH6386">
        <v>19.983029880060801</v>
      </c>
      <c r="AI6386">
        <v>93.122547058999103</v>
      </c>
      <c r="AJ6386">
        <v>103.69240808061301</v>
      </c>
      <c r="AK6386">
        <v>20.598131287586401</v>
      </c>
      <c r="AL6386">
        <v>95.794771345864703</v>
      </c>
      <c r="AM6386">
        <v>98.933904460873904</v>
      </c>
      <c r="AN6386">
        <v>0.99999993359610195</v>
      </c>
    </row>
    <row r="6387" spans="1:40" x14ac:dyDescent="0.25">
      <c r="A6387" t="str">
        <f>"20190303154937841"</f>
        <v>20190303154937841</v>
      </c>
      <c r="B6387" t="str">
        <f>"1551599377836773"</f>
        <v>1551599377836773</v>
      </c>
      <c r="C6387" t="s">
        <v>40</v>
      </c>
      <c r="D6387">
        <v>5.0828870000000004</v>
      </c>
      <c r="E6387">
        <v>0.46871220000000002</v>
      </c>
      <c r="F6387" t="s">
        <v>65</v>
      </c>
      <c r="G6387">
        <v>-371.42540000000002</v>
      </c>
      <c r="H6387" s="1">
        <v>-4.538858E-6</v>
      </c>
      <c r="I6387">
        <v>21.730090000000001</v>
      </c>
      <c r="J6387">
        <v>-392.07940000000002</v>
      </c>
      <c r="K6387">
        <v>1.1219730000000001</v>
      </c>
      <c r="L6387">
        <v>17.9313</v>
      </c>
      <c r="M6387">
        <v>0.99833119999999997</v>
      </c>
      <c r="N6387">
        <v>-1.3995509999999999E-2</v>
      </c>
      <c r="O6387">
        <v>-5.6028759999999997E-2</v>
      </c>
      <c r="P6387">
        <v>0.98858040000000003</v>
      </c>
      <c r="Q6387">
        <v>-0.11405029999999999</v>
      </c>
      <c r="R6387">
        <v>9.8498569999999994E-2</v>
      </c>
      <c r="S6387">
        <v>2.9627080000000001</v>
      </c>
      <c r="T6387">
        <v>-0.159777799999999</v>
      </c>
      <c r="U6387">
        <v>0.54006960000000004</v>
      </c>
      <c r="V6387">
        <v>-0.15348729999999999</v>
      </c>
      <c r="W6387">
        <v>-0.1006857</v>
      </c>
      <c r="X6387">
        <v>0.98300759999999998</v>
      </c>
      <c r="Y6387">
        <v>-0.23371749999999999</v>
      </c>
      <c r="Z6387">
        <v>1.0117360000000001E-2</v>
      </c>
      <c r="AA6387">
        <v>0.97225189999999995</v>
      </c>
      <c r="AB6387">
        <v>17</v>
      </c>
      <c r="AC6387">
        <v>20.654</v>
      </c>
      <c r="AD6387">
        <v>-1.12197753885799</v>
      </c>
      <c r="AE6387">
        <v>3.7987899999999999</v>
      </c>
      <c r="AF6387">
        <v>-4.93606332903133</v>
      </c>
      <c r="AG6387">
        <v>-1.12197753885799</v>
      </c>
      <c r="AH6387">
        <v>20.3505988059852</v>
      </c>
      <c r="AI6387">
        <v>93.066911159083503</v>
      </c>
      <c r="AJ6387">
        <v>103.633868130899</v>
      </c>
      <c r="AK6387">
        <v>20.970704006973001</v>
      </c>
      <c r="AL6387">
        <v>95.778657769113295</v>
      </c>
      <c r="AM6387">
        <v>98.874534785331605</v>
      </c>
      <c r="AN6387">
        <v>0.99999995155176802</v>
      </c>
    </row>
    <row r="6388" spans="1:40" x14ac:dyDescent="0.25">
      <c r="A6388" t="str">
        <f>"20190303154937864"</f>
        <v>20190303154937864</v>
      </c>
      <c r="B6388" t="str">
        <f>"1551599377857615"</f>
        <v>1551599377857615</v>
      </c>
      <c r="C6388" t="s">
        <v>40</v>
      </c>
      <c r="D6388">
        <v>5.0701019999999897</v>
      </c>
      <c r="E6388">
        <v>0.46891260000000001</v>
      </c>
      <c r="F6388" t="s">
        <v>65</v>
      </c>
      <c r="G6388">
        <v>-370.94959999999998</v>
      </c>
      <c r="H6388" s="1">
        <v>-4.7334600000000002E-6</v>
      </c>
      <c r="I6388">
        <v>21.797229999999999</v>
      </c>
      <c r="J6388">
        <v>-391.90530000000001</v>
      </c>
      <c r="K6388">
        <v>1.121923</v>
      </c>
      <c r="L6388">
        <v>17.924440000000001</v>
      </c>
      <c r="M6388">
        <v>0.99846089999999998</v>
      </c>
      <c r="N6388">
        <v>-1.3994680000000001E-2</v>
      </c>
      <c r="O6388">
        <v>-5.3664620000000003E-2</v>
      </c>
      <c r="P6388">
        <v>0.98852300000000004</v>
      </c>
      <c r="Q6388">
        <v>-0.1142063</v>
      </c>
      <c r="R6388">
        <v>9.8889340000000006E-2</v>
      </c>
      <c r="S6388">
        <v>2.962494</v>
      </c>
      <c r="T6388">
        <v>-0.157307</v>
      </c>
      <c r="U6388">
        <v>0.54202269999999997</v>
      </c>
      <c r="V6388">
        <v>-0.1515628</v>
      </c>
      <c r="W6388">
        <v>-0.1008141</v>
      </c>
      <c r="X6388">
        <v>0.98329310000000003</v>
      </c>
      <c r="Y6388">
        <v>-0.23206570000000001</v>
      </c>
      <c r="Z6388">
        <v>9.8278180000000003E-3</v>
      </c>
      <c r="AA6388">
        <v>0.97265049999999997</v>
      </c>
      <c r="AB6388">
        <v>17</v>
      </c>
      <c r="AC6388">
        <v>20.9557</v>
      </c>
      <c r="AD6388">
        <v>-1.12192773346</v>
      </c>
      <c r="AE6388">
        <v>3.87278999999999</v>
      </c>
      <c r="AF6388">
        <v>-4.9781005377256102</v>
      </c>
      <c r="AG6388">
        <v>-1.12192773346</v>
      </c>
      <c r="AH6388">
        <v>20.660381505156799</v>
      </c>
      <c r="AI6388">
        <v>93.021981317348207</v>
      </c>
      <c r="AJ6388">
        <v>103.54714050263701</v>
      </c>
      <c r="AK6388">
        <v>21.281249275863299</v>
      </c>
      <c r="AL6388">
        <v>95.786051642088793</v>
      </c>
      <c r="AM6388">
        <v>98.762494660374003</v>
      </c>
      <c r="AN6388">
        <v>1.0000000428051199</v>
      </c>
    </row>
    <row r="6389" spans="1:40" x14ac:dyDescent="0.25">
      <c r="A6389" t="str">
        <f>"20190303154937885"</f>
        <v>20190303154937885</v>
      </c>
      <c r="B6389" t="str">
        <f>"1551599377877134"</f>
        <v>1551599377877134</v>
      </c>
      <c r="C6389" t="s">
        <v>40</v>
      </c>
      <c r="D6389">
        <v>5.6554880000000001</v>
      </c>
      <c r="E6389">
        <v>0.50798599999999905</v>
      </c>
      <c r="F6389" t="s">
        <v>65</v>
      </c>
      <c r="G6389">
        <v>-370.5831</v>
      </c>
      <c r="H6389" s="1">
        <v>-4.8785080000000002E-6</v>
      </c>
      <c r="I6389">
        <v>21.821400000000001</v>
      </c>
      <c r="J6389">
        <v>-391.74130000000002</v>
      </c>
      <c r="K6389">
        <v>1.1218779999999999</v>
      </c>
      <c r="L6389">
        <v>17.918209999999998</v>
      </c>
      <c r="M6389">
        <v>0.99857459999999998</v>
      </c>
      <c r="N6389">
        <v>-1.399309E-2</v>
      </c>
      <c r="O6389">
        <v>-5.1507339999999999E-2</v>
      </c>
      <c r="P6389">
        <v>0.98855190000000004</v>
      </c>
      <c r="Q6389">
        <v>-0.11485330000000001</v>
      </c>
      <c r="R6389">
        <v>9.7847719999999999E-2</v>
      </c>
      <c r="S6389">
        <v>2.9626769999999998</v>
      </c>
      <c r="T6389">
        <v>-0.15588940000000001</v>
      </c>
      <c r="U6389">
        <v>0.54147339999999999</v>
      </c>
      <c r="V6389">
        <v>-0.14841260000000001</v>
      </c>
      <c r="W6389">
        <v>-0.1014321</v>
      </c>
      <c r="X6389">
        <v>0.98370990000000003</v>
      </c>
      <c r="Y6389">
        <v>-0.22979150000000001</v>
      </c>
      <c r="Z6389">
        <v>9.5887309999999996E-3</v>
      </c>
      <c r="AA6389">
        <v>0.97319259999999996</v>
      </c>
      <c r="AB6389">
        <v>17</v>
      </c>
      <c r="AC6389">
        <v>21.158200000000001</v>
      </c>
      <c r="AD6389">
        <v>-1.1218828785079999</v>
      </c>
      <c r="AE6389">
        <v>3.9031899999999902</v>
      </c>
      <c r="AF6389">
        <v>-4.9743920370291503</v>
      </c>
      <c r="AG6389">
        <v>-1.1218828785079999</v>
      </c>
      <c r="AH6389">
        <v>20.872295758840899</v>
      </c>
      <c r="AI6389">
        <v>92.993012147928496</v>
      </c>
      <c r="AJ6389">
        <v>103.404960837571</v>
      </c>
      <c r="AK6389">
        <v>21.486179920490201</v>
      </c>
      <c r="AL6389">
        <v>95.821643307201597</v>
      </c>
      <c r="AM6389">
        <v>98.579526186460697</v>
      </c>
      <c r="AN6389">
        <v>0.99999996905358901</v>
      </c>
    </row>
    <row r="6390" spans="1:40" x14ac:dyDescent="0.25">
      <c r="A6390" t="str">
        <f>"20190303154937898"</f>
        <v>20190303154937898</v>
      </c>
      <c r="B6390" t="str">
        <f>"1551599377886895"</f>
        <v>1551599377886895</v>
      </c>
      <c r="C6390" t="s">
        <v>40</v>
      </c>
      <c r="D6390">
        <v>5.1162660000000004</v>
      </c>
      <c r="E6390">
        <v>0.51718560000000002</v>
      </c>
      <c r="F6390" t="s">
        <v>41</v>
      </c>
      <c r="G6390">
        <v>-341.39589999999998</v>
      </c>
      <c r="H6390" s="1">
        <v>-4.1742770000000004E-6</v>
      </c>
      <c r="I6390">
        <v>21.72071</v>
      </c>
      <c r="J6390">
        <v>-391.64269999999999</v>
      </c>
      <c r="K6390">
        <v>1.1218429999999999</v>
      </c>
      <c r="L6390">
        <v>17.91461</v>
      </c>
      <c r="M6390">
        <v>0.99863900000000005</v>
      </c>
      <c r="N6390">
        <v>-1.399192E-2</v>
      </c>
      <c r="O6390">
        <v>-5.024141E-2</v>
      </c>
      <c r="P6390">
        <v>0.98855440000000006</v>
      </c>
      <c r="Q6390">
        <v>-0.11502030000000001</v>
      </c>
      <c r="R6390">
        <v>9.7625089999999998E-2</v>
      </c>
      <c r="S6390">
        <v>3.004486</v>
      </c>
      <c r="T6390">
        <v>-6.6951159999999996E-2</v>
      </c>
      <c r="U6390">
        <v>0.22692870000000001</v>
      </c>
      <c r="V6390">
        <v>-0.14695139999999901</v>
      </c>
      <c r="W6390">
        <v>-0.10158440000000001</v>
      </c>
      <c r="X6390">
        <v>0.98391360000000005</v>
      </c>
      <c r="Y6390">
        <v>-0.12527179999999999</v>
      </c>
      <c r="Z6390">
        <v>2.6876130000000002E-3</v>
      </c>
      <c r="AA6390">
        <v>0.99211879999999997</v>
      </c>
      <c r="AB6390">
        <v>17</v>
      </c>
      <c r="AC6390">
        <v>50.2468</v>
      </c>
      <c r="AD6390">
        <v>-1.121847174277</v>
      </c>
      <c r="AE6390">
        <v>3.8060999999999998</v>
      </c>
      <c r="AF6390">
        <v>-6.32287592761244</v>
      </c>
      <c r="AG6390">
        <v>-1.121847174277</v>
      </c>
      <c r="AH6390">
        <v>49.967322675933403</v>
      </c>
      <c r="AI6390">
        <v>91.275994886827604</v>
      </c>
      <c r="AJ6390">
        <v>97.211890169913403</v>
      </c>
      <c r="AK6390">
        <v>50.378275441694697</v>
      </c>
      <c r="AL6390">
        <v>95.830414356931598</v>
      </c>
      <c r="AM6390">
        <v>98.494561766818293</v>
      </c>
      <c r="AN6390">
        <v>1.00000003827513</v>
      </c>
    </row>
    <row r="6391" spans="1:40" x14ac:dyDescent="0.25">
      <c r="A6391" t="str">
        <f>"20190303154937918"</f>
        <v>20190303154937918</v>
      </c>
      <c r="B6391" t="str">
        <f>"1551599377907390"</f>
        <v>1551599377907390</v>
      </c>
      <c r="C6391" t="s">
        <v>40</v>
      </c>
      <c r="D6391">
        <v>5.0529739999999999</v>
      </c>
      <c r="E6391">
        <v>0.52562180000000003</v>
      </c>
      <c r="F6391" t="s">
        <v>41</v>
      </c>
      <c r="G6391">
        <v>-344.15550000000002</v>
      </c>
      <c r="H6391" s="1">
        <v>-2.6798440000000001E-6</v>
      </c>
      <c r="I6391">
        <v>20.33136</v>
      </c>
      <c r="J6391">
        <v>-391.50380000000001</v>
      </c>
      <c r="K6391">
        <v>1.1218079999999999</v>
      </c>
      <c r="L6391">
        <v>17.909700000000001</v>
      </c>
      <c r="M6391">
        <v>0.99872479999999997</v>
      </c>
      <c r="N6391">
        <v>-1.3989690000000001E-2</v>
      </c>
      <c r="O6391">
        <v>-4.850964E-2</v>
      </c>
      <c r="P6391">
        <v>0.98876500000000001</v>
      </c>
      <c r="Q6391">
        <v>-0.1149834</v>
      </c>
      <c r="R6391">
        <v>9.5513059999999997E-2</v>
      </c>
      <c r="S6391">
        <v>3.0113219999999998</v>
      </c>
      <c r="T6391">
        <v>-7.1140049999999996E-2</v>
      </c>
      <c r="U6391">
        <v>0.15325929999999999</v>
      </c>
      <c r="V6391">
        <v>-0.14315710000000001</v>
      </c>
      <c r="W6391">
        <v>-0.101521</v>
      </c>
      <c r="X6391">
        <v>0.98447929999999995</v>
      </c>
      <c r="Y6391">
        <v>-9.9174170000000006E-2</v>
      </c>
      <c r="Z6391">
        <v>2.3318140000000002E-3</v>
      </c>
      <c r="AA6391">
        <v>0.99506740000000005</v>
      </c>
      <c r="AB6391">
        <v>17</v>
      </c>
      <c r="AC6391">
        <v>47.348300000000002</v>
      </c>
      <c r="AD6391">
        <v>-1.121810679844</v>
      </c>
      <c r="AE6391">
        <v>2.4216599999999899</v>
      </c>
      <c r="AF6391">
        <v>-4.7132432402877997</v>
      </c>
      <c r="AG6391">
        <v>-1.121810679844</v>
      </c>
      <c r="AH6391">
        <v>47.148663628847999</v>
      </c>
      <c r="AI6391">
        <v>91.356227311664</v>
      </c>
      <c r="AJ6391">
        <v>95.708640216501493</v>
      </c>
      <c r="AK6391">
        <v>47.396936641831402</v>
      </c>
      <c r="AL6391">
        <v>95.8267632655933</v>
      </c>
      <c r="AM6391">
        <v>98.273619404548</v>
      </c>
      <c r="AN6391">
        <v>0.99999998042494898</v>
      </c>
    </row>
    <row r="6392" spans="1:40" x14ac:dyDescent="0.25">
      <c r="A6392" t="str">
        <f>"20190303154937930"</f>
        <v>20190303154937930</v>
      </c>
      <c r="B6392" t="str">
        <f>"1551599377926910"</f>
        <v>1551599377926910</v>
      </c>
      <c r="C6392" t="s">
        <v>40</v>
      </c>
      <c r="D6392">
        <v>5.0681310000000002</v>
      </c>
      <c r="E6392">
        <v>0.52676149999999999</v>
      </c>
      <c r="F6392" t="s">
        <v>41</v>
      </c>
      <c r="G6392">
        <v>-344.9237</v>
      </c>
      <c r="H6392" s="1">
        <v>-2.243768E-6</v>
      </c>
      <c r="I6392">
        <v>19.144159999999999</v>
      </c>
      <c r="J6392">
        <v>-391.40949999999998</v>
      </c>
      <c r="K6392">
        <v>1.1217900000000001</v>
      </c>
      <c r="L6392">
        <v>17.906489999999899</v>
      </c>
      <c r="M6392">
        <v>0.99877959999999999</v>
      </c>
      <c r="N6392">
        <v>-1.3987919999999999E-2</v>
      </c>
      <c r="O6392">
        <v>-4.7367869999999999E-2</v>
      </c>
      <c r="P6392">
        <v>0.98886799999999997</v>
      </c>
      <c r="Q6392">
        <v>-0.11488859999999999</v>
      </c>
      <c r="R6392">
        <v>9.4556559999999998E-2</v>
      </c>
      <c r="S6392">
        <v>3.0179140000000002</v>
      </c>
      <c r="T6392">
        <v>-7.2681899999999994E-2</v>
      </c>
      <c r="U6392">
        <v>7.9986570000000007E-2</v>
      </c>
      <c r="V6392">
        <v>-0.14108950000000001</v>
      </c>
      <c r="W6392">
        <v>-0.1014113</v>
      </c>
      <c r="X6392">
        <v>0.98478909999999997</v>
      </c>
      <c r="Y6392">
        <v>-7.3784550000000004E-2</v>
      </c>
      <c r="Z6392">
        <v>1.882232E-3</v>
      </c>
      <c r="AA6392">
        <v>0.99727239999999995</v>
      </c>
      <c r="AB6392">
        <v>17</v>
      </c>
      <c r="AC6392">
        <v>46.485799999999898</v>
      </c>
      <c r="AD6392">
        <v>-1.1217922437679999</v>
      </c>
      <c r="AE6392">
        <v>1.23767</v>
      </c>
      <c r="AF6392">
        <v>-3.4364293780642101</v>
      </c>
      <c r="AG6392">
        <v>-1.1217922437679999</v>
      </c>
      <c r="AH6392">
        <v>46.348006876035697</v>
      </c>
      <c r="AI6392">
        <v>91.382703997243794</v>
      </c>
      <c r="AJ6392">
        <v>94.240382764268404</v>
      </c>
      <c r="AK6392">
        <v>46.488764299448299</v>
      </c>
      <c r="AL6392">
        <v>95.820444991944399</v>
      </c>
      <c r="AM6392">
        <v>98.1532125140684</v>
      </c>
      <c r="AN6392">
        <v>1.00000003512837</v>
      </c>
    </row>
    <row r="6393" spans="1:40" x14ac:dyDescent="0.25">
      <c r="A6393" t="str">
        <f>"20190303154937951"</f>
        <v>20190303154937951</v>
      </c>
      <c r="B6393" t="str">
        <f>"1551599377947406"</f>
        <v>1551599377947406</v>
      </c>
      <c r="C6393" t="s">
        <v>40</v>
      </c>
      <c r="D6393">
        <v>5.0453890000000001</v>
      </c>
      <c r="E6393">
        <v>0.52757030000000005</v>
      </c>
      <c r="F6393" t="s">
        <v>41</v>
      </c>
      <c r="G6393">
        <v>-356.48860000000002</v>
      </c>
      <c r="H6393" s="1">
        <v>-1.6514580000000001E-6</v>
      </c>
      <c r="I6393">
        <v>18.698619999999998</v>
      </c>
      <c r="J6393">
        <v>-391.25049999999999</v>
      </c>
      <c r="K6393">
        <v>1.1217520000000001</v>
      </c>
      <c r="L6393">
        <v>17.901209999999999</v>
      </c>
      <c r="M6393">
        <v>0.99886710000000001</v>
      </c>
      <c r="N6393">
        <v>-1.3984740000000001E-2</v>
      </c>
      <c r="O6393">
        <v>-4.5488069999999999E-2</v>
      </c>
      <c r="P6393">
        <v>0.98913309999999999</v>
      </c>
      <c r="Q6393">
        <v>-0.11476600000000001</v>
      </c>
      <c r="R6393">
        <v>9.1895710000000005E-2</v>
      </c>
      <c r="S6393">
        <v>3.0159910000000001</v>
      </c>
      <c r="T6393">
        <v>-9.6885200000000005E-2</v>
      </c>
      <c r="U6393">
        <v>6.8420410000000001E-2</v>
      </c>
      <c r="V6393">
        <v>-0.13660139999999901</v>
      </c>
      <c r="W6393">
        <v>-0.1012613</v>
      </c>
      <c r="X6393">
        <v>0.98543700000000001</v>
      </c>
      <c r="Y6393">
        <v>-6.8079520000000004E-2</v>
      </c>
      <c r="Z6393">
        <v>2.3937810000000002E-3</v>
      </c>
      <c r="AA6393">
        <v>0.99767700000000004</v>
      </c>
      <c r="AB6393">
        <v>17</v>
      </c>
      <c r="AC6393">
        <v>34.761899999999898</v>
      </c>
      <c r="AD6393">
        <v>-1.121753651458</v>
      </c>
      <c r="AE6393">
        <v>0.79741000000000195</v>
      </c>
      <c r="AF6393">
        <v>-2.3755182436362499</v>
      </c>
      <c r="AG6393">
        <v>-1.121753651458</v>
      </c>
      <c r="AH6393">
        <v>34.653567325473297</v>
      </c>
      <c r="AI6393">
        <v>91.849708279646904</v>
      </c>
      <c r="AJ6393">
        <v>93.921517533332107</v>
      </c>
      <c r="AK6393">
        <v>34.753001979131497</v>
      </c>
      <c r="AL6393">
        <v>95.811806725852193</v>
      </c>
      <c r="AM6393">
        <v>97.892054534316699</v>
      </c>
      <c r="AN6393">
        <v>0.99999993716432301</v>
      </c>
    </row>
    <row r="6394" spans="1:40" x14ac:dyDescent="0.25">
      <c r="A6394" t="str">
        <f>"20190303154937963"</f>
        <v>20190303154937963</v>
      </c>
      <c r="B6394" t="str">
        <f>"1551599377957166"</f>
        <v>1551599377957166</v>
      </c>
      <c r="C6394" t="s">
        <v>40</v>
      </c>
      <c r="D6394">
        <v>4.971228</v>
      </c>
      <c r="E6394">
        <v>0.52776469999999998</v>
      </c>
      <c r="F6394" t="s">
        <v>66</v>
      </c>
      <c r="G6394">
        <v>-361.0059</v>
      </c>
      <c r="H6394" s="1">
        <v>-4.4598019999999997E-6</v>
      </c>
      <c r="I6394">
        <v>18.44492</v>
      </c>
      <c r="J6394">
        <v>-391.15649999999999</v>
      </c>
      <c r="K6394">
        <v>1.121732</v>
      </c>
      <c r="L6394">
        <v>17.898219999999998</v>
      </c>
      <c r="M6394">
        <v>0.99891600000000003</v>
      </c>
      <c r="N6394">
        <v>-1.398276E-2</v>
      </c>
      <c r="O6394">
        <v>-4.440098E-2</v>
      </c>
      <c r="P6394">
        <v>0.98922589999999999</v>
      </c>
      <c r="Q6394">
        <v>-0.1149572</v>
      </c>
      <c r="R6394">
        <v>9.0647560000000002E-2</v>
      </c>
      <c r="S6394">
        <v>3.0149539999999999</v>
      </c>
      <c r="T6394">
        <v>-0.11182300000000001</v>
      </c>
      <c r="U6394">
        <v>5.4199219999999999E-2</v>
      </c>
      <c r="V6394">
        <v>-0.13429240000000001</v>
      </c>
      <c r="W6394">
        <v>-0.1014393</v>
      </c>
      <c r="X6394">
        <v>0.9857361</v>
      </c>
      <c r="Y6394">
        <v>-6.2283520000000002E-2</v>
      </c>
      <c r="Z6394">
        <v>2.6153309999999998E-3</v>
      </c>
      <c r="AA6394">
        <v>0.99805500000000003</v>
      </c>
      <c r="AB6394">
        <v>17</v>
      </c>
      <c r="AC6394">
        <v>30.150600000000001</v>
      </c>
      <c r="AD6394">
        <v>-1.1217364598020001</v>
      </c>
      <c r="AE6394">
        <v>0.54669999999999697</v>
      </c>
      <c r="AF6394">
        <v>-1.8824030069053701</v>
      </c>
      <c r="AG6394">
        <v>-1.1217364598020001</v>
      </c>
      <c r="AH6394">
        <v>30.054995400737599</v>
      </c>
      <c r="AI6394">
        <v>92.1332703865056</v>
      </c>
      <c r="AJ6394">
        <v>93.583865145781999</v>
      </c>
      <c r="AK6394">
        <v>30.134771980289099</v>
      </c>
      <c r="AL6394">
        <v>95.822057680563006</v>
      </c>
      <c r="AM6394">
        <v>97.757966782553297</v>
      </c>
      <c r="AN6394">
        <v>1.0000000195627201</v>
      </c>
    </row>
    <row r="6395" spans="1:40" x14ac:dyDescent="0.25">
      <c r="A6395" t="str">
        <f>"20190303154937975"</f>
        <v>20190303154937975</v>
      </c>
      <c r="B6395" t="str">
        <f>"1551599377966926"</f>
        <v>1551599377966926</v>
      </c>
      <c r="C6395" t="s">
        <v>40</v>
      </c>
      <c r="D6395">
        <v>4.9885830000000002</v>
      </c>
      <c r="E6395">
        <v>0.52800159999999996</v>
      </c>
      <c r="F6395" t="s">
        <v>66</v>
      </c>
      <c r="G6395">
        <v>-362.44639999999998</v>
      </c>
      <c r="H6395" s="1">
        <v>-3.7930630000000002E-6</v>
      </c>
      <c r="I6395">
        <v>18.365010000000002</v>
      </c>
      <c r="J6395">
        <v>-391.06729999999999</v>
      </c>
      <c r="K6395">
        <v>1.1217140000000001</v>
      </c>
      <c r="L6395">
        <v>17.89545</v>
      </c>
      <c r="M6395">
        <v>0.99896050000000003</v>
      </c>
      <c r="N6395">
        <v>-1.398078E-2</v>
      </c>
      <c r="O6395">
        <v>-4.3388330000000003E-2</v>
      </c>
      <c r="P6395">
        <v>0.98932940000000003</v>
      </c>
      <c r="Q6395">
        <v>-0.1151433</v>
      </c>
      <c r="R6395">
        <v>8.9271630000000005E-2</v>
      </c>
      <c r="S6395">
        <v>3.0144959999999998</v>
      </c>
      <c r="T6395">
        <v>-0.1177796</v>
      </c>
      <c r="U6395">
        <v>4.9011230000000003E-2</v>
      </c>
      <c r="V6395">
        <v>-0.1319282</v>
      </c>
      <c r="W6395">
        <v>-0.10161340000000001</v>
      </c>
      <c r="X6395">
        <v>0.98603739999999995</v>
      </c>
      <c r="Y6395">
        <v>-5.9552550000000003E-2</v>
      </c>
      <c r="Z6395">
        <v>2.6671170000000001E-3</v>
      </c>
      <c r="AA6395">
        <v>0.99822160000000004</v>
      </c>
      <c r="AB6395">
        <v>17</v>
      </c>
      <c r="AC6395">
        <v>28.620899999999999</v>
      </c>
      <c r="AD6395">
        <v>-1.12171779306299</v>
      </c>
      <c r="AE6395">
        <v>0.46956000000000098</v>
      </c>
      <c r="AF6395">
        <v>-1.7084286035365199</v>
      </c>
      <c r="AG6395">
        <v>-1.12171779306299</v>
      </c>
      <c r="AH6395">
        <v>28.529755663785799</v>
      </c>
      <c r="AI6395">
        <v>92.247543345885305</v>
      </c>
      <c r="AJ6395">
        <v>93.426913225478401</v>
      </c>
      <c r="AK6395">
        <v>28.602865893752199</v>
      </c>
      <c r="AL6395">
        <v>95.832084545919201</v>
      </c>
      <c r="AM6395">
        <v>97.620707009566104</v>
      </c>
      <c r="AN6395">
        <v>1.00000004360677</v>
      </c>
    </row>
    <row r="6396" spans="1:40" x14ac:dyDescent="0.25">
      <c r="A6396" t="str">
        <f>"20190303154937988"</f>
        <v>20190303154937988</v>
      </c>
      <c r="B6396" t="str">
        <f>"1551599377977662"</f>
        <v>1551599377977662</v>
      </c>
      <c r="C6396" t="s">
        <v>40</v>
      </c>
      <c r="D6396">
        <v>4.9564300000000001</v>
      </c>
      <c r="E6396">
        <v>0.52822799999999903</v>
      </c>
      <c r="F6396" t="s">
        <v>66</v>
      </c>
      <c r="G6396">
        <v>-363.3476</v>
      </c>
      <c r="H6396" s="1">
        <v>-3.38019E-6</v>
      </c>
      <c r="I6396">
        <v>18.290880000000001</v>
      </c>
      <c r="J6396">
        <v>-390.9742</v>
      </c>
      <c r="K6396">
        <v>1.1216980000000001</v>
      </c>
      <c r="L6396">
        <v>17.89264</v>
      </c>
      <c r="M6396">
        <v>0.99900540000000004</v>
      </c>
      <c r="N6396">
        <v>-1.3978559999999999E-2</v>
      </c>
      <c r="O6396">
        <v>-4.2342860000000003E-2</v>
      </c>
      <c r="P6396">
        <v>0.98939560000000004</v>
      </c>
      <c r="Q6396">
        <v>-0.1156394</v>
      </c>
      <c r="R6396">
        <v>8.7885829999999998E-2</v>
      </c>
      <c r="S6396">
        <v>3.0142519999999999</v>
      </c>
      <c r="T6396">
        <v>-0.121976</v>
      </c>
      <c r="U6396">
        <v>4.2999269999999999E-2</v>
      </c>
      <c r="V6396">
        <v>-0.1295182</v>
      </c>
      <c r="W6396">
        <v>-0.1020992</v>
      </c>
      <c r="X6396">
        <v>0.98630669999999998</v>
      </c>
      <c r="Y6396">
        <v>-5.6516690000000001E-2</v>
      </c>
      <c r="Z6396">
        <v>2.6588570000000001E-3</v>
      </c>
      <c r="AA6396">
        <v>0.99839809999999996</v>
      </c>
      <c r="AB6396">
        <v>17</v>
      </c>
      <c r="AC6396">
        <v>27.6266</v>
      </c>
      <c r="AD6396">
        <v>-1.12170138018999</v>
      </c>
      <c r="AE6396">
        <v>0.39823999999999699</v>
      </c>
      <c r="AF6396">
        <v>-1.5652064925917599</v>
      </c>
      <c r="AG6396">
        <v>-1.12170138018999</v>
      </c>
      <c r="AH6396">
        <v>27.539563014580899</v>
      </c>
      <c r="AI6396">
        <v>92.328645219819606</v>
      </c>
      <c r="AJ6396">
        <v>93.252896629458206</v>
      </c>
      <c r="AK6396">
        <v>27.606803806033799</v>
      </c>
      <c r="AL6396">
        <v>95.860064265943606</v>
      </c>
      <c r="AM6396">
        <v>97.481067709038797</v>
      </c>
      <c r="AN6396">
        <v>1.0000000586183799</v>
      </c>
    </row>
    <row r="6397" spans="1:40" x14ac:dyDescent="0.25">
      <c r="A6397" t="str">
        <f>"20190303154938008"</f>
        <v>20190303154938008</v>
      </c>
      <c r="B6397" t="str">
        <f>"1551599377997182"</f>
        <v>1551599377997182</v>
      </c>
      <c r="C6397" t="s">
        <v>40</v>
      </c>
      <c r="D6397">
        <v>4.9443599999999996</v>
      </c>
      <c r="E6397">
        <v>0.52871440000000003</v>
      </c>
      <c r="F6397" t="s">
        <v>66</v>
      </c>
      <c r="G6397">
        <v>-364.24259999999998</v>
      </c>
      <c r="H6397" s="1">
        <v>-2.9694689999999999E-6</v>
      </c>
      <c r="I6397">
        <v>18.221219999999999</v>
      </c>
      <c r="J6397">
        <v>-390.82749999999999</v>
      </c>
      <c r="K6397">
        <v>1.1216790000000001</v>
      </c>
      <c r="L6397">
        <v>17.888369999999998</v>
      </c>
      <c r="M6397">
        <v>0.99907310000000005</v>
      </c>
      <c r="N6397">
        <v>-1.397496E-2</v>
      </c>
      <c r="O6397">
        <v>-4.0714140000000003E-2</v>
      </c>
      <c r="P6397">
        <v>0.98952110000000004</v>
      </c>
      <c r="Q6397">
        <v>-0.1169938</v>
      </c>
      <c r="R6397">
        <v>8.4621070000000007E-2</v>
      </c>
      <c r="S6397">
        <v>3.0140690000000001</v>
      </c>
      <c r="T6397">
        <v>-0.12647510000000001</v>
      </c>
      <c r="U6397">
        <v>3.7048339999999999E-2</v>
      </c>
      <c r="V6397">
        <v>-0.1246575</v>
      </c>
      <c r="W6397">
        <v>-0.1034369</v>
      </c>
      <c r="X6397">
        <v>0.98679349999999999</v>
      </c>
      <c r="Y6397">
        <v>-5.2917720000000001E-2</v>
      </c>
      <c r="Z6397">
        <v>2.618202E-3</v>
      </c>
      <c r="AA6397">
        <v>0.99859540000000002</v>
      </c>
      <c r="AB6397">
        <v>17</v>
      </c>
      <c r="AC6397">
        <v>26.584900000000001</v>
      </c>
      <c r="AD6397">
        <v>-1.1216819694689999</v>
      </c>
      <c r="AE6397">
        <v>0.33284999999999998</v>
      </c>
      <c r="AF6397">
        <v>-1.41254678379007</v>
      </c>
      <c r="AG6397">
        <v>-1.1216819694689999</v>
      </c>
      <c r="AH6397">
        <v>26.502127655483498</v>
      </c>
      <c r="AI6397">
        <v>92.4201218844929</v>
      </c>
      <c r="AJ6397">
        <v>93.050942239135296</v>
      </c>
      <c r="AK6397">
        <v>26.563437825789201</v>
      </c>
      <c r="AL6397">
        <v>95.937116860600597</v>
      </c>
      <c r="AM6397">
        <v>97.199799429638702</v>
      </c>
      <c r="AN6397">
        <v>1.0000000481150499</v>
      </c>
    </row>
    <row r="6398" spans="1:40" x14ac:dyDescent="0.25">
      <c r="A6398" t="str">
        <f>"20190303154938030"</f>
        <v>20190303154938030</v>
      </c>
      <c r="B6398" t="str">
        <f>"1551599378016702"</f>
        <v>1551599378016702</v>
      </c>
      <c r="C6398" t="s">
        <v>40</v>
      </c>
      <c r="D6398">
        <v>4.9792730000000001</v>
      </c>
      <c r="E6398">
        <v>0.52873040000000004</v>
      </c>
      <c r="F6398" t="s">
        <v>66</v>
      </c>
      <c r="G6398">
        <v>-365.47280000000001</v>
      </c>
      <c r="H6398" s="1">
        <v>-2.4124270000000001E-6</v>
      </c>
      <c r="I6398">
        <v>18.083210000000001</v>
      </c>
      <c r="J6398">
        <v>-390.66579999999999</v>
      </c>
      <c r="K6398">
        <v>1.1216630000000001</v>
      </c>
      <c r="L6398">
        <v>17.88391</v>
      </c>
      <c r="M6398">
        <v>0.99914400000000003</v>
      </c>
      <c r="N6398">
        <v>-1.397111E-2</v>
      </c>
      <c r="O6398">
        <v>-3.8936520000000002E-2</v>
      </c>
      <c r="P6398">
        <v>0.98959010000000003</v>
      </c>
      <c r="Q6398">
        <v>-0.1189731</v>
      </c>
      <c r="R6398">
        <v>8.0974649999999995E-2</v>
      </c>
      <c r="S6398">
        <v>3.0140690000000001</v>
      </c>
      <c r="T6398">
        <v>-0.13334109999999999</v>
      </c>
      <c r="U6398">
        <v>2.3162840000000001E-2</v>
      </c>
      <c r="V6398">
        <v>-0.1192607</v>
      </c>
      <c r="W6398">
        <v>-0.1054026</v>
      </c>
      <c r="X6398">
        <v>0.98725240000000003</v>
      </c>
      <c r="Y6398">
        <v>-4.65403E-2</v>
      </c>
      <c r="Z6398">
        <v>2.5317809999999999E-3</v>
      </c>
      <c r="AA6398">
        <v>0.99891319999999995</v>
      </c>
      <c r="AB6398">
        <v>17</v>
      </c>
      <c r="AC6398">
        <v>25.192999999999898</v>
      </c>
      <c r="AD6398">
        <v>-1.12166541242699</v>
      </c>
      <c r="AE6398">
        <v>0.1993</v>
      </c>
      <c r="AF6398">
        <v>-1.1778376785711899</v>
      </c>
      <c r="AG6398">
        <v>-1.12166541242699</v>
      </c>
      <c r="AH6398">
        <v>25.116346530813299</v>
      </c>
      <c r="AI6398">
        <v>92.554257266299302</v>
      </c>
      <c r="AJ6398">
        <v>92.684933602837702</v>
      </c>
      <c r="AK6398">
        <v>25.168955042877599</v>
      </c>
      <c r="AL6398">
        <v>96.050362180543303</v>
      </c>
      <c r="AM6398">
        <v>96.887989970497699</v>
      </c>
      <c r="AN6398">
        <v>1.0000000619785001</v>
      </c>
    </row>
    <row r="6399" spans="1:40" x14ac:dyDescent="0.25">
      <c r="A6399" t="str">
        <f>"20190303154938052"</f>
        <v>20190303154938052</v>
      </c>
      <c r="B6399" t="str">
        <f>"1551599378046958"</f>
        <v>1551599378046958</v>
      </c>
      <c r="C6399" t="s">
        <v>40</v>
      </c>
      <c r="D6399">
        <v>4.9245830000000002</v>
      </c>
      <c r="E6399">
        <v>0.52871330000000005</v>
      </c>
      <c r="F6399" t="s">
        <v>66</v>
      </c>
      <c r="G6399">
        <v>-366.85410000000002</v>
      </c>
      <c r="H6399" s="1">
        <v>-1.778476E-6</v>
      </c>
      <c r="I6399">
        <v>17.976019999999998</v>
      </c>
      <c r="J6399">
        <v>-390.50409999999999</v>
      </c>
      <c r="K6399">
        <v>1.1216619999999999</v>
      </c>
      <c r="L6399">
        <v>17.879729999999999</v>
      </c>
      <c r="M6399">
        <v>0.99921150000000003</v>
      </c>
      <c r="N6399">
        <v>-1.3967429999999999E-2</v>
      </c>
      <c r="O6399">
        <v>-3.7168640000000003E-2</v>
      </c>
      <c r="P6399">
        <v>0.98981269999999999</v>
      </c>
      <c r="Q6399">
        <v>-0.11950570000000001</v>
      </c>
      <c r="R6399">
        <v>7.739074E-2</v>
      </c>
      <c r="S6399">
        <v>3.0135800000000001</v>
      </c>
      <c r="T6399">
        <v>-0.14195679999999999</v>
      </c>
      <c r="U6399">
        <v>1.165771E-2</v>
      </c>
      <c r="V6399">
        <v>-0.1139416</v>
      </c>
      <c r="W6399">
        <v>-0.10592260000000001</v>
      </c>
      <c r="X6399">
        <v>0.9878247</v>
      </c>
      <c r="Y6399">
        <v>-4.0958399999999999E-2</v>
      </c>
      <c r="Z6399">
        <v>2.4809670000000002E-3</v>
      </c>
      <c r="AA6399">
        <v>0.99915779999999998</v>
      </c>
      <c r="AB6399">
        <v>17</v>
      </c>
      <c r="AC6399">
        <v>23.649999999999899</v>
      </c>
      <c r="AD6399">
        <v>-1.121663778476</v>
      </c>
      <c r="AE6399">
        <v>9.6290000000003304E-2</v>
      </c>
      <c r="AF6399">
        <v>-0.973158480865572</v>
      </c>
      <c r="AG6399">
        <v>-1.121663778476</v>
      </c>
      <c r="AH6399">
        <v>23.5770426385482</v>
      </c>
      <c r="AI6399">
        <v>92.721445186116796</v>
      </c>
      <c r="AJ6399">
        <v>92.363580639665997</v>
      </c>
      <c r="AK6399">
        <v>23.6237614837423</v>
      </c>
      <c r="AL6399">
        <v>96.080324320072407</v>
      </c>
      <c r="AM6399">
        <v>96.579759622411999</v>
      </c>
      <c r="AN6399">
        <v>0.99999996166570404</v>
      </c>
    </row>
    <row r="6400" spans="1:40" x14ac:dyDescent="0.25">
      <c r="A6400" t="str">
        <f>"20190303154938074"</f>
        <v>20190303154938074</v>
      </c>
      <c r="B6400" t="str">
        <f>"1551599378067453"</f>
        <v>1551599378067453</v>
      </c>
      <c r="C6400" t="s">
        <v>40</v>
      </c>
      <c r="D6400">
        <v>4.9756650000000002</v>
      </c>
      <c r="E6400">
        <v>0.52858499999999997</v>
      </c>
      <c r="F6400" t="s">
        <v>66</v>
      </c>
      <c r="G6400">
        <v>-366.95699999999999</v>
      </c>
      <c r="H6400" s="1">
        <v>-1.7461060000000001E-6</v>
      </c>
      <c r="I6400">
        <v>17.884260000000001</v>
      </c>
      <c r="J6400">
        <v>-390.3383</v>
      </c>
      <c r="K6400">
        <v>1.1216820000000001</v>
      </c>
      <c r="L6400">
        <v>17.875729999999901</v>
      </c>
      <c r="M6400">
        <v>0.99927739999999998</v>
      </c>
      <c r="N6400">
        <v>-1.396387E-2</v>
      </c>
      <c r="O6400">
        <v>-3.5355369999999997E-2</v>
      </c>
      <c r="P6400">
        <v>0.99019710000000005</v>
      </c>
      <c r="Q6400">
        <v>-0.11822000000000001</v>
      </c>
      <c r="R6400">
        <v>7.4393280000000006E-2</v>
      </c>
      <c r="S6400">
        <v>3.0134889999999999</v>
      </c>
      <c r="T6400">
        <v>-0.14354749999999999</v>
      </c>
      <c r="U6400">
        <v>5.7983399999999999E-4</v>
      </c>
      <c r="V6400">
        <v>-0.10916919999999999</v>
      </c>
      <c r="W6400">
        <v>-0.1046253</v>
      </c>
      <c r="X6400">
        <v>0.98850170000000004</v>
      </c>
      <c r="Y6400">
        <v>-3.547906E-2</v>
      </c>
      <c r="Z6400">
        <v>2.2817850000000001E-3</v>
      </c>
      <c r="AA6400">
        <v>0.99936780000000003</v>
      </c>
      <c r="AB6400">
        <v>17</v>
      </c>
      <c r="AC6400">
        <v>23.3813</v>
      </c>
      <c r="AD6400">
        <v>-1.1216837461059901</v>
      </c>
      <c r="AE6400">
        <v>8.5300000000039199E-3</v>
      </c>
      <c r="AF6400">
        <v>-0.83334175216705997</v>
      </c>
      <c r="AG6400">
        <v>-1.1216837461059901</v>
      </c>
      <c r="AH6400">
        <v>23.312724325088801</v>
      </c>
      <c r="AI6400">
        <v>92.752886893436894</v>
      </c>
      <c r="AJ6400">
        <v>92.047235805803098</v>
      </c>
      <c r="AK6400">
        <v>23.354565899621701</v>
      </c>
      <c r="AL6400">
        <v>96.0055789911099</v>
      </c>
      <c r="AM6400">
        <v>96.302152917678598</v>
      </c>
      <c r="AN6400">
        <v>0.99999998926580902</v>
      </c>
    </row>
    <row r="6401" spans="1:40" x14ac:dyDescent="0.25">
      <c r="A6401" t="str">
        <f>"20190303154938085"</f>
        <v>20190303154938085</v>
      </c>
      <c r="B6401" t="str">
        <f>"1551599378077214"</f>
        <v>1551599378077214</v>
      </c>
      <c r="C6401" t="s">
        <v>40</v>
      </c>
      <c r="D6401">
        <v>4.9481640000000002</v>
      </c>
      <c r="E6401">
        <v>0.52845980000000004</v>
      </c>
      <c r="F6401" t="s">
        <v>66</v>
      </c>
      <c r="G6401">
        <v>-365.72359999999998</v>
      </c>
      <c r="H6401" s="1">
        <v>-2.3411220000000001E-6</v>
      </c>
      <c r="I6401">
        <v>17.81691</v>
      </c>
      <c r="J6401">
        <v>-390.25099999999998</v>
      </c>
      <c r="K6401">
        <v>1.1216889999999999</v>
      </c>
      <c r="L6401">
        <v>17.873750000000001</v>
      </c>
      <c r="M6401">
        <v>0.9993107</v>
      </c>
      <c r="N6401">
        <v>-1.396201E-2</v>
      </c>
      <c r="O6401">
        <v>-3.4398419999999999E-2</v>
      </c>
      <c r="P6401">
        <v>0.99033890000000002</v>
      </c>
      <c r="Q6401">
        <v>-0.1178531</v>
      </c>
      <c r="R6401">
        <v>7.3071140000000007E-2</v>
      </c>
      <c r="S6401">
        <v>3.0138850000000001</v>
      </c>
      <c r="T6401">
        <v>-0.13734150000000001</v>
      </c>
      <c r="U6401">
        <v>-7.2021480000000002E-3</v>
      </c>
      <c r="V6401">
        <v>-0.1069068</v>
      </c>
      <c r="W6401">
        <v>-0.10425379999999999</v>
      </c>
      <c r="X6401">
        <v>0.98878820000000001</v>
      </c>
      <c r="Y6401">
        <v>-3.1952950000000001E-2</v>
      </c>
      <c r="Z6401">
        <v>2.0371500000000002E-3</v>
      </c>
      <c r="AA6401">
        <v>0.99948729999999997</v>
      </c>
      <c r="AB6401">
        <v>17</v>
      </c>
      <c r="AC6401">
        <v>24.5274</v>
      </c>
      <c r="AD6401">
        <v>-1.121691341122</v>
      </c>
      <c r="AE6401">
        <v>-5.6840000000001098E-2</v>
      </c>
      <c r="AF6401">
        <v>-0.78533720064909596</v>
      </c>
      <c r="AG6401">
        <v>-1.121691341122</v>
      </c>
      <c r="AH6401">
        <v>24.463673402900699</v>
      </c>
      <c r="AI6401">
        <v>92.623897756826196</v>
      </c>
      <c r="AJ6401">
        <v>91.838687872169203</v>
      </c>
      <c r="AK6401">
        <v>24.501964458942101</v>
      </c>
      <c r="AL6401">
        <v>95.984176429829702</v>
      </c>
      <c r="AM6401">
        <v>96.170792437210395</v>
      </c>
      <c r="AN6401">
        <v>1.0000000115799501</v>
      </c>
    </row>
    <row r="6402" spans="1:40" x14ac:dyDescent="0.25">
      <c r="A6402" t="str">
        <f>"20190303154938097"</f>
        <v>20190303154938097</v>
      </c>
      <c r="B6402" t="str">
        <f>"1551599378086974"</f>
        <v>1551599378086974</v>
      </c>
      <c r="C6402" t="s">
        <v>40</v>
      </c>
      <c r="D6402">
        <v>4.8852690000000001</v>
      </c>
      <c r="E6402">
        <v>0.52831759999999905</v>
      </c>
      <c r="F6402" t="s">
        <v>66</v>
      </c>
      <c r="G6402">
        <v>-365.255</v>
      </c>
      <c r="H6402" s="1">
        <v>-2.566994E-6</v>
      </c>
      <c r="I6402">
        <v>17.792249999999999</v>
      </c>
      <c r="J6402">
        <v>-390.16719999999998</v>
      </c>
      <c r="K6402">
        <v>1.12169599999999</v>
      </c>
      <c r="L6402">
        <v>17.871919999999999</v>
      </c>
      <c r="M6402">
        <v>0.99934199999999995</v>
      </c>
      <c r="N6402">
        <v>-1.3960190000000001E-2</v>
      </c>
      <c r="O6402">
        <v>-3.3478670000000002E-2</v>
      </c>
      <c r="P6402">
        <v>0.99038550000000003</v>
      </c>
      <c r="Q6402">
        <v>-0.1181556</v>
      </c>
      <c r="R6402">
        <v>7.1943409999999999E-2</v>
      </c>
      <c r="S6402">
        <v>3.0138850000000001</v>
      </c>
      <c r="T6402">
        <v>-0.13524749999999999</v>
      </c>
      <c r="U6402">
        <v>-9.8266599999999992E-3</v>
      </c>
      <c r="V6402">
        <v>-0.104870699999999</v>
      </c>
      <c r="W6402">
        <v>-0.1045532</v>
      </c>
      <c r="X6402">
        <v>0.98897460000000004</v>
      </c>
      <c r="Y6402">
        <v>-3.0167349999999999E-2</v>
      </c>
      <c r="Z6402">
        <v>1.9213120000000001E-3</v>
      </c>
      <c r="AA6402">
        <v>0.99954299999999996</v>
      </c>
      <c r="AB6402">
        <v>17</v>
      </c>
      <c r="AC6402">
        <v>24.912199999999899</v>
      </c>
      <c r="AD6402">
        <v>-1.1216985669939901</v>
      </c>
      <c r="AE6402">
        <v>-7.9670000000003599E-2</v>
      </c>
      <c r="AF6402">
        <v>-0.75295672616780496</v>
      </c>
      <c r="AG6402">
        <v>-1.1216985669939901</v>
      </c>
      <c r="AH6402">
        <v>24.850519687279899</v>
      </c>
      <c r="AI6402">
        <v>92.583269064061497</v>
      </c>
      <c r="AJ6402">
        <v>91.735498828703598</v>
      </c>
      <c r="AK6402">
        <v>24.887215196452999</v>
      </c>
      <c r="AL6402">
        <v>96.0014251348465</v>
      </c>
      <c r="AM6402">
        <v>96.053014840749796</v>
      </c>
      <c r="AN6402">
        <v>0.99999999739694501</v>
      </c>
    </row>
    <row r="6403" spans="1:40" x14ac:dyDescent="0.25">
      <c r="A6403" t="str">
        <f>"20190303154938110"</f>
        <v>20190303154938110</v>
      </c>
      <c r="B6403" t="str">
        <f>"1551599378107470"</f>
        <v>1551599378107470</v>
      </c>
      <c r="C6403" t="s">
        <v>40</v>
      </c>
      <c r="D6403">
        <v>4.9287580000000002</v>
      </c>
      <c r="E6403">
        <v>0.52808279999999996</v>
      </c>
      <c r="F6403" t="s">
        <v>66</v>
      </c>
      <c r="G6403">
        <v>-365.23079999999999</v>
      </c>
      <c r="H6403" s="1">
        <v>-2.5815120000000001E-6</v>
      </c>
      <c r="I6403">
        <v>17.77496</v>
      </c>
      <c r="J6403">
        <v>-390.0754</v>
      </c>
      <c r="K6403">
        <v>1.1216950000000001</v>
      </c>
      <c r="L6403">
        <v>17.870059999999999</v>
      </c>
      <c r="M6403">
        <v>0.99937529999999997</v>
      </c>
      <c r="N6403">
        <v>-1.395822E-2</v>
      </c>
      <c r="O6403">
        <v>-3.2472180000000003E-2</v>
      </c>
      <c r="P6403">
        <v>0.99034580000000005</v>
      </c>
      <c r="Q6403">
        <v>-0.11912830000000001</v>
      </c>
      <c r="R6403">
        <v>7.0879239999999996E-2</v>
      </c>
      <c r="S6403">
        <v>3.0137939999999999</v>
      </c>
      <c r="T6403">
        <v>-0.1355672</v>
      </c>
      <c r="U6403">
        <v>-1.171875E-2</v>
      </c>
      <c r="V6403">
        <v>-0.102808</v>
      </c>
      <c r="W6403">
        <v>-0.1055233</v>
      </c>
      <c r="X6403">
        <v>0.98908810000000003</v>
      </c>
      <c r="Y6403">
        <v>-2.8535379999999999E-2</v>
      </c>
      <c r="Z6403">
        <v>1.8472880000000001E-3</v>
      </c>
      <c r="AA6403">
        <v>0.99959109999999995</v>
      </c>
      <c r="AB6403">
        <v>17</v>
      </c>
      <c r="AC6403">
        <v>24.8446</v>
      </c>
      <c r="AD6403">
        <v>-1.1216975815120001</v>
      </c>
      <c r="AE6403">
        <v>-9.51000000000021E-2</v>
      </c>
      <c r="AF6403">
        <v>-0.71033905308933198</v>
      </c>
      <c r="AG6403">
        <v>-1.1216975815120001</v>
      </c>
      <c r="AH6403">
        <v>24.7840649177137</v>
      </c>
      <c r="AI6403">
        <v>92.590308845727506</v>
      </c>
      <c r="AJ6403">
        <v>91.641711764192294</v>
      </c>
      <c r="AK6403">
        <v>24.819602351370602</v>
      </c>
      <c r="AL6403">
        <v>96.0573171798479</v>
      </c>
      <c r="AM6403">
        <v>95.934140214956003</v>
      </c>
      <c r="AN6403">
        <v>0.99999996063424901</v>
      </c>
    </row>
    <row r="6404" spans="1:40" x14ac:dyDescent="0.25">
      <c r="A6404" t="str">
        <f>"20190303154938129"</f>
        <v>20190303154938129</v>
      </c>
      <c r="B6404" t="str">
        <f>"1551599378126990"</f>
        <v>1551599378126990</v>
      </c>
      <c r="C6404" t="s">
        <v>40</v>
      </c>
      <c r="D6404">
        <v>4.9148059999999996</v>
      </c>
      <c r="E6404">
        <v>0.52780349999999998</v>
      </c>
      <c r="F6404" t="s">
        <v>66</v>
      </c>
      <c r="G6404">
        <v>-365.47829999999999</v>
      </c>
      <c r="H6404" s="1">
        <v>-2.4661520000000002E-6</v>
      </c>
      <c r="I6404">
        <v>17.765689999999999</v>
      </c>
      <c r="J6404">
        <v>-389.93349999999998</v>
      </c>
      <c r="K6404">
        <v>1.1216740000000001</v>
      </c>
      <c r="L6404">
        <v>17.867279999999901</v>
      </c>
      <c r="M6404">
        <v>0.9994246</v>
      </c>
      <c r="N6404">
        <v>-1.395511E-2</v>
      </c>
      <c r="O6404">
        <v>-3.092075E-2</v>
      </c>
      <c r="P6404">
        <v>0.99014329999999995</v>
      </c>
      <c r="Q6404">
        <v>-0.1224494</v>
      </c>
      <c r="R6404">
        <v>6.799123E-2</v>
      </c>
      <c r="S6404">
        <v>3.0136720000000001</v>
      </c>
      <c r="T6404">
        <v>-0.1374319</v>
      </c>
      <c r="U6404">
        <v>-1.2786870000000001E-2</v>
      </c>
      <c r="V6404">
        <v>-9.8376959999999999E-2</v>
      </c>
      <c r="W6404">
        <v>-0.1088379</v>
      </c>
      <c r="X6404">
        <v>0.98917960000000005</v>
      </c>
      <c r="Y6404">
        <v>-2.6630979999999999E-2</v>
      </c>
      <c r="Z6404">
        <v>1.7705780000000001E-3</v>
      </c>
      <c r="AA6404">
        <v>0.99964370000000002</v>
      </c>
      <c r="AB6404">
        <v>17</v>
      </c>
      <c r="AC6404">
        <v>24.455199999999898</v>
      </c>
      <c r="AD6404">
        <v>-1.121676466152</v>
      </c>
      <c r="AE6404">
        <v>-0.101589999999998</v>
      </c>
      <c r="AF6404">
        <v>-0.653330796242651</v>
      </c>
      <c r="AG6404">
        <v>-1.121676466152</v>
      </c>
      <c r="AH6404">
        <v>24.395325134623199</v>
      </c>
      <c r="AI6404">
        <v>92.631615266614403</v>
      </c>
      <c r="AJ6404">
        <v>91.534070631345003</v>
      </c>
      <c r="AK6404">
        <v>24.429836013530998</v>
      </c>
      <c r="AL6404">
        <v>96.248329952846703</v>
      </c>
      <c r="AM6404">
        <v>95.679565632960205</v>
      </c>
      <c r="AN6404">
        <v>0.99999999789570504</v>
      </c>
    </row>
    <row r="6405" spans="1:40" x14ac:dyDescent="0.25">
      <c r="A6405" t="str">
        <f>"20190303154938143"</f>
        <v>20190303154938143</v>
      </c>
      <c r="B6405" t="str">
        <f>"1551599378136751"</f>
        <v>1551599378136751</v>
      </c>
      <c r="C6405" t="s">
        <v>40</v>
      </c>
      <c r="D6405">
        <v>4.9084909999999997</v>
      </c>
      <c r="E6405">
        <v>0.52763280000000001</v>
      </c>
      <c r="F6405" t="s">
        <v>66</v>
      </c>
      <c r="G6405">
        <v>-366.82060000000001</v>
      </c>
      <c r="H6405" s="1">
        <v>-1.8397449999999999E-6</v>
      </c>
      <c r="I6405">
        <v>17.720029999999898</v>
      </c>
      <c r="J6405">
        <v>-389.83260000000001</v>
      </c>
      <c r="K6405">
        <v>1.1216520000000001</v>
      </c>
      <c r="L6405">
        <v>17.865449999999999</v>
      </c>
      <c r="M6405">
        <v>0.99945790000000001</v>
      </c>
      <c r="N6405">
        <v>-1.395278E-2</v>
      </c>
      <c r="O6405">
        <v>-2.9824759999999999E-2</v>
      </c>
      <c r="P6405">
        <v>0.98991320000000005</v>
      </c>
      <c r="Q6405">
        <v>-0.12503249999999999</v>
      </c>
      <c r="R6405">
        <v>6.6625299999999998E-2</v>
      </c>
      <c r="S6405">
        <v>3.0131230000000002</v>
      </c>
      <c r="T6405">
        <v>-0.14622750000000001</v>
      </c>
      <c r="U6405">
        <v>-1.919556E-2</v>
      </c>
      <c r="V6405">
        <v>-9.5918509999999998E-2</v>
      </c>
      <c r="W6405">
        <v>-0.11141810000000001</v>
      </c>
      <c r="X6405">
        <v>0.98913379999999995</v>
      </c>
      <c r="Y6405">
        <v>-2.3406079999999999E-2</v>
      </c>
      <c r="Z6405">
        <v>1.761339E-3</v>
      </c>
      <c r="AA6405">
        <v>0.99972450000000002</v>
      </c>
      <c r="AB6405">
        <v>16</v>
      </c>
      <c r="AC6405">
        <v>23.011999999999901</v>
      </c>
      <c r="AD6405">
        <v>-1.121653839745</v>
      </c>
      <c r="AE6405">
        <v>-0.14542000000000099</v>
      </c>
      <c r="AF6405">
        <v>-0.53975649849106</v>
      </c>
      <c r="AG6405">
        <v>-1.121653839745</v>
      </c>
      <c r="AH6405">
        <v>22.9515724420989</v>
      </c>
      <c r="AI6405">
        <v>92.797072838798698</v>
      </c>
      <c r="AJ6405">
        <v>91.347187433317501</v>
      </c>
      <c r="AK6405">
        <v>22.9853023034023</v>
      </c>
      <c r="AL6405">
        <v>96.397069183422502</v>
      </c>
      <c r="AM6405">
        <v>95.538781292384698</v>
      </c>
      <c r="AN6405">
        <v>1.00000001393533</v>
      </c>
    </row>
    <row r="6406" spans="1:40" x14ac:dyDescent="0.25">
      <c r="A6406" t="str">
        <f>"20190303154938155"</f>
        <v>20190303154938155</v>
      </c>
      <c r="B6406" t="str">
        <f>"1551599378147486"</f>
        <v>1551599378147486</v>
      </c>
      <c r="C6406" t="s">
        <v>40</v>
      </c>
      <c r="D6406">
        <v>4.9196150000000003</v>
      </c>
      <c r="E6406">
        <v>0.52752159999999904</v>
      </c>
      <c r="F6406" t="s">
        <v>66</v>
      </c>
      <c r="G6406">
        <v>-367.8279</v>
      </c>
      <c r="H6406" s="1">
        <v>-1.36641699999999E-6</v>
      </c>
      <c r="I6406">
        <v>17.704070000000002</v>
      </c>
      <c r="J6406">
        <v>-389.74090000000001</v>
      </c>
      <c r="K6406">
        <v>1.1216280000000001</v>
      </c>
      <c r="L6406">
        <v>17.863859999999999</v>
      </c>
      <c r="M6406">
        <v>0.99948689999999996</v>
      </c>
      <c r="N6406">
        <v>-1.395043E-2</v>
      </c>
      <c r="O6406">
        <v>-2.883838E-2</v>
      </c>
      <c r="P6406">
        <v>0.98975449999999998</v>
      </c>
      <c r="Q6406">
        <v>-0.1271254</v>
      </c>
      <c r="R6406">
        <v>6.5003420000000006E-2</v>
      </c>
      <c r="S6406">
        <v>3.0126650000000001</v>
      </c>
      <c r="T6406">
        <v>-0.15356549999999999</v>
      </c>
      <c r="U6406">
        <v>-2.209473E-2</v>
      </c>
      <c r="V6406">
        <v>-9.3317460000000005E-2</v>
      </c>
      <c r="W6406">
        <v>-0.1135061</v>
      </c>
      <c r="X6406">
        <v>0.98914519999999995</v>
      </c>
      <c r="Y6406">
        <v>-2.1454480000000001E-2</v>
      </c>
      <c r="Z6406">
        <v>1.7628609999999999E-3</v>
      </c>
      <c r="AA6406">
        <v>0.99976830000000005</v>
      </c>
      <c r="AB6406">
        <v>16</v>
      </c>
      <c r="AC6406">
        <v>21.913</v>
      </c>
      <c r="AD6406">
        <v>-1.1216293664170001</v>
      </c>
      <c r="AE6406">
        <v>-0.15978999999999699</v>
      </c>
      <c r="AF6406">
        <v>-0.47103924959953702</v>
      </c>
      <c r="AG6406">
        <v>-1.1216293664170001</v>
      </c>
      <c r="AH6406">
        <v>21.8512464678142</v>
      </c>
      <c r="AI6406">
        <v>92.937744976067194</v>
      </c>
      <c r="AJ6406">
        <v>91.234912697951003</v>
      </c>
      <c r="AK6406">
        <v>21.885084021027499</v>
      </c>
      <c r="AL6406">
        <v>96.517466650840106</v>
      </c>
      <c r="AM6406">
        <v>95.389419415795999</v>
      </c>
      <c r="AN6406">
        <v>1.00000000488055</v>
      </c>
    </row>
    <row r="6407" spans="1:40" x14ac:dyDescent="0.25">
      <c r="A6407" t="str">
        <f>"20190303154938173"</f>
        <v>20190303154938173</v>
      </c>
      <c r="B6407" t="str">
        <f>"1551599378167005"</f>
        <v>1551599378167005</v>
      </c>
      <c r="C6407" t="s">
        <v>40</v>
      </c>
      <c r="D6407">
        <v>4.9108409999999996</v>
      </c>
      <c r="E6407">
        <v>0.52721459999999998</v>
      </c>
      <c r="F6407" t="s">
        <v>66</v>
      </c>
      <c r="G6407">
        <v>-368.52449999999999</v>
      </c>
      <c r="H6407" s="1">
        <v>-1.082567E-6</v>
      </c>
      <c r="I6407">
        <v>17.678799999999999</v>
      </c>
      <c r="J6407">
        <v>-389.60579999999999</v>
      </c>
      <c r="K6407">
        <v>1.1215949999999999</v>
      </c>
      <c r="L6407">
        <v>17.861629999999899</v>
      </c>
      <c r="M6407">
        <v>0.99952719999999995</v>
      </c>
      <c r="N6407">
        <v>-1.3946729999999999E-2</v>
      </c>
      <c r="O6407">
        <v>-2.7406690000000001E-2</v>
      </c>
      <c r="P6407">
        <v>0.98959520000000001</v>
      </c>
      <c r="Q6407">
        <v>-0.1298598</v>
      </c>
      <c r="R6407">
        <v>6.1952809999999997E-2</v>
      </c>
      <c r="S6407">
        <v>3.0123289999999998</v>
      </c>
      <c r="T6407">
        <v>-0.15925029999999901</v>
      </c>
      <c r="U6407">
        <v>-2.6275630000000001E-2</v>
      </c>
      <c r="V6407">
        <v>-8.8850490000000004E-2</v>
      </c>
      <c r="W6407">
        <v>-0.1162301</v>
      </c>
      <c r="X6407">
        <v>0.98924020000000001</v>
      </c>
      <c r="Y6407">
        <v>-1.8635599999999999E-2</v>
      </c>
      <c r="Z6407">
        <v>1.6878920000000001E-3</v>
      </c>
      <c r="AA6407">
        <v>0.99982490000000002</v>
      </c>
      <c r="AB6407">
        <v>16</v>
      </c>
      <c r="AC6407">
        <v>21.081299999999999</v>
      </c>
      <c r="AD6407">
        <v>-1.1215960825669999</v>
      </c>
      <c r="AE6407">
        <v>-0.18282999999999899</v>
      </c>
      <c r="AF6407">
        <v>-0.39394844249067101</v>
      </c>
      <c r="AG6407">
        <v>-1.1215960825669999</v>
      </c>
      <c r="AH6407">
        <v>21.018899283605499</v>
      </c>
      <c r="AI6407">
        <v>93.053945794704802</v>
      </c>
      <c r="AJ6407">
        <v>91.073745125186093</v>
      </c>
      <c r="AK6407">
        <v>21.052489169742401</v>
      </c>
      <c r="AL6407">
        <v>96.674580347937194</v>
      </c>
      <c r="AM6407">
        <v>95.132357931876001</v>
      </c>
      <c r="AN6407">
        <v>1.00000000950764</v>
      </c>
    </row>
    <row r="6408" spans="1:40" x14ac:dyDescent="0.25">
      <c r="A6408" t="str">
        <f>"20190303154938186"</f>
        <v>20190303154938186</v>
      </c>
      <c r="B6408" t="str">
        <f>"1551599378176766"</f>
        <v>1551599378176766</v>
      </c>
      <c r="C6408" t="s">
        <v>40</v>
      </c>
      <c r="D6408">
        <v>4.8873899999999999</v>
      </c>
      <c r="E6408">
        <v>0.52721459999999998</v>
      </c>
      <c r="F6408" t="s">
        <v>66</v>
      </c>
      <c r="G6408">
        <v>-369.26339999999999</v>
      </c>
      <c r="H6408" s="1">
        <v>-8.1021630000000004E-7</v>
      </c>
      <c r="I6408">
        <v>17.635939999999898</v>
      </c>
      <c r="J6408">
        <v>-389.51609999999999</v>
      </c>
      <c r="K6408">
        <v>1.121575</v>
      </c>
      <c r="L6408">
        <v>17.86026</v>
      </c>
      <c r="M6408">
        <v>0.9995522</v>
      </c>
      <c r="N6408">
        <v>-1.3944109999999999E-2</v>
      </c>
      <c r="O6408">
        <v>-2.647538E-2</v>
      </c>
      <c r="P6408">
        <v>0.98966659999999995</v>
      </c>
      <c r="Q6408">
        <v>-0.1298146</v>
      </c>
      <c r="R6408">
        <v>6.0896869999999999E-2</v>
      </c>
      <c r="S6408">
        <v>3.0119020000000001</v>
      </c>
      <c r="T6408">
        <v>-0.16606399999999999</v>
      </c>
      <c r="U6408">
        <v>-3.3416750000000002E-2</v>
      </c>
      <c r="V6408">
        <v>-8.6882429999999997E-2</v>
      </c>
      <c r="W6408">
        <v>-0.1161775</v>
      </c>
      <c r="X6408">
        <v>0.9894212</v>
      </c>
      <c r="Y6408">
        <v>-1.533439E-2</v>
      </c>
      <c r="Z6408">
        <v>1.6188190000000001E-3</v>
      </c>
      <c r="AA6408">
        <v>0.99988109999999997</v>
      </c>
      <c r="AB6408">
        <v>16</v>
      </c>
      <c r="AC6408">
        <v>20.252700000000001</v>
      </c>
      <c r="AD6408">
        <v>-1.1215758102163</v>
      </c>
      <c r="AE6408">
        <v>-0.22432000000000199</v>
      </c>
      <c r="AF6408">
        <v>-0.31105487696671202</v>
      </c>
      <c r="AG6408">
        <v>-1.1215758102163</v>
      </c>
      <c r="AH6408">
        <v>20.189628082393799</v>
      </c>
      <c r="AI6408">
        <v>93.179255003417694</v>
      </c>
      <c r="AJ6408">
        <v>90.882667162374304</v>
      </c>
      <c r="AK6408">
        <v>20.223149347713601</v>
      </c>
      <c r="AL6408">
        <v>96.671545832134697</v>
      </c>
      <c r="AM6408">
        <v>95.018348692054303</v>
      </c>
      <c r="AN6408">
        <v>1.0000000395791899</v>
      </c>
    </row>
    <row r="6409" spans="1:40" x14ac:dyDescent="0.25">
      <c r="A6409" t="str">
        <f>"20190303154938199"</f>
        <v>20190303154938199</v>
      </c>
      <c r="B6409" t="str">
        <f>"1551599378187502"</f>
        <v>1551599378187502</v>
      </c>
      <c r="C6409" t="s">
        <v>40</v>
      </c>
      <c r="D6409">
        <v>4.905589</v>
      </c>
      <c r="E6409">
        <v>0.50309799999999905</v>
      </c>
      <c r="F6409" t="s">
        <v>66</v>
      </c>
      <c r="G6409">
        <v>-369.15449999999998</v>
      </c>
      <c r="H6409" s="1">
        <v>-8.5822730000000003E-7</v>
      </c>
      <c r="I6409">
        <v>17.612679999999902</v>
      </c>
      <c r="J6409">
        <v>-389.42380000000003</v>
      </c>
      <c r="K6409">
        <v>1.1215520000000001</v>
      </c>
      <c r="L6409">
        <v>17.858920000000001</v>
      </c>
      <c r="M6409">
        <v>0.99957689999999999</v>
      </c>
      <c r="N6409">
        <v>-1.394133E-2</v>
      </c>
      <c r="O6409">
        <v>-2.553304E-2</v>
      </c>
      <c r="P6409">
        <v>0.98979640000000002</v>
      </c>
      <c r="Q6409">
        <v>-0.129219</v>
      </c>
      <c r="R6409">
        <v>6.0047499999999997E-2</v>
      </c>
      <c r="S6409">
        <v>3.0118100000000001</v>
      </c>
      <c r="T6409">
        <v>-0.16589960000000001</v>
      </c>
      <c r="U6409">
        <v>-3.6621090000000002E-2</v>
      </c>
      <c r="V6409">
        <v>-8.5112499999999994E-2</v>
      </c>
      <c r="W6409">
        <v>-0.1155737</v>
      </c>
      <c r="X6409">
        <v>0.98964569999999996</v>
      </c>
      <c r="Y6409">
        <v>-1.3332429999999999E-2</v>
      </c>
      <c r="Z6409">
        <v>1.5092770000000001E-3</v>
      </c>
      <c r="AA6409">
        <v>0.99990999999999997</v>
      </c>
      <c r="AB6409">
        <v>16</v>
      </c>
      <c r="AC6409">
        <v>20.269300000000001</v>
      </c>
      <c r="AD6409">
        <v>-1.1215528582273</v>
      </c>
      <c r="AE6409">
        <v>-0.24624000000000301</v>
      </c>
      <c r="AF6409">
        <v>-0.27059900357580102</v>
      </c>
      <c r="AG6409">
        <v>-1.1215528582273</v>
      </c>
      <c r="AH6409">
        <v>20.207119444558</v>
      </c>
      <c r="AI6409">
        <v>93.176535767309403</v>
      </c>
      <c r="AJ6409">
        <v>90.767217426478993</v>
      </c>
      <c r="AK6409">
        <v>20.240029171944599</v>
      </c>
      <c r="AL6409">
        <v>96.636716184546103</v>
      </c>
      <c r="AM6409">
        <v>94.915513562098397</v>
      </c>
      <c r="AN6409">
        <v>1.00000001465821</v>
      </c>
    </row>
    <row r="6410" spans="1:40" x14ac:dyDescent="0.25">
      <c r="A6410" t="str">
        <f>"20190303154938222"</f>
        <v>20190303154938222</v>
      </c>
      <c r="B6410" t="str">
        <f>"1551599378216783"</f>
        <v>1551599378216783</v>
      </c>
      <c r="C6410" t="s">
        <v>40</v>
      </c>
      <c r="D6410">
        <v>4.7822459999999998</v>
      </c>
      <c r="E6410">
        <v>0.49139939999999999</v>
      </c>
      <c r="F6410" t="s">
        <v>66</v>
      </c>
      <c r="G6410">
        <v>-366.8922</v>
      </c>
      <c r="H6410" s="1">
        <v>-1.5781500000000001E-6</v>
      </c>
      <c r="I6410">
        <v>19.003869999999999</v>
      </c>
      <c r="J6410">
        <v>-389.26310000000001</v>
      </c>
      <c r="K6410">
        <v>1.121507</v>
      </c>
      <c r="L6410">
        <v>17.85669</v>
      </c>
      <c r="M6410">
        <v>0.9996159</v>
      </c>
      <c r="N6410">
        <v>-1.3936240000000001E-2</v>
      </c>
      <c r="O6410">
        <v>-2.3961679999999999E-2</v>
      </c>
      <c r="P6410">
        <v>0.99007210000000001</v>
      </c>
      <c r="Q6410">
        <v>-0.12798899999999999</v>
      </c>
      <c r="R6410">
        <v>5.810883E-2</v>
      </c>
      <c r="S6410">
        <v>3.002167</v>
      </c>
      <c r="T6410">
        <v>-0.14943890000000001</v>
      </c>
      <c r="U6410">
        <v>0.15255739999999901</v>
      </c>
      <c r="V6410">
        <v>-8.1643569999999999E-2</v>
      </c>
      <c r="W6410">
        <v>-0.1143272</v>
      </c>
      <c r="X6410">
        <v>0.99008260000000003</v>
      </c>
      <c r="Y6410">
        <v>-7.4535550000000006E-2</v>
      </c>
      <c r="Z6410">
        <v>3.2306499999999998E-3</v>
      </c>
      <c r="AA6410">
        <v>0.99721309999999996</v>
      </c>
      <c r="AB6410">
        <v>16</v>
      </c>
      <c r="AC6410">
        <v>22.370899999999999</v>
      </c>
      <c r="AD6410">
        <v>-1.12150857815</v>
      </c>
      <c r="AE6410">
        <v>1.1471800000000001</v>
      </c>
      <c r="AF6410">
        <v>-1.6787388268549199</v>
      </c>
      <c r="AG6410">
        <v>-1.12150857815</v>
      </c>
      <c r="AH6410">
        <v>22.281133022360301</v>
      </c>
      <c r="AI6410">
        <v>92.873389340494796</v>
      </c>
      <c r="AJ6410">
        <v>94.308724558477394</v>
      </c>
      <c r="AK6410">
        <v>22.372412348688901</v>
      </c>
      <c r="AL6410">
        <v>96.5648207184189</v>
      </c>
      <c r="AM6410">
        <v>94.714022991518704</v>
      </c>
      <c r="AN6410">
        <v>0.99999996800247104</v>
      </c>
    </row>
    <row r="6411" spans="1:40" x14ac:dyDescent="0.25">
      <c r="A6411" t="str">
        <f>"20190303154938242"</f>
        <v>20190303154938242</v>
      </c>
      <c r="B6411" t="str">
        <f>"1551599378237278"</f>
        <v>1551599378237278</v>
      </c>
      <c r="C6411" t="s">
        <v>40</v>
      </c>
      <c r="D6411">
        <v>4.7698400000000003</v>
      </c>
      <c r="E6411">
        <v>0.48910930000000002</v>
      </c>
      <c r="F6411" t="s">
        <v>41</v>
      </c>
      <c r="G6411">
        <v>-354.39019999999999</v>
      </c>
      <c r="H6411" s="1">
        <v>-2.6585119999999999E-6</v>
      </c>
      <c r="I6411">
        <v>20.629539999999999</v>
      </c>
      <c r="J6411">
        <v>-389.11430000000001</v>
      </c>
      <c r="K6411">
        <v>1.121453</v>
      </c>
      <c r="L6411">
        <v>17.854769999999998</v>
      </c>
      <c r="M6411">
        <v>0.99964770000000003</v>
      </c>
      <c r="N6411">
        <v>-1.393103E-2</v>
      </c>
      <c r="O6411">
        <v>-2.2594469999999998E-2</v>
      </c>
      <c r="P6411">
        <v>0.99013879999999999</v>
      </c>
      <c r="Q6411">
        <v>-0.128278</v>
      </c>
      <c r="R6411">
        <v>5.630305E-2</v>
      </c>
      <c r="S6411">
        <v>3.003571</v>
      </c>
      <c r="T6411">
        <v>-9.6594810000000003E-2</v>
      </c>
      <c r="U6411">
        <v>0.2388306</v>
      </c>
      <c r="V6411">
        <v>-7.8502069999999993E-2</v>
      </c>
      <c r="W6411">
        <v>-0.11460330000000001</v>
      </c>
      <c r="X6411">
        <v>0.99030479999999999</v>
      </c>
      <c r="Y6411">
        <v>-0.1016919</v>
      </c>
      <c r="Z6411">
        <v>2.753194E-3</v>
      </c>
      <c r="AA6411">
        <v>0.99481209999999998</v>
      </c>
      <c r="AB6411">
        <v>16</v>
      </c>
      <c r="AC6411">
        <v>34.7241</v>
      </c>
      <c r="AD6411">
        <v>-1.1214556585119999</v>
      </c>
      <c r="AE6411">
        <v>2.77476999999999</v>
      </c>
      <c r="AF6411">
        <v>-3.5550257176553099</v>
      </c>
      <c r="AG6411">
        <v>-1.1214556585119999</v>
      </c>
      <c r="AH6411">
        <v>34.616655542443901</v>
      </c>
      <c r="AI6411">
        <v>91.845827719789895</v>
      </c>
      <c r="AJ6411">
        <v>95.863547113451901</v>
      </c>
      <c r="AK6411">
        <v>34.816787783932803</v>
      </c>
      <c r="AL6411">
        <v>96.580744245114303</v>
      </c>
      <c r="AM6411">
        <v>94.532393906122806</v>
      </c>
      <c r="AN6411">
        <v>1.0000000441340999</v>
      </c>
    </row>
    <row r="6412" spans="1:40" x14ac:dyDescent="0.25">
      <c r="A6412" t="str">
        <f>"20190303154938254"</f>
        <v>20190303154938254</v>
      </c>
      <c r="B6412" t="str">
        <f>"1551599378247039"</f>
        <v>1551599378247039</v>
      </c>
      <c r="C6412" t="s">
        <v>40</v>
      </c>
      <c r="D6412">
        <v>4.748329</v>
      </c>
      <c r="E6412">
        <v>0.48843239999999999</v>
      </c>
      <c r="F6412" t="s">
        <v>41</v>
      </c>
      <c r="G6412">
        <v>-353.6533</v>
      </c>
      <c r="H6412" s="1">
        <v>-3.0270169999999998E-6</v>
      </c>
      <c r="I6412">
        <v>20.826339999999998</v>
      </c>
      <c r="J6412">
        <v>-389.01979999999998</v>
      </c>
      <c r="K6412">
        <v>1.1214139999999999</v>
      </c>
      <c r="L6412">
        <v>17.853670000000001</v>
      </c>
      <c r="M6412">
        <v>0.99966600000000005</v>
      </c>
      <c r="N6412">
        <v>-1.3927490000000001E-2</v>
      </c>
      <c r="O6412">
        <v>-2.1770189999999998E-2</v>
      </c>
      <c r="P6412">
        <v>0.99007409999999996</v>
      </c>
      <c r="Q6412">
        <v>-0.1289286</v>
      </c>
      <c r="R6412">
        <v>5.5952599999999998E-2</v>
      </c>
      <c r="S6412">
        <v>3.0032960000000002</v>
      </c>
      <c r="T6412">
        <v>-9.4979519999999998E-2</v>
      </c>
      <c r="U6412">
        <v>0.25167850000000003</v>
      </c>
      <c r="V6412">
        <v>-7.7343529999999994E-2</v>
      </c>
      <c r="W6412">
        <v>-0.1152492</v>
      </c>
      <c r="X6412">
        <v>0.99032100000000001</v>
      </c>
      <c r="Y6412">
        <v>-0.1051058</v>
      </c>
      <c r="Z6412">
        <v>2.7768089999999999E-3</v>
      </c>
      <c r="AA6412">
        <v>0.99445720000000004</v>
      </c>
      <c r="AB6412">
        <v>16</v>
      </c>
      <c r="AC6412">
        <v>35.366499999999903</v>
      </c>
      <c r="AD6412">
        <v>-1.1214170270170001</v>
      </c>
      <c r="AE6412">
        <v>2.9726699999999902</v>
      </c>
      <c r="AF6412">
        <v>-3.73824328382271</v>
      </c>
      <c r="AG6412">
        <v>-1.1214170270170001</v>
      </c>
      <c r="AH6412">
        <v>35.258193879066098</v>
      </c>
      <c r="AI6412">
        <v>91.811580223439194</v>
      </c>
      <c r="AJ6412">
        <v>96.052163700453093</v>
      </c>
      <c r="AK6412">
        <v>35.473543304994898</v>
      </c>
      <c r="AL6412">
        <v>96.617998451638897</v>
      </c>
      <c r="AM6412">
        <v>94.465704295287097</v>
      </c>
      <c r="AN6412">
        <v>1.0000000413872401</v>
      </c>
    </row>
    <row r="6413" spans="1:40" x14ac:dyDescent="0.25">
      <c r="A6413" t="str">
        <f>"20190303154938267"</f>
        <v>20190303154938267</v>
      </c>
      <c r="B6413" t="str">
        <f>"1551599378256799"</f>
        <v>1551599378256799</v>
      </c>
      <c r="C6413" t="s">
        <v>40</v>
      </c>
      <c r="D6413">
        <v>4.771039</v>
      </c>
      <c r="E6413">
        <v>0.48791659999999998</v>
      </c>
      <c r="F6413" t="s">
        <v>41</v>
      </c>
      <c r="G6413">
        <v>-353.88639999999998</v>
      </c>
      <c r="H6413" s="1">
        <v>-2.9336939999999998E-6</v>
      </c>
      <c r="I6413">
        <v>20.851510000000001</v>
      </c>
      <c r="J6413">
        <v>-388.93060000000003</v>
      </c>
      <c r="K6413">
        <v>1.121378</v>
      </c>
      <c r="L6413">
        <v>17.852599999999999</v>
      </c>
      <c r="M6413">
        <v>0.99968219999999997</v>
      </c>
      <c r="N6413">
        <v>-1.3924199999999999E-2</v>
      </c>
      <c r="O6413">
        <v>-2.1017999999999998E-2</v>
      </c>
      <c r="P6413">
        <v>0.98994859999999896</v>
      </c>
      <c r="Q6413">
        <v>-0.12999869999999999</v>
      </c>
      <c r="R6413">
        <v>5.5700369999999999E-2</v>
      </c>
      <c r="S6413">
        <v>3.0031129999999999</v>
      </c>
      <c r="T6413">
        <v>-9.5856070000000002E-2</v>
      </c>
      <c r="U6413">
        <v>0.25625609999999999</v>
      </c>
      <c r="V6413">
        <v>-7.6352180000000006E-2</v>
      </c>
      <c r="W6413">
        <v>-0.1163163</v>
      </c>
      <c r="X6413">
        <v>0.99027310000000002</v>
      </c>
      <c r="Y6413">
        <v>-0.1058659</v>
      </c>
      <c r="Z6413">
        <v>2.802307E-3</v>
      </c>
      <c r="AA6413">
        <v>0.9943765</v>
      </c>
      <c r="AB6413">
        <v>16</v>
      </c>
      <c r="AC6413">
        <v>35.044199999999996</v>
      </c>
      <c r="AD6413">
        <v>-1.1213809336939999</v>
      </c>
      <c r="AE6413">
        <v>2.99891</v>
      </c>
      <c r="AF6413">
        <v>-3.7310851327767098</v>
      </c>
      <c r="AG6413">
        <v>-1.1213809336939999</v>
      </c>
      <c r="AH6413">
        <v>34.937905742691598</v>
      </c>
      <c r="AI6413">
        <v>91.827970158621497</v>
      </c>
      <c r="AJ6413">
        <v>96.095622350921204</v>
      </c>
      <c r="AK6413">
        <v>35.154455608808398</v>
      </c>
      <c r="AL6413">
        <v>96.679553204878502</v>
      </c>
      <c r="AM6413">
        <v>94.408904699861097</v>
      </c>
      <c r="AN6413">
        <v>0.99999997481002501</v>
      </c>
    </row>
    <row r="6414" spans="1:40" x14ac:dyDescent="0.25">
      <c r="A6414" t="str">
        <f>"20190303154938288"</f>
        <v>20190303154938288</v>
      </c>
      <c r="B6414" t="str">
        <f>"1551599378277294"</f>
        <v>1551599378277294</v>
      </c>
      <c r="C6414" t="s">
        <v>40</v>
      </c>
      <c r="D6414">
        <v>4.7574059999999996</v>
      </c>
      <c r="E6414">
        <v>0.48712850000000002</v>
      </c>
      <c r="F6414" t="s">
        <v>41</v>
      </c>
      <c r="G6414">
        <v>-354.71449999999999</v>
      </c>
      <c r="H6414" s="1">
        <v>-2.5685640000000001E-6</v>
      </c>
      <c r="I6414">
        <v>20.814419999999998</v>
      </c>
      <c r="J6414">
        <v>-388.78699999999998</v>
      </c>
      <c r="K6414">
        <v>1.121318</v>
      </c>
      <c r="L6414">
        <v>17.85098</v>
      </c>
      <c r="M6414">
        <v>0.99970570000000003</v>
      </c>
      <c r="N6414">
        <v>-1.3918969999999999E-2</v>
      </c>
      <c r="O6414">
        <v>-1.9866979999999999E-2</v>
      </c>
      <c r="P6414">
        <v>0.98975210000000002</v>
      </c>
      <c r="Q6414">
        <v>-0.1314573</v>
      </c>
      <c r="R6414">
        <v>5.576652E-2</v>
      </c>
      <c r="S6414">
        <v>3.0029300000000001</v>
      </c>
      <c r="T6414">
        <v>-9.8416569999999995E-2</v>
      </c>
      <c r="U6414">
        <v>0.25994869999999998</v>
      </c>
      <c r="V6414">
        <v>-7.528849E-2</v>
      </c>
      <c r="W6414">
        <v>-0.11777120000000001</v>
      </c>
      <c r="X6414">
        <v>0.99018260000000002</v>
      </c>
      <c r="Y6414">
        <v>-0.10593619999999999</v>
      </c>
      <c r="Z6414">
        <v>2.8450960000000001E-3</v>
      </c>
      <c r="AA6414">
        <v>0.9943689</v>
      </c>
      <c r="AB6414">
        <v>16</v>
      </c>
      <c r="AC6414">
        <v>34.072499999999899</v>
      </c>
      <c r="AD6414">
        <v>-1.121320568564</v>
      </c>
      <c r="AE6414">
        <v>2.9634399999999999</v>
      </c>
      <c r="AF6414">
        <v>-3.63592992639304</v>
      </c>
      <c r="AG6414">
        <v>-1.121320568564</v>
      </c>
      <c r="AH6414">
        <v>33.970377915514099</v>
      </c>
      <c r="AI6414">
        <v>91.879847794533205</v>
      </c>
      <c r="AJ6414">
        <v>96.109244672653205</v>
      </c>
      <c r="AK6414">
        <v>34.182801552388497</v>
      </c>
      <c r="AL6414">
        <v>96.763489611026003</v>
      </c>
      <c r="AM6414">
        <v>94.348115654358296</v>
      </c>
      <c r="AN6414">
        <v>0.99999999680934004</v>
      </c>
    </row>
    <row r="6415" spans="1:40" x14ac:dyDescent="0.25">
      <c r="A6415" t="str">
        <f>"20190303154938299"</f>
        <v>20190303154938299</v>
      </c>
      <c r="B6415" t="str">
        <f>"1551599378287054"</f>
        <v>1551599378287054</v>
      </c>
      <c r="C6415" t="s">
        <v>40</v>
      </c>
      <c r="D6415">
        <v>4.7756619999999996</v>
      </c>
      <c r="E6415">
        <v>0.4868056</v>
      </c>
      <c r="F6415" t="s">
        <v>41</v>
      </c>
      <c r="G6415">
        <v>-354.43729999999999</v>
      </c>
      <c r="H6415" s="1">
        <v>-2.7104750000000001E-6</v>
      </c>
      <c r="I6415">
        <v>20.900729999999999</v>
      </c>
      <c r="J6415">
        <v>-388.69290000000001</v>
      </c>
      <c r="K6415">
        <v>1.1212770000000001</v>
      </c>
      <c r="L6415">
        <v>17.849910000000001</v>
      </c>
      <c r="M6415">
        <v>0.99971989999999999</v>
      </c>
      <c r="N6415">
        <v>-1.391561E-2</v>
      </c>
      <c r="O6415">
        <v>-1.9150449999999999E-2</v>
      </c>
      <c r="P6415">
        <v>0.98962969999999895</v>
      </c>
      <c r="Q6415">
        <v>-0.13240450000000001</v>
      </c>
      <c r="R6415">
        <v>5.5699720000000001E-2</v>
      </c>
      <c r="S6415">
        <v>3.0030209999999999</v>
      </c>
      <c r="T6415">
        <v>-9.8031519999999997E-2</v>
      </c>
      <c r="U6415">
        <v>0.26663209999999998</v>
      </c>
      <c r="V6415">
        <v>-7.4518899999999999E-2</v>
      </c>
      <c r="W6415">
        <v>-0.1187158</v>
      </c>
      <c r="X6415">
        <v>0.99012800000000001</v>
      </c>
      <c r="Y6415">
        <v>-0.1074166</v>
      </c>
      <c r="Z6415">
        <v>2.8565029999999998E-3</v>
      </c>
      <c r="AA6415">
        <v>0.99421000000000004</v>
      </c>
      <c r="AB6415">
        <v>16</v>
      </c>
      <c r="AC6415">
        <v>34.255600000000001</v>
      </c>
      <c r="AD6415">
        <v>-1.1212797104750001</v>
      </c>
      <c r="AE6415">
        <v>3.0508199999999901</v>
      </c>
      <c r="AF6415">
        <v>-3.7023983536336398</v>
      </c>
      <c r="AG6415">
        <v>-1.1212797104750001</v>
      </c>
      <c r="AH6415">
        <v>34.154580188339096</v>
      </c>
      <c r="AI6415">
        <v>91.869376244214493</v>
      </c>
      <c r="AJ6415">
        <v>96.186774957394405</v>
      </c>
      <c r="AK6415">
        <v>34.372959860911003</v>
      </c>
      <c r="AL6415">
        <v>96.817993673541807</v>
      </c>
      <c r="AM6415">
        <v>94.304074030707994</v>
      </c>
      <c r="AN6415">
        <v>0.99999998200542395</v>
      </c>
    </row>
    <row r="6416" spans="1:40" x14ac:dyDescent="0.25">
      <c r="A6416" t="str">
        <f>"20190303154938319"</f>
        <v>20190303154938319</v>
      </c>
      <c r="B6416" t="str">
        <f>"1551599378307550"</f>
        <v>1551599378307550</v>
      </c>
      <c r="C6416" t="s">
        <v>40</v>
      </c>
      <c r="D6416">
        <v>4.7512239999999997</v>
      </c>
      <c r="E6416">
        <v>0.48619620000000002</v>
      </c>
      <c r="F6416" t="s">
        <v>41</v>
      </c>
      <c r="G6416">
        <v>-355.14949999999999</v>
      </c>
      <c r="H6416" s="1">
        <v>-2.3931719999999999E-6</v>
      </c>
      <c r="I6416">
        <v>20.85651</v>
      </c>
      <c r="J6416">
        <v>-388.55829999999997</v>
      </c>
      <c r="K6416">
        <v>1.121219</v>
      </c>
      <c r="L6416">
        <v>17.848510000000001</v>
      </c>
      <c r="M6416">
        <v>0.99973749999999995</v>
      </c>
      <c r="N6416">
        <v>-1.390947E-2</v>
      </c>
      <c r="O6416">
        <v>-1.8204290000000001E-2</v>
      </c>
      <c r="P6416">
        <v>0.98952790000000002</v>
      </c>
      <c r="Q6416">
        <v>-0.13284609999999999</v>
      </c>
      <c r="R6416">
        <v>5.6447909999999997E-2</v>
      </c>
      <c r="S6416">
        <v>3.002869</v>
      </c>
      <c r="T6416">
        <v>-0.1003792</v>
      </c>
      <c r="U6416">
        <v>0.26916499999999999</v>
      </c>
      <c r="V6416">
        <v>-7.4342649999999996E-2</v>
      </c>
      <c r="W6416">
        <v>-0.1191557</v>
      </c>
      <c r="X6416">
        <v>0.99008839999999998</v>
      </c>
      <c r="Y6416">
        <v>-0.1073088</v>
      </c>
      <c r="Z6416">
        <v>2.8921939999999998E-3</v>
      </c>
      <c r="AA6416">
        <v>0.99422160000000004</v>
      </c>
      <c r="AB6416">
        <v>16</v>
      </c>
      <c r="AC6416">
        <v>33.4087999999999</v>
      </c>
      <c r="AD6416">
        <v>-1.1212213931720001</v>
      </c>
      <c r="AE6416">
        <v>3.0079999999999898</v>
      </c>
      <c r="AF6416">
        <v>-3.6117085664603099</v>
      </c>
      <c r="AG6416">
        <v>-1.1212213931720001</v>
      </c>
      <c r="AH6416">
        <v>33.311281500850697</v>
      </c>
      <c r="AI6416">
        <v>91.916561889711005</v>
      </c>
      <c r="AJ6416">
        <v>96.1880071805207</v>
      </c>
      <c r="AK6416">
        <v>33.525259900714701</v>
      </c>
      <c r="AL6416">
        <v>96.843378315940896</v>
      </c>
      <c r="AM6416">
        <v>94.294103374670399</v>
      </c>
      <c r="AN6416">
        <v>0.99999997513303596</v>
      </c>
    </row>
    <row r="6417" spans="1:40" x14ac:dyDescent="0.25">
      <c r="A6417" t="str">
        <f>"20190303154938330"</f>
        <v>20190303154938330</v>
      </c>
      <c r="B6417" t="str">
        <f>"1551599378327070"</f>
        <v>1551599378327070</v>
      </c>
      <c r="C6417" t="s">
        <v>40</v>
      </c>
      <c r="D6417">
        <v>4.7906950000000004</v>
      </c>
      <c r="E6417">
        <v>0.48570190000000002</v>
      </c>
      <c r="F6417" t="s">
        <v>41</v>
      </c>
      <c r="G6417">
        <v>-354.78410000000002</v>
      </c>
      <c r="H6417" s="1">
        <v>-2.5772149999999999E-6</v>
      </c>
      <c r="I6417">
        <v>20.959150000000001</v>
      </c>
      <c r="J6417">
        <v>-388.47230000000002</v>
      </c>
      <c r="K6417">
        <v>1.121186</v>
      </c>
      <c r="L6417">
        <v>17.847660000000001</v>
      </c>
      <c r="M6417">
        <v>0.99974779999999996</v>
      </c>
      <c r="N6417">
        <v>-1.389897E-2</v>
      </c>
      <c r="O6417">
        <v>-1.7644190000000001E-2</v>
      </c>
      <c r="P6417">
        <v>0.9894655</v>
      </c>
      <c r="Q6417">
        <v>-0.133078</v>
      </c>
      <c r="R6417">
        <v>5.6994400000000001E-2</v>
      </c>
      <c r="S6417">
        <v>3.0025940000000002</v>
      </c>
      <c r="T6417">
        <v>-9.9679110000000001E-2</v>
      </c>
      <c r="U6417">
        <v>0.27655030000000003</v>
      </c>
      <c r="V6417">
        <v>-7.4342389999999994E-2</v>
      </c>
      <c r="W6417">
        <v>-0.119393</v>
      </c>
      <c r="X6417">
        <v>0.99005989999999999</v>
      </c>
      <c r="Y6417">
        <v>-0.1091847</v>
      </c>
      <c r="Z6417">
        <v>2.9085220000000002E-3</v>
      </c>
      <c r="AA6417">
        <v>0.99401719999999905</v>
      </c>
      <c r="AB6417">
        <v>16</v>
      </c>
      <c r="AC6417">
        <v>33.688199999999902</v>
      </c>
      <c r="AD6417">
        <v>-1.1211885772149901</v>
      </c>
      <c r="AE6417">
        <v>3.1114899999999999</v>
      </c>
      <c r="AF6417">
        <v>-3.70139874545016</v>
      </c>
      <c r="AG6417">
        <v>-1.1211885772149901</v>
      </c>
      <c r="AH6417">
        <v>33.591157239650499</v>
      </c>
      <c r="AI6417">
        <v>91.900187218337507</v>
      </c>
      <c r="AJ6417">
        <v>96.288035997610606</v>
      </c>
      <c r="AK6417">
        <v>33.813063469573798</v>
      </c>
      <c r="AL6417">
        <v>96.8570718978944</v>
      </c>
      <c r="AM6417">
        <v>94.294211560838406</v>
      </c>
      <c r="AN6417">
        <v>1.0000000424939599</v>
      </c>
    </row>
    <row r="6418" spans="1:40" x14ac:dyDescent="0.25">
      <c r="A6418" t="str">
        <f>"20190303154938354"</f>
        <v>20190303154938354</v>
      </c>
      <c r="B6418" t="str">
        <f>"1551599378347566"</f>
        <v>1551599378347566</v>
      </c>
      <c r="C6418" t="s">
        <v>40</v>
      </c>
      <c r="D6418">
        <v>4.7819450000000003</v>
      </c>
      <c r="E6418">
        <v>0.48528450000000001</v>
      </c>
      <c r="F6418" t="s">
        <v>41</v>
      </c>
      <c r="G6418">
        <v>-354.28300000000002</v>
      </c>
      <c r="H6418" s="1">
        <v>-2.8194020000000001E-6</v>
      </c>
      <c r="I6418">
        <v>21.061330000000002</v>
      </c>
      <c r="J6418">
        <v>-388.3057</v>
      </c>
      <c r="K6418">
        <v>1.121119</v>
      </c>
      <c r="L6418">
        <v>17.845979999999901</v>
      </c>
      <c r="M6418">
        <v>0.99976580000000004</v>
      </c>
      <c r="N6418">
        <v>-1.3858509999999999E-2</v>
      </c>
      <c r="O6418">
        <v>-1.6624400000000001E-2</v>
      </c>
      <c r="P6418">
        <v>0.98934580000000005</v>
      </c>
      <c r="Q6418">
        <v>-0.1331996</v>
      </c>
      <c r="R6418">
        <v>5.876108E-2</v>
      </c>
      <c r="S6418">
        <v>3.0024410000000001</v>
      </c>
      <c r="T6418">
        <v>-9.8460790000000006E-2</v>
      </c>
      <c r="U6418">
        <v>0.28222659999999899</v>
      </c>
      <c r="V6418">
        <v>-7.5114269999999997E-2</v>
      </c>
      <c r="W6418">
        <v>-0.1195466</v>
      </c>
      <c r="X6418">
        <v>0.9899831</v>
      </c>
      <c r="Y6418">
        <v>-0.11004</v>
      </c>
      <c r="Z6418">
        <v>2.878448E-3</v>
      </c>
      <c r="AA6418">
        <v>0.993923</v>
      </c>
      <c r="AB6418">
        <v>16</v>
      </c>
      <c r="AC6418">
        <v>34.022699999999901</v>
      </c>
      <c r="AD6418">
        <v>-1.1211218194020001</v>
      </c>
      <c r="AE6418">
        <v>3.2153499999999999</v>
      </c>
      <c r="AF6418">
        <v>-3.7765024448095299</v>
      </c>
      <c r="AG6418">
        <v>-1.1211218194020001</v>
      </c>
      <c r="AH6418">
        <v>33.928024468157602</v>
      </c>
      <c r="AI6418">
        <v>91.880991930967895</v>
      </c>
      <c r="AJ6418">
        <v>96.351404723337893</v>
      </c>
      <c r="AK6418">
        <v>34.1559618392088</v>
      </c>
      <c r="AL6418">
        <v>96.865936027854701</v>
      </c>
      <c r="AM6418">
        <v>94.338963295595306</v>
      </c>
      <c r="AN6418">
        <v>1.0000000407073999</v>
      </c>
    </row>
    <row r="6419" spans="1:40" x14ac:dyDescent="0.25">
      <c r="A6419" t="str">
        <f>"20190303154938366"</f>
        <v>20190303154938366</v>
      </c>
      <c r="B6419" t="str">
        <f>"1551599378357414"</f>
        <v>1551599378357414</v>
      </c>
      <c r="C6419" t="s">
        <v>40</v>
      </c>
      <c r="D6419">
        <v>4.8155960000000002</v>
      </c>
      <c r="E6419">
        <v>0.48517500000000002</v>
      </c>
      <c r="F6419" t="s">
        <v>41</v>
      </c>
      <c r="G6419">
        <v>-354.22809999999998</v>
      </c>
      <c r="H6419" s="1">
        <v>-2.867006E-6</v>
      </c>
      <c r="I6419">
        <v>21.151759999999999</v>
      </c>
      <c r="J6419">
        <v>-388.21800000000002</v>
      </c>
      <c r="K6419">
        <v>1.1210850000000001</v>
      </c>
      <c r="L6419">
        <v>17.84515</v>
      </c>
      <c r="M6419">
        <v>0.99977450000000001</v>
      </c>
      <c r="N6419">
        <v>-1.3821440000000001E-2</v>
      </c>
      <c r="O6419">
        <v>-1.612485E-2</v>
      </c>
      <c r="P6419">
        <v>0.98923530000000004</v>
      </c>
      <c r="Q6419">
        <v>-0.13344829999999999</v>
      </c>
      <c r="R6419">
        <v>6.0044640000000003E-2</v>
      </c>
      <c r="S6419">
        <v>3.0017399999999999</v>
      </c>
      <c r="T6419">
        <v>-9.8754529999999993E-2</v>
      </c>
      <c r="U6419">
        <v>0.29119869999999998</v>
      </c>
      <c r="V6419">
        <v>-7.5908959999999998E-2</v>
      </c>
      <c r="W6419">
        <v>-0.1198293</v>
      </c>
      <c r="X6419">
        <v>0.98988830000000005</v>
      </c>
      <c r="Y6419">
        <v>-0.11250639999999899</v>
      </c>
      <c r="Z6419">
        <v>2.932413E-3</v>
      </c>
      <c r="AA6419">
        <v>0.99364669999999999</v>
      </c>
      <c r="AB6419">
        <v>16</v>
      </c>
      <c r="AC6419">
        <v>33.989899999999999</v>
      </c>
      <c r="AD6419">
        <v>-1.121087867006</v>
      </c>
      <c r="AE6419">
        <v>3.3066099999999898</v>
      </c>
      <c r="AF6419">
        <v>-3.8501651482935402</v>
      </c>
      <c r="AG6419">
        <v>-1.121087867006</v>
      </c>
      <c r="AH6419">
        <v>33.895627765078501</v>
      </c>
      <c r="AI6419">
        <v>91.882255282076997</v>
      </c>
      <c r="AJ6419">
        <v>96.480385670528094</v>
      </c>
      <c r="AK6419">
        <v>34.132011239647802</v>
      </c>
      <c r="AL6419">
        <v>96.882250834439702</v>
      </c>
      <c r="AM6419">
        <v>94.385108622430806</v>
      </c>
      <c r="AN6419">
        <v>1.00000003891183</v>
      </c>
    </row>
    <row r="6420" spans="1:40" x14ac:dyDescent="0.25">
      <c r="A6420" t="str">
        <f>"20190303154938377"</f>
        <v>20190303154938377</v>
      </c>
      <c r="B6420" t="str">
        <f>"1551599378367174"</f>
        <v>1551599378367174</v>
      </c>
      <c r="C6420" t="s">
        <v>40</v>
      </c>
      <c r="D6420">
        <v>4.8201470000000004</v>
      </c>
      <c r="E6420">
        <v>0.4850371</v>
      </c>
      <c r="F6420" t="s">
        <v>41</v>
      </c>
      <c r="G6420">
        <v>-353.95519999999999</v>
      </c>
      <c r="H6420" s="1">
        <v>-3.0027430000000002E-6</v>
      </c>
      <c r="I6420">
        <v>21.221879999999999</v>
      </c>
      <c r="J6420">
        <v>-388.13589999999999</v>
      </c>
      <c r="K6420">
        <v>1.1210519999999999</v>
      </c>
      <c r="L6420">
        <v>17.844360000000002</v>
      </c>
      <c r="M6420">
        <v>0.99978230000000001</v>
      </c>
      <c r="N6420">
        <v>-1.377724E-2</v>
      </c>
      <c r="O6420">
        <v>-1.5676329999999999E-2</v>
      </c>
      <c r="P6420">
        <v>0.98916789999999999</v>
      </c>
      <c r="Q6420">
        <v>-0.13355300000000001</v>
      </c>
      <c r="R6420">
        <v>6.0915150000000001E-2</v>
      </c>
      <c r="S6420">
        <v>3.001404</v>
      </c>
      <c r="T6420">
        <v>-9.8206879999999996E-2</v>
      </c>
      <c r="U6420">
        <v>0.29580689999999998</v>
      </c>
      <c r="V6420">
        <v>-7.6340900000000003E-2</v>
      </c>
      <c r="W6420">
        <v>-0.1199749</v>
      </c>
      <c r="X6420">
        <v>0.98983739999999998</v>
      </c>
      <c r="Y6420">
        <v>-0.11358260000000001</v>
      </c>
      <c r="Z6420">
        <v>2.9341419999999998E-3</v>
      </c>
      <c r="AA6420">
        <v>0.99352430000000003</v>
      </c>
      <c r="AB6420">
        <v>16</v>
      </c>
      <c r="AC6420">
        <v>34.180700000000002</v>
      </c>
      <c r="AD6420">
        <v>-1.121055002743</v>
      </c>
      <c r="AE6420">
        <v>3.3775199999999899</v>
      </c>
      <c r="AF6420">
        <v>-3.90881955938042</v>
      </c>
      <c r="AG6420">
        <v>-1.121055002743</v>
      </c>
      <c r="AH6420">
        <v>34.087233763544397</v>
      </c>
      <c r="AI6420">
        <v>91.871399727251898</v>
      </c>
      <c r="AJ6420">
        <v>96.541595379186603</v>
      </c>
      <c r="AK6420">
        <v>34.328925708758902</v>
      </c>
      <c r="AL6420">
        <v>96.890654031075002</v>
      </c>
      <c r="AM6420">
        <v>94.410188654666598</v>
      </c>
      <c r="AN6420">
        <v>0.99999999404078999</v>
      </c>
    </row>
    <row r="6421" spans="1:40" x14ac:dyDescent="0.25">
      <c r="A6421" t="str">
        <f>"20190303154938388"</f>
        <v>20190303154938388</v>
      </c>
      <c r="B6421" t="str">
        <f>"1551599378376934"</f>
        <v>1551599378376934</v>
      </c>
      <c r="C6421" t="s">
        <v>40</v>
      </c>
      <c r="D6421">
        <v>4.7860690000000004</v>
      </c>
      <c r="E6421">
        <v>0.4849058</v>
      </c>
      <c r="F6421" t="s">
        <v>41</v>
      </c>
      <c r="G6421">
        <v>-353.68029999999999</v>
      </c>
      <c r="H6421" s="1">
        <v>-3.1367360000000001E-6</v>
      </c>
      <c r="I6421">
        <v>21.282330000000002</v>
      </c>
      <c r="J6421">
        <v>-388.05650000000003</v>
      </c>
      <c r="K6421">
        <v>1.1210230000000001</v>
      </c>
      <c r="L6421">
        <v>17.843629999999902</v>
      </c>
      <c r="M6421">
        <v>0.99978940000000005</v>
      </c>
      <c r="N6421">
        <v>-1.371931E-2</v>
      </c>
      <c r="O6421">
        <v>-1.526518E-2</v>
      </c>
      <c r="P6421">
        <v>0.98908050000000003</v>
      </c>
      <c r="Q6421">
        <v>-0.13366879999999901</v>
      </c>
      <c r="R6421">
        <v>6.2066679999999999E-2</v>
      </c>
      <c r="S6421">
        <v>3.0012210000000001</v>
      </c>
      <c r="T6421">
        <v>-9.7648620000000005E-2</v>
      </c>
      <c r="U6421">
        <v>0.29946899999999999</v>
      </c>
      <c r="V6421">
        <v>-7.7088790000000004E-2</v>
      </c>
      <c r="W6421">
        <v>-0.12014660000000001</v>
      </c>
      <c r="X6421">
        <v>0.98975860000000004</v>
      </c>
      <c r="Y6421">
        <v>-0.1143808</v>
      </c>
      <c r="Z6421">
        <v>2.9290929999999998E-3</v>
      </c>
      <c r="AA6421">
        <v>0.9934326</v>
      </c>
      <c r="AB6421">
        <v>16</v>
      </c>
      <c r="AC6421">
        <v>34.376199999999997</v>
      </c>
      <c r="AD6421">
        <v>-1.1210261367359999</v>
      </c>
      <c r="AE6421">
        <v>3.4386999999999999</v>
      </c>
      <c r="AF6421">
        <v>-3.9589390870527299</v>
      </c>
      <c r="AG6421">
        <v>-1.1210261367359999</v>
      </c>
      <c r="AH6421">
        <v>34.283598852068401</v>
      </c>
      <c r="AI6421">
        <v>91.860470646410604</v>
      </c>
      <c r="AJ6421">
        <v>96.587122028803407</v>
      </c>
      <c r="AK6421">
        <v>34.529625664692396</v>
      </c>
      <c r="AL6421">
        <v>96.900563446630301</v>
      </c>
      <c r="AM6421">
        <v>94.453574179871595</v>
      </c>
      <c r="AN6421">
        <v>0.999999986654592</v>
      </c>
    </row>
    <row r="6422" spans="1:40" x14ac:dyDescent="0.25">
      <c r="A6422" t="str">
        <f>"20190303154938409"</f>
        <v>20190303154938409</v>
      </c>
      <c r="B6422" t="str">
        <f>"1551599378397431"</f>
        <v>1551599378397431</v>
      </c>
      <c r="C6422" t="s">
        <v>40</v>
      </c>
      <c r="D6422">
        <v>4.8140450000000001</v>
      </c>
      <c r="E6422">
        <v>0.48470990000000003</v>
      </c>
      <c r="F6422" t="s">
        <v>41</v>
      </c>
      <c r="G6422">
        <v>-353.42989999999998</v>
      </c>
      <c r="H6422" s="1">
        <v>-3.2615500000000001E-6</v>
      </c>
      <c r="I6422">
        <v>21.34759</v>
      </c>
      <c r="J6422">
        <v>-387.91129999999998</v>
      </c>
      <c r="K6422">
        <v>1.1209830000000001</v>
      </c>
      <c r="L6422">
        <v>17.842289999999998</v>
      </c>
      <c r="M6422">
        <v>0.99980210000000003</v>
      </c>
      <c r="N6422">
        <v>-1.3581670000000001E-2</v>
      </c>
      <c r="O6422">
        <v>-1.4540819999999999E-2</v>
      </c>
      <c r="P6422">
        <v>0.98902920000000005</v>
      </c>
      <c r="Q6422">
        <v>-0.1329246</v>
      </c>
      <c r="R6422">
        <v>6.4440120000000004E-2</v>
      </c>
      <c r="S6422">
        <v>3.0009459999999999</v>
      </c>
      <c r="T6422">
        <v>-9.7154619999999997E-2</v>
      </c>
      <c r="U6422">
        <v>0.30368040000000002</v>
      </c>
      <c r="V6422">
        <v>-7.8751550000000003E-2</v>
      </c>
      <c r="W6422">
        <v>-0.1195362</v>
      </c>
      <c r="X6422">
        <v>0.98970159999999996</v>
      </c>
      <c r="Y6422">
        <v>-0.11505079999999999</v>
      </c>
      <c r="Z6422">
        <v>2.9133179999999998E-3</v>
      </c>
      <c r="AA6422">
        <v>0.99335530000000005</v>
      </c>
      <c r="AB6422">
        <v>16</v>
      </c>
      <c r="AC6422">
        <v>34.481400000000001</v>
      </c>
      <c r="AD6422">
        <v>-1.1209862615499999</v>
      </c>
      <c r="AE6422">
        <v>3.5053000000000001</v>
      </c>
      <c r="AF6422">
        <v>-4.0021767812671696</v>
      </c>
      <c r="AG6422">
        <v>-1.1209862615499999</v>
      </c>
      <c r="AH6422">
        <v>34.390803606819802</v>
      </c>
      <c r="AI6422">
        <v>91.854419015016106</v>
      </c>
      <c r="AJ6422">
        <v>96.637850528199195</v>
      </c>
      <c r="AK6422">
        <v>34.641036386198799</v>
      </c>
      <c r="AL6422">
        <v>96.865336243408706</v>
      </c>
      <c r="AM6422">
        <v>94.549497079285103</v>
      </c>
      <c r="AN6422">
        <v>0.99999998339020102</v>
      </c>
    </row>
    <row r="6423" spans="1:40" x14ac:dyDescent="0.25">
      <c r="A6423" t="str">
        <f>"20190303154938424"</f>
        <v>20190303154938424</v>
      </c>
      <c r="B6423" t="str">
        <f>"1551599378416950"</f>
        <v>1551599378416950</v>
      </c>
      <c r="C6423" t="s">
        <v>40</v>
      </c>
      <c r="D6423">
        <v>4.8491619999999998</v>
      </c>
      <c r="E6423">
        <v>0.48428070000000001</v>
      </c>
      <c r="F6423" t="s">
        <v>41</v>
      </c>
      <c r="G6423">
        <v>-352.08929999999998</v>
      </c>
      <c r="H6423" s="1">
        <v>-3.8958949999999999E-6</v>
      </c>
      <c r="I6423">
        <v>21.570319999999999</v>
      </c>
      <c r="J6423">
        <v>-387.79930000000002</v>
      </c>
      <c r="K6423">
        <v>1.120949</v>
      </c>
      <c r="L6423">
        <v>17.84131</v>
      </c>
      <c r="M6423">
        <v>0.99981160000000002</v>
      </c>
      <c r="N6423">
        <v>-1.34422E-2</v>
      </c>
      <c r="O6423">
        <v>-1.400126E-2</v>
      </c>
      <c r="P6423">
        <v>0.98905120000000002</v>
      </c>
      <c r="Q6423">
        <v>-0.13190160000000001</v>
      </c>
      <c r="R6423">
        <v>6.6179310000000005E-2</v>
      </c>
      <c r="S6423">
        <v>3.0003359999999999</v>
      </c>
      <c r="T6423">
        <v>-9.3890550000000003E-2</v>
      </c>
      <c r="U6423">
        <v>0.31225589999999998</v>
      </c>
      <c r="V6423">
        <v>-7.9960639999999999E-2</v>
      </c>
      <c r="W6423">
        <v>-0.1186498</v>
      </c>
      <c r="X6423">
        <v>0.98971129999999996</v>
      </c>
      <c r="Y6423">
        <v>-0.11734799999999999</v>
      </c>
      <c r="Z6423">
        <v>2.8711330000000001E-3</v>
      </c>
      <c r="AA6423">
        <v>0.99308669999999999</v>
      </c>
      <c r="AB6423">
        <v>16</v>
      </c>
      <c r="AC6423">
        <v>35.71</v>
      </c>
      <c r="AD6423">
        <v>-1.1209528958949999</v>
      </c>
      <c r="AE6423">
        <v>3.7290100000000002</v>
      </c>
      <c r="AF6423">
        <v>-4.2245567815139999</v>
      </c>
      <c r="AG6423">
        <v>-1.1209528958949999</v>
      </c>
      <c r="AH6423">
        <v>35.619563927335697</v>
      </c>
      <c r="AI6423">
        <v>91.789974581196404</v>
      </c>
      <c r="AJ6423">
        <v>96.763806305734903</v>
      </c>
      <c r="AK6423">
        <v>35.886721078535601</v>
      </c>
      <c r="AL6423">
        <v>96.814185329550796</v>
      </c>
      <c r="AM6423">
        <v>94.619001461013795</v>
      </c>
      <c r="AN6423">
        <v>0.99999996816846903</v>
      </c>
    </row>
    <row r="6424" spans="1:40" x14ac:dyDescent="0.25">
      <c r="A6424" t="str">
        <f>"20190303154938445"</f>
        <v>20190303154938445</v>
      </c>
      <c r="B6424" t="str">
        <f>"1551599378437446"</f>
        <v>1551599378437446</v>
      </c>
      <c r="C6424" t="s">
        <v>40</v>
      </c>
      <c r="D6424">
        <v>4.8215370000000002</v>
      </c>
      <c r="E6424">
        <v>0.47197319999999998</v>
      </c>
      <c r="F6424" t="s">
        <v>41</v>
      </c>
      <c r="G6424">
        <v>-350.84699999999998</v>
      </c>
      <c r="H6424" s="1">
        <v>-4.3740620000000004E-6</v>
      </c>
      <c r="I6424">
        <v>21.79393</v>
      </c>
      <c r="J6424">
        <v>-387.6549</v>
      </c>
      <c r="K6424">
        <v>1.1209209999999901</v>
      </c>
      <c r="L6424">
        <v>17.84009</v>
      </c>
      <c r="M6424">
        <v>0.99982389999999999</v>
      </c>
      <c r="N6424">
        <v>-1.321898E-2</v>
      </c>
      <c r="O6424">
        <v>-1.332173E-2</v>
      </c>
      <c r="P6424">
        <v>0.9891238</v>
      </c>
      <c r="Q6424">
        <v>-0.12976389999999999</v>
      </c>
      <c r="R6424">
        <v>6.9249350000000001E-2</v>
      </c>
      <c r="S6424">
        <v>2.999603</v>
      </c>
      <c r="T6424">
        <v>-9.0993640000000001E-2</v>
      </c>
      <c r="U6424">
        <v>0.32086179999999997</v>
      </c>
      <c r="V6424">
        <v>-8.2361069999999995E-2</v>
      </c>
      <c r="W6424">
        <v>-0.1167329</v>
      </c>
      <c r="X6424">
        <v>0.98974249999999997</v>
      </c>
      <c r="Y6424">
        <v>-0.119519</v>
      </c>
      <c r="Z6424">
        <v>2.827132E-3</v>
      </c>
      <c r="AA6424">
        <v>0.99282789999999999</v>
      </c>
      <c r="AB6424">
        <v>16</v>
      </c>
      <c r="AC6424">
        <v>36.807899999999997</v>
      </c>
      <c r="AD6424">
        <v>-1.12092537406199</v>
      </c>
      <c r="AE6424">
        <v>3.95384</v>
      </c>
      <c r="AF6424">
        <v>-4.4398062774612397</v>
      </c>
      <c r="AG6424">
        <v>-1.12092537406199</v>
      </c>
      <c r="AH6424">
        <v>36.718292140081601</v>
      </c>
      <c r="AI6424">
        <v>91.735929652990905</v>
      </c>
      <c r="AJ6424">
        <v>96.894470736283907</v>
      </c>
      <c r="AK6424">
        <v>37.002720591329201</v>
      </c>
      <c r="AL6424">
        <v>96.703585731396899</v>
      </c>
      <c r="AM6424">
        <v>94.7568881379635</v>
      </c>
      <c r="AN6424">
        <v>1.0000000660501001</v>
      </c>
    </row>
    <row r="6425" spans="1:40" x14ac:dyDescent="0.25">
      <c r="A6425" t="str">
        <f>"20190303154938465"</f>
        <v>20190303154938465</v>
      </c>
      <c r="B6425" t="str">
        <f>"1551599378457472"</f>
        <v>1551599378457472</v>
      </c>
      <c r="C6425" t="s">
        <v>40</v>
      </c>
      <c r="D6425">
        <v>4.8122319999999998</v>
      </c>
      <c r="E6425">
        <v>0.47075529999999999</v>
      </c>
      <c r="F6425" t="s">
        <v>41</v>
      </c>
      <c r="G6425">
        <v>-342.78960000000001</v>
      </c>
      <c r="H6425" s="1">
        <v>-4.1484720000000003E-6</v>
      </c>
      <c r="I6425">
        <v>24.248889999999999</v>
      </c>
      <c r="J6425">
        <v>-387.50490000000002</v>
      </c>
      <c r="K6425">
        <v>1.1208830000000001</v>
      </c>
      <c r="L6425">
        <v>17.838929999999898</v>
      </c>
      <c r="M6425">
        <v>0.99983650000000002</v>
      </c>
      <c r="N6425">
        <v>-1.2950390000000001E-2</v>
      </c>
      <c r="O6425">
        <v>-1.262369E-2</v>
      </c>
      <c r="P6425">
        <v>0.98917529999999998</v>
      </c>
      <c r="Q6425">
        <v>-0.12760659999999999</v>
      </c>
      <c r="R6425">
        <v>7.2451909999999994E-2</v>
      </c>
      <c r="S6425">
        <v>2.9932859999999999</v>
      </c>
      <c r="T6425">
        <v>-7.4784870000000003E-2</v>
      </c>
      <c r="U6425">
        <v>0.42758180000000001</v>
      </c>
      <c r="V6425">
        <v>-8.4873879999999999E-2</v>
      </c>
      <c r="W6425">
        <v>-0.1148433</v>
      </c>
      <c r="X6425">
        <v>0.98975119999999905</v>
      </c>
      <c r="Y6425">
        <v>-0.1538253</v>
      </c>
      <c r="Z6425">
        <v>3.0641570000000001E-3</v>
      </c>
      <c r="AA6425">
        <v>0.98809329999999995</v>
      </c>
      <c r="AB6425">
        <v>16</v>
      </c>
      <c r="AC6425">
        <v>44.715299999999999</v>
      </c>
      <c r="AD6425">
        <v>-1.120887148472</v>
      </c>
      <c r="AE6425">
        <v>6.4099599999999999</v>
      </c>
      <c r="AF6425">
        <v>-6.9696772424486504</v>
      </c>
      <c r="AG6425">
        <v>-1.120887148472</v>
      </c>
      <c r="AH6425">
        <v>44.603349462158498</v>
      </c>
      <c r="AI6425">
        <v>91.422294282401097</v>
      </c>
      <c r="AJ6425">
        <v>98.881165605724902</v>
      </c>
      <c r="AK6425">
        <v>45.158516052976701</v>
      </c>
      <c r="AL6425">
        <v>96.594586928534895</v>
      </c>
      <c r="AM6425">
        <v>94.901279799796697</v>
      </c>
      <c r="AN6425">
        <v>0.99999999848129195</v>
      </c>
    </row>
    <row r="6426" spans="1:40" x14ac:dyDescent="0.25">
      <c r="A6426" t="str">
        <f>"20190303154938478"</f>
        <v>20190303154938478</v>
      </c>
      <c r="B6426" t="str">
        <f>"1551599378467233"</f>
        <v>1551599378467233</v>
      </c>
      <c r="C6426" t="s">
        <v>40</v>
      </c>
      <c r="D6426">
        <v>4.8315989999999998</v>
      </c>
      <c r="E6426">
        <v>0.47105989999999998</v>
      </c>
      <c r="F6426" t="s">
        <v>41</v>
      </c>
      <c r="G6426">
        <v>-347.91629999999998</v>
      </c>
      <c r="H6426" s="1">
        <v>-1.9774680000000001E-6</v>
      </c>
      <c r="I6426">
        <v>23.75506</v>
      </c>
      <c r="J6426">
        <v>-387.4085</v>
      </c>
      <c r="K6426">
        <v>1.1208629999999999</v>
      </c>
      <c r="L6426">
        <v>17.838229999999999</v>
      </c>
      <c r="M6426">
        <v>0.99984450000000002</v>
      </c>
      <c r="N6426">
        <v>-1.276471E-2</v>
      </c>
      <c r="O6426">
        <v>-1.21759E-2</v>
      </c>
      <c r="P6426">
        <v>0.98910419999999999</v>
      </c>
      <c r="Q6426">
        <v>-0.127382</v>
      </c>
      <c r="R6426">
        <v>7.3804289999999995E-2</v>
      </c>
      <c r="S6426">
        <v>2.9892270000000001</v>
      </c>
      <c r="T6426">
        <v>-8.4634780000000007E-2</v>
      </c>
      <c r="U6426">
        <v>0.44671630000000001</v>
      </c>
      <c r="V6426">
        <v>-8.5780369999999995E-2</v>
      </c>
      <c r="W6426">
        <v>-0.1148053</v>
      </c>
      <c r="X6426">
        <v>0.98967740000000004</v>
      </c>
      <c r="Y6426">
        <v>-0.1597401</v>
      </c>
      <c r="Z6426">
        <v>3.4622519999999999E-3</v>
      </c>
      <c r="AA6426">
        <v>0.98715310000000001</v>
      </c>
      <c r="AB6426">
        <v>16</v>
      </c>
      <c r="AC6426">
        <v>39.492199999999997</v>
      </c>
      <c r="AD6426">
        <v>-1.120864977468</v>
      </c>
      <c r="AE6426">
        <v>5.91683</v>
      </c>
      <c r="AF6426">
        <v>-6.3922473973969698</v>
      </c>
      <c r="AG6426">
        <v>-1.120864977468</v>
      </c>
      <c r="AH6426">
        <v>39.3861930250157</v>
      </c>
      <c r="AI6426">
        <v>91.609059346650795</v>
      </c>
      <c r="AJ6426">
        <v>99.218534830405602</v>
      </c>
      <c r="AK6426">
        <v>39.917281546856898</v>
      </c>
      <c r="AL6426">
        <v>96.592395563528598</v>
      </c>
      <c r="AM6426">
        <v>94.953736057573394</v>
      </c>
      <c r="AN6426">
        <v>0.99999994242809198</v>
      </c>
    </row>
    <row r="6427" spans="1:40" x14ac:dyDescent="0.25">
      <c r="A6427" t="str">
        <f>"20190303154938497"</f>
        <v>20190303154938497</v>
      </c>
      <c r="B6427" t="str">
        <f>"1551599378486752"</f>
        <v>1551599378486752</v>
      </c>
      <c r="C6427" t="s">
        <v>40</v>
      </c>
      <c r="D6427">
        <v>4.7829249999999996</v>
      </c>
      <c r="E6427">
        <v>0.47127010000000003</v>
      </c>
      <c r="F6427" t="s">
        <v>41</v>
      </c>
      <c r="G6427">
        <v>-347.56619999999998</v>
      </c>
      <c r="H6427" s="1">
        <v>-2.1427330000000001E-6</v>
      </c>
      <c r="I6427">
        <v>23.81176</v>
      </c>
      <c r="J6427">
        <v>-387.27370000000002</v>
      </c>
      <c r="K6427">
        <v>1.120835</v>
      </c>
      <c r="L6427">
        <v>17.83728</v>
      </c>
      <c r="M6427">
        <v>0.9998553</v>
      </c>
      <c r="N6427">
        <v>-1.24904E-2</v>
      </c>
      <c r="O6427">
        <v>-1.15475E-2</v>
      </c>
      <c r="P6427">
        <v>0.98891479999999998</v>
      </c>
      <c r="Q6427">
        <v>-0.12741720000000001</v>
      </c>
      <c r="R6427">
        <v>7.6239299999999996E-2</v>
      </c>
      <c r="S6427">
        <v>2.9888309999999998</v>
      </c>
      <c r="T6427">
        <v>-8.4083439999999995E-2</v>
      </c>
      <c r="U6427">
        <v>0.44812010000000002</v>
      </c>
      <c r="V6427">
        <v>-8.7587289999999998E-2</v>
      </c>
      <c r="W6427">
        <v>-0.1151185</v>
      </c>
      <c r="X6427">
        <v>0.9894828</v>
      </c>
      <c r="Y6427">
        <v>-0.15959409999999999</v>
      </c>
      <c r="Z6427">
        <v>3.4142030000000002E-3</v>
      </c>
      <c r="AA6427">
        <v>0.98717679999999997</v>
      </c>
      <c r="AB6427">
        <v>16</v>
      </c>
      <c r="AC6427">
        <v>39.707500000000003</v>
      </c>
      <c r="AD6427">
        <v>-1.1208371427329999</v>
      </c>
      <c r="AE6427">
        <v>5.9744799999999998</v>
      </c>
      <c r="AF6427">
        <v>-6.4276316752585201</v>
      </c>
      <c r="AG6427">
        <v>-1.1208371427329999</v>
      </c>
      <c r="AH6427">
        <v>39.604998424161103</v>
      </c>
      <c r="AI6427">
        <v>91.600135519480901</v>
      </c>
      <c r="AJ6427">
        <v>99.218355666866401</v>
      </c>
      <c r="AK6427">
        <v>40.138841849648799</v>
      </c>
      <c r="AL6427">
        <v>96.610459945820395</v>
      </c>
      <c r="AM6427">
        <v>95.058537841576893</v>
      </c>
      <c r="AN6427">
        <v>1.00000000695381</v>
      </c>
    </row>
    <row r="6428" spans="1:40" x14ac:dyDescent="0.25">
      <c r="A6428" t="str">
        <f>"20190303154938510"</f>
        <v>20190303154938510</v>
      </c>
      <c r="B6428" t="str">
        <f>"1551599378507249"</f>
        <v>1551599378507249</v>
      </c>
      <c r="C6428" t="s">
        <v>40</v>
      </c>
      <c r="D6428">
        <v>4.8112300000000001</v>
      </c>
      <c r="E6428">
        <v>0.47199869999999999</v>
      </c>
      <c r="F6428" t="s">
        <v>41</v>
      </c>
      <c r="G6428">
        <v>-349.34989999999999</v>
      </c>
      <c r="H6428" s="1">
        <v>-1.3196269999999999E-6</v>
      </c>
      <c r="I6428">
        <v>23.594149999999999</v>
      </c>
      <c r="J6428">
        <v>-387.1816</v>
      </c>
      <c r="K6428">
        <v>1.1208119999999999</v>
      </c>
      <c r="L6428">
        <v>17.8367</v>
      </c>
      <c r="M6428">
        <v>0.99986269999999999</v>
      </c>
      <c r="N6428">
        <v>-1.2294940000000001E-2</v>
      </c>
      <c r="O6428">
        <v>-1.1114189999999999E-2</v>
      </c>
      <c r="P6428">
        <v>0.98880449999999998</v>
      </c>
      <c r="Q6428">
        <v>-0.1277556</v>
      </c>
      <c r="R6428">
        <v>7.7098410000000006E-2</v>
      </c>
      <c r="S6428">
        <v>2.9873660000000002</v>
      </c>
      <c r="T6428">
        <v>-8.8291529999999993E-2</v>
      </c>
      <c r="U6428">
        <v>0.45349119999999998</v>
      </c>
      <c r="V6428">
        <v>-8.8013480000000005E-2</v>
      </c>
      <c r="W6428">
        <v>-0.1156541</v>
      </c>
      <c r="X6428">
        <v>0.98938250000000005</v>
      </c>
      <c r="Y6428">
        <v>-0.160964</v>
      </c>
      <c r="Z6428">
        <v>3.5508549999999999E-3</v>
      </c>
      <c r="AA6428">
        <v>0.98695390000000005</v>
      </c>
      <c r="AB6428">
        <v>16</v>
      </c>
      <c r="AC6428">
        <v>37.831699999999998</v>
      </c>
      <c r="AD6428">
        <v>-1.120813319627</v>
      </c>
      <c r="AE6428">
        <v>5.7574499999999897</v>
      </c>
      <c r="AF6428">
        <v>-6.1722998987213096</v>
      </c>
      <c r="AG6428">
        <v>-1.120813319627</v>
      </c>
      <c r="AH6428">
        <v>37.732999531090101</v>
      </c>
      <c r="AI6428">
        <v>91.679098657008694</v>
      </c>
      <c r="AJ6428">
        <v>99.290068498968495</v>
      </c>
      <c r="AK6428">
        <v>38.250918448456297</v>
      </c>
      <c r="AL6428">
        <v>96.6413540461662</v>
      </c>
      <c r="AM6428">
        <v>95.083536084563605</v>
      </c>
      <c r="AN6428">
        <v>0.99999998740738505</v>
      </c>
    </row>
    <row r="6429" spans="1:40" x14ac:dyDescent="0.25">
      <c r="A6429" t="str">
        <f>"20190303154938522"</f>
        <v>20190303154938522</v>
      </c>
      <c r="B6429" t="str">
        <f>"1551599378517009"</f>
        <v>1551599378517009</v>
      </c>
      <c r="C6429" t="s">
        <v>40</v>
      </c>
      <c r="D6429">
        <v>4.7693379999999896</v>
      </c>
      <c r="E6429">
        <v>0.47232879999999999</v>
      </c>
      <c r="F6429" t="s">
        <v>41</v>
      </c>
      <c r="G6429">
        <v>-350.9443</v>
      </c>
      <c r="H6429" s="1">
        <v>-4.6076069999999997E-6</v>
      </c>
      <c r="I6429">
        <v>23.297229999999999</v>
      </c>
      <c r="J6429">
        <v>-387.08800000000002</v>
      </c>
      <c r="K6429">
        <v>1.120784</v>
      </c>
      <c r="L6429">
        <v>17.836179999999999</v>
      </c>
      <c r="M6429">
        <v>0.99987000000000004</v>
      </c>
      <c r="N6429">
        <v>-1.209289E-2</v>
      </c>
      <c r="O6429">
        <v>-1.0671190000000001E-2</v>
      </c>
      <c r="P6429">
        <v>0.98868080000000003</v>
      </c>
      <c r="Q6429">
        <v>-0.128195899999999</v>
      </c>
      <c r="R6429">
        <v>7.7948980000000001E-2</v>
      </c>
      <c r="S6429">
        <v>2.9869379999999999</v>
      </c>
      <c r="T6429">
        <v>-9.2385889999999998E-2</v>
      </c>
      <c r="U6429">
        <v>0.4501038</v>
      </c>
      <c r="V6429">
        <v>-8.8420520000000002E-2</v>
      </c>
      <c r="W6429">
        <v>-0.1162985</v>
      </c>
      <c r="X6429">
        <v>0.98927069999999995</v>
      </c>
      <c r="Y6429">
        <v>-0.15944659999999999</v>
      </c>
      <c r="Z6429">
        <v>3.6211749999999999E-3</v>
      </c>
      <c r="AA6429">
        <v>0.98719990000000002</v>
      </c>
      <c r="AB6429">
        <v>16</v>
      </c>
      <c r="AC6429">
        <v>36.143700000000003</v>
      </c>
      <c r="AD6429">
        <v>-1.1207886076069999</v>
      </c>
      <c r="AE6429">
        <v>5.4610500000000002</v>
      </c>
      <c r="AF6429">
        <v>-5.8409723163407401</v>
      </c>
      <c r="AG6429">
        <v>-1.1207886076069999</v>
      </c>
      <c r="AH6429">
        <v>36.049471055210603</v>
      </c>
      <c r="AI6429">
        <v>91.757858893516399</v>
      </c>
      <c r="AJ6429">
        <v>99.2034568445264</v>
      </c>
      <c r="AK6429">
        <v>36.536796357421203</v>
      </c>
      <c r="AL6429">
        <v>96.678526043336802</v>
      </c>
      <c r="AM6429">
        <v>95.107496204551893</v>
      </c>
      <c r="AN6429">
        <v>1.0000000236689</v>
      </c>
    </row>
    <row r="6430" spans="1:40" x14ac:dyDescent="0.25">
      <c r="A6430" t="str">
        <f>"20190303154938544"</f>
        <v>20190303154938544</v>
      </c>
      <c r="B6430" t="str">
        <f>"1551599378537504"</f>
        <v>1551599378537504</v>
      </c>
      <c r="C6430" t="s">
        <v>40</v>
      </c>
      <c r="D6430">
        <v>4.7797999999999998</v>
      </c>
      <c r="E6430">
        <v>0.4727943</v>
      </c>
      <c r="F6430" t="s">
        <v>41</v>
      </c>
      <c r="G6430">
        <v>-351.2724</v>
      </c>
      <c r="H6430" s="1">
        <v>-4.4837930000000002E-6</v>
      </c>
      <c r="I6430">
        <v>23.22869</v>
      </c>
      <c r="J6430">
        <v>-386.9348</v>
      </c>
      <c r="K6430">
        <v>1.1207499999999999</v>
      </c>
      <c r="L6430">
        <v>17.83539</v>
      </c>
      <c r="M6430">
        <v>0.99988160000000004</v>
      </c>
      <c r="N6430">
        <v>-1.17558E-2</v>
      </c>
      <c r="O6430">
        <v>-9.9355610000000007E-3</v>
      </c>
      <c r="P6430">
        <v>0.98836420000000003</v>
      </c>
      <c r="Q6430">
        <v>-0.12982260000000001</v>
      </c>
      <c r="R6430">
        <v>7.9263559999999997E-2</v>
      </c>
      <c r="S6430">
        <v>2.9867859999999999</v>
      </c>
      <c r="T6430">
        <v>-9.3466640000000004E-2</v>
      </c>
      <c r="U6430">
        <v>0.44970700000000002</v>
      </c>
      <c r="V6430">
        <v>-8.8997329999999999E-2</v>
      </c>
      <c r="W6430">
        <v>-0.1182666</v>
      </c>
      <c r="X6430">
        <v>0.98898560000000002</v>
      </c>
      <c r="Y6430">
        <v>-0.15859860000000001</v>
      </c>
      <c r="Z6430">
        <v>3.5978770000000002E-3</v>
      </c>
      <c r="AA6430">
        <v>0.98733660000000001</v>
      </c>
      <c r="AB6430">
        <v>16</v>
      </c>
      <c r="AC6430">
        <v>35.662399999999899</v>
      </c>
      <c r="AD6430">
        <v>-1.1207544837929999</v>
      </c>
      <c r="AE6430">
        <v>5.3933</v>
      </c>
      <c r="AF6430">
        <v>-5.7418400834811498</v>
      </c>
      <c r="AG6430">
        <v>-1.1207544837929999</v>
      </c>
      <c r="AH6430">
        <v>35.572702788666398</v>
      </c>
      <c r="AI6430">
        <v>91.781522164307205</v>
      </c>
      <c r="AJ6430">
        <v>99.169108758505999</v>
      </c>
      <c r="AK6430">
        <v>36.050547871676102</v>
      </c>
      <c r="AL6430">
        <v>96.792073579249703</v>
      </c>
      <c r="AM6430">
        <v>95.142110911716401</v>
      </c>
      <c r="AN6430">
        <v>1.0000000152150199</v>
      </c>
    </row>
    <row r="6431" spans="1:40" x14ac:dyDescent="0.25">
      <c r="A6431" t="str">
        <f>"20190303154938554"</f>
        <v>20190303154938554</v>
      </c>
      <c r="B6431" t="str">
        <f>"1551599378547266"</f>
        <v>1551599378547266</v>
      </c>
      <c r="C6431" t="s">
        <v>40</v>
      </c>
      <c r="D6431">
        <v>4.7689890000000004</v>
      </c>
      <c r="E6431">
        <v>0.47305079999999999</v>
      </c>
      <c r="F6431" t="s">
        <v>41</v>
      </c>
      <c r="G6431">
        <v>-352.60770000000002</v>
      </c>
      <c r="H6431" s="1">
        <v>-3.9900510000000003E-6</v>
      </c>
      <c r="I6431">
        <v>23.006869999999999</v>
      </c>
      <c r="J6431">
        <v>-386.8528</v>
      </c>
      <c r="K6431">
        <v>1.120738</v>
      </c>
      <c r="L6431">
        <v>17.834989999999902</v>
      </c>
      <c r="M6431">
        <v>0.99988759999999999</v>
      </c>
      <c r="N6431">
        <v>-1.157706E-2</v>
      </c>
      <c r="O6431">
        <v>-9.5354740000000004E-3</v>
      </c>
      <c r="P6431">
        <v>0.98823539999999999</v>
      </c>
      <c r="Q6431">
        <v>-0.13052520000000001</v>
      </c>
      <c r="R6431">
        <v>7.9712130000000006E-2</v>
      </c>
      <c r="S6431">
        <v>2.9864199999999999</v>
      </c>
      <c r="T6431">
        <v>-9.7504380000000002E-2</v>
      </c>
      <c r="U6431">
        <v>0.44992070000000001</v>
      </c>
      <c r="V6431">
        <v>-8.9045879999999994E-2</v>
      </c>
      <c r="W6431">
        <v>-0.1191494</v>
      </c>
      <c r="X6431">
        <v>0.98887530000000001</v>
      </c>
      <c r="Y6431">
        <v>-0.1582829</v>
      </c>
      <c r="Z6431">
        <v>3.6902720000000001E-3</v>
      </c>
      <c r="AA6431">
        <v>0.98738689999999996</v>
      </c>
      <c r="AB6431">
        <v>16</v>
      </c>
      <c r="AC6431">
        <v>34.245099999999901</v>
      </c>
      <c r="AD6431">
        <v>-1.1207419900510001</v>
      </c>
      <c r="AE6431">
        <v>5.1718799999999998</v>
      </c>
      <c r="AF6431">
        <v>-5.4924583797116497</v>
      </c>
      <c r="AG6431">
        <v>-1.1207419900510001</v>
      </c>
      <c r="AH6431">
        <v>34.158453315856597</v>
      </c>
      <c r="AI6431">
        <v>91.855390543013399</v>
      </c>
      <c r="AJ6431">
        <v>99.134602619790797</v>
      </c>
      <c r="AK6431">
        <v>34.615359229577301</v>
      </c>
      <c r="AL6431">
        <v>96.843014222980301</v>
      </c>
      <c r="AM6431">
        <v>95.145471781996903</v>
      </c>
      <c r="AN6431">
        <v>1.00000005360771</v>
      </c>
    </row>
    <row r="6432" spans="1:40" x14ac:dyDescent="0.25">
      <c r="A6432" t="str">
        <f>"20190303154938567"</f>
        <v>20190303154938567</v>
      </c>
      <c r="B6432" t="str">
        <f>"1551599378557533"</f>
        <v>1551599378557533</v>
      </c>
      <c r="C6432" t="s">
        <v>40</v>
      </c>
      <c r="D6432">
        <v>4.774343</v>
      </c>
      <c r="E6432">
        <v>0.47336080000000003</v>
      </c>
      <c r="F6432" t="s">
        <v>41</v>
      </c>
      <c r="G6432">
        <v>-353.17899999999997</v>
      </c>
      <c r="H6432" s="1">
        <v>-3.7769920000000002E-6</v>
      </c>
      <c r="I6432">
        <v>22.901669999999999</v>
      </c>
      <c r="J6432">
        <v>-386.76729999999998</v>
      </c>
      <c r="K6432">
        <v>1.1207210000000001</v>
      </c>
      <c r="L6432">
        <v>17.83466</v>
      </c>
      <c r="M6432">
        <v>0.99989349999999999</v>
      </c>
      <c r="N6432">
        <v>-1.1396160000000001E-2</v>
      </c>
      <c r="O6432">
        <v>-9.1163279999999999E-3</v>
      </c>
      <c r="P6432">
        <v>0.98809119999999995</v>
      </c>
      <c r="Q6432">
        <v>-0.13146620000000001</v>
      </c>
      <c r="R6432">
        <v>7.9952199999999904E-2</v>
      </c>
      <c r="S6432">
        <v>2.9863279999999999</v>
      </c>
      <c r="T6432">
        <v>-9.9391939999999998E-2</v>
      </c>
      <c r="U6432">
        <v>0.44934079999999899</v>
      </c>
      <c r="V6432">
        <v>-8.886732E-2</v>
      </c>
      <c r="W6432">
        <v>-0.1202725</v>
      </c>
      <c r="X6432">
        <v>0.9887553</v>
      </c>
      <c r="Y6432">
        <v>-0.15768299999999999</v>
      </c>
      <c r="Z6432">
        <v>3.7109130000000001E-3</v>
      </c>
      <c r="AA6432">
        <v>0.98748279999999999</v>
      </c>
      <c r="AB6432">
        <v>16</v>
      </c>
      <c r="AC6432">
        <v>33.588299999999897</v>
      </c>
      <c r="AD6432">
        <v>-1.1207247769919999</v>
      </c>
      <c r="AE6432">
        <v>5.0670099999999998</v>
      </c>
      <c r="AF6432">
        <v>-5.3671788088288102</v>
      </c>
      <c r="AG6432">
        <v>-1.1207247769919999</v>
      </c>
      <c r="AH6432">
        <v>33.504237442593102</v>
      </c>
      <c r="AI6432">
        <v>91.891741780344205</v>
      </c>
      <c r="AJ6432">
        <v>99.101116183468804</v>
      </c>
      <c r="AK6432">
        <v>33.949912503589204</v>
      </c>
      <c r="AL6432">
        <v>96.907829867767902</v>
      </c>
      <c r="AM6432">
        <v>95.135828903467896</v>
      </c>
      <c r="AN6432">
        <v>0.99999995904915995</v>
      </c>
    </row>
    <row r="6433" spans="1:40" x14ac:dyDescent="0.25">
      <c r="A6433" t="str">
        <f>"20190303154938579"</f>
        <v>20190303154938579</v>
      </c>
      <c r="B6433" t="str">
        <f>"1551599378567293"</f>
        <v>1551599378567293</v>
      </c>
      <c r="C6433" t="s">
        <v>40</v>
      </c>
      <c r="D6433">
        <v>4.7594969999999996</v>
      </c>
      <c r="E6433">
        <v>0.47356110000000001</v>
      </c>
      <c r="F6433" t="s">
        <v>41</v>
      </c>
      <c r="G6433">
        <v>-354.16030000000001</v>
      </c>
      <c r="H6433" s="1">
        <v>-3.314064E-6</v>
      </c>
      <c r="I6433">
        <v>22.72259</v>
      </c>
      <c r="J6433">
        <v>-386.67509999999999</v>
      </c>
      <c r="K6433">
        <v>1.120703</v>
      </c>
      <c r="L6433">
        <v>17.834289999999999</v>
      </c>
      <c r="M6433">
        <v>0.9998996</v>
      </c>
      <c r="N6433">
        <v>-1.1205349999999999E-2</v>
      </c>
      <c r="O6433">
        <v>-8.6611540000000008E-3</v>
      </c>
      <c r="P6433">
        <v>0.98795679999999997</v>
      </c>
      <c r="Q6433">
        <v>-0.132219899999999</v>
      </c>
      <c r="R6433">
        <v>8.0368729999999999E-2</v>
      </c>
      <c r="S6433">
        <v>2.9862669999999998</v>
      </c>
      <c r="T6433">
        <v>-0.10264</v>
      </c>
      <c r="U6433">
        <v>0.44766240000000002</v>
      </c>
      <c r="V6433">
        <v>-8.8829199999999997E-2</v>
      </c>
      <c r="W6433">
        <v>-0.12121800000000001</v>
      </c>
      <c r="X6433">
        <v>0.9886433</v>
      </c>
      <c r="Y6433">
        <v>-0.1566881</v>
      </c>
      <c r="Z6433">
        <v>3.7596299999999999E-3</v>
      </c>
      <c r="AA6433">
        <v>0.98764099999999999</v>
      </c>
      <c r="AB6433">
        <v>16</v>
      </c>
      <c r="AC6433">
        <v>32.514799999999902</v>
      </c>
      <c r="AD6433">
        <v>-1.1207063140639999</v>
      </c>
      <c r="AE6433">
        <v>4.8883000000000001</v>
      </c>
      <c r="AF6433">
        <v>-5.1637510105807598</v>
      </c>
      <c r="AG6433">
        <v>-1.1207063140639999</v>
      </c>
      <c r="AH6433">
        <v>32.433559422437</v>
      </c>
      <c r="AI6433">
        <v>91.954410267261196</v>
      </c>
      <c r="AJ6433">
        <v>99.046144567366895</v>
      </c>
      <c r="AK6433">
        <v>32.8611637643953</v>
      </c>
      <c r="AL6433">
        <v>96.962402005708</v>
      </c>
      <c r="AM6433">
        <v>95.134216106913499</v>
      </c>
      <c r="AN6433">
        <v>1.00000000246576</v>
      </c>
    </row>
    <row r="6434" spans="1:40" x14ac:dyDescent="0.25">
      <c r="A6434" t="str">
        <f>"20190303154938598"</f>
        <v>20190303154938598</v>
      </c>
      <c r="B6434" t="str">
        <f>"1551599378586812"</f>
        <v>1551599378586812</v>
      </c>
      <c r="C6434" t="s">
        <v>40</v>
      </c>
      <c r="D6434">
        <v>4.725047</v>
      </c>
      <c r="E6434">
        <v>0.47404619999999997</v>
      </c>
      <c r="F6434" t="s">
        <v>41</v>
      </c>
      <c r="G6434">
        <v>-354.42750000000001</v>
      </c>
      <c r="H6434" s="1">
        <v>-3.1841799999999998E-6</v>
      </c>
      <c r="I6434">
        <v>22.665330000000001</v>
      </c>
      <c r="J6434">
        <v>-386.53739999999999</v>
      </c>
      <c r="K6434">
        <v>1.120679</v>
      </c>
      <c r="L6434">
        <v>17.83389</v>
      </c>
      <c r="M6434">
        <v>0.99990849999999998</v>
      </c>
      <c r="N6434">
        <v>-1.0934640000000001E-2</v>
      </c>
      <c r="O6434">
        <v>-7.9758629999999997E-3</v>
      </c>
      <c r="P6434">
        <v>0.98767890000000003</v>
      </c>
      <c r="Q6434">
        <v>-0.13415450000000001</v>
      </c>
      <c r="R6434">
        <v>8.0580170000000007E-2</v>
      </c>
      <c r="S6434">
        <v>2.9862980000000001</v>
      </c>
      <c r="T6434">
        <v>-0.1037835</v>
      </c>
      <c r="U6434">
        <v>0.4473877</v>
      </c>
      <c r="V6434">
        <v>-8.8357119999999997E-2</v>
      </c>
      <c r="W6434">
        <v>-0.1234248</v>
      </c>
      <c r="X6434">
        <v>0.98841259999999997</v>
      </c>
      <c r="Y6434">
        <v>-0.1559198</v>
      </c>
      <c r="Z6434">
        <v>3.7399809999999999E-3</v>
      </c>
      <c r="AA6434">
        <v>0.98776260000000005</v>
      </c>
      <c r="AB6434">
        <v>16</v>
      </c>
      <c r="AC6434">
        <v>32.109899999999897</v>
      </c>
      <c r="AD6434">
        <v>-1.1206821841800001</v>
      </c>
      <c r="AE6434">
        <v>4.83143999999999</v>
      </c>
      <c r="AF6434">
        <v>-5.0813531324098902</v>
      </c>
      <c r="AG6434">
        <v>-1.1206821841800001</v>
      </c>
      <c r="AH6434">
        <v>32.032186384474599</v>
      </c>
      <c r="AI6434">
        <v>91.979014672014301</v>
      </c>
      <c r="AJ6434">
        <v>99.013877211436395</v>
      </c>
      <c r="AK6434">
        <v>32.452073012119101</v>
      </c>
      <c r="AL6434">
        <v>97.089798596863901</v>
      </c>
      <c r="AM6434">
        <v>95.108260862314395</v>
      </c>
      <c r="AN6434">
        <v>1.00000006487424</v>
      </c>
    </row>
    <row r="6435" spans="1:40" x14ac:dyDescent="0.25">
      <c r="A6435" t="str">
        <f>"20190303154938623"</f>
        <v>20190303154938623</v>
      </c>
      <c r="B6435" t="str">
        <f>"1551599378617069"</f>
        <v>1551599378617069</v>
      </c>
      <c r="C6435" t="s">
        <v>40</v>
      </c>
      <c r="D6435">
        <v>4.7524819999999997</v>
      </c>
      <c r="E6435">
        <v>0.47466409999999998</v>
      </c>
      <c r="F6435" t="s">
        <v>41</v>
      </c>
      <c r="G6435">
        <v>-355.56630000000001</v>
      </c>
      <c r="H6435" s="1">
        <v>-2.635829E-6</v>
      </c>
      <c r="I6435">
        <v>22.4405</v>
      </c>
      <c r="J6435">
        <v>-386.35700000000003</v>
      </c>
      <c r="K6435">
        <v>1.1206449999999999</v>
      </c>
      <c r="L6435">
        <v>17.833500000000001</v>
      </c>
      <c r="M6435">
        <v>0.999919</v>
      </c>
      <c r="N6435">
        <v>-1.058685E-2</v>
      </c>
      <c r="O6435">
        <v>-7.0699469999999896E-3</v>
      </c>
      <c r="P6435">
        <v>0.98738809999999999</v>
      </c>
      <c r="Q6435">
        <v>-0.13600889999999999</v>
      </c>
      <c r="R6435">
        <v>8.1034560000000005E-2</v>
      </c>
      <c r="S6435">
        <v>2.9864809999999999</v>
      </c>
      <c r="T6435">
        <v>-0.10806499999999999</v>
      </c>
      <c r="U6435">
        <v>0.44421389999999999</v>
      </c>
      <c r="V6435">
        <v>-8.7909849999999998E-2</v>
      </c>
      <c r="W6435">
        <v>-0.1256273</v>
      </c>
      <c r="X6435">
        <v>0.98817489999999997</v>
      </c>
      <c r="Y6435">
        <v>-0.15398239999999999</v>
      </c>
      <c r="Z6435">
        <v>3.7696499999999998E-3</v>
      </c>
      <c r="AA6435">
        <v>0.98806640000000001</v>
      </c>
      <c r="AB6435">
        <v>16</v>
      </c>
      <c r="AC6435">
        <v>30.790699999999902</v>
      </c>
      <c r="AD6435">
        <v>-1.1206476358290001</v>
      </c>
      <c r="AE6435">
        <v>4.6069999999999904</v>
      </c>
      <c r="AF6435">
        <v>-4.8183428286886798</v>
      </c>
      <c r="AG6435">
        <v>-1.1206476358290001</v>
      </c>
      <c r="AH6435">
        <v>30.7175584738468</v>
      </c>
      <c r="AI6435">
        <v>92.064138600845794</v>
      </c>
      <c r="AJ6435">
        <v>98.914749069421006</v>
      </c>
      <c r="AK6435">
        <v>31.113352074835401</v>
      </c>
      <c r="AL6435">
        <v>97.216983021961298</v>
      </c>
      <c r="AM6435">
        <v>95.083754434916997</v>
      </c>
      <c r="AN6435">
        <v>0.99999999661116101</v>
      </c>
    </row>
    <row r="6436" spans="1:40" x14ac:dyDescent="0.25">
      <c r="A6436" t="str">
        <f>"20190303154938645"</f>
        <v>20190303154938645</v>
      </c>
      <c r="B6436" t="str">
        <f>"1551599378637565"</f>
        <v>1551599378637565</v>
      </c>
      <c r="C6436" t="s">
        <v>40</v>
      </c>
      <c r="D6436">
        <v>4.7727550000000001</v>
      </c>
      <c r="E6436">
        <v>0.4749951</v>
      </c>
      <c r="F6436" t="s">
        <v>41</v>
      </c>
      <c r="G6436">
        <v>-356.16410000000002</v>
      </c>
      <c r="H6436" s="1">
        <v>-2.3383499999999998E-6</v>
      </c>
      <c r="I6436">
        <v>22.286370000000002</v>
      </c>
      <c r="J6436">
        <v>-386.18830000000003</v>
      </c>
      <c r="K6436">
        <v>1.1206100000000001</v>
      </c>
      <c r="L6436">
        <v>17.83325</v>
      </c>
      <c r="M6436">
        <v>0.99992809999999999</v>
      </c>
      <c r="N6436">
        <v>-1.026346E-2</v>
      </c>
      <c r="O6436">
        <v>-6.2199239999999999E-3</v>
      </c>
      <c r="P6436">
        <v>0.987124</v>
      </c>
      <c r="Q6436">
        <v>-0.13771069999999999</v>
      </c>
      <c r="R6436">
        <v>8.137722E-2</v>
      </c>
      <c r="S6436">
        <v>2.9869080000000001</v>
      </c>
      <c r="T6436">
        <v>-0.11086310000000001</v>
      </c>
      <c r="U6436">
        <v>0.4405212</v>
      </c>
      <c r="V6436">
        <v>-8.7407380000000007E-2</v>
      </c>
      <c r="W6436">
        <v>-0.12765180000000001</v>
      </c>
      <c r="X6436">
        <v>0.98795999999999995</v>
      </c>
      <c r="Y6436">
        <v>-0.15192320000000001</v>
      </c>
      <c r="Z6436">
        <v>3.7535720000000002E-3</v>
      </c>
      <c r="AA6436">
        <v>0.98838519999999996</v>
      </c>
      <c r="AB6436">
        <v>17</v>
      </c>
      <c r="AC6436">
        <v>30.0242</v>
      </c>
      <c r="AD6436">
        <v>-1.12061233835</v>
      </c>
      <c r="AE6436">
        <v>4.4531200000000002</v>
      </c>
      <c r="AF6436">
        <v>-4.6334761601951797</v>
      </c>
      <c r="AG6436">
        <v>-1.12061233835</v>
      </c>
      <c r="AH6436">
        <v>29.955088779973099</v>
      </c>
      <c r="AI6436">
        <v>92.117265692387306</v>
      </c>
      <c r="AJ6436">
        <v>98.792870641732506</v>
      </c>
      <c r="AK6436">
        <v>30.332032855646698</v>
      </c>
      <c r="AL6436">
        <v>97.333919828743106</v>
      </c>
      <c r="AM6436">
        <v>95.055941806364899</v>
      </c>
      <c r="AN6436">
        <v>0.99999999686085195</v>
      </c>
    </row>
    <row r="6437" spans="1:40" x14ac:dyDescent="0.25">
      <c r="A6437" t="str">
        <f>"20190303154938666"</f>
        <v>20190303154938666</v>
      </c>
      <c r="B6437" t="str">
        <f>"1551599378657591"</f>
        <v>1551599378657591</v>
      </c>
      <c r="C6437" t="s">
        <v>40</v>
      </c>
      <c r="D6437">
        <v>4.7186260000000004</v>
      </c>
      <c r="E6437">
        <v>0.47531620000000002</v>
      </c>
      <c r="F6437" t="s">
        <v>41</v>
      </c>
      <c r="G6437">
        <v>-356.84350000000001</v>
      </c>
      <c r="H6437" s="1">
        <v>-2.0087860000000002E-6</v>
      </c>
      <c r="I6437">
        <v>22.143139999999999</v>
      </c>
      <c r="J6437">
        <v>-386.03559999999999</v>
      </c>
      <c r="K6437">
        <v>1.1205769999999999</v>
      </c>
      <c r="L6437">
        <v>17.833220000000001</v>
      </c>
      <c r="M6437">
        <v>0.99993549999999998</v>
      </c>
      <c r="N6437">
        <v>-9.9787890000000001E-3</v>
      </c>
      <c r="O6437">
        <v>-5.4507430000000001E-3</v>
      </c>
      <c r="P6437">
        <v>0.98688620000000005</v>
      </c>
      <c r="Q6437">
        <v>-0.1390255</v>
      </c>
      <c r="R6437">
        <v>8.2021990000000003E-2</v>
      </c>
      <c r="S6437">
        <v>2.9870610000000002</v>
      </c>
      <c r="T6437">
        <v>-0.1140693</v>
      </c>
      <c r="U6437">
        <v>0.43872070000000002</v>
      </c>
      <c r="V6437">
        <v>-8.7288809999999994E-2</v>
      </c>
      <c r="W6437">
        <v>-0.1292507</v>
      </c>
      <c r="X6437">
        <v>0.98776260000000005</v>
      </c>
      <c r="Y6437">
        <v>-0.15056749999999999</v>
      </c>
      <c r="Z6437">
        <v>3.76707E-3</v>
      </c>
      <c r="AA6437">
        <v>0.98859260000000004</v>
      </c>
      <c r="AB6437">
        <v>17</v>
      </c>
      <c r="AC6437">
        <v>29.1920999999999</v>
      </c>
      <c r="AD6437">
        <v>-1.1205790087859999</v>
      </c>
      <c r="AE6437">
        <v>4.3099199999999902</v>
      </c>
      <c r="AF6437">
        <v>-4.4625471512550297</v>
      </c>
      <c r="AG6437">
        <v>-1.1205790087859999</v>
      </c>
      <c r="AH6437">
        <v>29.126170588179001</v>
      </c>
      <c r="AI6437">
        <v>92.177880018616605</v>
      </c>
      <c r="AJ6437">
        <v>98.710795926578896</v>
      </c>
      <c r="AK6437">
        <v>29.4873504663239</v>
      </c>
      <c r="AL6437">
        <v>97.426295166570299</v>
      </c>
      <c r="AM6437">
        <v>95.050122615240397</v>
      </c>
      <c r="AN6437">
        <v>1.0000000168802301</v>
      </c>
    </row>
    <row r="6438" spans="1:40" x14ac:dyDescent="0.25">
      <c r="A6438" t="str">
        <f>"20190303154938679"</f>
        <v>20190303154938679</v>
      </c>
      <c r="B6438" t="str">
        <f>"1551599378667352"</f>
        <v>1551599378667352</v>
      </c>
      <c r="C6438" t="s">
        <v>40</v>
      </c>
      <c r="D6438">
        <v>4.7463009999999999</v>
      </c>
      <c r="E6438">
        <v>0.47544769999999997</v>
      </c>
      <c r="F6438" t="s">
        <v>41</v>
      </c>
      <c r="G6438">
        <v>-357.01029999999997</v>
      </c>
      <c r="H6438" s="1">
        <v>-1.9223659999999999E-6</v>
      </c>
      <c r="I6438">
        <v>22.087319999999998</v>
      </c>
      <c r="J6438">
        <v>-385.935</v>
      </c>
      <c r="K6438">
        <v>1.120557</v>
      </c>
      <c r="L6438">
        <v>17.833189999999998</v>
      </c>
      <c r="M6438">
        <v>0.99993980000000005</v>
      </c>
      <c r="N6438">
        <v>-9.7969939999999998E-3</v>
      </c>
      <c r="O6438">
        <v>-4.9443380000000004E-3</v>
      </c>
      <c r="P6438">
        <v>0.98677190000000004</v>
      </c>
      <c r="Q6438">
        <v>-0.13950419999999999</v>
      </c>
      <c r="R6438">
        <v>8.2582329999999995E-2</v>
      </c>
      <c r="S6438">
        <v>2.987244</v>
      </c>
      <c r="T6438">
        <v>-0.1153288</v>
      </c>
      <c r="U6438">
        <v>0.43783569999999999</v>
      </c>
      <c r="V6438">
        <v>-8.7347159999999993E-2</v>
      </c>
      <c r="W6438">
        <v>-0.12991040000000001</v>
      </c>
      <c r="X6438">
        <v>0.98767090000000002</v>
      </c>
      <c r="Y6438">
        <v>-0.14977009999999999</v>
      </c>
      <c r="Z6438">
        <v>3.754233E-3</v>
      </c>
      <c r="AA6438">
        <v>0.98871370000000003</v>
      </c>
      <c r="AB6438">
        <v>17</v>
      </c>
      <c r="AC6438">
        <v>28.924700000000001</v>
      </c>
      <c r="AD6438">
        <v>-1.120558922366</v>
      </c>
      <c r="AE6438">
        <v>4.25413</v>
      </c>
      <c r="AF6438">
        <v>-4.3906482555039696</v>
      </c>
      <c r="AG6438">
        <v>-1.120558922366</v>
      </c>
      <c r="AH6438">
        <v>28.860913334231999</v>
      </c>
      <c r="AI6438">
        <v>92.198192575797904</v>
      </c>
      <c r="AJ6438">
        <v>98.650155469602296</v>
      </c>
      <c r="AK6438">
        <v>29.214478651656702</v>
      </c>
      <c r="AL6438">
        <v>97.4644145384962</v>
      </c>
      <c r="AM6438">
        <v>95.053947757914202</v>
      </c>
      <c r="AN6438">
        <v>1.0000000225475101</v>
      </c>
    </row>
    <row r="6439" spans="1:40" x14ac:dyDescent="0.25">
      <c r="A6439" t="str">
        <f>"20190303154938692"</f>
        <v>20190303154938692</v>
      </c>
      <c r="B6439" t="str">
        <f>"1551599378686872"</f>
        <v>1551599378686872</v>
      </c>
      <c r="C6439" t="s">
        <v>40</v>
      </c>
      <c r="D6439">
        <v>4.7321530000000003</v>
      </c>
      <c r="E6439">
        <v>0.47533969999999998</v>
      </c>
      <c r="F6439" t="s">
        <v>41</v>
      </c>
      <c r="G6439">
        <v>-356.95909999999998</v>
      </c>
      <c r="H6439" s="1">
        <v>-1.9438630000000002E-6</v>
      </c>
      <c r="I6439">
        <v>22.085509999999999</v>
      </c>
      <c r="J6439">
        <v>-385.83460000000002</v>
      </c>
      <c r="K6439">
        <v>1.1205430000000001</v>
      </c>
      <c r="L6439">
        <v>17.83325</v>
      </c>
      <c r="M6439">
        <v>0.9999439</v>
      </c>
      <c r="N6439">
        <v>-9.6234449999999996E-3</v>
      </c>
      <c r="O6439">
        <v>-4.4404939999999997E-3</v>
      </c>
      <c r="P6439">
        <v>0.98669899999999999</v>
      </c>
      <c r="Q6439">
        <v>-0.1397381</v>
      </c>
      <c r="R6439">
        <v>8.3055799999999999E-2</v>
      </c>
      <c r="S6439">
        <v>2.987152</v>
      </c>
      <c r="T6439">
        <v>-0.11551980000000001</v>
      </c>
      <c r="U6439">
        <v>0.43838500000000002</v>
      </c>
      <c r="V6439">
        <v>-8.7322220000000006E-2</v>
      </c>
      <c r="W6439">
        <v>-0.1303165</v>
      </c>
      <c r="X6439">
        <v>0.98761960000000004</v>
      </c>
      <c r="Y6439">
        <v>-0.149454799999999</v>
      </c>
      <c r="Z6439">
        <v>3.7250030000000002E-3</v>
      </c>
      <c r="AA6439">
        <v>0.98876149999999996</v>
      </c>
      <c r="AB6439">
        <v>17</v>
      </c>
      <c r="AC6439">
        <v>28.875499999999999</v>
      </c>
      <c r="AD6439">
        <v>-1.120544943863</v>
      </c>
      <c r="AE6439">
        <v>4.2522599999999997</v>
      </c>
      <c r="AF6439">
        <v>-4.3739984418539004</v>
      </c>
      <c r="AG6439">
        <v>-1.120544943863</v>
      </c>
      <c r="AH6439">
        <v>28.813862155450298</v>
      </c>
      <c r="AI6439">
        <v>92.201858743420601</v>
      </c>
      <c r="AJ6439">
        <v>98.631707148264098</v>
      </c>
      <c r="AK6439">
        <v>29.165495635319601</v>
      </c>
      <c r="AL6439">
        <v>97.487881886729397</v>
      </c>
      <c r="AM6439">
        <v>95.052773272652203</v>
      </c>
      <c r="AN6439">
        <v>1.0000000172910599</v>
      </c>
    </row>
    <row r="6440" spans="1:40" x14ac:dyDescent="0.25">
      <c r="A6440" t="str">
        <f>"20190303154938712"</f>
        <v>20190303154938712</v>
      </c>
      <c r="B6440" t="str">
        <f>"1551599378707367"</f>
        <v>1551599378707367</v>
      </c>
      <c r="C6440" t="s">
        <v>40</v>
      </c>
      <c r="D6440">
        <v>4.7478530000000001</v>
      </c>
      <c r="E6440">
        <v>0.47533209999999998</v>
      </c>
      <c r="F6440" t="s">
        <v>41</v>
      </c>
      <c r="G6440">
        <v>-356.63909999999998</v>
      </c>
      <c r="H6440" s="1">
        <v>-2.0954580000000002E-6</v>
      </c>
      <c r="I6440">
        <v>22.139279999999999</v>
      </c>
      <c r="J6440">
        <v>-385.69279999999998</v>
      </c>
      <c r="K6440">
        <v>1.1205210000000001</v>
      </c>
      <c r="L6440">
        <v>17.833469999999998</v>
      </c>
      <c r="M6440">
        <v>0.99994899999999998</v>
      </c>
      <c r="N6440">
        <v>-9.3879659999999993E-3</v>
      </c>
      <c r="O6440">
        <v>-3.7302849999999999E-3</v>
      </c>
      <c r="P6440">
        <v>0.98663820000000002</v>
      </c>
      <c r="Q6440">
        <v>-0.13993269999999999</v>
      </c>
      <c r="R6440">
        <v>8.345176E-2</v>
      </c>
      <c r="S6440">
        <v>2.987152</v>
      </c>
      <c r="T6440">
        <v>-0.1146491</v>
      </c>
      <c r="U6440">
        <v>0.44058229999999998</v>
      </c>
      <c r="V6440">
        <v>-8.7016339999999998E-2</v>
      </c>
      <c r="W6440">
        <v>-0.1307442</v>
      </c>
      <c r="X6440">
        <v>0.98759010000000003</v>
      </c>
      <c r="Y6440">
        <v>-0.149467299999999</v>
      </c>
      <c r="Z6440">
        <v>3.6651079999999998E-3</v>
      </c>
      <c r="AA6440">
        <v>0.98875990000000002</v>
      </c>
      <c r="AB6440">
        <v>17</v>
      </c>
      <c r="AC6440">
        <v>29.0536999999999</v>
      </c>
      <c r="AD6440">
        <v>-1.1205230954580001</v>
      </c>
      <c r="AE6440">
        <v>4.3058099999999904</v>
      </c>
      <c r="AF6440">
        <v>-4.4077480496233399</v>
      </c>
      <c r="AG6440">
        <v>-1.1205230954580001</v>
      </c>
      <c r="AH6440">
        <v>28.995233544225702</v>
      </c>
      <c r="AI6440">
        <v>92.187986860470701</v>
      </c>
      <c r="AJ6440">
        <v>98.643715271035205</v>
      </c>
      <c r="AK6440">
        <v>29.349742471793601</v>
      </c>
      <c r="AL6440">
        <v>97.512598533414703</v>
      </c>
      <c r="AM6440">
        <v>95.035314746873198</v>
      </c>
      <c r="AN6440">
        <v>1.00000004743932</v>
      </c>
    </row>
    <row r="6441" spans="1:40" x14ac:dyDescent="0.25">
      <c r="A6441" t="str">
        <f>"20190303154938725"</f>
        <v>20190303154938725</v>
      </c>
      <c r="B6441" t="str">
        <f>"1551599378717128"</f>
        <v>1551599378717128</v>
      </c>
      <c r="C6441" t="s">
        <v>40</v>
      </c>
      <c r="D6441">
        <v>4.7545039999999998</v>
      </c>
      <c r="E6441">
        <v>0.47547669999999997</v>
      </c>
      <c r="F6441" t="s">
        <v>41</v>
      </c>
      <c r="G6441">
        <v>-356.36849999999998</v>
      </c>
      <c r="H6441" s="1">
        <v>-2.2194249999999999E-6</v>
      </c>
      <c r="I6441">
        <v>22.168970000000002</v>
      </c>
      <c r="J6441">
        <v>-385.58330000000001</v>
      </c>
      <c r="K6441">
        <v>1.1205080000000001</v>
      </c>
      <c r="L6441">
        <v>17.833679999999902</v>
      </c>
      <c r="M6441">
        <v>0.99995259999999997</v>
      </c>
      <c r="N6441">
        <v>-9.2160550000000008E-3</v>
      </c>
      <c r="O6441">
        <v>-3.1834519999999998E-3</v>
      </c>
      <c r="P6441">
        <v>0.98658109999999999</v>
      </c>
      <c r="Q6441">
        <v>-0.13999710000000001</v>
      </c>
      <c r="R6441">
        <v>8.4015370000000006E-2</v>
      </c>
      <c r="S6441">
        <v>2.987152</v>
      </c>
      <c r="T6441">
        <v>-0.11414340000000001</v>
      </c>
      <c r="U6441">
        <v>0.4416504</v>
      </c>
      <c r="V6441">
        <v>-8.7039060000000001E-2</v>
      </c>
      <c r="W6441">
        <v>-0.13097899999999901</v>
      </c>
      <c r="X6441">
        <v>0.98755689999999996</v>
      </c>
      <c r="Y6441">
        <v>-0.14927449999999901</v>
      </c>
      <c r="Z6441">
        <v>3.619241E-3</v>
      </c>
      <c r="AA6441">
        <v>0.98878909999999998</v>
      </c>
      <c r="AB6441">
        <v>17</v>
      </c>
      <c r="AC6441">
        <v>29.2148</v>
      </c>
      <c r="AD6441">
        <v>-1.1205102194249901</v>
      </c>
      <c r="AE6441">
        <v>4.3352899999999996</v>
      </c>
      <c r="AF6441">
        <v>-4.4219112073608198</v>
      </c>
      <c r="AG6441">
        <v>-1.1205102194249901</v>
      </c>
      <c r="AH6441">
        <v>29.1588803712241</v>
      </c>
      <c r="AI6441">
        <v>92.175812726930403</v>
      </c>
      <c r="AJ6441">
        <v>98.623137505061194</v>
      </c>
      <c r="AK6441">
        <v>29.5135417457982</v>
      </c>
      <c r="AL6441">
        <v>97.526168907669799</v>
      </c>
      <c r="AM6441">
        <v>95.036791159700599</v>
      </c>
      <c r="AN6441">
        <v>0.99999996357214604</v>
      </c>
    </row>
    <row r="6442" spans="1:40" x14ac:dyDescent="0.25">
      <c r="A6442" t="str">
        <f>"20190303154938744"</f>
        <v>20190303154938744</v>
      </c>
      <c r="B6442" t="str">
        <f>"1551599378737623"</f>
        <v>1551599378737623</v>
      </c>
      <c r="C6442" t="s">
        <v>40</v>
      </c>
      <c r="D6442">
        <v>4.7330379999999996</v>
      </c>
      <c r="E6442">
        <v>0.47573969999999999</v>
      </c>
      <c r="F6442" t="s">
        <v>41</v>
      </c>
      <c r="G6442">
        <v>-356.02190000000002</v>
      </c>
      <c r="H6442" s="1">
        <v>-2.3788099999999998E-6</v>
      </c>
      <c r="I6442">
        <v>22.209199999999999</v>
      </c>
      <c r="J6442">
        <v>-385.44069999999999</v>
      </c>
      <c r="K6442">
        <v>1.120492</v>
      </c>
      <c r="L6442">
        <v>17.834009999999999</v>
      </c>
      <c r="M6442">
        <v>0.99995650000000003</v>
      </c>
      <c r="N6442">
        <v>-9.0076300000000008E-3</v>
      </c>
      <c r="O6442">
        <v>-2.4731670000000001E-3</v>
      </c>
      <c r="P6442">
        <v>0.98650629999999995</v>
      </c>
      <c r="Q6442">
        <v>-0.13997850000000001</v>
      </c>
      <c r="R6442">
        <v>8.4923929999999995E-2</v>
      </c>
      <c r="S6442">
        <v>2.9870610000000002</v>
      </c>
      <c r="T6442">
        <v>-0.1132233</v>
      </c>
      <c r="U6442">
        <v>0.4421387</v>
      </c>
      <c r="V6442">
        <v>-8.7245939999999994E-2</v>
      </c>
      <c r="W6442">
        <v>-0.13116720000000001</v>
      </c>
      <c r="X6442">
        <v>0.98751369999999905</v>
      </c>
      <c r="Y6442">
        <v>-0.14873800000000001</v>
      </c>
      <c r="Z6442">
        <v>3.547545E-3</v>
      </c>
      <c r="AA6442">
        <v>0.98887029999999998</v>
      </c>
      <c r="AB6442">
        <v>17</v>
      </c>
      <c r="AC6442">
        <v>29.418799999999901</v>
      </c>
      <c r="AD6442">
        <v>-1.1204943788099999</v>
      </c>
      <c r="AE6442">
        <v>4.3751899999999999</v>
      </c>
      <c r="AF6442">
        <v>-4.4416332395180902</v>
      </c>
      <c r="AG6442">
        <v>-1.1204943788099999</v>
      </c>
      <c r="AH6442">
        <v>29.366210097541099</v>
      </c>
      <c r="AI6442">
        <v>92.160562797362303</v>
      </c>
      <c r="AJ6442">
        <v>98.600784956824299</v>
      </c>
      <c r="AK6442">
        <v>29.721337604156801</v>
      </c>
      <c r="AL6442">
        <v>97.537045550708598</v>
      </c>
      <c r="AM6442">
        <v>95.0489208458592</v>
      </c>
      <c r="AN6442">
        <v>0.99999999804500606</v>
      </c>
    </row>
    <row r="6443" spans="1:40" x14ac:dyDescent="0.25">
      <c r="A6443" t="str">
        <f>"20190303154938756"</f>
        <v>20190303154938756</v>
      </c>
      <c r="B6443" t="str">
        <f>"1551599378747383"</f>
        <v>1551599378747383</v>
      </c>
      <c r="C6443" t="s">
        <v>40</v>
      </c>
      <c r="D6443">
        <v>4.7435980000000004</v>
      </c>
      <c r="E6443">
        <v>0.47582869999999999</v>
      </c>
      <c r="F6443" t="s">
        <v>41</v>
      </c>
      <c r="G6443">
        <v>-355.34870000000001</v>
      </c>
      <c r="H6443" s="1">
        <v>-2.6906370000000001E-6</v>
      </c>
      <c r="I6443">
        <v>22.295719999999999</v>
      </c>
      <c r="J6443">
        <v>-385.34640000000002</v>
      </c>
      <c r="K6443">
        <v>1.1204829999999999</v>
      </c>
      <c r="L6443">
        <v>17.834350000000001</v>
      </c>
      <c r="M6443">
        <v>0.99995860000000003</v>
      </c>
      <c r="N6443">
        <v>-8.8789990000000003E-3</v>
      </c>
      <c r="O6443">
        <v>-2.0042660000000002E-3</v>
      </c>
      <c r="P6443">
        <v>0.98645970000000005</v>
      </c>
      <c r="Q6443">
        <v>-0.1399716</v>
      </c>
      <c r="R6443">
        <v>8.5470560000000001E-2</v>
      </c>
      <c r="S6443">
        <v>2.9870909999999999</v>
      </c>
      <c r="T6443">
        <v>-0.11122659999999999</v>
      </c>
      <c r="U6443">
        <v>0.44290160000000001</v>
      </c>
      <c r="V6443">
        <v>-8.7328810000000007E-2</v>
      </c>
      <c r="W6443">
        <v>-0.13128790000000001</v>
      </c>
      <c r="X6443">
        <v>0.98749039999999999</v>
      </c>
      <c r="Y6443">
        <v>-0.14852479999999901</v>
      </c>
      <c r="Z6443">
        <v>3.4690049999999998E-3</v>
      </c>
      <c r="AA6443">
        <v>0.98890259999999996</v>
      </c>
      <c r="AB6443">
        <v>17</v>
      </c>
      <c r="AC6443">
        <v>29.997699999999998</v>
      </c>
      <c r="AD6443">
        <v>-1.120485690637</v>
      </c>
      <c r="AE6443">
        <v>4.4613699999999996</v>
      </c>
      <c r="AF6443">
        <v>-4.5153233222982001</v>
      </c>
      <c r="AG6443">
        <v>-1.120485690637</v>
      </c>
      <c r="AH6443">
        <v>29.947818591862799</v>
      </c>
      <c r="AI6443">
        <v>92.118774297171399</v>
      </c>
      <c r="AJ6443">
        <v>98.574077366358296</v>
      </c>
      <c r="AK6443">
        <v>30.307020165284101</v>
      </c>
      <c r="AL6443">
        <v>97.544020992561002</v>
      </c>
      <c r="AM6443">
        <v>95.053810333476605</v>
      </c>
      <c r="AN6443">
        <v>1.00000006191729</v>
      </c>
    </row>
    <row r="6444" spans="1:40" x14ac:dyDescent="0.25">
      <c r="A6444" t="str">
        <f>"20190303154938776"</f>
        <v>20190303154938776</v>
      </c>
      <c r="B6444" t="str">
        <f>"1551599378767235"</f>
        <v>1551599378767235</v>
      </c>
      <c r="C6444" t="s">
        <v>40</v>
      </c>
      <c r="D6444">
        <v>4.7347130000000002</v>
      </c>
      <c r="E6444">
        <v>0.47609469999999998</v>
      </c>
      <c r="F6444" t="s">
        <v>41</v>
      </c>
      <c r="G6444">
        <v>-355.01850000000002</v>
      </c>
      <c r="H6444" s="1">
        <v>-2.844553E-6</v>
      </c>
      <c r="I6444">
        <v>22.341709999999999</v>
      </c>
      <c r="J6444">
        <v>-385.19479999999999</v>
      </c>
      <c r="K6444">
        <v>1.120468</v>
      </c>
      <c r="L6444">
        <v>17.834869999999999</v>
      </c>
      <c r="M6444">
        <v>0.99996160000000001</v>
      </c>
      <c r="N6444">
        <v>-8.6871759999999996E-3</v>
      </c>
      <c r="O6444">
        <v>-1.251998E-3</v>
      </c>
      <c r="P6444">
        <v>0.98638930000000002</v>
      </c>
      <c r="Q6444">
        <v>-0.13978009999999999</v>
      </c>
      <c r="R6444">
        <v>8.6589749999999993E-2</v>
      </c>
      <c r="S6444">
        <v>2.9870000000000001</v>
      </c>
      <c r="T6444">
        <v>-0.1103568</v>
      </c>
      <c r="U6444">
        <v>0.44393919999999998</v>
      </c>
      <c r="V6444">
        <v>-8.7704580000000004E-2</v>
      </c>
      <c r="W6444">
        <v>-0.13128709999999999</v>
      </c>
      <c r="X6444">
        <v>0.98745720000000003</v>
      </c>
      <c r="Y6444">
        <v>-0.14812429999999999</v>
      </c>
      <c r="Z6444">
        <v>3.402778E-3</v>
      </c>
      <c r="AA6444">
        <v>0.98896289999999998</v>
      </c>
      <c r="AB6444">
        <v>17</v>
      </c>
      <c r="AC6444">
        <v>30.176299999999902</v>
      </c>
      <c r="AD6444">
        <v>-1.1204708445530001</v>
      </c>
      <c r="AE6444">
        <v>4.5068399999999897</v>
      </c>
      <c r="AF6444">
        <v>-4.5384978632874198</v>
      </c>
      <c r="AG6444">
        <v>-1.1204708445530001</v>
      </c>
      <c r="AH6444">
        <v>30.129999768613999</v>
      </c>
      <c r="AI6444">
        <v>92.105990992272595</v>
      </c>
      <c r="AJ6444">
        <v>98.566094135644093</v>
      </c>
      <c r="AK6444">
        <v>30.4904953030488</v>
      </c>
      <c r="AL6444">
        <v>97.543974778582097</v>
      </c>
      <c r="AM6444">
        <v>95.075612951714803</v>
      </c>
      <c r="AN6444">
        <v>1.0000000589056099</v>
      </c>
    </row>
    <row r="6445" spans="1:40" x14ac:dyDescent="0.25">
      <c r="A6445" t="str">
        <f>"20190303154938788"</f>
        <v>20190303154938788</v>
      </c>
      <c r="B6445" t="str">
        <f>"1551599378777971"</f>
        <v>1551599378777971</v>
      </c>
      <c r="C6445" t="s">
        <v>40</v>
      </c>
      <c r="D6445">
        <v>4.7628380000000003</v>
      </c>
      <c r="E6445">
        <v>0.47619210000000001</v>
      </c>
      <c r="F6445" t="s">
        <v>41</v>
      </c>
      <c r="G6445">
        <v>-354.21350000000001</v>
      </c>
      <c r="H6445" s="1">
        <v>-3.2197439999999998E-6</v>
      </c>
      <c r="I6445">
        <v>22.453900000000001</v>
      </c>
      <c r="J6445">
        <v>-385.10520000000002</v>
      </c>
      <c r="K6445">
        <v>1.120466</v>
      </c>
      <c r="L6445">
        <v>17.8353</v>
      </c>
      <c r="M6445">
        <v>0.99996289999999999</v>
      </c>
      <c r="N6445">
        <v>-8.5833190000000007E-3</v>
      </c>
      <c r="O6445">
        <v>-8.0836630000000003E-4</v>
      </c>
      <c r="P6445">
        <v>0.98636780000000002</v>
      </c>
      <c r="Q6445">
        <v>-0.1395516</v>
      </c>
      <c r="R6445">
        <v>8.7201319999999999E-2</v>
      </c>
      <c r="S6445">
        <v>2.9870000000000001</v>
      </c>
      <c r="T6445">
        <v>-0.1080281</v>
      </c>
      <c r="U6445">
        <v>0.44534299999999999</v>
      </c>
      <c r="V6445">
        <v>-8.7878380000000006E-2</v>
      </c>
      <c r="W6445">
        <v>-0.13116159999999999</v>
      </c>
      <c r="X6445">
        <v>0.98745830000000001</v>
      </c>
      <c r="Y6445">
        <v>-0.14814539999999901</v>
      </c>
      <c r="Z6445">
        <v>3.3250530000000001E-3</v>
      </c>
      <c r="AA6445">
        <v>0.98895999999999995</v>
      </c>
      <c r="AB6445">
        <v>17</v>
      </c>
      <c r="AC6445">
        <v>30.8917</v>
      </c>
      <c r="AD6445">
        <v>-1.120469219744</v>
      </c>
      <c r="AE6445">
        <v>4.6185999999999998</v>
      </c>
      <c r="AF6445">
        <v>-4.6376034913219604</v>
      </c>
      <c r="AG6445">
        <v>-1.120469219744</v>
      </c>
      <c r="AH6445">
        <v>30.848260314841902</v>
      </c>
      <c r="AI6445">
        <v>92.0570845314287</v>
      </c>
      <c r="AJ6445">
        <v>98.549591400878299</v>
      </c>
      <c r="AK6445">
        <v>31.215028141383499</v>
      </c>
      <c r="AL6445">
        <v>97.536722379039404</v>
      </c>
      <c r="AM6445">
        <v>95.085612723829598</v>
      </c>
      <c r="AN6445">
        <v>0.99999993461243497</v>
      </c>
    </row>
    <row r="6446" spans="1:40" x14ac:dyDescent="0.25">
      <c r="A6446" t="str">
        <f>"20190303154938801"</f>
        <v>20190303154938801</v>
      </c>
      <c r="B6446" t="str">
        <f>"1551599378797490"</f>
        <v>1551599378797490</v>
      </c>
      <c r="C6446" t="s">
        <v>40</v>
      </c>
      <c r="D6446">
        <v>4.7406230000000003</v>
      </c>
      <c r="E6446">
        <v>0.47649049999999998</v>
      </c>
      <c r="F6446" t="s">
        <v>41</v>
      </c>
      <c r="G6446">
        <v>-353.67880000000002</v>
      </c>
      <c r="H6446" s="1">
        <v>-3.4698210000000002E-6</v>
      </c>
      <c r="I6446">
        <v>22.53171</v>
      </c>
      <c r="J6446">
        <v>-385.00810000000001</v>
      </c>
      <c r="K6446">
        <v>1.1204609999999999</v>
      </c>
      <c r="L6446">
        <v>17.835719999999998</v>
      </c>
      <c r="M6446">
        <v>0.99996410000000002</v>
      </c>
      <c r="N6446">
        <v>-8.4749500000000002E-3</v>
      </c>
      <c r="O6446">
        <v>-3.2717139999999999E-4</v>
      </c>
      <c r="P6446">
        <v>0.986375</v>
      </c>
      <c r="Q6446">
        <v>-0.1391762</v>
      </c>
      <c r="R6446">
        <v>8.7720350000000002E-2</v>
      </c>
      <c r="S6446">
        <v>2.9869379999999999</v>
      </c>
      <c r="T6446">
        <v>-0.1064956</v>
      </c>
      <c r="U6446">
        <v>0.44638060000000002</v>
      </c>
      <c r="V6446">
        <v>-8.7922500000000001E-2</v>
      </c>
      <c r="W6446">
        <v>-0.13089319999999999</v>
      </c>
      <c r="X6446">
        <v>0.98749010000000004</v>
      </c>
      <c r="Y6446">
        <v>-0.14801199999999901</v>
      </c>
      <c r="Z6446">
        <v>3.2629579999999998E-3</v>
      </c>
      <c r="AA6446">
        <v>0.98898019999999998</v>
      </c>
      <c r="AB6446">
        <v>17</v>
      </c>
      <c r="AC6446">
        <v>31.3292999999999</v>
      </c>
      <c r="AD6446">
        <v>-1.120464469821</v>
      </c>
      <c r="AE6446">
        <v>4.6959899999999903</v>
      </c>
      <c r="AF6446">
        <v>-4.7003601787363998</v>
      </c>
      <c r="AG6446">
        <v>-1.120464469821</v>
      </c>
      <c r="AH6446">
        <v>31.288620889969899</v>
      </c>
      <c r="AI6446">
        <v>92.028181380447194</v>
      </c>
      <c r="AJ6446">
        <v>98.543421607122497</v>
      </c>
      <c r="AK6446">
        <v>31.659542378787599</v>
      </c>
      <c r="AL6446">
        <v>97.521209610608295</v>
      </c>
      <c r="AM6446">
        <v>95.087989601419906</v>
      </c>
      <c r="AN6446">
        <v>1.0000000467052399</v>
      </c>
    </row>
    <row r="6447" spans="1:40" x14ac:dyDescent="0.25">
      <c r="A6447" t="str">
        <f>"20190303154938814"</f>
        <v>20190303154938814</v>
      </c>
      <c r="B6447" t="str">
        <f>"1551599378807250"</f>
        <v>1551599378807250</v>
      </c>
      <c r="C6447" t="s">
        <v>40</v>
      </c>
      <c r="D6447">
        <v>4.7198900000000004</v>
      </c>
      <c r="E6447">
        <v>0.47649049999999998</v>
      </c>
      <c r="F6447" t="s">
        <v>41</v>
      </c>
      <c r="G6447">
        <v>-352.59249999999997</v>
      </c>
      <c r="H6447" s="1">
        <v>-3.9353859999999997E-6</v>
      </c>
      <c r="I6447">
        <v>22.669519999999999</v>
      </c>
      <c r="J6447">
        <v>-384.91019999999997</v>
      </c>
      <c r="K6447">
        <v>1.1204540000000001</v>
      </c>
      <c r="L6447">
        <v>17.83624</v>
      </c>
      <c r="M6447">
        <v>0.99996499999999999</v>
      </c>
      <c r="N6447">
        <v>-8.3773830000000004E-3</v>
      </c>
      <c r="O6447">
        <v>1.574336E-4</v>
      </c>
      <c r="P6447">
        <v>0.9863845</v>
      </c>
      <c r="Q6447">
        <v>-0.13890739999999999</v>
      </c>
      <c r="R6447">
        <v>8.8037370000000004E-2</v>
      </c>
      <c r="S6447">
        <v>2.987244</v>
      </c>
      <c r="T6447">
        <v>-0.1032561</v>
      </c>
      <c r="U6447">
        <v>0.4454651</v>
      </c>
      <c r="V6447">
        <v>-8.7760649999999996E-2</v>
      </c>
      <c r="W6447">
        <v>-0.1307208</v>
      </c>
      <c r="X6447">
        <v>0.9875273</v>
      </c>
      <c r="Y6447">
        <v>-0.14722859999999999</v>
      </c>
      <c r="Z6447">
        <v>3.1460170000000001E-3</v>
      </c>
      <c r="AA6447">
        <v>0.98909749999999996</v>
      </c>
      <c r="AB6447">
        <v>17</v>
      </c>
      <c r="AC6447">
        <v>32.317700000000002</v>
      </c>
      <c r="AD6447">
        <v>-1.120457935386</v>
      </c>
      <c r="AE6447">
        <v>4.8332800000000002</v>
      </c>
      <c r="AF6447">
        <v>-4.82252193998323</v>
      </c>
      <c r="AG6447">
        <v>-1.120457935386</v>
      </c>
      <c r="AH6447">
        <v>32.280507743368297</v>
      </c>
      <c r="AI6447">
        <v>91.966138811995506</v>
      </c>
      <c r="AJ6447">
        <v>98.496818873111906</v>
      </c>
      <c r="AK6447">
        <v>32.657974891536803</v>
      </c>
      <c r="AL6447">
        <v>97.511246460691396</v>
      </c>
      <c r="AM6447">
        <v>95.078482214137395</v>
      </c>
      <c r="AN6447">
        <v>1.0000000137431699</v>
      </c>
    </row>
    <row r="6448" spans="1:40" x14ac:dyDescent="0.25">
      <c r="A6448" t="str">
        <f>"20190303154938835"</f>
        <v>20190303154938835</v>
      </c>
      <c r="B6448" t="str">
        <f>"1551599378827746"</f>
        <v>1551599378827746</v>
      </c>
      <c r="C6448" t="s">
        <v>40</v>
      </c>
      <c r="D6448">
        <v>4.7449329999999996</v>
      </c>
      <c r="E6448">
        <v>0.48245779999999999</v>
      </c>
      <c r="F6448" t="s">
        <v>41</v>
      </c>
      <c r="G6448">
        <v>-352.24220000000003</v>
      </c>
      <c r="H6448" s="1">
        <v>-4.0633340000000002E-6</v>
      </c>
      <c r="I6448">
        <v>22.718879999999999</v>
      </c>
      <c r="J6448">
        <v>-384.74290000000002</v>
      </c>
      <c r="K6448">
        <v>1.1204430000000001</v>
      </c>
      <c r="L6448">
        <v>17.837250000000001</v>
      </c>
      <c r="M6448">
        <v>0.99996569999999996</v>
      </c>
      <c r="N6448">
        <v>-8.2243379999999994E-3</v>
      </c>
      <c r="O6448">
        <v>9.848515999999999E-4</v>
      </c>
      <c r="P6448">
        <v>0.98631060000000004</v>
      </c>
      <c r="Q6448">
        <v>-0.13894489999999901</v>
      </c>
      <c r="R6448">
        <v>8.8802809999999996E-2</v>
      </c>
      <c r="S6448">
        <v>2.9871219999999998</v>
      </c>
      <c r="T6448">
        <v>-0.10245369999999999</v>
      </c>
      <c r="U6448">
        <v>0.44647219999999999</v>
      </c>
      <c r="V6448">
        <v>-8.7708530000000007E-2</v>
      </c>
      <c r="W6448">
        <v>-0.1309101</v>
      </c>
      <c r="X6448">
        <v>0.98750689999999997</v>
      </c>
      <c r="Y6448">
        <v>-0.14674479999999901</v>
      </c>
      <c r="Z6448">
        <v>3.0834080000000002E-3</v>
      </c>
      <c r="AA6448">
        <v>0.98916959999999998</v>
      </c>
      <c r="AB6448">
        <v>17</v>
      </c>
      <c r="AC6448">
        <v>32.500699999999902</v>
      </c>
      <c r="AD6448">
        <v>-1.120447063334</v>
      </c>
      <c r="AE6448">
        <v>4.8816299999999897</v>
      </c>
      <c r="AF6448">
        <v>-4.8439881445001598</v>
      </c>
      <c r="AG6448">
        <v>-1.120447063334</v>
      </c>
      <c r="AH6448">
        <v>32.467755668444099</v>
      </c>
      <c r="AI6448">
        <v>91.954846747489</v>
      </c>
      <c r="AJ6448">
        <v>98.485585381032493</v>
      </c>
      <c r="AK6448">
        <v>32.846229325625401</v>
      </c>
      <c r="AL6448">
        <v>97.522186220150999</v>
      </c>
      <c r="AM6448">
        <v>95.075586224439803</v>
      </c>
      <c r="AN6448">
        <v>1.00000005903218</v>
      </c>
    </row>
    <row r="6449" spans="1:40" x14ac:dyDescent="0.25">
      <c r="A6449" t="str">
        <f>"20190303154938856"</f>
        <v>20190303154938856</v>
      </c>
      <c r="B6449" t="str">
        <f>"1551599378847266"</f>
        <v>1551599378847266</v>
      </c>
      <c r="C6449" t="s">
        <v>40</v>
      </c>
      <c r="D6449">
        <v>4.7170769999999997</v>
      </c>
      <c r="E6449">
        <v>0.482128</v>
      </c>
      <c r="F6449" t="s">
        <v>41</v>
      </c>
      <c r="G6449">
        <v>-325.03910000000002</v>
      </c>
      <c r="H6449" s="1">
        <v>-3.8765000000000001E-6</v>
      </c>
      <c r="I6449">
        <v>25.81916</v>
      </c>
      <c r="J6449">
        <v>-384.57850000000002</v>
      </c>
      <c r="K6449">
        <v>1.1204400000000001</v>
      </c>
      <c r="L6449">
        <v>17.838349999999998</v>
      </c>
      <c r="M6449">
        <v>0.99996569999999996</v>
      </c>
      <c r="N6449">
        <v>-8.0933789999999995E-3</v>
      </c>
      <c r="O6449">
        <v>1.7984100000000001E-3</v>
      </c>
      <c r="P6449">
        <v>0.98620050000000004</v>
      </c>
      <c r="Q6449">
        <v>-0.13937330000000001</v>
      </c>
      <c r="R6449">
        <v>8.9351699999999895E-2</v>
      </c>
      <c r="S6449">
        <v>2.99762</v>
      </c>
      <c r="T6449">
        <v>-5.6255579999999999E-2</v>
      </c>
      <c r="U6449">
        <v>0.40075680000000002</v>
      </c>
      <c r="V6449">
        <v>-8.7453359999999994E-2</v>
      </c>
      <c r="W6449">
        <v>-0.13146859999999999</v>
      </c>
      <c r="X6449">
        <v>0.98745519999999998</v>
      </c>
      <c r="Y6449">
        <v>-0.13069749999999999</v>
      </c>
      <c r="Z6449">
        <v>1.733049E-3</v>
      </c>
      <c r="AA6449">
        <v>0.99142079999999999</v>
      </c>
      <c r="AB6449">
        <v>17</v>
      </c>
      <c r="AC6449">
        <v>59.539400000000001</v>
      </c>
      <c r="AD6449">
        <v>-1.1204438765</v>
      </c>
      <c r="AE6449">
        <v>7.98081</v>
      </c>
      <c r="AF6449">
        <v>-7.8709791345139601</v>
      </c>
      <c r="AG6449">
        <v>-1.1204438765</v>
      </c>
      <c r="AH6449">
        <v>59.532946245888603</v>
      </c>
      <c r="AI6449">
        <v>91.068912171835095</v>
      </c>
      <c r="AJ6449">
        <v>97.531517427409398</v>
      </c>
      <c r="AK6449">
        <v>60.061463483103701</v>
      </c>
      <c r="AL6449">
        <v>97.554465884979606</v>
      </c>
      <c r="AM6449">
        <v>95.061160239010704</v>
      </c>
      <c r="AN6449">
        <v>0.99999992748414201</v>
      </c>
    </row>
    <row r="6450" spans="1:40" x14ac:dyDescent="0.25">
      <c r="A6450" t="str">
        <f>"20190303154938878"</f>
        <v>20190303154938878</v>
      </c>
      <c r="B6450" t="str">
        <f>"1551599378867292"</f>
        <v>1551599378867292</v>
      </c>
      <c r="C6450" t="s">
        <v>40</v>
      </c>
      <c r="D6450">
        <v>4.7052680000000002</v>
      </c>
      <c r="E6450">
        <v>0.4818653</v>
      </c>
      <c r="F6450" t="s">
        <v>41</v>
      </c>
      <c r="G6450">
        <v>-327.96140000000003</v>
      </c>
      <c r="H6450" s="1">
        <v>-2.5070400000000001E-6</v>
      </c>
      <c r="I6450">
        <v>25.490159999999999</v>
      </c>
      <c r="J6450">
        <v>-384.4128</v>
      </c>
      <c r="K6450">
        <v>1.1204350000000001</v>
      </c>
      <c r="L6450">
        <v>17.83963</v>
      </c>
      <c r="M6450">
        <v>0.99996479999999999</v>
      </c>
      <c r="N6450">
        <v>-7.9786040000000003E-3</v>
      </c>
      <c r="O6450">
        <v>2.6185789999999998E-3</v>
      </c>
      <c r="P6450">
        <v>0.98616899999999996</v>
      </c>
      <c r="Q6450">
        <v>-0.1392283</v>
      </c>
      <c r="R6450">
        <v>8.9924030000000002E-2</v>
      </c>
      <c r="S6450">
        <v>2.9968870000000001</v>
      </c>
      <c r="T6450">
        <v>-5.9307810000000002E-2</v>
      </c>
      <c r="U6450">
        <v>0.40502929999999998</v>
      </c>
      <c r="V6450">
        <v>-8.721595E-2</v>
      </c>
      <c r="W6450">
        <v>-0.1314372</v>
      </c>
      <c r="X6450">
        <v>0.98748049999999998</v>
      </c>
      <c r="Y6450">
        <v>-0.13130139999999901</v>
      </c>
      <c r="Z6450">
        <v>1.78868E-3</v>
      </c>
      <c r="AA6450">
        <v>0.99134089999999997</v>
      </c>
      <c r="AB6450">
        <v>17</v>
      </c>
      <c r="AC6450">
        <v>56.4513999999999</v>
      </c>
      <c r="AD6450">
        <v>-1.1204375070399999</v>
      </c>
      <c r="AE6450">
        <v>7.6505299999999998</v>
      </c>
      <c r="AF6450">
        <v>-7.4997754734708497</v>
      </c>
      <c r="AG6450">
        <v>-1.1204375070399999</v>
      </c>
      <c r="AH6450">
        <v>56.449404202206402</v>
      </c>
      <c r="AI6450">
        <v>91.127185438021698</v>
      </c>
      <c r="AJ6450">
        <v>97.567903300062696</v>
      </c>
      <c r="AK6450">
        <v>56.956450443683202</v>
      </c>
      <c r="AL6450">
        <v>97.5526501282975</v>
      </c>
      <c r="AM6450">
        <v>95.047363105795199</v>
      </c>
      <c r="AN6450">
        <v>1.00000004867924</v>
      </c>
    </row>
    <row r="6451" spans="1:40" x14ac:dyDescent="0.25">
      <c r="A6451" t="str">
        <f>"20190303154938891"</f>
        <v>20190303154938891</v>
      </c>
      <c r="B6451" t="str">
        <f>"1551599378887788"</f>
        <v>1551599378887788</v>
      </c>
      <c r="C6451" t="s">
        <v>40</v>
      </c>
      <c r="D6451">
        <v>4.6756719999999996</v>
      </c>
      <c r="E6451">
        <v>0.48174270000000002</v>
      </c>
      <c r="F6451" t="s">
        <v>41</v>
      </c>
      <c r="G6451">
        <v>-332.48950000000002</v>
      </c>
      <c r="H6451" s="1">
        <v>-4.3718250000000003E-6</v>
      </c>
      <c r="I6451">
        <v>24.932379999999998</v>
      </c>
      <c r="J6451">
        <v>-384.30700000000002</v>
      </c>
      <c r="K6451">
        <v>1.120433</v>
      </c>
      <c r="L6451">
        <v>17.840479999999999</v>
      </c>
      <c r="M6451">
        <v>0.99996379999999996</v>
      </c>
      <c r="N6451">
        <v>-7.9143919999999993E-3</v>
      </c>
      <c r="O6451">
        <v>3.142026E-3</v>
      </c>
      <c r="P6451">
        <v>0.98609919999999995</v>
      </c>
      <c r="Q6451">
        <v>-0.1392352</v>
      </c>
      <c r="R6451">
        <v>9.0675370000000005E-2</v>
      </c>
      <c r="S6451">
        <v>2.9956360000000002</v>
      </c>
      <c r="T6451">
        <v>-6.4642069999999996E-2</v>
      </c>
      <c r="U6451">
        <v>0.40921020000000002</v>
      </c>
      <c r="V6451">
        <v>-8.7450089999999994E-2</v>
      </c>
      <c r="W6451">
        <v>-0.131508399999999</v>
      </c>
      <c r="X6451">
        <v>0.98745019999999994</v>
      </c>
      <c r="Y6451">
        <v>-0.1321901</v>
      </c>
      <c r="Z6451">
        <v>1.90238E-3</v>
      </c>
      <c r="AA6451">
        <v>0.99122259999999995</v>
      </c>
      <c r="AB6451">
        <v>17</v>
      </c>
      <c r="AC6451">
        <v>51.817499999999903</v>
      </c>
      <c r="AD6451">
        <v>-1.120437371825</v>
      </c>
      <c r="AE6451">
        <v>7.0918999999999901</v>
      </c>
      <c r="AF6451">
        <v>-6.9258693615069804</v>
      </c>
      <c r="AG6451">
        <v>-1.120437371825</v>
      </c>
      <c r="AH6451">
        <v>51.815747153161603</v>
      </c>
      <c r="AI6451">
        <v>91.227825595746793</v>
      </c>
      <c r="AJ6451">
        <v>97.613224120923803</v>
      </c>
      <c r="AK6451">
        <v>52.288571402910001</v>
      </c>
      <c r="AL6451">
        <v>97.556766153365203</v>
      </c>
      <c r="AM6451">
        <v>95.060997471567305</v>
      </c>
      <c r="AN6451">
        <v>0.99999993749580196</v>
      </c>
    </row>
    <row r="6452" spans="1:40" x14ac:dyDescent="0.25">
      <c r="A6452" t="str">
        <f>"20190303154938903"</f>
        <v>20190303154938903</v>
      </c>
      <c r="B6452" t="str">
        <f>"1551599378897549"</f>
        <v>1551599378897549</v>
      </c>
      <c r="C6452" t="s">
        <v>40</v>
      </c>
      <c r="D6452">
        <v>4.6880449999999998</v>
      </c>
      <c r="E6452">
        <v>0.48175849999999998</v>
      </c>
      <c r="F6452" t="s">
        <v>41</v>
      </c>
      <c r="G6452">
        <v>-333.7466</v>
      </c>
      <c r="H6452" s="1">
        <v>-3.9212699999999996E-6</v>
      </c>
      <c r="I6452">
        <v>24.804179999999999</v>
      </c>
      <c r="J6452">
        <v>-384.2124</v>
      </c>
      <c r="K6452">
        <v>1.120431</v>
      </c>
      <c r="L6452">
        <v>17.841339999999999</v>
      </c>
      <c r="M6452">
        <v>0.99996269999999998</v>
      </c>
      <c r="N6452">
        <v>-7.8602529999999993E-3</v>
      </c>
      <c r="O6452">
        <v>3.6103009999999998E-3</v>
      </c>
      <c r="P6452">
        <v>0.98609460000000004</v>
      </c>
      <c r="Q6452">
        <v>-0.13905149999999999</v>
      </c>
      <c r="R6452">
        <v>9.1008099999999995E-2</v>
      </c>
      <c r="S6452">
        <v>2.9949949999999999</v>
      </c>
      <c r="T6452">
        <v>-6.6370250000000006E-2</v>
      </c>
      <c r="U6452">
        <v>0.41250609999999999</v>
      </c>
      <c r="V6452">
        <v>-8.7320220000000004E-2</v>
      </c>
      <c r="W6452">
        <v>-0.1313783</v>
      </c>
      <c r="X6452">
        <v>0.98747910000000005</v>
      </c>
      <c r="Y6452">
        <v>-0.132823</v>
      </c>
      <c r="Z6452">
        <v>1.9377999999999999E-3</v>
      </c>
      <c r="AA6452">
        <v>0.99113790000000002</v>
      </c>
      <c r="AB6452">
        <v>18</v>
      </c>
      <c r="AC6452">
        <v>50.465800000000002</v>
      </c>
      <c r="AD6452">
        <v>-1.12043492127</v>
      </c>
      <c r="AE6452">
        <v>6.9628399999999901</v>
      </c>
      <c r="AF6452">
        <v>-6.7773139953702497</v>
      </c>
      <c r="AG6452">
        <v>-1.12043492127</v>
      </c>
      <c r="AH6452">
        <v>50.466198561447598</v>
      </c>
      <c r="AI6452">
        <v>91.260541832306302</v>
      </c>
      <c r="AJ6452">
        <v>97.648724312510097</v>
      </c>
      <c r="AK6452">
        <v>50.931567388487998</v>
      </c>
      <c r="AL6452">
        <v>97.549246061068501</v>
      </c>
      <c r="AM6452">
        <v>95.053373322256505</v>
      </c>
      <c r="AN6452">
        <v>1.00000002573427</v>
      </c>
    </row>
    <row r="6453" spans="1:40" x14ac:dyDescent="0.25">
      <c r="A6453" t="str">
        <f>"20190303154938923"</f>
        <v>20190303154938923</v>
      </c>
      <c r="B6453" t="str">
        <f>"1551599378917068"</f>
        <v>1551599378917068</v>
      </c>
      <c r="C6453" t="s">
        <v>40</v>
      </c>
      <c r="D6453">
        <v>4.6172319999999996</v>
      </c>
      <c r="E6453">
        <v>0.48174709999999898</v>
      </c>
      <c r="F6453" t="s">
        <v>41</v>
      </c>
      <c r="G6453">
        <v>-334.00060000000002</v>
      </c>
      <c r="H6453" s="1">
        <v>-3.8293139999999999E-6</v>
      </c>
      <c r="I6453">
        <v>24.773070000000001</v>
      </c>
      <c r="J6453">
        <v>-384.0514</v>
      </c>
      <c r="K6453">
        <v>1.120422</v>
      </c>
      <c r="L6453">
        <v>17.842829999999999</v>
      </c>
      <c r="M6453">
        <v>0.99996010000000002</v>
      </c>
      <c r="N6453">
        <v>-7.7794930000000002E-3</v>
      </c>
      <c r="O6453">
        <v>4.4077500000000002E-3</v>
      </c>
      <c r="P6453">
        <v>0.9859812</v>
      </c>
      <c r="Q6453">
        <v>-0.13911560000000001</v>
      </c>
      <c r="R6453">
        <v>9.2130340000000005E-2</v>
      </c>
      <c r="S6453">
        <v>2.9946899999999999</v>
      </c>
      <c r="T6453">
        <v>-6.6824079999999994E-2</v>
      </c>
      <c r="U6453">
        <v>0.4134216</v>
      </c>
      <c r="V6453">
        <v>-8.7654720000000005E-2</v>
      </c>
      <c r="W6453">
        <v>-0.13152349999999999</v>
      </c>
      <c r="X6453">
        <v>0.98743009999999998</v>
      </c>
      <c r="Y6453">
        <v>-0.1323434</v>
      </c>
      <c r="Z6453">
        <v>1.922981E-3</v>
      </c>
      <c r="AA6453">
        <v>0.99120209999999997</v>
      </c>
      <c r="AB6453">
        <v>18</v>
      </c>
      <c r="AC6453">
        <v>50.050799999999903</v>
      </c>
      <c r="AD6453">
        <v>-1.1204258293139999</v>
      </c>
      <c r="AE6453">
        <v>6.9302400000000004</v>
      </c>
      <c r="AF6453">
        <v>-6.7062571622341602</v>
      </c>
      <c r="AG6453">
        <v>-1.1204258293139999</v>
      </c>
      <c r="AH6453">
        <v>50.056249004869699</v>
      </c>
      <c r="AI6453">
        <v>91.270905226706006</v>
      </c>
      <c r="AJ6453">
        <v>97.630730557653706</v>
      </c>
      <c r="AK6453">
        <v>50.515911390397903</v>
      </c>
      <c r="AL6453">
        <v>97.557638488364205</v>
      </c>
      <c r="AM6453">
        <v>95.072881023208396</v>
      </c>
      <c r="AN6453">
        <v>0.99999999168826903</v>
      </c>
    </row>
    <row r="6454" spans="1:40" x14ac:dyDescent="0.25">
      <c r="A6454" t="str">
        <f>"20190303154938934"</f>
        <v>20190303154938934</v>
      </c>
      <c r="B6454" t="str">
        <f>"1551599378927805"</f>
        <v>1551599378927805</v>
      </c>
      <c r="C6454" t="s">
        <v>40</v>
      </c>
      <c r="D6454">
        <v>4.6525699999999999</v>
      </c>
      <c r="E6454">
        <v>0.48183550000000003</v>
      </c>
      <c r="F6454" t="s">
        <v>41</v>
      </c>
      <c r="G6454">
        <v>-333.66030000000001</v>
      </c>
      <c r="H6454" s="1">
        <v>-3.9591190000000002E-6</v>
      </c>
      <c r="I6454">
        <v>24.851980000000001</v>
      </c>
      <c r="J6454">
        <v>-383.9581</v>
      </c>
      <c r="K6454">
        <v>1.1204190000000001</v>
      </c>
      <c r="L6454">
        <v>17.843779999999999</v>
      </c>
      <c r="M6454">
        <v>0.99995829999999997</v>
      </c>
      <c r="N6454">
        <v>-7.738193E-3</v>
      </c>
      <c r="O6454">
        <v>4.8700770000000004E-3</v>
      </c>
      <c r="P6454">
        <v>0.9859369</v>
      </c>
      <c r="Q6454">
        <v>-0.13916700000000001</v>
      </c>
      <c r="R6454">
        <v>9.2527769999999995E-2</v>
      </c>
      <c r="S6454">
        <v>2.994354</v>
      </c>
      <c r="T6454">
        <v>-6.6578269999999995E-2</v>
      </c>
      <c r="U6454">
        <v>0.41650389999999998</v>
      </c>
      <c r="V6454">
        <v>-8.7595720000000002E-2</v>
      </c>
      <c r="W6454">
        <v>-0.13161610000000001</v>
      </c>
      <c r="X6454">
        <v>0.98742300000000005</v>
      </c>
      <c r="Y6454">
        <v>-0.13290150000000001</v>
      </c>
      <c r="Z6454">
        <v>1.9167749999999999E-3</v>
      </c>
      <c r="AA6454">
        <v>0.99112739999999999</v>
      </c>
      <c r="AB6454">
        <v>18</v>
      </c>
      <c r="AC6454">
        <v>50.297800000000002</v>
      </c>
      <c r="AD6454">
        <v>-1.120422959119</v>
      </c>
      <c r="AE6454">
        <v>7.0081999999999898</v>
      </c>
      <c r="AF6454">
        <v>-6.7598649807623703</v>
      </c>
      <c r="AG6454">
        <v>-1.120422959119</v>
      </c>
      <c r="AH6454">
        <v>50.306847588370097</v>
      </c>
      <c r="AI6454">
        <v>91.264506809119695</v>
      </c>
      <c r="AJ6454">
        <v>97.653144317293794</v>
      </c>
      <c r="AK6454">
        <v>50.771350547773999</v>
      </c>
      <c r="AL6454">
        <v>97.562990583125796</v>
      </c>
      <c r="AM6454">
        <v>95.069520550189694</v>
      </c>
      <c r="AN6454">
        <v>0.99999999443526399</v>
      </c>
    </row>
    <row r="6455" spans="1:40" x14ac:dyDescent="0.25">
      <c r="A6455" t="str">
        <f>"20190303154938946"</f>
        <v>20190303154938946</v>
      </c>
      <c r="B6455" t="str">
        <f>"1551599378937563"</f>
        <v>1551599378937563</v>
      </c>
      <c r="C6455" t="s">
        <v>40</v>
      </c>
      <c r="D6455">
        <v>4.6186439999999997</v>
      </c>
      <c r="E6455">
        <v>0.48184690000000002</v>
      </c>
      <c r="F6455" t="s">
        <v>41</v>
      </c>
      <c r="G6455">
        <v>-333.29360000000003</v>
      </c>
      <c r="H6455" s="1">
        <v>-4.0921299999999997E-6</v>
      </c>
      <c r="I6455">
        <v>24.898250000000001</v>
      </c>
      <c r="J6455">
        <v>-383.86700000000002</v>
      </c>
      <c r="K6455">
        <v>1.1204160000000001</v>
      </c>
      <c r="L6455">
        <v>17.844729999999998</v>
      </c>
      <c r="M6455">
        <v>0.99995619999999996</v>
      </c>
      <c r="N6455">
        <v>-7.7009409999999898E-3</v>
      </c>
      <c r="O6455">
        <v>5.3210640000000003E-3</v>
      </c>
      <c r="P6455">
        <v>0.98586620000000003</v>
      </c>
      <c r="Q6455">
        <v>-0.13922229999999999</v>
      </c>
      <c r="R6455">
        <v>9.3192769999999994E-2</v>
      </c>
      <c r="S6455">
        <v>2.9943240000000002</v>
      </c>
      <c r="T6455">
        <v>-6.6218139999999995E-2</v>
      </c>
      <c r="U6455">
        <v>0.4169312</v>
      </c>
      <c r="V6455">
        <v>-8.7815450000000003E-2</v>
      </c>
      <c r="W6455">
        <v>-0.1317091</v>
      </c>
      <c r="X6455">
        <v>0.98739109999999997</v>
      </c>
      <c r="Y6455">
        <v>-0.1325952</v>
      </c>
      <c r="Z6455">
        <v>1.8957220000000001E-3</v>
      </c>
      <c r="AA6455">
        <v>0.99116839999999995</v>
      </c>
      <c r="AB6455">
        <v>18</v>
      </c>
      <c r="AC6455">
        <v>50.5733999999999</v>
      </c>
      <c r="AD6455">
        <v>-1.12042009213</v>
      </c>
      <c r="AE6455">
        <v>7.0535199999999998</v>
      </c>
      <c r="AF6455">
        <v>-6.7810431333891596</v>
      </c>
      <c r="AG6455">
        <v>-1.12042009213</v>
      </c>
      <c r="AH6455">
        <v>50.5858628036952</v>
      </c>
      <c r="AI6455">
        <v>91.257584679256198</v>
      </c>
      <c r="AJ6455">
        <v>97.634993461083795</v>
      </c>
      <c r="AK6455">
        <v>51.050635674338203</v>
      </c>
      <c r="AL6455">
        <v>97.568365748716403</v>
      </c>
      <c r="AM6455">
        <v>95.082334036546399</v>
      </c>
      <c r="AN6455">
        <v>1.0000000123203601</v>
      </c>
    </row>
    <row r="6456" spans="1:40" x14ac:dyDescent="0.25">
      <c r="A6456" t="str">
        <f>"20190303154938958"</f>
        <v>20190303154938958</v>
      </c>
      <c r="B6456" t="str">
        <f>"1551599378947325"</f>
        <v>1551599378947325</v>
      </c>
      <c r="C6456" t="s">
        <v>40</v>
      </c>
      <c r="D6456">
        <v>4.6260019999999997</v>
      </c>
      <c r="E6456">
        <v>0.48182259999999999</v>
      </c>
      <c r="F6456" t="s">
        <v>41</v>
      </c>
      <c r="G6456">
        <v>-333.88479999999998</v>
      </c>
      <c r="H6456" s="1">
        <v>-3.8805560000000002E-6</v>
      </c>
      <c r="I6456">
        <v>24.839759999999998</v>
      </c>
      <c r="J6456">
        <v>-383.77229999999997</v>
      </c>
      <c r="K6456">
        <v>1.1204099999999999</v>
      </c>
      <c r="L6456">
        <v>17.845759999999999</v>
      </c>
      <c r="M6456">
        <v>0.99995389999999995</v>
      </c>
      <c r="N6456">
        <v>-7.6650059999999898E-3</v>
      </c>
      <c r="O6456">
        <v>5.7900470000000004E-3</v>
      </c>
      <c r="P6456">
        <v>0.98579830000000002</v>
      </c>
      <c r="Q6456">
        <v>-0.1393055</v>
      </c>
      <c r="R6456">
        <v>9.378591E-2</v>
      </c>
      <c r="S6456">
        <v>2.9939269999999998</v>
      </c>
      <c r="T6456">
        <v>-6.7113039999999999E-2</v>
      </c>
      <c r="U6456">
        <v>0.4190063</v>
      </c>
      <c r="V6456">
        <v>-8.7945399999999896E-2</v>
      </c>
      <c r="W6456">
        <v>-0.13182869999999999</v>
      </c>
      <c r="X6456">
        <v>0.98736360000000001</v>
      </c>
      <c r="Y6456">
        <v>-0.1328212</v>
      </c>
      <c r="Z6456">
        <v>1.907916E-3</v>
      </c>
      <c r="AA6456">
        <v>0.99113819999999997</v>
      </c>
      <c r="AB6456">
        <v>18</v>
      </c>
      <c r="AC6456">
        <v>49.887499999999903</v>
      </c>
      <c r="AD6456">
        <v>-1.120413880556</v>
      </c>
      <c r="AE6456">
        <v>6.9939999999999998</v>
      </c>
      <c r="AF6456">
        <v>-6.7017081421963898</v>
      </c>
      <c r="AG6456">
        <v>-1.120413880556</v>
      </c>
      <c r="AH6456">
        <v>49.902474962770803</v>
      </c>
      <c r="AI6456">
        <v>91.274752613420304</v>
      </c>
      <c r="AJ6456">
        <v>97.648835869680894</v>
      </c>
      <c r="AK6456">
        <v>50.362935048474803</v>
      </c>
      <c r="AL6456">
        <v>97.575278396945095</v>
      </c>
      <c r="AM6456">
        <v>95.089956455487595</v>
      </c>
      <c r="AN6456">
        <v>1.0000000390649</v>
      </c>
    </row>
    <row r="6457" spans="1:40" x14ac:dyDescent="0.25">
      <c r="A6457" t="str">
        <f>"20190303154938979"</f>
        <v>20190303154938979</v>
      </c>
      <c r="B6457" t="str">
        <f>"1551599378967820"</f>
        <v>1551599378967820</v>
      </c>
      <c r="C6457" t="s">
        <v>40</v>
      </c>
      <c r="D6457">
        <v>4.61944</v>
      </c>
      <c r="E6457">
        <v>0.48173139999999998</v>
      </c>
      <c r="F6457" t="s">
        <v>41</v>
      </c>
      <c r="G6457">
        <v>-333.94229999999999</v>
      </c>
      <c r="H6457" s="1">
        <v>-3.8636489999999996E-6</v>
      </c>
      <c r="I6457">
        <v>24.854690000000002</v>
      </c>
      <c r="J6457">
        <v>-383.61309999999997</v>
      </c>
      <c r="K6457">
        <v>1.1204050000000001</v>
      </c>
      <c r="L6457">
        <v>17.8476</v>
      </c>
      <c r="M6457">
        <v>0.99994950000000005</v>
      </c>
      <c r="N6457">
        <v>-7.6121679999999999E-3</v>
      </c>
      <c r="O6457">
        <v>6.5781559999999999E-3</v>
      </c>
      <c r="P6457">
        <v>0.98570599999999997</v>
      </c>
      <c r="Q6457">
        <v>-0.13940999999999901</v>
      </c>
      <c r="R6457">
        <v>9.4599069999999993E-2</v>
      </c>
      <c r="S6457">
        <v>2.993652</v>
      </c>
      <c r="T6457">
        <v>-6.7311410000000002E-2</v>
      </c>
      <c r="U6457">
        <v>0.4210815</v>
      </c>
      <c r="V6457">
        <v>-8.7980729999999993E-2</v>
      </c>
      <c r="W6457">
        <v>-0.1319862</v>
      </c>
      <c r="X6457">
        <v>0.98733939999999998</v>
      </c>
      <c r="Y6457">
        <v>-0.13272629999999999</v>
      </c>
      <c r="Z6457">
        <v>1.8950799999999999E-3</v>
      </c>
      <c r="AA6457">
        <v>0.99115089999999995</v>
      </c>
      <c r="AB6457">
        <v>18</v>
      </c>
      <c r="AC6457">
        <v>49.6707999999999</v>
      </c>
      <c r="AD6457">
        <v>-1.1204088636489999</v>
      </c>
      <c r="AE6457">
        <v>7.00708999999999</v>
      </c>
      <c r="AF6457">
        <v>-6.6768557572409097</v>
      </c>
      <c r="AG6457">
        <v>-1.1204088636489999</v>
      </c>
      <c r="AH6457">
        <v>49.691030634859501</v>
      </c>
      <c r="AI6457">
        <v>91.2801573422514</v>
      </c>
      <c r="AJ6457">
        <v>97.652849548217603</v>
      </c>
      <c r="AK6457">
        <v>50.150117092378601</v>
      </c>
      <c r="AL6457">
        <v>97.584382111071804</v>
      </c>
      <c r="AM6457">
        <v>95.0921146285703</v>
      </c>
      <c r="AN6457">
        <v>1.00000002831706</v>
      </c>
    </row>
    <row r="6458" spans="1:40" x14ac:dyDescent="0.25">
      <c r="A6458" t="str">
        <f>"20190303154938991"</f>
        <v>20190303154938991</v>
      </c>
      <c r="B6458" t="str">
        <f>"1551599378987340"</f>
        <v>1551599378987340</v>
      </c>
      <c r="C6458" t="s">
        <v>40</v>
      </c>
      <c r="D6458">
        <v>4.6324379999999996</v>
      </c>
      <c r="E6458">
        <v>0.48171720000000001</v>
      </c>
      <c r="F6458" t="s">
        <v>41</v>
      </c>
      <c r="G6458">
        <v>-333.27769999999998</v>
      </c>
      <c r="H6458" s="1">
        <v>-4.1132559999999997E-6</v>
      </c>
      <c r="I6458">
        <v>24.986889999999999</v>
      </c>
      <c r="J6458">
        <v>-383.50819999999999</v>
      </c>
      <c r="K6458">
        <v>1.120409</v>
      </c>
      <c r="L6458">
        <v>17.848879999999902</v>
      </c>
      <c r="M6458">
        <v>0.99994609999999995</v>
      </c>
      <c r="N6458">
        <v>-7.582264E-3</v>
      </c>
      <c r="O6458">
        <v>7.0972459999999998E-3</v>
      </c>
      <c r="P6458">
        <v>0.98569019999999996</v>
      </c>
      <c r="Q6458">
        <v>-0.13933690000000001</v>
      </c>
      <c r="R6458">
        <v>9.4870880000000005E-2</v>
      </c>
      <c r="S6458">
        <v>2.9933169999999998</v>
      </c>
      <c r="T6458">
        <v>-6.6627859999999997E-2</v>
      </c>
      <c r="U6458">
        <v>0.42456050000000001</v>
      </c>
      <c r="V6458">
        <v>-8.7739730000000002E-2</v>
      </c>
      <c r="W6458">
        <v>-0.1319428</v>
      </c>
      <c r="X6458">
        <v>0.98736659999999998</v>
      </c>
      <c r="Y6458">
        <v>-0.13335710000000001</v>
      </c>
      <c r="Z6458">
        <v>1.8812E-3</v>
      </c>
      <c r="AA6458">
        <v>0.99106629999999996</v>
      </c>
      <c r="AB6458">
        <v>18</v>
      </c>
      <c r="AC6458">
        <v>50.230499999999999</v>
      </c>
      <c r="AD6458">
        <v>-1.120413113256</v>
      </c>
      <c r="AE6458">
        <v>7.1380100000000004</v>
      </c>
      <c r="AF6458">
        <v>-6.7780162303802296</v>
      </c>
      <c r="AG6458">
        <v>-1.120413113256</v>
      </c>
      <c r="AH6458">
        <v>50.255387744158902</v>
      </c>
      <c r="AI6458">
        <v>91.265706631404001</v>
      </c>
      <c r="AJ6458">
        <v>97.681213226516206</v>
      </c>
      <c r="AK6458">
        <v>50.722784100238599</v>
      </c>
      <c r="AL6458">
        <v>97.581873882981796</v>
      </c>
      <c r="AM6458">
        <v>95.078099994053602</v>
      </c>
      <c r="AN6458">
        <v>0.99999998274393598</v>
      </c>
    </row>
    <row r="6459" spans="1:40" x14ac:dyDescent="0.25">
      <c r="A6459" t="str">
        <f>"20190303154939012"</f>
        <v>20190303154939012</v>
      </c>
      <c r="B6459" t="str">
        <f>"1551599379007836"</f>
        <v>1551599379007836</v>
      </c>
      <c r="C6459" t="s">
        <v>40</v>
      </c>
      <c r="D6459">
        <v>4.5957480000000004</v>
      </c>
      <c r="E6459">
        <v>0.48176360000000001</v>
      </c>
      <c r="F6459" t="s">
        <v>41</v>
      </c>
      <c r="G6459">
        <v>-332.70569999999998</v>
      </c>
      <c r="H6459" s="1">
        <v>-4.3224600000000003E-6</v>
      </c>
      <c r="I6459">
        <v>25.068860000000001</v>
      </c>
      <c r="J6459">
        <v>-383.34050000000002</v>
      </c>
      <c r="K6459">
        <v>1.120404</v>
      </c>
      <c r="L6459">
        <v>17.851009999999999</v>
      </c>
      <c r="M6459">
        <v>0.9999403</v>
      </c>
      <c r="N6459">
        <v>-7.5400129999999999E-3</v>
      </c>
      <c r="O6459">
        <v>7.9264450000000007E-3</v>
      </c>
      <c r="P6459">
        <v>0.98570789999999997</v>
      </c>
      <c r="Q6459">
        <v>-0.13919790000000001</v>
      </c>
      <c r="R6459">
        <v>9.4890649999999993E-2</v>
      </c>
      <c r="S6459">
        <v>2.993347</v>
      </c>
      <c r="T6459">
        <v>-6.6016080000000005E-2</v>
      </c>
      <c r="U6459">
        <v>0.42541499999999999</v>
      </c>
      <c r="V6459">
        <v>-8.6940450000000002E-2</v>
      </c>
      <c r="W6459">
        <v>-0.13184479999999901</v>
      </c>
      <c r="X6459">
        <v>0.98745039999999995</v>
      </c>
      <c r="Y6459">
        <v>-0.13281219999999999</v>
      </c>
      <c r="Z6459">
        <v>1.845916E-3</v>
      </c>
      <c r="AA6459">
        <v>0.99113949999999995</v>
      </c>
      <c r="AB6459">
        <v>18</v>
      </c>
      <c r="AC6459">
        <v>50.634799999999998</v>
      </c>
      <c r="AD6459">
        <v>-1.1204083224600001</v>
      </c>
      <c r="AE6459">
        <v>7.2178499999999897</v>
      </c>
      <c r="AF6459">
        <v>-6.81298862247783</v>
      </c>
      <c r="AG6459">
        <v>-1.1204083224600001</v>
      </c>
      <c r="AH6459">
        <v>50.666109896656302</v>
      </c>
      <c r="AI6459">
        <v>91.2555110927307</v>
      </c>
      <c r="AJ6459">
        <v>97.658530053829907</v>
      </c>
      <c r="AK6459">
        <v>51.134399584224198</v>
      </c>
      <c r="AL6459">
        <v>97.576209334216102</v>
      </c>
      <c r="AM6459">
        <v>95.031653921355101</v>
      </c>
      <c r="AN6459">
        <v>0.99999999279670104</v>
      </c>
    </row>
    <row r="6460" spans="1:40" x14ac:dyDescent="0.25">
      <c r="A6460" t="str">
        <f>"20190303154939037"</f>
        <v>20190303154939037</v>
      </c>
      <c r="B6460" t="str">
        <f>"1551599379027357"</f>
        <v>1551599379027357</v>
      </c>
      <c r="C6460" t="s">
        <v>40</v>
      </c>
      <c r="D6460">
        <v>4.6254410000000004</v>
      </c>
      <c r="E6460">
        <v>0.48182530000000001</v>
      </c>
      <c r="F6460" t="s">
        <v>41</v>
      </c>
      <c r="G6460">
        <v>-331.45049999999998</v>
      </c>
      <c r="H6460" s="1">
        <v>-4.7758699999999999E-6</v>
      </c>
      <c r="I6460">
        <v>25.21686</v>
      </c>
      <c r="J6460">
        <v>-383.14699999999999</v>
      </c>
      <c r="K6460">
        <v>1.1204050000000001</v>
      </c>
      <c r="L6460">
        <v>17.8537</v>
      </c>
      <c r="M6460">
        <v>0.9999325</v>
      </c>
      <c r="N6460">
        <v>-7.4997279999999998E-3</v>
      </c>
      <c r="O6460">
        <v>8.8825950000000001E-3</v>
      </c>
      <c r="P6460">
        <v>0.98574130000000004</v>
      </c>
      <c r="Q6460">
        <v>-0.1389174</v>
      </c>
      <c r="R6460">
        <v>9.4952999999999996E-2</v>
      </c>
      <c r="S6460">
        <v>2.993439</v>
      </c>
      <c r="T6460">
        <v>-6.4634319999999995E-2</v>
      </c>
      <c r="U6460">
        <v>0.42492679999999999</v>
      </c>
      <c r="V6460">
        <v>-8.6058010000000004E-2</v>
      </c>
      <c r="W6460">
        <v>-0.1316031</v>
      </c>
      <c r="X6460">
        <v>0.98755999999999999</v>
      </c>
      <c r="Y6460">
        <v>-0.13170370000000001</v>
      </c>
      <c r="Z6460">
        <v>1.7865450000000001E-3</v>
      </c>
      <c r="AA6460">
        <v>0.99128749999999999</v>
      </c>
      <c r="AB6460">
        <v>18</v>
      </c>
      <c r="AC6460">
        <v>51.6965</v>
      </c>
      <c r="AD6460">
        <v>-1.12040977586999</v>
      </c>
      <c r="AE6460">
        <v>7.3631599999999997</v>
      </c>
      <c r="AF6460">
        <v>-6.9004807555719996</v>
      </c>
      <c r="AG6460">
        <v>-1.12040977586999</v>
      </c>
      <c r="AH6460">
        <v>51.7360483543534</v>
      </c>
      <c r="AI6460">
        <v>91.2297321216775</v>
      </c>
      <c r="AJ6460">
        <v>97.597190612977997</v>
      </c>
      <c r="AK6460">
        <v>52.206231927308004</v>
      </c>
      <c r="AL6460">
        <v>97.562238739174006</v>
      </c>
      <c r="AM6460">
        <v>94.980291179572305</v>
      </c>
      <c r="AN6460">
        <v>1.00000005530738</v>
      </c>
    </row>
    <row r="6461" spans="1:40" x14ac:dyDescent="0.25">
      <c r="A6461" t="str">
        <f>"20190303154939057"</f>
        <v>20190303154939057</v>
      </c>
      <c r="B6461" t="str">
        <f>"1551599379047853"</f>
        <v>1551599379047853</v>
      </c>
      <c r="C6461" t="s">
        <v>40</v>
      </c>
      <c r="D6461">
        <v>4.6239129999999999</v>
      </c>
      <c r="E6461">
        <v>0.48186469999999998</v>
      </c>
      <c r="F6461" t="s">
        <v>41</v>
      </c>
      <c r="G6461">
        <v>-329.49990000000003</v>
      </c>
      <c r="H6461" s="1">
        <v>-1.772963E-6</v>
      </c>
      <c r="I6461">
        <v>25.464670000000002</v>
      </c>
      <c r="J6461">
        <v>-382.97579999999999</v>
      </c>
      <c r="K6461">
        <v>1.120398</v>
      </c>
      <c r="L6461">
        <v>17.856200000000001</v>
      </c>
      <c r="M6461">
        <v>0.99992479999999995</v>
      </c>
      <c r="N6461">
        <v>-7.470801E-3</v>
      </c>
      <c r="O6461">
        <v>9.7294479999999999E-3</v>
      </c>
      <c r="P6461">
        <v>0.98575230000000003</v>
      </c>
      <c r="Q6461">
        <v>-0.13867449999999901</v>
      </c>
      <c r="R6461">
        <v>9.5193630000000001E-2</v>
      </c>
      <c r="S6461">
        <v>2.993652</v>
      </c>
      <c r="T6461">
        <v>-6.2521699999999999E-2</v>
      </c>
      <c r="U6461">
        <v>0.42471310000000001</v>
      </c>
      <c r="V6461">
        <v>-8.5461899999999993E-2</v>
      </c>
      <c r="W6461">
        <v>-0.13138820000000001</v>
      </c>
      <c r="X6461">
        <v>0.98764030000000003</v>
      </c>
      <c r="Y6461">
        <v>-0.1307875</v>
      </c>
      <c r="Z6461">
        <v>1.7200469999999999E-3</v>
      </c>
      <c r="AA6461">
        <v>0.99140890000000004</v>
      </c>
      <c r="AB6461">
        <v>18</v>
      </c>
      <c r="AC6461">
        <v>53.475899999999903</v>
      </c>
      <c r="AD6461">
        <v>-1.120399772963</v>
      </c>
      <c r="AE6461">
        <v>7.6084699999999996</v>
      </c>
      <c r="AF6461">
        <v>-7.08475611378746</v>
      </c>
      <c r="AG6461">
        <v>-1.120399772963</v>
      </c>
      <c r="AH6461">
        <v>53.524367865673497</v>
      </c>
      <c r="AI6461">
        <v>91.188803798583805</v>
      </c>
      <c r="AJ6461">
        <v>97.540127489178502</v>
      </c>
      <c r="AK6461">
        <v>54.002842705389597</v>
      </c>
      <c r="AL6461">
        <v>97.549818605475195</v>
      </c>
      <c r="AM6461">
        <v>94.945565081459506</v>
      </c>
      <c r="AN6461">
        <v>0.99999997881746905</v>
      </c>
    </row>
    <row r="6462" spans="1:40" x14ac:dyDescent="0.25">
      <c r="A6462" t="str">
        <f>"20190303154939069"</f>
        <v>20190303154939069</v>
      </c>
      <c r="B6462" t="str">
        <f>"1551599379057613"</f>
        <v>1551599379057613</v>
      </c>
      <c r="C6462" t="s">
        <v>40</v>
      </c>
      <c r="D6462">
        <v>4.613181</v>
      </c>
      <c r="E6462">
        <v>0.48185470000000002</v>
      </c>
      <c r="F6462" t="s">
        <v>41</v>
      </c>
      <c r="G6462">
        <v>-328.58150000000001</v>
      </c>
      <c r="H6462" s="1">
        <v>-2.2395919999999999E-6</v>
      </c>
      <c r="I6462">
        <v>25.586659999999998</v>
      </c>
      <c r="J6462">
        <v>-382.87889999999999</v>
      </c>
      <c r="K6462">
        <v>1.1203959999999999</v>
      </c>
      <c r="L6462">
        <v>17.857700000000001</v>
      </c>
      <c r="M6462">
        <v>0.99992009999999998</v>
      </c>
      <c r="N6462">
        <v>-7.4571580000000002E-3</v>
      </c>
      <c r="O6462">
        <v>1.0208719999999999E-2</v>
      </c>
      <c r="P6462">
        <v>0.98576149999999996</v>
      </c>
      <c r="Q6462">
        <v>-0.13832079999999999</v>
      </c>
      <c r="R6462">
        <v>9.5611509999999997E-2</v>
      </c>
      <c r="S6462">
        <v>2.9935909999999999</v>
      </c>
      <c r="T6462">
        <v>-6.1661239999999999E-2</v>
      </c>
      <c r="U6462">
        <v>0.42544559999999998</v>
      </c>
      <c r="V6462">
        <v>-8.5406940000000001E-2</v>
      </c>
      <c r="W6462">
        <v>-0.131048</v>
      </c>
      <c r="X6462">
        <v>0.98769030000000002</v>
      </c>
      <c r="Y6462">
        <v>-0.1305539</v>
      </c>
      <c r="Z6462">
        <v>1.6935819999999999E-3</v>
      </c>
      <c r="AA6462">
        <v>0.99143979999999998</v>
      </c>
      <c r="AB6462">
        <v>18</v>
      </c>
      <c r="AC6462">
        <v>54.297399999999897</v>
      </c>
      <c r="AD6462">
        <v>-1.120398239592</v>
      </c>
      <c r="AE6462">
        <v>7.7289599999999998</v>
      </c>
      <c r="AF6462">
        <v>-7.1712421190439199</v>
      </c>
      <c r="AG6462">
        <v>-1.120398239592</v>
      </c>
      <c r="AH6462">
        <v>54.350793390747803</v>
      </c>
      <c r="AI6462">
        <v>91.170795093741006</v>
      </c>
      <c r="AJ6462">
        <v>97.516397037628494</v>
      </c>
      <c r="AK6462">
        <v>54.833299626677501</v>
      </c>
      <c r="AL6462">
        <v>97.530156214547603</v>
      </c>
      <c r="AM6462">
        <v>94.942151418320904</v>
      </c>
      <c r="AN6462">
        <v>1.00000002620912</v>
      </c>
    </row>
    <row r="6463" spans="1:40" x14ac:dyDescent="0.25">
      <c r="A6463" t="str">
        <f>"20190303154939083"</f>
        <v>20190303154939083</v>
      </c>
      <c r="B6463" t="str">
        <f>"1551599379077132"</f>
        <v>1551599379077132</v>
      </c>
      <c r="C6463" t="s">
        <v>40</v>
      </c>
      <c r="D6463">
        <v>4.6419839999999999</v>
      </c>
      <c r="E6463">
        <v>0.48187029999999997</v>
      </c>
      <c r="F6463" t="s">
        <v>41</v>
      </c>
      <c r="G6463">
        <v>-327.70150000000001</v>
      </c>
      <c r="H6463" s="1">
        <v>-2.692891E-6</v>
      </c>
      <c r="I6463">
        <v>25.72692</v>
      </c>
      <c r="J6463">
        <v>-382.76100000000002</v>
      </c>
      <c r="K6463">
        <v>1.1203959999999999</v>
      </c>
      <c r="L6463">
        <v>17.859559999999998</v>
      </c>
      <c r="M6463">
        <v>0.99991410000000003</v>
      </c>
      <c r="N6463">
        <v>-7.442148E-3</v>
      </c>
      <c r="O6463">
        <v>1.079189E-2</v>
      </c>
      <c r="P6463">
        <v>0.98575089999999999</v>
      </c>
      <c r="Q6463">
        <v>-0.138219799999999</v>
      </c>
      <c r="R6463">
        <v>9.5869280000000001E-2</v>
      </c>
      <c r="S6463">
        <v>2.9934080000000001</v>
      </c>
      <c r="T6463">
        <v>-6.0782309999999999E-2</v>
      </c>
      <c r="U6463">
        <v>0.42691040000000002</v>
      </c>
      <c r="V6463">
        <v>-8.50886E-2</v>
      </c>
      <c r="W6463">
        <v>-0.13096160000000001</v>
      </c>
      <c r="X6463">
        <v>0.98772919999999997</v>
      </c>
      <c r="Y6463">
        <v>-0.13046060000000001</v>
      </c>
      <c r="Z6463">
        <v>1.667656E-3</v>
      </c>
      <c r="AA6463">
        <v>0.99145209999999995</v>
      </c>
      <c r="AB6463">
        <v>18</v>
      </c>
      <c r="AC6463">
        <v>55.0594999999999</v>
      </c>
      <c r="AD6463">
        <v>-1.1203986928909999</v>
      </c>
      <c r="AE6463">
        <v>7.8673599999999899</v>
      </c>
      <c r="AF6463">
        <v>-7.26973932139658</v>
      </c>
      <c r="AG6463">
        <v>-1.1203986928909999</v>
      </c>
      <c r="AH6463">
        <v>55.118832758795101</v>
      </c>
      <c r="AI6463">
        <v>91.154493573361805</v>
      </c>
      <c r="AJ6463">
        <v>97.513494634610495</v>
      </c>
      <c r="AK6463">
        <v>55.607464676283499</v>
      </c>
      <c r="AL6463">
        <v>97.525163087455795</v>
      </c>
      <c r="AM6463">
        <v>94.923628146443605</v>
      </c>
      <c r="AN6463">
        <v>0.99999999152857899</v>
      </c>
    </row>
    <row r="6464" spans="1:40" x14ac:dyDescent="0.25">
      <c r="A6464" t="str">
        <f>"20190303154939101"</f>
        <v>20190303154939101</v>
      </c>
      <c r="B6464" t="str">
        <f>"1551599379097629"</f>
        <v>1551599379097629</v>
      </c>
      <c r="C6464" t="s">
        <v>40</v>
      </c>
      <c r="D6464">
        <v>4.619491</v>
      </c>
      <c r="E6464">
        <v>0.48185420000000001</v>
      </c>
      <c r="F6464" t="s">
        <v>41</v>
      </c>
      <c r="G6464">
        <v>-327.56049999999999</v>
      </c>
      <c r="H6464" s="1">
        <v>-2.7647960000000001E-6</v>
      </c>
      <c r="I6464">
        <v>25.746639999999999</v>
      </c>
      <c r="J6464">
        <v>-382.6148</v>
      </c>
      <c r="K6464">
        <v>1.120401</v>
      </c>
      <c r="L6464">
        <v>17.861940000000001</v>
      </c>
      <c r="M6464">
        <v>0.99990619999999997</v>
      </c>
      <c r="N6464">
        <v>-7.4266599999999999E-3</v>
      </c>
      <c r="O6464">
        <v>1.15152E-2</v>
      </c>
      <c r="P6464">
        <v>0.98576909999999895</v>
      </c>
      <c r="Q6464">
        <v>-0.13784099999999999</v>
      </c>
      <c r="R6464">
        <v>9.6226069999999997E-2</v>
      </c>
      <c r="S6464">
        <v>2.9932249999999998</v>
      </c>
      <c r="T6464">
        <v>-6.0753109999999999E-2</v>
      </c>
      <c r="U6464">
        <v>0.42767329999999998</v>
      </c>
      <c r="V6464">
        <v>-8.4730970000000003E-2</v>
      </c>
      <c r="W6464">
        <v>-0.13059760000000001</v>
      </c>
      <c r="X6464">
        <v>0.98780809999999997</v>
      </c>
      <c r="Y6464">
        <v>-0.1299998</v>
      </c>
      <c r="Z6464">
        <v>1.6503760000000001E-3</v>
      </c>
      <c r="AA6464">
        <v>0.99151270000000002</v>
      </c>
      <c r="AB6464">
        <v>18</v>
      </c>
      <c r="AC6464">
        <v>55.054299999999998</v>
      </c>
      <c r="AD6464">
        <v>-1.1204037647959999</v>
      </c>
      <c r="AE6464">
        <v>7.8846999999999898</v>
      </c>
      <c r="AF6464">
        <v>-7.2472573049613001</v>
      </c>
      <c r="AG6464">
        <v>-1.1204037647959999</v>
      </c>
      <c r="AH6464">
        <v>55.119076756186097</v>
      </c>
      <c r="AI6464">
        <v>91.154554715492296</v>
      </c>
      <c r="AJ6464">
        <v>97.490490265695499</v>
      </c>
      <c r="AK6464">
        <v>55.604771966934898</v>
      </c>
      <c r="AL6464">
        <v>97.504127017162304</v>
      </c>
      <c r="AM6464">
        <v>94.902645362089501</v>
      </c>
      <c r="AN6464">
        <v>0.99999995641425399</v>
      </c>
    </row>
    <row r="6465" spans="1:40" x14ac:dyDescent="0.25">
      <c r="A6465" t="str">
        <f>"20190303154939113"</f>
        <v>20190303154939113</v>
      </c>
      <c r="B6465" t="str">
        <f>"1551599379107388"</f>
        <v>1551599379107388</v>
      </c>
      <c r="C6465" t="s">
        <v>40</v>
      </c>
      <c r="D6465">
        <v>4.6459409999999997</v>
      </c>
      <c r="E6465">
        <v>0.481848</v>
      </c>
      <c r="F6465" t="s">
        <v>41</v>
      </c>
      <c r="G6465">
        <v>-326.1961</v>
      </c>
      <c r="H6465" s="1">
        <v>-3.4547140000000001E-6</v>
      </c>
      <c r="I6465">
        <v>25.94623</v>
      </c>
      <c r="J6465">
        <v>-382.512</v>
      </c>
      <c r="K6465">
        <v>1.1204019999999999</v>
      </c>
      <c r="L6465">
        <v>17.86374</v>
      </c>
      <c r="M6465">
        <v>0.99990020000000002</v>
      </c>
      <c r="N6465">
        <v>-7.4177760000000001E-3</v>
      </c>
      <c r="O6465">
        <v>1.202366E-2</v>
      </c>
      <c r="P6465">
        <v>0.98573699999999997</v>
      </c>
      <c r="Q6465">
        <v>-0.13795180000000001</v>
      </c>
      <c r="R6465">
        <v>9.6396179999999998E-2</v>
      </c>
      <c r="S6465">
        <v>2.9931640000000002</v>
      </c>
      <c r="T6465">
        <v>-5.9440489999999999E-2</v>
      </c>
      <c r="U6465">
        <v>0.428894</v>
      </c>
      <c r="V6465">
        <v>-8.4398970000000004E-2</v>
      </c>
      <c r="W6465">
        <v>-0.13071720000000001</v>
      </c>
      <c r="X6465">
        <v>0.9878207</v>
      </c>
      <c r="Y6465">
        <v>-0.12989600000000001</v>
      </c>
      <c r="Z6465">
        <v>1.6186659999999999E-3</v>
      </c>
      <c r="AA6465">
        <v>0.99152629999999997</v>
      </c>
      <c r="AB6465">
        <v>18</v>
      </c>
      <c r="AC6465">
        <v>56.3158999999999</v>
      </c>
      <c r="AD6465">
        <v>-1.1204054547139899</v>
      </c>
      <c r="AE6465">
        <v>8.08249</v>
      </c>
      <c r="AF6465">
        <v>-7.4018932225917196</v>
      </c>
      <c r="AG6465">
        <v>-1.1204054547139899</v>
      </c>
      <c r="AH6465">
        <v>56.387144431361001</v>
      </c>
      <c r="AI6465">
        <v>91.128630151168593</v>
      </c>
      <c r="AJ6465">
        <v>97.478409638422207</v>
      </c>
      <c r="AK6465">
        <v>56.881924974325202</v>
      </c>
      <c r="AL6465">
        <v>97.5110388625517</v>
      </c>
      <c r="AM6465">
        <v>94.883466499133803</v>
      </c>
      <c r="AN6465">
        <v>0.99999995393069396</v>
      </c>
    </row>
    <row r="6466" spans="1:40" x14ac:dyDescent="0.25">
      <c r="A6466" t="str">
        <f>"20190303154939126"</f>
        <v>20190303154939126</v>
      </c>
      <c r="B6466" t="str">
        <f>"1551599379118124"</f>
        <v>1551599379118124</v>
      </c>
      <c r="C6466" t="s">
        <v>40</v>
      </c>
      <c r="D6466">
        <v>4.61754</v>
      </c>
      <c r="E6466">
        <v>0.48184529999999998</v>
      </c>
      <c r="F6466" t="s">
        <v>41</v>
      </c>
      <c r="G6466">
        <v>-326.52339999999998</v>
      </c>
      <c r="H6466" s="1">
        <v>-3.2953419999999999E-6</v>
      </c>
      <c r="I6466">
        <v>25.89817</v>
      </c>
      <c r="J6466">
        <v>-382.40870000000001</v>
      </c>
      <c r="K6466">
        <v>1.1204000000000001</v>
      </c>
      <c r="L6466">
        <v>17.865539999999999</v>
      </c>
      <c r="M6466">
        <v>0.99989399999999995</v>
      </c>
      <c r="N6466">
        <v>-7.4097099999999999E-3</v>
      </c>
      <c r="O6466">
        <v>1.253457E-2</v>
      </c>
      <c r="P6466">
        <v>0.98570959999999996</v>
      </c>
      <c r="Q6466">
        <v>-0.13793179999999999</v>
      </c>
      <c r="R6466">
        <v>9.670252E-2</v>
      </c>
      <c r="S6466">
        <v>2.993042</v>
      </c>
      <c r="T6466">
        <v>-5.9894679999999999E-2</v>
      </c>
      <c r="U6466">
        <v>0.42950440000000001</v>
      </c>
      <c r="V6466">
        <v>-8.4200810000000001E-2</v>
      </c>
      <c r="W6466">
        <v>-0.1307053</v>
      </c>
      <c r="X6466">
        <v>0.98783920000000003</v>
      </c>
      <c r="Y6466">
        <v>-0.12959289999999901</v>
      </c>
      <c r="Z6466">
        <v>1.615521E-3</v>
      </c>
      <c r="AA6466">
        <v>0.9915659</v>
      </c>
      <c r="AB6466">
        <v>18</v>
      </c>
      <c r="AC6466">
        <v>55.885300000000001</v>
      </c>
      <c r="AD6466">
        <v>-1.120403295342</v>
      </c>
      <c r="AE6466">
        <v>8.0326299999999993</v>
      </c>
      <c r="AF6466">
        <v>-7.3285955096983804</v>
      </c>
      <c r="AG6466">
        <v>-1.120403295342</v>
      </c>
      <c r="AH6466">
        <v>55.959560968619897</v>
      </c>
      <c r="AI6466">
        <v>91.137294460516898</v>
      </c>
      <c r="AJ6466">
        <v>97.4611275795897</v>
      </c>
      <c r="AK6466">
        <v>56.448525928403797</v>
      </c>
      <c r="AL6466">
        <v>97.510351032726007</v>
      </c>
      <c r="AM6466">
        <v>94.871965079756393</v>
      </c>
      <c r="AN6466">
        <v>0.99999996845469197</v>
      </c>
    </row>
    <row r="6467" spans="1:40" x14ac:dyDescent="0.25">
      <c r="A6467" t="str">
        <f>"20190303154939138"</f>
        <v>20190303154939138</v>
      </c>
      <c r="B6467" t="str">
        <f>"1551599379127885"</f>
        <v>1551599379127885</v>
      </c>
      <c r="C6467" t="s">
        <v>40</v>
      </c>
      <c r="D6467">
        <v>4.5859350000000001</v>
      </c>
      <c r="E6467">
        <v>0.48182959999999903</v>
      </c>
      <c r="F6467" t="s">
        <v>41</v>
      </c>
      <c r="G6467">
        <v>-326.7996</v>
      </c>
      <c r="H6467" s="1">
        <v>-3.1565030000000001E-6</v>
      </c>
      <c r="I6467">
        <v>25.867049999999999</v>
      </c>
      <c r="J6467">
        <v>-382.30549999999999</v>
      </c>
      <c r="K6467">
        <v>1.1204000000000001</v>
      </c>
      <c r="L6467">
        <v>17.8674</v>
      </c>
      <c r="M6467">
        <v>0.99988759999999999</v>
      </c>
      <c r="N6467">
        <v>-7.4026780000000002E-3</v>
      </c>
      <c r="O6467">
        <v>1.3044999999999999E-2</v>
      </c>
      <c r="P6467">
        <v>0.98570659999999999</v>
      </c>
      <c r="Q6467">
        <v>-0.13769379999999901</v>
      </c>
      <c r="R6467">
        <v>9.7072549999999994E-2</v>
      </c>
      <c r="S6467">
        <v>2.9928279999999998</v>
      </c>
      <c r="T6467">
        <v>-6.0299039999999998E-2</v>
      </c>
      <c r="U6467">
        <v>0.4306335</v>
      </c>
      <c r="V6467">
        <v>-8.4066299999999997E-2</v>
      </c>
      <c r="W6467">
        <v>-0.13047419999999901</v>
      </c>
      <c r="X6467">
        <v>0.98788120000000001</v>
      </c>
      <c r="Y6467">
        <v>-0.12946289999999999</v>
      </c>
      <c r="Z6467">
        <v>1.6138050000000001E-3</v>
      </c>
      <c r="AA6467">
        <v>0.99158290000000004</v>
      </c>
      <c r="AB6467">
        <v>18</v>
      </c>
      <c r="AC6467">
        <v>55.505899999999997</v>
      </c>
      <c r="AD6467">
        <v>-1.1204031565029999</v>
      </c>
      <c r="AE6467">
        <v>7.9996499999999902</v>
      </c>
      <c r="AF6467">
        <v>-7.2719723901330404</v>
      </c>
      <c r="AG6467">
        <v>-1.1204031565029999</v>
      </c>
      <c r="AH6467">
        <v>55.583348661327001</v>
      </c>
      <c r="AI6467">
        <v>91.145009469311304</v>
      </c>
      <c r="AJ6467">
        <v>97.453675245838596</v>
      </c>
      <c r="AK6467">
        <v>56.068222141268201</v>
      </c>
      <c r="AL6467">
        <v>97.496995653331197</v>
      </c>
      <c r="AM6467">
        <v>94.864013722629906</v>
      </c>
      <c r="AN6467">
        <v>0.99999996248738399</v>
      </c>
    </row>
    <row r="6468" spans="1:40" x14ac:dyDescent="0.25">
      <c r="A6468" t="str">
        <f>"20190303154939158"</f>
        <v>20190303154939158</v>
      </c>
      <c r="B6468" t="str">
        <f>"1551599379147404"</f>
        <v>1551599379147404</v>
      </c>
      <c r="C6468" t="s">
        <v>40</v>
      </c>
      <c r="D6468">
        <v>4.6179240000000004</v>
      </c>
      <c r="E6468">
        <v>0.4818713</v>
      </c>
      <c r="F6468" t="s">
        <v>41</v>
      </c>
      <c r="G6468">
        <v>-326.43630000000002</v>
      </c>
      <c r="H6468" s="1">
        <v>-3.3456319999999998E-6</v>
      </c>
      <c r="I6468">
        <v>25.93253</v>
      </c>
      <c r="J6468">
        <v>-382.1499</v>
      </c>
      <c r="K6468">
        <v>1.1204099999999999</v>
      </c>
      <c r="L6468">
        <v>17.8703</v>
      </c>
      <c r="M6468">
        <v>0.99987740000000003</v>
      </c>
      <c r="N6468">
        <v>-7.3943169999999897E-3</v>
      </c>
      <c r="O6468">
        <v>1.3813999999999899E-2</v>
      </c>
      <c r="P6468">
        <v>0.98568840000000002</v>
      </c>
      <c r="Q6468">
        <v>-0.137215</v>
      </c>
      <c r="R6468">
        <v>9.7932560000000002E-2</v>
      </c>
      <c r="S6468">
        <v>2.9926149999999998</v>
      </c>
      <c r="T6468">
        <v>-6.0014129999999999E-2</v>
      </c>
      <c r="U6468">
        <v>0.43200680000000002</v>
      </c>
      <c r="V6468">
        <v>-8.4166710000000006E-2</v>
      </c>
      <c r="W6468">
        <v>-0.13000410000000001</v>
      </c>
      <c r="X6468">
        <v>0.9879346</v>
      </c>
      <c r="Y6468">
        <v>-0.12915639999999901</v>
      </c>
      <c r="Z6468">
        <v>1.594442E-3</v>
      </c>
      <c r="AA6468">
        <v>0.99162289999999997</v>
      </c>
      <c r="AB6468">
        <v>18</v>
      </c>
      <c r="AC6468">
        <v>55.7135999999999</v>
      </c>
      <c r="AD6468">
        <v>-1.120413345632</v>
      </c>
      <c r="AE6468">
        <v>8.0622299999999996</v>
      </c>
      <c r="AF6468">
        <v>-7.2889247537891002</v>
      </c>
      <c r="AG6468">
        <v>-1.120413345632</v>
      </c>
      <c r="AH6468">
        <v>55.797555433475203</v>
      </c>
      <c r="AI6468">
        <v>91.140654397991099</v>
      </c>
      <c r="AJ6468">
        <v>97.442496670788202</v>
      </c>
      <c r="AK6468">
        <v>56.282776606020498</v>
      </c>
      <c r="AL6468">
        <v>97.469829709363694</v>
      </c>
      <c r="AM6468">
        <v>94.869533491250905</v>
      </c>
      <c r="AN6468">
        <v>0.99999993748309501</v>
      </c>
    </row>
    <row r="6469" spans="1:40" x14ac:dyDescent="0.25">
      <c r="A6469" t="str">
        <f>"20190303154939172"</f>
        <v>20190303154939172</v>
      </c>
      <c r="B6469" t="str">
        <f>"1551599379167900"</f>
        <v>1551599379167900</v>
      </c>
      <c r="C6469" t="s">
        <v>40</v>
      </c>
      <c r="D6469">
        <v>4.6166</v>
      </c>
      <c r="E6469">
        <v>0.48192550000000001</v>
      </c>
      <c r="F6469" t="s">
        <v>41</v>
      </c>
      <c r="G6469">
        <v>-325.34410000000003</v>
      </c>
      <c r="H6469" s="1">
        <v>-3.8122889999999998E-6</v>
      </c>
      <c r="I6469">
        <v>26.11759</v>
      </c>
      <c r="J6469">
        <v>-382.02339999999998</v>
      </c>
      <c r="K6469">
        <v>1.120412</v>
      </c>
      <c r="L6469">
        <v>17.872769999999999</v>
      </c>
      <c r="M6469">
        <v>0.9998686</v>
      </c>
      <c r="N6469">
        <v>-7.3892150000000002E-3</v>
      </c>
      <c r="O6469">
        <v>1.443856E-2</v>
      </c>
      <c r="P6469">
        <v>0.98573219999999995</v>
      </c>
      <c r="Q6469">
        <v>-0.13656090000000001</v>
      </c>
      <c r="R6469">
        <v>9.8405489999999998E-2</v>
      </c>
      <c r="S6469">
        <v>2.9921880000000001</v>
      </c>
      <c r="T6469">
        <v>-5.9016699999999901E-2</v>
      </c>
      <c r="U6469">
        <v>0.43441770000000002</v>
      </c>
      <c r="V6469">
        <v>-8.4022680000000002E-2</v>
      </c>
      <c r="W6469">
        <v>-0.12935459999999999</v>
      </c>
      <c r="X6469">
        <v>0.98803220000000003</v>
      </c>
      <c r="Y6469">
        <v>-0.1293406</v>
      </c>
      <c r="Z6469">
        <v>1.5721540000000001E-3</v>
      </c>
      <c r="AA6469">
        <v>0.99159900000000001</v>
      </c>
      <c r="AB6469">
        <v>19</v>
      </c>
      <c r="AC6469">
        <v>56.679299999999898</v>
      </c>
      <c r="AD6469">
        <v>-1.120415812289</v>
      </c>
      <c r="AE6469">
        <v>8.24481999999999</v>
      </c>
      <c r="AF6469">
        <v>-7.4227304040322997</v>
      </c>
      <c r="AG6469">
        <v>-1.120415812289</v>
      </c>
      <c r="AH6469">
        <v>56.770713892430003</v>
      </c>
      <c r="AI6469">
        <v>91.121091957346096</v>
      </c>
      <c r="AJ6469">
        <v>97.449125623977693</v>
      </c>
      <c r="AK6469">
        <v>57.264877665978801</v>
      </c>
      <c r="AL6469">
        <v>97.432298529278299</v>
      </c>
      <c r="AM6469">
        <v>94.860762582234798</v>
      </c>
      <c r="AN6469">
        <v>1.0000000257661901</v>
      </c>
    </row>
    <row r="6470" spans="1:40" x14ac:dyDescent="0.25">
      <c r="A6470" t="str">
        <f>"20190303154939191"</f>
        <v>20190303154939191</v>
      </c>
      <c r="B6470" t="str">
        <f>"1551599379187420"</f>
        <v>1551599379187420</v>
      </c>
      <c r="C6470" t="s">
        <v>40</v>
      </c>
      <c r="D6470">
        <v>4.6130599999999999</v>
      </c>
      <c r="E6470">
        <v>0.4819736</v>
      </c>
      <c r="F6470" t="s">
        <v>41</v>
      </c>
      <c r="G6470">
        <v>-323.35320000000002</v>
      </c>
      <c r="H6470" s="1">
        <v>-4.6286510000000004E-6</v>
      </c>
      <c r="I6470">
        <v>26.409739999999999</v>
      </c>
      <c r="J6470">
        <v>-381.86829999999998</v>
      </c>
      <c r="K6470">
        <v>1.1204130000000001</v>
      </c>
      <c r="L6470">
        <v>17.875889999999998</v>
      </c>
      <c r="M6470">
        <v>0.99985710000000005</v>
      </c>
      <c r="N6470">
        <v>-7.3844459999999898E-3</v>
      </c>
      <c r="O6470">
        <v>1.5204809999999999E-2</v>
      </c>
      <c r="P6470">
        <v>0.98573149999999998</v>
      </c>
      <c r="Q6470">
        <v>-0.1358058</v>
      </c>
      <c r="R6470">
        <v>9.9448460000000002E-2</v>
      </c>
      <c r="S6470">
        <v>2.992035</v>
      </c>
      <c r="T6470">
        <v>-5.7138439999999999E-2</v>
      </c>
      <c r="U6470">
        <v>0.43536380000000002</v>
      </c>
      <c r="V6470">
        <v>-8.4308449999999993E-2</v>
      </c>
      <c r="W6470">
        <v>-0.12860469999999999</v>
      </c>
      <c r="X6470">
        <v>0.98810569999999998</v>
      </c>
      <c r="Y6470">
        <v>-0.12889680000000001</v>
      </c>
      <c r="Z6470">
        <v>1.5256709999999999E-3</v>
      </c>
      <c r="AA6470">
        <v>0.9916568</v>
      </c>
      <c r="AB6470">
        <v>19</v>
      </c>
      <c r="AC6470">
        <v>58.515099999999897</v>
      </c>
      <c r="AD6470">
        <v>-1.1204176286509999</v>
      </c>
      <c r="AE6470">
        <v>8.5338499999999993</v>
      </c>
      <c r="AF6470">
        <v>-7.64038533972123</v>
      </c>
      <c r="AG6470">
        <v>-1.1204176286509999</v>
      </c>
      <c r="AH6470">
        <v>58.617051407282403</v>
      </c>
      <c r="AI6470">
        <v>91.085846279562404</v>
      </c>
      <c r="AJ6470">
        <v>97.426297684991695</v>
      </c>
      <c r="AK6470">
        <v>59.123510885991998</v>
      </c>
      <c r="AL6470">
        <v>97.388970863373501</v>
      </c>
      <c r="AM6470">
        <v>94.8768538973044</v>
      </c>
      <c r="AN6470">
        <v>0.99999997898799098</v>
      </c>
    </row>
    <row r="6471" spans="1:40" x14ac:dyDescent="0.25">
      <c r="A6471" t="str">
        <f>"20190303154939215"</f>
        <v>20190303154939215</v>
      </c>
      <c r="B6471" t="str">
        <f>"1551599379206940"</f>
        <v>1551599379206940</v>
      </c>
      <c r="C6471" t="s">
        <v>40</v>
      </c>
      <c r="D6471">
        <v>4.654871</v>
      </c>
      <c r="E6471">
        <v>0.48205439999999999</v>
      </c>
      <c r="F6471" t="s">
        <v>41</v>
      </c>
      <c r="G6471">
        <v>-321.33109999999999</v>
      </c>
      <c r="H6471" s="1">
        <v>-5.4645489999999998E-6</v>
      </c>
      <c r="I6471">
        <v>26.744520000000001</v>
      </c>
      <c r="J6471">
        <v>-381.66989999999998</v>
      </c>
      <c r="K6471">
        <v>1.1204160000000001</v>
      </c>
      <c r="L6471">
        <v>17.88007</v>
      </c>
      <c r="M6471">
        <v>0.99984189999999995</v>
      </c>
      <c r="N6471">
        <v>-7.3805950000000002E-3</v>
      </c>
      <c r="O6471">
        <v>1.6184090000000002E-2</v>
      </c>
      <c r="P6471">
        <v>0.98569799999999996</v>
      </c>
      <c r="Q6471">
        <v>-0.13510440000000001</v>
      </c>
      <c r="R6471">
        <v>0.100729</v>
      </c>
      <c r="S6471">
        <v>2.9915769999999999</v>
      </c>
      <c r="T6471">
        <v>-5.5367949999999999E-2</v>
      </c>
      <c r="U6471">
        <v>0.43826290000000001</v>
      </c>
      <c r="V6471">
        <v>-8.4621940000000007E-2</v>
      </c>
      <c r="W6471">
        <v>-0.12790779999999999</v>
      </c>
      <c r="X6471">
        <v>0.98816939999999998</v>
      </c>
      <c r="Y6471">
        <v>-0.1288898</v>
      </c>
      <c r="Z6471">
        <v>1.4855679999999901E-3</v>
      </c>
      <c r="AA6471">
        <v>0.99165780000000003</v>
      </c>
      <c r="AB6471">
        <v>19</v>
      </c>
      <c r="AC6471">
        <v>60.3387999999999</v>
      </c>
      <c r="AD6471">
        <v>-1.120421464549</v>
      </c>
      <c r="AE6471">
        <v>8.8644499999999997</v>
      </c>
      <c r="AF6471">
        <v>-7.88407288223513</v>
      </c>
      <c r="AG6471">
        <v>-1.120421464549</v>
      </c>
      <c r="AH6471">
        <v>60.4539596390726</v>
      </c>
      <c r="AI6471">
        <v>91.052854220384603</v>
      </c>
      <c r="AJ6471">
        <v>97.430265266203193</v>
      </c>
      <c r="AK6471">
        <v>60.976185396540103</v>
      </c>
      <c r="AL6471">
        <v>97.348708604749106</v>
      </c>
      <c r="AM6471">
        <v>94.894585893829898</v>
      </c>
      <c r="AN6471">
        <v>1.00000002056328</v>
      </c>
    </row>
    <row r="6472" spans="1:40" x14ac:dyDescent="0.25">
      <c r="A6472" t="str">
        <f>"20190303154939231"</f>
        <v>20190303154939231</v>
      </c>
      <c r="B6472" t="str">
        <f>"1551599379217677"</f>
        <v>1551599379217677</v>
      </c>
      <c r="C6472" t="s">
        <v>40</v>
      </c>
      <c r="D6472">
        <v>4.6045389999999999</v>
      </c>
      <c r="E6472">
        <v>0.4821107</v>
      </c>
      <c r="F6472" t="s">
        <v>43</v>
      </c>
      <c r="G6472">
        <v>-316.60599999999999</v>
      </c>
      <c r="H6472">
        <v>-0.05</v>
      </c>
      <c r="I6472">
        <v>27.49014</v>
      </c>
      <c r="J6472">
        <v>-381.541</v>
      </c>
      <c r="K6472">
        <v>1.120417</v>
      </c>
      <c r="L6472">
        <v>17.88287</v>
      </c>
      <c r="M6472">
        <v>0.99983140000000004</v>
      </c>
      <c r="N6472">
        <v>-7.379376E-3</v>
      </c>
      <c r="O6472">
        <v>1.682026E-2</v>
      </c>
      <c r="P6472">
        <v>0.98569609999999996</v>
      </c>
      <c r="Q6472">
        <v>-0.1348105</v>
      </c>
      <c r="R6472">
        <v>0.10114099999999999</v>
      </c>
      <c r="S6472">
        <v>2.9909669999999999</v>
      </c>
      <c r="T6472">
        <v>-5.380368E-2</v>
      </c>
      <c r="U6472">
        <v>0.44177250000000001</v>
      </c>
      <c r="V6472">
        <v>-8.4405099999999997E-2</v>
      </c>
      <c r="W6472">
        <v>-0.12761500000000001</v>
      </c>
      <c r="X6472">
        <v>0.98822580000000004</v>
      </c>
      <c r="Y6472">
        <v>-0.12942799999999999</v>
      </c>
      <c r="Z6472">
        <v>1.460612E-3</v>
      </c>
      <c r="AA6472">
        <v>0.99158780000000002</v>
      </c>
      <c r="AB6472">
        <v>19</v>
      </c>
      <c r="AC6472">
        <v>64.935000000000002</v>
      </c>
      <c r="AD6472">
        <v>-1.170417</v>
      </c>
      <c r="AE6472">
        <v>9.6072699999999998</v>
      </c>
      <c r="AF6472">
        <v>-8.5109517571681295</v>
      </c>
      <c r="AG6472">
        <v>-1.170417</v>
      </c>
      <c r="AH6472">
        <v>65.066728180510495</v>
      </c>
      <c r="AI6472">
        <v>91.021819941281095</v>
      </c>
      <c r="AJ6472">
        <v>97.452176047846095</v>
      </c>
      <c r="AK6472">
        <v>65.631435241682595</v>
      </c>
      <c r="AL6472">
        <v>97.331793783464207</v>
      </c>
      <c r="AM6472">
        <v>94.881827145707106</v>
      </c>
      <c r="AN6472">
        <v>1.0000000204583199</v>
      </c>
    </row>
    <row r="6473" spans="1:40" x14ac:dyDescent="0.25">
      <c r="A6473" t="str">
        <f>"20190303154939249"</f>
        <v>20190303154939249</v>
      </c>
      <c r="B6473" t="str">
        <f>"1551599379237196"</f>
        <v>1551599379237196</v>
      </c>
      <c r="C6473" t="s">
        <v>40</v>
      </c>
      <c r="D6473">
        <v>4.6174600000000003</v>
      </c>
      <c r="E6473">
        <v>0.48215930000000001</v>
      </c>
      <c r="F6473" t="s">
        <v>43</v>
      </c>
      <c r="G6473">
        <v>-315.86939999999998</v>
      </c>
      <c r="H6473">
        <v>-0.05</v>
      </c>
      <c r="I6473">
        <v>27.60397</v>
      </c>
      <c r="J6473">
        <v>-381.3777</v>
      </c>
      <c r="K6473">
        <v>1.1204229999999999</v>
      </c>
      <c r="L6473">
        <v>17.886569999999999</v>
      </c>
      <c r="M6473">
        <v>0.99981739999999997</v>
      </c>
      <c r="N6473">
        <v>-7.3790629999999999E-3</v>
      </c>
      <c r="O6473">
        <v>1.762619E-2</v>
      </c>
      <c r="P6473">
        <v>0.98561480000000001</v>
      </c>
      <c r="Q6473">
        <v>-0.13450999999999999</v>
      </c>
      <c r="R6473">
        <v>0.10232520000000001</v>
      </c>
      <c r="S6473">
        <v>2.9908139999999999</v>
      </c>
      <c r="T6473">
        <v>-5.3303120000000002E-2</v>
      </c>
      <c r="U6473">
        <v>0.44271850000000001</v>
      </c>
      <c r="V6473">
        <v>-8.4794309999999998E-2</v>
      </c>
      <c r="W6473">
        <v>-0.12731589999999901</v>
      </c>
      <c r="X6473">
        <v>0.98823110000000003</v>
      </c>
      <c r="Y6473">
        <v>-0.12894359999999999</v>
      </c>
      <c r="Z6473">
        <v>1.4382010000000001E-3</v>
      </c>
      <c r="AA6473">
        <v>0.9916509</v>
      </c>
      <c r="AB6473">
        <v>19</v>
      </c>
      <c r="AC6473">
        <v>65.508300000000006</v>
      </c>
      <c r="AD6473">
        <v>-1.170423</v>
      </c>
      <c r="AE6473">
        <v>9.7173999999999907</v>
      </c>
      <c r="AF6473">
        <v>-8.5585238404852095</v>
      </c>
      <c r="AG6473">
        <v>-1.170423</v>
      </c>
      <c r="AH6473">
        <v>65.648902537982195</v>
      </c>
      <c r="AI6473">
        <v>91.012822127101202</v>
      </c>
      <c r="AJ6473">
        <v>97.427652207415505</v>
      </c>
      <c r="AK6473">
        <v>66.214776483565799</v>
      </c>
      <c r="AL6473">
        <v>97.314515386484004</v>
      </c>
      <c r="AM6473">
        <v>94.904202582083599</v>
      </c>
      <c r="AN6473">
        <v>1.0000000602041901</v>
      </c>
    </row>
    <row r="6474" spans="1:40" x14ac:dyDescent="0.25">
      <c r="A6474" t="str">
        <f>"20190303154939270"</f>
        <v>20190303154939270</v>
      </c>
      <c r="B6474" t="str">
        <f>"1551599379267452"</f>
        <v>1551599379267452</v>
      </c>
      <c r="C6474" t="s">
        <v>40</v>
      </c>
      <c r="D6474">
        <v>4.6150399999999996</v>
      </c>
      <c r="E6474">
        <v>0.4823519</v>
      </c>
      <c r="F6474" t="s">
        <v>43</v>
      </c>
      <c r="G6474">
        <v>-315.00150000000002</v>
      </c>
      <c r="H6474">
        <v>-0.05</v>
      </c>
      <c r="I6474">
        <v>27.783560000000001</v>
      </c>
      <c r="J6474">
        <v>-381.20100000000002</v>
      </c>
      <c r="K6474">
        <v>1.1204289999999999</v>
      </c>
      <c r="L6474">
        <v>17.890689999999999</v>
      </c>
      <c r="M6474">
        <v>0.99980170000000002</v>
      </c>
      <c r="N6474">
        <v>-7.3801580000000004E-3</v>
      </c>
      <c r="O6474">
        <v>1.84981E-2</v>
      </c>
      <c r="P6474">
        <v>0.98570670000000005</v>
      </c>
      <c r="Q6474">
        <v>-0.133577</v>
      </c>
      <c r="R6474">
        <v>0.10266160000000001</v>
      </c>
      <c r="S6474">
        <v>2.990265</v>
      </c>
      <c r="T6474">
        <v>-5.2727820000000002E-2</v>
      </c>
      <c r="U6474">
        <v>0.44586179999999997</v>
      </c>
      <c r="V6474">
        <v>-8.4268200000000001E-2</v>
      </c>
      <c r="W6474">
        <v>-0.12638079999999999</v>
      </c>
      <c r="X6474">
        <v>0.98839600000000005</v>
      </c>
      <c r="Y6474">
        <v>-0.1291255</v>
      </c>
      <c r="Z6474">
        <v>1.4228419999999999E-3</v>
      </c>
      <c r="AA6474">
        <v>0.99162720000000004</v>
      </c>
      <c r="AB6474">
        <v>19</v>
      </c>
      <c r="AC6474">
        <v>66.199499999999901</v>
      </c>
      <c r="AD6474">
        <v>-1.1704289999999999</v>
      </c>
      <c r="AE6474">
        <v>9.8928699999999896</v>
      </c>
      <c r="AF6474">
        <v>-8.6639297930301407</v>
      </c>
      <c r="AG6474">
        <v>-1.1704289999999999</v>
      </c>
      <c r="AH6474">
        <v>66.350888808189296</v>
      </c>
      <c r="AI6474">
        <v>91.002086989752101</v>
      </c>
      <c r="AJ6474">
        <v>97.439445257879498</v>
      </c>
      <c r="AK6474">
        <v>66.924390390494295</v>
      </c>
      <c r="AL6474">
        <v>97.260502633764503</v>
      </c>
      <c r="AM6474">
        <v>94.873112046181205</v>
      </c>
      <c r="AN6474">
        <v>0.99999994447793805</v>
      </c>
    </row>
    <row r="6475" spans="1:40" x14ac:dyDescent="0.25">
      <c r="A6475" t="str">
        <f>"20190303154939291"</f>
        <v>20190303154939291</v>
      </c>
      <c r="B6475" t="str">
        <f>"1551599379286973"</f>
        <v>1551599379286973</v>
      </c>
      <c r="C6475" t="s">
        <v>40</v>
      </c>
      <c r="D6475">
        <v>4.6470269999999996</v>
      </c>
      <c r="E6475">
        <v>0.48243750000000002</v>
      </c>
      <c r="F6475" t="s">
        <v>43</v>
      </c>
      <c r="G6475">
        <v>-313.02690000000001</v>
      </c>
      <c r="H6475">
        <v>-0.05</v>
      </c>
      <c r="I6475">
        <v>28.046510000000001</v>
      </c>
      <c r="J6475">
        <v>-381.01889999999997</v>
      </c>
      <c r="K6475">
        <v>1.1204320000000001</v>
      </c>
      <c r="L6475">
        <v>17.895109999999999</v>
      </c>
      <c r="M6475">
        <v>0.99978469999999997</v>
      </c>
      <c r="N6475">
        <v>-7.3825130000000003E-3</v>
      </c>
      <c r="O6475">
        <v>1.9395760000000001E-2</v>
      </c>
      <c r="P6475">
        <v>0.98582720000000001</v>
      </c>
      <c r="Q6475">
        <v>-0.132497</v>
      </c>
      <c r="R6475">
        <v>0.1029051</v>
      </c>
      <c r="S6475">
        <v>2.9901119999999999</v>
      </c>
      <c r="T6475">
        <v>-5.1334980000000002E-2</v>
      </c>
      <c r="U6475">
        <v>0.44543460000000001</v>
      </c>
      <c r="V6475">
        <v>-8.3622779999999994E-2</v>
      </c>
      <c r="W6475">
        <v>-0.12529689999999999</v>
      </c>
      <c r="X6475">
        <v>0.98858889999999999</v>
      </c>
      <c r="Y6475">
        <v>-0.12810530000000001</v>
      </c>
      <c r="Z6475">
        <v>1.3805309999999999E-3</v>
      </c>
      <c r="AA6475">
        <v>0.99175959999999996</v>
      </c>
      <c r="AB6475">
        <v>19</v>
      </c>
      <c r="AC6475">
        <v>67.991999999999905</v>
      </c>
      <c r="AD6475">
        <v>-1.1704319999999999</v>
      </c>
      <c r="AE6475">
        <v>10.151400000000001</v>
      </c>
      <c r="AF6475">
        <v>-8.8281388975991</v>
      </c>
      <c r="AG6475">
        <v>-1.1704319999999999</v>
      </c>
      <c r="AH6475">
        <v>68.156352002261798</v>
      </c>
      <c r="AI6475">
        <v>90.975680330798099</v>
      </c>
      <c r="AJ6475">
        <v>97.380302250451706</v>
      </c>
      <c r="AK6475">
        <v>68.735684078345699</v>
      </c>
      <c r="AL6475">
        <v>97.197901352998599</v>
      </c>
      <c r="AM6475">
        <v>94.835026846534404</v>
      </c>
      <c r="AN6475">
        <v>1.00000004784387</v>
      </c>
    </row>
    <row r="6476" spans="1:40" x14ac:dyDescent="0.25">
      <c r="A6476" t="str">
        <f>"20190303154939304"</f>
        <v>20190303154939304</v>
      </c>
      <c r="B6476" t="str">
        <f>"1551599379297709"</f>
        <v>1551599379297709</v>
      </c>
      <c r="C6476" t="s">
        <v>40</v>
      </c>
      <c r="D6476">
        <v>4.6124980000000004</v>
      </c>
      <c r="E6476">
        <v>0.4824677</v>
      </c>
      <c r="F6476" t="s">
        <v>43</v>
      </c>
      <c r="G6476">
        <v>-309.55790000000002</v>
      </c>
      <c r="H6476">
        <v>-0.05</v>
      </c>
      <c r="I6476">
        <v>28.543520000000001</v>
      </c>
      <c r="J6476">
        <v>-380.90719999999999</v>
      </c>
      <c r="K6476">
        <v>1.120436</v>
      </c>
      <c r="L6476">
        <v>17.897860000000001</v>
      </c>
      <c r="M6476">
        <v>0.99977389999999999</v>
      </c>
      <c r="N6476">
        <v>-7.3844230000000002E-3</v>
      </c>
      <c r="O6476">
        <v>1.994609E-2</v>
      </c>
      <c r="P6476">
        <v>0.98587709999999995</v>
      </c>
      <c r="Q6476">
        <v>-0.1320443</v>
      </c>
      <c r="R6476">
        <v>0.1030089</v>
      </c>
      <c r="S6476">
        <v>2.9901119999999999</v>
      </c>
      <c r="T6476">
        <v>-4.8973919999999997E-2</v>
      </c>
      <c r="U6476">
        <v>0.44555660000000002</v>
      </c>
      <c r="V6476">
        <v>-8.3181630000000006E-2</v>
      </c>
      <c r="W6476">
        <v>-0.1248416</v>
      </c>
      <c r="X6476">
        <v>0.9886836</v>
      </c>
      <c r="Y6476">
        <v>-0.12760099999999999</v>
      </c>
      <c r="Z6476">
        <v>1.3347280000000001E-3</v>
      </c>
      <c r="AA6476">
        <v>0.9918247</v>
      </c>
      <c r="AB6476">
        <v>19</v>
      </c>
      <c r="AC6476">
        <v>71.3492999999999</v>
      </c>
      <c r="AD6476">
        <v>-1.170436</v>
      </c>
      <c r="AE6476">
        <v>10.645659999999999</v>
      </c>
      <c r="AF6476">
        <v>-9.2179372645246005</v>
      </c>
      <c r="AG6476">
        <v>-1.170436</v>
      </c>
      <c r="AH6476">
        <v>71.528620569189499</v>
      </c>
      <c r="AI6476">
        <v>90.929770251497501</v>
      </c>
      <c r="AJ6476">
        <v>97.343269333628896</v>
      </c>
      <c r="AK6476">
        <v>72.129632248985502</v>
      </c>
      <c r="AL6476">
        <v>97.171608946700502</v>
      </c>
      <c r="AM6476">
        <v>94.809181222899596</v>
      </c>
      <c r="AN6476">
        <v>0.99999993478448601</v>
      </c>
    </row>
    <row r="6477" spans="1:40" x14ac:dyDescent="0.25">
      <c r="A6477" t="str">
        <f>"20190303154939317"</f>
        <v>20190303154939317</v>
      </c>
      <c r="B6477" t="str">
        <f>"1551599379307468"</f>
        <v>1551599379307468</v>
      </c>
      <c r="C6477" t="s">
        <v>40</v>
      </c>
      <c r="D6477">
        <v>4.6482830000000002</v>
      </c>
      <c r="E6477">
        <v>0.4824677</v>
      </c>
      <c r="F6477" t="s">
        <v>43</v>
      </c>
      <c r="G6477">
        <v>-308.06060000000002</v>
      </c>
      <c r="H6477">
        <v>-0.05</v>
      </c>
      <c r="I6477">
        <v>28.753299999999999</v>
      </c>
      <c r="J6477">
        <v>-380.79750000000001</v>
      </c>
      <c r="K6477">
        <v>1.120439</v>
      </c>
      <c r="L6477">
        <v>17.900670000000002</v>
      </c>
      <c r="M6477">
        <v>0.99976290000000001</v>
      </c>
      <c r="N6477">
        <v>-7.3866349999999999E-3</v>
      </c>
      <c r="O6477">
        <v>2.04873E-2</v>
      </c>
      <c r="P6477">
        <v>0.98592420000000003</v>
      </c>
      <c r="Q6477">
        <v>-0.13169979999999901</v>
      </c>
      <c r="R6477">
        <v>0.1029986</v>
      </c>
      <c r="S6477">
        <v>2.98996</v>
      </c>
      <c r="T6477">
        <v>-4.8040029999999997E-2</v>
      </c>
      <c r="U6477">
        <v>0.44555660000000002</v>
      </c>
      <c r="V6477">
        <v>-8.2635550000000002E-2</v>
      </c>
      <c r="W6477">
        <v>-0.12449399999999999</v>
      </c>
      <c r="X6477">
        <v>0.98877329999999997</v>
      </c>
      <c r="Y6477">
        <v>-0.1270723</v>
      </c>
      <c r="Z6477">
        <v>1.3104799999999999E-3</v>
      </c>
      <c r="AA6477">
        <v>0.99189260000000001</v>
      </c>
      <c r="AB6477">
        <v>19</v>
      </c>
      <c r="AC6477">
        <v>72.736899999999906</v>
      </c>
      <c r="AD6477">
        <v>-1.170439</v>
      </c>
      <c r="AE6477">
        <v>10.8526299999999</v>
      </c>
      <c r="AF6477">
        <v>-9.3577585467462896</v>
      </c>
      <c r="AG6477">
        <v>-1.170439</v>
      </c>
      <c r="AH6477">
        <v>72.925508158917197</v>
      </c>
      <c r="AI6477">
        <v>90.912029464630805</v>
      </c>
      <c r="AJ6477">
        <v>97.312201703759101</v>
      </c>
      <c r="AK6477">
        <v>73.532763532375299</v>
      </c>
      <c r="AL6477">
        <v>97.151535763721895</v>
      </c>
      <c r="AM6477">
        <v>94.777324583726696</v>
      </c>
      <c r="AN6477">
        <v>1.0000000144763399</v>
      </c>
    </row>
    <row r="6478" spans="1:40" x14ac:dyDescent="0.25">
      <c r="A6478" t="str">
        <f>"20190303154939336"</f>
        <v>20190303154939336</v>
      </c>
      <c r="B6478" t="str">
        <f>"1551599379326988"</f>
        <v>1551599379326988</v>
      </c>
      <c r="C6478" t="s">
        <v>40</v>
      </c>
      <c r="D6478">
        <v>4.6400119999999996</v>
      </c>
      <c r="E6478">
        <v>0.48527399999999998</v>
      </c>
      <c r="F6478" t="s">
        <v>43</v>
      </c>
      <c r="G6478">
        <v>-306.3648</v>
      </c>
      <c r="H6478">
        <v>-0.05</v>
      </c>
      <c r="I6478">
        <v>28.993099999999998</v>
      </c>
      <c r="J6478">
        <v>-380.63850000000002</v>
      </c>
      <c r="K6478">
        <v>1.1204449999999999</v>
      </c>
      <c r="L6478">
        <v>17.90485</v>
      </c>
      <c r="M6478">
        <v>0.99974649999999998</v>
      </c>
      <c r="N6478">
        <v>-7.3904799999999996E-3</v>
      </c>
      <c r="O6478">
        <v>2.1270509999999999E-2</v>
      </c>
      <c r="P6478">
        <v>0.98603079999999999</v>
      </c>
      <c r="Q6478">
        <v>-0.13097230000000001</v>
      </c>
      <c r="R6478">
        <v>0.1029065</v>
      </c>
      <c r="S6478">
        <v>2.9899900000000001</v>
      </c>
      <c r="T6478">
        <v>-4.701698E-2</v>
      </c>
      <c r="U6478">
        <v>0.44558720000000002</v>
      </c>
      <c r="V6478">
        <v>-8.1767060000000003E-2</v>
      </c>
      <c r="W6478">
        <v>-0.1237611</v>
      </c>
      <c r="X6478">
        <v>0.98893750000000002</v>
      </c>
      <c r="Y6478">
        <v>-0.12630459999999999</v>
      </c>
      <c r="Z6478">
        <v>1.2808170000000001E-3</v>
      </c>
      <c r="AA6478">
        <v>0.9919907</v>
      </c>
      <c r="AB6478">
        <v>19</v>
      </c>
      <c r="AC6478">
        <v>74.273700000000005</v>
      </c>
      <c r="AD6478">
        <v>-1.170445</v>
      </c>
      <c r="AE6478">
        <v>11.08825</v>
      </c>
      <c r="AF6478">
        <v>-9.5035501141138106</v>
      </c>
      <c r="AG6478">
        <v>-1.170445</v>
      </c>
      <c r="AH6478">
        <v>74.474663141301903</v>
      </c>
      <c r="AI6478">
        <v>90.8931459306813</v>
      </c>
      <c r="AJ6478">
        <v>97.272087711005994</v>
      </c>
      <c r="AK6478">
        <v>75.087701098647898</v>
      </c>
      <c r="AL6478">
        <v>97.109216357400598</v>
      </c>
      <c r="AM6478">
        <v>94.726562858732805</v>
      </c>
      <c r="AN6478">
        <v>1.0000000204402499</v>
      </c>
    </row>
    <row r="6479" spans="1:40" x14ac:dyDescent="0.25">
      <c r="A6479" t="str">
        <f>"20190303154939348"</f>
        <v>20190303154939348</v>
      </c>
      <c r="B6479" t="str">
        <f>"1551599379337724"</f>
        <v>1551599379337724</v>
      </c>
      <c r="C6479" t="s">
        <v>40</v>
      </c>
      <c r="D6479">
        <v>4.6256519999999997</v>
      </c>
      <c r="E6479">
        <v>0.48526380000000002</v>
      </c>
      <c r="F6479" t="s">
        <v>41</v>
      </c>
      <c r="G6479">
        <v>-331.70010000000002</v>
      </c>
      <c r="H6479" s="1">
        <v>-4.6225619999999998E-6</v>
      </c>
      <c r="I6479">
        <v>24.83146</v>
      </c>
      <c r="J6479">
        <v>-380.53570000000002</v>
      </c>
      <c r="K6479">
        <v>1.120447</v>
      </c>
      <c r="L6479">
        <v>17.907589999999999</v>
      </c>
      <c r="M6479">
        <v>0.99973559999999995</v>
      </c>
      <c r="N6479">
        <v>-7.3931909999999899E-3</v>
      </c>
      <c r="O6479">
        <v>2.1776609999999998E-2</v>
      </c>
      <c r="P6479">
        <v>0.98612650000000002</v>
      </c>
      <c r="Q6479">
        <v>-0.13047800000000001</v>
      </c>
      <c r="R6479">
        <v>0.1026165</v>
      </c>
      <c r="S6479">
        <v>2.989258</v>
      </c>
      <c r="T6479">
        <v>-6.8439249999999993E-2</v>
      </c>
      <c r="U6479">
        <v>0.42309570000000002</v>
      </c>
      <c r="V6479">
        <v>-8.0974679999999993E-2</v>
      </c>
      <c r="W6479">
        <v>-0.1232626</v>
      </c>
      <c r="X6479">
        <v>0.98906490000000002</v>
      </c>
      <c r="Y6479">
        <v>-0.11850860000000001</v>
      </c>
      <c r="Z6479">
        <v>1.4544989999999999E-3</v>
      </c>
      <c r="AA6479">
        <v>0.99295199999999995</v>
      </c>
      <c r="AB6479">
        <v>19</v>
      </c>
      <c r="AC6479">
        <v>48.835599999999999</v>
      </c>
      <c r="AD6479">
        <v>-1.120451622562</v>
      </c>
      <c r="AE6479">
        <v>6.92387</v>
      </c>
      <c r="AF6479">
        <v>-5.8557035100813799</v>
      </c>
      <c r="AG6479">
        <v>-1.120451622562</v>
      </c>
      <c r="AH6479">
        <v>48.949541958973398</v>
      </c>
      <c r="AI6479">
        <v>91.301987587549505</v>
      </c>
      <c r="AJ6479">
        <v>96.821723755378997</v>
      </c>
      <c r="AK6479">
        <v>49.311279981661201</v>
      </c>
      <c r="AL6479">
        <v>97.080434373645502</v>
      </c>
      <c r="AM6479">
        <v>94.680363420732107</v>
      </c>
      <c r="AN6479">
        <v>0.99999997188593504</v>
      </c>
    </row>
    <row r="6480" spans="1:40" x14ac:dyDescent="0.25">
      <c r="A6480" t="str">
        <f>"20190303154939361"</f>
        <v>20190303154939361</v>
      </c>
      <c r="B6480" t="str">
        <f>"1551599379357244"</f>
        <v>1551599379357244</v>
      </c>
      <c r="C6480" t="s">
        <v>40</v>
      </c>
      <c r="D6480">
        <v>4.6669479999999997</v>
      </c>
      <c r="E6480">
        <v>0.48493619999999998</v>
      </c>
      <c r="F6480" t="s">
        <v>41</v>
      </c>
      <c r="G6480">
        <v>-333.52440000000001</v>
      </c>
      <c r="H6480" s="1">
        <v>-3.9521429999999999E-6</v>
      </c>
      <c r="I6480">
        <v>24.551829999999999</v>
      </c>
      <c r="J6480">
        <v>-380.42469999999997</v>
      </c>
      <c r="K6480">
        <v>1.120444</v>
      </c>
      <c r="L6480">
        <v>17.91058</v>
      </c>
      <c r="M6480">
        <v>0.99972360000000005</v>
      </c>
      <c r="N6480">
        <v>-7.3962169999999897E-3</v>
      </c>
      <c r="O6480">
        <v>2.232193E-2</v>
      </c>
      <c r="P6480">
        <v>0.98616559999999998</v>
      </c>
      <c r="Q6480">
        <v>-0.13020019999999999</v>
      </c>
      <c r="R6480">
        <v>0.1025938</v>
      </c>
      <c r="S6480">
        <v>2.9888309999999998</v>
      </c>
      <c r="T6480">
        <v>-7.1234699999999998E-2</v>
      </c>
      <c r="U6480">
        <v>0.42242429999999997</v>
      </c>
      <c r="V6480">
        <v>-8.0412029999999995E-2</v>
      </c>
      <c r="W6480">
        <v>-0.12298099999999999</v>
      </c>
      <c r="X6480">
        <v>0.98914590000000002</v>
      </c>
      <c r="Y6480">
        <v>-0.1177656</v>
      </c>
      <c r="Z6480">
        <v>1.4692819999999999E-3</v>
      </c>
      <c r="AA6480">
        <v>0.99304029999999999</v>
      </c>
      <c r="AB6480">
        <v>19</v>
      </c>
      <c r="AC6480">
        <v>46.900299999999902</v>
      </c>
      <c r="AD6480">
        <v>-1.120447952143</v>
      </c>
      <c r="AE6480">
        <v>6.6412499999999897</v>
      </c>
      <c r="AF6480">
        <v>-5.5895340056475602</v>
      </c>
      <c r="AG6480">
        <v>-1.120447952143</v>
      </c>
      <c r="AH6480">
        <v>47.010559980683098</v>
      </c>
      <c r="AI6480">
        <v>91.355780835938504</v>
      </c>
      <c r="AJ6480">
        <v>96.780608745376696</v>
      </c>
      <c r="AK6480">
        <v>47.354947404797699</v>
      </c>
      <c r="AL6480">
        <v>97.064175867561502</v>
      </c>
      <c r="AM6480">
        <v>94.647606099940404</v>
      </c>
      <c r="AN6480">
        <v>1.0000000162082601</v>
      </c>
    </row>
    <row r="6481" spans="1:40" x14ac:dyDescent="0.25">
      <c r="A6481" t="str">
        <f>"20190303154939373"</f>
        <v>20190303154939373</v>
      </c>
      <c r="B6481" t="str">
        <f>"1551599379367005"</f>
        <v>1551599379367005</v>
      </c>
      <c r="C6481" t="s">
        <v>40</v>
      </c>
      <c r="D6481">
        <v>4.6645709999999996</v>
      </c>
      <c r="E6481">
        <v>0.48481449999999998</v>
      </c>
      <c r="F6481" t="s">
        <v>41</v>
      </c>
      <c r="G6481">
        <v>-333.58449999999999</v>
      </c>
      <c r="H6481" s="1">
        <v>-3.9352199999999997E-6</v>
      </c>
      <c r="I6481">
        <v>24.571760000000001</v>
      </c>
      <c r="J6481">
        <v>-380.30329999999998</v>
      </c>
      <c r="K6481">
        <v>1.1204459999999901</v>
      </c>
      <c r="L6481">
        <v>17.913969999999999</v>
      </c>
      <c r="M6481">
        <v>0.99970999999999999</v>
      </c>
      <c r="N6481">
        <v>-7.4000630000000001E-3</v>
      </c>
      <c r="O6481">
        <v>2.2914919999999998E-2</v>
      </c>
      <c r="P6481">
        <v>0.98621289999999995</v>
      </c>
      <c r="Q6481">
        <v>-0.1298986</v>
      </c>
      <c r="R6481">
        <v>0.10252070000000001</v>
      </c>
      <c r="S6481">
        <v>2.9884029999999999</v>
      </c>
      <c r="T6481">
        <v>-7.1484569999999997E-2</v>
      </c>
      <c r="U6481">
        <v>0.42498780000000003</v>
      </c>
      <c r="V6481">
        <v>-7.9751899999999903E-2</v>
      </c>
      <c r="W6481">
        <v>-0.1226742</v>
      </c>
      <c r="X6481">
        <v>0.98923740000000004</v>
      </c>
      <c r="Y6481">
        <v>-0.118031</v>
      </c>
      <c r="Z6481">
        <v>1.467143E-3</v>
      </c>
      <c r="AA6481">
        <v>0.99300889999999997</v>
      </c>
      <c r="AB6481">
        <v>19</v>
      </c>
      <c r="AC6481">
        <v>46.718799999999902</v>
      </c>
      <c r="AD6481">
        <v>-1.1204499352199999</v>
      </c>
      <c r="AE6481">
        <v>6.6577899999999897</v>
      </c>
      <c r="AF6481">
        <v>-5.5823078757511597</v>
      </c>
      <c r="AG6481">
        <v>-1.1204499352199999</v>
      </c>
      <c r="AH6481">
        <v>46.832697822390401</v>
      </c>
      <c r="AI6481">
        <v>91.360882852936697</v>
      </c>
      <c r="AJ6481">
        <v>96.797402614331602</v>
      </c>
      <c r="AK6481">
        <v>47.177528067930197</v>
      </c>
      <c r="AL6481">
        <v>97.046463666151595</v>
      </c>
      <c r="AM6481">
        <v>94.6091928731053</v>
      </c>
      <c r="AN6481">
        <v>0.99999997922900397</v>
      </c>
    </row>
    <row r="6482" spans="1:40" x14ac:dyDescent="0.25">
      <c r="A6482" t="str">
        <f>"20190303154939392"</f>
        <v>20190303154939392</v>
      </c>
      <c r="B6482" t="str">
        <f>"1551599379387500"</f>
        <v>1551599379387500</v>
      </c>
      <c r="C6482" t="s">
        <v>40</v>
      </c>
      <c r="D6482">
        <v>4.6580170000000001</v>
      </c>
      <c r="E6482">
        <v>0.4845391</v>
      </c>
      <c r="F6482" t="s">
        <v>41</v>
      </c>
      <c r="G6482">
        <v>-333.88799999999998</v>
      </c>
      <c r="H6482" s="1">
        <v>-3.8239239999999997E-6</v>
      </c>
      <c r="I6482">
        <v>24.526509999999998</v>
      </c>
      <c r="J6482">
        <v>-380.1533</v>
      </c>
      <c r="K6482">
        <v>1.1204510000000001</v>
      </c>
      <c r="L6482">
        <v>17.91827</v>
      </c>
      <c r="M6482">
        <v>0.99969319999999895</v>
      </c>
      <c r="N6482">
        <v>-7.4051239999999999E-3</v>
      </c>
      <c r="O6482">
        <v>2.36432E-2</v>
      </c>
      <c r="P6482">
        <v>0.98643650000000005</v>
      </c>
      <c r="Q6482">
        <v>-0.12892010000000001</v>
      </c>
      <c r="R6482">
        <v>0.10160130000000001</v>
      </c>
      <c r="S6482">
        <v>2.9882200000000001</v>
      </c>
      <c r="T6482">
        <v>-7.2134610000000002E-2</v>
      </c>
      <c r="U6482">
        <v>0.42572019999999999</v>
      </c>
      <c r="V6482">
        <v>-7.8108499999999997E-2</v>
      </c>
      <c r="W6482">
        <v>-0.12168669999999999</v>
      </c>
      <c r="X6482">
        <v>0.98949039999999999</v>
      </c>
      <c r="Y6482">
        <v>-0.1175543</v>
      </c>
      <c r="Z6482">
        <v>1.455816E-3</v>
      </c>
      <c r="AA6482">
        <v>0.99306539999999999</v>
      </c>
      <c r="AB6482">
        <v>19</v>
      </c>
      <c r="AC6482">
        <v>46.265299999999897</v>
      </c>
      <c r="AD6482">
        <v>-1.120454823924</v>
      </c>
      <c r="AE6482">
        <v>6.6082400000000003</v>
      </c>
      <c r="AF6482">
        <v>-5.5093363879899799</v>
      </c>
      <c r="AG6482">
        <v>-1.120454823924</v>
      </c>
      <c r="AH6482">
        <v>46.381950774671502</v>
      </c>
      <c r="AI6482">
        <v>91.3741759390673</v>
      </c>
      <c r="AJ6482">
        <v>96.773962461047006</v>
      </c>
      <c r="AK6482">
        <v>46.721446511345597</v>
      </c>
      <c r="AL6482">
        <v>96.989457388175893</v>
      </c>
      <c r="AM6482">
        <v>94.513461157587599</v>
      </c>
      <c r="AN6482">
        <v>0.99999992121064596</v>
      </c>
    </row>
    <row r="6483" spans="1:40" x14ac:dyDescent="0.25">
      <c r="A6483" t="str">
        <f>"20190303154939405"</f>
        <v>20190303154939405</v>
      </c>
      <c r="B6483" t="str">
        <f>"1551599379397261"</f>
        <v>1551599379397261</v>
      </c>
      <c r="C6483" t="s">
        <v>40</v>
      </c>
      <c r="D6483">
        <v>4.662712</v>
      </c>
      <c r="E6483">
        <v>0.48454599999999998</v>
      </c>
      <c r="F6483" t="s">
        <v>41</v>
      </c>
      <c r="G6483">
        <v>-332.69799999999998</v>
      </c>
      <c r="H6483" s="1">
        <v>-4.2548999999999997E-6</v>
      </c>
      <c r="I6483">
        <v>24.67323</v>
      </c>
      <c r="J6483">
        <v>-380.03919999999999</v>
      </c>
      <c r="K6483">
        <v>1.1204510000000001</v>
      </c>
      <c r="L6483">
        <v>17.921569999999999</v>
      </c>
      <c r="M6483">
        <v>0.99967989999999995</v>
      </c>
      <c r="N6483">
        <v>-7.409199E-3</v>
      </c>
      <c r="O6483">
        <v>2.419344E-2</v>
      </c>
      <c r="P6483">
        <v>0.98651489999999997</v>
      </c>
      <c r="Q6483">
        <v>-0.1285299</v>
      </c>
      <c r="R6483">
        <v>0.1013342</v>
      </c>
      <c r="S6483">
        <v>2.9881899999999999</v>
      </c>
      <c r="T6483">
        <v>-7.0553299999999999E-2</v>
      </c>
      <c r="U6483">
        <v>0.42535400000000001</v>
      </c>
      <c r="V6483">
        <v>-7.7296939999999995E-2</v>
      </c>
      <c r="W6483">
        <v>-0.12129040000000001</v>
      </c>
      <c r="X6483">
        <v>0.98960289999999995</v>
      </c>
      <c r="Y6483">
        <v>-0.1168916</v>
      </c>
      <c r="Z6483">
        <v>1.4185650000000001E-3</v>
      </c>
      <c r="AA6483">
        <v>0.99314369999999996</v>
      </c>
      <c r="AB6483">
        <v>19</v>
      </c>
      <c r="AC6483">
        <v>47.341199999999901</v>
      </c>
      <c r="AD6483">
        <v>-1.1204552549</v>
      </c>
      <c r="AE6483">
        <v>6.7516599999999896</v>
      </c>
      <c r="AF6483">
        <v>-5.6012307728160096</v>
      </c>
      <c r="AG6483">
        <v>-1.1204552549</v>
      </c>
      <c r="AH6483">
        <v>47.4646349422569</v>
      </c>
      <c r="AI6483">
        <v>91.342963875025703</v>
      </c>
      <c r="AJ6483">
        <v>96.730262763195995</v>
      </c>
      <c r="AK6483">
        <v>47.8071205611704</v>
      </c>
      <c r="AL6483">
        <v>96.966580800382701</v>
      </c>
      <c r="AM6483">
        <v>94.466250598653204</v>
      </c>
      <c r="AN6483">
        <v>1.0000000388769601</v>
      </c>
    </row>
    <row r="6484" spans="1:40" x14ac:dyDescent="0.25">
      <c r="A6484" t="str">
        <f>"20190303154939416"</f>
        <v>20190303154939416</v>
      </c>
      <c r="B6484" t="str">
        <f>"1551599379407021"</f>
        <v>1551599379407021</v>
      </c>
      <c r="C6484" t="s">
        <v>40</v>
      </c>
      <c r="D6484">
        <v>4.6488129999999996</v>
      </c>
      <c r="E6484">
        <v>0.4845238</v>
      </c>
      <c r="F6484" t="s">
        <v>41</v>
      </c>
      <c r="G6484">
        <v>-331.54219999999998</v>
      </c>
      <c r="H6484" s="1">
        <v>-4.6727399999999996E-6</v>
      </c>
      <c r="I6484">
        <v>24.811430000000001</v>
      </c>
      <c r="J6484">
        <v>-379.93389999999999</v>
      </c>
      <c r="K6484">
        <v>1.1204499999999999</v>
      </c>
      <c r="L6484">
        <v>17.924710000000001</v>
      </c>
      <c r="M6484">
        <v>0.99966759999999999</v>
      </c>
      <c r="N6484">
        <v>-7.4131179999999998E-3</v>
      </c>
      <c r="O6484">
        <v>2.46958E-2</v>
      </c>
      <c r="P6484">
        <v>0.98659079999999999</v>
      </c>
      <c r="Q6484">
        <v>-0.1282643</v>
      </c>
      <c r="R6484">
        <v>0.1009308</v>
      </c>
      <c r="S6484">
        <v>2.9884029999999999</v>
      </c>
      <c r="T6484">
        <v>-6.9042919999999994E-2</v>
      </c>
      <c r="U6484">
        <v>0.42456050000000001</v>
      </c>
      <c r="V6484">
        <v>-7.6395809999999995E-2</v>
      </c>
      <c r="W6484">
        <v>-0.12101870000000001</v>
      </c>
      <c r="X6484">
        <v>0.98970610000000003</v>
      </c>
      <c r="Y6484">
        <v>-0.1161258</v>
      </c>
      <c r="Z6484">
        <v>1.3821370000000001E-3</v>
      </c>
      <c r="AA6484">
        <v>0.99323360000000005</v>
      </c>
      <c r="AB6484">
        <v>20</v>
      </c>
      <c r="AC6484">
        <v>48.3917</v>
      </c>
      <c r="AD6484">
        <v>-1.12045467274</v>
      </c>
      <c r="AE6484">
        <v>6.8867199999999897</v>
      </c>
      <c r="AF6484">
        <v>-5.6865269856952398</v>
      </c>
      <c r="AG6484">
        <v>-1.12045467274</v>
      </c>
      <c r="AH6484">
        <v>48.521521950270802</v>
      </c>
      <c r="AI6484">
        <v>91.313845145969495</v>
      </c>
      <c r="AJ6484">
        <v>96.684343008967602</v>
      </c>
      <c r="AK6484">
        <v>48.866451684190402</v>
      </c>
      <c r="AL6484">
        <v>96.950898249787599</v>
      </c>
      <c r="AM6484">
        <v>94.413931445369101</v>
      </c>
      <c r="AN6484">
        <v>1.0000000049562201</v>
      </c>
    </row>
    <row r="6485" spans="1:40" x14ac:dyDescent="0.25">
      <c r="A6485" t="str">
        <f>"20190303154939438"</f>
        <v>20190303154939438</v>
      </c>
      <c r="B6485" t="str">
        <f>"1551599379427516"</f>
        <v>1551599379427516</v>
      </c>
      <c r="C6485" t="s">
        <v>40</v>
      </c>
      <c r="D6485">
        <v>4.6766069999999997</v>
      </c>
      <c r="E6485">
        <v>0.48421059999999999</v>
      </c>
      <c r="F6485" t="s">
        <v>41</v>
      </c>
      <c r="G6485">
        <v>-330.96690000000001</v>
      </c>
      <c r="H6485" s="1">
        <v>-4.8785690000000004E-6</v>
      </c>
      <c r="I6485">
        <v>24.86806</v>
      </c>
      <c r="J6485">
        <v>-379.75349999999997</v>
      </c>
      <c r="K6485">
        <v>1.1204400000000001</v>
      </c>
      <c r="L6485">
        <v>17.930109999999999</v>
      </c>
      <c r="M6485">
        <v>0.99964620000000004</v>
      </c>
      <c r="N6485">
        <v>-7.4200050000000004E-3</v>
      </c>
      <c r="O6485">
        <v>2.554209E-2</v>
      </c>
      <c r="P6485">
        <v>0.98668929999999999</v>
      </c>
      <c r="Q6485">
        <v>-0.128001</v>
      </c>
      <c r="R6485">
        <v>0.1002999</v>
      </c>
      <c r="S6485">
        <v>2.9885250000000001</v>
      </c>
      <c r="T6485">
        <v>-6.8382860000000004E-2</v>
      </c>
      <c r="U6485">
        <v>0.42376710000000001</v>
      </c>
      <c r="V6485">
        <v>-7.4928209999999995E-2</v>
      </c>
      <c r="W6485">
        <v>-0.1207442</v>
      </c>
      <c r="X6485">
        <v>0.98985179999999995</v>
      </c>
      <c r="Y6485">
        <v>-0.11502179999999999</v>
      </c>
      <c r="Z6485">
        <v>1.3456799999999999E-3</v>
      </c>
      <c r="AA6485">
        <v>0.99336210000000003</v>
      </c>
      <c r="AB6485">
        <v>20</v>
      </c>
      <c r="AC6485">
        <v>48.7865999999999</v>
      </c>
      <c r="AD6485">
        <v>-1.120444878569</v>
      </c>
      <c r="AE6485">
        <v>6.9379499999999998</v>
      </c>
      <c r="AF6485">
        <v>-5.6866003760772603</v>
      </c>
      <c r="AG6485">
        <v>-1.120444878569</v>
      </c>
      <c r="AH6485">
        <v>48.9226043687909</v>
      </c>
      <c r="AI6485">
        <v>91.303210083463</v>
      </c>
      <c r="AJ6485">
        <v>96.630117402725304</v>
      </c>
      <c r="AK6485">
        <v>49.264734230363501</v>
      </c>
      <c r="AL6485">
        <v>96.935054463142194</v>
      </c>
      <c r="AM6485">
        <v>94.328828407656303</v>
      </c>
      <c r="AN6485">
        <v>0.99999999222534197</v>
      </c>
    </row>
    <row r="6486" spans="1:40" x14ac:dyDescent="0.25">
      <c r="A6486" t="str">
        <f>"20190303154939459"</f>
        <v>20190303154939459</v>
      </c>
      <c r="B6486" t="str">
        <f>"1551599379447036"</f>
        <v>1551599379447036</v>
      </c>
      <c r="C6486" t="s">
        <v>40</v>
      </c>
      <c r="D6486">
        <v>4.6792579999999999</v>
      </c>
      <c r="E6486">
        <v>0.48403980000000002</v>
      </c>
      <c r="F6486" t="s">
        <v>41</v>
      </c>
      <c r="G6486">
        <v>-331.6678</v>
      </c>
      <c r="H6486" s="1">
        <v>-4.6219099999999996E-6</v>
      </c>
      <c r="I6486">
        <v>24.765820000000001</v>
      </c>
      <c r="J6486">
        <v>-379.56349999999998</v>
      </c>
      <c r="K6486">
        <v>1.120436</v>
      </c>
      <c r="L6486">
        <v>17.935970000000001</v>
      </c>
      <c r="M6486">
        <v>0.99962379999999995</v>
      </c>
      <c r="N6486">
        <v>-7.4277459999999998E-3</v>
      </c>
      <c r="O6486">
        <v>2.6405310000000001E-2</v>
      </c>
      <c r="P6486">
        <v>0.98696110000000004</v>
      </c>
      <c r="Q6486">
        <v>-0.12642919999999999</v>
      </c>
      <c r="R6486">
        <v>9.9619780000000005E-2</v>
      </c>
      <c r="S6486">
        <v>2.988251</v>
      </c>
      <c r="T6486">
        <v>-6.9629189999999994E-2</v>
      </c>
      <c r="U6486">
        <v>0.42480469999999998</v>
      </c>
      <c r="V6486">
        <v>-7.3393639999999996E-2</v>
      </c>
      <c r="W6486">
        <v>-0.1191579</v>
      </c>
      <c r="X6486">
        <v>0.99015900000000001</v>
      </c>
      <c r="Y6486">
        <v>-0.114514</v>
      </c>
      <c r="Z6486">
        <v>1.3382660000000001E-3</v>
      </c>
      <c r="AA6486">
        <v>0.99342070000000005</v>
      </c>
      <c r="AB6486">
        <v>20</v>
      </c>
      <c r="AC6486">
        <v>47.895699999999898</v>
      </c>
      <c r="AD6486">
        <v>-1.12044062191</v>
      </c>
      <c r="AE6486">
        <v>6.8298500000000004</v>
      </c>
      <c r="AF6486">
        <v>-5.5597509014966198</v>
      </c>
      <c r="AG6486">
        <v>-1.12044062191</v>
      </c>
      <c r="AH6486">
        <v>48.033585578843102</v>
      </c>
      <c r="AI6486">
        <v>91.327391001148101</v>
      </c>
      <c r="AJ6486">
        <v>96.6024429122632</v>
      </c>
      <c r="AK6486">
        <v>48.367257115056297</v>
      </c>
      <c r="AL6486">
        <v>96.8435048360992</v>
      </c>
      <c r="AM6486">
        <v>94.239187600283302</v>
      </c>
      <c r="AN6486">
        <v>1.00000003840292</v>
      </c>
    </row>
    <row r="6487" spans="1:40" x14ac:dyDescent="0.25">
      <c r="A6487" t="str">
        <f>"20190303154939482"</f>
        <v>20190303154939482</v>
      </c>
      <c r="B6487" t="str">
        <f>"1551599379477293"</f>
        <v>1551599379477293</v>
      </c>
      <c r="C6487" t="s">
        <v>40</v>
      </c>
      <c r="D6487">
        <v>4.6864489999999996</v>
      </c>
      <c r="E6487">
        <v>0.48109289999999999</v>
      </c>
      <c r="F6487" t="s">
        <v>41</v>
      </c>
      <c r="G6487">
        <v>-329.61059999999998</v>
      </c>
      <c r="H6487" s="1">
        <v>-1.604781E-6</v>
      </c>
      <c r="I6487">
        <v>25.02918</v>
      </c>
      <c r="J6487">
        <v>-379.36919999999998</v>
      </c>
      <c r="K6487">
        <v>1.120425</v>
      </c>
      <c r="L6487">
        <v>17.942139999999998</v>
      </c>
      <c r="M6487">
        <v>0.99960119999999997</v>
      </c>
      <c r="N6487">
        <v>-7.4432200000000004E-3</v>
      </c>
      <c r="O6487">
        <v>2.7244580000000001E-2</v>
      </c>
      <c r="P6487">
        <v>0.98723139999999998</v>
      </c>
      <c r="Q6487">
        <v>-0.1239625</v>
      </c>
      <c r="R6487">
        <v>0.1000388</v>
      </c>
      <c r="S6487">
        <v>2.9881899999999999</v>
      </c>
      <c r="T6487">
        <v>-6.7024710000000001E-2</v>
      </c>
      <c r="U6487">
        <v>0.42431639999999998</v>
      </c>
      <c r="V6487">
        <v>-7.2984289999999993E-2</v>
      </c>
      <c r="W6487">
        <v>-0.1166686</v>
      </c>
      <c r="X6487">
        <v>0.99048559999999997</v>
      </c>
      <c r="Y6487">
        <v>-0.11352619999999999</v>
      </c>
      <c r="Z6487">
        <v>1.2856219999999999E-3</v>
      </c>
      <c r="AA6487">
        <v>0.99353409999999998</v>
      </c>
      <c r="AB6487">
        <v>20</v>
      </c>
      <c r="AC6487">
        <v>49.758600000000001</v>
      </c>
      <c r="AD6487">
        <v>-1.1204266047810001</v>
      </c>
      <c r="AE6487">
        <v>7.08704</v>
      </c>
      <c r="AF6487">
        <v>-5.7258741232553696</v>
      </c>
      <c r="AG6487">
        <v>-1.1204266047810001</v>
      </c>
      <c r="AH6487">
        <v>49.908415464561401</v>
      </c>
      <c r="AI6487">
        <v>91.277675976306199</v>
      </c>
      <c r="AJ6487">
        <v>96.544793850891807</v>
      </c>
      <c r="AK6487">
        <v>50.2482927514491</v>
      </c>
      <c r="AL6487">
        <v>96.699876736096698</v>
      </c>
      <c r="AM6487">
        <v>94.214244141517696</v>
      </c>
      <c r="AN6487">
        <v>0.99999999631006198</v>
      </c>
    </row>
    <row r="6488" spans="1:40" x14ac:dyDescent="0.25">
      <c r="A6488" t="str">
        <f>"20190303154939493"</f>
        <v>20190303154939493</v>
      </c>
      <c r="B6488" t="str">
        <f>"1551599379487053"</f>
        <v>1551599379487053</v>
      </c>
      <c r="C6488" t="s">
        <v>40</v>
      </c>
      <c r="D6488">
        <v>4.637562</v>
      </c>
      <c r="E6488">
        <v>0.48114309999999899</v>
      </c>
      <c r="F6488" t="s">
        <v>41</v>
      </c>
      <c r="G6488">
        <v>-339.12689999999998</v>
      </c>
      <c r="H6488" s="1">
        <v>-1.5242209999999999E-6</v>
      </c>
      <c r="I6488">
        <v>24.00348</v>
      </c>
      <c r="J6488">
        <v>-379.25619999999998</v>
      </c>
      <c r="K6488">
        <v>1.120412</v>
      </c>
      <c r="L6488">
        <v>17.945740000000001</v>
      </c>
      <c r="M6488">
        <v>0.99958849999999999</v>
      </c>
      <c r="N6488">
        <v>-7.4577999999999997E-3</v>
      </c>
      <c r="O6488">
        <v>2.7701900000000002E-2</v>
      </c>
      <c r="P6488">
        <v>0.9873845</v>
      </c>
      <c r="Q6488">
        <v>-0.1224976</v>
      </c>
      <c r="R6488">
        <v>0.10033060000000001</v>
      </c>
      <c r="S6488">
        <v>2.9828190000000001</v>
      </c>
      <c r="T6488">
        <v>-8.3047389999999999E-2</v>
      </c>
      <c r="U6488">
        <v>0.44927980000000001</v>
      </c>
      <c r="V6488">
        <v>-7.2826009999999997E-2</v>
      </c>
      <c r="W6488">
        <v>-0.1151843</v>
      </c>
      <c r="X6488">
        <v>0.99067099999999997</v>
      </c>
      <c r="Y6488">
        <v>-0.1214387</v>
      </c>
      <c r="Z6488">
        <v>1.575438E-3</v>
      </c>
      <c r="AA6488">
        <v>0.99259770000000003</v>
      </c>
      <c r="AB6488">
        <v>20</v>
      </c>
      <c r="AC6488">
        <v>40.129300000000001</v>
      </c>
      <c r="AD6488">
        <v>-1.120413524221</v>
      </c>
      <c r="AE6488">
        <v>6.0577399999999901</v>
      </c>
      <c r="AF6488">
        <v>-4.9399613573499703</v>
      </c>
      <c r="AG6488">
        <v>-1.120413524221</v>
      </c>
      <c r="AH6488">
        <v>40.251036367185101</v>
      </c>
      <c r="AI6488">
        <v>91.582585128279405</v>
      </c>
      <c r="AJ6488">
        <v>96.996852516206403</v>
      </c>
      <c r="AK6488">
        <v>40.568515788845801</v>
      </c>
      <c r="AL6488">
        <v>96.614255031985905</v>
      </c>
      <c r="AM6488">
        <v>94.204353437970795</v>
      </c>
      <c r="AN6488">
        <v>1.00000004047</v>
      </c>
    </row>
    <row r="6489" spans="1:40" x14ac:dyDescent="0.25">
      <c r="A6489" t="str">
        <f>"20190303154939505"</f>
        <v>20190303154939505</v>
      </c>
      <c r="B6489" t="str">
        <f>"1551599379497789"</f>
        <v>1551599379497789</v>
      </c>
      <c r="C6489" t="s">
        <v>40</v>
      </c>
      <c r="D6489">
        <v>4.6398619999999999</v>
      </c>
      <c r="E6489">
        <v>0.4814734</v>
      </c>
      <c r="F6489" t="s">
        <v>41</v>
      </c>
      <c r="G6489">
        <v>-336.90300000000002</v>
      </c>
      <c r="H6489" s="1">
        <v>-2.5660890000000002E-6</v>
      </c>
      <c r="I6489">
        <v>24.333680000000001</v>
      </c>
      <c r="J6489">
        <v>-379.1533</v>
      </c>
      <c r="K6489">
        <v>1.1204000000000001</v>
      </c>
      <c r="L6489">
        <v>17.949100000000001</v>
      </c>
      <c r="M6489">
        <v>0.99957700000000005</v>
      </c>
      <c r="N6489">
        <v>-7.4724969999999998E-3</v>
      </c>
      <c r="O6489">
        <v>2.8107969999999999E-2</v>
      </c>
      <c r="P6489">
        <v>0.98744330000000002</v>
      </c>
      <c r="Q6489">
        <v>-0.12144779999999999</v>
      </c>
      <c r="R6489">
        <v>0.1010272</v>
      </c>
      <c r="S6489">
        <v>2.9828190000000001</v>
      </c>
      <c r="T6489">
        <v>-7.8907610000000003E-2</v>
      </c>
      <c r="U6489">
        <v>0.44989010000000001</v>
      </c>
      <c r="V6489">
        <v>-7.3124649999999999E-2</v>
      </c>
      <c r="W6489">
        <v>-0.1141161</v>
      </c>
      <c r="X6489">
        <v>0.9907726</v>
      </c>
      <c r="Y6489">
        <v>-0.1212386</v>
      </c>
      <c r="Z6489">
        <v>1.5201310000000001E-3</v>
      </c>
      <c r="AA6489">
        <v>0.99262229999999996</v>
      </c>
      <c r="AB6489">
        <v>20</v>
      </c>
      <c r="AC6489">
        <v>42.250299999999903</v>
      </c>
      <c r="AD6489">
        <v>-1.120402566089</v>
      </c>
      <c r="AE6489">
        <v>6.3845799999999899</v>
      </c>
      <c r="AF6489">
        <v>-5.1908851716460003</v>
      </c>
      <c r="AG6489">
        <v>-1.120402566089</v>
      </c>
      <c r="AH6489">
        <v>42.383928627850601</v>
      </c>
      <c r="AI6489">
        <v>91.503013706903801</v>
      </c>
      <c r="AJ6489">
        <v>96.982411050611901</v>
      </c>
      <c r="AK6489">
        <v>42.7153133747845</v>
      </c>
      <c r="AL6489">
        <v>96.552645544137803</v>
      </c>
      <c r="AM6489">
        <v>94.221100827280495</v>
      </c>
      <c r="AN6489">
        <v>1.0000000218137901</v>
      </c>
    </row>
    <row r="6490" spans="1:40" x14ac:dyDescent="0.25">
      <c r="A6490" t="str">
        <f>"20190303154939517"</f>
        <v>20190303154939517</v>
      </c>
      <c r="B6490" t="str">
        <f>"1551599379507549"</f>
        <v>1551599379507549</v>
      </c>
      <c r="C6490" t="s">
        <v>40</v>
      </c>
      <c r="D6490">
        <v>4.6789990000000001</v>
      </c>
      <c r="E6490">
        <v>0.48145149999999998</v>
      </c>
      <c r="F6490" t="s">
        <v>41</v>
      </c>
      <c r="G6490">
        <v>-334.82209999999998</v>
      </c>
      <c r="H6490" s="1">
        <v>-3.5244390000000001E-6</v>
      </c>
      <c r="I6490">
        <v>24.63025</v>
      </c>
      <c r="J6490">
        <v>-379.0521</v>
      </c>
      <c r="K6490">
        <v>1.120387</v>
      </c>
      <c r="L6490">
        <v>17.95233</v>
      </c>
      <c r="M6490">
        <v>0.99956599999999995</v>
      </c>
      <c r="N6490">
        <v>-7.488654E-3</v>
      </c>
      <c r="O6490">
        <v>2.8492980000000001E-2</v>
      </c>
      <c r="P6490">
        <v>0.98747669999999999</v>
      </c>
      <c r="Q6490">
        <v>-0.1207647</v>
      </c>
      <c r="R6490">
        <v>0.1015158</v>
      </c>
      <c r="S6490">
        <v>2.9828800000000002</v>
      </c>
      <c r="T6490">
        <v>-7.5387720000000005E-2</v>
      </c>
      <c r="U6490">
        <v>0.44955440000000002</v>
      </c>
      <c r="V6490">
        <v>-7.3235949999999994E-2</v>
      </c>
      <c r="W6490">
        <v>-0.11341320000000001</v>
      </c>
      <c r="X6490">
        <v>0.99084510000000003</v>
      </c>
      <c r="Y6490">
        <v>-0.1207478</v>
      </c>
      <c r="Z6490">
        <v>1.4685939999999999E-3</v>
      </c>
      <c r="AA6490">
        <v>0.99268219999999996</v>
      </c>
      <c r="AB6490">
        <v>20</v>
      </c>
      <c r="AC6490">
        <v>44.23</v>
      </c>
      <c r="AD6490">
        <v>-1.120390524439</v>
      </c>
      <c r="AE6490">
        <v>6.6779199999999896</v>
      </c>
      <c r="AF6490">
        <v>-5.4115338190300699</v>
      </c>
      <c r="AG6490">
        <v>-1.120390524439</v>
      </c>
      <c r="AH6490">
        <v>44.374481720320503</v>
      </c>
      <c r="AI6490">
        <v>91.435694996152804</v>
      </c>
      <c r="AJ6490">
        <v>96.952972300273501</v>
      </c>
      <c r="AK6490">
        <v>44.717274080033299</v>
      </c>
      <c r="AL6490">
        <v>96.512109079649207</v>
      </c>
      <c r="AM6490">
        <v>94.227194110641094</v>
      </c>
      <c r="AN6490">
        <v>1.00000003525032</v>
      </c>
    </row>
    <row r="6491" spans="1:40" x14ac:dyDescent="0.25">
      <c r="A6491" t="str">
        <f>"20190303154939537"</f>
        <v>20190303154939537</v>
      </c>
      <c r="B6491" t="str">
        <f>"1551599379527068"</f>
        <v>1551599379527068</v>
      </c>
      <c r="C6491" t="s">
        <v>40</v>
      </c>
      <c r="D6491">
        <v>4.6643660000000002</v>
      </c>
      <c r="E6491">
        <v>0.48115210000000003</v>
      </c>
      <c r="F6491" t="s">
        <v>41</v>
      </c>
      <c r="G6491">
        <v>-333.62970000000001</v>
      </c>
      <c r="H6491" s="1">
        <v>-3.9649930000000002E-6</v>
      </c>
      <c r="I6491">
        <v>24.82638</v>
      </c>
      <c r="J6491">
        <v>-378.87110000000001</v>
      </c>
      <c r="K6491">
        <v>1.1203669999999999</v>
      </c>
      <c r="L6491">
        <v>17.958279999999998</v>
      </c>
      <c r="M6491">
        <v>0.99954730000000003</v>
      </c>
      <c r="N6491">
        <v>-7.5215369999999896E-3</v>
      </c>
      <c r="O6491">
        <v>2.913402E-2</v>
      </c>
      <c r="P6491">
        <v>0.987487</v>
      </c>
      <c r="Q6491">
        <v>-0.1190648</v>
      </c>
      <c r="R6491">
        <v>0.10340820000000001</v>
      </c>
      <c r="S6491">
        <v>2.9826350000000001</v>
      </c>
      <c r="T6491">
        <v>-7.3569770000000007E-2</v>
      </c>
      <c r="U6491">
        <v>0.4513855</v>
      </c>
      <c r="V6491">
        <v>-7.4504600000000004E-2</v>
      </c>
      <c r="W6491">
        <v>-0.1116743</v>
      </c>
      <c r="X6491">
        <v>0.99094800000000005</v>
      </c>
      <c r="Y6491">
        <v>-0.1207208</v>
      </c>
      <c r="Z6491">
        <v>1.440907E-3</v>
      </c>
      <c r="AA6491">
        <v>0.99268540000000005</v>
      </c>
      <c r="AB6491">
        <v>20</v>
      </c>
      <c r="AC6491">
        <v>45.241399999999999</v>
      </c>
      <c r="AD6491">
        <v>-1.120370964993</v>
      </c>
      <c r="AE6491">
        <v>6.8681000000000001</v>
      </c>
      <c r="AF6491">
        <v>-5.5437601667950496</v>
      </c>
      <c r="AG6491">
        <v>-1.120370964993</v>
      </c>
      <c r="AH6491">
        <v>45.395083303636603</v>
      </c>
      <c r="AI6491">
        <v>91.403376495936499</v>
      </c>
      <c r="AJ6491">
        <v>96.962625995596596</v>
      </c>
      <c r="AK6491">
        <v>45.746060989228901</v>
      </c>
      <c r="AL6491">
        <v>96.411840560739194</v>
      </c>
      <c r="AM6491">
        <v>94.2997036521963</v>
      </c>
      <c r="AN6491">
        <v>1.00000001170282</v>
      </c>
    </row>
    <row r="6492" spans="1:40" x14ac:dyDescent="0.25">
      <c r="A6492" t="str">
        <f>"20190303154939550"</f>
        <v>20190303154939550</v>
      </c>
      <c r="B6492" t="str">
        <f>"1551599379537806"</f>
        <v>1551599379537806</v>
      </c>
      <c r="C6492" t="s">
        <v>40</v>
      </c>
      <c r="D6492">
        <v>4.6406150000000004</v>
      </c>
      <c r="E6492">
        <v>0.48113050000000002</v>
      </c>
      <c r="F6492" t="s">
        <v>41</v>
      </c>
      <c r="G6492">
        <v>-332.03840000000002</v>
      </c>
      <c r="H6492" s="1">
        <v>-4.570098E-6</v>
      </c>
      <c r="I6492">
        <v>25.18478</v>
      </c>
      <c r="J6492">
        <v>-378.76100000000002</v>
      </c>
      <c r="K6492">
        <v>1.120349</v>
      </c>
      <c r="L6492">
        <v>17.961879999999901</v>
      </c>
      <c r="M6492">
        <v>0.99953669999999994</v>
      </c>
      <c r="N6492">
        <v>-7.5450650000000001E-3</v>
      </c>
      <c r="O6492">
        <v>2.9485500000000001E-2</v>
      </c>
      <c r="P6492">
        <v>0.98750599999999999</v>
      </c>
      <c r="Q6492">
        <v>-0.1180826</v>
      </c>
      <c r="R6492">
        <v>0.1043471</v>
      </c>
      <c r="S6492">
        <v>2.9812319999999999</v>
      </c>
      <c r="T6492">
        <v>-7.1319460000000001E-2</v>
      </c>
      <c r="U6492">
        <v>0.46002199999999999</v>
      </c>
      <c r="V6492">
        <v>-7.5102370000000002E-2</v>
      </c>
      <c r="W6492">
        <v>-0.1106639</v>
      </c>
      <c r="X6492">
        <v>0.99101620000000001</v>
      </c>
      <c r="Y6492">
        <v>-0.12325179999999999</v>
      </c>
      <c r="Z6492">
        <v>1.4538229999999999E-3</v>
      </c>
      <c r="AA6492">
        <v>0.99237439999999999</v>
      </c>
      <c r="AB6492">
        <v>20</v>
      </c>
      <c r="AC6492">
        <v>46.7225999999999</v>
      </c>
      <c r="AD6492">
        <v>-1.1203535700980001</v>
      </c>
      <c r="AE6492">
        <v>7.2229000000000001</v>
      </c>
      <c r="AF6492">
        <v>-5.8388020209394202</v>
      </c>
      <c r="AG6492">
        <v>-1.1203535700980001</v>
      </c>
      <c r="AH6492">
        <v>46.888929982634998</v>
      </c>
      <c r="AI6492">
        <v>91.358265737143995</v>
      </c>
      <c r="AJ6492">
        <v>97.098167468607201</v>
      </c>
      <c r="AK6492">
        <v>47.264347621417599</v>
      </c>
      <c r="AL6492">
        <v>96.353587983411501</v>
      </c>
      <c r="AM6492">
        <v>94.333773252395602</v>
      </c>
      <c r="AN6492">
        <v>0.99999998670263301</v>
      </c>
    </row>
    <row r="6493" spans="1:40" x14ac:dyDescent="0.25">
      <c r="A6493" t="str">
        <f>"20190303154939563"</f>
        <v>20190303154939563</v>
      </c>
      <c r="B6493" t="str">
        <f>"1551599379557325"</f>
        <v>1551599379557325</v>
      </c>
      <c r="C6493" t="s">
        <v>40</v>
      </c>
      <c r="D6493">
        <v>4.6680440000000001</v>
      </c>
      <c r="E6493">
        <v>0.4810661</v>
      </c>
      <c r="F6493" t="s">
        <v>41</v>
      </c>
      <c r="G6493">
        <v>-330.03899999999999</v>
      </c>
      <c r="H6493" s="1">
        <v>-5.3125119999999999E-6</v>
      </c>
      <c r="I6493">
        <v>25.53436</v>
      </c>
      <c r="J6493">
        <v>-378.64569999999998</v>
      </c>
      <c r="K6493">
        <v>1.120331</v>
      </c>
      <c r="L6493">
        <v>17.965699999999998</v>
      </c>
      <c r="M6493">
        <v>0.99952629999999998</v>
      </c>
      <c r="N6493">
        <v>-7.5713500000000001E-3</v>
      </c>
      <c r="O6493">
        <v>2.983241E-2</v>
      </c>
      <c r="P6493">
        <v>0.98756299999999997</v>
      </c>
      <c r="Q6493">
        <v>-0.11686100000000001</v>
      </c>
      <c r="R6493">
        <v>0.1051812</v>
      </c>
      <c r="S6493">
        <v>2.980804</v>
      </c>
      <c r="T6493">
        <v>-6.8543080000000006E-2</v>
      </c>
      <c r="U6493">
        <v>0.46328740000000002</v>
      </c>
      <c r="V6493">
        <v>-7.5599639999999996E-2</v>
      </c>
      <c r="W6493">
        <v>-0.1094104</v>
      </c>
      <c r="X6493">
        <v>0.99111760000000004</v>
      </c>
      <c r="Y6493">
        <v>-0.1239927</v>
      </c>
      <c r="Z6493">
        <v>1.4325129999999901E-3</v>
      </c>
      <c r="AA6493">
        <v>0.99228209999999994</v>
      </c>
      <c r="AB6493">
        <v>20</v>
      </c>
      <c r="AC6493">
        <v>48.606699999999897</v>
      </c>
      <c r="AD6493">
        <v>-1.1203363125120001</v>
      </c>
      <c r="AE6493">
        <v>7.5686600000000004</v>
      </c>
      <c r="AF6493">
        <v>-6.1120244391085601</v>
      </c>
      <c r="AG6493">
        <v>-1.1203363125120001</v>
      </c>
      <c r="AH6493">
        <v>48.785558325769998</v>
      </c>
      <c r="AI6493">
        <v>91.305337327500297</v>
      </c>
      <c r="AJ6493">
        <v>97.141008023542</v>
      </c>
      <c r="AK6493">
        <v>49.179698020163698</v>
      </c>
      <c r="AL6493">
        <v>96.281328718541602</v>
      </c>
      <c r="AM6493">
        <v>94.361913169131498</v>
      </c>
      <c r="AN6493">
        <v>1.0000000191130201</v>
      </c>
    </row>
    <row r="6494" spans="1:40" x14ac:dyDescent="0.25">
      <c r="A6494" t="str">
        <f>"20190303154939581"</f>
        <v>20190303154939581</v>
      </c>
      <c r="B6494" t="str">
        <f>"1551599379577820"</f>
        <v>1551599379577820</v>
      </c>
      <c r="C6494" t="s">
        <v>40</v>
      </c>
      <c r="D6494">
        <v>4.6968500000000004</v>
      </c>
      <c r="E6494">
        <v>0.50949160000000004</v>
      </c>
      <c r="F6494" t="s">
        <v>41</v>
      </c>
      <c r="G6494">
        <v>-327.43939999999998</v>
      </c>
      <c r="H6494" s="1">
        <v>-2.8845819999999998E-6</v>
      </c>
      <c r="I6494">
        <v>25.9817</v>
      </c>
      <c r="J6494">
        <v>-378.47460000000001</v>
      </c>
      <c r="K6494">
        <v>1.120303</v>
      </c>
      <c r="L6494">
        <v>17.97137</v>
      </c>
      <c r="M6494">
        <v>0.99951270000000003</v>
      </c>
      <c r="N6494">
        <v>-7.6150860000000001E-3</v>
      </c>
      <c r="O6494">
        <v>3.0272279999999999E-2</v>
      </c>
      <c r="P6494">
        <v>0.98774260000000003</v>
      </c>
      <c r="Q6494">
        <v>-0.1142161</v>
      </c>
      <c r="R6494">
        <v>0.1063924</v>
      </c>
      <c r="S6494">
        <v>2.9803470000000001</v>
      </c>
      <c r="T6494">
        <v>-6.5206410000000006E-2</v>
      </c>
      <c r="U6494">
        <v>0.46655269999999999</v>
      </c>
      <c r="V6494">
        <v>-7.6383989999999999E-2</v>
      </c>
      <c r="W6494">
        <v>-0.1067111</v>
      </c>
      <c r="X6494">
        <v>0.99135169999999995</v>
      </c>
      <c r="Y6494">
        <v>-0.1246433</v>
      </c>
      <c r="Z6494">
        <v>1.404158E-3</v>
      </c>
      <c r="AA6494">
        <v>0.99220059999999999</v>
      </c>
      <c r="AB6494">
        <v>20</v>
      </c>
      <c r="AC6494">
        <v>51.035200000000003</v>
      </c>
      <c r="AD6494">
        <v>-1.120305884582</v>
      </c>
      <c r="AE6494">
        <v>8.0103299999999997</v>
      </c>
      <c r="AF6494">
        <v>-6.4586245207627897</v>
      </c>
      <c r="AG6494">
        <v>-1.120305884582</v>
      </c>
      <c r="AH6494">
        <v>51.230213684356201</v>
      </c>
      <c r="AI6494">
        <v>91.242913187554393</v>
      </c>
      <c r="AJ6494">
        <v>97.185406343733902</v>
      </c>
      <c r="AK6494">
        <v>51.647881951925498</v>
      </c>
      <c r="AL6494">
        <v>96.125759427556304</v>
      </c>
      <c r="AM6494">
        <v>94.405954285609795</v>
      </c>
      <c r="AN6494">
        <v>0.99999998294220904</v>
      </c>
    </row>
    <row r="6495" spans="1:40" x14ac:dyDescent="0.25">
      <c r="A6495" t="str">
        <f>"20190303154939594"</f>
        <v>20190303154939594</v>
      </c>
      <c r="B6495" t="str">
        <f>"1551599379587580"</f>
        <v>1551599379587580</v>
      </c>
      <c r="C6495" t="s">
        <v>40</v>
      </c>
      <c r="D6495">
        <v>4.703252</v>
      </c>
      <c r="E6495">
        <v>0.51227800000000001</v>
      </c>
      <c r="F6495" t="s">
        <v>41</v>
      </c>
      <c r="G6495">
        <v>-332.90050000000002</v>
      </c>
      <c r="H6495" s="1">
        <v>-3.579179E-6</v>
      </c>
      <c r="I6495">
        <v>21.687909999999999</v>
      </c>
      <c r="J6495">
        <v>-378.3569</v>
      </c>
      <c r="K6495">
        <v>1.1202799999999999</v>
      </c>
      <c r="L6495">
        <v>17.97522</v>
      </c>
      <c r="M6495">
        <v>0.99950499999999998</v>
      </c>
      <c r="N6495">
        <v>-7.6485640000000001E-3</v>
      </c>
      <c r="O6495">
        <v>3.051862E-2</v>
      </c>
      <c r="P6495">
        <v>0.98791980000000001</v>
      </c>
      <c r="Q6495">
        <v>-0.11261839999999999</v>
      </c>
      <c r="R6495">
        <v>0.10645060000000001</v>
      </c>
      <c r="S6495">
        <v>3.002319</v>
      </c>
      <c r="T6495">
        <v>-7.3803190000000005E-2</v>
      </c>
      <c r="U6495">
        <v>0.24484249999999999</v>
      </c>
      <c r="V6495">
        <v>-7.6204040000000001E-2</v>
      </c>
      <c r="W6495">
        <v>-0.1050711</v>
      </c>
      <c r="X6495">
        <v>0.99154070000000005</v>
      </c>
      <c r="Y6495">
        <v>-5.0809229999999997E-2</v>
      </c>
      <c r="Z6495">
        <v>3.02622E-4</v>
      </c>
      <c r="AA6495">
        <v>0.99870829999999999</v>
      </c>
      <c r="AB6495">
        <v>20</v>
      </c>
      <c r="AC6495">
        <v>45.456399999999903</v>
      </c>
      <c r="AD6495">
        <v>-1.120283579179</v>
      </c>
      <c r="AE6495">
        <v>3.7126899999999998</v>
      </c>
      <c r="AF6495">
        <v>-2.32225227572127</v>
      </c>
      <c r="AG6495">
        <v>-1.120283579179</v>
      </c>
      <c r="AH6495">
        <v>45.521068876576798</v>
      </c>
      <c r="AI6495">
        <v>91.407947067544498</v>
      </c>
      <c r="AJ6495">
        <v>92.920406116947802</v>
      </c>
      <c r="AK6495">
        <v>45.594030339463501</v>
      </c>
      <c r="AL6495">
        <v>96.0312630960928</v>
      </c>
      <c r="AM6495">
        <v>94.394780624904698</v>
      </c>
      <c r="AN6495">
        <v>0.99999997576201005</v>
      </c>
    </row>
    <row r="6496" spans="1:40" x14ac:dyDescent="0.25">
      <c r="A6496" t="str">
        <f>"20190303154939606"</f>
        <v>20190303154939606</v>
      </c>
      <c r="B6496" t="str">
        <f>"1551599379597341"</f>
        <v>1551599379597341</v>
      </c>
      <c r="C6496" t="s">
        <v>40</v>
      </c>
      <c r="D6496">
        <v>4.7388190000000003</v>
      </c>
      <c r="E6496">
        <v>0.51415509999999998</v>
      </c>
      <c r="F6496" t="s">
        <v>41</v>
      </c>
      <c r="G6496">
        <v>-337.31199999999899</v>
      </c>
      <c r="H6496" s="1">
        <v>-1.5091160000000001E-6</v>
      </c>
      <c r="I6496">
        <v>21.020569999999999</v>
      </c>
      <c r="J6496">
        <v>-378.25049999999999</v>
      </c>
      <c r="K6496">
        <v>1.1202510000000001</v>
      </c>
      <c r="L6496">
        <v>17.9787</v>
      </c>
      <c r="M6496">
        <v>0.99949869999999996</v>
      </c>
      <c r="N6496">
        <v>-7.6797050000000002E-3</v>
      </c>
      <c r="O6496">
        <v>3.071523E-2</v>
      </c>
      <c r="P6496">
        <v>0.98815580000000003</v>
      </c>
      <c r="Q6496">
        <v>-0.1110742</v>
      </c>
      <c r="R6496">
        <v>0.1058815</v>
      </c>
      <c r="S6496">
        <v>3.0033259999999999</v>
      </c>
      <c r="T6496">
        <v>-8.1972840000000005E-2</v>
      </c>
      <c r="U6496">
        <v>0.22283939999999999</v>
      </c>
      <c r="V6496">
        <v>-7.5443560000000007E-2</v>
      </c>
      <c r="W6496">
        <v>-0.1034871</v>
      </c>
      <c r="X6496">
        <v>0.99176540000000002</v>
      </c>
      <c r="Y6496">
        <v>-4.3312589999999998E-2</v>
      </c>
      <c r="Z6496">
        <v>1.556785E-4</v>
      </c>
      <c r="AA6496">
        <v>0.99906159999999999</v>
      </c>
      <c r="AB6496">
        <v>20</v>
      </c>
      <c r="AC6496">
        <v>40.938499999999998</v>
      </c>
      <c r="AD6496">
        <v>-1.1202525091159901</v>
      </c>
      <c r="AE6496">
        <v>3.0418699999999999</v>
      </c>
      <c r="AF6496">
        <v>-1.7816354268763801</v>
      </c>
      <c r="AG6496">
        <v>-1.1202525091159901</v>
      </c>
      <c r="AH6496">
        <v>40.982098532075803</v>
      </c>
      <c r="AI6496">
        <v>91.564322977386496</v>
      </c>
      <c r="AJ6496">
        <v>92.489280891004</v>
      </c>
      <c r="AK6496">
        <v>41.036101064443898</v>
      </c>
      <c r="AL6496">
        <v>95.940009155054298</v>
      </c>
      <c r="AM6496">
        <v>94.350110053610607</v>
      </c>
      <c r="AN6496">
        <v>0.99999995962452004</v>
      </c>
    </row>
    <row r="6497" spans="1:40" x14ac:dyDescent="0.25">
      <c r="A6497" t="str">
        <f>"20190303154939626"</f>
        <v>20190303154939626</v>
      </c>
      <c r="B6497" t="str">
        <f>"1551599379616860"</f>
        <v>1551599379616860</v>
      </c>
      <c r="C6497" t="s">
        <v>40</v>
      </c>
      <c r="D6497">
        <v>4.7111780000000003</v>
      </c>
      <c r="E6497">
        <v>0.51631320000000003</v>
      </c>
      <c r="F6497" t="s">
        <v>41</v>
      </c>
      <c r="G6497">
        <v>-338.7953</v>
      </c>
      <c r="H6497" s="1">
        <v>-7.834012E-7</v>
      </c>
      <c r="I6497">
        <v>20.684740000000001</v>
      </c>
      <c r="J6497">
        <v>-378.07310000000001</v>
      </c>
      <c r="K6497">
        <v>1.1201989999999999</v>
      </c>
      <c r="L6497">
        <v>17.984500000000001</v>
      </c>
      <c r="M6497">
        <v>0.9994904</v>
      </c>
      <c r="N6497">
        <v>-7.7338939999999998E-3</v>
      </c>
      <c r="O6497">
        <v>3.096935E-2</v>
      </c>
      <c r="P6497">
        <v>0.98854430000000004</v>
      </c>
      <c r="Q6497">
        <v>-0.1096573</v>
      </c>
      <c r="R6497">
        <v>0.1037086</v>
      </c>
      <c r="S6497">
        <v>3.0042719999999998</v>
      </c>
      <c r="T6497">
        <v>-8.530045E-2</v>
      </c>
      <c r="U6497">
        <v>0.20605470000000001</v>
      </c>
      <c r="V6497">
        <v>-7.3023859999999996E-2</v>
      </c>
      <c r="W6497">
        <v>-0.10200140000000001</v>
      </c>
      <c r="X6497">
        <v>0.99210039999999999</v>
      </c>
      <c r="Y6497">
        <v>-3.7483379999999997E-2</v>
      </c>
      <c r="Z6497" s="1">
        <v>3.8083639999999998E-5</v>
      </c>
      <c r="AA6497">
        <v>0.99929730000000005</v>
      </c>
      <c r="AB6497">
        <v>20</v>
      </c>
      <c r="AC6497">
        <v>39.277799999999999</v>
      </c>
      <c r="AD6497">
        <v>-1.1201997834012001</v>
      </c>
      <c r="AE6497">
        <v>2.7002399999999902</v>
      </c>
      <c r="AF6497">
        <v>-1.4813011771939899</v>
      </c>
      <c r="AG6497">
        <v>-1.1201997834012001</v>
      </c>
      <c r="AH6497">
        <v>39.310761439416403</v>
      </c>
      <c r="AI6497">
        <v>91.631102312053898</v>
      </c>
      <c r="AJ6497">
        <v>92.157988451515294</v>
      </c>
      <c r="AK6497">
        <v>39.354606664010703</v>
      </c>
      <c r="AL6497">
        <v>95.854431753313506</v>
      </c>
      <c r="AM6497">
        <v>94.2096823853839</v>
      </c>
      <c r="AN6497">
        <v>0.999999986705709</v>
      </c>
    </row>
    <row r="6498" spans="1:40" x14ac:dyDescent="0.25">
      <c r="A6498" t="str">
        <f>"20190303154939638"</f>
        <v>20190303154939638</v>
      </c>
      <c r="B6498" t="str">
        <f>"1551599379627597"</f>
        <v>1551599379627597</v>
      </c>
      <c r="C6498" t="s">
        <v>40</v>
      </c>
      <c r="D6498">
        <v>4.6900649999999997</v>
      </c>
      <c r="E6498">
        <v>0.51677550000000005</v>
      </c>
      <c r="F6498" t="s">
        <v>41</v>
      </c>
      <c r="G6498">
        <v>-340.60820000000001</v>
      </c>
      <c r="H6498" s="1">
        <v>-4.1809089999999997E-6</v>
      </c>
      <c r="I6498">
        <v>20.253440000000001</v>
      </c>
      <c r="J6498">
        <v>-377.95870000000002</v>
      </c>
      <c r="K6498">
        <v>1.1201589999999999</v>
      </c>
      <c r="L6498">
        <v>17.988189999999999</v>
      </c>
      <c r="M6498">
        <v>0.9994866</v>
      </c>
      <c r="N6498">
        <v>-7.7702709999999996E-3</v>
      </c>
      <c r="O6498">
        <v>3.1084959999999998E-2</v>
      </c>
      <c r="P6498">
        <v>0.98882740000000002</v>
      </c>
      <c r="Q6498">
        <v>-0.10886129999999999</v>
      </c>
      <c r="R6498">
        <v>0.10183109999999999</v>
      </c>
      <c r="S6498">
        <v>3.0057070000000001</v>
      </c>
      <c r="T6498">
        <v>-8.9870690000000003E-2</v>
      </c>
      <c r="U6498">
        <v>0.18203739999999999</v>
      </c>
      <c r="V6498">
        <v>-7.1035390000000004E-2</v>
      </c>
      <c r="W6498">
        <v>-0.1011594</v>
      </c>
      <c r="X6498">
        <v>0.99233099999999996</v>
      </c>
      <c r="Y6498">
        <v>-2.9385970000000001E-2</v>
      </c>
      <c r="Z6498">
        <v>-1.3355809999999999E-4</v>
      </c>
      <c r="AA6498">
        <v>0.99956809999999996</v>
      </c>
      <c r="AB6498">
        <v>20</v>
      </c>
      <c r="AC6498">
        <v>37.350499999999997</v>
      </c>
      <c r="AD6498">
        <v>-1.12016318090899</v>
      </c>
      <c r="AE6498">
        <v>2.2652499999999902</v>
      </c>
      <c r="AF6498">
        <v>-1.1020938304921799</v>
      </c>
      <c r="AG6498">
        <v>-1.12016318090899</v>
      </c>
      <c r="AH6498">
        <v>37.369378309030203</v>
      </c>
      <c r="AI6498">
        <v>91.7162057599094</v>
      </c>
      <c r="AJ6498">
        <v>91.689271541967202</v>
      </c>
      <c r="AK6498">
        <v>37.402403820697003</v>
      </c>
      <c r="AL6498">
        <v>95.805937597025803</v>
      </c>
      <c r="AM6498">
        <v>94.094498000123195</v>
      </c>
      <c r="AN6498">
        <v>1.0000000322008999</v>
      </c>
    </row>
    <row r="6499" spans="1:40" x14ac:dyDescent="0.25">
      <c r="A6499" t="str">
        <f>"20190303154939652"</f>
        <v>20190303154939652</v>
      </c>
      <c r="B6499" t="str">
        <f>"1551599379647117"</f>
        <v>1551599379647117</v>
      </c>
      <c r="C6499" t="s">
        <v>40</v>
      </c>
      <c r="D6499">
        <v>4.6544879999999997</v>
      </c>
      <c r="E6499">
        <v>0.51755879999999999</v>
      </c>
      <c r="F6499" t="s">
        <v>41</v>
      </c>
      <c r="G6499">
        <v>-341.42739999999998</v>
      </c>
      <c r="H6499" s="1">
        <v>-3.7842339999999998E-6</v>
      </c>
      <c r="I6499">
        <v>20.083539999999999</v>
      </c>
      <c r="J6499">
        <v>-377.82709999999997</v>
      </c>
      <c r="K6499">
        <v>1.1201110000000001</v>
      </c>
      <c r="L6499">
        <v>17.992370000000001</v>
      </c>
      <c r="M6499">
        <v>0.99948440000000005</v>
      </c>
      <c r="N6499">
        <v>-7.8153679999999996E-3</v>
      </c>
      <c r="O6499">
        <v>3.1147620000000001E-2</v>
      </c>
      <c r="P6499">
        <v>0.98911289999999996</v>
      </c>
      <c r="Q6499">
        <v>-0.10797859999999999</v>
      </c>
      <c r="R6499">
        <v>9.9983100000000005E-2</v>
      </c>
      <c r="S6499">
        <v>3.0060120000000001</v>
      </c>
      <c r="T6499">
        <v>-9.2173580000000005E-2</v>
      </c>
      <c r="U6499">
        <v>0.1724243</v>
      </c>
      <c r="V6499">
        <v>-6.9130179999999999E-2</v>
      </c>
      <c r="W6499">
        <v>-0.1002209</v>
      </c>
      <c r="X6499">
        <v>0.99256069999999996</v>
      </c>
      <c r="Y6499">
        <v>-2.6133179999999999E-2</v>
      </c>
      <c r="Z6499">
        <v>-2.0799539999999999E-4</v>
      </c>
      <c r="AA6499">
        <v>0.99965850000000001</v>
      </c>
      <c r="AB6499">
        <v>20</v>
      </c>
      <c r="AC6499">
        <v>36.399700000000003</v>
      </c>
      <c r="AD6499">
        <v>-1.120114784234</v>
      </c>
      <c r="AE6499">
        <v>2.0911699999999902</v>
      </c>
      <c r="AF6499">
        <v>-0.95545502682105399</v>
      </c>
      <c r="AG6499">
        <v>-1.120114784234</v>
      </c>
      <c r="AH6499">
        <v>36.412806697814702</v>
      </c>
      <c r="AI6499">
        <v>91.761346140723901</v>
      </c>
      <c r="AJ6499">
        <v>91.503069574182007</v>
      </c>
      <c r="AK6499">
        <v>36.442558129891999</v>
      </c>
      <c r="AL6499">
        <v>95.751891152196094</v>
      </c>
      <c r="AM6499">
        <v>93.984120621278706</v>
      </c>
      <c r="AN6499">
        <v>0.99999997688406495</v>
      </c>
    </row>
    <row r="6500" spans="1:40" x14ac:dyDescent="0.25">
      <c r="A6500" t="str">
        <f>"20190303154939673"</f>
        <v>20190303154939673</v>
      </c>
      <c r="B6500" t="str">
        <f>"1551599379667613"</f>
        <v>1551599379667613</v>
      </c>
      <c r="C6500" t="s">
        <v>40</v>
      </c>
      <c r="D6500">
        <v>4.6982970000000002</v>
      </c>
      <c r="E6500">
        <v>0.51781719999999998</v>
      </c>
      <c r="F6500" t="s">
        <v>41</v>
      </c>
      <c r="G6500">
        <v>-342.66899999999998</v>
      </c>
      <c r="H6500" s="1">
        <v>-3.1943079999999999E-6</v>
      </c>
      <c r="I6500">
        <v>19.868110000000001</v>
      </c>
      <c r="J6500">
        <v>-377.6499</v>
      </c>
      <c r="K6500">
        <v>1.1200380000000001</v>
      </c>
      <c r="L6500">
        <v>17.997920000000001</v>
      </c>
      <c r="M6500">
        <v>0.99948429999999999</v>
      </c>
      <c r="N6500">
        <v>-7.8809989999999996E-3</v>
      </c>
      <c r="O6500">
        <v>3.1128119999999999E-2</v>
      </c>
      <c r="P6500">
        <v>0.98956129999999998</v>
      </c>
      <c r="Q6500">
        <v>-0.107409</v>
      </c>
      <c r="R6500">
        <v>9.6082780000000007E-2</v>
      </c>
      <c r="S6500">
        <v>3.006348</v>
      </c>
      <c r="T6500">
        <v>-9.5780130000000005E-2</v>
      </c>
      <c r="U6500">
        <v>0.1604004</v>
      </c>
      <c r="V6500">
        <v>-6.5257239999999994E-2</v>
      </c>
      <c r="W6500">
        <v>-9.9570489999999998E-2</v>
      </c>
      <c r="X6500">
        <v>0.99288829999999995</v>
      </c>
      <c r="Y6500">
        <v>-2.2162350000000001E-2</v>
      </c>
      <c r="Z6500">
        <v>-3.05135E-4</v>
      </c>
      <c r="AA6500">
        <v>0.99975429999999998</v>
      </c>
      <c r="AB6500">
        <v>20</v>
      </c>
      <c r="AC6500">
        <v>34.980899999999899</v>
      </c>
      <c r="AD6500">
        <v>-1.120041194308</v>
      </c>
      <c r="AE6500">
        <v>1.87019</v>
      </c>
      <c r="AF6500">
        <v>-0.77956322398113498</v>
      </c>
      <c r="AG6500">
        <v>-1.120041194308</v>
      </c>
      <c r="AH6500">
        <v>34.986398987772802</v>
      </c>
      <c r="AI6500">
        <v>91.833164231579104</v>
      </c>
      <c r="AJ6500">
        <v>91.276447253126094</v>
      </c>
      <c r="AK6500">
        <v>35.013002231010702</v>
      </c>
      <c r="AL6500">
        <v>95.714438023687606</v>
      </c>
      <c r="AM6500">
        <v>93.760336961535799</v>
      </c>
      <c r="AN6500">
        <v>0.99999998306407301</v>
      </c>
    </row>
    <row r="6501" spans="1:40" x14ac:dyDescent="0.25">
      <c r="A6501" t="str">
        <f>"20190303154939697"</f>
        <v>20190303154939697</v>
      </c>
      <c r="B6501" t="str">
        <f>"1551599379687133"</f>
        <v>1551599379687133</v>
      </c>
      <c r="C6501" t="s">
        <v>40</v>
      </c>
      <c r="D6501">
        <v>4.6778259999999996</v>
      </c>
      <c r="E6501">
        <v>0.51734290000000005</v>
      </c>
      <c r="F6501" t="s">
        <v>41</v>
      </c>
      <c r="G6501">
        <v>-344.84070000000003</v>
      </c>
      <c r="H6501" s="1">
        <v>-2.199982E-6</v>
      </c>
      <c r="I6501">
        <v>19.591809999999999</v>
      </c>
      <c r="J6501">
        <v>-377.42959999999999</v>
      </c>
      <c r="K6501">
        <v>1.1199209999999999</v>
      </c>
      <c r="L6501">
        <v>18.004639999999998</v>
      </c>
      <c r="M6501">
        <v>0.99949060000000001</v>
      </c>
      <c r="N6501">
        <v>-7.9694899999999992E-3</v>
      </c>
      <c r="O6501">
        <v>3.0903090000000001E-2</v>
      </c>
      <c r="P6501">
        <v>0.98989369999999999</v>
      </c>
      <c r="Q6501">
        <v>-0.10765660000000001</v>
      </c>
      <c r="R6501">
        <v>9.2305890000000002E-2</v>
      </c>
      <c r="S6501">
        <v>3.006348</v>
      </c>
      <c r="T6501">
        <v>-0.1026306</v>
      </c>
      <c r="U6501">
        <v>0.1460571</v>
      </c>
      <c r="V6501">
        <v>-6.1725479999999999E-2</v>
      </c>
      <c r="W6501">
        <v>-9.9710779999999999E-2</v>
      </c>
      <c r="X6501">
        <v>0.99309999999999998</v>
      </c>
      <c r="Y6501">
        <v>-1.7632740000000001E-2</v>
      </c>
      <c r="Z6501">
        <v>-4.365177E-4</v>
      </c>
      <c r="AA6501">
        <v>0.99984439999999997</v>
      </c>
      <c r="AB6501">
        <v>20</v>
      </c>
      <c r="AC6501">
        <v>32.588899999999903</v>
      </c>
      <c r="AD6501">
        <v>-1.1199231999820001</v>
      </c>
      <c r="AE6501">
        <v>1.58717</v>
      </c>
      <c r="AF6501">
        <v>-0.57860049977485395</v>
      </c>
      <c r="AG6501">
        <v>-1.1199231999820001</v>
      </c>
      <c r="AH6501">
        <v>32.583994590329702</v>
      </c>
      <c r="AI6501">
        <v>91.968190887980995</v>
      </c>
      <c r="AJ6501">
        <v>91.017305684216296</v>
      </c>
      <c r="AK6501">
        <v>32.608368710728698</v>
      </c>
      <c r="AL6501">
        <v>95.7225164843762</v>
      </c>
      <c r="AM6501">
        <v>93.556606438049698</v>
      </c>
      <c r="AN6501">
        <v>0.999999942264717</v>
      </c>
    </row>
    <row r="6502" spans="1:40" x14ac:dyDescent="0.25">
      <c r="A6502" t="str">
        <f>"20190303154939717"</f>
        <v>20190303154939717</v>
      </c>
      <c r="B6502" t="str">
        <f>"1551599379707628"</f>
        <v>1551599379707628</v>
      </c>
      <c r="C6502" t="s">
        <v>40</v>
      </c>
      <c r="D6502">
        <v>4.6748209999999997</v>
      </c>
      <c r="E6502">
        <v>0.5107758</v>
      </c>
      <c r="F6502" t="s">
        <v>41</v>
      </c>
      <c r="G6502">
        <v>-348.35129999999998</v>
      </c>
      <c r="H6502" s="1">
        <v>-7.3838399999999998E-7</v>
      </c>
      <c r="I6502">
        <v>19.341339999999999</v>
      </c>
      <c r="J6502">
        <v>-377.2482</v>
      </c>
      <c r="K6502">
        <v>1.1198090000000001</v>
      </c>
      <c r="L6502">
        <v>18.009920000000001</v>
      </c>
      <c r="M6502">
        <v>0.99950150000000004</v>
      </c>
      <c r="N6502">
        <v>-8.0460329999999993E-3</v>
      </c>
      <c r="O6502">
        <v>3.0527769999999999E-2</v>
      </c>
      <c r="P6502">
        <v>0.9900622</v>
      </c>
      <c r="Q6502">
        <v>-0.1086432</v>
      </c>
      <c r="R6502">
        <v>8.9295669999999994E-2</v>
      </c>
      <c r="S6502">
        <v>3.005188</v>
      </c>
      <c r="T6502">
        <v>-0.1157416</v>
      </c>
      <c r="U6502">
        <v>0.1381531</v>
      </c>
      <c r="V6502">
        <v>-5.9114470000000002E-2</v>
      </c>
      <c r="W6502">
        <v>-0.10060520000000001</v>
      </c>
      <c r="X6502">
        <v>0.99316870000000002</v>
      </c>
      <c r="Y6502">
        <v>-1.540541E-2</v>
      </c>
      <c r="Z6502">
        <v>-5.7041190000000003E-4</v>
      </c>
      <c r="AA6502">
        <v>0.99988109999999997</v>
      </c>
      <c r="AB6502">
        <v>20</v>
      </c>
      <c r="AC6502">
        <v>28.896899999999999</v>
      </c>
      <c r="AD6502">
        <v>-1.119809738384</v>
      </c>
      <c r="AE6502">
        <v>1.3314199999999901</v>
      </c>
      <c r="AF6502">
        <v>-0.44794165372216299</v>
      </c>
      <c r="AG6502">
        <v>-1.119809738384</v>
      </c>
      <c r="AH6502">
        <v>28.880798733842699</v>
      </c>
      <c r="AI6502">
        <v>92.220179040179602</v>
      </c>
      <c r="AJ6502">
        <v>90.8885872150084</v>
      </c>
      <c r="AK6502">
        <v>28.905971028146599</v>
      </c>
      <c r="AL6502">
        <v>95.774021657604607</v>
      </c>
      <c r="AM6502">
        <v>93.406287707316295</v>
      </c>
      <c r="AN6502">
        <v>0.99999999674505502</v>
      </c>
    </row>
    <row r="6503" spans="1:40" x14ac:dyDescent="0.25">
      <c r="A6503" t="str">
        <f>"20190303154939732"</f>
        <v>20190303154939732</v>
      </c>
      <c r="B6503" t="str">
        <f>"1551599379727150"</f>
        <v>1551599379727150</v>
      </c>
      <c r="C6503" t="s">
        <v>40</v>
      </c>
      <c r="D6503">
        <v>4.6186319999999998</v>
      </c>
      <c r="E6503">
        <v>0.51191260000000005</v>
      </c>
      <c r="F6503" t="s">
        <v>66</v>
      </c>
      <c r="G6503">
        <v>-361.00200000000001</v>
      </c>
      <c r="H6503" s="1">
        <v>-4.3638469999999999E-6</v>
      </c>
      <c r="I6503">
        <v>18.99634</v>
      </c>
      <c r="J6503">
        <v>-377.11259999999999</v>
      </c>
      <c r="K6503">
        <v>1.1197109999999999</v>
      </c>
      <c r="L6503">
        <v>18.013639999999999</v>
      </c>
      <c r="M6503">
        <v>0.9995134</v>
      </c>
      <c r="N6503">
        <v>-8.1058409999999904E-3</v>
      </c>
      <c r="O6503">
        <v>3.0126500000000001E-2</v>
      </c>
      <c r="P6503">
        <v>0.99016150000000003</v>
      </c>
      <c r="Q6503">
        <v>-0.1090378</v>
      </c>
      <c r="R6503">
        <v>8.7699650000000004E-2</v>
      </c>
      <c r="S6503">
        <v>2.9910890000000001</v>
      </c>
      <c r="T6503">
        <v>-0.20616889999999999</v>
      </c>
      <c r="U6503">
        <v>0.1816101</v>
      </c>
      <c r="V6503">
        <v>-5.7938049999999998E-2</v>
      </c>
      <c r="W6503">
        <v>-0.10092760000000001</v>
      </c>
      <c r="X6503">
        <v>0.99320529999999996</v>
      </c>
      <c r="Y6503">
        <v>-3.0480699999999999E-2</v>
      </c>
      <c r="Z6503">
        <v>-6.5558079999999996E-4</v>
      </c>
      <c r="AA6503">
        <v>0.99953510000000001</v>
      </c>
      <c r="AB6503">
        <v>20</v>
      </c>
      <c r="AC6503">
        <v>16.110600000000002</v>
      </c>
      <c r="AD6503">
        <v>-1.1197153638470001</v>
      </c>
      <c r="AE6503">
        <v>0.98270000000000102</v>
      </c>
      <c r="AF6503">
        <v>-0.494502227812674</v>
      </c>
      <c r="AG6503">
        <v>-1.1197153638470001</v>
      </c>
      <c r="AH6503">
        <v>16.055623945685198</v>
      </c>
      <c r="AI6503">
        <v>93.987450044431398</v>
      </c>
      <c r="AJ6503">
        <v>91.7641131210639</v>
      </c>
      <c r="AK6503">
        <v>16.102215848590699</v>
      </c>
      <c r="AL6503">
        <v>95.792588399088004</v>
      </c>
      <c r="AM6503">
        <v>93.338532299876704</v>
      </c>
      <c r="AN6503">
        <v>0.99999998301382598</v>
      </c>
    </row>
    <row r="6504" spans="1:40" x14ac:dyDescent="0.25">
      <c r="A6504" t="str">
        <f>"20190303154939749"</f>
        <v>20190303154939749</v>
      </c>
      <c r="B6504" t="str">
        <f>"1551599379736909"</f>
        <v>1551599379736909</v>
      </c>
      <c r="C6504" t="s">
        <v>40</v>
      </c>
      <c r="D6504">
        <v>4.622077</v>
      </c>
      <c r="E6504">
        <v>0.51194830000000002</v>
      </c>
      <c r="F6504" t="s">
        <v>41</v>
      </c>
      <c r="G6504">
        <v>-359.10579999999999</v>
      </c>
      <c r="H6504" s="1">
        <v>-4.714149E-7</v>
      </c>
      <c r="I6504">
        <v>19.021599999999999</v>
      </c>
      <c r="J6504">
        <v>-376.9477</v>
      </c>
      <c r="K6504">
        <v>1.1195999999999999</v>
      </c>
      <c r="L6504">
        <v>18.01801</v>
      </c>
      <c r="M6504">
        <v>0.99953069999999999</v>
      </c>
      <c r="N6504">
        <v>-8.1833289999999996E-3</v>
      </c>
      <c r="O6504">
        <v>2.9518010000000001E-2</v>
      </c>
      <c r="P6504">
        <v>0.990371</v>
      </c>
      <c r="Q6504">
        <v>-0.1094397</v>
      </c>
      <c r="R6504">
        <v>8.4784150000000003E-2</v>
      </c>
      <c r="S6504">
        <v>2.9944459999999999</v>
      </c>
      <c r="T6504">
        <v>-0.18620200000000001</v>
      </c>
      <c r="U6504">
        <v>0.16763310000000001</v>
      </c>
      <c r="V6504">
        <v>-5.56515E-2</v>
      </c>
      <c r="W6504">
        <v>-0.1012383</v>
      </c>
      <c r="X6504">
        <v>0.99330439999999998</v>
      </c>
      <c r="Y6504">
        <v>-2.6381950000000001E-2</v>
      </c>
      <c r="Z6504">
        <v>-6.6351219999999996E-4</v>
      </c>
      <c r="AA6504">
        <v>0.99965170000000003</v>
      </c>
      <c r="AB6504">
        <v>21</v>
      </c>
      <c r="AC6504">
        <v>17.841899999999999</v>
      </c>
      <c r="AD6504">
        <v>-1.1196004714148999</v>
      </c>
      <c r="AE6504">
        <v>1.00358999999999</v>
      </c>
      <c r="AF6504">
        <v>-0.47461460962101998</v>
      </c>
      <c r="AG6504">
        <v>-1.1196004714148999</v>
      </c>
      <c r="AH6504">
        <v>17.7939035426391</v>
      </c>
      <c r="AI6504">
        <v>93.599053525607403</v>
      </c>
      <c r="AJ6504">
        <v>91.527881044402605</v>
      </c>
      <c r="AK6504">
        <v>17.8354076916678</v>
      </c>
      <c r="AL6504">
        <v>95.810482000358206</v>
      </c>
      <c r="AM6504">
        <v>93.206737054925</v>
      </c>
      <c r="AN6504">
        <v>0.99999995694924904</v>
      </c>
    </row>
    <row r="6505" spans="1:40" x14ac:dyDescent="0.25">
      <c r="A6505" t="str">
        <f>"20190303154939762"</f>
        <v>20190303154939762</v>
      </c>
      <c r="B6505" t="str">
        <f>"1551599379757404"</f>
        <v>1551599379757404</v>
      </c>
      <c r="C6505" t="s">
        <v>40</v>
      </c>
      <c r="D6505">
        <v>4.6519680000000001</v>
      </c>
      <c r="E6505">
        <v>0.51204689999999997</v>
      </c>
      <c r="F6505" t="s">
        <v>41</v>
      </c>
      <c r="G6505">
        <v>-358.9973</v>
      </c>
      <c r="H6505" s="1">
        <v>-5.2745079999999997E-7</v>
      </c>
      <c r="I6505">
        <v>18.968119999999999</v>
      </c>
      <c r="J6505">
        <v>-376.82839999999999</v>
      </c>
      <c r="K6505">
        <v>1.1195200000000001</v>
      </c>
      <c r="L6505">
        <v>18.02103</v>
      </c>
      <c r="M6505">
        <v>0.99954529999999997</v>
      </c>
      <c r="N6505">
        <v>-8.2430699999999999E-3</v>
      </c>
      <c r="O6505">
        <v>2.9005969999999999E-2</v>
      </c>
      <c r="P6505">
        <v>0.99048610000000004</v>
      </c>
      <c r="Q6505">
        <v>-0.1094638</v>
      </c>
      <c r="R6505">
        <v>8.3397429999999995E-2</v>
      </c>
      <c r="S6505">
        <v>2.9949949999999999</v>
      </c>
      <c r="T6505">
        <v>-0.18680289999999999</v>
      </c>
      <c r="U6505">
        <v>0.15853879999999901</v>
      </c>
      <c r="V6505">
        <v>-5.4791119999999999E-2</v>
      </c>
      <c r="W6505">
        <v>-0.1011925</v>
      </c>
      <c r="X6505">
        <v>0.99335689999999999</v>
      </c>
      <c r="Y6505">
        <v>-2.3861879999999999E-2</v>
      </c>
      <c r="Z6505">
        <v>-7.253553E-4</v>
      </c>
      <c r="AA6505">
        <v>0.99971500000000002</v>
      </c>
      <c r="AB6505">
        <v>21</v>
      </c>
      <c r="AC6505">
        <v>17.8310999999999</v>
      </c>
      <c r="AD6505">
        <v>-1.1195205274508</v>
      </c>
      <c r="AE6505">
        <v>0.94709000000000199</v>
      </c>
      <c r="AF6505">
        <v>-0.42778402902408602</v>
      </c>
      <c r="AG6505">
        <v>-1.1195205274508</v>
      </c>
      <c r="AH6505">
        <v>17.781174253583298</v>
      </c>
      <c r="AI6505">
        <v>93.601604836992493</v>
      </c>
      <c r="AJ6505">
        <v>91.378170635010406</v>
      </c>
      <c r="AK6505">
        <v>17.821517422014502</v>
      </c>
      <c r="AL6505">
        <v>95.807844290961697</v>
      </c>
      <c r="AM6505">
        <v>93.157095007002894</v>
      </c>
      <c r="AN6505">
        <v>0.99999995983235601</v>
      </c>
    </row>
    <row r="6506" spans="1:40" x14ac:dyDescent="0.25">
      <c r="A6506" t="str">
        <f>"20190303154939773"</f>
        <v>20190303154939773</v>
      </c>
      <c r="B6506" t="str">
        <f>"1551599379767165"</f>
        <v>1551599379767165</v>
      </c>
      <c r="C6506" t="s">
        <v>40</v>
      </c>
      <c r="D6506">
        <v>4.691675</v>
      </c>
      <c r="E6506">
        <v>0.5122622</v>
      </c>
      <c r="F6506" t="s">
        <v>41</v>
      </c>
      <c r="G6506">
        <v>-358.5326</v>
      </c>
      <c r="H6506" s="1">
        <v>-7.2836580000000001E-7</v>
      </c>
      <c r="I6506">
        <v>18.95919</v>
      </c>
      <c r="J6506">
        <v>-376.71370000000002</v>
      </c>
      <c r="K6506">
        <v>1.1194550000000001</v>
      </c>
      <c r="L6506">
        <v>18.023710000000001</v>
      </c>
      <c r="M6506">
        <v>0.99956140000000004</v>
      </c>
      <c r="N6506">
        <v>-8.3060549999999997E-3</v>
      </c>
      <c r="O6506">
        <v>2.8427939999999999E-2</v>
      </c>
      <c r="P6506">
        <v>0.99055839999999995</v>
      </c>
      <c r="Q6506">
        <v>-0.10958370000000001</v>
      </c>
      <c r="R6506">
        <v>8.2375610000000002E-2</v>
      </c>
      <c r="S6506">
        <v>2.9956670000000001</v>
      </c>
      <c r="T6506">
        <v>-0.18330540000000001</v>
      </c>
      <c r="U6506">
        <v>0.1536255</v>
      </c>
      <c r="V6506">
        <v>-5.43598E-2</v>
      </c>
      <c r="W6506">
        <v>-0.101241</v>
      </c>
      <c r="X6506">
        <v>0.99337569999999997</v>
      </c>
      <c r="Y6506">
        <v>-2.2794249999999999E-2</v>
      </c>
      <c r="Z6506">
        <v>-7.0929279999999999E-4</v>
      </c>
      <c r="AA6506">
        <v>0.99973990000000001</v>
      </c>
      <c r="AB6506">
        <v>21</v>
      </c>
      <c r="AC6506">
        <v>18.181100000000001</v>
      </c>
      <c r="AD6506">
        <v>-1.11945572836579</v>
      </c>
      <c r="AE6506">
        <v>0.93547999999999798</v>
      </c>
      <c r="AF6506">
        <v>-0.41665742929647998</v>
      </c>
      <c r="AG6506">
        <v>-1.11945572836579</v>
      </c>
      <c r="AH6506">
        <v>18.131786963319598</v>
      </c>
      <c r="AI6506">
        <v>93.532024396424504</v>
      </c>
      <c r="AJ6506">
        <v>91.316390467526404</v>
      </c>
      <c r="AK6506">
        <v>18.171089208530301</v>
      </c>
      <c r="AL6506">
        <v>95.810637219816002</v>
      </c>
      <c r="AM6506">
        <v>93.132232629739306</v>
      </c>
      <c r="AN6506">
        <v>1.00000000464376</v>
      </c>
    </row>
    <row r="6507" spans="1:40" x14ac:dyDescent="0.25">
      <c r="A6507" t="str">
        <f>"20190303154939794"</f>
        <v>20190303154939794</v>
      </c>
      <c r="B6507" t="str">
        <f>"1551599379787660"</f>
        <v>1551599379787660</v>
      </c>
      <c r="C6507" t="s">
        <v>40</v>
      </c>
      <c r="D6507">
        <v>4.7554809999999996</v>
      </c>
      <c r="E6507">
        <v>0.51210159999999905</v>
      </c>
      <c r="F6507" t="s">
        <v>41</v>
      </c>
      <c r="G6507">
        <v>-358.13159999999999</v>
      </c>
      <c r="H6507" s="1">
        <v>-9.0264380000000001E-7</v>
      </c>
      <c r="I6507">
        <v>18.946470000000001</v>
      </c>
      <c r="J6507">
        <v>-376.52519999999998</v>
      </c>
      <c r="K6507">
        <v>1.119364</v>
      </c>
      <c r="L6507">
        <v>18.027950000000001</v>
      </c>
      <c r="M6507">
        <v>0.99958970000000003</v>
      </c>
      <c r="N6507">
        <v>-8.4174709999999993E-3</v>
      </c>
      <c r="O6507">
        <v>2.7381610000000001E-2</v>
      </c>
      <c r="P6507">
        <v>0.99066460000000001</v>
      </c>
      <c r="Q6507">
        <v>-0.1104483</v>
      </c>
      <c r="R6507">
        <v>7.9906110000000002E-2</v>
      </c>
      <c r="S6507">
        <v>2.9962770000000001</v>
      </c>
      <c r="T6507">
        <v>-0.1805068</v>
      </c>
      <c r="U6507">
        <v>0.14880370000000001</v>
      </c>
      <c r="V6507">
        <v>-5.295362E-2</v>
      </c>
      <c r="W6507">
        <v>-0.10198450000000001</v>
      </c>
      <c r="X6507">
        <v>0.99337560000000003</v>
      </c>
      <c r="Y6507">
        <v>-2.2225080000000001E-2</v>
      </c>
      <c r="Z6507">
        <v>-6.5426299999999998E-4</v>
      </c>
      <c r="AA6507">
        <v>0.9997528</v>
      </c>
      <c r="AB6507">
        <v>21</v>
      </c>
      <c r="AC6507">
        <v>18.3935999999999</v>
      </c>
      <c r="AD6507">
        <v>-1.1193649026438</v>
      </c>
      <c r="AE6507">
        <v>0.91852</v>
      </c>
      <c r="AF6507">
        <v>-0.41298571906291598</v>
      </c>
      <c r="AG6507">
        <v>-1.1193649026438</v>
      </c>
      <c r="AH6507">
        <v>18.3440863929467</v>
      </c>
      <c r="AI6507">
        <v>93.491003678686894</v>
      </c>
      <c r="AJ6507">
        <v>91.289698580360493</v>
      </c>
      <c r="AK6507">
        <v>18.3828463677775</v>
      </c>
      <c r="AL6507">
        <v>95.853458280574202</v>
      </c>
      <c r="AM6507">
        <v>93.0513634458881</v>
      </c>
      <c r="AN6507">
        <v>1.00000000339335</v>
      </c>
    </row>
    <row r="6508" spans="1:40" x14ac:dyDescent="0.25">
      <c r="A6508" t="str">
        <f>"20190303154939806"</f>
        <v>20190303154939806</v>
      </c>
      <c r="B6508" t="str">
        <f>"1551599379797421"</f>
        <v>1551599379797421</v>
      </c>
      <c r="C6508" t="s">
        <v>40</v>
      </c>
      <c r="D6508">
        <v>4.7450070000000002</v>
      </c>
      <c r="E6508">
        <v>0.53014600000000001</v>
      </c>
      <c r="F6508" t="s">
        <v>41</v>
      </c>
      <c r="G6508">
        <v>-358.57530000000003</v>
      </c>
      <c r="H6508" s="1">
        <v>-7.235722E-7</v>
      </c>
      <c r="I6508">
        <v>18.882840000000002</v>
      </c>
      <c r="J6508">
        <v>-376.41719999999998</v>
      </c>
      <c r="K6508">
        <v>1.1193219999999999</v>
      </c>
      <c r="L6508">
        <v>18.03021</v>
      </c>
      <c r="M6508">
        <v>0.99960680000000002</v>
      </c>
      <c r="N6508">
        <v>-8.4879550000000002E-3</v>
      </c>
      <c r="O6508">
        <v>2.672501E-2</v>
      </c>
      <c r="P6508">
        <v>0.99064350000000001</v>
      </c>
      <c r="Q6508">
        <v>-0.11132350000000001</v>
      </c>
      <c r="R6508">
        <v>7.8948500000000005E-2</v>
      </c>
      <c r="S6508">
        <v>2.9959410000000002</v>
      </c>
      <c r="T6508">
        <v>-0.18682850000000001</v>
      </c>
      <c r="U6508">
        <v>0.1427002</v>
      </c>
      <c r="V6508">
        <v>-5.2661260000000001E-2</v>
      </c>
      <c r="W6508">
        <v>-0.1027851</v>
      </c>
      <c r="X6508">
        <v>0.99330859999999999</v>
      </c>
      <c r="Y6508">
        <v>-2.0857230000000001E-2</v>
      </c>
      <c r="Z6508">
        <v>-6.9903000000000001E-4</v>
      </c>
      <c r="AA6508">
        <v>0.99978219999999995</v>
      </c>
      <c r="AB6508">
        <v>21</v>
      </c>
      <c r="AC6508">
        <v>17.8418999999999</v>
      </c>
      <c r="AD6508">
        <v>-1.1193227235722001</v>
      </c>
      <c r="AE6508">
        <v>0.852629999999997</v>
      </c>
      <c r="AF6508">
        <v>-0.37401463397142598</v>
      </c>
      <c r="AG6508">
        <v>-1.1193227235722001</v>
      </c>
      <c r="AH6508">
        <v>17.788462620347602</v>
      </c>
      <c r="AI6508">
        <v>93.599743930215496</v>
      </c>
      <c r="AJ6508">
        <v>91.204505608820895</v>
      </c>
      <c r="AK6508">
        <v>17.8275677730147</v>
      </c>
      <c r="AL6508">
        <v>95.899571753156593</v>
      </c>
      <c r="AM6508">
        <v>93.034752567135897</v>
      </c>
      <c r="AN6508">
        <v>0.99999997996037804</v>
      </c>
    </row>
    <row r="6509" spans="1:40" x14ac:dyDescent="0.25">
      <c r="A6509" t="str">
        <f>"20190303154939821"</f>
        <v>20190303154939821</v>
      </c>
      <c r="B6509" t="str">
        <f>"1551599379816941"</f>
        <v>1551599379816941</v>
      </c>
      <c r="C6509" t="s">
        <v>40</v>
      </c>
      <c r="D6509">
        <v>4.7378920000000004</v>
      </c>
      <c r="E6509">
        <v>0.53501019999999999</v>
      </c>
      <c r="F6509" t="s">
        <v>42</v>
      </c>
      <c r="G6509">
        <v>-375.5539</v>
      </c>
      <c r="H6509">
        <v>1.0482450000000001</v>
      </c>
      <c r="I6509">
        <v>18.029209999999999</v>
      </c>
      <c r="J6509">
        <v>-376.27609999999999</v>
      </c>
      <c r="K6509">
        <v>1.119286</v>
      </c>
      <c r="L6509">
        <v>18.032990000000002</v>
      </c>
      <c r="M6509">
        <v>0.99962980000000001</v>
      </c>
      <c r="N6509">
        <v>-8.5870959999999903E-3</v>
      </c>
      <c r="O6509">
        <v>2.5821589999999998E-2</v>
      </c>
      <c r="P6509">
        <v>0.99064669999999999</v>
      </c>
      <c r="Q6509">
        <v>-0.1123065</v>
      </c>
      <c r="R6509">
        <v>7.7503260000000004E-2</v>
      </c>
      <c r="S6509">
        <v>3.0008240000000002</v>
      </c>
      <c r="T6509">
        <v>-0.24710679999999999</v>
      </c>
      <c r="U6509">
        <v>-3.3569339999999998E-3</v>
      </c>
      <c r="V6509">
        <v>-5.2126930000000002E-2</v>
      </c>
      <c r="W6509">
        <v>-0.10366549999999999</v>
      </c>
      <c r="X6509">
        <v>0.9932453</v>
      </c>
      <c r="Y6509">
        <v>2.677061E-2</v>
      </c>
      <c r="Z6509">
        <v>-3.1166570000000001E-3</v>
      </c>
      <c r="AA6509">
        <v>0.99963679999999999</v>
      </c>
      <c r="AB6509">
        <v>21</v>
      </c>
      <c r="AC6509">
        <v>0.72219999999998596</v>
      </c>
      <c r="AD6509">
        <v>-7.1040999999999896E-2</v>
      </c>
      <c r="AE6509">
        <v>-3.7799999999989999E-3</v>
      </c>
      <c r="AF6509">
        <v>2.22128480281228E-2</v>
      </c>
      <c r="AG6509">
        <v>-7.1040999999999896E-2</v>
      </c>
      <c r="AH6509">
        <v>0.71494384441769099</v>
      </c>
      <c r="AI6509">
        <v>95.671897248841205</v>
      </c>
      <c r="AJ6509">
        <v>88.220429234379907</v>
      </c>
      <c r="AK6509">
        <v>0.71880799589964794</v>
      </c>
      <c r="AL6509">
        <v>95.950285818934802</v>
      </c>
      <c r="AM6509">
        <v>93.004208088599995</v>
      </c>
      <c r="AN6509">
        <v>0.99999998934678203</v>
      </c>
    </row>
    <row r="6510" spans="1:40" x14ac:dyDescent="0.25">
      <c r="A6510" t="str">
        <f>"20190303154939837"</f>
        <v>20190303154939837</v>
      </c>
      <c r="B6510" t="str">
        <f>"1551599379827676"</f>
        <v>1551599379827676</v>
      </c>
      <c r="C6510" t="s">
        <v>40</v>
      </c>
      <c r="D6510">
        <v>4.7571700000000003</v>
      </c>
      <c r="E6510">
        <v>0.53600080000000005</v>
      </c>
      <c r="F6510" t="s">
        <v>42</v>
      </c>
      <c r="G6510">
        <v>-375.37389999999999</v>
      </c>
      <c r="H6510">
        <v>1.041018</v>
      </c>
      <c r="I6510">
        <v>18.018730000000001</v>
      </c>
      <c r="J6510">
        <v>-376.12520000000001</v>
      </c>
      <c r="K6510">
        <v>1.119265</v>
      </c>
      <c r="L6510">
        <v>18.035769999999999</v>
      </c>
      <c r="M6510">
        <v>0.99965479999999995</v>
      </c>
      <c r="N6510">
        <v>-8.7094809999999998E-3</v>
      </c>
      <c r="O6510">
        <v>2.4793619999999999E-2</v>
      </c>
      <c r="P6510">
        <v>0.99071169999999997</v>
      </c>
      <c r="Q6510">
        <v>-0.11328829999999999</v>
      </c>
      <c r="R6510">
        <v>7.5208079999999997E-2</v>
      </c>
      <c r="S6510">
        <v>3.0024410000000001</v>
      </c>
      <c r="T6510">
        <v>-0.26033329999999999</v>
      </c>
      <c r="U6510">
        <v>-4.6356199999999903E-2</v>
      </c>
      <c r="V6510">
        <v>-5.0860570000000001E-2</v>
      </c>
      <c r="W6510">
        <v>-0.1045254</v>
      </c>
      <c r="X6510">
        <v>0.99322089999999996</v>
      </c>
      <c r="Y6510">
        <v>3.9984140000000001E-2</v>
      </c>
      <c r="Z6510">
        <v>-3.8345969999999999E-3</v>
      </c>
      <c r="AA6510">
        <v>0.999193</v>
      </c>
      <c r="AB6510">
        <v>21</v>
      </c>
      <c r="AC6510">
        <v>0.75130000000001396</v>
      </c>
      <c r="AD6510">
        <v>-7.82469999999999E-2</v>
      </c>
      <c r="AE6510">
        <v>-1.7040000000001498E-2</v>
      </c>
      <c r="AF6510">
        <v>3.5280422735857797E-2</v>
      </c>
      <c r="AG6510">
        <v>-7.82469999999999E-2</v>
      </c>
      <c r="AH6510">
        <v>0.74259575123685195</v>
      </c>
      <c r="AI6510">
        <v>96.008309038403397</v>
      </c>
      <c r="AJ6510">
        <v>87.279946073916506</v>
      </c>
      <c r="AK6510">
        <v>0.74753979893544498</v>
      </c>
      <c r="AL6510">
        <v>95.9998231806468</v>
      </c>
      <c r="AM6510">
        <v>92.931425286699493</v>
      </c>
      <c r="AN6510">
        <v>1.0000000565113401</v>
      </c>
    </row>
    <row r="6511" spans="1:40" x14ac:dyDescent="0.25">
      <c r="A6511" t="str">
        <f>"20190303154939852"</f>
        <v>20190303154939852</v>
      </c>
      <c r="B6511" t="str">
        <f>"1551599379847197"</f>
        <v>1551599379847197</v>
      </c>
      <c r="C6511" t="s">
        <v>40</v>
      </c>
      <c r="D6511">
        <v>4.7436020000000001</v>
      </c>
      <c r="E6511">
        <v>0.53710729999999995</v>
      </c>
      <c r="F6511" t="s">
        <v>42</v>
      </c>
      <c r="G6511">
        <v>-375.36450000000002</v>
      </c>
      <c r="H6511">
        <v>1.052721</v>
      </c>
      <c r="I6511">
        <v>18.0199</v>
      </c>
      <c r="J6511">
        <v>-375.99849999999998</v>
      </c>
      <c r="K6511">
        <v>1.119272</v>
      </c>
      <c r="L6511">
        <v>18.037929999999999</v>
      </c>
      <c r="M6511">
        <v>0.99967530000000004</v>
      </c>
      <c r="N6511">
        <v>-8.8236559999999992E-3</v>
      </c>
      <c r="O6511">
        <v>2.390629E-2</v>
      </c>
      <c r="P6511">
        <v>0.99078710000000003</v>
      </c>
      <c r="Q6511">
        <v>-0.1135316</v>
      </c>
      <c r="R6511">
        <v>7.3833200000000002E-2</v>
      </c>
      <c r="S6511">
        <v>3.002777</v>
      </c>
      <c r="T6511">
        <v>-0.26251849999999999</v>
      </c>
      <c r="U6511">
        <v>-6.1340329999999998E-2</v>
      </c>
      <c r="V6511">
        <v>-5.0367790000000003E-2</v>
      </c>
      <c r="W6511">
        <v>-0.1046552</v>
      </c>
      <c r="X6511">
        <v>0.99323229999999996</v>
      </c>
      <c r="Y6511">
        <v>4.4061280000000001E-2</v>
      </c>
      <c r="Z6511">
        <v>-3.9922220000000001E-3</v>
      </c>
      <c r="AA6511">
        <v>0.99902089999999999</v>
      </c>
      <c r="AB6511">
        <v>21</v>
      </c>
      <c r="AC6511">
        <v>0.63399999999995704</v>
      </c>
      <c r="AD6511">
        <v>-6.6550999999999999E-2</v>
      </c>
      <c r="AE6511">
        <v>-1.8029999999999501E-2</v>
      </c>
      <c r="AF6511">
        <v>3.2820674880221203E-2</v>
      </c>
      <c r="AG6511">
        <v>-6.6550999999999999E-2</v>
      </c>
      <c r="AH6511">
        <v>0.62649020991902904</v>
      </c>
      <c r="AI6511">
        <v>96.055451773490603</v>
      </c>
      <c r="AJ6511">
        <v>87.001120520424294</v>
      </c>
      <c r="AK6511">
        <v>0.63086941233902105</v>
      </c>
      <c r="AL6511">
        <v>96.0073014458968</v>
      </c>
      <c r="AM6511">
        <v>92.903038730804298</v>
      </c>
      <c r="AN6511">
        <v>1.0000000134599001</v>
      </c>
    </row>
    <row r="6512" spans="1:40" x14ac:dyDescent="0.25">
      <c r="A6512" t="str">
        <f>"20190303154939875"</f>
        <v>20190303154939875</v>
      </c>
      <c r="B6512" t="str">
        <f>"1551599379867693"</f>
        <v>1551599379867693</v>
      </c>
      <c r="C6512" t="s">
        <v>40</v>
      </c>
      <c r="D6512">
        <v>4.7369029999999999</v>
      </c>
      <c r="E6512">
        <v>0.53772659999999906</v>
      </c>
      <c r="F6512" t="s">
        <v>42</v>
      </c>
      <c r="G6512">
        <v>-375.18299999999999</v>
      </c>
      <c r="H6512">
        <v>1.04769</v>
      </c>
      <c r="I6512">
        <v>18.01763</v>
      </c>
      <c r="J6512">
        <v>-375.78289999999998</v>
      </c>
      <c r="K6512">
        <v>1.1193139999999999</v>
      </c>
      <c r="L6512">
        <v>18.041319999999999</v>
      </c>
      <c r="M6512">
        <v>0.99970879999999995</v>
      </c>
      <c r="N6512">
        <v>-9.0443550000000004E-3</v>
      </c>
      <c r="O6512">
        <v>2.2372619999999999E-2</v>
      </c>
      <c r="P6512">
        <v>0.99103470000000005</v>
      </c>
      <c r="Q6512">
        <v>-0.113286999999999</v>
      </c>
      <c r="R6512">
        <v>7.0825780000000005E-2</v>
      </c>
      <c r="S6512">
        <v>3.0032040000000002</v>
      </c>
      <c r="T6512">
        <v>-0.26351869999999999</v>
      </c>
      <c r="U6512">
        <v>-7.4371339999999994E-2</v>
      </c>
      <c r="V6512">
        <v>-4.8876820000000001E-2</v>
      </c>
      <c r="W6512">
        <v>-0.10419399999999999</v>
      </c>
      <c r="X6512">
        <v>0.99335530000000005</v>
      </c>
      <c r="Y6512">
        <v>4.6849229999999999E-2</v>
      </c>
      <c r="Z6512">
        <v>-4.0205880000000003E-3</v>
      </c>
      <c r="AA6512">
        <v>0.9988939</v>
      </c>
      <c r="AB6512">
        <v>21</v>
      </c>
      <c r="AC6512">
        <v>0.59989999999993404</v>
      </c>
      <c r="AD6512">
        <v>-7.1623999999999896E-2</v>
      </c>
      <c r="AE6512">
        <v>-2.3690000000001901E-2</v>
      </c>
      <c r="AF6512">
        <v>3.6585252133438599E-2</v>
      </c>
      <c r="AG6512">
        <v>-7.1623999999999896E-2</v>
      </c>
      <c r="AH6512">
        <v>0.59081105740841899</v>
      </c>
      <c r="AI6512">
        <v>96.899147131988897</v>
      </c>
      <c r="AJ6512">
        <v>86.456553486906799</v>
      </c>
      <c r="AK6512">
        <v>0.59626016436260598</v>
      </c>
      <c r="AL6512">
        <v>95.980731193806307</v>
      </c>
      <c r="AM6512">
        <v>92.816896248516699</v>
      </c>
      <c r="AN6512">
        <v>1.0000000426036999</v>
      </c>
    </row>
    <row r="6513" spans="1:40" x14ac:dyDescent="0.25">
      <c r="A6513" t="str">
        <f>"20190303154939895"</f>
        <v>20190303154939895</v>
      </c>
      <c r="B6513" t="str">
        <f>"1551599379887213"</f>
        <v>1551599379887213</v>
      </c>
      <c r="C6513" t="s">
        <v>40</v>
      </c>
      <c r="D6513">
        <v>4.7834669999999999</v>
      </c>
      <c r="E6513">
        <v>0.53780109999999903</v>
      </c>
      <c r="F6513" t="s">
        <v>42</v>
      </c>
      <c r="G6513">
        <v>-374.99430000000001</v>
      </c>
      <c r="H6513">
        <v>1.0506059999999999</v>
      </c>
      <c r="I6513">
        <v>18.017700000000001</v>
      </c>
      <c r="J6513">
        <v>-375.59219999999999</v>
      </c>
      <c r="K6513">
        <v>1.1193740000000001</v>
      </c>
      <c r="L6513">
        <v>18.044039999999999</v>
      </c>
      <c r="M6513">
        <v>0.99973610000000002</v>
      </c>
      <c r="N6513">
        <v>-9.2812469999999994E-3</v>
      </c>
      <c r="O6513">
        <v>2.1014979999999999E-2</v>
      </c>
      <c r="P6513">
        <v>0.99135859999999998</v>
      </c>
      <c r="Q6513">
        <v>-0.11229119999999999</v>
      </c>
      <c r="R6513">
        <v>6.7817429999999998E-2</v>
      </c>
      <c r="S6513">
        <v>3.003571</v>
      </c>
      <c r="T6513">
        <v>-0.26142310000000002</v>
      </c>
      <c r="U6513">
        <v>-8.8592530000000003E-2</v>
      </c>
      <c r="V6513">
        <v>-4.7203670000000003E-2</v>
      </c>
      <c r="W6513">
        <v>-0.10296660000000001</v>
      </c>
      <c r="X6513">
        <v>0.99356409999999995</v>
      </c>
      <c r="Y6513">
        <v>5.0209799999999999E-2</v>
      </c>
      <c r="Z6513">
        <v>-4.0446299999999996E-3</v>
      </c>
      <c r="AA6513">
        <v>0.99873049999999997</v>
      </c>
      <c r="AB6513">
        <v>21</v>
      </c>
      <c r="AC6513">
        <v>0.597899999999981</v>
      </c>
      <c r="AD6513">
        <v>-6.8767999999999899E-2</v>
      </c>
      <c r="AE6513">
        <v>-2.6339999999997501E-2</v>
      </c>
      <c r="AF6513">
        <v>3.8392680362607901E-2</v>
      </c>
      <c r="AG6513">
        <v>-6.8767999999999899E-2</v>
      </c>
      <c r="AH6513">
        <v>0.58943210045612704</v>
      </c>
      <c r="AI6513">
        <v>96.640567862803593</v>
      </c>
      <c r="AJ6513">
        <v>86.273301722318493</v>
      </c>
      <c r="AK6513">
        <v>0.59467069608107204</v>
      </c>
      <c r="AL6513">
        <v>95.910026502331803</v>
      </c>
      <c r="AM6513">
        <v>92.720044885727503</v>
      </c>
      <c r="AN6513">
        <v>0.99999996399291802</v>
      </c>
    </row>
    <row r="6514" spans="1:40" x14ac:dyDescent="0.25">
      <c r="A6514" t="str">
        <f>"20190303154939906"</f>
        <v>20190303154939906</v>
      </c>
      <c r="B6514" t="str">
        <f>"1551599379896973"</f>
        <v>1551599379896973</v>
      </c>
      <c r="C6514" t="s">
        <v>40</v>
      </c>
      <c r="D6514">
        <v>4.8007519999999904</v>
      </c>
      <c r="E6514">
        <v>0.537790199999999</v>
      </c>
      <c r="F6514" t="s">
        <v>42</v>
      </c>
      <c r="G6514">
        <v>-374.80720000000002</v>
      </c>
      <c r="H6514">
        <v>1.0516989999999999</v>
      </c>
      <c r="I6514">
        <v>18.018339999999998</v>
      </c>
      <c r="J6514">
        <v>-375.48360000000002</v>
      </c>
      <c r="K6514">
        <v>1.1194139999999999</v>
      </c>
      <c r="L6514">
        <v>18.045439999999999</v>
      </c>
      <c r="M6514">
        <v>0.99975029999999998</v>
      </c>
      <c r="N6514">
        <v>-9.4402080000000003E-3</v>
      </c>
      <c r="O6514">
        <v>2.0253810000000001E-2</v>
      </c>
      <c r="P6514">
        <v>0.9915062</v>
      </c>
      <c r="Q6514">
        <v>-0.112038899999999</v>
      </c>
      <c r="R6514">
        <v>6.6052680000000003E-2</v>
      </c>
      <c r="S6514">
        <v>3.0035400000000001</v>
      </c>
      <c r="T6514">
        <v>-0.25894679999999998</v>
      </c>
      <c r="U6514">
        <v>-9.8449709999999996E-2</v>
      </c>
      <c r="V6514">
        <v>-4.6187939999999997E-2</v>
      </c>
      <c r="W6514">
        <v>-0.1025595</v>
      </c>
      <c r="X6514">
        <v>0.99365400000000004</v>
      </c>
      <c r="Y6514">
        <v>5.2720999999999997E-2</v>
      </c>
      <c r="Z6514">
        <v>-4.0689430000000002E-3</v>
      </c>
      <c r="AA6514">
        <v>0.99860099999999996</v>
      </c>
      <c r="AB6514">
        <v>21</v>
      </c>
      <c r="AC6514">
        <v>0.676400000000001</v>
      </c>
      <c r="AD6514">
        <v>-6.77149999999999E-2</v>
      </c>
      <c r="AE6514">
        <v>-2.71000000000007E-2</v>
      </c>
      <c r="AF6514">
        <v>4.0390574878652802E-2</v>
      </c>
      <c r="AG6514">
        <v>-6.77149999999999E-2</v>
      </c>
      <c r="AH6514">
        <v>0.66901805599300501</v>
      </c>
      <c r="AI6514">
        <v>95.769105275848403</v>
      </c>
      <c r="AJ6514">
        <v>86.545079904025599</v>
      </c>
      <c r="AK6514">
        <v>0.67364818637675195</v>
      </c>
      <c r="AL6514">
        <v>95.886576889787094</v>
      </c>
      <c r="AM6514">
        <v>92.661359507745701</v>
      </c>
      <c r="AN6514">
        <v>1.00000002427884</v>
      </c>
    </row>
    <row r="6515" spans="1:40" x14ac:dyDescent="0.25">
      <c r="A6515" t="str">
        <f>"20190303154939918"</f>
        <v>20190303154939918</v>
      </c>
      <c r="B6515" t="str">
        <f>"1551599379907709"</f>
        <v>1551599379907709</v>
      </c>
      <c r="C6515" t="s">
        <v>40</v>
      </c>
      <c r="D6515">
        <v>4.8091030000000003</v>
      </c>
      <c r="E6515">
        <v>0.5378134</v>
      </c>
      <c r="F6515" t="s">
        <v>42</v>
      </c>
      <c r="G6515">
        <v>-374.62689999999998</v>
      </c>
      <c r="H6515">
        <v>1.0455449999999999</v>
      </c>
      <c r="I6515">
        <v>18.01566</v>
      </c>
      <c r="J6515">
        <v>-375.36799999999999</v>
      </c>
      <c r="K6515">
        <v>1.119464</v>
      </c>
      <c r="L6515">
        <v>18.046939999999999</v>
      </c>
      <c r="M6515">
        <v>0.9997646</v>
      </c>
      <c r="N6515">
        <v>-9.6258230000000004E-3</v>
      </c>
      <c r="O6515">
        <v>1.9451510000000002E-2</v>
      </c>
      <c r="P6515">
        <v>0.9915929</v>
      </c>
      <c r="Q6515">
        <v>-0.11233360000000001</v>
      </c>
      <c r="R6515">
        <v>6.4223269999999999E-2</v>
      </c>
      <c r="S6515">
        <v>3.0033569999999998</v>
      </c>
      <c r="T6515">
        <v>-0.25881100000000001</v>
      </c>
      <c r="U6515">
        <v>-0.1037598</v>
      </c>
      <c r="V6515">
        <v>-4.5149259999999997E-2</v>
      </c>
      <c r="W6515">
        <v>-0.10267370000000001</v>
      </c>
      <c r="X6515">
        <v>0.99368990000000001</v>
      </c>
      <c r="Y6515">
        <v>5.3683719999999997E-2</v>
      </c>
      <c r="Z6515">
        <v>-4.0528990000000004E-3</v>
      </c>
      <c r="AA6515">
        <v>0.99854980000000004</v>
      </c>
      <c r="AB6515">
        <v>21</v>
      </c>
      <c r="AC6515">
        <v>0.74110000000007403</v>
      </c>
      <c r="AD6515">
        <v>-7.3918999999999804E-2</v>
      </c>
      <c r="AE6515">
        <v>-3.1279999999998802E-2</v>
      </c>
      <c r="AF6515">
        <v>4.5240980822692997E-2</v>
      </c>
      <c r="AG6515">
        <v>-7.3918999999999804E-2</v>
      </c>
      <c r="AH6515">
        <v>0.73307129435988805</v>
      </c>
      <c r="AI6515">
        <v>95.747078109438505</v>
      </c>
      <c r="AJ6515">
        <v>86.468510013464694</v>
      </c>
      <c r="AK6515">
        <v>0.73817632549498702</v>
      </c>
      <c r="AL6515">
        <v>95.893155049316107</v>
      </c>
      <c r="AM6515">
        <v>92.601499842768902</v>
      </c>
      <c r="AN6515">
        <v>0.99999998085612296</v>
      </c>
    </row>
    <row r="6516" spans="1:40" x14ac:dyDescent="0.25">
      <c r="A6516" t="str">
        <f>"20190303154939932"</f>
        <v>20190303154939932</v>
      </c>
      <c r="B6516" t="str">
        <f>"1551599379927229"</f>
        <v>1551599379927229</v>
      </c>
      <c r="C6516" t="s">
        <v>40</v>
      </c>
      <c r="D6516">
        <v>4.8196070000000004</v>
      </c>
      <c r="E6516">
        <v>0.5377807</v>
      </c>
      <c r="F6516" t="s">
        <v>42</v>
      </c>
      <c r="G6516">
        <v>-374.61250000000001</v>
      </c>
      <c r="H6516">
        <v>1.0539879999999999</v>
      </c>
      <c r="I6516">
        <v>18.019200000000001</v>
      </c>
      <c r="J6516">
        <v>-375.25790000000001</v>
      </c>
      <c r="K6516">
        <v>1.119521</v>
      </c>
      <c r="L6516">
        <v>18.048190000000002</v>
      </c>
      <c r="M6516">
        <v>0.99977669999999996</v>
      </c>
      <c r="N6516">
        <v>-9.8345080000000005E-3</v>
      </c>
      <c r="O6516">
        <v>1.8709389999999999E-2</v>
      </c>
      <c r="P6516">
        <v>0.99172689999999997</v>
      </c>
      <c r="Q6516">
        <v>-0.1122421</v>
      </c>
      <c r="R6516">
        <v>6.2287410000000001E-2</v>
      </c>
      <c r="S6516">
        <v>3.003082</v>
      </c>
      <c r="T6516">
        <v>-0.26009199999999999</v>
      </c>
      <c r="U6516">
        <v>-0.1094971</v>
      </c>
      <c r="V6516">
        <v>-4.3942309999999998E-2</v>
      </c>
      <c r="W6516">
        <v>-0.1023791</v>
      </c>
      <c r="X6516">
        <v>0.99377439999999995</v>
      </c>
      <c r="Y6516">
        <v>5.4845400000000002E-2</v>
      </c>
      <c r="Z6516">
        <v>-4.0734259999999998E-3</v>
      </c>
      <c r="AA6516">
        <v>0.9984866</v>
      </c>
      <c r="AB6516">
        <v>21</v>
      </c>
      <c r="AC6516">
        <v>0.64539999999999498</v>
      </c>
      <c r="AD6516">
        <v>-6.5532999999999994E-2</v>
      </c>
      <c r="AE6516">
        <v>-2.8989999999996699E-2</v>
      </c>
      <c r="AF6516">
        <v>4.0642365791904903E-2</v>
      </c>
      <c r="AG6516">
        <v>-6.5532999999999994E-2</v>
      </c>
      <c r="AH6516">
        <v>0.63817818769304901</v>
      </c>
      <c r="AI6516">
        <v>95.851245748592106</v>
      </c>
      <c r="AJ6516">
        <v>86.356040412766305</v>
      </c>
      <c r="AK6516">
        <v>0.642820173324817</v>
      </c>
      <c r="AL6516">
        <v>95.876186282578999</v>
      </c>
      <c r="AM6516">
        <v>92.531832130496397</v>
      </c>
      <c r="AN6516">
        <v>0.99999998241015198</v>
      </c>
    </row>
    <row r="6517" spans="1:40" x14ac:dyDescent="0.25">
      <c r="A6517" t="str">
        <f>"20190303154939950"</f>
        <v>20190303154939950</v>
      </c>
      <c r="B6517" t="str">
        <f>"1551599379936989"</f>
        <v>1551599379936989</v>
      </c>
      <c r="C6517" t="s">
        <v>40</v>
      </c>
      <c r="D6517">
        <v>4.8504550000000002</v>
      </c>
      <c r="E6517">
        <v>0.53779860000000002</v>
      </c>
      <c r="F6517" t="s">
        <v>42</v>
      </c>
      <c r="G6517">
        <v>-374.43849999999998</v>
      </c>
      <c r="H6517">
        <v>1.0485960000000001</v>
      </c>
      <c r="I6517">
        <v>18.01671</v>
      </c>
      <c r="J6517">
        <v>-375.0806</v>
      </c>
      <c r="K6517">
        <v>1.1196250000000001</v>
      </c>
      <c r="L6517">
        <v>18.05011</v>
      </c>
      <c r="M6517">
        <v>0.99979419999999997</v>
      </c>
      <c r="N6517">
        <v>-1.0196419999999999E-2</v>
      </c>
      <c r="O6517">
        <v>1.753793E-2</v>
      </c>
      <c r="P6517">
        <v>0.9918787</v>
      </c>
      <c r="Q6517">
        <v>-0.1126491</v>
      </c>
      <c r="R6517">
        <v>5.9048240000000002E-2</v>
      </c>
      <c r="S6517">
        <v>3.0028380000000001</v>
      </c>
      <c r="T6517">
        <v>-0.2598473</v>
      </c>
      <c r="U6517">
        <v>-0.1150513</v>
      </c>
      <c r="V6517">
        <v>-4.1853630000000003E-2</v>
      </c>
      <c r="W6517">
        <v>-0.1024346</v>
      </c>
      <c r="X6517">
        <v>0.99385889999999999</v>
      </c>
      <c r="Y6517">
        <v>5.552348E-2</v>
      </c>
      <c r="Z6517">
        <v>-4.0165970000000002E-3</v>
      </c>
      <c r="AA6517">
        <v>0.99844929999999998</v>
      </c>
      <c r="AB6517">
        <v>21</v>
      </c>
      <c r="AC6517">
        <v>0.64210000000002698</v>
      </c>
      <c r="AD6517">
        <v>-7.1029000000000203E-2</v>
      </c>
      <c r="AE6517">
        <v>-3.3400000000000298E-2</v>
      </c>
      <c r="AF6517">
        <v>4.41181469473126E-2</v>
      </c>
      <c r="AG6517">
        <v>-7.1029000000000203E-2</v>
      </c>
      <c r="AH6517">
        <v>0.63368215132278005</v>
      </c>
      <c r="AI6517">
        <v>96.380232750903701</v>
      </c>
      <c r="AJ6517">
        <v>86.017386284588795</v>
      </c>
      <c r="AK6517">
        <v>0.63917493586351704</v>
      </c>
      <c r="AL6517">
        <v>95.879382645210001</v>
      </c>
      <c r="AM6517">
        <v>92.411429097861301</v>
      </c>
      <c r="AN6517">
        <v>1.00000004336527</v>
      </c>
    </row>
    <row r="6518" spans="1:40" x14ac:dyDescent="0.25">
      <c r="A6518" t="str">
        <f>"20190303154939963"</f>
        <v>20190303154939963</v>
      </c>
      <c r="B6518" t="str">
        <f>"1551599379957486"</f>
        <v>1551599379957486</v>
      </c>
      <c r="C6518" t="s">
        <v>40</v>
      </c>
      <c r="D6518">
        <v>4.8177979999999998</v>
      </c>
      <c r="E6518">
        <v>0.53780479999999997</v>
      </c>
      <c r="F6518" t="s">
        <v>42</v>
      </c>
      <c r="G6518">
        <v>-374.25400000000002</v>
      </c>
      <c r="H6518">
        <v>1.0479099999999999</v>
      </c>
      <c r="I6518">
        <v>18.015499999999999</v>
      </c>
      <c r="J6518">
        <v>-374.96039999999999</v>
      </c>
      <c r="K6518">
        <v>1.1196969999999999</v>
      </c>
      <c r="L6518">
        <v>18.05133</v>
      </c>
      <c r="M6518">
        <v>0.9998049</v>
      </c>
      <c r="N6518">
        <v>-1.0455509999999999E-2</v>
      </c>
      <c r="O6518">
        <v>1.676163E-2</v>
      </c>
      <c r="P6518">
        <v>0.991919</v>
      </c>
      <c r="Q6518">
        <v>-0.1130742</v>
      </c>
      <c r="R6518">
        <v>5.7541519999999999E-2</v>
      </c>
      <c r="S6518">
        <v>3.0024109999999999</v>
      </c>
      <c r="T6518">
        <v>-0.2604127</v>
      </c>
      <c r="U6518">
        <v>-0.1248779</v>
      </c>
      <c r="V6518">
        <v>-4.1110269999999997E-2</v>
      </c>
      <c r="W6518">
        <v>-0.102607</v>
      </c>
      <c r="X6518">
        <v>0.99387210000000004</v>
      </c>
      <c r="Y6518">
        <v>5.8006469999999997E-2</v>
      </c>
      <c r="Z6518">
        <v>-4.0894659999999999E-3</v>
      </c>
      <c r="AA6518">
        <v>0.99830779999999997</v>
      </c>
      <c r="AB6518">
        <v>21</v>
      </c>
      <c r="AC6518">
        <v>0.70639999999997305</v>
      </c>
      <c r="AD6518">
        <v>-7.1786999999999795E-2</v>
      </c>
      <c r="AE6518">
        <v>-3.5830000000000597E-2</v>
      </c>
      <c r="AF6518">
        <v>4.7180031998940199E-2</v>
      </c>
      <c r="AG6518">
        <v>-7.1786999999999795E-2</v>
      </c>
      <c r="AH6518">
        <v>0.69850493208771303</v>
      </c>
      <c r="AI6518">
        <v>95.854574570756796</v>
      </c>
      <c r="AJ6518">
        <v>86.135865473098903</v>
      </c>
      <c r="AK6518">
        <v>0.70376734006295105</v>
      </c>
      <c r="AL6518">
        <v>95.889313010996005</v>
      </c>
      <c r="AM6518">
        <v>92.368617638278593</v>
      </c>
      <c r="AN6518">
        <v>1.00000000095344</v>
      </c>
    </row>
    <row r="6519" spans="1:40" x14ac:dyDescent="0.25">
      <c r="A6519" t="str">
        <f>"20190303154939983"</f>
        <v>20190303154939983</v>
      </c>
      <c r="B6519" t="str">
        <f>"1551599379977005"</f>
        <v>1551599379977005</v>
      </c>
      <c r="C6519" t="s">
        <v>40</v>
      </c>
      <c r="D6519">
        <v>4.8663160000000003</v>
      </c>
      <c r="E6519">
        <v>0.53760549999999996</v>
      </c>
      <c r="F6519" t="s">
        <v>42</v>
      </c>
      <c r="G6519">
        <v>-374.07279999999997</v>
      </c>
      <c r="H6519">
        <v>1.0429850000000001</v>
      </c>
      <c r="I6519">
        <v>18.01286</v>
      </c>
      <c r="J6519">
        <v>-374.77199999999999</v>
      </c>
      <c r="K6519">
        <v>1.1198109999999999</v>
      </c>
      <c r="L6519">
        <v>18.053070000000002</v>
      </c>
      <c r="M6519">
        <v>0.99981960000000003</v>
      </c>
      <c r="N6519">
        <v>-1.086236E-2</v>
      </c>
      <c r="O6519">
        <v>1.5586330000000001E-2</v>
      </c>
      <c r="P6519">
        <v>0.99198569999999997</v>
      </c>
      <c r="Q6519">
        <v>-0.1134752</v>
      </c>
      <c r="R6519">
        <v>5.5570830000000002E-2</v>
      </c>
      <c r="S6519">
        <v>3.00238</v>
      </c>
      <c r="T6519">
        <v>-0.25946190000000002</v>
      </c>
      <c r="U6519">
        <v>-0.1294556</v>
      </c>
      <c r="V6519">
        <v>-4.0293210000000003E-2</v>
      </c>
      <c r="W6519">
        <v>-0.102610199999999</v>
      </c>
      <c r="X6519">
        <v>0.99390520000000004</v>
      </c>
      <c r="Y6519">
        <v>5.8356270000000002E-2</v>
      </c>
      <c r="Z6519">
        <v>-4.0083970000000003E-3</v>
      </c>
      <c r="AA6519">
        <v>0.99828779999999995</v>
      </c>
      <c r="AB6519">
        <v>21</v>
      </c>
      <c r="AC6519">
        <v>0.69920000000001803</v>
      </c>
      <c r="AD6519">
        <v>-7.6826000000000005E-2</v>
      </c>
      <c r="AE6519">
        <v>-4.02100000000018E-2</v>
      </c>
      <c r="AF6519">
        <v>5.0496091508463598E-2</v>
      </c>
      <c r="AG6519">
        <v>-7.6826000000000005E-2</v>
      </c>
      <c r="AH6519">
        <v>0.69018320759690599</v>
      </c>
      <c r="AI6519">
        <v>96.334794169102096</v>
      </c>
      <c r="AJ6519">
        <v>85.815506551228907</v>
      </c>
      <c r="AK6519">
        <v>0.69627936173807703</v>
      </c>
      <c r="AL6519">
        <v>95.889497505910995</v>
      </c>
      <c r="AM6519">
        <v>92.321516543902405</v>
      </c>
      <c r="AN6519">
        <v>0.99999997125159101</v>
      </c>
    </row>
    <row r="6520" spans="1:40" x14ac:dyDescent="0.25">
      <c r="A6520" t="str">
        <f>"20190303154939994"</f>
        <v>20190303154939994</v>
      </c>
      <c r="B6520" t="str">
        <f>"1551599379987741"</f>
        <v>1551599379987741</v>
      </c>
      <c r="C6520" t="s">
        <v>40</v>
      </c>
      <c r="D6520">
        <v>4.8606619999999996</v>
      </c>
      <c r="E6520">
        <v>0.53748640000000003</v>
      </c>
      <c r="F6520" t="s">
        <v>42</v>
      </c>
      <c r="G6520">
        <v>-373.88830000000002</v>
      </c>
      <c r="H6520">
        <v>1.0432490000000001</v>
      </c>
      <c r="I6520">
        <v>18.013479999999898</v>
      </c>
      <c r="J6520">
        <v>-374.66699999999997</v>
      </c>
      <c r="K6520">
        <v>1.1198589999999999</v>
      </c>
      <c r="L6520">
        <v>18.053989999999999</v>
      </c>
      <c r="M6520">
        <v>0.99982680000000002</v>
      </c>
      <c r="N6520">
        <v>-1.107934E-2</v>
      </c>
      <c r="O6520">
        <v>1.495265E-2</v>
      </c>
      <c r="P6520">
        <v>0.99203609999999998</v>
      </c>
      <c r="Q6520">
        <v>-0.113544699999999</v>
      </c>
      <c r="R6520">
        <v>5.4518299999999999E-2</v>
      </c>
      <c r="S6520">
        <v>3.0019840000000002</v>
      </c>
      <c r="T6520">
        <v>-0.26002500000000001</v>
      </c>
      <c r="U6520">
        <v>-0.13366700000000001</v>
      </c>
      <c r="V6520">
        <v>-3.9862519999999999E-2</v>
      </c>
      <c r="W6520">
        <v>-0.10246719999999999</v>
      </c>
      <c r="X6520">
        <v>0.99393739999999997</v>
      </c>
      <c r="Y6520">
        <v>5.9124049999999997E-2</v>
      </c>
      <c r="Z6520">
        <v>-4.0098099999999999E-3</v>
      </c>
      <c r="AA6520">
        <v>0.99824259999999998</v>
      </c>
      <c r="AB6520">
        <v>21</v>
      </c>
      <c r="AC6520">
        <v>0.77869999999995798</v>
      </c>
      <c r="AD6520">
        <v>-7.6609999999999998E-2</v>
      </c>
      <c r="AE6520">
        <v>-4.0510000000001101E-2</v>
      </c>
      <c r="AF6520">
        <v>5.1651230991346601E-2</v>
      </c>
      <c r="AG6520">
        <v>-7.6609999999999998E-2</v>
      </c>
      <c r="AH6520">
        <v>0.77056895585912</v>
      </c>
      <c r="AI6520">
        <v>95.665061869367605</v>
      </c>
      <c r="AJ6520">
        <v>86.165200765531793</v>
      </c>
      <c r="AK6520">
        <v>0.77608856292096995</v>
      </c>
      <c r="AL6520">
        <v>95.881260320888103</v>
      </c>
      <c r="AM6520">
        <v>92.296654481717198</v>
      </c>
      <c r="AN6520">
        <v>1.0000000513476699</v>
      </c>
    </row>
    <row r="6521" spans="1:40" x14ac:dyDescent="0.25">
      <c r="A6521" t="str">
        <f>"20190303154940008"</f>
        <v>20190303154940008</v>
      </c>
      <c r="B6521" t="str">
        <f>"1551599379997502"</f>
        <v>1551599379997502</v>
      </c>
      <c r="C6521" t="s">
        <v>40</v>
      </c>
      <c r="D6521">
        <v>4.8451559999999896</v>
      </c>
      <c r="E6521">
        <v>0.53746369999999999</v>
      </c>
      <c r="F6521" t="s">
        <v>42</v>
      </c>
      <c r="G6521">
        <v>-373.88139999999999</v>
      </c>
      <c r="H6521">
        <v>1.051617</v>
      </c>
      <c r="I6521">
        <v>18.018190000000001</v>
      </c>
      <c r="J6521">
        <v>-374.55619999999999</v>
      </c>
      <c r="K6521">
        <v>1.1199110000000001</v>
      </c>
      <c r="L6521">
        <v>18.0549</v>
      </c>
      <c r="M6521">
        <v>0.999834</v>
      </c>
      <c r="N6521">
        <v>-1.12979E-2</v>
      </c>
      <c r="O6521">
        <v>1.429913E-2</v>
      </c>
      <c r="P6521">
        <v>0.99211740000000004</v>
      </c>
      <c r="Q6521">
        <v>-0.1132177</v>
      </c>
      <c r="R6521">
        <v>5.371107E-2</v>
      </c>
      <c r="S6521">
        <v>3.001709</v>
      </c>
      <c r="T6521">
        <v>-0.26064530000000002</v>
      </c>
      <c r="U6521">
        <v>-0.13586429999999999</v>
      </c>
      <c r="V6521">
        <v>-3.9695550000000003E-2</v>
      </c>
      <c r="W6521">
        <v>-0.10192519999999999</v>
      </c>
      <c r="X6521">
        <v>0.99399979999999999</v>
      </c>
      <c r="Y6521">
        <v>5.9204729999999997E-2</v>
      </c>
      <c r="Z6521">
        <v>-3.9771770000000001E-3</v>
      </c>
      <c r="AA6521">
        <v>0.99823799999999996</v>
      </c>
      <c r="AB6521">
        <v>21</v>
      </c>
      <c r="AC6521">
        <v>0.67480000000000395</v>
      </c>
      <c r="AD6521">
        <v>-6.8293999999999994E-2</v>
      </c>
      <c r="AE6521">
        <v>-3.6709999999999299E-2</v>
      </c>
      <c r="AF6521">
        <v>4.5887291111804E-2</v>
      </c>
      <c r="AG6521">
        <v>-6.8293999999999994E-2</v>
      </c>
      <c r="AH6521">
        <v>0.66739033092634903</v>
      </c>
      <c r="AI6521">
        <v>95.829068433429796</v>
      </c>
      <c r="AJ6521">
        <v>86.066744351391904</v>
      </c>
      <c r="AK6521">
        <v>0.67244298474707898</v>
      </c>
      <c r="AL6521">
        <v>95.850042612111295</v>
      </c>
      <c r="AM6521">
        <v>92.2869014241938</v>
      </c>
      <c r="AN6521">
        <v>1.00000004274244</v>
      </c>
    </row>
    <row r="6522" spans="1:40" x14ac:dyDescent="0.25">
      <c r="A6522" t="str">
        <f>"20190303154940019"</f>
        <v>20190303154940019</v>
      </c>
      <c r="B6522" t="str">
        <f>"1551599380007262"</f>
        <v>1551599380007262</v>
      </c>
      <c r="C6522" t="s">
        <v>40</v>
      </c>
      <c r="D6522">
        <v>4.8760159999999999</v>
      </c>
      <c r="E6522">
        <v>0.53747619999999996</v>
      </c>
      <c r="F6522" t="s">
        <v>42</v>
      </c>
      <c r="G6522">
        <v>-373.70260000000002</v>
      </c>
      <c r="H6522">
        <v>1.046149</v>
      </c>
      <c r="I6522">
        <v>18.015409999999999</v>
      </c>
      <c r="J6522">
        <v>-374.43790000000001</v>
      </c>
      <c r="K6522">
        <v>1.11996299999999</v>
      </c>
      <c r="L6522">
        <v>18.055789999999998</v>
      </c>
      <c r="M6522">
        <v>0.99984099999999998</v>
      </c>
      <c r="N6522">
        <v>-1.1521959999999999E-2</v>
      </c>
      <c r="O6522">
        <v>1.3614869999999999E-2</v>
      </c>
      <c r="P6522">
        <v>0.99223640000000002</v>
      </c>
      <c r="Q6522">
        <v>-0.1127121</v>
      </c>
      <c r="R6522">
        <v>5.2569570000000003E-2</v>
      </c>
      <c r="S6522">
        <v>3.0017399999999999</v>
      </c>
      <c r="T6522">
        <v>-0.25933299999999998</v>
      </c>
      <c r="U6522">
        <v>-0.13809199999999999</v>
      </c>
      <c r="V6522">
        <v>-3.9224960000000003E-2</v>
      </c>
      <c r="W6522">
        <v>-0.1011992</v>
      </c>
      <c r="X6522">
        <v>0.99409259999999999</v>
      </c>
      <c r="Y6522">
        <v>5.926464E-2</v>
      </c>
      <c r="Z6522">
        <v>-3.9132680000000001E-3</v>
      </c>
      <c r="AA6522">
        <v>0.99823459999999997</v>
      </c>
      <c r="AB6522">
        <v>21</v>
      </c>
      <c r="AC6522">
        <v>0.73529999999999496</v>
      </c>
      <c r="AD6522">
        <v>-7.3813999999999796E-2</v>
      </c>
      <c r="AE6522">
        <v>-4.0379999999998903E-2</v>
      </c>
      <c r="AF6522">
        <v>4.9886717907708898E-2</v>
      </c>
      <c r="AG6522">
        <v>-7.3813999999999796E-2</v>
      </c>
      <c r="AH6522">
        <v>0.72737403646197796</v>
      </c>
      <c r="AI6522">
        <v>95.781057022729001</v>
      </c>
      <c r="AJ6522">
        <v>86.076531226229903</v>
      </c>
      <c r="AK6522">
        <v>0.73280978441789002</v>
      </c>
      <c r="AL6522">
        <v>95.808229998259506</v>
      </c>
      <c r="AM6522">
        <v>92.259607787981807</v>
      </c>
      <c r="AN6522">
        <v>0.99999998647120003</v>
      </c>
    </row>
    <row r="6523" spans="1:40" x14ac:dyDescent="0.25">
      <c r="A6523" t="str">
        <f>"20190303154940039"</f>
        <v>20190303154940039</v>
      </c>
      <c r="B6523" t="str">
        <f>"1551599380027756"</f>
        <v>1551599380027756</v>
      </c>
      <c r="C6523" t="s">
        <v>40</v>
      </c>
      <c r="D6523">
        <v>4.9500489999999999</v>
      </c>
      <c r="E6523">
        <v>0.5374371</v>
      </c>
      <c r="F6523" t="s">
        <v>66</v>
      </c>
      <c r="G6523">
        <v>-361.37369999999999</v>
      </c>
      <c r="H6523" s="1">
        <v>-4.4643340000000003E-6</v>
      </c>
      <c r="I6523">
        <v>17.439229999999998</v>
      </c>
      <c r="J6523">
        <v>-374.26029999999997</v>
      </c>
      <c r="K6523">
        <v>1.1200319999999999</v>
      </c>
      <c r="L6523">
        <v>18.057009999999998</v>
      </c>
      <c r="M6523">
        <v>0.99985029999999997</v>
      </c>
      <c r="N6523">
        <v>-1.182918E-2</v>
      </c>
      <c r="O6523">
        <v>1.263363E-2</v>
      </c>
      <c r="P6523">
        <v>0.99247229999999997</v>
      </c>
      <c r="Q6523">
        <v>-0.111233399999999</v>
      </c>
      <c r="R6523">
        <v>5.1247090000000002E-2</v>
      </c>
      <c r="S6523">
        <v>3.0016780000000001</v>
      </c>
      <c r="T6523">
        <v>-0.25732769999999999</v>
      </c>
      <c r="U6523">
        <v>-0.1416626</v>
      </c>
      <c r="V6523">
        <v>-3.8863189999999999E-2</v>
      </c>
      <c r="W6523">
        <v>-9.9416589999999999E-2</v>
      </c>
      <c r="X6523">
        <v>0.99428669999999997</v>
      </c>
      <c r="Y6523">
        <v>5.9476420000000002E-2</v>
      </c>
      <c r="Z6523">
        <v>-3.8274479999999998E-3</v>
      </c>
      <c r="AA6523">
        <v>0.99822239999999995</v>
      </c>
      <c r="AB6523">
        <v>21</v>
      </c>
      <c r="AC6523">
        <v>12.8865999999999</v>
      </c>
      <c r="AD6523">
        <v>-1.1200364643339999</v>
      </c>
      <c r="AE6523">
        <v>-0.61778000000000299</v>
      </c>
      <c r="AF6523">
        <v>0.77470773795951198</v>
      </c>
      <c r="AG6523">
        <v>-1.1200364643339999</v>
      </c>
      <c r="AH6523">
        <v>12.781434130823</v>
      </c>
      <c r="AI6523">
        <v>94.998906180984505</v>
      </c>
      <c r="AJ6523">
        <v>86.531434130048396</v>
      </c>
      <c r="AK6523">
        <v>12.8537820193615</v>
      </c>
      <c r="AL6523">
        <v>95.705575999215</v>
      </c>
      <c r="AM6523">
        <v>92.238352232706603</v>
      </c>
      <c r="AN6523">
        <v>1.00000002385054</v>
      </c>
    </row>
    <row r="6524" spans="1:40" x14ac:dyDescent="0.25">
      <c r="A6524" t="str">
        <f>"20190303154940054"</f>
        <v>20190303154940054</v>
      </c>
      <c r="B6524" t="str">
        <f>"1551599380047278"</f>
        <v>1551599380047278</v>
      </c>
      <c r="C6524" t="s">
        <v>40</v>
      </c>
      <c r="D6524">
        <v>5.0913849999999998</v>
      </c>
      <c r="E6524">
        <v>0.53640219999999905</v>
      </c>
      <c r="F6524" t="s">
        <v>66</v>
      </c>
      <c r="G6524">
        <v>-360.92630000000003</v>
      </c>
      <c r="H6524" s="1">
        <v>-4.6807419999999998E-6</v>
      </c>
      <c r="I6524">
        <v>17.41151</v>
      </c>
      <c r="J6524">
        <v>-374.12990000000002</v>
      </c>
      <c r="K6524">
        <v>1.1200730000000001</v>
      </c>
      <c r="L6524">
        <v>18.0578</v>
      </c>
      <c r="M6524">
        <v>0.99985619999999997</v>
      </c>
      <c r="N6524">
        <v>-1.2034980000000001E-2</v>
      </c>
      <c r="O6524">
        <v>1.194807E-2</v>
      </c>
      <c r="P6524">
        <v>0.99260709999999996</v>
      </c>
      <c r="Q6524">
        <v>-0.1104318</v>
      </c>
      <c r="R6524">
        <v>5.0361919999999998E-2</v>
      </c>
      <c r="S6524">
        <v>3.0019840000000002</v>
      </c>
      <c r="T6524">
        <v>-0.25216280000000002</v>
      </c>
      <c r="U6524">
        <v>-0.1453247</v>
      </c>
      <c r="V6524">
        <v>-3.8649919999999997E-2</v>
      </c>
      <c r="W6524">
        <v>-9.841184E-2</v>
      </c>
      <c r="X6524">
        <v>0.99439500000000003</v>
      </c>
      <c r="Y6524">
        <v>6.0012379999999997E-2</v>
      </c>
      <c r="Z6524">
        <v>-3.7344980000000002E-3</v>
      </c>
      <c r="AA6524">
        <v>0.99819060000000004</v>
      </c>
      <c r="AB6524">
        <v>21</v>
      </c>
      <c r="AC6524">
        <v>13.2035999999999</v>
      </c>
      <c r="AD6524">
        <v>-1.1200776807420001</v>
      </c>
      <c r="AE6524">
        <v>-0.64629000000000003</v>
      </c>
      <c r="AF6524">
        <v>0.79828184710544103</v>
      </c>
      <c r="AG6524">
        <v>-1.1200776807420001</v>
      </c>
      <c r="AH6524">
        <v>13.100881868476399</v>
      </c>
      <c r="AI6524">
        <v>94.877693929241801</v>
      </c>
      <c r="AJ6524">
        <v>86.513082091002403</v>
      </c>
      <c r="AK6524">
        <v>13.172886306732099</v>
      </c>
      <c r="AL6524">
        <v>95.647724144924297</v>
      </c>
      <c r="AM6524">
        <v>92.225838991977994</v>
      </c>
      <c r="AN6524">
        <v>1.00000006129659</v>
      </c>
    </row>
    <row r="6525" spans="1:40" x14ac:dyDescent="0.25">
      <c r="A6525" t="str">
        <f>"20190303154940075"</f>
        <v>20190303154940075</v>
      </c>
      <c r="B6525" t="str">
        <f>"1551599380067773"</f>
        <v>1551599380067773</v>
      </c>
      <c r="C6525" t="s">
        <v>40</v>
      </c>
      <c r="D6525">
        <v>4.9843010000000003</v>
      </c>
      <c r="E6525">
        <v>0.51288159999999905</v>
      </c>
      <c r="F6525" t="s">
        <v>42</v>
      </c>
      <c r="G6525">
        <v>-373.32159999999999</v>
      </c>
      <c r="H6525">
        <v>1.053731</v>
      </c>
      <c r="I6525">
        <v>18.020199999999999</v>
      </c>
      <c r="J6525">
        <v>-373.93369999999999</v>
      </c>
      <c r="K6525">
        <v>1.120139</v>
      </c>
      <c r="L6525">
        <v>18.058869999999999</v>
      </c>
      <c r="M6525">
        <v>0.99986419999999998</v>
      </c>
      <c r="N6525">
        <v>-1.232227E-2</v>
      </c>
      <c r="O6525">
        <v>1.095225E-2</v>
      </c>
      <c r="P6525">
        <v>0.99266390000000004</v>
      </c>
      <c r="Q6525">
        <v>-0.1103277</v>
      </c>
      <c r="R6525">
        <v>4.9461089999999999E-2</v>
      </c>
      <c r="S6525">
        <v>3.0020449999999999</v>
      </c>
      <c r="T6525">
        <v>-0.24646009999999999</v>
      </c>
      <c r="U6525">
        <v>-0.13980100000000001</v>
      </c>
      <c r="V6525">
        <v>-3.8728220000000001E-2</v>
      </c>
      <c r="W6525">
        <v>-9.8025370000000001E-2</v>
      </c>
      <c r="X6525">
        <v>0.99443009999999998</v>
      </c>
      <c r="Y6525">
        <v>5.7209019999999999E-2</v>
      </c>
      <c r="Z6525">
        <v>-3.459017E-3</v>
      </c>
      <c r="AA6525">
        <v>0.99835620000000003</v>
      </c>
      <c r="AB6525">
        <v>20</v>
      </c>
      <c r="AC6525">
        <v>0.61209999999999798</v>
      </c>
      <c r="AD6525">
        <v>-6.6407999999999995E-2</v>
      </c>
      <c r="AE6525">
        <v>-3.8670000000003299E-2</v>
      </c>
      <c r="AF6525">
        <v>4.4846294600549903E-2</v>
      </c>
      <c r="AG6525">
        <v>-6.6407999999999995E-2</v>
      </c>
      <c r="AH6525">
        <v>0.60455211534248199</v>
      </c>
      <c r="AI6525">
        <v>96.251574277213606</v>
      </c>
      <c r="AJ6525">
        <v>85.757510944583899</v>
      </c>
      <c r="AK6525">
        <v>0.60983971071788201</v>
      </c>
      <c r="AL6525">
        <v>95.625473603988596</v>
      </c>
      <c r="AM6525">
        <v>92.230265075579396</v>
      </c>
      <c r="AN6525">
        <v>1.000000035987</v>
      </c>
    </row>
    <row r="6526" spans="1:40" x14ac:dyDescent="0.25">
      <c r="A6526" t="str">
        <f>"20190303154940096"</f>
        <v>20190303154940096</v>
      </c>
      <c r="B6526" t="str">
        <f>"1551599380087292"</f>
        <v>1551599380087292</v>
      </c>
      <c r="C6526" t="s">
        <v>40</v>
      </c>
      <c r="D6526">
        <v>4.9587269999999997</v>
      </c>
      <c r="E6526">
        <v>0.51127800000000001</v>
      </c>
      <c r="F6526" t="s">
        <v>41</v>
      </c>
      <c r="G6526">
        <v>-326.07589999999999</v>
      </c>
      <c r="H6526" s="1">
        <v>-1.990835E-6</v>
      </c>
      <c r="I6526">
        <v>18.740100000000002</v>
      </c>
      <c r="J6526">
        <v>-373.7473</v>
      </c>
      <c r="K6526">
        <v>1.120187</v>
      </c>
      <c r="L6526">
        <v>18.05978</v>
      </c>
      <c r="M6526">
        <v>0.99987060000000005</v>
      </c>
      <c r="N6526">
        <v>-1.2565130000000001E-2</v>
      </c>
      <c r="O6526">
        <v>1.004944E-2</v>
      </c>
      <c r="P6526">
        <v>0.99251590000000001</v>
      </c>
      <c r="Q6526">
        <v>-0.1119356</v>
      </c>
      <c r="R6526">
        <v>4.8813429999999998E-2</v>
      </c>
      <c r="S6526">
        <v>3.0122070000000001</v>
      </c>
      <c r="T6526">
        <v>-7.0502640000000005E-2</v>
      </c>
      <c r="U6526">
        <v>4.2877199999999997E-2</v>
      </c>
      <c r="V6526">
        <v>-3.8970419999999999E-2</v>
      </c>
      <c r="W6526">
        <v>-9.9397429999999995E-2</v>
      </c>
      <c r="X6526">
        <v>0.99428439999999996</v>
      </c>
      <c r="Y6526">
        <v>-4.1819320000000002E-3</v>
      </c>
      <c r="Z6526" s="1">
        <v>-3.3683010000000003E-5</v>
      </c>
      <c r="AA6526">
        <v>0.99999119999999997</v>
      </c>
      <c r="AB6526">
        <v>20</v>
      </c>
      <c r="AC6526">
        <v>47.671399999999998</v>
      </c>
      <c r="AD6526">
        <v>-1.120188990835</v>
      </c>
      <c r="AE6526">
        <v>0.68032000000000104</v>
      </c>
      <c r="AF6526">
        <v>-0.20106596681132599</v>
      </c>
      <c r="AG6526">
        <v>-1.120188990835</v>
      </c>
      <c r="AH6526">
        <v>47.649524820671601</v>
      </c>
      <c r="AI6526">
        <v>91.346702001379796</v>
      </c>
      <c r="AJ6526">
        <v>90.241768684382194</v>
      </c>
      <c r="AK6526">
        <v>47.6631143184538</v>
      </c>
      <c r="AL6526">
        <v>95.704472853116101</v>
      </c>
      <c r="AM6526">
        <v>92.244527097345696</v>
      </c>
      <c r="AN6526">
        <v>1.00000000540447</v>
      </c>
    </row>
    <row r="6527" spans="1:40" x14ac:dyDescent="0.25">
      <c r="A6527" t="str">
        <f>"20190303154940106"</f>
        <v>20190303154940106</v>
      </c>
      <c r="B6527" t="str">
        <f>"1551599380097054"</f>
        <v>1551599380097054</v>
      </c>
      <c r="C6527" t="s">
        <v>40</v>
      </c>
      <c r="D6527">
        <v>4.9943809999999997</v>
      </c>
      <c r="E6527">
        <v>0.51110940000000005</v>
      </c>
      <c r="F6527" t="s">
        <v>41</v>
      </c>
      <c r="G6527">
        <v>-335.0634</v>
      </c>
      <c r="H6527" s="1">
        <v>-2.2535539999999999E-6</v>
      </c>
      <c r="I6527">
        <v>18.75113</v>
      </c>
      <c r="J6527">
        <v>-373.64249999999998</v>
      </c>
      <c r="K6527">
        <v>1.120214</v>
      </c>
      <c r="L6527">
        <v>18.06024</v>
      </c>
      <c r="M6527">
        <v>0.99987389999999998</v>
      </c>
      <c r="N6527">
        <v>-1.268909E-2</v>
      </c>
      <c r="O6527">
        <v>9.5586100000000004E-3</v>
      </c>
      <c r="P6527">
        <v>0.99244509999999997</v>
      </c>
      <c r="Q6527">
        <v>-0.11269319999999999</v>
      </c>
      <c r="R6527">
        <v>4.8507269999999998E-2</v>
      </c>
      <c r="S6527">
        <v>3.010132</v>
      </c>
      <c r="T6527">
        <v>-8.716583E-2</v>
      </c>
      <c r="U6527">
        <v>5.3802490000000001E-2</v>
      </c>
      <c r="V6527">
        <v>-3.9147590000000003E-2</v>
      </c>
      <c r="W6527">
        <v>-0.10003479999999999</v>
      </c>
      <c r="X6527">
        <v>0.99421349999999997</v>
      </c>
      <c r="Y6527">
        <v>-8.3085309999999992E-3</v>
      </c>
      <c r="Z6527" s="1">
        <v>1.7569229999999902E-5</v>
      </c>
      <c r="AA6527">
        <v>0.99996549999999995</v>
      </c>
      <c r="AB6527">
        <v>20</v>
      </c>
      <c r="AC6527">
        <v>38.579099999999897</v>
      </c>
      <c r="AD6527">
        <v>-1.1202162535539999</v>
      </c>
      <c r="AE6527">
        <v>0.690889999999999</v>
      </c>
      <c r="AF6527">
        <v>-0.32179497449172301</v>
      </c>
      <c r="AG6527">
        <v>-1.1202162535539999</v>
      </c>
      <c r="AH6527">
        <v>38.551447890266601</v>
      </c>
      <c r="AI6527">
        <v>91.664357051326604</v>
      </c>
      <c r="AJ6527">
        <v>90.478245739727598</v>
      </c>
      <c r="AK6527">
        <v>38.569062354382901</v>
      </c>
      <c r="AL6527">
        <v>95.741174480429706</v>
      </c>
      <c r="AM6527">
        <v>92.254881436936799</v>
      </c>
      <c r="AN6527">
        <v>0.99999998929804801</v>
      </c>
    </row>
    <row r="6528" spans="1:40" x14ac:dyDescent="0.25">
      <c r="A6528" t="str">
        <f>"20190303154940118"</f>
        <v>20190303154940118</v>
      </c>
      <c r="B6528" t="str">
        <f>"1551599380107790"</f>
        <v>1551599380107790</v>
      </c>
      <c r="C6528" t="s">
        <v>40</v>
      </c>
      <c r="D6528">
        <v>4.9710710000000002</v>
      </c>
      <c r="E6528">
        <v>0.51107530000000001</v>
      </c>
      <c r="F6528" t="s">
        <v>41</v>
      </c>
      <c r="G6528">
        <v>-335.93239999999997</v>
      </c>
      <c r="H6528" s="1">
        <v>-1.8828669999999999E-6</v>
      </c>
      <c r="I6528">
        <v>18.739170000000001</v>
      </c>
      <c r="J6528">
        <v>-373.53570000000002</v>
      </c>
      <c r="K6528">
        <v>1.1202430000000001</v>
      </c>
      <c r="L6528">
        <v>18.060700000000001</v>
      </c>
      <c r="M6528">
        <v>0.99987700000000002</v>
      </c>
      <c r="N6528">
        <v>-1.2808689999999999E-2</v>
      </c>
      <c r="O6528">
        <v>9.0670400000000002E-3</v>
      </c>
      <c r="P6528">
        <v>0.99238289999999996</v>
      </c>
      <c r="Q6528">
        <v>-0.1133767</v>
      </c>
      <c r="R6528">
        <v>4.8189299999999997E-2</v>
      </c>
      <c r="S6528">
        <v>3.01004</v>
      </c>
      <c r="T6528">
        <v>-8.9416270000000006E-2</v>
      </c>
      <c r="U6528">
        <v>5.4199219999999999E-2</v>
      </c>
      <c r="V6528">
        <v>-3.9313620000000001E-2</v>
      </c>
      <c r="W6528">
        <v>-0.10060239999999999</v>
      </c>
      <c r="X6528">
        <v>0.99414970000000003</v>
      </c>
      <c r="Y6528">
        <v>-8.93183E-3</v>
      </c>
      <c r="Z6528" s="1">
        <v>3.6717169999999999E-5</v>
      </c>
      <c r="AA6528">
        <v>0.99996010000000002</v>
      </c>
      <c r="AB6528">
        <v>20</v>
      </c>
      <c r="AC6528">
        <v>37.603299999999997</v>
      </c>
      <c r="AD6528">
        <v>-1.120244882867</v>
      </c>
      <c r="AE6528">
        <v>0.67847000000000002</v>
      </c>
      <c r="AF6528">
        <v>-0.33716441797451602</v>
      </c>
      <c r="AG6528">
        <v>-1.120244882867</v>
      </c>
      <c r="AH6528">
        <v>37.574569215104901</v>
      </c>
      <c r="AI6528">
        <v>91.707636740389702</v>
      </c>
      <c r="AJ6528">
        <v>90.514113138025706</v>
      </c>
      <c r="AK6528">
        <v>37.592776967697503</v>
      </c>
      <c r="AL6528">
        <v>95.773860306709807</v>
      </c>
      <c r="AM6528">
        <v>92.264579916728493</v>
      </c>
      <c r="AN6528">
        <v>1.0000000148066699</v>
      </c>
    </row>
    <row r="6529" spans="1:40" x14ac:dyDescent="0.25">
      <c r="A6529" t="str">
        <f>"20190303154940131"</f>
        <v>20190303154940131</v>
      </c>
      <c r="B6529" t="str">
        <f>"1551599380117550"</f>
        <v>1551599380117550</v>
      </c>
      <c r="C6529" t="s">
        <v>40</v>
      </c>
      <c r="D6529">
        <v>5.0310079999999999</v>
      </c>
      <c r="E6529">
        <v>0.51108240000000005</v>
      </c>
      <c r="F6529" t="s">
        <v>41</v>
      </c>
      <c r="G6529">
        <v>-336.88839999999999</v>
      </c>
      <c r="H6529" s="1">
        <v>-1.477674E-6</v>
      </c>
      <c r="I6529">
        <v>18.711600000000001</v>
      </c>
      <c r="J6529">
        <v>-373.42950000000002</v>
      </c>
      <c r="K6529">
        <v>1.120274</v>
      </c>
      <c r="L6529">
        <v>18.0611</v>
      </c>
      <c r="M6529">
        <v>0.99987979999999999</v>
      </c>
      <c r="N6529">
        <v>-1.291603E-2</v>
      </c>
      <c r="O6529">
        <v>8.5975870000000003E-3</v>
      </c>
      <c r="P6529">
        <v>0.99237260000000005</v>
      </c>
      <c r="Q6529">
        <v>-0.1135999</v>
      </c>
      <c r="R6529">
        <v>4.787317E-2</v>
      </c>
      <c r="S6529">
        <v>3.0099490000000002</v>
      </c>
      <c r="T6529">
        <v>-9.2008709999999994E-2</v>
      </c>
      <c r="U6529">
        <v>5.3466800000000002E-2</v>
      </c>
      <c r="V6529">
        <v>-3.9458210000000001E-2</v>
      </c>
      <c r="W6529">
        <v>-0.1007212</v>
      </c>
      <c r="X6529">
        <v>0.99413189999999996</v>
      </c>
      <c r="Y6529">
        <v>-9.1582050000000009E-3</v>
      </c>
      <c r="Z6529" s="1">
        <v>4.7409320000000002E-5</v>
      </c>
      <c r="AA6529">
        <v>0.99995800000000001</v>
      </c>
      <c r="AB6529">
        <v>20</v>
      </c>
      <c r="AC6529">
        <v>36.5411</v>
      </c>
      <c r="AD6529">
        <v>-1.120275477674</v>
      </c>
      <c r="AE6529">
        <v>0.65050000000000097</v>
      </c>
      <c r="AF6529">
        <v>-0.335968834346065</v>
      </c>
      <c r="AG6529">
        <v>-1.120275477674</v>
      </c>
      <c r="AH6529">
        <v>36.511036185972003</v>
      </c>
      <c r="AI6529">
        <v>91.757392200333399</v>
      </c>
      <c r="AJ6529">
        <v>90.527211905808002</v>
      </c>
      <c r="AK6529">
        <v>36.529763968261399</v>
      </c>
      <c r="AL6529">
        <v>95.780702040392796</v>
      </c>
      <c r="AM6529">
        <v>92.272940659747306</v>
      </c>
      <c r="AN6529">
        <v>0.99999997253172601</v>
      </c>
    </row>
    <row r="6530" spans="1:40" x14ac:dyDescent="0.25">
      <c r="A6530" t="str">
        <f>"20190303154940143"</f>
        <v>20190303154940143</v>
      </c>
      <c r="B6530" t="str">
        <f>"1551599380137070"</f>
        <v>1551599380137070</v>
      </c>
      <c r="C6530" t="s">
        <v>40</v>
      </c>
      <c r="D6530">
        <v>5.0240720000000003</v>
      </c>
      <c r="E6530">
        <v>0.51061449999999997</v>
      </c>
      <c r="F6530" t="s">
        <v>41</v>
      </c>
      <c r="G6530">
        <v>-337.03559999999999</v>
      </c>
      <c r="H6530" s="1">
        <v>-1.4173179999999901E-6</v>
      </c>
      <c r="I6530">
        <v>18.695709999999998</v>
      </c>
      <c r="J6530">
        <v>-373.30309999999997</v>
      </c>
      <c r="K6530">
        <v>1.120306</v>
      </c>
      <c r="L6530">
        <v>18.061520000000002</v>
      </c>
      <c r="M6530">
        <v>0.99988270000000001</v>
      </c>
      <c r="N6530">
        <v>-1.303731E-2</v>
      </c>
      <c r="O6530">
        <v>8.0507269999999902E-3</v>
      </c>
      <c r="P6530">
        <v>0.99239619999999995</v>
      </c>
      <c r="Q6530">
        <v>-0.1136085</v>
      </c>
      <c r="R6530">
        <v>4.7360140000000002E-2</v>
      </c>
      <c r="S6530">
        <v>3.0098880000000001</v>
      </c>
      <c r="T6530">
        <v>-9.2650179999999999E-2</v>
      </c>
      <c r="U6530">
        <v>5.2490229999999999E-2</v>
      </c>
      <c r="V6530">
        <v>-3.9481410000000002E-2</v>
      </c>
      <c r="W6530">
        <v>-0.1006117</v>
      </c>
      <c r="X6530">
        <v>0.99414210000000003</v>
      </c>
      <c r="Y6530">
        <v>-9.3808050000000007E-3</v>
      </c>
      <c r="Z6530" s="1">
        <v>6.2724169999999894E-5</v>
      </c>
      <c r="AA6530">
        <v>0.99995599999999996</v>
      </c>
      <c r="AB6530">
        <v>20</v>
      </c>
      <c r="AC6530">
        <v>36.267499999999899</v>
      </c>
      <c r="AD6530">
        <v>-1.1203074173180001</v>
      </c>
      <c r="AE6530">
        <v>0.63419000000000003</v>
      </c>
      <c r="AF6530">
        <v>-0.34183883155754402</v>
      </c>
      <c r="AG6530">
        <v>-1.1203074173180001</v>
      </c>
      <c r="AH6530">
        <v>36.236863953089902</v>
      </c>
      <c r="AI6530">
        <v>91.770727029053404</v>
      </c>
      <c r="AJ6530">
        <v>90.540481135289795</v>
      </c>
      <c r="AK6530">
        <v>36.255789215665999</v>
      </c>
      <c r="AL6530">
        <v>95.774395928994394</v>
      </c>
      <c r="AM6530">
        <v>92.274252353935594</v>
      </c>
      <c r="AN6530">
        <v>1.0000000054524401</v>
      </c>
    </row>
    <row r="6531" spans="1:40" x14ac:dyDescent="0.25">
      <c r="A6531" t="str">
        <f>"20190303154940163"</f>
        <v>20190303154940163</v>
      </c>
      <c r="B6531" t="str">
        <f>"1551599380157566"</f>
        <v>1551599380157566</v>
      </c>
      <c r="C6531" t="s">
        <v>40</v>
      </c>
      <c r="D6531">
        <v>5.0002559999999896</v>
      </c>
      <c r="E6531">
        <v>0.51028090000000004</v>
      </c>
      <c r="F6531" t="s">
        <v>41</v>
      </c>
      <c r="G6531">
        <v>-337.7457</v>
      </c>
      <c r="H6531" s="1">
        <v>-1.1104669999999999E-6</v>
      </c>
      <c r="I6531">
        <v>18.708300000000001</v>
      </c>
      <c r="J6531">
        <v>-373.13490000000002</v>
      </c>
      <c r="K6531">
        <v>1.12035</v>
      </c>
      <c r="L6531">
        <v>18.06204</v>
      </c>
      <c r="M6531">
        <v>0.9998861</v>
      </c>
      <c r="N6531">
        <v>-1.318244E-2</v>
      </c>
      <c r="O6531">
        <v>7.3565019999999896E-3</v>
      </c>
      <c r="P6531">
        <v>0.99254719999999996</v>
      </c>
      <c r="Q6531">
        <v>-0.11245819999999999</v>
      </c>
      <c r="R6531">
        <v>4.6940389999999999E-2</v>
      </c>
      <c r="S6531">
        <v>3.0095209999999999</v>
      </c>
      <c r="T6531">
        <v>-9.4820860000000007E-2</v>
      </c>
      <c r="U6531">
        <v>5.4748539999999998E-2</v>
      </c>
      <c r="V6531">
        <v>-3.974163E-2</v>
      </c>
      <c r="W6531">
        <v>-9.9318229999999993E-2</v>
      </c>
      <c r="X6531">
        <v>0.99426179999999997</v>
      </c>
      <c r="Y6531">
        <v>-1.0825960000000001E-2</v>
      </c>
      <c r="Z6531">
        <v>1.0714289999999999E-4</v>
      </c>
      <c r="AA6531">
        <v>0.99994139999999998</v>
      </c>
      <c r="AB6531">
        <v>20</v>
      </c>
      <c r="AC6531">
        <v>35.389200000000002</v>
      </c>
      <c r="AD6531">
        <v>-1.1203511104670001</v>
      </c>
      <c r="AE6531">
        <v>0.64626000000000094</v>
      </c>
      <c r="AF6531">
        <v>-0.38549295618874202</v>
      </c>
      <c r="AG6531">
        <v>-1.1203511104670001</v>
      </c>
      <c r="AH6531">
        <v>35.357572290064802</v>
      </c>
      <c r="AI6531">
        <v>91.814776998771407</v>
      </c>
      <c r="AJ6531">
        <v>90.624653868939802</v>
      </c>
      <c r="AK6531">
        <v>35.377418075336699</v>
      </c>
      <c r="AL6531">
        <v>95.699912392629003</v>
      </c>
      <c r="AM6531">
        <v>92.288950633650302</v>
      </c>
      <c r="AN6531">
        <v>1.00000001745231</v>
      </c>
    </row>
    <row r="6532" spans="1:40" x14ac:dyDescent="0.25">
      <c r="A6532" t="str">
        <f>"20190303154940175"</f>
        <v>20190303154940175</v>
      </c>
      <c r="B6532" t="str">
        <f>"1551599380167326"</f>
        <v>1551599380167326</v>
      </c>
      <c r="C6532" t="s">
        <v>40</v>
      </c>
      <c r="D6532">
        <v>5.0060880000000001</v>
      </c>
      <c r="E6532">
        <v>0.51007400000000003</v>
      </c>
      <c r="F6532" t="s">
        <v>41</v>
      </c>
      <c r="G6532">
        <v>-337.1232</v>
      </c>
      <c r="H6532" s="1">
        <v>-1.3726899999999999E-6</v>
      </c>
      <c r="I6532">
        <v>18.735389999999999</v>
      </c>
      <c r="J6532">
        <v>-373.02370000000002</v>
      </c>
      <c r="K6532">
        <v>1.120374</v>
      </c>
      <c r="L6532">
        <v>18.062349999999999</v>
      </c>
      <c r="M6532">
        <v>0.99988809999999995</v>
      </c>
      <c r="N6532">
        <v>-1.326856E-2</v>
      </c>
      <c r="O6532">
        <v>6.918754E-3</v>
      </c>
      <c r="P6532">
        <v>0.99265040000000004</v>
      </c>
      <c r="Q6532">
        <v>-0.11161790000000001</v>
      </c>
      <c r="R6532">
        <v>4.6764689999999998E-2</v>
      </c>
      <c r="S6532">
        <v>3.009277</v>
      </c>
      <c r="T6532">
        <v>-9.3620780000000001E-2</v>
      </c>
      <c r="U6532">
        <v>5.6274409999999997E-2</v>
      </c>
      <c r="V6532">
        <v>-3.9994700000000001E-2</v>
      </c>
      <c r="W6532">
        <v>-9.8392579999999993E-2</v>
      </c>
      <c r="X6532">
        <v>0.99434359999999999</v>
      </c>
      <c r="Y6532">
        <v>-1.1771419999999999E-2</v>
      </c>
      <c r="Z6532">
        <v>1.377959E-4</v>
      </c>
      <c r="AA6532">
        <v>0.99993069999999895</v>
      </c>
      <c r="AB6532">
        <v>20</v>
      </c>
      <c r="AC6532">
        <v>35.900500000000001</v>
      </c>
      <c r="AD6532">
        <v>-1.1203753726900001</v>
      </c>
      <c r="AE6532">
        <v>0.67303999999999997</v>
      </c>
      <c r="AF6532">
        <v>-0.42420231264189001</v>
      </c>
      <c r="AG6532">
        <v>-1.1203753726900001</v>
      </c>
      <c r="AH6532">
        <v>35.869375726835301</v>
      </c>
      <c r="AI6532">
        <v>91.788919688986994</v>
      </c>
      <c r="AJ6532">
        <v>90.677565992289303</v>
      </c>
      <c r="AK6532">
        <v>35.889375915591799</v>
      </c>
      <c r="AL6532">
        <v>95.646615960007694</v>
      </c>
      <c r="AM6532">
        <v>92.303321453952506</v>
      </c>
      <c r="AN6532">
        <v>0.99999993534405096</v>
      </c>
    </row>
    <row r="6533" spans="1:40" x14ac:dyDescent="0.25">
      <c r="A6533" t="str">
        <f>"20190303154940187"</f>
        <v>20190303154940187</v>
      </c>
      <c r="B6533" t="str">
        <f>"1551599380177086"</f>
        <v>1551599380177086</v>
      </c>
      <c r="C6533" t="s">
        <v>40</v>
      </c>
      <c r="D6533">
        <v>5.0272129999999997</v>
      </c>
      <c r="E6533">
        <v>0.51002930000000002</v>
      </c>
      <c r="F6533" t="s">
        <v>41</v>
      </c>
      <c r="G6533">
        <v>-336.24369999999999</v>
      </c>
      <c r="H6533" s="1">
        <v>-1.7448359999999999E-6</v>
      </c>
      <c r="I6533">
        <v>18.764620000000001</v>
      </c>
      <c r="J6533">
        <v>-372.9119</v>
      </c>
      <c r="K6533">
        <v>1.1203970000000001</v>
      </c>
      <c r="L6533">
        <v>18.062619999999999</v>
      </c>
      <c r="M6533">
        <v>0.9998899</v>
      </c>
      <c r="N6533">
        <v>-1.334927E-2</v>
      </c>
      <c r="O6533">
        <v>6.4908429999999996E-3</v>
      </c>
      <c r="P6533">
        <v>0.99276359999999997</v>
      </c>
      <c r="Q6533">
        <v>-0.11076510000000001</v>
      </c>
      <c r="R6533">
        <v>4.638718E-2</v>
      </c>
      <c r="S6533">
        <v>3.0092159999999999</v>
      </c>
      <c r="T6533">
        <v>-9.1665269999999993E-2</v>
      </c>
      <c r="U6533">
        <v>5.7464599999999998E-2</v>
      </c>
      <c r="V6533">
        <v>-4.0036790000000003E-2</v>
      </c>
      <c r="W6533">
        <v>-9.7459710000000005E-2</v>
      </c>
      <c r="X6533">
        <v>0.99443380000000003</v>
      </c>
      <c r="Y6533">
        <v>-1.2594630000000001E-2</v>
      </c>
      <c r="Z6533">
        <v>1.648493E-4</v>
      </c>
      <c r="AA6533">
        <v>0.9999207</v>
      </c>
      <c r="AB6533">
        <v>20</v>
      </c>
      <c r="AC6533">
        <v>36.668199999999999</v>
      </c>
      <c r="AD6533">
        <v>-1.12039874483599</v>
      </c>
      <c r="AE6533">
        <v>0.70199999999999796</v>
      </c>
      <c r="AF6533">
        <v>-0.46352389511976599</v>
      </c>
      <c r="AG6533">
        <v>-1.12039874483599</v>
      </c>
      <c r="AH6533">
        <v>36.637791477585601</v>
      </c>
      <c r="AI6533">
        <v>91.751442578413901</v>
      </c>
      <c r="AJ6533">
        <v>90.724840253565205</v>
      </c>
      <c r="AK6533">
        <v>36.657849256384701</v>
      </c>
      <c r="AL6533">
        <v>95.592908160210897</v>
      </c>
      <c r="AM6533">
        <v>92.305533913843604</v>
      </c>
      <c r="AN6533">
        <v>0.99999996110461298</v>
      </c>
    </row>
    <row r="6534" spans="1:40" x14ac:dyDescent="0.25">
      <c r="A6534" t="str">
        <f>"20190303154940207"</f>
        <v>20190303154940207</v>
      </c>
      <c r="B6534" t="str">
        <f>"1551599380197581"</f>
        <v>1551599380197581</v>
      </c>
      <c r="C6534" t="s">
        <v>40</v>
      </c>
      <c r="D6534">
        <v>5.0079359999999999</v>
      </c>
      <c r="E6534">
        <v>0.50982659999999902</v>
      </c>
      <c r="F6534" t="s">
        <v>41</v>
      </c>
      <c r="G6534">
        <v>-335.3596</v>
      </c>
      <c r="H6534" s="1">
        <v>-2.1229949999999999E-6</v>
      </c>
      <c r="I6534">
        <v>18.770890000000001</v>
      </c>
      <c r="J6534">
        <v>-372.73610000000002</v>
      </c>
      <c r="K6534">
        <v>1.120422</v>
      </c>
      <c r="L6534">
        <v>18.062989999999999</v>
      </c>
      <c r="M6534">
        <v>0.99989229999999996</v>
      </c>
      <c r="N6534">
        <v>-1.346431E-2</v>
      </c>
      <c r="O6534">
        <v>5.8415200000000002E-3</v>
      </c>
      <c r="P6534">
        <v>0.99291989999999997</v>
      </c>
      <c r="Q6534">
        <v>-0.1096521</v>
      </c>
      <c r="R6534">
        <v>4.5677170000000003E-2</v>
      </c>
      <c r="S6534">
        <v>3.0092159999999999</v>
      </c>
      <c r="T6534">
        <v>-8.9782000000000001E-2</v>
      </c>
      <c r="U6534">
        <v>5.6762699999999902E-2</v>
      </c>
      <c r="V6534">
        <v>-3.9965720000000003E-2</v>
      </c>
      <c r="W6534">
        <v>-9.6232670000000006E-2</v>
      </c>
      <c r="X6534">
        <v>0.9945562</v>
      </c>
      <c r="Y6534">
        <v>-1.301065E-2</v>
      </c>
      <c r="Z6534">
        <v>1.860721E-4</v>
      </c>
      <c r="AA6534">
        <v>0.99991540000000001</v>
      </c>
      <c r="AB6534">
        <v>20</v>
      </c>
      <c r="AC6534">
        <v>37.3765</v>
      </c>
      <c r="AD6534">
        <v>-1.120424122995</v>
      </c>
      <c r="AE6534">
        <v>0.70789999999999798</v>
      </c>
      <c r="AF6534">
        <v>-0.489093213666979</v>
      </c>
      <c r="AG6534">
        <v>-1.120424122995</v>
      </c>
      <c r="AH6534">
        <v>37.346450179092699</v>
      </c>
      <c r="AI6534">
        <v>91.718257679140095</v>
      </c>
      <c r="AJ6534">
        <v>90.750308929129702</v>
      </c>
      <c r="AK6534">
        <v>37.366454251995798</v>
      </c>
      <c r="AL6534">
        <v>95.522271631685101</v>
      </c>
      <c r="AM6534">
        <v>92.301162790902197</v>
      </c>
      <c r="AN6534">
        <v>1.00000001025444</v>
      </c>
    </row>
    <row r="6535" spans="1:40" x14ac:dyDescent="0.25">
      <c r="A6535" t="str">
        <f>"20190303154940219"</f>
        <v>20190303154940219</v>
      </c>
      <c r="B6535" t="str">
        <f>"1551599380207341"</f>
        <v>1551599380207341</v>
      </c>
      <c r="C6535" t="s">
        <v>40</v>
      </c>
      <c r="D6535">
        <v>5.0112909999999999</v>
      </c>
      <c r="E6535">
        <v>0.50974350000000002</v>
      </c>
      <c r="F6535" t="s">
        <v>41</v>
      </c>
      <c r="G6535">
        <v>-334.47210000000001</v>
      </c>
      <c r="H6535" s="1">
        <v>-2.5020759999999999E-6</v>
      </c>
      <c r="I6535">
        <v>18.780069999999998</v>
      </c>
      <c r="J6535">
        <v>-372.62869999999998</v>
      </c>
      <c r="K6535">
        <v>1.1204369999999999</v>
      </c>
      <c r="L6535">
        <v>18.063140000000001</v>
      </c>
      <c r="M6535">
        <v>0.99989360000000005</v>
      </c>
      <c r="N6535">
        <v>-1.352857E-2</v>
      </c>
      <c r="O6535">
        <v>5.4569170000000004E-3</v>
      </c>
      <c r="P6535">
        <v>0.99298260000000005</v>
      </c>
      <c r="Q6535">
        <v>-0.1093017</v>
      </c>
      <c r="R6535">
        <v>4.5154279999999998E-2</v>
      </c>
      <c r="S6535">
        <v>3.009064</v>
      </c>
      <c r="T6535">
        <v>-8.8109850000000003E-2</v>
      </c>
      <c r="U6535">
        <v>5.6396479999999999E-2</v>
      </c>
      <c r="V6535">
        <v>-3.9821240000000001E-2</v>
      </c>
      <c r="W6535">
        <v>-9.5818879999999995E-2</v>
      </c>
      <c r="X6535">
        <v>0.99460199999999999</v>
      </c>
      <c r="Y6535">
        <v>-1.327454E-2</v>
      </c>
      <c r="Z6535">
        <v>1.9820140000000001E-4</v>
      </c>
      <c r="AA6535">
        <v>0.99991180000000002</v>
      </c>
      <c r="AB6535">
        <v>20</v>
      </c>
      <c r="AC6535">
        <v>38.156599999999898</v>
      </c>
      <c r="AD6535">
        <v>-1.1204395020760001</v>
      </c>
      <c r="AE6535">
        <v>0.71693000000000096</v>
      </c>
      <c r="AF6535">
        <v>-0.50824478505950599</v>
      </c>
      <c r="AG6535">
        <v>-1.1204395020760001</v>
      </c>
      <c r="AH6535">
        <v>38.1270805674027</v>
      </c>
      <c r="AI6535">
        <v>91.683115657614806</v>
      </c>
      <c r="AJ6535">
        <v>90.763723737487695</v>
      </c>
      <c r="AK6535">
        <v>38.146926088907499</v>
      </c>
      <c r="AL6535">
        <v>95.498452847721694</v>
      </c>
      <c r="AM6535">
        <v>92.292747286337899</v>
      </c>
      <c r="AN6535">
        <v>1.0000000636617901</v>
      </c>
    </row>
    <row r="6536" spans="1:40" x14ac:dyDescent="0.25">
      <c r="A6536" t="str">
        <f>"20190303154940230"</f>
        <v>20190303154940230</v>
      </c>
      <c r="B6536" t="str">
        <f>"1551599380226862"</f>
        <v>1551599380226862</v>
      </c>
      <c r="C6536" t="s">
        <v>40</v>
      </c>
      <c r="D6536">
        <v>5.0032399999999999</v>
      </c>
      <c r="E6536">
        <v>0.50957390000000002</v>
      </c>
      <c r="F6536" t="s">
        <v>41</v>
      </c>
      <c r="G6536">
        <v>-333.94529999999997</v>
      </c>
      <c r="H6536" s="1">
        <v>-2.728561E-6</v>
      </c>
      <c r="I6536">
        <v>18.77749</v>
      </c>
      <c r="J6536">
        <v>-372.52659999999997</v>
      </c>
      <c r="K6536">
        <v>1.1204529999999999</v>
      </c>
      <c r="L6536">
        <v>18.063289999999999</v>
      </c>
      <c r="M6536">
        <v>0.99989490000000003</v>
      </c>
      <c r="N6536">
        <v>-1.3583080000000001E-2</v>
      </c>
      <c r="O6536">
        <v>5.1032830000000001E-3</v>
      </c>
      <c r="P6536">
        <v>0.99300560000000004</v>
      </c>
      <c r="Q6536">
        <v>-0.1092226</v>
      </c>
      <c r="R6536">
        <v>4.4841069999999997E-2</v>
      </c>
      <c r="S6536">
        <v>3.009064</v>
      </c>
      <c r="T6536">
        <v>-8.7155460000000004E-2</v>
      </c>
      <c r="U6536">
        <v>5.5572509999999999E-2</v>
      </c>
      <c r="V6536">
        <v>-3.9857330000000003E-2</v>
      </c>
      <c r="W6536">
        <v>-9.5686220000000002E-2</v>
      </c>
      <c r="X6536">
        <v>0.99461330000000003</v>
      </c>
      <c r="Y6536">
        <v>-1.335448E-2</v>
      </c>
      <c r="Z6536">
        <v>2.0562360000000001E-4</v>
      </c>
      <c r="AA6536">
        <v>0.99991079999999999</v>
      </c>
      <c r="AB6536">
        <v>20</v>
      </c>
      <c r="AC6536">
        <v>38.581299999999999</v>
      </c>
      <c r="AD6536">
        <v>-1.120455728561</v>
      </c>
      <c r="AE6536">
        <v>0.71420000000000095</v>
      </c>
      <c r="AF6536">
        <v>-0.516845514582006</v>
      </c>
      <c r="AG6536">
        <v>-1.120455728561</v>
      </c>
      <c r="AH6536">
        <v>38.5519388849942</v>
      </c>
      <c r="AI6536">
        <v>91.664599919260894</v>
      </c>
      <c r="AJ6536">
        <v>90.768088286609597</v>
      </c>
      <c r="AK6536">
        <v>38.5716805716051</v>
      </c>
      <c r="AL6536">
        <v>95.490817045585104</v>
      </c>
      <c r="AM6536">
        <v>92.294796939203096</v>
      </c>
      <c r="AN6536">
        <v>1.00000003799475</v>
      </c>
    </row>
    <row r="6537" spans="1:40" x14ac:dyDescent="0.25">
      <c r="A6537" t="str">
        <f>"20190303154940242"</f>
        <v>20190303154940242</v>
      </c>
      <c r="B6537" t="str">
        <f>"1551599380237597"</f>
        <v>1551599380237597</v>
      </c>
      <c r="C6537" t="s">
        <v>40</v>
      </c>
      <c r="D6537">
        <v>4.9838110000000002</v>
      </c>
      <c r="E6537">
        <v>0.50949860000000002</v>
      </c>
      <c r="F6537" t="s">
        <v>41</v>
      </c>
      <c r="G6537">
        <v>-334.07420000000002</v>
      </c>
      <c r="H6537" s="1">
        <v>-2.673097E-6</v>
      </c>
      <c r="I6537">
        <v>18.778459999999999</v>
      </c>
      <c r="J6537">
        <v>-372.41699999999997</v>
      </c>
      <c r="K6537">
        <v>1.120465</v>
      </c>
      <c r="L6537">
        <v>18.063420000000001</v>
      </c>
      <c r="M6537">
        <v>0.99989589999999995</v>
      </c>
      <c r="N6537">
        <v>-1.363934E-2</v>
      </c>
      <c r="O6537">
        <v>4.7273469999999998E-3</v>
      </c>
      <c r="P6537">
        <v>0.99302500000000005</v>
      </c>
      <c r="Q6537">
        <v>-0.1093008</v>
      </c>
      <c r="R6537">
        <v>4.4214410000000003E-2</v>
      </c>
      <c r="S6537">
        <v>3.008972</v>
      </c>
      <c r="T6537">
        <v>-8.7677480000000002E-2</v>
      </c>
      <c r="U6537">
        <v>5.5969240000000003E-2</v>
      </c>
      <c r="V6537">
        <v>-3.960209E-2</v>
      </c>
      <c r="W6537">
        <v>-9.5709440000000007E-2</v>
      </c>
      <c r="X6537">
        <v>0.99462119999999998</v>
      </c>
      <c r="Y6537">
        <v>-1.3862319999999999E-2</v>
      </c>
      <c r="Z6537">
        <v>2.232464E-4</v>
      </c>
      <c r="AA6537">
        <v>0.99990389999999996</v>
      </c>
      <c r="AB6537">
        <v>20</v>
      </c>
      <c r="AC6537">
        <v>38.342799999999897</v>
      </c>
      <c r="AD6537">
        <v>-1.120467673097</v>
      </c>
      <c r="AE6537">
        <v>0.71503999999999801</v>
      </c>
      <c r="AF6537">
        <v>-0.53330019112958704</v>
      </c>
      <c r="AG6537">
        <v>-1.120467673097</v>
      </c>
      <c r="AH6537">
        <v>38.313046091631698</v>
      </c>
      <c r="AI6537">
        <v>91.674979394139697</v>
      </c>
      <c r="AJ6537">
        <v>90.797479711864</v>
      </c>
      <c r="AK6537">
        <v>38.333136549463497</v>
      </c>
      <c r="AL6537">
        <v>95.492153923910806</v>
      </c>
      <c r="AM6537">
        <v>92.280098893854998</v>
      </c>
      <c r="AN6537">
        <v>0.99999997696345999</v>
      </c>
    </row>
    <row r="6538" spans="1:40" x14ac:dyDescent="0.25">
      <c r="A6538" t="str">
        <f>"20190303154940255"</f>
        <v>20190303154940255</v>
      </c>
      <c r="B6538" t="str">
        <f>"1551599380247358"</f>
        <v>1551599380247358</v>
      </c>
      <c r="C6538" t="s">
        <v>40</v>
      </c>
      <c r="D6538">
        <v>5.0052440000000002</v>
      </c>
      <c r="E6538">
        <v>0.50940920000000001</v>
      </c>
      <c r="F6538" t="s">
        <v>41</v>
      </c>
      <c r="G6538">
        <v>-334.30599999999998</v>
      </c>
      <c r="H6538" s="1">
        <v>-2.5774819999999998E-6</v>
      </c>
      <c r="I6538">
        <v>18.756779999999999</v>
      </c>
      <c r="J6538">
        <v>-372.30250000000001</v>
      </c>
      <c r="K6538">
        <v>1.1204780000000001</v>
      </c>
      <c r="L6538">
        <v>18.063510000000001</v>
      </c>
      <c r="M6538">
        <v>0.99989689999999998</v>
      </c>
      <c r="N6538">
        <v>-1.3691780000000001E-2</v>
      </c>
      <c r="O6538">
        <v>4.3459459999999998E-3</v>
      </c>
      <c r="P6538">
        <v>0.99302120000000005</v>
      </c>
      <c r="Q6538">
        <v>-0.1094726</v>
      </c>
      <c r="R6538">
        <v>4.3872889999999998E-2</v>
      </c>
      <c r="S6538">
        <v>3.0089109999999999</v>
      </c>
      <c r="T6538">
        <v>-8.8462349999999995E-2</v>
      </c>
      <c r="U6538">
        <v>5.4748539999999998E-2</v>
      </c>
      <c r="V6538">
        <v>-3.9638140000000002E-2</v>
      </c>
      <c r="W6538">
        <v>-9.582997E-2</v>
      </c>
      <c r="X6538">
        <v>0.99460820000000005</v>
      </c>
      <c r="Y6538">
        <v>-1.3838420000000001E-2</v>
      </c>
      <c r="Z6538">
        <v>2.2990740000000001E-4</v>
      </c>
      <c r="AA6538">
        <v>0.99990420000000002</v>
      </c>
      <c r="AB6538">
        <v>20</v>
      </c>
      <c r="AC6538">
        <v>37.996499999999997</v>
      </c>
      <c r="AD6538">
        <v>-1.1204805774819999</v>
      </c>
      <c r="AE6538">
        <v>0.69326999999999805</v>
      </c>
      <c r="AF6538">
        <v>-0.527658546505402</v>
      </c>
      <c r="AG6538">
        <v>-1.1204805774819999</v>
      </c>
      <c r="AH6538">
        <v>37.966149778105702</v>
      </c>
      <c r="AI6538">
        <v>91.690294784098199</v>
      </c>
      <c r="AJ6538">
        <v>90.7962530196953</v>
      </c>
      <c r="AK6538">
        <v>37.986345299854399</v>
      </c>
      <c r="AL6538">
        <v>95.499091445056393</v>
      </c>
      <c r="AM6538">
        <v>92.282202084286496</v>
      </c>
      <c r="AN6538">
        <v>1.0000000184000499</v>
      </c>
    </row>
    <row r="6539" spans="1:40" x14ac:dyDescent="0.25">
      <c r="A6539" t="str">
        <f>"20190303154940275"</f>
        <v>20190303154940275</v>
      </c>
      <c r="B6539" t="str">
        <f>"1551599380267853"</f>
        <v>1551599380267853</v>
      </c>
      <c r="C6539" t="s">
        <v>40</v>
      </c>
      <c r="D6539">
        <v>4.956035</v>
      </c>
      <c r="E6539">
        <v>0.50929460000000004</v>
      </c>
      <c r="F6539" t="s">
        <v>41</v>
      </c>
      <c r="G6539">
        <v>-334.63159999999999</v>
      </c>
      <c r="H6539" s="1">
        <v>-2.4397469999999999E-6</v>
      </c>
      <c r="I6539">
        <v>18.745830000000002</v>
      </c>
      <c r="J6539">
        <v>-372.12299999999999</v>
      </c>
      <c r="K6539">
        <v>1.120495</v>
      </c>
      <c r="L6539">
        <v>18.063569999999999</v>
      </c>
      <c r="M6539">
        <v>0.99989819999999996</v>
      </c>
      <c r="N6539">
        <v>-1.376607E-2</v>
      </c>
      <c r="O6539">
        <v>3.7593489999999999E-3</v>
      </c>
      <c r="P6539">
        <v>0.99312160000000005</v>
      </c>
      <c r="Q6539">
        <v>-0.1087848</v>
      </c>
      <c r="R6539">
        <v>4.3307409999999998E-2</v>
      </c>
      <c r="S6539">
        <v>3.0088200000000001</v>
      </c>
      <c r="T6539">
        <v>-8.9493989999999995E-2</v>
      </c>
      <c r="U6539">
        <v>5.450439E-2</v>
      </c>
      <c r="V6539">
        <v>-3.9651480000000003E-2</v>
      </c>
      <c r="W6539">
        <v>-9.5068399999999997E-2</v>
      </c>
      <c r="X6539">
        <v>0.99468080000000003</v>
      </c>
      <c r="Y6539">
        <v>-1.434389E-2</v>
      </c>
      <c r="Z6539">
        <v>2.5199260000000002E-4</v>
      </c>
      <c r="AA6539">
        <v>0.99989709999999998</v>
      </c>
      <c r="AB6539">
        <v>20</v>
      </c>
      <c r="AC6539">
        <v>37.491399999999999</v>
      </c>
      <c r="AD6539">
        <v>-1.120497439747</v>
      </c>
      <c r="AE6539">
        <v>0.68225999999999498</v>
      </c>
      <c r="AF6539">
        <v>-0.540815660220196</v>
      </c>
      <c r="AG6539">
        <v>-1.120497439747</v>
      </c>
      <c r="AH6539">
        <v>37.460250950877601</v>
      </c>
      <c r="AI6539">
        <v>91.713121315160507</v>
      </c>
      <c r="AJ6539">
        <v>90.827124791947199</v>
      </c>
      <c r="AK6539">
        <v>37.480907104731898</v>
      </c>
      <c r="AL6539">
        <v>95.455256294089594</v>
      </c>
      <c r="AM6539">
        <v>92.282802880791706</v>
      </c>
      <c r="AN6539">
        <v>1.00000006721669</v>
      </c>
    </row>
    <row r="6540" spans="1:40" x14ac:dyDescent="0.25">
      <c r="A6540" t="str">
        <f>"20190303154940298"</f>
        <v>20190303154940298</v>
      </c>
      <c r="B6540" t="str">
        <f>"1551599380287373"</f>
        <v>1551599380287373</v>
      </c>
      <c r="C6540" t="s">
        <v>40</v>
      </c>
      <c r="D6540">
        <v>4.9412479999999999</v>
      </c>
      <c r="E6540">
        <v>0.50913940000000002</v>
      </c>
      <c r="F6540" t="s">
        <v>41</v>
      </c>
      <c r="G6540">
        <v>-333.66849999999999</v>
      </c>
      <c r="H6540" s="1">
        <v>-2.852023E-6</v>
      </c>
      <c r="I6540">
        <v>18.750720000000001</v>
      </c>
      <c r="J6540">
        <v>-371.93259999999998</v>
      </c>
      <c r="K6540">
        <v>1.120514</v>
      </c>
      <c r="L6540">
        <v>18.06354</v>
      </c>
      <c r="M6540">
        <v>0.99989939999999999</v>
      </c>
      <c r="N6540">
        <v>-1.3834799999999901E-2</v>
      </c>
      <c r="O6540">
        <v>3.1526850000000001E-3</v>
      </c>
      <c r="P6540">
        <v>0.99330240000000003</v>
      </c>
      <c r="Q6540">
        <v>-0.10733139999999899</v>
      </c>
      <c r="R6540">
        <v>4.2787829999999999E-2</v>
      </c>
      <c r="S6540">
        <v>3.0088200000000001</v>
      </c>
      <c r="T6540">
        <v>-8.7671879999999994E-2</v>
      </c>
      <c r="U6540">
        <v>5.3771970000000002E-2</v>
      </c>
      <c r="V6540">
        <v>-3.9730759999999997E-2</v>
      </c>
      <c r="W6540">
        <v>-9.3545530000000002E-2</v>
      </c>
      <c r="X6540">
        <v>0.99482199999999998</v>
      </c>
      <c r="Y6540">
        <v>-1.470719E-2</v>
      </c>
      <c r="Z6540">
        <v>2.6776360000000001E-4</v>
      </c>
      <c r="AA6540">
        <v>0.9998918</v>
      </c>
      <c r="AB6540">
        <v>20</v>
      </c>
      <c r="AC6540">
        <v>38.2640999999999</v>
      </c>
      <c r="AD6540">
        <v>-1.120516852023</v>
      </c>
      <c r="AE6540">
        <v>0.68718000000000101</v>
      </c>
      <c r="AF6540">
        <v>-0.56604514360193703</v>
      </c>
      <c r="AG6540">
        <v>-1.120516852023</v>
      </c>
      <c r="AH6540">
        <v>38.233300503190897</v>
      </c>
      <c r="AI6540">
        <v>91.678523305240404</v>
      </c>
      <c r="AJ6540">
        <v>90.848203739909195</v>
      </c>
      <c r="AK6540">
        <v>38.253904800524097</v>
      </c>
      <c r="AL6540">
        <v>95.367611712589607</v>
      </c>
      <c r="AM6540">
        <v>92.287038009616197</v>
      </c>
      <c r="AN6540">
        <v>1.00000005557857</v>
      </c>
    </row>
    <row r="6541" spans="1:40" x14ac:dyDescent="0.25">
      <c r="A6541" t="str">
        <f>"20190303154940312"</f>
        <v>20190303154940312</v>
      </c>
      <c r="B6541" t="str">
        <f>"1551599380306894"</f>
        <v>1551599380306894</v>
      </c>
      <c r="C6541" t="s">
        <v>40</v>
      </c>
      <c r="D6541">
        <v>4.9962679999999997</v>
      </c>
      <c r="E6541">
        <v>0.50893619999999995</v>
      </c>
      <c r="F6541" t="s">
        <v>41</v>
      </c>
      <c r="G6541">
        <v>-330.91059999999999</v>
      </c>
      <c r="H6541" s="1">
        <v>-4.0274650000000001E-6</v>
      </c>
      <c r="I6541">
        <v>18.794029999999999</v>
      </c>
      <c r="J6541">
        <v>-371.79829999999998</v>
      </c>
      <c r="K6541">
        <v>1.120528</v>
      </c>
      <c r="L6541">
        <v>18.063479999999998</v>
      </c>
      <c r="M6541">
        <v>0.99990009999999996</v>
      </c>
      <c r="N6541">
        <v>-1.387704E-2</v>
      </c>
      <c r="O6541">
        <v>2.7346670000000001E-3</v>
      </c>
      <c r="P6541">
        <v>0.99338510000000002</v>
      </c>
      <c r="Q6541">
        <v>-0.1067328</v>
      </c>
      <c r="R6541">
        <v>4.2363980000000002E-2</v>
      </c>
      <c r="S6541">
        <v>3.009064</v>
      </c>
      <c r="T6541">
        <v>-8.2192779999999993E-2</v>
      </c>
      <c r="U6541">
        <v>5.3588869999999997E-2</v>
      </c>
      <c r="V6541">
        <v>-3.972034E-2</v>
      </c>
      <c r="W6541">
        <v>-9.2904550000000002E-2</v>
      </c>
      <c r="X6541">
        <v>0.99488239999999994</v>
      </c>
      <c r="Y6541">
        <v>-1.506354E-2</v>
      </c>
      <c r="Z6541">
        <v>2.7350490000000002E-4</v>
      </c>
      <c r="AA6541">
        <v>0.99988650000000001</v>
      </c>
      <c r="AB6541">
        <v>20</v>
      </c>
      <c r="AC6541">
        <v>40.887700000000002</v>
      </c>
      <c r="AD6541">
        <v>-1.1205320274649999</v>
      </c>
      <c r="AE6541">
        <v>0.73055000000000003</v>
      </c>
      <c r="AF6541">
        <v>-0.61825808227046797</v>
      </c>
      <c r="AG6541">
        <v>-1.1205320274649999</v>
      </c>
      <c r="AH6541">
        <v>40.858868226567701</v>
      </c>
      <c r="AI6541">
        <v>91.570731825913398</v>
      </c>
      <c r="AJ6541">
        <v>90.866907897834295</v>
      </c>
      <c r="AK6541">
        <v>40.878905903129201</v>
      </c>
      <c r="AL6541">
        <v>95.330726057730004</v>
      </c>
      <c r="AM6541">
        <v>92.286300171582994</v>
      </c>
      <c r="AN6541">
        <v>0.999999975325088</v>
      </c>
    </row>
    <row r="6542" spans="1:40" x14ac:dyDescent="0.25">
      <c r="A6542" t="str">
        <f>"20190303154940330"</f>
        <v>20190303154940330</v>
      </c>
      <c r="B6542" t="str">
        <f>"1551599380327389"</f>
        <v>1551599380327389</v>
      </c>
      <c r="C6542" t="s">
        <v>40</v>
      </c>
      <c r="D6542">
        <v>4.9364140000000001</v>
      </c>
      <c r="E6542">
        <v>0.47730679999999998</v>
      </c>
      <c r="F6542" t="s">
        <v>41</v>
      </c>
      <c r="G6542">
        <v>-329.97289999999998</v>
      </c>
      <c r="H6542" s="1">
        <v>-4.4262640000000001E-6</v>
      </c>
      <c r="I6542">
        <v>18.81381</v>
      </c>
      <c r="J6542">
        <v>-371.63560000000001</v>
      </c>
      <c r="K6542">
        <v>1.120539</v>
      </c>
      <c r="L6542">
        <v>18.063320000000001</v>
      </c>
      <c r="M6542">
        <v>0.99990069999999998</v>
      </c>
      <c r="N6542">
        <v>-1.392295E-2</v>
      </c>
      <c r="O6542">
        <v>2.236105E-3</v>
      </c>
      <c r="P6542">
        <v>0.99353559999999996</v>
      </c>
      <c r="Q6542">
        <v>-0.1052577</v>
      </c>
      <c r="R6542">
        <v>4.2521740000000002E-2</v>
      </c>
      <c r="S6542">
        <v>3.008972</v>
      </c>
      <c r="T6542">
        <v>-8.0612299999999998E-2</v>
      </c>
      <c r="U6542">
        <v>5.3985600000000002E-2</v>
      </c>
      <c r="V6542">
        <v>-4.037027E-2</v>
      </c>
      <c r="W6542">
        <v>-9.1382210000000005E-2</v>
      </c>
      <c r="X6542">
        <v>0.99499729999999997</v>
      </c>
      <c r="Y6542">
        <v>-1.5694280000000001E-2</v>
      </c>
      <c r="Z6542">
        <v>2.907133E-4</v>
      </c>
      <c r="AA6542">
        <v>0.99987680000000001</v>
      </c>
      <c r="AB6542">
        <v>20</v>
      </c>
      <c r="AC6542">
        <v>41.662700000000001</v>
      </c>
      <c r="AD6542">
        <v>-1.1205434262639999</v>
      </c>
      <c r="AE6542">
        <v>0.75048999999999899</v>
      </c>
      <c r="AF6542">
        <v>-0.65684194472977098</v>
      </c>
      <c r="AG6542">
        <v>-1.1205434262639999</v>
      </c>
      <c r="AH6542">
        <v>41.6341668750891</v>
      </c>
      <c r="AI6542">
        <v>91.541496707504606</v>
      </c>
      <c r="AJ6542">
        <v>90.903852584587099</v>
      </c>
      <c r="AK6542">
        <v>41.654422457804699</v>
      </c>
      <c r="AL6542">
        <v>95.2431293562653</v>
      </c>
      <c r="AM6542">
        <v>92.323401384630898</v>
      </c>
      <c r="AN6542">
        <v>1.0000000470058199</v>
      </c>
    </row>
    <row r="6543" spans="1:40" x14ac:dyDescent="0.25">
      <c r="A6543" t="str">
        <f>"20190303154940343"</f>
        <v>20190303154940343</v>
      </c>
      <c r="B6543" t="str">
        <f>"1551599380337154"</f>
        <v>1551599380337154</v>
      </c>
      <c r="C6543" t="s">
        <v>40</v>
      </c>
      <c r="D6543">
        <v>4.8980449999999998</v>
      </c>
      <c r="E6543">
        <v>0.46905720000000001</v>
      </c>
      <c r="F6543" t="s">
        <v>43</v>
      </c>
      <c r="G6543">
        <v>-312.32850000000002</v>
      </c>
      <c r="H6543">
        <v>-0.05</v>
      </c>
      <c r="I6543">
        <v>24.121510000000001</v>
      </c>
      <c r="J6543">
        <v>-371.52589999999998</v>
      </c>
      <c r="K6543">
        <v>1.1205499999999999</v>
      </c>
      <c r="L6543">
        <v>18.063199999999998</v>
      </c>
      <c r="M6543">
        <v>0.99990089999999998</v>
      </c>
      <c r="N6543">
        <v>-1.3951150000000001E-2</v>
      </c>
      <c r="O6543">
        <v>1.905173E-3</v>
      </c>
      <c r="P6543">
        <v>0.99355119999999997</v>
      </c>
      <c r="Q6543">
        <v>-0.1051677</v>
      </c>
      <c r="R6543">
        <v>4.2376959999999998E-2</v>
      </c>
      <c r="S6543">
        <v>3.000092</v>
      </c>
      <c r="T6543">
        <v>-5.9212569999999999E-2</v>
      </c>
      <c r="U6543">
        <v>0.30645749999999999</v>
      </c>
      <c r="V6543">
        <v>-4.055338E-2</v>
      </c>
      <c r="W6543">
        <v>-9.1264300000000007E-2</v>
      </c>
      <c r="X6543">
        <v>0.99500060000000001</v>
      </c>
      <c r="Y6543">
        <v>-9.9692020000000006E-2</v>
      </c>
      <c r="Z6543">
        <v>1.6675329999999999E-3</v>
      </c>
      <c r="AA6543">
        <v>0.99501689999999998</v>
      </c>
      <c r="AB6543">
        <v>20</v>
      </c>
      <c r="AC6543">
        <v>59.197399999999902</v>
      </c>
      <c r="AD6543">
        <v>-1.17055</v>
      </c>
      <c r="AE6543">
        <v>6.0583099999999996</v>
      </c>
      <c r="AF6543">
        <v>-5.9432070452258499</v>
      </c>
      <c r="AG6543">
        <v>-1.17055</v>
      </c>
      <c r="AH6543">
        <v>59.185934071968902</v>
      </c>
      <c r="AI6543">
        <v>91.127351741699897</v>
      </c>
      <c r="AJ6543">
        <v>95.734183828156603</v>
      </c>
      <c r="AK6543">
        <v>59.495098027117997</v>
      </c>
      <c r="AL6543">
        <v>95.236345658789801</v>
      </c>
      <c r="AM6543">
        <v>92.333920424315593</v>
      </c>
      <c r="AN6543">
        <v>0.99999997154213605</v>
      </c>
    </row>
    <row r="6544" spans="1:40" x14ac:dyDescent="0.25">
      <c r="A6544" t="str">
        <f>"20190303154940354"</f>
        <v>20190303154940354</v>
      </c>
      <c r="B6544" t="str">
        <f>"1551599380346914"</f>
        <v>1551599380346914</v>
      </c>
      <c r="C6544" t="s">
        <v>40</v>
      </c>
      <c r="D6544">
        <v>4.8345229999999999</v>
      </c>
      <c r="E6544">
        <v>0.462727</v>
      </c>
      <c r="F6544" t="s">
        <v>41</v>
      </c>
      <c r="G6544">
        <v>-324.50819999999999</v>
      </c>
      <c r="H6544" s="1">
        <v>-3.716219E-6</v>
      </c>
      <c r="I6544">
        <v>23.89978</v>
      </c>
      <c r="J6544">
        <v>-371.4135</v>
      </c>
      <c r="K6544">
        <v>1.1205590000000001</v>
      </c>
      <c r="L6544">
        <v>18.063020000000002</v>
      </c>
      <c r="M6544">
        <v>0.99990109999999999</v>
      </c>
      <c r="N6544">
        <v>-1.397668E-2</v>
      </c>
      <c r="O6544">
        <v>1.5715760000000001E-3</v>
      </c>
      <c r="P6544">
        <v>0.99354279999999995</v>
      </c>
      <c r="Q6544">
        <v>-0.10532080000000001</v>
      </c>
      <c r="R6544">
        <v>4.2195290000000003E-2</v>
      </c>
      <c r="S6544">
        <v>2.9960629999999999</v>
      </c>
      <c r="T6544">
        <v>-7.140386E-2</v>
      </c>
      <c r="U6544">
        <v>0.37191770000000002</v>
      </c>
      <c r="V6544">
        <v>-4.0702349999999998E-2</v>
      </c>
      <c r="W6544">
        <v>-9.1392589999999996E-2</v>
      </c>
      <c r="X6544">
        <v>0.99498279999999995</v>
      </c>
      <c r="Y6544">
        <v>-0.1215759</v>
      </c>
      <c r="Z6544">
        <v>2.2806609999999998E-3</v>
      </c>
      <c r="AA6544">
        <v>0.99257949999999995</v>
      </c>
      <c r="AB6544">
        <v>20</v>
      </c>
      <c r="AC6544">
        <v>46.905299999999997</v>
      </c>
      <c r="AD6544">
        <v>-1.1205627162189999</v>
      </c>
      <c r="AE6544">
        <v>5.8367599999999902</v>
      </c>
      <c r="AF6544">
        <v>-5.7597932025212097</v>
      </c>
      <c r="AG6544">
        <v>-1.1205627162189999</v>
      </c>
      <c r="AH6544">
        <v>46.888063636712602</v>
      </c>
      <c r="AI6544">
        <v>91.358822707033994</v>
      </c>
      <c r="AJ6544">
        <v>97.003205628478497</v>
      </c>
      <c r="AK6544">
        <v>47.253797626616198</v>
      </c>
      <c r="AL6544">
        <v>95.2437266773792</v>
      </c>
      <c r="AM6544">
        <v>92.342526244128194</v>
      </c>
      <c r="AN6544">
        <v>1.00000002954913</v>
      </c>
    </row>
    <row r="6545" spans="1:40" x14ac:dyDescent="0.25">
      <c r="A6545" t="str">
        <f>"20190303154940367"</f>
        <v>20190303154940367</v>
      </c>
      <c r="B6545" t="str">
        <f>"1551599380357649"</f>
        <v>1551599380357649</v>
      </c>
      <c r="C6545" t="s">
        <v>40</v>
      </c>
      <c r="D6545">
        <v>4.8633199999999999</v>
      </c>
      <c r="E6545">
        <v>0.45886709999999897</v>
      </c>
      <c r="F6545" t="s">
        <v>41</v>
      </c>
      <c r="G6545">
        <v>-337.98289999999997</v>
      </c>
      <c r="H6545" s="1">
        <v>-1.6894680000000001E-6</v>
      </c>
      <c r="I6545">
        <v>22.780080000000002</v>
      </c>
      <c r="J6545">
        <v>-371.31</v>
      </c>
      <c r="K6545">
        <v>1.120568</v>
      </c>
      <c r="L6545">
        <v>18.062840000000001</v>
      </c>
      <c r="M6545">
        <v>0.99990120000000005</v>
      </c>
      <c r="N6545">
        <v>-1.399855E-2</v>
      </c>
      <c r="O6545">
        <v>1.268279E-3</v>
      </c>
      <c r="P6545">
        <v>0.99354050000000005</v>
      </c>
      <c r="Q6545">
        <v>-0.1053133</v>
      </c>
      <c r="R6545">
        <v>4.2266129999999999E-2</v>
      </c>
      <c r="S6545">
        <v>2.990936</v>
      </c>
      <c r="T6545">
        <v>-0.1002531</v>
      </c>
      <c r="U6545">
        <v>0.4220276</v>
      </c>
      <c r="V6545">
        <v>-4.1073940000000003E-2</v>
      </c>
      <c r="W6545">
        <v>-9.1363559999999996E-2</v>
      </c>
      <c r="X6545">
        <v>0.99497009999999997</v>
      </c>
      <c r="Y6545">
        <v>-0.1383537</v>
      </c>
      <c r="Z6545">
        <v>3.2556239999999999E-3</v>
      </c>
      <c r="AA6545">
        <v>0.99037750000000002</v>
      </c>
      <c r="AB6545">
        <v>20</v>
      </c>
      <c r="AC6545">
        <v>33.327100000000002</v>
      </c>
      <c r="AD6545">
        <v>-1.120569689468</v>
      </c>
      <c r="AE6545">
        <v>4.7172400000000003</v>
      </c>
      <c r="AF6545">
        <v>-4.6697883508024498</v>
      </c>
      <c r="AG6545">
        <v>-1.120569689468</v>
      </c>
      <c r="AH6545">
        <v>33.2961535386017</v>
      </c>
      <c r="AI6545">
        <v>91.908872288500405</v>
      </c>
      <c r="AJ6545">
        <v>97.9836632582589</v>
      </c>
      <c r="AK6545">
        <v>33.6406961898291</v>
      </c>
      <c r="AL6545">
        <v>95.242056893798306</v>
      </c>
      <c r="AM6545">
        <v>92.363918204397706</v>
      </c>
      <c r="AN6545">
        <v>0.99999993426850098</v>
      </c>
    </row>
    <row r="6546" spans="1:40" x14ac:dyDescent="0.25">
      <c r="A6546" t="str">
        <f>"20190303154940378"</f>
        <v>20190303154940378</v>
      </c>
      <c r="B6546" t="str">
        <f>"1551599380367575"</f>
        <v>1551599380367575</v>
      </c>
      <c r="C6546" t="s">
        <v>40</v>
      </c>
      <c r="D6546">
        <v>4.8056519999999896</v>
      </c>
      <c r="E6546">
        <v>0.45631179999999899</v>
      </c>
      <c r="F6546" t="s">
        <v>41</v>
      </c>
      <c r="G6546">
        <v>-343.06880000000001</v>
      </c>
      <c r="H6546" s="1">
        <v>-3.682076E-6</v>
      </c>
      <c r="I6546">
        <v>22.345960000000002</v>
      </c>
      <c r="J6546">
        <v>-371.20760000000001</v>
      </c>
      <c r="K6546">
        <v>1.1205750000000001</v>
      </c>
      <c r="L6546">
        <v>18.06259</v>
      </c>
      <c r="M6546">
        <v>0.99990140000000005</v>
      </c>
      <c r="N6546">
        <v>-1.401873E-2</v>
      </c>
      <c r="O6546">
        <v>9.7077760000000002E-4</v>
      </c>
      <c r="P6546">
        <v>0.99356809999999995</v>
      </c>
      <c r="Q6546">
        <v>-0.10509599999999999</v>
      </c>
      <c r="R6546">
        <v>4.2159189999999999E-2</v>
      </c>
      <c r="S6546">
        <v>2.9876710000000002</v>
      </c>
      <c r="T6546">
        <v>-0.1185464</v>
      </c>
      <c r="U6546">
        <v>0.453125</v>
      </c>
      <c r="V6546">
        <v>-4.1261300000000001E-2</v>
      </c>
      <c r="W6546">
        <v>-9.1126219999999994E-2</v>
      </c>
      <c r="X6546">
        <v>0.99498410000000004</v>
      </c>
      <c r="Y6546">
        <v>-0.14883479999999999</v>
      </c>
      <c r="Z6546">
        <v>3.9598609999999899E-3</v>
      </c>
      <c r="AA6546">
        <v>0.98885420000000002</v>
      </c>
      <c r="AB6546">
        <v>20</v>
      </c>
      <c r="AC6546">
        <v>28.1388</v>
      </c>
      <c r="AD6546">
        <v>-1.120578682076</v>
      </c>
      <c r="AE6546">
        <v>4.2833699999999997</v>
      </c>
      <c r="AF6546">
        <v>-4.2494622188905797</v>
      </c>
      <c r="AG6546">
        <v>-1.120578682076</v>
      </c>
      <c r="AH6546">
        <v>28.099391960275199</v>
      </c>
      <c r="AI6546">
        <v>92.258046235531296</v>
      </c>
      <c r="AJ6546">
        <v>98.599658586182898</v>
      </c>
      <c r="AK6546">
        <v>28.440981949814599</v>
      </c>
      <c r="AL6546">
        <v>95.228401417529795</v>
      </c>
      <c r="AM6546">
        <v>92.3746555962191</v>
      </c>
      <c r="AN6546">
        <v>0.999999921050991</v>
      </c>
    </row>
    <row r="6547" spans="1:40" x14ac:dyDescent="0.25">
      <c r="A6547" t="str">
        <f>"20190303154940396"</f>
        <v>20190303154940396</v>
      </c>
      <c r="B6547" t="str">
        <f>"1551599380387095"</f>
        <v>1551599380387095</v>
      </c>
      <c r="C6547" t="s">
        <v>40</v>
      </c>
      <c r="D6547">
        <v>4.7944620000000002</v>
      </c>
      <c r="E6547">
        <v>0.45318599999999998</v>
      </c>
      <c r="F6547" t="s">
        <v>41</v>
      </c>
      <c r="G6547">
        <v>-345.46269999999998</v>
      </c>
      <c r="H6547" s="1">
        <v>-2.6010449999999999E-6</v>
      </c>
      <c r="I6547">
        <v>22.14273</v>
      </c>
      <c r="J6547">
        <v>-371.04379999999998</v>
      </c>
      <c r="K6547">
        <v>1.120595</v>
      </c>
      <c r="L6547">
        <v>18.06223</v>
      </c>
      <c r="M6547">
        <v>0.99990140000000005</v>
      </c>
      <c r="N6547">
        <v>-1.404711E-2</v>
      </c>
      <c r="O6547">
        <v>5.0597079999999996E-4</v>
      </c>
      <c r="P6547">
        <v>0.99361010000000005</v>
      </c>
      <c r="Q6547">
        <v>-0.104713899999999</v>
      </c>
      <c r="R6547">
        <v>4.2121230000000003E-2</v>
      </c>
      <c r="S6547">
        <v>2.9855960000000001</v>
      </c>
      <c r="T6547">
        <v>-0.12995119999999999</v>
      </c>
      <c r="U6547">
        <v>0.47317500000000001</v>
      </c>
      <c r="V6547">
        <v>-4.1683699999999997E-2</v>
      </c>
      <c r="W6547">
        <v>-9.0715850000000001E-2</v>
      </c>
      <c r="X6547">
        <v>0.99500409999999995</v>
      </c>
      <c r="Y6547">
        <v>-0.15584129999999999</v>
      </c>
      <c r="Z6547">
        <v>4.4562400000000002E-3</v>
      </c>
      <c r="AA6547">
        <v>0.98777199999999998</v>
      </c>
      <c r="AB6547">
        <v>20</v>
      </c>
      <c r="AC6547">
        <v>25.5810999999999</v>
      </c>
      <c r="AD6547">
        <v>-1.1205976010450001</v>
      </c>
      <c r="AE6547">
        <v>4.0804999999999998</v>
      </c>
      <c r="AF6547">
        <v>-4.0599574186165599</v>
      </c>
      <c r="AG6547">
        <v>-1.1205976010450001</v>
      </c>
      <c r="AH6547">
        <v>25.535376585943499</v>
      </c>
      <c r="AI6547">
        <v>92.481631797307301</v>
      </c>
      <c r="AJ6547">
        <v>99.034036126407898</v>
      </c>
      <c r="AK6547">
        <v>25.880387373654202</v>
      </c>
      <c r="AL6547">
        <v>95.204790598856107</v>
      </c>
      <c r="AM6547">
        <v>92.398888989630095</v>
      </c>
      <c r="AN6547">
        <v>1.0000000276518599</v>
      </c>
    </row>
    <row r="6548" spans="1:40" x14ac:dyDescent="0.25">
      <c r="A6548" t="str">
        <f>"20190303154940409"</f>
        <v>20190303154940409</v>
      </c>
      <c r="B6548" t="str">
        <f>"1551599380396855"</f>
        <v>1551599380396855</v>
      </c>
      <c r="C6548" t="s">
        <v>40</v>
      </c>
      <c r="D6548">
        <v>4.7771480000000004</v>
      </c>
      <c r="E6548">
        <v>0.45194319999999999</v>
      </c>
      <c r="F6548" t="s">
        <v>41</v>
      </c>
      <c r="G6548">
        <v>-347.83010000000002</v>
      </c>
      <c r="H6548" s="1">
        <v>-1.53063799999999E-6</v>
      </c>
      <c r="I6548">
        <v>21.936789999999998</v>
      </c>
      <c r="J6548">
        <v>-370.9332</v>
      </c>
      <c r="K6548">
        <v>1.120606</v>
      </c>
      <c r="L6548">
        <v>18.061889999999998</v>
      </c>
      <c r="M6548">
        <v>0.99990109999999999</v>
      </c>
      <c r="N6548">
        <v>-1.406395E-2</v>
      </c>
      <c r="O6548">
        <v>2.0085050000000001E-4</v>
      </c>
      <c r="P6548">
        <v>0.99366120000000002</v>
      </c>
      <c r="Q6548">
        <v>-0.1043813</v>
      </c>
      <c r="R6548">
        <v>4.1740649999999997E-2</v>
      </c>
      <c r="S6548">
        <v>2.982971</v>
      </c>
      <c r="T6548">
        <v>-0.14399709999999999</v>
      </c>
      <c r="U6548">
        <v>0.49789430000000001</v>
      </c>
      <c r="V6548">
        <v>-4.1605320000000001E-2</v>
      </c>
      <c r="W6548">
        <v>-9.0366719999999998E-2</v>
      </c>
      <c r="X6548">
        <v>0.99503909999999995</v>
      </c>
      <c r="Y6548">
        <v>-0.16419510000000001</v>
      </c>
      <c r="Z6548">
        <v>5.0902660000000004E-3</v>
      </c>
      <c r="AA6548">
        <v>0.98641469999999998</v>
      </c>
      <c r="AB6548">
        <v>20</v>
      </c>
      <c r="AC6548">
        <v>23.103099999999898</v>
      </c>
      <c r="AD6548">
        <v>-1.1206075306379999</v>
      </c>
      <c r="AE6548">
        <v>3.8748999999999998</v>
      </c>
      <c r="AF6548">
        <v>-3.8614229922871699</v>
      </c>
      <c r="AG6548">
        <v>-1.1206075306379999</v>
      </c>
      <c r="AH6548">
        <v>23.0511293469816</v>
      </c>
      <c r="AI6548">
        <v>92.744997573186097</v>
      </c>
      <c r="AJ6548">
        <v>99.509639513578406</v>
      </c>
      <c r="AK6548">
        <v>23.399164791384401</v>
      </c>
      <c r="AL6548">
        <v>95.184704678767304</v>
      </c>
      <c r="AM6548">
        <v>92.394299367154602</v>
      </c>
      <c r="AN6548">
        <v>0.99999997863233503</v>
      </c>
    </row>
    <row r="6549" spans="1:40" x14ac:dyDescent="0.25">
      <c r="A6549" t="str">
        <f>"20190303154940421"</f>
        <v>20190303154940421</v>
      </c>
      <c r="B6549" t="str">
        <f>"1551599380417351"</f>
        <v>1551599380417351</v>
      </c>
      <c r="C6549" t="s">
        <v>40</v>
      </c>
      <c r="D6549">
        <v>4.7830089999999998</v>
      </c>
      <c r="E6549">
        <v>0.45028309999999999</v>
      </c>
      <c r="F6549" t="s">
        <v>41</v>
      </c>
      <c r="G6549">
        <v>-348.55090000000001</v>
      </c>
      <c r="H6549" s="1">
        <v>-1.2022210000000001E-6</v>
      </c>
      <c r="I6549">
        <v>21.86469</v>
      </c>
      <c r="J6549">
        <v>-370.83109999999999</v>
      </c>
      <c r="K6549">
        <v>1.1206179999999999</v>
      </c>
      <c r="L6549">
        <v>18.061610000000002</v>
      </c>
      <c r="M6549">
        <v>0.99990100000000004</v>
      </c>
      <c r="N6549">
        <v>-1.407867E-2</v>
      </c>
      <c r="O6549" s="1">
        <v>-7.7311819999999995E-5</v>
      </c>
      <c r="P6549">
        <v>0.99369339999999995</v>
      </c>
      <c r="Q6549">
        <v>-0.1042315</v>
      </c>
      <c r="R6549">
        <v>4.1344649999999997E-2</v>
      </c>
      <c r="S6549">
        <v>2.9821469999999999</v>
      </c>
      <c r="T6549">
        <v>-0.1493061</v>
      </c>
      <c r="U6549">
        <v>0.50668329999999995</v>
      </c>
      <c r="V6549">
        <v>-4.1484E-2</v>
      </c>
      <c r="W6549">
        <v>-9.0202640000000001E-2</v>
      </c>
      <c r="X6549">
        <v>0.99505909999999997</v>
      </c>
      <c r="Y6549">
        <v>-0.16731879999999999</v>
      </c>
      <c r="Z6549">
        <v>5.3461309999999996E-3</v>
      </c>
      <c r="AA6549">
        <v>0.9858884</v>
      </c>
      <c r="AB6549">
        <v>20</v>
      </c>
      <c r="AC6549">
        <v>22.280199999999901</v>
      </c>
      <c r="AD6549">
        <v>-1.120619202221</v>
      </c>
      <c r="AE6549">
        <v>3.8030799999999898</v>
      </c>
      <c r="AF6549">
        <v>-3.7954729107358101</v>
      </c>
      <c r="AG6549">
        <v>-1.120619202221</v>
      </c>
      <c r="AH6549">
        <v>22.225273238589299</v>
      </c>
      <c r="AI6549">
        <v>92.845340232954896</v>
      </c>
      <c r="AJ6549">
        <v>99.691076222009897</v>
      </c>
      <c r="AK6549">
        <v>22.574857087974401</v>
      </c>
      <c r="AL6549">
        <v>95.1752647922916</v>
      </c>
      <c r="AM6549">
        <v>92.387277815858099</v>
      </c>
      <c r="AN6549">
        <v>1.0000000255058801</v>
      </c>
    </row>
    <row r="6550" spans="1:40" x14ac:dyDescent="0.25">
      <c r="A6550" t="str">
        <f>"20190303154940432"</f>
        <v>20190303154940432</v>
      </c>
      <c r="B6550" t="str">
        <f>"1551599380427110"</f>
        <v>1551599380427110</v>
      </c>
      <c r="C6550" t="s">
        <v>40</v>
      </c>
      <c r="D6550">
        <v>4.7762699999999896</v>
      </c>
      <c r="E6550">
        <v>0.44957760000000002</v>
      </c>
      <c r="F6550" t="s">
        <v>41</v>
      </c>
      <c r="G6550">
        <v>-349.77800000000002</v>
      </c>
      <c r="H6550" s="1">
        <v>-6.3881450000000001E-7</v>
      </c>
      <c r="I6550">
        <v>21.725750000000001</v>
      </c>
      <c r="J6550">
        <v>-370.72559999999999</v>
      </c>
      <c r="K6550">
        <v>1.12063</v>
      </c>
      <c r="L6550">
        <v>18.061250000000001</v>
      </c>
      <c r="M6550">
        <v>0.99990080000000003</v>
      </c>
      <c r="N6550">
        <v>-1.4091569999999999E-2</v>
      </c>
      <c r="O6550">
        <v>-3.5321929999999999E-4</v>
      </c>
      <c r="P6550">
        <v>0.99371920000000002</v>
      </c>
      <c r="Q6550">
        <v>-0.1041309</v>
      </c>
      <c r="R6550">
        <v>4.0980019999999999E-2</v>
      </c>
      <c r="S6550">
        <v>2.980804</v>
      </c>
      <c r="T6550">
        <v>-0.1586629</v>
      </c>
      <c r="U6550">
        <v>0.5187988</v>
      </c>
      <c r="V6550">
        <v>-4.1391890000000001E-2</v>
      </c>
      <c r="W6550">
        <v>-9.0089920000000004E-2</v>
      </c>
      <c r="X6550">
        <v>0.99507310000000004</v>
      </c>
      <c r="Y6550">
        <v>-0.1715169</v>
      </c>
      <c r="Z6550">
        <v>5.7598950000000001E-3</v>
      </c>
      <c r="AA6550">
        <v>0.98516429999999999</v>
      </c>
      <c r="AB6550">
        <v>20</v>
      </c>
      <c r="AC6550">
        <v>20.947599999999898</v>
      </c>
      <c r="AD6550">
        <v>-1.1206306388145</v>
      </c>
      <c r="AE6550">
        <v>3.6644999999999999</v>
      </c>
      <c r="AF6550">
        <v>-3.6617312256617098</v>
      </c>
      <c r="AG6550">
        <v>-1.1206306388145</v>
      </c>
      <c r="AH6550">
        <v>20.888298822571699</v>
      </c>
      <c r="AI6550">
        <v>93.024863504813396</v>
      </c>
      <c r="AJ6550">
        <v>99.942955738238993</v>
      </c>
      <c r="AK6550">
        <v>21.236410155642702</v>
      </c>
      <c r="AL6550">
        <v>95.168780254320893</v>
      </c>
      <c r="AM6550">
        <v>92.381949803959998</v>
      </c>
      <c r="AN6550">
        <v>0.99999997829349396</v>
      </c>
    </row>
    <row r="6551" spans="1:40" x14ac:dyDescent="0.25">
      <c r="A6551" t="str">
        <f>"20190303154940444"</f>
        <v>20190303154940444</v>
      </c>
      <c r="B6551" t="str">
        <f>"1551599380436871"</f>
        <v>1551599380436871</v>
      </c>
      <c r="C6551" t="s">
        <v>40</v>
      </c>
      <c r="D6551">
        <v>4.780011</v>
      </c>
      <c r="E6551">
        <v>0.44887529999999998</v>
      </c>
      <c r="F6551" t="s">
        <v>41</v>
      </c>
      <c r="G6551">
        <v>-350.13900000000001</v>
      </c>
      <c r="H6551" s="1">
        <v>-4.5940800000000001E-6</v>
      </c>
      <c r="I6551">
        <v>21.675940000000001</v>
      </c>
      <c r="J6551">
        <v>-370.62419999999997</v>
      </c>
      <c r="K6551">
        <v>1.1206419999999999</v>
      </c>
      <c r="L6551">
        <v>18.06091</v>
      </c>
      <c r="M6551">
        <v>0.99990040000000002</v>
      </c>
      <c r="N6551">
        <v>-1.4103350000000001E-2</v>
      </c>
      <c r="O6551">
        <v>-6.1385779999999896E-4</v>
      </c>
      <c r="P6551">
        <v>0.99373180000000005</v>
      </c>
      <c r="Q6551">
        <v>-0.10423689999999999</v>
      </c>
      <c r="R6551">
        <v>4.0396540000000002E-2</v>
      </c>
      <c r="S6551">
        <v>2.9803470000000001</v>
      </c>
      <c r="T6551">
        <v>-0.16223589999999999</v>
      </c>
      <c r="U6551">
        <v>0.52331539999999999</v>
      </c>
      <c r="V6551">
        <v>-4.1065570000000003E-2</v>
      </c>
      <c r="W6551">
        <v>-9.0185180000000004E-2</v>
      </c>
      <c r="X6551">
        <v>0.99507800000000002</v>
      </c>
      <c r="Y6551">
        <v>-0.1732322</v>
      </c>
      <c r="Z6551">
        <v>5.9323650000000002E-3</v>
      </c>
      <c r="AA6551">
        <v>0.98486320000000005</v>
      </c>
      <c r="AB6551">
        <v>20</v>
      </c>
      <c r="AC6551">
        <v>20.485199999999899</v>
      </c>
      <c r="AD6551">
        <v>-1.1206465940799999</v>
      </c>
      <c r="AE6551">
        <v>3.61503</v>
      </c>
      <c r="AF6551">
        <v>-3.6171077276820802</v>
      </c>
      <c r="AG6551">
        <v>-1.1206465940799999</v>
      </c>
      <c r="AH6551">
        <v>20.423701607321199</v>
      </c>
      <c r="AI6551">
        <v>93.092633589637799</v>
      </c>
      <c r="AJ6551">
        <v>100.043140401505</v>
      </c>
      <c r="AK6551">
        <v>20.771781446168202</v>
      </c>
      <c r="AL6551">
        <v>95.174260514240402</v>
      </c>
      <c r="AM6551">
        <v>92.363181048505894</v>
      </c>
      <c r="AN6551">
        <v>0.999999986907528</v>
      </c>
    </row>
    <row r="6552" spans="1:40" x14ac:dyDescent="0.25">
      <c r="A6552" t="str">
        <f>"20190303154940457"</f>
        <v>20190303154940457</v>
      </c>
      <c r="B6552" t="str">
        <f>"1551599380447607"</f>
        <v>1551599380447607</v>
      </c>
      <c r="C6552" t="s">
        <v>40</v>
      </c>
      <c r="D6552">
        <v>4.8114809999999997</v>
      </c>
      <c r="E6552">
        <v>0.44820769999999999</v>
      </c>
      <c r="F6552" t="s">
        <v>41</v>
      </c>
      <c r="G6552">
        <v>-350.35129999999998</v>
      </c>
      <c r="H6552" s="1">
        <v>-4.5166780000000001E-6</v>
      </c>
      <c r="I6552">
        <v>21.646999999999998</v>
      </c>
      <c r="J6552">
        <v>-370.50749999999999</v>
      </c>
      <c r="K6552">
        <v>1.1206560000000001</v>
      </c>
      <c r="L6552">
        <v>18.060490000000001</v>
      </c>
      <c r="M6552">
        <v>0.99990000000000001</v>
      </c>
      <c r="N6552">
        <v>-1.4115559999999999E-2</v>
      </c>
      <c r="O6552">
        <v>-9.0425909999999996E-4</v>
      </c>
      <c r="P6552">
        <v>0.99373250000000002</v>
      </c>
      <c r="Q6552">
        <v>-0.104508</v>
      </c>
      <c r="R6552">
        <v>3.967205E-2</v>
      </c>
      <c r="S6552">
        <v>2.9802550000000001</v>
      </c>
      <c r="T6552">
        <v>-0.16474279999999999</v>
      </c>
      <c r="U6552">
        <v>0.52719119999999997</v>
      </c>
      <c r="V6552">
        <v>-4.06276E-2</v>
      </c>
      <c r="W6552">
        <v>-9.0445570000000003E-2</v>
      </c>
      <c r="X6552">
        <v>0.99507239999999997</v>
      </c>
      <c r="Y6552">
        <v>-0.17475350000000001</v>
      </c>
      <c r="Z6552">
        <v>6.0702350000000002E-3</v>
      </c>
      <c r="AA6552">
        <v>0.98459350000000001</v>
      </c>
      <c r="AB6552">
        <v>20</v>
      </c>
      <c r="AC6552">
        <v>20.156199999999998</v>
      </c>
      <c r="AD6552">
        <v>-1.1206605166779999</v>
      </c>
      <c r="AE6552">
        <v>3.5865100000000001</v>
      </c>
      <c r="AF6552">
        <v>-3.59396796028867</v>
      </c>
      <c r="AG6552">
        <v>-1.1206605166779999</v>
      </c>
      <c r="AH6552">
        <v>20.092743242248499</v>
      </c>
      <c r="AI6552">
        <v>93.142556245574696</v>
      </c>
      <c r="AJ6552">
        <v>100.141190947117</v>
      </c>
      <c r="AK6552">
        <v>20.442377960798598</v>
      </c>
      <c r="AL6552">
        <v>95.189240697121306</v>
      </c>
      <c r="AM6552">
        <v>92.338018657162195</v>
      </c>
      <c r="AN6552">
        <v>1.0000000421280699</v>
      </c>
    </row>
    <row r="6553" spans="1:40" x14ac:dyDescent="0.25">
      <c r="A6553" t="str">
        <f>"20190303154940477"</f>
        <v>20190303154940477</v>
      </c>
      <c r="B6553" t="str">
        <f>"1551599380467633"</f>
        <v>1551599380467633</v>
      </c>
      <c r="C6553" t="s">
        <v>40</v>
      </c>
      <c r="D6553">
        <v>4.8165690000000003</v>
      </c>
      <c r="E6553">
        <v>0.44702389999999997</v>
      </c>
      <c r="F6553" t="s">
        <v>41</v>
      </c>
      <c r="G6553">
        <v>-350.6438</v>
      </c>
      <c r="H6553" s="1">
        <v>-4.4079380000000004E-6</v>
      </c>
      <c r="I6553">
        <v>21.59496</v>
      </c>
      <c r="J6553">
        <v>-370.34460000000001</v>
      </c>
      <c r="K6553">
        <v>1.1206750000000001</v>
      </c>
      <c r="L6553">
        <v>18.059840000000001</v>
      </c>
      <c r="M6553">
        <v>0.99989950000000005</v>
      </c>
      <c r="N6553">
        <v>-1.413039E-2</v>
      </c>
      <c r="O6553">
        <v>-1.2905359999999999E-3</v>
      </c>
      <c r="P6553">
        <v>0.99374340000000005</v>
      </c>
      <c r="Q6553">
        <v>-0.1048462</v>
      </c>
      <c r="R6553">
        <v>3.8491549999999999E-2</v>
      </c>
      <c r="S6553">
        <v>2.9800719999999998</v>
      </c>
      <c r="T6553">
        <v>-0.16812769999999999</v>
      </c>
      <c r="U6553">
        <v>0.53027340000000001</v>
      </c>
      <c r="V6553">
        <v>-3.9827840000000003E-2</v>
      </c>
      <c r="W6553">
        <v>-9.0771099999999993E-2</v>
      </c>
      <c r="X6553">
        <v>0.99507500000000004</v>
      </c>
      <c r="Y6553">
        <v>-0.1761161</v>
      </c>
      <c r="Z6553">
        <v>6.2348219999999897E-3</v>
      </c>
      <c r="AA6553">
        <v>0.98434969999999999</v>
      </c>
      <c r="AB6553">
        <v>20</v>
      </c>
      <c r="AC6553">
        <v>19.700800000000001</v>
      </c>
      <c r="AD6553">
        <v>-1.120679407938</v>
      </c>
      <c r="AE6553">
        <v>3.53512</v>
      </c>
      <c r="AF6553">
        <v>-3.5494169096734098</v>
      </c>
      <c r="AG6553">
        <v>-1.120679407938</v>
      </c>
      <c r="AH6553">
        <v>19.634667086436501</v>
      </c>
      <c r="AI6553">
        <v>93.214709842144401</v>
      </c>
      <c r="AJ6553">
        <v>100.246865462863</v>
      </c>
      <c r="AK6553">
        <v>19.984354738876199</v>
      </c>
      <c r="AL6553">
        <v>95.207969697288902</v>
      </c>
      <c r="AM6553">
        <v>92.292038027685294</v>
      </c>
      <c r="AN6553">
        <v>0.99999995252963603</v>
      </c>
    </row>
    <row r="6554" spans="1:40" x14ac:dyDescent="0.25">
      <c r="A6554" t="str">
        <f>"20190303154940496"</f>
        <v>20190303154940496</v>
      </c>
      <c r="B6554" t="str">
        <f>"1551599380487153"</f>
        <v>1551599380487153</v>
      </c>
      <c r="C6554" t="s">
        <v>40</v>
      </c>
      <c r="D6554">
        <v>4.7579539999999998</v>
      </c>
      <c r="E6554">
        <v>0.44608229999999999</v>
      </c>
      <c r="F6554" t="s">
        <v>41</v>
      </c>
      <c r="G6554">
        <v>-351.05079999999998</v>
      </c>
      <c r="H6554" s="1">
        <v>-4.2580450000000003E-6</v>
      </c>
      <c r="I6554">
        <v>21.53088</v>
      </c>
      <c r="J6554">
        <v>-370.16579999999999</v>
      </c>
      <c r="K6554">
        <v>1.120695</v>
      </c>
      <c r="L6554">
        <v>18.059139999999999</v>
      </c>
      <c r="M6554">
        <v>0.99989870000000003</v>
      </c>
      <c r="N6554">
        <v>-1.4144230000000001E-2</v>
      </c>
      <c r="O6554">
        <v>-1.686035E-3</v>
      </c>
      <c r="P6554">
        <v>0.99375709999999995</v>
      </c>
      <c r="Q6554">
        <v>-0.10524169999999999</v>
      </c>
      <c r="R6554">
        <v>3.7032570000000001E-2</v>
      </c>
      <c r="S6554">
        <v>2.9798580000000001</v>
      </c>
      <c r="T6554">
        <v>-0.17308509999999999</v>
      </c>
      <c r="U6554">
        <v>0.53610230000000003</v>
      </c>
      <c r="V6554">
        <v>-3.8757890000000003E-2</v>
      </c>
      <c r="W6554">
        <v>-9.1155260000000002E-2</v>
      </c>
      <c r="X6554">
        <v>0.99508220000000003</v>
      </c>
      <c r="Y6554">
        <v>-0.1783595</v>
      </c>
      <c r="Z6554">
        <v>6.4807409999999999E-3</v>
      </c>
      <c r="AA6554">
        <v>0.98394409999999999</v>
      </c>
      <c r="AB6554">
        <v>20</v>
      </c>
      <c r="AC6554">
        <v>19.114999999999998</v>
      </c>
      <c r="AD6554">
        <v>-1.1206992580449999</v>
      </c>
      <c r="AE6554">
        <v>3.47174</v>
      </c>
      <c r="AF6554">
        <v>-3.4923456198312501</v>
      </c>
      <c r="AG6554">
        <v>-1.1206992580449999</v>
      </c>
      <c r="AH6554">
        <v>19.045741645118301</v>
      </c>
      <c r="AI6554">
        <v>93.312443488584805</v>
      </c>
      <c r="AJ6554">
        <v>100.39068070390999</v>
      </c>
      <c r="AK6554">
        <v>19.395688169485702</v>
      </c>
      <c r="AL6554">
        <v>95.230071721501602</v>
      </c>
      <c r="AM6554">
        <v>92.230510787991903</v>
      </c>
      <c r="AN6554">
        <v>1.00000002010987</v>
      </c>
    </row>
    <row r="6555" spans="1:40" x14ac:dyDescent="0.25">
      <c r="A6555" t="str">
        <f>"20190303154940508"</f>
        <v>20190303154940508</v>
      </c>
      <c r="B6555" t="str">
        <f>"1551599380496915"</f>
        <v>1551599380496915</v>
      </c>
      <c r="C6555" t="s">
        <v>40</v>
      </c>
      <c r="D6555">
        <v>4.7265309999999996</v>
      </c>
      <c r="E6555">
        <v>0.44580049999999999</v>
      </c>
      <c r="F6555" t="s">
        <v>41</v>
      </c>
      <c r="G6555">
        <v>-351.1429</v>
      </c>
      <c r="H6555" s="1">
        <v>-4.2214290000000001E-6</v>
      </c>
      <c r="I6555">
        <v>21.501080000000002</v>
      </c>
      <c r="J6555">
        <v>-370.06259999999997</v>
      </c>
      <c r="K6555">
        <v>1.120708</v>
      </c>
      <c r="L6555">
        <v>18.058720000000001</v>
      </c>
      <c r="M6555">
        <v>0.99989810000000001</v>
      </c>
      <c r="N6555">
        <v>-1.415106E-2</v>
      </c>
      <c r="O6555">
        <v>-1.8975660000000001E-3</v>
      </c>
      <c r="P6555">
        <v>0.99378960000000005</v>
      </c>
      <c r="Q6555">
        <v>-0.1052044</v>
      </c>
      <c r="R6555">
        <v>3.6263379999999998E-2</v>
      </c>
      <c r="S6555">
        <v>2.9802249999999999</v>
      </c>
      <c r="T6555">
        <v>-0.1755747</v>
      </c>
      <c r="U6555">
        <v>0.53924559999999999</v>
      </c>
      <c r="V6555">
        <v>-3.8196239999999999E-2</v>
      </c>
      <c r="W6555">
        <v>-9.1112209999999999E-2</v>
      </c>
      <c r="X6555">
        <v>0.99510779999999999</v>
      </c>
      <c r="Y6555">
        <v>-0.17953939999999999</v>
      </c>
      <c r="Z6555">
        <v>6.6077419999999998E-3</v>
      </c>
      <c r="AA6555">
        <v>0.98372859999999995</v>
      </c>
      <c r="AB6555">
        <v>20</v>
      </c>
      <c r="AC6555">
        <v>18.919699999999899</v>
      </c>
      <c r="AD6555">
        <v>-1.120712221429</v>
      </c>
      <c r="AE6555">
        <v>3.4423599999999901</v>
      </c>
      <c r="AF6555">
        <v>-3.46648529262474</v>
      </c>
      <c r="AG6555">
        <v>-1.120712221429</v>
      </c>
      <c r="AH6555">
        <v>18.849114520254702</v>
      </c>
      <c r="AI6555">
        <v>93.346637350072598</v>
      </c>
      <c r="AJ6555">
        <v>100.420657922009</v>
      </c>
      <c r="AK6555">
        <v>19.197959119784599</v>
      </c>
      <c r="AL6555">
        <v>95.227595143073799</v>
      </c>
      <c r="AM6555">
        <v>92.198163360809104</v>
      </c>
      <c r="AN6555">
        <v>0.99999996059103002</v>
      </c>
    </row>
    <row r="6556" spans="1:40" x14ac:dyDescent="0.25">
      <c r="A6556" t="str">
        <f>"20190303154940519"</f>
        <v>20190303154940519</v>
      </c>
      <c r="B6556" t="str">
        <f>"1551599380517410"</f>
        <v>1551599380517410</v>
      </c>
      <c r="C6556" t="s">
        <v>40</v>
      </c>
      <c r="D6556">
        <v>4.7294049999999999</v>
      </c>
      <c r="E6556">
        <v>0.44533719999999999</v>
      </c>
      <c r="F6556" t="s">
        <v>41</v>
      </c>
      <c r="G6556">
        <v>-350.95659999999998</v>
      </c>
      <c r="H6556" s="1">
        <v>-4.2872430000000003E-6</v>
      </c>
      <c r="I6556">
        <v>21.514790000000001</v>
      </c>
      <c r="J6556">
        <v>-369.96089999999998</v>
      </c>
      <c r="K6556">
        <v>1.120719</v>
      </c>
      <c r="L6556">
        <v>18.058260000000001</v>
      </c>
      <c r="M6556">
        <v>0.9998977</v>
      </c>
      <c r="N6556">
        <v>-1.415741E-2</v>
      </c>
      <c r="O6556">
        <v>-2.1003889999999998E-3</v>
      </c>
      <c r="P6556">
        <v>0.99382729999999997</v>
      </c>
      <c r="Q6556">
        <v>-0.1050204</v>
      </c>
      <c r="R6556">
        <v>3.5753559999999997E-2</v>
      </c>
      <c r="S6556">
        <v>2.980499</v>
      </c>
      <c r="T6556">
        <v>-0.17482909999999999</v>
      </c>
      <c r="U6556">
        <v>0.53915409999999997</v>
      </c>
      <c r="V6556">
        <v>-3.7884670000000002E-2</v>
      </c>
      <c r="W6556">
        <v>-9.0922799999999998E-2</v>
      </c>
      <c r="X6556">
        <v>0.9951371</v>
      </c>
      <c r="Y6556">
        <v>-0.1796962</v>
      </c>
      <c r="Z6556">
        <v>6.5997549999999997E-3</v>
      </c>
      <c r="AA6556">
        <v>0.98370000000000002</v>
      </c>
      <c r="AB6556">
        <v>20</v>
      </c>
      <c r="AC6556">
        <v>19.004300000000001</v>
      </c>
      <c r="AD6556">
        <v>-1.120723287243</v>
      </c>
      <c r="AE6556">
        <v>3.4565299999999901</v>
      </c>
      <c r="AF6556">
        <v>-3.4847120469024402</v>
      </c>
      <c r="AG6556">
        <v>-1.120723287243</v>
      </c>
      <c r="AH6556">
        <v>18.933261383392999</v>
      </c>
      <c r="AI6556">
        <v>93.331744009958996</v>
      </c>
      <c r="AJ6556">
        <v>100.428712039812</v>
      </c>
      <c r="AK6556">
        <v>19.283869563660598</v>
      </c>
      <c r="AL6556">
        <v>95.216697175109601</v>
      </c>
      <c r="AM6556">
        <v>92.180185997520397</v>
      </c>
      <c r="AN6556">
        <v>1.0000000257886199</v>
      </c>
    </row>
    <row r="6557" spans="1:40" x14ac:dyDescent="0.25">
      <c r="A6557" t="str">
        <f>"20190303154940543"</f>
        <v>20190303154940543</v>
      </c>
      <c r="B6557" t="str">
        <f>"1551599380536930"</f>
        <v>1551599380536930</v>
      </c>
      <c r="C6557" t="s">
        <v>40</v>
      </c>
      <c r="D6557">
        <v>4.7736900000000002</v>
      </c>
      <c r="E6557">
        <v>0.44478040000000002</v>
      </c>
      <c r="F6557" t="s">
        <v>41</v>
      </c>
      <c r="G6557">
        <v>-350.5967</v>
      </c>
      <c r="H6557" s="1">
        <v>-4.4202630000000003E-6</v>
      </c>
      <c r="I6557">
        <v>21.574210000000001</v>
      </c>
      <c r="J6557">
        <v>-369.75830000000002</v>
      </c>
      <c r="K6557">
        <v>1.120744</v>
      </c>
      <c r="L6557">
        <v>18.057369999999999</v>
      </c>
      <c r="M6557">
        <v>0.99989660000000002</v>
      </c>
      <c r="N6557">
        <v>-1.416766E-2</v>
      </c>
      <c r="O6557">
        <v>-2.4640669999999999E-3</v>
      </c>
      <c r="P6557">
        <v>0.99388279999999996</v>
      </c>
      <c r="Q6557">
        <v>-0.1046865</v>
      </c>
      <c r="R6557">
        <v>3.5179189999999999E-2</v>
      </c>
      <c r="S6557">
        <v>2.9809269999999999</v>
      </c>
      <c r="T6557">
        <v>-0.1725247</v>
      </c>
      <c r="U6557">
        <v>0.54125979999999996</v>
      </c>
      <c r="V6557">
        <v>-3.7666150000000002E-2</v>
      </c>
      <c r="W6557">
        <v>-9.0580629999999995E-2</v>
      </c>
      <c r="X6557">
        <v>0.99517659999999997</v>
      </c>
      <c r="Y6557">
        <v>-0.18070849999999999</v>
      </c>
      <c r="Z6557">
        <v>6.5813180000000001E-3</v>
      </c>
      <c r="AA6557">
        <v>0.98351469999999996</v>
      </c>
      <c r="AB6557">
        <v>20</v>
      </c>
      <c r="AC6557">
        <v>19.1616</v>
      </c>
      <c r="AD6557">
        <v>-1.120748420263</v>
      </c>
      <c r="AE6557">
        <v>3.51683999999999</v>
      </c>
      <c r="AF6557">
        <v>-3.5522931594242801</v>
      </c>
      <c r="AG6557">
        <v>-1.120748420263</v>
      </c>
      <c r="AH6557">
        <v>19.089697578150201</v>
      </c>
      <c r="AI6557">
        <v>93.303377109768803</v>
      </c>
      <c r="AJ6557">
        <v>100.541276824533</v>
      </c>
      <c r="AK6557">
        <v>19.449715096557298</v>
      </c>
      <c r="AL6557">
        <v>95.197011036988698</v>
      </c>
      <c r="AM6557">
        <v>92.167536690767506</v>
      </c>
      <c r="AN6557">
        <v>1.00000002728728</v>
      </c>
    </row>
    <row r="6558" spans="1:40" x14ac:dyDescent="0.25">
      <c r="A6558" t="str">
        <f>"20190303154940554"</f>
        <v>20190303154940554</v>
      </c>
      <c r="B6558" t="str">
        <f>"1551599380547666"</f>
        <v>1551599380547666</v>
      </c>
      <c r="C6558" t="s">
        <v>40</v>
      </c>
      <c r="D6558">
        <v>4.7165929999999996</v>
      </c>
      <c r="E6558">
        <v>0.44460300000000003</v>
      </c>
      <c r="F6558" t="s">
        <v>41</v>
      </c>
      <c r="G6558">
        <v>-350.21859999999998</v>
      </c>
      <c r="H6558" s="1">
        <v>-4.557546E-6</v>
      </c>
      <c r="I6558">
        <v>21.622679999999999</v>
      </c>
      <c r="J6558">
        <v>-369.65550000000002</v>
      </c>
      <c r="K6558">
        <v>1.1207579999999999</v>
      </c>
      <c r="L6558">
        <v>18.056920000000002</v>
      </c>
      <c r="M6558">
        <v>0.99989600000000001</v>
      </c>
      <c r="N6558">
        <v>-1.4172010000000001E-2</v>
      </c>
      <c r="O6558">
        <v>-2.6337560000000001E-3</v>
      </c>
      <c r="P6558">
        <v>0.99391260000000003</v>
      </c>
      <c r="Q6558">
        <v>-0.1045866</v>
      </c>
      <c r="R6558">
        <v>3.4632969999999999E-2</v>
      </c>
      <c r="S6558">
        <v>2.981201</v>
      </c>
      <c r="T6558">
        <v>-0.17099429999999999</v>
      </c>
      <c r="U6558">
        <v>0.54397580000000001</v>
      </c>
      <c r="V6558">
        <v>-3.7285930000000002E-2</v>
      </c>
      <c r="W6558">
        <v>-9.0477219999999997E-2</v>
      </c>
      <c r="X6558">
        <v>0.99520030000000004</v>
      </c>
      <c r="Y6558">
        <v>-0.18173049999999999</v>
      </c>
      <c r="Z6558">
        <v>6.5773469999999999E-3</v>
      </c>
      <c r="AA6558">
        <v>0.98332640000000004</v>
      </c>
      <c r="AB6558">
        <v>19</v>
      </c>
      <c r="AC6558">
        <v>19.436900000000001</v>
      </c>
      <c r="AD6558">
        <v>-1.1207625575459901</v>
      </c>
      <c r="AE6558">
        <v>3.5657599999999898</v>
      </c>
      <c r="AF6558">
        <v>-3.6053478528612599</v>
      </c>
      <c r="AG6558">
        <v>-1.1207625575459901</v>
      </c>
      <c r="AH6558">
        <v>19.365150266967898</v>
      </c>
      <c r="AI6558">
        <v>93.256477986597503</v>
      </c>
      <c r="AJ6558">
        <v>100.54641636153499</v>
      </c>
      <c r="AK6558">
        <v>19.7297665144009</v>
      </c>
      <c r="AL6558">
        <v>95.191061780314698</v>
      </c>
      <c r="AM6558">
        <v>92.145626051738205</v>
      </c>
      <c r="AN6558">
        <v>1.00000000251749</v>
      </c>
    </row>
    <row r="6559" spans="1:40" x14ac:dyDescent="0.25">
      <c r="A6559" t="str">
        <f>"20190303154940566"</f>
        <v>20190303154940566</v>
      </c>
      <c r="B6559" t="str">
        <f>"1551599380557425"</f>
        <v>1551599380557425</v>
      </c>
      <c r="C6559" t="s">
        <v>40</v>
      </c>
      <c r="D6559">
        <v>4.736853</v>
      </c>
      <c r="E6559">
        <v>0.44435409999999997</v>
      </c>
      <c r="F6559" t="s">
        <v>41</v>
      </c>
      <c r="G6559">
        <v>-350.02780000000001</v>
      </c>
      <c r="H6559" s="1">
        <v>-4.6249450000000002E-6</v>
      </c>
      <c r="I6559">
        <v>21.636690000000002</v>
      </c>
      <c r="J6559">
        <v>-369.55669999999998</v>
      </c>
      <c r="K6559">
        <v>1.120763</v>
      </c>
      <c r="L6559">
        <v>18.056460000000001</v>
      </c>
      <c r="M6559">
        <v>0.9998958</v>
      </c>
      <c r="N6559">
        <v>-1.4175770000000001E-2</v>
      </c>
      <c r="O6559">
        <v>-2.7902410000000002E-3</v>
      </c>
      <c r="P6559">
        <v>0.9939133</v>
      </c>
      <c r="Q6559">
        <v>-0.1046464</v>
      </c>
      <c r="R6559">
        <v>3.4433310000000002E-2</v>
      </c>
      <c r="S6559">
        <v>2.981506</v>
      </c>
      <c r="T6559">
        <v>-0.1702476</v>
      </c>
      <c r="U6559">
        <v>0.54379270000000002</v>
      </c>
      <c r="V6559">
        <v>-3.7239700000000001E-2</v>
      </c>
      <c r="W6559">
        <v>-9.0534229999999993E-2</v>
      </c>
      <c r="X6559">
        <v>0.99519679999999999</v>
      </c>
      <c r="Y6559">
        <v>-0.18181079999999999</v>
      </c>
      <c r="Z6559">
        <v>6.5634909999999899E-3</v>
      </c>
      <c r="AA6559">
        <v>0.98331170000000001</v>
      </c>
      <c r="AB6559">
        <v>19</v>
      </c>
      <c r="AC6559">
        <v>19.528899999999901</v>
      </c>
      <c r="AD6559">
        <v>-1.120767624945</v>
      </c>
      <c r="AE6559">
        <v>3.58022999999999</v>
      </c>
      <c r="AF6559">
        <v>-3.62316651008152</v>
      </c>
      <c r="AG6559">
        <v>-1.120767624945</v>
      </c>
      <c r="AH6559">
        <v>19.456833338643701</v>
      </c>
      <c r="AI6559">
        <v>93.241158047924401</v>
      </c>
      <c r="AJ6559">
        <v>100.54854912992801</v>
      </c>
      <c r="AK6559">
        <v>19.823012364337</v>
      </c>
      <c r="AL6559">
        <v>95.194341913831195</v>
      </c>
      <c r="AM6559">
        <v>92.142975748860195</v>
      </c>
      <c r="AN6559">
        <v>0.99999995639400996</v>
      </c>
    </row>
    <row r="6560" spans="1:40" x14ac:dyDescent="0.25">
      <c r="A6560" t="str">
        <f>"20190303154940577"</f>
        <v>20190303154940577</v>
      </c>
      <c r="B6560" t="str">
        <f>"1551599380567547"</f>
        <v>1551599380567547</v>
      </c>
      <c r="C6560" t="s">
        <v>40</v>
      </c>
      <c r="D6560">
        <v>4.7158189999999998</v>
      </c>
      <c r="E6560">
        <v>0.44415949999999998</v>
      </c>
      <c r="F6560" t="s">
        <v>41</v>
      </c>
      <c r="G6560">
        <v>-349.89670000000001</v>
      </c>
      <c r="H6560" s="1">
        <v>-5.6808699999999997E-7</v>
      </c>
      <c r="I6560">
        <v>21.65127</v>
      </c>
      <c r="J6560">
        <v>-369.46199999999999</v>
      </c>
      <c r="K6560">
        <v>1.1207750000000001</v>
      </c>
      <c r="L6560">
        <v>18.05603</v>
      </c>
      <c r="M6560">
        <v>0.99989530000000004</v>
      </c>
      <c r="N6560">
        <v>-1.4179020000000001E-2</v>
      </c>
      <c r="O6560">
        <v>-2.9345899999999999E-3</v>
      </c>
      <c r="P6560">
        <v>0.99394490000000002</v>
      </c>
      <c r="Q6560">
        <v>-0.1044412</v>
      </c>
      <c r="R6560">
        <v>3.4142510000000001E-2</v>
      </c>
      <c r="S6560">
        <v>2.981598</v>
      </c>
      <c r="T6560">
        <v>-0.16997309999999999</v>
      </c>
      <c r="U6560">
        <v>0.54519649999999997</v>
      </c>
      <c r="V6560">
        <v>-3.7090449999999997E-2</v>
      </c>
      <c r="W6560">
        <v>-9.0326229999999993E-2</v>
      </c>
      <c r="X6560">
        <v>0.99522129999999998</v>
      </c>
      <c r="Y6560">
        <v>-0.18239520000000001</v>
      </c>
      <c r="Z6560">
        <v>6.5817339999999997E-3</v>
      </c>
      <c r="AA6560">
        <v>0.9832033</v>
      </c>
      <c r="AB6560">
        <v>19</v>
      </c>
      <c r="AC6560">
        <v>19.565299999999901</v>
      </c>
      <c r="AD6560">
        <v>-1.120775568087</v>
      </c>
      <c r="AE6560">
        <v>3.59524</v>
      </c>
      <c r="AF6560">
        <v>-3.6410886672796101</v>
      </c>
      <c r="AG6560">
        <v>-1.120775568087</v>
      </c>
      <c r="AH6560">
        <v>19.4927890205356</v>
      </c>
      <c r="AI6560">
        <v>93.234880020475998</v>
      </c>
      <c r="AJ6560">
        <v>100.580438737896</v>
      </c>
      <c r="AK6560">
        <v>19.861583228839699</v>
      </c>
      <c r="AL6560">
        <v>95.182375225316505</v>
      </c>
      <c r="AM6560">
        <v>92.134342553021895</v>
      </c>
      <c r="AN6560">
        <v>0.99999998264045198</v>
      </c>
    </row>
    <row r="6561" spans="1:40" x14ac:dyDescent="0.25">
      <c r="A6561" t="str">
        <f>"20190303154940589"</f>
        <v>20190303154940589</v>
      </c>
      <c r="B6561" t="str">
        <f>"1551599380577308"</f>
        <v>1551599380577308</v>
      </c>
      <c r="C6561" t="s">
        <v>40</v>
      </c>
      <c r="D6561">
        <v>4.7245019999999904</v>
      </c>
      <c r="E6561">
        <v>0.44387690000000002</v>
      </c>
      <c r="F6561" t="s">
        <v>41</v>
      </c>
      <c r="G6561">
        <v>-349.63470000000001</v>
      </c>
      <c r="H6561" s="1">
        <v>-6.8957840000000003E-7</v>
      </c>
      <c r="I6561">
        <v>21.68544</v>
      </c>
      <c r="J6561">
        <v>-369.36559999999997</v>
      </c>
      <c r="K6561">
        <v>1.1207819999999999</v>
      </c>
      <c r="L6561">
        <v>18.055569999999999</v>
      </c>
      <c r="M6561">
        <v>0.99989470000000003</v>
      </c>
      <c r="N6561">
        <v>-1.418181E-2</v>
      </c>
      <c r="O6561">
        <v>-3.074682E-3</v>
      </c>
      <c r="P6561">
        <v>0.99394139999999997</v>
      </c>
      <c r="Q6561">
        <v>-0.1045804</v>
      </c>
      <c r="R6561">
        <v>3.3816239999999997E-2</v>
      </c>
      <c r="S6561">
        <v>2.9818120000000001</v>
      </c>
      <c r="T6561">
        <v>-0.1685526</v>
      </c>
      <c r="U6561">
        <v>0.54583740000000003</v>
      </c>
      <c r="V6561">
        <v>-3.6902530000000003E-2</v>
      </c>
      <c r="W6561">
        <v>-9.0463440000000006E-2</v>
      </c>
      <c r="X6561">
        <v>0.99521579999999998</v>
      </c>
      <c r="Y6561">
        <v>-0.18272959999999999</v>
      </c>
      <c r="Z6561">
        <v>6.554781E-3</v>
      </c>
      <c r="AA6561">
        <v>0.98314140000000005</v>
      </c>
      <c r="AB6561">
        <v>19</v>
      </c>
      <c r="AC6561">
        <v>19.730899999999899</v>
      </c>
      <c r="AD6561">
        <v>-1.1207826895784001</v>
      </c>
      <c r="AE6561">
        <v>3.6298699999999999</v>
      </c>
      <c r="AF6561">
        <v>-3.6790428898532701</v>
      </c>
      <c r="AG6561">
        <v>-1.1207826895784001</v>
      </c>
      <c r="AH6561">
        <v>19.658291364808399</v>
      </c>
      <c r="AI6561">
        <v>93.207516070312195</v>
      </c>
      <c r="AJ6561">
        <v>100.600263738335</v>
      </c>
      <c r="AK6561">
        <v>20.0309742600388</v>
      </c>
      <c r="AL6561">
        <v>95.190269216566804</v>
      </c>
      <c r="AM6561">
        <v>92.123550485539994</v>
      </c>
      <c r="AN6561">
        <v>0.99999995963333599</v>
      </c>
    </row>
    <row r="6562" spans="1:40" x14ac:dyDescent="0.25">
      <c r="A6562" t="str">
        <f>"20190303154940599"</f>
        <v>20190303154940599</v>
      </c>
      <c r="B6562" t="str">
        <f>"1551599380596827"</f>
        <v>1551599380596827</v>
      </c>
      <c r="C6562" t="s">
        <v>40</v>
      </c>
      <c r="D6562">
        <v>4.7210970000000003</v>
      </c>
      <c r="E6562">
        <v>0.4434748</v>
      </c>
      <c r="F6562" t="s">
        <v>41</v>
      </c>
      <c r="G6562">
        <v>-349.62279999999998</v>
      </c>
      <c r="H6562" s="1">
        <v>-6.9278540000000004E-7</v>
      </c>
      <c r="I6562">
        <v>21.678329999999999</v>
      </c>
      <c r="J6562">
        <v>-369.26620000000003</v>
      </c>
      <c r="K6562">
        <v>1.120792</v>
      </c>
      <c r="L6562">
        <v>18.055109999999999</v>
      </c>
      <c r="M6562">
        <v>0.99989419999999996</v>
      </c>
      <c r="N6562">
        <v>-1.4184499999999999E-2</v>
      </c>
      <c r="O6562">
        <v>-3.2160959999999999E-3</v>
      </c>
      <c r="P6562">
        <v>0.99394020000000005</v>
      </c>
      <c r="Q6562">
        <v>-0.10469249999999999</v>
      </c>
      <c r="R6562">
        <v>3.3501089999999997E-2</v>
      </c>
      <c r="S6562">
        <v>2.9818730000000002</v>
      </c>
      <c r="T6562">
        <v>-0.1692786</v>
      </c>
      <c r="U6562">
        <v>0.54718020000000001</v>
      </c>
      <c r="V6562">
        <v>-3.6726580000000002E-2</v>
      </c>
      <c r="W6562">
        <v>-9.0573440000000005E-2</v>
      </c>
      <c r="X6562">
        <v>0.99521230000000005</v>
      </c>
      <c r="Y6562">
        <v>-0.18328939999999999</v>
      </c>
      <c r="Z6562">
        <v>6.6032340000000004E-3</v>
      </c>
      <c r="AA6562">
        <v>0.98303680000000004</v>
      </c>
      <c r="AB6562">
        <v>19</v>
      </c>
      <c r="AC6562">
        <v>19.6434</v>
      </c>
      <c r="AD6562">
        <v>-1.1207926927853999</v>
      </c>
      <c r="AE6562">
        <v>3.6232199999999999</v>
      </c>
      <c r="AF6562">
        <v>-3.6748129562918601</v>
      </c>
      <c r="AG6562">
        <v>-1.1207926927853999</v>
      </c>
      <c r="AH6562">
        <v>19.570030636314701</v>
      </c>
      <c r="AI6562">
        <v>93.221614650600401</v>
      </c>
      <c r="AJ6562">
        <v>100.63501841947399</v>
      </c>
      <c r="AK6562">
        <v>19.943583570417498</v>
      </c>
      <c r="AL6562">
        <v>95.196597752023706</v>
      </c>
      <c r="AM6562">
        <v>92.113442098940695</v>
      </c>
      <c r="AN6562">
        <v>0.99999995589160895</v>
      </c>
    </row>
    <row r="6563" spans="1:40" x14ac:dyDescent="0.25">
      <c r="A6563" t="str">
        <f>"20190303154940612"</f>
        <v>20190303154940612</v>
      </c>
      <c r="B6563" t="str">
        <f>"1551599380607563"</f>
        <v>1551599380607563</v>
      </c>
      <c r="C6563" t="s">
        <v>40</v>
      </c>
      <c r="D6563">
        <v>4.6901549999999999</v>
      </c>
      <c r="E6563">
        <v>0.44319609999999898</v>
      </c>
      <c r="F6563" t="s">
        <v>41</v>
      </c>
      <c r="G6563">
        <v>-349.51440000000002</v>
      </c>
      <c r="H6563" s="1">
        <v>-7.4344889999999998E-7</v>
      </c>
      <c r="I6563">
        <v>21.693940000000001</v>
      </c>
      <c r="J6563">
        <v>-369.1628</v>
      </c>
      <c r="K6563">
        <v>1.1207959999999999</v>
      </c>
      <c r="L6563">
        <v>18.054600000000001</v>
      </c>
      <c r="M6563">
        <v>0.9998937</v>
      </c>
      <c r="N6563">
        <v>-1.418666E-2</v>
      </c>
      <c r="O6563">
        <v>-3.356726E-3</v>
      </c>
      <c r="P6563">
        <v>0.99398109999999995</v>
      </c>
      <c r="Q6563">
        <v>-0.1044829</v>
      </c>
      <c r="R6563">
        <v>3.2939610000000001E-2</v>
      </c>
      <c r="S6563">
        <v>2.981995</v>
      </c>
      <c r="T6563">
        <v>-0.16920940000000001</v>
      </c>
      <c r="U6563">
        <v>0.54937740000000002</v>
      </c>
      <c r="V6563">
        <v>-3.6303969999999998E-2</v>
      </c>
      <c r="W6563">
        <v>-9.0361559999999994E-2</v>
      </c>
      <c r="X6563">
        <v>0.99524710000000005</v>
      </c>
      <c r="Y6563">
        <v>-0.1841197</v>
      </c>
      <c r="Z6563">
        <v>6.6359870000000003E-3</v>
      </c>
      <c r="AA6563">
        <v>0.98288140000000002</v>
      </c>
      <c r="AB6563">
        <v>19</v>
      </c>
      <c r="AC6563">
        <v>19.648399999999899</v>
      </c>
      <c r="AD6563">
        <v>-1.1207967434488999</v>
      </c>
      <c r="AE6563">
        <v>3.63933999999999</v>
      </c>
      <c r="AF6563">
        <v>-3.6936604157828001</v>
      </c>
      <c r="AG6563">
        <v>-1.1207967434488999</v>
      </c>
      <c r="AH6563">
        <v>19.574491726278499</v>
      </c>
      <c r="AI6563">
        <v>93.220356036633703</v>
      </c>
      <c r="AJ6563">
        <v>100.68593017047201</v>
      </c>
      <c r="AK6563">
        <v>19.951442026815801</v>
      </c>
      <c r="AL6563">
        <v>95.184407759386801</v>
      </c>
      <c r="AM6563">
        <v>92.089071569224103</v>
      </c>
      <c r="AN6563">
        <v>0.999999989910902</v>
      </c>
    </row>
    <row r="6564" spans="1:40" x14ac:dyDescent="0.25">
      <c r="A6564" t="str">
        <f>"20190303154940631"</f>
        <v>20190303154940631</v>
      </c>
      <c r="B6564" t="str">
        <f>"1551599380627083"</f>
        <v>1551599380627083</v>
      </c>
      <c r="C6564" t="s">
        <v>40</v>
      </c>
      <c r="D6564">
        <v>4.7100289999999996</v>
      </c>
      <c r="E6564">
        <v>0.44278479999999998</v>
      </c>
      <c r="F6564" t="s">
        <v>41</v>
      </c>
      <c r="G6564">
        <v>-349.18849999999998</v>
      </c>
      <c r="H6564" s="1">
        <v>-8.9488819999999902E-7</v>
      </c>
      <c r="I6564">
        <v>21.737680000000001</v>
      </c>
      <c r="J6564">
        <v>-368.99939999999998</v>
      </c>
      <c r="K6564">
        <v>1.1208089999999999</v>
      </c>
      <c r="L6564">
        <v>18.05377</v>
      </c>
      <c r="M6564">
        <v>0.99989309999999998</v>
      </c>
      <c r="N6564">
        <v>-1.418955E-2</v>
      </c>
      <c r="O6564">
        <v>-3.575464E-3</v>
      </c>
      <c r="P6564">
        <v>0.99406430000000001</v>
      </c>
      <c r="Q6564">
        <v>-0.10394639999999999</v>
      </c>
      <c r="R6564">
        <v>3.211986E-2</v>
      </c>
      <c r="S6564">
        <v>2.9823300000000001</v>
      </c>
      <c r="T6564">
        <v>-0.1673441</v>
      </c>
      <c r="U6564">
        <v>0.54992680000000005</v>
      </c>
      <c r="V6564">
        <v>-3.5702060000000001E-2</v>
      </c>
      <c r="W6564">
        <v>-8.9821440000000002E-2</v>
      </c>
      <c r="X6564">
        <v>0.99531780000000003</v>
      </c>
      <c r="Y6564">
        <v>-0.18449650000000001</v>
      </c>
      <c r="Z6564">
        <v>6.5987750000000003E-3</v>
      </c>
      <c r="AA6564">
        <v>0.98281099999999999</v>
      </c>
      <c r="AB6564">
        <v>19</v>
      </c>
      <c r="AC6564">
        <v>19.8109</v>
      </c>
      <c r="AD6564">
        <v>-1.1208098948881999</v>
      </c>
      <c r="AE6564">
        <v>3.6839099999999898</v>
      </c>
      <c r="AF6564">
        <v>-3.7431461897489799</v>
      </c>
      <c r="AG6564">
        <v>-1.1208098948881999</v>
      </c>
      <c r="AH6564">
        <v>19.7365394680265</v>
      </c>
      <c r="AI6564">
        <v>93.193449876447701</v>
      </c>
      <c r="AJ6564">
        <v>100.73892342536401</v>
      </c>
      <c r="AK6564">
        <v>20.119601099208701</v>
      </c>
      <c r="AL6564">
        <v>95.1533346195137</v>
      </c>
      <c r="AM6564">
        <v>92.054319449857402</v>
      </c>
      <c r="AN6564">
        <v>1.00000002558437</v>
      </c>
    </row>
    <row r="6565" spans="1:40" x14ac:dyDescent="0.25">
      <c r="A6565" t="str">
        <f>"20190303154940643"</f>
        <v>20190303154940643</v>
      </c>
      <c r="B6565" t="str">
        <f>"1551599380636844"</f>
        <v>1551599380636844</v>
      </c>
      <c r="C6565" t="s">
        <v>40</v>
      </c>
      <c r="D6565">
        <v>4.681432</v>
      </c>
      <c r="E6565">
        <v>0.44259379999999998</v>
      </c>
      <c r="F6565" t="s">
        <v>41</v>
      </c>
      <c r="G6565">
        <v>-348.7072</v>
      </c>
      <c r="H6565" s="1">
        <v>-1.117926E-6</v>
      </c>
      <c r="I6565">
        <v>21.799769999999999</v>
      </c>
      <c r="J6565">
        <v>-368.89339999999999</v>
      </c>
      <c r="K6565">
        <v>1.1208100000000001</v>
      </c>
      <c r="L6565">
        <v>18.05322</v>
      </c>
      <c r="M6565">
        <v>0.99989240000000001</v>
      </c>
      <c r="N6565">
        <v>-1.419104E-2</v>
      </c>
      <c r="O6565">
        <v>-3.7155550000000002E-3</v>
      </c>
      <c r="P6565">
        <v>0.9941508</v>
      </c>
      <c r="Q6565">
        <v>-0.1033307</v>
      </c>
      <c r="R6565">
        <v>3.1419799999999998E-2</v>
      </c>
      <c r="S6565">
        <v>2.9828800000000002</v>
      </c>
      <c r="T6565">
        <v>-0.1647544</v>
      </c>
      <c r="U6565">
        <v>0.55065920000000002</v>
      </c>
      <c r="V6565">
        <v>-3.5141619999999998E-2</v>
      </c>
      <c r="W6565">
        <v>-8.920322E-2</v>
      </c>
      <c r="X6565">
        <v>0.99539330000000004</v>
      </c>
      <c r="Y6565">
        <v>-0.18484439999999999</v>
      </c>
      <c r="Z6565">
        <v>6.5332209999999996E-3</v>
      </c>
      <c r="AA6565">
        <v>0.98274609999999996</v>
      </c>
      <c r="AB6565">
        <v>19</v>
      </c>
      <c r="AC6565">
        <v>20.1861999999999</v>
      </c>
      <c r="AD6565">
        <v>-1.1208111179260001</v>
      </c>
      <c r="AE6565">
        <v>3.74655</v>
      </c>
      <c r="AF6565">
        <v>-3.81017947453434</v>
      </c>
      <c r="AG6565">
        <v>-1.1208111179260001</v>
      </c>
      <c r="AH6565">
        <v>20.112200066539401</v>
      </c>
      <c r="AI6565">
        <v>93.134045156156702</v>
      </c>
      <c r="AJ6565">
        <v>100.72733803034799</v>
      </c>
      <c r="AK6565">
        <v>20.500592106247499</v>
      </c>
      <c r="AL6565">
        <v>95.117770667608298</v>
      </c>
      <c r="AM6565">
        <v>92.021945108965397</v>
      </c>
      <c r="AN6565">
        <v>0.99999998479974095</v>
      </c>
    </row>
    <row r="6566" spans="1:40" x14ac:dyDescent="0.25">
      <c r="A6566" t="str">
        <f>"20190303154940655"</f>
        <v>20190303154940655</v>
      </c>
      <c r="B6566" t="str">
        <f>"1551599380647579"</f>
        <v>1551599380647579</v>
      </c>
      <c r="C6566" t="s">
        <v>40</v>
      </c>
      <c r="D6566">
        <v>4.6697410000000001</v>
      </c>
      <c r="E6566">
        <v>0.44243120000000002</v>
      </c>
      <c r="F6566" t="s">
        <v>41</v>
      </c>
      <c r="G6566">
        <v>-348.3537</v>
      </c>
      <c r="H6566" s="1">
        <v>-1.2803630000000001E-6</v>
      </c>
      <c r="I6566">
        <v>21.840350000000001</v>
      </c>
      <c r="J6566">
        <v>-368.78969999999998</v>
      </c>
      <c r="K6566">
        <v>1.1208149999999999</v>
      </c>
      <c r="L6566">
        <v>18.052669999999999</v>
      </c>
      <c r="M6566">
        <v>0.99989189999999994</v>
      </c>
      <c r="N6566">
        <v>-1.4192079999999999E-2</v>
      </c>
      <c r="O6566">
        <v>-3.8520899999999999E-3</v>
      </c>
      <c r="P6566">
        <v>0.99421329999999997</v>
      </c>
      <c r="Q6566">
        <v>-0.10282520000000001</v>
      </c>
      <c r="R6566">
        <v>3.1094790000000001E-2</v>
      </c>
      <c r="S6566">
        <v>2.9833370000000001</v>
      </c>
      <c r="T6566">
        <v>-0.1627941</v>
      </c>
      <c r="U6566">
        <v>0.55007930000000005</v>
      </c>
      <c r="V6566">
        <v>-3.495239E-2</v>
      </c>
      <c r="W6566">
        <v>-8.869573E-2</v>
      </c>
      <c r="X6566">
        <v>0.99544529999999998</v>
      </c>
      <c r="Y6566">
        <v>-0.18477450000000001</v>
      </c>
      <c r="Z6566">
        <v>6.4731260000000001E-3</v>
      </c>
      <c r="AA6566">
        <v>0.98275970000000001</v>
      </c>
      <c r="AB6566">
        <v>19</v>
      </c>
      <c r="AC6566">
        <v>20.4359999999999</v>
      </c>
      <c r="AD6566">
        <v>-1.120816280363</v>
      </c>
      <c r="AE6566">
        <v>3.7876799999999902</v>
      </c>
      <c r="AF6566">
        <v>-3.8551699287336998</v>
      </c>
      <c r="AG6566">
        <v>-1.120816280363</v>
      </c>
      <c r="AH6566">
        <v>20.362041638654699</v>
      </c>
      <c r="AI6566">
        <v>93.095744961501694</v>
      </c>
      <c r="AJ6566">
        <v>100.720978682135</v>
      </c>
      <c r="AK6566">
        <v>20.7540671678601</v>
      </c>
      <c r="AL6566">
        <v>95.088577972379497</v>
      </c>
      <c r="AM6566">
        <v>92.010961369876298</v>
      </c>
      <c r="AN6566">
        <v>0.99999997368951699</v>
      </c>
    </row>
    <row r="6567" spans="1:40" x14ac:dyDescent="0.25">
      <c r="A6567" t="str">
        <f>"20190303154940668"</f>
        <v>20190303154940668</v>
      </c>
      <c r="B6567" t="str">
        <f>"1551599380657339"</f>
        <v>1551599380657339</v>
      </c>
      <c r="C6567" t="s">
        <v>40</v>
      </c>
      <c r="D6567">
        <v>4.6207929999999999</v>
      </c>
      <c r="E6567">
        <v>0.44227719999999998</v>
      </c>
      <c r="F6567" t="s">
        <v>41</v>
      </c>
      <c r="G6567">
        <v>-347.96179999999998</v>
      </c>
      <c r="H6567" s="1">
        <v>-1.46307E-6</v>
      </c>
      <c r="I6567">
        <v>21.895140000000001</v>
      </c>
      <c r="J6567">
        <v>-368.68299999999999</v>
      </c>
      <c r="K6567">
        <v>1.1208149999999999</v>
      </c>
      <c r="L6567">
        <v>18.05209</v>
      </c>
      <c r="M6567">
        <v>0.99989130000000004</v>
      </c>
      <c r="N6567">
        <v>-1.41929E-2</v>
      </c>
      <c r="O6567">
        <v>-3.9935209999999999E-3</v>
      </c>
      <c r="P6567">
        <v>0.99431840000000005</v>
      </c>
      <c r="Q6567">
        <v>-0.1018681</v>
      </c>
      <c r="R6567">
        <v>3.088668E-2</v>
      </c>
      <c r="S6567">
        <v>2.9836119999999999</v>
      </c>
      <c r="T6567">
        <v>-0.1605569</v>
      </c>
      <c r="U6567">
        <v>0.55044559999999998</v>
      </c>
      <c r="V6567">
        <v>-3.4886069999999998E-2</v>
      </c>
      <c r="W6567">
        <v>-8.7736300000000003E-2</v>
      </c>
      <c r="X6567">
        <v>0.99553270000000005</v>
      </c>
      <c r="Y6567">
        <v>-0.18502189999999999</v>
      </c>
      <c r="Z6567">
        <v>6.4151700000000004E-3</v>
      </c>
      <c r="AA6567">
        <v>0.98271350000000002</v>
      </c>
      <c r="AB6567">
        <v>19</v>
      </c>
      <c r="AC6567">
        <v>20.7212</v>
      </c>
      <c r="AD6567">
        <v>-1.1208164630699999</v>
      </c>
      <c r="AE6567">
        <v>3.8430499999999901</v>
      </c>
      <c r="AF6567">
        <v>-3.9147055967578002</v>
      </c>
      <c r="AG6567">
        <v>-1.1208164630699999</v>
      </c>
      <c r="AH6567">
        <v>20.6472856161982</v>
      </c>
      <c r="AI6567">
        <v>93.052909684600394</v>
      </c>
      <c r="AJ6567">
        <v>100.735792759055</v>
      </c>
      <c r="AK6567">
        <v>21.044988780468401</v>
      </c>
      <c r="AL6567">
        <v>95.033391260881501</v>
      </c>
      <c r="AM6567">
        <v>92.006972750980793</v>
      </c>
      <c r="AN6567">
        <v>1.0000000264935101</v>
      </c>
    </row>
    <row r="6568" spans="1:40" x14ac:dyDescent="0.25">
      <c r="A6568" t="str">
        <f>"20190303154940689"</f>
        <v>20190303154940689</v>
      </c>
      <c r="B6568" t="str">
        <f>"1551599380677299"</f>
        <v>1551599380677299</v>
      </c>
      <c r="C6568" t="s">
        <v>40</v>
      </c>
      <c r="D6568">
        <v>4.6013099999999998</v>
      </c>
      <c r="E6568">
        <v>0.44191780000000003</v>
      </c>
      <c r="F6568" t="s">
        <v>41</v>
      </c>
      <c r="G6568">
        <v>-347.39109999999999</v>
      </c>
      <c r="H6568" s="1">
        <v>-1.73169E-6</v>
      </c>
      <c r="I6568">
        <v>21.984559999999998</v>
      </c>
      <c r="J6568">
        <v>-368.50650000000002</v>
      </c>
      <c r="K6568">
        <v>1.120822</v>
      </c>
      <c r="L6568">
        <v>18.051089999999999</v>
      </c>
      <c r="M6568">
        <v>0.99989039999999996</v>
      </c>
      <c r="N6568">
        <v>-1.419372E-2</v>
      </c>
      <c r="O6568">
        <v>-4.2314340000000001E-3</v>
      </c>
      <c r="P6568">
        <v>0.99446670000000004</v>
      </c>
      <c r="Q6568">
        <v>-0.1006051</v>
      </c>
      <c r="R6568">
        <v>3.024514E-2</v>
      </c>
      <c r="S6568">
        <v>2.9839169999999999</v>
      </c>
      <c r="T6568">
        <v>-0.15707409999999999</v>
      </c>
      <c r="U6568">
        <v>0.55111690000000002</v>
      </c>
      <c r="V6568">
        <v>-3.4482609999999997E-2</v>
      </c>
      <c r="W6568">
        <v>-8.6470279999999997E-2</v>
      </c>
      <c r="X6568">
        <v>0.99565749999999997</v>
      </c>
      <c r="Y6568">
        <v>-0.1854635</v>
      </c>
      <c r="Z6568">
        <v>6.3268830000000002E-3</v>
      </c>
      <c r="AA6568">
        <v>0.98263080000000003</v>
      </c>
      <c r="AB6568">
        <v>19</v>
      </c>
      <c r="AC6568">
        <v>21.115400000000001</v>
      </c>
      <c r="AD6568">
        <v>-1.12082373169</v>
      </c>
      <c r="AE6568">
        <v>3.9334699999999998</v>
      </c>
      <c r="AF6568">
        <v>-4.0118675477185901</v>
      </c>
      <c r="AG6568">
        <v>-1.12082373169</v>
      </c>
      <c r="AH6568">
        <v>21.0412679264624</v>
      </c>
      <c r="AI6568">
        <v>92.9952849393337</v>
      </c>
      <c r="AJ6568">
        <v>100.794826602679</v>
      </c>
      <c r="AK6568">
        <v>21.449621978280501</v>
      </c>
      <c r="AL6568">
        <v>94.960576997924093</v>
      </c>
      <c r="AM6568">
        <v>91.983532158312897</v>
      </c>
      <c r="AN6568">
        <v>1.0000000085109699</v>
      </c>
    </row>
    <row r="6569" spans="1:40" x14ac:dyDescent="0.25">
      <c r="A6569" t="str">
        <f>"20190303154940710"</f>
        <v>20190303154940710</v>
      </c>
      <c r="B6569" t="str">
        <f>"1551599380707555"</f>
        <v>1551599380707555</v>
      </c>
      <c r="C6569" t="s">
        <v>40</v>
      </c>
      <c r="D6569">
        <v>4.559043</v>
      </c>
      <c r="E6569">
        <v>0.44151430000000003</v>
      </c>
      <c r="F6569" t="s">
        <v>41</v>
      </c>
      <c r="G6569">
        <v>-346.40249999999997</v>
      </c>
      <c r="H6569" s="1">
        <v>-2.1969270000000002E-6</v>
      </c>
      <c r="I6569">
        <v>22.13917</v>
      </c>
      <c r="J6569">
        <v>-368.32060000000001</v>
      </c>
      <c r="K6569">
        <v>1.120822</v>
      </c>
      <c r="L6569">
        <v>18.049990000000001</v>
      </c>
      <c r="M6569">
        <v>0.99988929999999998</v>
      </c>
      <c r="N6569">
        <v>-1.4193860000000001E-2</v>
      </c>
      <c r="O6569">
        <v>-4.4886570000000001E-3</v>
      </c>
      <c r="P6569">
        <v>0.99453950000000002</v>
      </c>
      <c r="Q6569">
        <v>-9.9952120000000005E-2</v>
      </c>
      <c r="R6569">
        <v>3.001908E-2</v>
      </c>
      <c r="S6569">
        <v>2.9845890000000002</v>
      </c>
      <c r="T6569">
        <v>-0.15133869999999999</v>
      </c>
      <c r="U6569">
        <v>0.55200199999999999</v>
      </c>
      <c r="V6569">
        <v>-3.4513050000000003E-2</v>
      </c>
      <c r="W6569">
        <v>-8.5815760000000005E-2</v>
      </c>
      <c r="X6569">
        <v>0.99571310000000002</v>
      </c>
      <c r="Y6569">
        <v>-0.18597830000000001</v>
      </c>
      <c r="Z6569">
        <v>6.1671249999999999E-3</v>
      </c>
      <c r="AA6569">
        <v>0.98253449999999998</v>
      </c>
      <c r="AB6569">
        <v>19</v>
      </c>
      <c r="AC6569">
        <v>21.918099999999999</v>
      </c>
      <c r="AD6569">
        <v>-1.1208241969270001</v>
      </c>
      <c r="AE6569">
        <v>4.08917999999999</v>
      </c>
      <c r="AF6569">
        <v>-4.1769762004353197</v>
      </c>
      <c r="AG6569">
        <v>-1.1208241969270001</v>
      </c>
      <c r="AH6569">
        <v>21.8443211948303</v>
      </c>
      <c r="AI6569">
        <v>92.885070062775796</v>
      </c>
      <c r="AJ6569">
        <v>100.825177188545</v>
      </c>
      <c r="AK6569">
        <v>22.268312588122399</v>
      </c>
      <c r="AL6569">
        <v>94.922935705916601</v>
      </c>
      <c r="AM6569">
        <v>91.985170979969993</v>
      </c>
      <c r="AN6569">
        <v>1.0000000363981401</v>
      </c>
    </row>
    <row r="6570" spans="1:40" x14ac:dyDescent="0.25">
      <c r="A6570" t="str">
        <f>"20190303154940724"</f>
        <v>20190303154940724</v>
      </c>
      <c r="B6570" t="str">
        <f>"1551599380717316"</f>
        <v>1551599380717316</v>
      </c>
      <c r="C6570" t="s">
        <v>40</v>
      </c>
      <c r="D6570">
        <v>4.5295639999999997</v>
      </c>
      <c r="E6570">
        <v>0.44145889999999999</v>
      </c>
      <c r="F6570" t="s">
        <v>41</v>
      </c>
      <c r="G6570">
        <v>-345.52859999999998</v>
      </c>
      <c r="H6570" s="1">
        <v>-2.6101790000000001E-6</v>
      </c>
      <c r="I6570">
        <v>22.283390000000001</v>
      </c>
      <c r="J6570">
        <v>-368.20100000000002</v>
      </c>
      <c r="K6570">
        <v>1.1208180000000001</v>
      </c>
      <c r="L6570">
        <v>18.04926</v>
      </c>
      <c r="M6570">
        <v>0.99988849999999996</v>
      </c>
      <c r="N6570">
        <v>-1.4193600000000001E-2</v>
      </c>
      <c r="O6570">
        <v>-4.6576250000000003E-3</v>
      </c>
      <c r="P6570">
        <v>0.99455680000000002</v>
      </c>
      <c r="Q6570">
        <v>-9.9883810000000003E-2</v>
      </c>
      <c r="R6570">
        <v>2.9668119999999999E-2</v>
      </c>
      <c r="S6570">
        <v>2.984985</v>
      </c>
      <c r="T6570">
        <v>-0.14679029999999901</v>
      </c>
      <c r="U6570">
        <v>0.55444340000000003</v>
      </c>
      <c r="V6570">
        <v>-3.4331399999999998E-2</v>
      </c>
      <c r="W6570">
        <v>-8.5747320000000002E-2</v>
      </c>
      <c r="X6570">
        <v>0.99572519999999998</v>
      </c>
      <c r="Y6570">
        <v>-0.1869123</v>
      </c>
      <c r="Z6570">
        <v>6.0544409999999998E-3</v>
      </c>
      <c r="AA6570">
        <v>0.98235799999999995</v>
      </c>
      <c r="AB6570">
        <v>19</v>
      </c>
      <c r="AC6570">
        <v>22.6723999999999</v>
      </c>
      <c r="AD6570">
        <v>-1.1208206101789999</v>
      </c>
      <c r="AE6570">
        <v>4.2341300000000004</v>
      </c>
      <c r="AF6570">
        <v>-4.3294701698421303</v>
      </c>
      <c r="AG6570">
        <v>-1.1208206101789999</v>
      </c>
      <c r="AH6570">
        <v>22.5990632744784</v>
      </c>
      <c r="AI6570">
        <v>92.788677080930498</v>
      </c>
      <c r="AJ6570">
        <v>100.845172120214</v>
      </c>
      <c r="AK6570">
        <v>23.037322146370101</v>
      </c>
      <c r="AL6570">
        <v>94.9190002475423</v>
      </c>
      <c r="AM6570">
        <v>91.974706891751197</v>
      </c>
      <c r="AN6570">
        <v>0.99999996091409005</v>
      </c>
    </row>
    <row r="6571" spans="1:40" x14ac:dyDescent="0.25">
      <c r="A6571" t="str">
        <f>"20190303154940744"</f>
        <v>20190303154940744</v>
      </c>
      <c r="B6571" t="str">
        <f>"1551599380736836"</f>
        <v>1551599380736836</v>
      </c>
      <c r="C6571" t="s">
        <v>40</v>
      </c>
      <c r="D6571">
        <v>4.5476779999999897</v>
      </c>
      <c r="E6571">
        <v>0.44128790000000001</v>
      </c>
      <c r="F6571" t="s">
        <v>41</v>
      </c>
      <c r="G6571">
        <v>-345.21730000000002</v>
      </c>
      <c r="H6571" s="1">
        <v>-2.751338E-6</v>
      </c>
      <c r="I6571">
        <v>22.311959999999999</v>
      </c>
      <c r="J6571">
        <v>-368.03019999999998</v>
      </c>
      <c r="K6571">
        <v>1.120816</v>
      </c>
      <c r="L6571">
        <v>18.048159999999999</v>
      </c>
      <c r="M6571">
        <v>0.99988719999999998</v>
      </c>
      <c r="N6571">
        <v>-1.419277E-2</v>
      </c>
      <c r="O6571">
        <v>-4.9044409999999998E-3</v>
      </c>
      <c r="P6571">
        <v>0.99458740000000001</v>
      </c>
      <c r="Q6571">
        <v>-9.9756079999999997E-2</v>
      </c>
      <c r="R6571">
        <v>2.9062009999999999E-2</v>
      </c>
      <c r="S6571">
        <v>2.9852910000000001</v>
      </c>
      <c r="T6571">
        <v>-0.14557979999999901</v>
      </c>
      <c r="U6571">
        <v>0.55368039999999996</v>
      </c>
      <c r="V6571">
        <v>-3.3970930000000003E-2</v>
      </c>
      <c r="W6571">
        <v>-8.5619870000000001E-2</v>
      </c>
      <c r="X6571">
        <v>0.99574859999999998</v>
      </c>
      <c r="Y6571">
        <v>-0.18689810000000001</v>
      </c>
      <c r="Z6571">
        <v>6.0225849999999996E-3</v>
      </c>
      <c r="AA6571">
        <v>0.98236080000000003</v>
      </c>
      <c r="AB6571">
        <v>19</v>
      </c>
      <c r="AC6571">
        <v>22.8128999999999</v>
      </c>
      <c r="AD6571">
        <v>-1.1208187513379999</v>
      </c>
      <c r="AE6571">
        <v>4.2637999999999998</v>
      </c>
      <c r="AF6571">
        <v>-4.36546262866643</v>
      </c>
      <c r="AG6571">
        <v>-1.1208187513379999</v>
      </c>
      <c r="AH6571">
        <v>22.7386768810651</v>
      </c>
      <c r="AI6571">
        <v>92.771368899051595</v>
      </c>
      <c r="AJ6571">
        <v>100.867642379871</v>
      </c>
      <c r="AK6571">
        <v>23.181046674753901</v>
      </c>
      <c r="AL6571">
        <v>94.911670604197596</v>
      </c>
      <c r="AM6571">
        <v>91.953943302151202</v>
      </c>
      <c r="AN6571">
        <v>1.00000003031292</v>
      </c>
    </row>
    <row r="6572" spans="1:40" x14ac:dyDescent="0.25">
      <c r="A6572" t="str">
        <f>"20190303154940755"</f>
        <v>20190303154940755</v>
      </c>
      <c r="B6572" t="str">
        <f>"1551599380747572"</f>
        <v>1551599380747572</v>
      </c>
      <c r="C6572" t="s">
        <v>40</v>
      </c>
      <c r="D6572">
        <v>4.519876</v>
      </c>
      <c r="E6572">
        <v>0.44119560000000002</v>
      </c>
      <c r="F6572" t="s">
        <v>41</v>
      </c>
      <c r="G6572">
        <v>-344.64980000000003</v>
      </c>
      <c r="H6572" s="1">
        <v>-3.0126799999999998E-6</v>
      </c>
      <c r="I6572">
        <v>22.379149999999999</v>
      </c>
      <c r="J6572">
        <v>-367.92939999999999</v>
      </c>
      <c r="K6572">
        <v>1.1208199999999999</v>
      </c>
      <c r="L6572">
        <v>18.04749</v>
      </c>
      <c r="M6572">
        <v>0.99988659999999996</v>
      </c>
      <c r="N6572">
        <v>-1.4192089999999999E-2</v>
      </c>
      <c r="O6572">
        <v>-5.0524029999999996E-3</v>
      </c>
      <c r="P6572">
        <v>0.99460820000000005</v>
      </c>
      <c r="Q6572">
        <v>-9.9658159999999996E-2</v>
      </c>
      <c r="R6572">
        <v>2.868917E-2</v>
      </c>
      <c r="S6572">
        <v>2.9858090000000002</v>
      </c>
      <c r="T6572">
        <v>-0.1431345</v>
      </c>
      <c r="U6572">
        <v>0.55310059999999905</v>
      </c>
      <c r="V6572">
        <v>-3.374663E-2</v>
      </c>
      <c r="W6572">
        <v>-8.5522299999999996E-2</v>
      </c>
      <c r="X6572">
        <v>0.9957646</v>
      </c>
      <c r="Y6572">
        <v>-0.1868369</v>
      </c>
      <c r="Z6572">
        <v>5.9450589999999999E-3</v>
      </c>
      <c r="AA6572">
        <v>0.98237289999999999</v>
      </c>
      <c r="AB6572">
        <v>19</v>
      </c>
      <c r="AC6572">
        <v>23.279599999999899</v>
      </c>
      <c r="AD6572">
        <v>-1.1208230126799901</v>
      </c>
      <c r="AE6572">
        <v>4.3316599999999896</v>
      </c>
      <c r="AF6572">
        <v>-4.4392883217905901</v>
      </c>
      <c r="AG6572">
        <v>-1.1208230126799901</v>
      </c>
      <c r="AH6572">
        <v>23.205424018497499</v>
      </c>
      <c r="AI6572">
        <v>92.716061941733699</v>
      </c>
      <c r="AJ6572">
        <v>100.83005528117</v>
      </c>
      <c r="AK6572">
        <v>23.652805941536801</v>
      </c>
      <c r="AL6572">
        <v>94.906059731648298</v>
      </c>
      <c r="AM6572">
        <v>91.941020729287402</v>
      </c>
      <c r="AN6572">
        <v>1.0000000187233999</v>
      </c>
    </row>
    <row r="6573" spans="1:40" x14ac:dyDescent="0.25">
      <c r="A6573" t="str">
        <f>"20190303154940768"</f>
        <v>20190303154940768</v>
      </c>
      <c r="B6573" t="str">
        <f>"1551599380757332"</f>
        <v>1551599380757332</v>
      </c>
      <c r="C6573" t="s">
        <v>40</v>
      </c>
      <c r="D6573">
        <v>4.5169180000000004</v>
      </c>
      <c r="E6573">
        <v>0.4410963</v>
      </c>
      <c r="F6573" t="s">
        <v>41</v>
      </c>
      <c r="G6573">
        <v>-344.37380000000002</v>
      </c>
      <c r="H6573" s="1">
        <v>-3.138487E-6</v>
      </c>
      <c r="I6573">
        <v>22.4071</v>
      </c>
      <c r="J6573">
        <v>-367.82709999999997</v>
      </c>
      <c r="K6573">
        <v>1.1208199999999999</v>
      </c>
      <c r="L6573">
        <v>18.046810000000001</v>
      </c>
      <c r="M6573">
        <v>0.99988569999999999</v>
      </c>
      <c r="N6573">
        <v>-1.4191290000000001E-2</v>
      </c>
      <c r="O6573">
        <v>-5.2033399999999999E-3</v>
      </c>
      <c r="P6573">
        <v>0.99465789999999998</v>
      </c>
      <c r="Q6573">
        <v>-9.9281270000000005E-2</v>
      </c>
      <c r="R6573">
        <v>2.8257350000000001E-2</v>
      </c>
      <c r="S6573">
        <v>2.9861149999999999</v>
      </c>
      <c r="T6573">
        <v>-0.14208519999999999</v>
      </c>
      <c r="U6573">
        <v>0.55267330000000003</v>
      </c>
      <c r="V6573">
        <v>-3.3464710000000002E-2</v>
      </c>
      <c r="W6573">
        <v>-8.5145540000000006E-2</v>
      </c>
      <c r="X6573">
        <v>0.99580639999999998</v>
      </c>
      <c r="Y6573">
        <v>-0.1868348</v>
      </c>
      <c r="Z6573">
        <v>5.9152270000000003E-3</v>
      </c>
      <c r="AA6573">
        <v>0.98237350000000001</v>
      </c>
      <c r="AB6573">
        <v>19</v>
      </c>
      <c r="AC6573">
        <v>23.453299999999899</v>
      </c>
      <c r="AD6573">
        <v>-1.120823138487</v>
      </c>
      <c r="AE6573">
        <v>4.3602899999999902</v>
      </c>
      <c r="AF6573">
        <v>-4.4724057299446498</v>
      </c>
      <c r="AG6573">
        <v>-1.120823138487</v>
      </c>
      <c r="AH6573">
        <v>23.378682660953402</v>
      </c>
      <c r="AI6573">
        <v>92.695963994038706</v>
      </c>
      <c r="AJ6573">
        <v>100.82998991593</v>
      </c>
      <c r="AK6573">
        <v>23.8290046053664</v>
      </c>
      <c r="AL6573">
        <v>94.884393949451706</v>
      </c>
      <c r="AM6573">
        <v>91.9247369179256</v>
      </c>
      <c r="AN6573">
        <v>1.00000001803911</v>
      </c>
    </row>
    <row r="6574" spans="1:40" x14ac:dyDescent="0.25">
      <c r="A6574" t="str">
        <f>"20190303154940779"</f>
        <v>20190303154940779</v>
      </c>
      <c r="B6574" t="str">
        <f>"1551599380767601"</f>
        <v>1551599380767601</v>
      </c>
      <c r="C6574" t="s">
        <v>40</v>
      </c>
      <c r="D6574">
        <v>4.4828659999999996</v>
      </c>
      <c r="E6574">
        <v>0.44102219999999998</v>
      </c>
      <c r="F6574" t="s">
        <v>41</v>
      </c>
      <c r="G6574">
        <v>-343.959</v>
      </c>
      <c r="H6574" s="1">
        <v>-3.3302330000000002E-6</v>
      </c>
      <c r="I6574">
        <v>22.4589</v>
      </c>
      <c r="J6574">
        <v>-367.73050000000001</v>
      </c>
      <c r="K6574">
        <v>1.1208209999999901</v>
      </c>
      <c r="L6574">
        <v>18.046140000000001</v>
      </c>
      <c r="M6574">
        <v>0.99988500000000002</v>
      </c>
      <c r="N6574">
        <v>-1.419047E-2</v>
      </c>
      <c r="O6574">
        <v>-5.3466440000000002E-3</v>
      </c>
      <c r="P6574">
        <v>0.99469180000000001</v>
      </c>
      <c r="Q6574">
        <v>-9.9040020000000006E-2</v>
      </c>
      <c r="R6574">
        <v>2.7917460000000002E-2</v>
      </c>
      <c r="S6574">
        <v>2.98645</v>
      </c>
      <c r="T6574">
        <v>-0.14024039999999999</v>
      </c>
      <c r="U6574">
        <v>0.55206299999999997</v>
      </c>
      <c r="V6574">
        <v>-3.326834E-2</v>
      </c>
      <c r="W6574">
        <v>-8.4904649999999998E-2</v>
      </c>
      <c r="X6574">
        <v>0.99583350000000004</v>
      </c>
      <c r="Y6574">
        <v>-0.18676799999999999</v>
      </c>
      <c r="Z6574">
        <v>5.8569850000000003E-3</v>
      </c>
      <c r="AA6574">
        <v>0.9823866</v>
      </c>
      <c r="AB6574">
        <v>19</v>
      </c>
      <c r="AC6574">
        <v>23.7715</v>
      </c>
      <c r="AD6574">
        <v>-1.1208243302330001</v>
      </c>
      <c r="AE6574">
        <v>4.4127599999999898</v>
      </c>
      <c r="AF6574">
        <v>-4.5300720670577599</v>
      </c>
      <c r="AG6574">
        <v>-1.1208243302330001</v>
      </c>
      <c r="AH6574">
        <v>23.696638830886901</v>
      </c>
      <c r="AI6574">
        <v>92.659910616752896</v>
      </c>
      <c r="AJ6574">
        <v>100.82262002125501</v>
      </c>
      <c r="AK6574">
        <v>24.151780306914802</v>
      </c>
      <c r="AL6574">
        <v>94.870542038351701</v>
      </c>
      <c r="AM6574">
        <v>91.913399002257293</v>
      </c>
      <c r="AN6574">
        <v>0.99999997088011305</v>
      </c>
    </row>
    <row r="6575" spans="1:40" x14ac:dyDescent="0.25">
      <c r="A6575" t="str">
        <f>"20190303154940798"</f>
        <v>20190303154940798</v>
      </c>
      <c r="B6575" t="str">
        <f>"1551599380787120"</f>
        <v>1551599380787120</v>
      </c>
      <c r="C6575" t="s">
        <v>40</v>
      </c>
      <c r="D6575">
        <v>4.4833420000000004</v>
      </c>
      <c r="E6575">
        <v>0.4408552</v>
      </c>
      <c r="F6575" t="s">
        <v>41</v>
      </c>
      <c r="G6575">
        <v>-343.62090000000001</v>
      </c>
      <c r="H6575" s="1">
        <v>-3.485909E-6</v>
      </c>
      <c r="I6575">
        <v>22.498860000000001</v>
      </c>
      <c r="J6575">
        <v>-367.56950000000001</v>
      </c>
      <c r="K6575">
        <v>1.120814</v>
      </c>
      <c r="L6575">
        <v>18.044979999999999</v>
      </c>
      <c r="M6575">
        <v>0.99988379999999999</v>
      </c>
      <c r="N6575">
        <v>-1.4188849999999999E-2</v>
      </c>
      <c r="O6575">
        <v>-5.5867449999999997E-3</v>
      </c>
      <c r="P6575">
        <v>0.99475690000000005</v>
      </c>
      <c r="Q6575">
        <v>-9.8568100000000006E-2</v>
      </c>
      <c r="R6575">
        <v>2.7263450000000002E-2</v>
      </c>
      <c r="S6575">
        <v>2.9866640000000002</v>
      </c>
      <c r="T6575">
        <v>-0.138846</v>
      </c>
      <c r="U6575">
        <v>0.55160520000000002</v>
      </c>
      <c r="V6575">
        <v>-3.28537E-2</v>
      </c>
      <c r="W6575">
        <v>-8.4433519999999998E-2</v>
      </c>
      <c r="X6575">
        <v>0.99588730000000003</v>
      </c>
      <c r="Y6575">
        <v>-0.18685019999999999</v>
      </c>
      <c r="Z6575">
        <v>5.8210789999999998E-3</v>
      </c>
      <c r="AA6575">
        <v>0.9823712</v>
      </c>
      <c r="AB6575">
        <v>19</v>
      </c>
      <c r="AC6575">
        <v>23.948599999999999</v>
      </c>
      <c r="AD6575">
        <v>-1.1208174859090001</v>
      </c>
      <c r="AE6575">
        <v>4.4538799999999998</v>
      </c>
      <c r="AF6575">
        <v>-4.5779267089245401</v>
      </c>
      <c r="AG6575">
        <v>-1.1208174859090001</v>
      </c>
      <c r="AH6575">
        <v>23.872799765625899</v>
      </c>
      <c r="AI6575">
        <v>92.640005329395194</v>
      </c>
      <c r="AJ6575">
        <v>100.855444670227</v>
      </c>
      <c r="AK6575">
        <v>24.333602557752801</v>
      </c>
      <c r="AL6575">
        <v>94.843451099481996</v>
      </c>
      <c r="AM6575">
        <v>91.889466743390599</v>
      </c>
      <c r="AN6575">
        <v>0.999999949602284</v>
      </c>
    </row>
    <row r="6576" spans="1:40" x14ac:dyDescent="0.25">
      <c r="A6576" t="str">
        <f>"20190303154940810"</f>
        <v>20190303154940810</v>
      </c>
      <c r="B6576" t="str">
        <f>"1551599380807617"</f>
        <v>1551599380807617</v>
      </c>
      <c r="C6576" t="s">
        <v>40</v>
      </c>
      <c r="D6576">
        <v>4.4938940000000001</v>
      </c>
      <c r="E6576">
        <v>0.44067469999999997</v>
      </c>
      <c r="F6576" t="s">
        <v>41</v>
      </c>
      <c r="G6576">
        <v>-342.90989999999999</v>
      </c>
      <c r="H6576" s="1">
        <v>-3.8136810000000001E-6</v>
      </c>
      <c r="I6576">
        <v>22.592300000000002</v>
      </c>
      <c r="J6576">
        <v>-367.46899999999999</v>
      </c>
      <c r="K6576">
        <v>1.1208149999999999</v>
      </c>
      <c r="L6576">
        <v>18.044280000000001</v>
      </c>
      <c r="M6576">
        <v>0.99988290000000002</v>
      </c>
      <c r="N6576">
        <v>-1.4187730000000001E-2</v>
      </c>
      <c r="O6576">
        <v>-5.7368310000000004E-3</v>
      </c>
      <c r="P6576">
        <v>0.99476900000000001</v>
      </c>
      <c r="Q6576">
        <v>-9.8550429999999994E-2</v>
      </c>
      <c r="R6576">
        <v>2.688372E-2</v>
      </c>
      <c r="S6576">
        <v>2.9872740000000002</v>
      </c>
      <c r="T6576">
        <v>-0.1357759</v>
      </c>
      <c r="U6576">
        <v>0.55087280000000005</v>
      </c>
      <c r="V6576">
        <v>-3.2623430000000002E-2</v>
      </c>
      <c r="W6576">
        <v>-8.4416829999999998E-2</v>
      </c>
      <c r="X6576">
        <v>0.99589629999999996</v>
      </c>
      <c r="Y6576">
        <v>-0.18673899999999999</v>
      </c>
      <c r="Z6576">
        <v>5.7206949999999996E-3</v>
      </c>
      <c r="AA6576">
        <v>0.98239290000000001</v>
      </c>
      <c r="AB6576">
        <v>19</v>
      </c>
      <c r="AC6576">
        <v>24.559100000000001</v>
      </c>
      <c r="AD6576">
        <v>-1.120818813681</v>
      </c>
      <c r="AE6576">
        <v>4.5480200000000002</v>
      </c>
      <c r="AF6576">
        <v>-4.6794276137729902</v>
      </c>
      <c r="AG6576">
        <v>-1.120818813681</v>
      </c>
      <c r="AH6576">
        <v>24.4832991067432</v>
      </c>
      <c r="AI6576">
        <v>92.574570586744102</v>
      </c>
      <c r="AJ6576">
        <v>100.820294987319</v>
      </c>
      <c r="AK6576">
        <v>24.951657515201202</v>
      </c>
      <c r="AL6576">
        <v>94.842491332522599</v>
      </c>
      <c r="AM6576">
        <v>91.876216117191206</v>
      </c>
      <c r="AN6576">
        <v>0.99999996486295095</v>
      </c>
    </row>
    <row r="6577" spans="1:40" x14ac:dyDescent="0.25">
      <c r="A6577" t="str">
        <f>"20190303154940824"</f>
        <v>20190303154940824</v>
      </c>
      <c r="B6577" t="str">
        <f>"1551599380817376"</f>
        <v>1551599380817376</v>
      </c>
      <c r="C6577" t="s">
        <v>40</v>
      </c>
      <c r="D6577">
        <v>4.4382390000000003</v>
      </c>
      <c r="E6577">
        <v>0.44058190000000003</v>
      </c>
      <c r="F6577" t="s">
        <v>41</v>
      </c>
      <c r="G6577">
        <v>-342.58600000000001</v>
      </c>
      <c r="H6577" s="1">
        <v>-3.931424E-6</v>
      </c>
      <c r="I6577">
        <v>22.634699999999999</v>
      </c>
      <c r="J6577">
        <v>-367.34679999999997</v>
      </c>
      <c r="K6577">
        <v>1.1208229999999999</v>
      </c>
      <c r="L6577">
        <v>18.043330000000001</v>
      </c>
      <c r="M6577">
        <v>0.99988189999999999</v>
      </c>
      <c r="N6577">
        <v>-1.4186290000000001E-2</v>
      </c>
      <c r="O6577">
        <v>-5.9192189999999999E-3</v>
      </c>
      <c r="P6577">
        <v>0.99478029999999995</v>
      </c>
      <c r="Q6577">
        <v>-9.8602609999999993E-2</v>
      </c>
      <c r="R6577">
        <v>2.6264119999999998E-2</v>
      </c>
      <c r="S6577">
        <v>2.9875180000000001</v>
      </c>
      <c r="T6577">
        <v>-0.1345683</v>
      </c>
      <c r="U6577">
        <v>0.55114750000000001</v>
      </c>
      <c r="V6577">
        <v>-3.2185440000000003E-2</v>
      </c>
      <c r="W6577">
        <v>-8.4470409999999996E-2</v>
      </c>
      <c r="X6577">
        <v>0.99590610000000002</v>
      </c>
      <c r="Y6577">
        <v>-0.18699479999999999</v>
      </c>
      <c r="Z6577">
        <v>5.6936209999999899E-3</v>
      </c>
      <c r="AA6577">
        <v>0.98234440000000001</v>
      </c>
      <c r="AB6577">
        <v>19</v>
      </c>
      <c r="AC6577">
        <v>24.7607999999999</v>
      </c>
      <c r="AD6577">
        <v>-1.12082693142399</v>
      </c>
      <c r="AE6577">
        <v>4.5913700000000004</v>
      </c>
      <c r="AF6577">
        <v>-4.7285021249848498</v>
      </c>
      <c r="AG6577">
        <v>-1.12082693142399</v>
      </c>
      <c r="AH6577">
        <v>24.6842885794835</v>
      </c>
      <c r="AI6577">
        <v>92.553450442595704</v>
      </c>
      <c r="AJ6577">
        <v>100.844164305833</v>
      </c>
      <c r="AK6577">
        <v>25.1580819624909</v>
      </c>
      <c r="AL6577">
        <v>94.845571800277099</v>
      </c>
      <c r="AM6577">
        <v>91.851026180171999</v>
      </c>
      <c r="AN6577">
        <v>1.0000000563653799</v>
      </c>
    </row>
    <row r="6578" spans="1:40" x14ac:dyDescent="0.25">
      <c r="A6578" t="str">
        <f>"20190303154940843"</f>
        <v>20190303154940843</v>
      </c>
      <c r="B6578" t="str">
        <f>"1551599380836897"</f>
        <v>1551599380836897</v>
      </c>
      <c r="C6578" t="s">
        <v>40</v>
      </c>
      <c r="D6578">
        <v>4.5806180000000003</v>
      </c>
      <c r="E6578">
        <v>0.44048009999999899</v>
      </c>
      <c r="F6578" t="s">
        <v>41</v>
      </c>
      <c r="G6578">
        <v>-342.39370000000002</v>
      </c>
      <c r="H6578" s="1">
        <v>-3.9971460000000002E-6</v>
      </c>
      <c r="I6578">
        <v>22.63644</v>
      </c>
      <c r="J6578">
        <v>-367.18709999999999</v>
      </c>
      <c r="K6578">
        <v>1.120824</v>
      </c>
      <c r="L6578">
        <v>18.042110000000001</v>
      </c>
      <c r="M6578">
        <v>0.99988030000000006</v>
      </c>
      <c r="N6578">
        <v>-1.4184199999999999E-2</v>
      </c>
      <c r="O6578">
        <v>-6.1573840000000001E-3</v>
      </c>
      <c r="P6578">
        <v>0.99472369999999999</v>
      </c>
      <c r="Q6578">
        <v>-9.935252E-2</v>
      </c>
      <c r="R6578">
        <v>2.556624E-2</v>
      </c>
      <c r="S6578">
        <v>2.9878849999999999</v>
      </c>
      <c r="T6578">
        <v>-0.13420770000000001</v>
      </c>
      <c r="U6578">
        <v>0.54998780000000003</v>
      </c>
      <c r="V6578">
        <v>-3.1724179999999998E-2</v>
      </c>
      <c r="W6578">
        <v>-8.5223309999999997E-2</v>
      </c>
      <c r="X6578">
        <v>0.99585670000000004</v>
      </c>
      <c r="Y6578">
        <v>-0.1868398</v>
      </c>
      <c r="Z6578">
        <v>5.6838189999999997E-3</v>
      </c>
      <c r="AA6578">
        <v>0.98237399999999997</v>
      </c>
      <c r="AB6578">
        <v>19</v>
      </c>
      <c r="AC6578">
        <v>24.793399999999899</v>
      </c>
      <c r="AD6578">
        <v>-1.120827997146</v>
      </c>
      <c r="AE6578">
        <v>4.5943299999999896</v>
      </c>
      <c r="AF6578">
        <v>-4.7375602735791</v>
      </c>
      <c r="AG6578">
        <v>-1.120827997146</v>
      </c>
      <c r="AH6578">
        <v>24.715804464583101</v>
      </c>
      <c r="AI6578">
        <v>92.550143644490205</v>
      </c>
      <c r="AJ6578">
        <v>100.850919480668</v>
      </c>
      <c r="AK6578">
        <v>25.190707077739798</v>
      </c>
      <c r="AL6578">
        <v>94.888866178315993</v>
      </c>
      <c r="AM6578">
        <v>91.824607027164504</v>
      </c>
      <c r="AN6578">
        <v>1.0000000015494499</v>
      </c>
    </row>
    <row r="6579" spans="1:40" x14ac:dyDescent="0.25">
      <c r="A6579" t="str">
        <f>"20190303154940854"</f>
        <v>20190303154940854</v>
      </c>
      <c r="B6579" t="str">
        <f>"1551599380847632"</f>
        <v>1551599380847632</v>
      </c>
      <c r="C6579" t="s">
        <v>40</v>
      </c>
      <c r="D6579">
        <v>4.4669220000000003</v>
      </c>
      <c r="E6579">
        <v>0.44044090000000002</v>
      </c>
      <c r="F6579" t="s">
        <v>41</v>
      </c>
      <c r="G6579">
        <v>-342.37290000000002</v>
      </c>
      <c r="H6579" s="1">
        <v>-3.9973010000000001E-6</v>
      </c>
      <c r="I6579">
        <v>22.597300000000001</v>
      </c>
      <c r="J6579">
        <v>-367.09589999999997</v>
      </c>
      <c r="K6579">
        <v>1.120824</v>
      </c>
      <c r="L6579">
        <v>18.041409999999999</v>
      </c>
      <c r="M6579">
        <v>0.99987969999999904</v>
      </c>
      <c r="N6579">
        <v>-1.418286E-2</v>
      </c>
      <c r="O6579">
        <v>-6.293267E-3</v>
      </c>
      <c r="P6579">
        <v>0.99472870000000002</v>
      </c>
      <c r="Q6579">
        <v>-9.9398500000000001E-2</v>
      </c>
      <c r="R6579">
        <v>2.5202120000000001E-2</v>
      </c>
      <c r="S6579">
        <v>2.9883419999999998</v>
      </c>
      <c r="T6579">
        <v>-0.1349795</v>
      </c>
      <c r="U6579">
        <v>0.54858399999999996</v>
      </c>
      <c r="V6579">
        <v>-3.1495639999999998E-2</v>
      </c>
      <c r="W6579">
        <v>-8.5270650000000003E-2</v>
      </c>
      <c r="X6579">
        <v>0.99585990000000002</v>
      </c>
      <c r="Y6579">
        <v>-0.186498</v>
      </c>
      <c r="Z6579">
        <v>5.7027090000000003E-3</v>
      </c>
      <c r="AA6579">
        <v>0.98243879999999995</v>
      </c>
      <c r="AB6579">
        <v>19</v>
      </c>
      <c r="AC6579">
        <v>24.7229999999999</v>
      </c>
      <c r="AD6579">
        <v>-1.120827997301</v>
      </c>
      <c r="AE6579">
        <v>4.5558899999999998</v>
      </c>
      <c r="AF6579">
        <v>-4.7020570919033702</v>
      </c>
      <c r="AG6579">
        <v>-1.120827997301</v>
      </c>
      <c r="AH6579">
        <v>24.644846981544902</v>
      </c>
      <c r="AI6579">
        <v>92.557895080702806</v>
      </c>
      <c r="AJ6579">
        <v>100.801797035272</v>
      </c>
      <c r="AK6579">
        <v>25.1144197432236</v>
      </c>
      <c r="AL6579">
        <v>94.891588478840504</v>
      </c>
      <c r="AM6579">
        <v>91.811465587559695</v>
      </c>
      <c r="AN6579">
        <v>0.99999999975922105</v>
      </c>
    </row>
    <row r="6580" spans="1:40" x14ac:dyDescent="0.25">
      <c r="A6580" t="str">
        <f>"20190303154940878"</f>
        <v>20190303154940878</v>
      </c>
      <c r="B6580" t="str">
        <f>"1551599380867658"</f>
        <v>1551599380867658</v>
      </c>
      <c r="C6580" t="s">
        <v>40</v>
      </c>
      <c r="D6580">
        <v>4.4596790000000004</v>
      </c>
      <c r="E6580">
        <v>0.44033650000000002</v>
      </c>
      <c r="F6580" t="s">
        <v>41</v>
      </c>
      <c r="G6580">
        <v>-342.17489999999998</v>
      </c>
      <c r="H6580" s="1">
        <v>-4.0667340000000001E-6</v>
      </c>
      <c r="I6580">
        <v>22.60895</v>
      </c>
      <c r="J6580">
        <v>-366.90289999999999</v>
      </c>
      <c r="K6580">
        <v>1.1208260000000001</v>
      </c>
      <c r="L6580">
        <v>18.039829999999998</v>
      </c>
      <c r="M6580">
        <v>0.99987789999999999</v>
      </c>
      <c r="N6580">
        <v>-1.417999E-2</v>
      </c>
      <c r="O6580">
        <v>-6.58028E-3</v>
      </c>
      <c r="P6580">
        <v>0.99470979999999998</v>
      </c>
      <c r="Q6580">
        <v>-9.9744769999999996E-2</v>
      </c>
      <c r="R6580">
        <v>2.4568340000000001E-2</v>
      </c>
      <c r="S6580">
        <v>2.9885860000000002</v>
      </c>
      <c r="T6580">
        <v>-0.13441249999999999</v>
      </c>
      <c r="U6580">
        <v>0.54776000000000002</v>
      </c>
      <c r="V6580">
        <v>-3.11471E-2</v>
      </c>
      <c r="W6580">
        <v>-8.5620260000000004E-2</v>
      </c>
      <c r="X6580">
        <v>0.99584079999999997</v>
      </c>
      <c r="Y6580">
        <v>-0.18650549999999999</v>
      </c>
      <c r="Z6580">
        <v>5.6924499999999999E-3</v>
      </c>
      <c r="AA6580">
        <v>0.98243740000000002</v>
      </c>
      <c r="AB6580">
        <v>19</v>
      </c>
      <c r="AC6580">
        <v>24.728000000000002</v>
      </c>
      <c r="AD6580">
        <v>-1.1208300667340001</v>
      </c>
      <c r="AE6580">
        <v>4.5691199999999998</v>
      </c>
      <c r="AF6580">
        <v>-4.7223728635981104</v>
      </c>
      <c r="AG6580">
        <v>-1.1208300667340001</v>
      </c>
      <c r="AH6580">
        <v>24.6484276070383</v>
      </c>
      <c r="AI6580">
        <v>92.557153498480204</v>
      </c>
      <c r="AJ6580">
        <v>100.845824087305</v>
      </c>
      <c r="AK6580">
        <v>25.121744545328699</v>
      </c>
      <c r="AL6580">
        <v>94.911693501931595</v>
      </c>
      <c r="AM6580">
        <v>91.791466849431799</v>
      </c>
      <c r="AN6580">
        <v>0.99999993485275596</v>
      </c>
    </row>
    <row r="6581" spans="1:40" x14ac:dyDescent="0.25">
      <c r="A6581" t="str">
        <f>"20190303154940899"</f>
        <v>20190303154940899</v>
      </c>
      <c r="B6581" t="str">
        <f>"1551599380887178"</f>
        <v>1551599380887178</v>
      </c>
      <c r="C6581" t="s">
        <v>40</v>
      </c>
      <c r="D6581">
        <v>4.4478679999999997</v>
      </c>
      <c r="E6581">
        <v>0.44020880000000001</v>
      </c>
      <c r="F6581" t="s">
        <v>41</v>
      </c>
      <c r="G6581">
        <v>-341.91550000000001</v>
      </c>
      <c r="H6581" s="1">
        <v>-4.1551679999999996E-6</v>
      </c>
      <c r="I6581">
        <v>22.609749999999998</v>
      </c>
      <c r="J6581">
        <v>-366.71469999999999</v>
      </c>
      <c r="K6581">
        <v>1.1208229999999999</v>
      </c>
      <c r="L6581">
        <v>18.038270000000001</v>
      </c>
      <c r="M6581">
        <v>0.99987599999999999</v>
      </c>
      <c r="N6581">
        <v>-1.417702E-2</v>
      </c>
      <c r="O6581">
        <v>-6.85894E-3</v>
      </c>
      <c r="P6581">
        <v>0.9947454</v>
      </c>
      <c r="Q6581">
        <v>-9.9562999999999999E-2</v>
      </c>
      <c r="R6581">
        <v>2.385791E-2</v>
      </c>
      <c r="S6581">
        <v>2.9889830000000002</v>
      </c>
      <c r="T6581">
        <v>-0.134073</v>
      </c>
      <c r="U6581">
        <v>0.54666139999999996</v>
      </c>
      <c r="V6581">
        <v>-3.0714499999999999E-2</v>
      </c>
      <c r="W6581">
        <v>-8.5441230000000007E-2</v>
      </c>
      <c r="X6581">
        <v>0.99586969999999997</v>
      </c>
      <c r="Y6581">
        <v>-0.18640789999999999</v>
      </c>
      <c r="Z6581">
        <v>5.6860829999999998E-3</v>
      </c>
      <c r="AA6581">
        <v>0.982456</v>
      </c>
      <c r="AB6581">
        <v>19</v>
      </c>
      <c r="AC6581">
        <v>24.7991999999999</v>
      </c>
      <c r="AD6581">
        <v>-1.12082715516799</v>
      </c>
      <c r="AE6581">
        <v>4.5714799999999904</v>
      </c>
      <c r="AF6581">
        <v>-4.7321371599374498</v>
      </c>
      <c r="AG6581">
        <v>-1.12082715516799</v>
      </c>
      <c r="AH6581">
        <v>24.7184252479808</v>
      </c>
      <c r="AI6581">
        <v>92.549984509232999</v>
      </c>
      <c r="AJ6581">
        <v>100.83767078213</v>
      </c>
      <c r="AK6581">
        <v>25.192259175235499</v>
      </c>
      <c r="AL6581">
        <v>94.9013976833198</v>
      </c>
      <c r="AM6581">
        <v>91.766549928921705</v>
      </c>
      <c r="AN6581">
        <v>1.00000002183612</v>
      </c>
    </row>
    <row r="6582" spans="1:40" x14ac:dyDescent="0.25">
      <c r="A6582" t="str">
        <f>"20190303154940913"</f>
        <v>20190303154940913</v>
      </c>
      <c r="B6582" t="str">
        <f>"1551599380907675"</f>
        <v>1551599380907675</v>
      </c>
      <c r="C6582" t="s">
        <v>40</v>
      </c>
      <c r="D6582">
        <v>4.4424299999999999</v>
      </c>
      <c r="E6582">
        <v>0.44004159999999998</v>
      </c>
      <c r="F6582" t="s">
        <v>41</v>
      </c>
      <c r="G6582">
        <v>-341.3854</v>
      </c>
      <c r="H6582" s="1">
        <v>-4.3444320000000003E-6</v>
      </c>
      <c r="I6582">
        <v>22.659790000000001</v>
      </c>
      <c r="J6582">
        <v>-366.60210000000001</v>
      </c>
      <c r="K6582">
        <v>1.120825</v>
      </c>
      <c r="L6582">
        <v>18.037289999999999</v>
      </c>
      <c r="M6582">
        <v>0.99987490000000001</v>
      </c>
      <c r="N6582">
        <v>-1.4175159999999999E-2</v>
      </c>
      <c r="O6582">
        <v>-7.0253240000000003E-3</v>
      </c>
      <c r="P6582">
        <v>0.99477729999999998</v>
      </c>
      <c r="Q6582">
        <v>-9.9302730000000006E-2</v>
      </c>
      <c r="R6582">
        <v>2.3610659999999999E-2</v>
      </c>
      <c r="S6582">
        <v>2.9895320000000001</v>
      </c>
      <c r="T6582">
        <v>-0.132287299999999</v>
      </c>
      <c r="U6582">
        <v>0.54547119999999905</v>
      </c>
      <c r="V6582">
        <v>-3.0632079999999999E-2</v>
      </c>
      <c r="W6582">
        <v>-8.5182530000000006E-2</v>
      </c>
      <c r="X6582">
        <v>0.99589439999999996</v>
      </c>
      <c r="Y6582">
        <v>-0.1861669</v>
      </c>
      <c r="Z6582">
        <v>5.6239580000000001E-3</v>
      </c>
      <c r="AA6582">
        <v>0.98250199999999999</v>
      </c>
      <c r="AB6582">
        <v>19</v>
      </c>
      <c r="AC6582">
        <v>25.216699999999999</v>
      </c>
      <c r="AD6582">
        <v>-1.1208293444320001</v>
      </c>
      <c r="AE6582">
        <v>4.6224999999999996</v>
      </c>
      <c r="AF6582">
        <v>-4.7904028666979004</v>
      </c>
      <c r="AG6582">
        <v>-1.1208293444320001</v>
      </c>
      <c r="AH6582">
        <v>25.135555970602798</v>
      </c>
      <c r="AI6582">
        <v>92.508122749314694</v>
      </c>
      <c r="AJ6582">
        <v>100.79018827865301</v>
      </c>
      <c r="AK6582">
        <v>25.612504602164801</v>
      </c>
      <c r="AL6582">
        <v>94.886521029514498</v>
      </c>
      <c r="AM6582">
        <v>91.761768850905398</v>
      </c>
      <c r="AN6582">
        <v>1.0000000218468399</v>
      </c>
    </row>
    <row r="6583" spans="1:40" x14ac:dyDescent="0.25">
      <c r="A6583" t="str">
        <f>"20190303154940925"</f>
        <v>20190303154940925</v>
      </c>
      <c r="B6583" t="str">
        <f>"1551599380917435"</f>
        <v>1551599380917435</v>
      </c>
      <c r="C6583" t="s">
        <v>40</v>
      </c>
      <c r="D6583">
        <v>4.445506</v>
      </c>
      <c r="E6583">
        <v>0.43996540000000001</v>
      </c>
      <c r="F6583" t="s">
        <v>41</v>
      </c>
      <c r="G6583">
        <v>-340.92239999999998</v>
      </c>
      <c r="H6583" s="1">
        <v>-4.5140369999999999E-6</v>
      </c>
      <c r="I6583">
        <v>22.727599999999999</v>
      </c>
      <c r="J6583">
        <v>-366.49990000000003</v>
      </c>
      <c r="K6583">
        <v>1.12083</v>
      </c>
      <c r="L6583">
        <v>18.036380000000001</v>
      </c>
      <c r="M6583">
        <v>0.99987389999999998</v>
      </c>
      <c r="N6583">
        <v>-1.4173440000000001E-2</v>
      </c>
      <c r="O6583">
        <v>-7.1758569999999999E-3</v>
      </c>
      <c r="P6583">
        <v>0.99481120000000001</v>
      </c>
      <c r="Q6583">
        <v>-9.9040890000000006E-2</v>
      </c>
      <c r="R6583">
        <v>2.327624E-2</v>
      </c>
      <c r="S6583">
        <v>2.9897770000000001</v>
      </c>
      <c r="T6583">
        <v>-0.13049330000000001</v>
      </c>
      <c r="U6583">
        <v>0.5460815</v>
      </c>
      <c r="V6583">
        <v>-3.0448039999999999E-2</v>
      </c>
      <c r="W6583">
        <v>-8.49221E-2</v>
      </c>
      <c r="X6583">
        <v>0.99592230000000004</v>
      </c>
      <c r="Y6583">
        <v>-0.1865</v>
      </c>
      <c r="Z6583">
        <v>5.5778729999999997E-3</v>
      </c>
      <c r="AA6583">
        <v>0.98243919999999996</v>
      </c>
      <c r="AB6583">
        <v>19</v>
      </c>
      <c r="AC6583">
        <v>25.577500000000001</v>
      </c>
      <c r="AD6583">
        <v>-1.120834514037</v>
      </c>
      <c r="AE6583">
        <v>4.6912200000000004</v>
      </c>
      <c r="AF6583">
        <v>-4.8656187780061897</v>
      </c>
      <c r="AG6583">
        <v>-1.120834514037</v>
      </c>
      <c r="AH6583">
        <v>25.495808471167301</v>
      </c>
      <c r="AI6583">
        <v>92.472622096765804</v>
      </c>
      <c r="AJ6583">
        <v>100.804408635828</v>
      </c>
      <c r="AK6583">
        <v>25.980122511242801</v>
      </c>
      <c r="AL6583">
        <v>94.871545151296601</v>
      </c>
      <c r="AM6583">
        <v>91.751141584887407</v>
      </c>
      <c r="AN6583">
        <v>1.00000003692277</v>
      </c>
    </row>
    <row r="6584" spans="1:40" x14ac:dyDescent="0.25">
      <c r="A6584" t="str">
        <f>"20190303154940943"</f>
        <v>20190303154940943</v>
      </c>
      <c r="B6584" t="str">
        <f>"1551599380937930"</f>
        <v>1551599380937930</v>
      </c>
      <c r="C6584" t="s">
        <v>40</v>
      </c>
      <c r="D6584">
        <v>4.4432999999999998</v>
      </c>
      <c r="E6584">
        <v>0.43980439999999998</v>
      </c>
      <c r="F6584" t="s">
        <v>41</v>
      </c>
      <c r="G6584">
        <v>-340.4982</v>
      </c>
      <c r="H6584" s="1">
        <v>-4.6679029999999997E-6</v>
      </c>
      <c r="I6584">
        <v>22.78135</v>
      </c>
      <c r="J6584">
        <v>-366.34469999999999</v>
      </c>
      <c r="K6584">
        <v>1.1208320000000001</v>
      </c>
      <c r="L6584">
        <v>18.034970000000001</v>
      </c>
      <c r="M6584">
        <v>0.99987210000000004</v>
      </c>
      <c r="N6584">
        <v>-1.417069E-2</v>
      </c>
      <c r="O6584">
        <v>-7.40433699999999E-3</v>
      </c>
      <c r="P6584">
        <v>0.99483379999999999</v>
      </c>
      <c r="Q6584">
        <v>-9.887116E-2</v>
      </c>
      <c r="R6584">
        <v>2.3024849999999999E-2</v>
      </c>
      <c r="S6584">
        <v>2.9900509999999998</v>
      </c>
      <c r="T6584">
        <v>-0.12888959999999999</v>
      </c>
      <c r="U6584">
        <v>0.54565430000000004</v>
      </c>
      <c r="V6584">
        <v>-3.04233E-2</v>
      </c>
      <c r="W6584">
        <v>-8.4754910000000003E-2</v>
      </c>
      <c r="X6584">
        <v>0.99593730000000003</v>
      </c>
      <c r="Y6584">
        <v>-0.18657750000000001</v>
      </c>
      <c r="Z6584">
        <v>5.5326790000000004E-3</v>
      </c>
      <c r="AA6584">
        <v>0.98242470000000004</v>
      </c>
      <c r="AB6584">
        <v>19</v>
      </c>
      <c r="AC6584">
        <v>25.846499999999899</v>
      </c>
      <c r="AD6584">
        <v>-1.120836667903</v>
      </c>
      <c r="AE6584">
        <v>4.7463799999999896</v>
      </c>
      <c r="AF6584">
        <v>-4.9286791074248502</v>
      </c>
      <c r="AG6584">
        <v>-1.120836667903</v>
      </c>
      <c r="AH6584">
        <v>25.763774908564599</v>
      </c>
      <c r="AI6584">
        <v>92.446732260799905</v>
      </c>
      <c r="AJ6584">
        <v>100.82998718717501</v>
      </c>
      <c r="AK6584">
        <v>26.254909067053799</v>
      </c>
      <c r="AL6584">
        <v>94.861931200399098</v>
      </c>
      <c r="AM6584">
        <v>91.749693275054298</v>
      </c>
      <c r="AN6584">
        <v>1.0000000387416399</v>
      </c>
    </row>
    <row r="6585" spans="1:40" x14ac:dyDescent="0.25">
      <c r="A6585" t="str">
        <f>"20190303154940954"</f>
        <v>20190303154940954</v>
      </c>
      <c r="B6585" t="str">
        <f>"1551599380947691"</f>
        <v>1551599380947691</v>
      </c>
      <c r="C6585" t="s">
        <v>40</v>
      </c>
      <c r="D6585">
        <v>4.4526570000000003</v>
      </c>
      <c r="E6585">
        <v>0.43972709999999998</v>
      </c>
      <c r="F6585" t="s">
        <v>41</v>
      </c>
      <c r="G6585">
        <v>-339.97620000000001</v>
      </c>
      <c r="H6585" s="1">
        <v>-4.8576699999999997E-6</v>
      </c>
      <c r="I6585">
        <v>22.849710000000002</v>
      </c>
      <c r="J6585">
        <v>-366.25209999999998</v>
      </c>
      <c r="K6585">
        <v>1.1208290000000001</v>
      </c>
      <c r="L6585">
        <v>18.03415</v>
      </c>
      <c r="M6585">
        <v>0.99987119999999996</v>
      </c>
      <c r="N6585">
        <v>-1.4168989999999999E-2</v>
      </c>
      <c r="O6585">
        <v>-7.5403279999999998E-3</v>
      </c>
      <c r="P6585">
        <v>0.99482099999999996</v>
      </c>
      <c r="Q6585">
        <v>-9.9033720000000006E-2</v>
      </c>
      <c r="R6585">
        <v>2.2877020000000001E-2</v>
      </c>
      <c r="S6585">
        <v>2.9902950000000001</v>
      </c>
      <c r="T6585">
        <v>-0.12710750000000001</v>
      </c>
      <c r="U6585">
        <v>0.54602050000000002</v>
      </c>
      <c r="V6585">
        <v>-3.041052E-2</v>
      </c>
      <c r="W6585">
        <v>-8.4919419999999995E-2</v>
      </c>
      <c r="X6585">
        <v>0.99592360000000002</v>
      </c>
      <c r="Y6585">
        <v>-0.1868186</v>
      </c>
      <c r="Z6585">
        <v>5.4833199999999999E-3</v>
      </c>
      <c r="AA6585">
        <v>0.98237909999999995</v>
      </c>
      <c r="AB6585">
        <v>19</v>
      </c>
      <c r="AC6585">
        <v>26.275899999999901</v>
      </c>
      <c r="AD6585">
        <v>-1.1208338576700001</v>
      </c>
      <c r="AE6585">
        <v>4.8155599999999996</v>
      </c>
      <c r="AF6585">
        <v>-5.0047613076006598</v>
      </c>
      <c r="AG6585">
        <v>-1.1208338576700001</v>
      </c>
      <c r="AH6585">
        <v>26.192727717878501</v>
      </c>
      <c r="AI6585">
        <v>92.406805310744502</v>
      </c>
      <c r="AJ6585">
        <v>100.817372435621</v>
      </c>
      <c r="AK6585">
        <v>26.690127193130401</v>
      </c>
      <c r="AL6585">
        <v>94.8713914061818</v>
      </c>
      <c r="AM6585">
        <v>91.748982776996002</v>
      </c>
      <c r="AN6585">
        <v>0.99999996232838195</v>
      </c>
    </row>
    <row r="6586" spans="1:40" x14ac:dyDescent="0.25">
      <c r="A6586" t="str">
        <f>"20190303154940966"</f>
        <v>20190303154940966</v>
      </c>
      <c r="B6586" t="str">
        <f>"1551599380957450"</f>
        <v>1551599380957450</v>
      </c>
      <c r="C6586" t="s">
        <v>40</v>
      </c>
      <c r="D6586">
        <v>4.4601089999999903</v>
      </c>
      <c r="E6586">
        <v>0.43965349999999997</v>
      </c>
      <c r="F6586" t="s">
        <v>41</v>
      </c>
      <c r="G6586">
        <v>-339.90839999999997</v>
      </c>
      <c r="H6586" s="1">
        <v>-8.8083819999999902E-7</v>
      </c>
      <c r="I6586">
        <v>22.845559999999999</v>
      </c>
      <c r="J6586">
        <v>-366.1558</v>
      </c>
      <c r="K6586">
        <v>1.12083</v>
      </c>
      <c r="L6586">
        <v>18.033259999999999</v>
      </c>
      <c r="M6586">
        <v>0.99987009999999998</v>
      </c>
      <c r="N6586">
        <v>-1.416717E-2</v>
      </c>
      <c r="O6586">
        <v>-7.6818009999999898E-3</v>
      </c>
      <c r="P6586">
        <v>0.99480089999999999</v>
      </c>
      <c r="Q6586">
        <v>-9.9318519999999993E-2</v>
      </c>
      <c r="R6586">
        <v>2.2514579999999999E-2</v>
      </c>
      <c r="S6586">
        <v>2.9903870000000001</v>
      </c>
      <c r="T6586">
        <v>-0.12723019999999999</v>
      </c>
      <c r="U6586">
        <v>0.54617309999999997</v>
      </c>
      <c r="V6586">
        <v>-3.0188960000000001E-2</v>
      </c>
      <c r="W6586">
        <v>-8.520643E-2</v>
      </c>
      <c r="X6586">
        <v>0.99590590000000001</v>
      </c>
      <c r="Y6586">
        <v>-0.18700020000000001</v>
      </c>
      <c r="Z6586">
        <v>5.4962329999999997E-3</v>
      </c>
      <c r="AA6586">
        <v>0.98234449999999995</v>
      </c>
      <c r="AB6586">
        <v>19</v>
      </c>
      <c r="AC6586">
        <v>26.247399999999999</v>
      </c>
      <c r="AD6586">
        <v>-1.1208308808381999</v>
      </c>
      <c r="AE6586">
        <v>4.8122999999999898</v>
      </c>
      <c r="AF6586">
        <v>-5.0049757313791803</v>
      </c>
      <c r="AG6586">
        <v>-1.1208308808381999</v>
      </c>
      <c r="AH6586">
        <v>26.163496814310399</v>
      </c>
      <c r="AI6586">
        <v>92.409386334684598</v>
      </c>
      <c r="AJ6586">
        <v>100.82962541131</v>
      </c>
      <c r="AK6586">
        <v>26.6614817571636</v>
      </c>
      <c r="AL6586">
        <v>94.887895329240806</v>
      </c>
      <c r="AM6586">
        <v>91.736278990938203</v>
      </c>
      <c r="AN6586">
        <v>1.00000003533701</v>
      </c>
    </row>
    <row r="6587" spans="1:40" x14ac:dyDescent="0.25">
      <c r="A6587" t="str">
        <f>"20190303154940976"</f>
        <v>20190303154940976</v>
      </c>
      <c r="B6587" t="str">
        <f>"1551599380967211"</f>
        <v>1551599380967211</v>
      </c>
      <c r="C6587" t="s">
        <v>40</v>
      </c>
      <c r="D6587">
        <v>4.481687</v>
      </c>
      <c r="E6587">
        <v>0.43957879999999999</v>
      </c>
      <c r="F6587" t="s">
        <v>41</v>
      </c>
      <c r="G6587">
        <v>-339.90519999999998</v>
      </c>
      <c r="H6587" s="1">
        <v>-8.7623840000000004E-7</v>
      </c>
      <c r="I6587">
        <v>22.8231</v>
      </c>
      <c r="J6587">
        <v>-366.06330000000003</v>
      </c>
      <c r="K6587">
        <v>1.1208290000000001</v>
      </c>
      <c r="L6587">
        <v>18.03238</v>
      </c>
      <c r="M6587">
        <v>0.99986920000000001</v>
      </c>
      <c r="N6587">
        <v>-1.416539E-2</v>
      </c>
      <c r="O6587">
        <v>-7.817315E-3</v>
      </c>
      <c r="P6587">
        <v>0.99480210000000002</v>
      </c>
      <c r="Q6587">
        <v>-9.9342760000000002E-2</v>
      </c>
      <c r="R6587">
        <v>2.236577E-2</v>
      </c>
      <c r="S6587">
        <v>2.99057</v>
      </c>
      <c r="T6587">
        <v>-0.1276891</v>
      </c>
      <c r="U6587">
        <v>0.54568479999999997</v>
      </c>
      <c r="V6587">
        <v>-3.0175110000000002E-2</v>
      </c>
      <c r="W6587">
        <v>-8.5232489999999994E-2</v>
      </c>
      <c r="X6587">
        <v>0.99590400000000001</v>
      </c>
      <c r="Y6587">
        <v>-0.1869661</v>
      </c>
      <c r="Z6587">
        <v>5.5141160000000003E-3</v>
      </c>
      <c r="AA6587">
        <v>0.98235090000000003</v>
      </c>
      <c r="AB6587">
        <v>19</v>
      </c>
      <c r="AC6587">
        <v>26.158100000000001</v>
      </c>
      <c r="AD6587">
        <v>-1.1208298762383999</v>
      </c>
      <c r="AE6587">
        <v>4.7907199999999897</v>
      </c>
      <c r="AF6587">
        <v>-4.9862227071179097</v>
      </c>
      <c r="AG6587">
        <v>-1.1208298762383999</v>
      </c>
      <c r="AH6587">
        <v>26.073529424078</v>
      </c>
      <c r="AI6587">
        <v>92.417714334211098</v>
      </c>
      <c r="AJ6587">
        <v>100.82635520565999</v>
      </c>
      <c r="AK6587">
        <v>26.5696746898548</v>
      </c>
      <c r="AL6587">
        <v>94.889394347007894</v>
      </c>
      <c r="AM6587">
        <v>91.735486222297396</v>
      </c>
      <c r="AN6587">
        <v>0.99999994591555397</v>
      </c>
    </row>
    <row r="6588" spans="1:40" x14ac:dyDescent="0.25">
      <c r="A6588" t="str">
        <f>"20190303154940988"</f>
        <v>20190303154940988</v>
      </c>
      <c r="B6588" t="str">
        <f>"1551599380976970"</f>
        <v>1551599380976970</v>
      </c>
      <c r="C6588" t="s">
        <v>40</v>
      </c>
      <c r="D6588">
        <v>4.481884</v>
      </c>
      <c r="E6588">
        <v>0.4395038</v>
      </c>
      <c r="F6588" t="s">
        <v>41</v>
      </c>
      <c r="G6588">
        <v>-339.7389</v>
      </c>
      <c r="H6588" s="1">
        <v>-9.51116E-7</v>
      </c>
      <c r="I6588">
        <v>22.836349999999999</v>
      </c>
      <c r="J6588">
        <v>-365.97160000000002</v>
      </c>
      <c r="K6588">
        <v>1.1208260000000001</v>
      </c>
      <c r="L6588">
        <v>18.031490000000002</v>
      </c>
      <c r="M6588">
        <v>0.99986810000000004</v>
      </c>
      <c r="N6588">
        <v>-1.416359E-2</v>
      </c>
      <c r="O6588">
        <v>-7.9517559999999904E-3</v>
      </c>
      <c r="P6588">
        <v>0.99477380000000004</v>
      </c>
      <c r="Q6588">
        <v>-9.971141E-2</v>
      </c>
      <c r="R6588">
        <v>2.1975910000000001E-2</v>
      </c>
      <c r="S6588">
        <v>2.9906619999999999</v>
      </c>
      <c r="T6588">
        <v>-0.1273348</v>
      </c>
      <c r="U6588">
        <v>0.54577640000000005</v>
      </c>
      <c r="V6588">
        <v>-2.9918670000000001E-2</v>
      </c>
      <c r="W6588">
        <v>-8.5603460000000006E-2</v>
      </c>
      <c r="X6588">
        <v>0.99587990000000004</v>
      </c>
      <c r="Y6588">
        <v>-0.18712280000000001</v>
      </c>
      <c r="Z6588">
        <v>5.5101500000000001E-3</v>
      </c>
      <c r="AA6588">
        <v>0.98232109999999995</v>
      </c>
      <c r="AB6588">
        <v>19</v>
      </c>
      <c r="AC6588">
        <v>26.232700000000001</v>
      </c>
      <c r="AD6588">
        <v>-1.1208269511160001</v>
      </c>
      <c r="AE6588">
        <v>4.8048599999999997</v>
      </c>
      <c r="AF6588">
        <v>-5.00448567412103</v>
      </c>
      <c r="AG6588">
        <v>-1.1208269511160001</v>
      </c>
      <c r="AH6588">
        <v>26.147475728837399</v>
      </c>
      <c r="AI6588">
        <v>92.410808662418106</v>
      </c>
      <c r="AJ6588">
        <v>100.835067996769</v>
      </c>
      <c r="AK6588">
        <v>26.645667882546501</v>
      </c>
      <c r="AL6588">
        <v>94.910727423406499</v>
      </c>
      <c r="AM6588">
        <v>91.720787896574706</v>
      </c>
      <c r="AN6588">
        <v>0.99999992720127195</v>
      </c>
    </row>
    <row r="6589" spans="1:40" x14ac:dyDescent="0.25">
      <c r="A6589" t="str">
        <f>"20190303154941000"</f>
        <v>20190303154941000</v>
      </c>
      <c r="B6589" t="str">
        <f>"1551599380997467"</f>
        <v>1551599380997467</v>
      </c>
      <c r="C6589" t="s">
        <v>40</v>
      </c>
      <c r="D6589">
        <v>4.5191759999999999</v>
      </c>
      <c r="E6589">
        <v>0.4336972</v>
      </c>
      <c r="F6589" t="s">
        <v>41</v>
      </c>
      <c r="G6589">
        <v>-339.8159</v>
      </c>
      <c r="H6589" s="1">
        <v>-9.0845189999999997E-7</v>
      </c>
      <c r="I6589">
        <v>22.800149999999999</v>
      </c>
      <c r="J6589">
        <v>-365.87419999999997</v>
      </c>
      <c r="K6589">
        <v>1.120825</v>
      </c>
      <c r="L6589">
        <v>18.03058</v>
      </c>
      <c r="M6589">
        <v>0.99986699999999995</v>
      </c>
      <c r="N6589">
        <v>-1.4161669999999999E-2</v>
      </c>
      <c r="O6589">
        <v>-8.09442199999999E-3</v>
      </c>
      <c r="P6589">
        <v>0.994784</v>
      </c>
      <c r="Q6589">
        <v>-9.9702310000000002E-2</v>
      </c>
      <c r="R6589">
        <v>2.1545950000000001E-2</v>
      </c>
      <c r="S6589">
        <v>2.9908139999999999</v>
      </c>
      <c r="T6589">
        <v>-0.12816250000000001</v>
      </c>
      <c r="U6589">
        <v>0.54528809999999905</v>
      </c>
      <c r="V6589">
        <v>-2.963091E-2</v>
      </c>
      <c r="W6589">
        <v>-8.5596279999999997E-2</v>
      </c>
      <c r="X6589">
        <v>0.99588920000000003</v>
      </c>
      <c r="Y6589">
        <v>-0.18709629999999999</v>
      </c>
      <c r="Z6589">
        <v>5.5409530000000004E-3</v>
      </c>
      <c r="AA6589">
        <v>0.98232600000000003</v>
      </c>
      <c r="AB6589">
        <v>19</v>
      </c>
      <c r="AC6589">
        <v>26.0582999999999</v>
      </c>
      <c r="AD6589">
        <v>-1.1208259084519001</v>
      </c>
      <c r="AE6589">
        <v>4.7695699999999901</v>
      </c>
      <c r="AF6589">
        <v>-4.9714624106416601</v>
      </c>
      <c r="AG6589">
        <v>-1.1208259084519001</v>
      </c>
      <c r="AH6589">
        <v>25.972342737045199</v>
      </c>
      <c r="AI6589">
        <v>92.427034701518295</v>
      </c>
      <c r="AJ6589">
        <v>100.836124040795</v>
      </c>
      <c r="AK6589">
        <v>26.4676080609492</v>
      </c>
      <c r="AL6589">
        <v>94.910314134686004</v>
      </c>
      <c r="AM6589">
        <v>91.704231132418599</v>
      </c>
      <c r="AN6589">
        <v>1.0000000063269501</v>
      </c>
    </row>
    <row r="6590" spans="1:40" x14ac:dyDescent="0.25">
      <c r="A6590" t="str">
        <f>"20190303154941012"</f>
        <v>20190303154941012</v>
      </c>
      <c r="B6590" t="str">
        <f>"1551599381007227"</f>
        <v>1551599381007227</v>
      </c>
      <c r="C6590" t="s">
        <v>40</v>
      </c>
      <c r="D6590">
        <v>4.5060260000000003</v>
      </c>
      <c r="E6590">
        <v>0.43343989999999999</v>
      </c>
      <c r="F6590" t="s">
        <v>41</v>
      </c>
      <c r="G6590">
        <v>-327.93650000000002</v>
      </c>
      <c r="H6590" s="1">
        <v>-2.521228E-6</v>
      </c>
      <c r="I6590">
        <v>25.49934</v>
      </c>
      <c r="J6590">
        <v>-365.77980000000002</v>
      </c>
      <c r="K6590">
        <v>1.120825</v>
      </c>
      <c r="L6590">
        <v>18.029630000000001</v>
      </c>
      <c r="M6590">
        <v>0.99986589999999997</v>
      </c>
      <c r="N6590">
        <v>-1.415984E-2</v>
      </c>
      <c r="O6590">
        <v>-8.2332729999999993E-3</v>
      </c>
      <c r="P6590">
        <v>0.99476770000000003</v>
      </c>
      <c r="Q6590">
        <v>-9.9962949999999995E-2</v>
      </c>
      <c r="R6590">
        <v>2.1093319999999999E-2</v>
      </c>
      <c r="S6590">
        <v>2.99411</v>
      </c>
      <c r="T6590">
        <v>-8.8457579999999994E-2</v>
      </c>
      <c r="U6590">
        <v>0.58944700000000005</v>
      </c>
      <c r="V6590">
        <v>-2.931541E-2</v>
      </c>
      <c r="W6590">
        <v>-8.5859080000000004E-2</v>
      </c>
      <c r="X6590">
        <v>0.99587590000000004</v>
      </c>
      <c r="Y6590">
        <v>-0.20110639999999999</v>
      </c>
      <c r="Z6590">
        <v>4.5052209999999898E-3</v>
      </c>
      <c r="AA6590">
        <v>0.97955910000000002</v>
      </c>
      <c r="AB6590">
        <v>19</v>
      </c>
      <c r="AC6590">
        <v>37.843299999999999</v>
      </c>
      <c r="AD6590">
        <v>-1.1208275212279999</v>
      </c>
      <c r="AE6590">
        <v>7.4697100000000001</v>
      </c>
      <c r="AF6590">
        <v>-7.7744981523712102</v>
      </c>
      <c r="AG6590">
        <v>-1.1208275212279999</v>
      </c>
      <c r="AH6590">
        <v>37.748639321206497</v>
      </c>
      <c r="AI6590">
        <v>91.665777310761797</v>
      </c>
      <c r="AJ6590">
        <v>101.637593769161</v>
      </c>
      <c r="AK6590">
        <v>38.557215232121003</v>
      </c>
      <c r="AL6590">
        <v>94.925427175282607</v>
      </c>
      <c r="AM6590">
        <v>91.686118086233805</v>
      </c>
      <c r="AN6590">
        <v>0.99999999154136199</v>
      </c>
    </row>
    <row r="6591" spans="1:40" x14ac:dyDescent="0.25">
      <c r="A6591" t="str">
        <f>"20190303154941023"</f>
        <v>20190303154941023</v>
      </c>
      <c r="B6591" t="str">
        <f>"1551599381016987"</f>
        <v>1551599381016987</v>
      </c>
      <c r="C6591" t="s">
        <v>40</v>
      </c>
      <c r="D6591">
        <v>4.4670030000000001</v>
      </c>
      <c r="E6591">
        <v>0.4336197</v>
      </c>
      <c r="F6591" t="s">
        <v>41</v>
      </c>
      <c r="G6591">
        <v>-328.27069999999998</v>
      </c>
      <c r="H6591" s="1">
        <v>-2.342277E-6</v>
      </c>
      <c r="I6591">
        <v>25.42052</v>
      </c>
      <c r="J6591">
        <v>-365.6825</v>
      </c>
      <c r="K6591">
        <v>1.120827</v>
      </c>
      <c r="L6591">
        <v>18.028690000000001</v>
      </c>
      <c r="M6591">
        <v>0.99986459999999999</v>
      </c>
      <c r="N6591">
        <v>-1.4157919999999999E-2</v>
      </c>
      <c r="O6591">
        <v>-8.3759390000000006E-3</v>
      </c>
      <c r="P6591">
        <v>0.99477669999999996</v>
      </c>
      <c r="Q6591">
        <v>-9.9939500000000001E-2</v>
      </c>
      <c r="R6591">
        <v>2.0768200000000001E-2</v>
      </c>
      <c r="S6591">
        <v>2.9942630000000001</v>
      </c>
      <c r="T6591">
        <v>-8.9472889999999999E-2</v>
      </c>
      <c r="U6591">
        <v>0.58999630000000003</v>
      </c>
      <c r="V6591">
        <v>-2.913263E-2</v>
      </c>
      <c r="W6591">
        <v>-8.5837549999999999E-2</v>
      </c>
      <c r="X6591">
        <v>0.99588310000000002</v>
      </c>
      <c r="Y6591">
        <v>-0.201407</v>
      </c>
      <c r="Z6591">
        <v>4.5501949999999999E-3</v>
      </c>
      <c r="AA6591">
        <v>0.97949710000000001</v>
      </c>
      <c r="AB6591">
        <v>19</v>
      </c>
      <c r="AC6591">
        <v>37.411799999999999</v>
      </c>
      <c r="AD6591">
        <v>-1.1208293422769999</v>
      </c>
      <c r="AE6591">
        <v>7.3918299999999899</v>
      </c>
      <c r="AF6591">
        <v>-7.6983109807511303</v>
      </c>
      <c r="AG6591">
        <v>-1.1208293422769999</v>
      </c>
      <c r="AH6591">
        <v>37.316332524172999</v>
      </c>
      <c r="AI6591">
        <v>91.684952238043607</v>
      </c>
      <c r="AJ6591">
        <v>101.656517146656</v>
      </c>
      <c r="AK6591">
        <v>38.118616494116303</v>
      </c>
      <c r="AL6591">
        <v>94.924189122660195</v>
      </c>
      <c r="AM6591">
        <v>91.675599135502495</v>
      </c>
      <c r="AN6591">
        <v>0.99999997199316404</v>
      </c>
    </row>
    <row r="6592" spans="1:40" x14ac:dyDescent="0.25">
      <c r="A6592" t="str">
        <f>"20190303154941034"</f>
        <v>20190303154941034</v>
      </c>
      <c r="B6592" t="str">
        <f>"1551599381027723"</f>
        <v>1551599381027723</v>
      </c>
      <c r="C6592" t="s">
        <v>40</v>
      </c>
      <c r="D6592">
        <v>4.4696490000000004</v>
      </c>
      <c r="E6592">
        <v>0.43377399999999999</v>
      </c>
      <c r="F6592" t="s">
        <v>41</v>
      </c>
      <c r="G6592">
        <v>-330.39</v>
      </c>
      <c r="H6592" s="1">
        <v>-5.0904460000000004E-6</v>
      </c>
      <c r="I6592">
        <v>24.955749999999998</v>
      </c>
      <c r="J6592">
        <v>-365.58479999999997</v>
      </c>
      <c r="K6592">
        <v>1.120827</v>
      </c>
      <c r="L6592">
        <v>18.027709999999999</v>
      </c>
      <c r="M6592">
        <v>0.99986359999999996</v>
      </c>
      <c r="N6592">
        <v>-1.4155890000000001E-2</v>
      </c>
      <c r="O6592">
        <v>-8.5193189999999992E-3</v>
      </c>
      <c r="P6592">
        <v>0.99476830000000005</v>
      </c>
      <c r="Q6592">
        <v>-0.1000625</v>
      </c>
      <c r="R6592">
        <v>2.0584539999999998E-2</v>
      </c>
      <c r="S6592">
        <v>2.9939580000000001</v>
      </c>
      <c r="T6592">
        <v>-9.5083000000000001E-2</v>
      </c>
      <c r="U6592">
        <v>0.58764649999999996</v>
      </c>
      <c r="V6592">
        <v>-2.9091479999999999E-2</v>
      </c>
      <c r="W6592">
        <v>-8.5962759999999999E-2</v>
      </c>
      <c r="X6592">
        <v>0.99587349999999997</v>
      </c>
      <c r="Y6592">
        <v>-0.2008125</v>
      </c>
      <c r="Z6592">
        <v>4.741739E-3</v>
      </c>
      <c r="AA6592">
        <v>0.97961819999999999</v>
      </c>
      <c r="AB6592">
        <v>19</v>
      </c>
      <c r="AC6592">
        <v>35.194799999999901</v>
      </c>
      <c r="AD6592">
        <v>-1.1208320904459901</v>
      </c>
      <c r="AE6592">
        <v>6.9280399999999904</v>
      </c>
      <c r="AF6592">
        <v>-7.2206043132150803</v>
      </c>
      <c r="AG6592">
        <v>-1.1208320904459901</v>
      </c>
      <c r="AH6592">
        <v>35.100223709077497</v>
      </c>
      <c r="AI6592">
        <v>91.791478421937001</v>
      </c>
      <c r="AJ6592">
        <v>101.624375153163</v>
      </c>
      <c r="AK6592">
        <v>35.852741814961298</v>
      </c>
      <c r="AL6592">
        <v>94.931389756719895</v>
      </c>
      <c r="AM6592">
        <v>91.673249809333001</v>
      </c>
      <c r="AN6592">
        <v>0.99999996915882805</v>
      </c>
    </row>
    <row r="6593" spans="1:40" x14ac:dyDescent="0.25">
      <c r="A6593" t="str">
        <f>"20190303154941046"</f>
        <v>20190303154941046</v>
      </c>
      <c r="B6593" t="str">
        <f>"1551599381037483"</f>
        <v>1551599381037483</v>
      </c>
      <c r="C6593" t="s">
        <v>40</v>
      </c>
      <c r="D6593">
        <v>4.502116</v>
      </c>
      <c r="E6593">
        <v>0.43351679999999998</v>
      </c>
      <c r="F6593" t="s">
        <v>41</v>
      </c>
      <c r="G6593">
        <v>-332.04680000000002</v>
      </c>
      <c r="H6593" s="1">
        <v>-4.4621949999999999E-6</v>
      </c>
      <c r="I6593">
        <v>24.592669999999998</v>
      </c>
      <c r="J6593">
        <v>-365.49549999999999</v>
      </c>
      <c r="K6593">
        <v>1.120825</v>
      </c>
      <c r="L6593">
        <v>18.026789999999998</v>
      </c>
      <c r="M6593">
        <v>0.99986240000000004</v>
      </c>
      <c r="N6593">
        <v>-1.415401E-2</v>
      </c>
      <c r="O6593">
        <v>-8.6504230000000008E-3</v>
      </c>
      <c r="P6593">
        <v>0.99479189999999995</v>
      </c>
      <c r="Q6593">
        <v>-9.9896799999999994E-2</v>
      </c>
      <c r="R6593">
        <v>2.0245409999999998E-2</v>
      </c>
      <c r="S6593">
        <v>2.9936219999999998</v>
      </c>
      <c r="T6593">
        <v>-0.100046</v>
      </c>
      <c r="U6593">
        <v>0.58599849999999998</v>
      </c>
      <c r="V6593">
        <v>-2.8882950000000001E-2</v>
      </c>
      <c r="W6593">
        <v>-8.5798730000000004E-2</v>
      </c>
      <c r="X6593">
        <v>0.99589380000000005</v>
      </c>
      <c r="Y6593">
        <v>-0.20042960000000001</v>
      </c>
      <c r="Z6593">
        <v>4.9142719999999999E-3</v>
      </c>
      <c r="AA6593">
        <v>0.97969580000000001</v>
      </c>
      <c r="AB6593">
        <v>19</v>
      </c>
      <c r="AC6593">
        <v>33.448699999999903</v>
      </c>
      <c r="AD6593">
        <v>-1.1208294621949999</v>
      </c>
      <c r="AE6593">
        <v>6.5658799999999999</v>
      </c>
      <c r="AF6593">
        <v>-6.8476051417629096</v>
      </c>
      <c r="AG6593">
        <v>-1.1208294621949999</v>
      </c>
      <c r="AH6593">
        <v>33.354582401863702</v>
      </c>
      <c r="AI6593">
        <v>91.885321387513898</v>
      </c>
      <c r="AJ6593">
        <v>101.60147138262199</v>
      </c>
      <c r="AK6593">
        <v>34.068667747118297</v>
      </c>
      <c r="AL6593">
        <v>94.921956260482901</v>
      </c>
      <c r="AM6593">
        <v>91.661228725543907</v>
      </c>
      <c r="AN6593">
        <v>1.0000000538743701</v>
      </c>
    </row>
    <row r="6594" spans="1:40" x14ac:dyDescent="0.25">
      <c r="A6594" t="str">
        <f>"20190303154941057"</f>
        <v>20190303154941057</v>
      </c>
      <c r="B6594" t="str">
        <f>"1551599381047243"</f>
        <v>1551599381047243</v>
      </c>
      <c r="C6594" t="s">
        <v>40</v>
      </c>
      <c r="D6594">
        <v>4.4794919999999996</v>
      </c>
      <c r="E6594">
        <v>0.43318089999999998</v>
      </c>
      <c r="F6594" t="s">
        <v>41</v>
      </c>
      <c r="G6594">
        <v>-332.25459999999998</v>
      </c>
      <c r="H6594" s="1">
        <v>-4.3830530000000002E-6</v>
      </c>
      <c r="I6594">
        <v>24.545120000000001</v>
      </c>
      <c r="J6594">
        <v>-365.39940000000001</v>
      </c>
      <c r="K6594">
        <v>1.1208290000000001</v>
      </c>
      <c r="L6594">
        <v>18.025790000000001</v>
      </c>
      <c r="M6594">
        <v>0.99986129999999995</v>
      </c>
      <c r="N6594">
        <v>-1.415197E-2</v>
      </c>
      <c r="O6594">
        <v>-8.7917769999999902E-3</v>
      </c>
      <c r="P6594">
        <v>0.99481180000000002</v>
      </c>
      <c r="Q6594">
        <v>-9.9727109999999994E-2</v>
      </c>
      <c r="R6594">
        <v>2.0108729999999998E-2</v>
      </c>
      <c r="S6594">
        <v>2.9936219999999998</v>
      </c>
      <c r="T6594">
        <v>-0.10094</v>
      </c>
      <c r="U6594">
        <v>0.58703609999999995</v>
      </c>
      <c r="V6594">
        <v>-2.8887159999999999E-2</v>
      </c>
      <c r="W6594">
        <v>-8.5630849999999994E-2</v>
      </c>
      <c r="X6594">
        <v>0.99590809999999996</v>
      </c>
      <c r="Y6594">
        <v>-0.2008923</v>
      </c>
      <c r="Z6594">
        <v>4.9599739999999998E-3</v>
      </c>
      <c r="AA6594">
        <v>0.97960080000000005</v>
      </c>
      <c r="AB6594">
        <v>19</v>
      </c>
      <c r="AC6594">
        <v>33.144799999999996</v>
      </c>
      <c r="AD6594">
        <v>-1.120833383053</v>
      </c>
      <c r="AE6594">
        <v>6.5193300000000001</v>
      </c>
      <c r="AF6594">
        <v>-6.80301907464239</v>
      </c>
      <c r="AG6594">
        <v>-1.120833383053</v>
      </c>
      <c r="AH6594">
        <v>33.049810443956197</v>
      </c>
      <c r="AI6594">
        <v>91.902496955442203</v>
      </c>
      <c r="AJ6594">
        <v>101.631382670897</v>
      </c>
      <c r="AK6594">
        <v>33.761328563668101</v>
      </c>
      <c r="AL6594">
        <v>94.912302046805294</v>
      </c>
      <c r="AM6594">
        <v>91.661446888472895</v>
      </c>
      <c r="AN6594">
        <v>1.0000000270650899</v>
      </c>
    </row>
    <row r="6595" spans="1:40" x14ac:dyDescent="0.25">
      <c r="A6595" t="str">
        <f>"20190303154941070"</f>
        <v>20190303154941070</v>
      </c>
      <c r="B6595" t="str">
        <f>"1551599381067218"</f>
        <v>1551599381067218</v>
      </c>
      <c r="C6595" t="s">
        <v>40</v>
      </c>
      <c r="D6595">
        <v>4.4906459999999999</v>
      </c>
      <c r="E6595">
        <v>0.4328844</v>
      </c>
      <c r="F6595" t="s">
        <v>41</v>
      </c>
      <c r="G6595">
        <v>-332.95800000000003</v>
      </c>
      <c r="H6595" s="1">
        <v>-4.1203869999999998E-6</v>
      </c>
      <c r="I6595">
        <v>24.41367</v>
      </c>
      <c r="J6595">
        <v>-365.29730000000001</v>
      </c>
      <c r="K6595">
        <v>1.1208309999999999</v>
      </c>
      <c r="L6595">
        <v>18.02469</v>
      </c>
      <c r="M6595">
        <v>0.99985999999999997</v>
      </c>
      <c r="N6595">
        <v>-1.4149749999999999E-2</v>
      </c>
      <c r="O6595">
        <v>-8.9419530000000007E-3</v>
      </c>
      <c r="P6595">
        <v>0.99477040000000005</v>
      </c>
      <c r="Q6595">
        <v>-0.1001597</v>
      </c>
      <c r="R6595">
        <v>2.000826E-2</v>
      </c>
      <c r="S6595">
        <v>2.9933779999999999</v>
      </c>
      <c r="T6595">
        <v>-0.10341930000000001</v>
      </c>
      <c r="U6595">
        <v>0.58941650000000001</v>
      </c>
      <c r="V6595">
        <v>-2.893594E-2</v>
      </c>
      <c r="W6595">
        <v>-8.606627E-2</v>
      </c>
      <c r="X6595">
        <v>0.99586909999999895</v>
      </c>
      <c r="Y6595">
        <v>-0.2017969</v>
      </c>
      <c r="Z6595">
        <v>5.0744420000000002E-3</v>
      </c>
      <c r="AA6595">
        <v>0.97941420000000001</v>
      </c>
      <c r="AB6595">
        <v>19</v>
      </c>
      <c r="AC6595">
        <v>32.339299999999902</v>
      </c>
      <c r="AD6595">
        <v>-1.120835120387</v>
      </c>
      <c r="AE6595">
        <v>6.3889800000000001</v>
      </c>
      <c r="AF6595">
        <v>-6.6702185277605102</v>
      </c>
      <c r="AG6595">
        <v>-1.120835120387</v>
      </c>
      <c r="AH6595">
        <v>32.243594439727602</v>
      </c>
      <c r="AI6595">
        <v>91.949637070794097</v>
      </c>
      <c r="AJ6595">
        <v>101.687886706215</v>
      </c>
      <c r="AK6595">
        <v>32.9453709793775</v>
      </c>
      <c r="AL6595">
        <v>94.937342461377796</v>
      </c>
      <c r="AM6595">
        <v>91.664316035242095</v>
      </c>
      <c r="AN6595">
        <v>0.99999997789510198</v>
      </c>
    </row>
    <row r="6596" spans="1:40" x14ac:dyDescent="0.25">
      <c r="A6596" t="str">
        <f>"20190303154941090"</f>
        <v>20190303154941090</v>
      </c>
      <c r="B6596" t="str">
        <f>"1551599381087715"</f>
        <v>1551599381087715</v>
      </c>
      <c r="C6596" t="s">
        <v>40</v>
      </c>
      <c r="D6596">
        <v>4.5346719999999996</v>
      </c>
      <c r="E6596">
        <v>0.43213509999999999</v>
      </c>
      <c r="F6596" t="s">
        <v>41</v>
      </c>
      <c r="G6596">
        <v>-334.48579999999998</v>
      </c>
      <c r="H6596" s="1">
        <v>-3.5448459999999999E-6</v>
      </c>
      <c r="I6596">
        <v>24.114850000000001</v>
      </c>
      <c r="J6596">
        <v>-365.13369999999998</v>
      </c>
      <c r="K6596">
        <v>1.120827</v>
      </c>
      <c r="L6596">
        <v>18.022950000000002</v>
      </c>
      <c r="M6596">
        <v>0.99985789999999997</v>
      </c>
      <c r="N6596">
        <v>-1.414615E-2</v>
      </c>
      <c r="O6596">
        <v>-9.1825919999999998E-3</v>
      </c>
      <c r="P6596">
        <v>0.99474819999999997</v>
      </c>
      <c r="Q6596">
        <v>-0.1003917</v>
      </c>
      <c r="R6596">
        <v>1.994245E-2</v>
      </c>
      <c r="S6596">
        <v>2.9929199999999998</v>
      </c>
      <c r="T6596">
        <v>-0.1088737</v>
      </c>
      <c r="U6596">
        <v>0.59158330000000003</v>
      </c>
      <c r="V6596">
        <v>-2.9109139999999999E-2</v>
      </c>
      <c r="W6596">
        <v>-8.6302180000000006E-2</v>
      </c>
      <c r="X6596">
        <v>0.99584360000000005</v>
      </c>
      <c r="Y6596">
        <v>-0.20272709999999999</v>
      </c>
      <c r="Z6596">
        <v>5.3013569999999996E-3</v>
      </c>
      <c r="AA6596">
        <v>0.97922089999999995</v>
      </c>
      <c r="AB6596">
        <v>18</v>
      </c>
      <c r="AC6596">
        <v>30.6479</v>
      </c>
      <c r="AD6596">
        <v>-1.1208305448459901</v>
      </c>
      <c r="AE6596">
        <v>6.0918999999999901</v>
      </c>
      <c r="AF6596">
        <v>-6.3649091851368</v>
      </c>
      <c r="AG6596">
        <v>-1.1208305448459901</v>
      </c>
      <c r="AH6596">
        <v>30.551354627039</v>
      </c>
      <c r="AI6596">
        <v>92.056929317754296</v>
      </c>
      <c r="AJ6596">
        <v>101.768367365822</v>
      </c>
      <c r="AK6596">
        <v>31.2274494570465</v>
      </c>
      <c r="AL6596">
        <v>94.950909767630804</v>
      </c>
      <c r="AM6596">
        <v>91.674315219509396</v>
      </c>
      <c r="AN6596">
        <v>0.99999994198262399</v>
      </c>
    </row>
    <row r="6597" spans="1:40" x14ac:dyDescent="0.25">
      <c r="A6597" t="str">
        <f>"20190303154941105"</f>
        <v>20190303154941105</v>
      </c>
      <c r="B6597" t="str">
        <f>"1551599381097474"</f>
        <v>1551599381097474</v>
      </c>
      <c r="C6597" t="s">
        <v>40</v>
      </c>
      <c r="D6597">
        <v>4.5539829999999997</v>
      </c>
      <c r="E6597">
        <v>0.431751</v>
      </c>
      <c r="F6597" t="s">
        <v>41</v>
      </c>
      <c r="G6597">
        <v>-336.51429999999999</v>
      </c>
      <c r="H6597" s="1">
        <v>-2.5740080000000001E-6</v>
      </c>
      <c r="I6597">
        <v>23.736709999999999</v>
      </c>
      <c r="J6597">
        <v>-365.00709999999998</v>
      </c>
      <c r="K6597">
        <v>1.1208260000000001</v>
      </c>
      <c r="L6597">
        <v>18.02158</v>
      </c>
      <c r="M6597">
        <v>0.99985610000000003</v>
      </c>
      <c r="N6597">
        <v>-1.4143330000000001E-2</v>
      </c>
      <c r="O6597">
        <v>-9.3686429999999994E-3</v>
      </c>
      <c r="P6597">
        <v>0.99472450000000001</v>
      </c>
      <c r="Q6597">
        <v>-0.10068149999999999</v>
      </c>
      <c r="R6597">
        <v>1.9656150000000001E-2</v>
      </c>
      <c r="S6597">
        <v>2.9920040000000001</v>
      </c>
      <c r="T6597">
        <v>-0.1171768</v>
      </c>
      <c r="U6597">
        <v>0.59735109999999902</v>
      </c>
      <c r="V6597">
        <v>-2.9007729999999999E-2</v>
      </c>
      <c r="W6597">
        <v>-8.6595160000000004E-2</v>
      </c>
      <c r="X6597">
        <v>0.99582119999999996</v>
      </c>
      <c r="Y6597">
        <v>-0.20475479999999999</v>
      </c>
      <c r="Z6597">
        <v>5.6638060000000004E-3</v>
      </c>
      <c r="AA6597">
        <v>0.97879689999999997</v>
      </c>
      <c r="AB6597">
        <v>18</v>
      </c>
      <c r="AC6597">
        <v>28.4927999999999</v>
      </c>
      <c r="AD6597">
        <v>-1.120828574008</v>
      </c>
      <c r="AE6597">
        <v>5.7151300000000003</v>
      </c>
      <c r="AF6597">
        <v>-5.9729595042602002</v>
      </c>
      <c r="AG6597">
        <v>-1.120828574008</v>
      </c>
      <c r="AH6597">
        <v>28.3957602353656</v>
      </c>
      <c r="AI6597">
        <v>92.2120304760697</v>
      </c>
      <c r="AJ6597">
        <v>101.878812966963</v>
      </c>
      <c r="AK6597">
        <v>29.0387964846378</v>
      </c>
      <c r="AL6597">
        <v>94.967758996012506</v>
      </c>
      <c r="AM6597">
        <v>91.668523076904094</v>
      </c>
      <c r="AN6597">
        <v>1.0000000162523</v>
      </c>
    </row>
    <row r="6598" spans="1:40" x14ac:dyDescent="0.25">
      <c r="A6598" t="str">
        <f>"20190303154941123"</f>
        <v>20190303154941123</v>
      </c>
      <c r="B6598" t="str">
        <f>"1551599381116995"</f>
        <v>1551599381116995</v>
      </c>
      <c r="C6598" t="s">
        <v>40</v>
      </c>
      <c r="D6598">
        <v>4.533182</v>
      </c>
      <c r="E6598">
        <v>0.43114350000000001</v>
      </c>
      <c r="F6598" t="s">
        <v>41</v>
      </c>
      <c r="G6598">
        <v>-337.20440000000002</v>
      </c>
      <c r="H6598" s="1">
        <v>-2.2395509999999998E-6</v>
      </c>
      <c r="I6598">
        <v>23.592420000000001</v>
      </c>
      <c r="J6598">
        <v>-364.85379999999998</v>
      </c>
      <c r="K6598">
        <v>1.1208260000000001</v>
      </c>
      <c r="L6598">
        <v>18.019870000000001</v>
      </c>
      <c r="M6598">
        <v>0.99985409999999997</v>
      </c>
      <c r="N6598">
        <v>-1.4139880000000001E-2</v>
      </c>
      <c r="O6598">
        <v>-9.5940260000000003E-3</v>
      </c>
      <c r="P6598">
        <v>0.99464430000000004</v>
      </c>
      <c r="Q6598">
        <v>-0.1015329</v>
      </c>
      <c r="R6598">
        <v>1.9331689999999999E-2</v>
      </c>
      <c r="S6598">
        <v>2.9918520000000002</v>
      </c>
      <c r="T6598">
        <v>-0.12061239999999999</v>
      </c>
      <c r="U6598">
        <v>0.59948729999999995</v>
      </c>
      <c r="V6598">
        <v>-2.8906790000000002E-2</v>
      </c>
      <c r="W6598">
        <v>-8.7451169999999995E-2</v>
      </c>
      <c r="X6598">
        <v>0.99574929999999995</v>
      </c>
      <c r="Y6598">
        <v>-0.20564499999999999</v>
      </c>
      <c r="Z6598">
        <v>5.8204260000000001E-3</v>
      </c>
      <c r="AA6598">
        <v>0.97860939999999996</v>
      </c>
      <c r="AB6598">
        <v>18</v>
      </c>
      <c r="AC6598">
        <v>27.649399999999901</v>
      </c>
      <c r="AD6598">
        <v>-1.1208282395510001</v>
      </c>
      <c r="AE6598">
        <v>5.5725499999999997</v>
      </c>
      <c r="AF6598">
        <v>-5.8283853272318797</v>
      </c>
      <c r="AG6598">
        <v>-1.1208282395510001</v>
      </c>
      <c r="AH6598">
        <v>27.551152158832899</v>
      </c>
      <c r="AI6598">
        <v>92.279219033278494</v>
      </c>
      <c r="AJ6598">
        <v>101.94468872850101</v>
      </c>
      <c r="AK6598">
        <v>28.183192096432801</v>
      </c>
      <c r="AL6598">
        <v>95.016991667861504</v>
      </c>
      <c r="AM6598">
        <v>91.662840270912994</v>
      </c>
      <c r="AN6598">
        <v>0.99999998904648102</v>
      </c>
    </row>
    <row r="6599" spans="1:40" x14ac:dyDescent="0.25">
      <c r="A6599" t="str">
        <f>"20190303154941137"</f>
        <v>20190303154941137</v>
      </c>
      <c r="B6599" t="str">
        <f>"1551599381127731"</f>
        <v>1551599381127731</v>
      </c>
      <c r="C6599" t="s">
        <v>40</v>
      </c>
      <c r="D6599">
        <v>4.5292000000000003</v>
      </c>
      <c r="E6599">
        <v>0.43110530000000002</v>
      </c>
      <c r="F6599" t="s">
        <v>41</v>
      </c>
      <c r="G6599">
        <v>-338.68119999999999</v>
      </c>
      <c r="H6599" s="1">
        <v>-1.527899E-6</v>
      </c>
      <c r="I6599">
        <v>23.2988</v>
      </c>
      <c r="J6599">
        <v>-364.74079999999998</v>
      </c>
      <c r="K6599">
        <v>1.120824</v>
      </c>
      <c r="L6599">
        <v>18.01859</v>
      </c>
      <c r="M6599">
        <v>0.99985250000000003</v>
      </c>
      <c r="N6599">
        <v>-1.413732E-2</v>
      </c>
      <c r="O6599">
        <v>-9.7604110000000001E-3</v>
      </c>
      <c r="P6599">
        <v>0.99462629999999996</v>
      </c>
      <c r="Q6599">
        <v>-0.1017525</v>
      </c>
      <c r="R6599">
        <v>1.910394E-2</v>
      </c>
      <c r="S6599">
        <v>2.9913940000000001</v>
      </c>
      <c r="T6599">
        <v>-0.12810469999999999</v>
      </c>
      <c r="U6599">
        <v>0.60336299999999998</v>
      </c>
      <c r="V6599">
        <v>-2.884403E-2</v>
      </c>
      <c r="W6599">
        <v>-8.7673689999999999E-2</v>
      </c>
      <c r="X6599">
        <v>0.99573160000000005</v>
      </c>
      <c r="Y6599">
        <v>-0.20702860000000001</v>
      </c>
      <c r="Z6599">
        <v>6.1429229999999998E-3</v>
      </c>
      <c r="AA6599">
        <v>0.97831559999999995</v>
      </c>
      <c r="AB6599">
        <v>18</v>
      </c>
      <c r="AC6599">
        <v>26.0595999999999</v>
      </c>
      <c r="AD6599">
        <v>-1.120825527899</v>
      </c>
      <c r="AE6599">
        <v>5.2802100000000003</v>
      </c>
      <c r="AF6599">
        <v>-5.5245196357239799</v>
      </c>
      <c r="AG6599">
        <v>-1.120825527899</v>
      </c>
      <c r="AH6599">
        <v>25.9606863120006</v>
      </c>
      <c r="AI6599">
        <v>92.418071378116593</v>
      </c>
      <c r="AJ6599">
        <v>102.013525106703</v>
      </c>
      <c r="AK6599">
        <v>26.5656507704891</v>
      </c>
      <c r="AL6599">
        <v>95.029790044077302</v>
      </c>
      <c r="AM6599">
        <v>91.659261549554003</v>
      </c>
      <c r="AN6599">
        <v>1.0000000366116999</v>
      </c>
    </row>
    <row r="6600" spans="1:40" x14ac:dyDescent="0.25">
      <c r="A6600" t="str">
        <f>"20190303154941157"</f>
        <v>20190303154941157</v>
      </c>
      <c r="B6600" t="str">
        <f>"1551599381147250"</f>
        <v>1551599381147250</v>
      </c>
      <c r="C6600" t="s">
        <v>40</v>
      </c>
      <c r="D6600">
        <v>4.5168100000000004</v>
      </c>
      <c r="E6600">
        <v>0.43077219999999999</v>
      </c>
      <c r="F6600" t="s">
        <v>41</v>
      </c>
      <c r="G6600">
        <v>-338.83120000000002</v>
      </c>
      <c r="H6600" s="1">
        <v>-1.4484449999999999E-6</v>
      </c>
      <c r="I6600">
        <v>23.242069999999998</v>
      </c>
      <c r="J6600">
        <v>-364.58909999999997</v>
      </c>
      <c r="K6600">
        <v>1.1208209999999901</v>
      </c>
      <c r="L6600">
        <v>18.016850000000002</v>
      </c>
      <c r="M6600">
        <v>0.99985020000000002</v>
      </c>
      <c r="N6600">
        <v>-1.413385E-2</v>
      </c>
      <c r="O6600">
        <v>-9.9836479999999995E-3</v>
      </c>
      <c r="P6600">
        <v>0.99457709999999999</v>
      </c>
      <c r="Q6600">
        <v>-0.10228370000000001</v>
      </c>
      <c r="R6600">
        <v>1.8819099999999998E-2</v>
      </c>
      <c r="S6600">
        <v>2.9913940000000001</v>
      </c>
      <c r="T6600">
        <v>-0.1294053</v>
      </c>
      <c r="U6600">
        <v>0.60308839999999997</v>
      </c>
      <c r="V6600">
        <v>-2.878141E-2</v>
      </c>
      <c r="W6600">
        <v>-8.8209060000000006E-2</v>
      </c>
      <c r="X6600">
        <v>0.99568610000000002</v>
      </c>
      <c r="Y6600">
        <v>-0.2071559</v>
      </c>
      <c r="Z6600">
        <v>6.2014069999999999E-3</v>
      </c>
      <c r="AA6600">
        <v>0.9782883</v>
      </c>
      <c r="AB6600">
        <v>18</v>
      </c>
      <c r="AC6600">
        <v>25.7578999999999</v>
      </c>
      <c r="AD6600">
        <v>-1.12082244844499</v>
      </c>
      <c r="AE6600">
        <v>5.2252199999999904</v>
      </c>
      <c r="AF6600">
        <v>-5.4721912864746702</v>
      </c>
      <c r="AG6600">
        <v>-1.12082244844499</v>
      </c>
      <c r="AH6600">
        <v>25.657782646080499</v>
      </c>
      <c r="AI6600">
        <v>92.4463413607061</v>
      </c>
      <c r="AJ6600">
        <v>102.03943748864199</v>
      </c>
      <c r="AK6600">
        <v>26.258768644972999</v>
      </c>
      <c r="AL6600">
        <v>95.060583931701004</v>
      </c>
      <c r="AM6600">
        <v>91.655736939116494</v>
      </c>
      <c r="AN6600">
        <v>1.0000000087804399</v>
      </c>
    </row>
    <row r="6601" spans="1:40" x14ac:dyDescent="0.25">
      <c r="A6601" t="str">
        <f>"20190303154941169"</f>
        <v>20190303154941169</v>
      </c>
      <c r="B6601" t="str">
        <f>"1551599381157987"</f>
        <v>1551599381157987</v>
      </c>
      <c r="C6601" t="s">
        <v>40</v>
      </c>
      <c r="D6601">
        <v>4.6209389999999999</v>
      </c>
      <c r="E6601">
        <v>0.43046020000000002</v>
      </c>
      <c r="F6601" t="s">
        <v>41</v>
      </c>
      <c r="G6601">
        <v>-339.5059</v>
      </c>
      <c r="H6601" s="1">
        <v>-1.1187129999999999E-6</v>
      </c>
      <c r="I6601">
        <v>23.090540000000001</v>
      </c>
      <c r="J6601">
        <v>-364.48840000000001</v>
      </c>
      <c r="K6601">
        <v>1.1208199999999999</v>
      </c>
      <c r="L6601">
        <v>18.015689999999999</v>
      </c>
      <c r="M6601">
        <v>0.99984879999999998</v>
      </c>
      <c r="N6601">
        <v>-1.413152E-2</v>
      </c>
      <c r="O6601">
        <v>-1.0132149999999999E-2</v>
      </c>
      <c r="P6601">
        <v>0.99455579999999999</v>
      </c>
      <c r="Q6601">
        <v>-0.1025003</v>
      </c>
      <c r="R6601">
        <v>1.8778489999999998E-2</v>
      </c>
      <c r="S6601">
        <v>2.9911500000000002</v>
      </c>
      <c r="T6601">
        <v>-0.1336569</v>
      </c>
      <c r="U6601">
        <v>0.60504150000000001</v>
      </c>
      <c r="V6601">
        <v>-2.888862E-2</v>
      </c>
      <c r="W6601">
        <v>-8.8428309999999996E-2</v>
      </c>
      <c r="X6601">
        <v>0.99566350000000003</v>
      </c>
      <c r="Y6601">
        <v>-0.2079145</v>
      </c>
      <c r="Z6601">
        <v>6.3876799999999997E-3</v>
      </c>
      <c r="AA6601">
        <v>0.97812619999999895</v>
      </c>
      <c r="AB6601">
        <v>18</v>
      </c>
      <c r="AC6601">
        <v>24.982500000000002</v>
      </c>
      <c r="AD6601">
        <v>-1.1208211187129999</v>
      </c>
      <c r="AE6601">
        <v>5.0748499999999996</v>
      </c>
      <c r="AF6601">
        <v>-5.31746232245656</v>
      </c>
      <c r="AG6601">
        <v>-1.1208211187129999</v>
      </c>
      <c r="AH6601">
        <v>24.881695874675</v>
      </c>
      <c r="AI6601">
        <v>92.522322205473003</v>
      </c>
      <c r="AJ6601">
        <v>102.063204729883</v>
      </c>
      <c r="AK6601">
        <v>25.468224027809999</v>
      </c>
      <c r="AL6601">
        <v>95.073195552098198</v>
      </c>
      <c r="AM6601">
        <v>91.661938765024999</v>
      </c>
      <c r="AN6601">
        <v>0.99999996180360395</v>
      </c>
    </row>
    <row r="6602" spans="1:40" x14ac:dyDescent="0.25">
      <c r="A6602" t="str">
        <f>"20190303154941180"</f>
        <v>20190303154941180</v>
      </c>
      <c r="B6602" t="str">
        <f>"1551599381178014"</f>
        <v>1551599381178014</v>
      </c>
      <c r="C6602" t="s">
        <v>40</v>
      </c>
      <c r="D6602">
        <v>4.5937250000000001</v>
      </c>
      <c r="E6602">
        <v>0.43036410000000003</v>
      </c>
      <c r="F6602" t="s">
        <v>41</v>
      </c>
      <c r="G6602">
        <v>-339.37169999999998</v>
      </c>
      <c r="H6602" s="1">
        <v>-1.182893E-6</v>
      </c>
      <c r="I6602">
        <v>23.11551</v>
      </c>
      <c r="J6602">
        <v>-364.38749999999999</v>
      </c>
      <c r="K6602">
        <v>1.120817</v>
      </c>
      <c r="L6602">
        <v>18.014469999999999</v>
      </c>
      <c r="M6602">
        <v>0.99984729999999999</v>
      </c>
      <c r="N6602">
        <v>-1.412917E-2</v>
      </c>
      <c r="O6602">
        <v>-1.0280900000000001E-2</v>
      </c>
      <c r="P6602">
        <v>0.99456820000000001</v>
      </c>
      <c r="Q6602">
        <v>-0.1024082</v>
      </c>
      <c r="R6602">
        <v>1.8617809999999999E-2</v>
      </c>
      <c r="S6602">
        <v>2.9912109999999998</v>
      </c>
      <c r="T6602">
        <v>-0.13348160000000001</v>
      </c>
      <c r="U6602">
        <v>0.60736080000000003</v>
      </c>
      <c r="V6602">
        <v>-2.8875560000000002E-2</v>
      </c>
      <c r="W6602">
        <v>-8.8338440000000004E-2</v>
      </c>
      <c r="X6602">
        <v>0.99567190000000005</v>
      </c>
      <c r="Y6602">
        <v>-0.2087841</v>
      </c>
      <c r="Z6602">
        <v>6.4103830000000004E-3</v>
      </c>
      <c r="AA6602">
        <v>0.9779407</v>
      </c>
      <c r="AB6602">
        <v>18</v>
      </c>
      <c r="AC6602">
        <v>25.015799999999999</v>
      </c>
      <c r="AD6602">
        <v>-1.1208181828929999</v>
      </c>
      <c r="AE6602">
        <v>5.1010399999999896</v>
      </c>
      <c r="AF6602">
        <v>-5.34767441713268</v>
      </c>
      <c r="AG6602">
        <v>-1.1208181828929999</v>
      </c>
      <c r="AH6602">
        <v>24.9140124234906</v>
      </c>
      <c r="AI6602">
        <v>92.518566177985605</v>
      </c>
      <c r="AJ6602">
        <v>102.114451102023</v>
      </c>
      <c r="AK6602">
        <v>25.506114367119999</v>
      </c>
      <c r="AL6602">
        <v>95.068025929401998</v>
      </c>
      <c r="AM6602">
        <v>91.661173848159393</v>
      </c>
      <c r="AN6602">
        <v>1.00000000519827</v>
      </c>
    </row>
    <row r="6603" spans="1:40" x14ac:dyDescent="0.25">
      <c r="A6603" t="str">
        <f>"20190303154941192"</f>
        <v>20190303154941192</v>
      </c>
      <c r="B6603" t="str">
        <f>"1551599381187774"</f>
        <v>1551599381187774</v>
      </c>
      <c r="C6603" t="s">
        <v>40</v>
      </c>
      <c r="D6603">
        <v>4.5093360000000002</v>
      </c>
      <c r="E6603">
        <v>0.43042370000000002</v>
      </c>
      <c r="F6603" t="s">
        <v>41</v>
      </c>
      <c r="G6603">
        <v>-338.92169999999999</v>
      </c>
      <c r="H6603" s="1">
        <v>-1.395033E-6</v>
      </c>
      <c r="I6603">
        <v>23.187110000000001</v>
      </c>
      <c r="J6603">
        <v>-364.2901</v>
      </c>
      <c r="K6603">
        <v>1.1208149999999999</v>
      </c>
      <c r="L6603">
        <v>18.013279999999899</v>
      </c>
      <c r="M6603">
        <v>0.99984600000000001</v>
      </c>
      <c r="N6603">
        <v>-1.41269E-2</v>
      </c>
      <c r="O6603">
        <v>-1.042475E-2</v>
      </c>
      <c r="P6603">
        <v>0.99455769999999999</v>
      </c>
      <c r="Q6603">
        <v>-0.10252840000000001</v>
      </c>
      <c r="R6603">
        <v>1.8523270000000001E-2</v>
      </c>
      <c r="S6603">
        <v>2.9914550000000002</v>
      </c>
      <c r="T6603">
        <v>-0.13166149999999999</v>
      </c>
      <c r="U6603">
        <v>0.6076355</v>
      </c>
      <c r="V6603">
        <v>-2.8923669999999999E-2</v>
      </c>
      <c r="W6603">
        <v>-8.8461079999999997E-2</v>
      </c>
      <c r="X6603">
        <v>0.99565959999999998</v>
      </c>
      <c r="Y6603">
        <v>-0.20900160000000001</v>
      </c>
      <c r="Z6603">
        <v>6.3512819999999998E-3</v>
      </c>
      <c r="AA6603">
        <v>0.97789470000000001</v>
      </c>
      <c r="AB6603">
        <v>18</v>
      </c>
      <c r="AC6603">
        <v>25.368400000000001</v>
      </c>
      <c r="AD6603">
        <v>-1.1208163950329999</v>
      </c>
      <c r="AE6603">
        <v>5.1738299999999997</v>
      </c>
      <c r="AF6603">
        <v>-5.42786223548904</v>
      </c>
      <c r="AG6603">
        <v>-1.1208163950329999</v>
      </c>
      <c r="AH6603">
        <v>25.265730413910202</v>
      </c>
      <c r="AI6603">
        <v>92.483451514920503</v>
      </c>
      <c r="AJ6603">
        <v>102.124624910088</v>
      </c>
      <c r="AK6603">
        <v>25.866485095335499</v>
      </c>
      <c r="AL6603">
        <v>95.075080377317406</v>
      </c>
      <c r="AM6603">
        <v>91.6639605441204</v>
      </c>
      <c r="AN6603">
        <v>0.99999999021659702</v>
      </c>
    </row>
    <row r="6604" spans="1:40" x14ac:dyDescent="0.25">
      <c r="A6604" t="str">
        <f>"20190303154941203"</f>
        <v>20190303154941203</v>
      </c>
      <c r="B6604" t="str">
        <f>"1551599381197535"</f>
        <v>1551599381197535</v>
      </c>
      <c r="C6604" t="s">
        <v>40</v>
      </c>
      <c r="D6604">
        <v>4.596114</v>
      </c>
      <c r="E6604">
        <v>0.43046299999999998</v>
      </c>
      <c r="F6604" t="s">
        <v>41</v>
      </c>
      <c r="G6604">
        <v>-338.76350000000002</v>
      </c>
      <c r="H6604" s="1">
        <v>-1.46399E-6</v>
      </c>
      <c r="I6604">
        <v>23.191269999999999</v>
      </c>
      <c r="J6604">
        <v>-364.20299999999997</v>
      </c>
      <c r="K6604">
        <v>1.1208129999999901</v>
      </c>
      <c r="L6604">
        <v>18.01221</v>
      </c>
      <c r="M6604">
        <v>0.99984459999999997</v>
      </c>
      <c r="N6604">
        <v>-1.4124859999999999E-2</v>
      </c>
      <c r="O6604">
        <v>-1.0553E-2</v>
      </c>
      <c r="P6604">
        <v>0.99453829999999999</v>
      </c>
      <c r="Q6604">
        <v>-0.1027473</v>
      </c>
      <c r="R6604">
        <v>1.835115E-2</v>
      </c>
      <c r="S6604">
        <v>2.9915769999999999</v>
      </c>
      <c r="T6604">
        <v>-0.13135350000000001</v>
      </c>
      <c r="U6604">
        <v>0.60684199999999999</v>
      </c>
      <c r="V6604">
        <v>-2.8879430000000001E-2</v>
      </c>
      <c r="W6604">
        <v>-8.8682289999999997E-2</v>
      </c>
      <c r="X6604">
        <v>0.9956412</v>
      </c>
      <c r="Y6604">
        <v>-0.20887130000000001</v>
      </c>
      <c r="Z6604">
        <v>6.3392960000000003E-3</v>
      </c>
      <c r="AA6604">
        <v>0.97792259999999998</v>
      </c>
      <c r="AB6604">
        <v>18</v>
      </c>
      <c r="AC6604">
        <v>25.439499999999999</v>
      </c>
      <c r="AD6604">
        <v>-1.12081446398999</v>
      </c>
      <c r="AE6604">
        <v>5.1790599999999998</v>
      </c>
      <c r="AF6604">
        <v>-5.4371273155863502</v>
      </c>
      <c r="AG6604">
        <v>-1.12081446398999</v>
      </c>
      <c r="AH6604">
        <v>25.336199913017801</v>
      </c>
      <c r="AI6604">
        <v>92.476666157700294</v>
      </c>
      <c r="AJ6604">
        <v>102.111926850383</v>
      </c>
      <c r="AK6604">
        <v>25.937262857537402</v>
      </c>
      <c r="AL6604">
        <v>95.087804814979705</v>
      </c>
      <c r="AM6604">
        <v>91.661447558966003</v>
      </c>
      <c r="AN6604">
        <v>0.99999998458710404</v>
      </c>
    </row>
    <row r="6605" spans="1:40" x14ac:dyDescent="0.25">
      <c r="A6605" t="str">
        <f>"20190303154941214"</f>
        <v>20190303154941214</v>
      </c>
      <c r="B6605" t="str">
        <f>"1551599381207293"</f>
        <v>1551599381207293</v>
      </c>
      <c r="C6605" t="s">
        <v>40</v>
      </c>
      <c r="D6605">
        <v>4.5721470000000002</v>
      </c>
      <c r="E6605">
        <v>0.43051600000000001</v>
      </c>
      <c r="F6605" t="s">
        <v>41</v>
      </c>
      <c r="G6605">
        <v>-338.75349999999997</v>
      </c>
      <c r="H6605" s="1">
        <v>-1.4618609999999999E-6</v>
      </c>
      <c r="I6605">
        <v>23.16714</v>
      </c>
      <c r="J6605">
        <v>-364.10840000000002</v>
      </c>
      <c r="K6605">
        <v>1.1208100000000001</v>
      </c>
      <c r="L6605">
        <v>18.01108</v>
      </c>
      <c r="M6605">
        <v>0.99984320000000004</v>
      </c>
      <c r="N6605">
        <v>-1.4122640000000001E-2</v>
      </c>
      <c r="O6605">
        <v>-1.0692439999999999E-2</v>
      </c>
      <c r="P6605">
        <v>0.99450859999999996</v>
      </c>
      <c r="Q6605">
        <v>-0.10301449999999999</v>
      </c>
      <c r="R6605">
        <v>1.846337E-2</v>
      </c>
      <c r="S6605">
        <v>2.9916689999999999</v>
      </c>
      <c r="T6605">
        <v>-0.13175519999999999</v>
      </c>
      <c r="U6605">
        <v>0.60598750000000001</v>
      </c>
      <c r="V6605">
        <v>-2.9129869999999999E-2</v>
      </c>
      <c r="W6605">
        <v>-8.8952149999999994E-2</v>
      </c>
      <c r="X6605">
        <v>0.99560979999999999</v>
      </c>
      <c r="Y6605">
        <v>-0.20873230000000001</v>
      </c>
      <c r="Z6605">
        <v>6.3544079999999998E-3</v>
      </c>
      <c r="AA6605">
        <v>0.97795220000000005</v>
      </c>
      <c r="AB6605">
        <v>18</v>
      </c>
      <c r="AC6605">
        <v>25.354900000000001</v>
      </c>
      <c r="AD6605">
        <v>-1.1208114618609999</v>
      </c>
      <c r="AE6605">
        <v>5.1560600000000001</v>
      </c>
      <c r="AF6605">
        <v>-5.4167335769419802</v>
      </c>
      <c r="AG6605">
        <v>-1.1208114618609999</v>
      </c>
      <c r="AH6605">
        <v>25.25093114253</v>
      </c>
      <c r="AI6605">
        <v>92.485054628878302</v>
      </c>
      <c r="AJ6605">
        <v>102.107382096515</v>
      </c>
      <c r="AK6605">
        <v>25.849695250455099</v>
      </c>
      <c r="AL6605">
        <v>95.103328158947406</v>
      </c>
      <c r="AM6605">
        <v>91.675900135949703</v>
      </c>
      <c r="AN6605">
        <v>0.999999954085938</v>
      </c>
    </row>
    <row r="6606" spans="1:40" x14ac:dyDescent="0.25">
      <c r="A6606" t="str">
        <f>"20190303154941226"</f>
        <v>20190303154941226</v>
      </c>
      <c r="B6606" t="str">
        <f>"1551599381218030"</f>
        <v>1551599381218030</v>
      </c>
      <c r="C6606" t="s">
        <v>40</v>
      </c>
      <c r="D6606">
        <v>4.5533390000000002</v>
      </c>
      <c r="E6606">
        <v>0.43045529999999999</v>
      </c>
      <c r="F6606" t="s">
        <v>41</v>
      </c>
      <c r="G6606">
        <v>-338.77820000000003</v>
      </c>
      <c r="H6606" s="1">
        <v>-1.444358E-6</v>
      </c>
      <c r="I6606">
        <v>23.141210000000001</v>
      </c>
      <c r="J6606">
        <v>-364.01690000000002</v>
      </c>
      <c r="K6606">
        <v>1.1208119999999999</v>
      </c>
      <c r="L6606">
        <v>18.00995</v>
      </c>
      <c r="M6606">
        <v>0.99984170000000006</v>
      </c>
      <c r="N6606">
        <v>-1.412047E-2</v>
      </c>
      <c r="O6606">
        <v>-1.0827359999999999E-2</v>
      </c>
      <c r="P6606">
        <v>0.99446639999999997</v>
      </c>
      <c r="Q6606">
        <v>-0.1034279</v>
      </c>
      <c r="R6606">
        <v>1.8421030000000001E-2</v>
      </c>
      <c r="S6606">
        <v>2.9915769999999999</v>
      </c>
      <c r="T6606">
        <v>-0.1323714</v>
      </c>
      <c r="U6606">
        <v>0.60589599999999999</v>
      </c>
      <c r="V6606">
        <v>-2.922135E-2</v>
      </c>
      <c r="W6606">
        <v>-8.9368249999999996E-2</v>
      </c>
      <c r="X6606">
        <v>0.99556990000000001</v>
      </c>
      <c r="Y6606">
        <v>-0.208839</v>
      </c>
      <c r="Z6606">
        <v>6.3849240000000002E-3</v>
      </c>
      <c r="AA6606">
        <v>0.97792920000000005</v>
      </c>
      <c r="AB6606">
        <v>18</v>
      </c>
      <c r="AC6606">
        <v>25.238699999999898</v>
      </c>
      <c r="AD6606">
        <v>-1.120813444358</v>
      </c>
      <c r="AE6606">
        <v>5.1312600000000002</v>
      </c>
      <c r="AF6606">
        <v>-5.3940394633912696</v>
      </c>
      <c r="AG6606">
        <v>-1.120813444358</v>
      </c>
      <c r="AH6606">
        <v>25.134056951697598</v>
      </c>
      <c r="AI6606">
        <v>92.496551662127004</v>
      </c>
      <c r="AJ6606">
        <v>102.112562880101</v>
      </c>
      <c r="AK6606">
        <v>25.730773469930099</v>
      </c>
      <c r="AL6606">
        <v>95.127264035628599</v>
      </c>
      <c r="AM6606">
        <v>91.681227487322701</v>
      </c>
      <c r="AN6606">
        <v>0.99999999859494704</v>
      </c>
    </row>
    <row r="6607" spans="1:40" x14ac:dyDescent="0.25">
      <c r="A6607" t="str">
        <f>"20190303154941237"</f>
        <v>20190303154941237</v>
      </c>
      <c r="B6607" t="str">
        <f>"1551599381227791"</f>
        <v>1551599381227791</v>
      </c>
      <c r="C6607" t="s">
        <v>40</v>
      </c>
      <c r="D6607">
        <v>4.5796679999999999</v>
      </c>
      <c r="E6607">
        <v>0.43036580000000002</v>
      </c>
      <c r="F6607" t="s">
        <v>41</v>
      </c>
      <c r="G6607">
        <v>-338.75790000000001</v>
      </c>
      <c r="H6607" s="1">
        <v>-1.449612E-6</v>
      </c>
      <c r="I6607">
        <v>23.128299999999999</v>
      </c>
      <c r="J6607">
        <v>-363.92540000000002</v>
      </c>
      <c r="K6607">
        <v>1.1208100000000001</v>
      </c>
      <c r="L6607">
        <v>18.008790000000001</v>
      </c>
      <c r="M6607">
        <v>0.99984039999999996</v>
      </c>
      <c r="N6607">
        <v>-1.41183E-2</v>
      </c>
      <c r="O6607">
        <v>-1.096228E-2</v>
      </c>
      <c r="P6607">
        <v>0.99443490000000001</v>
      </c>
      <c r="Q6607">
        <v>-0.1037425</v>
      </c>
      <c r="R6607">
        <v>1.8361430000000002E-2</v>
      </c>
      <c r="S6607">
        <v>2.9916990000000001</v>
      </c>
      <c r="T6607">
        <v>-0.13275029999999999</v>
      </c>
      <c r="U6607">
        <v>0.60623169999999904</v>
      </c>
      <c r="V6607">
        <v>-2.9295519999999999E-2</v>
      </c>
      <c r="W6607">
        <v>-8.9685470000000003E-2</v>
      </c>
      <c r="X6607">
        <v>0.99553919999999996</v>
      </c>
      <c r="Y6607">
        <v>-0.2090669</v>
      </c>
      <c r="Z6607">
        <v>6.4095790000000003E-3</v>
      </c>
      <c r="AA6607">
        <v>0.97788039999999998</v>
      </c>
      <c r="AB6607">
        <v>18</v>
      </c>
      <c r="AC6607">
        <v>25.1675</v>
      </c>
      <c r="AD6607">
        <v>-1.1208114496120001</v>
      </c>
      <c r="AE6607">
        <v>5.1195099999999902</v>
      </c>
      <c r="AF6607">
        <v>-5.3848675880690102</v>
      </c>
      <c r="AG6607">
        <v>-1.1208114496120001</v>
      </c>
      <c r="AH6607">
        <v>25.062130046774499</v>
      </c>
      <c r="AI6607">
        <v>92.503574775950696</v>
      </c>
      <c r="AJ6607">
        <v>102.126252995805</v>
      </c>
      <c r="AK6607">
        <v>25.658592707474298</v>
      </c>
      <c r="AL6607">
        <v>95.145512649603901</v>
      </c>
      <c r="AM6607">
        <v>91.685544288307696</v>
      </c>
      <c r="AN6607">
        <v>1.0000000048789099</v>
      </c>
    </row>
    <row r="6608" spans="1:40" x14ac:dyDescent="0.25">
      <c r="A6608" t="str">
        <f>"20190303154941257"</f>
        <v>20190303154941257</v>
      </c>
      <c r="B6608" t="str">
        <f>"1551599381247310"</f>
        <v>1551599381247310</v>
      </c>
      <c r="C6608" t="s">
        <v>40</v>
      </c>
      <c r="D6608">
        <v>4.6018629999999998</v>
      </c>
      <c r="E6608">
        <v>0.4300293</v>
      </c>
      <c r="F6608" t="s">
        <v>41</v>
      </c>
      <c r="G6608">
        <v>-338.6859</v>
      </c>
      <c r="H6608" s="1">
        <v>-1.4803090000000001E-6</v>
      </c>
      <c r="I6608">
        <v>23.127520000000001</v>
      </c>
      <c r="J6608">
        <v>-363.7706</v>
      </c>
      <c r="K6608">
        <v>1.1208020000000001</v>
      </c>
      <c r="L6608">
        <v>18.006810000000002</v>
      </c>
      <c r="M6608">
        <v>0.99983809999999995</v>
      </c>
      <c r="N6608">
        <v>-1.409288E-2</v>
      </c>
      <c r="O6608">
        <v>-1.1190840000000001E-2</v>
      </c>
      <c r="P6608">
        <v>0.99436199999999997</v>
      </c>
      <c r="Q6608">
        <v>-0.10448250000000001</v>
      </c>
      <c r="R6608">
        <v>1.8094249999999999E-2</v>
      </c>
      <c r="S6608">
        <v>2.99173</v>
      </c>
      <c r="T6608">
        <v>-0.13285350000000001</v>
      </c>
      <c r="U6608">
        <v>0.60675049999999997</v>
      </c>
      <c r="V6608">
        <v>-2.9255030000000001E-2</v>
      </c>
      <c r="W6608">
        <v>-9.045185E-2</v>
      </c>
      <c r="X6608">
        <v>0.99547110000000005</v>
      </c>
      <c r="Y6608">
        <v>-0.20945050000000001</v>
      </c>
      <c r="Z6608">
        <v>6.4290229999999999E-3</v>
      </c>
      <c r="AA6608">
        <v>0.9777981</v>
      </c>
      <c r="AB6608">
        <v>18</v>
      </c>
      <c r="AC6608">
        <v>25.084700000000002</v>
      </c>
      <c r="AD6608">
        <v>-1.1208034803089999</v>
      </c>
      <c r="AE6608">
        <v>5.1207099999999901</v>
      </c>
      <c r="AF6608">
        <v>-5.3908045059949199</v>
      </c>
      <c r="AG6608">
        <v>-1.1208034803089999</v>
      </c>
      <c r="AH6608">
        <v>24.977947774480398</v>
      </c>
      <c r="AI6608">
        <v>92.511487314351996</v>
      </c>
      <c r="AJ6608">
        <v>102.178919193781</v>
      </c>
      <c r="AK6608">
        <v>25.5776239844126</v>
      </c>
      <c r="AL6608">
        <v>95.1896019418501</v>
      </c>
      <c r="AM6608">
        <v>91.683331082808394</v>
      </c>
      <c r="AN6608">
        <v>1.0000000524419601</v>
      </c>
    </row>
    <row r="6609" spans="1:40" x14ac:dyDescent="0.25">
      <c r="A6609" t="str">
        <f>"20190303154941271"</f>
        <v>20190303154941271</v>
      </c>
      <c r="B6609" t="str">
        <f>"1551599381267337"</f>
        <v>1551599381267337</v>
      </c>
      <c r="C6609" t="s">
        <v>40</v>
      </c>
      <c r="D6609">
        <v>4.6304429999999996</v>
      </c>
      <c r="E6609">
        <v>0.42977870000000001</v>
      </c>
      <c r="F6609" t="s">
        <v>41</v>
      </c>
      <c r="G6609">
        <v>-338.5829</v>
      </c>
      <c r="H6609" s="1">
        <v>-1.5250579999999999E-6</v>
      </c>
      <c r="I6609">
        <v>23.129570000000001</v>
      </c>
      <c r="J6609">
        <v>-363.6558</v>
      </c>
      <c r="K6609">
        <v>1.120784</v>
      </c>
      <c r="L6609">
        <v>18.00534</v>
      </c>
      <c r="M6609">
        <v>0.99983699999999998</v>
      </c>
      <c r="N6609">
        <v>-1.403135E-2</v>
      </c>
      <c r="O6609">
        <v>-1.136411E-2</v>
      </c>
      <c r="P6609">
        <v>0.9943398</v>
      </c>
      <c r="Q6609">
        <v>-0.1047293</v>
      </c>
      <c r="R6609">
        <v>1.789897E-2</v>
      </c>
      <c r="S6609">
        <v>2.991943</v>
      </c>
      <c r="T6609">
        <v>-0.13313529999999901</v>
      </c>
      <c r="U6609">
        <v>0.60852050000000002</v>
      </c>
      <c r="V6609">
        <v>-2.9231900000000002E-2</v>
      </c>
      <c r="W6609">
        <v>-9.0760129999999994E-2</v>
      </c>
      <c r="X6609">
        <v>0.99544359999999998</v>
      </c>
      <c r="Y6609">
        <v>-0.21016019999999999</v>
      </c>
      <c r="Z6609">
        <v>6.4593050000000003E-3</v>
      </c>
      <c r="AA6609">
        <v>0.9776456</v>
      </c>
      <c r="AB6609">
        <v>18</v>
      </c>
      <c r="AC6609">
        <v>25.072900000000001</v>
      </c>
      <c r="AD6609">
        <v>-1.1207855250579899</v>
      </c>
      <c r="AE6609">
        <v>5.1242299999999998</v>
      </c>
      <c r="AF6609">
        <v>-5.3985035706561604</v>
      </c>
      <c r="AG6609">
        <v>-1.1207855250579899</v>
      </c>
      <c r="AH6609">
        <v>24.965157641929501</v>
      </c>
      <c r="AI6609">
        <v>92.512515148915597</v>
      </c>
      <c r="AJ6609">
        <v>102.201853627605</v>
      </c>
      <c r="AK6609">
        <v>25.5667576568081</v>
      </c>
      <c r="AL6609">
        <v>95.207338659483099</v>
      </c>
      <c r="AM6609">
        <v>91.682047390122406</v>
      </c>
      <c r="AN6609">
        <v>0.99999993297809098</v>
      </c>
    </row>
    <row r="6610" spans="1:40" x14ac:dyDescent="0.25">
      <c r="A6610" t="str">
        <f>"20190303154941291"</f>
        <v>20190303154941291</v>
      </c>
      <c r="B6610" t="str">
        <f>"1551599381287833"</f>
        <v>1551599381287833</v>
      </c>
      <c r="C6610" t="s">
        <v>40</v>
      </c>
      <c r="D6610">
        <v>4.6060759999999998</v>
      </c>
      <c r="E6610">
        <v>0.4296314</v>
      </c>
      <c r="F6610" t="s">
        <v>41</v>
      </c>
      <c r="G6610">
        <v>-338.54950000000002</v>
      </c>
      <c r="H6610" s="1">
        <v>-1.537889E-6</v>
      </c>
      <c r="I6610">
        <v>23.123940000000001</v>
      </c>
      <c r="J6610">
        <v>-363.48970000000003</v>
      </c>
      <c r="K6610">
        <v>1.120741</v>
      </c>
      <c r="L6610">
        <v>18.003139999999998</v>
      </c>
      <c r="M6610">
        <v>0.99983639999999996</v>
      </c>
      <c r="N6610">
        <v>-1.3870499999999999E-2</v>
      </c>
      <c r="O6610">
        <v>-1.1609919999999999E-2</v>
      </c>
      <c r="P6610">
        <v>0.99435499999999999</v>
      </c>
      <c r="Q6610">
        <v>-0.10463210000000001</v>
      </c>
      <c r="R6610">
        <v>1.7620319999999998E-2</v>
      </c>
      <c r="S6610">
        <v>2.992035</v>
      </c>
      <c r="T6610">
        <v>-0.1335691</v>
      </c>
      <c r="U6610">
        <v>0.61001590000000006</v>
      </c>
      <c r="V6610">
        <v>-2.9198499999999999E-2</v>
      </c>
      <c r="W6610">
        <v>-9.0822609999999998E-2</v>
      </c>
      <c r="X6610">
        <v>0.99543890000000002</v>
      </c>
      <c r="Y6610">
        <v>-0.21086199999999999</v>
      </c>
      <c r="Z6610">
        <v>6.488298E-3</v>
      </c>
      <c r="AA6610">
        <v>0.97749430000000004</v>
      </c>
      <c r="AB6610">
        <v>18</v>
      </c>
      <c r="AC6610">
        <v>24.940200000000001</v>
      </c>
      <c r="AD6610">
        <v>-1.1207425378889999</v>
      </c>
      <c r="AE6610">
        <v>5.1208</v>
      </c>
      <c r="AF6610">
        <v>-5.3995738290343196</v>
      </c>
      <c r="AG6610">
        <v>-1.1207425378889999</v>
      </c>
      <c r="AH6610">
        <v>24.830946944143701</v>
      </c>
      <c r="AI6610">
        <v>92.525347832202797</v>
      </c>
      <c r="AJ6610">
        <v>102.268170931258</v>
      </c>
      <c r="AK6610">
        <v>25.4359467587567</v>
      </c>
      <c r="AL6610">
        <v>95.210933250784194</v>
      </c>
      <c r="AM6610">
        <v>91.680134534404203</v>
      </c>
      <c r="AN6610">
        <v>0.99999995126133401</v>
      </c>
    </row>
    <row r="6611" spans="1:40" x14ac:dyDescent="0.25">
      <c r="A6611" t="str">
        <f>"20190303154941315"</f>
        <v>20190303154941315</v>
      </c>
      <c r="B6611" t="str">
        <f>"1551599381307354"</f>
        <v>1551599381307354</v>
      </c>
      <c r="C6611" t="s">
        <v>40</v>
      </c>
      <c r="D6611">
        <v>4.6282620000000003</v>
      </c>
      <c r="E6611">
        <v>0.42948140000000001</v>
      </c>
      <c r="F6611" t="s">
        <v>41</v>
      </c>
      <c r="G6611">
        <v>-338.26889999999997</v>
      </c>
      <c r="H6611" s="1">
        <v>-1.6644610000000001E-6</v>
      </c>
      <c r="I6611">
        <v>23.14733</v>
      </c>
      <c r="J6611">
        <v>-363.30250000000001</v>
      </c>
      <c r="K6611">
        <v>1.1206769999999999</v>
      </c>
      <c r="L6611">
        <v>18.000610000000002</v>
      </c>
      <c r="M6611">
        <v>0.99983699999999998</v>
      </c>
      <c r="N6611">
        <v>-1.3593600000000001E-2</v>
      </c>
      <c r="O6611">
        <v>-1.1882419999999999E-2</v>
      </c>
      <c r="P6611">
        <v>0.99436970000000002</v>
      </c>
      <c r="Q6611">
        <v>-0.1045204</v>
      </c>
      <c r="R6611">
        <v>1.7444930000000001E-2</v>
      </c>
      <c r="S6611">
        <v>2.9922179999999998</v>
      </c>
      <c r="T6611">
        <v>-0.132966</v>
      </c>
      <c r="U6611">
        <v>0.610321</v>
      </c>
      <c r="V6611">
        <v>-2.9295370000000001E-2</v>
      </c>
      <c r="W6611">
        <v>-9.0986349999999994E-2</v>
      </c>
      <c r="X6611">
        <v>0.99542120000000001</v>
      </c>
      <c r="Y6611">
        <v>-0.21121509999999999</v>
      </c>
      <c r="Z6611">
        <v>6.4568019999999898E-3</v>
      </c>
      <c r="AA6611">
        <v>0.97741820000000001</v>
      </c>
      <c r="AB6611">
        <v>18</v>
      </c>
      <c r="AC6611">
        <v>25.0336</v>
      </c>
      <c r="AD6611">
        <v>-1.1206786644610001</v>
      </c>
      <c r="AE6611">
        <v>5.1467199999999904</v>
      </c>
      <c r="AF6611">
        <v>-5.4333964362355998</v>
      </c>
      <c r="AG6611">
        <v>-1.1206786644610001</v>
      </c>
      <c r="AH6611">
        <v>24.922749521343999</v>
      </c>
      <c r="AI6611">
        <v>92.515624060410701</v>
      </c>
      <c r="AJ6611">
        <v>102.29859161292801</v>
      </c>
      <c r="AK6611">
        <v>25.5327468402037</v>
      </c>
      <c r="AL6611">
        <v>95.220353350279595</v>
      </c>
      <c r="AM6611">
        <v>91.685735355709596</v>
      </c>
      <c r="AN6611">
        <v>1.00000004999959</v>
      </c>
    </row>
    <row r="6612" spans="1:40" x14ac:dyDescent="0.25">
      <c r="A6612" t="str">
        <f>"20190303154941335"</f>
        <v>20190303154941335</v>
      </c>
      <c r="B6612" t="str">
        <f>"1551599381327849"</f>
        <v>1551599381327849</v>
      </c>
      <c r="C6612" t="s">
        <v>40</v>
      </c>
      <c r="D6612">
        <v>4.5755480000000004</v>
      </c>
      <c r="E6612">
        <v>0.42926370000000003</v>
      </c>
      <c r="F6612" t="s">
        <v>41</v>
      </c>
      <c r="G6612">
        <v>-338.30709999999999</v>
      </c>
      <c r="H6612" s="1">
        <v>-1.6368309999999999E-6</v>
      </c>
      <c r="I6612">
        <v>23.105049999999999</v>
      </c>
      <c r="J6612">
        <v>-363.13290000000001</v>
      </c>
      <c r="K6612">
        <v>1.120622</v>
      </c>
      <c r="L6612">
        <v>17.998259999999998</v>
      </c>
      <c r="M6612">
        <v>0.99983809999999995</v>
      </c>
      <c r="N6612">
        <v>-1.3298320000000001E-2</v>
      </c>
      <c r="O6612">
        <v>-1.213472E-2</v>
      </c>
      <c r="P6612">
        <v>0.9943978</v>
      </c>
      <c r="Q6612">
        <v>-0.1042792</v>
      </c>
      <c r="R6612">
        <v>1.7292890000000002E-2</v>
      </c>
      <c r="S6612">
        <v>2.9921570000000002</v>
      </c>
      <c r="T6612">
        <v>-0.13415460000000001</v>
      </c>
      <c r="U6612">
        <v>0.61105350000000003</v>
      </c>
      <c r="V6612">
        <v>-2.939348E-2</v>
      </c>
      <c r="W6612">
        <v>-9.1038949999999993E-2</v>
      </c>
      <c r="X6612">
        <v>0.9954134</v>
      </c>
      <c r="Y6612">
        <v>-0.2116915</v>
      </c>
      <c r="Z6612">
        <v>6.4965480000000004E-3</v>
      </c>
      <c r="AA6612">
        <v>0.97731489999999999</v>
      </c>
      <c r="AB6612">
        <v>18</v>
      </c>
      <c r="AC6612">
        <v>24.825800000000001</v>
      </c>
      <c r="AD6612">
        <v>-1.1206236368310001</v>
      </c>
      <c r="AE6612">
        <v>5.1067899999999904</v>
      </c>
      <c r="AF6612">
        <v>-5.3971440260521204</v>
      </c>
      <c r="AG6612">
        <v>-1.1206236368310001</v>
      </c>
      <c r="AH6612">
        <v>24.713685216625102</v>
      </c>
      <c r="AI6612">
        <v>92.536553673773895</v>
      </c>
      <c r="AJ6612">
        <v>102.319229342851</v>
      </c>
      <c r="AK6612">
        <v>25.320963606462701</v>
      </c>
      <c r="AL6612">
        <v>95.223380181503302</v>
      </c>
      <c r="AM6612">
        <v>91.691390844312593</v>
      </c>
      <c r="AN6612">
        <v>0.99999995199158498</v>
      </c>
    </row>
    <row r="6613" spans="1:40" x14ac:dyDescent="0.25">
      <c r="A6613" t="str">
        <f>"20190303154941349"</f>
        <v>20190303154941349</v>
      </c>
      <c r="B6613" t="str">
        <f>"1551599381337610"</f>
        <v>1551599381337610</v>
      </c>
      <c r="C6613" t="s">
        <v>40</v>
      </c>
      <c r="D6613">
        <v>4.6055590000000004</v>
      </c>
      <c r="E6613">
        <v>0.4291856</v>
      </c>
      <c r="F6613" t="s">
        <v>41</v>
      </c>
      <c r="G6613">
        <v>-337.73989999999998</v>
      </c>
      <c r="H6613" s="1">
        <v>-1.9037099999999999E-6</v>
      </c>
      <c r="I6613">
        <v>23.193580000000001</v>
      </c>
      <c r="J6613">
        <v>-363.02</v>
      </c>
      <c r="K6613">
        <v>1.120592</v>
      </c>
      <c r="L6613">
        <v>17.996729999999999</v>
      </c>
      <c r="M6613">
        <v>0.99983849999999996</v>
      </c>
      <c r="N6613">
        <v>-1.309865E-2</v>
      </c>
      <c r="O6613">
        <v>-1.230558E-2</v>
      </c>
      <c r="P6613">
        <v>0.99441880000000005</v>
      </c>
      <c r="Q6613">
        <v>-0.1041218</v>
      </c>
      <c r="R6613">
        <v>1.7032640000000002E-2</v>
      </c>
      <c r="S6613">
        <v>2.9924010000000001</v>
      </c>
      <c r="T6613">
        <v>-0.13205810000000001</v>
      </c>
      <c r="U6613">
        <v>0.61224369999999995</v>
      </c>
      <c r="V6613">
        <v>-2.9302709999999999E-2</v>
      </c>
      <c r="W6613">
        <v>-9.1080380000000002E-2</v>
      </c>
      <c r="X6613">
        <v>0.99541230000000003</v>
      </c>
      <c r="Y6613">
        <v>-0.21222369999999999</v>
      </c>
      <c r="Z6613">
        <v>6.4156830000000001E-3</v>
      </c>
      <c r="AA6613">
        <v>0.97719999999999996</v>
      </c>
      <c r="AB6613">
        <v>18</v>
      </c>
      <c r="AC6613">
        <v>25.280100000000001</v>
      </c>
      <c r="AD6613">
        <v>-1.1205939037099999</v>
      </c>
      <c r="AE6613">
        <v>5.1968499999999898</v>
      </c>
      <c r="AF6613">
        <v>-5.4972059555741097</v>
      </c>
      <c r="AG6613">
        <v>-1.1205939037099999</v>
      </c>
      <c r="AH6613">
        <v>25.1667847651307</v>
      </c>
      <c r="AI6613">
        <v>92.490855036122994</v>
      </c>
      <c r="AJ6613">
        <v>102.32164340746699</v>
      </c>
      <c r="AK6613">
        <v>25.784531398290799</v>
      </c>
      <c r="AL6613">
        <v>95.225763776952903</v>
      </c>
      <c r="AM6613">
        <v>91.686172542767096</v>
      </c>
      <c r="AN6613">
        <v>0.99999996571278804</v>
      </c>
    </row>
    <row r="6614" spans="1:40" x14ac:dyDescent="0.25">
      <c r="A6614" t="str">
        <f>"20190303154941367"</f>
        <v>20190303154941367</v>
      </c>
      <c r="B6614" t="str">
        <f>"1551599381357129"</f>
        <v>1551599381357129</v>
      </c>
      <c r="C6614" t="s">
        <v>40</v>
      </c>
      <c r="D6614">
        <v>4.6134370000000002</v>
      </c>
      <c r="E6614">
        <v>0.42885489999999998</v>
      </c>
      <c r="F6614" t="s">
        <v>41</v>
      </c>
      <c r="G6614">
        <v>-337.53550000000001</v>
      </c>
      <c r="H6614" s="1">
        <v>-1.9952739999999999E-6</v>
      </c>
      <c r="I6614">
        <v>23.208069999999999</v>
      </c>
      <c r="J6614">
        <v>-362.87119999999999</v>
      </c>
      <c r="K6614">
        <v>1.120552</v>
      </c>
      <c r="L6614">
        <v>17.994629999999901</v>
      </c>
      <c r="M6614">
        <v>0.99983909999999998</v>
      </c>
      <c r="N6614">
        <v>-1.2842350000000001E-2</v>
      </c>
      <c r="O6614">
        <v>-1.2531860000000001E-2</v>
      </c>
      <c r="P6614">
        <v>0.99443289999999995</v>
      </c>
      <c r="Q6614">
        <v>-0.104036</v>
      </c>
      <c r="R6614">
        <v>1.6732199999999999E-2</v>
      </c>
      <c r="S6614">
        <v>2.9926149999999998</v>
      </c>
      <c r="T6614">
        <v>-0.13158979999999901</v>
      </c>
      <c r="U6614">
        <v>0.61196899999999999</v>
      </c>
      <c r="V6614">
        <v>-2.9226309999999998E-2</v>
      </c>
      <c r="W6614">
        <v>-9.1249940000000002E-2</v>
      </c>
      <c r="X6614">
        <v>0.99539909999999998</v>
      </c>
      <c r="Y6614">
        <v>-0.2123476</v>
      </c>
      <c r="Z6614">
        <v>6.3831230000000001E-3</v>
      </c>
      <c r="AA6614">
        <v>0.97717330000000002</v>
      </c>
      <c r="AB6614">
        <v>18</v>
      </c>
      <c r="AC6614">
        <v>25.3356999999999</v>
      </c>
      <c r="AD6614">
        <v>-1.120553995274</v>
      </c>
      <c r="AE6614">
        <v>5.2134400000000003</v>
      </c>
      <c r="AF6614">
        <v>-5.5202005149060698</v>
      </c>
      <c r="AG6614">
        <v>-1.120553995274</v>
      </c>
      <c r="AH6614">
        <v>25.2210389661088</v>
      </c>
      <c r="AI6614">
        <v>92.485186294788704</v>
      </c>
      <c r="AJ6614">
        <v>102.34580410221101</v>
      </c>
      <c r="AK6614">
        <v>25.8423888507056</v>
      </c>
      <c r="AL6614">
        <v>95.235519039767397</v>
      </c>
      <c r="AM6614">
        <v>91.681801057397706</v>
      </c>
      <c r="AN6614">
        <v>1.0000000485135101</v>
      </c>
    </row>
    <row r="6615" spans="1:40" x14ac:dyDescent="0.25">
      <c r="A6615" t="str">
        <f>"20190303154941382"</f>
        <v>20190303154941382</v>
      </c>
      <c r="B6615" t="str">
        <f>"1551599381377626"</f>
        <v>1551599381377626</v>
      </c>
      <c r="C6615" t="s">
        <v>40</v>
      </c>
      <c r="D6615">
        <v>4.630344</v>
      </c>
      <c r="E6615">
        <v>0.42847770000000002</v>
      </c>
      <c r="F6615" t="s">
        <v>41</v>
      </c>
      <c r="G6615">
        <v>-337.18270000000001</v>
      </c>
      <c r="H6615" s="1">
        <v>-2.161086E-6</v>
      </c>
      <c r="I6615">
        <v>23.262499999999999</v>
      </c>
      <c r="J6615">
        <v>-362.75779999999997</v>
      </c>
      <c r="K6615">
        <v>1.1205290000000001</v>
      </c>
      <c r="L6615">
        <v>17.993010000000002</v>
      </c>
      <c r="M6615">
        <v>0.99983909999999998</v>
      </c>
      <c r="N6615">
        <v>-1.265413E-2</v>
      </c>
      <c r="O6615">
        <v>-1.270453E-2</v>
      </c>
      <c r="P6615">
        <v>0.99442019999999998</v>
      </c>
      <c r="Q6615">
        <v>-0.1041981</v>
      </c>
      <c r="R6615">
        <v>1.6471719999999999E-2</v>
      </c>
      <c r="S6615">
        <v>2.9928279999999998</v>
      </c>
      <c r="T6615">
        <v>-0.13054959999999999</v>
      </c>
      <c r="U6615">
        <v>0.61373900000000003</v>
      </c>
      <c r="V6615">
        <v>-2.913661E-2</v>
      </c>
      <c r="W6615">
        <v>-9.1599799999999995E-2</v>
      </c>
      <c r="X6615">
        <v>0.99536959999999997</v>
      </c>
      <c r="Y6615">
        <v>-0.21306079999999999</v>
      </c>
      <c r="Z6615">
        <v>6.3491299999999997E-3</v>
      </c>
      <c r="AA6615">
        <v>0.97701830000000001</v>
      </c>
      <c r="AB6615">
        <v>18</v>
      </c>
      <c r="AC6615">
        <v>25.5750999999999</v>
      </c>
      <c r="AD6615">
        <v>-1.120531161086</v>
      </c>
      <c r="AE6615">
        <v>5.2694899999999896</v>
      </c>
      <c r="AF6615">
        <v>-5.58372824938506</v>
      </c>
      <c r="AG6615">
        <v>-1.120531161086</v>
      </c>
      <c r="AH6615">
        <v>25.459202320998202</v>
      </c>
      <c r="AI6615">
        <v>92.461686564481397</v>
      </c>
      <c r="AJ6615">
        <v>102.370285109839</v>
      </c>
      <c r="AK6615">
        <v>26.088399607248199</v>
      </c>
      <c r="AL6615">
        <v>95.255648820738799</v>
      </c>
      <c r="AM6615">
        <v>91.676691967025803</v>
      </c>
      <c r="AN6615">
        <v>1.00000005300324</v>
      </c>
    </row>
    <row r="6616" spans="1:40" x14ac:dyDescent="0.25">
      <c r="A6616" t="str">
        <f>"20190303154941394"</f>
        <v>20190303154941394</v>
      </c>
      <c r="B6616" t="str">
        <f>"1551599381387386"</f>
        <v>1551599381387386</v>
      </c>
      <c r="C6616" t="s">
        <v>40</v>
      </c>
      <c r="D6616">
        <v>4.6644620000000003</v>
      </c>
      <c r="E6616">
        <v>0.42827920000000003</v>
      </c>
      <c r="F6616" t="s">
        <v>41</v>
      </c>
      <c r="G6616">
        <v>-336.92630000000003</v>
      </c>
      <c r="H6616" s="1">
        <v>-2.2837170000000001E-6</v>
      </c>
      <c r="I6616">
        <v>23.309909999999999</v>
      </c>
      <c r="J6616">
        <v>-362.64980000000003</v>
      </c>
      <c r="K6616">
        <v>1.1205099999999999</v>
      </c>
      <c r="L6616">
        <v>17.99146</v>
      </c>
      <c r="M6616">
        <v>0.99983940000000004</v>
      </c>
      <c r="N6616">
        <v>-1.2486010000000001E-2</v>
      </c>
      <c r="O6616">
        <v>-1.286736E-2</v>
      </c>
      <c r="P6616">
        <v>0.99445669999999997</v>
      </c>
      <c r="Q6616">
        <v>-0.10388849999999999</v>
      </c>
      <c r="R6616">
        <v>1.622728E-2</v>
      </c>
      <c r="S6616">
        <v>2.9930110000000001</v>
      </c>
      <c r="T6616">
        <v>-0.1298319</v>
      </c>
      <c r="U6616">
        <v>0.61605829999999995</v>
      </c>
      <c r="V6616">
        <v>-2.905489E-2</v>
      </c>
      <c r="W6616">
        <v>-9.1457140000000006E-2</v>
      </c>
      <c r="X6616">
        <v>0.99538510000000002</v>
      </c>
      <c r="Y6616">
        <v>-0.21393670000000001</v>
      </c>
      <c r="Z6616">
        <v>6.3335789999999998E-3</v>
      </c>
      <c r="AA6616">
        <v>0.976827</v>
      </c>
      <c r="AB6616">
        <v>18</v>
      </c>
      <c r="AC6616">
        <v>25.723500000000001</v>
      </c>
      <c r="AD6616">
        <v>-1.1205122837170001</v>
      </c>
      <c r="AE6616">
        <v>5.3184500000000003</v>
      </c>
      <c r="AF6616">
        <v>-5.6387681888293999</v>
      </c>
      <c r="AG6616">
        <v>-1.1205122837170001</v>
      </c>
      <c r="AH6616">
        <v>25.606335112364899</v>
      </c>
      <c r="AI6616">
        <v>92.447062217023102</v>
      </c>
      <c r="AJ6616">
        <v>102.418888548822</v>
      </c>
      <c r="AK6616">
        <v>26.243773592074099</v>
      </c>
      <c r="AL6616">
        <v>95.247440586541899</v>
      </c>
      <c r="AM6616">
        <v>91.671965969237903</v>
      </c>
      <c r="AN6616">
        <v>1.00000004619594</v>
      </c>
    </row>
    <row r="6617" spans="1:40" x14ac:dyDescent="0.25">
      <c r="A6617" t="str">
        <f>"20190303154941414"</f>
        <v>20190303154941414</v>
      </c>
      <c r="B6617" t="str">
        <f>"1551599381407881"</f>
        <v>1551599381407881</v>
      </c>
      <c r="C6617" t="s">
        <v>40</v>
      </c>
      <c r="D6617">
        <v>4.6286569999999996</v>
      </c>
      <c r="E6617">
        <v>0.4279792</v>
      </c>
      <c r="F6617" t="s">
        <v>41</v>
      </c>
      <c r="G6617">
        <v>-336.54309999999998</v>
      </c>
      <c r="H6617" s="1">
        <v>-2.4644519999999998E-6</v>
      </c>
      <c r="I6617">
        <v>23.37133</v>
      </c>
      <c r="J6617">
        <v>-362.49009999999998</v>
      </c>
      <c r="K6617">
        <v>1.1204860000000001</v>
      </c>
      <c r="L6617">
        <v>17.989139999999999</v>
      </c>
      <c r="M6617">
        <v>0.99983909999999998</v>
      </c>
      <c r="N6617">
        <v>-1.2250820000000001E-2</v>
      </c>
      <c r="O6617">
        <v>-1.3104670000000001E-2</v>
      </c>
      <c r="P6617">
        <v>0.99447759999999996</v>
      </c>
      <c r="Q6617">
        <v>-0.1037136</v>
      </c>
      <c r="R6617">
        <v>1.6062449999999999E-2</v>
      </c>
      <c r="S6617">
        <v>2.9931950000000001</v>
      </c>
      <c r="T6617">
        <v>-0.1284689</v>
      </c>
      <c r="U6617">
        <v>0.61682130000000002</v>
      </c>
      <c r="V6617">
        <v>-2.91264E-2</v>
      </c>
      <c r="W6617">
        <v>-9.1516059999999996E-2</v>
      </c>
      <c r="X6617">
        <v>0.99537750000000003</v>
      </c>
      <c r="Y6617">
        <v>-0.2144008</v>
      </c>
      <c r="Z6617">
        <v>6.2767129999999997E-3</v>
      </c>
      <c r="AA6617">
        <v>0.97672559999999997</v>
      </c>
      <c r="AB6617">
        <v>18</v>
      </c>
      <c r="AC6617">
        <v>25.946999999999999</v>
      </c>
      <c r="AD6617">
        <v>-1.1204884644519999</v>
      </c>
      <c r="AE6617">
        <v>5.3821899999999996</v>
      </c>
      <c r="AF6617">
        <v>-5.7115683966060899</v>
      </c>
      <c r="AG6617">
        <v>-1.1204884644519999</v>
      </c>
      <c r="AH6617">
        <v>25.8280563332108</v>
      </c>
      <c r="AI6617">
        <v>92.425555820744194</v>
      </c>
      <c r="AJ6617">
        <v>102.46960390863001</v>
      </c>
      <c r="AK6617">
        <v>26.475762536697399</v>
      </c>
      <c r="AL6617">
        <v>95.250831166888503</v>
      </c>
      <c r="AM6617">
        <v>91.676091463625696</v>
      </c>
      <c r="AN6617">
        <v>0.99999995196056501</v>
      </c>
    </row>
    <row r="6618" spans="1:40" x14ac:dyDescent="0.25">
      <c r="A6618" t="str">
        <f>"20190303154941426"</f>
        <v>20190303154941426</v>
      </c>
      <c r="B6618" t="str">
        <f>"1551599381417641"</f>
        <v>1551599381417641</v>
      </c>
      <c r="C6618" t="s">
        <v>40</v>
      </c>
      <c r="D6618">
        <v>4.6678879999999996</v>
      </c>
      <c r="E6618">
        <v>0.42788969999999998</v>
      </c>
      <c r="F6618" t="s">
        <v>41</v>
      </c>
      <c r="G6618">
        <v>-336.23989999999998</v>
      </c>
      <c r="H6618" s="1">
        <v>-2.6059739999999998E-6</v>
      </c>
      <c r="I6618">
        <v>23.414359999999999</v>
      </c>
      <c r="J6618">
        <v>-362.39049999999997</v>
      </c>
      <c r="K6618">
        <v>1.120471</v>
      </c>
      <c r="L6618">
        <v>17.987670000000001</v>
      </c>
      <c r="M6618">
        <v>0.99983889999999997</v>
      </c>
      <c r="N6618">
        <v>-1.2114099999999999E-2</v>
      </c>
      <c r="O6618">
        <v>-1.3251300000000001E-2</v>
      </c>
      <c r="P6618">
        <v>0.99451270000000003</v>
      </c>
      <c r="Q6618">
        <v>-0.1033886</v>
      </c>
      <c r="R6618">
        <v>1.5973859999999999E-2</v>
      </c>
      <c r="S6618">
        <v>2.993347</v>
      </c>
      <c r="T6618">
        <v>-0.12777040000000001</v>
      </c>
      <c r="U6618">
        <v>0.61865230000000004</v>
      </c>
      <c r="V6618">
        <v>-2.918434E-2</v>
      </c>
      <c r="W6618">
        <v>-9.1326679999999993E-2</v>
      </c>
      <c r="X6618">
        <v>0.99539319999999998</v>
      </c>
      <c r="Y6618">
        <v>-0.21510940000000001</v>
      </c>
      <c r="Z6618">
        <v>6.259171E-3</v>
      </c>
      <c r="AA6618">
        <v>0.97656989999999999</v>
      </c>
      <c r="AB6618">
        <v>18</v>
      </c>
      <c r="AC6618">
        <v>26.150600000000001</v>
      </c>
      <c r="AD6618">
        <v>-1.1204736059739999</v>
      </c>
      <c r="AE6618">
        <v>5.4266899999999998</v>
      </c>
      <c r="AF6618">
        <v>-5.7626256895664802</v>
      </c>
      <c r="AG6618">
        <v>-1.1204736059739999</v>
      </c>
      <c r="AH6618">
        <v>26.030572049813699</v>
      </c>
      <c r="AI6618">
        <v>92.406553399060996</v>
      </c>
      <c r="AJ6618">
        <v>102.482767699571</v>
      </c>
      <c r="AK6618">
        <v>26.684339924013099</v>
      </c>
      <c r="AL6618">
        <v>95.239934843102503</v>
      </c>
      <c r="AM6618">
        <v>91.679397265012199</v>
      </c>
      <c r="AN6618">
        <v>0.99999995539364805</v>
      </c>
    </row>
    <row r="6619" spans="1:40" x14ac:dyDescent="0.25">
      <c r="A6619" t="str">
        <f>"20190303154941437"</f>
        <v>20190303154941437</v>
      </c>
      <c r="B6619" t="str">
        <f>"1551599381427402"</f>
        <v>1551599381427402</v>
      </c>
      <c r="C6619" t="s">
        <v>40</v>
      </c>
      <c r="D6619">
        <v>4.6496690000000003</v>
      </c>
      <c r="E6619">
        <v>0.42772520000000003</v>
      </c>
      <c r="F6619" t="s">
        <v>41</v>
      </c>
      <c r="G6619">
        <v>-336.01459999999997</v>
      </c>
      <c r="H6619" s="1">
        <v>-2.7099449999999999E-6</v>
      </c>
      <c r="I6619">
        <v>23.442019999999999</v>
      </c>
      <c r="J6619">
        <v>-362.29489999999998</v>
      </c>
      <c r="K6619">
        <v>1.1204609999999999</v>
      </c>
      <c r="L6619">
        <v>17.986239999999999</v>
      </c>
      <c r="M6619">
        <v>0.99983849999999996</v>
      </c>
      <c r="N6619">
        <v>-1.1989669999999999E-2</v>
      </c>
      <c r="O6619">
        <v>-1.3390630000000001E-2</v>
      </c>
      <c r="P6619">
        <v>0.99451160000000005</v>
      </c>
      <c r="Q6619">
        <v>-0.10341119999999999</v>
      </c>
      <c r="R6619">
        <v>1.590915E-2</v>
      </c>
      <c r="S6619">
        <v>2.9933779999999999</v>
      </c>
      <c r="T6619">
        <v>-0.12716169999999999</v>
      </c>
      <c r="U6619">
        <v>0.61901859999999997</v>
      </c>
      <c r="V6619">
        <v>-2.9258940000000001E-2</v>
      </c>
      <c r="W6619">
        <v>-9.1473009999999993E-2</v>
      </c>
      <c r="X6619">
        <v>0.99537759999999997</v>
      </c>
      <c r="Y6619">
        <v>-0.21536040000000001</v>
      </c>
      <c r="Z6619">
        <v>6.2338890000000003E-3</v>
      </c>
      <c r="AA6619">
        <v>0.97651480000000002</v>
      </c>
      <c r="AB6619">
        <v>18</v>
      </c>
      <c r="AC6619">
        <v>26.2803</v>
      </c>
      <c r="AD6619">
        <v>-1.1204637099449899</v>
      </c>
      <c r="AE6619">
        <v>5.4557799999999999</v>
      </c>
      <c r="AF6619">
        <v>-5.7971234740627402</v>
      </c>
      <c r="AG6619">
        <v>-1.1204637099449899</v>
      </c>
      <c r="AH6619">
        <v>26.159295350346799</v>
      </c>
      <c r="AI6619">
        <v>92.394588198857093</v>
      </c>
      <c r="AJ6619">
        <v>102.495297078622</v>
      </c>
      <c r="AK6619">
        <v>26.817360286305401</v>
      </c>
      <c r="AL6619">
        <v>95.248354036655002</v>
      </c>
      <c r="AM6619">
        <v>91.683713986752394</v>
      </c>
      <c r="AN6619">
        <v>0.999999981855071</v>
      </c>
    </row>
    <row r="6620" spans="1:40" x14ac:dyDescent="0.25">
      <c r="A6620" t="str">
        <f>"20190303154941450"</f>
        <v>20190303154941450</v>
      </c>
      <c r="B6620" t="str">
        <f>"1551599381447898"</f>
        <v>1551599381447898</v>
      </c>
      <c r="C6620" t="s">
        <v>40</v>
      </c>
      <c r="D6620">
        <v>4.6665650000000003</v>
      </c>
      <c r="E6620">
        <v>0.4274212</v>
      </c>
      <c r="F6620" t="s">
        <v>41</v>
      </c>
      <c r="G6620">
        <v>-335.95699999999999</v>
      </c>
      <c r="H6620" s="1">
        <v>-2.734943E-6</v>
      </c>
      <c r="I6620">
        <v>23.443079999999998</v>
      </c>
      <c r="J6620">
        <v>-362.1968</v>
      </c>
      <c r="K6620">
        <v>1.120449</v>
      </c>
      <c r="L6620">
        <v>17.984739999999999</v>
      </c>
      <c r="M6620">
        <v>0.99983789999999995</v>
      </c>
      <c r="N6620">
        <v>-1.187154E-2</v>
      </c>
      <c r="O6620">
        <v>-1.353335E-2</v>
      </c>
      <c r="P6620">
        <v>0.99450240000000001</v>
      </c>
      <c r="Q6620">
        <v>-0.1035146</v>
      </c>
      <c r="R6620">
        <v>1.5804619999999998E-2</v>
      </c>
      <c r="S6620">
        <v>2.993439</v>
      </c>
      <c r="T6620">
        <v>-0.12734680000000001</v>
      </c>
      <c r="U6620">
        <v>0.62020869999999995</v>
      </c>
      <c r="V6620">
        <v>-2.9296780000000001E-2</v>
      </c>
      <c r="W6620">
        <v>-9.1694010000000006E-2</v>
      </c>
      <c r="X6620">
        <v>0.99535609999999997</v>
      </c>
      <c r="Y6620">
        <v>-0.21586730000000001</v>
      </c>
      <c r="Z6620">
        <v>6.2477799999999997E-3</v>
      </c>
      <c r="AA6620">
        <v>0.97640269999999996</v>
      </c>
      <c r="AB6620">
        <v>18</v>
      </c>
      <c r="AC6620">
        <v>26.239799999999999</v>
      </c>
      <c r="AD6620">
        <v>-1.1204517349429901</v>
      </c>
      <c r="AE6620">
        <v>5.4583399999999997</v>
      </c>
      <c r="AF6620">
        <v>-5.8028358520153196</v>
      </c>
      <c r="AG6620">
        <v>-1.1204517349429901</v>
      </c>
      <c r="AH6620">
        <v>26.117875458245599</v>
      </c>
      <c r="AI6620">
        <v>92.398066867319798</v>
      </c>
      <c r="AJ6620">
        <v>102.526431888594</v>
      </c>
      <c r="AK6620">
        <v>26.778195130893302</v>
      </c>
      <c r="AL6620">
        <v>95.261070120931194</v>
      </c>
      <c r="AM6620">
        <v>91.685926639181801</v>
      </c>
      <c r="AN6620">
        <v>0.99999992929772596</v>
      </c>
    </row>
    <row r="6621" spans="1:40" x14ac:dyDescent="0.25">
      <c r="A6621" t="str">
        <f>"20190303154941468"</f>
        <v>20190303154941468</v>
      </c>
      <c r="B6621" t="str">
        <f>"1551599381457657"</f>
        <v>1551599381457657</v>
      </c>
      <c r="C6621" t="s">
        <v>40</v>
      </c>
      <c r="D6621">
        <v>4.6906780000000001</v>
      </c>
      <c r="E6621">
        <v>0.4273228</v>
      </c>
      <c r="F6621" t="s">
        <v>41</v>
      </c>
      <c r="G6621">
        <v>-335.92039999999997</v>
      </c>
      <c r="H6621" s="1">
        <v>-2.7517740000000002E-6</v>
      </c>
      <c r="I6621">
        <v>23.447340000000001</v>
      </c>
      <c r="J6621">
        <v>-362.0455</v>
      </c>
      <c r="K6621">
        <v>1.12043</v>
      </c>
      <c r="L6621">
        <v>17.982420000000001</v>
      </c>
      <c r="M6621">
        <v>0.99983699999999998</v>
      </c>
      <c r="N6621">
        <v>-1.169595E-2</v>
      </c>
      <c r="O6621">
        <v>-1.375441E-2</v>
      </c>
      <c r="P6621">
        <v>0.99446270000000003</v>
      </c>
      <c r="Q6621">
        <v>-0.1039178</v>
      </c>
      <c r="R6621">
        <v>1.5648909999999999E-2</v>
      </c>
      <c r="S6621">
        <v>2.993439</v>
      </c>
      <c r="T6621">
        <v>-0.12764310000000001</v>
      </c>
      <c r="U6621">
        <v>0.62231449999999999</v>
      </c>
      <c r="V6621">
        <v>-2.93607E-2</v>
      </c>
      <c r="W6621">
        <v>-9.2272300000000002E-2</v>
      </c>
      <c r="X6621">
        <v>0.99530079999999999</v>
      </c>
      <c r="Y6621">
        <v>-0.21674009999999999</v>
      </c>
      <c r="Z6621">
        <v>6.2729279999999997E-3</v>
      </c>
      <c r="AA6621">
        <v>0.9762092</v>
      </c>
      <c r="AB6621">
        <v>18</v>
      </c>
      <c r="AC6621">
        <v>26.1251</v>
      </c>
      <c r="AD6621">
        <v>-1.120432751774</v>
      </c>
      <c r="AE6621">
        <v>5.4649199999999896</v>
      </c>
      <c r="AF6621">
        <v>-5.8135182805194896</v>
      </c>
      <c r="AG6621">
        <v>-1.120432751774</v>
      </c>
      <c r="AH6621">
        <v>26.001636252495601</v>
      </c>
      <c r="AI6621">
        <v>92.408016793548796</v>
      </c>
      <c r="AJ6621">
        <v>102.603072396605</v>
      </c>
      <c r="AK6621">
        <v>26.6671605566899</v>
      </c>
      <c r="AL6621">
        <v>95.2943446279819</v>
      </c>
      <c r="AM6621">
        <v>91.689696702303294</v>
      </c>
      <c r="AN6621">
        <v>0.999999955266209</v>
      </c>
    </row>
    <row r="6622" spans="1:40" x14ac:dyDescent="0.25">
      <c r="A6622" t="str">
        <f>"20190303154941484"</f>
        <v>20190303154941484</v>
      </c>
      <c r="B6622" t="str">
        <f>"1551599381477177"</f>
        <v>1551599381477177</v>
      </c>
      <c r="C6622" t="s">
        <v>40</v>
      </c>
      <c r="D6622">
        <v>4.6806679999999998</v>
      </c>
      <c r="E6622">
        <v>0.4270968</v>
      </c>
      <c r="F6622" t="s">
        <v>41</v>
      </c>
      <c r="G6622">
        <v>-335.98090000000002</v>
      </c>
      <c r="H6622" s="1">
        <v>-2.713741E-6</v>
      </c>
      <c r="I6622">
        <v>23.401789999999998</v>
      </c>
      <c r="J6622">
        <v>-361.92910000000001</v>
      </c>
      <c r="K6622">
        <v>1.1204179999999999</v>
      </c>
      <c r="L6622">
        <v>17.980619999999998</v>
      </c>
      <c r="M6622">
        <v>0.99983630000000001</v>
      </c>
      <c r="N6622">
        <v>-1.1563510000000001E-2</v>
      </c>
      <c r="O6622">
        <v>-1.392554E-2</v>
      </c>
      <c r="P6622">
        <v>0.99443530000000002</v>
      </c>
      <c r="Q6622">
        <v>-0.1042476</v>
      </c>
      <c r="R6622">
        <v>1.5213890000000001E-2</v>
      </c>
      <c r="S6622">
        <v>2.993439</v>
      </c>
      <c r="T6622">
        <v>-0.12867780000000001</v>
      </c>
      <c r="U6622">
        <v>0.62240600000000001</v>
      </c>
      <c r="V6622">
        <v>-2.9096049999999998E-2</v>
      </c>
      <c r="W6622">
        <v>-9.2734200000000003E-2</v>
      </c>
      <c r="X6622">
        <v>0.99526570000000003</v>
      </c>
      <c r="Y6622">
        <v>-0.2169325</v>
      </c>
      <c r="Z6622">
        <v>6.3124640000000003E-3</v>
      </c>
      <c r="AA6622">
        <v>0.97616619999999998</v>
      </c>
      <c r="AB6622">
        <v>18</v>
      </c>
      <c r="AC6622">
        <v>25.9481999999999</v>
      </c>
      <c r="AD6622">
        <v>-1.1204207137410001</v>
      </c>
      <c r="AE6622">
        <v>5.4211699999999903</v>
      </c>
      <c r="AF6622">
        <v>-5.7717001615794699</v>
      </c>
      <c r="AG6622">
        <v>-1.1204207137410001</v>
      </c>
      <c r="AH6622">
        <v>25.824052187302801</v>
      </c>
      <c r="AI6622">
        <v>92.424572465834999</v>
      </c>
      <c r="AJ6622">
        <v>102.59860660648999</v>
      </c>
      <c r="AK6622">
        <v>26.484892612648</v>
      </c>
      <c r="AL6622">
        <v>95.320923203114802</v>
      </c>
      <c r="AM6622">
        <v>91.674533929463095</v>
      </c>
      <c r="AN6622">
        <v>1.0000000127858599</v>
      </c>
    </row>
    <row r="6623" spans="1:40" x14ac:dyDescent="0.25">
      <c r="A6623" t="str">
        <f>"20190303154941505"</f>
        <v>20190303154941505</v>
      </c>
      <c r="B6623" t="str">
        <f>"1551599381497673"</f>
        <v>1551599381497673</v>
      </c>
      <c r="C6623" t="s">
        <v>40</v>
      </c>
      <c r="D6623">
        <v>4.7178500000000003</v>
      </c>
      <c r="E6623">
        <v>0.42687059999999999</v>
      </c>
      <c r="F6623" t="s">
        <v>41</v>
      </c>
      <c r="G6623">
        <v>-336.07769999999999</v>
      </c>
      <c r="H6623" s="1">
        <v>-2.6610809999999999E-6</v>
      </c>
      <c r="I6623">
        <v>23.360060000000001</v>
      </c>
      <c r="J6623">
        <v>-361.74369999999999</v>
      </c>
      <c r="K6623">
        <v>1.1203989999999999</v>
      </c>
      <c r="L6623">
        <v>17.977689999999999</v>
      </c>
      <c r="M6623">
        <v>0.99983480000000002</v>
      </c>
      <c r="N6623">
        <v>-1.1350560000000001E-2</v>
      </c>
      <c r="O6623">
        <v>-1.420038E-2</v>
      </c>
      <c r="P6623">
        <v>0.99442390000000003</v>
      </c>
      <c r="Q6623">
        <v>-0.1045001</v>
      </c>
      <c r="R6623">
        <v>1.4190309999999999E-2</v>
      </c>
      <c r="S6623">
        <v>2.9936219999999998</v>
      </c>
      <c r="T6623">
        <v>-0.1297461</v>
      </c>
      <c r="U6623">
        <v>0.62295529999999999</v>
      </c>
      <c r="V6623">
        <v>-2.834592E-2</v>
      </c>
      <c r="W6623">
        <v>-9.3198980000000001E-2</v>
      </c>
      <c r="X6623">
        <v>0.99524389999999996</v>
      </c>
      <c r="Y6623">
        <v>-0.21735699999999999</v>
      </c>
      <c r="Z6623">
        <v>6.3550589999999997E-3</v>
      </c>
      <c r="AA6623">
        <v>0.97607149999999998</v>
      </c>
      <c r="AB6623">
        <v>18</v>
      </c>
      <c r="AC6623">
        <v>25.666</v>
      </c>
      <c r="AD6623">
        <v>-1.1204016610809999</v>
      </c>
      <c r="AE6623">
        <v>5.3823699999999999</v>
      </c>
      <c r="AF6623">
        <v>-5.7358478552735903</v>
      </c>
      <c r="AG6623">
        <v>-1.1204016610809999</v>
      </c>
      <c r="AH6623">
        <v>25.540355708743199</v>
      </c>
      <c r="AI6623">
        <v>92.450866303818003</v>
      </c>
      <c r="AJ6623">
        <v>102.657465585682</v>
      </c>
      <c r="AK6623">
        <v>26.200477480956899</v>
      </c>
      <c r="AL6623">
        <v>95.347669136904898</v>
      </c>
      <c r="AM6623">
        <v>91.631421850369406</v>
      </c>
      <c r="AN6623">
        <v>0.99999998077044805</v>
      </c>
    </row>
    <row r="6624" spans="1:40" x14ac:dyDescent="0.25">
      <c r="A6624" t="str">
        <f>"20190303154941526"</f>
        <v>20190303154941526</v>
      </c>
      <c r="B6624" t="str">
        <f>"1551599381517192"</f>
        <v>1551599381517192</v>
      </c>
      <c r="C6624" t="s">
        <v>40</v>
      </c>
      <c r="D6624">
        <v>4.7388680000000001</v>
      </c>
      <c r="E6624">
        <v>0.42665029999999998</v>
      </c>
      <c r="F6624" t="s">
        <v>41</v>
      </c>
      <c r="G6624">
        <v>-336.10700000000003</v>
      </c>
      <c r="H6624" s="1">
        <v>-2.6327990000000002E-6</v>
      </c>
      <c r="I6624">
        <v>23.300940000000001</v>
      </c>
      <c r="J6624">
        <v>-361.56369999999998</v>
      </c>
      <c r="K6624">
        <v>1.1203749999999999</v>
      </c>
      <c r="L6624">
        <v>17.97485</v>
      </c>
      <c r="M6624">
        <v>0.99983350000000004</v>
      </c>
      <c r="N6624">
        <v>-1.11398E-2</v>
      </c>
      <c r="O6624">
        <v>-1.4469060000000001E-2</v>
      </c>
      <c r="P6624">
        <v>0.99444180000000004</v>
      </c>
      <c r="Q6624">
        <v>-0.104505</v>
      </c>
      <c r="R6624">
        <v>1.2842910000000001E-2</v>
      </c>
      <c r="S6624">
        <v>2.9942319999999998</v>
      </c>
      <c r="T6624">
        <v>-0.13085659999999999</v>
      </c>
      <c r="U6624">
        <v>0.62173459999999903</v>
      </c>
      <c r="V6624">
        <v>-2.726665E-2</v>
      </c>
      <c r="W6624">
        <v>-9.3413650000000001E-2</v>
      </c>
      <c r="X6624">
        <v>0.99525390000000002</v>
      </c>
      <c r="Y6624">
        <v>-0.2171952</v>
      </c>
      <c r="Z6624">
        <v>6.3832539999999997E-3</v>
      </c>
      <c r="AA6624">
        <v>0.97610730000000001</v>
      </c>
      <c r="AB6624">
        <v>18</v>
      </c>
      <c r="AC6624">
        <v>25.456700000000001</v>
      </c>
      <c r="AD6624">
        <v>-1.1203776327989901</v>
      </c>
      <c r="AE6624">
        <v>5.3260899999999998</v>
      </c>
      <c r="AF6624">
        <v>-5.6833428362985599</v>
      </c>
      <c r="AG6624">
        <v>-1.1203776327989901</v>
      </c>
      <c r="AH6624">
        <v>25.329960574424099</v>
      </c>
      <c r="AI6624">
        <v>92.471254985483995</v>
      </c>
      <c r="AJ6624">
        <v>102.646150156717</v>
      </c>
      <c r="AK6624">
        <v>25.9838899038782</v>
      </c>
      <c r="AL6624">
        <v>95.360022865423801</v>
      </c>
      <c r="AM6624">
        <v>91.569321431887701</v>
      </c>
      <c r="AN6624">
        <v>0.99999995283687604</v>
      </c>
    </row>
    <row r="6625" spans="1:40" x14ac:dyDescent="0.25">
      <c r="A6625" t="str">
        <f>"20190303154941542"</f>
        <v>20190303154941542</v>
      </c>
      <c r="B6625" t="str">
        <f>"1551599381537689"</f>
        <v>1551599381537689</v>
      </c>
      <c r="C6625" t="s">
        <v>40</v>
      </c>
      <c r="D6625">
        <v>4.7665129999999998</v>
      </c>
      <c r="E6625">
        <v>0.42645949999999999</v>
      </c>
      <c r="F6625" t="s">
        <v>41</v>
      </c>
      <c r="G6625">
        <v>-335.99489999999997</v>
      </c>
      <c r="H6625" s="1">
        <v>-2.6707570000000002E-6</v>
      </c>
      <c r="I6625">
        <v>23.26285</v>
      </c>
      <c r="J6625">
        <v>-361.43430000000001</v>
      </c>
      <c r="K6625">
        <v>1.1203609999999999</v>
      </c>
      <c r="L6625">
        <v>17.972719999999999</v>
      </c>
      <c r="M6625">
        <v>0.99983219999999995</v>
      </c>
      <c r="N6625">
        <v>-1.0987759999999999E-2</v>
      </c>
      <c r="O6625">
        <v>-1.4662390000000001E-2</v>
      </c>
      <c r="P6625">
        <v>0.99445689999999998</v>
      </c>
      <c r="Q6625">
        <v>-0.104431</v>
      </c>
      <c r="R6625">
        <v>1.223602E-2</v>
      </c>
      <c r="S6625">
        <v>2.9949949999999999</v>
      </c>
      <c r="T6625">
        <v>-0.13123479999999901</v>
      </c>
      <c r="U6625">
        <v>0.6194153</v>
      </c>
      <c r="V6625">
        <v>-2.6851679999999999E-2</v>
      </c>
      <c r="W6625">
        <v>-9.3490970000000007E-2</v>
      </c>
      <c r="X6625">
        <v>0.99525799999999998</v>
      </c>
      <c r="Y6625">
        <v>-0.21660950000000001</v>
      </c>
      <c r="Z6625">
        <v>6.3734050000000004E-3</v>
      </c>
      <c r="AA6625">
        <v>0.97623749999999998</v>
      </c>
      <c r="AB6625">
        <v>18</v>
      </c>
      <c r="AC6625">
        <v>25.439399999999999</v>
      </c>
      <c r="AD6625">
        <v>-1.1203636707569999</v>
      </c>
      <c r="AE6625">
        <v>5.2901299999999898</v>
      </c>
      <c r="AF6625">
        <v>-5.6520779813930204</v>
      </c>
      <c r="AG6625">
        <v>-1.1203636707569999</v>
      </c>
      <c r="AH6625">
        <v>25.3120350112663</v>
      </c>
      <c r="AI6625">
        <v>92.473538830810298</v>
      </c>
      <c r="AJ6625">
        <v>102.587426004112</v>
      </c>
      <c r="AK6625">
        <v>25.959590071379701</v>
      </c>
      <c r="AL6625">
        <v>95.364472030578199</v>
      </c>
      <c r="AM6625">
        <v>91.545443303597395</v>
      </c>
      <c r="AN6625">
        <v>1.0000000303771801</v>
      </c>
    </row>
    <row r="6626" spans="1:40" x14ac:dyDescent="0.25">
      <c r="A6626" t="str">
        <f>"20190303154941560"</f>
        <v>20190303154941560</v>
      </c>
      <c r="B6626" t="str">
        <f>"1551599381547451"</f>
        <v>1551599381547451</v>
      </c>
      <c r="C6626" t="s">
        <v>40</v>
      </c>
      <c r="D6626">
        <v>4.8075279999999996</v>
      </c>
      <c r="E6626">
        <v>0.42645949999999999</v>
      </c>
      <c r="F6626" t="s">
        <v>41</v>
      </c>
      <c r="G6626">
        <v>-335.95389999999998</v>
      </c>
      <c r="H6626" s="1">
        <v>-2.6823510000000001E-6</v>
      </c>
      <c r="I6626">
        <v>23.24033</v>
      </c>
      <c r="J6626">
        <v>-361.28609999999998</v>
      </c>
      <c r="K6626">
        <v>1.1203399999999999</v>
      </c>
      <c r="L6626">
        <v>17.97034</v>
      </c>
      <c r="M6626">
        <v>0.99983089999999997</v>
      </c>
      <c r="N6626">
        <v>-1.081381E-2</v>
      </c>
      <c r="O6626">
        <v>-1.488398E-2</v>
      </c>
      <c r="P6626">
        <v>0.99445700000000004</v>
      </c>
      <c r="Q6626">
        <v>-0.104564</v>
      </c>
      <c r="R6626">
        <v>1.1046530000000001E-2</v>
      </c>
      <c r="S6626">
        <v>2.9952999999999999</v>
      </c>
      <c r="T6626">
        <v>-0.13170209999999999</v>
      </c>
      <c r="U6626">
        <v>0.61923219999999901</v>
      </c>
      <c r="V6626">
        <v>-2.5882780000000001E-2</v>
      </c>
      <c r="W6626">
        <v>-9.37973E-2</v>
      </c>
      <c r="X6626">
        <v>0.9952548</v>
      </c>
      <c r="Y6626">
        <v>-0.21674769999999999</v>
      </c>
      <c r="Z6626">
        <v>6.3863629999999999E-3</v>
      </c>
      <c r="AA6626">
        <v>0.97620680000000004</v>
      </c>
      <c r="AB6626">
        <v>19</v>
      </c>
      <c r="AC6626">
        <v>25.3322</v>
      </c>
      <c r="AD6626">
        <v>-1.1203426823510001</v>
      </c>
      <c r="AE6626">
        <v>5.26999</v>
      </c>
      <c r="AF6626">
        <v>-5.6359058976706597</v>
      </c>
      <c r="AG6626">
        <v>-1.1203426823510001</v>
      </c>
      <c r="AH6626">
        <v>25.2036985911095</v>
      </c>
      <c r="AI6626">
        <v>92.483943407328397</v>
      </c>
      <c r="AJ6626">
        <v>102.60478873478201</v>
      </c>
      <c r="AK6626">
        <v>25.8504356962274</v>
      </c>
      <c r="AL6626">
        <v>95.382101160683902</v>
      </c>
      <c r="AM6626">
        <v>91.489708835553003</v>
      </c>
      <c r="AN6626">
        <v>0.99999998435542903</v>
      </c>
    </row>
    <row r="6627" spans="1:40" x14ac:dyDescent="0.25">
      <c r="A6627" t="str">
        <f>"20190303154941583"</f>
        <v>20190303154941583</v>
      </c>
      <c r="B6627" t="str">
        <f>"1551599381577706"</f>
        <v>1551599381577706</v>
      </c>
      <c r="C6627" t="s">
        <v>40</v>
      </c>
      <c r="D6627">
        <v>4.7261119999999996</v>
      </c>
      <c r="E6627">
        <v>0.4210219</v>
      </c>
      <c r="F6627" t="s">
        <v>41</v>
      </c>
      <c r="G6627">
        <v>-335.84570000000002</v>
      </c>
      <c r="H6627" s="1">
        <v>-2.7174379999999998E-6</v>
      </c>
      <c r="I6627">
        <v>23.197849999999999</v>
      </c>
      <c r="J6627">
        <v>-361.09820000000002</v>
      </c>
      <c r="K6627">
        <v>1.1203149999999999</v>
      </c>
      <c r="L6627">
        <v>17.96716</v>
      </c>
      <c r="M6627">
        <v>0.99982890000000002</v>
      </c>
      <c r="N6627">
        <v>-1.0599809999999999E-2</v>
      </c>
      <c r="O6627">
        <v>-1.516355E-2</v>
      </c>
      <c r="P6627">
        <v>0.99441800000000002</v>
      </c>
      <c r="Q6627">
        <v>-0.1050021</v>
      </c>
      <c r="R6627">
        <v>1.0382199999999999E-2</v>
      </c>
      <c r="S6627">
        <v>2.9960019999999998</v>
      </c>
      <c r="T6627">
        <v>-0.131938</v>
      </c>
      <c r="U6627">
        <v>0.61563109999999999</v>
      </c>
      <c r="V6627">
        <v>-2.5496319999999999E-2</v>
      </c>
      <c r="W6627">
        <v>-9.4448859999999996E-2</v>
      </c>
      <c r="X6627">
        <v>0.99520319999999995</v>
      </c>
      <c r="Y6627">
        <v>-0.21585070000000001</v>
      </c>
      <c r="Z6627">
        <v>6.3598190000000001E-3</v>
      </c>
      <c r="AA6627">
        <v>0.97640570000000004</v>
      </c>
      <c r="AB6627">
        <v>19</v>
      </c>
      <c r="AC6627">
        <v>25.252500000000001</v>
      </c>
      <c r="AD6627">
        <v>-1.1203177174379999</v>
      </c>
      <c r="AE6627">
        <v>5.2306899999999903</v>
      </c>
      <c r="AF6627">
        <v>-5.6024543625025203</v>
      </c>
      <c r="AG6627">
        <v>-1.1203177174379999</v>
      </c>
      <c r="AH6627">
        <v>25.122862972727699</v>
      </c>
      <c r="AI6627">
        <v>92.492194250095395</v>
      </c>
      <c r="AJ6627">
        <v>102.57138848158399</v>
      </c>
      <c r="AK6627">
        <v>25.764332916230899</v>
      </c>
      <c r="AL6627">
        <v>95.419599025543803</v>
      </c>
      <c r="AM6627">
        <v>91.467551603813803</v>
      </c>
      <c r="AN6627">
        <v>1.0000000293895399</v>
      </c>
    </row>
    <row r="6628" spans="1:40" x14ac:dyDescent="0.25">
      <c r="A6628" t="str">
        <f>"20190303154941596"</f>
        <v>20190303154941596</v>
      </c>
      <c r="B6628" t="str">
        <f>"1551599381587466"</f>
        <v>1551599381587466</v>
      </c>
      <c r="C6628" t="s">
        <v>40</v>
      </c>
      <c r="D6628">
        <v>4.7510450000000004</v>
      </c>
      <c r="E6628">
        <v>0.42085319999999998</v>
      </c>
      <c r="F6628" t="s">
        <v>41</v>
      </c>
      <c r="G6628">
        <v>-341.96609999999998</v>
      </c>
      <c r="H6628" s="1">
        <v>-4.0607529999999999E-6</v>
      </c>
      <c r="I6628">
        <v>22.17465</v>
      </c>
      <c r="J6628">
        <v>-360.98540000000003</v>
      </c>
      <c r="K6628">
        <v>1.1203000000000001</v>
      </c>
      <c r="L6628">
        <v>17.96527</v>
      </c>
      <c r="M6628">
        <v>0.99982760000000004</v>
      </c>
      <c r="N6628">
        <v>-1.04761E-2</v>
      </c>
      <c r="O6628">
        <v>-1.533121E-2</v>
      </c>
      <c r="P6628">
        <v>0.99439690000000003</v>
      </c>
      <c r="Q6628">
        <v>-0.10519100000000001</v>
      </c>
      <c r="R6628">
        <v>1.0482089999999999E-2</v>
      </c>
      <c r="S6628">
        <v>2.9915159999999998</v>
      </c>
      <c r="T6628">
        <v>-0.175174</v>
      </c>
      <c r="U6628">
        <v>0.65789790000000004</v>
      </c>
      <c r="V6628">
        <v>-2.5762730000000001E-2</v>
      </c>
      <c r="W6628">
        <v>-9.4761020000000001E-2</v>
      </c>
      <c r="X6628">
        <v>0.99516669999999996</v>
      </c>
      <c r="Y6628">
        <v>-0.2292759</v>
      </c>
      <c r="Z6628">
        <v>8.5726499999999994E-3</v>
      </c>
      <c r="AA6628">
        <v>0.97332379999999996</v>
      </c>
      <c r="AB6628">
        <v>19</v>
      </c>
      <c r="AC6628">
        <v>19.019300000000001</v>
      </c>
      <c r="AD6628">
        <v>-1.1203040607529999</v>
      </c>
      <c r="AE6628">
        <v>4.2093800000000003</v>
      </c>
      <c r="AF6628">
        <v>-4.4856533091423101</v>
      </c>
      <c r="AG6628">
        <v>-1.1203040607529999</v>
      </c>
      <c r="AH6628">
        <v>18.890045096431599</v>
      </c>
      <c r="AI6628">
        <v>93.302421841124001</v>
      </c>
      <c r="AJ6628">
        <v>103.35811557903099</v>
      </c>
      <c r="AK6628">
        <v>19.447621205267701</v>
      </c>
      <c r="AL6628">
        <v>95.437564861056899</v>
      </c>
      <c r="AM6628">
        <v>91.482933542541502</v>
      </c>
      <c r="AN6628">
        <v>1.00000006497868</v>
      </c>
    </row>
    <row r="6629" spans="1:40" x14ac:dyDescent="0.25">
      <c r="A6629" t="str">
        <f>"20190303154941615"</f>
        <v>20190303154941615</v>
      </c>
      <c r="B6629" t="str">
        <f>"1551599381607961"</f>
        <v>1551599381607961</v>
      </c>
      <c r="C6629" t="s">
        <v>40</v>
      </c>
      <c r="D6629">
        <v>4.7728349999999997</v>
      </c>
      <c r="E6629">
        <v>0.42056090000000002</v>
      </c>
      <c r="F6629" t="s">
        <v>41</v>
      </c>
      <c r="G6629">
        <v>-341.80059999999997</v>
      </c>
      <c r="H6629" s="1">
        <v>-4.1207089999999998E-6</v>
      </c>
      <c r="I6629">
        <v>22.195</v>
      </c>
      <c r="J6629">
        <v>-360.82260000000002</v>
      </c>
      <c r="K6629">
        <v>1.1202829999999999</v>
      </c>
      <c r="L6629">
        <v>17.962489999999999</v>
      </c>
      <c r="M6629">
        <v>0.99982579999999999</v>
      </c>
      <c r="N6629">
        <v>-1.0306330000000001E-2</v>
      </c>
      <c r="O6629">
        <v>-1.557302E-2</v>
      </c>
      <c r="P6629">
        <v>0.99437430000000004</v>
      </c>
      <c r="Q6629">
        <v>-0.10538210000000001</v>
      </c>
      <c r="R6629">
        <v>1.0695329999999999E-2</v>
      </c>
      <c r="S6629">
        <v>2.9914550000000002</v>
      </c>
      <c r="T6629">
        <v>-0.1746868</v>
      </c>
      <c r="U6629">
        <v>0.65954590000000002</v>
      </c>
      <c r="V6629">
        <v>-2.6216420000000001E-2</v>
      </c>
      <c r="W6629">
        <v>-9.5121250000000004E-2</v>
      </c>
      <c r="X6629">
        <v>0.99512040000000002</v>
      </c>
      <c r="Y6629">
        <v>-0.23002839999999999</v>
      </c>
      <c r="Z6629">
        <v>8.5715349999999999E-3</v>
      </c>
      <c r="AA6629">
        <v>0.97314619999999996</v>
      </c>
      <c r="AB6629">
        <v>19</v>
      </c>
      <c r="AC6629">
        <v>19.021999999999998</v>
      </c>
      <c r="AD6629">
        <v>-1.1202871207089999</v>
      </c>
      <c r="AE6629">
        <v>4.2325100000000004</v>
      </c>
      <c r="AF6629">
        <v>-4.5133261925325003</v>
      </c>
      <c r="AG6629">
        <v>-1.1202871207089999</v>
      </c>
      <c r="AH6629">
        <v>18.891342301113799</v>
      </c>
      <c r="AI6629">
        <v>93.301070171804994</v>
      </c>
      <c r="AJ6629">
        <v>103.43665501842101</v>
      </c>
      <c r="AK6629">
        <v>19.4552813007389</v>
      </c>
      <c r="AL6629">
        <v>95.458298629167601</v>
      </c>
      <c r="AM6629">
        <v>91.509106689210398</v>
      </c>
      <c r="AN6629">
        <v>0.99999998168766902</v>
      </c>
    </row>
    <row r="6630" spans="1:40" x14ac:dyDescent="0.25">
      <c r="A6630" t="str">
        <f>"20190303154941630"</f>
        <v>20190303154941630</v>
      </c>
      <c r="B6630" t="str">
        <f>"1551599381627481"</f>
        <v>1551599381627481</v>
      </c>
      <c r="C6630" t="s">
        <v>40</v>
      </c>
      <c r="D6630">
        <v>4.8022049999999998</v>
      </c>
      <c r="E6630">
        <v>0.42039310000000002</v>
      </c>
      <c r="F6630" t="s">
        <v>41</v>
      </c>
      <c r="G6630">
        <v>-341.60919999999999</v>
      </c>
      <c r="H6630" s="1">
        <v>-4.1897709999999999E-6</v>
      </c>
      <c r="I6630">
        <v>22.217199999999998</v>
      </c>
      <c r="J6630">
        <v>-360.70049999999998</v>
      </c>
      <c r="K6630">
        <v>1.1202719999999999</v>
      </c>
      <c r="L6630">
        <v>17.96039</v>
      </c>
      <c r="M6630">
        <v>0.99982409999999999</v>
      </c>
      <c r="N6630">
        <v>-1.018585E-2</v>
      </c>
      <c r="O6630">
        <v>-1.5754310000000001E-2</v>
      </c>
      <c r="P6630">
        <v>0.99440390000000001</v>
      </c>
      <c r="Q6630">
        <v>-0.1050994</v>
      </c>
      <c r="R6630">
        <v>1.072181E-2</v>
      </c>
      <c r="S6630">
        <v>2.991425</v>
      </c>
      <c r="T6630">
        <v>-0.17442199999999999</v>
      </c>
      <c r="U6630">
        <v>0.66244510000000001</v>
      </c>
      <c r="V6630">
        <v>-2.6423240000000001E-2</v>
      </c>
      <c r="W6630">
        <v>-9.4958009999999995E-2</v>
      </c>
      <c r="X6630">
        <v>0.99513050000000003</v>
      </c>
      <c r="Y6630">
        <v>-0.2311058</v>
      </c>
      <c r="Z6630">
        <v>8.5925830000000009E-3</v>
      </c>
      <c r="AA6630">
        <v>0.9728907</v>
      </c>
      <c r="AB6630">
        <v>19</v>
      </c>
      <c r="AC6630">
        <v>19.091299999999901</v>
      </c>
      <c r="AD6630">
        <v>-1.1202761897710001</v>
      </c>
      <c r="AE6630">
        <v>4.25680999999999</v>
      </c>
      <c r="AF6630">
        <v>-4.5421680214842297</v>
      </c>
      <c r="AG6630">
        <v>-1.1202761897710001</v>
      </c>
      <c r="AH6630">
        <v>18.9596712995986</v>
      </c>
      <c r="AI6630">
        <v>93.288677269519198</v>
      </c>
      <c r="AJ6630">
        <v>103.47243440298099</v>
      </c>
      <c r="AK6630">
        <v>19.528324169410599</v>
      </c>
      <c r="AL6630">
        <v>95.448903246643695</v>
      </c>
      <c r="AM6630">
        <v>91.520990954215804</v>
      </c>
      <c r="AN6630">
        <v>0.99999996165275296</v>
      </c>
    </row>
    <row r="6631" spans="1:40" x14ac:dyDescent="0.25">
      <c r="A6631" t="str">
        <f>"20190303154941647"</f>
        <v>20190303154941647</v>
      </c>
      <c r="B6631" t="str">
        <f>"1551599381637242"</f>
        <v>1551599381637242</v>
      </c>
      <c r="C6631" t="s">
        <v>40</v>
      </c>
      <c r="D6631">
        <v>4.7923369999999998</v>
      </c>
      <c r="E6631">
        <v>0.42025400000000002</v>
      </c>
      <c r="F6631" t="s">
        <v>41</v>
      </c>
      <c r="G6631">
        <v>-341.44690000000003</v>
      </c>
      <c r="H6631" s="1">
        <v>-4.2477449999999998E-6</v>
      </c>
      <c r="I6631">
        <v>22.23274</v>
      </c>
      <c r="J6631">
        <v>-360.55329999999998</v>
      </c>
      <c r="K6631">
        <v>1.1202570000000001</v>
      </c>
      <c r="L6631">
        <v>17.957820000000002</v>
      </c>
      <c r="M6631">
        <v>0.99982199999999999</v>
      </c>
      <c r="N6631">
        <v>-1.0048090000000001E-2</v>
      </c>
      <c r="O6631">
        <v>-1.5972469999999999E-2</v>
      </c>
      <c r="P6631">
        <v>0.9944056</v>
      </c>
      <c r="Q6631">
        <v>-0.1050302</v>
      </c>
      <c r="R6631">
        <v>1.123646E-2</v>
      </c>
      <c r="S6631">
        <v>2.991333</v>
      </c>
      <c r="T6631">
        <v>-0.17405190000000001</v>
      </c>
      <c r="U6631">
        <v>0.66378780000000004</v>
      </c>
      <c r="V6631">
        <v>-2.7155240000000001E-2</v>
      </c>
      <c r="W6631">
        <v>-9.5025730000000003E-2</v>
      </c>
      <c r="X6631">
        <v>0.9951044</v>
      </c>
      <c r="Y6631">
        <v>-0.2317418</v>
      </c>
      <c r="Z6631">
        <v>8.5943859999999903E-3</v>
      </c>
      <c r="AA6631">
        <v>0.97273940000000003</v>
      </c>
      <c r="AB6631">
        <v>19</v>
      </c>
      <c r="AC6631">
        <v>19.106399999999901</v>
      </c>
      <c r="AD6631">
        <v>-1.120261247745</v>
      </c>
      <c r="AE6631">
        <v>4.2749199999999901</v>
      </c>
      <c r="AF6631">
        <v>-4.5646222403783696</v>
      </c>
      <c r="AG6631">
        <v>-1.120261247745</v>
      </c>
      <c r="AH6631">
        <v>18.973560229263601</v>
      </c>
      <c r="AI6631">
        <v>93.285481212353901</v>
      </c>
      <c r="AJ6631">
        <v>103.527045532058</v>
      </c>
      <c r="AK6631">
        <v>19.547039398181202</v>
      </c>
      <c r="AL6631">
        <v>95.452800559279595</v>
      </c>
      <c r="AM6631">
        <v>91.563147147973496</v>
      </c>
      <c r="AN6631">
        <v>1.0000000316604201</v>
      </c>
    </row>
    <row r="6632" spans="1:40" x14ac:dyDescent="0.25">
      <c r="A6632" t="str">
        <f>"20190303154941672"</f>
        <v>20190303154941672</v>
      </c>
      <c r="B6632" t="str">
        <f>"1551599381667498"</f>
        <v>1551599381667498</v>
      </c>
      <c r="C6632" t="s">
        <v>40</v>
      </c>
      <c r="D6632">
        <v>4.8384429999999998</v>
      </c>
      <c r="E6632">
        <v>0.41988930000000002</v>
      </c>
      <c r="F6632" t="s">
        <v>41</v>
      </c>
      <c r="G6632">
        <v>-341.25959999999998</v>
      </c>
      <c r="H6632" s="1">
        <v>-4.3157229999999996E-6</v>
      </c>
      <c r="I6632">
        <v>22.256519999999998</v>
      </c>
      <c r="J6632">
        <v>-360.35590000000002</v>
      </c>
      <c r="K6632">
        <v>1.120239</v>
      </c>
      <c r="L6632">
        <v>17.954350000000002</v>
      </c>
      <c r="M6632">
        <v>0.99981900000000001</v>
      </c>
      <c r="N6632">
        <v>-9.87648E-3</v>
      </c>
      <c r="O6632">
        <v>-1.626522E-2</v>
      </c>
      <c r="P6632">
        <v>0.99435419999999997</v>
      </c>
      <c r="Q6632">
        <v>-0.1055232</v>
      </c>
      <c r="R6632">
        <v>1.1156350000000001E-2</v>
      </c>
      <c r="S6632">
        <v>2.9909970000000001</v>
      </c>
      <c r="T6632">
        <v>-0.17366709999999999</v>
      </c>
      <c r="U6632">
        <v>0.66641240000000002</v>
      </c>
      <c r="V6632">
        <v>-2.7366069999999999E-2</v>
      </c>
      <c r="W6632">
        <v>-9.5689880000000005E-2</v>
      </c>
      <c r="X6632">
        <v>0.99503490000000006</v>
      </c>
      <c r="Y6632">
        <v>-0.2328633</v>
      </c>
      <c r="Z6632">
        <v>8.6121530000000009E-3</v>
      </c>
      <c r="AA6632">
        <v>0.97247139999999999</v>
      </c>
      <c r="AB6632">
        <v>19</v>
      </c>
      <c r="AC6632">
        <v>19.096299999999999</v>
      </c>
      <c r="AD6632">
        <v>-1.1202433157230001</v>
      </c>
      <c r="AE6632">
        <v>4.3021699999999896</v>
      </c>
      <c r="AF6632">
        <v>-4.5971652835403001</v>
      </c>
      <c r="AG6632">
        <v>-1.1202433157230001</v>
      </c>
      <c r="AH6632">
        <v>18.961692914382802</v>
      </c>
      <c r="AI6632">
        <v>93.286083306672396</v>
      </c>
      <c r="AJ6632">
        <v>103.628111438723</v>
      </c>
      <c r="AK6632">
        <v>19.543148976302799</v>
      </c>
      <c r="AL6632">
        <v>95.491028179817206</v>
      </c>
      <c r="AM6632">
        <v>91.575387114667507</v>
      </c>
      <c r="AN6632">
        <v>0.99999995356983296</v>
      </c>
    </row>
    <row r="6633" spans="1:40" x14ac:dyDescent="0.25">
      <c r="A6633" t="str">
        <f>"20190303154941687"</f>
        <v>20190303154941687</v>
      </c>
      <c r="B6633" t="str">
        <f>"1551599381677257"</f>
        <v>1551599381677257</v>
      </c>
      <c r="C6633" t="s">
        <v>40</v>
      </c>
      <c r="D6633">
        <v>4.8068210000000002</v>
      </c>
      <c r="E6633">
        <v>0.41994949999999998</v>
      </c>
      <c r="F6633" t="s">
        <v>41</v>
      </c>
      <c r="G6633">
        <v>-341.22500000000002</v>
      </c>
      <c r="H6633" s="1">
        <v>-4.3234820000000001E-6</v>
      </c>
      <c r="I6633">
        <v>22.234010000000001</v>
      </c>
      <c r="J6633">
        <v>-360.2251</v>
      </c>
      <c r="K6633">
        <v>1.1202270000000001</v>
      </c>
      <c r="L6633">
        <v>17.952000000000002</v>
      </c>
      <c r="M6633">
        <v>0.99981690000000001</v>
      </c>
      <c r="N6633">
        <v>-9.7698460000000004E-3</v>
      </c>
      <c r="O6633">
        <v>-1.6459000000000001E-2</v>
      </c>
      <c r="P6633">
        <v>0.99432609999999999</v>
      </c>
      <c r="Q6633">
        <v>-0.1057932</v>
      </c>
      <c r="R6633">
        <v>1.111535E-2</v>
      </c>
      <c r="S6633">
        <v>2.990936</v>
      </c>
      <c r="T6633">
        <v>-0.1751395</v>
      </c>
      <c r="U6633">
        <v>0.66909790000000002</v>
      </c>
      <c r="V6633">
        <v>-2.7517369999999999E-2</v>
      </c>
      <c r="W6633">
        <v>-9.6066239999999997E-2</v>
      </c>
      <c r="X6633">
        <v>0.9949945</v>
      </c>
      <c r="Y6633">
        <v>-0.2338788</v>
      </c>
      <c r="Z6633">
        <v>8.7089369999999999E-3</v>
      </c>
      <c r="AA6633">
        <v>0.9722267</v>
      </c>
      <c r="AB6633">
        <v>19</v>
      </c>
      <c r="AC6633">
        <v>19.0000999999999</v>
      </c>
      <c r="AD6633">
        <v>-1.1202313234819901</v>
      </c>
      <c r="AE6633">
        <v>4.2820099999999996</v>
      </c>
      <c r="AF6633">
        <v>-4.57901929144397</v>
      </c>
      <c r="AG6633">
        <v>-1.1202313234819901</v>
      </c>
      <c r="AH6633">
        <v>18.864637692563701</v>
      </c>
      <c r="AI6633">
        <v>93.302701503844503</v>
      </c>
      <c r="AJ6633">
        <v>103.64355649799801</v>
      </c>
      <c r="AK6633">
        <v>19.444713707360702</v>
      </c>
      <c r="AL6633">
        <v>95.512691612898493</v>
      </c>
      <c r="AM6633">
        <v>91.584156887859507</v>
      </c>
      <c r="AN6633">
        <v>0.99999999157485198</v>
      </c>
    </row>
    <row r="6634" spans="1:40" x14ac:dyDescent="0.25">
      <c r="A6634" t="str">
        <f>"20190303154941707"</f>
        <v>20190303154941707</v>
      </c>
      <c r="B6634" t="str">
        <f>"1551599381697754"</f>
        <v>1551599381697754</v>
      </c>
      <c r="C6634" t="s">
        <v>40</v>
      </c>
      <c r="D6634">
        <v>4.7861409999999998</v>
      </c>
      <c r="E6634">
        <v>0.41951080000000002</v>
      </c>
      <c r="F6634" t="s">
        <v>41</v>
      </c>
      <c r="G6634">
        <v>-341.28</v>
      </c>
      <c r="H6634" s="1">
        <v>-4.296368E-6</v>
      </c>
      <c r="I6634">
        <v>22.186599999999999</v>
      </c>
      <c r="J6634">
        <v>-360.05579999999998</v>
      </c>
      <c r="K6634">
        <v>1.120207</v>
      </c>
      <c r="L6634">
        <v>17.948879999999999</v>
      </c>
      <c r="M6634">
        <v>0.99981390000000003</v>
      </c>
      <c r="N6634">
        <v>-9.6401270000000001E-3</v>
      </c>
      <c r="O6634">
        <v>-1.6709890000000002E-2</v>
      </c>
      <c r="P6634">
        <v>0.9942474</v>
      </c>
      <c r="Q6634">
        <v>-0.1065543</v>
      </c>
      <c r="R6634">
        <v>1.087785E-2</v>
      </c>
      <c r="S6634">
        <v>2.9908139999999999</v>
      </c>
      <c r="T6634">
        <v>-0.1768477</v>
      </c>
      <c r="U6634">
        <v>0.6685181</v>
      </c>
      <c r="V6634">
        <v>-2.7528270000000001E-2</v>
      </c>
      <c r="W6634">
        <v>-9.6957089999999996E-2</v>
      </c>
      <c r="X6634">
        <v>0.99490780000000001</v>
      </c>
      <c r="Y6634">
        <v>-0.2339434</v>
      </c>
      <c r="Z6634">
        <v>8.7856800000000006E-3</v>
      </c>
      <c r="AA6634">
        <v>0.97221049999999998</v>
      </c>
      <c r="AB6634">
        <v>19</v>
      </c>
      <c r="AC6634">
        <v>18.7758</v>
      </c>
      <c r="AD6634">
        <v>-1.120211296368</v>
      </c>
      <c r="AE6634">
        <v>4.2377200000000004</v>
      </c>
      <c r="AF6634">
        <v>-4.5355222603736101</v>
      </c>
      <c r="AG6634">
        <v>-1.120211296368</v>
      </c>
      <c r="AH6634">
        <v>18.639230704902602</v>
      </c>
      <c r="AI6634">
        <v>93.342031445940705</v>
      </c>
      <c r="AJ6634">
        <v>103.67611116967601</v>
      </c>
      <c r="AK6634">
        <v>19.2157944616775</v>
      </c>
      <c r="AL6634">
        <v>95.563972864490694</v>
      </c>
      <c r="AM6634">
        <v>91.5849221073439</v>
      </c>
      <c r="AN6634">
        <v>1.00000000672565</v>
      </c>
    </row>
    <row r="6635" spans="1:40" x14ac:dyDescent="0.25">
      <c r="A6635" t="str">
        <f>"20190303154941728"</f>
        <v>20190303154941728</v>
      </c>
      <c r="B6635" t="str">
        <f>"1551599381717275"</f>
        <v>1551599381717275</v>
      </c>
      <c r="C6635" t="s">
        <v>40</v>
      </c>
      <c r="D6635">
        <v>4.8636030000000003</v>
      </c>
      <c r="E6635">
        <v>0.41943359999999902</v>
      </c>
      <c r="F6635" t="s">
        <v>41</v>
      </c>
      <c r="G6635">
        <v>-341.36930000000001</v>
      </c>
      <c r="H6635" s="1">
        <v>-4.258217E-6</v>
      </c>
      <c r="I6635">
        <v>22.14293</v>
      </c>
      <c r="J6635">
        <v>-359.87110000000001</v>
      </c>
      <c r="K6635">
        <v>1.120188</v>
      </c>
      <c r="L6635">
        <v>17.94547</v>
      </c>
      <c r="M6635">
        <v>0.99981070000000005</v>
      </c>
      <c r="N6635">
        <v>-9.5063669999999999E-3</v>
      </c>
      <c r="O6635">
        <v>-1.6984019999999999E-2</v>
      </c>
      <c r="P6635">
        <v>0.99415869999999995</v>
      </c>
      <c r="Q6635">
        <v>-0.1074195</v>
      </c>
      <c r="R6635">
        <v>1.047588E-2</v>
      </c>
      <c r="S6635">
        <v>2.9907530000000002</v>
      </c>
      <c r="T6635">
        <v>-0.17928849999999999</v>
      </c>
      <c r="U6635">
        <v>0.67126459999999999</v>
      </c>
      <c r="V6635">
        <v>-2.7397950000000001E-2</v>
      </c>
      <c r="W6635">
        <v>-9.7956139999999997E-2</v>
      </c>
      <c r="X6635">
        <v>0.99481350000000002</v>
      </c>
      <c r="Y6635">
        <v>-0.23505010000000001</v>
      </c>
      <c r="Z6635">
        <v>8.9307910000000004E-3</v>
      </c>
      <c r="AA6635">
        <v>0.97194219999999998</v>
      </c>
      <c r="AB6635">
        <v>19</v>
      </c>
      <c r="AC6635">
        <v>18.501799999999999</v>
      </c>
      <c r="AD6635">
        <v>-1.1201922582170001</v>
      </c>
      <c r="AE6635">
        <v>4.1974600000000004</v>
      </c>
      <c r="AF6635">
        <v>-4.4954313314060199</v>
      </c>
      <c r="AG6635">
        <v>-1.1201922582170001</v>
      </c>
      <c r="AH6635">
        <v>18.3638169434346</v>
      </c>
      <c r="AI6635">
        <v>93.390837563549695</v>
      </c>
      <c r="AJ6635">
        <v>103.755398497854</v>
      </c>
      <c r="AK6635">
        <v>18.939205534624001</v>
      </c>
      <c r="AL6635">
        <v>95.621488171124099</v>
      </c>
      <c r="AM6635">
        <v>91.577572269505495</v>
      </c>
      <c r="AN6635">
        <v>0.99999997640507499</v>
      </c>
    </row>
    <row r="6636" spans="1:40" x14ac:dyDescent="0.25">
      <c r="A6636" t="str">
        <f>"20190303154941887"</f>
        <v>20190303154941887</v>
      </c>
      <c r="B6636" t="str">
        <f>"1551599381877338"</f>
        <v>1551599381877338</v>
      </c>
      <c r="C6636" t="s">
        <v>40</v>
      </c>
      <c r="D6636">
        <v>5.8751119999999997</v>
      </c>
      <c r="E6636">
        <v>0.44031100000000001</v>
      </c>
      <c r="F6636" t="s">
        <v>41</v>
      </c>
      <c r="G6636">
        <v>-341.39800000000002</v>
      </c>
      <c r="H6636" s="1">
        <v>-4.2386450000000001E-6</v>
      </c>
      <c r="I6636">
        <v>22.08756</v>
      </c>
      <c r="J6636">
        <v>-358.50779999999997</v>
      </c>
      <c r="K6636">
        <v>1.120079</v>
      </c>
      <c r="L6636">
        <v>17.919039999999999</v>
      </c>
      <c r="M6636">
        <v>0.99978750000000005</v>
      </c>
      <c r="N6636">
        <v>-8.5193919999999902E-3</v>
      </c>
      <c r="O6636">
        <v>-1.8773990000000001E-2</v>
      </c>
      <c r="P6636">
        <v>0.99368730000000005</v>
      </c>
      <c r="Q6636">
        <v>-0.11213289999999999</v>
      </c>
      <c r="R6636">
        <v>3.4497109999999998E-3</v>
      </c>
      <c r="S6636">
        <v>2.9909669999999999</v>
      </c>
      <c r="T6636">
        <v>-0.1813689</v>
      </c>
      <c r="U6636">
        <v>0.67065430000000004</v>
      </c>
      <c r="V6636">
        <v>-2.213211E-2</v>
      </c>
      <c r="W6636">
        <v>-0.1036596</v>
      </c>
      <c r="X6636">
        <v>0.99436659999999999</v>
      </c>
      <c r="Y6636">
        <v>-0.23657610000000001</v>
      </c>
      <c r="Z6636">
        <v>9.0659859999999998E-3</v>
      </c>
      <c r="AA6636">
        <v>0.97157070000000001</v>
      </c>
      <c r="AB6636">
        <v>19</v>
      </c>
      <c r="AC6636">
        <v>17.1097999999999</v>
      </c>
      <c r="AD6636">
        <v>-1.1200832386449999</v>
      </c>
      <c r="AE6636">
        <v>4.16852</v>
      </c>
      <c r="AF6636">
        <v>-4.4709291354358003</v>
      </c>
      <c r="AG6636">
        <v>-1.1200832386449999</v>
      </c>
      <c r="AH6636">
        <v>16.959910943411799</v>
      </c>
      <c r="AI6636">
        <v>93.654019009762294</v>
      </c>
      <c r="AJ6636">
        <v>104.76818736462999</v>
      </c>
      <c r="AK6636">
        <v>17.575049729774399</v>
      </c>
      <c r="AL6636">
        <v>95.949945645777206</v>
      </c>
      <c r="AM6636">
        <v>91.275050023692103</v>
      </c>
      <c r="AN6636">
        <v>1.00000003908038</v>
      </c>
    </row>
    <row r="6637" spans="1:40" x14ac:dyDescent="0.25">
      <c r="A6637" t="str">
        <f>"20190303154941906"</f>
        <v>20190303154941906</v>
      </c>
      <c r="B6637" t="str">
        <f>"1551599381897833"</f>
        <v>1551599381897833</v>
      </c>
      <c r="C6637" t="s">
        <v>40</v>
      </c>
      <c r="D6637">
        <v>4.7464870000000001</v>
      </c>
      <c r="E6637">
        <v>0.59087509999999999</v>
      </c>
      <c r="F6637" t="s">
        <v>43</v>
      </c>
      <c r="G6637">
        <v>-312.88920000000002</v>
      </c>
      <c r="H6637">
        <v>-0.05</v>
      </c>
      <c r="I6637">
        <v>25.201250000000002</v>
      </c>
      <c r="J6637">
        <v>-358.33280000000002</v>
      </c>
      <c r="K6637">
        <v>1.1200680000000001</v>
      </c>
      <c r="L6637">
        <v>17.915559999999999</v>
      </c>
      <c r="M6637">
        <v>0.99978619999999996</v>
      </c>
      <c r="N6637">
        <v>-8.3523360000000001E-3</v>
      </c>
      <c r="O6637">
        <v>-1.8913470000000002E-2</v>
      </c>
      <c r="P6637">
        <v>0.99354640000000005</v>
      </c>
      <c r="Q6637">
        <v>-0.11342430000000001</v>
      </c>
      <c r="R6637">
        <v>6.0705679999999997E-4</v>
      </c>
      <c r="S6637">
        <v>3.0086979999999999</v>
      </c>
      <c r="T6637">
        <v>-7.7170610000000001E-2</v>
      </c>
      <c r="U6637">
        <v>0.48028559999999998</v>
      </c>
      <c r="V6637">
        <v>-1.942021E-2</v>
      </c>
      <c r="W6637">
        <v>-0.10511959999999999</v>
      </c>
      <c r="X6637">
        <v>0.99426999999999999</v>
      </c>
      <c r="Y6637">
        <v>-0.1762079</v>
      </c>
      <c r="Z6637">
        <v>3.311123E-3</v>
      </c>
      <c r="AA6637">
        <v>0.98434739999999998</v>
      </c>
      <c r="AB6637">
        <v>20</v>
      </c>
      <c r="AC6637">
        <v>45.443600000000004</v>
      </c>
      <c r="AD6637">
        <v>-1.1700680000000001</v>
      </c>
      <c r="AE6637">
        <v>7.2856899999999998</v>
      </c>
      <c r="AF6637">
        <v>-8.1386525931466895</v>
      </c>
      <c r="AG6637">
        <v>-1.1700680000000001</v>
      </c>
      <c r="AH6637">
        <v>45.268409821465198</v>
      </c>
      <c r="AI6637">
        <v>91.457259811323794</v>
      </c>
      <c r="AJ6637">
        <v>100.192128982936</v>
      </c>
      <c r="AK6637">
        <v>46.009082287312403</v>
      </c>
      <c r="AL6637">
        <v>96.034056942871899</v>
      </c>
      <c r="AM6637">
        <v>91.118966280064399</v>
      </c>
      <c r="AN6637">
        <v>1.0000000538803</v>
      </c>
    </row>
    <row r="6638" spans="1:40" x14ac:dyDescent="0.25">
      <c r="A6638" t="str">
        <f>"20190303154941923"</f>
        <v>20190303154941923</v>
      </c>
      <c r="B6638" t="str">
        <f>"1551599381917354"</f>
        <v>1551599381917354</v>
      </c>
      <c r="C6638" t="s">
        <v>40</v>
      </c>
      <c r="D6638">
        <v>4.8577490000000001</v>
      </c>
      <c r="E6638">
        <v>0.58246830000000005</v>
      </c>
      <c r="F6638" t="s">
        <v>68</v>
      </c>
      <c r="G6638">
        <v>-279.02</v>
      </c>
      <c r="H6638">
        <v>1.870485</v>
      </c>
      <c r="I6638">
        <v>-1.2865489999999999</v>
      </c>
      <c r="J6638">
        <v>-358.19130000000001</v>
      </c>
      <c r="K6638">
        <v>1.120061</v>
      </c>
      <c r="L6638">
        <v>17.912779999999898</v>
      </c>
      <c r="M6638">
        <v>0.99978579999999995</v>
      </c>
      <c r="N6638">
        <v>-8.2106980000000006E-3</v>
      </c>
      <c r="O6638">
        <v>-1.9004340000000002E-2</v>
      </c>
      <c r="P6638">
        <v>0.99348610000000004</v>
      </c>
      <c r="Q6638">
        <v>-0.11395089999999999</v>
      </c>
      <c r="R6638">
        <v>-8.9379330000000003E-4</v>
      </c>
      <c r="S6638">
        <v>3.023193</v>
      </c>
      <c r="T6638">
        <v>2.860391E-2</v>
      </c>
      <c r="U6638">
        <v>-0.73193359999999996</v>
      </c>
      <c r="V6638">
        <v>-1.8003700000000001E-2</v>
      </c>
      <c r="W6638">
        <v>-0.1057884</v>
      </c>
      <c r="X6638">
        <v>0.99422569999999999</v>
      </c>
      <c r="Y6638">
        <v>0.21679599999999999</v>
      </c>
      <c r="Z6638">
        <v>-2.2277979999999999E-4</v>
      </c>
      <c r="AA6638">
        <v>0.97621690000000005</v>
      </c>
      <c r="AB6638">
        <v>20</v>
      </c>
      <c r="AC6638">
        <v>79.171300000000002</v>
      </c>
      <c r="AD6638">
        <v>0.75042399999999998</v>
      </c>
      <c r="AE6638">
        <v>-19.199328999999999</v>
      </c>
      <c r="AF6638">
        <v>17.689711536826099</v>
      </c>
      <c r="AG6638">
        <v>0.75042399999999998</v>
      </c>
      <c r="AH6638">
        <v>79.515136637357102</v>
      </c>
      <c r="AI6638">
        <v>89.472190109099301</v>
      </c>
      <c r="AJ6638">
        <v>77.457678813337395</v>
      </c>
      <c r="AK6638">
        <v>81.462543447239995</v>
      </c>
      <c r="AL6638">
        <v>96.072591360487706</v>
      </c>
      <c r="AM6638">
        <v>91.037413635310401</v>
      </c>
      <c r="AN6638">
        <v>1.0000000306643599</v>
      </c>
    </row>
    <row r="6639" spans="1:40" x14ac:dyDescent="0.25">
      <c r="A6639" t="str">
        <f>"20190303154941937"</f>
        <v>20190303154941937</v>
      </c>
      <c r="B6639" t="str">
        <f>"1551599381927114"</f>
        <v>1551599381927114</v>
      </c>
      <c r="C6639" t="s">
        <v>40</v>
      </c>
      <c r="D6639">
        <v>4.906142</v>
      </c>
      <c r="E6639">
        <v>0.57983229999999997</v>
      </c>
      <c r="F6639" t="s">
        <v>68</v>
      </c>
      <c r="G6639">
        <v>-279.02</v>
      </c>
      <c r="H6639">
        <v>0.63728119999999999</v>
      </c>
      <c r="I6639">
        <v>0.37752720000000001</v>
      </c>
      <c r="J6639">
        <v>-358.05</v>
      </c>
      <c r="K6639">
        <v>1.1200460000000001</v>
      </c>
      <c r="L6639">
        <v>17.909970000000001</v>
      </c>
      <c r="M6639">
        <v>0.9997857</v>
      </c>
      <c r="N6639">
        <v>-8.0639570000000001E-3</v>
      </c>
      <c r="O6639">
        <v>-1.9070190000000001E-2</v>
      </c>
      <c r="P6639">
        <v>0.99332350000000003</v>
      </c>
      <c r="Q6639">
        <v>-0.1153019</v>
      </c>
      <c r="R6639">
        <v>-3.7096529999999998E-3</v>
      </c>
      <c r="S6639">
        <v>3.0169679999999999</v>
      </c>
      <c r="T6639">
        <v>-1.8397210000000001E-2</v>
      </c>
      <c r="U6639">
        <v>-0.6682129</v>
      </c>
      <c r="V6639">
        <v>-1.52458E-2</v>
      </c>
      <c r="W6639">
        <v>-0.1072873</v>
      </c>
      <c r="X6639">
        <v>0.99411119999999997</v>
      </c>
      <c r="Y6639">
        <v>0.19757720000000001</v>
      </c>
      <c r="Z6639">
        <v>-1.43858299999999E-3</v>
      </c>
      <c r="AA6639">
        <v>0.98028630000000005</v>
      </c>
      <c r="AB6639">
        <v>20</v>
      </c>
      <c r="AC6639">
        <v>79.03</v>
      </c>
      <c r="AD6639">
        <v>-0.48276479999999899</v>
      </c>
      <c r="AE6639">
        <v>-17.532442799999998</v>
      </c>
      <c r="AF6639">
        <v>16.021518457237999</v>
      </c>
      <c r="AG6639">
        <v>-0.48276479999999899</v>
      </c>
      <c r="AH6639">
        <v>79.347163137825902</v>
      </c>
      <c r="AI6639">
        <v>90.341699401725904</v>
      </c>
      <c r="AJ6639">
        <v>78.584510754670305</v>
      </c>
      <c r="AK6639">
        <v>80.949950052785695</v>
      </c>
      <c r="AL6639">
        <v>96.158963536091804</v>
      </c>
      <c r="AM6639">
        <v>90.878625572340397</v>
      </c>
      <c r="AN6639">
        <v>1.0000000385621799</v>
      </c>
    </row>
    <row r="6640" spans="1:40" x14ac:dyDescent="0.25">
      <c r="A6640" t="str">
        <f>"20190303154941951"</f>
        <v>20190303154941951</v>
      </c>
      <c r="B6640" t="str">
        <f>"1551599381947611"</f>
        <v>1551599381947611</v>
      </c>
      <c r="C6640" t="s">
        <v>40</v>
      </c>
      <c r="D6640">
        <v>4.9194389999999997</v>
      </c>
      <c r="E6640">
        <v>0.57658030000000005</v>
      </c>
      <c r="F6640" t="s">
        <v>68</v>
      </c>
      <c r="G6640">
        <v>-279.02</v>
      </c>
      <c r="H6640">
        <v>0.23544180000000001</v>
      </c>
      <c r="I6640">
        <v>0.7228909</v>
      </c>
      <c r="J6640">
        <v>-357.93470000000002</v>
      </c>
      <c r="K6640">
        <v>1.120039</v>
      </c>
      <c r="L6640">
        <v>17.907710000000002</v>
      </c>
      <c r="M6640">
        <v>0.99978599999999995</v>
      </c>
      <c r="N6640">
        <v>-7.9425539999999992E-3</v>
      </c>
      <c r="O6640">
        <v>-1.9105560000000001E-2</v>
      </c>
      <c r="P6640">
        <v>0.99328799999999995</v>
      </c>
      <c r="Q6640">
        <v>-0.115533399999999</v>
      </c>
      <c r="R6640">
        <v>-5.5663090000000002E-3</v>
      </c>
      <c r="S6640">
        <v>3.0137939999999999</v>
      </c>
      <c r="T6640">
        <v>-3.3734199999999999E-2</v>
      </c>
      <c r="U6640">
        <v>-0.65542599999999995</v>
      </c>
      <c r="V6640">
        <v>-1.342025E-2</v>
      </c>
      <c r="W6640">
        <v>-0.10764020000000001</v>
      </c>
      <c r="X6640">
        <v>0.99409930000000002</v>
      </c>
      <c r="Y6640">
        <v>0.19377949999999999</v>
      </c>
      <c r="Z6640">
        <v>-1.7892680000000001E-3</v>
      </c>
      <c r="AA6640">
        <v>0.98104349999999996</v>
      </c>
      <c r="AB6640">
        <v>20</v>
      </c>
      <c r="AC6640">
        <v>78.914699999999996</v>
      </c>
      <c r="AD6640">
        <v>-0.88459719999999997</v>
      </c>
      <c r="AE6640">
        <v>-17.184819099999999</v>
      </c>
      <c r="AF6640">
        <v>15.672045120842</v>
      </c>
      <c r="AG6640">
        <v>-0.88459719999999997</v>
      </c>
      <c r="AH6640">
        <v>79.219127377700005</v>
      </c>
      <c r="AI6640">
        <v>90.627601964648306</v>
      </c>
      <c r="AJ6640">
        <v>78.809580002105605</v>
      </c>
      <c r="AK6640">
        <v>80.759306912331894</v>
      </c>
      <c r="AL6640">
        <v>96.179301433974601</v>
      </c>
      <c r="AM6640">
        <v>90.773440820885895</v>
      </c>
      <c r="AN6640">
        <v>0.99999996701329497</v>
      </c>
    </row>
    <row r="6641" spans="1:40" x14ac:dyDescent="0.25">
      <c r="A6641" t="str">
        <f>"20190303154941965"</f>
        <v>20190303154941965</v>
      </c>
      <c r="B6641" t="str">
        <f>"1551599381957370"</f>
        <v>1551599381957370</v>
      </c>
      <c r="C6641" t="s">
        <v>40</v>
      </c>
      <c r="D6641">
        <v>4.8899739999999996</v>
      </c>
      <c r="E6641">
        <v>0.57473249999999998</v>
      </c>
      <c r="F6641" t="s">
        <v>43</v>
      </c>
      <c r="G6641">
        <v>-275.9742</v>
      </c>
      <c r="H6641">
        <v>-0.05</v>
      </c>
      <c r="I6641">
        <v>0.62976069999999995</v>
      </c>
      <c r="J6641">
        <v>-357.81810000000002</v>
      </c>
      <c r="K6641">
        <v>1.1200349999999999</v>
      </c>
      <c r="L6641">
        <v>17.905460000000001</v>
      </c>
      <c r="M6641">
        <v>0.99978639999999996</v>
      </c>
      <c r="N6641">
        <v>-7.8185549999999996E-3</v>
      </c>
      <c r="O6641">
        <v>-1.9131519999999999E-2</v>
      </c>
      <c r="P6641">
        <v>0.99324630000000003</v>
      </c>
      <c r="Q6641">
        <v>-0.1157982</v>
      </c>
      <c r="R6641">
        <v>-7.2362619999999898E-3</v>
      </c>
      <c r="S6641">
        <v>3.0116879999999999</v>
      </c>
      <c r="T6641">
        <v>-4.2993780000000002E-2</v>
      </c>
      <c r="U6641">
        <v>-0.63488769999999894</v>
      </c>
      <c r="V6641">
        <v>-1.177155E-2</v>
      </c>
      <c r="W6641">
        <v>-0.1080289</v>
      </c>
      <c r="X6641">
        <v>0.99407800000000002</v>
      </c>
      <c r="Y6641">
        <v>0.1874876</v>
      </c>
      <c r="Z6641">
        <v>-1.942668E-3</v>
      </c>
      <c r="AA6641">
        <v>0.9822651</v>
      </c>
      <c r="AB6641">
        <v>20</v>
      </c>
      <c r="AC6641">
        <v>81.843900000000005</v>
      </c>
      <c r="AD6641">
        <v>-1.1700349999999999</v>
      </c>
      <c r="AE6641">
        <v>-17.275699299999999</v>
      </c>
      <c r="AF6641">
        <v>15.703618645696</v>
      </c>
      <c r="AG6641">
        <v>-1.1700349999999999</v>
      </c>
      <c r="AH6641">
        <v>82.143368292772294</v>
      </c>
      <c r="AI6641">
        <v>90.801541656961803</v>
      </c>
      <c r="AJ6641">
        <v>79.177164126751606</v>
      </c>
      <c r="AK6641">
        <v>83.639139013698099</v>
      </c>
      <c r="AL6641">
        <v>96.201703090518706</v>
      </c>
      <c r="AM6641">
        <v>90.678446369923805</v>
      </c>
      <c r="AN6641">
        <v>0.99999994135430403</v>
      </c>
    </row>
    <row r="6642" spans="1:40" x14ac:dyDescent="0.25">
      <c r="A6642" t="str">
        <f>"20190303154941984"</f>
        <v>20190303154941984</v>
      </c>
      <c r="B6642" t="str">
        <f>"1551599381977866"</f>
        <v>1551599381977866</v>
      </c>
      <c r="C6642" t="s">
        <v>40</v>
      </c>
      <c r="D6642">
        <v>4.8654400000000004</v>
      </c>
      <c r="E6642">
        <v>0.57211969999999901</v>
      </c>
      <c r="F6642" t="s">
        <v>43</v>
      </c>
      <c r="G6642">
        <v>-286.91640000000001</v>
      </c>
      <c r="H6642">
        <v>-0.05</v>
      </c>
      <c r="I6642">
        <v>3.1806489999999998</v>
      </c>
      <c r="J6642">
        <v>-357.64010000000002</v>
      </c>
      <c r="K6642">
        <v>1.12002</v>
      </c>
      <c r="L6642">
        <v>17.902010000000001</v>
      </c>
      <c r="M6642">
        <v>0.9997876</v>
      </c>
      <c r="N6642">
        <v>-7.6258799999999998E-3</v>
      </c>
      <c r="O6642">
        <v>-1.9146469999999999E-2</v>
      </c>
      <c r="P6642">
        <v>0.99317770000000005</v>
      </c>
      <c r="Q6642">
        <v>-0.11607870000000001</v>
      </c>
      <c r="R6642">
        <v>-1.1143119999999999E-2</v>
      </c>
      <c r="S6642">
        <v>3.01004</v>
      </c>
      <c r="T6642">
        <v>-4.967237E-2</v>
      </c>
      <c r="U6642">
        <v>-0.62512209999999901</v>
      </c>
      <c r="V6642">
        <v>-7.8746730000000004E-3</v>
      </c>
      <c r="W6642">
        <v>-0.10850129999999999</v>
      </c>
      <c r="X6642">
        <v>0.99406510000000003</v>
      </c>
      <c r="Y6642">
        <v>0.18452099999999999</v>
      </c>
      <c r="Z6642">
        <v>-2.0495140000000001E-3</v>
      </c>
      <c r="AA6642">
        <v>0.98282639999999999</v>
      </c>
      <c r="AB6642">
        <v>20</v>
      </c>
      <c r="AC6642">
        <v>70.723699999999994</v>
      </c>
      <c r="AD6642">
        <v>-1.1700200000000001</v>
      </c>
      <c r="AE6642">
        <v>-14.7213609999999</v>
      </c>
      <c r="AF6642">
        <v>13.361008783010501</v>
      </c>
      <c r="AG6642">
        <v>-1.1700200000000001</v>
      </c>
      <c r="AH6642">
        <v>70.973987058799295</v>
      </c>
      <c r="AI6642">
        <v>90.928146407960497</v>
      </c>
      <c r="AJ6642">
        <v>79.338716549612798</v>
      </c>
      <c r="AK6642">
        <v>72.230134580538405</v>
      </c>
      <c r="AL6642">
        <v>96.228929395540007</v>
      </c>
      <c r="AM6642">
        <v>90.453869762184198</v>
      </c>
      <c r="AN6642">
        <v>0.99999998280727798</v>
      </c>
    </row>
    <row r="6643" spans="1:40" x14ac:dyDescent="0.25">
      <c r="A6643" t="str">
        <f>"20190303154941996"</f>
        <v>20190303154941996</v>
      </c>
      <c r="B6643" t="str">
        <f>"1551599381987626"</f>
        <v>1551599381987626</v>
      </c>
      <c r="C6643" t="s">
        <v>40</v>
      </c>
      <c r="D6643">
        <v>4.8428890000000004</v>
      </c>
      <c r="E6643">
        <v>0.57089730000000005</v>
      </c>
      <c r="F6643" t="s">
        <v>43</v>
      </c>
      <c r="G6643">
        <v>-295.62270000000001</v>
      </c>
      <c r="H6643">
        <v>-0.05</v>
      </c>
      <c r="I6643">
        <v>5.1989289999999997</v>
      </c>
      <c r="J6643">
        <v>-357.52980000000002</v>
      </c>
      <c r="K6643">
        <v>1.1200079999999999</v>
      </c>
      <c r="L6643">
        <v>17.899899999999999</v>
      </c>
      <c r="M6643">
        <v>0.99978869999999997</v>
      </c>
      <c r="N6643">
        <v>-7.50623E-3</v>
      </c>
      <c r="O6643">
        <v>-1.9145240000000001E-2</v>
      </c>
      <c r="P6643">
        <v>0.99313510000000005</v>
      </c>
      <c r="Q6643">
        <v>-0.1162448</v>
      </c>
      <c r="R6643">
        <v>-1.304665E-2</v>
      </c>
      <c r="S6643">
        <v>3.00705</v>
      </c>
      <c r="T6643">
        <v>-5.6730990000000002E-2</v>
      </c>
      <c r="U6643">
        <v>-0.61593629999999999</v>
      </c>
      <c r="V6643">
        <v>-5.9665940000000004E-3</v>
      </c>
      <c r="W6643">
        <v>-0.10878649999999999</v>
      </c>
      <c r="X6643">
        <v>0.99404720000000002</v>
      </c>
      <c r="Y6643">
        <v>0.18182880000000001</v>
      </c>
      <c r="Z6643">
        <v>-2.1719899999999999E-3</v>
      </c>
      <c r="AA6643">
        <v>0.98332779999999997</v>
      </c>
      <c r="AB6643">
        <v>20</v>
      </c>
      <c r="AC6643">
        <v>61.9071</v>
      </c>
      <c r="AD6643">
        <v>-1.1700079999999999</v>
      </c>
      <c r="AE6643">
        <v>-12.700970999999999</v>
      </c>
      <c r="AF6643">
        <v>11.5094384814916</v>
      </c>
      <c r="AG6643">
        <v>-1.1700079999999999</v>
      </c>
      <c r="AH6643">
        <v>62.117631073189003</v>
      </c>
      <c r="AI6643">
        <v>91.061004665710598</v>
      </c>
      <c r="AJ6643">
        <v>79.503017631794407</v>
      </c>
      <c r="AK6643">
        <v>63.185727684534299</v>
      </c>
      <c r="AL6643">
        <v>96.245367537983498</v>
      </c>
      <c r="AM6643">
        <v>90.343903739027198</v>
      </c>
      <c r="AN6643">
        <v>0.99999996932702495</v>
      </c>
    </row>
    <row r="6644" spans="1:40" x14ac:dyDescent="0.25">
      <c r="A6644" t="str">
        <f>"20190303154942010"</f>
        <v>20190303154942010</v>
      </c>
      <c r="B6644" t="str">
        <f>"1551599381997386"</f>
        <v>1551599381997386</v>
      </c>
      <c r="C6644" t="s">
        <v>40</v>
      </c>
      <c r="D6644">
        <v>4.844176</v>
      </c>
      <c r="E6644">
        <v>0.56968809999999903</v>
      </c>
      <c r="F6644" t="s">
        <v>43</v>
      </c>
      <c r="G6644">
        <v>-299.03840000000002</v>
      </c>
      <c r="H6644">
        <v>-0.05</v>
      </c>
      <c r="I6644">
        <v>5.9942469999999997</v>
      </c>
      <c r="J6644">
        <v>-357.41309999999999</v>
      </c>
      <c r="K6644">
        <v>1.1199920000000001</v>
      </c>
      <c r="L6644">
        <v>17.897670000000002</v>
      </c>
      <c r="M6644">
        <v>0.9997897</v>
      </c>
      <c r="N6644">
        <v>-7.3818159999999898E-3</v>
      </c>
      <c r="O6644">
        <v>-1.9137230000000002E-2</v>
      </c>
      <c r="P6644">
        <v>0.99308039999999997</v>
      </c>
      <c r="Q6644">
        <v>-0.1165171</v>
      </c>
      <c r="R6644">
        <v>-1.4664109999999999E-2</v>
      </c>
      <c r="S6644">
        <v>3.005646</v>
      </c>
      <c r="T6644">
        <v>-6.0122250000000002E-2</v>
      </c>
      <c r="U6644">
        <v>-0.61178589999999999</v>
      </c>
      <c r="V6644">
        <v>-4.3386839999999998E-3</v>
      </c>
      <c r="W6644">
        <v>-0.10918269999999999</v>
      </c>
      <c r="X6644">
        <v>0.99401220000000001</v>
      </c>
      <c r="Y6644">
        <v>0.18061949999999999</v>
      </c>
      <c r="Z6644">
        <v>-2.222702E-3</v>
      </c>
      <c r="AA6644">
        <v>0.98355049999999999</v>
      </c>
      <c r="AB6644">
        <v>20</v>
      </c>
      <c r="AC6644">
        <v>58.374699999999898</v>
      </c>
      <c r="AD6644">
        <v>-1.1699919999999999</v>
      </c>
      <c r="AE6644">
        <v>-11.903423</v>
      </c>
      <c r="AF6644">
        <v>10.7799249954071</v>
      </c>
      <c r="AG6644">
        <v>-1.1699919999999999</v>
      </c>
      <c r="AH6644">
        <v>58.569224997118297</v>
      </c>
      <c r="AI6644">
        <v>91.1255011616812</v>
      </c>
      <c r="AJ6644">
        <v>79.571175329504896</v>
      </c>
      <c r="AK6644">
        <v>59.5645010131852</v>
      </c>
      <c r="AL6644">
        <v>96.268204150462097</v>
      </c>
      <c r="AM6644">
        <v>90.250084157102506</v>
      </c>
      <c r="AN6644">
        <v>0.99999996995349005</v>
      </c>
    </row>
    <row r="6645" spans="1:40" x14ac:dyDescent="0.25">
      <c r="A6645" t="str">
        <f>"20190303154942027"</f>
        <v>20190303154942027</v>
      </c>
      <c r="B6645" t="str">
        <f>"1551599382017882"</f>
        <v>1551599382017882</v>
      </c>
      <c r="C6645" t="s">
        <v>40</v>
      </c>
      <c r="D6645">
        <v>4.8358530000000002</v>
      </c>
      <c r="E6645">
        <v>0.56779780000000002</v>
      </c>
      <c r="F6645" t="s">
        <v>43</v>
      </c>
      <c r="G6645">
        <v>-303.9547</v>
      </c>
      <c r="H6645">
        <v>-0.05</v>
      </c>
      <c r="I6645">
        <v>7.0993500000000003</v>
      </c>
      <c r="J6645">
        <v>-357.25529999999998</v>
      </c>
      <c r="K6645">
        <v>1.1199680000000001</v>
      </c>
      <c r="L6645">
        <v>17.894649999999999</v>
      </c>
      <c r="M6645">
        <v>0.99979130000000005</v>
      </c>
      <c r="N6645">
        <v>-7.2180940000000004E-3</v>
      </c>
      <c r="O6645">
        <v>-1.9117889999999998E-2</v>
      </c>
      <c r="P6645">
        <v>0.99293290000000001</v>
      </c>
      <c r="Q6645">
        <v>-0.1172372</v>
      </c>
      <c r="R6645">
        <v>-1.8439219999999999E-2</v>
      </c>
      <c r="S6645">
        <v>3.0042420000000001</v>
      </c>
      <c r="T6645">
        <v>-6.5750959999999997E-2</v>
      </c>
      <c r="U6645">
        <v>-0.60684199999999999</v>
      </c>
      <c r="V6645">
        <v>-5.4153959999999896E-4</v>
      </c>
      <c r="W6645">
        <v>-0.11006580000000001</v>
      </c>
      <c r="X6645">
        <v>0.99392409999999998</v>
      </c>
      <c r="Y6645">
        <v>0.17916679999999999</v>
      </c>
      <c r="Z6645">
        <v>-2.3167050000000001E-3</v>
      </c>
      <c r="AA6645">
        <v>0.98381600000000002</v>
      </c>
      <c r="AB6645">
        <v>20</v>
      </c>
      <c r="AC6645">
        <v>53.300599999999903</v>
      </c>
      <c r="AD6645">
        <v>-1.1699679999999999</v>
      </c>
      <c r="AE6645">
        <v>-10.7952999999999</v>
      </c>
      <c r="AF6645">
        <v>9.7697836991680695</v>
      </c>
      <c r="AG6645">
        <v>-1.1699679999999999</v>
      </c>
      <c r="AH6645">
        <v>53.472497960349102</v>
      </c>
      <c r="AI6645">
        <v>91.233015969504095</v>
      </c>
      <c r="AJ6645">
        <v>79.645881915383896</v>
      </c>
      <c r="AK6645">
        <v>54.370263350190697</v>
      </c>
      <c r="AL6645">
        <v>96.319109011997895</v>
      </c>
      <c r="AM6645">
        <v>90.031217605498099</v>
      </c>
      <c r="AN6645">
        <v>0.999999945077792</v>
      </c>
    </row>
    <row r="6646" spans="1:40" x14ac:dyDescent="0.25">
      <c r="A6646" t="str">
        <f>"20190303154942040"</f>
        <v>20190303154942040</v>
      </c>
      <c r="B6646" t="str">
        <f>"1551599382037401"</f>
        <v>1551599382037401</v>
      </c>
      <c r="C6646" t="s">
        <v>40</v>
      </c>
      <c r="D6646">
        <v>4.9713289999999999</v>
      </c>
      <c r="E6646">
        <v>0.56521269999999901</v>
      </c>
      <c r="F6646" t="s">
        <v>43</v>
      </c>
      <c r="G6646">
        <v>-309.58370000000002</v>
      </c>
      <c r="H6646">
        <v>-0.05</v>
      </c>
      <c r="I6646">
        <v>8.3188479999999991</v>
      </c>
      <c r="J6646">
        <v>-357.13299999999998</v>
      </c>
      <c r="K6646">
        <v>1.119955</v>
      </c>
      <c r="L6646">
        <v>17.892329999999902</v>
      </c>
      <c r="M6646">
        <v>0.99979249999999997</v>
      </c>
      <c r="N6646">
        <v>-7.0958449999999999E-3</v>
      </c>
      <c r="O6646">
        <v>-1.9096579999999998E-2</v>
      </c>
      <c r="P6646">
        <v>0.99282210000000004</v>
      </c>
      <c r="Q6646">
        <v>-0.1178497</v>
      </c>
      <c r="R6646">
        <v>-2.038889E-2</v>
      </c>
      <c r="S6646">
        <v>3.001465</v>
      </c>
      <c r="T6646">
        <v>-7.3662759999999994E-2</v>
      </c>
      <c r="U6646">
        <v>-0.60290529999999998</v>
      </c>
      <c r="V6646">
        <v>1.4320159999999999E-3</v>
      </c>
      <c r="W6646">
        <v>-0.1108002</v>
      </c>
      <c r="X6646">
        <v>0.99384159999999999</v>
      </c>
      <c r="Y6646">
        <v>0.17811340000000001</v>
      </c>
      <c r="Z6646">
        <v>-2.4725289999999998E-3</v>
      </c>
      <c r="AA6646">
        <v>0.98400690000000002</v>
      </c>
      <c r="AB6646">
        <v>20</v>
      </c>
      <c r="AC6646">
        <v>47.549300000000002</v>
      </c>
      <c r="AD6646">
        <v>-1.1699549999999901</v>
      </c>
      <c r="AE6646">
        <v>-9.5734819999999896</v>
      </c>
      <c r="AF6646">
        <v>8.6586464695777803</v>
      </c>
      <c r="AG6646">
        <v>-1.1699549999999901</v>
      </c>
      <c r="AH6646">
        <v>47.695703447488903</v>
      </c>
      <c r="AI6646">
        <v>91.382570239132406</v>
      </c>
      <c r="AJ6646">
        <v>79.710619566599803</v>
      </c>
      <c r="AK6646">
        <v>48.489391424701999</v>
      </c>
      <c r="AL6646">
        <v>96.361446080410502</v>
      </c>
      <c r="AM6646">
        <v>89.917443165778806</v>
      </c>
      <c r="AN6646">
        <v>0.99999993044020896</v>
      </c>
    </row>
    <row r="6647" spans="1:40" x14ac:dyDescent="0.25">
      <c r="A6647" t="str">
        <f>"20190303154942052"</f>
        <v>20190303154942052</v>
      </c>
      <c r="B6647" t="str">
        <f>"1551599382047162"</f>
        <v>1551599382047162</v>
      </c>
      <c r="C6647" t="s">
        <v>40</v>
      </c>
      <c r="D6647">
        <v>4.9776540000000002</v>
      </c>
      <c r="E6647">
        <v>0.56379349999999995</v>
      </c>
      <c r="F6647" t="s">
        <v>41</v>
      </c>
      <c r="G6647">
        <v>-319.97000000000003</v>
      </c>
      <c r="H6647" s="1">
        <v>-6.3195899999999997E-6</v>
      </c>
      <c r="I6647">
        <v>10.60821</v>
      </c>
      <c r="J6647">
        <v>-357.0247</v>
      </c>
      <c r="K6647">
        <v>1.1199429999999999</v>
      </c>
      <c r="L6647">
        <v>17.890260000000001</v>
      </c>
      <c r="M6647">
        <v>0.99979379999999995</v>
      </c>
      <c r="N6647">
        <v>-6.9960359999999997E-3</v>
      </c>
      <c r="O6647">
        <v>-1.9071319999999999E-2</v>
      </c>
      <c r="P6647">
        <v>0.99269839999999998</v>
      </c>
      <c r="Q6647">
        <v>-0.1184819</v>
      </c>
      <c r="R6647">
        <v>-2.2632920000000001E-2</v>
      </c>
      <c r="S6647">
        <v>2.998901</v>
      </c>
      <c r="T6647">
        <v>-9.037626E-2</v>
      </c>
      <c r="U6647">
        <v>-0.58779910000000002</v>
      </c>
      <c r="V6647">
        <v>3.7033119999999998E-3</v>
      </c>
      <c r="W6647">
        <v>-0.1115321</v>
      </c>
      <c r="X6647">
        <v>0.99375389999999997</v>
      </c>
      <c r="Y6647">
        <v>0.1735052</v>
      </c>
      <c r="Z6647">
        <v>-2.7653249999999999E-3</v>
      </c>
      <c r="AA6647">
        <v>0.98482910000000001</v>
      </c>
      <c r="AB6647">
        <v>20</v>
      </c>
      <c r="AC6647">
        <v>37.054699999999897</v>
      </c>
      <c r="AD6647">
        <v>-1.1199493195899901</v>
      </c>
      <c r="AE6647">
        <v>-7.2820499999999999</v>
      </c>
      <c r="AF6647">
        <v>6.5682492843490401</v>
      </c>
      <c r="AG6647">
        <v>-1.1199493195899901</v>
      </c>
      <c r="AH6647">
        <v>37.154163674668098</v>
      </c>
      <c r="AI6647">
        <v>91.700213701790801</v>
      </c>
      <c r="AJ6647">
        <v>79.974624815227997</v>
      </c>
      <c r="AK6647">
        <v>37.746894753129403</v>
      </c>
      <c r="AL6647">
        <v>96.403642158439496</v>
      </c>
      <c r="AM6647">
        <v>89.786483187039394</v>
      </c>
      <c r="AN6647">
        <v>0.99999996880769404</v>
      </c>
    </row>
    <row r="6648" spans="1:40" x14ac:dyDescent="0.25">
      <c r="A6648" t="str">
        <f>"20190303154942066"</f>
        <v>20190303154942066</v>
      </c>
      <c r="B6648" t="str">
        <f>"1551599382057898"</f>
        <v>1551599382057898</v>
      </c>
      <c r="C6648" t="s">
        <v>40</v>
      </c>
      <c r="D6648">
        <v>4.9743729999999999</v>
      </c>
      <c r="E6648">
        <v>0.56249419999999895</v>
      </c>
      <c r="F6648" t="s">
        <v>41</v>
      </c>
      <c r="G6648">
        <v>-323.90449999999998</v>
      </c>
      <c r="H6648" s="1">
        <v>-4.4987270000000003E-6</v>
      </c>
      <c r="I6648">
        <v>11.446619999999999</v>
      </c>
      <c r="J6648">
        <v>-356.90100000000001</v>
      </c>
      <c r="K6648">
        <v>1.1199220000000001</v>
      </c>
      <c r="L6648">
        <v>17.88794</v>
      </c>
      <c r="M6648">
        <v>0.99979499999999999</v>
      </c>
      <c r="N6648">
        <v>-6.8866169999999899E-3</v>
      </c>
      <c r="O6648">
        <v>-1.90403E-2</v>
      </c>
      <c r="P6648">
        <v>0.9926024</v>
      </c>
      <c r="Q6648">
        <v>-0.1188063</v>
      </c>
      <c r="R6648">
        <v>-2.5015920000000001E-2</v>
      </c>
      <c r="S6648">
        <v>2.9966430000000002</v>
      </c>
      <c r="T6648">
        <v>-0.1013305</v>
      </c>
      <c r="U6648">
        <v>-0.58300779999999996</v>
      </c>
      <c r="V6648">
        <v>6.1189069999999998E-3</v>
      </c>
      <c r="W6648">
        <v>-0.1119653</v>
      </c>
      <c r="X6648">
        <v>0.9936933</v>
      </c>
      <c r="Y6648">
        <v>0.17213999999999999</v>
      </c>
      <c r="Z6648">
        <v>-2.9736200000000002E-3</v>
      </c>
      <c r="AA6648">
        <v>0.98506800000000005</v>
      </c>
      <c r="AB6648">
        <v>20</v>
      </c>
      <c r="AC6648">
        <v>32.996499999999997</v>
      </c>
      <c r="AD6648">
        <v>-1.1199264987269999</v>
      </c>
      <c r="AE6648">
        <v>-6.4413200000000002</v>
      </c>
      <c r="AF6648">
        <v>5.8054318687979096</v>
      </c>
      <c r="AG6648">
        <v>-1.1199264987269999</v>
      </c>
      <c r="AH6648">
        <v>33.076461040200897</v>
      </c>
      <c r="AI6648">
        <v>91.910045834783602</v>
      </c>
      <c r="AJ6648">
        <v>80.045098234978994</v>
      </c>
      <c r="AK6648">
        <v>33.600737335506999</v>
      </c>
      <c r="AL6648">
        <v>96.428618791398193</v>
      </c>
      <c r="AM6648">
        <v>89.647191829444793</v>
      </c>
      <c r="AN6648">
        <v>1.00000002194592</v>
      </c>
    </row>
    <row r="6649" spans="1:40" x14ac:dyDescent="0.25">
      <c r="A6649" t="str">
        <f>"20190303154942084"</f>
        <v>20190303154942084</v>
      </c>
      <c r="B6649" t="str">
        <f>"1551599382077418"</f>
        <v>1551599382077418</v>
      </c>
      <c r="C6649" t="s">
        <v>40</v>
      </c>
      <c r="D6649">
        <v>4.9444559999999997</v>
      </c>
      <c r="E6649">
        <v>0.56040000000000001</v>
      </c>
      <c r="F6649" t="s">
        <v>41</v>
      </c>
      <c r="G6649">
        <v>-326.52120000000002</v>
      </c>
      <c r="H6649" s="1">
        <v>-3.3443599999999999E-6</v>
      </c>
      <c r="I6649">
        <v>12.008570000000001</v>
      </c>
      <c r="J6649">
        <v>-356.73149999999998</v>
      </c>
      <c r="K6649">
        <v>1.1199079999999999</v>
      </c>
      <c r="L6649">
        <v>17.884740000000001</v>
      </c>
      <c r="M6649">
        <v>0.99979689999999999</v>
      </c>
      <c r="N6649">
        <v>-6.7492300000000002E-3</v>
      </c>
      <c r="O6649">
        <v>-1.8993340000000001E-2</v>
      </c>
      <c r="P6649">
        <v>0.99233150000000003</v>
      </c>
      <c r="Q6649">
        <v>-0.1199011</v>
      </c>
      <c r="R6649">
        <v>-3.0035349999999999E-2</v>
      </c>
      <c r="S6649">
        <v>2.9945369999999998</v>
      </c>
      <c r="T6649">
        <v>-0.1103909</v>
      </c>
      <c r="U6649">
        <v>-0.57952879999999996</v>
      </c>
      <c r="V6649">
        <v>1.118974E-2</v>
      </c>
      <c r="W6649">
        <v>-0.1131974</v>
      </c>
      <c r="X6649">
        <v>0.99350950000000005</v>
      </c>
      <c r="Y6649">
        <v>0.1711964</v>
      </c>
      <c r="Z6649">
        <v>-3.1426090000000002E-3</v>
      </c>
      <c r="AA6649">
        <v>0.98523190000000005</v>
      </c>
      <c r="AB6649">
        <v>20</v>
      </c>
      <c r="AC6649">
        <v>30.210299999999901</v>
      </c>
      <c r="AD6649">
        <v>-1.1199113443599999</v>
      </c>
      <c r="AE6649">
        <v>-5.8761700000000001</v>
      </c>
      <c r="AF6649">
        <v>5.2942921106016296</v>
      </c>
      <c r="AG6649">
        <v>-1.1199113443599999</v>
      </c>
      <c r="AH6649">
        <v>30.276371010249498</v>
      </c>
      <c r="AI6649">
        <v>92.086747747459498</v>
      </c>
      <c r="AJ6649">
        <v>80.0812331375013</v>
      </c>
      <c r="AK6649">
        <v>30.756176158974601</v>
      </c>
      <c r="AL6649">
        <v>96.499664779039804</v>
      </c>
      <c r="AM6649">
        <v>89.354714002560101</v>
      </c>
      <c r="AN6649">
        <v>0.99999999411913798</v>
      </c>
    </row>
    <row r="6650" spans="1:40" x14ac:dyDescent="0.25">
      <c r="A6650" t="str">
        <f>"20190303154942097"</f>
        <v>20190303154942097</v>
      </c>
      <c r="B6650" t="str">
        <f>"1551599382087178"</f>
        <v>1551599382087178</v>
      </c>
      <c r="C6650" t="s">
        <v>40</v>
      </c>
      <c r="D6650">
        <v>4.9474660000000004</v>
      </c>
      <c r="E6650">
        <v>0.56040000000000001</v>
      </c>
      <c r="F6650" t="s">
        <v>41</v>
      </c>
      <c r="G6650">
        <v>-330.14249999999998</v>
      </c>
      <c r="H6650" s="1">
        <v>-5.429106E-6</v>
      </c>
      <c r="I6650">
        <v>12.74986</v>
      </c>
      <c r="J6650">
        <v>-356.60629999999998</v>
      </c>
      <c r="K6650">
        <v>1.1199049999999999</v>
      </c>
      <c r="L6650">
        <v>17.882390000000001</v>
      </c>
      <c r="M6650">
        <v>0.99979810000000002</v>
      </c>
      <c r="N6650">
        <v>-6.6570429999999996E-3</v>
      </c>
      <c r="O6650">
        <v>-1.895703E-2</v>
      </c>
      <c r="P6650">
        <v>0.99225870000000005</v>
      </c>
      <c r="Q6650">
        <v>-0.11986040000000001</v>
      </c>
      <c r="R6650">
        <v>-3.2499970000000003E-2</v>
      </c>
      <c r="S6650">
        <v>2.9904790000000001</v>
      </c>
      <c r="T6650">
        <v>-0.1259575</v>
      </c>
      <c r="U6650">
        <v>-0.57751459999999999</v>
      </c>
      <c r="V6650">
        <v>1.369167E-2</v>
      </c>
      <c r="W6650">
        <v>-0.1132483</v>
      </c>
      <c r="X6650">
        <v>0.99347240000000003</v>
      </c>
      <c r="Y6650">
        <v>0.1708086</v>
      </c>
      <c r="Z6650">
        <v>-3.4714009999999998E-3</v>
      </c>
      <c r="AA6650">
        <v>0.98529809999999995</v>
      </c>
      <c r="AB6650">
        <v>21</v>
      </c>
      <c r="AC6650">
        <v>26.4637999999999</v>
      </c>
      <c r="AD6650">
        <v>-1.119910429106</v>
      </c>
      <c r="AE6650">
        <v>-5.13253</v>
      </c>
      <c r="AF6650">
        <v>4.62194425014372</v>
      </c>
      <c r="AG6650">
        <v>-1.119910429106</v>
      </c>
      <c r="AH6650">
        <v>26.510588193440199</v>
      </c>
      <c r="AI6650">
        <v>92.383054802778403</v>
      </c>
      <c r="AJ6650">
        <v>80.110264919276503</v>
      </c>
      <c r="AK6650">
        <v>26.933767920267499</v>
      </c>
      <c r="AL6650">
        <v>96.502599810991896</v>
      </c>
      <c r="AM6650">
        <v>89.210420696979398</v>
      </c>
      <c r="AN6650">
        <v>1.0000000244210101</v>
      </c>
    </row>
    <row r="6651" spans="1:40" x14ac:dyDescent="0.25">
      <c r="A6651" t="str">
        <f>"20190303154942112"</f>
        <v>20190303154942112</v>
      </c>
      <c r="B6651" t="str">
        <f>"1551599382107674"</f>
        <v>1551599382107674</v>
      </c>
      <c r="C6651" t="s">
        <v>40</v>
      </c>
      <c r="D6651">
        <v>4.9846870000000001</v>
      </c>
      <c r="E6651">
        <v>0.52638839999999998</v>
      </c>
      <c r="F6651" t="s">
        <v>41</v>
      </c>
      <c r="G6651">
        <v>-329.95850000000002</v>
      </c>
      <c r="H6651" s="1">
        <v>-5.5225890000000002E-6</v>
      </c>
      <c r="I6651">
        <v>12.66788</v>
      </c>
      <c r="J6651">
        <v>-356.47390000000001</v>
      </c>
      <c r="K6651">
        <v>1.119896</v>
      </c>
      <c r="L6651">
        <v>17.879909999999999</v>
      </c>
      <c r="M6651">
        <v>0.99979949999999995</v>
      </c>
      <c r="N6651">
        <v>-6.5689210000000001E-3</v>
      </c>
      <c r="O6651">
        <v>-1.891872E-2</v>
      </c>
      <c r="P6651">
        <v>0.99219570000000001</v>
      </c>
      <c r="Q6651">
        <v>-0.11970799999999999</v>
      </c>
      <c r="R6651">
        <v>-3.4896139999999999E-2</v>
      </c>
      <c r="S6651">
        <v>2.9890750000000001</v>
      </c>
      <c r="T6651">
        <v>-0.12561989999999901</v>
      </c>
      <c r="U6651">
        <v>-0.58489990000000003</v>
      </c>
      <c r="V6651">
        <v>1.6126950000000001E-2</v>
      </c>
      <c r="W6651">
        <v>-0.1131834</v>
      </c>
      <c r="X6651">
        <v>0.99344330000000003</v>
      </c>
      <c r="Y6651">
        <v>0.17327629999999999</v>
      </c>
      <c r="Z6651">
        <v>-3.5163339999999999E-3</v>
      </c>
      <c r="AA6651">
        <v>0.98486700000000005</v>
      </c>
      <c r="AB6651">
        <v>21</v>
      </c>
      <c r="AC6651">
        <v>26.5154</v>
      </c>
      <c r="AD6651">
        <v>-1.1199015225890001</v>
      </c>
      <c r="AE6651">
        <v>-5.2120299999999897</v>
      </c>
      <c r="AF6651">
        <v>4.7013742603944202</v>
      </c>
      <c r="AG6651">
        <v>-1.1199015225890001</v>
      </c>
      <c r="AH6651">
        <v>26.563637976190201</v>
      </c>
      <c r="AI6651">
        <v>92.377212961463997</v>
      </c>
      <c r="AJ6651">
        <v>79.963420846858995</v>
      </c>
      <c r="AK6651">
        <v>26.999702996268098</v>
      </c>
      <c r="AL6651">
        <v>96.498856918943204</v>
      </c>
      <c r="AM6651">
        <v>89.069977100188794</v>
      </c>
      <c r="AN6651">
        <v>1.00000007543337</v>
      </c>
    </row>
    <row r="6652" spans="1:40" x14ac:dyDescent="0.25">
      <c r="A6652" t="str">
        <f>"20190303154942129"</f>
        <v>20190303154942129</v>
      </c>
      <c r="B6652" t="str">
        <f>"1551599382117435"</f>
        <v>1551599382117435</v>
      </c>
      <c r="C6652" t="s">
        <v>40</v>
      </c>
      <c r="D6652">
        <v>4.9249289999999997</v>
      </c>
      <c r="E6652">
        <v>0.52376160000000005</v>
      </c>
      <c r="F6652" t="s">
        <v>42</v>
      </c>
      <c r="G6652">
        <v>-355.65899999999999</v>
      </c>
      <c r="H6652">
        <v>1.0582049999999901</v>
      </c>
      <c r="I6652">
        <v>17.792870000000001</v>
      </c>
      <c r="J6652">
        <v>-356.32150000000001</v>
      </c>
      <c r="K6652">
        <v>1.119893</v>
      </c>
      <c r="L6652">
        <v>17.877040000000001</v>
      </c>
      <c r="M6652">
        <v>0.99980089999999999</v>
      </c>
      <c r="N6652">
        <v>-6.4762219999999898E-3</v>
      </c>
      <c r="O6652">
        <v>-1.8875030000000001E-2</v>
      </c>
      <c r="P6652">
        <v>0.99213549999999995</v>
      </c>
      <c r="Q6652">
        <v>-0.11864230000000001</v>
      </c>
      <c r="R6652">
        <v>-3.989036E-2</v>
      </c>
      <c r="S6652">
        <v>2.9851380000000001</v>
      </c>
      <c r="T6652">
        <v>-0.2259977</v>
      </c>
      <c r="U6652">
        <v>-0.31835940000000001</v>
      </c>
      <c r="V6652">
        <v>2.1164760000000001E-2</v>
      </c>
      <c r="W6652">
        <v>-0.11220910000000001</v>
      </c>
      <c r="X6652">
        <v>0.99345919999999999</v>
      </c>
      <c r="Y6652">
        <v>8.7036039999999995E-2</v>
      </c>
      <c r="Z6652">
        <v>-2.2630089999999999E-3</v>
      </c>
      <c r="AA6652">
        <v>0.99620260000000005</v>
      </c>
      <c r="AB6652">
        <v>21</v>
      </c>
      <c r="AC6652">
        <v>0.66250000000002196</v>
      </c>
      <c r="AD6652">
        <v>-6.1688000000000097E-2</v>
      </c>
      <c r="AE6652">
        <v>-8.41700000000003E-2</v>
      </c>
      <c r="AF6652">
        <v>7.1043854735152207E-2</v>
      </c>
      <c r="AG6652">
        <v>-6.1688000000000097E-2</v>
      </c>
      <c r="AH6652">
        <v>0.65835332702512495</v>
      </c>
      <c r="AI6652">
        <v>95.322290459397706</v>
      </c>
      <c r="AJ6652">
        <v>83.840963286644296</v>
      </c>
      <c r="AK6652">
        <v>0.665042661672678</v>
      </c>
      <c r="AL6652">
        <v>96.442676191559698</v>
      </c>
      <c r="AM6652">
        <v>88.779549263455095</v>
      </c>
      <c r="AN6652">
        <v>1.00000000562665</v>
      </c>
    </row>
    <row r="6653" spans="1:40" x14ac:dyDescent="0.25">
      <c r="A6653" t="str">
        <f>"20190303154942145"</f>
        <v>20190303154942145</v>
      </c>
      <c r="B6653" t="str">
        <f>"1551599382137930"</f>
        <v>1551599382137930</v>
      </c>
      <c r="C6653" t="s">
        <v>40</v>
      </c>
      <c r="D6653">
        <v>4.966844</v>
      </c>
      <c r="E6653">
        <v>0.52086829999999995</v>
      </c>
      <c r="F6653" t="s">
        <v>41</v>
      </c>
      <c r="G6653">
        <v>-340.55650000000003</v>
      </c>
      <c r="H6653" s="1">
        <v>-4.6347459999999999E-6</v>
      </c>
      <c r="I6653">
        <v>16.226990000000001</v>
      </c>
      <c r="J6653">
        <v>-356.17090000000002</v>
      </c>
      <c r="K6653">
        <v>1.119885</v>
      </c>
      <c r="L6653">
        <v>17.87424</v>
      </c>
      <c r="M6653">
        <v>0.99980219999999997</v>
      </c>
      <c r="N6653">
        <v>-6.3938429999999997E-3</v>
      </c>
      <c r="O6653">
        <v>-1.8832459999999999E-2</v>
      </c>
      <c r="P6653">
        <v>0.99209460000000005</v>
      </c>
      <c r="Q6653">
        <v>-0.11818620000000001</v>
      </c>
      <c r="R6653">
        <v>-4.2192540000000001E-2</v>
      </c>
      <c r="S6653">
        <v>2.9858699999999998</v>
      </c>
      <c r="T6653">
        <v>-0.21210599999999999</v>
      </c>
      <c r="U6653">
        <v>-0.3125</v>
      </c>
      <c r="V6653">
        <v>2.350957E-2</v>
      </c>
      <c r="W6653">
        <v>-0.1118348</v>
      </c>
      <c r="X6653">
        <v>0.99344869999999996</v>
      </c>
      <c r="Y6653">
        <v>8.5149470000000005E-2</v>
      </c>
      <c r="Z6653">
        <v>-2.0735770000000001E-3</v>
      </c>
      <c r="AA6653">
        <v>0.99636599999999997</v>
      </c>
      <c r="AB6653">
        <v>21</v>
      </c>
      <c r="AC6653">
        <v>15.6143999999999</v>
      </c>
      <c r="AD6653">
        <v>-1.1198896347459999</v>
      </c>
      <c r="AE6653">
        <v>-1.6472499999999899</v>
      </c>
      <c r="AF6653">
        <v>1.3460464435467601</v>
      </c>
      <c r="AG6653">
        <v>-1.1198896347459999</v>
      </c>
      <c r="AH6653">
        <v>15.5634760031467</v>
      </c>
      <c r="AI6653">
        <v>94.100442138144302</v>
      </c>
      <c r="AJ6653">
        <v>85.056930499754003</v>
      </c>
      <c r="AK6653">
        <v>15.661665911477</v>
      </c>
      <c r="AL6653">
        <v>96.421094441772794</v>
      </c>
      <c r="AM6653">
        <v>88.644371090595598</v>
      </c>
      <c r="AN6653">
        <v>1.00000002095215</v>
      </c>
    </row>
    <row r="6654" spans="1:40" x14ac:dyDescent="0.25">
      <c r="A6654" t="str">
        <f>"20190303154942162"</f>
        <v>20190303154942162</v>
      </c>
      <c r="B6654" t="str">
        <f>"1551599382157450"</f>
        <v>1551599382157450</v>
      </c>
      <c r="C6654" t="s">
        <v>40</v>
      </c>
      <c r="D6654">
        <v>4.9642720000000002</v>
      </c>
      <c r="E6654">
        <v>0.51950540000000001</v>
      </c>
      <c r="F6654" t="s">
        <v>41</v>
      </c>
      <c r="G6654">
        <v>-339.58420000000001</v>
      </c>
      <c r="H6654" s="1">
        <v>-1.029136E-6</v>
      </c>
      <c r="I6654">
        <v>16.227810000000002</v>
      </c>
      <c r="J6654">
        <v>-356.0102</v>
      </c>
      <c r="K6654">
        <v>1.1198790000000001</v>
      </c>
      <c r="L6654">
        <v>17.871220000000001</v>
      </c>
      <c r="M6654">
        <v>0.99980349999999996</v>
      </c>
      <c r="N6654">
        <v>-6.3160760000000003E-3</v>
      </c>
      <c r="O6654">
        <v>-1.8787640000000001E-2</v>
      </c>
      <c r="P6654">
        <v>0.99189000000000005</v>
      </c>
      <c r="Q6654">
        <v>-0.1177991</v>
      </c>
      <c r="R6654">
        <v>-4.7725360000000001E-2</v>
      </c>
      <c r="S6654">
        <v>2.9872740000000002</v>
      </c>
      <c r="T6654">
        <v>-0.20169210000000001</v>
      </c>
      <c r="U6654">
        <v>-0.29650880000000002</v>
      </c>
      <c r="V6654">
        <v>2.9089380000000001E-2</v>
      </c>
      <c r="W6654">
        <v>-0.11152529999999999</v>
      </c>
      <c r="X6654">
        <v>0.99333579999999999</v>
      </c>
      <c r="Y6654">
        <v>7.9896079999999994E-2</v>
      </c>
      <c r="Z6654">
        <v>-1.79546E-3</v>
      </c>
      <c r="AA6654">
        <v>0.99680159999999995</v>
      </c>
      <c r="AB6654">
        <v>21</v>
      </c>
      <c r="AC6654">
        <v>16.425999999999899</v>
      </c>
      <c r="AD6654">
        <v>-1.119880029136</v>
      </c>
      <c r="AE6654">
        <v>-1.64340999999999</v>
      </c>
      <c r="AF6654">
        <v>1.3283946039862999</v>
      </c>
      <c r="AG6654">
        <v>-1.119880029136</v>
      </c>
      <c r="AH6654">
        <v>16.378601491826299</v>
      </c>
      <c r="AI6654">
        <v>93.898724630586401</v>
      </c>
      <c r="AJ6654">
        <v>85.363146818771696</v>
      </c>
      <c r="AK6654">
        <v>16.470499395331402</v>
      </c>
      <c r="AL6654">
        <v>96.403249591535399</v>
      </c>
      <c r="AM6654">
        <v>88.3225989611459</v>
      </c>
      <c r="AN6654">
        <v>1.00000004806525</v>
      </c>
    </row>
    <row r="6655" spans="1:40" x14ac:dyDescent="0.25">
      <c r="A6655" t="str">
        <f>"20190303154942185"</f>
        <v>20190303154942185</v>
      </c>
      <c r="B6655" t="str">
        <f>"1551599382177946"</f>
        <v>1551599382177946</v>
      </c>
      <c r="C6655" t="s">
        <v>40</v>
      </c>
      <c r="D6655">
        <v>4.9879509999999998</v>
      </c>
      <c r="E6655">
        <v>0.5187079</v>
      </c>
      <c r="F6655" t="s">
        <v>41</v>
      </c>
      <c r="G6655">
        <v>-338.9606</v>
      </c>
      <c r="H6655" s="1">
        <v>-1.263389E-6</v>
      </c>
      <c r="I6655">
        <v>16.14507</v>
      </c>
      <c r="J6655">
        <v>-355.78989999999999</v>
      </c>
      <c r="K6655">
        <v>1.119869</v>
      </c>
      <c r="L6655">
        <v>17.867159999999998</v>
      </c>
      <c r="M6655">
        <v>0.99980530000000001</v>
      </c>
      <c r="N6655">
        <v>-6.2259780000000001E-3</v>
      </c>
      <c r="O6655">
        <v>-1.872731E-2</v>
      </c>
      <c r="P6655">
        <v>0.99151250000000002</v>
      </c>
      <c r="Q6655">
        <v>-0.1183157</v>
      </c>
      <c r="R6655">
        <v>-5.3891700000000001E-2</v>
      </c>
      <c r="S6655">
        <v>2.9867249999999999</v>
      </c>
      <c r="T6655">
        <v>-0.19617799999999999</v>
      </c>
      <c r="U6655">
        <v>-0.30236819999999998</v>
      </c>
      <c r="V6655">
        <v>3.5320810000000001E-2</v>
      </c>
      <c r="W6655">
        <v>-0.1121328</v>
      </c>
      <c r="X6655">
        <v>0.99306530000000004</v>
      </c>
      <c r="Y6655">
        <v>8.191379E-2</v>
      </c>
      <c r="Z6655">
        <v>-1.827345E-3</v>
      </c>
      <c r="AA6655">
        <v>0.99663780000000002</v>
      </c>
      <c r="AB6655">
        <v>21</v>
      </c>
      <c r="AC6655">
        <v>16.8292999999999</v>
      </c>
      <c r="AD6655">
        <v>-1.1198702633890001</v>
      </c>
      <c r="AE6655">
        <v>-1.7220899999999999</v>
      </c>
      <c r="AF6655">
        <v>1.40047738056886</v>
      </c>
      <c r="AG6655">
        <v>-1.1198702633890001</v>
      </c>
      <c r="AH6655">
        <v>16.785045955919799</v>
      </c>
      <c r="AI6655">
        <v>93.803843522791695</v>
      </c>
      <c r="AJ6655">
        <v>85.230515590119595</v>
      </c>
      <c r="AK6655">
        <v>16.8805572787941</v>
      </c>
      <c r="AL6655">
        <v>96.438276747893397</v>
      </c>
      <c r="AM6655">
        <v>87.962993351565302</v>
      </c>
      <c r="AN6655">
        <v>1.0000000072594899</v>
      </c>
    </row>
    <row r="6656" spans="1:40" x14ac:dyDescent="0.25">
      <c r="A6656" t="str">
        <f>"20190303154942197"</f>
        <v>20190303154942197</v>
      </c>
      <c r="B6656" t="str">
        <f>"1551599382187707"</f>
        <v>1551599382187707</v>
      </c>
      <c r="C6656" t="s">
        <v>40</v>
      </c>
      <c r="D6656">
        <v>5.0076869999999998</v>
      </c>
      <c r="E6656">
        <v>0.51837359999999999</v>
      </c>
      <c r="F6656" t="s">
        <v>41</v>
      </c>
      <c r="G6656">
        <v>-338.3064</v>
      </c>
      <c r="H6656" s="1">
        <v>-1.518211E-6</v>
      </c>
      <c r="I6656">
        <v>16.023959999999999</v>
      </c>
      <c r="J6656">
        <v>-355.67250000000001</v>
      </c>
      <c r="K6656">
        <v>1.119864</v>
      </c>
      <c r="L6656">
        <v>17.864989999999999</v>
      </c>
      <c r="M6656">
        <v>0.99980630000000004</v>
      </c>
      <c r="N6656">
        <v>-6.1838700000000002E-3</v>
      </c>
      <c r="O6656">
        <v>-1.869608E-2</v>
      </c>
      <c r="P6656">
        <v>0.99130620000000003</v>
      </c>
      <c r="Q6656">
        <v>-0.11860519999999999</v>
      </c>
      <c r="R6656">
        <v>-5.6965839999999997E-2</v>
      </c>
      <c r="S6656">
        <v>2.9857480000000001</v>
      </c>
      <c r="T6656">
        <v>-0.19124640000000001</v>
      </c>
      <c r="U6656">
        <v>-0.31475829999999999</v>
      </c>
      <c r="V6656">
        <v>3.8428879999999999E-2</v>
      </c>
      <c r="W6656">
        <v>-0.11246490000000001</v>
      </c>
      <c r="X6656">
        <v>0.99291229999999997</v>
      </c>
      <c r="Y6656">
        <v>8.6067099999999994E-2</v>
      </c>
      <c r="Z6656">
        <v>-1.9357210000000001E-3</v>
      </c>
      <c r="AA6656">
        <v>0.99628749999999999</v>
      </c>
      <c r="AB6656">
        <v>21</v>
      </c>
      <c r="AC6656">
        <v>17.366099999999999</v>
      </c>
      <c r="AD6656">
        <v>-1.119865518211</v>
      </c>
      <c r="AE6656">
        <v>-1.8410299999999999</v>
      </c>
      <c r="AF6656">
        <v>1.5098154132813599</v>
      </c>
      <c r="AG6656">
        <v>-1.119865518211</v>
      </c>
      <c r="AH6656">
        <v>17.326236389489001</v>
      </c>
      <c r="AI6656">
        <v>93.684193822606503</v>
      </c>
      <c r="AJ6656">
        <v>85.019802254762197</v>
      </c>
      <c r="AK6656">
        <v>17.4279117735176</v>
      </c>
      <c r="AL6656">
        <v>96.457425954698394</v>
      </c>
      <c r="AM6656">
        <v>87.783576424694502</v>
      </c>
      <c r="AN6656">
        <v>0.99999998402067702</v>
      </c>
    </row>
    <row r="6657" spans="1:40" x14ac:dyDescent="0.25">
      <c r="A6657" t="str">
        <f>"20190303154942211"</f>
        <v>20190303154942211</v>
      </c>
      <c r="B6657" t="str">
        <f>"1551599382207226"</f>
        <v>1551599382207226</v>
      </c>
      <c r="C6657" t="s">
        <v>40</v>
      </c>
      <c r="D6657">
        <v>5.0265930000000001</v>
      </c>
      <c r="E6657">
        <v>0.51749489999999998</v>
      </c>
      <c r="F6657" t="s">
        <v>41</v>
      </c>
      <c r="G6657">
        <v>-337.90980000000002</v>
      </c>
      <c r="H6657" s="1">
        <v>-1.6721569999999999E-6</v>
      </c>
      <c r="I6657">
        <v>15.95269</v>
      </c>
      <c r="J6657">
        <v>-355.55009999999999</v>
      </c>
      <c r="K6657">
        <v>1.119856</v>
      </c>
      <c r="L6657">
        <v>17.8627</v>
      </c>
      <c r="M6657">
        <v>0.999807</v>
      </c>
      <c r="N6657">
        <v>-6.1449319999999997E-3</v>
      </c>
      <c r="O6657">
        <v>-1.866379E-2</v>
      </c>
      <c r="P6657">
        <v>0.99108229999999997</v>
      </c>
      <c r="Q6657">
        <v>-0.1190046</v>
      </c>
      <c r="R6657">
        <v>-5.9947970000000003E-2</v>
      </c>
      <c r="S6657">
        <v>2.9853209999999999</v>
      </c>
      <c r="T6657">
        <v>-0.18821199999999999</v>
      </c>
      <c r="U6657">
        <v>-0.32138060000000002</v>
      </c>
      <c r="V6657">
        <v>4.144631E-2</v>
      </c>
      <c r="W6657">
        <v>-0.112904</v>
      </c>
      <c r="X6657">
        <v>0.99274110000000004</v>
      </c>
      <c r="Y6657">
        <v>8.8299130000000003E-2</v>
      </c>
      <c r="Z6657">
        <v>-1.9875750000000001E-3</v>
      </c>
      <c r="AA6657">
        <v>0.99609199999999998</v>
      </c>
      <c r="AB6657">
        <v>21</v>
      </c>
      <c r="AC6657">
        <v>17.6402999999999</v>
      </c>
      <c r="AD6657">
        <v>-1.1198576721569999</v>
      </c>
      <c r="AE6657">
        <v>-1.91001</v>
      </c>
      <c r="AF6657">
        <v>1.5741657439594099</v>
      </c>
      <c r="AG6657">
        <v>-1.1198576721569999</v>
      </c>
      <c r="AH6657">
        <v>17.602757435639699</v>
      </c>
      <c r="AI6657">
        <v>93.625724830207005</v>
      </c>
      <c r="AJ6657">
        <v>84.889791025767394</v>
      </c>
      <c r="AK6657">
        <v>17.7084485015857</v>
      </c>
      <c r="AL6657">
        <v>96.482745689860806</v>
      </c>
      <c r="AM6657">
        <v>87.609325963107196</v>
      </c>
      <c r="AN6657">
        <v>1.00000000072891</v>
      </c>
    </row>
    <row r="6658" spans="1:40" x14ac:dyDescent="0.25">
      <c r="A6658" t="str">
        <f>"20190303154942227"</f>
        <v>20190303154942227</v>
      </c>
      <c r="B6658" t="str">
        <f>"1551599382216986"</f>
        <v>1551599382216986</v>
      </c>
      <c r="C6658" t="s">
        <v>40</v>
      </c>
      <c r="D6658">
        <v>4.9829499999999998</v>
      </c>
      <c r="E6658">
        <v>0.51703310000000002</v>
      </c>
      <c r="F6658" t="s">
        <v>41</v>
      </c>
      <c r="G6658">
        <v>-337.44749999999999</v>
      </c>
      <c r="H6658" s="1">
        <v>-1.843076E-6</v>
      </c>
      <c r="I6658">
        <v>15.90156</v>
      </c>
      <c r="J6658">
        <v>-355.38720000000001</v>
      </c>
      <c r="K6658">
        <v>1.119845</v>
      </c>
      <c r="L6658">
        <v>17.85971</v>
      </c>
      <c r="M6658">
        <v>0.99980809999999998</v>
      </c>
      <c r="N6658">
        <v>-6.0983309999999898E-3</v>
      </c>
      <c r="O6658">
        <v>-1.8621950000000002E-2</v>
      </c>
      <c r="P6658">
        <v>0.9906644</v>
      </c>
      <c r="Q6658">
        <v>-0.11940729999999999</v>
      </c>
      <c r="R6658">
        <v>-6.5776299999999996E-2</v>
      </c>
      <c r="S6658">
        <v>2.9852599999999998</v>
      </c>
      <c r="T6658">
        <v>-0.18467320000000001</v>
      </c>
      <c r="U6658">
        <v>-0.32339479999999998</v>
      </c>
      <c r="V6658">
        <v>4.732223E-2</v>
      </c>
      <c r="W6658">
        <v>-0.11335480000000001</v>
      </c>
      <c r="X6658">
        <v>0.99242699999999995</v>
      </c>
      <c r="Y6658">
        <v>8.9011450000000006E-2</v>
      </c>
      <c r="Z6658">
        <v>-1.9810259999999999E-3</v>
      </c>
      <c r="AA6658">
        <v>0.99602869999999999</v>
      </c>
      <c r="AB6658">
        <v>21</v>
      </c>
      <c r="AC6658">
        <v>17.939699999999998</v>
      </c>
      <c r="AD6658">
        <v>-1.119846843076</v>
      </c>
      <c r="AE6658">
        <v>-1.9581500000000001</v>
      </c>
      <c r="AF6658">
        <v>1.6175034907647501</v>
      </c>
      <c r="AG6658">
        <v>-1.119846843076</v>
      </c>
      <c r="AH6658">
        <v>17.904110398215899</v>
      </c>
      <c r="AI6658">
        <v>93.564532599584794</v>
      </c>
      <c r="AJ6658">
        <v>84.837765474454997</v>
      </c>
      <c r="AK6658">
        <v>18.011872297073499</v>
      </c>
      <c r="AL6658">
        <v>96.508741340583299</v>
      </c>
      <c r="AM6658">
        <v>87.270013903584598</v>
      </c>
      <c r="AN6658">
        <v>1.0000000272320999</v>
      </c>
    </row>
    <row r="6659" spans="1:40" x14ac:dyDescent="0.25">
      <c r="A6659" t="str">
        <f>"20190303154942240"</f>
        <v>20190303154942240</v>
      </c>
      <c r="B6659" t="str">
        <f>"1551599382237483"</f>
        <v>1551599382237483</v>
      </c>
      <c r="C6659" t="s">
        <v>40</v>
      </c>
      <c r="D6659">
        <v>5.0392289999999997</v>
      </c>
      <c r="E6659">
        <v>0.5161481</v>
      </c>
      <c r="F6659" t="s">
        <v>41</v>
      </c>
      <c r="G6659">
        <v>-337.27260000000001</v>
      </c>
      <c r="H6659" s="1">
        <v>-1.9260950000000001E-6</v>
      </c>
      <c r="I6659">
        <v>15.81324</v>
      </c>
      <c r="J6659">
        <v>-355.26499999999999</v>
      </c>
      <c r="K6659">
        <v>1.1198399999999999</v>
      </c>
      <c r="L6659">
        <v>17.85745</v>
      </c>
      <c r="M6659">
        <v>0.99980899999999995</v>
      </c>
      <c r="N6659">
        <v>-6.0668459999999999E-3</v>
      </c>
      <c r="O6659">
        <v>-1.859123E-2</v>
      </c>
      <c r="P6659">
        <v>0.99041109999999999</v>
      </c>
      <c r="Q6659">
        <v>-0.11993470000000001</v>
      </c>
      <c r="R6659">
        <v>-6.8571850000000004E-2</v>
      </c>
      <c r="S6659">
        <v>2.9837039999999999</v>
      </c>
      <c r="T6659">
        <v>-0.1844528</v>
      </c>
      <c r="U6659">
        <v>-0.3370667</v>
      </c>
      <c r="V6659">
        <v>5.0152139999999998E-2</v>
      </c>
      <c r="W6659">
        <v>-0.1139146</v>
      </c>
      <c r="X6659">
        <v>0.99222390000000005</v>
      </c>
      <c r="Y6659">
        <v>9.3596349999999995E-2</v>
      </c>
      <c r="Z6659">
        <v>-2.1344200000000002E-3</v>
      </c>
      <c r="AA6659">
        <v>0.99560789999999999</v>
      </c>
      <c r="AB6659">
        <v>21</v>
      </c>
      <c r="AC6659">
        <v>17.9923999999999</v>
      </c>
      <c r="AD6659">
        <v>-1.1198419260950001</v>
      </c>
      <c r="AE6659">
        <v>-2.0442100000000001</v>
      </c>
      <c r="AF6659">
        <v>1.7028374017844301</v>
      </c>
      <c r="AG6659">
        <v>-1.1198419260950001</v>
      </c>
      <c r="AH6659">
        <v>17.958614093193798</v>
      </c>
      <c r="AI6659">
        <v>93.552270010499697</v>
      </c>
      <c r="AJ6659">
        <v>84.583403568568798</v>
      </c>
      <c r="AK6659">
        <v>18.073890596786701</v>
      </c>
      <c r="AL6659">
        <v>96.541024673636301</v>
      </c>
      <c r="AM6659">
        <v>87.106436755694006</v>
      </c>
      <c r="AN6659">
        <v>1.00000002048547</v>
      </c>
    </row>
    <row r="6660" spans="1:40" x14ac:dyDescent="0.25">
      <c r="A6660" t="str">
        <f>"20190303154942253"</f>
        <v>20190303154942253</v>
      </c>
      <c r="B6660" t="str">
        <f>"1551599382247243"</f>
        <v>1551599382247243</v>
      </c>
      <c r="C6660" t="s">
        <v>40</v>
      </c>
      <c r="D6660">
        <v>5.0313420000000004</v>
      </c>
      <c r="E6660">
        <v>0.51566690000000004</v>
      </c>
      <c r="F6660" t="s">
        <v>41</v>
      </c>
      <c r="G6660">
        <v>-337.07409999999999</v>
      </c>
      <c r="H6660" s="1">
        <v>-1.9989020000000001E-6</v>
      </c>
      <c r="I6660">
        <v>15.793559999999999</v>
      </c>
      <c r="J6660">
        <v>-355.14510000000001</v>
      </c>
      <c r="K6660">
        <v>1.1198330000000001</v>
      </c>
      <c r="L6660">
        <v>17.855260000000001</v>
      </c>
      <c r="M6660">
        <v>0.99980939999999996</v>
      </c>
      <c r="N6660">
        <v>-6.0409359999999898E-3</v>
      </c>
      <c r="O6660">
        <v>-1.8561589999999999E-2</v>
      </c>
      <c r="P6660">
        <v>0.99018110000000004</v>
      </c>
      <c r="Q6660">
        <v>-0.12008969999999999</v>
      </c>
      <c r="R6660">
        <v>-7.1553350000000002E-2</v>
      </c>
      <c r="S6660">
        <v>2.983368</v>
      </c>
      <c r="T6660">
        <v>-0.1836566</v>
      </c>
      <c r="U6660">
        <v>-0.33847050000000001</v>
      </c>
      <c r="V6660">
        <v>5.316655E-2</v>
      </c>
      <c r="W6660">
        <v>-0.1140965</v>
      </c>
      <c r="X6660">
        <v>0.99204599999999998</v>
      </c>
      <c r="Y6660">
        <v>9.4101219999999999E-2</v>
      </c>
      <c r="Z6660">
        <v>-2.1440349999999999E-3</v>
      </c>
      <c r="AA6660">
        <v>0.99556029999999995</v>
      </c>
      <c r="AB6660">
        <v>21</v>
      </c>
      <c r="AC6660">
        <v>18.071000000000002</v>
      </c>
      <c r="AD6660">
        <v>-1.119834998902</v>
      </c>
      <c r="AE6660">
        <v>-2.0617000000000001</v>
      </c>
      <c r="AF6660">
        <v>1.7193943322290901</v>
      </c>
      <c r="AG6660">
        <v>-1.119834998902</v>
      </c>
      <c r="AH6660">
        <v>18.0377786782947</v>
      </c>
      <c r="AI6660">
        <v>93.5365308002673</v>
      </c>
      <c r="AJ6660">
        <v>84.554912666258602</v>
      </c>
      <c r="AK6660">
        <v>18.154112672934701</v>
      </c>
      <c r="AL6660">
        <v>96.551515440754599</v>
      </c>
      <c r="AM6660">
        <v>86.932291949242199</v>
      </c>
      <c r="AN6660">
        <v>0.99999997973357602</v>
      </c>
    </row>
    <row r="6661" spans="1:40" x14ac:dyDescent="0.25">
      <c r="A6661" t="str">
        <f>"20190303154942266"</f>
        <v>20190303154942266</v>
      </c>
      <c r="B6661" t="str">
        <f>"1551599382257002"</f>
        <v>1551599382257002</v>
      </c>
      <c r="C6661" t="s">
        <v>40</v>
      </c>
      <c r="D6661">
        <v>5.0493050000000004</v>
      </c>
      <c r="E6661">
        <v>0.51521399999999995</v>
      </c>
      <c r="F6661" t="s">
        <v>41</v>
      </c>
      <c r="G6661">
        <v>-336.87090000000001</v>
      </c>
      <c r="H6661" s="1">
        <v>-2.079462E-6</v>
      </c>
      <c r="I6661">
        <v>15.75066</v>
      </c>
      <c r="J6661">
        <v>-355.01580000000001</v>
      </c>
      <c r="K6661">
        <v>1.119823</v>
      </c>
      <c r="L6661">
        <v>17.85284</v>
      </c>
      <c r="M6661">
        <v>0.99981019999999998</v>
      </c>
      <c r="N6661">
        <v>-6.0151719999999896E-3</v>
      </c>
      <c r="O6661">
        <v>-1.8530410000000001E-2</v>
      </c>
      <c r="P6661">
        <v>0.98995770000000005</v>
      </c>
      <c r="Q6661">
        <v>-0.1202019</v>
      </c>
      <c r="R6661">
        <v>-7.4400830000000001E-2</v>
      </c>
      <c r="S6661">
        <v>2.9827880000000002</v>
      </c>
      <c r="T6661">
        <v>-0.18278320000000001</v>
      </c>
      <c r="U6661">
        <v>-0.34350589999999998</v>
      </c>
      <c r="V6661">
        <v>5.6048420000000002E-2</v>
      </c>
      <c r="W6661">
        <v>-0.114235199999999</v>
      </c>
      <c r="X6661">
        <v>0.99187139999999996</v>
      </c>
      <c r="Y6661">
        <v>9.5810779999999998E-2</v>
      </c>
      <c r="Z6661">
        <v>-2.193277E-3</v>
      </c>
      <c r="AA6661">
        <v>0.99539719999999998</v>
      </c>
      <c r="AB6661">
        <v>21</v>
      </c>
      <c r="AC6661">
        <v>18.1449</v>
      </c>
      <c r="AD6661">
        <v>-1.1198250794619999</v>
      </c>
      <c r="AE6661">
        <v>-2.1021800000000002</v>
      </c>
      <c r="AF6661">
        <v>1.7589696396952099</v>
      </c>
      <c r="AG6661">
        <v>-1.1198250794619999</v>
      </c>
      <c r="AH6661">
        <v>18.112665037167801</v>
      </c>
      <c r="AI6661">
        <v>93.521315133197106</v>
      </c>
      <c r="AJ6661">
        <v>84.453245956188198</v>
      </c>
      <c r="AK6661">
        <v>18.232295992293501</v>
      </c>
      <c r="AL6661">
        <v>96.559514597752496</v>
      </c>
      <c r="AM6661">
        <v>86.765783972049306</v>
      </c>
      <c r="AN6661">
        <v>0.99999999022074804</v>
      </c>
    </row>
    <row r="6662" spans="1:40" x14ac:dyDescent="0.25">
      <c r="A6662" t="str">
        <f>"20190303154942286"</f>
        <v>20190303154942286</v>
      </c>
      <c r="B6662" t="str">
        <f>"1551599382277477"</f>
        <v>1551599382277477</v>
      </c>
      <c r="C6662" t="s">
        <v>40</v>
      </c>
      <c r="D6662">
        <v>5.0875760000000003</v>
      </c>
      <c r="E6662">
        <v>0.51429399999999903</v>
      </c>
      <c r="F6662" t="s">
        <v>41</v>
      </c>
      <c r="G6662">
        <v>-336.86579999999998</v>
      </c>
      <c r="H6662" s="1">
        <v>-2.0861350000000001E-6</v>
      </c>
      <c r="I6662">
        <v>15.732060000000001</v>
      </c>
      <c r="J6662">
        <v>-354.83100000000002</v>
      </c>
      <c r="K6662">
        <v>1.1198140000000001</v>
      </c>
      <c r="L6662">
        <v>17.849460000000001</v>
      </c>
      <c r="M6662">
        <v>0.99981140000000002</v>
      </c>
      <c r="N6662">
        <v>-5.9839130000000004E-3</v>
      </c>
      <c r="O6662">
        <v>-1.8486099999999998E-2</v>
      </c>
      <c r="P6662">
        <v>0.98948420000000004</v>
      </c>
      <c r="Q6662">
        <v>-0.1203422</v>
      </c>
      <c r="R6662">
        <v>-8.0243869999999995E-2</v>
      </c>
      <c r="S6662">
        <v>2.9819339999999999</v>
      </c>
      <c r="T6662">
        <v>-0.18398049999999999</v>
      </c>
      <c r="U6662">
        <v>-0.34841919999999998</v>
      </c>
      <c r="V6662">
        <v>6.1942980000000002E-2</v>
      </c>
      <c r="W6662">
        <v>-0.1144085</v>
      </c>
      <c r="X6662">
        <v>0.99150070000000001</v>
      </c>
      <c r="Y6662">
        <v>9.7500000000000003E-2</v>
      </c>
      <c r="Z6662">
        <v>-2.2627020000000001E-3</v>
      </c>
      <c r="AA6662">
        <v>0.99523289999999998</v>
      </c>
      <c r="AB6662">
        <v>21</v>
      </c>
      <c r="AC6662">
        <v>17.9651999999999</v>
      </c>
      <c r="AD6662">
        <v>-1.1198160861349999</v>
      </c>
      <c r="AE6662">
        <v>-2.1173999999999999</v>
      </c>
      <c r="AF6662">
        <v>1.7781118741639399</v>
      </c>
      <c r="AG6662">
        <v>-1.1198160861349999</v>
      </c>
      <c r="AH6662">
        <v>17.932553604543699</v>
      </c>
      <c r="AI6662">
        <v>93.555859475265606</v>
      </c>
      <c r="AJ6662">
        <v>84.337316314314407</v>
      </c>
      <c r="AK6662">
        <v>18.0552526618611</v>
      </c>
      <c r="AL6662">
        <v>96.569509830703694</v>
      </c>
      <c r="AM6662">
        <v>86.425151520452403</v>
      </c>
      <c r="AN6662">
        <v>0.99999993787200803</v>
      </c>
    </row>
    <row r="6663" spans="1:40" x14ac:dyDescent="0.25">
      <c r="A6663" t="str">
        <f>"20190303154942299"</f>
        <v>20190303154942299</v>
      </c>
      <c r="B6663" t="str">
        <f>"1551599382287239"</f>
        <v>1551599382287239</v>
      </c>
      <c r="C6663" t="s">
        <v>40</v>
      </c>
      <c r="D6663">
        <v>5.0539290000000001</v>
      </c>
      <c r="E6663">
        <v>0.51429399999999903</v>
      </c>
      <c r="F6663" t="s">
        <v>41</v>
      </c>
      <c r="G6663">
        <v>-336.74520000000001</v>
      </c>
      <c r="H6663" s="1">
        <v>-2.1424279999999999E-6</v>
      </c>
      <c r="I6663">
        <v>15.6747</v>
      </c>
      <c r="J6663">
        <v>-354.6977</v>
      </c>
      <c r="K6663">
        <v>1.119815</v>
      </c>
      <c r="L6663">
        <v>17.847049999999999</v>
      </c>
      <c r="M6663">
        <v>0.99981200000000003</v>
      </c>
      <c r="N6663">
        <v>-5.9646789999999996E-3</v>
      </c>
      <c r="O6663">
        <v>-1.845434E-2</v>
      </c>
      <c r="P6663">
        <v>0.98925070000000004</v>
      </c>
      <c r="Q6663">
        <v>-0.1205426</v>
      </c>
      <c r="R6663">
        <v>-8.2781370000000007E-2</v>
      </c>
      <c r="S6663">
        <v>2.9803769999999998</v>
      </c>
      <c r="T6663">
        <v>-0.18453610000000001</v>
      </c>
      <c r="U6663">
        <v>-0.35836790000000002</v>
      </c>
      <c r="V6663">
        <v>6.4515669999999997E-2</v>
      </c>
      <c r="W6663">
        <v>-0.1146291</v>
      </c>
      <c r="X6663">
        <v>0.99131119999999995</v>
      </c>
      <c r="Y6663">
        <v>0.10085909999999999</v>
      </c>
      <c r="Z6663">
        <v>-2.383011E-3</v>
      </c>
      <c r="AA6663">
        <v>0.99489780000000005</v>
      </c>
      <c r="AB6663">
        <v>22</v>
      </c>
      <c r="AC6663">
        <v>17.952499999999901</v>
      </c>
      <c r="AD6663">
        <v>-1.1198171424279999</v>
      </c>
      <c r="AE6663">
        <v>-2.1723499999999998</v>
      </c>
      <c r="AF6663">
        <v>1.8336411777356301</v>
      </c>
      <c r="AG6663">
        <v>-1.1198171424279999</v>
      </c>
      <c r="AH6663">
        <v>17.920811716058498</v>
      </c>
      <c r="AI6663">
        <v>93.557067172888495</v>
      </c>
      <c r="AJ6663">
        <v>84.157878711933904</v>
      </c>
      <c r="AK6663">
        <v>18.049147430379701</v>
      </c>
      <c r="AL6663">
        <v>96.582232582642305</v>
      </c>
      <c r="AM6663">
        <v>86.276376227505295</v>
      </c>
      <c r="AN6663">
        <v>0.999999998743899</v>
      </c>
    </row>
    <row r="6664" spans="1:40" x14ac:dyDescent="0.25">
      <c r="A6664" t="str">
        <f>"20190303154942319"</f>
        <v>20190303154942319</v>
      </c>
      <c r="B6664" t="str">
        <f>"1551599382307733"</f>
        <v>1551599382307733</v>
      </c>
      <c r="C6664" t="s">
        <v>40</v>
      </c>
      <c r="D6664">
        <v>5.0564679999999997</v>
      </c>
      <c r="E6664">
        <v>0.50245479999999998</v>
      </c>
      <c r="F6664" t="s">
        <v>41</v>
      </c>
      <c r="G6664">
        <v>-336.66730000000001</v>
      </c>
      <c r="H6664" s="1">
        <v>-2.1800330000000002E-6</v>
      </c>
      <c r="I6664">
        <v>15.633010000000001</v>
      </c>
      <c r="J6664">
        <v>-354.50869999999998</v>
      </c>
      <c r="K6664">
        <v>1.1198109999999999</v>
      </c>
      <c r="L6664">
        <v>17.843599999999999</v>
      </c>
      <c r="M6664">
        <v>0.99981299999999995</v>
      </c>
      <c r="N6664">
        <v>-5.9425889999999999E-3</v>
      </c>
      <c r="O6664">
        <v>-1.8409689999999999E-2</v>
      </c>
      <c r="P6664">
        <v>0.98883719999999997</v>
      </c>
      <c r="Q6664">
        <v>-0.1206694</v>
      </c>
      <c r="R6664">
        <v>-8.7409619999999993E-2</v>
      </c>
      <c r="S6664">
        <v>2.9794309999999999</v>
      </c>
      <c r="T6664">
        <v>-0.18504409999999999</v>
      </c>
      <c r="U6664">
        <v>-0.36584470000000002</v>
      </c>
      <c r="V6664">
        <v>6.919488E-2</v>
      </c>
      <c r="W6664">
        <v>-0.1147797</v>
      </c>
      <c r="X6664">
        <v>0.99097820000000003</v>
      </c>
      <c r="Y6664">
        <v>0.10339470000000001</v>
      </c>
      <c r="Z6664">
        <v>-2.4756999999999999E-3</v>
      </c>
      <c r="AA6664">
        <v>0.99463729999999995</v>
      </c>
      <c r="AB6664">
        <v>22</v>
      </c>
      <c r="AC6664">
        <v>17.841399999999901</v>
      </c>
      <c r="AD6664">
        <v>-1.119813180033</v>
      </c>
      <c r="AE6664">
        <v>-2.2105899999999901</v>
      </c>
      <c r="AF6664">
        <v>1.8744822126632099</v>
      </c>
      <c r="AG6664">
        <v>-1.119813180033</v>
      </c>
      <c r="AH6664">
        <v>17.809972940080101</v>
      </c>
      <c r="AI6664">
        <v>93.578060480132606</v>
      </c>
      <c r="AJ6664">
        <v>83.991795162100004</v>
      </c>
      <c r="AK6664">
        <v>17.9433219123481</v>
      </c>
      <c r="AL6664">
        <v>96.590918306051293</v>
      </c>
      <c r="AM6664">
        <v>86.005814993911599</v>
      </c>
      <c r="AN6664">
        <v>1.0000000519127701</v>
      </c>
    </row>
    <row r="6665" spans="1:40" x14ac:dyDescent="0.25">
      <c r="A6665" t="str">
        <f>"20190303154942340"</f>
        <v>20190303154942340</v>
      </c>
      <c r="B6665" t="str">
        <f>"1551599382327253"</f>
        <v>1551599382327253</v>
      </c>
      <c r="C6665" t="s">
        <v>40</v>
      </c>
      <c r="D6665">
        <v>5.1089089999999997</v>
      </c>
      <c r="E6665">
        <v>0.50167390000000001</v>
      </c>
      <c r="F6665" t="s">
        <v>41</v>
      </c>
      <c r="G6665">
        <v>-338.65069999999997</v>
      </c>
      <c r="H6665" s="1">
        <v>-1.3199449999999901E-6</v>
      </c>
      <c r="I6665">
        <v>16.328849999999999</v>
      </c>
      <c r="J6665">
        <v>-354.29430000000002</v>
      </c>
      <c r="K6665">
        <v>1.119801</v>
      </c>
      <c r="L6665">
        <v>17.839690000000001</v>
      </c>
      <c r="M6665">
        <v>0.99981399999999998</v>
      </c>
      <c r="N6665">
        <v>-5.9231020000000004E-3</v>
      </c>
      <c r="O6665">
        <v>-1.8358849999999999E-2</v>
      </c>
      <c r="P6665">
        <v>0.988425</v>
      </c>
      <c r="Q6665">
        <v>-0.1205936</v>
      </c>
      <c r="R6665">
        <v>-9.205033E-2</v>
      </c>
      <c r="S6665">
        <v>2.9829409999999998</v>
      </c>
      <c r="T6665">
        <v>-0.21063970000000001</v>
      </c>
      <c r="U6665">
        <v>-0.284912099999999</v>
      </c>
      <c r="V6665">
        <v>7.389279E-2</v>
      </c>
      <c r="W6665">
        <v>-0.11472499999999999</v>
      </c>
      <c r="X6665">
        <v>0.99064529999999995</v>
      </c>
      <c r="Y6665">
        <v>7.6622090000000004E-2</v>
      </c>
      <c r="Z6665">
        <v>-1.7404629999999901E-3</v>
      </c>
      <c r="AA6665">
        <v>0.99705869999999996</v>
      </c>
      <c r="AB6665">
        <v>22</v>
      </c>
      <c r="AC6665">
        <v>15.643599999999999</v>
      </c>
      <c r="AD6665">
        <v>-1.119802319945</v>
      </c>
      <c r="AE6665">
        <v>-1.51084</v>
      </c>
      <c r="AF6665">
        <v>1.21720252582239</v>
      </c>
      <c r="AG6665">
        <v>-1.119802319945</v>
      </c>
      <c r="AH6665">
        <v>15.5895584048128</v>
      </c>
      <c r="AI6665">
        <v>94.0960917359414</v>
      </c>
      <c r="AJ6665">
        <v>85.535513916482103</v>
      </c>
      <c r="AK6665">
        <v>15.67704916372</v>
      </c>
      <c r="AL6665">
        <v>96.587763463420103</v>
      </c>
      <c r="AM6665">
        <v>85.734175213469399</v>
      </c>
      <c r="AN6665">
        <v>1.00000004022553</v>
      </c>
    </row>
    <row r="6666" spans="1:40" x14ac:dyDescent="0.25">
      <c r="A6666" t="str">
        <f>"20190303154942354"</f>
        <v>20190303154942354</v>
      </c>
      <c r="B6666" t="str">
        <f>"1551599382347749"</f>
        <v>1551599382347749</v>
      </c>
      <c r="C6666" t="s">
        <v>40</v>
      </c>
      <c r="D6666">
        <v>5.0240629999999999</v>
      </c>
      <c r="E6666">
        <v>0.50357810000000003</v>
      </c>
      <c r="F6666" t="s">
        <v>41</v>
      </c>
      <c r="G6666">
        <v>-338.529</v>
      </c>
      <c r="H6666" s="1">
        <v>-1.3707479999999999E-6</v>
      </c>
      <c r="I6666">
        <v>16.293500000000002</v>
      </c>
      <c r="J6666">
        <v>-354.15690000000001</v>
      </c>
      <c r="K6666">
        <v>1.1197979999999901</v>
      </c>
      <c r="L6666">
        <v>17.837160000000001</v>
      </c>
      <c r="M6666">
        <v>0.99981450000000005</v>
      </c>
      <c r="N6666">
        <v>-5.9140929999999996E-3</v>
      </c>
      <c r="O6666">
        <v>-1.8326169999999999E-2</v>
      </c>
      <c r="P6666">
        <v>0.98825390000000002</v>
      </c>
      <c r="Q6666">
        <v>-0.1203597</v>
      </c>
      <c r="R6666">
        <v>-9.4169509999999998E-2</v>
      </c>
      <c r="S6666">
        <v>2.982056</v>
      </c>
      <c r="T6666">
        <v>-0.21181340000000001</v>
      </c>
      <c r="U6666">
        <v>-0.29244999999999999</v>
      </c>
      <c r="V6666">
        <v>7.6046909999999995E-2</v>
      </c>
      <c r="W6666">
        <v>-0.1145007</v>
      </c>
      <c r="X6666">
        <v>0.99050819999999995</v>
      </c>
      <c r="Y6666">
        <v>7.9170630000000006E-2</v>
      </c>
      <c r="Z6666">
        <v>-1.8478920000000001E-3</v>
      </c>
      <c r="AA6666">
        <v>0.99685939999999995</v>
      </c>
      <c r="AB6666">
        <v>22</v>
      </c>
      <c r="AC6666">
        <v>15.6279</v>
      </c>
      <c r="AD6666">
        <v>-1.1197993707479901</v>
      </c>
      <c r="AE6666">
        <v>-1.54365999999999</v>
      </c>
      <c r="AF6666">
        <v>1.2506370978324499</v>
      </c>
      <c r="AG6666">
        <v>-1.1197993707479901</v>
      </c>
      <c r="AH6666">
        <v>15.574374757810199</v>
      </c>
      <c r="AI6666">
        <v>94.099345967388402</v>
      </c>
      <c r="AJ6666">
        <v>85.408945606753306</v>
      </c>
      <c r="AK6666">
        <v>15.664584031436</v>
      </c>
      <c r="AL6666">
        <v>96.574826913984495</v>
      </c>
      <c r="AM6666">
        <v>85.609692043119907</v>
      </c>
      <c r="AN6666">
        <v>1.00000001854413</v>
      </c>
    </row>
    <row r="6667" spans="1:40" x14ac:dyDescent="0.25">
      <c r="A6667" t="str">
        <f>"20190303154942367"</f>
        <v>20190303154942367</v>
      </c>
      <c r="B6667" t="str">
        <f>"1551599382357510"</f>
        <v>1551599382357510</v>
      </c>
      <c r="C6667" t="s">
        <v>40</v>
      </c>
      <c r="D6667">
        <v>5.0190970000000004</v>
      </c>
      <c r="E6667">
        <v>0.50366529999999998</v>
      </c>
      <c r="F6667" t="s">
        <v>41</v>
      </c>
      <c r="G6667">
        <v>-327.5172</v>
      </c>
      <c r="H6667" s="1">
        <v>-2.1588980000000001E-6</v>
      </c>
      <c r="I6667">
        <v>15.026529999999999</v>
      </c>
      <c r="J6667">
        <v>-354.03179999999998</v>
      </c>
      <c r="K6667">
        <v>1.1197950000000001</v>
      </c>
      <c r="L6667">
        <v>17.83493</v>
      </c>
      <c r="M6667">
        <v>0.99981520000000002</v>
      </c>
      <c r="N6667">
        <v>-5.9071649999999998E-3</v>
      </c>
      <c r="O6667">
        <v>-1.8296340000000001E-2</v>
      </c>
      <c r="P6667">
        <v>0.98804840000000005</v>
      </c>
      <c r="Q6667">
        <v>-0.12016780000000001</v>
      </c>
      <c r="R6667">
        <v>-9.6539639999999996E-2</v>
      </c>
      <c r="S6667">
        <v>2.9902950000000001</v>
      </c>
      <c r="T6667">
        <v>-0.12569669999999999</v>
      </c>
      <c r="U6667">
        <v>-0.31549070000000001</v>
      </c>
      <c r="V6667">
        <v>7.8450140000000002E-2</v>
      </c>
      <c r="W6667">
        <v>-0.1143165</v>
      </c>
      <c r="X6667">
        <v>0.99034199999999994</v>
      </c>
      <c r="Y6667">
        <v>8.6634729999999993E-2</v>
      </c>
      <c r="Z6667">
        <v>-1.4130939999999999E-3</v>
      </c>
      <c r="AA6667">
        <v>0.99623910000000004</v>
      </c>
      <c r="AB6667">
        <v>22</v>
      </c>
      <c r="AC6667">
        <v>26.514599999999898</v>
      </c>
      <c r="AD6667">
        <v>-1.119797158898</v>
      </c>
      <c r="AE6667">
        <v>-2.8083999999999998</v>
      </c>
      <c r="AF6667">
        <v>2.3187114238309698</v>
      </c>
      <c r="AG6667">
        <v>-1.119797158898</v>
      </c>
      <c r="AH6667">
        <v>26.514777567826201</v>
      </c>
      <c r="AI6667">
        <v>92.409148927110493</v>
      </c>
      <c r="AJ6667">
        <v>85.002211034682404</v>
      </c>
      <c r="AK6667">
        <v>26.639515720361398</v>
      </c>
      <c r="AL6667">
        <v>96.564203516659404</v>
      </c>
      <c r="AM6667">
        <v>85.470761272649199</v>
      </c>
      <c r="AN6667">
        <v>0.99999998180113403</v>
      </c>
    </row>
    <row r="6668" spans="1:40" x14ac:dyDescent="0.25">
      <c r="A6668" t="str">
        <f>"20190303154942386"</f>
        <v>20190303154942386</v>
      </c>
      <c r="B6668" t="str">
        <f>"1551599382377029"</f>
        <v>1551599382377029</v>
      </c>
      <c r="C6668" t="s">
        <v>40</v>
      </c>
      <c r="D6668">
        <v>5.0298669999999897</v>
      </c>
      <c r="E6668">
        <v>0.50293089999999996</v>
      </c>
      <c r="F6668" t="s">
        <v>41</v>
      </c>
      <c r="G6668">
        <v>-327.11430000000001</v>
      </c>
      <c r="H6668" s="1">
        <v>-2.3407490000000002E-6</v>
      </c>
      <c r="I6668">
        <v>14.92449</v>
      </c>
      <c r="J6668">
        <v>-353.84890000000001</v>
      </c>
      <c r="K6668">
        <v>1.119791</v>
      </c>
      <c r="L6668">
        <v>17.831600000000002</v>
      </c>
      <c r="M6668">
        <v>0.99981600000000004</v>
      </c>
      <c r="N6668">
        <v>-5.8996650000000001E-3</v>
      </c>
      <c r="O6668">
        <v>-1.8252569999999999E-2</v>
      </c>
      <c r="P6668">
        <v>0.98764730000000001</v>
      </c>
      <c r="Q6668">
        <v>-0.1198617</v>
      </c>
      <c r="R6668">
        <v>-0.1009261</v>
      </c>
      <c r="S6668">
        <v>2.9895320000000001</v>
      </c>
      <c r="T6668">
        <v>-0.12436800000000001</v>
      </c>
      <c r="U6668">
        <v>-0.32324219999999998</v>
      </c>
      <c r="V6668">
        <v>8.288645E-2</v>
      </c>
      <c r="W6668">
        <v>-0.1140195</v>
      </c>
      <c r="X6668">
        <v>0.99001490000000003</v>
      </c>
      <c r="Y6668">
        <v>8.9257359999999994E-2</v>
      </c>
      <c r="Z6668">
        <v>-1.46539E-3</v>
      </c>
      <c r="AA6668">
        <v>0.99600750000000005</v>
      </c>
      <c r="AB6668">
        <v>22</v>
      </c>
      <c r="AC6668">
        <v>26.7346</v>
      </c>
      <c r="AD6668">
        <v>-1.1197933407489999</v>
      </c>
      <c r="AE6668">
        <v>-2.9071099999999999</v>
      </c>
      <c r="AF6668">
        <v>2.4144556133333301</v>
      </c>
      <c r="AG6668">
        <v>-1.1197933407489999</v>
      </c>
      <c r="AH6668">
        <v>26.7368502837896</v>
      </c>
      <c r="AI6668">
        <v>92.3885533721446</v>
      </c>
      <c r="AJ6668">
        <v>84.839934382979806</v>
      </c>
      <c r="AK6668">
        <v>26.868991349369999</v>
      </c>
      <c r="AL6668">
        <v>96.547074183533397</v>
      </c>
      <c r="AM6668">
        <v>85.214219357250698</v>
      </c>
      <c r="AN6668">
        <v>1.0000000560979201</v>
      </c>
    </row>
    <row r="6669" spans="1:40" x14ac:dyDescent="0.25">
      <c r="A6669" t="str">
        <f>"20190303154942399"</f>
        <v>20190303154942399</v>
      </c>
      <c r="B6669" t="str">
        <f>"1551599382387766"</f>
        <v>1551599382387766</v>
      </c>
      <c r="C6669" t="s">
        <v>40</v>
      </c>
      <c r="D6669">
        <v>5.014202</v>
      </c>
      <c r="E6669">
        <v>0.50209129999999902</v>
      </c>
      <c r="F6669" t="s">
        <v>41</v>
      </c>
      <c r="G6669">
        <v>-327.19779999999997</v>
      </c>
      <c r="H6669" s="1">
        <v>-2.3191049999999999E-6</v>
      </c>
      <c r="I6669">
        <v>14.885300000000001</v>
      </c>
      <c r="J6669">
        <v>-353.70949999999999</v>
      </c>
      <c r="K6669">
        <v>1.119785</v>
      </c>
      <c r="L6669">
        <v>17.829070000000002</v>
      </c>
      <c r="M6669">
        <v>0.9998167</v>
      </c>
      <c r="N6669">
        <v>-5.8958140000000001E-3</v>
      </c>
      <c r="O6669">
        <v>-1.8219300000000001E-2</v>
      </c>
      <c r="P6669">
        <v>0.98748579999999997</v>
      </c>
      <c r="Q6669">
        <v>-0.119736999999999</v>
      </c>
      <c r="R6669">
        <v>-0.1026398</v>
      </c>
      <c r="S6669">
        <v>2.9885250000000001</v>
      </c>
      <c r="T6669">
        <v>-0.12556800000000001</v>
      </c>
      <c r="U6669">
        <v>-0.33038329999999999</v>
      </c>
      <c r="V6669">
        <v>8.4635909999999995E-2</v>
      </c>
      <c r="W6669">
        <v>-0.1138994</v>
      </c>
      <c r="X6669">
        <v>0.9898806</v>
      </c>
      <c r="Y6669">
        <v>9.1674190000000003E-2</v>
      </c>
      <c r="Z6669">
        <v>-1.534891E-3</v>
      </c>
      <c r="AA6669">
        <v>0.99578789999999995</v>
      </c>
      <c r="AB6669">
        <v>22</v>
      </c>
      <c r="AC6669">
        <v>26.511700000000001</v>
      </c>
      <c r="AD6669">
        <v>-1.1197873191050001</v>
      </c>
      <c r="AE6669">
        <v>-2.9437700000000002</v>
      </c>
      <c r="AF6669">
        <v>2.45592037047575</v>
      </c>
      <c r="AG6669">
        <v>-1.1197873191050001</v>
      </c>
      <c r="AH6669">
        <v>26.514208272111599</v>
      </c>
      <c r="AI6669">
        <v>92.408067113660394</v>
      </c>
      <c r="AJ6669">
        <v>84.707988154355704</v>
      </c>
      <c r="AK6669">
        <v>26.651242162478301</v>
      </c>
      <c r="AL6669">
        <v>96.540148493206303</v>
      </c>
      <c r="AM6669">
        <v>85.113031607802299</v>
      </c>
      <c r="AN6669">
        <v>0.99999995641912298</v>
      </c>
    </row>
    <row r="6670" spans="1:40" x14ac:dyDescent="0.25">
      <c r="A6670" t="str">
        <f>"20190303154942418"</f>
        <v>20190303154942418</v>
      </c>
      <c r="B6670" t="str">
        <f>"1551599382407286"</f>
        <v>1551599382407286</v>
      </c>
      <c r="C6670" t="s">
        <v>40</v>
      </c>
      <c r="D6670">
        <v>5.0509259999999996</v>
      </c>
      <c r="E6670">
        <v>0.50111530000000004</v>
      </c>
      <c r="F6670" t="s">
        <v>41</v>
      </c>
      <c r="G6670">
        <v>-327.28109999999998</v>
      </c>
      <c r="H6670" s="1">
        <v>-2.2774239999999998E-6</v>
      </c>
      <c r="I6670">
        <v>14.9217</v>
      </c>
      <c r="J6670">
        <v>-353.52730000000003</v>
      </c>
      <c r="K6670">
        <v>1.1197820000000001</v>
      </c>
      <c r="L6670">
        <v>17.825779999999899</v>
      </c>
      <c r="M6670">
        <v>0.99981750000000003</v>
      </c>
      <c r="N6670">
        <v>-5.8934259999999898E-3</v>
      </c>
      <c r="O6670">
        <v>-1.8175299999999998E-2</v>
      </c>
      <c r="P6670">
        <v>0.98722019999999999</v>
      </c>
      <c r="Q6670">
        <v>-0.11935750000000001</v>
      </c>
      <c r="R6670">
        <v>-0.1055939</v>
      </c>
      <c r="S6670">
        <v>2.9885250000000001</v>
      </c>
      <c r="T6670">
        <v>-0.1266255</v>
      </c>
      <c r="U6670">
        <v>-0.3287659</v>
      </c>
      <c r="V6670">
        <v>8.7637779999999998E-2</v>
      </c>
      <c r="W6670">
        <v>-0.1135234</v>
      </c>
      <c r="X6670">
        <v>0.98966259999999995</v>
      </c>
      <c r="Y6670">
        <v>9.1184799999999996E-2</v>
      </c>
      <c r="Z6670">
        <v>-1.53431799999999E-3</v>
      </c>
      <c r="AA6670">
        <v>0.99583279999999996</v>
      </c>
      <c r="AB6670">
        <v>22</v>
      </c>
      <c r="AC6670">
        <v>26.246200000000002</v>
      </c>
      <c r="AD6670">
        <v>-1.1197842774240001</v>
      </c>
      <c r="AE6670">
        <v>-2.9040799999999898</v>
      </c>
      <c r="AF6670">
        <v>2.4222037184950298</v>
      </c>
      <c r="AG6670">
        <v>-1.1197842774240001</v>
      </c>
      <c r="AH6670">
        <v>26.247448237456101</v>
      </c>
      <c r="AI6670">
        <v>92.432581547216301</v>
      </c>
      <c r="AJ6670">
        <v>84.727484233056003</v>
      </c>
      <c r="AK6670">
        <v>26.382750551445501</v>
      </c>
      <c r="AL6670">
        <v>96.518464333086897</v>
      </c>
      <c r="AM6670">
        <v>84.939476066366197</v>
      </c>
      <c r="AN6670">
        <v>1.0000000023348199</v>
      </c>
    </row>
    <row r="6671" spans="1:40" x14ac:dyDescent="0.25">
      <c r="A6671" t="str">
        <f>"20190303154942429"</f>
        <v>20190303154942429</v>
      </c>
      <c r="B6671" t="str">
        <f>"1551599382417046"</f>
        <v>1551599382417046</v>
      </c>
      <c r="C6671" t="s">
        <v>40</v>
      </c>
      <c r="D6671">
        <v>5.0432670000000002</v>
      </c>
      <c r="E6671">
        <v>0.50076129999999996</v>
      </c>
      <c r="F6671" t="s">
        <v>41</v>
      </c>
      <c r="G6671">
        <v>-327.04790000000003</v>
      </c>
      <c r="H6671" s="1">
        <v>-2.3718860000000001E-6</v>
      </c>
      <c r="I6671">
        <v>14.90333</v>
      </c>
      <c r="J6671">
        <v>-353.41140000000001</v>
      </c>
      <c r="K6671">
        <v>1.119785</v>
      </c>
      <c r="L6671">
        <v>17.823729999999902</v>
      </c>
      <c r="M6671">
        <v>0.99981799999999998</v>
      </c>
      <c r="N6671">
        <v>-5.893204E-3</v>
      </c>
      <c r="O6671">
        <v>-1.8147409999999999E-2</v>
      </c>
      <c r="P6671">
        <v>0.98712500000000003</v>
      </c>
      <c r="Q6671">
        <v>-0.11883059999999999</v>
      </c>
      <c r="R6671">
        <v>-0.1070696</v>
      </c>
      <c r="S6671">
        <v>2.988251</v>
      </c>
      <c r="T6671">
        <v>-0.1263698</v>
      </c>
      <c r="U6671">
        <v>-0.32980350000000003</v>
      </c>
      <c r="V6671">
        <v>8.9142399999999997E-2</v>
      </c>
      <c r="W6671">
        <v>-0.1129969</v>
      </c>
      <c r="X6671">
        <v>0.98958840000000003</v>
      </c>
      <c r="Y6671">
        <v>9.1564019999999996E-2</v>
      </c>
      <c r="Z6671">
        <v>-1.542178E-3</v>
      </c>
      <c r="AA6671">
        <v>0.99579799999999996</v>
      </c>
      <c r="AB6671">
        <v>22</v>
      </c>
      <c r="AC6671">
        <v>26.363499999999899</v>
      </c>
      <c r="AD6671">
        <v>-1.1197873718860001</v>
      </c>
      <c r="AE6671">
        <v>-2.9203999999999901</v>
      </c>
      <c r="AF6671">
        <v>2.4371379434536502</v>
      </c>
      <c r="AG6671">
        <v>-1.1197873718860001</v>
      </c>
      <c r="AH6671">
        <v>26.365167703852201</v>
      </c>
      <c r="AI6671">
        <v>92.421705607147402</v>
      </c>
      <c r="AJ6671">
        <v>84.718712826618997</v>
      </c>
      <c r="AK6671">
        <v>26.501238332687599</v>
      </c>
      <c r="AL6671">
        <v>96.488103183447095</v>
      </c>
      <c r="AM6671">
        <v>84.852672736900502</v>
      </c>
      <c r="AN6671">
        <v>0.999999934150962</v>
      </c>
    </row>
    <row r="6672" spans="1:40" x14ac:dyDescent="0.25">
      <c r="A6672" t="str">
        <f>"20190303154942442"</f>
        <v>20190303154942442</v>
      </c>
      <c r="B6672" t="str">
        <f>"1551599382437541"</f>
        <v>1551599382437541</v>
      </c>
      <c r="C6672" t="s">
        <v>40</v>
      </c>
      <c r="D6672">
        <v>5.4829670000000004</v>
      </c>
      <c r="E6672">
        <v>0.50033379999999905</v>
      </c>
      <c r="F6672" t="s">
        <v>41</v>
      </c>
      <c r="G6672">
        <v>-326.64830000000001</v>
      </c>
      <c r="H6672" s="1">
        <v>-2.5377630000000001E-6</v>
      </c>
      <c r="I6672">
        <v>14.8565</v>
      </c>
      <c r="J6672">
        <v>-353.2835</v>
      </c>
      <c r="K6672">
        <v>1.1197839999999999</v>
      </c>
      <c r="L6672">
        <v>17.82141</v>
      </c>
      <c r="M6672">
        <v>0.99981850000000005</v>
      </c>
      <c r="N6672">
        <v>-5.89355E-3</v>
      </c>
      <c r="O6672">
        <v>-1.8116529999999999E-2</v>
      </c>
      <c r="P6672">
        <v>0.98701700000000003</v>
      </c>
      <c r="Q6672">
        <v>-0.1186485</v>
      </c>
      <c r="R6672">
        <v>-0.1082596</v>
      </c>
      <c r="S6672">
        <v>2.988159</v>
      </c>
      <c r="T6672">
        <v>-0.12502679999999999</v>
      </c>
      <c r="U6672">
        <v>-0.3312988</v>
      </c>
      <c r="V6672">
        <v>9.0364940000000005E-2</v>
      </c>
      <c r="W6672">
        <v>-0.112815</v>
      </c>
      <c r="X6672">
        <v>0.98949830000000005</v>
      </c>
      <c r="Y6672">
        <v>9.2091389999999995E-2</v>
      </c>
      <c r="Z6672">
        <v>-1.5434979999999999E-3</v>
      </c>
      <c r="AA6672">
        <v>0.99574940000000001</v>
      </c>
      <c r="AB6672">
        <v>22</v>
      </c>
      <c r="AC6672">
        <v>26.635200000000001</v>
      </c>
      <c r="AD6672">
        <v>-1.1197865377630001</v>
      </c>
      <c r="AE6672">
        <v>-2.9649100000000002</v>
      </c>
      <c r="AF6672">
        <v>2.4775521351504701</v>
      </c>
      <c r="AG6672">
        <v>-1.1197865377630001</v>
      </c>
      <c r="AH6672">
        <v>26.6380369820894</v>
      </c>
      <c r="AI6672">
        <v>92.396800422130994</v>
      </c>
      <c r="AJ6672">
        <v>84.686317532255202</v>
      </c>
      <c r="AK6672">
        <v>26.776429947468799</v>
      </c>
      <c r="AL6672">
        <v>96.477613801108106</v>
      </c>
      <c r="AM6672">
        <v>84.781994450565605</v>
      </c>
      <c r="AN6672">
        <v>0.99999996615454601</v>
      </c>
    </row>
    <row r="6673" spans="1:40" x14ac:dyDescent="0.25">
      <c r="A6673" t="str">
        <f>"20190303154942455"</f>
        <v>20190303154942455</v>
      </c>
      <c r="B6673" t="str">
        <f>"1551599382447301"</f>
        <v>1551599382447301</v>
      </c>
      <c r="C6673" t="s">
        <v>40</v>
      </c>
      <c r="D6673">
        <v>5.2661410000000002</v>
      </c>
      <c r="E6673">
        <v>0.50198169999999998</v>
      </c>
      <c r="F6673" t="s">
        <v>41</v>
      </c>
      <c r="G6673">
        <v>-326.4554</v>
      </c>
      <c r="H6673" s="1">
        <v>-2.6144840000000001E-6</v>
      </c>
      <c r="I6673">
        <v>14.84671</v>
      </c>
      <c r="J6673">
        <v>-353.15469999999999</v>
      </c>
      <c r="K6673">
        <v>1.1197839999999999</v>
      </c>
      <c r="L6673">
        <v>17.819089999999999</v>
      </c>
      <c r="M6673">
        <v>0.99981909999999896</v>
      </c>
      <c r="N6673">
        <v>-5.895183E-3</v>
      </c>
      <c r="O6673">
        <v>-1.8085540000000001E-2</v>
      </c>
      <c r="P6673">
        <v>0.98686110000000005</v>
      </c>
      <c r="Q6673">
        <v>-0.118797</v>
      </c>
      <c r="R6673">
        <v>-0.1095131</v>
      </c>
      <c r="S6673">
        <v>2.9881899999999999</v>
      </c>
      <c r="T6673">
        <v>-0.1247246</v>
      </c>
      <c r="U6673">
        <v>-0.33132929999999999</v>
      </c>
      <c r="V6673">
        <v>9.1651540000000004E-2</v>
      </c>
      <c r="W6673">
        <v>-0.11296249999999999</v>
      </c>
      <c r="X6673">
        <v>0.98936310000000005</v>
      </c>
      <c r="Y6673">
        <v>9.2131489999999996E-2</v>
      </c>
      <c r="Z6673">
        <v>-1.5428359999999999E-3</v>
      </c>
      <c r="AA6673">
        <v>0.99574569999999996</v>
      </c>
      <c r="AB6673">
        <v>22</v>
      </c>
      <c r="AC6673">
        <v>26.699299999999901</v>
      </c>
      <c r="AD6673">
        <v>-1.1197866144840001</v>
      </c>
      <c r="AE6673">
        <v>-2.9723799999999998</v>
      </c>
      <c r="AF6673">
        <v>2.48469707299724</v>
      </c>
      <c r="AG6673">
        <v>-1.1197866144840001</v>
      </c>
      <c r="AH6673">
        <v>26.7022961670407</v>
      </c>
      <c r="AI6673">
        <v>92.391029740383203</v>
      </c>
      <c r="AJ6673">
        <v>84.683832158036694</v>
      </c>
      <c r="AK6673">
        <v>26.841018277980702</v>
      </c>
      <c r="AL6673">
        <v>96.486119486342702</v>
      </c>
      <c r="AM6673">
        <v>84.707401214923095</v>
      </c>
      <c r="AN6673">
        <v>0.99999993741611304</v>
      </c>
    </row>
    <row r="6674" spans="1:40" x14ac:dyDescent="0.25">
      <c r="A6674" t="str">
        <f>"20190303154942466"</f>
        <v>20190303154942466</v>
      </c>
      <c r="B6674" t="str">
        <f>"1551599382457062"</f>
        <v>1551599382457062</v>
      </c>
      <c r="C6674" t="s">
        <v>40</v>
      </c>
      <c r="D6674">
        <v>5.3902869999999998</v>
      </c>
      <c r="E6674">
        <v>0.50198169999999998</v>
      </c>
      <c r="F6674" t="s">
        <v>41</v>
      </c>
      <c r="G6674">
        <v>-328.74759999999998</v>
      </c>
      <c r="H6674" s="1">
        <v>-1.700062E-6</v>
      </c>
      <c r="I6674">
        <v>14.975079999999901</v>
      </c>
      <c r="J6674">
        <v>-353.0385</v>
      </c>
      <c r="K6674">
        <v>1.119785</v>
      </c>
      <c r="L6674">
        <v>17.817019999999999</v>
      </c>
      <c r="M6674">
        <v>0.99981949999999997</v>
      </c>
      <c r="N6674">
        <v>-5.8973109999999997E-3</v>
      </c>
      <c r="O6674">
        <v>-1.805729E-2</v>
      </c>
      <c r="P6674">
        <v>0.98668929999999999</v>
      </c>
      <c r="Q6674">
        <v>-0.11857769999999999</v>
      </c>
      <c r="R6674">
        <v>-0.1112818</v>
      </c>
      <c r="S6674">
        <v>2.9848629999999998</v>
      </c>
      <c r="T6674">
        <v>-0.13694429999999999</v>
      </c>
      <c r="U6674">
        <v>-0.34780879999999997</v>
      </c>
      <c r="V6674">
        <v>9.3451190000000003E-2</v>
      </c>
      <c r="W6674">
        <v>-0.11274190000000001</v>
      </c>
      <c r="X6674">
        <v>0.98921999999999999</v>
      </c>
      <c r="Y6674">
        <v>9.7685679999999997E-2</v>
      </c>
      <c r="Z6674">
        <v>-1.8024829999999999E-3</v>
      </c>
      <c r="AA6674">
        <v>0.99521570000000004</v>
      </c>
      <c r="AB6674">
        <v>22</v>
      </c>
      <c r="AC6674">
        <v>24.290900000000001</v>
      </c>
      <c r="AD6674">
        <v>-1.1197867000620001</v>
      </c>
      <c r="AE6674">
        <v>-2.8419400000000001</v>
      </c>
      <c r="AF6674">
        <v>2.39781430146268</v>
      </c>
      <c r="AG6674">
        <v>-1.1197867000620001</v>
      </c>
      <c r="AH6674">
        <v>24.287341396551898</v>
      </c>
      <c r="AI6674">
        <v>92.627043043680402</v>
      </c>
      <c r="AJ6674">
        <v>84.361636096467507</v>
      </c>
      <c r="AK6674">
        <v>24.431094690795099</v>
      </c>
      <c r="AL6674">
        <v>96.473398141701907</v>
      </c>
      <c r="AM6674">
        <v>84.603308461316601</v>
      </c>
      <c r="AN6674">
        <v>1.0000000346640101</v>
      </c>
    </row>
    <row r="6675" spans="1:40" x14ac:dyDescent="0.25">
      <c r="A6675" t="str">
        <f>"20190303154942478"</f>
        <v>20190303154942478</v>
      </c>
      <c r="B6675" t="str">
        <f>"1551599382467798"</f>
        <v>1551599382467798</v>
      </c>
      <c r="C6675" t="s">
        <v>40</v>
      </c>
      <c r="D6675">
        <v>5.2046869999999998</v>
      </c>
      <c r="E6675">
        <v>0.55231019999999997</v>
      </c>
      <c r="F6675" t="s">
        <v>41</v>
      </c>
      <c r="G6675">
        <v>-328.51429999999999</v>
      </c>
      <c r="H6675" s="1">
        <v>-1.8053230000000001E-6</v>
      </c>
      <c r="I6675">
        <v>14.91614</v>
      </c>
      <c r="J6675">
        <v>-352.9196</v>
      </c>
      <c r="K6675">
        <v>1.1197820000000001</v>
      </c>
      <c r="L6675">
        <v>17.814879999999999</v>
      </c>
      <c r="M6675">
        <v>0.99982009999999999</v>
      </c>
      <c r="N6675">
        <v>-5.9000370000000003E-3</v>
      </c>
      <c r="O6675">
        <v>-1.802869E-2</v>
      </c>
      <c r="P6675">
        <v>0.98648639999999999</v>
      </c>
      <c r="Q6675">
        <v>-0.1187404</v>
      </c>
      <c r="R6675">
        <v>-0.1128952</v>
      </c>
      <c r="S6675">
        <v>2.9842529999999998</v>
      </c>
      <c r="T6675">
        <v>-0.13626240000000001</v>
      </c>
      <c r="U6675">
        <v>-0.3529968</v>
      </c>
      <c r="V6675">
        <v>9.5096470000000002E-2</v>
      </c>
      <c r="W6675">
        <v>-0.1129028</v>
      </c>
      <c r="X6675">
        <v>0.98904479999999995</v>
      </c>
      <c r="Y6675">
        <v>9.9442849999999999E-2</v>
      </c>
      <c r="Z6675">
        <v>-1.842123E-3</v>
      </c>
      <c r="AA6675">
        <v>0.99504150000000002</v>
      </c>
      <c r="AB6675">
        <v>22</v>
      </c>
      <c r="AC6675">
        <v>24.4053</v>
      </c>
      <c r="AD6675">
        <v>-1.119783805323</v>
      </c>
      <c r="AE6675">
        <v>-2.8987400000000001</v>
      </c>
      <c r="AF6675">
        <v>2.4531729668791198</v>
      </c>
      <c r="AG6675">
        <v>-1.119783805323</v>
      </c>
      <c r="AH6675">
        <v>24.402935482356899</v>
      </c>
      <c r="AI6675">
        <v>92.614145777679099</v>
      </c>
      <c r="AJ6675">
        <v>84.259468177989703</v>
      </c>
      <c r="AK6675">
        <v>24.551481289978501</v>
      </c>
      <c r="AL6675">
        <v>96.482676506135803</v>
      </c>
      <c r="AM6675">
        <v>84.507904556175006</v>
      </c>
      <c r="AN6675">
        <v>0.99999999863067002</v>
      </c>
    </row>
    <row r="6676" spans="1:40" x14ac:dyDescent="0.25">
      <c r="A6676" t="str">
        <f>"20190303154942496"</f>
        <v>20190303154942496</v>
      </c>
      <c r="B6676" t="str">
        <f>"1551599382487318"</f>
        <v>1551599382487318</v>
      </c>
      <c r="C6676" t="s">
        <v>40</v>
      </c>
      <c r="D6676">
        <v>5.285272</v>
      </c>
      <c r="E6676">
        <v>0.55394509999999997</v>
      </c>
      <c r="F6676" t="s">
        <v>41</v>
      </c>
      <c r="G6676">
        <v>-329.56810000000002</v>
      </c>
      <c r="H6676" s="1">
        <v>-2.2295099999999999E-6</v>
      </c>
      <c r="I6676">
        <v>11.80101</v>
      </c>
      <c r="J6676">
        <v>-352.74279999999999</v>
      </c>
      <c r="K6676">
        <v>1.1197779999999999</v>
      </c>
      <c r="L6676">
        <v>17.811769999999999</v>
      </c>
      <c r="M6676">
        <v>0.99982079999999995</v>
      </c>
      <c r="N6676">
        <v>-5.9054939999999998E-3</v>
      </c>
      <c r="O6676">
        <v>-1.7985910000000001E-2</v>
      </c>
      <c r="P6676">
        <v>0.98607659999999997</v>
      </c>
      <c r="Q6676">
        <v>-0.1192531</v>
      </c>
      <c r="R6676">
        <v>-0.1158946</v>
      </c>
      <c r="S6676">
        <v>2.9375610000000001</v>
      </c>
      <c r="T6676">
        <v>-0.1408662</v>
      </c>
      <c r="U6676">
        <v>-0.75653079999999995</v>
      </c>
      <c r="V6676">
        <v>9.8145140000000006E-2</v>
      </c>
      <c r="W6676">
        <v>-0.1134121</v>
      </c>
      <c r="X6676">
        <v>0.98868860000000003</v>
      </c>
      <c r="Y6676">
        <v>0.23167399999999999</v>
      </c>
      <c r="Z6676">
        <v>-5.4149669999999997E-3</v>
      </c>
      <c r="AA6676">
        <v>0.97277840000000004</v>
      </c>
      <c r="AB6676">
        <v>22</v>
      </c>
      <c r="AC6676">
        <v>23.174699999999898</v>
      </c>
      <c r="AD6676">
        <v>-1.1197802295099999</v>
      </c>
      <c r="AE6676">
        <v>-6.0107600000000003</v>
      </c>
      <c r="AF6676">
        <v>5.5807540267162796</v>
      </c>
      <c r="AG6676">
        <v>-1.1197802295099999</v>
      </c>
      <c r="AH6676">
        <v>23.228248533674101</v>
      </c>
      <c r="AI6676">
        <v>92.683707092497102</v>
      </c>
      <c r="AJ6676">
        <v>76.490333479360203</v>
      </c>
      <c r="AK6676">
        <v>23.915481454723899</v>
      </c>
      <c r="AL6676">
        <v>96.5120461348709</v>
      </c>
      <c r="AM6676">
        <v>84.330935119855297</v>
      </c>
      <c r="AN6676">
        <v>0.99999996035099403</v>
      </c>
    </row>
    <row r="6677" spans="1:40" x14ac:dyDescent="0.25">
      <c r="A6677" t="str">
        <f>"20190303154942510"</f>
        <v>20190303154942510</v>
      </c>
      <c r="B6677" t="str">
        <f>"1551599382507813"</f>
        <v>1551599382507813</v>
      </c>
      <c r="C6677" t="s">
        <v>40</v>
      </c>
      <c r="D6677">
        <v>5.3034520000000001</v>
      </c>
      <c r="E6677">
        <v>0.55279739999999999</v>
      </c>
      <c r="F6677" t="s">
        <v>41</v>
      </c>
      <c r="G6677">
        <v>-330.71510000000001</v>
      </c>
      <c r="H6677" s="1">
        <v>-5.32268699999999E-6</v>
      </c>
      <c r="I6677">
        <v>11.965070000000001</v>
      </c>
      <c r="J6677">
        <v>-352.60140000000001</v>
      </c>
      <c r="K6677">
        <v>1.1197760000000001</v>
      </c>
      <c r="L6677">
        <v>17.809229999999999</v>
      </c>
      <c r="M6677">
        <v>0.99982139999999997</v>
      </c>
      <c r="N6677">
        <v>-5.9107469999999896E-3</v>
      </c>
      <c r="O6677">
        <v>-1.7951709999999999E-2</v>
      </c>
      <c r="P6677">
        <v>0.98588399999999998</v>
      </c>
      <c r="Q6677">
        <v>-0.1195013</v>
      </c>
      <c r="R6677">
        <v>-0.11726979999999999</v>
      </c>
      <c r="S6677">
        <v>2.9328609999999999</v>
      </c>
      <c r="T6677">
        <v>-0.14909259999999999</v>
      </c>
      <c r="U6677">
        <v>-0.77844239999999998</v>
      </c>
      <c r="V6677">
        <v>9.9557320000000005E-2</v>
      </c>
      <c r="W6677">
        <v>-0.1136559</v>
      </c>
      <c r="X6677">
        <v>0.98851940000000005</v>
      </c>
      <c r="Y6677">
        <v>0.23883940000000001</v>
      </c>
      <c r="Z6677">
        <v>-5.8904889999999996E-3</v>
      </c>
      <c r="AA6677">
        <v>0.97104120000000005</v>
      </c>
      <c r="AB6677">
        <v>23</v>
      </c>
      <c r="AC6677">
        <v>21.886299999999999</v>
      </c>
      <c r="AD6677">
        <v>-1.1197813226869999</v>
      </c>
      <c r="AE6677">
        <v>-5.8441599999999996</v>
      </c>
      <c r="AF6677">
        <v>5.4370295335428702</v>
      </c>
      <c r="AG6677">
        <v>-1.1197813226869999</v>
      </c>
      <c r="AH6677">
        <v>21.934091846006499</v>
      </c>
      <c r="AI6677">
        <v>92.836824271674402</v>
      </c>
      <c r="AJ6677">
        <v>76.078118517259895</v>
      </c>
      <c r="AK6677">
        <v>22.625640001297299</v>
      </c>
      <c r="AL6677">
        <v>96.526105731357902</v>
      </c>
      <c r="AM6677">
        <v>84.248929850170001</v>
      </c>
      <c r="AN6677">
        <v>0.99999996387337498</v>
      </c>
    </row>
    <row r="6678" spans="1:40" x14ac:dyDescent="0.25">
      <c r="A6678" t="str">
        <f>"20190303154942530"</f>
        <v>20190303154942530</v>
      </c>
      <c r="B6678" t="str">
        <f>"1551599382527334"</f>
        <v>1551599382527334</v>
      </c>
      <c r="C6678" t="s">
        <v>40</v>
      </c>
      <c r="D6678">
        <v>5.3145619999999996</v>
      </c>
      <c r="E6678">
        <v>0.5518265</v>
      </c>
      <c r="F6678" t="s">
        <v>41</v>
      </c>
      <c r="G6678">
        <v>-334.16050000000001</v>
      </c>
      <c r="H6678" s="1">
        <v>-3.7488180000000001E-6</v>
      </c>
      <c r="I6678">
        <v>12.943199999999999</v>
      </c>
      <c r="J6678">
        <v>-352.399</v>
      </c>
      <c r="K6678">
        <v>1.119777</v>
      </c>
      <c r="L6678">
        <v>17.805629999999901</v>
      </c>
      <c r="M6678">
        <v>0.99982219999999999</v>
      </c>
      <c r="N6678">
        <v>-5.9194219999999997E-3</v>
      </c>
      <c r="O6678">
        <v>-1.790274E-2</v>
      </c>
      <c r="P6678">
        <v>0.98573770000000005</v>
      </c>
      <c r="Q6678">
        <v>-0.1194559</v>
      </c>
      <c r="R6678">
        <v>-0.11853909999999999</v>
      </c>
      <c r="S6678">
        <v>2.929443</v>
      </c>
      <c r="T6678">
        <v>-0.1778824</v>
      </c>
      <c r="U6678">
        <v>-0.77297969999999905</v>
      </c>
      <c r="V6678">
        <v>0.1008776</v>
      </c>
      <c r="W6678">
        <v>-0.1136026</v>
      </c>
      <c r="X6678">
        <v>0.98839169999999998</v>
      </c>
      <c r="Y6678">
        <v>0.2373566</v>
      </c>
      <c r="Z6678">
        <v>-6.8309360000000001E-3</v>
      </c>
      <c r="AA6678">
        <v>0.9713986</v>
      </c>
      <c r="AB6678">
        <v>23</v>
      </c>
      <c r="AC6678">
        <v>18.238499999999899</v>
      </c>
      <c r="AD6678">
        <v>-1.119780748818</v>
      </c>
      <c r="AE6678">
        <v>-4.86242999999999</v>
      </c>
      <c r="AF6678">
        <v>4.5192209481946897</v>
      </c>
      <c r="AG6678">
        <v>-1.119780748818</v>
      </c>
      <c r="AH6678">
        <v>18.258370930842201</v>
      </c>
      <c r="AI6678">
        <v>93.406980614874101</v>
      </c>
      <c r="AJ6678">
        <v>76.097838613529007</v>
      </c>
      <c r="AK6678">
        <v>18.842647795685401</v>
      </c>
      <c r="AL6678">
        <v>96.523031742542599</v>
      </c>
      <c r="AM6678">
        <v>84.172435729640398</v>
      </c>
      <c r="AN6678">
        <v>0.99999999676870399</v>
      </c>
    </row>
    <row r="6679" spans="1:40" x14ac:dyDescent="0.25">
      <c r="A6679" t="str">
        <f>"20190303154942544"</f>
        <v>20190303154942544</v>
      </c>
      <c r="B6679" t="str">
        <f>"1551599382537433"</f>
        <v>1551599382537433</v>
      </c>
      <c r="C6679" t="s">
        <v>40</v>
      </c>
      <c r="D6679">
        <v>5.2827539999999997</v>
      </c>
      <c r="E6679">
        <v>0.55142469999999999</v>
      </c>
      <c r="F6679" t="s">
        <v>41</v>
      </c>
      <c r="G6679">
        <v>-335.25229999999999</v>
      </c>
      <c r="H6679" s="1">
        <v>-3.2814329999999999E-6</v>
      </c>
      <c r="I6679">
        <v>13.30341</v>
      </c>
      <c r="J6679">
        <v>-352.25459999999998</v>
      </c>
      <c r="K6679">
        <v>1.1197760000000001</v>
      </c>
      <c r="L6679">
        <v>17.803100000000001</v>
      </c>
      <c r="M6679">
        <v>0.99982300000000002</v>
      </c>
      <c r="N6679">
        <v>-5.9263369999999899E-3</v>
      </c>
      <c r="O6679">
        <v>-1.786807E-2</v>
      </c>
      <c r="P6679">
        <v>0.98562839999999996</v>
      </c>
      <c r="Q6679">
        <v>-0.11931369999999999</v>
      </c>
      <c r="R6679">
        <v>-0.1195872</v>
      </c>
      <c r="S6679">
        <v>2.9277950000000001</v>
      </c>
      <c r="T6679">
        <v>-0.1912016</v>
      </c>
      <c r="U6679">
        <v>-0.76873780000000003</v>
      </c>
      <c r="V6679">
        <v>0.1019617</v>
      </c>
      <c r="W6679">
        <v>-0.113454</v>
      </c>
      <c r="X6679">
        <v>0.98829750000000005</v>
      </c>
      <c r="Y6679">
        <v>0.23614850000000001</v>
      </c>
      <c r="Z6679">
        <v>-7.24544199999999E-3</v>
      </c>
      <c r="AA6679">
        <v>0.97169000000000005</v>
      </c>
      <c r="AB6679">
        <v>23</v>
      </c>
      <c r="AC6679">
        <v>17.002299999999899</v>
      </c>
      <c r="AD6679">
        <v>-1.1197792814329901</v>
      </c>
      <c r="AE6679">
        <v>-4.4996899999999904</v>
      </c>
      <c r="AF6679">
        <v>4.1782308540706801</v>
      </c>
      <c r="AG6679">
        <v>-1.1197792814329901</v>
      </c>
      <c r="AH6679">
        <v>17.0110304750918</v>
      </c>
      <c r="AI6679">
        <v>93.6577467818787</v>
      </c>
      <c r="AJ6679">
        <v>76.200250895129997</v>
      </c>
      <c r="AK6679">
        <v>17.552398028005602</v>
      </c>
      <c r="AL6679">
        <v>96.514462338054699</v>
      </c>
      <c r="AM6679">
        <v>84.109689220286697</v>
      </c>
      <c r="AN6679">
        <v>0.99999997344456903</v>
      </c>
    </row>
    <row r="6680" spans="1:40" x14ac:dyDescent="0.25">
      <c r="A6680" t="str">
        <f>"20190303154942556"</f>
        <v>20190303154942556</v>
      </c>
      <c r="B6680" t="str">
        <f>"1551599382547194"</f>
        <v>1551599382547194</v>
      </c>
      <c r="C6680" t="s">
        <v>40</v>
      </c>
      <c r="D6680">
        <v>5.3321059999999996</v>
      </c>
      <c r="E6680">
        <v>0.55086669999999904</v>
      </c>
      <c r="F6680" t="s">
        <v>41</v>
      </c>
      <c r="G6680">
        <v>-335.30779999999999</v>
      </c>
      <c r="H6680" s="1">
        <v>-3.2492359999999999E-6</v>
      </c>
      <c r="I6680">
        <v>13.35336</v>
      </c>
      <c r="J6680">
        <v>-352.1225</v>
      </c>
      <c r="K6680">
        <v>1.1197729999999999</v>
      </c>
      <c r="L6680">
        <v>17.800750000000001</v>
      </c>
      <c r="M6680">
        <v>0.99982349999999998</v>
      </c>
      <c r="N6680">
        <v>-5.9332660000000004E-3</v>
      </c>
      <c r="O6680">
        <v>-1.783626E-2</v>
      </c>
      <c r="P6680">
        <v>0.98558590000000001</v>
      </c>
      <c r="Q6680">
        <v>-0.1188403</v>
      </c>
      <c r="R6680">
        <v>-0.12040670000000001</v>
      </c>
      <c r="S6680">
        <v>2.9270939999999999</v>
      </c>
      <c r="T6680">
        <v>-0.19341050000000001</v>
      </c>
      <c r="U6680">
        <v>-0.76855469999999904</v>
      </c>
      <c r="V6680">
        <v>0.1028133</v>
      </c>
      <c r="W6680">
        <v>-0.1129739</v>
      </c>
      <c r="X6680">
        <v>0.98826429999999998</v>
      </c>
      <c r="Y6680">
        <v>0.23616870000000001</v>
      </c>
      <c r="Z6680">
        <v>-7.3246839999999997E-3</v>
      </c>
      <c r="AA6680">
        <v>0.97168449999999995</v>
      </c>
      <c r="AB6680">
        <v>23</v>
      </c>
      <c r="AC6680">
        <v>16.814699999999998</v>
      </c>
      <c r="AD6680">
        <v>-1.1197762492359999</v>
      </c>
      <c r="AE6680">
        <v>-4.4473900000000004</v>
      </c>
      <c r="AF6680">
        <v>4.1296487736924297</v>
      </c>
      <c r="AG6680">
        <v>-1.1197762492359999</v>
      </c>
      <c r="AH6680">
        <v>16.821626659688501</v>
      </c>
      <c r="AI6680">
        <v>93.6989123110354</v>
      </c>
      <c r="AJ6680">
        <v>76.206871348726807</v>
      </c>
      <c r="AK6680">
        <v>17.357275745933102</v>
      </c>
      <c r="AL6680">
        <v>96.486776447658897</v>
      </c>
      <c r="AM6680">
        <v>84.060644546813194</v>
      </c>
      <c r="AN6680">
        <v>1.00000000169629</v>
      </c>
    </row>
    <row r="6681" spans="1:40" x14ac:dyDescent="0.25">
      <c r="A6681" t="str">
        <f>"20190303154942575"</f>
        <v>20190303154942575</v>
      </c>
      <c r="B6681" t="str">
        <f>"1551599382567690"</f>
        <v>1551599382567690</v>
      </c>
      <c r="C6681" t="s">
        <v>40</v>
      </c>
      <c r="D6681">
        <v>5.216278</v>
      </c>
      <c r="E6681">
        <v>0.55115579999999997</v>
      </c>
      <c r="F6681" t="s">
        <v>41</v>
      </c>
      <c r="G6681">
        <v>-334.94839999999999</v>
      </c>
      <c r="H6681" s="1">
        <v>-3.3846249999999998E-6</v>
      </c>
      <c r="I6681">
        <v>13.30416</v>
      </c>
      <c r="J6681">
        <v>-351.93689999999998</v>
      </c>
      <c r="K6681">
        <v>1.1197699999999999</v>
      </c>
      <c r="L6681">
        <v>17.797450000000001</v>
      </c>
      <c r="M6681">
        <v>0.99982409999999999</v>
      </c>
      <c r="N6681">
        <v>-5.9438929999999996E-3</v>
      </c>
      <c r="O6681">
        <v>-1.7791580000000001E-2</v>
      </c>
      <c r="P6681">
        <v>0.98521479999999995</v>
      </c>
      <c r="Q6681">
        <v>-0.1190674</v>
      </c>
      <c r="R6681">
        <v>-0.12318659999999999</v>
      </c>
      <c r="S6681">
        <v>2.9272770000000001</v>
      </c>
      <c r="T6681">
        <v>-0.1908629</v>
      </c>
      <c r="U6681">
        <v>-0.7664185</v>
      </c>
      <c r="V6681">
        <v>0.1056434</v>
      </c>
      <c r="W6681">
        <v>-0.1131923</v>
      </c>
      <c r="X6681">
        <v>0.98794079999999995</v>
      </c>
      <c r="Y6681">
        <v>0.23554710000000001</v>
      </c>
      <c r="Z6681">
        <v>-7.2215329999999996E-3</v>
      </c>
      <c r="AA6681">
        <v>0.97183609999999998</v>
      </c>
      <c r="AB6681">
        <v>23</v>
      </c>
      <c r="AC6681">
        <v>16.988499999999899</v>
      </c>
      <c r="AD6681">
        <v>-1.119773384625</v>
      </c>
      <c r="AE6681">
        <v>-4.49329</v>
      </c>
      <c r="AF6681">
        <v>4.1733749926752504</v>
      </c>
      <c r="AG6681">
        <v>-1.119773384625</v>
      </c>
      <c r="AH6681">
        <v>16.996738974649901</v>
      </c>
      <c r="AI6681">
        <v>93.660861711088202</v>
      </c>
      <c r="AJ6681">
        <v>76.204528887519402</v>
      </c>
      <c r="AK6681">
        <v>17.537391112556701</v>
      </c>
      <c r="AL6681">
        <v>96.499370481871097</v>
      </c>
      <c r="AM6681">
        <v>83.896388381399106</v>
      </c>
      <c r="AN6681">
        <v>1.0000000245237399</v>
      </c>
    </row>
    <row r="6682" spans="1:40" x14ac:dyDescent="0.25">
      <c r="A6682" t="str">
        <f>"20190303154942587"</f>
        <v>20190303154942587</v>
      </c>
      <c r="B6682" t="str">
        <f>"1551599382577450"</f>
        <v>1551599382577450</v>
      </c>
      <c r="C6682" t="s">
        <v>40</v>
      </c>
      <c r="D6682">
        <v>5.208933</v>
      </c>
      <c r="E6682">
        <v>0.5511665</v>
      </c>
      <c r="F6682" t="s">
        <v>41</v>
      </c>
      <c r="G6682">
        <v>-334.60579999999999</v>
      </c>
      <c r="H6682" s="1">
        <v>-3.530458E-6</v>
      </c>
      <c r="I6682">
        <v>13.194240000000001</v>
      </c>
      <c r="J6682">
        <v>-351.81240000000003</v>
      </c>
      <c r="K6682">
        <v>1.119767</v>
      </c>
      <c r="L6682">
        <v>17.795289999999898</v>
      </c>
      <c r="M6682">
        <v>0.99982459999999995</v>
      </c>
      <c r="N6682">
        <v>-5.9514290000000003E-3</v>
      </c>
      <c r="O6682">
        <v>-1.7761679999999998E-2</v>
      </c>
      <c r="P6682">
        <v>0.98500469999999896</v>
      </c>
      <c r="Q6682">
        <v>-0.11936049999999999</v>
      </c>
      <c r="R6682">
        <v>-0.1245762</v>
      </c>
      <c r="S6682">
        <v>2.9250180000000001</v>
      </c>
      <c r="T6682">
        <v>-0.18898760000000001</v>
      </c>
      <c r="U6682">
        <v>-0.77688599999999997</v>
      </c>
      <c r="V6682">
        <v>0.1070661</v>
      </c>
      <c r="W6682">
        <v>-0.11347889999999999</v>
      </c>
      <c r="X6682">
        <v>0.98775469999999999</v>
      </c>
      <c r="Y6682">
        <v>0.23901130000000001</v>
      </c>
      <c r="Z6682">
        <v>-7.2840350000000003E-3</v>
      </c>
      <c r="AA6682">
        <v>0.97098949999999995</v>
      </c>
      <c r="AB6682">
        <v>23</v>
      </c>
      <c r="AC6682">
        <v>17.206600000000002</v>
      </c>
      <c r="AD6682">
        <v>-1.1197705304579999</v>
      </c>
      <c r="AE6682">
        <v>-4.6010499999999901</v>
      </c>
      <c r="AF6682">
        <v>4.2777925572443296</v>
      </c>
      <c r="AG6682">
        <v>-1.1197705304579999</v>
      </c>
      <c r="AH6682">
        <v>17.217556548315301</v>
      </c>
      <c r="AI6682">
        <v>93.611581124233098</v>
      </c>
      <c r="AJ6682">
        <v>76.0470873303952</v>
      </c>
      <c r="AK6682">
        <v>17.776322698976099</v>
      </c>
      <c r="AL6682">
        <v>96.515898240556098</v>
      </c>
      <c r="AM6682">
        <v>83.813667655337895</v>
      </c>
      <c r="AN6682">
        <v>0.99999997894325399</v>
      </c>
    </row>
    <row r="6683" spans="1:40" x14ac:dyDescent="0.25">
      <c r="A6683" t="str">
        <f>"20190303154942598"</f>
        <v>20190303154942598</v>
      </c>
      <c r="B6683" t="str">
        <f>"1551599382587210"</f>
        <v>1551599382587210</v>
      </c>
      <c r="C6683" t="s">
        <v>40</v>
      </c>
      <c r="D6683">
        <v>5.1861059999999997</v>
      </c>
      <c r="E6683">
        <v>0.55118809999999996</v>
      </c>
      <c r="F6683" t="s">
        <v>41</v>
      </c>
      <c r="G6683">
        <v>-334.43040000000002</v>
      </c>
      <c r="H6683" s="1">
        <v>-3.6013550000000002E-6</v>
      </c>
      <c r="I6683">
        <v>13.152189999999999</v>
      </c>
      <c r="J6683">
        <v>-351.6875</v>
      </c>
      <c r="K6683">
        <v>1.1197569999999999</v>
      </c>
      <c r="L6683">
        <v>17.793089999999999</v>
      </c>
      <c r="M6683">
        <v>0.99982510000000002</v>
      </c>
      <c r="N6683">
        <v>-5.9592069999999898E-3</v>
      </c>
      <c r="O6683">
        <v>-1.773154E-2</v>
      </c>
      <c r="P6683">
        <v>0.98476300000000005</v>
      </c>
      <c r="Q6683">
        <v>-0.1197216</v>
      </c>
      <c r="R6683">
        <v>-0.12612860000000001</v>
      </c>
      <c r="S6683">
        <v>2.9240719999999998</v>
      </c>
      <c r="T6683">
        <v>-0.18837229999999999</v>
      </c>
      <c r="U6683">
        <v>-0.78106690000000001</v>
      </c>
      <c r="V6683">
        <v>0.1086525</v>
      </c>
      <c r="W6683">
        <v>-0.1138335</v>
      </c>
      <c r="X6683">
        <v>0.98754070000000005</v>
      </c>
      <c r="Y6683">
        <v>0.2404143</v>
      </c>
      <c r="Z6683">
        <v>-7.3154530000000004E-3</v>
      </c>
      <c r="AA6683">
        <v>0.97064280000000003</v>
      </c>
      <c r="AB6683">
        <v>23</v>
      </c>
      <c r="AC6683">
        <v>17.257099999999902</v>
      </c>
      <c r="AD6683">
        <v>-1.1197606013550001</v>
      </c>
      <c r="AE6683">
        <v>-4.6409000000000002</v>
      </c>
      <c r="AF6683">
        <v>4.3172190434640596</v>
      </c>
      <c r="AG6683">
        <v>-1.1197606013550001</v>
      </c>
      <c r="AH6683">
        <v>17.268874825697601</v>
      </c>
      <c r="AI6683">
        <v>93.599543380793193</v>
      </c>
      <c r="AJ6683">
        <v>75.963755479601303</v>
      </c>
      <c r="AK6683">
        <v>17.8355342454104</v>
      </c>
      <c r="AL6683">
        <v>96.536347481353701</v>
      </c>
      <c r="AM6683">
        <v>83.721381719844203</v>
      </c>
      <c r="AN6683">
        <v>1.0000000328174901</v>
      </c>
    </row>
    <row r="6684" spans="1:40" x14ac:dyDescent="0.25">
      <c r="A6684" t="str">
        <f>"20190303154942611"</f>
        <v>20190303154942611</v>
      </c>
      <c r="B6684" t="str">
        <f>"1551599382607705"</f>
        <v>1551599382607705</v>
      </c>
      <c r="C6684" t="s">
        <v>40</v>
      </c>
      <c r="D6684">
        <v>5.2102019999999998</v>
      </c>
      <c r="E6684">
        <v>0.55127809999999999</v>
      </c>
      <c r="F6684" t="s">
        <v>41</v>
      </c>
      <c r="G6684">
        <v>-334.31119999999999</v>
      </c>
      <c r="H6684" s="1">
        <v>-3.650022E-6</v>
      </c>
      <c r="I6684">
        <v>13.121689999999999</v>
      </c>
      <c r="J6684">
        <v>-351.55939999999998</v>
      </c>
      <c r="K6684">
        <v>1.1197549999999901</v>
      </c>
      <c r="L6684">
        <v>17.790859999999999</v>
      </c>
      <c r="M6684">
        <v>0.99982559999999998</v>
      </c>
      <c r="N6684">
        <v>-5.9675880000000002E-3</v>
      </c>
      <c r="O6684">
        <v>-1.7700690000000002E-2</v>
      </c>
      <c r="P6684">
        <v>0.98456509999999997</v>
      </c>
      <c r="Q6684">
        <v>-0.1198678</v>
      </c>
      <c r="R6684">
        <v>-0.12752919999999901</v>
      </c>
      <c r="S6684">
        <v>2.922882</v>
      </c>
      <c r="T6684">
        <v>-0.18835589999999999</v>
      </c>
      <c r="U6684">
        <v>-0.78576659999999998</v>
      </c>
      <c r="V6684">
        <v>0.1100869</v>
      </c>
      <c r="W6684">
        <v>-0.1139724</v>
      </c>
      <c r="X6684">
        <v>0.98736579999999996</v>
      </c>
      <c r="Y6684">
        <v>0.24199509999999999</v>
      </c>
      <c r="Z6684">
        <v>-7.3739900000000004E-3</v>
      </c>
      <c r="AA6684">
        <v>0.97024949999999999</v>
      </c>
      <c r="AB6684">
        <v>23</v>
      </c>
      <c r="AC6684">
        <v>17.248199999999901</v>
      </c>
      <c r="AD6684">
        <v>-1.11975865002199</v>
      </c>
      <c r="AE6684">
        <v>-4.6691700000000003</v>
      </c>
      <c r="AF6684">
        <v>4.3460615341796798</v>
      </c>
      <c r="AG6684">
        <v>-1.11975865002199</v>
      </c>
      <c r="AH6684">
        <v>17.260367212559</v>
      </c>
      <c r="AI6684">
        <v>93.599785801381998</v>
      </c>
      <c r="AJ6684">
        <v>75.867040744712597</v>
      </c>
      <c r="AK6684">
        <v>17.834303647901699</v>
      </c>
      <c r="AL6684">
        <v>96.5443580282124</v>
      </c>
      <c r="AM6684">
        <v>83.638050660288599</v>
      </c>
      <c r="AN6684">
        <v>1.0000000282615</v>
      </c>
    </row>
    <row r="6685" spans="1:40" x14ac:dyDescent="0.25">
      <c r="A6685" t="str">
        <f>"20190303154942624"</f>
        <v>20190303154942624</v>
      </c>
      <c r="B6685" t="str">
        <f>"1551599382617465"</f>
        <v>1551599382617465</v>
      </c>
      <c r="C6685" t="s">
        <v>40</v>
      </c>
      <c r="D6685">
        <v>5.1989080000000003</v>
      </c>
      <c r="E6685">
        <v>0.55125709999999895</v>
      </c>
      <c r="F6685" t="s">
        <v>41</v>
      </c>
      <c r="G6685">
        <v>-334.06360000000001</v>
      </c>
      <c r="H6685" s="1">
        <v>-3.7513660000000001E-6</v>
      </c>
      <c r="I6685">
        <v>13.057460000000001</v>
      </c>
      <c r="J6685">
        <v>-351.42399999999998</v>
      </c>
      <c r="K6685">
        <v>1.1197509999999999</v>
      </c>
      <c r="L6685">
        <v>17.788450000000001</v>
      </c>
      <c r="M6685">
        <v>0.99982610000000005</v>
      </c>
      <c r="N6685">
        <v>-5.976632E-3</v>
      </c>
      <c r="O6685">
        <v>-1.7668050000000001E-2</v>
      </c>
      <c r="P6685">
        <v>0.98435950000000005</v>
      </c>
      <c r="Q6685">
        <v>-0.1200797</v>
      </c>
      <c r="R6685">
        <v>-0.12890750000000001</v>
      </c>
      <c r="S6685">
        <v>2.9219059999999999</v>
      </c>
      <c r="T6685">
        <v>-0.18700720000000001</v>
      </c>
      <c r="U6685">
        <v>-0.7904968</v>
      </c>
      <c r="V6685">
        <v>0.1115008</v>
      </c>
      <c r="W6685">
        <v>-0.114176399999999</v>
      </c>
      <c r="X6685">
        <v>0.98718349999999999</v>
      </c>
      <c r="Y6685">
        <v>0.24357500000000001</v>
      </c>
      <c r="Z6685">
        <v>-7.3857200000000001E-3</v>
      </c>
      <c r="AA6685">
        <v>0.96985390000000005</v>
      </c>
      <c r="AB6685">
        <v>23</v>
      </c>
      <c r="AC6685">
        <v>17.360399999999998</v>
      </c>
      <c r="AD6685">
        <v>-1.119754751366</v>
      </c>
      <c r="AE6685">
        <v>-4.7309900000000003</v>
      </c>
      <c r="AF6685">
        <v>4.4064567000245303</v>
      </c>
      <c r="AG6685">
        <v>-1.119754751366</v>
      </c>
      <c r="AH6685">
        <v>17.3739945039997</v>
      </c>
      <c r="AI6685">
        <v>93.574742053663698</v>
      </c>
      <c r="AJ6685">
        <v>75.768514360174805</v>
      </c>
      <c r="AK6685">
        <v>17.959019916950101</v>
      </c>
      <c r="AL6685">
        <v>96.556123546351003</v>
      </c>
      <c r="AM6685">
        <v>83.555844019338707</v>
      </c>
      <c r="AN6685">
        <v>0.99999997069492397</v>
      </c>
    </row>
    <row r="6686" spans="1:40" x14ac:dyDescent="0.25">
      <c r="A6686" t="str">
        <f>"20190303154942640"</f>
        <v>20190303154942640</v>
      </c>
      <c r="B6686" t="str">
        <f>"1551599382637962"</f>
        <v>1551599382637962</v>
      </c>
      <c r="C6686" t="s">
        <v>40</v>
      </c>
      <c r="D6686">
        <v>5.1679849999999998</v>
      </c>
      <c r="E6686">
        <v>0.55163289999999998</v>
      </c>
      <c r="F6686" t="s">
        <v>41</v>
      </c>
      <c r="G6686">
        <v>-333.9504</v>
      </c>
      <c r="H6686" s="1">
        <v>-3.7954250000000002E-6</v>
      </c>
      <c r="I6686">
        <v>13.03664</v>
      </c>
      <c r="J6686">
        <v>-351.25560000000002</v>
      </c>
      <c r="K6686">
        <v>1.119748</v>
      </c>
      <c r="L6686">
        <v>17.785520000000002</v>
      </c>
      <c r="M6686">
        <v>0.99982680000000002</v>
      </c>
      <c r="N6686">
        <v>-5.9882669999999898E-3</v>
      </c>
      <c r="O6686">
        <v>-1.762791E-2</v>
      </c>
      <c r="P6686">
        <v>0.98380060000000003</v>
      </c>
      <c r="Q6686">
        <v>-0.1206927</v>
      </c>
      <c r="R6686">
        <v>-0.13255210000000001</v>
      </c>
      <c r="S6686">
        <v>2.9208069999999999</v>
      </c>
      <c r="T6686">
        <v>-0.18717400000000001</v>
      </c>
      <c r="U6686">
        <v>-0.79428100000000001</v>
      </c>
      <c r="V6686">
        <v>0.1151943</v>
      </c>
      <c r="W6686">
        <v>-0.11478049999999999</v>
      </c>
      <c r="X6686">
        <v>0.98668929999999999</v>
      </c>
      <c r="Y6686">
        <v>0.24487220000000001</v>
      </c>
      <c r="Z6686">
        <v>-7.4416109999999999E-3</v>
      </c>
      <c r="AA6686">
        <v>0.96952680000000002</v>
      </c>
      <c r="AB6686">
        <v>23</v>
      </c>
      <c r="AC6686">
        <v>17.305199999999999</v>
      </c>
      <c r="AD6686">
        <v>-1.119751795425</v>
      </c>
      <c r="AE6686">
        <v>-4.7488799999999998</v>
      </c>
      <c r="AF6686">
        <v>4.42584937134892</v>
      </c>
      <c r="AG6686">
        <v>-1.119751795425</v>
      </c>
      <c r="AH6686">
        <v>17.318791757431502</v>
      </c>
      <c r="AI6686">
        <v>93.584448709392802</v>
      </c>
      <c r="AJ6686">
        <v>75.664763573289207</v>
      </c>
      <c r="AK6686">
        <v>17.910402973649301</v>
      </c>
      <c r="AL6686">
        <v>96.590964577243398</v>
      </c>
      <c r="AM6686">
        <v>83.340960468040905</v>
      </c>
      <c r="AN6686">
        <v>1.00000003233361</v>
      </c>
    </row>
    <row r="6687" spans="1:40" x14ac:dyDescent="0.25">
      <c r="A6687" t="str">
        <f>"20190303154942652"</f>
        <v>20190303154942652</v>
      </c>
      <c r="B6687" t="str">
        <f>"1551599382647722"</f>
        <v>1551599382647722</v>
      </c>
      <c r="C6687" t="s">
        <v>40</v>
      </c>
      <c r="D6687">
        <v>5.0330089999999998</v>
      </c>
      <c r="E6687">
        <v>0.551346</v>
      </c>
      <c r="F6687" t="s">
        <v>41</v>
      </c>
      <c r="G6687">
        <v>-333.51510000000002</v>
      </c>
      <c r="H6687" s="1">
        <v>-3.9870390000000001E-6</v>
      </c>
      <c r="I6687">
        <v>12.873250000000001</v>
      </c>
      <c r="J6687">
        <v>-351.12670000000003</v>
      </c>
      <c r="K6687">
        <v>1.1197459999999999</v>
      </c>
      <c r="L6687">
        <v>17.783290000000001</v>
      </c>
      <c r="M6687">
        <v>0.99982720000000003</v>
      </c>
      <c r="N6687">
        <v>-5.9976219999999898E-3</v>
      </c>
      <c r="O6687">
        <v>-1.7596830000000001E-2</v>
      </c>
      <c r="P6687">
        <v>0.9835277</v>
      </c>
      <c r="Q6687">
        <v>-0.1207352</v>
      </c>
      <c r="R6687">
        <v>-0.13452359999999999</v>
      </c>
      <c r="S6687">
        <v>2.9179379999999999</v>
      </c>
      <c r="T6687">
        <v>-0.1841758</v>
      </c>
      <c r="U6687">
        <v>-0.80795289999999997</v>
      </c>
      <c r="V6687">
        <v>0.117201</v>
      </c>
      <c r="W6687">
        <v>-0.11481520000000001</v>
      </c>
      <c r="X6687">
        <v>0.98644889999999996</v>
      </c>
      <c r="Y6687">
        <v>0.24937039999999999</v>
      </c>
      <c r="Z6687">
        <v>-7.4948580000000001E-3</v>
      </c>
      <c r="AA6687">
        <v>0.9683792</v>
      </c>
      <c r="AB6687">
        <v>23</v>
      </c>
      <c r="AC6687">
        <v>17.611599999999999</v>
      </c>
      <c r="AD6687">
        <v>-1.119749987039</v>
      </c>
      <c r="AE6687">
        <v>-4.9100400000000004</v>
      </c>
      <c r="AF6687">
        <v>4.5821785210812296</v>
      </c>
      <c r="AG6687">
        <v>-1.119749987039</v>
      </c>
      <c r="AH6687">
        <v>17.629150466071</v>
      </c>
      <c r="AI6687">
        <v>93.517792732203006</v>
      </c>
      <c r="AJ6687">
        <v>75.4300476845482</v>
      </c>
      <c r="AK6687">
        <v>18.249305361791301</v>
      </c>
      <c r="AL6687">
        <v>96.592966064265099</v>
      </c>
      <c r="AM6687">
        <v>83.224392485463497</v>
      </c>
      <c r="AN6687">
        <v>1.00000001843162</v>
      </c>
    </row>
    <row r="6688" spans="1:40" x14ac:dyDescent="0.25">
      <c r="A6688" t="str">
        <f>"20190303154942665"</f>
        <v>20190303154942665</v>
      </c>
      <c r="B6688" t="str">
        <f>"1551599382657482"</f>
        <v>1551599382657482</v>
      </c>
      <c r="C6688" t="s">
        <v>40</v>
      </c>
      <c r="D6688">
        <v>5.0110330000000003</v>
      </c>
      <c r="E6688">
        <v>0.55113710000000005</v>
      </c>
      <c r="F6688" t="s">
        <v>41</v>
      </c>
      <c r="G6688">
        <v>-332.32080000000002</v>
      </c>
      <c r="H6688" s="1">
        <v>-4.5295410000000001E-6</v>
      </c>
      <c r="I6688">
        <v>12.553140000000001</v>
      </c>
      <c r="J6688">
        <v>-351.00450000000001</v>
      </c>
      <c r="K6688">
        <v>1.119748</v>
      </c>
      <c r="L6688">
        <v>17.781129999999902</v>
      </c>
      <c r="M6688">
        <v>0.99982769999999999</v>
      </c>
      <c r="N6688">
        <v>-6.0065980000000001E-3</v>
      </c>
      <c r="O6688">
        <v>-1.7567650000000001E-2</v>
      </c>
      <c r="P6688">
        <v>0.98325379999999996</v>
      </c>
      <c r="Q6688">
        <v>-0.120624</v>
      </c>
      <c r="R6688">
        <v>-0.13660990000000001</v>
      </c>
      <c r="S6688">
        <v>2.9179080000000002</v>
      </c>
      <c r="T6688">
        <v>-0.17373920000000001</v>
      </c>
      <c r="U6688">
        <v>-0.81149289999999996</v>
      </c>
      <c r="V6688">
        <v>0.1193206</v>
      </c>
      <c r="W6688">
        <v>-0.1146964</v>
      </c>
      <c r="X6688">
        <v>0.98620859999999999</v>
      </c>
      <c r="Y6688">
        <v>0.25053999999999998</v>
      </c>
      <c r="Z6688">
        <v>-7.1595189999999996E-3</v>
      </c>
      <c r="AA6688">
        <v>0.96807980000000005</v>
      </c>
      <c r="AB6688">
        <v>23</v>
      </c>
      <c r="AC6688">
        <v>18.683699999999899</v>
      </c>
      <c r="AD6688">
        <v>-1.119752529541</v>
      </c>
      <c r="AE6688">
        <v>-5.2279899999999904</v>
      </c>
      <c r="AF6688">
        <v>4.8826841461483497</v>
      </c>
      <c r="AG6688">
        <v>-1.119752529541</v>
      </c>
      <c r="AH6688">
        <v>18.710336812079301</v>
      </c>
      <c r="AI6688">
        <v>93.314150059732398</v>
      </c>
      <c r="AJ6688">
        <v>75.374175391242801</v>
      </c>
      <c r="AK6688">
        <v>19.369335399541001</v>
      </c>
      <c r="AL6688">
        <v>96.586113941822902</v>
      </c>
      <c r="AM6688">
        <v>83.101360121704801</v>
      </c>
      <c r="AN6688">
        <v>1.0000000362356301</v>
      </c>
    </row>
    <row r="6689" spans="1:40" x14ac:dyDescent="0.25">
      <c r="A6689" t="str">
        <f>"20190303154942677"</f>
        <v>20190303154942677</v>
      </c>
      <c r="B6689" t="str">
        <f>"1551599382667242"</f>
        <v>1551599382667242</v>
      </c>
      <c r="C6689" t="s">
        <v>40</v>
      </c>
      <c r="D6689">
        <v>4.9837280000000002</v>
      </c>
      <c r="E6689">
        <v>0.55091040000000002</v>
      </c>
      <c r="F6689" t="s">
        <v>41</v>
      </c>
      <c r="G6689">
        <v>-331.02199999999999</v>
      </c>
      <c r="H6689" s="1">
        <v>-5.1508529999999999E-6</v>
      </c>
      <c r="I6689">
        <v>12.19148</v>
      </c>
      <c r="J6689">
        <v>-350.87099999999998</v>
      </c>
      <c r="K6689">
        <v>1.1197490000000001</v>
      </c>
      <c r="L6689">
        <v>17.77881</v>
      </c>
      <c r="M6689">
        <v>0.99982819999999994</v>
      </c>
      <c r="N6689">
        <v>-6.0165959999999999E-3</v>
      </c>
      <c r="O6689">
        <v>-1.753561E-2</v>
      </c>
      <c r="P6689">
        <v>0.98300189999999998</v>
      </c>
      <c r="Q6689">
        <v>-0.12037779999999999</v>
      </c>
      <c r="R6689">
        <v>-0.13862469999999999</v>
      </c>
      <c r="S6689">
        <v>2.9176329999999999</v>
      </c>
      <c r="T6689">
        <v>-0.1634951</v>
      </c>
      <c r="U6689">
        <v>-0.81613159999999996</v>
      </c>
      <c r="V6689">
        <v>0.1213711</v>
      </c>
      <c r="W6689">
        <v>-0.1144415</v>
      </c>
      <c r="X6689">
        <v>0.98598790000000003</v>
      </c>
      <c r="Y6689">
        <v>0.25206640000000002</v>
      </c>
      <c r="Z6689">
        <v>-6.838284E-3</v>
      </c>
      <c r="AA6689">
        <v>0.96768580000000004</v>
      </c>
      <c r="AB6689">
        <v>23</v>
      </c>
      <c r="AC6689">
        <v>19.848999999999901</v>
      </c>
      <c r="AD6689">
        <v>-1.11975415085299</v>
      </c>
      <c r="AE6689">
        <v>-5.5873299999999997</v>
      </c>
      <c r="AF6689">
        <v>5.2229984763853796</v>
      </c>
      <c r="AG6689">
        <v>-1.11975415085299</v>
      </c>
      <c r="AH6689">
        <v>19.8852883930475</v>
      </c>
      <c r="AI6689">
        <v>93.117439735845494</v>
      </c>
      <c r="AJ6689">
        <v>75.283312453441198</v>
      </c>
      <c r="AK6689">
        <v>20.5902466453743</v>
      </c>
      <c r="AL6689">
        <v>96.571412881035698</v>
      </c>
      <c r="AM6689">
        <v>82.982425349458097</v>
      </c>
      <c r="AN6689">
        <v>0.99999996989193396</v>
      </c>
    </row>
    <row r="6690" spans="1:40" x14ac:dyDescent="0.25">
      <c r="A6690" t="str">
        <f>"20190303154942690"</f>
        <v>20190303154942690</v>
      </c>
      <c r="B6690" t="str">
        <f>"1551599382687738"</f>
        <v>1551599382687738</v>
      </c>
      <c r="C6690" t="s">
        <v>40</v>
      </c>
      <c r="D6690">
        <v>4.9562889999999999</v>
      </c>
      <c r="E6690">
        <v>0.55103800000000003</v>
      </c>
      <c r="F6690" t="s">
        <v>41</v>
      </c>
      <c r="G6690">
        <v>-329.62419999999997</v>
      </c>
      <c r="H6690" s="1">
        <v>-2.2072709999999999E-6</v>
      </c>
      <c r="I6690">
        <v>11.80367</v>
      </c>
      <c r="J6690">
        <v>-350.7328</v>
      </c>
      <c r="K6690">
        <v>1.1197509999999999</v>
      </c>
      <c r="L6690">
        <v>17.776429999999898</v>
      </c>
      <c r="M6690">
        <v>0.99982870000000001</v>
      </c>
      <c r="N6690">
        <v>-6.0285410000000001E-3</v>
      </c>
      <c r="O6690">
        <v>-1.7502500000000001E-2</v>
      </c>
      <c r="P6690">
        <v>0.9827437</v>
      </c>
      <c r="Q6690">
        <v>-0.12008630000000001</v>
      </c>
      <c r="R6690">
        <v>-0.1406917</v>
      </c>
      <c r="S6690">
        <v>2.9173580000000001</v>
      </c>
      <c r="T6690">
        <v>-0.15375079999999999</v>
      </c>
      <c r="U6690">
        <v>-0.82043459999999901</v>
      </c>
      <c r="V6690">
        <v>0.1234751</v>
      </c>
      <c r="W6690">
        <v>-0.1141395</v>
      </c>
      <c r="X6690">
        <v>0.98576169999999996</v>
      </c>
      <c r="Y6690">
        <v>0.25348510000000002</v>
      </c>
      <c r="Z6690">
        <v>-6.5272029999999997E-3</v>
      </c>
      <c r="AA6690">
        <v>0.96731730000000005</v>
      </c>
      <c r="AB6690">
        <v>23</v>
      </c>
      <c r="AC6690">
        <v>21.108599999999999</v>
      </c>
      <c r="AD6690">
        <v>-1.1197532072709999</v>
      </c>
      <c r="AE6690">
        <v>-5.9727599999999903</v>
      </c>
      <c r="AF6690">
        <v>5.5878264908824899</v>
      </c>
      <c r="AG6690">
        <v>-1.1197532072709999</v>
      </c>
      <c r="AH6690">
        <v>21.1547896003072</v>
      </c>
      <c r="AI6690">
        <v>92.929627000578506</v>
      </c>
      <c r="AJ6690">
        <v>75.203822944158901</v>
      </c>
      <c r="AK6690">
        <v>21.9089656344308</v>
      </c>
      <c r="AL6690">
        <v>96.553995045810694</v>
      </c>
      <c r="AM6690">
        <v>82.860397120180295</v>
      </c>
      <c r="AN6690">
        <v>1.0000000274835701</v>
      </c>
    </row>
    <row r="6691" spans="1:40" x14ac:dyDescent="0.25">
      <c r="A6691" t="str">
        <f>"20190303154942710"</f>
        <v>20190303154942710</v>
      </c>
      <c r="B6691" t="str">
        <f>"1551599382697498"</f>
        <v>1551599382697498</v>
      </c>
      <c r="C6691" t="s">
        <v>40</v>
      </c>
      <c r="D6691">
        <v>5.229609</v>
      </c>
      <c r="E6691">
        <v>0.55084750000000005</v>
      </c>
      <c r="F6691" t="s">
        <v>41</v>
      </c>
      <c r="G6691">
        <v>-325.73989999999998</v>
      </c>
      <c r="H6691" s="1">
        <v>-3.995266E-6</v>
      </c>
      <c r="I6691">
        <v>10.689870000000001</v>
      </c>
      <c r="J6691">
        <v>-350.53050000000002</v>
      </c>
      <c r="K6691">
        <v>1.1197490000000001</v>
      </c>
      <c r="L6691">
        <v>17.772919999999999</v>
      </c>
      <c r="M6691">
        <v>0.99982950000000004</v>
      </c>
      <c r="N6691">
        <v>-6.0486269999999896E-3</v>
      </c>
      <c r="O6691">
        <v>-1.745416E-2</v>
      </c>
      <c r="P6691">
        <v>0.98234370000000004</v>
      </c>
      <c r="Q6691">
        <v>-0.1190486</v>
      </c>
      <c r="R6691">
        <v>-0.14432229999999999</v>
      </c>
      <c r="S6691">
        <v>2.9182739999999998</v>
      </c>
      <c r="T6691">
        <v>-0.1307468</v>
      </c>
      <c r="U6691">
        <v>-0.82745360000000001</v>
      </c>
      <c r="V6691">
        <v>0.12715979999999999</v>
      </c>
      <c r="W6691">
        <v>-0.1130837</v>
      </c>
      <c r="X6691">
        <v>0.98541489999999998</v>
      </c>
      <c r="Y6691">
        <v>0.25569530000000001</v>
      </c>
      <c r="Z6691">
        <v>-5.7407650000000001E-3</v>
      </c>
      <c r="AA6691">
        <v>0.96674040000000006</v>
      </c>
      <c r="AB6691">
        <v>24</v>
      </c>
      <c r="AC6691">
        <v>24.790600000000001</v>
      </c>
      <c r="AD6691">
        <v>-1.1197529952659999</v>
      </c>
      <c r="AE6691">
        <v>-7.0830500000000001</v>
      </c>
      <c r="AF6691">
        <v>6.6367456971010101</v>
      </c>
      <c r="AG6691">
        <v>-1.1197529952659999</v>
      </c>
      <c r="AH6691">
        <v>24.8635563814344</v>
      </c>
      <c r="AI6691">
        <v>92.491508478676906</v>
      </c>
      <c r="AJ6691">
        <v>75.054676964194996</v>
      </c>
      <c r="AK6691">
        <v>25.758429225229602</v>
      </c>
      <c r="AL6691">
        <v>96.493107904664001</v>
      </c>
      <c r="AM6691">
        <v>82.647077873931906</v>
      </c>
      <c r="AN6691">
        <v>1.00000003154186</v>
      </c>
    </row>
    <row r="6692" spans="1:40" x14ac:dyDescent="0.25">
      <c r="A6692" t="str">
        <f>"20190303154942726"</f>
        <v>20190303154942726</v>
      </c>
      <c r="B6692" t="str">
        <f>"1551599382717017"</f>
        <v>1551599382717017</v>
      </c>
      <c r="C6692" t="s">
        <v>40</v>
      </c>
      <c r="D6692">
        <v>5.2261870000000004</v>
      </c>
      <c r="E6692">
        <v>0.55057230000000001</v>
      </c>
      <c r="F6692" t="s">
        <v>41</v>
      </c>
      <c r="G6692">
        <v>-325.27530000000002</v>
      </c>
      <c r="H6692" s="1">
        <v>-4.2174329999999999E-6</v>
      </c>
      <c r="I6692">
        <v>10.52547</v>
      </c>
      <c r="J6692">
        <v>-350.35989999999998</v>
      </c>
      <c r="K6692">
        <v>1.1197539999999999</v>
      </c>
      <c r="L6692">
        <v>17.76999</v>
      </c>
      <c r="M6692">
        <v>0.99983010000000005</v>
      </c>
      <c r="N6692">
        <v>-6.0679840000000002E-3</v>
      </c>
      <c r="O6692">
        <v>-1.7412730000000001E-2</v>
      </c>
      <c r="P6692">
        <v>0.98207029999999995</v>
      </c>
      <c r="Q6692">
        <v>-0.11847870000000001</v>
      </c>
      <c r="R6692">
        <v>-0.14663329999999999</v>
      </c>
      <c r="S6692">
        <v>2.9153440000000002</v>
      </c>
      <c r="T6692">
        <v>-0.12925880000000001</v>
      </c>
      <c r="U6692">
        <v>-0.83660889999999999</v>
      </c>
      <c r="V6692">
        <v>0.12951599999999999</v>
      </c>
      <c r="W6692">
        <v>-0.112496</v>
      </c>
      <c r="X6692">
        <v>0.98517529999999998</v>
      </c>
      <c r="Y6692">
        <v>0.25879819999999998</v>
      </c>
      <c r="Z6692">
        <v>-5.7699450000000003E-3</v>
      </c>
      <c r="AA6692">
        <v>0.96591419999999995</v>
      </c>
      <c r="AB6692">
        <v>24</v>
      </c>
      <c r="AC6692">
        <v>25.084599999999899</v>
      </c>
      <c r="AD6692">
        <v>-1.1197582174330001</v>
      </c>
      <c r="AE6692">
        <v>-7.2445199999999996</v>
      </c>
      <c r="AF6692">
        <v>6.7941261007500202</v>
      </c>
      <c r="AG6692">
        <v>-1.1197582174330001</v>
      </c>
      <c r="AH6692">
        <v>25.160668956954598</v>
      </c>
      <c r="AI6692">
        <v>92.460224955410496</v>
      </c>
      <c r="AJ6692">
        <v>74.888842626787493</v>
      </c>
      <c r="AK6692">
        <v>26.085882586177899</v>
      </c>
      <c r="AL6692">
        <v>96.459218753840105</v>
      </c>
      <c r="AM6692">
        <v>82.510564098627896</v>
      </c>
      <c r="AN6692">
        <v>1.00000005800104</v>
      </c>
    </row>
    <row r="6693" spans="1:40" x14ac:dyDescent="0.25">
      <c r="A6693" t="str">
        <f>"20190303154942744"</f>
        <v>20190303154942744</v>
      </c>
      <c r="B6693" t="str">
        <f>"1551599382737513"</f>
        <v>1551599382737513</v>
      </c>
      <c r="C6693" t="s">
        <v>40</v>
      </c>
      <c r="D6693">
        <v>5.1459279999999996</v>
      </c>
      <c r="E6693">
        <v>0.55049049999999999</v>
      </c>
      <c r="F6693" t="s">
        <v>41</v>
      </c>
      <c r="G6693">
        <v>-325.70159999999998</v>
      </c>
      <c r="H6693" s="1">
        <v>-4.0208669999999996E-6</v>
      </c>
      <c r="I6693">
        <v>10.648949999999999</v>
      </c>
      <c r="J6693">
        <v>-350.17230000000001</v>
      </c>
      <c r="K6693">
        <v>1.1197699999999999</v>
      </c>
      <c r="L6693">
        <v>17.766719999999999</v>
      </c>
      <c r="M6693">
        <v>0.99983060000000001</v>
      </c>
      <c r="N6693">
        <v>-6.0914559999999899E-3</v>
      </c>
      <c r="O6693">
        <v>-1.7366659999999999E-2</v>
      </c>
      <c r="P6693">
        <v>0.98129500000000003</v>
      </c>
      <c r="Q6693">
        <v>-0.1166164</v>
      </c>
      <c r="R6693">
        <v>-0.15317</v>
      </c>
      <c r="S6693">
        <v>2.9132389999999999</v>
      </c>
      <c r="T6693">
        <v>-0.13229289999999999</v>
      </c>
      <c r="U6693">
        <v>-0.84130859999999996</v>
      </c>
      <c r="V6693">
        <v>0.1361105</v>
      </c>
      <c r="W6693">
        <v>-0.11061410000000001</v>
      </c>
      <c r="X6693">
        <v>0.98449909999999996</v>
      </c>
      <c r="Y6693">
        <v>0.26045279999999998</v>
      </c>
      <c r="Z6693">
        <v>-5.933804E-3</v>
      </c>
      <c r="AA6693">
        <v>0.96546829999999995</v>
      </c>
      <c r="AB6693">
        <v>24</v>
      </c>
      <c r="AC6693">
        <v>24.470700000000001</v>
      </c>
      <c r="AD6693">
        <v>-1.119774020867</v>
      </c>
      <c r="AE6693">
        <v>-7.1177700000000002</v>
      </c>
      <c r="AF6693">
        <v>6.6788200376075997</v>
      </c>
      <c r="AG6693">
        <v>-1.119774020867</v>
      </c>
      <c r="AH6693">
        <v>24.543239948609202</v>
      </c>
      <c r="AI6693">
        <v>92.520740736140993</v>
      </c>
      <c r="AJ6693">
        <v>74.7770247482933</v>
      </c>
      <c r="AK6693">
        <v>25.460384092302402</v>
      </c>
      <c r="AL6693">
        <v>96.350716862541603</v>
      </c>
      <c r="AM6693">
        <v>82.128553452628196</v>
      </c>
      <c r="AN6693">
        <v>1.00000001261493</v>
      </c>
    </row>
    <row r="6694" spans="1:40" x14ac:dyDescent="0.25">
      <c r="A6694" t="str">
        <f>"20190303154942758"</f>
        <v>20190303154942758</v>
      </c>
      <c r="B6694" t="str">
        <f>"1551599382747274"</f>
        <v>1551599382747274</v>
      </c>
      <c r="C6694" t="s">
        <v>40</v>
      </c>
      <c r="D6694">
        <v>5.229927</v>
      </c>
      <c r="E6694">
        <v>0.55031569999999996</v>
      </c>
      <c r="F6694" t="s">
        <v>41</v>
      </c>
      <c r="G6694">
        <v>-324.83539999999999</v>
      </c>
      <c r="H6694" s="1">
        <v>-4.4535400000000001E-6</v>
      </c>
      <c r="I6694">
        <v>10.273</v>
      </c>
      <c r="J6694">
        <v>-350.00240000000002</v>
      </c>
      <c r="K6694">
        <v>1.1197779999999999</v>
      </c>
      <c r="L6694">
        <v>17.763819999999999</v>
      </c>
      <c r="M6694">
        <v>0.99983129999999998</v>
      </c>
      <c r="N6694">
        <v>-6.1154419999999996E-3</v>
      </c>
      <c r="O6694">
        <v>-1.7323209999999999E-2</v>
      </c>
      <c r="P6694">
        <v>0.98060860000000005</v>
      </c>
      <c r="Q6694">
        <v>-0.1153663</v>
      </c>
      <c r="R6694">
        <v>-0.15842290000000001</v>
      </c>
      <c r="S6694">
        <v>2.9076840000000002</v>
      </c>
      <c r="T6694">
        <v>-0.12850619999999999</v>
      </c>
      <c r="U6694">
        <v>-0.85998539999999901</v>
      </c>
      <c r="V6694">
        <v>0.14141770000000001</v>
      </c>
      <c r="W6694">
        <v>-0.1093433</v>
      </c>
      <c r="X6694">
        <v>0.98389280000000001</v>
      </c>
      <c r="Y6694">
        <v>0.26670050000000001</v>
      </c>
      <c r="Z6694">
        <v>-5.955335E-3</v>
      </c>
      <c r="AA6694">
        <v>0.96376110000000004</v>
      </c>
      <c r="AB6694">
        <v>24</v>
      </c>
      <c r="AC6694">
        <v>25.167000000000002</v>
      </c>
      <c r="AD6694">
        <v>-1.1197824535400001</v>
      </c>
      <c r="AE6694">
        <v>-7.4908200000000003</v>
      </c>
      <c r="AF6694">
        <v>7.0409098905160397</v>
      </c>
      <c r="AG6694">
        <v>-1.1197824535400001</v>
      </c>
      <c r="AH6694">
        <v>25.247076271860099</v>
      </c>
      <c r="AI6694">
        <v>92.446342681347403</v>
      </c>
      <c r="AJ6694">
        <v>74.417265758010501</v>
      </c>
      <c r="AK6694">
        <v>26.234389360279501</v>
      </c>
      <c r="AL6694">
        <v>96.277461197367501</v>
      </c>
      <c r="AM6694">
        <v>81.820733775047103</v>
      </c>
      <c r="AN6694">
        <v>0.99999998251000899</v>
      </c>
    </row>
    <row r="6695" spans="1:40" x14ac:dyDescent="0.25">
      <c r="A6695" t="str">
        <f>"20190303154942777"</f>
        <v>20190303154942777</v>
      </c>
      <c r="B6695" t="str">
        <f>"1551599382767769"</f>
        <v>1551599382767769</v>
      </c>
      <c r="C6695" t="s">
        <v>40</v>
      </c>
      <c r="D6695">
        <v>5.2423029999999997</v>
      </c>
      <c r="E6695">
        <v>0.55020279999999999</v>
      </c>
      <c r="F6695" t="s">
        <v>41</v>
      </c>
      <c r="G6695">
        <v>-324.28370000000001</v>
      </c>
      <c r="H6695" s="1">
        <v>-4.7321599999999999E-6</v>
      </c>
      <c r="I6695">
        <v>10.022030000000001</v>
      </c>
      <c r="J6695">
        <v>-349.80869999999999</v>
      </c>
      <c r="K6695">
        <v>1.1197999999999999</v>
      </c>
      <c r="L6695">
        <v>17.760470000000002</v>
      </c>
      <c r="M6695">
        <v>0.9998321</v>
      </c>
      <c r="N6695">
        <v>-6.1484629999999998E-3</v>
      </c>
      <c r="O6695">
        <v>-1.7269880000000001E-2</v>
      </c>
      <c r="P6695">
        <v>0.97888500000000001</v>
      </c>
      <c r="Q6695">
        <v>-0.11352370000000001</v>
      </c>
      <c r="R6695">
        <v>-0.16999139999999999</v>
      </c>
      <c r="S6695">
        <v>2.9032589999999998</v>
      </c>
      <c r="T6695">
        <v>-0.12640670000000001</v>
      </c>
      <c r="U6695">
        <v>-0.87393189999999998</v>
      </c>
      <c r="V6695">
        <v>0.15306729999999999</v>
      </c>
      <c r="W6695">
        <v>-0.1074759</v>
      </c>
      <c r="X6695">
        <v>0.98235399999999995</v>
      </c>
      <c r="Y6695">
        <v>0.27140130000000001</v>
      </c>
      <c r="Z6695">
        <v>-5.9996669999999898E-3</v>
      </c>
      <c r="AA6695">
        <v>0.96244759999999996</v>
      </c>
      <c r="AB6695">
        <v>24</v>
      </c>
      <c r="AC6695">
        <v>25.524999999999899</v>
      </c>
      <c r="AD6695">
        <v>-1.11980473216</v>
      </c>
      <c r="AE6695">
        <v>-7.7384399999999998</v>
      </c>
      <c r="AF6695">
        <v>7.2836254669414702</v>
      </c>
      <c r="AG6695">
        <v>-1.11980473216</v>
      </c>
      <c r="AH6695">
        <v>25.609696771791501</v>
      </c>
      <c r="AI6695">
        <v>92.408319984692596</v>
      </c>
      <c r="AJ6695">
        <v>74.123776705711606</v>
      </c>
      <c r="AK6695">
        <v>26.6488598503567</v>
      </c>
      <c r="AL6695">
        <v>96.169832452525398</v>
      </c>
      <c r="AM6695">
        <v>81.143568989419506</v>
      </c>
      <c r="AN6695">
        <v>1.00000002436304</v>
      </c>
    </row>
    <row r="6696" spans="1:40" x14ac:dyDescent="0.25">
      <c r="A6696" t="str">
        <f>"20190303154942790"</f>
        <v>20190303154942790</v>
      </c>
      <c r="B6696" t="str">
        <f>"1551599382777530"</f>
        <v>1551599382777530</v>
      </c>
      <c r="C6696" t="s">
        <v>40</v>
      </c>
      <c r="D6696">
        <v>5.3372440000000001</v>
      </c>
      <c r="E6696">
        <v>0.58608490000000002</v>
      </c>
      <c r="F6696" t="s">
        <v>41</v>
      </c>
      <c r="G6696">
        <v>-323.83629999999999</v>
      </c>
      <c r="H6696">
        <v>2.9740969999999999E-2</v>
      </c>
      <c r="I6696">
        <v>9.6163349999999994</v>
      </c>
      <c r="J6696">
        <v>-349.67590000000001</v>
      </c>
      <c r="K6696">
        <v>1.119818</v>
      </c>
      <c r="L6696">
        <v>17.758179999999999</v>
      </c>
      <c r="M6696">
        <v>0.99983259999999996</v>
      </c>
      <c r="N6696">
        <v>-6.175308E-3</v>
      </c>
      <c r="O6696">
        <v>-1.722893E-2</v>
      </c>
      <c r="P6696">
        <v>0.97776059999999998</v>
      </c>
      <c r="Q6696">
        <v>-0.11173230000000001</v>
      </c>
      <c r="R6696">
        <v>-0.177484</v>
      </c>
      <c r="S6696">
        <v>2.8931269999999998</v>
      </c>
      <c r="T6696">
        <v>-0.1214244</v>
      </c>
      <c r="U6696">
        <v>-0.907196</v>
      </c>
      <c r="V6696">
        <v>0.16061919999999999</v>
      </c>
      <c r="W6696">
        <v>-0.10566250000000001</v>
      </c>
      <c r="X6696">
        <v>0.98134449999999995</v>
      </c>
      <c r="Y6696">
        <v>0.282468099999999</v>
      </c>
      <c r="Z6696">
        <v>-6.0778539999999997E-3</v>
      </c>
      <c r="AA6696">
        <v>0.95925740000000004</v>
      </c>
      <c r="AB6696">
        <v>24</v>
      </c>
      <c r="AC6696">
        <v>25.839600000000001</v>
      </c>
      <c r="AD6696">
        <v>-1.09007703</v>
      </c>
      <c r="AE6696">
        <v>-8.1418449999999893</v>
      </c>
      <c r="AF6696">
        <v>7.68300097142511</v>
      </c>
      <c r="AG6696">
        <v>-1.09007703</v>
      </c>
      <c r="AH6696">
        <v>25.934056512238101</v>
      </c>
      <c r="AI6696">
        <v>92.307846321517701</v>
      </c>
      <c r="AJ6696">
        <v>73.4980025523531</v>
      </c>
      <c r="AK6696">
        <v>27.0701322316351</v>
      </c>
      <c r="AL6696">
        <v>96.065336989361597</v>
      </c>
      <c r="AM6696">
        <v>80.704669696044903</v>
      </c>
      <c r="AN6696">
        <v>1.00000005949756</v>
      </c>
    </row>
    <row r="6697" spans="1:40" x14ac:dyDescent="0.25">
      <c r="A6697" t="str">
        <f>"20190303154942802"</f>
        <v>20190303154942802</v>
      </c>
      <c r="B6697" t="str">
        <f>"1551599382797050"</f>
        <v>1551599382797050</v>
      </c>
      <c r="C6697" t="s">
        <v>40</v>
      </c>
      <c r="D6697">
        <v>5.3706389999999997</v>
      </c>
      <c r="E6697">
        <v>0.60516919999999996</v>
      </c>
      <c r="F6697" t="s">
        <v>43</v>
      </c>
      <c r="G6697">
        <v>-274.32709999999997</v>
      </c>
      <c r="H6697">
        <v>-0.05</v>
      </c>
      <c r="I6697">
        <v>-14.3548299999999</v>
      </c>
      <c r="J6697">
        <v>-349.53219999999999</v>
      </c>
      <c r="K6697">
        <v>1.119837</v>
      </c>
      <c r="L6697">
        <v>17.755739999999999</v>
      </c>
      <c r="M6697">
        <v>0.99983330000000004</v>
      </c>
      <c r="N6697">
        <v>-6.2070449999999996E-3</v>
      </c>
      <c r="O6697">
        <v>-1.7181419999999999E-2</v>
      </c>
      <c r="P6697">
        <v>0.97665809999999997</v>
      </c>
      <c r="Q6697">
        <v>-0.11002149999999999</v>
      </c>
      <c r="R6697">
        <v>-0.1844848</v>
      </c>
      <c r="S6697">
        <v>2.8432309999999998</v>
      </c>
      <c r="T6697">
        <v>-4.4142250000000001E-2</v>
      </c>
      <c r="U6697">
        <v>-1.2117610000000001</v>
      </c>
      <c r="V6697">
        <v>0.16768569999999999</v>
      </c>
      <c r="W6697">
        <v>-0.1039243</v>
      </c>
      <c r="X6697">
        <v>0.98034750000000004</v>
      </c>
      <c r="Y6697">
        <v>0.37614969999999998</v>
      </c>
      <c r="Z6697">
        <v>-3.8611100000000001E-3</v>
      </c>
      <c r="AA6697">
        <v>0.92655089999999996</v>
      </c>
      <c r="AB6697">
        <v>24</v>
      </c>
      <c r="AC6697">
        <v>75.205100000000002</v>
      </c>
      <c r="AD6697">
        <v>-1.169837</v>
      </c>
      <c r="AE6697">
        <v>-32.110570000000003</v>
      </c>
      <c r="AF6697">
        <v>30.807369921660801</v>
      </c>
      <c r="AG6697">
        <v>-1.169837</v>
      </c>
      <c r="AH6697">
        <v>75.730215456133195</v>
      </c>
      <c r="AI6697">
        <v>90.8197755180624</v>
      </c>
      <c r="AJ6697">
        <v>67.863301634171805</v>
      </c>
      <c r="AK6697">
        <v>81.7650786896764</v>
      </c>
      <c r="AL6697">
        <v>95.965194504202501</v>
      </c>
      <c r="AM6697">
        <v>80.293649661256694</v>
      </c>
      <c r="AN6697">
        <v>0.99999998743561402</v>
      </c>
    </row>
    <row r="6698" spans="1:40" x14ac:dyDescent="0.25">
      <c r="A6698" t="str">
        <f>"20190303154942821"</f>
        <v>20190303154942821</v>
      </c>
      <c r="B6698" t="str">
        <f>"1551599382817545"</f>
        <v>1551599382817545</v>
      </c>
      <c r="C6698" t="s">
        <v>40</v>
      </c>
      <c r="D6698">
        <v>5.3183439999999997</v>
      </c>
      <c r="E6698">
        <v>0.65877959999999902</v>
      </c>
      <c r="F6698" t="s">
        <v>41</v>
      </c>
      <c r="G6698">
        <v>-323.15249999999997</v>
      </c>
      <c r="H6698">
        <v>7.9985810000000004E-2</v>
      </c>
      <c r="I6698">
        <v>4.7421100000000003</v>
      </c>
      <c r="J6698">
        <v>-349.33300000000003</v>
      </c>
      <c r="K6698">
        <v>1.119872</v>
      </c>
      <c r="L6698">
        <v>17.752320000000001</v>
      </c>
      <c r="M6698">
        <v>0.99983420000000001</v>
      </c>
      <c r="N6698">
        <v>-6.258619E-3</v>
      </c>
      <c r="O6698">
        <v>-1.710414E-2</v>
      </c>
      <c r="P6698">
        <v>0.9741611</v>
      </c>
      <c r="Q6698">
        <v>-0.1068395</v>
      </c>
      <c r="R6698">
        <v>-0.19898730000000001</v>
      </c>
      <c r="S6698">
        <v>2.798492</v>
      </c>
      <c r="T6698">
        <v>-0.11031290000000001</v>
      </c>
      <c r="U6698">
        <v>-1.3805540000000001</v>
      </c>
      <c r="V6698">
        <v>0.18230640000000001</v>
      </c>
      <c r="W6698">
        <v>-0.1007005</v>
      </c>
      <c r="X6698">
        <v>0.97807149999999998</v>
      </c>
      <c r="Y6698">
        <v>0.42670219999999998</v>
      </c>
      <c r="Z6698">
        <v>-8.8229629999999996E-3</v>
      </c>
      <c r="AA6698">
        <v>0.90434910000000002</v>
      </c>
      <c r="AB6698">
        <v>24</v>
      </c>
      <c r="AC6698">
        <v>26.180499999999999</v>
      </c>
      <c r="AD6698">
        <v>-1.03988619</v>
      </c>
      <c r="AE6698">
        <v>-13.010210000000001</v>
      </c>
      <c r="AF6698">
        <v>12.5446313176835</v>
      </c>
      <c r="AG6698">
        <v>-1.03988619</v>
      </c>
      <c r="AH6698">
        <v>26.3658442040966</v>
      </c>
      <c r="AI6698">
        <v>92.039723163511994</v>
      </c>
      <c r="AJ6698">
        <v>64.555315501366294</v>
      </c>
      <c r="AK6698">
        <v>29.216551452549201</v>
      </c>
      <c r="AL6698">
        <v>95.779509585043101</v>
      </c>
      <c r="AM6698">
        <v>79.441588612219803</v>
      </c>
      <c r="AN6698">
        <v>1.0000000366467201</v>
      </c>
    </row>
    <row r="6699" spans="1:40" x14ac:dyDescent="0.25">
      <c r="A6699" t="str">
        <f>"20190303154942834"</f>
        <v>20190303154942834</v>
      </c>
      <c r="B6699" t="str">
        <f>"1551599382827305"</f>
        <v>1551599382827305</v>
      </c>
      <c r="C6699" t="s">
        <v>40</v>
      </c>
      <c r="D6699">
        <v>5.321097</v>
      </c>
      <c r="E6699">
        <v>0.65702130000000003</v>
      </c>
      <c r="F6699" t="s">
        <v>41</v>
      </c>
      <c r="G6699">
        <v>-334.59750000000003</v>
      </c>
      <c r="H6699">
        <v>7.9985570000000006E-2</v>
      </c>
      <c r="I6699">
        <v>7.6490919999999996</v>
      </c>
      <c r="J6699">
        <v>-349.18889999999999</v>
      </c>
      <c r="K6699">
        <v>1.1198920000000001</v>
      </c>
      <c r="L6699">
        <v>17.749879999999902</v>
      </c>
      <c r="M6699">
        <v>0.99983500000000003</v>
      </c>
      <c r="N6699">
        <v>-6.3017180000000004E-3</v>
      </c>
      <c r="O6699">
        <v>-1.7038399999999999E-2</v>
      </c>
      <c r="P6699">
        <v>0.97280060000000002</v>
      </c>
      <c r="Q6699">
        <v>-0.1058506</v>
      </c>
      <c r="R6699">
        <v>-0.2060458</v>
      </c>
      <c r="S6699">
        <v>2.6830750000000001</v>
      </c>
      <c r="T6699">
        <v>-0.1893444</v>
      </c>
      <c r="U6699">
        <v>-1.8395999999999999</v>
      </c>
      <c r="V6699">
        <v>0.18945319999999999</v>
      </c>
      <c r="W6699">
        <v>-9.9672620000000003E-2</v>
      </c>
      <c r="X6699">
        <v>0.97681770000000001</v>
      </c>
      <c r="Y6699">
        <v>0.55033019999999999</v>
      </c>
      <c r="Z6699">
        <v>-1.8452179999999999E-2</v>
      </c>
      <c r="AA6699">
        <v>0.83474319999999902</v>
      </c>
      <c r="AB6699">
        <v>24</v>
      </c>
      <c r="AC6699">
        <v>14.591399999999901</v>
      </c>
      <c r="AD6699">
        <v>-1.03990643</v>
      </c>
      <c r="AE6699">
        <v>-10.1007879999999</v>
      </c>
      <c r="AF6699">
        <v>9.8169935975448706</v>
      </c>
      <c r="AG6699">
        <v>-1.03990643</v>
      </c>
      <c r="AH6699">
        <v>14.7108730924089</v>
      </c>
      <c r="AI6699">
        <v>93.365080551740903</v>
      </c>
      <c r="AJ6699">
        <v>56.283664500563098</v>
      </c>
      <c r="AK6699">
        <v>17.716222955764401</v>
      </c>
      <c r="AL6699">
        <v>95.720318899405797</v>
      </c>
      <c r="AM6699">
        <v>79.023792690729806</v>
      </c>
      <c r="AN6699">
        <v>0.99999998260059697</v>
      </c>
    </row>
    <row r="6700" spans="1:40" x14ac:dyDescent="0.25">
      <c r="A6700" t="str">
        <f>"20190303154942845"</f>
        <v>20190303154942845</v>
      </c>
      <c r="B6700" t="str">
        <f>"1551599382837067"</f>
        <v>1551599382837067</v>
      </c>
      <c r="C6700" t="s">
        <v>40</v>
      </c>
      <c r="D6700">
        <v>5.2450659999999996</v>
      </c>
      <c r="E6700">
        <v>0.65661569999999903</v>
      </c>
      <c r="F6700" t="s">
        <v>41</v>
      </c>
      <c r="G6700">
        <v>-334.14699999999999</v>
      </c>
      <c r="H6700">
        <v>7.9985719999999996E-2</v>
      </c>
      <c r="I6700">
        <v>7.3655729999999897</v>
      </c>
      <c r="J6700">
        <v>-349.06670000000003</v>
      </c>
      <c r="K6700">
        <v>1.11991</v>
      </c>
      <c r="L6700">
        <v>17.74783</v>
      </c>
      <c r="M6700">
        <v>0.99983580000000005</v>
      </c>
      <c r="N6700">
        <v>-6.3397389999999996E-3</v>
      </c>
      <c r="O6700">
        <v>-1.6978259999999998E-2</v>
      </c>
      <c r="P6700">
        <v>0.97134659999999995</v>
      </c>
      <c r="Q6700">
        <v>-0.10543429999999999</v>
      </c>
      <c r="R6700">
        <v>-0.21300079999999999</v>
      </c>
      <c r="S6700">
        <v>2.6729430000000001</v>
      </c>
      <c r="T6700">
        <v>-0.18479119999999999</v>
      </c>
      <c r="U6700">
        <v>-1.8452759999999999</v>
      </c>
      <c r="V6700">
        <v>0.19649269999999999</v>
      </c>
      <c r="W6700">
        <v>-9.9223099999999995E-2</v>
      </c>
      <c r="X6700">
        <v>0.97547189999999995</v>
      </c>
      <c r="Y6700">
        <v>0.55308819999999903</v>
      </c>
      <c r="Z6700">
        <v>-1.8211359999999999E-2</v>
      </c>
      <c r="AA6700">
        <v>0.83292369999999905</v>
      </c>
      <c r="AB6700">
        <v>24</v>
      </c>
      <c r="AC6700">
        <v>14.919700000000001</v>
      </c>
      <c r="AD6700">
        <v>-1.0399242799999999</v>
      </c>
      <c r="AE6700">
        <v>-10.382256999999999</v>
      </c>
      <c r="AF6700">
        <v>10.0944033697786</v>
      </c>
      <c r="AG6700">
        <v>-1.0399242799999999</v>
      </c>
      <c r="AH6700">
        <v>15.0445809981609</v>
      </c>
      <c r="AI6700">
        <v>93.285146218351002</v>
      </c>
      <c r="AJ6700">
        <v>56.1397293016174</v>
      </c>
      <c r="AK6700">
        <v>18.147116556361102</v>
      </c>
      <c r="AL6700">
        <v>95.694434795524401</v>
      </c>
      <c r="AM6700">
        <v>78.611115892643099</v>
      </c>
      <c r="AN6700">
        <v>1.0000000162082501</v>
      </c>
    </row>
    <row r="6701" spans="1:40" x14ac:dyDescent="0.25">
      <c r="A6701" t="str">
        <f>"20190303154942856"</f>
        <v>20190303154942856</v>
      </c>
      <c r="B6701" t="str">
        <f>"1551599382847802"</f>
        <v>1551599382847802</v>
      </c>
      <c r="C6701" t="s">
        <v>40</v>
      </c>
      <c r="D6701">
        <v>5.2509569999999997</v>
      </c>
      <c r="E6701">
        <v>0.6554894</v>
      </c>
      <c r="F6701" t="s">
        <v>41</v>
      </c>
      <c r="G6701">
        <v>-334.00740000000002</v>
      </c>
      <c r="H6701">
        <v>7.9985769999999998E-2</v>
      </c>
      <c r="I6701">
        <v>7.2137460000000004</v>
      </c>
      <c r="J6701">
        <v>-348.9427</v>
      </c>
      <c r="K6701">
        <v>1.119915</v>
      </c>
      <c r="L6701">
        <v>17.745760000000001</v>
      </c>
      <c r="M6701">
        <v>0.99983679999999997</v>
      </c>
      <c r="N6701">
        <v>-6.3800130000000004E-3</v>
      </c>
      <c r="O6701">
        <v>-1.6912400000000001E-2</v>
      </c>
      <c r="P6701">
        <v>0.9698831</v>
      </c>
      <c r="Q6701">
        <v>-0.105352399999999</v>
      </c>
      <c r="R6701">
        <v>-0.219609</v>
      </c>
      <c r="S6701">
        <v>2.6604920000000001</v>
      </c>
      <c r="T6701">
        <v>-0.18372140000000001</v>
      </c>
      <c r="U6701">
        <v>-1.8610230000000001</v>
      </c>
      <c r="V6701">
        <v>0.20319100000000001</v>
      </c>
      <c r="W6701">
        <v>-9.910542E-2</v>
      </c>
      <c r="X6701">
        <v>0.9741107</v>
      </c>
      <c r="Y6701">
        <v>0.5582684</v>
      </c>
      <c r="Z6701">
        <v>-1.8354289999999999E-2</v>
      </c>
      <c r="AA6701">
        <v>0.82945740000000001</v>
      </c>
      <c r="AB6701">
        <v>24</v>
      </c>
      <c r="AC6701">
        <v>14.9352999999999</v>
      </c>
      <c r="AD6701">
        <v>-1.03992923</v>
      </c>
      <c r="AE6701">
        <v>-10.532014</v>
      </c>
      <c r="AF6701">
        <v>10.244738136048399</v>
      </c>
      <c r="AG6701">
        <v>-1.03992923</v>
      </c>
      <c r="AH6701">
        <v>15.062516390275499</v>
      </c>
      <c r="AI6701">
        <v>93.267343627308506</v>
      </c>
      <c r="AJ6701">
        <v>55.7785056154081</v>
      </c>
      <c r="AK6701">
        <v>18.245972494962501</v>
      </c>
      <c r="AL6701">
        <v>95.687658572752596</v>
      </c>
      <c r="AM6701">
        <v>78.217547194655594</v>
      </c>
      <c r="AN6701">
        <v>1.00000006130443</v>
      </c>
    </row>
    <row r="6702" spans="1:40" x14ac:dyDescent="0.25">
      <c r="A6702" t="str">
        <f>"20190303154942867"</f>
        <v>20190303154942867</v>
      </c>
      <c r="B6702" t="str">
        <f>"1551599382857562"</f>
        <v>1551599382857562</v>
      </c>
      <c r="C6702" t="s">
        <v>40</v>
      </c>
      <c r="D6702">
        <v>5.2232209999999997</v>
      </c>
      <c r="E6702">
        <v>0.65479200000000004</v>
      </c>
      <c r="F6702" t="s">
        <v>41</v>
      </c>
      <c r="G6702">
        <v>-333.90170000000001</v>
      </c>
      <c r="H6702">
        <v>7.9985799999999996E-2</v>
      </c>
      <c r="I6702">
        <v>7.1279570000000003</v>
      </c>
      <c r="J6702">
        <v>-348.83460000000002</v>
      </c>
      <c r="K6702">
        <v>1.1199269999999999</v>
      </c>
      <c r="L6702">
        <v>17.743960000000001</v>
      </c>
      <c r="M6702">
        <v>0.99983759999999999</v>
      </c>
      <c r="N6702">
        <v>-6.4173579999999997E-3</v>
      </c>
      <c r="O6702">
        <v>-1.6847359999999999E-2</v>
      </c>
      <c r="P6702">
        <v>0.96841630000000001</v>
      </c>
      <c r="Q6702">
        <v>-0.1054208</v>
      </c>
      <c r="R6702">
        <v>-0.22595750000000001</v>
      </c>
      <c r="S6702">
        <v>2.6497190000000002</v>
      </c>
      <c r="T6702">
        <v>-0.18320040000000001</v>
      </c>
      <c r="U6702">
        <v>-1.8704829999999999</v>
      </c>
      <c r="V6702">
        <v>0.2096285</v>
      </c>
      <c r="W6702">
        <v>-9.9140900000000004E-2</v>
      </c>
      <c r="X6702">
        <v>0.972742</v>
      </c>
      <c r="Y6702">
        <v>0.5618727</v>
      </c>
      <c r="Z6702">
        <v>-1.8490010000000001E-2</v>
      </c>
      <c r="AA6702">
        <v>0.82701709999999995</v>
      </c>
      <c r="AB6702">
        <v>24</v>
      </c>
      <c r="AC6702">
        <v>14.9329</v>
      </c>
      <c r="AD6702">
        <v>-1.0399411999999999</v>
      </c>
      <c r="AE6702">
        <v>-10.616002999999999</v>
      </c>
      <c r="AF6702">
        <v>10.329632728549401</v>
      </c>
      <c r="AG6702">
        <v>-1.0399411999999999</v>
      </c>
      <c r="AH6702">
        <v>15.061114238240901</v>
      </c>
      <c r="AI6702">
        <v>93.259040181150198</v>
      </c>
      <c r="AJ6702">
        <v>55.555806073983199</v>
      </c>
      <c r="AK6702">
        <v>18.292620154136401</v>
      </c>
      <c r="AL6702">
        <v>95.689701767546097</v>
      </c>
      <c r="AM6702">
        <v>77.838594204159094</v>
      </c>
      <c r="AN6702">
        <v>1.0000000123145201</v>
      </c>
    </row>
    <row r="6703" spans="1:40" x14ac:dyDescent="0.25">
      <c r="A6703" t="str">
        <f>"20190303154942879"</f>
        <v>20190303154942879</v>
      </c>
      <c r="B6703" t="str">
        <f>"1551599382867322"</f>
        <v>1551599382867322</v>
      </c>
      <c r="C6703" t="s">
        <v>40</v>
      </c>
      <c r="D6703">
        <v>5.1169510000000002</v>
      </c>
      <c r="E6703">
        <v>0.65479200000000004</v>
      </c>
      <c r="F6703" t="s">
        <v>41</v>
      </c>
      <c r="G6703">
        <v>-333.64690000000002</v>
      </c>
      <c r="H6703">
        <v>7.9985890000000004E-2</v>
      </c>
      <c r="I6703">
        <v>6.911022</v>
      </c>
      <c r="J6703">
        <v>-348.7004</v>
      </c>
      <c r="K6703">
        <v>1.1199410000000001</v>
      </c>
      <c r="L6703">
        <v>17.74173</v>
      </c>
      <c r="M6703">
        <v>0.99983869999999997</v>
      </c>
      <c r="N6703">
        <v>-6.4651300000000004E-3</v>
      </c>
      <c r="O6703">
        <v>-1.6762429999999998E-2</v>
      </c>
      <c r="P6703">
        <v>0.96700319999999995</v>
      </c>
      <c r="Q6703">
        <v>-0.1055473</v>
      </c>
      <c r="R6703">
        <v>-0.23187269999999999</v>
      </c>
      <c r="S6703">
        <v>2.6389770000000001</v>
      </c>
      <c r="T6703">
        <v>-0.18069789999999999</v>
      </c>
      <c r="U6703">
        <v>-1.8822939999999999</v>
      </c>
      <c r="V6703">
        <v>0.2156516</v>
      </c>
      <c r="W6703">
        <v>-9.9222900000000003E-2</v>
      </c>
      <c r="X6703">
        <v>0.9714161</v>
      </c>
      <c r="Y6703">
        <v>0.56599149999999998</v>
      </c>
      <c r="Z6703">
        <v>-1.846538E-2</v>
      </c>
      <c r="AA6703">
        <v>0.8242043</v>
      </c>
      <c r="AB6703">
        <v>24</v>
      </c>
      <c r="AC6703">
        <v>15.0534999999999</v>
      </c>
      <c r="AD6703">
        <v>-1.03995511</v>
      </c>
      <c r="AE6703">
        <v>-10.830708</v>
      </c>
      <c r="AF6703">
        <v>10.5436908043909</v>
      </c>
      <c r="AG6703">
        <v>-1.03995511</v>
      </c>
      <c r="AH6703">
        <v>15.1851845388236</v>
      </c>
      <c r="AI6703">
        <v>93.219731113482695</v>
      </c>
      <c r="AJ6703">
        <v>55.2261812042087</v>
      </c>
      <c r="AK6703">
        <v>18.515959383395199</v>
      </c>
      <c r="AL6703">
        <v>95.694423269856898</v>
      </c>
      <c r="AM6703">
        <v>77.483482027284097</v>
      </c>
      <c r="AN6703">
        <v>1.0000000179030899</v>
      </c>
    </row>
    <row r="6704" spans="1:40" x14ac:dyDescent="0.25">
      <c r="A6704" t="str">
        <f>"20190303154942890"</f>
        <v>20190303154942890</v>
      </c>
      <c r="B6704" t="str">
        <f>"1551599382877082"</f>
        <v>1551599382877082</v>
      </c>
      <c r="C6704" t="s">
        <v>40</v>
      </c>
      <c r="D6704">
        <v>5.2712320000000004</v>
      </c>
      <c r="E6704">
        <v>0.65376369999999995</v>
      </c>
      <c r="F6704" t="s">
        <v>41</v>
      </c>
      <c r="G6704">
        <v>-333.64150000000001</v>
      </c>
      <c r="H6704">
        <v>7.9985890000000004E-2</v>
      </c>
      <c r="I6704">
        <v>6.8593799999999998</v>
      </c>
      <c r="J6704">
        <v>-348.58440000000002</v>
      </c>
      <c r="K6704">
        <v>1.1199539999999999</v>
      </c>
      <c r="L6704">
        <v>17.73987</v>
      </c>
      <c r="M6704">
        <v>0.99983979999999995</v>
      </c>
      <c r="N6704">
        <v>-6.5150690000000001E-3</v>
      </c>
      <c r="O6704">
        <v>-1.6677520000000001E-2</v>
      </c>
      <c r="P6704">
        <v>0.96566370000000001</v>
      </c>
      <c r="Q6704">
        <v>-0.1058606</v>
      </c>
      <c r="R6704">
        <v>-0.23725019999999999</v>
      </c>
      <c r="S6704">
        <v>2.627319</v>
      </c>
      <c r="T6704">
        <v>-0.18144009999999999</v>
      </c>
      <c r="U6704">
        <v>-1.8986209999999999</v>
      </c>
      <c r="V6704">
        <v>0.22113559999999999</v>
      </c>
      <c r="W6704">
        <v>-9.9489480000000005E-2</v>
      </c>
      <c r="X6704">
        <v>0.97015510000000005</v>
      </c>
      <c r="Y6704">
        <v>0.57113059999999904</v>
      </c>
      <c r="Z6704">
        <v>-1.8767030000000001E-2</v>
      </c>
      <c r="AA6704">
        <v>0.8206447</v>
      </c>
      <c r="AB6704">
        <v>24</v>
      </c>
      <c r="AC6704">
        <v>14.9429</v>
      </c>
      <c r="AD6704">
        <v>-1.03996811</v>
      </c>
      <c r="AE6704">
        <v>-10.880489999999901</v>
      </c>
      <c r="AF6704">
        <v>10.596219799691401</v>
      </c>
      <c r="AG6704">
        <v>-1.03996811</v>
      </c>
      <c r="AH6704">
        <v>15.074568282386901</v>
      </c>
      <c r="AI6704">
        <v>93.230337349797793</v>
      </c>
      <c r="AJ6704">
        <v>54.895838576480401</v>
      </c>
      <c r="AK6704">
        <v>18.455460346833199</v>
      </c>
      <c r="AL6704">
        <v>95.709773152259402</v>
      </c>
      <c r="AM6704">
        <v>77.1594722808711</v>
      </c>
      <c r="AN6704">
        <v>1.00000001413702</v>
      </c>
    </row>
    <row r="6705" spans="1:40" x14ac:dyDescent="0.25">
      <c r="A6705" t="str">
        <f>"20190303154942901"</f>
        <v>20190303154942901</v>
      </c>
      <c r="B6705" t="str">
        <f>"1551599382897578"</f>
        <v>1551599382897578</v>
      </c>
      <c r="C6705" t="s">
        <v>40</v>
      </c>
      <c r="D6705">
        <v>5.2694749999999999</v>
      </c>
      <c r="E6705">
        <v>0.65174069999999995</v>
      </c>
      <c r="F6705" t="s">
        <v>41</v>
      </c>
      <c r="G6705">
        <v>-333.8999</v>
      </c>
      <c r="H6705">
        <v>7.9985799999999996E-2</v>
      </c>
      <c r="I6705">
        <v>7.053363</v>
      </c>
      <c r="J6705">
        <v>-348.46390000000002</v>
      </c>
      <c r="K6705">
        <v>1.1199680000000001</v>
      </c>
      <c r="L6705">
        <v>17.737950000000001</v>
      </c>
      <c r="M6705">
        <v>0.99984090000000003</v>
      </c>
      <c r="N6705">
        <v>-6.5686649999999996E-3</v>
      </c>
      <c r="O6705">
        <v>-1.658724E-2</v>
      </c>
      <c r="P6705">
        <v>0.96435119999999996</v>
      </c>
      <c r="Q6705">
        <v>-0.1060628</v>
      </c>
      <c r="R6705">
        <v>-0.2424413</v>
      </c>
      <c r="S6705">
        <v>2.6182560000000001</v>
      </c>
      <c r="T6705">
        <v>-0.18542700000000001</v>
      </c>
      <c r="U6705">
        <v>-1.9053960000000001</v>
      </c>
      <c r="V6705">
        <v>0.22643759999999999</v>
      </c>
      <c r="W6705">
        <v>-9.9640980000000004E-2</v>
      </c>
      <c r="X6705">
        <v>0.96891570000000005</v>
      </c>
      <c r="Y6705">
        <v>0.57388729999999999</v>
      </c>
      <c r="Z6705">
        <v>-1.928968E-2</v>
      </c>
      <c r="AA6705">
        <v>0.81870710000000002</v>
      </c>
      <c r="AB6705">
        <v>24</v>
      </c>
      <c r="AC6705">
        <v>14.564</v>
      </c>
      <c r="AD6705">
        <v>-1.0399822000000001</v>
      </c>
      <c r="AE6705">
        <v>-10.684586999999899</v>
      </c>
      <c r="AF6705">
        <v>10.4070366434674</v>
      </c>
      <c r="AG6705">
        <v>-1.0399822000000001</v>
      </c>
      <c r="AH6705">
        <v>14.6905298159579</v>
      </c>
      <c r="AI6705">
        <v>93.306088968505705</v>
      </c>
      <c r="AJ6705">
        <v>54.685554082446501</v>
      </c>
      <c r="AK6705">
        <v>18.033292570918402</v>
      </c>
      <c r="AL6705">
        <v>95.718497048319406</v>
      </c>
      <c r="AM6705">
        <v>76.845943400015898</v>
      </c>
      <c r="AN6705">
        <v>0.99999997264780405</v>
      </c>
    </row>
    <row r="6706" spans="1:40" x14ac:dyDescent="0.25">
      <c r="A6706" t="str">
        <f>"20190303154942912"</f>
        <v>20190303154942912</v>
      </c>
      <c r="B6706" t="str">
        <f>"1551599382907338"</f>
        <v>1551599382907338</v>
      </c>
      <c r="C6706" t="s">
        <v>40</v>
      </c>
      <c r="D6706">
        <v>5.2431739999999998</v>
      </c>
      <c r="E6706">
        <v>0.65071990000000002</v>
      </c>
      <c r="F6706" t="s">
        <v>41</v>
      </c>
      <c r="G6706">
        <v>-334.06389999999999</v>
      </c>
      <c r="H6706">
        <v>7.9985749999999994E-2</v>
      </c>
      <c r="I6706">
        <v>7.2415500000000002</v>
      </c>
      <c r="J6706">
        <v>-348.33710000000002</v>
      </c>
      <c r="K6706">
        <v>1.1199859999999999</v>
      </c>
      <c r="L6706">
        <v>17.73593</v>
      </c>
      <c r="M6706">
        <v>0.99984220000000001</v>
      </c>
      <c r="N6706">
        <v>-6.6409850000000003E-3</v>
      </c>
      <c r="O6706">
        <v>-1.648022E-2</v>
      </c>
      <c r="P6706">
        <v>0.96321579999999996</v>
      </c>
      <c r="Q6706">
        <v>-0.1064026</v>
      </c>
      <c r="R6706">
        <v>-0.24676679999999901</v>
      </c>
      <c r="S6706">
        <v>2.6115719999999998</v>
      </c>
      <c r="T6706">
        <v>-0.18860959999999999</v>
      </c>
      <c r="U6706">
        <v>-1.9035949999999999</v>
      </c>
      <c r="V6706">
        <v>0.23088790000000001</v>
      </c>
      <c r="W6706">
        <v>-9.9910739999999998E-2</v>
      </c>
      <c r="X6706">
        <v>0.96783710000000001</v>
      </c>
      <c r="Y6706">
        <v>0.57456109999999905</v>
      </c>
      <c r="Z6706">
        <v>-1.9676880000000001E-2</v>
      </c>
      <c r="AA6706">
        <v>0.81822510000000004</v>
      </c>
      <c r="AB6706">
        <v>24</v>
      </c>
      <c r="AC6706">
        <v>14.273199999999999</v>
      </c>
      <c r="AD6706">
        <v>-1.0400002500000001</v>
      </c>
      <c r="AE6706">
        <v>-10.49438</v>
      </c>
      <c r="AF6706">
        <v>10.222495657573401</v>
      </c>
      <c r="AG6706">
        <v>-1.0400002500000001</v>
      </c>
      <c r="AH6706">
        <v>14.394608792103099</v>
      </c>
      <c r="AI6706">
        <v>93.371189681236004</v>
      </c>
      <c r="AJ6706">
        <v>54.619100072199799</v>
      </c>
      <c r="AK6706">
        <v>17.685750769102199</v>
      </c>
      <c r="AL6706">
        <v>95.734030426998501</v>
      </c>
      <c r="AM6706">
        <v>76.582266411802806</v>
      </c>
      <c r="AN6706">
        <v>1.0000000152350801</v>
      </c>
    </row>
    <row r="6707" spans="1:40" x14ac:dyDescent="0.25">
      <c r="A6707" t="str">
        <f>"20190303154942924"</f>
        <v>20190303154942924</v>
      </c>
      <c r="B6707" t="str">
        <f>"1551599382917098"</f>
        <v>1551599382917098</v>
      </c>
      <c r="C6707" t="s">
        <v>40</v>
      </c>
      <c r="D6707">
        <v>5.2261340000000001</v>
      </c>
      <c r="E6707">
        <v>0.64965490000000004</v>
      </c>
      <c r="F6707" t="s">
        <v>41</v>
      </c>
      <c r="G6707">
        <v>-334.09780000000001</v>
      </c>
      <c r="H6707">
        <v>7.9985730000000005E-2</v>
      </c>
      <c r="I6707">
        <v>7.3079339999999897</v>
      </c>
      <c r="J6707">
        <v>-348.20429999999999</v>
      </c>
      <c r="K6707">
        <v>1.1200079999999999</v>
      </c>
      <c r="L6707">
        <v>17.733829999999902</v>
      </c>
      <c r="M6707">
        <v>0.9998435</v>
      </c>
      <c r="N6707">
        <v>-6.7233550000000003E-3</v>
      </c>
      <c r="O6707">
        <v>-1.6363809999999999E-2</v>
      </c>
      <c r="P6707">
        <v>0.96211959999999996</v>
      </c>
      <c r="Q6707">
        <v>-0.1065662</v>
      </c>
      <c r="R6707">
        <v>-0.25093729999999997</v>
      </c>
      <c r="S6707">
        <v>2.6048580000000001</v>
      </c>
      <c r="T6707">
        <v>-0.19025159999999999</v>
      </c>
      <c r="U6707">
        <v>-1.9076230000000001</v>
      </c>
      <c r="V6707">
        <v>0.23519090000000001</v>
      </c>
      <c r="W6707">
        <v>-9.9994260000000001E-2</v>
      </c>
      <c r="X6707">
        <v>0.96679179999999998</v>
      </c>
      <c r="Y6707">
        <v>0.57645570000000002</v>
      </c>
      <c r="Z6707">
        <v>-1.9962649999999998E-2</v>
      </c>
      <c r="AA6707">
        <v>0.81688450000000001</v>
      </c>
      <c r="AB6707">
        <v>24</v>
      </c>
      <c r="AC6707">
        <v>14.106499999999899</v>
      </c>
      <c r="AD6707">
        <v>-1.0400222699999999</v>
      </c>
      <c r="AE6707">
        <v>-10.4258959999999</v>
      </c>
      <c r="AF6707">
        <v>10.157949931907099</v>
      </c>
      <c r="AG6707">
        <v>-1.0400222699999999</v>
      </c>
      <c r="AH6707">
        <v>14.2252157819225</v>
      </c>
      <c r="AI6707">
        <v>93.405015010107206</v>
      </c>
      <c r="AJ6707">
        <v>54.470106651175499</v>
      </c>
      <c r="AK6707">
        <v>17.510635544819198</v>
      </c>
      <c r="AL6707">
        <v>95.738839954212693</v>
      </c>
      <c r="AM6707">
        <v>76.327275747498504</v>
      </c>
      <c r="AN6707">
        <v>0.99999999801149797</v>
      </c>
    </row>
    <row r="6708" spans="1:40" x14ac:dyDescent="0.25">
      <c r="A6708" t="str">
        <f>"20190303154942944"</f>
        <v>20190303154942944</v>
      </c>
      <c r="B6708" t="str">
        <f>"1551599382937594"</f>
        <v>1551599382937594</v>
      </c>
      <c r="C6708" t="s">
        <v>40</v>
      </c>
      <c r="D6708">
        <v>5.2447929999999996</v>
      </c>
      <c r="E6708">
        <v>0.64770139999999998</v>
      </c>
      <c r="F6708" t="s">
        <v>41</v>
      </c>
      <c r="G6708">
        <v>-334.04860000000002</v>
      </c>
      <c r="H6708">
        <v>7.9985749999999994E-2</v>
      </c>
      <c r="I6708">
        <v>7.3264379999999996</v>
      </c>
      <c r="J6708">
        <v>-347.99200000000002</v>
      </c>
      <c r="K6708">
        <v>1.120047</v>
      </c>
      <c r="L6708">
        <v>17.730529999999899</v>
      </c>
      <c r="M6708">
        <v>0.99984580000000001</v>
      </c>
      <c r="N6708">
        <v>-6.8807850000000004E-3</v>
      </c>
      <c r="O6708">
        <v>-1.6163199999999999E-2</v>
      </c>
      <c r="P6708">
        <v>0.96012589999999998</v>
      </c>
      <c r="Q6708">
        <v>-0.10745200000000001</v>
      </c>
      <c r="R6708">
        <v>-0.25809409999999999</v>
      </c>
      <c r="S6708">
        <v>2.5986630000000002</v>
      </c>
      <c r="T6708">
        <v>-0.19092509999999999</v>
      </c>
      <c r="U6708">
        <v>-1.9105529999999999</v>
      </c>
      <c r="V6708">
        <v>0.2425766</v>
      </c>
      <c r="W6708">
        <v>-0.10072970000000001</v>
      </c>
      <c r="X6708">
        <v>0.96488859999999999</v>
      </c>
      <c r="Y6708">
        <v>0.57812649999999999</v>
      </c>
      <c r="Z6708">
        <v>-2.018091E-2</v>
      </c>
      <c r="AA6708">
        <v>0.81569759999999902</v>
      </c>
      <c r="AB6708">
        <v>25</v>
      </c>
      <c r="AC6708">
        <v>13.943399999999899</v>
      </c>
      <c r="AD6708">
        <v>-1.0400612499999999</v>
      </c>
      <c r="AE6708">
        <v>-10.404092</v>
      </c>
      <c r="AF6708">
        <v>10.1411129406069</v>
      </c>
      <c r="AG6708">
        <v>-1.0400612499999999</v>
      </c>
      <c r="AH6708">
        <v>14.0594968176134</v>
      </c>
      <c r="AI6708">
        <v>93.433449187731298</v>
      </c>
      <c r="AJ6708">
        <v>54.197094038900303</v>
      </c>
      <c r="AK6708">
        <v>17.3664432121945</v>
      </c>
      <c r="AL6708">
        <v>95.781191704484399</v>
      </c>
      <c r="AM6708">
        <v>75.888084425610501</v>
      </c>
      <c r="AN6708">
        <v>0.99999994486980304</v>
      </c>
    </row>
    <row r="6709" spans="1:40" x14ac:dyDescent="0.25">
      <c r="A6709" t="str">
        <f>"20190303154942956"</f>
        <v>20190303154942956</v>
      </c>
      <c r="B6709" t="str">
        <f>"1551599382947353"</f>
        <v>1551599382947353</v>
      </c>
      <c r="C6709" t="s">
        <v>40</v>
      </c>
      <c r="D6709">
        <v>5.2110289999999999</v>
      </c>
      <c r="E6709">
        <v>0.64691399999999999</v>
      </c>
      <c r="F6709" t="s">
        <v>41</v>
      </c>
      <c r="G6709">
        <v>-334.20119999999997</v>
      </c>
      <c r="H6709">
        <v>7.9985689999999998E-2</v>
      </c>
      <c r="I6709">
        <v>7.5260949999999998</v>
      </c>
      <c r="J6709">
        <v>-347.8535</v>
      </c>
      <c r="K6709">
        <v>1.1200699999999999</v>
      </c>
      <c r="L6709">
        <v>17.728449999999999</v>
      </c>
      <c r="M6709">
        <v>0.99984720000000005</v>
      </c>
      <c r="N6709">
        <v>-7.0013530000000001E-3</v>
      </c>
      <c r="O6709">
        <v>-1.602489E-2</v>
      </c>
      <c r="P6709">
        <v>0.95924290000000001</v>
      </c>
      <c r="Q6709">
        <v>-0.1078997</v>
      </c>
      <c r="R6709">
        <v>-0.26117240000000003</v>
      </c>
      <c r="S6709">
        <v>2.5879819999999998</v>
      </c>
      <c r="T6709">
        <v>-0.19517780000000001</v>
      </c>
      <c r="U6709">
        <v>-1.9149480000000001</v>
      </c>
      <c r="V6709">
        <v>0.2458043</v>
      </c>
      <c r="W6709">
        <v>-0.1010612</v>
      </c>
      <c r="X6709">
        <v>0.96403680000000003</v>
      </c>
      <c r="Y6709">
        <v>0.58067550000000001</v>
      </c>
      <c r="Z6709">
        <v>-2.0777150000000001E-2</v>
      </c>
      <c r="AA6709">
        <v>0.81386999999999998</v>
      </c>
      <c r="AB6709">
        <v>25</v>
      </c>
      <c r="AC6709">
        <v>13.6523</v>
      </c>
      <c r="AD6709">
        <v>-1.0400843099999999</v>
      </c>
      <c r="AE6709">
        <v>-10.202355000000001</v>
      </c>
      <c r="AF6709">
        <v>9.9452251217877201</v>
      </c>
      <c r="AG6709">
        <v>-1.0400843099999999</v>
      </c>
      <c r="AH6709">
        <v>13.7627873563126</v>
      </c>
      <c r="AI6709">
        <v>93.505178592220901</v>
      </c>
      <c r="AJ6709">
        <v>54.147481775459497</v>
      </c>
      <c r="AK6709">
        <v>17.011866267697499</v>
      </c>
      <c r="AL6709">
        <v>95.800282147320004</v>
      </c>
      <c r="AM6709">
        <v>75.695847962164606</v>
      </c>
      <c r="AN6709">
        <v>1.0000000358990799</v>
      </c>
    </row>
    <row r="6710" spans="1:40" x14ac:dyDescent="0.25">
      <c r="A6710" t="str">
        <f>"20190303154942967"</f>
        <v>20190303154942967</v>
      </c>
      <c r="B6710" t="str">
        <f>"1551599382957115"</f>
        <v>1551599382957115</v>
      </c>
      <c r="C6710" t="s">
        <v>40</v>
      </c>
      <c r="D6710">
        <v>5.2464399999999998</v>
      </c>
      <c r="E6710">
        <v>0.64607789999999998</v>
      </c>
      <c r="F6710" t="s">
        <v>41</v>
      </c>
      <c r="G6710">
        <v>-334.11099999999999</v>
      </c>
      <c r="H6710">
        <v>7.9985719999999996E-2</v>
      </c>
      <c r="I6710">
        <v>7.531021</v>
      </c>
      <c r="J6710">
        <v>-347.73489999999998</v>
      </c>
      <c r="K6710">
        <v>1.120096</v>
      </c>
      <c r="L6710">
        <v>17.726649999999999</v>
      </c>
      <c r="M6710">
        <v>0.99984830000000002</v>
      </c>
      <c r="N6710">
        <v>-7.116893E-3</v>
      </c>
      <c r="O6710">
        <v>-1.5902920000000001E-2</v>
      </c>
      <c r="P6710">
        <v>0.95840409999999998</v>
      </c>
      <c r="Q6710">
        <v>-0.1083648</v>
      </c>
      <c r="R6710">
        <v>-0.26404319999999998</v>
      </c>
      <c r="S6710">
        <v>2.5835270000000001</v>
      </c>
      <c r="T6710">
        <v>-0.19553090000000001</v>
      </c>
      <c r="U6710">
        <v>-1.9170529999999999</v>
      </c>
      <c r="V6710">
        <v>0.2488071</v>
      </c>
      <c r="W6710">
        <v>-0.1014163</v>
      </c>
      <c r="X6710">
        <v>0.9632288</v>
      </c>
      <c r="Y6710">
        <v>0.58186119999999997</v>
      </c>
      <c r="Z6710">
        <v>-2.0923839999999999E-2</v>
      </c>
      <c r="AA6710">
        <v>0.81301889999999999</v>
      </c>
      <c r="AB6710">
        <v>25</v>
      </c>
      <c r="AC6710">
        <v>13.6238999999999</v>
      </c>
      <c r="AD6710">
        <v>-1.0401102799999999</v>
      </c>
      <c r="AE6710">
        <v>-10.195628999999901</v>
      </c>
      <c r="AF6710">
        <v>9.9405355525239703</v>
      </c>
      <c r="AG6710">
        <v>-1.0401102799999999</v>
      </c>
      <c r="AH6710">
        <v>13.7330135581142</v>
      </c>
      <c r="AI6710">
        <v>93.510808455279403</v>
      </c>
      <c r="AJ6710">
        <v>54.101391737556298</v>
      </c>
      <c r="AK6710">
        <v>16.985044534910799</v>
      </c>
      <c r="AL6710">
        <v>95.820733277281406</v>
      </c>
      <c r="AM6710">
        <v>75.516772388137795</v>
      </c>
      <c r="AN6710">
        <v>0.99999998003276902</v>
      </c>
    </row>
    <row r="6711" spans="1:40" x14ac:dyDescent="0.25">
      <c r="A6711" t="str">
        <f>"20190303154942978"</f>
        <v>20190303154942978</v>
      </c>
      <c r="B6711" t="str">
        <f>"1551599382967850"</f>
        <v>1551599382967850</v>
      </c>
      <c r="C6711" t="s">
        <v>40</v>
      </c>
      <c r="D6711">
        <v>5.2534900000000002</v>
      </c>
      <c r="E6711">
        <v>0.64607789999999998</v>
      </c>
      <c r="F6711" t="s">
        <v>41</v>
      </c>
      <c r="G6711">
        <v>-334.18360000000001</v>
      </c>
      <c r="H6711">
        <v>7.9985689999999998E-2</v>
      </c>
      <c r="I6711">
        <v>7.6485810000000001</v>
      </c>
      <c r="J6711">
        <v>-347.60950000000003</v>
      </c>
      <c r="K6711">
        <v>1.1201239999999999</v>
      </c>
      <c r="L6711">
        <v>17.724789999999999</v>
      </c>
      <c r="M6711">
        <v>0.9998494</v>
      </c>
      <c r="N6711">
        <v>-7.2463400000000004E-3</v>
      </c>
      <c r="O6711">
        <v>-1.5771819999999999E-2</v>
      </c>
      <c r="P6711">
        <v>0.9577386</v>
      </c>
      <c r="Q6711">
        <v>-0.10841580000000001</v>
      </c>
      <c r="R6711">
        <v>-0.2664263</v>
      </c>
      <c r="S6711">
        <v>2.5793149999999998</v>
      </c>
      <c r="T6711">
        <v>-0.19797129999999999</v>
      </c>
      <c r="U6711">
        <v>-1.9182129999999999</v>
      </c>
      <c r="V6711">
        <v>0.25132759999999998</v>
      </c>
      <c r="W6711">
        <v>-0.1013435</v>
      </c>
      <c r="X6711">
        <v>0.96258189999999999</v>
      </c>
      <c r="Y6711">
        <v>0.58280209999999999</v>
      </c>
      <c r="Z6711">
        <v>-2.1265340000000001E-2</v>
      </c>
      <c r="AA6711">
        <v>0.81233580000000005</v>
      </c>
      <c r="AB6711">
        <v>25</v>
      </c>
      <c r="AC6711">
        <v>13.4259</v>
      </c>
      <c r="AD6711">
        <v>-1.0401383099999999</v>
      </c>
      <c r="AE6711">
        <v>-10.076209</v>
      </c>
      <c r="AF6711">
        <v>9.8254751554546598</v>
      </c>
      <c r="AG6711">
        <v>-1.0401383099999999</v>
      </c>
      <c r="AH6711">
        <v>13.5312024274061</v>
      </c>
      <c r="AI6711">
        <v>93.559262764657007</v>
      </c>
      <c r="AJ6711">
        <v>54.015298025525198</v>
      </c>
      <c r="AK6711">
        <v>16.754560240896399</v>
      </c>
      <c r="AL6711">
        <v>95.816540479379199</v>
      </c>
      <c r="AM6711">
        <v>75.366906226125195</v>
      </c>
      <c r="AN6711">
        <v>0.99999999086080904</v>
      </c>
    </row>
    <row r="6712" spans="1:40" x14ac:dyDescent="0.25">
      <c r="A6712" t="str">
        <f>"20190303154942988"</f>
        <v>20190303154942988</v>
      </c>
      <c r="B6712" t="str">
        <f>"1551599382977142"</f>
        <v>1551599382977142</v>
      </c>
      <c r="C6712" t="s">
        <v>40</v>
      </c>
      <c r="D6712">
        <v>5.1982439999999999</v>
      </c>
      <c r="E6712">
        <v>0.63101759999999996</v>
      </c>
      <c r="F6712" t="s">
        <v>41</v>
      </c>
      <c r="G6712">
        <v>-334.08330000000001</v>
      </c>
      <c r="H6712">
        <v>7.9985719999999996E-2</v>
      </c>
      <c r="I6712">
        <v>7.6117379999999999</v>
      </c>
      <c r="J6712">
        <v>-347.50790000000001</v>
      </c>
      <c r="K6712">
        <v>1.120155</v>
      </c>
      <c r="L6712">
        <v>17.723299999999998</v>
      </c>
      <c r="M6712">
        <v>0.99985020000000002</v>
      </c>
      <c r="N6712">
        <v>-7.368973E-3</v>
      </c>
      <c r="O6712">
        <v>-1.5663150000000001E-2</v>
      </c>
      <c r="P6712">
        <v>0.95705879999999999</v>
      </c>
      <c r="Q6712">
        <v>-0.1083532</v>
      </c>
      <c r="R6712">
        <v>-0.26888329999999999</v>
      </c>
      <c r="S6712">
        <v>2.5745239999999998</v>
      </c>
      <c r="T6712">
        <v>-0.19797600000000001</v>
      </c>
      <c r="U6712">
        <v>-1.924866</v>
      </c>
      <c r="V6712">
        <v>0.25390020000000002</v>
      </c>
      <c r="W6712">
        <v>-0.1011654</v>
      </c>
      <c r="X6712">
        <v>0.96192529999999998</v>
      </c>
      <c r="Y6712">
        <v>0.58495079999999999</v>
      </c>
      <c r="Z6712">
        <v>-2.1413129999999999E-2</v>
      </c>
      <c r="AA6712">
        <v>0.81078609999999995</v>
      </c>
      <c r="AB6712">
        <v>25</v>
      </c>
      <c r="AC6712">
        <v>13.4245999999999</v>
      </c>
      <c r="AD6712">
        <v>-1.04016928</v>
      </c>
      <c r="AE6712">
        <v>-10.1115619999999</v>
      </c>
      <c r="AF6712">
        <v>9.8622677153419893</v>
      </c>
      <c r="AG6712">
        <v>-1.04016928</v>
      </c>
      <c r="AH6712">
        <v>13.5295126395553</v>
      </c>
      <c r="AI6712">
        <v>93.555068304806696</v>
      </c>
      <c r="AJ6712">
        <v>53.910016756349798</v>
      </c>
      <c r="AK6712">
        <v>16.77480220104</v>
      </c>
      <c r="AL6712">
        <v>95.806283237317004</v>
      </c>
      <c r="AM6712">
        <v>75.213999602396001</v>
      </c>
      <c r="AN6712">
        <v>1.00000001624864</v>
      </c>
    </row>
    <row r="6713" spans="1:40" x14ac:dyDescent="0.25">
      <c r="A6713" t="str">
        <f>"20190303154942999"</f>
        <v>20190303154942999</v>
      </c>
      <c r="B6713" t="str">
        <f>"1551599382987878"</f>
        <v>1551599382987878</v>
      </c>
      <c r="C6713" t="s">
        <v>40</v>
      </c>
      <c r="D6713">
        <v>5.2037719999999998</v>
      </c>
      <c r="E6713">
        <v>0.63144540000000005</v>
      </c>
      <c r="F6713" t="s">
        <v>41</v>
      </c>
      <c r="G6713">
        <v>-334.23970000000003</v>
      </c>
      <c r="H6713">
        <v>7.9985639999999997E-2</v>
      </c>
      <c r="I6713">
        <v>8.4623170000000005</v>
      </c>
      <c r="J6713">
        <v>-347.37630000000001</v>
      </c>
      <c r="K6713">
        <v>1.12019</v>
      </c>
      <c r="L6713">
        <v>17.72137</v>
      </c>
      <c r="M6713">
        <v>0.99985119999999905</v>
      </c>
      <c r="N6713">
        <v>-7.533278E-3</v>
      </c>
      <c r="O6713">
        <v>-1.552124E-2</v>
      </c>
      <c r="P6713">
        <v>0.95670710000000003</v>
      </c>
      <c r="Q6713">
        <v>-0.108164</v>
      </c>
      <c r="R6713">
        <v>-0.27020749999999999</v>
      </c>
      <c r="S6713">
        <v>2.6014400000000002</v>
      </c>
      <c r="T6713">
        <v>-0.2039405</v>
      </c>
      <c r="U6713">
        <v>-1.8157350000000001</v>
      </c>
      <c r="V6713">
        <v>0.2553666</v>
      </c>
      <c r="W6713">
        <v>-0.10081859999999999</v>
      </c>
      <c r="X6713">
        <v>0.96157349999999997</v>
      </c>
      <c r="Y6713">
        <v>0.55827599999999999</v>
      </c>
      <c r="Z6713">
        <v>-2.1021479999999999E-2</v>
      </c>
      <c r="AA6713">
        <v>0.82938899999999904</v>
      </c>
      <c r="AB6713">
        <v>25</v>
      </c>
      <c r="AC6713">
        <v>13.1365999999999</v>
      </c>
      <c r="AD6713">
        <v>-1.0402043599999999</v>
      </c>
      <c r="AE6713">
        <v>-9.2590529999999998</v>
      </c>
      <c r="AF6713">
        <v>9.0162661609545705</v>
      </c>
      <c r="AG6713">
        <v>-1.0402043599999999</v>
      </c>
      <c r="AH6713">
        <v>13.2233406758796</v>
      </c>
      <c r="AI6713">
        <v>93.718637967243694</v>
      </c>
      <c r="AJ6713">
        <v>55.712081673279101</v>
      </c>
      <c r="AK6713">
        <v>16.038448155171</v>
      </c>
      <c r="AL6713">
        <v>95.786310791144402</v>
      </c>
      <c r="AM6713">
        <v>75.127176702393598</v>
      </c>
      <c r="AN6713">
        <v>1.0000000432018801</v>
      </c>
    </row>
    <row r="6714" spans="1:40" x14ac:dyDescent="0.25">
      <c r="A6714" t="str">
        <f>"20190303154943009"</f>
        <v>20190303154943009</v>
      </c>
      <c r="B6714" t="str">
        <f>"1551599382997638"</f>
        <v>1551599382997638</v>
      </c>
      <c r="C6714" t="s">
        <v>40</v>
      </c>
      <c r="D6714">
        <v>5.2047790000000003</v>
      </c>
      <c r="E6714">
        <v>0.63085440000000004</v>
      </c>
      <c r="F6714" t="s">
        <v>41</v>
      </c>
      <c r="G6714">
        <v>-333.6524</v>
      </c>
      <c r="H6714">
        <v>7.9985829999999994E-2</v>
      </c>
      <c r="I6714">
        <v>8.0959909999999997</v>
      </c>
      <c r="J6714">
        <v>-347.27749999999997</v>
      </c>
      <c r="K6714">
        <v>1.1202219999999901</v>
      </c>
      <c r="L6714">
        <v>17.719940000000001</v>
      </c>
      <c r="M6714">
        <v>0.99985190000000002</v>
      </c>
      <c r="N6714">
        <v>-7.6790030000000002E-3</v>
      </c>
      <c r="O6714">
        <v>-1.541291E-2</v>
      </c>
      <c r="P6714">
        <v>0.95642660000000002</v>
      </c>
      <c r="Q6714">
        <v>-0.107839</v>
      </c>
      <c r="R6714">
        <v>-0.27132909999999999</v>
      </c>
      <c r="S6714">
        <v>2.5986940000000001</v>
      </c>
      <c r="T6714">
        <v>-0.19696820000000001</v>
      </c>
      <c r="U6714">
        <v>-1.8226009999999999</v>
      </c>
      <c r="V6714">
        <v>0.2565963</v>
      </c>
      <c r="W6714">
        <v>-0.1003545</v>
      </c>
      <c r="X6714">
        <v>0.9612946</v>
      </c>
      <c r="Y6714">
        <v>0.5603186</v>
      </c>
      <c r="Z6714">
        <v>-2.052327E-2</v>
      </c>
      <c r="AA6714">
        <v>0.82802279999999995</v>
      </c>
      <c r="AB6714">
        <v>25</v>
      </c>
      <c r="AC6714">
        <v>13.6250999999999</v>
      </c>
      <c r="AD6714">
        <v>-1.04023616999999</v>
      </c>
      <c r="AE6714">
        <v>-9.6239489999999996</v>
      </c>
      <c r="AF6714">
        <v>9.3763351548844796</v>
      </c>
      <c r="AG6714">
        <v>-1.04023616999999</v>
      </c>
      <c r="AH6714">
        <v>13.7184714738598</v>
      </c>
      <c r="AI6714">
        <v>93.582164049124202</v>
      </c>
      <c r="AJ6714">
        <v>55.648076936009403</v>
      </c>
      <c r="AK6714">
        <v>16.649150482988698</v>
      </c>
      <c r="AL6714">
        <v>95.7595845368147</v>
      </c>
      <c r="AM6714">
        <v>75.054612579319297</v>
      </c>
      <c r="AN6714">
        <v>0.99999999741654999</v>
      </c>
    </row>
    <row r="6715" spans="1:40" x14ac:dyDescent="0.25">
      <c r="A6715" t="str">
        <f>"20190303154943021"</f>
        <v>20190303154943021</v>
      </c>
      <c r="B6715" t="str">
        <f>"1551599383017159"</f>
        <v>1551599383017159</v>
      </c>
      <c r="C6715" t="s">
        <v>40</v>
      </c>
      <c r="D6715">
        <v>5.1149760000000004</v>
      </c>
      <c r="E6715">
        <v>0.63057390000000002</v>
      </c>
      <c r="F6715" t="s">
        <v>41</v>
      </c>
      <c r="G6715">
        <v>-333.21319999999997</v>
      </c>
      <c r="H6715">
        <v>7.9985970000000003E-2</v>
      </c>
      <c r="I6715">
        <v>7.8594999999999997</v>
      </c>
      <c r="J6715">
        <v>-347.14609999999999</v>
      </c>
      <c r="K6715">
        <v>1.1202589999999999</v>
      </c>
      <c r="L6715">
        <v>17.718050000000002</v>
      </c>
      <c r="M6715">
        <v>0.99985250000000003</v>
      </c>
      <c r="N6715">
        <v>-7.8754999999999901E-3</v>
      </c>
      <c r="O6715">
        <v>-1.526829E-2</v>
      </c>
      <c r="P6715">
        <v>0.95614109999999997</v>
      </c>
      <c r="Q6715">
        <v>-0.1072665</v>
      </c>
      <c r="R6715">
        <v>-0.2725592</v>
      </c>
      <c r="S6715">
        <v>2.5981749999999999</v>
      </c>
      <c r="T6715">
        <v>-0.19216920000000001</v>
      </c>
      <c r="U6715">
        <v>-1.821564</v>
      </c>
      <c r="V6715">
        <v>0.25796960000000002</v>
      </c>
      <c r="W6715">
        <v>-9.9593970000000004E-2</v>
      </c>
      <c r="X6715">
        <v>0.96100609999999997</v>
      </c>
      <c r="Y6715">
        <v>0.56034359999999905</v>
      </c>
      <c r="Z6715">
        <v>-2.0161729999999999E-2</v>
      </c>
      <c r="AA6715">
        <v>0.8280149</v>
      </c>
      <c r="AB6715">
        <v>25</v>
      </c>
      <c r="AC6715">
        <v>13.9329</v>
      </c>
      <c r="AD6715">
        <v>-1.04027303</v>
      </c>
      <c r="AE6715">
        <v>-9.8585499999999993</v>
      </c>
      <c r="AF6715">
        <v>9.6089677210849107</v>
      </c>
      <c r="AG6715">
        <v>-1.04027303</v>
      </c>
      <c r="AH6715">
        <v>14.029686895255301</v>
      </c>
      <c r="AI6715">
        <v>93.500714449566999</v>
      </c>
      <c r="AJ6715">
        <v>55.592658767154603</v>
      </c>
      <c r="AK6715">
        <v>17.036623580413298</v>
      </c>
      <c r="AL6715">
        <v>95.715789958772504</v>
      </c>
      <c r="AM6715">
        <v>74.973925807957997</v>
      </c>
      <c r="AN6715">
        <v>0.99999999881086499</v>
      </c>
    </row>
    <row r="6716" spans="1:40" x14ac:dyDescent="0.25">
      <c r="A6716" t="str">
        <f>"20190303154943031"</f>
        <v>20190303154943031</v>
      </c>
      <c r="B6716" t="str">
        <f>"1551599383027895"</f>
        <v>1551599383027895</v>
      </c>
      <c r="C6716" t="s">
        <v>40</v>
      </c>
      <c r="D6716">
        <v>5.1103969999999999</v>
      </c>
      <c r="E6716">
        <v>0.63025549999999997</v>
      </c>
      <c r="F6716" t="s">
        <v>41</v>
      </c>
      <c r="G6716">
        <v>-332.38959999999997</v>
      </c>
      <c r="H6716">
        <v>7.9986230000000005E-2</v>
      </c>
      <c r="I6716">
        <v>7.3636649999999904</v>
      </c>
      <c r="J6716">
        <v>-347.02850000000001</v>
      </c>
      <c r="K6716">
        <v>1.1202989999999999</v>
      </c>
      <c r="L6716">
        <v>17.7164</v>
      </c>
      <c r="M6716">
        <v>0.99985279999999999</v>
      </c>
      <c r="N6716">
        <v>-8.0806560000000003E-3</v>
      </c>
      <c r="O6716">
        <v>-1.514018E-2</v>
      </c>
      <c r="P6716">
        <v>0.95601670000000005</v>
      </c>
      <c r="Q6716">
        <v>-0.10675850000000001</v>
      </c>
      <c r="R6716">
        <v>-0.2731941</v>
      </c>
      <c r="S6716">
        <v>2.5975039999999998</v>
      </c>
      <c r="T6716">
        <v>-0.18311250000000001</v>
      </c>
      <c r="U6716">
        <v>-1.8226009999999999</v>
      </c>
      <c r="V6716">
        <v>0.258729299999999</v>
      </c>
      <c r="W6716">
        <v>-9.8889030000000003E-2</v>
      </c>
      <c r="X6716">
        <v>0.96087469999999997</v>
      </c>
      <c r="Y6716">
        <v>0.56086539999999996</v>
      </c>
      <c r="Z6716">
        <v>-1.942671E-2</v>
      </c>
      <c r="AA6716">
        <v>0.82767900000000005</v>
      </c>
      <c r="AB6716">
        <v>25</v>
      </c>
      <c r="AC6716">
        <v>14.6389</v>
      </c>
      <c r="AD6716">
        <v>-1.0403127700000001</v>
      </c>
      <c r="AE6716">
        <v>-10.352734999999999</v>
      </c>
      <c r="AF6716">
        <v>10.0959175944027</v>
      </c>
      <c r="AG6716">
        <v>-1.0403127700000001</v>
      </c>
      <c r="AH6716">
        <v>14.7443325766986</v>
      </c>
      <c r="AI6716">
        <v>93.331820640439602</v>
      </c>
      <c r="AJ6716">
        <v>55.599305858468803</v>
      </c>
      <c r="AK6716">
        <v>17.899864409114699</v>
      </c>
      <c r="AL6716">
        <v>95.675199256599498</v>
      </c>
      <c r="AM6716">
        <v>74.929717942495301</v>
      </c>
      <c r="AN6716">
        <v>1.0000000400164499</v>
      </c>
    </row>
    <row r="6717" spans="1:40" x14ac:dyDescent="0.25">
      <c r="A6717" t="str">
        <f>"20190303154943042"</f>
        <v>20190303154943042</v>
      </c>
      <c r="B6717" t="str">
        <f>"1551599383037654"</f>
        <v>1551599383037654</v>
      </c>
      <c r="C6717" t="s">
        <v>40</v>
      </c>
      <c r="D6717">
        <v>5.1106230000000004</v>
      </c>
      <c r="E6717">
        <v>0.62997179999999997</v>
      </c>
      <c r="F6717" t="s">
        <v>41</v>
      </c>
      <c r="G6717">
        <v>-332.05959999999999</v>
      </c>
      <c r="H6717">
        <v>7.9986329999999994E-2</v>
      </c>
      <c r="I6717">
        <v>7.2164759999999903</v>
      </c>
      <c r="J6717">
        <v>-346.9083</v>
      </c>
      <c r="K6717">
        <v>1.1203399999999999</v>
      </c>
      <c r="L6717">
        <v>17.71472</v>
      </c>
      <c r="M6717">
        <v>0.99985299999999999</v>
      </c>
      <c r="N6717">
        <v>-8.2939079999999991E-3</v>
      </c>
      <c r="O6717">
        <v>-1.500986E-2</v>
      </c>
      <c r="P6717">
        <v>0.95584179999999996</v>
      </c>
      <c r="Q6717">
        <v>-0.1066179</v>
      </c>
      <c r="R6717">
        <v>-0.27385979999999999</v>
      </c>
      <c r="S6717">
        <v>2.597229</v>
      </c>
      <c r="T6717">
        <v>-0.18050279999999999</v>
      </c>
      <c r="U6717">
        <v>-1.8218080000000001</v>
      </c>
      <c r="V6717">
        <v>0.2595228</v>
      </c>
      <c r="W6717">
        <v>-9.8544370000000006E-2</v>
      </c>
      <c r="X6717">
        <v>0.96069610000000005</v>
      </c>
      <c r="Y6717">
        <v>0.56086809999999998</v>
      </c>
      <c r="Z6717">
        <v>-1.926595E-2</v>
      </c>
      <c r="AA6717">
        <v>0.827681</v>
      </c>
      <c r="AB6717">
        <v>25</v>
      </c>
      <c r="AC6717">
        <v>14.848699999999999</v>
      </c>
      <c r="AD6717">
        <v>-1.04035367</v>
      </c>
      <c r="AE6717">
        <v>-10.498244</v>
      </c>
      <c r="AF6717">
        <v>10.240660105440099</v>
      </c>
      <c r="AG6717">
        <v>-1.04035367</v>
      </c>
      <c r="AH6717">
        <v>14.955661429046399</v>
      </c>
      <c r="AI6717">
        <v>93.284969544247303</v>
      </c>
      <c r="AJ6717">
        <v>55.599204491124098</v>
      </c>
      <c r="AK6717">
        <v>18.155584924042</v>
      </c>
      <c r="AL6717">
        <v>95.6553547846257</v>
      </c>
      <c r="AM6717">
        <v>74.882928997609397</v>
      </c>
      <c r="AN6717">
        <v>1.00000003656687</v>
      </c>
    </row>
    <row r="6718" spans="1:40" x14ac:dyDescent="0.25">
      <c r="A6718" t="str">
        <f>"20190303154943053"</f>
        <v>20190303154943053</v>
      </c>
      <c r="B6718" t="str">
        <f>"1551599383047414"</f>
        <v>1551599383047414</v>
      </c>
      <c r="C6718" t="s">
        <v>40</v>
      </c>
      <c r="D6718">
        <v>5.0838409999999996</v>
      </c>
      <c r="E6718">
        <v>0.6296678</v>
      </c>
      <c r="F6718" t="s">
        <v>41</v>
      </c>
      <c r="G6718">
        <v>-331.89319999999998</v>
      </c>
      <c r="H6718">
        <v>7.9986379999999996E-2</v>
      </c>
      <c r="I6718">
        <v>7.1804449999999997</v>
      </c>
      <c r="J6718">
        <v>-346.77839999999998</v>
      </c>
      <c r="K6718">
        <v>1.120385</v>
      </c>
      <c r="L6718">
        <v>17.71292</v>
      </c>
      <c r="M6718">
        <v>0.99985290000000004</v>
      </c>
      <c r="N6718">
        <v>-8.5443840000000004E-3</v>
      </c>
      <c r="O6718">
        <v>-1.487174E-2</v>
      </c>
      <c r="P6718">
        <v>0.95559110000000003</v>
      </c>
      <c r="Q6718">
        <v>-0.1065108</v>
      </c>
      <c r="R6718">
        <v>-0.27477459999999998</v>
      </c>
      <c r="S6718">
        <v>2.596619</v>
      </c>
      <c r="T6718">
        <v>-0.17991209999999999</v>
      </c>
      <c r="U6718">
        <v>-1.8217159999999999</v>
      </c>
      <c r="V6718">
        <v>0.26057360000000002</v>
      </c>
      <c r="W6718">
        <v>-9.8198640000000004E-2</v>
      </c>
      <c r="X6718">
        <v>0.96044700000000005</v>
      </c>
      <c r="Y6718">
        <v>0.56105490000000002</v>
      </c>
      <c r="Z6718">
        <v>-1.931006E-2</v>
      </c>
      <c r="AA6718">
        <v>0.82755339999999999</v>
      </c>
      <c r="AB6718">
        <v>25</v>
      </c>
      <c r="AC6718">
        <v>14.8851999999999</v>
      </c>
      <c r="AD6718">
        <v>-1.0403986199999999</v>
      </c>
      <c r="AE6718">
        <v>-10.532475</v>
      </c>
      <c r="AF6718">
        <v>10.2764791186474</v>
      </c>
      <c r="AG6718">
        <v>-1.0403986199999999</v>
      </c>
      <c r="AH6718">
        <v>14.991392615440301</v>
      </c>
      <c r="AI6718">
        <v>93.276143916178995</v>
      </c>
      <c r="AJ6718">
        <v>55.569675884014501</v>
      </c>
      <c r="AK6718">
        <v>18.205227406291101</v>
      </c>
      <c r="AL6718">
        <v>95.635449537326906</v>
      </c>
      <c r="AM6718">
        <v>74.820783541425996</v>
      </c>
      <c r="AN6718">
        <v>1.0000000068618999</v>
      </c>
    </row>
    <row r="6719" spans="1:40" x14ac:dyDescent="0.25">
      <c r="A6719" t="str">
        <f>"20190303154943064"</f>
        <v>20190303154943064</v>
      </c>
      <c r="B6719" t="str">
        <f>"1551599383057173"</f>
        <v>1551599383057173</v>
      </c>
      <c r="C6719" t="s">
        <v>40</v>
      </c>
      <c r="D6719">
        <v>5.0707110000000002</v>
      </c>
      <c r="E6719">
        <v>0.62944239999999996</v>
      </c>
      <c r="F6719" t="s">
        <v>41</v>
      </c>
      <c r="G6719">
        <v>-331.82769999999999</v>
      </c>
      <c r="H6719">
        <v>7.9986399999999902E-2</v>
      </c>
      <c r="I6719">
        <v>7.2192399999999903</v>
      </c>
      <c r="J6719">
        <v>-346.66289999999998</v>
      </c>
      <c r="K6719">
        <v>1.1204270000000001</v>
      </c>
      <c r="L6719">
        <v>17.711359999999999</v>
      </c>
      <c r="M6719">
        <v>0.99985270000000004</v>
      </c>
      <c r="N6719">
        <v>-8.7761490000000004E-3</v>
      </c>
      <c r="O6719">
        <v>-1.474907E-2</v>
      </c>
      <c r="P6719">
        <v>0.95531509999999997</v>
      </c>
      <c r="Q6719">
        <v>-0.106838</v>
      </c>
      <c r="R6719">
        <v>-0.27560620000000002</v>
      </c>
      <c r="S6719">
        <v>2.5954899999999999</v>
      </c>
      <c r="T6719">
        <v>-0.1806159</v>
      </c>
      <c r="U6719">
        <v>-1.8217159999999999</v>
      </c>
      <c r="V6719">
        <v>0.2615265</v>
      </c>
      <c r="W6719">
        <v>-9.8306110000000002E-2</v>
      </c>
      <c r="X6719">
        <v>0.9601769</v>
      </c>
      <c r="Y6719">
        <v>0.56131239999999905</v>
      </c>
      <c r="Z6719">
        <v>-1.9471479999999999E-2</v>
      </c>
      <c r="AA6719">
        <v>0.82737490000000002</v>
      </c>
      <c r="AB6719">
        <v>25</v>
      </c>
      <c r="AC6719">
        <v>14.835199999999899</v>
      </c>
      <c r="AD6719">
        <v>-1.0404405999999999</v>
      </c>
      <c r="AE6719">
        <v>-10.49212</v>
      </c>
      <c r="AF6719">
        <v>10.238595666181601</v>
      </c>
      <c r="AG6719">
        <v>-1.0404405999999999</v>
      </c>
      <c r="AH6719">
        <v>14.939359690986</v>
      </c>
      <c r="AI6719">
        <v>93.287888765824107</v>
      </c>
      <c r="AJ6719">
        <v>55.575456390251098</v>
      </c>
      <c r="AK6719">
        <v>18.140998479530801</v>
      </c>
      <c r="AL6719">
        <v>95.641637429105501</v>
      </c>
      <c r="AM6719">
        <v>74.763762880814497</v>
      </c>
      <c r="AN6719">
        <v>0.99999994037959405</v>
      </c>
    </row>
    <row r="6720" spans="1:40" x14ac:dyDescent="0.25">
      <c r="A6720" t="str">
        <f>"20190303154943075"</f>
        <v>20190303154943075</v>
      </c>
      <c r="B6720" t="str">
        <f>"1551599383067910"</f>
        <v>1551599383067910</v>
      </c>
      <c r="C6720" t="s">
        <v>40</v>
      </c>
      <c r="D6720">
        <v>5.1046589999999998</v>
      </c>
      <c r="E6720">
        <v>0.62920489999999996</v>
      </c>
      <c r="F6720" t="s">
        <v>41</v>
      </c>
      <c r="G6720">
        <v>-331.68689999999998</v>
      </c>
      <c r="H6720">
        <v>7.9986450000000001E-2</v>
      </c>
      <c r="I6720">
        <v>7.1924729999999997</v>
      </c>
      <c r="J6720">
        <v>-346.54239999999999</v>
      </c>
      <c r="K6720">
        <v>1.1204700000000001</v>
      </c>
      <c r="L6720">
        <v>17.709720000000001</v>
      </c>
      <c r="M6720">
        <v>0.99985239999999997</v>
      </c>
      <c r="N6720">
        <v>-9.0320460000000002E-3</v>
      </c>
      <c r="O6720">
        <v>-1.462142E-2</v>
      </c>
      <c r="P6720">
        <v>0.95496590000000003</v>
      </c>
      <c r="Q6720">
        <v>-0.1072973</v>
      </c>
      <c r="R6720">
        <v>-0.27663589999999999</v>
      </c>
      <c r="S6720">
        <v>2.5944210000000001</v>
      </c>
      <c r="T6720">
        <v>-0.1802446</v>
      </c>
      <c r="U6720">
        <v>-1.8222659999999999</v>
      </c>
      <c r="V6720">
        <v>0.26268340000000001</v>
      </c>
      <c r="W6720">
        <v>-9.8523940000000004E-2</v>
      </c>
      <c r="X6720">
        <v>0.95983870000000004</v>
      </c>
      <c r="Y6720">
        <v>0.5616932</v>
      </c>
      <c r="Z6720">
        <v>-1.9545449999999999E-2</v>
      </c>
      <c r="AA6720">
        <v>0.82711469999999898</v>
      </c>
      <c r="AB6720">
        <v>25</v>
      </c>
      <c r="AC6720">
        <v>14.855499999999999</v>
      </c>
      <c r="AD6720">
        <v>-1.04048355</v>
      </c>
      <c r="AE6720">
        <v>-10.517246999999999</v>
      </c>
      <c r="AF6720">
        <v>10.2653604728291</v>
      </c>
      <c r="AG6720">
        <v>-1.04048355</v>
      </c>
      <c r="AH6720">
        <v>14.958813258309499</v>
      </c>
      <c r="AI6720">
        <v>93.282385512804794</v>
      </c>
      <c r="AJ6720">
        <v>55.540464240541702</v>
      </c>
      <c r="AK6720">
        <v>18.1721304681625</v>
      </c>
      <c r="AL6720">
        <v>95.654179096919194</v>
      </c>
      <c r="AM6720">
        <v>74.6943773134075</v>
      </c>
      <c r="AN6720">
        <v>0.99999993270318399</v>
      </c>
    </row>
    <row r="6721" spans="1:40" x14ac:dyDescent="0.25">
      <c r="A6721" t="str">
        <f>"20190303154943086"</f>
        <v>20190303154943086</v>
      </c>
      <c r="B6721" t="str">
        <f>"1551599383077669"</f>
        <v>1551599383077669</v>
      </c>
      <c r="C6721" t="s">
        <v>40</v>
      </c>
      <c r="D6721">
        <v>5.1253320000000002</v>
      </c>
      <c r="E6721">
        <v>0.62904389999999999</v>
      </c>
      <c r="F6721" t="s">
        <v>41</v>
      </c>
      <c r="G6721">
        <v>-331.6157</v>
      </c>
      <c r="H6721">
        <v>7.9986459999999995E-2</v>
      </c>
      <c r="I6721">
        <v>7.212097</v>
      </c>
      <c r="J6721">
        <v>-346.42610000000002</v>
      </c>
      <c r="K6721">
        <v>1.120514</v>
      </c>
      <c r="L6721">
        <v>17.708159999999999</v>
      </c>
      <c r="M6721">
        <v>0.99985170000000001</v>
      </c>
      <c r="N6721">
        <v>-9.288793E-3</v>
      </c>
      <c r="O6721">
        <v>-1.449834E-2</v>
      </c>
      <c r="P6721">
        <v>0.95463480000000001</v>
      </c>
      <c r="Q6721">
        <v>-0.1074384</v>
      </c>
      <c r="R6721">
        <v>-0.27772190000000002</v>
      </c>
      <c r="S6721">
        <v>2.5928960000000001</v>
      </c>
      <c r="T6721">
        <v>-0.18074129999999999</v>
      </c>
      <c r="U6721">
        <v>-1.8235170000000001</v>
      </c>
      <c r="V6721">
        <v>0.2638913</v>
      </c>
      <c r="W6721">
        <v>-9.8423029999999995E-2</v>
      </c>
      <c r="X6721">
        <v>0.95951770000000003</v>
      </c>
      <c r="Y6721">
        <v>0.56227869999999902</v>
      </c>
      <c r="Z6721">
        <v>-1.9708469999999999E-2</v>
      </c>
      <c r="AA6721">
        <v>0.82671289999999997</v>
      </c>
      <c r="AB6721">
        <v>25</v>
      </c>
      <c r="AC6721">
        <v>14.8104</v>
      </c>
      <c r="AD6721">
        <v>-1.04052754</v>
      </c>
      <c r="AE6721">
        <v>-10.496062999999999</v>
      </c>
      <c r="AF6721">
        <v>10.2465568144609</v>
      </c>
      <c r="AG6721">
        <v>-1.04052754</v>
      </c>
      <c r="AH6721">
        <v>14.912028392197101</v>
      </c>
      <c r="AI6721">
        <v>93.291432541976206</v>
      </c>
      <c r="AJ6721">
        <v>55.505731990525298</v>
      </c>
      <c r="AK6721">
        <v>18.123002369452099</v>
      </c>
      <c r="AL6721">
        <v>95.648368964742701</v>
      </c>
      <c r="AM6721">
        <v>74.622420151772602</v>
      </c>
      <c r="AN6721">
        <v>0.999999963831679</v>
      </c>
    </row>
    <row r="6722" spans="1:40" x14ac:dyDescent="0.25">
      <c r="A6722" t="str">
        <f>"20190303154943098"</f>
        <v>20190303154943098</v>
      </c>
      <c r="B6722" t="str">
        <f>"1551599383087430"</f>
        <v>1551599383087430</v>
      </c>
      <c r="C6722" t="s">
        <v>40</v>
      </c>
      <c r="D6722">
        <v>5.0963599999999998</v>
      </c>
      <c r="E6722">
        <v>0.62887019999999905</v>
      </c>
      <c r="F6722" t="s">
        <v>41</v>
      </c>
      <c r="G6722">
        <v>-331.48849999999999</v>
      </c>
      <c r="H6722">
        <v>7.9986509999999997E-2</v>
      </c>
      <c r="I6722">
        <v>7.1871309999999999</v>
      </c>
      <c r="J6722">
        <v>-346.29939999999999</v>
      </c>
      <c r="K6722">
        <v>1.1205620000000001</v>
      </c>
      <c r="L6722">
        <v>17.70645</v>
      </c>
      <c r="M6722">
        <v>0.99985109999999999</v>
      </c>
      <c r="N6722">
        <v>-9.5781359999999992E-3</v>
      </c>
      <c r="O6722">
        <v>-1.4363890000000001E-2</v>
      </c>
      <c r="P6722">
        <v>0.95432499999999998</v>
      </c>
      <c r="Q6722">
        <v>-0.10768270000000001</v>
      </c>
      <c r="R6722">
        <v>-0.27869129999999998</v>
      </c>
      <c r="S6722">
        <v>2.591278</v>
      </c>
      <c r="T6722">
        <v>-0.18050369999999999</v>
      </c>
      <c r="U6722">
        <v>-1.8251040000000001</v>
      </c>
      <c r="V6722">
        <v>0.26499299999999998</v>
      </c>
      <c r="W6722">
        <v>-9.8394529999999994E-2</v>
      </c>
      <c r="X6722">
        <v>0.95921699999999999</v>
      </c>
      <c r="Y6722">
        <v>0.56296590000000002</v>
      </c>
      <c r="Z6722">
        <v>-1.9818769999999999E-2</v>
      </c>
      <c r="AA6722">
        <v>0.82624249999999899</v>
      </c>
      <c r="AB6722">
        <v>25</v>
      </c>
      <c r="AC6722">
        <v>14.8109</v>
      </c>
      <c r="AD6722">
        <v>-1.0405754899999999</v>
      </c>
      <c r="AE6722">
        <v>-10.519318999999999</v>
      </c>
      <c r="AF6722">
        <v>10.2717799142541</v>
      </c>
      <c r="AG6722">
        <v>-1.0405754899999999</v>
      </c>
      <c r="AH6722">
        <v>14.911552076163</v>
      </c>
      <c r="AI6722">
        <v>93.289061876553802</v>
      </c>
      <c r="AJ6722">
        <v>55.439097801784399</v>
      </c>
      <c r="AK6722">
        <v>18.136886317044201</v>
      </c>
      <c r="AL6722">
        <v>95.646727789743196</v>
      </c>
      <c r="AM6722">
        <v>74.556669440146706</v>
      </c>
      <c r="AN6722">
        <v>1.0000000133359599</v>
      </c>
    </row>
    <row r="6723" spans="1:40" x14ac:dyDescent="0.25">
      <c r="A6723" t="str">
        <f>"20190303154943109"</f>
        <v>20190303154943109</v>
      </c>
      <c r="B6723" t="str">
        <f>"1551599383097192"</f>
        <v>1551599383097192</v>
      </c>
      <c r="C6723" t="s">
        <v>40</v>
      </c>
      <c r="D6723">
        <v>5.0946389999999999</v>
      </c>
      <c r="E6723">
        <v>0.62864569999999997</v>
      </c>
      <c r="F6723" t="s">
        <v>41</v>
      </c>
      <c r="G6723">
        <v>-331.4314</v>
      </c>
      <c r="H6723">
        <v>7.9986509999999997E-2</v>
      </c>
      <c r="I6723">
        <v>7.2201610000000001</v>
      </c>
      <c r="J6723">
        <v>-346.17610000000002</v>
      </c>
      <c r="K6723">
        <v>1.120609</v>
      </c>
      <c r="L6723">
        <v>17.704829999999902</v>
      </c>
      <c r="M6723">
        <v>0.99985000000000002</v>
      </c>
      <c r="N6723">
        <v>-9.8635549999999995E-3</v>
      </c>
      <c r="O6723">
        <v>-1.423291E-2</v>
      </c>
      <c r="P6723">
        <v>0.95411469999999998</v>
      </c>
      <c r="Q6723">
        <v>-0.1073703</v>
      </c>
      <c r="R6723">
        <v>-0.27952929999999998</v>
      </c>
      <c r="S6723">
        <v>2.5897519999999998</v>
      </c>
      <c r="T6723">
        <v>-0.18124950000000001</v>
      </c>
      <c r="U6723">
        <v>-1.826508</v>
      </c>
      <c r="V6723">
        <v>0.26595859999999999</v>
      </c>
      <c r="W6723">
        <v>-9.7812250000000003E-2</v>
      </c>
      <c r="X6723">
        <v>0.95900929999999995</v>
      </c>
      <c r="Y6723">
        <v>0.563586699999999</v>
      </c>
      <c r="Z6723">
        <v>-2.0016220000000001E-2</v>
      </c>
      <c r="AA6723">
        <v>0.82581439999999995</v>
      </c>
      <c r="AB6723">
        <v>25</v>
      </c>
      <c r="AC6723">
        <v>14.7447</v>
      </c>
      <c r="AD6723">
        <v>-1.0406224900000001</v>
      </c>
      <c r="AE6723">
        <v>-10.484668999999901</v>
      </c>
      <c r="AF6723">
        <v>10.239860927585401</v>
      </c>
      <c r="AG6723">
        <v>-1.0406224900000001</v>
      </c>
      <c r="AH6723">
        <v>14.843335883240201</v>
      </c>
      <c r="AI6723">
        <v>93.302729093945999</v>
      </c>
      <c r="AJ6723">
        <v>55.399661611432997</v>
      </c>
      <c r="AK6723">
        <v>18.062731441442399</v>
      </c>
      <c r="AL6723">
        <v>95.6132038240535</v>
      </c>
      <c r="AM6723">
        <v>74.499901075641006</v>
      </c>
      <c r="AN6723">
        <v>1.0000000253252499</v>
      </c>
    </row>
    <row r="6724" spans="1:40" x14ac:dyDescent="0.25">
      <c r="A6724" t="str">
        <f>"20190303154943121"</f>
        <v>20190303154943121</v>
      </c>
      <c r="B6724" t="str">
        <f>"1551599383117685"</f>
        <v>1551599383117685</v>
      </c>
      <c r="C6724" t="s">
        <v>40</v>
      </c>
      <c r="D6724">
        <v>5.1446769999999997</v>
      </c>
      <c r="E6724">
        <v>0.62847390000000003</v>
      </c>
      <c r="F6724" t="s">
        <v>41</v>
      </c>
      <c r="G6724">
        <v>-331.19199999999898</v>
      </c>
      <c r="H6724">
        <v>7.9986589999999996E-2</v>
      </c>
      <c r="I6724">
        <v>7.128285</v>
      </c>
      <c r="J6724">
        <v>-346.04759999999999</v>
      </c>
      <c r="K6724">
        <v>1.120655</v>
      </c>
      <c r="L6724">
        <v>17.70316</v>
      </c>
      <c r="M6724">
        <v>0.99984910000000005</v>
      </c>
      <c r="N6724">
        <v>-1.0162020000000001E-2</v>
      </c>
      <c r="O6724">
        <v>-1.409668E-2</v>
      </c>
      <c r="P6724">
        <v>0.95394089999999998</v>
      </c>
      <c r="Q6724">
        <v>-0.10686420000000001</v>
      </c>
      <c r="R6724">
        <v>-0.28031620000000002</v>
      </c>
      <c r="S6724">
        <v>2.5886840000000002</v>
      </c>
      <c r="T6724">
        <v>-0.17977979999999999</v>
      </c>
      <c r="U6724">
        <v>-1.8272090000000001</v>
      </c>
      <c r="V6724">
        <v>0.26687739999999999</v>
      </c>
      <c r="W6724">
        <v>-9.7023540000000005E-2</v>
      </c>
      <c r="X6724">
        <v>0.95883419999999997</v>
      </c>
      <c r="Y6724">
        <v>0.56401780000000001</v>
      </c>
      <c r="Z6724">
        <v>-2.0004359999999999E-2</v>
      </c>
      <c r="AA6724">
        <v>0.82552029999999998</v>
      </c>
      <c r="AB6724">
        <v>25</v>
      </c>
      <c r="AC6724">
        <v>14.855600000000001</v>
      </c>
      <c r="AD6724">
        <v>-1.0406684100000001</v>
      </c>
      <c r="AE6724">
        <v>-10.574875</v>
      </c>
      <c r="AF6724">
        <v>10.3307519636466</v>
      </c>
      <c r="AG6724">
        <v>-1.0406684100000001</v>
      </c>
      <c r="AH6724">
        <v>14.9544960124589</v>
      </c>
      <c r="AI6724">
        <v>93.2769247474465</v>
      </c>
      <c r="AJ6724">
        <v>55.362800818744702</v>
      </c>
      <c r="AK6724">
        <v>18.205613910566399</v>
      </c>
      <c r="AL6724">
        <v>95.567797859116396</v>
      </c>
      <c r="AM6724">
        <v>74.446238088226295</v>
      </c>
      <c r="AN6724">
        <v>1.0000000685172601</v>
      </c>
    </row>
    <row r="6725" spans="1:40" x14ac:dyDescent="0.25">
      <c r="A6725" t="str">
        <f>"20190303154943133"</f>
        <v>20190303154943133</v>
      </c>
      <c r="B6725" t="str">
        <f>"1551599383127446"</f>
        <v>1551599383127446</v>
      </c>
      <c r="C6725" t="s">
        <v>40</v>
      </c>
      <c r="D6725">
        <v>5.2342529999999998</v>
      </c>
      <c r="E6725">
        <v>0.60485859999999902</v>
      </c>
      <c r="F6725" t="s">
        <v>41</v>
      </c>
      <c r="G6725">
        <v>-331.01229999999998</v>
      </c>
      <c r="H6725">
        <v>7.9986650000000006E-2</v>
      </c>
      <c r="I6725">
        <v>7.0828110000000004</v>
      </c>
      <c r="J6725">
        <v>-345.90800000000002</v>
      </c>
      <c r="K6725">
        <v>1.1206989999999999</v>
      </c>
      <c r="L6725">
        <v>17.701350000000001</v>
      </c>
      <c r="M6725">
        <v>0.99984799999999996</v>
      </c>
      <c r="N6725">
        <v>-1.047476E-2</v>
      </c>
      <c r="O6725">
        <v>-1.394983E-2</v>
      </c>
      <c r="P6725">
        <v>0.95374740000000002</v>
      </c>
      <c r="Q6725">
        <v>-0.1066594</v>
      </c>
      <c r="R6725">
        <v>-0.28105210000000003</v>
      </c>
      <c r="S6725">
        <v>2.5876769999999998</v>
      </c>
      <c r="T6725">
        <v>-0.17910609999999999</v>
      </c>
      <c r="U6725">
        <v>-1.82782</v>
      </c>
      <c r="V6725">
        <v>0.26775569999999999</v>
      </c>
      <c r="W6725">
        <v>-9.6522150000000001E-2</v>
      </c>
      <c r="X6725">
        <v>0.95863989999999999</v>
      </c>
      <c r="Y6725">
        <v>0.56442009999999998</v>
      </c>
      <c r="Z6725">
        <v>-2.007012E-2</v>
      </c>
      <c r="AA6725">
        <v>0.82524370000000002</v>
      </c>
      <c r="AB6725">
        <v>24</v>
      </c>
      <c r="AC6725">
        <v>14.8957</v>
      </c>
      <c r="AD6725">
        <v>-1.04071235</v>
      </c>
      <c r="AE6725">
        <v>-10.618539</v>
      </c>
      <c r="AF6725">
        <v>10.37611841793</v>
      </c>
      <c r="AG6725">
        <v>-1.04071235</v>
      </c>
      <c r="AH6725">
        <v>14.993856158383901</v>
      </c>
      <c r="AI6725">
        <v>93.2666300110576</v>
      </c>
      <c r="AJ6725">
        <v>55.315809776200098</v>
      </c>
      <c r="AK6725">
        <v>18.263697274009399</v>
      </c>
      <c r="AL6725">
        <v>95.538934969140399</v>
      </c>
      <c r="AM6725">
        <v>74.394531520156207</v>
      </c>
      <c r="AN6725">
        <v>1.00000004909756</v>
      </c>
    </row>
    <row r="6726" spans="1:40" x14ac:dyDescent="0.25">
      <c r="A6726" t="str">
        <f>"20190303154943277"</f>
        <v>20190303154943277</v>
      </c>
      <c r="B6726" t="str">
        <f>"1551599383267015"</f>
        <v>1551599383267015</v>
      </c>
      <c r="C6726" t="s">
        <v>40</v>
      </c>
      <c r="D6726">
        <v>5.1644940000000004</v>
      </c>
      <c r="E6726">
        <v>0.59702929999999999</v>
      </c>
      <c r="F6726" t="s">
        <v>41</v>
      </c>
      <c r="G6726">
        <v>-330.5376</v>
      </c>
      <c r="H6726">
        <v>7.9986740000000001E-2</v>
      </c>
      <c r="I6726">
        <v>8.0965629999999997</v>
      </c>
      <c r="J6726">
        <v>-344.34710000000001</v>
      </c>
      <c r="K6726">
        <v>1.1208659999999999</v>
      </c>
      <c r="L6726">
        <v>17.68262</v>
      </c>
      <c r="M6726">
        <v>0.99983949999999999</v>
      </c>
      <c r="N6726">
        <v>-1.2994550000000001E-2</v>
      </c>
      <c r="O6726">
        <v>-1.2340810000000001E-2</v>
      </c>
      <c r="P6726">
        <v>0.95187829999999996</v>
      </c>
      <c r="Q6726">
        <v>-0.1135</v>
      </c>
      <c r="R6726">
        <v>-0.28468579999999999</v>
      </c>
      <c r="S6726">
        <v>2.639465</v>
      </c>
      <c r="T6726">
        <v>-0.17871479999999901</v>
      </c>
      <c r="U6726">
        <v>-1.6493529999999901</v>
      </c>
      <c r="V6726">
        <v>0.27295269999999999</v>
      </c>
      <c r="W6726">
        <v>-0.1009772</v>
      </c>
      <c r="X6726">
        <v>0.95671340000000005</v>
      </c>
      <c r="Y6726">
        <v>0.51836789999999999</v>
      </c>
      <c r="Z6726">
        <v>-1.9121989999999998E-2</v>
      </c>
      <c r="AA6726">
        <v>0.85494389999999998</v>
      </c>
      <c r="AB6726">
        <v>24</v>
      </c>
      <c r="AC6726">
        <v>13.8095</v>
      </c>
      <c r="AD6726">
        <v>-1.0408792600000001</v>
      </c>
      <c r="AE6726">
        <v>-9.5860570000000003</v>
      </c>
      <c r="AF6726">
        <v>9.3789345522340302</v>
      </c>
      <c r="AG6726">
        <v>-1.0408792600000001</v>
      </c>
      <c r="AH6726">
        <v>13.8735685467375</v>
      </c>
      <c r="AI6726">
        <v>93.556676981083598</v>
      </c>
      <c r="AJ6726">
        <v>55.940166549175203</v>
      </c>
      <c r="AK6726">
        <v>16.778669410594301</v>
      </c>
      <c r="AL6726">
        <v>95.795444470007297</v>
      </c>
      <c r="AM6726">
        <v>74.076420780259497</v>
      </c>
      <c r="AN6726">
        <v>1.00000005054834</v>
      </c>
    </row>
    <row r="6727" spans="1:40" x14ac:dyDescent="0.25">
      <c r="A6727" t="str">
        <f>"20190303154943389"</f>
        <v>20190303154943389</v>
      </c>
      <c r="B6727" t="str">
        <f>"1551599383377302"</f>
        <v>1551599383377302</v>
      </c>
      <c r="C6727" t="s">
        <v>40</v>
      </c>
      <c r="D6727">
        <v>5.1817359999999999</v>
      </c>
      <c r="E6727">
        <v>0.59451750000000003</v>
      </c>
      <c r="F6727" t="s">
        <v>41</v>
      </c>
      <c r="G6727">
        <v>-329.11340000000001</v>
      </c>
      <c r="H6727">
        <v>7.9985609999999999E-2</v>
      </c>
      <c r="I6727">
        <v>8.4924660000000003</v>
      </c>
      <c r="J6727">
        <v>-343.15589999999997</v>
      </c>
      <c r="K6727">
        <v>1.1209720000000001</v>
      </c>
      <c r="L6727">
        <v>17.670100000000001</v>
      </c>
      <c r="M6727">
        <v>0.99984200000000001</v>
      </c>
      <c r="N6727">
        <v>-1.3890889999999999E-2</v>
      </c>
      <c r="O6727">
        <v>-1.1103490000000001E-2</v>
      </c>
      <c r="P6727">
        <v>0.95623630000000004</v>
      </c>
      <c r="Q6727">
        <v>-0.1040917</v>
      </c>
      <c r="R6727">
        <v>-0.273455</v>
      </c>
      <c r="S6727">
        <v>2.6516419999999998</v>
      </c>
      <c r="T6727">
        <v>-0.18117939999999999</v>
      </c>
      <c r="U6727">
        <v>-1.5996699999999999</v>
      </c>
      <c r="V6727">
        <v>0.26285140000000001</v>
      </c>
      <c r="W6727">
        <v>-9.0664410000000001E-2</v>
      </c>
      <c r="X6727">
        <v>0.96056710000000001</v>
      </c>
      <c r="Y6727">
        <v>0.50593920000000003</v>
      </c>
      <c r="Z6727">
        <v>-1.9165229999999998E-2</v>
      </c>
      <c r="AA6727">
        <v>0.86235620000000002</v>
      </c>
      <c r="AB6727">
        <v>24</v>
      </c>
      <c r="AC6727">
        <v>14.042499999999899</v>
      </c>
      <c r="AD6727">
        <v>-1.04098638999999</v>
      </c>
      <c r="AE6727">
        <v>-9.1776339999999994</v>
      </c>
      <c r="AF6727">
        <v>8.9865283792019497</v>
      </c>
      <c r="AG6727">
        <v>-1.04098638999999</v>
      </c>
      <c r="AH6727">
        <v>14.089294829218201</v>
      </c>
      <c r="AI6727">
        <v>93.564494225561305</v>
      </c>
      <c r="AJ6727">
        <v>57.469182015195202</v>
      </c>
      <c r="AK6727">
        <v>16.743642786413101</v>
      </c>
      <c r="AL6727">
        <v>95.201831129260896</v>
      </c>
      <c r="AM6727">
        <v>74.696116687738893</v>
      </c>
      <c r="AN6727">
        <v>1.0000000236625</v>
      </c>
    </row>
    <row r="6728" spans="1:40" x14ac:dyDescent="0.25">
      <c r="A6728" t="str">
        <f>"20190303154943399"</f>
        <v>20190303154943399</v>
      </c>
      <c r="B6728" t="str">
        <f>"1551599383387063"</f>
        <v>1551599383387063</v>
      </c>
      <c r="C6728" t="s">
        <v>40</v>
      </c>
      <c r="D6728">
        <v>5.1624109999999996</v>
      </c>
      <c r="E6728">
        <v>0.59284689999999995</v>
      </c>
      <c r="F6728" t="s">
        <v>41</v>
      </c>
      <c r="G6728">
        <v>-324.2167</v>
      </c>
      <c r="H6728">
        <v>7.9985470000000003E-2</v>
      </c>
      <c r="I6728">
        <v>6.7205159999999999</v>
      </c>
      <c r="J6728">
        <v>-343.03559999999999</v>
      </c>
      <c r="K6728">
        <v>1.1209830000000001</v>
      </c>
      <c r="L6728">
        <v>17.668879999999898</v>
      </c>
      <c r="M6728">
        <v>0.99984249999999997</v>
      </c>
      <c r="N6728">
        <v>-1.395157E-2</v>
      </c>
      <c r="O6728">
        <v>-1.0978389999999999E-2</v>
      </c>
      <c r="P6728">
        <v>0.95655570000000001</v>
      </c>
      <c r="Q6728">
        <v>-0.10327359999999999</v>
      </c>
      <c r="R6728">
        <v>-0.27264660000000002</v>
      </c>
      <c r="S6728">
        <v>2.678436</v>
      </c>
      <c r="T6728">
        <v>-0.1472193</v>
      </c>
      <c r="U6728">
        <v>-1.5485230000000001</v>
      </c>
      <c r="V6728">
        <v>0.26215929999999998</v>
      </c>
      <c r="W6728">
        <v>-8.9784729999999993E-2</v>
      </c>
      <c r="X6728">
        <v>0.96083879999999999</v>
      </c>
      <c r="Y6728">
        <v>0.4902552</v>
      </c>
      <c r="Z6728">
        <v>-1.574791E-2</v>
      </c>
      <c r="AA6728">
        <v>0.87143669999999995</v>
      </c>
      <c r="AB6728">
        <v>24</v>
      </c>
      <c r="AC6728">
        <v>18.8188999999999</v>
      </c>
      <c r="AD6728">
        <v>-1.0409975300000001</v>
      </c>
      <c r="AE6728">
        <v>-10.9483639999999</v>
      </c>
      <c r="AF6728">
        <v>10.7165830380284</v>
      </c>
      <c r="AG6728">
        <v>-1.0409975300000001</v>
      </c>
      <c r="AH6728">
        <v>18.894776460944001</v>
      </c>
      <c r="AI6728">
        <v>92.743687570865703</v>
      </c>
      <c r="AJ6728">
        <v>60.439318233512203</v>
      </c>
      <c r="AK6728">
        <v>21.747216037402701</v>
      </c>
      <c r="AL6728">
        <v>95.151222901340603</v>
      </c>
      <c r="AM6728">
        <v>74.738645501323006</v>
      </c>
      <c r="AN6728">
        <v>0.99999999795155103</v>
      </c>
    </row>
    <row r="6729" spans="1:40" x14ac:dyDescent="0.25">
      <c r="A6729" t="str">
        <f>"20190303154943412"</f>
        <v>20190303154943412</v>
      </c>
      <c r="B6729" t="str">
        <f>"1551599383407558"</f>
        <v>1551599383407558</v>
      </c>
      <c r="C6729" t="s">
        <v>40</v>
      </c>
      <c r="D6729">
        <v>5.2171580000000004</v>
      </c>
      <c r="E6729">
        <v>0.59190929999999997</v>
      </c>
      <c r="F6729" t="s">
        <v>41</v>
      </c>
      <c r="G6729">
        <v>-323.4939</v>
      </c>
      <c r="H6729">
        <v>7.9985650000000005E-2</v>
      </c>
      <c r="I6729">
        <v>6.5029409999999999</v>
      </c>
      <c r="J6729">
        <v>-342.90859999999998</v>
      </c>
      <c r="K6729">
        <v>1.1209929999999999</v>
      </c>
      <c r="L6729">
        <v>17.66769</v>
      </c>
      <c r="M6729">
        <v>0.99984309999999998</v>
      </c>
      <c r="N6729">
        <v>-1.400791E-2</v>
      </c>
      <c r="O6729">
        <v>-1.0846099999999999E-2</v>
      </c>
      <c r="P6729">
        <v>0.95684849999999999</v>
      </c>
      <c r="Q6729">
        <v>-0.1019708</v>
      </c>
      <c r="R6729">
        <v>-0.27210879999999998</v>
      </c>
      <c r="S6729">
        <v>2.683716</v>
      </c>
      <c r="T6729">
        <v>-0.1429628</v>
      </c>
      <c r="U6729">
        <v>-1.533447</v>
      </c>
      <c r="V6729">
        <v>0.2617447</v>
      </c>
      <c r="W6729">
        <v>-8.842477E-2</v>
      </c>
      <c r="X6729">
        <v>0.96107790000000004</v>
      </c>
      <c r="Y6729">
        <v>0.48598160000000001</v>
      </c>
      <c r="Z6729">
        <v>-1.527598E-2</v>
      </c>
      <c r="AA6729">
        <v>0.87383549999999999</v>
      </c>
      <c r="AB6729">
        <v>24</v>
      </c>
      <c r="AC6729">
        <v>19.4146999999999</v>
      </c>
      <c r="AD6729">
        <v>-1.0410073500000001</v>
      </c>
      <c r="AE6729">
        <v>-11.164749</v>
      </c>
      <c r="AF6729">
        <v>10.929883099829899</v>
      </c>
      <c r="AG6729">
        <v>-1.0410073500000001</v>
      </c>
      <c r="AH6729">
        <v>19.492548912857099</v>
      </c>
      <c r="AI6729">
        <v>92.667035807966101</v>
      </c>
      <c r="AJ6729">
        <v>60.719731669562101</v>
      </c>
      <c r="AK6729">
        <v>22.371980332523801</v>
      </c>
      <c r="AL6729">
        <v>95.072991840424706</v>
      </c>
      <c r="AM6729">
        <v>74.765272921083806</v>
      </c>
      <c r="AN6729">
        <v>0.99999997889802605</v>
      </c>
    </row>
    <row r="6730" spans="1:40" x14ac:dyDescent="0.25">
      <c r="A6730" t="str">
        <f>"20190303154943423"</f>
        <v>20190303154943423</v>
      </c>
      <c r="B6730" t="str">
        <f>"1551599383417319"</f>
        <v>1551599383417319</v>
      </c>
      <c r="C6730" t="s">
        <v>40</v>
      </c>
      <c r="D6730">
        <v>5.2511989999999997</v>
      </c>
      <c r="E6730">
        <v>0.59014060000000002</v>
      </c>
      <c r="F6730" t="s">
        <v>41</v>
      </c>
      <c r="G6730">
        <v>-321.89510000000001</v>
      </c>
      <c r="H6730">
        <v>7.9986089999999996E-2</v>
      </c>
      <c r="I6730">
        <v>5.7461190000000002</v>
      </c>
      <c r="J6730">
        <v>-342.7869</v>
      </c>
      <c r="K6730">
        <v>1.1210009999999999</v>
      </c>
      <c r="L6730">
        <v>17.666529999999899</v>
      </c>
      <c r="M6730">
        <v>0.99984379999999995</v>
      </c>
      <c r="N6730">
        <v>-1.4059790000000001E-2</v>
      </c>
      <c r="O6730">
        <v>-1.071951E-2</v>
      </c>
      <c r="P6730">
        <v>0.95708369999999998</v>
      </c>
      <c r="Q6730">
        <v>-0.1008853</v>
      </c>
      <c r="R6730">
        <v>-0.2716866</v>
      </c>
      <c r="S6730">
        <v>2.6875309999999999</v>
      </c>
      <c r="T6730">
        <v>-0.13314039999999999</v>
      </c>
      <c r="U6730">
        <v>-1.5247189999999999</v>
      </c>
      <c r="V6730">
        <v>0.26144079999999997</v>
      </c>
      <c r="W6730">
        <v>-8.7287139999999999E-2</v>
      </c>
      <c r="X6730">
        <v>0.96126460000000002</v>
      </c>
      <c r="Y6730">
        <v>0.48349409999999998</v>
      </c>
      <c r="Z6730">
        <v>-1.4421349999999999E-2</v>
      </c>
      <c r="AA6730">
        <v>0.87522880000000003</v>
      </c>
      <c r="AB6730">
        <v>24</v>
      </c>
      <c r="AC6730">
        <v>20.8917999999999</v>
      </c>
      <c r="AD6730">
        <v>-1.0410149099999999</v>
      </c>
      <c r="AE6730">
        <v>-11.9204109999999</v>
      </c>
      <c r="AF6730">
        <v>11.6738875422535</v>
      </c>
      <c r="AG6730">
        <v>-1.0410149099999999</v>
      </c>
      <c r="AH6730">
        <v>20.9790968768996</v>
      </c>
      <c r="AI6730">
        <v>92.482817674583501</v>
      </c>
      <c r="AJ6730">
        <v>60.906105578307503</v>
      </c>
      <c r="AK6730">
        <v>24.030935648916401</v>
      </c>
      <c r="AL6730">
        <v>95.007557389811197</v>
      </c>
      <c r="AM6730">
        <v>74.784959264526407</v>
      </c>
      <c r="AN6730">
        <v>0.99999998396358902</v>
      </c>
    </row>
    <row r="6731" spans="1:40" x14ac:dyDescent="0.25">
      <c r="A6731" t="str">
        <f>"20190303154943435"</f>
        <v>20190303154943435</v>
      </c>
      <c r="B6731" t="str">
        <f>"1551599383427078"</f>
        <v>1551599383427078</v>
      </c>
      <c r="C6731" t="s">
        <v>40</v>
      </c>
      <c r="D6731">
        <v>5.2360449999999998</v>
      </c>
      <c r="E6731">
        <v>0.59014060000000002</v>
      </c>
      <c r="F6731" t="s">
        <v>41</v>
      </c>
      <c r="G6731">
        <v>-321.93439999999998</v>
      </c>
      <c r="H6731">
        <v>7.9986070000000006E-2</v>
      </c>
      <c r="I6731">
        <v>5.9709059999999896</v>
      </c>
      <c r="J6731">
        <v>-342.64769999999999</v>
      </c>
      <c r="K6731">
        <v>1.121016</v>
      </c>
      <c r="L6731">
        <v>17.665189999999999</v>
      </c>
      <c r="M6731">
        <v>0.99984470000000003</v>
      </c>
      <c r="N6731">
        <v>-1.4113240000000001E-2</v>
      </c>
      <c r="O6731">
        <v>-1.0574800000000001E-2</v>
      </c>
      <c r="P6731">
        <v>0.95730559999999998</v>
      </c>
      <c r="Q6731">
        <v>-9.9791149999999995E-2</v>
      </c>
      <c r="R6731">
        <v>-0.27130900000000002</v>
      </c>
      <c r="S6731">
        <v>2.6918030000000002</v>
      </c>
      <c r="T6731">
        <v>-0.13438259999999999</v>
      </c>
      <c r="U6731">
        <v>-1.5097659999999999</v>
      </c>
      <c r="V6731">
        <v>0.26119930000000002</v>
      </c>
      <c r="W6731">
        <v>-8.6139469999999996E-2</v>
      </c>
      <c r="X6731">
        <v>0.96143380000000001</v>
      </c>
      <c r="Y6731">
        <v>0.47932390000000002</v>
      </c>
      <c r="Z6731">
        <v>-1.4405670000000001E-2</v>
      </c>
      <c r="AA6731">
        <v>0.87751979999999996</v>
      </c>
      <c r="AB6731">
        <v>24</v>
      </c>
      <c r="AC6731">
        <v>20.7133</v>
      </c>
      <c r="AD6731">
        <v>-1.0410299300000001</v>
      </c>
      <c r="AE6731">
        <v>-11.694284</v>
      </c>
      <c r="AF6731">
        <v>11.4526325238374</v>
      </c>
      <c r="AG6731">
        <v>-1.0410299300000001</v>
      </c>
      <c r="AH6731">
        <v>20.7959853922655</v>
      </c>
      <c r="AI6731">
        <v>92.510778753758402</v>
      </c>
      <c r="AJ6731">
        <v>61.157823959442901</v>
      </c>
      <c r="AK6731">
        <v>23.7638284684209</v>
      </c>
      <c r="AL6731">
        <v>94.941551951544199</v>
      </c>
      <c r="AM6731">
        <v>74.800914717640396</v>
      </c>
      <c r="AN6731">
        <v>1.0000000171973999</v>
      </c>
    </row>
    <row r="6732" spans="1:40" x14ac:dyDescent="0.25">
      <c r="A6732" t="str">
        <f>"20190303154943455"</f>
        <v>20190303154943455</v>
      </c>
      <c r="B6732" t="str">
        <f>"1551599383447575"</f>
        <v>1551599383447575</v>
      </c>
      <c r="C6732" t="s">
        <v>40</v>
      </c>
      <c r="D6732">
        <v>5.1401859999999999</v>
      </c>
      <c r="E6732">
        <v>0.54568879999999997</v>
      </c>
      <c r="F6732" t="s">
        <v>41</v>
      </c>
      <c r="G6732">
        <v>-321.15390000000002</v>
      </c>
      <c r="H6732">
        <v>7.9986269999999998E-2</v>
      </c>
      <c r="I6732">
        <v>5.6229129999999996</v>
      </c>
      <c r="J6732">
        <v>-342.44589999999999</v>
      </c>
      <c r="K6732">
        <v>1.1210329999999999</v>
      </c>
      <c r="L6732">
        <v>17.6633</v>
      </c>
      <c r="M6732">
        <v>0.99984569999999995</v>
      </c>
      <c r="N6732">
        <v>-1.418265E-2</v>
      </c>
      <c r="O6732">
        <v>-1.036465E-2</v>
      </c>
      <c r="P6732">
        <v>0.95783260000000003</v>
      </c>
      <c r="Q6732">
        <v>-9.7754339999999995E-2</v>
      </c>
      <c r="R6732">
        <v>-0.27018730000000002</v>
      </c>
      <c r="S6732">
        <v>2.6926570000000001</v>
      </c>
      <c r="T6732">
        <v>-0.1304158</v>
      </c>
      <c r="U6732">
        <v>-1.5086059999999999</v>
      </c>
      <c r="V6732">
        <v>0.26027339999999999</v>
      </c>
      <c r="W6732">
        <v>-8.4030229999999997E-2</v>
      </c>
      <c r="X6732">
        <v>0.96187140000000004</v>
      </c>
      <c r="Y6732">
        <v>0.47913210000000001</v>
      </c>
      <c r="Z6732">
        <v>-1.4108580000000001E-2</v>
      </c>
      <c r="AA6732">
        <v>0.87762949999999995</v>
      </c>
      <c r="AB6732">
        <v>24</v>
      </c>
      <c r="AC6732">
        <v>21.291999999999899</v>
      </c>
      <c r="AD6732">
        <v>-1.0410467299999999</v>
      </c>
      <c r="AE6732">
        <v>-12.040387000000001</v>
      </c>
      <c r="AF6732">
        <v>11.79766388493</v>
      </c>
      <c r="AG6732">
        <v>-1.0410467299999999</v>
      </c>
      <c r="AH6732">
        <v>21.3769415154194</v>
      </c>
      <c r="AI6732">
        <v>92.441456662813707</v>
      </c>
      <c r="AJ6732">
        <v>61.106249057001897</v>
      </c>
      <c r="AK6732">
        <v>24.438540872758502</v>
      </c>
      <c r="AL6732">
        <v>94.820261840936496</v>
      </c>
      <c r="AM6732">
        <v>74.858887658871396</v>
      </c>
      <c r="AN6732">
        <v>0.99999995621968496</v>
      </c>
    </row>
    <row r="6733" spans="1:40" x14ac:dyDescent="0.25">
      <c r="A6733" t="str">
        <f>"20190303154943467"</f>
        <v>20190303154943467</v>
      </c>
      <c r="B6733" t="str">
        <f>"1551599383457335"</f>
        <v>1551599383457335</v>
      </c>
      <c r="C6733" t="s">
        <v>40</v>
      </c>
      <c r="D6733">
        <v>5.1226629999999904</v>
      </c>
      <c r="E6733">
        <v>0.54106699999999996</v>
      </c>
      <c r="F6733" t="s">
        <v>43</v>
      </c>
      <c r="G6733">
        <v>-311.435</v>
      </c>
      <c r="H6733">
        <v>-0.05</v>
      </c>
      <c r="I6733">
        <v>4.741028</v>
      </c>
      <c r="J6733">
        <v>-342.3313</v>
      </c>
      <c r="K6733">
        <v>1.12104</v>
      </c>
      <c r="L6733">
        <v>17.662289999999999</v>
      </c>
      <c r="M6733">
        <v>0.99984649999999997</v>
      </c>
      <c r="N6733">
        <v>-1.4218130000000001E-2</v>
      </c>
      <c r="O6733">
        <v>-1.02457E-2</v>
      </c>
      <c r="P6733">
        <v>0.9580727</v>
      </c>
      <c r="Q6733">
        <v>-9.7022880000000006E-2</v>
      </c>
      <c r="R6733">
        <v>-0.26959929999999999</v>
      </c>
      <c r="S6733">
        <v>2.792999</v>
      </c>
      <c r="T6733">
        <v>-0.10546949999999999</v>
      </c>
      <c r="U6733">
        <v>-1.1638489999999999</v>
      </c>
      <c r="V6733">
        <v>0.25979679999999999</v>
      </c>
      <c r="W6733">
        <v>-8.3262130000000004E-2</v>
      </c>
      <c r="X6733">
        <v>0.96206709999999995</v>
      </c>
      <c r="Y6733">
        <v>0.37484149999999999</v>
      </c>
      <c r="Z6733">
        <v>-9.3336019999999999E-3</v>
      </c>
      <c r="AA6733">
        <v>0.92704189999999997</v>
      </c>
      <c r="AB6733">
        <v>24</v>
      </c>
      <c r="AC6733">
        <v>30.8963</v>
      </c>
      <c r="AD6733">
        <v>-1.1710399999999901</v>
      </c>
      <c r="AE6733">
        <v>-12.921262</v>
      </c>
      <c r="AF6733">
        <v>12.588605052885599</v>
      </c>
      <c r="AG6733">
        <v>-1.1710399999999901</v>
      </c>
      <c r="AH6733">
        <v>30.989187484126401</v>
      </c>
      <c r="AI6733">
        <v>92.005119494565903</v>
      </c>
      <c r="AJ6733">
        <v>67.891745652042104</v>
      </c>
      <c r="AK6733">
        <v>33.469001371201301</v>
      </c>
      <c r="AL6733">
        <v>94.776097814927496</v>
      </c>
      <c r="AM6733">
        <v>74.8882776713384</v>
      </c>
      <c r="AN6733">
        <v>1.0000000322423901</v>
      </c>
    </row>
    <row r="6734" spans="1:40" x14ac:dyDescent="0.25">
      <c r="A6734" t="str">
        <f>"20190303154943476"</f>
        <v>20190303154943476</v>
      </c>
      <c r="B6734" t="str">
        <f>"1551599383467095"</f>
        <v>1551599383467095</v>
      </c>
      <c r="C6734" t="s">
        <v>40</v>
      </c>
      <c r="D6734">
        <v>5.1450040000000001</v>
      </c>
      <c r="E6734">
        <v>0.53945719999999997</v>
      </c>
      <c r="F6734" t="s">
        <v>43</v>
      </c>
      <c r="G6734">
        <v>-315.21260000000001</v>
      </c>
      <c r="H6734">
        <v>-0.05</v>
      </c>
      <c r="I6734">
        <v>6.7629849999999996</v>
      </c>
      <c r="J6734">
        <v>-342.21539999999999</v>
      </c>
      <c r="K6734">
        <v>1.1210469999999999</v>
      </c>
      <c r="L6734">
        <v>17.66122</v>
      </c>
      <c r="M6734">
        <v>0.99984720000000005</v>
      </c>
      <c r="N6734">
        <v>-1.4251659999999999E-2</v>
      </c>
      <c r="O6734">
        <v>-1.012506E-2</v>
      </c>
      <c r="P6734">
        <v>0.95829359999999997</v>
      </c>
      <c r="Q6734">
        <v>-9.7012589999999996E-2</v>
      </c>
      <c r="R6734">
        <v>-0.26881690000000003</v>
      </c>
      <c r="S6734">
        <v>2.8020939999999999</v>
      </c>
      <c r="T6734">
        <v>-0.1209998</v>
      </c>
      <c r="U6734">
        <v>-1.12619</v>
      </c>
      <c r="V6734">
        <v>0.25912809999999997</v>
      </c>
      <c r="W6734">
        <v>-8.3217390000000002E-2</v>
      </c>
      <c r="X6734">
        <v>0.96225119999999997</v>
      </c>
      <c r="Y6734">
        <v>0.36310700000000001</v>
      </c>
      <c r="Z6734">
        <v>-9.9476470000000004E-3</v>
      </c>
      <c r="AA6734">
        <v>0.93169429999999998</v>
      </c>
      <c r="AB6734">
        <v>24</v>
      </c>
      <c r="AC6734">
        <v>27.002799999999901</v>
      </c>
      <c r="AD6734">
        <v>-1.1710469999999999</v>
      </c>
      <c r="AE6734">
        <v>-10.898235</v>
      </c>
      <c r="AF6734">
        <v>10.607088597809501</v>
      </c>
      <c r="AG6734">
        <v>-1.1710469999999999</v>
      </c>
      <c r="AH6734">
        <v>27.067994802858099</v>
      </c>
      <c r="AI6734">
        <v>92.306672385386705</v>
      </c>
      <c r="AJ6734">
        <v>68.601362571228805</v>
      </c>
      <c r="AK6734">
        <v>29.0956701631968</v>
      </c>
      <c r="AL6734">
        <v>94.773525920520399</v>
      </c>
      <c r="AM6734">
        <v>74.928154692776502</v>
      </c>
      <c r="AN6734">
        <v>0.99999993905472895</v>
      </c>
    </row>
    <row r="6735" spans="1:40" x14ac:dyDescent="0.25">
      <c r="A6735" t="str">
        <f>"20190303154943489"</f>
        <v>20190303154943489</v>
      </c>
      <c r="B6735" t="str">
        <f>"1551599383477832"</f>
        <v>1551599383477832</v>
      </c>
      <c r="C6735" t="s">
        <v>40</v>
      </c>
      <c r="D6735">
        <v>5.100295</v>
      </c>
      <c r="E6735">
        <v>0.53844119999999995</v>
      </c>
      <c r="F6735" t="s">
        <v>43</v>
      </c>
      <c r="G6735">
        <v>-315.63159999999999</v>
      </c>
      <c r="H6735">
        <v>-0.05</v>
      </c>
      <c r="I6735">
        <v>7.1341549999999998</v>
      </c>
      <c r="J6735">
        <v>-342.0949</v>
      </c>
      <c r="K6735">
        <v>1.1210500000000001</v>
      </c>
      <c r="L6735">
        <v>17.660160000000001</v>
      </c>
      <c r="M6735">
        <v>0.99984810000000002</v>
      </c>
      <c r="N6735">
        <v>-1.4283209999999999E-2</v>
      </c>
      <c r="O6735">
        <v>-9.9997599999999999E-3</v>
      </c>
      <c r="P6735">
        <v>0.95841140000000002</v>
      </c>
      <c r="Q6735">
        <v>-9.7463610000000006E-2</v>
      </c>
      <c r="R6735">
        <v>-0.268233</v>
      </c>
      <c r="S6735">
        <v>2.8063349999999998</v>
      </c>
      <c r="T6735">
        <v>-0.12362239999999999</v>
      </c>
      <c r="U6735">
        <v>-1.1112979999999999</v>
      </c>
      <c r="V6735">
        <v>0.25866359999999999</v>
      </c>
      <c r="W6735">
        <v>-8.363719E-2</v>
      </c>
      <c r="X6735">
        <v>0.96233979999999997</v>
      </c>
      <c r="Y6735">
        <v>0.358456</v>
      </c>
      <c r="Z6735">
        <v>-9.9728549999999992E-3</v>
      </c>
      <c r="AA6735">
        <v>0.93349329999999997</v>
      </c>
      <c r="AB6735">
        <v>24</v>
      </c>
      <c r="AC6735">
        <v>26.4633</v>
      </c>
      <c r="AD6735">
        <v>-1.1710499999999999</v>
      </c>
      <c r="AE6735">
        <v>-10.526005</v>
      </c>
      <c r="AF6735">
        <v>10.2435059620411</v>
      </c>
      <c r="AG6735">
        <v>-1.1710499999999999</v>
      </c>
      <c r="AH6735">
        <v>26.522402562769201</v>
      </c>
      <c r="AI6735">
        <v>92.358567492903703</v>
      </c>
      <c r="AJ6735">
        <v>68.882397565312999</v>
      </c>
      <c r="AK6735">
        <v>28.455906420257602</v>
      </c>
      <c r="AL6735">
        <v>94.797662714517102</v>
      </c>
      <c r="AM6735">
        <v>74.955268096612798</v>
      </c>
      <c r="AN6735">
        <v>0.99999996409004699</v>
      </c>
    </row>
    <row r="6736" spans="1:40" x14ac:dyDescent="0.25">
      <c r="A6736" t="str">
        <f>"20190303154943501"</f>
        <v>20190303154943501</v>
      </c>
      <c r="B6736" t="str">
        <f>"1551599383497351"</f>
        <v>1551599383497351</v>
      </c>
      <c r="C6736" t="s">
        <v>40</v>
      </c>
      <c r="D6736">
        <v>5.1209699999999998</v>
      </c>
      <c r="E6736">
        <v>0.53778599999999999</v>
      </c>
      <c r="F6736" t="s">
        <v>43</v>
      </c>
      <c r="G6736">
        <v>-316.81700000000001</v>
      </c>
      <c r="H6736">
        <v>-0.05</v>
      </c>
      <c r="I6736">
        <v>7.7471160000000001</v>
      </c>
      <c r="J6736">
        <v>-341.96980000000002</v>
      </c>
      <c r="K6736">
        <v>1.1210519999999999</v>
      </c>
      <c r="L6736">
        <v>17.65906</v>
      </c>
      <c r="M6736">
        <v>0.99984879999999998</v>
      </c>
      <c r="N6736">
        <v>-1.431459E-2</v>
      </c>
      <c r="O6736">
        <v>-9.8695740000000007E-3</v>
      </c>
      <c r="P6736">
        <v>0.9586095</v>
      </c>
      <c r="Q6736">
        <v>-9.7742889999999999E-2</v>
      </c>
      <c r="R6736">
        <v>-0.26742169999999998</v>
      </c>
      <c r="S6736">
        <v>2.808716</v>
      </c>
      <c r="T6736">
        <v>-0.13011919999999999</v>
      </c>
      <c r="U6736">
        <v>-1.1014710000000001</v>
      </c>
      <c r="V6736">
        <v>0.25797569999999997</v>
      </c>
      <c r="W6736">
        <v>-8.3884429999999996E-2</v>
      </c>
      <c r="X6736">
        <v>0.962503</v>
      </c>
      <c r="Y6736">
        <v>0.35544369999999997</v>
      </c>
      <c r="Z6736">
        <v>-1.026767E-2</v>
      </c>
      <c r="AA6736">
        <v>0.93464130000000001</v>
      </c>
      <c r="AB6736">
        <v>24</v>
      </c>
      <c r="AC6736">
        <v>25.152799999999999</v>
      </c>
      <c r="AD6736">
        <v>-1.171052</v>
      </c>
      <c r="AE6736">
        <v>-9.9119440000000001</v>
      </c>
      <c r="AF6736">
        <v>9.6450917590633107</v>
      </c>
      <c r="AG6736">
        <v>-1.171052</v>
      </c>
      <c r="AH6736">
        <v>25.202126117420399</v>
      </c>
      <c r="AI6736">
        <v>92.484897801925996</v>
      </c>
      <c r="AJ6736">
        <v>69.057679391060901</v>
      </c>
      <c r="AK6736">
        <v>27.010115117596499</v>
      </c>
      <c r="AL6736">
        <v>94.811878102639</v>
      </c>
      <c r="AM6736">
        <v>74.995901292390698</v>
      </c>
      <c r="AN6736">
        <v>1.00000004219795</v>
      </c>
    </row>
    <row r="6737" spans="1:40" x14ac:dyDescent="0.25">
      <c r="A6737" t="str">
        <f>"20190303154943511"</f>
        <v>20190303154943511</v>
      </c>
      <c r="B6737" t="str">
        <f>"1551599383507111"</f>
        <v>1551599383507111</v>
      </c>
      <c r="C6737" t="s">
        <v>40</v>
      </c>
      <c r="D6737">
        <v>5.0997949999999896</v>
      </c>
      <c r="E6737">
        <v>0.5374295</v>
      </c>
      <c r="F6737" t="s">
        <v>41</v>
      </c>
      <c r="G6737">
        <v>-319.98649999999998</v>
      </c>
      <c r="H6737">
        <v>7.9986420000000003E-2</v>
      </c>
      <c r="I6737">
        <v>9.101483</v>
      </c>
      <c r="J6737">
        <v>-341.8503</v>
      </c>
      <c r="K6737">
        <v>1.121054</v>
      </c>
      <c r="L6737">
        <v>17.65802</v>
      </c>
      <c r="M6737">
        <v>0.99984969999999995</v>
      </c>
      <c r="N6737">
        <v>-1.4340540000000001E-2</v>
      </c>
      <c r="O6737">
        <v>-9.7451919999999997E-3</v>
      </c>
      <c r="P6737">
        <v>0.9588293</v>
      </c>
      <c r="Q6737">
        <v>-9.7812650000000001E-2</v>
      </c>
      <c r="R6737">
        <v>-0.26660699999999998</v>
      </c>
      <c r="S6737">
        <v>2.81073</v>
      </c>
      <c r="T6737">
        <v>-0.1331077</v>
      </c>
      <c r="U6737">
        <v>-1.094147</v>
      </c>
      <c r="V6737">
        <v>0.25727830000000002</v>
      </c>
      <c r="W6737">
        <v>-8.3927089999999996E-2</v>
      </c>
      <c r="X6737">
        <v>0.96268589999999998</v>
      </c>
      <c r="Y6737">
        <v>0.3532033</v>
      </c>
      <c r="Z6737">
        <v>-1.037809E-2</v>
      </c>
      <c r="AA6737">
        <v>0.93548900000000001</v>
      </c>
      <c r="AB6737">
        <v>24</v>
      </c>
      <c r="AC6737">
        <v>21.863800000000001</v>
      </c>
      <c r="AD6737">
        <v>-1.04106758</v>
      </c>
      <c r="AE6737">
        <v>-8.5565369999999898</v>
      </c>
      <c r="AF6737">
        <v>8.3266702701543593</v>
      </c>
      <c r="AG6737">
        <v>-1.04106758</v>
      </c>
      <c r="AH6737">
        <v>21.903090440127599</v>
      </c>
      <c r="AI6737">
        <v>92.543892222132598</v>
      </c>
      <c r="AJ6737">
        <v>69.185218454644797</v>
      </c>
      <c r="AK6737">
        <v>23.455545832966799</v>
      </c>
      <c r="AL6737">
        <v>94.814331140320903</v>
      </c>
      <c r="AM6737">
        <v>75.037356343357501</v>
      </c>
      <c r="AN6737">
        <v>1.00000001107278</v>
      </c>
    </row>
    <row r="6738" spans="1:40" x14ac:dyDescent="0.25">
      <c r="A6738" t="str">
        <f>"20190303154943522"</f>
        <v>20190303154943522</v>
      </c>
      <c r="B6738" t="str">
        <f>"1551599383517847"</f>
        <v>1551599383517847</v>
      </c>
      <c r="C6738" t="s">
        <v>40</v>
      </c>
      <c r="D6738">
        <v>5.1087569999999998</v>
      </c>
      <c r="E6738">
        <v>0.53716399999999997</v>
      </c>
      <c r="F6738" t="s">
        <v>41</v>
      </c>
      <c r="G6738">
        <v>-320.08749999999998</v>
      </c>
      <c r="H6738">
        <v>7.9986360000000006E-2</v>
      </c>
      <c r="I6738">
        <v>9.23184</v>
      </c>
      <c r="J6738">
        <v>-341.73540000000003</v>
      </c>
      <c r="K6738">
        <v>1.1210580000000001</v>
      </c>
      <c r="L6738">
        <v>17.657039999999999</v>
      </c>
      <c r="M6738">
        <v>0.99985049999999998</v>
      </c>
      <c r="N6738">
        <v>-1.4364790000000001E-2</v>
      </c>
      <c r="O6738">
        <v>-9.6255660000000003E-3</v>
      </c>
      <c r="P6738">
        <v>0.95907120000000001</v>
      </c>
      <c r="Q6738">
        <v>-9.8107609999999998E-2</v>
      </c>
      <c r="R6738">
        <v>-0.26562599999999997</v>
      </c>
      <c r="S6738">
        <v>2.8122859999999998</v>
      </c>
      <c r="T6738">
        <v>-0.13453129999999999</v>
      </c>
      <c r="U6738">
        <v>-1.088867</v>
      </c>
      <c r="V6738">
        <v>0.25641009999999997</v>
      </c>
      <c r="W6738">
        <v>-8.4196259999999995E-2</v>
      </c>
      <c r="X6738">
        <v>0.96289400000000003</v>
      </c>
      <c r="Y6738">
        <v>0.3516068</v>
      </c>
      <c r="Z6738">
        <v>-1.0417040000000001E-2</v>
      </c>
      <c r="AA6738">
        <v>0.93608979999999997</v>
      </c>
      <c r="AB6738">
        <v>24</v>
      </c>
      <c r="AC6738">
        <v>21.6479</v>
      </c>
      <c r="AD6738">
        <v>-1.04107164</v>
      </c>
      <c r="AE6738">
        <v>-8.4251999999999896</v>
      </c>
      <c r="AF6738">
        <v>8.1999450403002498</v>
      </c>
      <c r="AG6738">
        <v>-1.04107164</v>
      </c>
      <c r="AH6738">
        <v>21.6844488911734</v>
      </c>
      <c r="AI6738">
        <v>92.571228955171904</v>
      </c>
      <c r="AJ6738">
        <v>69.285956092452395</v>
      </c>
      <c r="AK6738">
        <v>23.2064269661977</v>
      </c>
      <c r="AL6738">
        <v>94.829808267431005</v>
      </c>
      <c r="AM6738">
        <v>75.088674613872399</v>
      </c>
      <c r="AN6738">
        <v>1.00000000240799</v>
      </c>
    </row>
    <row r="6739" spans="1:40" x14ac:dyDescent="0.25">
      <c r="A6739" t="str">
        <f>"20190303154943534"</f>
        <v>20190303154943534</v>
      </c>
      <c r="B6739" t="str">
        <f>"1551599383527606"</f>
        <v>1551599383527606</v>
      </c>
      <c r="C6739" t="s">
        <v>40</v>
      </c>
      <c r="D6739">
        <v>5.1133639999999998</v>
      </c>
      <c r="E6739">
        <v>0.53700519999999996</v>
      </c>
      <c r="F6739" t="s">
        <v>41</v>
      </c>
      <c r="G6739">
        <v>-320.54640000000001</v>
      </c>
      <c r="H6739">
        <v>7.998624E-2</v>
      </c>
      <c r="I6739">
        <v>9.4946990000000007</v>
      </c>
      <c r="J6739">
        <v>-341.60829999999999</v>
      </c>
      <c r="K6739">
        <v>1.1210639999999901</v>
      </c>
      <c r="L6739">
        <v>17.65598</v>
      </c>
      <c r="M6739">
        <v>0.99985159999999995</v>
      </c>
      <c r="N6739">
        <v>-1.438862E-2</v>
      </c>
      <c r="O6739">
        <v>-9.4933029999999998E-3</v>
      </c>
      <c r="P6739">
        <v>0.95936690000000002</v>
      </c>
      <c r="Q6739">
        <v>-9.8162529999999998E-2</v>
      </c>
      <c r="R6739">
        <v>-0.26453690000000002</v>
      </c>
      <c r="S6739">
        <v>2.8137210000000001</v>
      </c>
      <c r="T6739">
        <v>-0.138245799999999</v>
      </c>
      <c r="U6739">
        <v>-1.083893</v>
      </c>
      <c r="V6739">
        <v>0.25544519999999998</v>
      </c>
      <c r="W6739">
        <v>-8.4225129999999995E-2</v>
      </c>
      <c r="X6739">
        <v>0.96314789999999995</v>
      </c>
      <c r="Y6739">
        <v>0.3501088</v>
      </c>
      <c r="Z6739">
        <v>-1.058883E-2</v>
      </c>
      <c r="AA6739">
        <v>0.93664910000000001</v>
      </c>
      <c r="AB6739">
        <v>24</v>
      </c>
      <c r="AC6739">
        <v>21.061899999999898</v>
      </c>
      <c r="AD6739">
        <v>-1.0410777600000001</v>
      </c>
      <c r="AE6739">
        <v>-8.16128099999999</v>
      </c>
      <c r="AF6739">
        <v>7.9440698530981297</v>
      </c>
      <c r="AG6739">
        <v>-1.0410777600000001</v>
      </c>
      <c r="AH6739">
        <v>21.0936268874691</v>
      </c>
      <c r="AI6739">
        <v>92.644504482045093</v>
      </c>
      <c r="AJ6739">
        <v>69.363126538766494</v>
      </c>
      <c r="AK6739">
        <v>22.563979790830999</v>
      </c>
      <c r="AL6739">
        <v>94.831468304700294</v>
      </c>
      <c r="AM6739">
        <v>75.146044864565894</v>
      </c>
      <c r="AN6739">
        <v>1.0000000000004801</v>
      </c>
    </row>
    <row r="6740" spans="1:40" x14ac:dyDescent="0.25">
      <c r="A6740" t="str">
        <f>"20190303154943546"</f>
        <v>20190303154943546</v>
      </c>
      <c r="B6740" t="str">
        <f>"1551599383537366"</f>
        <v>1551599383537366</v>
      </c>
      <c r="C6740" t="s">
        <v>40</v>
      </c>
      <c r="D6740">
        <v>5.1307960000000001</v>
      </c>
      <c r="E6740">
        <v>0.53693880000000005</v>
      </c>
      <c r="F6740" t="s">
        <v>41</v>
      </c>
      <c r="G6740">
        <v>-320.56689999999998</v>
      </c>
      <c r="H6740">
        <v>7.7293509999999996E-2</v>
      </c>
      <c r="I6740">
        <v>9.589029</v>
      </c>
      <c r="J6740">
        <v>-341.48939999999999</v>
      </c>
      <c r="K6740">
        <v>1.1210709999999999</v>
      </c>
      <c r="L6740">
        <v>17.655000000000001</v>
      </c>
      <c r="M6740">
        <v>0.99985239999999997</v>
      </c>
      <c r="N6740">
        <v>-1.440935E-2</v>
      </c>
      <c r="O6740">
        <v>-9.3694810000000007E-3</v>
      </c>
      <c r="P6740">
        <v>0.9596671</v>
      </c>
      <c r="Q6740">
        <v>-9.8258410000000004E-2</v>
      </c>
      <c r="R6740">
        <v>-0.26340999999999998</v>
      </c>
      <c r="S6740">
        <v>2.8151549999999999</v>
      </c>
      <c r="T6740">
        <v>-0.1396471</v>
      </c>
      <c r="U6740">
        <v>-1.079285</v>
      </c>
      <c r="V6740">
        <v>0.25443480000000002</v>
      </c>
      <c r="W6740">
        <v>-8.4297860000000002E-2</v>
      </c>
      <c r="X6740">
        <v>0.96340890000000001</v>
      </c>
      <c r="Y6740">
        <v>0.34872170000000002</v>
      </c>
      <c r="Z6740">
        <v>-1.063067E-2</v>
      </c>
      <c r="AA6740">
        <v>0.93716600000000005</v>
      </c>
      <c r="AB6740">
        <v>24</v>
      </c>
      <c r="AC6740">
        <v>20.922499999999999</v>
      </c>
      <c r="AD6740">
        <v>-1.0437774900000001</v>
      </c>
      <c r="AE6740">
        <v>-8.0659709999999993</v>
      </c>
      <c r="AF6740">
        <v>7.8525489739543701</v>
      </c>
      <c r="AG6740">
        <v>-1.0437774900000001</v>
      </c>
      <c r="AH6740">
        <v>20.9517657396283</v>
      </c>
      <c r="AI6740">
        <v>92.670874485052707</v>
      </c>
      <c r="AJ6740">
        <v>69.454416228838596</v>
      </c>
      <c r="AK6740">
        <v>22.399296516749001</v>
      </c>
      <c r="AL6740">
        <v>94.835650528905504</v>
      </c>
      <c r="AM6740">
        <v>75.206049113270595</v>
      </c>
      <c r="AN6740">
        <v>0.99999995262541297</v>
      </c>
    </row>
    <row r="6741" spans="1:40" x14ac:dyDescent="0.25">
      <c r="A6741" t="str">
        <f>"20190303154943557"</f>
        <v>20190303154943557</v>
      </c>
      <c r="B6741" t="str">
        <f>"1551599383547126"</f>
        <v>1551599383547126</v>
      </c>
      <c r="C6741" t="s">
        <v>40</v>
      </c>
      <c r="D6741">
        <v>5.161753</v>
      </c>
      <c r="E6741">
        <v>0.53695179999999998</v>
      </c>
      <c r="F6741" t="s">
        <v>41</v>
      </c>
      <c r="G6741">
        <v>-320.3997</v>
      </c>
      <c r="H6741">
        <v>6.3751959999999996E-2</v>
      </c>
      <c r="I6741">
        <v>9.6025709999999993</v>
      </c>
      <c r="J6741">
        <v>-341.36500000000001</v>
      </c>
      <c r="K6741">
        <v>1.1210819999999999</v>
      </c>
      <c r="L6741">
        <v>17.65399</v>
      </c>
      <c r="M6741">
        <v>0.9998532</v>
      </c>
      <c r="N6741">
        <v>-1.442946E-2</v>
      </c>
      <c r="O6741">
        <v>-9.2398150000000002E-3</v>
      </c>
      <c r="P6741">
        <v>0.95998349999999999</v>
      </c>
      <c r="Q6741">
        <v>-9.8285819999999996E-2</v>
      </c>
      <c r="R6741">
        <v>-0.26224350000000002</v>
      </c>
      <c r="S6741">
        <v>2.8164669999999998</v>
      </c>
      <c r="T6741">
        <v>-0.14120189999999999</v>
      </c>
      <c r="U6741">
        <v>-1.0753779999999999</v>
      </c>
      <c r="V6741">
        <v>0.25339010000000001</v>
      </c>
      <c r="W6741">
        <v>-8.4302539999999995E-2</v>
      </c>
      <c r="X6741">
        <v>0.96368379999999998</v>
      </c>
      <c r="Y6741">
        <v>0.34755520000000001</v>
      </c>
      <c r="Z6741">
        <v>-1.068771E-2</v>
      </c>
      <c r="AA6741">
        <v>0.93759859999999995</v>
      </c>
      <c r="AB6741">
        <v>24</v>
      </c>
      <c r="AC6741">
        <v>20.965299999999999</v>
      </c>
      <c r="AD6741">
        <v>-1.0573300400000001</v>
      </c>
      <c r="AE6741">
        <v>-8.0514189999999992</v>
      </c>
      <c r="AF6741">
        <v>7.8399620950164701</v>
      </c>
      <c r="AG6741">
        <v>-1.0573300400000001</v>
      </c>
      <c r="AH6741">
        <v>20.992276310282001</v>
      </c>
      <c r="AI6741">
        <v>92.701459843453407</v>
      </c>
      <c r="AJ6741">
        <v>69.520904147144705</v>
      </c>
      <c r="AK6741">
        <v>22.433426335538002</v>
      </c>
      <c r="AL6741">
        <v>94.835919577351902</v>
      </c>
      <c r="AM6741">
        <v>75.268164730923104</v>
      </c>
      <c r="AN6741">
        <v>0.99999996370544997</v>
      </c>
    </row>
    <row r="6742" spans="1:40" x14ac:dyDescent="0.25">
      <c r="A6742" t="str">
        <f>"20190303154943570"</f>
        <v>20190303154943570</v>
      </c>
      <c r="B6742" t="str">
        <f>"1551599383567623"</f>
        <v>1551599383567623</v>
      </c>
      <c r="C6742" t="s">
        <v>40</v>
      </c>
      <c r="D6742">
        <v>5.1867289999999997</v>
      </c>
      <c r="E6742">
        <v>0.53693179999999996</v>
      </c>
      <c r="F6742" t="s">
        <v>41</v>
      </c>
      <c r="G6742">
        <v>-320.22910000000002</v>
      </c>
      <c r="H6742">
        <v>5.3883159999999999E-2</v>
      </c>
      <c r="I6742">
        <v>9.6124390000000002</v>
      </c>
      <c r="J6742">
        <v>-341.23719999999997</v>
      </c>
      <c r="K6742">
        <v>1.1210880000000001</v>
      </c>
      <c r="L6742">
        <v>17.652950000000001</v>
      </c>
      <c r="M6742">
        <v>0.99985409999999997</v>
      </c>
      <c r="N6742">
        <v>-1.444776E-2</v>
      </c>
      <c r="O6742">
        <v>-9.1067990000000005E-3</v>
      </c>
      <c r="P6742">
        <v>0.96037079999999997</v>
      </c>
      <c r="Q6742">
        <v>-9.8495929999999995E-2</v>
      </c>
      <c r="R6742">
        <v>-0.26074190000000003</v>
      </c>
      <c r="S6742">
        <v>2.8176269999999999</v>
      </c>
      <c r="T6742">
        <v>-0.1422687</v>
      </c>
      <c r="U6742">
        <v>-1.0720209999999999</v>
      </c>
      <c r="V6742">
        <v>0.25201309999999999</v>
      </c>
      <c r="W6742">
        <v>-8.4490770000000007E-2</v>
      </c>
      <c r="X6742">
        <v>0.96402840000000001</v>
      </c>
      <c r="Y6742">
        <v>0.3465704</v>
      </c>
      <c r="Z6742">
        <v>-1.0722570000000001E-2</v>
      </c>
      <c r="AA6742">
        <v>0.93796270000000004</v>
      </c>
      <c r="AB6742">
        <v>24</v>
      </c>
      <c r="AC6742">
        <v>21.008099999999899</v>
      </c>
      <c r="AD6742">
        <v>-1.0672048399999901</v>
      </c>
      <c r="AE6742">
        <v>-8.0405110000000004</v>
      </c>
      <c r="AF6742">
        <v>7.8312138112017902</v>
      </c>
      <c r="AG6742">
        <v>-1.0672048399999901</v>
      </c>
      <c r="AH6742">
        <v>21.033116469433899</v>
      </c>
      <c r="AI6742">
        <v>92.722380765626099</v>
      </c>
      <c r="AJ6742">
        <v>69.578302698749198</v>
      </c>
      <c r="AK6742">
        <v>22.4690637175662</v>
      </c>
      <c r="AL6742">
        <v>94.8467426827998</v>
      </c>
      <c r="AM6742">
        <v>75.349780130790606</v>
      </c>
      <c r="AN6742">
        <v>1.00000002439668</v>
      </c>
    </row>
    <row r="6743" spans="1:40" x14ac:dyDescent="0.25">
      <c r="A6743" t="str">
        <f>"20190303154943582"</f>
        <v>20190303154943582</v>
      </c>
      <c r="B6743" t="str">
        <f>"1551599383577382"</f>
        <v>1551599383577382</v>
      </c>
      <c r="C6743" t="s">
        <v>40</v>
      </c>
      <c r="D6743">
        <v>5.1429869999999998</v>
      </c>
      <c r="E6743">
        <v>0.53697899999999998</v>
      </c>
      <c r="F6743" t="s">
        <v>41</v>
      </c>
      <c r="G6743">
        <v>-320.01139999999998</v>
      </c>
      <c r="H6743">
        <v>3.3100999999999998E-2</v>
      </c>
      <c r="I6743">
        <v>9.6163380000000007</v>
      </c>
      <c r="J6743">
        <v>-341.1146</v>
      </c>
      <c r="K6743">
        <v>1.121095</v>
      </c>
      <c r="L6743">
        <v>17.651979999999998</v>
      </c>
      <c r="M6743">
        <v>0.99985500000000005</v>
      </c>
      <c r="N6743">
        <v>-1.446448E-2</v>
      </c>
      <c r="O6743">
        <v>-8.9788980000000008E-3</v>
      </c>
      <c r="P6743">
        <v>0.96069000000000004</v>
      </c>
      <c r="Q6743">
        <v>-9.895031E-2</v>
      </c>
      <c r="R6743">
        <v>-0.25939040000000002</v>
      </c>
      <c r="S6743">
        <v>2.8191830000000002</v>
      </c>
      <c r="T6743">
        <v>-0.14450499999999999</v>
      </c>
      <c r="U6743">
        <v>-1.0674129999999999</v>
      </c>
      <c r="V6743">
        <v>0.25078210000000001</v>
      </c>
      <c r="W6743">
        <v>-8.4925619999999993E-2</v>
      </c>
      <c r="X6743">
        <v>0.96431109999999998</v>
      </c>
      <c r="Y6743">
        <v>0.34516580000000002</v>
      </c>
      <c r="Z6743">
        <v>-1.0808069999999999E-2</v>
      </c>
      <c r="AA6743">
        <v>0.93847950000000002</v>
      </c>
      <c r="AB6743">
        <v>23</v>
      </c>
      <c r="AC6743">
        <v>21.103200000000001</v>
      </c>
      <c r="AD6743">
        <v>-1.0879939999999999</v>
      </c>
      <c r="AE6743">
        <v>-8.0356419999999904</v>
      </c>
      <c r="AF6743">
        <v>7.8276434344319696</v>
      </c>
      <c r="AG6743">
        <v>-1.0879939999999999</v>
      </c>
      <c r="AH6743">
        <v>21.125466795729501</v>
      </c>
      <c r="AI6743">
        <v>92.764835461861097</v>
      </c>
      <c r="AJ6743">
        <v>69.668762988923504</v>
      </c>
      <c r="AK6743">
        <v>22.555289402224702</v>
      </c>
      <c r="AL6743">
        <v>94.871747938834602</v>
      </c>
      <c r="AM6743">
        <v>75.422377046614997</v>
      </c>
      <c r="AN6743">
        <v>0.99999996009800096</v>
      </c>
    </row>
    <row r="6744" spans="1:40" x14ac:dyDescent="0.25">
      <c r="A6744" t="str">
        <f>"20190303154943592"</f>
        <v>20190303154943592</v>
      </c>
      <c r="B6744" t="str">
        <f>"1551599383587142"</f>
        <v>1551599383587142</v>
      </c>
      <c r="C6744" t="s">
        <v>40</v>
      </c>
      <c r="D6744">
        <v>5.1712949999999998</v>
      </c>
      <c r="E6744">
        <v>0.53709099999999999</v>
      </c>
      <c r="F6744" t="s">
        <v>43</v>
      </c>
      <c r="G6744">
        <v>-318.58710000000002</v>
      </c>
      <c r="H6744">
        <v>-0.05</v>
      </c>
      <c r="I6744">
        <v>9.1536869999999997</v>
      </c>
      <c r="J6744">
        <v>-341.00619999999998</v>
      </c>
      <c r="K6744">
        <v>1.121102</v>
      </c>
      <c r="L6744">
        <v>17.65118</v>
      </c>
      <c r="M6744">
        <v>0.99985590000000002</v>
      </c>
      <c r="N6744">
        <v>-1.447742E-2</v>
      </c>
      <c r="O6744">
        <v>-8.8658709999999905E-3</v>
      </c>
      <c r="P6744">
        <v>0.96100240000000003</v>
      </c>
      <c r="Q6744">
        <v>-9.9154080000000006E-2</v>
      </c>
      <c r="R6744">
        <v>-0.25815260000000001</v>
      </c>
      <c r="S6744">
        <v>2.8203740000000002</v>
      </c>
      <c r="T6744">
        <v>-0.146618</v>
      </c>
      <c r="U6744">
        <v>-1.063965</v>
      </c>
      <c r="V6744">
        <v>0.2496505</v>
      </c>
      <c r="W6744">
        <v>-8.5113530000000007E-2</v>
      </c>
      <c r="X6744">
        <v>0.96458820000000001</v>
      </c>
      <c r="Y6744">
        <v>0.34412480000000001</v>
      </c>
      <c r="Z6744">
        <v>-1.0896919999999999E-2</v>
      </c>
      <c r="AA6744">
        <v>0.93886069999999999</v>
      </c>
      <c r="AB6744">
        <v>23</v>
      </c>
      <c r="AC6744">
        <v>22.419099999999901</v>
      </c>
      <c r="AD6744">
        <v>-1.1711020000000001</v>
      </c>
      <c r="AE6744">
        <v>-8.4974929999999897</v>
      </c>
      <c r="AF6744">
        <v>8.2786211892991002</v>
      </c>
      <c r="AG6744">
        <v>-1.1711020000000001</v>
      </c>
      <c r="AH6744">
        <v>22.440024266425901</v>
      </c>
      <c r="AI6744">
        <v>92.803098714475794</v>
      </c>
      <c r="AJ6744">
        <v>69.749867019571298</v>
      </c>
      <c r="AK6744">
        <v>23.947061150965901</v>
      </c>
      <c r="AL6744">
        <v>94.882553120327401</v>
      </c>
      <c r="AM6744">
        <v>75.4893648363213</v>
      </c>
      <c r="AN6744">
        <v>1.0000000403592699</v>
      </c>
    </row>
    <row r="6745" spans="1:40" x14ac:dyDescent="0.25">
      <c r="A6745" t="str">
        <f>"20190303154943603"</f>
        <v>20190303154943603</v>
      </c>
      <c r="B6745" t="str">
        <f>"1551599383597879"</f>
        <v>1551599383597879</v>
      </c>
      <c r="C6745" t="s">
        <v>40</v>
      </c>
      <c r="D6745">
        <v>5.2055020000000001</v>
      </c>
      <c r="E6745">
        <v>0.53725900000000004</v>
      </c>
      <c r="F6745" t="s">
        <v>43</v>
      </c>
      <c r="G6745">
        <v>-318.51420000000002</v>
      </c>
      <c r="H6745">
        <v>-0.05</v>
      </c>
      <c r="I6745">
        <v>9.1916499999999992</v>
      </c>
      <c r="J6745">
        <v>-340.8897</v>
      </c>
      <c r="K6745">
        <v>1.1211089999999999</v>
      </c>
      <c r="L6745">
        <v>17.650300000000001</v>
      </c>
      <c r="M6745">
        <v>0.99985690000000005</v>
      </c>
      <c r="N6745">
        <v>-1.449072E-2</v>
      </c>
      <c r="O6745">
        <v>-8.7447400000000008E-3</v>
      </c>
      <c r="P6745">
        <v>0.9613777</v>
      </c>
      <c r="Q6745">
        <v>-9.9116640000000006E-2</v>
      </c>
      <c r="R6745">
        <v>-0.25676680000000002</v>
      </c>
      <c r="S6745">
        <v>2.8215330000000001</v>
      </c>
      <c r="T6745">
        <v>-0.14691019999999999</v>
      </c>
      <c r="U6745">
        <v>-1.061218</v>
      </c>
      <c r="V6745">
        <v>0.24837790000000001</v>
      </c>
      <c r="W6745">
        <v>-8.5059049999999997E-2</v>
      </c>
      <c r="X6745">
        <v>0.96492140000000004</v>
      </c>
      <c r="Y6745">
        <v>0.3433099</v>
      </c>
      <c r="Z6745">
        <v>-1.089128E-2</v>
      </c>
      <c r="AA6745">
        <v>0.93915899999999997</v>
      </c>
      <c r="AB6745">
        <v>23</v>
      </c>
      <c r="AC6745">
        <v>22.375499999999899</v>
      </c>
      <c r="AD6745">
        <v>-1.171109</v>
      </c>
      <c r="AE6745">
        <v>-8.4586500000000004</v>
      </c>
      <c r="AF6745">
        <v>8.24288124417685</v>
      </c>
      <c r="AG6745">
        <v>-1.171109</v>
      </c>
      <c r="AH6745">
        <v>22.394943773314399</v>
      </c>
      <c r="AI6745">
        <v>92.809525435740397</v>
      </c>
      <c r="AJ6745">
        <v>69.792910501174603</v>
      </c>
      <c r="AK6745">
        <v>23.892469401579099</v>
      </c>
      <c r="AL6745">
        <v>94.879420650672898</v>
      </c>
      <c r="AM6745">
        <v>75.565011150200306</v>
      </c>
      <c r="AN6745">
        <v>0.99999996568663496</v>
      </c>
    </row>
    <row r="6746" spans="1:40" x14ac:dyDescent="0.25">
      <c r="A6746" t="str">
        <f>"20190303154943613"</f>
        <v>20190303154943613</v>
      </c>
      <c r="B6746" t="str">
        <f>"1551599383607638"</f>
        <v>1551599383607638</v>
      </c>
      <c r="C6746" t="s">
        <v>40</v>
      </c>
      <c r="D6746">
        <v>5.2064589999999997</v>
      </c>
      <c r="E6746">
        <v>0.53736819999999996</v>
      </c>
      <c r="F6746" t="s">
        <v>43</v>
      </c>
      <c r="G6746">
        <v>-318.53280000000001</v>
      </c>
      <c r="H6746">
        <v>-0.05</v>
      </c>
      <c r="I6746">
        <v>9.2662510000000005</v>
      </c>
      <c r="J6746">
        <v>-340.78629999999998</v>
      </c>
      <c r="K6746">
        <v>1.1211169999999999</v>
      </c>
      <c r="L6746">
        <v>17.649509999999999</v>
      </c>
      <c r="M6746">
        <v>0.99985769999999996</v>
      </c>
      <c r="N6746">
        <v>-1.4501150000000001E-2</v>
      </c>
      <c r="O6746">
        <v>-8.6368199999999999E-3</v>
      </c>
      <c r="P6746">
        <v>0.9616886</v>
      </c>
      <c r="Q6746">
        <v>-9.9082989999999996E-2</v>
      </c>
      <c r="R6746">
        <v>-0.25561289999999998</v>
      </c>
      <c r="S6746">
        <v>2.8226010000000001</v>
      </c>
      <c r="T6746">
        <v>-0.14785470000000001</v>
      </c>
      <c r="U6746">
        <v>-1.0585020000000001</v>
      </c>
      <c r="V6746">
        <v>0.2473253</v>
      </c>
      <c r="W6746">
        <v>-8.5011909999999996E-2</v>
      </c>
      <c r="X6746">
        <v>0.96519600000000005</v>
      </c>
      <c r="Y6746">
        <v>0.3424973</v>
      </c>
      <c r="Z6746">
        <v>-1.0921159999999999E-2</v>
      </c>
      <c r="AA6746">
        <v>0.93945529999999999</v>
      </c>
      <c r="AB6746">
        <v>23</v>
      </c>
      <c r="AC6746">
        <v>22.253499999999899</v>
      </c>
      <c r="AD6746">
        <v>-1.171117</v>
      </c>
      <c r="AE6746">
        <v>-8.38325899999999</v>
      </c>
      <c r="AF6746">
        <v>8.1709094833265397</v>
      </c>
      <c r="AG6746">
        <v>-1.171117</v>
      </c>
      <c r="AH6746">
        <v>22.2710675273924</v>
      </c>
      <c r="AI6746">
        <v>92.826228343859896</v>
      </c>
      <c r="AJ6746">
        <v>69.8526955260797</v>
      </c>
      <c r="AK6746">
        <v>23.7515415420153</v>
      </c>
      <c r="AL6746">
        <v>94.876709381293296</v>
      </c>
      <c r="AM6746">
        <v>75.627565288597197</v>
      </c>
      <c r="AN6746">
        <v>1.00000007363896</v>
      </c>
    </row>
    <row r="6747" spans="1:40" x14ac:dyDescent="0.25">
      <c r="A6747" t="str">
        <f>"20190303154943623"</f>
        <v>20190303154943623</v>
      </c>
      <c r="B6747" t="str">
        <f>"1551599383617398"</f>
        <v>1551599383617398</v>
      </c>
      <c r="C6747" t="s">
        <v>40</v>
      </c>
      <c r="D6747">
        <v>5.2309970000000003</v>
      </c>
      <c r="E6747">
        <v>0.53758850000000002</v>
      </c>
      <c r="F6747" t="s">
        <v>43</v>
      </c>
      <c r="G6747">
        <v>-318.65069999999997</v>
      </c>
      <c r="H6747">
        <v>-0.05</v>
      </c>
      <c r="I6747">
        <v>9.3691410000000008</v>
      </c>
      <c r="J6747">
        <v>-340.68299999999999</v>
      </c>
      <c r="K6747">
        <v>1.12112099999999</v>
      </c>
      <c r="L6747">
        <v>17.648710000000001</v>
      </c>
      <c r="M6747">
        <v>0.99985849999999998</v>
      </c>
      <c r="N6747">
        <v>-1.4511110000000001E-2</v>
      </c>
      <c r="O6747">
        <v>-8.529254E-3</v>
      </c>
      <c r="P6747">
        <v>0.96195589999999997</v>
      </c>
      <c r="Q6747">
        <v>-9.8971400000000001E-2</v>
      </c>
      <c r="R6747">
        <v>-0.25464880000000001</v>
      </c>
      <c r="S6747">
        <v>2.8233640000000002</v>
      </c>
      <c r="T6747">
        <v>-0.1493746</v>
      </c>
      <c r="U6747">
        <v>-1.056152</v>
      </c>
      <c r="V6747">
        <v>0.2464625</v>
      </c>
      <c r="W6747">
        <v>-8.4887799999999999E-2</v>
      </c>
      <c r="X6747">
        <v>0.96542749999999999</v>
      </c>
      <c r="Y6747">
        <v>0.34182050000000003</v>
      </c>
      <c r="Z6747">
        <v>-1.098787E-2</v>
      </c>
      <c r="AA6747">
        <v>0.93970100000000001</v>
      </c>
      <c r="AB6747">
        <v>23</v>
      </c>
      <c r="AC6747">
        <v>22.032299999999999</v>
      </c>
      <c r="AD6747">
        <v>-1.1711210000000001</v>
      </c>
      <c r="AE6747">
        <v>-8.2795690000000004</v>
      </c>
      <c r="AF6747">
        <v>8.0713459386193307</v>
      </c>
      <c r="AG6747">
        <v>-1.1711210000000001</v>
      </c>
      <c r="AH6747">
        <v>22.0475392135832</v>
      </c>
      <c r="AI6747">
        <v>92.855577829024995</v>
      </c>
      <c r="AJ6747">
        <v>69.892913261333902</v>
      </c>
      <c r="AK6747">
        <v>23.507703737966299</v>
      </c>
      <c r="AL6747">
        <v>94.869573061268596</v>
      </c>
      <c r="AM6747">
        <v>75.678930756555005</v>
      </c>
      <c r="AN6747">
        <v>0.99999998012566904</v>
      </c>
    </row>
    <row r="6748" spans="1:40" x14ac:dyDescent="0.25">
      <c r="A6748" t="str">
        <f>"20190303154943633"</f>
        <v>20190303154943633</v>
      </c>
      <c r="B6748" t="str">
        <f>"1551599383627158"</f>
        <v>1551599383627158</v>
      </c>
      <c r="C6748" t="s">
        <v>40</v>
      </c>
      <c r="D6748">
        <v>5.2607759999999999</v>
      </c>
      <c r="E6748">
        <v>0.53787890000000005</v>
      </c>
      <c r="F6748" t="s">
        <v>43</v>
      </c>
      <c r="G6748">
        <v>-318.58499999999998</v>
      </c>
      <c r="H6748">
        <v>-0.05</v>
      </c>
      <c r="I6748">
        <v>9.3926700000000007</v>
      </c>
      <c r="J6748">
        <v>-340.56790000000001</v>
      </c>
      <c r="K6748">
        <v>1.1211260000000001</v>
      </c>
      <c r="L6748">
        <v>17.64789</v>
      </c>
      <c r="M6748">
        <v>0.99985919999999895</v>
      </c>
      <c r="N6748">
        <v>-1.452093E-2</v>
      </c>
      <c r="O6748">
        <v>-8.4092919999999901E-3</v>
      </c>
      <c r="P6748">
        <v>0.962202</v>
      </c>
      <c r="Q6748">
        <v>-9.8980189999999996E-2</v>
      </c>
      <c r="R6748">
        <v>-0.25371320000000003</v>
      </c>
      <c r="S6748">
        <v>2.823944</v>
      </c>
      <c r="T6748">
        <v>-0.14965980000000001</v>
      </c>
      <c r="U6748">
        <v>-1.0550539999999999</v>
      </c>
      <c r="V6748">
        <v>0.24564050000000001</v>
      </c>
      <c r="W6748">
        <v>-8.4884570000000006E-2</v>
      </c>
      <c r="X6748">
        <v>0.96563730000000003</v>
      </c>
      <c r="Y6748">
        <v>0.34154770000000001</v>
      </c>
      <c r="Z6748">
        <v>-1.0999719999999999E-2</v>
      </c>
      <c r="AA6748">
        <v>0.93980010000000003</v>
      </c>
      <c r="AB6748">
        <v>23</v>
      </c>
      <c r="AC6748">
        <v>21.982900000000001</v>
      </c>
      <c r="AD6748">
        <v>-1.1711259999999999</v>
      </c>
      <c r="AE6748">
        <v>-8.2552199999999996</v>
      </c>
      <c r="AF6748">
        <v>8.0500244072634608</v>
      </c>
      <c r="AG6748">
        <v>-1.1711259999999999</v>
      </c>
      <c r="AH6748">
        <v>21.996835801236902</v>
      </c>
      <c r="AI6748">
        <v>92.862277005916596</v>
      </c>
      <c r="AJ6748">
        <v>69.899252047478896</v>
      </c>
      <c r="AK6748">
        <v>23.452829559180898</v>
      </c>
      <c r="AL6748">
        <v>94.8693871293776</v>
      </c>
      <c r="AM6748">
        <v>75.727713782273995</v>
      </c>
      <c r="AN6748">
        <v>1.0000000203078101</v>
      </c>
    </row>
    <row r="6749" spans="1:40" x14ac:dyDescent="0.25">
      <c r="A6749" t="str">
        <f>"20190303154943645"</f>
        <v>20190303154943645</v>
      </c>
      <c r="B6749" t="str">
        <f>"1551599383637894"</f>
        <v>1551599383637894</v>
      </c>
      <c r="C6749" t="s">
        <v>40</v>
      </c>
      <c r="D6749">
        <v>5.2297830000000003</v>
      </c>
      <c r="E6749">
        <v>0.53819229999999996</v>
      </c>
      <c r="F6749" t="s">
        <v>43</v>
      </c>
      <c r="G6749">
        <v>-318.69560000000001</v>
      </c>
      <c r="H6749">
        <v>-0.05</v>
      </c>
      <c r="I6749">
        <v>9.480499</v>
      </c>
      <c r="J6749">
        <v>-340.45659999999998</v>
      </c>
      <c r="K6749">
        <v>1.12113</v>
      </c>
      <c r="L6749">
        <v>17.64706</v>
      </c>
      <c r="M6749">
        <v>0.99985999999999997</v>
      </c>
      <c r="N6749">
        <v>-1.4529739999999999E-2</v>
      </c>
      <c r="O6749">
        <v>-8.2928949999999998E-3</v>
      </c>
      <c r="P6749">
        <v>0.96236909999999998</v>
      </c>
      <c r="Q6749">
        <v>-9.9100339999999995E-2</v>
      </c>
      <c r="R6749">
        <v>-0.25303209999999998</v>
      </c>
      <c r="S6749">
        <v>2.8242189999999998</v>
      </c>
      <c r="T6749">
        <v>-0.1512191</v>
      </c>
      <c r="U6749">
        <v>-1.0545960000000001</v>
      </c>
      <c r="V6749">
        <v>0.24507019999999999</v>
      </c>
      <c r="W6749">
        <v>-8.4994550000000002E-2</v>
      </c>
      <c r="X6749">
        <v>0.96577250000000003</v>
      </c>
      <c r="Y6749">
        <v>0.3414835</v>
      </c>
      <c r="Z6749">
        <v>-1.108957E-2</v>
      </c>
      <c r="AA6749">
        <v>0.93982239999999995</v>
      </c>
      <c r="AB6749">
        <v>23</v>
      </c>
      <c r="AC6749">
        <v>21.7609999999999</v>
      </c>
      <c r="AD6749">
        <v>-1.17113</v>
      </c>
      <c r="AE6749">
        <v>-8.1665609999999997</v>
      </c>
      <c r="AF6749">
        <v>7.9655763690137196</v>
      </c>
      <c r="AG6749">
        <v>-1.17113</v>
      </c>
      <c r="AH6749">
        <v>21.772706600477701</v>
      </c>
      <c r="AI6749">
        <v>92.891805278829196</v>
      </c>
      <c r="AJ6749">
        <v>69.904880204086993</v>
      </c>
      <c r="AK6749">
        <v>23.2136318803839</v>
      </c>
      <c r="AL6749">
        <v>94.8757114778562</v>
      </c>
      <c r="AM6749">
        <v>75.761412694051998</v>
      </c>
      <c r="AN6749">
        <v>0.999999999106996</v>
      </c>
    </row>
    <row r="6750" spans="1:40" x14ac:dyDescent="0.25">
      <c r="A6750" t="str">
        <f>"20190303154943655"</f>
        <v>20190303154943655</v>
      </c>
      <c r="B6750" t="str">
        <f>"1551599383647655"</f>
        <v>1551599383647655</v>
      </c>
      <c r="C6750" t="s">
        <v>40</v>
      </c>
      <c r="D6750">
        <v>5.2963930000000001</v>
      </c>
      <c r="E6750">
        <v>0.53849740000000001</v>
      </c>
      <c r="F6750" t="s">
        <v>43</v>
      </c>
      <c r="G6750">
        <v>-318.74040000000002</v>
      </c>
      <c r="H6750">
        <v>-0.05</v>
      </c>
      <c r="I6750">
        <v>9.5348050000000004</v>
      </c>
      <c r="J6750">
        <v>-340.34370000000001</v>
      </c>
      <c r="K6750">
        <v>1.1211260000000001</v>
      </c>
      <c r="L6750">
        <v>17.646270000000001</v>
      </c>
      <c r="M6750">
        <v>0.999861</v>
      </c>
      <c r="N6750">
        <v>-1.453773E-2</v>
      </c>
      <c r="O6750">
        <v>-8.1741039999999997E-3</v>
      </c>
      <c r="P6750">
        <v>0.96239629999999998</v>
      </c>
      <c r="Q6750">
        <v>-9.9468500000000001E-2</v>
      </c>
      <c r="R6750">
        <v>-0.2527837</v>
      </c>
      <c r="S6750">
        <v>2.824249</v>
      </c>
      <c r="T6750">
        <v>-0.1523089</v>
      </c>
      <c r="U6750">
        <v>-1.055023</v>
      </c>
      <c r="V6750">
        <v>0.2449365</v>
      </c>
      <c r="W6750">
        <v>-8.5355E-2</v>
      </c>
      <c r="X6750">
        <v>0.96577469999999999</v>
      </c>
      <c r="Y6750">
        <v>0.34170899999999998</v>
      </c>
      <c r="Z6750">
        <v>-1.116344E-2</v>
      </c>
      <c r="AA6750">
        <v>0.93973949999999995</v>
      </c>
      <c r="AB6750">
        <v>23</v>
      </c>
      <c r="AC6750">
        <v>21.603299999999901</v>
      </c>
      <c r="AD6750">
        <v>-1.1711259999999999</v>
      </c>
      <c r="AE6750">
        <v>-8.1114649999999902</v>
      </c>
      <c r="AF6750">
        <v>7.9142033673767296</v>
      </c>
      <c r="AG6750">
        <v>-1.1711259999999999</v>
      </c>
      <c r="AH6750">
        <v>21.613220716567501</v>
      </c>
      <c r="AI6750">
        <v>92.912794703863696</v>
      </c>
      <c r="AJ6750">
        <v>69.888573870214898</v>
      </c>
      <c r="AK6750">
        <v>23.046419695717098</v>
      </c>
      <c r="AL6750">
        <v>94.8964387265422</v>
      </c>
      <c r="AM6750">
        <v>75.768896123256098</v>
      </c>
      <c r="AN6750">
        <v>1.00000006810866</v>
      </c>
    </row>
    <row r="6751" spans="1:40" x14ac:dyDescent="0.25">
      <c r="A6751" t="str">
        <f>"20190303154943668"</f>
        <v>20190303154943668</v>
      </c>
      <c r="B6751" t="str">
        <f>"1551599383657415"</f>
        <v>1551599383657415</v>
      </c>
      <c r="C6751" t="s">
        <v>40</v>
      </c>
      <c r="D6751">
        <v>5.2957650000000003</v>
      </c>
      <c r="E6751">
        <v>0.53880760000000005</v>
      </c>
      <c r="F6751" t="s">
        <v>43</v>
      </c>
      <c r="G6751">
        <v>-319.01409999999998</v>
      </c>
      <c r="H6751">
        <v>-0.05</v>
      </c>
      <c r="I6751">
        <v>9.6635439999999999</v>
      </c>
      <c r="J6751">
        <v>-340.22269999999997</v>
      </c>
      <c r="K6751">
        <v>1.121127</v>
      </c>
      <c r="L6751">
        <v>17.64545</v>
      </c>
      <c r="M6751">
        <v>0.99986180000000002</v>
      </c>
      <c r="N6751">
        <v>-1.454543E-2</v>
      </c>
      <c r="O6751">
        <v>-8.0455279999999997E-3</v>
      </c>
      <c r="P6751">
        <v>0.96251019999999998</v>
      </c>
      <c r="Q6751">
        <v>-9.9559980000000006E-2</v>
      </c>
      <c r="R6751">
        <v>-0.25231369999999997</v>
      </c>
      <c r="S6751">
        <v>2.823639</v>
      </c>
      <c r="T6751">
        <v>-0.15503510000000001</v>
      </c>
      <c r="U6751">
        <v>-1.0567629999999999</v>
      </c>
      <c r="V6751">
        <v>0.24458969999999999</v>
      </c>
      <c r="W6751">
        <v>-8.5437620000000006E-2</v>
      </c>
      <c r="X6751">
        <v>0.96585520000000002</v>
      </c>
      <c r="Y6751">
        <v>0.34238499999999999</v>
      </c>
      <c r="Z6751">
        <v>-1.134568E-2</v>
      </c>
      <c r="AA6751">
        <v>0.93949119999999997</v>
      </c>
      <c r="AB6751">
        <v>23</v>
      </c>
      <c r="AC6751">
        <v>21.208599999999901</v>
      </c>
      <c r="AD6751">
        <v>-1.171127</v>
      </c>
      <c r="AE6751">
        <v>-7.9819059999999897</v>
      </c>
      <c r="AF6751">
        <v>7.79018849949124</v>
      </c>
      <c r="AG6751">
        <v>-1.171127</v>
      </c>
      <c r="AH6751">
        <v>21.215474876457598</v>
      </c>
      <c r="AI6751">
        <v>92.966333441653504</v>
      </c>
      <c r="AJ6751">
        <v>69.837083498651396</v>
      </c>
      <c r="AK6751">
        <v>22.630840672439401</v>
      </c>
      <c r="AL6751">
        <v>94.901190253620399</v>
      </c>
      <c r="AM6751">
        <v>75.789365230874395</v>
      </c>
      <c r="AN6751">
        <v>0.99999998781219701</v>
      </c>
    </row>
    <row r="6752" spans="1:40" x14ac:dyDescent="0.25">
      <c r="A6752" t="str">
        <f>"20190303154943679"</f>
        <v>20190303154943679</v>
      </c>
      <c r="B6752" t="str">
        <f>"1551599383667175"</f>
        <v>1551599383667175</v>
      </c>
      <c r="C6752" t="s">
        <v>40</v>
      </c>
      <c r="D6752">
        <v>5.2205979999999998</v>
      </c>
      <c r="E6752">
        <v>0.53915480000000005</v>
      </c>
      <c r="F6752" t="s">
        <v>43</v>
      </c>
      <c r="G6752">
        <v>-319.02260000000001</v>
      </c>
      <c r="H6752">
        <v>-0.05</v>
      </c>
      <c r="I6752">
        <v>9.703049</v>
      </c>
      <c r="J6752">
        <v>-340.09859999999998</v>
      </c>
      <c r="K6752">
        <v>1.121129</v>
      </c>
      <c r="L6752">
        <v>17.644590000000001</v>
      </c>
      <c r="M6752">
        <v>0.9998629</v>
      </c>
      <c r="N6752">
        <v>-1.455276E-2</v>
      </c>
      <c r="O6752">
        <v>-7.912891E-3</v>
      </c>
      <c r="P6752">
        <v>0.9625186</v>
      </c>
      <c r="Q6752">
        <v>-9.9980289999999999E-2</v>
      </c>
      <c r="R6752">
        <v>-0.25211519999999998</v>
      </c>
      <c r="S6752">
        <v>2.8234249999999999</v>
      </c>
      <c r="T6752">
        <v>-0.1559712</v>
      </c>
      <c r="U6752">
        <v>-1.0577700000000001</v>
      </c>
      <c r="V6752">
        <v>0.2445194</v>
      </c>
      <c r="W6752">
        <v>-8.5850670000000004E-2</v>
      </c>
      <c r="X6752">
        <v>0.96583640000000004</v>
      </c>
      <c r="Y6752">
        <v>0.34281980000000001</v>
      </c>
      <c r="Z6752">
        <v>-1.141958E-2</v>
      </c>
      <c r="AA6752">
        <v>0.93933180000000005</v>
      </c>
      <c r="AB6752">
        <v>23</v>
      </c>
      <c r="AC6752">
        <v>21.075999999999901</v>
      </c>
      <c r="AD6752">
        <v>-1.1711290000000001</v>
      </c>
      <c r="AE6752">
        <v>-7.941541</v>
      </c>
      <c r="AF6752">
        <v>7.7535386000250401</v>
      </c>
      <c r="AG6752">
        <v>-1.1711290000000001</v>
      </c>
      <c r="AH6752">
        <v>21.081188000401799</v>
      </c>
      <c r="AI6752">
        <v>92.984620672487097</v>
      </c>
      <c r="AJ6752">
        <v>69.806770787441906</v>
      </c>
      <c r="AK6752">
        <v>22.492340728901599</v>
      </c>
      <c r="AL6752">
        <v>94.924943425851097</v>
      </c>
      <c r="AM6752">
        <v>75.793018929907603</v>
      </c>
      <c r="AN6752">
        <v>1.0000000130403801</v>
      </c>
    </row>
    <row r="6753" spans="1:40" x14ac:dyDescent="0.25">
      <c r="A6753" t="str">
        <f>"20190303154943691"</f>
        <v>20190303154943691</v>
      </c>
      <c r="B6753" t="str">
        <f>"1551599383687671"</f>
        <v>1551599383687671</v>
      </c>
      <c r="C6753" t="s">
        <v>40</v>
      </c>
      <c r="D6753">
        <v>5.3045689999999999</v>
      </c>
      <c r="E6753">
        <v>0.53989889999999996</v>
      </c>
      <c r="F6753" t="s">
        <v>41</v>
      </c>
      <c r="G6753">
        <v>-319.98790000000002</v>
      </c>
      <c r="H6753" s="1">
        <v>-6.4021930000000003E-6</v>
      </c>
      <c r="I6753">
        <v>10.09507</v>
      </c>
      <c r="J6753">
        <v>-339.9785</v>
      </c>
      <c r="K6753">
        <v>1.1211230000000001</v>
      </c>
      <c r="L6753">
        <v>17.643799999999999</v>
      </c>
      <c r="M6753">
        <v>0.99986370000000002</v>
      </c>
      <c r="N6753">
        <v>-1.4558690000000001E-2</v>
      </c>
      <c r="O6753">
        <v>-7.7828609999999899E-3</v>
      </c>
      <c r="P6753">
        <v>0.96252300000000002</v>
      </c>
      <c r="Q6753">
        <v>-0.10035189999999999</v>
      </c>
      <c r="R6753">
        <v>-0.25195010000000001</v>
      </c>
      <c r="S6753">
        <v>2.822937</v>
      </c>
      <c r="T6753">
        <v>-0.15737319999999999</v>
      </c>
      <c r="U6753">
        <v>-1.059723</v>
      </c>
      <c r="V6753">
        <v>0.24448020000000001</v>
      </c>
      <c r="W6753">
        <v>-8.6216180000000003E-2</v>
      </c>
      <c r="X6753">
        <v>0.96581379999999994</v>
      </c>
      <c r="Y6753">
        <v>0.34355409999999997</v>
      </c>
      <c r="Z6753">
        <v>-1.1530240000000001E-2</v>
      </c>
      <c r="AA6753">
        <v>0.93906210000000001</v>
      </c>
      <c r="AB6753">
        <v>23</v>
      </c>
      <c r="AC6753">
        <v>19.990599999999901</v>
      </c>
      <c r="AD6753">
        <v>-1.1211294021929901</v>
      </c>
      <c r="AE6753">
        <v>-7.5487299999999902</v>
      </c>
      <c r="AF6753">
        <v>7.3726057449304196</v>
      </c>
      <c r="AG6753">
        <v>-1.1211294021929901</v>
      </c>
      <c r="AH6753">
        <v>19.993713445866199</v>
      </c>
      <c r="AI6753">
        <v>93.011622562181799</v>
      </c>
      <c r="AJ6753">
        <v>69.758739471160993</v>
      </c>
      <c r="AK6753">
        <v>21.3391851756822</v>
      </c>
      <c r="AL6753">
        <v>94.945963374612802</v>
      </c>
      <c r="AM6753">
        <v>75.794885383771899</v>
      </c>
      <c r="AN6753">
        <v>1.0000000470781301</v>
      </c>
    </row>
    <row r="6754" spans="1:40" x14ac:dyDescent="0.25">
      <c r="A6754" t="str">
        <f>"20190303154943704"</f>
        <v>20190303154943704</v>
      </c>
      <c r="B6754" t="str">
        <f>"1551599383697432"</f>
        <v>1551599383697432</v>
      </c>
      <c r="C6754" t="s">
        <v>40</v>
      </c>
      <c r="D6754">
        <v>5.2871589999999999</v>
      </c>
      <c r="E6754">
        <v>0.54022320000000001</v>
      </c>
      <c r="F6754" t="s">
        <v>41</v>
      </c>
      <c r="G6754">
        <v>-319.97199999999998</v>
      </c>
      <c r="H6754" s="1">
        <v>-6.4100950000000003E-6</v>
      </c>
      <c r="I6754">
        <v>10.09257</v>
      </c>
      <c r="J6754">
        <v>-339.85079999999999</v>
      </c>
      <c r="K6754">
        <v>1.121122</v>
      </c>
      <c r="L6754">
        <v>17.642939999999999</v>
      </c>
      <c r="M6754">
        <v>0.9998648</v>
      </c>
      <c r="N6754">
        <v>-1.456461E-2</v>
      </c>
      <c r="O6754">
        <v>-7.6443650000000002E-3</v>
      </c>
      <c r="P6754">
        <v>0.96245559999999997</v>
      </c>
      <c r="Q6754">
        <v>-0.10086299999999999</v>
      </c>
      <c r="R6754">
        <v>-0.2520039</v>
      </c>
      <c r="S6754">
        <v>2.821564</v>
      </c>
      <c r="T6754">
        <v>-0.15811610000000001</v>
      </c>
      <c r="U6754">
        <v>-1.064972</v>
      </c>
      <c r="V6754">
        <v>0.24466840000000001</v>
      </c>
      <c r="W6754">
        <v>-8.6722099999999996E-2</v>
      </c>
      <c r="X6754">
        <v>0.96572080000000005</v>
      </c>
      <c r="Y6754">
        <v>0.34535559999999998</v>
      </c>
      <c r="Z6754">
        <v>-1.1642909999999999E-2</v>
      </c>
      <c r="AA6754">
        <v>0.93839969999999995</v>
      </c>
      <c r="AB6754">
        <v>23</v>
      </c>
      <c r="AC6754">
        <v>19.878799999999998</v>
      </c>
      <c r="AD6754">
        <v>-1.1211284100950001</v>
      </c>
      <c r="AE6754">
        <v>-7.5503699999999903</v>
      </c>
      <c r="AF6754">
        <v>7.37766443418605</v>
      </c>
      <c r="AG6754">
        <v>-1.1211284100950001</v>
      </c>
      <c r="AH6754">
        <v>19.880679800924401</v>
      </c>
      <c r="AI6754">
        <v>93.026399216427393</v>
      </c>
      <c r="AJ6754">
        <v>69.640251447221303</v>
      </c>
      <c r="AK6754">
        <v>21.235072186415099</v>
      </c>
      <c r="AL6754">
        <v>94.975059637284104</v>
      </c>
      <c r="AM6754">
        <v>75.783079967245499</v>
      </c>
      <c r="AN6754">
        <v>1.0000000060698</v>
      </c>
    </row>
    <row r="6755" spans="1:40" x14ac:dyDescent="0.25">
      <c r="A6755" t="str">
        <f>"20190303154943714"</f>
        <v>20190303154943714</v>
      </c>
      <c r="B6755" t="str">
        <f>"1551599383708167"</f>
        <v>1551599383708167</v>
      </c>
      <c r="C6755" t="s">
        <v>40</v>
      </c>
      <c r="D6755">
        <v>5.3154180000000002</v>
      </c>
      <c r="E6755">
        <v>0.5404968</v>
      </c>
      <c r="F6755" t="s">
        <v>41</v>
      </c>
      <c r="G6755">
        <v>-320.05700000000002</v>
      </c>
      <c r="H6755" s="1">
        <v>-6.3595519999999996E-6</v>
      </c>
      <c r="I6755">
        <v>10.15117</v>
      </c>
      <c r="J6755">
        <v>-339.73340000000002</v>
      </c>
      <c r="K6755">
        <v>1.1211199999999999</v>
      </c>
      <c r="L6755">
        <v>17.642209999999999</v>
      </c>
      <c r="M6755">
        <v>0.99986580000000003</v>
      </c>
      <c r="N6755">
        <v>-1.4569260000000001E-2</v>
      </c>
      <c r="O6755">
        <v>-7.5157549999999998E-3</v>
      </c>
      <c r="P6755">
        <v>0.96240999999999999</v>
      </c>
      <c r="Q6755">
        <v>-0.10131950000000001</v>
      </c>
      <c r="R6755">
        <v>-0.25199510000000003</v>
      </c>
      <c r="S6755">
        <v>2.8207399999999998</v>
      </c>
      <c r="T6755">
        <v>-0.15976799999999999</v>
      </c>
      <c r="U6755">
        <v>-1.0676270000000001</v>
      </c>
      <c r="V6755">
        <v>0.24478440000000001</v>
      </c>
      <c r="W6755">
        <v>-8.7174409999999994E-2</v>
      </c>
      <c r="X6755">
        <v>0.96565069999999997</v>
      </c>
      <c r="Y6755">
        <v>0.34632610000000003</v>
      </c>
      <c r="Z6755">
        <v>-1.177753E-2</v>
      </c>
      <c r="AA6755">
        <v>0.93804030000000005</v>
      </c>
      <c r="AB6755">
        <v>23</v>
      </c>
      <c r="AC6755">
        <v>19.676400000000001</v>
      </c>
      <c r="AD6755">
        <v>-1.121126359552</v>
      </c>
      <c r="AE6755">
        <v>-7.4910399999999999</v>
      </c>
      <c r="AF6755">
        <v>7.3221674699442403</v>
      </c>
      <c r="AG6755">
        <v>-1.121126359552</v>
      </c>
      <c r="AH6755">
        <v>19.6763579968691</v>
      </c>
      <c r="AI6755">
        <v>93.056731541514097</v>
      </c>
      <c r="AJ6755">
        <v>69.588245059099407</v>
      </c>
      <c r="AK6755">
        <v>21.0245124745604</v>
      </c>
      <c r="AL6755">
        <v>95.001073504170705</v>
      </c>
      <c r="AM6755">
        <v>75.775622413250403</v>
      </c>
      <c r="AN6755">
        <v>1.0000000273263401</v>
      </c>
    </row>
    <row r="6756" spans="1:40" x14ac:dyDescent="0.25">
      <c r="A6756" t="str">
        <f>"20190303154943725"</f>
        <v>20190303154943725</v>
      </c>
      <c r="B6756" t="str">
        <f>"1551599383717927"</f>
        <v>1551599383717927</v>
      </c>
      <c r="C6756" t="s">
        <v>40</v>
      </c>
      <c r="D6756">
        <v>5.322152</v>
      </c>
      <c r="E6756">
        <v>0.54073470000000001</v>
      </c>
      <c r="F6756" t="s">
        <v>41</v>
      </c>
      <c r="G6756">
        <v>-320.19639999999998</v>
      </c>
      <c r="H6756" s="1">
        <v>-6.279533E-6</v>
      </c>
      <c r="I6756">
        <v>10.2309</v>
      </c>
      <c r="J6756">
        <v>-339.62569999999999</v>
      </c>
      <c r="K6756">
        <v>1.121119</v>
      </c>
      <c r="L6756">
        <v>17.64151</v>
      </c>
      <c r="M6756">
        <v>0.99986649999999999</v>
      </c>
      <c r="N6756">
        <v>-1.457313E-2</v>
      </c>
      <c r="O6756">
        <v>-7.3972780000000002E-3</v>
      </c>
      <c r="P6756">
        <v>0.96226199999999995</v>
      </c>
      <c r="Q6756">
        <v>-0.10188270000000001</v>
      </c>
      <c r="R6756">
        <v>-0.25233339999999999</v>
      </c>
      <c r="S6756">
        <v>2.8200069999999999</v>
      </c>
      <c r="T6756">
        <v>-0.16182539999999901</v>
      </c>
      <c r="U6756">
        <v>-1.069763</v>
      </c>
      <c r="V6756">
        <v>0.24523829999999999</v>
      </c>
      <c r="W6756">
        <v>-8.7735640000000004E-2</v>
      </c>
      <c r="X6756">
        <v>0.96548469999999997</v>
      </c>
      <c r="Y6756">
        <v>0.34712330000000002</v>
      </c>
      <c r="Z6756">
        <v>-1.1929189999999999E-2</v>
      </c>
      <c r="AA6756">
        <v>0.93774369999999996</v>
      </c>
      <c r="AB6756">
        <v>23</v>
      </c>
      <c r="AC6756">
        <v>19.429300000000001</v>
      </c>
      <c r="AD6756">
        <v>-1.121125279533</v>
      </c>
      <c r="AE6756">
        <v>-7.4106100000000001</v>
      </c>
      <c r="AF6756">
        <v>7.2456068427703002</v>
      </c>
      <c r="AG6756">
        <v>-1.121125279533</v>
      </c>
      <c r="AH6756">
        <v>19.427122666643701</v>
      </c>
      <c r="AI6756">
        <v>93.095026185811406</v>
      </c>
      <c r="AJ6756">
        <v>69.546322634468595</v>
      </c>
      <c r="AK6756">
        <v>20.764605354237499</v>
      </c>
      <c r="AL6756">
        <v>95.033353250682495</v>
      </c>
      <c r="AM6756">
        <v>75.747969495522597</v>
      </c>
      <c r="AN6756">
        <v>1.0000000361235899</v>
      </c>
    </row>
    <row r="6757" spans="1:40" x14ac:dyDescent="0.25">
      <c r="A6757" t="str">
        <f>"20190303154943739"</f>
        <v>20190303154943739</v>
      </c>
      <c r="B6757" t="str">
        <f>"1551599383727687"</f>
        <v>1551599383727687</v>
      </c>
      <c r="C6757" t="s">
        <v>40</v>
      </c>
      <c r="D6757">
        <v>5.3092040000000003</v>
      </c>
      <c r="E6757">
        <v>0.54102079999999997</v>
      </c>
      <c r="F6757" t="s">
        <v>41</v>
      </c>
      <c r="G6757">
        <v>-320.40140000000002</v>
      </c>
      <c r="H6757" s="1">
        <v>-6.1654549999999897E-6</v>
      </c>
      <c r="I6757">
        <v>10.32748</v>
      </c>
      <c r="J6757">
        <v>-339.48410000000001</v>
      </c>
      <c r="K6757">
        <v>1.1211150000000001</v>
      </c>
      <c r="L6757">
        <v>17.640629999999899</v>
      </c>
      <c r="M6757">
        <v>0.99986759999999997</v>
      </c>
      <c r="N6757">
        <v>-1.4577639999999999E-2</v>
      </c>
      <c r="O6757">
        <v>-7.2407769999999899E-3</v>
      </c>
      <c r="P6757">
        <v>0.96211429999999998</v>
      </c>
      <c r="Q6757">
        <v>-0.1022248</v>
      </c>
      <c r="R6757">
        <v>-0.25275819999999999</v>
      </c>
      <c r="S6757">
        <v>2.819</v>
      </c>
      <c r="T6757">
        <v>-0.16439879999999901</v>
      </c>
      <c r="U6757">
        <v>-1.0725100000000001</v>
      </c>
      <c r="V6757">
        <v>0.24581529999999999</v>
      </c>
      <c r="W6757">
        <v>-8.8075059999999997E-2</v>
      </c>
      <c r="X6757">
        <v>0.96530700000000003</v>
      </c>
      <c r="Y6757">
        <v>0.3481591</v>
      </c>
      <c r="Z6757">
        <v>-1.212188E-2</v>
      </c>
      <c r="AA6757">
        <v>0.93735710000000005</v>
      </c>
      <c r="AB6757">
        <v>23</v>
      </c>
      <c r="AC6757">
        <v>19.0826999999999</v>
      </c>
      <c r="AD6757">
        <v>-1.121121165455</v>
      </c>
      <c r="AE6757">
        <v>-7.3131499999999896</v>
      </c>
      <c r="AF6757">
        <v>7.1532414555694199</v>
      </c>
      <c r="AG6757">
        <v>-1.121121165455</v>
      </c>
      <c r="AH6757">
        <v>19.077741393504802</v>
      </c>
      <c r="AI6757">
        <v>93.149530844362701</v>
      </c>
      <c r="AJ6757">
        <v>69.446354984682301</v>
      </c>
      <c r="AK6757">
        <v>20.405538284170699</v>
      </c>
      <c r="AL6757">
        <v>95.052876388218905</v>
      </c>
      <c r="AM6757">
        <v>75.713285997322501</v>
      </c>
      <c r="AN6757">
        <v>0.99999999107854598</v>
      </c>
    </row>
    <row r="6758" spans="1:40" x14ac:dyDescent="0.25">
      <c r="A6758" t="str">
        <f>"20190303154943754"</f>
        <v>20190303154943754</v>
      </c>
      <c r="B6758" t="str">
        <f>"1551599383747207"</f>
        <v>1551599383747207</v>
      </c>
      <c r="C6758" t="s">
        <v>40</v>
      </c>
      <c r="D6758">
        <v>5.3184250000000004</v>
      </c>
      <c r="E6758">
        <v>0.54168090000000002</v>
      </c>
      <c r="F6758" t="s">
        <v>41</v>
      </c>
      <c r="G6758">
        <v>-320.4178</v>
      </c>
      <c r="H6758" s="1">
        <v>-6.151955E-6</v>
      </c>
      <c r="I6758">
        <v>10.36009</v>
      </c>
      <c r="J6758">
        <v>-339.34300000000002</v>
      </c>
      <c r="K6758">
        <v>1.1211139999999999</v>
      </c>
      <c r="L6758">
        <v>17.639800000000001</v>
      </c>
      <c r="M6758">
        <v>0.9998686</v>
      </c>
      <c r="N6758">
        <v>-1.458126E-2</v>
      </c>
      <c r="O6758">
        <v>-7.0836839999999998E-3</v>
      </c>
      <c r="P6758">
        <v>0.96200960000000002</v>
      </c>
      <c r="Q6758">
        <v>-0.1024404</v>
      </c>
      <c r="R6758">
        <v>-0.25306859999999998</v>
      </c>
      <c r="S6758">
        <v>2.8178100000000001</v>
      </c>
      <c r="T6758">
        <v>-0.16569029999999901</v>
      </c>
      <c r="U6758">
        <v>-1.0759890000000001</v>
      </c>
      <c r="V6758">
        <v>0.24627840000000001</v>
      </c>
      <c r="W6758">
        <v>-8.8288759999999994E-2</v>
      </c>
      <c r="X6758">
        <v>0.96516939999999996</v>
      </c>
      <c r="Y6758">
        <v>0.34943600000000002</v>
      </c>
      <c r="Z6758">
        <v>-1.2251140000000001E-2</v>
      </c>
      <c r="AA6758">
        <v>0.93688020000000005</v>
      </c>
      <c r="AB6758">
        <v>23</v>
      </c>
      <c r="AC6758">
        <v>18.9252</v>
      </c>
      <c r="AD6758">
        <v>-1.121120151955</v>
      </c>
      <c r="AE6758">
        <v>-7.2797099999999997</v>
      </c>
      <c r="AF6758">
        <v>7.1236758096209103</v>
      </c>
      <c r="AG6758">
        <v>-1.121120151955</v>
      </c>
      <c r="AH6758">
        <v>18.9184638708807</v>
      </c>
      <c r="AI6758">
        <v>93.174327279386603</v>
      </c>
      <c r="AJ6758">
        <v>69.366325358217296</v>
      </c>
      <c r="AK6758">
        <v>20.2462821937638</v>
      </c>
      <c r="AL6758">
        <v>95.065168523502393</v>
      </c>
      <c r="AM6758">
        <v>75.685518950978306</v>
      </c>
      <c r="AN6758">
        <v>0.99999996307262795</v>
      </c>
    </row>
    <row r="6759" spans="1:40" x14ac:dyDescent="0.25">
      <c r="A6759" t="str">
        <f>"20190303154943769"</f>
        <v>20190303154943769</v>
      </c>
      <c r="B6759" t="str">
        <f>"1551599383757943"</f>
        <v>1551599383757943</v>
      </c>
      <c r="C6759" t="s">
        <v>40</v>
      </c>
      <c r="D6759">
        <v>5.3453109999999997</v>
      </c>
      <c r="E6759">
        <v>0.54198590000000002</v>
      </c>
      <c r="F6759" t="s">
        <v>41</v>
      </c>
      <c r="G6759">
        <v>-320.36689999999999</v>
      </c>
      <c r="H6759" s="1">
        <v>-6.1781299999999997E-6</v>
      </c>
      <c r="I6759">
        <v>10.348179999999999</v>
      </c>
      <c r="J6759">
        <v>-339.1773</v>
      </c>
      <c r="K6759">
        <v>1.121108</v>
      </c>
      <c r="L6759">
        <v>17.638850000000001</v>
      </c>
      <c r="M6759">
        <v>0.99986989999999998</v>
      </c>
      <c r="N6759">
        <v>-1.458479E-2</v>
      </c>
      <c r="O6759">
        <v>-6.8997850000000003E-3</v>
      </c>
      <c r="P6759">
        <v>0.96186470000000002</v>
      </c>
      <c r="Q6759">
        <v>-0.1027892</v>
      </c>
      <c r="R6759">
        <v>-0.25347789999999998</v>
      </c>
      <c r="S6759">
        <v>2.8161010000000002</v>
      </c>
      <c r="T6759">
        <v>-0.16637679999999999</v>
      </c>
      <c r="U6759">
        <v>-1.0820920000000001</v>
      </c>
      <c r="V6759">
        <v>0.2468658</v>
      </c>
      <c r="W6759">
        <v>-8.8636899999999894E-2</v>
      </c>
      <c r="X6759">
        <v>0.9649875</v>
      </c>
      <c r="Y6759">
        <v>0.35155809999999998</v>
      </c>
      <c r="Z6759">
        <v>-1.237839E-2</v>
      </c>
      <c r="AA6759">
        <v>0.93608429999999998</v>
      </c>
      <c r="AB6759">
        <v>23</v>
      </c>
      <c r="AC6759">
        <v>18.810400000000001</v>
      </c>
      <c r="AD6759">
        <v>-1.12111417813</v>
      </c>
      <c r="AE6759">
        <v>-7.2906699999999898</v>
      </c>
      <c r="AF6759">
        <v>7.13864852565154</v>
      </c>
      <c r="AG6759">
        <v>-1.12111417813</v>
      </c>
      <c r="AH6759">
        <v>18.8021944926959</v>
      </c>
      <c r="AI6759">
        <v>93.190606141307697</v>
      </c>
      <c r="AJ6759">
        <v>69.209681132784496</v>
      </c>
      <c r="AK6759">
        <v>20.1429818426755</v>
      </c>
      <c r="AL6759">
        <v>95.085193548140396</v>
      </c>
      <c r="AM6759">
        <v>75.650192457663195</v>
      </c>
      <c r="AN6759">
        <v>1.00000004920374</v>
      </c>
    </row>
    <row r="6760" spans="1:40" x14ac:dyDescent="0.25">
      <c r="A6760" t="str">
        <f>"20190303154943782"</f>
        <v>20190303154943782</v>
      </c>
      <c r="B6760" t="str">
        <f>"1551599383777463"</f>
        <v>1551599383777463</v>
      </c>
      <c r="C6760" t="s">
        <v>40</v>
      </c>
      <c r="D6760">
        <v>5.4797750000000001</v>
      </c>
      <c r="E6760">
        <v>0.542224699999999</v>
      </c>
      <c r="F6760" t="s">
        <v>41</v>
      </c>
      <c r="G6760">
        <v>-320.30399999999997</v>
      </c>
      <c r="H6760" s="1">
        <v>-6.2057999999999999E-6</v>
      </c>
      <c r="I6760">
        <v>10.359769999999999</v>
      </c>
      <c r="J6760">
        <v>-339.05220000000003</v>
      </c>
      <c r="K6760">
        <v>1.121111</v>
      </c>
      <c r="L6760">
        <v>17.638120000000001</v>
      </c>
      <c r="M6760">
        <v>0.9998707</v>
      </c>
      <c r="N6760">
        <v>-1.4587009999999999E-2</v>
      </c>
      <c r="O6760">
        <v>-6.7615430000000001E-3</v>
      </c>
      <c r="P6760">
        <v>0.96184590000000003</v>
      </c>
      <c r="Q6760">
        <v>-0.102977</v>
      </c>
      <c r="R6760">
        <v>-0.25347259999999999</v>
      </c>
      <c r="S6760">
        <v>2.8150019999999998</v>
      </c>
      <c r="T6760">
        <v>-0.167216899999999</v>
      </c>
      <c r="U6760">
        <v>-1.085693</v>
      </c>
      <c r="V6760">
        <v>0.24699380000000001</v>
      </c>
      <c r="W6760">
        <v>-8.8823869999999999E-2</v>
      </c>
      <c r="X6760">
        <v>0.9649375</v>
      </c>
      <c r="Y6760">
        <v>0.35284339999999997</v>
      </c>
      <c r="Z6760">
        <v>-1.2481829999999999E-2</v>
      </c>
      <c r="AA6760">
        <v>0.93559910000000002</v>
      </c>
      <c r="AB6760">
        <v>23</v>
      </c>
      <c r="AC6760">
        <v>18.748200000000001</v>
      </c>
      <c r="AD6760">
        <v>-1.1211172058000001</v>
      </c>
      <c r="AE6760">
        <v>-7.2783499999999997</v>
      </c>
      <c r="AF6760">
        <v>7.1292489217925699</v>
      </c>
      <c r="AG6760">
        <v>-1.1211172058000001</v>
      </c>
      <c r="AH6760">
        <v>18.738758055424601</v>
      </c>
      <c r="AI6760">
        <v>93.200562172582096</v>
      </c>
      <c r="AJ6760">
        <v>69.170446387934604</v>
      </c>
      <c r="AK6760">
        <v>20.080441913408201</v>
      </c>
      <c r="AL6760">
        <v>95.095948822280306</v>
      </c>
      <c r="AM6760">
        <v>75.642346383727798</v>
      </c>
      <c r="AN6760">
        <v>0.99999999801323303</v>
      </c>
    </row>
    <row r="6761" spans="1:40" x14ac:dyDescent="0.25">
      <c r="A6761" t="str">
        <f>"20190303154943793"</f>
        <v>20190303154943793</v>
      </c>
      <c r="B6761" t="str">
        <f>"1551599383787223"</f>
        <v>1551599383787223</v>
      </c>
      <c r="C6761" t="s">
        <v>40</v>
      </c>
      <c r="D6761">
        <v>5.3596079999999997</v>
      </c>
      <c r="E6761">
        <v>0.542224699999999</v>
      </c>
      <c r="F6761" t="s">
        <v>41</v>
      </c>
      <c r="G6761">
        <v>-320.33370000000002</v>
      </c>
      <c r="H6761" s="1">
        <v>-6.1837120000000001E-6</v>
      </c>
      <c r="I6761">
        <v>10.40512</v>
      </c>
      <c r="J6761">
        <v>-338.93150000000003</v>
      </c>
      <c r="K6761">
        <v>1.1211139999999999</v>
      </c>
      <c r="L6761">
        <v>17.637450000000001</v>
      </c>
      <c r="M6761">
        <v>0.99987159999999997</v>
      </c>
      <c r="N6761">
        <v>-1.458866E-2</v>
      </c>
      <c r="O6761">
        <v>-6.6317930000000004E-3</v>
      </c>
      <c r="P6761">
        <v>0.96185410000000005</v>
      </c>
      <c r="Q6761">
        <v>-0.1026396</v>
      </c>
      <c r="R6761">
        <v>-0.25357770000000002</v>
      </c>
      <c r="S6761">
        <v>2.814362</v>
      </c>
      <c r="T6761">
        <v>-0.16856179999999901</v>
      </c>
      <c r="U6761">
        <v>-1.087494</v>
      </c>
      <c r="V6761">
        <v>0.24722340000000001</v>
      </c>
      <c r="W6761">
        <v>-8.8486919999999997E-2</v>
      </c>
      <c r="X6761">
        <v>0.96490969999999998</v>
      </c>
      <c r="Y6761">
        <v>0.35354570000000002</v>
      </c>
      <c r="Z6761">
        <v>-1.259278E-2</v>
      </c>
      <c r="AA6761">
        <v>0.93533250000000001</v>
      </c>
      <c r="AB6761">
        <v>23</v>
      </c>
      <c r="AC6761">
        <v>18.597799999999999</v>
      </c>
      <c r="AD6761">
        <v>-1.121120183712</v>
      </c>
      <c r="AE6761">
        <v>-7.2323300000000001</v>
      </c>
      <c r="AF6761">
        <v>7.0864519357281397</v>
      </c>
      <c r="AG6761">
        <v>-1.121120183712</v>
      </c>
      <c r="AH6761">
        <v>18.586688594116499</v>
      </c>
      <c r="AI6761">
        <v>93.2258338765768</v>
      </c>
      <c r="AJ6761">
        <v>69.129906929293895</v>
      </c>
      <c r="AK6761">
        <v>19.923345712966299</v>
      </c>
      <c r="AL6761">
        <v>95.076566491733303</v>
      </c>
      <c r="AM6761">
        <v>75.629155428475897</v>
      </c>
      <c r="AN6761">
        <v>1.00000003683636</v>
      </c>
    </row>
    <row r="6762" spans="1:40" x14ac:dyDescent="0.25">
      <c r="A6762" t="str">
        <f>"20190303154943803"</f>
        <v>20190303154943803</v>
      </c>
      <c r="B6762" t="str">
        <f>"1551599383797959"</f>
        <v>1551599383797959</v>
      </c>
      <c r="C6762" t="s">
        <v>40</v>
      </c>
      <c r="D6762">
        <v>5.2957599999999996</v>
      </c>
      <c r="E6762">
        <v>0.50502279999999999</v>
      </c>
      <c r="F6762" t="s">
        <v>41</v>
      </c>
      <c r="G6762">
        <v>-320.11509999999998</v>
      </c>
      <c r="H6762" s="1">
        <v>-6.2943309999999998E-6</v>
      </c>
      <c r="I6762">
        <v>10.36408</v>
      </c>
      <c r="J6762">
        <v>-338.82490000000001</v>
      </c>
      <c r="K6762">
        <v>1.1211139999999999</v>
      </c>
      <c r="L6762">
        <v>17.636869999999998</v>
      </c>
      <c r="M6762">
        <v>0.99987230000000005</v>
      </c>
      <c r="N6762">
        <v>-1.4589980000000001E-2</v>
      </c>
      <c r="O6762">
        <v>-6.5190919999999998E-3</v>
      </c>
      <c r="P6762">
        <v>0.96201530000000002</v>
      </c>
      <c r="Q6762">
        <v>-0.1021186</v>
      </c>
      <c r="R6762">
        <v>-0.25317719999999999</v>
      </c>
      <c r="S6762">
        <v>2.8143310000000001</v>
      </c>
      <c r="T6762">
        <v>-0.167683</v>
      </c>
      <c r="U6762">
        <v>-1.08786</v>
      </c>
      <c r="V6762">
        <v>0.24692939999999999</v>
      </c>
      <c r="W6762">
        <v>-8.7964799999999996E-2</v>
      </c>
      <c r="X6762">
        <v>0.96503269999999997</v>
      </c>
      <c r="Y6762">
        <v>0.35376629999999998</v>
      </c>
      <c r="Z6762">
        <v>-1.255468E-2</v>
      </c>
      <c r="AA6762">
        <v>0.93524960000000001</v>
      </c>
      <c r="AB6762">
        <v>23</v>
      </c>
      <c r="AC6762">
        <v>18.709800000000001</v>
      </c>
      <c r="AD6762">
        <v>-1.1211202943309999</v>
      </c>
      <c r="AE6762">
        <v>-7.2727899999999996</v>
      </c>
      <c r="AF6762">
        <v>7.1284160666790202</v>
      </c>
      <c r="AG6762">
        <v>-1.1211202943309999</v>
      </c>
      <c r="AH6762">
        <v>18.69849369828</v>
      </c>
      <c r="AI6762">
        <v>93.206623908322399</v>
      </c>
      <c r="AJ6762">
        <v>69.131681293003894</v>
      </c>
      <c r="AK6762">
        <v>20.042577002937101</v>
      </c>
      <c r="AL6762">
        <v>95.046534176943098</v>
      </c>
      <c r="AM6762">
        <v>75.647292748220906</v>
      </c>
      <c r="AN6762">
        <v>1.00000002334634</v>
      </c>
    </row>
    <row r="6763" spans="1:40" x14ac:dyDescent="0.25">
      <c r="A6763" t="str">
        <f>"20190303154943815"</f>
        <v>20190303154943815</v>
      </c>
      <c r="B6763" t="str">
        <f>"1551599383807718"</f>
        <v>1551599383807718</v>
      </c>
      <c r="C6763" t="s">
        <v>40</v>
      </c>
      <c r="D6763">
        <v>5.232723</v>
      </c>
      <c r="E6763">
        <v>0.49899969999999999</v>
      </c>
      <c r="F6763" t="s">
        <v>43</v>
      </c>
      <c r="G6763">
        <v>-317.57659999999998</v>
      </c>
      <c r="H6763">
        <v>-0.05</v>
      </c>
      <c r="I6763">
        <v>11.75835</v>
      </c>
      <c r="J6763">
        <v>-338.70530000000002</v>
      </c>
      <c r="K6763">
        <v>1.1211120000000001</v>
      </c>
      <c r="L6763">
        <v>17.636229999999902</v>
      </c>
      <c r="M6763">
        <v>0.99987329999999996</v>
      </c>
      <c r="N6763">
        <v>-1.4591069999999999E-2</v>
      </c>
      <c r="O6763">
        <v>-6.3979639999999999E-3</v>
      </c>
      <c r="P6763">
        <v>0.96221109999999999</v>
      </c>
      <c r="Q6763">
        <v>-0.10126019999999999</v>
      </c>
      <c r="R6763">
        <v>-0.25277830000000001</v>
      </c>
      <c r="S6763">
        <v>2.8910520000000002</v>
      </c>
      <c r="T6763">
        <v>-0.15934219999999999</v>
      </c>
      <c r="U6763">
        <v>-0.79983519999999997</v>
      </c>
      <c r="V6763">
        <v>0.24664449999999999</v>
      </c>
      <c r="W6763">
        <v>-8.7106379999999997E-2</v>
      </c>
      <c r="X6763">
        <v>0.96518340000000002</v>
      </c>
      <c r="Y6763">
        <v>0.2600054</v>
      </c>
      <c r="Z6763">
        <v>-8.7075179999999992E-3</v>
      </c>
      <c r="AA6763">
        <v>0.96556790000000003</v>
      </c>
      <c r="AB6763">
        <v>23</v>
      </c>
      <c r="AC6763">
        <v>21.128699999999998</v>
      </c>
      <c r="AD6763">
        <v>-1.1711119999999999</v>
      </c>
      <c r="AE6763">
        <v>-5.8778799999999896</v>
      </c>
      <c r="AF6763">
        <v>5.7262361267492796</v>
      </c>
      <c r="AG6763">
        <v>-1.1711119999999999</v>
      </c>
      <c r="AH6763">
        <v>21.1056944534206</v>
      </c>
      <c r="AI6763">
        <v>93.065373632145494</v>
      </c>
      <c r="AJ6763">
        <v>74.820363557676401</v>
      </c>
      <c r="AK6763">
        <v>21.900037028666901</v>
      </c>
      <c r="AL6763">
        <v>94.9971608592259</v>
      </c>
      <c r="AM6763">
        <v>75.665315733963197</v>
      </c>
      <c r="AN6763">
        <v>1.0000000132262501</v>
      </c>
    </row>
    <row r="6764" spans="1:40" x14ac:dyDescent="0.25">
      <c r="A6764" t="str">
        <f>"20190303154943827"</f>
        <v>20190303154943827</v>
      </c>
      <c r="B6764" t="str">
        <f>"1551599383817479"</f>
        <v>1551599383817479</v>
      </c>
      <c r="C6764" t="s">
        <v>40</v>
      </c>
      <c r="D6764">
        <v>5.3198290000000004</v>
      </c>
      <c r="E6764">
        <v>0.49452819999999997</v>
      </c>
      <c r="F6764" t="s">
        <v>43</v>
      </c>
      <c r="G6764">
        <v>-318.72789999999998</v>
      </c>
      <c r="H6764">
        <v>-0.05</v>
      </c>
      <c r="I6764">
        <v>12.45955</v>
      </c>
      <c r="J6764">
        <v>-338.58100000000002</v>
      </c>
      <c r="K6764">
        <v>1.121108</v>
      </c>
      <c r="L6764">
        <v>17.635560000000002</v>
      </c>
      <c r="M6764">
        <v>0.99987389999999998</v>
      </c>
      <c r="N6764">
        <v>-1.4591949999999999E-2</v>
      </c>
      <c r="O6764">
        <v>-6.2783020000000004E-3</v>
      </c>
      <c r="P6764">
        <v>0.96241069999999995</v>
      </c>
      <c r="Q6764">
        <v>-0.10036879999999999</v>
      </c>
      <c r="R6764">
        <v>-0.2523726</v>
      </c>
      <c r="S6764">
        <v>2.9023439999999998</v>
      </c>
      <c r="T6764">
        <v>-0.17014089999999901</v>
      </c>
      <c r="U6764">
        <v>-0.75207519999999894</v>
      </c>
      <c r="V6764">
        <v>0.24635099999999999</v>
      </c>
      <c r="W6764">
        <v>-8.6216409999999993E-2</v>
      </c>
      <c r="X6764">
        <v>0.96533820000000004</v>
      </c>
      <c r="Y6764">
        <v>0.2442685</v>
      </c>
      <c r="Z6764">
        <v>-8.5791089999999997E-3</v>
      </c>
      <c r="AA6764">
        <v>0.96966969999999997</v>
      </c>
      <c r="AB6764">
        <v>23</v>
      </c>
      <c r="AC6764">
        <v>19.853099999999898</v>
      </c>
      <c r="AD6764">
        <v>-1.171108</v>
      </c>
      <c r="AE6764">
        <v>-5.1760099999999998</v>
      </c>
      <c r="AF6764">
        <v>5.0348464318860202</v>
      </c>
      <c r="AG6764">
        <v>-1.171108</v>
      </c>
      <c r="AH6764">
        <v>19.8206291632365</v>
      </c>
      <c r="AI6764">
        <v>93.277553910970695</v>
      </c>
      <c r="AJ6764">
        <v>75.747154421258202</v>
      </c>
      <c r="AK6764">
        <v>20.4836157200549</v>
      </c>
      <c r="AL6764">
        <v>94.945977021422394</v>
      </c>
      <c r="AM6764">
        <v>75.683873521054295</v>
      </c>
      <c r="AN6764">
        <v>0.99999996246676304</v>
      </c>
    </row>
    <row r="6765" spans="1:40" x14ac:dyDescent="0.25">
      <c r="A6765" t="str">
        <f>"20190303154943836"</f>
        <v>20190303154943836</v>
      </c>
      <c r="B6765" t="str">
        <f>"1551599383828215"</f>
        <v>1551599383828215</v>
      </c>
      <c r="C6765" t="s">
        <v>40</v>
      </c>
      <c r="D6765">
        <v>5.2948829999999996</v>
      </c>
      <c r="E6765">
        <v>0.49211240000000001</v>
      </c>
      <c r="F6765" t="s">
        <v>41</v>
      </c>
      <c r="G6765">
        <v>-320.6773</v>
      </c>
      <c r="H6765" s="1">
        <v>-5.5202119999999996E-6</v>
      </c>
      <c r="I6765">
        <v>13.229850000000001</v>
      </c>
      <c r="J6765">
        <v>-338.47460000000001</v>
      </c>
      <c r="K6765">
        <v>1.1211009999999999</v>
      </c>
      <c r="L6765">
        <v>17.635010000000001</v>
      </c>
      <c r="M6765">
        <v>0.9998745</v>
      </c>
      <c r="N6765">
        <v>-1.4592539999999999E-2</v>
      </c>
      <c r="O6765">
        <v>-6.1805740000000003E-3</v>
      </c>
      <c r="P6765">
        <v>0.96264700000000003</v>
      </c>
      <c r="Q6765">
        <v>-9.9632020000000002E-2</v>
      </c>
      <c r="R6765">
        <v>-0.2517626</v>
      </c>
      <c r="S6765">
        <v>2.9104000000000001</v>
      </c>
      <c r="T6765">
        <v>-0.18224699999999999</v>
      </c>
      <c r="U6765">
        <v>-0.71618649999999995</v>
      </c>
      <c r="V6765">
        <v>0.2458321</v>
      </c>
      <c r="W6765">
        <v>-8.5480879999999995E-2</v>
      </c>
      <c r="X6765">
        <v>0.9655359</v>
      </c>
      <c r="Y6765">
        <v>0.2324157</v>
      </c>
      <c r="Z6765">
        <v>-8.5938400000000002E-3</v>
      </c>
      <c r="AA6765">
        <v>0.97257859999999996</v>
      </c>
      <c r="AB6765">
        <v>23</v>
      </c>
      <c r="AC6765">
        <v>17.7973</v>
      </c>
      <c r="AD6765">
        <v>-1.1211065202120001</v>
      </c>
      <c r="AE6765">
        <v>-4.4051599999999898</v>
      </c>
      <c r="AF6765">
        <v>4.2790669551232003</v>
      </c>
      <c r="AG6765">
        <v>-1.1211065202120001</v>
      </c>
      <c r="AH6765">
        <v>17.757792005401999</v>
      </c>
      <c r="AI6765">
        <v>93.512204233302498</v>
      </c>
      <c r="AJ6765">
        <v>76.451814220886504</v>
      </c>
      <c r="AK6765">
        <v>18.300450014773102</v>
      </c>
      <c r="AL6765">
        <v>94.903677968001304</v>
      </c>
      <c r="AM6765">
        <v>75.715598106402894</v>
      </c>
      <c r="AN6765">
        <v>0.999999988212397</v>
      </c>
    </row>
    <row r="6766" spans="1:40" x14ac:dyDescent="0.25">
      <c r="A6766" t="str">
        <f>"20190303154943847"</f>
        <v>20190303154943847</v>
      </c>
      <c r="B6766" t="str">
        <f>"1551599383837974"</f>
        <v>1551599383837974</v>
      </c>
      <c r="C6766" t="s">
        <v>40</v>
      </c>
      <c r="D6766">
        <v>5.2862960000000001</v>
      </c>
      <c r="E6766">
        <v>0.49023620000000001</v>
      </c>
      <c r="F6766" t="s">
        <v>41</v>
      </c>
      <c r="G6766">
        <v>-321.40480000000002</v>
      </c>
      <c r="H6766" s="1">
        <v>-5.1175069999999997E-6</v>
      </c>
      <c r="I6766">
        <v>13.56147</v>
      </c>
      <c r="J6766">
        <v>-338.37369999999999</v>
      </c>
      <c r="K6766">
        <v>1.121094</v>
      </c>
      <c r="L6766">
        <v>17.634460000000001</v>
      </c>
      <c r="M6766">
        <v>0.99987499999999996</v>
      </c>
      <c r="N6766">
        <v>-1.4592839999999999E-2</v>
      </c>
      <c r="O6766">
        <v>-6.0954989999999999E-3</v>
      </c>
      <c r="P6766">
        <v>0.96285960000000004</v>
      </c>
      <c r="Q6766">
        <v>-9.9728330000000004E-2</v>
      </c>
      <c r="R6766">
        <v>-0.25091010000000002</v>
      </c>
      <c r="S6766">
        <v>2.9146730000000001</v>
      </c>
      <c r="T6766">
        <v>-0.19142880000000001</v>
      </c>
      <c r="U6766">
        <v>-0.69555659999999997</v>
      </c>
      <c r="V6766">
        <v>0.24505850000000001</v>
      </c>
      <c r="W6766">
        <v>-8.557961E-2</v>
      </c>
      <c r="X6766">
        <v>0.96572380000000002</v>
      </c>
      <c r="Y6766">
        <v>0.22562840000000001</v>
      </c>
      <c r="Z6766">
        <v>-8.6638259999999995E-3</v>
      </c>
      <c r="AA6766">
        <v>0.97417489999999995</v>
      </c>
      <c r="AB6766">
        <v>23</v>
      </c>
      <c r="AC6766">
        <v>16.968899999999898</v>
      </c>
      <c r="AD6766">
        <v>-1.121099117507</v>
      </c>
      <c r="AE6766">
        <v>-4.0729899999999901</v>
      </c>
      <c r="AF6766">
        <v>3.9531539979327599</v>
      </c>
      <c r="AG6766">
        <v>-1.121099117507</v>
      </c>
      <c r="AH6766">
        <v>16.9235675459018</v>
      </c>
      <c r="AI6766">
        <v>93.6909400408382</v>
      </c>
      <c r="AJ6766">
        <v>76.852102978648404</v>
      </c>
      <c r="AK6766">
        <v>17.415264231223901</v>
      </c>
      <c r="AL6766">
        <v>94.909355537526807</v>
      </c>
      <c r="AM6766">
        <v>75.7613760226849</v>
      </c>
      <c r="AN6766">
        <v>0.99999999797822103</v>
      </c>
    </row>
    <row r="6767" spans="1:40" x14ac:dyDescent="0.25">
      <c r="A6767" t="str">
        <f>"20190303154943859"</f>
        <v>20190303154943859</v>
      </c>
      <c r="B6767" t="str">
        <f>"1551599383847736"</f>
        <v>1551599383847736</v>
      </c>
      <c r="C6767" t="s">
        <v>40</v>
      </c>
      <c r="D6767">
        <v>5.3996469999999999</v>
      </c>
      <c r="E6767">
        <v>0.48960589999999998</v>
      </c>
      <c r="F6767" t="s">
        <v>41</v>
      </c>
      <c r="G6767">
        <v>-321.95159999999998</v>
      </c>
      <c r="H6767" s="1">
        <v>-4.8137259999999996E-6</v>
      </c>
      <c r="I6767">
        <v>13.81677</v>
      </c>
      <c r="J6767">
        <v>-338.25099999999998</v>
      </c>
      <c r="K6767">
        <v>1.1210819999999999</v>
      </c>
      <c r="L6767">
        <v>17.633849999999999</v>
      </c>
      <c r="M6767">
        <v>0.99987550000000003</v>
      </c>
      <c r="N6767">
        <v>-1.459308E-2</v>
      </c>
      <c r="O6767">
        <v>-5.995808E-3</v>
      </c>
      <c r="P6767">
        <v>0.96291689999999996</v>
      </c>
      <c r="Q6767">
        <v>-0.1004874</v>
      </c>
      <c r="R6767">
        <v>-0.25038690000000002</v>
      </c>
      <c r="S6767">
        <v>2.9183349999999999</v>
      </c>
      <c r="T6767">
        <v>-0.19922860000000001</v>
      </c>
      <c r="U6767">
        <v>-0.67843629999999999</v>
      </c>
      <c r="V6767">
        <v>0.24462880000000001</v>
      </c>
      <c r="W6767">
        <v>-8.6344850000000001E-2</v>
      </c>
      <c r="X6767">
        <v>0.96576459999999997</v>
      </c>
      <c r="Y6767">
        <v>0.2200047</v>
      </c>
      <c r="Z6767">
        <v>-8.7140689999999996E-3</v>
      </c>
      <c r="AA6767">
        <v>0.97545990000000005</v>
      </c>
      <c r="AB6767">
        <v>23</v>
      </c>
      <c r="AC6767">
        <v>16.299399999999899</v>
      </c>
      <c r="AD6767">
        <v>-1.1210868137259999</v>
      </c>
      <c r="AE6767">
        <v>-3.81707999999999</v>
      </c>
      <c r="AF6767">
        <v>3.7026669979853399</v>
      </c>
      <c r="AG6767">
        <v>-1.1210868137259999</v>
      </c>
      <c r="AH6767">
        <v>16.249121068166001</v>
      </c>
      <c r="AI6767">
        <v>93.848451181511194</v>
      </c>
      <c r="AJ6767">
        <v>77.163265514686003</v>
      </c>
      <c r="AK6767">
        <v>16.703308475562501</v>
      </c>
      <c r="AL6767">
        <v>94.953363586129498</v>
      </c>
      <c r="AM6767">
        <v>75.785906276121096</v>
      </c>
      <c r="AN6767">
        <v>0.99999997276206098</v>
      </c>
    </row>
    <row r="6768" spans="1:40" x14ac:dyDescent="0.25">
      <c r="A6768" t="str">
        <f>"20190303154943870"</f>
        <v>20190303154943870</v>
      </c>
      <c r="B6768" t="str">
        <f>"1551599383857495"</f>
        <v>1551599383857495</v>
      </c>
      <c r="C6768" t="s">
        <v>40</v>
      </c>
      <c r="D6768">
        <v>5.3199059999999996</v>
      </c>
      <c r="E6768">
        <v>0.48862650000000002</v>
      </c>
      <c r="F6768" t="s">
        <v>41</v>
      </c>
      <c r="G6768">
        <v>-322.97250000000003</v>
      </c>
      <c r="H6768" s="1">
        <v>-4.2780749999999997E-6</v>
      </c>
      <c r="I6768">
        <v>14.116129999999901</v>
      </c>
      <c r="J6768">
        <v>-338.1472</v>
      </c>
      <c r="K6768">
        <v>1.121075</v>
      </c>
      <c r="L6768">
        <v>17.633299999999998</v>
      </c>
      <c r="M6768">
        <v>0.99987610000000005</v>
      </c>
      <c r="N6768">
        <v>-1.459294E-2</v>
      </c>
      <c r="O6768">
        <v>-5.9218419999999897E-3</v>
      </c>
      <c r="P6768">
        <v>0.96290869999999995</v>
      </c>
      <c r="Q6768">
        <v>-0.1013087</v>
      </c>
      <c r="R6768">
        <v>-0.25008750000000002</v>
      </c>
      <c r="S6768">
        <v>2.9184269999999999</v>
      </c>
      <c r="T6768">
        <v>-0.2141439</v>
      </c>
      <c r="U6768">
        <v>-0.67193599999999998</v>
      </c>
      <c r="V6768">
        <v>0.2443988</v>
      </c>
      <c r="W6768">
        <v>-8.717271E-2</v>
      </c>
      <c r="X6768">
        <v>0.96574850000000001</v>
      </c>
      <c r="Y6768">
        <v>0.2179314</v>
      </c>
      <c r="Z6768">
        <v>-9.1522359999999994E-3</v>
      </c>
      <c r="AA6768">
        <v>0.97592120000000004</v>
      </c>
      <c r="AB6768">
        <v>23</v>
      </c>
      <c r="AC6768">
        <v>15.1746999999999</v>
      </c>
      <c r="AD6768">
        <v>-1.1210792780750001</v>
      </c>
      <c r="AE6768">
        <v>-3.5171699999999899</v>
      </c>
      <c r="AF6768">
        <v>3.40957591694655</v>
      </c>
      <c r="AG6768">
        <v>-1.1210792780750001</v>
      </c>
      <c r="AH6768">
        <v>15.1169625051844</v>
      </c>
      <c r="AI6768">
        <v>94.137745426033405</v>
      </c>
      <c r="AJ6768">
        <v>77.289824103652506</v>
      </c>
      <c r="AK6768">
        <v>15.537199942856599</v>
      </c>
      <c r="AL6768">
        <v>95.000975815845095</v>
      </c>
      <c r="AM6768">
        <v>75.798502303408696</v>
      </c>
      <c r="AN6768">
        <v>1.0000000100312101</v>
      </c>
    </row>
    <row r="6769" spans="1:40" x14ac:dyDescent="0.25">
      <c r="A6769" t="str">
        <f>"20190303154943881"</f>
        <v>20190303154943881</v>
      </c>
      <c r="B6769" t="str">
        <f>"1551599383877992"</f>
        <v>1551599383877992</v>
      </c>
      <c r="C6769" t="s">
        <v>40</v>
      </c>
      <c r="D6769">
        <v>5.2569220000000003</v>
      </c>
      <c r="E6769">
        <v>0.48833769999999999</v>
      </c>
      <c r="F6769" t="s">
        <v>41</v>
      </c>
      <c r="G6769">
        <v>-323.40690000000001</v>
      </c>
      <c r="H6769" s="1">
        <v>-4.0428840000000003E-6</v>
      </c>
      <c r="I6769">
        <v>14.284230000000001</v>
      </c>
      <c r="J6769">
        <v>-338.03399999999999</v>
      </c>
      <c r="K6769">
        <v>1.121062</v>
      </c>
      <c r="L6769">
        <v>17.632750000000001</v>
      </c>
      <c r="M6769">
        <v>0.99987649999999995</v>
      </c>
      <c r="N6769">
        <v>-1.459275E-2</v>
      </c>
      <c r="O6769">
        <v>-5.8427669999999996E-3</v>
      </c>
      <c r="P6769">
        <v>0.96297169999999999</v>
      </c>
      <c r="Q6769">
        <v>-0.1020817</v>
      </c>
      <c r="R6769">
        <v>-0.24952940000000001</v>
      </c>
      <c r="S6769">
        <v>2.9199220000000001</v>
      </c>
      <c r="T6769">
        <v>-0.22207579999999999</v>
      </c>
      <c r="U6769">
        <v>-0.66342159999999994</v>
      </c>
      <c r="V6769">
        <v>0.24391450000000001</v>
      </c>
      <c r="W6769">
        <v>-8.7952009999999997E-2</v>
      </c>
      <c r="X6769">
        <v>0.96580029999999994</v>
      </c>
      <c r="Y6769">
        <v>0.21515799999999999</v>
      </c>
      <c r="Z6769">
        <v>-9.3061069999999992E-3</v>
      </c>
      <c r="AA6769">
        <v>0.97653489999999998</v>
      </c>
      <c r="AB6769">
        <v>23</v>
      </c>
      <c r="AC6769">
        <v>14.627099999999899</v>
      </c>
      <c r="AD6769">
        <v>-1.121066042884</v>
      </c>
      <c r="AE6769">
        <v>-3.3485200000000002</v>
      </c>
      <c r="AF6769">
        <v>3.2448792340112602</v>
      </c>
      <c r="AG6769">
        <v>-1.121066042884</v>
      </c>
      <c r="AH6769">
        <v>14.5651196537728</v>
      </c>
      <c r="AI6769">
        <v>94.296412710268996</v>
      </c>
      <c r="AJ6769">
        <v>77.440509596437593</v>
      </c>
      <c r="AK6769">
        <v>14.9642487564376</v>
      </c>
      <c r="AL6769">
        <v>95.045798481854803</v>
      </c>
      <c r="AM6769">
        <v>75.826238243716503</v>
      </c>
      <c r="AN6769">
        <v>1.00000002942668</v>
      </c>
    </row>
    <row r="6770" spans="1:40" x14ac:dyDescent="0.25">
      <c r="A6770" t="str">
        <f>"20190303154943891"</f>
        <v>20190303154943891</v>
      </c>
      <c r="B6770" t="str">
        <f>"1551599383887751"</f>
        <v>1551599383887751</v>
      </c>
      <c r="C6770" t="s">
        <v>40</v>
      </c>
      <c r="D6770">
        <v>5.2989670000000002</v>
      </c>
      <c r="E6770">
        <v>0.48835610000000002</v>
      </c>
      <c r="F6770" t="s">
        <v>41</v>
      </c>
      <c r="G6770">
        <v>-323.22730000000001</v>
      </c>
      <c r="H6770" s="1">
        <v>-4.12693499999999E-6</v>
      </c>
      <c r="I6770">
        <v>14.28904</v>
      </c>
      <c r="J6770">
        <v>-337.91930000000002</v>
      </c>
      <c r="K6770">
        <v>1.1210420000000001</v>
      </c>
      <c r="L6770">
        <v>17.63214</v>
      </c>
      <c r="M6770">
        <v>0.99987689999999996</v>
      </c>
      <c r="N6770">
        <v>-1.4592219999999999E-2</v>
      </c>
      <c r="O6770">
        <v>-5.7740450000000002E-3</v>
      </c>
      <c r="P6770">
        <v>0.9628736</v>
      </c>
      <c r="Q6770">
        <v>-0.1033948</v>
      </c>
      <c r="R6770">
        <v>-0.24936649999999999</v>
      </c>
      <c r="S6770">
        <v>2.9210210000000001</v>
      </c>
      <c r="T6770">
        <v>-0.22116069999999999</v>
      </c>
      <c r="U6770">
        <v>-0.65963749999999999</v>
      </c>
      <c r="V6770">
        <v>0.24381649999999999</v>
      </c>
      <c r="W6770">
        <v>-8.92733E-2</v>
      </c>
      <c r="X6770">
        <v>0.9657038</v>
      </c>
      <c r="Y6770">
        <v>0.21395149999999999</v>
      </c>
      <c r="Z6770">
        <v>-9.2229100000000008E-3</v>
      </c>
      <c r="AA6770">
        <v>0.97680069999999997</v>
      </c>
      <c r="AB6770">
        <v>23</v>
      </c>
      <c r="AC6770">
        <v>14.692</v>
      </c>
      <c r="AD6770">
        <v>-1.1210461269350001</v>
      </c>
      <c r="AE6770">
        <v>-3.3431000000000002</v>
      </c>
      <c r="AF6770">
        <v>3.2402662762372398</v>
      </c>
      <c r="AG6770">
        <v>-1.1210461269350001</v>
      </c>
      <c r="AH6770">
        <v>14.6300746614308</v>
      </c>
      <c r="AI6770">
        <v>94.278509505328998</v>
      </c>
      <c r="AJ6770">
        <v>77.5117335518906</v>
      </c>
      <c r="AK6770">
        <v>15.0264817758075</v>
      </c>
      <c r="AL6770">
        <v>95.121801866510793</v>
      </c>
      <c r="AM6770">
        <v>75.830344832965494</v>
      </c>
      <c r="AN6770">
        <v>1.0000000185497799</v>
      </c>
    </row>
    <row r="6771" spans="1:40" x14ac:dyDescent="0.25">
      <c r="A6771" t="str">
        <f>"20190303154943903"</f>
        <v>20190303154943903</v>
      </c>
      <c r="B6771" t="str">
        <f>"1551599383897510"</f>
        <v>1551599383897510</v>
      </c>
      <c r="C6771" t="s">
        <v>40</v>
      </c>
      <c r="D6771">
        <v>5.3087790000000004</v>
      </c>
      <c r="E6771">
        <v>0.48833300000000002</v>
      </c>
      <c r="F6771" t="s">
        <v>41</v>
      </c>
      <c r="G6771">
        <v>-323.31209999999999</v>
      </c>
      <c r="H6771" s="1">
        <v>-4.0788450000000004E-6</v>
      </c>
      <c r="I6771">
        <v>14.334300000000001</v>
      </c>
      <c r="J6771">
        <v>-337.81169999999997</v>
      </c>
      <c r="K6771">
        <v>1.1210310000000001</v>
      </c>
      <c r="L6771">
        <v>17.631589999999999</v>
      </c>
      <c r="M6771">
        <v>0.99987729999999997</v>
      </c>
      <c r="N6771">
        <v>-1.4591669999999999E-2</v>
      </c>
      <c r="O6771">
        <v>-5.7116220000000004E-3</v>
      </c>
      <c r="P6771">
        <v>0.96277369999999995</v>
      </c>
      <c r="Q6771">
        <v>-0.10441739999999999</v>
      </c>
      <c r="R6771">
        <v>-0.2493272</v>
      </c>
      <c r="S6771">
        <v>2.9208069999999999</v>
      </c>
      <c r="T6771">
        <v>-0.2241602</v>
      </c>
      <c r="U6771">
        <v>-0.6594238</v>
      </c>
      <c r="V6771">
        <v>0.243836</v>
      </c>
      <c r="W6771">
        <v>-9.0303549999999996E-2</v>
      </c>
      <c r="X6771">
        <v>0.96560310000000005</v>
      </c>
      <c r="Y6771">
        <v>0.21394260000000001</v>
      </c>
      <c r="Z6771">
        <v>-9.3291280000000008E-3</v>
      </c>
      <c r="AA6771">
        <v>0.97680169999999999</v>
      </c>
      <c r="AB6771">
        <v>23</v>
      </c>
      <c r="AC6771">
        <v>14.4995999999999</v>
      </c>
      <c r="AD6771">
        <v>-1.1210350788450001</v>
      </c>
      <c r="AE6771">
        <v>-3.2972899999999901</v>
      </c>
      <c r="AF6771">
        <v>3.19624475279798</v>
      </c>
      <c r="AG6771">
        <v>-1.1210350788450001</v>
      </c>
      <c r="AH6771">
        <v>14.4361479900824</v>
      </c>
      <c r="AI6771">
        <v>94.335791801599896</v>
      </c>
      <c r="AJ6771">
        <v>77.515784344844505</v>
      </c>
      <c r="AK6771">
        <v>14.828184951616601</v>
      </c>
      <c r="AL6771">
        <v>95.1810701454216</v>
      </c>
      <c r="AM6771">
        <v>75.827838935915594</v>
      </c>
      <c r="AN6771">
        <v>1.0000000363841</v>
      </c>
    </row>
    <row r="6772" spans="1:40" x14ac:dyDescent="0.25">
      <c r="A6772" t="str">
        <f>"20190303154943913"</f>
        <v>20190303154943913</v>
      </c>
      <c r="B6772" t="str">
        <f>"1551599383907271"</f>
        <v>1551599383907271</v>
      </c>
      <c r="C6772" t="s">
        <v>40</v>
      </c>
      <c r="D6772">
        <v>5.3102689999999999</v>
      </c>
      <c r="E6772">
        <v>0.4884617</v>
      </c>
      <c r="F6772" t="s">
        <v>41</v>
      </c>
      <c r="G6772">
        <v>-323.34649999999999</v>
      </c>
      <c r="H6772" s="1">
        <v>-4.056868E-6</v>
      </c>
      <c r="I6772">
        <v>14.366350000000001</v>
      </c>
      <c r="J6772">
        <v>-337.7013</v>
      </c>
      <c r="K6772">
        <v>1.1210209999999901</v>
      </c>
      <c r="L6772">
        <v>17.63101</v>
      </c>
      <c r="M6772">
        <v>0.99987760000000003</v>
      </c>
      <c r="N6772">
        <v>-1.459094E-2</v>
      </c>
      <c r="O6772">
        <v>-5.6551300000000004E-3</v>
      </c>
      <c r="P6772">
        <v>0.96269959999999999</v>
      </c>
      <c r="Q6772">
        <v>-0.10526149999999999</v>
      </c>
      <c r="R6772">
        <v>-0.24925829999999999</v>
      </c>
      <c r="S6772">
        <v>2.9207459999999998</v>
      </c>
      <c r="T6772">
        <v>-0.226354</v>
      </c>
      <c r="U6772">
        <v>-0.65930180000000005</v>
      </c>
      <c r="V6772">
        <v>0.24382039999999999</v>
      </c>
      <c r="W6772">
        <v>-9.1154040000000006E-2</v>
      </c>
      <c r="X6772">
        <v>0.96552709999999997</v>
      </c>
      <c r="Y6772">
        <v>0.21395040000000001</v>
      </c>
      <c r="Z6772">
        <v>-9.4079249999999993E-3</v>
      </c>
      <c r="AA6772">
        <v>0.97679919999999998</v>
      </c>
      <c r="AB6772">
        <v>23</v>
      </c>
      <c r="AC6772">
        <v>14.354799999999999</v>
      </c>
      <c r="AD6772">
        <v>-1.12102505686799</v>
      </c>
      <c r="AE6772">
        <v>-3.2646599999999899</v>
      </c>
      <c r="AF6772">
        <v>3.1650674226842201</v>
      </c>
      <c r="AG6772">
        <v>-1.12102505686799</v>
      </c>
      <c r="AH6772">
        <v>14.290169202997101</v>
      </c>
      <c r="AI6772">
        <v>94.379799181546502</v>
      </c>
      <c r="AJ6772">
        <v>77.511415007641105</v>
      </c>
      <c r="AK6772">
        <v>14.6793489235235</v>
      </c>
      <c r="AL6772">
        <v>95.230001562302803</v>
      </c>
      <c r="AM6772">
        <v>75.827638577519096</v>
      </c>
      <c r="AN6772">
        <v>1.00000001364944</v>
      </c>
    </row>
    <row r="6773" spans="1:40" x14ac:dyDescent="0.25">
      <c r="A6773" t="str">
        <f>"20190303154943924"</f>
        <v>20190303154943924</v>
      </c>
      <c r="B6773" t="str">
        <f>"1551599383918006"</f>
        <v>1551599383918006</v>
      </c>
      <c r="C6773" t="s">
        <v>40</v>
      </c>
      <c r="D6773">
        <v>5.2886069999999998</v>
      </c>
      <c r="E6773">
        <v>0.4886239</v>
      </c>
      <c r="F6773" t="s">
        <v>41</v>
      </c>
      <c r="G6773">
        <v>-323.35680000000002</v>
      </c>
      <c r="H6773" s="1">
        <v>-4.0480290000000002E-6</v>
      </c>
      <c r="I6773">
        <v>14.38889</v>
      </c>
      <c r="J6773">
        <v>-337.58629999999999</v>
      </c>
      <c r="K6773">
        <v>1.1210169999999999</v>
      </c>
      <c r="L6773">
        <v>17.63043</v>
      </c>
      <c r="M6773">
        <v>0.99987789999999999</v>
      </c>
      <c r="N6773">
        <v>-1.459009E-2</v>
      </c>
      <c r="O6773">
        <v>-5.5992180000000004E-3</v>
      </c>
      <c r="P6773">
        <v>0.96260959999999995</v>
      </c>
      <c r="Q6773">
        <v>-0.1060247</v>
      </c>
      <c r="R6773">
        <v>-0.249283</v>
      </c>
      <c r="S6773">
        <v>2.92041</v>
      </c>
      <c r="T6773">
        <v>-0.22822999999999999</v>
      </c>
      <c r="U6773">
        <v>-0.66006469999999995</v>
      </c>
      <c r="V6773">
        <v>0.2438979</v>
      </c>
      <c r="W6773">
        <v>-9.1923459999999999E-2</v>
      </c>
      <c r="X6773">
        <v>0.96543460000000003</v>
      </c>
      <c r="Y6773">
        <v>0.2142598</v>
      </c>
      <c r="Z6773">
        <v>-9.4902679999999996E-3</v>
      </c>
      <c r="AA6773">
        <v>0.9767306</v>
      </c>
      <c r="AB6773">
        <v>23</v>
      </c>
      <c r="AC6773">
        <v>14.2294999999999</v>
      </c>
      <c r="AD6773">
        <v>-1.1210210480289999</v>
      </c>
      <c r="AE6773">
        <v>-3.2415400000000001</v>
      </c>
      <c r="AF6773">
        <v>3.1432603641318502</v>
      </c>
      <c r="AG6773">
        <v>-1.1210210480289999</v>
      </c>
      <c r="AH6773">
        <v>14.1638575470599</v>
      </c>
      <c r="AI6773">
        <v>94.418282913207406</v>
      </c>
      <c r="AJ6773">
        <v>77.487628615185599</v>
      </c>
      <c r="AK6773">
        <v>14.5516883735274</v>
      </c>
      <c r="AL6773">
        <v>95.274271823902197</v>
      </c>
      <c r="AM6773">
        <v>75.822011866262898</v>
      </c>
      <c r="AN6773">
        <v>1.00000003749997</v>
      </c>
    </row>
    <row r="6774" spans="1:40" x14ac:dyDescent="0.25">
      <c r="A6774" t="str">
        <f>"20190303154943936"</f>
        <v>20190303154943936</v>
      </c>
      <c r="B6774" t="str">
        <f>"1551599383927767"</f>
        <v>1551599383927767</v>
      </c>
      <c r="C6774" t="s">
        <v>40</v>
      </c>
      <c r="D6774">
        <v>5.3119069999999997</v>
      </c>
      <c r="E6774">
        <v>0.48868309999999998</v>
      </c>
      <c r="F6774" t="s">
        <v>41</v>
      </c>
      <c r="G6774">
        <v>-323.26159999999999</v>
      </c>
      <c r="H6774" s="1">
        <v>-4.0935779999999999E-6</v>
      </c>
      <c r="I6774">
        <v>14.385680000000001</v>
      </c>
      <c r="J6774">
        <v>-337.47269999999997</v>
      </c>
      <c r="K6774">
        <v>1.1210089999999999</v>
      </c>
      <c r="L6774">
        <v>17.629850000000001</v>
      </c>
      <c r="M6774">
        <v>0.99987820000000005</v>
      </c>
      <c r="N6774">
        <v>-1.4589130000000001E-2</v>
      </c>
      <c r="O6774">
        <v>-5.5483959999999997E-3</v>
      </c>
      <c r="P6774">
        <v>0.96254620000000002</v>
      </c>
      <c r="Q6774">
        <v>-0.1067959</v>
      </c>
      <c r="R6774">
        <v>-0.249198</v>
      </c>
      <c r="S6774">
        <v>2.9200740000000001</v>
      </c>
      <c r="T6774">
        <v>-0.22851859999999999</v>
      </c>
      <c r="U6774">
        <v>-0.66143799999999997</v>
      </c>
      <c r="V6774">
        <v>0.24386150000000001</v>
      </c>
      <c r="W6774">
        <v>-9.2699489999999996E-2</v>
      </c>
      <c r="X6774">
        <v>0.96536960000000005</v>
      </c>
      <c r="Y6774">
        <v>0.21476690000000001</v>
      </c>
      <c r="Z6774">
        <v>-9.5270909999999997E-3</v>
      </c>
      <c r="AA6774">
        <v>0.97661889999999996</v>
      </c>
      <c r="AB6774">
        <v>23</v>
      </c>
      <c r="AC6774">
        <v>14.211099999999901</v>
      </c>
      <c r="AD6774">
        <v>-1.1210130935779901</v>
      </c>
      <c r="AE6774">
        <v>-3.24417</v>
      </c>
      <c r="AF6774">
        <v>3.1466526066043499</v>
      </c>
      <c r="AG6774">
        <v>-1.1210130935779901</v>
      </c>
      <c r="AH6774">
        <v>14.1452239748032</v>
      </c>
      <c r="AI6774">
        <v>94.423552305989205</v>
      </c>
      <c r="AJ6774">
        <v>77.458572878831205</v>
      </c>
      <c r="AK6774">
        <v>14.5342854753845</v>
      </c>
      <c r="AL6774">
        <v>95.318925687997506</v>
      </c>
      <c r="AM6774">
        <v>75.823126511809605</v>
      </c>
      <c r="AN6774">
        <v>1.00000004561633</v>
      </c>
    </row>
    <row r="6775" spans="1:40" x14ac:dyDescent="0.25">
      <c r="A6775" t="str">
        <f>"20190303154943949"</f>
        <v>20190303154943949</v>
      </c>
      <c r="B6775" t="str">
        <f>"1551599383937527"</f>
        <v>1551599383937527</v>
      </c>
      <c r="C6775" t="s">
        <v>40</v>
      </c>
      <c r="D6775">
        <v>5.3377350000000003</v>
      </c>
      <c r="E6775">
        <v>0.48879240000000002</v>
      </c>
      <c r="F6775" t="s">
        <v>41</v>
      </c>
      <c r="G6775">
        <v>-323.2099</v>
      </c>
      <c r="H6775" s="1">
        <v>-4.1158749999999998E-6</v>
      </c>
      <c r="I6775">
        <v>14.39781</v>
      </c>
      <c r="J6775">
        <v>-337.35719999999998</v>
      </c>
      <c r="K6775">
        <v>1.1210009999999999</v>
      </c>
      <c r="L6775">
        <v>17.629239999999999</v>
      </c>
      <c r="M6775">
        <v>0.9998785</v>
      </c>
      <c r="N6775">
        <v>-1.458802E-2</v>
      </c>
      <c r="O6775">
        <v>-5.5002829999999999E-3</v>
      </c>
      <c r="P6775">
        <v>0.96246200000000004</v>
      </c>
      <c r="Q6775">
        <v>-0.1072039</v>
      </c>
      <c r="R6775">
        <v>-0.24934770000000001</v>
      </c>
      <c r="S6775">
        <v>2.9199519999999999</v>
      </c>
      <c r="T6775">
        <v>-0.22950010000000001</v>
      </c>
      <c r="U6775">
        <v>-0.66168209999999905</v>
      </c>
      <c r="V6775">
        <v>0.24405740000000001</v>
      </c>
      <c r="W6775">
        <v>-9.3111680000000002E-2</v>
      </c>
      <c r="X6775">
        <v>0.96528040000000004</v>
      </c>
      <c r="Y6775">
        <v>0.214894</v>
      </c>
      <c r="Z6775">
        <v>-9.5697999999999998E-3</v>
      </c>
      <c r="AA6775">
        <v>0.97659050000000003</v>
      </c>
      <c r="AB6775">
        <v>23</v>
      </c>
      <c r="AC6775">
        <v>14.1472999999999</v>
      </c>
      <c r="AD6775">
        <v>-1.1210051158749901</v>
      </c>
      <c r="AE6775">
        <v>-3.23143</v>
      </c>
      <c r="AF6775">
        <v>3.13485193688728</v>
      </c>
      <c r="AG6775">
        <v>-1.1210051158749901</v>
      </c>
      <c r="AH6775">
        <v>14.080836427364501</v>
      </c>
      <c r="AI6775">
        <v>94.443499464899602</v>
      </c>
      <c r="AJ6775">
        <v>77.448792804452694</v>
      </c>
      <c r="AK6775">
        <v>14.469067130614199</v>
      </c>
      <c r="AL6775">
        <v>95.342645132664103</v>
      </c>
      <c r="AM6775">
        <v>75.810939453583799</v>
      </c>
      <c r="AN6775">
        <v>1.00000002503567</v>
      </c>
    </row>
    <row r="6776" spans="1:40" x14ac:dyDescent="0.25">
      <c r="A6776" t="str">
        <f>"20190303154943962"</f>
        <v>20190303154943962</v>
      </c>
      <c r="B6776" t="str">
        <f>"1551599383958022"</f>
        <v>1551599383958022</v>
      </c>
      <c r="C6776" t="s">
        <v>40</v>
      </c>
      <c r="D6776">
        <v>5.3298030000000001</v>
      </c>
      <c r="E6776">
        <v>0.48901339999999999</v>
      </c>
      <c r="F6776" t="s">
        <v>41</v>
      </c>
      <c r="G6776">
        <v>-323.1454</v>
      </c>
      <c r="H6776" s="1">
        <v>-4.1456609999999999E-6</v>
      </c>
      <c r="I6776">
        <v>14.40166</v>
      </c>
      <c r="J6776">
        <v>-337.21550000000002</v>
      </c>
      <c r="K6776">
        <v>1.120995</v>
      </c>
      <c r="L6776">
        <v>17.628540000000001</v>
      </c>
      <c r="M6776">
        <v>0.99987890000000001</v>
      </c>
      <c r="N6776">
        <v>-1.458655E-2</v>
      </c>
      <c r="O6776">
        <v>-5.4435689999999997E-3</v>
      </c>
      <c r="P6776">
        <v>0.96236379999999999</v>
      </c>
      <c r="Q6776">
        <v>-0.10803939999999999</v>
      </c>
      <c r="R6776">
        <v>-0.24936710000000001</v>
      </c>
      <c r="S6776">
        <v>2.9195859999999998</v>
      </c>
      <c r="T6776">
        <v>-0.23029259999999999</v>
      </c>
      <c r="U6776">
        <v>-0.66305539999999996</v>
      </c>
      <c r="V6776">
        <v>0.2441315</v>
      </c>
      <c r="W6776">
        <v>-9.3951430000000002E-2</v>
      </c>
      <c r="X6776">
        <v>0.96518029999999999</v>
      </c>
      <c r="Y6776">
        <v>0.21540590000000001</v>
      </c>
      <c r="Z6776">
        <v>-9.6247769999999993E-3</v>
      </c>
      <c r="AA6776">
        <v>0.97647709999999999</v>
      </c>
      <c r="AB6776">
        <v>23</v>
      </c>
      <c r="AC6776">
        <v>14.0701</v>
      </c>
      <c r="AD6776">
        <v>-1.120999145661</v>
      </c>
      <c r="AE6776">
        <v>-3.2268799999999902</v>
      </c>
      <c r="AF6776">
        <v>3.1313488685431001</v>
      </c>
      <c r="AG6776">
        <v>-1.120999145661</v>
      </c>
      <c r="AH6776">
        <v>14.0030138793148</v>
      </c>
      <c r="AI6776">
        <v>94.467137497420893</v>
      </c>
      <c r="AJ6776">
        <v>77.394916795905502</v>
      </c>
      <c r="AK6776">
        <v>14.3925808153153</v>
      </c>
      <c r="AL6776">
        <v>95.390971050300294</v>
      </c>
      <c r="AM6776">
        <v>75.805392976119293</v>
      </c>
      <c r="AN6776">
        <v>1.0000000359996899</v>
      </c>
    </row>
    <row r="6777" spans="1:40" x14ac:dyDescent="0.25">
      <c r="A6777" t="str">
        <f>"20190303154943975"</f>
        <v>20190303154943975</v>
      </c>
      <c r="B6777" t="str">
        <f>"1551599383967784"</f>
        <v>1551599383967784</v>
      </c>
      <c r="C6777" t="s">
        <v>40</v>
      </c>
      <c r="D6777">
        <v>5.3751600000000002</v>
      </c>
      <c r="E6777">
        <v>0.48900729999999998</v>
      </c>
      <c r="F6777" t="s">
        <v>41</v>
      </c>
      <c r="G6777">
        <v>-323.1019</v>
      </c>
      <c r="H6777" s="1">
        <v>-4.1641020000000001E-6</v>
      </c>
      <c r="I6777">
        <v>14.41376</v>
      </c>
      <c r="J6777">
        <v>-337.07929999999999</v>
      </c>
      <c r="K6777">
        <v>1.1209899999999999</v>
      </c>
      <c r="L6777">
        <v>17.627839999999999</v>
      </c>
      <c r="M6777">
        <v>0.99987919999999997</v>
      </c>
      <c r="N6777">
        <v>-1.4584929999999999E-2</v>
      </c>
      <c r="O6777">
        <v>-5.3919399999999996E-3</v>
      </c>
      <c r="P6777">
        <v>0.96224730000000003</v>
      </c>
      <c r="Q6777">
        <v>-0.10863059999999999</v>
      </c>
      <c r="R6777">
        <v>-0.249559</v>
      </c>
      <c r="S6777">
        <v>2.919006</v>
      </c>
      <c r="T6777">
        <v>-0.231847</v>
      </c>
      <c r="U6777">
        <v>-0.66488649999999905</v>
      </c>
      <c r="V6777">
        <v>0.24437400000000001</v>
      </c>
      <c r="W6777">
        <v>-9.4545889999999994E-2</v>
      </c>
      <c r="X6777">
        <v>0.96506080000000005</v>
      </c>
      <c r="Y6777">
        <v>0.2160687</v>
      </c>
      <c r="Z6777">
        <v>-9.7134049999999996E-3</v>
      </c>
      <c r="AA6777">
        <v>0.97632989999999997</v>
      </c>
      <c r="AB6777">
        <v>23</v>
      </c>
      <c r="AC6777">
        <v>13.9773999999999</v>
      </c>
      <c r="AD6777">
        <v>-1.120994164102</v>
      </c>
      <c r="AE6777">
        <v>-3.2140799999999898</v>
      </c>
      <c r="AF6777">
        <v>3.1196020243105398</v>
      </c>
      <c r="AG6777">
        <v>-1.120994164102</v>
      </c>
      <c r="AH6777">
        <v>13.9095540106347</v>
      </c>
      <c r="AI6777">
        <v>94.496381687610295</v>
      </c>
      <c r="AJ6777">
        <v>77.359016158627597</v>
      </c>
      <c r="AK6777">
        <v>14.2990991842422</v>
      </c>
      <c r="AL6777">
        <v>95.425183788713696</v>
      </c>
      <c r="AM6777">
        <v>75.790175839183405</v>
      </c>
      <c r="AN6777">
        <v>0.99999996244426503</v>
      </c>
    </row>
    <row r="6778" spans="1:40" x14ac:dyDescent="0.25">
      <c r="A6778" t="str">
        <f>"20190303154943993"</f>
        <v>20190303154943993</v>
      </c>
      <c r="B6778" t="str">
        <f>"1551599383987303"</f>
        <v>1551599383987303</v>
      </c>
      <c r="C6778" t="s">
        <v>40</v>
      </c>
      <c r="D6778">
        <v>5.3493269999999997</v>
      </c>
      <c r="E6778">
        <v>0.48897370000000001</v>
      </c>
      <c r="F6778" t="s">
        <v>41</v>
      </c>
      <c r="G6778">
        <v>-323.1617</v>
      </c>
      <c r="H6778" s="1">
        <v>-4.1286340000000003E-6</v>
      </c>
      <c r="I6778">
        <v>14.45443</v>
      </c>
      <c r="J6778">
        <v>-336.9015</v>
      </c>
      <c r="K6778">
        <v>1.1209849999999999</v>
      </c>
      <c r="L6778">
        <v>17.626950000000001</v>
      </c>
      <c r="M6778">
        <v>0.99987969999999904</v>
      </c>
      <c r="N6778">
        <v>-1.4582650000000001E-2</v>
      </c>
      <c r="O6778">
        <v>-5.3247919999999897E-3</v>
      </c>
      <c r="P6778">
        <v>0.96199000000000001</v>
      </c>
      <c r="Q6778">
        <v>-0.1099821</v>
      </c>
      <c r="R6778">
        <v>-0.24995980000000001</v>
      </c>
      <c r="S6778">
        <v>2.9185490000000001</v>
      </c>
      <c r="T6778">
        <v>-0.23507359999999999</v>
      </c>
      <c r="U6778">
        <v>-0.66546629999999996</v>
      </c>
      <c r="V6778">
        <v>0.244841</v>
      </c>
      <c r="W6778">
        <v>-9.5902600000000005E-2</v>
      </c>
      <c r="X6778">
        <v>0.96480860000000002</v>
      </c>
      <c r="Y6778">
        <v>0.2163311</v>
      </c>
      <c r="Z6778">
        <v>-9.8425449999999994E-3</v>
      </c>
      <c r="AA6778">
        <v>0.97627039999999998</v>
      </c>
      <c r="AB6778">
        <v>23</v>
      </c>
      <c r="AC6778">
        <v>13.739800000000001</v>
      </c>
      <c r="AD6778">
        <v>-1.1209891286339999</v>
      </c>
      <c r="AE6778">
        <v>-3.17252</v>
      </c>
      <c r="AF6778">
        <v>3.0798425593497298</v>
      </c>
      <c r="AG6778">
        <v>-1.1209891286339999</v>
      </c>
      <c r="AH6778">
        <v>13.6701114921319</v>
      </c>
      <c r="AI6778">
        <v>94.573793331689203</v>
      </c>
      <c r="AJ6778">
        <v>77.303390940316007</v>
      </c>
      <c r="AK6778">
        <v>14.057524498439101</v>
      </c>
      <c r="AL6778">
        <v>95.503272032409001</v>
      </c>
      <c r="AM6778">
        <v>75.760553761341299</v>
      </c>
      <c r="AN6778">
        <v>1.00000002930085</v>
      </c>
    </row>
    <row r="6779" spans="1:40" x14ac:dyDescent="0.25">
      <c r="A6779" t="str">
        <f>"20190303154944003"</f>
        <v>20190303154944003</v>
      </c>
      <c r="B6779" t="str">
        <f>"1551599383998039"</f>
        <v>1551599383998039</v>
      </c>
      <c r="C6779" t="s">
        <v>40</v>
      </c>
      <c r="D6779">
        <v>5.5780620000000001</v>
      </c>
      <c r="E6779">
        <v>0.48897370000000001</v>
      </c>
      <c r="F6779" t="s">
        <v>41</v>
      </c>
      <c r="G6779">
        <v>-323.13749999999999</v>
      </c>
      <c r="H6779" s="1">
        <v>-4.1349559999999999E-6</v>
      </c>
      <c r="I6779">
        <v>14.48319</v>
      </c>
      <c r="J6779">
        <v>-336.79329999999999</v>
      </c>
      <c r="K6779">
        <v>1.120981</v>
      </c>
      <c r="L6779">
        <v>17.626429999999999</v>
      </c>
      <c r="M6779">
        <v>0.99987990000000004</v>
      </c>
      <c r="N6779">
        <v>-1.4581169999999999E-2</v>
      </c>
      <c r="O6779">
        <v>-5.2833979999999999E-3</v>
      </c>
      <c r="P6779">
        <v>0.96182670000000003</v>
      </c>
      <c r="Q6779">
        <v>-0.11056009999999999</v>
      </c>
      <c r="R6779">
        <v>-0.25033179999999999</v>
      </c>
      <c r="S6779">
        <v>2.9182130000000002</v>
      </c>
      <c r="T6779">
        <v>-0.23766960000000001</v>
      </c>
      <c r="U6779">
        <v>-0.66653439999999997</v>
      </c>
      <c r="V6779">
        <v>0.24525440000000001</v>
      </c>
      <c r="W6779">
        <v>-9.6483860000000005E-2</v>
      </c>
      <c r="X6779">
        <v>0.96464559999999999</v>
      </c>
      <c r="Y6779">
        <v>0.21671799999999999</v>
      </c>
      <c r="Z6779">
        <v>-9.9540979999999998E-3</v>
      </c>
      <c r="AA6779">
        <v>0.97618349999999998</v>
      </c>
      <c r="AB6779">
        <v>23</v>
      </c>
      <c r="AC6779">
        <v>13.655799999999999</v>
      </c>
      <c r="AD6779">
        <v>-1.1209851349560001</v>
      </c>
      <c r="AE6779">
        <v>-3.14324</v>
      </c>
      <c r="AF6779">
        <v>3.0515113415584501</v>
      </c>
      <c r="AG6779">
        <v>-1.1209851349560001</v>
      </c>
      <c r="AH6779">
        <v>13.5852793576358</v>
      </c>
      <c r="AI6779">
        <v>94.602881238633003</v>
      </c>
      <c r="AJ6779">
        <v>77.340398115557207</v>
      </c>
      <c r="AK6779">
        <v>13.968827594521199</v>
      </c>
      <c r="AL6779">
        <v>95.5367311281246</v>
      </c>
      <c r="AM6779">
        <v>75.735179819250007</v>
      </c>
      <c r="AN6779">
        <v>0.99999999477960899</v>
      </c>
    </row>
    <row r="6780" spans="1:40" x14ac:dyDescent="0.25">
      <c r="A6780" t="str">
        <f>"20190303154944013"</f>
        <v>20190303154944013</v>
      </c>
      <c r="B6780" t="str">
        <f>"1551599384007799"</f>
        <v>1551599384007799</v>
      </c>
      <c r="C6780" t="s">
        <v>40</v>
      </c>
      <c r="D6780">
        <v>5.429996</v>
      </c>
      <c r="E6780">
        <v>0.4510921</v>
      </c>
      <c r="F6780" t="s">
        <v>41</v>
      </c>
      <c r="G6780">
        <v>-323.13139999999999</v>
      </c>
      <c r="H6780" s="1">
        <v>-4.1348039999999999E-6</v>
      </c>
      <c r="I6780">
        <v>14.50037</v>
      </c>
      <c r="J6780">
        <v>-336.68860000000001</v>
      </c>
      <c r="K6780">
        <v>1.1209789999999999</v>
      </c>
      <c r="L6780">
        <v>17.625920000000001</v>
      </c>
      <c r="M6780">
        <v>0.99987999999999999</v>
      </c>
      <c r="N6780">
        <v>-1.457963E-2</v>
      </c>
      <c r="O6780">
        <v>-5.2420019999999999E-3</v>
      </c>
      <c r="P6780">
        <v>0.96177049999999997</v>
      </c>
      <c r="Q6780">
        <v>-0.1106273</v>
      </c>
      <c r="R6780">
        <v>-0.25051790000000002</v>
      </c>
      <c r="S6780">
        <v>2.917786</v>
      </c>
      <c r="T6780">
        <v>-0.23940890000000001</v>
      </c>
      <c r="U6780">
        <v>-0.66763309999999998</v>
      </c>
      <c r="V6780">
        <v>0.2454809</v>
      </c>
      <c r="W6780">
        <v>-9.6552689999999997E-2</v>
      </c>
      <c r="X6780">
        <v>0.96458109999999997</v>
      </c>
      <c r="Y6780">
        <v>0.21712619999999999</v>
      </c>
      <c r="Z6780">
        <v>-1.0037509999999999E-2</v>
      </c>
      <c r="AA6780">
        <v>0.97609190000000001</v>
      </c>
      <c r="AB6780">
        <v>22</v>
      </c>
      <c r="AC6780">
        <v>13.5572</v>
      </c>
      <c r="AD6780">
        <v>-1.120983134804</v>
      </c>
      <c r="AE6780">
        <v>-3.1255499999999898</v>
      </c>
      <c r="AF6780">
        <v>3.0347316505562598</v>
      </c>
      <c r="AG6780">
        <v>-1.120983134804</v>
      </c>
      <c r="AH6780">
        <v>13.485851657460101</v>
      </c>
      <c r="AI6780">
        <v>94.636254591051895</v>
      </c>
      <c r="AJ6780">
        <v>77.317938204028195</v>
      </c>
      <c r="AK6780">
        <v>13.8684676264691</v>
      </c>
      <c r="AL6780">
        <v>95.540693286470301</v>
      </c>
      <c r="AM6780">
        <v>75.721628539023499</v>
      </c>
      <c r="AN6780">
        <v>0.99999999634412795</v>
      </c>
    </row>
    <row r="6781" spans="1:40" x14ac:dyDescent="0.25">
      <c r="A6781" t="str">
        <f>"20190303154944025"</f>
        <v>20190303154944025</v>
      </c>
      <c r="B6781" t="str">
        <f>"1551599384017559"</f>
        <v>1551599384017559</v>
      </c>
      <c r="C6781" t="s">
        <v>40</v>
      </c>
      <c r="D6781">
        <v>5.3061610000000003</v>
      </c>
      <c r="E6781">
        <v>0.4510921</v>
      </c>
      <c r="F6781" t="s">
        <v>42</v>
      </c>
      <c r="G6781">
        <v>-335.9</v>
      </c>
      <c r="H6781">
        <v>1.037671</v>
      </c>
      <c r="I6781">
        <v>17.526889999999899</v>
      </c>
      <c r="J6781">
        <v>-336.58019999999999</v>
      </c>
      <c r="K6781">
        <v>1.120973</v>
      </c>
      <c r="L6781">
        <v>17.62537</v>
      </c>
      <c r="M6781">
        <v>0.99988030000000006</v>
      </c>
      <c r="N6781">
        <v>-1.4578000000000001E-2</v>
      </c>
      <c r="O6781">
        <v>-5.1984600000000002E-3</v>
      </c>
      <c r="P6781">
        <v>0.96164749999999999</v>
      </c>
      <c r="Q6781">
        <v>-0.11101279999999999</v>
      </c>
      <c r="R6781">
        <v>-0.25082019999999999</v>
      </c>
      <c r="S6781">
        <v>2.985474</v>
      </c>
      <c r="T6781">
        <v>-0.31535429999999998</v>
      </c>
      <c r="U6781">
        <v>-0.37438959999999999</v>
      </c>
      <c r="V6781">
        <v>0.24582580000000001</v>
      </c>
      <c r="W6781">
        <v>-9.6940960000000007E-2</v>
      </c>
      <c r="X6781">
        <v>0.96445429999999999</v>
      </c>
      <c r="Y6781">
        <v>0.1185496</v>
      </c>
      <c r="Z6781">
        <v>-6.6197629999999999E-3</v>
      </c>
      <c r="AA6781">
        <v>0.99292610000000003</v>
      </c>
      <c r="AB6781">
        <v>22</v>
      </c>
      <c r="AC6781">
        <v>0.68020000000001302</v>
      </c>
      <c r="AD6781">
        <v>-8.3301999999999904E-2</v>
      </c>
      <c r="AE6781">
        <v>-9.8480000000002094E-2</v>
      </c>
      <c r="AF6781">
        <v>9.3567770143227494E-2</v>
      </c>
      <c r="AG6781">
        <v>-8.3301999999999904E-2</v>
      </c>
      <c r="AH6781">
        <v>0.67084790419125295</v>
      </c>
      <c r="AI6781">
        <v>97.011240611705801</v>
      </c>
      <c r="AJ6781">
        <v>82.059788321958393</v>
      </c>
      <c r="AK6781">
        <v>0.68244491453257405</v>
      </c>
      <c r="AL6781">
        <v>95.563044429432907</v>
      </c>
      <c r="AM6781">
        <v>75.700586752516202</v>
      </c>
      <c r="AN6781">
        <v>0.99999998522992495</v>
      </c>
    </row>
    <row r="6782" spans="1:40" x14ac:dyDescent="0.25">
      <c r="A6782" t="str">
        <f>"20190303154944036"</f>
        <v>20190303154944036</v>
      </c>
      <c r="B6782" t="str">
        <f>"1551599384027319"</f>
        <v>1551599384027319</v>
      </c>
      <c r="C6782" t="s">
        <v>40</v>
      </c>
      <c r="D6782">
        <v>5.2804880000000001</v>
      </c>
      <c r="E6782">
        <v>0.40249059999999998</v>
      </c>
      <c r="F6782" t="s">
        <v>42</v>
      </c>
      <c r="G6782">
        <v>-335.70429999999999</v>
      </c>
      <c r="H6782">
        <v>1.028159</v>
      </c>
      <c r="I6782">
        <v>17.51502</v>
      </c>
      <c r="J6782">
        <v>-336.4676</v>
      </c>
      <c r="K6782">
        <v>1.1209709999999999</v>
      </c>
      <c r="L6782">
        <v>17.62482</v>
      </c>
      <c r="M6782">
        <v>0.99988060000000001</v>
      </c>
      <c r="N6782">
        <v>-1.4576230000000001E-2</v>
      </c>
      <c r="O6782">
        <v>-5.1519360000000002E-3</v>
      </c>
      <c r="P6782">
        <v>0.96160460000000003</v>
      </c>
      <c r="Q6782">
        <v>-0.11141769999999999</v>
      </c>
      <c r="R6782">
        <v>-0.25080469999999999</v>
      </c>
      <c r="S6782">
        <v>2.9852599999999998</v>
      </c>
      <c r="T6782">
        <v>-0.31635869999999999</v>
      </c>
      <c r="U6782">
        <v>-0.37536619999999998</v>
      </c>
      <c r="V6782">
        <v>0.24585560000000001</v>
      </c>
      <c r="W6782">
        <v>-9.7347539999999996E-2</v>
      </c>
      <c r="X6782">
        <v>0.96440579999999998</v>
      </c>
      <c r="Y6782">
        <v>0.1189175</v>
      </c>
      <c r="Z6782">
        <v>-6.6642259999999997E-3</v>
      </c>
      <c r="AA6782">
        <v>0.99288180000000004</v>
      </c>
      <c r="AB6782">
        <v>22</v>
      </c>
      <c r="AC6782">
        <v>0.76330000000001497</v>
      </c>
      <c r="AD6782">
        <v>-9.2811999999999895E-2</v>
      </c>
      <c r="AE6782">
        <v>-0.109799999999999</v>
      </c>
      <c r="AF6782">
        <v>0.104354068745524</v>
      </c>
      <c r="AG6782">
        <v>-9.2811999999999895E-2</v>
      </c>
      <c r="AH6782">
        <v>0.75294903593450802</v>
      </c>
      <c r="AI6782">
        <v>96.961220752113405</v>
      </c>
      <c r="AJ6782">
        <v>82.109425290504007</v>
      </c>
      <c r="AK6782">
        <v>0.76579115281024901</v>
      </c>
      <c r="AL6782">
        <v>95.586450181563805</v>
      </c>
      <c r="AM6782">
        <v>75.698234721464601</v>
      </c>
      <c r="AN6782">
        <v>1.00000003333452</v>
      </c>
    </row>
    <row r="6783" spans="1:40" x14ac:dyDescent="0.25">
      <c r="A6783" t="str">
        <f>"20190303154944046"</f>
        <v>20190303154944046</v>
      </c>
      <c r="B6783" t="str">
        <f>"1551599384038056"</f>
        <v>1551599384038056</v>
      </c>
      <c r="C6783" t="s">
        <v>40</v>
      </c>
      <c r="D6783">
        <v>5.2700849999999999</v>
      </c>
      <c r="E6783">
        <v>0.39870529999999998</v>
      </c>
      <c r="F6783" t="s">
        <v>41</v>
      </c>
      <c r="G6783">
        <v>-325.07159999999999</v>
      </c>
      <c r="H6783" s="1">
        <v>-2.6637840000000002E-6</v>
      </c>
      <c r="I6783">
        <v>17.622669999999999</v>
      </c>
      <c r="J6783">
        <v>-336.36279999999999</v>
      </c>
      <c r="K6783">
        <v>1.1209720000000001</v>
      </c>
      <c r="L6783">
        <v>17.624359999999999</v>
      </c>
      <c r="M6783">
        <v>0.99988089999999996</v>
      </c>
      <c r="N6783">
        <v>-1.4574520000000001E-2</v>
      </c>
      <c r="O6783">
        <v>-5.1073239999999999E-3</v>
      </c>
      <c r="P6783">
        <v>0.9614878</v>
      </c>
      <c r="Q6783">
        <v>-0.1117677</v>
      </c>
      <c r="R6783">
        <v>-0.25109670000000001</v>
      </c>
      <c r="S6783">
        <v>3.0845030000000002</v>
      </c>
      <c r="T6783">
        <v>-0.30340919999999999</v>
      </c>
      <c r="U6783">
        <v>-5.7983399999999999E-4</v>
      </c>
      <c r="V6783">
        <v>0.24619170000000001</v>
      </c>
      <c r="W6783">
        <v>-9.770036E-2</v>
      </c>
      <c r="X6783">
        <v>0.96428440000000004</v>
      </c>
      <c r="Y6783">
        <v>-4.8749700000000002E-3</v>
      </c>
      <c r="Z6783">
        <v>7.0169869999999997E-4</v>
      </c>
      <c r="AA6783">
        <v>0.99998790000000004</v>
      </c>
      <c r="AB6783">
        <v>22</v>
      </c>
      <c r="AC6783">
        <v>11.2912</v>
      </c>
      <c r="AD6783">
        <v>-1.1209746637839999</v>
      </c>
      <c r="AE6783">
        <v>-1.68999999999996E-3</v>
      </c>
      <c r="AF6783">
        <v>-5.5437549534494902E-2</v>
      </c>
      <c r="AG6783">
        <v>-1.1209746637839999</v>
      </c>
      <c r="AH6783">
        <v>11.1808600669137</v>
      </c>
      <c r="AI6783">
        <v>95.725179077588507</v>
      </c>
      <c r="AJ6783">
        <v>90.284084727553704</v>
      </c>
      <c r="AK6783">
        <v>11.2370498510352</v>
      </c>
      <c r="AL6783">
        <v>95.606761958049802</v>
      </c>
      <c r="AM6783">
        <v>75.677758202024705</v>
      </c>
      <c r="AN6783">
        <v>1.0000000587881801</v>
      </c>
    </row>
    <row r="6784" spans="1:40" x14ac:dyDescent="0.25">
      <c r="A6784" t="str">
        <f>"20190303154944058"</f>
        <v>20190303154944058</v>
      </c>
      <c r="B6784" t="str">
        <f>"1551599384047816"</f>
        <v>1551599384047816</v>
      </c>
      <c r="C6784" t="s">
        <v>40</v>
      </c>
      <c r="D6784">
        <v>5.2260770000000001</v>
      </c>
      <c r="E6784">
        <v>0.3960996</v>
      </c>
      <c r="F6784" t="s">
        <v>42</v>
      </c>
      <c r="G6784">
        <v>-335.4973</v>
      </c>
      <c r="H6784">
        <v>1.0335909999999999</v>
      </c>
      <c r="I6784">
        <v>17.632069999999999</v>
      </c>
      <c r="J6784">
        <v>-336.2466</v>
      </c>
      <c r="K6784">
        <v>1.120965</v>
      </c>
      <c r="L6784">
        <v>17.623809999999999</v>
      </c>
      <c r="M6784">
        <v>0.99988109999999997</v>
      </c>
      <c r="N6784">
        <v>-1.457257E-2</v>
      </c>
      <c r="O6784">
        <v>-5.0567490000000001E-3</v>
      </c>
      <c r="P6784">
        <v>0.96136750000000004</v>
      </c>
      <c r="Q6784">
        <v>-0.112023499999999</v>
      </c>
      <c r="R6784">
        <v>-0.25144319999999998</v>
      </c>
      <c r="S6784">
        <v>3.0911249999999999</v>
      </c>
      <c r="T6784">
        <v>-0.31208659999999999</v>
      </c>
      <c r="U6784">
        <v>2.786255E-2</v>
      </c>
      <c r="V6784">
        <v>0.2465878</v>
      </c>
      <c r="W6784">
        <v>-9.7959149999999995E-2</v>
      </c>
      <c r="X6784">
        <v>0.96415689999999998</v>
      </c>
      <c r="Y6784">
        <v>-1.397018E-2</v>
      </c>
      <c r="Z6784">
        <v>1.241226E-3</v>
      </c>
      <c r="AA6784">
        <v>0.9999017</v>
      </c>
      <c r="AB6784">
        <v>22</v>
      </c>
      <c r="AC6784">
        <v>0.74930000000000496</v>
      </c>
      <c r="AD6784">
        <v>-8.7373999999999993E-2</v>
      </c>
      <c r="AE6784">
        <v>8.2600000000034798E-3</v>
      </c>
      <c r="AF6784">
        <v>-1.18876974466776E-2</v>
      </c>
      <c r="AG6784">
        <v>-8.7373999999999993E-2</v>
      </c>
      <c r="AH6784">
        <v>0.73919875198235796</v>
      </c>
      <c r="AI6784">
        <v>96.740274041971801</v>
      </c>
      <c r="AJ6784">
        <v>90.921343794188601</v>
      </c>
      <c r="AK6784">
        <v>0.744439606790812</v>
      </c>
      <c r="AL6784">
        <v>95.621661145697402</v>
      </c>
      <c r="AM6784">
        <v>75.653846572707806</v>
      </c>
      <c r="AN6784">
        <v>1.00000003299758</v>
      </c>
    </row>
    <row r="6785" spans="1:40" x14ac:dyDescent="0.25">
      <c r="A6785" t="str">
        <f>"20190303154944070"</f>
        <v>20190303154944070</v>
      </c>
      <c r="B6785" t="str">
        <f>"1551599384067335"</f>
        <v>1551599384067335</v>
      </c>
      <c r="C6785" t="s">
        <v>40</v>
      </c>
      <c r="D6785">
        <v>5.185854</v>
      </c>
      <c r="E6785">
        <v>0.39315159999999899</v>
      </c>
      <c r="F6785" t="s">
        <v>41</v>
      </c>
      <c r="G6785">
        <v>-325.27510000000001</v>
      </c>
      <c r="H6785" s="1">
        <v>-2.537904E-6</v>
      </c>
      <c r="I6785">
        <v>17.790029999999899</v>
      </c>
      <c r="J6785">
        <v>-336.13260000000002</v>
      </c>
      <c r="K6785">
        <v>1.120967</v>
      </c>
      <c r="L6785">
        <v>17.623259999999998</v>
      </c>
      <c r="M6785">
        <v>0.99988129999999997</v>
      </c>
      <c r="N6785">
        <v>-1.457057E-2</v>
      </c>
      <c r="O6785">
        <v>-5.0055789999999996E-3</v>
      </c>
      <c r="P6785">
        <v>0.96128729999999996</v>
      </c>
      <c r="Q6785">
        <v>-0.11243010000000001</v>
      </c>
      <c r="R6785">
        <v>-0.25156770000000001</v>
      </c>
      <c r="S6785">
        <v>3.0959469999999998</v>
      </c>
      <c r="T6785">
        <v>-0.31631789999999999</v>
      </c>
      <c r="U6785">
        <v>4.6905519999999999E-2</v>
      </c>
      <c r="V6785">
        <v>0.24676210000000001</v>
      </c>
      <c r="W6785">
        <v>-9.8368440000000001E-2</v>
      </c>
      <c r="X6785">
        <v>0.9640706</v>
      </c>
      <c r="Y6785">
        <v>-2.0015950000000001E-2</v>
      </c>
      <c r="Z6785">
        <v>1.6033929999999901E-3</v>
      </c>
      <c r="AA6785">
        <v>0.99979839999999998</v>
      </c>
      <c r="AB6785">
        <v>22</v>
      </c>
      <c r="AC6785">
        <v>10.8575</v>
      </c>
      <c r="AD6785">
        <v>-1.1209695379039999</v>
      </c>
      <c r="AE6785">
        <v>0.166769999999996</v>
      </c>
      <c r="AF6785">
        <v>-0.218790159153602</v>
      </c>
      <c r="AG6785">
        <v>-1.1209695379039999</v>
      </c>
      <c r="AH6785">
        <v>10.74205351122</v>
      </c>
      <c r="AI6785">
        <v>95.956219188675504</v>
      </c>
      <c r="AJ6785">
        <v>91.166817842750106</v>
      </c>
      <c r="AK6785">
        <v>10.802599477744399</v>
      </c>
      <c r="AL6785">
        <v>95.645225714877796</v>
      </c>
      <c r="AM6785">
        <v>75.642893036754799</v>
      </c>
      <c r="AN6785">
        <v>1.0000000028844001</v>
      </c>
    </row>
    <row r="6786" spans="1:40" x14ac:dyDescent="0.25">
      <c r="A6786" t="str">
        <f>"20190303154944082"</f>
        <v>20190303154944082</v>
      </c>
      <c r="B6786" t="str">
        <f>"1551599384078071"</f>
        <v>1551599384078071</v>
      </c>
      <c r="C6786" t="s">
        <v>40</v>
      </c>
      <c r="D6786">
        <v>5.1443629999999896</v>
      </c>
      <c r="E6786">
        <v>0.39279740000000002</v>
      </c>
      <c r="F6786" t="s">
        <v>41</v>
      </c>
      <c r="G6786">
        <v>-325.37020000000001</v>
      </c>
      <c r="H6786" s="1">
        <v>-2.4798470000000002E-6</v>
      </c>
      <c r="I6786">
        <v>17.863879999999899</v>
      </c>
      <c r="J6786">
        <v>-336.00630000000001</v>
      </c>
      <c r="K6786">
        <v>1.120967</v>
      </c>
      <c r="L6786">
        <v>17.622679999999999</v>
      </c>
      <c r="M6786">
        <v>0.99988180000000004</v>
      </c>
      <c r="N6786">
        <v>-1.4568330000000001E-2</v>
      </c>
      <c r="O6786">
        <v>-4.9486859999999999E-3</v>
      </c>
      <c r="P6786">
        <v>0.96117260000000004</v>
      </c>
      <c r="Q6786">
        <v>-0.1129014</v>
      </c>
      <c r="R6786">
        <v>-0.251795399999999</v>
      </c>
      <c r="S6786">
        <v>3.1011959999999998</v>
      </c>
      <c r="T6786">
        <v>-0.3230094</v>
      </c>
      <c r="U6786">
        <v>6.9335939999999999E-2</v>
      </c>
      <c r="V6786">
        <v>0.2470455</v>
      </c>
      <c r="W6786">
        <v>-9.8843059999999996E-2</v>
      </c>
      <c r="X6786">
        <v>0.96394939999999996</v>
      </c>
      <c r="Y6786">
        <v>-2.7112890000000001E-2</v>
      </c>
      <c r="Z6786">
        <v>2.0482120000000002E-3</v>
      </c>
      <c r="AA6786">
        <v>0.99963029999999997</v>
      </c>
      <c r="AB6786">
        <v>22</v>
      </c>
      <c r="AC6786">
        <v>10.636100000000001</v>
      </c>
      <c r="AD6786">
        <v>-1.120969479847</v>
      </c>
      <c r="AE6786">
        <v>0.241199999999999</v>
      </c>
      <c r="AF6786">
        <v>-0.29061099234302401</v>
      </c>
      <c r="AG6786">
        <v>-1.120969479847</v>
      </c>
      <c r="AH6786">
        <v>10.5180055602404</v>
      </c>
      <c r="AI6786">
        <v>96.081101955334503</v>
      </c>
      <c r="AJ6786">
        <v>91.582671549886697</v>
      </c>
      <c r="AK6786">
        <v>10.581562658174301</v>
      </c>
      <c r="AL6786">
        <v>95.672552984590894</v>
      </c>
      <c r="AM6786">
        <v>75.625354714512795</v>
      </c>
      <c r="AN6786">
        <v>0.99999993767038398</v>
      </c>
    </row>
    <row r="6787" spans="1:40" x14ac:dyDescent="0.25">
      <c r="A6787" t="str">
        <f>"20190303154944091"</f>
        <v>20190303154944091</v>
      </c>
      <c r="B6787" t="str">
        <f>"1551599384087831"</f>
        <v>1551599384087831</v>
      </c>
      <c r="C6787" t="s">
        <v>40</v>
      </c>
      <c r="D6787">
        <v>5.1538879999999896</v>
      </c>
      <c r="E6787">
        <v>0.39190700000000001</v>
      </c>
      <c r="F6787" t="s">
        <v>42</v>
      </c>
      <c r="G6787">
        <v>-335.10199999999998</v>
      </c>
      <c r="H6787">
        <v>1.0261020000000001</v>
      </c>
      <c r="I6787">
        <v>17.643380000000001</v>
      </c>
      <c r="J6787">
        <v>-335.90969999999999</v>
      </c>
      <c r="K6787">
        <v>1.1209750000000001</v>
      </c>
      <c r="L6787">
        <v>17.622219999999999</v>
      </c>
      <c r="M6787">
        <v>0.99988189999999999</v>
      </c>
      <c r="N6787">
        <v>-1.4566549999999999E-2</v>
      </c>
      <c r="O6787">
        <v>-4.9040780000000001E-3</v>
      </c>
      <c r="P6787">
        <v>0.96110799999999996</v>
      </c>
      <c r="Q6787">
        <v>-0.11306389999999999</v>
      </c>
      <c r="R6787">
        <v>-0.2519689</v>
      </c>
      <c r="S6787">
        <v>3.1016849999999998</v>
      </c>
      <c r="T6787">
        <v>-0.32537379999999999</v>
      </c>
      <c r="U6787">
        <v>7.13501E-2</v>
      </c>
      <c r="V6787">
        <v>0.24726239999999999</v>
      </c>
      <c r="W6787">
        <v>-9.9007929999999994E-2</v>
      </c>
      <c r="X6787">
        <v>0.96387690000000004</v>
      </c>
      <c r="Y6787">
        <v>-2.770746E-2</v>
      </c>
      <c r="Z6787">
        <v>2.0933079999999999E-3</v>
      </c>
      <c r="AA6787">
        <v>0.99961390000000006</v>
      </c>
      <c r="AB6787">
        <v>22</v>
      </c>
      <c r="AC6787">
        <v>0.80770000000001096</v>
      </c>
      <c r="AD6787">
        <v>-9.4872999999999999E-2</v>
      </c>
      <c r="AE6787">
        <v>2.1159999999998201E-2</v>
      </c>
      <c r="AF6787">
        <v>-2.4779540322109099E-2</v>
      </c>
      <c r="AG6787">
        <v>-9.4872999999999999E-2</v>
      </c>
      <c r="AH6787">
        <v>0.79660329533633101</v>
      </c>
      <c r="AI6787">
        <v>96.788507027504096</v>
      </c>
      <c r="AJ6787">
        <v>91.781696642497494</v>
      </c>
      <c r="AK6787">
        <v>0.80261555048994404</v>
      </c>
      <c r="AL6787">
        <v>95.682045711745403</v>
      </c>
      <c r="AM6787">
        <v>75.6122205280777</v>
      </c>
      <c r="AN6787">
        <v>0.99999997150512698</v>
      </c>
    </row>
    <row r="6788" spans="1:40" x14ac:dyDescent="0.25">
      <c r="A6788" t="str">
        <f>"20190303154944103"</f>
        <v>20190303154944103</v>
      </c>
      <c r="B6788" t="str">
        <f>"1551599384097591"</f>
        <v>1551599384097591</v>
      </c>
      <c r="C6788" t="s">
        <v>40</v>
      </c>
      <c r="D6788">
        <v>5.2674940000000001</v>
      </c>
      <c r="E6788">
        <v>0.39281680000000002</v>
      </c>
      <c r="F6788" t="s">
        <v>41</v>
      </c>
      <c r="G6788">
        <v>-325.30990000000003</v>
      </c>
      <c r="H6788" s="1">
        <v>-2.5041599999999998E-6</v>
      </c>
      <c r="I6788">
        <v>17.887619999999998</v>
      </c>
      <c r="J6788">
        <v>-335.79129999999998</v>
      </c>
      <c r="K6788">
        <v>1.120978</v>
      </c>
      <c r="L6788">
        <v>17.621729999999999</v>
      </c>
      <c r="M6788">
        <v>0.9998821</v>
      </c>
      <c r="N6788">
        <v>-1.456434E-2</v>
      </c>
      <c r="O6788">
        <v>-4.8493310000000001E-3</v>
      </c>
      <c r="P6788">
        <v>0.96113579999999998</v>
      </c>
      <c r="Q6788">
        <v>-0.11310199999999999</v>
      </c>
      <c r="R6788">
        <v>-0.25184469999999998</v>
      </c>
      <c r="S6788">
        <v>3.1031490000000002</v>
      </c>
      <c r="T6788">
        <v>-0.32817200000000002</v>
      </c>
      <c r="U6788">
        <v>7.7697749999999996E-2</v>
      </c>
      <c r="V6788">
        <v>0.2471912</v>
      </c>
      <c r="W6788">
        <v>-9.9047410000000002E-2</v>
      </c>
      <c r="X6788">
        <v>0.9638911</v>
      </c>
      <c r="Y6788">
        <v>-2.9670169999999999E-2</v>
      </c>
      <c r="Z6788">
        <v>2.221953E-3</v>
      </c>
      <c r="AA6788">
        <v>0.99955729999999998</v>
      </c>
      <c r="AB6788">
        <v>22</v>
      </c>
      <c r="AC6788">
        <v>10.481399999999899</v>
      </c>
      <c r="AD6788">
        <v>-1.1209805041600001</v>
      </c>
      <c r="AE6788">
        <v>0.26589000000000201</v>
      </c>
      <c r="AF6788">
        <v>-0.31314058650634302</v>
      </c>
      <c r="AG6788">
        <v>-1.1209805041600001</v>
      </c>
      <c r="AH6788">
        <v>10.3615460342292</v>
      </c>
      <c r="AI6788">
        <v>96.171824665944996</v>
      </c>
      <c r="AJ6788">
        <v>91.731032675886794</v>
      </c>
      <c r="AK6788">
        <v>10.4267104370015</v>
      </c>
      <c r="AL6788">
        <v>95.684318955725502</v>
      </c>
      <c r="AM6788">
        <v>75.616394732074198</v>
      </c>
      <c r="AN6788">
        <v>0.99999996572217797</v>
      </c>
    </row>
    <row r="6789" spans="1:40" x14ac:dyDescent="0.25">
      <c r="A6789" t="str">
        <f>"20190303154944115"</f>
        <v>20190303154944115</v>
      </c>
      <c r="B6789" t="str">
        <f>"1551599384107350"</f>
        <v>1551599384107350</v>
      </c>
      <c r="C6789" t="s">
        <v>40</v>
      </c>
      <c r="D6789">
        <v>5.2437829999999996</v>
      </c>
      <c r="E6789">
        <v>0.39368049999999999</v>
      </c>
      <c r="F6789" t="s">
        <v>42</v>
      </c>
      <c r="G6789">
        <v>-334.9033</v>
      </c>
      <c r="H6789">
        <v>1.026098</v>
      </c>
      <c r="I6789">
        <v>17.642199999999999</v>
      </c>
      <c r="J6789">
        <v>-335.68020000000001</v>
      </c>
      <c r="K6789">
        <v>1.1209800000000001</v>
      </c>
      <c r="L6789">
        <v>17.62125</v>
      </c>
      <c r="M6789">
        <v>0.99988250000000001</v>
      </c>
      <c r="N6789">
        <v>-1.4562210000000001E-2</v>
      </c>
      <c r="O6789">
        <v>-4.7975680000000003E-3</v>
      </c>
      <c r="P6789">
        <v>0.96118429999999999</v>
      </c>
      <c r="Q6789">
        <v>-0.113042</v>
      </c>
      <c r="R6789">
        <v>-0.25168800000000002</v>
      </c>
      <c r="S6789">
        <v>3.1009220000000002</v>
      </c>
      <c r="T6789">
        <v>-0.33131640000000001</v>
      </c>
      <c r="U6789">
        <v>7.1136469999999993E-2</v>
      </c>
      <c r="V6789">
        <v>0.247084</v>
      </c>
      <c r="W6789">
        <v>-9.8988419999999994E-2</v>
      </c>
      <c r="X6789">
        <v>0.96392469999999997</v>
      </c>
      <c r="Y6789">
        <v>-2.753247E-2</v>
      </c>
      <c r="Z6789">
        <v>2.1090240000000001E-3</v>
      </c>
      <c r="AA6789">
        <v>0.99961869999999997</v>
      </c>
      <c r="AB6789">
        <v>22</v>
      </c>
      <c r="AC6789">
        <v>0.77690000000001103</v>
      </c>
      <c r="AD6789">
        <v>-9.4881999999999897E-2</v>
      </c>
      <c r="AE6789">
        <v>2.0949999999999101E-2</v>
      </c>
      <c r="AF6789">
        <v>-2.4314978325096302E-2</v>
      </c>
      <c r="AG6789">
        <v>-9.4881999999999897E-2</v>
      </c>
      <c r="AH6789">
        <v>0.76538277660989096</v>
      </c>
      <c r="AI6789">
        <v>97.063190467128393</v>
      </c>
      <c r="AJ6789">
        <v>91.819582690827701</v>
      </c>
      <c r="AK6789">
        <v>0.77162465410717396</v>
      </c>
      <c r="AL6789">
        <v>95.680922083062697</v>
      </c>
      <c r="AM6789">
        <v>75.622854265026703</v>
      </c>
      <c r="AN6789">
        <v>1.0000000188100899</v>
      </c>
    </row>
    <row r="6790" spans="1:40" x14ac:dyDescent="0.25">
      <c r="A6790" t="str">
        <f>"20190303154944126"</f>
        <v>20190303154944126</v>
      </c>
      <c r="B6790" t="str">
        <f>"1551599384118087"</f>
        <v>1551599384118087</v>
      </c>
      <c r="C6790" t="s">
        <v>40</v>
      </c>
      <c r="D6790">
        <v>5.2403019999999998</v>
      </c>
      <c r="E6790">
        <v>0.39439020000000002</v>
      </c>
      <c r="F6790" t="s">
        <v>41</v>
      </c>
      <c r="G6790">
        <v>-325.2672</v>
      </c>
      <c r="H6790" s="1">
        <v>-2.5328090000000002E-6</v>
      </c>
      <c r="I6790">
        <v>17.839870000000001</v>
      </c>
      <c r="J6790">
        <v>-335.57130000000001</v>
      </c>
      <c r="K6790">
        <v>1.120984</v>
      </c>
      <c r="L6790">
        <v>17.620760000000001</v>
      </c>
      <c r="M6790">
        <v>0.99988270000000001</v>
      </c>
      <c r="N6790">
        <v>-1.4560089999999999E-2</v>
      </c>
      <c r="O6790">
        <v>-4.7468789999999999E-3</v>
      </c>
      <c r="P6790">
        <v>0.96124699999999996</v>
      </c>
      <c r="Q6790">
        <v>-0.1128077</v>
      </c>
      <c r="R6790">
        <v>-0.25155290000000002</v>
      </c>
      <c r="S6790">
        <v>3.098938</v>
      </c>
      <c r="T6790">
        <v>-0.33360849999999997</v>
      </c>
      <c r="U6790">
        <v>6.5063480000000007E-2</v>
      </c>
      <c r="V6790">
        <v>0.24699769999999999</v>
      </c>
      <c r="W6790">
        <v>-9.875507E-2</v>
      </c>
      <c r="X6790">
        <v>0.96397069999999996</v>
      </c>
      <c r="Y6790">
        <v>-2.5548749999999999E-2</v>
      </c>
      <c r="Z6790">
        <v>1.9982699999999999E-3</v>
      </c>
      <c r="AA6790">
        <v>0.99967159999999999</v>
      </c>
      <c r="AB6790">
        <v>22</v>
      </c>
      <c r="AC6790">
        <v>10.3041</v>
      </c>
      <c r="AD6790">
        <v>-1.1209865328090001</v>
      </c>
      <c r="AE6790">
        <v>0.21911</v>
      </c>
      <c r="AF6790">
        <v>-0.26489137168687799</v>
      </c>
      <c r="AG6790">
        <v>-1.1209865328090001</v>
      </c>
      <c r="AH6790">
        <v>10.182485003049599</v>
      </c>
      <c r="AI6790">
        <v>96.280267652437303</v>
      </c>
      <c r="AJ6790">
        <v>91.490179980606399</v>
      </c>
      <c r="AK6790">
        <v>10.247427925233801</v>
      </c>
      <c r="AL6790">
        <v>95.667486563083202</v>
      </c>
      <c r="AM6790">
        <v>75.628325210018801</v>
      </c>
      <c r="AN6790">
        <v>0.99999996905724198</v>
      </c>
    </row>
    <row r="6791" spans="1:40" x14ac:dyDescent="0.25">
      <c r="A6791" t="str">
        <f>"20190303154944136"</f>
        <v>20190303154944136</v>
      </c>
      <c r="B6791" t="str">
        <f>"1551599384127848"</f>
        <v>1551599384127848</v>
      </c>
      <c r="C6791" t="s">
        <v>40</v>
      </c>
      <c r="D6791">
        <v>5.2590529999999998</v>
      </c>
      <c r="E6791">
        <v>0.3950033</v>
      </c>
      <c r="F6791" t="s">
        <v>42</v>
      </c>
      <c r="G6791">
        <v>-334.70499999999998</v>
      </c>
      <c r="H6791">
        <v>1.027021</v>
      </c>
      <c r="I6791">
        <v>17.637450000000001</v>
      </c>
      <c r="J6791">
        <v>-335.46260000000001</v>
      </c>
      <c r="K6791">
        <v>1.120987</v>
      </c>
      <c r="L6791">
        <v>17.620270000000001</v>
      </c>
      <c r="M6791">
        <v>0.99988310000000002</v>
      </c>
      <c r="N6791">
        <v>-1.455795E-2</v>
      </c>
      <c r="O6791">
        <v>-4.6960719999999999E-3</v>
      </c>
      <c r="P6791">
        <v>0.96134410000000003</v>
      </c>
      <c r="Q6791">
        <v>-0.1125998</v>
      </c>
      <c r="R6791">
        <v>-0.25127389999999999</v>
      </c>
      <c r="S6791">
        <v>3.0971980000000001</v>
      </c>
      <c r="T6791">
        <v>-0.33594950000000001</v>
      </c>
      <c r="U6791">
        <v>6.0089110000000001E-2</v>
      </c>
      <c r="V6791">
        <v>0.24676729999999999</v>
      </c>
      <c r="W6791">
        <v>-9.8547679999999999E-2</v>
      </c>
      <c r="X6791">
        <v>0.96405090000000004</v>
      </c>
      <c r="Y6791">
        <v>-2.3913150000000001E-2</v>
      </c>
      <c r="Z6791">
        <v>1.9073250000000001E-3</v>
      </c>
      <c r="AA6791">
        <v>0.99971220000000005</v>
      </c>
      <c r="AB6791">
        <v>22</v>
      </c>
      <c r="AC6791">
        <v>0.75760000000002403</v>
      </c>
      <c r="AD6791">
        <v>-9.3966000000000202E-2</v>
      </c>
      <c r="AE6791">
        <v>1.7179999999999699E-2</v>
      </c>
      <c r="AF6791">
        <v>-2.0423897218055199E-2</v>
      </c>
      <c r="AG6791">
        <v>-9.3966000000000202E-2</v>
      </c>
      <c r="AH6791">
        <v>0.74603998128612103</v>
      </c>
      <c r="AI6791">
        <v>97.176114259866907</v>
      </c>
      <c r="AJ6791">
        <v>91.568161129864194</v>
      </c>
      <c r="AK6791">
        <v>0.75221167128074395</v>
      </c>
      <c r="AL6791">
        <v>95.655545899630397</v>
      </c>
      <c r="AM6791">
        <v>75.6423217382291</v>
      </c>
      <c r="AN6791">
        <v>0.999999941686739</v>
      </c>
    </row>
    <row r="6792" spans="1:40" x14ac:dyDescent="0.25">
      <c r="A6792" t="str">
        <f>"20190303154944149"</f>
        <v>20190303154944149</v>
      </c>
      <c r="B6792" t="str">
        <f>"1551599384137607"</f>
        <v>1551599384137607</v>
      </c>
      <c r="C6792" t="s">
        <v>40</v>
      </c>
      <c r="D6792">
        <v>5.2480630000000001</v>
      </c>
      <c r="E6792">
        <v>0.39539839999999998</v>
      </c>
      <c r="F6792" t="s">
        <v>41</v>
      </c>
      <c r="G6792">
        <v>-325.16489999999999</v>
      </c>
      <c r="H6792" s="1">
        <v>-2.5868730000000001E-6</v>
      </c>
      <c r="I6792">
        <v>17.807559999999999</v>
      </c>
      <c r="J6792">
        <v>-335.34649999999999</v>
      </c>
      <c r="K6792">
        <v>1.120989</v>
      </c>
      <c r="L6792">
        <v>17.619779999999999</v>
      </c>
      <c r="M6792">
        <v>0.99988339999999998</v>
      </c>
      <c r="N6792">
        <v>-1.455561E-2</v>
      </c>
      <c r="O6792">
        <v>-4.6413269999999998E-3</v>
      </c>
      <c r="P6792">
        <v>0.96143880000000004</v>
      </c>
      <c r="Q6792">
        <v>-0.1123696</v>
      </c>
      <c r="R6792">
        <v>-0.25101499999999999</v>
      </c>
      <c r="S6792">
        <v>3.095825</v>
      </c>
      <c r="T6792">
        <v>-0.33700639999999998</v>
      </c>
      <c r="U6792">
        <v>5.6304930000000003E-2</v>
      </c>
      <c r="V6792">
        <v>0.2465608</v>
      </c>
      <c r="W6792">
        <v>-9.8318219999999998E-2</v>
      </c>
      <c r="X6792">
        <v>0.96412719999999996</v>
      </c>
      <c r="Y6792">
        <v>-2.265286E-2</v>
      </c>
      <c r="Z6792">
        <v>1.83102E-3</v>
      </c>
      <c r="AA6792">
        <v>0.99974169999999996</v>
      </c>
      <c r="AB6792">
        <v>22</v>
      </c>
      <c r="AC6792">
        <v>10.1816</v>
      </c>
      <c r="AD6792">
        <v>-1.120991586873</v>
      </c>
      <c r="AE6792">
        <v>0.187780000000003</v>
      </c>
      <c r="AF6792">
        <v>-0.232225049266996</v>
      </c>
      <c r="AG6792">
        <v>-1.120991586873</v>
      </c>
      <c r="AH6792">
        <v>10.058728680599801</v>
      </c>
      <c r="AI6792">
        <v>96.357388714326007</v>
      </c>
      <c r="AJ6792">
        <v>91.322548050163206</v>
      </c>
      <c r="AK6792">
        <v>10.123664024515501</v>
      </c>
      <c r="AL6792">
        <v>95.642334439325097</v>
      </c>
      <c r="AM6792">
        <v>75.654928919628404</v>
      </c>
      <c r="AN6792">
        <v>0.99999997913022398</v>
      </c>
    </row>
    <row r="6793" spans="1:40" x14ac:dyDescent="0.25">
      <c r="A6793" t="str">
        <f>"20190303154944161"</f>
        <v>20190303154944161</v>
      </c>
      <c r="B6793" t="str">
        <f>"1551599384158102"</f>
        <v>1551599384158102</v>
      </c>
      <c r="C6793" t="s">
        <v>40</v>
      </c>
      <c r="D6793">
        <v>5.2351769999999904</v>
      </c>
      <c r="E6793">
        <v>0.39623530000000001</v>
      </c>
      <c r="F6793" t="s">
        <v>42</v>
      </c>
      <c r="G6793">
        <v>-334.50580000000002</v>
      </c>
      <c r="H6793">
        <v>1.0290969999999999</v>
      </c>
      <c r="I6793">
        <v>17.634360000000001</v>
      </c>
      <c r="J6793">
        <v>-335.22649999999999</v>
      </c>
      <c r="K6793">
        <v>1.120989</v>
      </c>
      <c r="L6793">
        <v>17.619260000000001</v>
      </c>
      <c r="M6793">
        <v>0.99988370000000004</v>
      </c>
      <c r="N6793">
        <v>-1.4553180000000001E-2</v>
      </c>
      <c r="O6793">
        <v>-4.5845549999999997E-3</v>
      </c>
      <c r="P6793">
        <v>0.96151520000000001</v>
      </c>
      <c r="Q6793">
        <v>-0.1122412</v>
      </c>
      <c r="R6793">
        <v>-0.25078060000000002</v>
      </c>
      <c r="S6793">
        <v>3.0949399999999998</v>
      </c>
      <c r="T6793">
        <v>-0.3382986</v>
      </c>
      <c r="U6793">
        <v>5.4107669999999997E-2</v>
      </c>
      <c r="V6793">
        <v>0.24638080000000001</v>
      </c>
      <c r="W6793">
        <v>-9.8190799999999995E-2</v>
      </c>
      <c r="X6793">
        <v>0.96418630000000005</v>
      </c>
      <c r="Y6793">
        <v>-2.189574E-2</v>
      </c>
      <c r="Z6793">
        <v>1.7859740000000001E-3</v>
      </c>
      <c r="AA6793">
        <v>0.9997587</v>
      </c>
      <c r="AB6793">
        <v>22</v>
      </c>
      <c r="AC6793">
        <v>0.72069999999996504</v>
      </c>
      <c r="AD6793">
        <v>-9.1892000000000001E-2</v>
      </c>
      <c r="AE6793">
        <v>1.5100000000000301E-2</v>
      </c>
      <c r="AF6793">
        <v>-1.8109990672467099E-2</v>
      </c>
      <c r="AG6793">
        <v>-9.1892000000000001E-2</v>
      </c>
      <c r="AH6793">
        <v>0.70910024782953496</v>
      </c>
      <c r="AI6793">
        <v>97.381405773877603</v>
      </c>
      <c r="AJ6793">
        <v>91.462981465739702</v>
      </c>
      <c r="AK6793">
        <v>0.71525888522832404</v>
      </c>
      <c r="AL6793">
        <v>95.634997763539801</v>
      </c>
      <c r="AM6793">
        <v>75.665812160275905</v>
      </c>
      <c r="AN6793">
        <v>1.0000000764604799</v>
      </c>
    </row>
    <row r="6794" spans="1:40" x14ac:dyDescent="0.25">
      <c r="A6794" t="str">
        <f>"20190303154944184"</f>
        <v>20190303154944184</v>
      </c>
      <c r="B6794" t="str">
        <f>"1551599384177622"</f>
        <v>1551599384177622</v>
      </c>
      <c r="C6794" t="s">
        <v>40</v>
      </c>
      <c r="D6794">
        <v>5.2438390000000004</v>
      </c>
      <c r="E6794">
        <v>0.39697090000000002</v>
      </c>
      <c r="F6794" t="s">
        <v>42</v>
      </c>
      <c r="G6794">
        <v>-334.315</v>
      </c>
      <c r="H6794">
        <v>1.0202990000000001</v>
      </c>
      <c r="I6794">
        <v>17.633479999999999</v>
      </c>
      <c r="J6794">
        <v>-335.00189999999998</v>
      </c>
      <c r="K6794">
        <v>1.120995</v>
      </c>
      <c r="L6794">
        <v>17.618379999999998</v>
      </c>
      <c r="M6794">
        <v>0.9998842</v>
      </c>
      <c r="N6794">
        <v>-1.4548480000000001E-2</v>
      </c>
      <c r="O6794">
        <v>-4.4752940000000003E-3</v>
      </c>
      <c r="P6794">
        <v>0.96161099999999999</v>
      </c>
      <c r="Q6794">
        <v>-0.11193839999999999</v>
      </c>
      <c r="R6794">
        <v>-0.2505482</v>
      </c>
      <c r="S6794">
        <v>3.0928650000000002</v>
      </c>
      <c r="T6794">
        <v>-0.34162500000000001</v>
      </c>
      <c r="U6794">
        <v>4.8522950000000002E-2</v>
      </c>
      <c r="V6794">
        <v>0.24625369999999999</v>
      </c>
      <c r="W6794">
        <v>-9.78903E-2</v>
      </c>
      <c r="X6794">
        <v>0.96424929999999998</v>
      </c>
      <c r="Y6794">
        <v>-2.0003529999999999E-2</v>
      </c>
      <c r="Z6794">
        <v>1.6752239999999999E-3</v>
      </c>
      <c r="AA6794">
        <v>0.99979850000000003</v>
      </c>
      <c r="AB6794">
        <v>22</v>
      </c>
      <c r="AC6794">
        <v>0.68689999999997997</v>
      </c>
      <c r="AD6794">
        <v>-0.10069599999999899</v>
      </c>
      <c r="AE6794">
        <v>1.5100000000000301E-2</v>
      </c>
      <c r="AF6794">
        <v>-1.7792085322983899E-2</v>
      </c>
      <c r="AG6794">
        <v>-0.10069599999999899</v>
      </c>
      <c r="AH6794">
        <v>0.67238297199395503</v>
      </c>
      <c r="AI6794">
        <v>98.514373938448699</v>
      </c>
      <c r="AJ6794">
        <v>91.515763501570405</v>
      </c>
      <c r="AK6794">
        <v>0.68011403730813003</v>
      </c>
      <c r="AL6794">
        <v>95.617697161593398</v>
      </c>
      <c r="AM6794">
        <v>75.673799768164102</v>
      </c>
      <c r="AN6794">
        <v>1.0000000540741301</v>
      </c>
    </row>
    <row r="6795" spans="1:40" x14ac:dyDescent="0.25">
      <c r="A6795" t="str">
        <f>"20190303154944194"</f>
        <v>20190303154944194</v>
      </c>
      <c r="B6795" t="str">
        <f>"1551599384187383"</f>
        <v>1551599384187383</v>
      </c>
      <c r="C6795" t="s">
        <v>40</v>
      </c>
      <c r="D6795">
        <v>5.2400570000000002</v>
      </c>
      <c r="E6795">
        <v>0.39724530000000002</v>
      </c>
      <c r="F6795" t="s">
        <v>42</v>
      </c>
      <c r="G6795">
        <v>-334.11610000000002</v>
      </c>
      <c r="H6795">
        <v>1.023487</v>
      </c>
      <c r="I6795">
        <v>17.630579999999998</v>
      </c>
      <c r="J6795">
        <v>-334.89179999999999</v>
      </c>
      <c r="K6795">
        <v>1.1209960000000001</v>
      </c>
      <c r="L6795">
        <v>17.617920000000002</v>
      </c>
      <c r="M6795">
        <v>0.99988449999999995</v>
      </c>
      <c r="N6795">
        <v>-1.4546130000000001E-2</v>
      </c>
      <c r="O6795">
        <v>-4.4201819999999999E-3</v>
      </c>
      <c r="P6795">
        <v>0.96159499999999998</v>
      </c>
      <c r="Q6795">
        <v>-0.1115935</v>
      </c>
      <c r="R6795">
        <v>-0.25076330000000002</v>
      </c>
      <c r="S6795">
        <v>3.0915219999999999</v>
      </c>
      <c r="T6795">
        <v>-0.34028079999999999</v>
      </c>
      <c r="U6795">
        <v>4.3609620000000002E-2</v>
      </c>
      <c r="V6795">
        <v>0.2465222</v>
      </c>
      <c r="W6795">
        <v>-9.7547250000000002E-2</v>
      </c>
      <c r="X6795">
        <v>0.96421539999999994</v>
      </c>
      <c r="Y6795">
        <v>-1.8379030000000001E-2</v>
      </c>
      <c r="Z6795">
        <v>1.5634379999999999E-3</v>
      </c>
      <c r="AA6795">
        <v>0.99982990000000005</v>
      </c>
      <c r="AB6795">
        <v>22</v>
      </c>
      <c r="AC6795">
        <v>0.77569999999997197</v>
      </c>
      <c r="AD6795">
        <v>-9.7508999999999804E-2</v>
      </c>
      <c r="AE6795">
        <v>1.26599999999967E-2</v>
      </c>
      <c r="AF6795">
        <v>-1.5838762455433301E-2</v>
      </c>
      <c r="AG6795">
        <v>-9.7508999999999804E-2</v>
      </c>
      <c r="AH6795">
        <v>0.76357395686419904</v>
      </c>
      <c r="AI6795">
        <v>97.275780410339294</v>
      </c>
      <c r="AJ6795">
        <v>91.188312030849801</v>
      </c>
      <c r="AK6795">
        <v>0.76993769817977398</v>
      </c>
      <c r="AL6795">
        <v>95.597947631421803</v>
      </c>
      <c r="AM6795">
        <v>75.658339906558993</v>
      </c>
      <c r="AN6795">
        <v>0.99999999933628103</v>
      </c>
    </row>
    <row r="6796" spans="1:40" x14ac:dyDescent="0.25">
      <c r="A6796" t="str">
        <f>"20190303154944204"</f>
        <v>20190303154944204</v>
      </c>
      <c r="B6796" t="str">
        <f>"1551599384197142"</f>
        <v>1551599384197142</v>
      </c>
      <c r="C6796" t="s">
        <v>40</v>
      </c>
      <c r="D6796">
        <v>5.2520629999999997</v>
      </c>
      <c r="E6796">
        <v>0.3975399</v>
      </c>
      <c r="F6796" t="s">
        <v>42</v>
      </c>
      <c r="G6796">
        <v>-334.10719999999998</v>
      </c>
      <c r="H6796">
        <v>1.0347959999999901</v>
      </c>
      <c r="I6796">
        <v>17.62799</v>
      </c>
      <c r="J6796">
        <v>-334.79390000000001</v>
      </c>
      <c r="K6796">
        <v>1.121</v>
      </c>
      <c r="L6796">
        <v>17.617519999999999</v>
      </c>
      <c r="M6796">
        <v>0.99988480000000002</v>
      </c>
      <c r="N6796">
        <v>-1.4544029999999999E-2</v>
      </c>
      <c r="O6796">
        <v>-4.3704360000000001E-3</v>
      </c>
      <c r="P6796">
        <v>0.96155639999999998</v>
      </c>
      <c r="Q6796">
        <v>-0.1115356</v>
      </c>
      <c r="R6796">
        <v>-0.25093759999999998</v>
      </c>
      <c r="S6796">
        <v>3.0910340000000001</v>
      </c>
      <c r="T6796">
        <v>-0.33958339999999998</v>
      </c>
      <c r="U6796">
        <v>4.0801999999999998E-2</v>
      </c>
      <c r="V6796">
        <v>0.24674450000000001</v>
      </c>
      <c r="W6796">
        <v>-9.7491289999999994E-2</v>
      </c>
      <c r="X6796">
        <v>0.96416420000000003</v>
      </c>
      <c r="Y6796">
        <v>-1.743074E-2</v>
      </c>
      <c r="Z6796">
        <v>1.4970459999999999E-3</v>
      </c>
      <c r="AA6796">
        <v>0.99984689999999998</v>
      </c>
      <c r="AB6796">
        <v>22</v>
      </c>
      <c r="AC6796">
        <v>0.68670000000002995</v>
      </c>
      <c r="AD6796">
        <v>-8.62040000000001E-2</v>
      </c>
      <c r="AE6796">
        <v>1.0469999999997899E-2</v>
      </c>
      <c r="AF6796">
        <v>-1.3262445002681301E-2</v>
      </c>
      <c r="AG6796">
        <v>-8.62040000000001E-2</v>
      </c>
      <c r="AH6796">
        <v>0.67599730548621495</v>
      </c>
      <c r="AI6796">
        <v>97.265821462280996</v>
      </c>
      <c r="AJ6796">
        <v>91.123946273225897</v>
      </c>
      <c r="AK6796">
        <v>0.68160060085659502</v>
      </c>
      <c r="AL6796">
        <v>95.594725987889305</v>
      </c>
      <c r="AM6796">
        <v>75.645210796172194</v>
      </c>
      <c r="AN6796">
        <v>1.00000000223387</v>
      </c>
    </row>
    <row r="6797" spans="1:40" x14ac:dyDescent="0.25">
      <c r="A6797" t="str">
        <f>"20190303154944214"</f>
        <v>20190303154944214</v>
      </c>
      <c r="B6797" t="str">
        <f>"1551599384207880"</f>
        <v>1551599384207880</v>
      </c>
      <c r="C6797" t="s">
        <v>40</v>
      </c>
      <c r="D6797">
        <v>5.2029999999999896</v>
      </c>
      <c r="E6797">
        <v>0.39782430000000002</v>
      </c>
      <c r="F6797" t="s">
        <v>42</v>
      </c>
      <c r="G6797">
        <v>-333.91860000000003</v>
      </c>
      <c r="H6797">
        <v>1.0246980000000001</v>
      </c>
      <c r="I6797">
        <v>17.628079999999901</v>
      </c>
      <c r="J6797">
        <v>-334.68810000000002</v>
      </c>
      <c r="K6797">
        <v>1.121003</v>
      </c>
      <c r="L6797">
        <v>17.61713</v>
      </c>
      <c r="M6797">
        <v>0.99988500000000002</v>
      </c>
      <c r="N6797">
        <v>-1.4541739999999999E-2</v>
      </c>
      <c r="O6797">
        <v>-4.3150799999999998E-3</v>
      </c>
      <c r="P6797">
        <v>0.96150020000000003</v>
      </c>
      <c r="Q6797">
        <v>-0.11111509999999999</v>
      </c>
      <c r="R6797">
        <v>-0.25133759999999999</v>
      </c>
      <c r="S6797">
        <v>3.0904240000000001</v>
      </c>
      <c r="T6797">
        <v>-0.34003290000000003</v>
      </c>
      <c r="U6797">
        <v>3.7994380000000001E-2</v>
      </c>
      <c r="V6797">
        <v>0.247199</v>
      </c>
      <c r="W6797">
        <v>-9.7073000000000007E-2</v>
      </c>
      <c r="X6797">
        <v>0.96409</v>
      </c>
      <c r="Y6797">
        <v>-1.6476149999999998E-2</v>
      </c>
      <c r="Z6797">
        <v>1.4346230000000001E-3</v>
      </c>
      <c r="AA6797">
        <v>0.99986319999999995</v>
      </c>
      <c r="AB6797">
        <v>22</v>
      </c>
      <c r="AC6797">
        <v>0.76949999999999297</v>
      </c>
      <c r="AD6797">
        <v>-9.6305000000000002E-2</v>
      </c>
      <c r="AE6797">
        <v>1.09499999999975E-2</v>
      </c>
      <c r="AF6797">
        <v>-1.40506692156571E-2</v>
      </c>
      <c r="AG6797">
        <v>-9.6305000000000002E-2</v>
      </c>
      <c r="AH6797">
        <v>0.75758182789246997</v>
      </c>
      <c r="AI6797">
        <v>97.2434400095228</v>
      </c>
      <c r="AJ6797">
        <v>91.062527806348399</v>
      </c>
      <c r="AK6797">
        <v>0.76380776395851302</v>
      </c>
      <c r="AL6797">
        <v>95.570645416552495</v>
      </c>
      <c r="AM6797">
        <v>75.6188041564819</v>
      </c>
      <c r="AN6797">
        <v>1.0000000205149899</v>
      </c>
    </row>
    <row r="6798" spans="1:40" x14ac:dyDescent="0.25">
      <c r="A6798" t="str">
        <f>"20190303154944228"</f>
        <v>20190303154944228</v>
      </c>
      <c r="B6798" t="str">
        <f>"1551599384217640"</f>
        <v>1551599384217640</v>
      </c>
      <c r="C6798" t="s">
        <v>40</v>
      </c>
      <c r="D6798">
        <v>5.2160190000000002</v>
      </c>
      <c r="E6798">
        <v>0.39810060000000003</v>
      </c>
      <c r="F6798" t="s">
        <v>42</v>
      </c>
      <c r="G6798">
        <v>-333.91</v>
      </c>
      <c r="H6798">
        <v>1.0355939999999999</v>
      </c>
      <c r="I6798">
        <v>17.625620000000001</v>
      </c>
      <c r="J6798">
        <v>-334.56959999999998</v>
      </c>
      <c r="K6798">
        <v>1.1210100000000001</v>
      </c>
      <c r="L6798">
        <v>17.616669999999999</v>
      </c>
      <c r="M6798">
        <v>0.99988529999999998</v>
      </c>
      <c r="N6798">
        <v>-1.4539170000000001E-2</v>
      </c>
      <c r="O6798">
        <v>-4.250289E-3</v>
      </c>
      <c r="P6798">
        <v>0.96147419999999995</v>
      </c>
      <c r="Q6798">
        <v>-0.11079310000000001</v>
      </c>
      <c r="R6798">
        <v>-0.25158000000000003</v>
      </c>
      <c r="S6798">
        <v>3.089966</v>
      </c>
      <c r="T6798">
        <v>-0.33917750000000002</v>
      </c>
      <c r="U6798">
        <v>3.4515379999999998E-2</v>
      </c>
      <c r="V6798">
        <v>0.2475041</v>
      </c>
      <c r="W6798">
        <v>-9.6752500000000005E-2</v>
      </c>
      <c r="X6798">
        <v>0.96404389999999995</v>
      </c>
      <c r="Y6798">
        <v>-1.5296499999999999E-2</v>
      </c>
      <c r="Z6798">
        <v>1.352072E-3</v>
      </c>
      <c r="AA6798">
        <v>0.9998821</v>
      </c>
      <c r="AB6798">
        <v>22</v>
      </c>
      <c r="AC6798">
        <v>0.659599999999954</v>
      </c>
      <c r="AD6798">
        <v>-8.5415999999999895E-2</v>
      </c>
      <c r="AE6798">
        <v>8.9499999999986795E-3</v>
      </c>
      <c r="AF6798">
        <v>-1.1559889466498699E-2</v>
      </c>
      <c r="AG6798">
        <v>-8.5415999999999895E-2</v>
      </c>
      <c r="AH6798">
        <v>0.64868003322460399</v>
      </c>
      <c r="AI6798">
        <v>97.500181781305699</v>
      </c>
      <c r="AJ6798">
        <v>91.020939051690604</v>
      </c>
      <c r="AK6798">
        <v>0.65438162382874998</v>
      </c>
      <c r="AL6798">
        <v>95.552195478930798</v>
      </c>
      <c r="AM6798">
        <v>75.601132040698403</v>
      </c>
      <c r="AN6798">
        <v>0.99999998345013397</v>
      </c>
    </row>
    <row r="6799" spans="1:40" x14ac:dyDescent="0.25">
      <c r="A6799" t="str">
        <f>"20190303154944239"</f>
        <v>20190303154944239</v>
      </c>
      <c r="B6799" t="str">
        <f>"1551599384227399"</f>
        <v>1551599384227399</v>
      </c>
      <c r="C6799" t="s">
        <v>40</v>
      </c>
      <c r="D6799">
        <v>5.2416390000000002</v>
      </c>
      <c r="E6799">
        <v>0.3983139</v>
      </c>
      <c r="F6799" t="s">
        <v>42</v>
      </c>
      <c r="G6799">
        <v>-333.7199</v>
      </c>
      <c r="H6799">
        <v>1.027917</v>
      </c>
      <c r="I6799">
        <v>17.62518</v>
      </c>
      <c r="J6799">
        <v>-334.45429999999999</v>
      </c>
      <c r="K6799">
        <v>1.121014</v>
      </c>
      <c r="L6799">
        <v>17.616239999999902</v>
      </c>
      <c r="M6799">
        <v>0.99988569999999999</v>
      </c>
      <c r="N6799">
        <v>-1.453665E-2</v>
      </c>
      <c r="O6799">
        <v>-4.1853719999999997E-3</v>
      </c>
      <c r="P6799">
        <v>0.96146940000000003</v>
      </c>
      <c r="Q6799">
        <v>-0.11038100000000001</v>
      </c>
      <c r="R6799">
        <v>-0.2517797</v>
      </c>
      <c r="S6799">
        <v>3.0894469999999998</v>
      </c>
      <c r="T6799">
        <v>-0.33843299999999998</v>
      </c>
      <c r="U6799">
        <v>3.1646729999999998E-2</v>
      </c>
      <c r="V6799">
        <v>0.24776690000000001</v>
      </c>
      <c r="W6799">
        <v>-9.6341330000000003E-2</v>
      </c>
      <c r="X6799">
        <v>0.96401760000000003</v>
      </c>
      <c r="Y6799">
        <v>-1.431258E-2</v>
      </c>
      <c r="Z6799">
        <v>1.282388E-3</v>
      </c>
      <c r="AA6799">
        <v>0.99989680000000003</v>
      </c>
      <c r="AB6799">
        <v>22</v>
      </c>
      <c r="AC6799">
        <v>0.73439999999999295</v>
      </c>
      <c r="AD6799">
        <v>-9.3096999999999999E-2</v>
      </c>
      <c r="AE6799">
        <v>8.9400000000026108E-3</v>
      </c>
      <c r="AF6799">
        <v>-1.1824004028089899E-2</v>
      </c>
      <c r="AG6799">
        <v>-9.3096999999999999E-2</v>
      </c>
      <c r="AH6799">
        <v>0.72274363878361403</v>
      </c>
      <c r="AI6799">
        <v>97.338912324653407</v>
      </c>
      <c r="AJ6799">
        <v>90.937268847237306</v>
      </c>
      <c r="AK6799">
        <v>0.72881082997060098</v>
      </c>
      <c r="AL6799">
        <v>95.528526450017097</v>
      </c>
      <c r="AM6799">
        <v>75.586103063393594</v>
      </c>
      <c r="AN6799">
        <v>1.0000000108557601</v>
      </c>
    </row>
    <row r="6800" spans="1:40" x14ac:dyDescent="0.25">
      <c r="A6800" t="str">
        <f>"20190303154944250"</f>
        <v>20190303154944250</v>
      </c>
      <c r="B6800" t="str">
        <f>"1551599384238135"</f>
        <v>1551599384238135</v>
      </c>
      <c r="C6800" t="s">
        <v>40</v>
      </c>
      <c r="D6800">
        <v>5.205768</v>
      </c>
      <c r="E6800">
        <v>0.39851779999999998</v>
      </c>
      <c r="F6800" t="s">
        <v>41</v>
      </c>
      <c r="G6800">
        <v>-324.19400000000002</v>
      </c>
      <c r="H6800" s="1">
        <v>-3.062497E-6</v>
      </c>
      <c r="I6800">
        <v>17.713750000000001</v>
      </c>
      <c r="J6800">
        <v>-334.34969999999998</v>
      </c>
      <c r="K6800">
        <v>1.1210209999999901</v>
      </c>
      <c r="L6800">
        <v>17.615879999999901</v>
      </c>
      <c r="M6800">
        <v>0.99988589999999999</v>
      </c>
      <c r="N6800">
        <v>-1.453434E-2</v>
      </c>
      <c r="O6800">
        <v>-4.1212749999999998E-3</v>
      </c>
      <c r="P6800">
        <v>0.9613988</v>
      </c>
      <c r="Q6800">
        <v>-0.1099512</v>
      </c>
      <c r="R6800">
        <v>-0.25223669999999998</v>
      </c>
      <c r="S6800">
        <v>3.0892029999999999</v>
      </c>
      <c r="T6800">
        <v>-0.33751949999999997</v>
      </c>
      <c r="U6800">
        <v>2.9357910000000001E-2</v>
      </c>
      <c r="V6800">
        <v>0.2482868</v>
      </c>
      <c r="W6800">
        <v>-9.5912609999999995E-2</v>
      </c>
      <c r="X6800">
        <v>0.96392659999999997</v>
      </c>
      <c r="Y6800">
        <v>-1.351479E-2</v>
      </c>
      <c r="Z6800">
        <v>1.2238329999999999E-3</v>
      </c>
      <c r="AA6800">
        <v>0.99990789999999996</v>
      </c>
      <c r="AB6800">
        <v>22</v>
      </c>
      <c r="AC6800">
        <v>10.1556999999999</v>
      </c>
      <c r="AD6800">
        <v>-1.12102406249699</v>
      </c>
      <c r="AE6800">
        <v>9.7870000000003898E-2</v>
      </c>
      <c r="AF6800">
        <v>-0.13804614528030901</v>
      </c>
      <c r="AG6800">
        <v>-1.12102406249699</v>
      </c>
      <c r="AH6800">
        <v>10.0329742362498</v>
      </c>
      <c r="AI6800">
        <v>96.374842985742106</v>
      </c>
      <c r="AJ6800">
        <v>90.788296893994698</v>
      </c>
      <c r="AK6800">
        <v>10.096352000211599</v>
      </c>
      <c r="AL6800">
        <v>95.503848231933503</v>
      </c>
      <c r="AM6800">
        <v>75.555815124122006</v>
      </c>
      <c r="AN6800">
        <v>1.0000000269994</v>
      </c>
    </row>
    <row r="6801" spans="1:40" x14ac:dyDescent="0.25">
      <c r="A6801" t="str">
        <f>"20190303154944259"</f>
        <v>20190303154944259</v>
      </c>
      <c r="B6801" t="str">
        <f>"1551599384247896"</f>
        <v>1551599384247896</v>
      </c>
      <c r="C6801" t="s">
        <v>40</v>
      </c>
      <c r="D6801">
        <v>5.224132</v>
      </c>
      <c r="E6801">
        <v>0.39870879999999997</v>
      </c>
      <c r="F6801" t="s">
        <v>42</v>
      </c>
      <c r="G6801">
        <v>-333.52170000000001</v>
      </c>
      <c r="H6801">
        <v>1.0308729999999999</v>
      </c>
      <c r="I6801">
        <v>17.622920000000001</v>
      </c>
      <c r="J6801">
        <v>-334.25139999999999</v>
      </c>
      <c r="K6801">
        <v>1.121027</v>
      </c>
      <c r="L6801">
        <v>17.61551</v>
      </c>
      <c r="M6801">
        <v>0.99988619999999995</v>
      </c>
      <c r="N6801">
        <v>-1.4532160000000001E-2</v>
      </c>
      <c r="O6801">
        <v>-4.0601600000000002E-3</v>
      </c>
      <c r="P6801">
        <v>0.96125989999999994</v>
      </c>
      <c r="Q6801">
        <v>-0.1096703</v>
      </c>
      <c r="R6801">
        <v>-0.25288709999999998</v>
      </c>
      <c r="S6801">
        <v>3.0888979999999999</v>
      </c>
      <c r="T6801">
        <v>-0.33627560000000001</v>
      </c>
      <c r="U6801">
        <v>2.630615E-2</v>
      </c>
      <c r="V6801">
        <v>0.24899760000000001</v>
      </c>
      <c r="W6801">
        <v>-9.5633640000000006E-2</v>
      </c>
      <c r="X6801">
        <v>0.96377089999999999</v>
      </c>
      <c r="Y6801">
        <v>-1.2474809999999999E-2</v>
      </c>
      <c r="Z6801">
        <v>1.1498299999999999E-3</v>
      </c>
      <c r="AA6801">
        <v>0.99992150000000002</v>
      </c>
      <c r="AB6801">
        <v>22</v>
      </c>
      <c r="AC6801">
        <v>0.72969999999997903</v>
      </c>
      <c r="AD6801">
        <v>-9.0153999999999998E-2</v>
      </c>
      <c r="AE6801">
        <v>7.41000000000013E-3</v>
      </c>
      <c r="AF6801">
        <v>-1.02170094260596E-2</v>
      </c>
      <c r="AG6801">
        <v>-9.0153999999999998E-2</v>
      </c>
      <c r="AH6801">
        <v>0.71869454570787406</v>
      </c>
      <c r="AI6801">
        <v>97.149197444224399</v>
      </c>
      <c r="AJ6801">
        <v>90.814465745474493</v>
      </c>
      <c r="AK6801">
        <v>0.72439904819640699</v>
      </c>
      <c r="AL6801">
        <v>95.487790913241895</v>
      </c>
      <c r="AM6801">
        <v>75.513959524061306</v>
      </c>
      <c r="AN6801">
        <v>0.99999997279610897</v>
      </c>
    </row>
    <row r="6802" spans="1:40" x14ac:dyDescent="0.25">
      <c r="A6802" t="str">
        <f>"20190303154944272"</f>
        <v>20190303154944272</v>
      </c>
      <c r="B6802" t="str">
        <f>"1551599384267415"</f>
        <v>1551599384267415</v>
      </c>
      <c r="C6802" t="s">
        <v>40</v>
      </c>
      <c r="D6802">
        <v>5.2306589999999904</v>
      </c>
      <c r="E6802">
        <v>0.39903509999999998</v>
      </c>
      <c r="F6802" t="s">
        <v>41</v>
      </c>
      <c r="G6802">
        <v>-323.93209999999999</v>
      </c>
      <c r="H6802" s="1">
        <v>-3.1902299999999902E-6</v>
      </c>
      <c r="I6802">
        <v>17.691569999999999</v>
      </c>
      <c r="J6802">
        <v>-334.1327</v>
      </c>
      <c r="K6802">
        <v>1.1210340000000001</v>
      </c>
      <c r="L6802">
        <v>17.615110000000001</v>
      </c>
      <c r="M6802">
        <v>0.99988659999999996</v>
      </c>
      <c r="N6802">
        <v>-1.4529510000000001E-2</v>
      </c>
      <c r="O6802">
        <v>-3.9791009999999996E-3</v>
      </c>
      <c r="P6802">
        <v>0.96113009999999999</v>
      </c>
      <c r="Q6802">
        <v>-0.10946069999999999</v>
      </c>
      <c r="R6802">
        <v>-0.25347129999999901</v>
      </c>
      <c r="S6802">
        <v>3.0886840000000002</v>
      </c>
      <c r="T6802">
        <v>-0.33553680000000002</v>
      </c>
      <c r="U6802">
        <v>2.2766109999999999E-2</v>
      </c>
      <c r="V6802">
        <v>0.24966140000000001</v>
      </c>
      <c r="W6802">
        <v>-9.5425060000000006E-2</v>
      </c>
      <c r="X6802">
        <v>0.96361989999999997</v>
      </c>
      <c r="Y6802">
        <v>-1.125726E-2</v>
      </c>
      <c r="Z6802">
        <v>1.0650429999999999E-3</v>
      </c>
      <c r="AA6802">
        <v>0.99993600000000005</v>
      </c>
      <c r="AB6802">
        <v>22</v>
      </c>
      <c r="AC6802">
        <v>10.2006</v>
      </c>
      <c r="AD6802">
        <v>-1.12103719022999</v>
      </c>
      <c r="AE6802">
        <v>7.6460000000000805E-2</v>
      </c>
      <c r="AF6802">
        <v>-0.115656098894622</v>
      </c>
      <c r="AG6802">
        <v>-1.12103719022999</v>
      </c>
      <c r="AH6802">
        <v>10.078495523394301</v>
      </c>
      <c r="AI6802">
        <v>96.346540401820505</v>
      </c>
      <c r="AJ6802">
        <v>90.657470697690698</v>
      </c>
      <c r="AK6802">
        <v>10.1413102077675</v>
      </c>
      <c r="AL6802">
        <v>95.475784915409704</v>
      </c>
      <c r="AM6802">
        <v>75.474792808484096</v>
      </c>
      <c r="AN6802">
        <v>1.00000003420098</v>
      </c>
    </row>
    <row r="6803" spans="1:40" x14ac:dyDescent="0.25">
      <c r="A6803" t="str">
        <f>"20190303154944283"</f>
        <v>20190303154944283</v>
      </c>
      <c r="B6803" t="str">
        <f>"1551599384277176"</f>
        <v>1551599384277176</v>
      </c>
      <c r="C6803" t="s">
        <v>40</v>
      </c>
      <c r="D6803">
        <v>5.2102149999999998</v>
      </c>
      <c r="E6803">
        <v>0.39916119999999999</v>
      </c>
      <c r="F6803" t="s">
        <v>42</v>
      </c>
      <c r="G6803">
        <v>-333.32470000000001</v>
      </c>
      <c r="H6803">
        <v>1.033207</v>
      </c>
      <c r="I6803">
        <v>17.619520000000001</v>
      </c>
      <c r="J6803">
        <v>-334.0265</v>
      </c>
      <c r="K6803">
        <v>1.1210389999999999</v>
      </c>
      <c r="L6803">
        <v>17.61478</v>
      </c>
      <c r="M6803">
        <v>0.99988690000000002</v>
      </c>
      <c r="N6803">
        <v>-1.4527129999999999E-2</v>
      </c>
      <c r="O6803">
        <v>-3.9044869999999999E-3</v>
      </c>
      <c r="P6803">
        <v>0.96096320000000002</v>
      </c>
      <c r="Q6803">
        <v>-0.10916910000000001</v>
      </c>
      <c r="R6803">
        <v>-0.25422850000000002</v>
      </c>
      <c r="S6803">
        <v>3.087952</v>
      </c>
      <c r="T6803">
        <v>-0.33567520000000001</v>
      </c>
      <c r="U6803">
        <v>1.8402100000000001E-2</v>
      </c>
      <c r="V6803">
        <v>0.2504922</v>
      </c>
      <c r="W6803">
        <v>-9.5135020000000001E-2</v>
      </c>
      <c r="X6803">
        <v>0.96343290000000004</v>
      </c>
      <c r="Y6803">
        <v>-9.7813689999999998E-3</v>
      </c>
      <c r="Z6803">
        <v>9.6797140000000001E-4</v>
      </c>
      <c r="AA6803">
        <v>0.9999517</v>
      </c>
      <c r="AB6803">
        <v>22</v>
      </c>
      <c r="AC6803">
        <v>0.70179999999999099</v>
      </c>
      <c r="AD6803">
        <v>-8.7831999999999896E-2</v>
      </c>
      <c r="AE6803">
        <v>4.7400000000017402E-3</v>
      </c>
      <c r="AF6803">
        <v>-7.3650670814230596E-3</v>
      </c>
      <c r="AG6803">
        <v>-8.7831999999999896E-2</v>
      </c>
      <c r="AH6803">
        <v>0.69095412299576398</v>
      </c>
      <c r="AI6803">
        <v>97.244005758868497</v>
      </c>
      <c r="AJ6803">
        <v>90.610708098512404</v>
      </c>
      <c r="AK6803">
        <v>0.69655315986790201</v>
      </c>
      <c r="AL6803">
        <v>95.459091176103996</v>
      </c>
      <c r="AM6803">
        <v>75.425803521461006</v>
      </c>
      <c r="AN6803">
        <v>0.99999998354682496</v>
      </c>
    </row>
    <row r="6804" spans="1:40" x14ac:dyDescent="0.25">
      <c r="A6804" t="str">
        <f>"20190303154944293"</f>
        <v>20190303154944293</v>
      </c>
      <c r="B6804" t="str">
        <f>"1551599384287911"</f>
        <v>1551599384287911</v>
      </c>
      <c r="C6804" t="s">
        <v>40</v>
      </c>
      <c r="D6804">
        <v>5.1769990000000004</v>
      </c>
      <c r="E6804">
        <v>0.39926440000000002</v>
      </c>
      <c r="F6804" t="s">
        <v>42</v>
      </c>
      <c r="G6804">
        <v>-333.13569999999999</v>
      </c>
      <c r="H6804">
        <v>1.024278</v>
      </c>
      <c r="I6804">
        <v>17.618829999999999</v>
      </c>
      <c r="J6804">
        <v>-333.92039999999997</v>
      </c>
      <c r="K6804">
        <v>1.1210439999999999</v>
      </c>
      <c r="L6804">
        <v>17.614409999999999</v>
      </c>
      <c r="M6804">
        <v>0.99988719999999998</v>
      </c>
      <c r="N6804">
        <v>-1.452472E-2</v>
      </c>
      <c r="O6804">
        <v>-3.824502E-3</v>
      </c>
      <c r="P6804">
        <v>0.96074820000000005</v>
      </c>
      <c r="Q6804">
        <v>-0.1093446</v>
      </c>
      <c r="R6804">
        <v>-0.25496469999999999</v>
      </c>
      <c r="S6804">
        <v>3.0877379999999999</v>
      </c>
      <c r="T6804">
        <v>-0.33539930000000001</v>
      </c>
      <c r="U6804">
        <v>1.5014649999999999E-2</v>
      </c>
      <c r="V6804">
        <v>0.25130770000000002</v>
      </c>
      <c r="W6804">
        <v>-9.5312400000000005E-2</v>
      </c>
      <c r="X6804">
        <v>0.96320300000000003</v>
      </c>
      <c r="Y6804">
        <v>-8.6130770000000002E-3</v>
      </c>
      <c r="Z6804">
        <v>8.8797460000000002E-4</v>
      </c>
      <c r="AA6804">
        <v>0.99996249999999998</v>
      </c>
      <c r="AB6804">
        <v>22</v>
      </c>
      <c r="AC6804">
        <v>0.78469999999998596</v>
      </c>
      <c r="AD6804">
        <v>-9.6766000000000102E-2</v>
      </c>
      <c r="AE6804">
        <v>4.4199999999996404E-3</v>
      </c>
      <c r="AF6804">
        <v>-7.3102095131621098E-3</v>
      </c>
      <c r="AG6804">
        <v>-9.6766000000000102E-2</v>
      </c>
      <c r="AH6804">
        <v>0.77292401398926103</v>
      </c>
      <c r="AI6804">
        <v>97.135684826293598</v>
      </c>
      <c r="AJ6804">
        <v>90.541879482135201</v>
      </c>
      <c r="AK6804">
        <v>0.77899205985709397</v>
      </c>
      <c r="AL6804">
        <v>95.469300514292996</v>
      </c>
      <c r="AM6804">
        <v>75.377045721761206</v>
      </c>
      <c r="AN6804">
        <v>1.0000000164410201</v>
      </c>
    </row>
    <row r="6805" spans="1:40" x14ac:dyDescent="0.25">
      <c r="A6805" t="str">
        <f>"20190303154944304"</f>
        <v>20190303154944304</v>
      </c>
      <c r="B6805" t="str">
        <f>"1551599384297671"</f>
        <v>1551599384297671</v>
      </c>
      <c r="C6805" t="s">
        <v>40</v>
      </c>
      <c r="D6805">
        <v>5.2030820000000002</v>
      </c>
      <c r="E6805">
        <v>0.39931919999999999</v>
      </c>
      <c r="F6805" t="s">
        <v>42</v>
      </c>
      <c r="G6805">
        <v>-333.12799999999999</v>
      </c>
      <c r="H6805">
        <v>1.035345</v>
      </c>
      <c r="I6805">
        <v>17.617159999999998</v>
      </c>
      <c r="J6805">
        <v>-333.8168</v>
      </c>
      <c r="K6805">
        <v>1.1210469999999999</v>
      </c>
      <c r="L6805">
        <v>17.61411</v>
      </c>
      <c r="M6805">
        <v>0.99988770000000005</v>
      </c>
      <c r="N6805">
        <v>-1.452238E-2</v>
      </c>
      <c r="O6805">
        <v>-3.7440450000000001E-3</v>
      </c>
      <c r="P6805">
        <v>0.96047090000000002</v>
      </c>
      <c r="Q6805">
        <v>-0.10961369999999999</v>
      </c>
      <c r="R6805">
        <v>-0.25589279999999998</v>
      </c>
      <c r="S6805">
        <v>3.0877080000000001</v>
      </c>
      <c r="T6805">
        <v>-0.33393220000000001</v>
      </c>
      <c r="U6805">
        <v>1.1810299999999999E-2</v>
      </c>
      <c r="V6805">
        <v>0.25231550000000003</v>
      </c>
      <c r="W6805">
        <v>-9.5584390000000005E-2</v>
      </c>
      <c r="X6805">
        <v>0.96291249999999995</v>
      </c>
      <c r="Y6805">
        <v>-7.5032759999999997E-3</v>
      </c>
      <c r="Z6805">
        <v>8.0871770000000005E-4</v>
      </c>
      <c r="AA6805">
        <v>0.99997150000000001</v>
      </c>
      <c r="AB6805">
        <v>22</v>
      </c>
      <c r="AC6805">
        <v>0.688799999999957</v>
      </c>
      <c r="AD6805">
        <v>-8.5701999999999695E-2</v>
      </c>
      <c r="AE6805">
        <v>3.05000000000177E-3</v>
      </c>
      <c r="AF6805">
        <v>-5.5433343655711797E-3</v>
      </c>
      <c r="AG6805">
        <v>-8.5701999999999695E-2</v>
      </c>
      <c r="AH6805">
        <v>0.67828353077444603</v>
      </c>
      <c r="AI6805">
        <v>97.200997836786897</v>
      </c>
      <c r="AJ6805">
        <v>90.468244588387705</v>
      </c>
      <c r="AK6805">
        <v>0.68369884414099902</v>
      </c>
      <c r="AL6805">
        <v>95.484956043074007</v>
      </c>
      <c r="AM6805">
        <v>75.316695090637793</v>
      </c>
      <c r="AN6805">
        <v>0.99999998490408504</v>
      </c>
    </row>
    <row r="6806" spans="1:40" x14ac:dyDescent="0.25">
      <c r="A6806" t="str">
        <f>"20190303154944315"</f>
        <v>20190303154944315</v>
      </c>
      <c r="B6806" t="str">
        <f>"1551599384307431"</f>
        <v>1551599384307431</v>
      </c>
      <c r="C6806" t="s">
        <v>40</v>
      </c>
      <c r="D6806">
        <v>5.1418080000000002</v>
      </c>
      <c r="E6806">
        <v>0.39958670000000002</v>
      </c>
      <c r="F6806" t="s">
        <v>42</v>
      </c>
      <c r="G6806">
        <v>-332.93990000000002</v>
      </c>
      <c r="H6806">
        <v>1.0258069999999999</v>
      </c>
      <c r="I6806">
        <v>17.616340000000001</v>
      </c>
      <c r="J6806">
        <v>-333.71010000000001</v>
      </c>
      <c r="K6806">
        <v>1.121049</v>
      </c>
      <c r="L6806">
        <v>17.613800000000001</v>
      </c>
      <c r="M6806">
        <v>0.99988809999999995</v>
      </c>
      <c r="N6806">
        <v>-1.451995E-2</v>
      </c>
      <c r="O6806">
        <v>-3.6564359999999999E-3</v>
      </c>
      <c r="P6806">
        <v>0.96030249999999995</v>
      </c>
      <c r="Q6806">
        <v>-0.1098707</v>
      </c>
      <c r="R6806">
        <v>-0.25641340000000001</v>
      </c>
      <c r="S6806">
        <v>3.0874329999999999</v>
      </c>
      <c r="T6806">
        <v>-0.33533600000000002</v>
      </c>
      <c r="U6806">
        <v>8.4228519999999998E-3</v>
      </c>
      <c r="V6806">
        <v>0.25292239999999999</v>
      </c>
      <c r="W6806">
        <v>-9.5842899999999995E-2</v>
      </c>
      <c r="X6806">
        <v>0.96272760000000002</v>
      </c>
      <c r="Y6806">
        <v>-6.3265379999999996E-3</v>
      </c>
      <c r="Z6806">
        <v>7.3166339999999896E-4</v>
      </c>
      <c r="AA6806">
        <v>0.99997970000000003</v>
      </c>
      <c r="AB6806">
        <v>22</v>
      </c>
      <c r="AC6806">
        <v>0.77019999999998801</v>
      </c>
      <c r="AD6806">
        <v>-9.5241999999999993E-2</v>
      </c>
      <c r="AE6806">
        <v>2.5399999999997599E-3</v>
      </c>
      <c r="AF6806">
        <v>-5.2757924753344199E-3</v>
      </c>
      <c r="AG6806">
        <v>-9.5241999999999993E-2</v>
      </c>
      <c r="AH6806">
        <v>0.75858577651317904</v>
      </c>
      <c r="AI6806">
        <v>97.155986529224407</v>
      </c>
      <c r="AJ6806">
        <v>90.398472761110497</v>
      </c>
      <c r="AK6806">
        <v>0.76455951558943103</v>
      </c>
      <c r="AL6806">
        <v>95.499835713770693</v>
      </c>
      <c r="AM6806">
        <v>75.280204594647799</v>
      </c>
      <c r="AN6806">
        <v>1.00000001685196</v>
      </c>
    </row>
    <row r="6807" spans="1:40" x14ac:dyDescent="0.25">
      <c r="A6807" t="str">
        <f>"20190303154944325"</f>
        <v>20190303154944325</v>
      </c>
      <c r="B6807" t="str">
        <f>"1551599384317191"</f>
        <v>1551599384317191</v>
      </c>
      <c r="C6807" t="s">
        <v>40</v>
      </c>
      <c r="D6807">
        <v>5.2288209999999999</v>
      </c>
      <c r="E6807">
        <v>0.39972530000000001</v>
      </c>
      <c r="F6807" t="s">
        <v>42</v>
      </c>
      <c r="G6807">
        <v>-332.93259999999998</v>
      </c>
      <c r="H6807">
        <v>1.0360940000000001</v>
      </c>
      <c r="I6807">
        <v>17.614840000000001</v>
      </c>
      <c r="J6807">
        <v>-333.60649999999998</v>
      </c>
      <c r="K6807">
        <v>1.121046</v>
      </c>
      <c r="L6807">
        <v>17.613529999999901</v>
      </c>
      <c r="M6807">
        <v>0.9998882</v>
      </c>
      <c r="N6807">
        <v>-1.451758E-2</v>
      </c>
      <c r="O6807">
        <v>-3.5675239999999999E-3</v>
      </c>
      <c r="P6807">
        <v>0.96008669999999996</v>
      </c>
      <c r="Q6807">
        <v>-0.11066090000000001</v>
      </c>
      <c r="R6807">
        <v>-0.25688109999999997</v>
      </c>
      <c r="S6807">
        <v>3.0867</v>
      </c>
      <c r="T6807">
        <v>-0.33726640000000002</v>
      </c>
      <c r="U6807">
        <v>4.7302250000000002E-3</v>
      </c>
      <c r="V6807">
        <v>0.25347779999999998</v>
      </c>
      <c r="W6807">
        <v>-9.663542E-2</v>
      </c>
      <c r="X6807">
        <v>0.96250219999999997</v>
      </c>
      <c r="Y6807">
        <v>-5.0502979999999999E-3</v>
      </c>
      <c r="Z6807">
        <v>6.488593E-4</v>
      </c>
      <c r="AA6807">
        <v>0.99998710000000002</v>
      </c>
      <c r="AB6807">
        <v>22</v>
      </c>
      <c r="AC6807">
        <v>0.67390000000000305</v>
      </c>
      <c r="AD6807">
        <v>-8.4951999999999903E-2</v>
      </c>
      <c r="AE6807">
        <v>1.3100000000036899E-3</v>
      </c>
      <c r="AF6807">
        <v>-3.6562969220855501E-3</v>
      </c>
      <c r="AG6807">
        <v>-8.4951999999999903E-2</v>
      </c>
      <c r="AH6807">
        <v>0.66334966383217397</v>
      </c>
      <c r="AI6807">
        <v>97.2977614585092</v>
      </c>
      <c r="AJ6807">
        <v>90.315803673769693</v>
      </c>
      <c r="AK6807">
        <v>0.66877723295387403</v>
      </c>
      <c r="AL6807">
        <v>95.545455936662094</v>
      </c>
      <c r="AM6807">
        <v>75.245985298242502</v>
      </c>
      <c r="AN6807">
        <v>0.99999994224812605</v>
      </c>
    </row>
    <row r="6808" spans="1:40" x14ac:dyDescent="0.25">
      <c r="A6808" t="str">
        <f>"20190303154944336"</f>
        <v>20190303154944336</v>
      </c>
      <c r="B6808" t="str">
        <f>"1551599384327928"</f>
        <v>1551599384327928</v>
      </c>
      <c r="C6808" t="s">
        <v>40</v>
      </c>
      <c r="D6808">
        <v>5.2231670000000001</v>
      </c>
      <c r="E6808">
        <v>0.39980589999999999</v>
      </c>
      <c r="F6808" t="s">
        <v>42</v>
      </c>
      <c r="G6808">
        <v>-332.74540000000002</v>
      </c>
      <c r="H6808">
        <v>1.0260309999999999</v>
      </c>
      <c r="I6808">
        <v>17.61403</v>
      </c>
      <c r="J6808">
        <v>-333.4984</v>
      </c>
      <c r="K6808">
        <v>1.121046</v>
      </c>
      <c r="L6808">
        <v>17.613219999999998</v>
      </c>
      <c r="M6808">
        <v>0.99988880000000002</v>
      </c>
      <c r="N6808">
        <v>-1.4515109999999999E-2</v>
      </c>
      <c r="O6808">
        <v>-3.4715800000000002E-3</v>
      </c>
      <c r="P6808">
        <v>0.96003130000000003</v>
      </c>
      <c r="Q6808">
        <v>-0.110873</v>
      </c>
      <c r="R6808">
        <v>-0.25699719999999998</v>
      </c>
      <c r="S6808">
        <v>3.0860599999999998</v>
      </c>
      <c r="T6808">
        <v>-0.34048210000000001</v>
      </c>
      <c r="U6808">
        <v>2.1972659999999998E-3</v>
      </c>
      <c r="V6808">
        <v>0.2536873</v>
      </c>
      <c r="W6808">
        <v>-9.6847829999999996E-2</v>
      </c>
      <c r="X6808">
        <v>0.96242570000000005</v>
      </c>
      <c r="Y6808">
        <v>-4.139607E-3</v>
      </c>
      <c r="Z6808">
        <v>5.8941319999999996E-4</v>
      </c>
      <c r="AA6808">
        <v>0.99999119999999997</v>
      </c>
      <c r="AB6808">
        <v>22</v>
      </c>
      <c r="AC6808">
        <v>0.75299999999998501</v>
      </c>
      <c r="AD6808">
        <v>-9.5015000000000002E-2</v>
      </c>
      <c r="AE6808">
        <v>8.0999999999775696E-4</v>
      </c>
      <c r="AF6808">
        <v>-3.3707019648090602E-3</v>
      </c>
      <c r="AG6808">
        <v>-9.5015000000000002E-2</v>
      </c>
      <c r="AH6808">
        <v>0.74119149950571805</v>
      </c>
      <c r="AI6808">
        <v>97.304958418656994</v>
      </c>
      <c r="AJ6808">
        <v>90.260561090280504</v>
      </c>
      <c r="AK6808">
        <v>0.74726437811277302</v>
      </c>
      <c r="AL6808">
        <v>95.557683230767495</v>
      </c>
      <c r="AM6808">
        <v>75.233201264399398</v>
      </c>
      <c r="AN6808">
        <v>0.99999998818874403</v>
      </c>
    </row>
    <row r="6809" spans="1:40" x14ac:dyDescent="0.25">
      <c r="A6809" t="str">
        <f>"20190303154944350"</f>
        <v>20190303154944350</v>
      </c>
      <c r="B6809" t="str">
        <f>"1551599384338663"</f>
        <v>1551599384338663</v>
      </c>
      <c r="C6809" t="s">
        <v>40</v>
      </c>
      <c r="D6809">
        <v>5.2308209999999997</v>
      </c>
      <c r="E6809">
        <v>0.39992640000000002</v>
      </c>
      <c r="F6809" t="s">
        <v>42</v>
      </c>
      <c r="G6809">
        <v>-332.73759999999999</v>
      </c>
      <c r="H6809">
        <v>1.0367519999999999</v>
      </c>
      <c r="I6809">
        <v>17.613409999999998</v>
      </c>
      <c r="J6809">
        <v>-333.37869999999998</v>
      </c>
      <c r="K6809">
        <v>1.121049</v>
      </c>
      <c r="L6809">
        <v>17.612919999999999</v>
      </c>
      <c r="M6809">
        <v>0.99988900000000003</v>
      </c>
      <c r="N6809">
        <v>-1.451237E-2</v>
      </c>
      <c r="O6809">
        <v>-3.3590640000000001E-3</v>
      </c>
      <c r="P6809">
        <v>0.95985129999999996</v>
      </c>
      <c r="Q6809">
        <v>-0.1113634</v>
      </c>
      <c r="R6809">
        <v>-0.25745630000000003</v>
      </c>
      <c r="S6809">
        <v>3.085785</v>
      </c>
      <c r="T6809">
        <v>-0.34187499999999998</v>
      </c>
      <c r="U6809">
        <v>1.2207030000000001E-3</v>
      </c>
      <c r="V6809">
        <v>0.25425679999999901</v>
      </c>
      <c r="W6809">
        <v>-9.7340620000000003E-2</v>
      </c>
      <c r="X6809">
        <v>0.96222569999999996</v>
      </c>
      <c r="Y6809">
        <v>-3.7137670000000002E-3</v>
      </c>
      <c r="Z6809">
        <v>5.5453429999999997E-4</v>
      </c>
      <c r="AA6809">
        <v>0.99999300000000002</v>
      </c>
      <c r="AB6809">
        <v>22</v>
      </c>
      <c r="AC6809">
        <v>0.64109999999999401</v>
      </c>
      <c r="AD6809">
        <v>-8.4296999999999803E-2</v>
      </c>
      <c r="AE6809">
        <v>4.8999999999921296E-4</v>
      </c>
      <c r="AF6809">
        <v>-2.59878934333447E-3</v>
      </c>
      <c r="AG6809">
        <v>-8.4296999999999803E-2</v>
      </c>
      <c r="AH6809">
        <v>0.63019915885794497</v>
      </c>
      <c r="AI6809">
        <v>97.618736580573</v>
      </c>
      <c r="AJ6809">
        <v>90.236272637150094</v>
      </c>
      <c r="AK6809">
        <v>0.63581736193683203</v>
      </c>
      <c r="AL6809">
        <v>95.586051949282194</v>
      </c>
      <c r="AM6809">
        <v>75.198563781100006</v>
      </c>
      <c r="AN6809">
        <v>1.00000000719435</v>
      </c>
    </row>
    <row r="6810" spans="1:40" x14ac:dyDescent="0.25">
      <c r="A6810" t="str">
        <f>"20190303154944362"</f>
        <v>20190303154944362</v>
      </c>
      <c r="B6810" t="str">
        <f>"1551599384357207"</f>
        <v>1551599384357207</v>
      </c>
      <c r="C6810" t="s">
        <v>40</v>
      </c>
      <c r="D6810">
        <v>5.2222189999999999</v>
      </c>
      <c r="E6810">
        <v>0.40002720000000003</v>
      </c>
      <c r="F6810" t="s">
        <v>42</v>
      </c>
      <c r="G6810">
        <v>-332.55</v>
      </c>
      <c r="H6810">
        <v>1.0286139999999999</v>
      </c>
      <c r="I6810">
        <v>17.612259999999999</v>
      </c>
      <c r="J6810">
        <v>-333.26</v>
      </c>
      <c r="K6810">
        <v>1.1210560000000001</v>
      </c>
      <c r="L6810">
        <v>17.612639999999999</v>
      </c>
      <c r="M6810">
        <v>0.99988949999999999</v>
      </c>
      <c r="N6810">
        <v>-1.4509640000000001E-2</v>
      </c>
      <c r="O6810">
        <v>-3.2445260000000002E-3</v>
      </c>
      <c r="P6810">
        <v>0.95975149999999998</v>
      </c>
      <c r="Q6810">
        <v>-0.1114976</v>
      </c>
      <c r="R6810">
        <v>-0.25777030000000001</v>
      </c>
      <c r="S6810">
        <v>3.0852970000000002</v>
      </c>
      <c r="T6810">
        <v>-0.34411589999999997</v>
      </c>
      <c r="U6810">
        <v>-1.159668E-3</v>
      </c>
      <c r="V6810">
        <v>0.25468229999999997</v>
      </c>
      <c r="W6810">
        <v>-9.7476080000000007E-2</v>
      </c>
      <c r="X6810">
        <v>0.96209940000000005</v>
      </c>
      <c r="Y6810">
        <v>-2.8339039999999999E-3</v>
      </c>
      <c r="Z6810">
        <v>4.919859E-4</v>
      </c>
      <c r="AA6810">
        <v>0.99999590000000005</v>
      </c>
      <c r="AB6810">
        <v>22</v>
      </c>
      <c r="AC6810">
        <v>0.70999999999997898</v>
      </c>
      <c r="AD6810">
        <v>-9.2442000000000094E-2</v>
      </c>
      <c r="AE6810">
        <v>-3.79999999999824E-4</v>
      </c>
      <c r="AF6810">
        <v>-1.89178824816165E-3</v>
      </c>
      <c r="AG6810">
        <v>-9.2442000000000094E-2</v>
      </c>
      <c r="AH6810">
        <v>0.69816222461823496</v>
      </c>
      <c r="AI6810">
        <v>97.542496796157906</v>
      </c>
      <c r="AJ6810">
        <v>90.155252193902996</v>
      </c>
      <c r="AK6810">
        <v>0.704258187109428</v>
      </c>
      <c r="AL6810">
        <v>95.593850597911398</v>
      </c>
      <c r="AM6810">
        <v>75.173023079665796</v>
      </c>
      <c r="AN6810">
        <v>0.99999995779290696</v>
      </c>
    </row>
    <row r="6811" spans="1:40" x14ac:dyDescent="0.25">
      <c r="A6811" t="str">
        <f>"20190303154944374"</f>
        <v>20190303154944374</v>
      </c>
      <c r="B6811" t="str">
        <f>"1551599384367943"</f>
        <v>1551599384367943</v>
      </c>
      <c r="C6811" t="s">
        <v>40</v>
      </c>
      <c r="D6811">
        <v>5.2282549999999999</v>
      </c>
      <c r="E6811">
        <v>0.40008660000000001</v>
      </c>
      <c r="F6811" t="s">
        <v>42</v>
      </c>
      <c r="G6811">
        <v>-332.36020000000002</v>
      </c>
      <c r="H6811">
        <v>1.020491</v>
      </c>
      <c r="I6811">
        <v>17.611609999999999</v>
      </c>
      <c r="J6811">
        <v>-333.13459999999998</v>
      </c>
      <c r="K6811">
        <v>1.1210610000000001</v>
      </c>
      <c r="L6811">
        <v>17.612400000000001</v>
      </c>
      <c r="M6811">
        <v>0.99988999999999995</v>
      </c>
      <c r="N6811">
        <v>-1.4506730000000001E-2</v>
      </c>
      <c r="O6811">
        <v>-3.1144860000000001E-3</v>
      </c>
      <c r="P6811">
        <v>0.95963449999999995</v>
      </c>
      <c r="Q6811">
        <v>-0.11186500000000001</v>
      </c>
      <c r="R6811">
        <v>-0.25804650000000001</v>
      </c>
      <c r="S6811">
        <v>3.084991</v>
      </c>
      <c r="T6811">
        <v>-0.34474290000000002</v>
      </c>
      <c r="U6811">
        <v>-2.89917E-3</v>
      </c>
      <c r="V6811">
        <v>0.25508500000000001</v>
      </c>
      <c r="W6811">
        <v>-9.784516E-2</v>
      </c>
      <c r="X6811">
        <v>0.96195529999999996</v>
      </c>
      <c r="Y6811">
        <v>-2.1452749999999999E-3</v>
      </c>
      <c r="Z6811">
        <v>4.3700649999999999E-4</v>
      </c>
      <c r="AA6811">
        <v>0.99999760000000004</v>
      </c>
      <c r="AB6811">
        <v>22</v>
      </c>
      <c r="AC6811">
        <v>0.77439999999995701</v>
      </c>
      <c r="AD6811">
        <v>-0.10057000000000001</v>
      </c>
      <c r="AE6811">
        <v>-7.9000000000206596E-4</v>
      </c>
      <c r="AF6811">
        <v>-1.59521098699798E-3</v>
      </c>
      <c r="AG6811">
        <v>-0.10057000000000001</v>
      </c>
      <c r="AH6811">
        <v>0.76155451303432198</v>
      </c>
      <c r="AI6811">
        <v>97.522867120178404</v>
      </c>
      <c r="AJ6811">
        <v>90.120015995897603</v>
      </c>
      <c r="AK6811">
        <v>0.76816804536574901</v>
      </c>
      <c r="AL6811">
        <v>95.615098569651593</v>
      </c>
      <c r="AM6811">
        <v>75.148487801331697</v>
      </c>
      <c r="AN6811">
        <v>1.0000000158792499</v>
      </c>
    </row>
    <row r="6812" spans="1:40" x14ac:dyDescent="0.25">
      <c r="A6812" t="str">
        <f>"20190303154944387"</f>
        <v>20190303154944387</v>
      </c>
      <c r="B6812" t="str">
        <f>"1551599384377703"</f>
        <v>1551599384377703</v>
      </c>
      <c r="C6812" t="s">
        <v>40</v>
      </c>
      <c r="D6812">
        <v>5.2274219999999998</v>
      </c>
      <c r="E6812">
        <v>0.40015719999999999</v>
      </c>
      <c r="F6812" t="s">
        <v>42</v>
      </c>
      <c r="G6812">
        <v>-332.35300000000001</v>
      </c>
      <c r="H6812">
        <v>1.0332330000000001</v>
      </c>
      <c r="I6812">
        <v>17.611139999999999</v>
      </c>
      <c r="J6812">
        <v>-333.01490000000001</v>
      </c>
      <c r="K6812">
        <v>1.121065</v>
      </c>
      <c r="L6812">
        <v>17.612120000000001</v>
      </c>
      <c r="M6812">
        <v>0.99989039999999996</v>
      </c>
      <c r="N6812">
        <v>-1.450394E-2</v>
      </c>
      <c r="O6812">
        <v>-2.9857579999999998E-3</v>
      </c>
      <c r="P6812">
        <v>0.95959110000000003</v>
      </c>
      <c r="Q6812">
        <v>-0.11186500000000001</v>
      </c>
      <c r="R6812">
        <v>-0.25820759999999998</v>
      </c>
      <c r="S6812">
        <v>3.084625</v>
      </c>
      <c r="T6812">
        <v>-0.34659580000000001</v>
      </c>
      <c r="U6812">
        <v>-4.2419429999999998E-3</v>
      </c>
      <c r="V6812">
        <v>0.25537120000000002</v>
      </c>
      <c r="W6812">
        <v>-9.7845639999999998E-2</v>
      </c>
      <c r="X6812">
        <v>0.96187929999999999</v>
      </c>
      <c r="Y6812">
        <v>-1.585365E-3</v>
      </c>
      <c r="Z6812">
        <v>3.9157120000000002E-4</v>
      </c>
      <c r="AA6812">
        <v>0.99999870000000002</v>
      </c>
      <c r="AB6812">
        <v>22</v>
      </c>
      <c r="AC6812">
        <v>0.66190000000000204</v>
      </c>
      <c r="AD6812">
        <v>-8.7831999999999896E-2</v>
      </c>
      <c r="AE6812">
        <v>-9.8000000000197907E-4</v>
      </c>
      <c r="AF6812">
        <v>-9.792425095996051E-4</v>
      </c>
      <c r="AG6812">
        <v>-8.7831999999999896E-2</v>
      </c>
      <c r="AH6812">
        <v>0.65044665227782095</v>
      </c>
      <c r="AI6812">
        <v>97.690316589672904</v>
      </c>
      <c r="AJ6812">
        <v>90.086258297025296</v>
      </c>
      <c r="AK6812">
        <v>0.65635071920377797</v>
      </c>
      <c r="AL6812">
        <v>95.6151262744539</v>
      </c>
      <c r="AM6812">
        <v>75.131439631505998</v>
      </c>
      <c r="AN6812">
        <v>1.0000000034124601</v>
      </c>
    </row>
    <row r="6813" spans="1:40" x14ac:dyDescent="0.25">
      <c r="A6813" t="str">
        <f>"20190303154944399"</f>
        <v>20190303154944399</v>
      </c>
      <c r="B6813" t="str">
        <f>"1551599384387463"</f>
        <v>1551599384387463</v>
      </c>
      <c r="C6813" t="s">
        <v>40</v>
      </c>
      <c r="D6813">
        <v>5.2029940000000003</v>
      </c>
      <c r="E6813">
        <v>0.40017200000000003</v>
      </c>
      <c r="F6813" t="s">
        <v>42</v>
      </c>
      <c r="G6813">
        <v>-332.1644</v>
      </c>
      <c r="H6813">
        <v>1.025377</v>
      </c>
      <c r="I6813">
        <v>17.61046</v>
      </c>
      <c r="J6813">
        <v>-332.89170000000001</v>
      </c>
      <c r="K6813">
        <v>1.1210709999999999</v>
      </c>
      <c r="L6813">
        <v>17.611910000000002</v>
      </c>
      <c r="M6813">
        <v>0.99989079999999997</v>
      </c>
      <c r="N6813">
        <v>-1.450105E-2</v>
      </c>
      <c r="O6813">
        <v>-2.8485590000000001E-3</v>
      </c>
      <c r="P6813">
        <v>0.95947389999999999</v>
      </c>
      <c r="Q6813">
        <v>-0.1118398</v>
      </c>
      <c r="R6813">
        <v>-0.25865359999999998</v>
      </c>
      <c r="S6813">
        <v>3.0844119999999999</v>
      </c>
      <c r="T6813">
        <v>-0.34703270000000003</v>
      </c>
      <c r="U6813">
        <v>-5.2795409999999996E-3</v>
      </c>
      <c r="V6813">
        <v>0.25595050000000003</v>
      </c>
      <c r="W6813">
        <v>-9.7821850000000002E-2</v>
      </c>
      <c r="X6813">
        <v>0.96172769999999996</v>
      </c>
      <c r="Y6813">
        <v>-1.1155889999999999E-3</v>
      </c>
      <c r="Z6813">
        <v>3.489705E-4</v>
      </c>
      <c r="AA6813">
        <v>0.99999930000000004</v>
      </c>
      <c r="AB6813">
        <v>22</v>
      </c>
      <c r="AC6813">
        <v>0.72730000000001305</v>
      </c>
      <c r="AD6813">
        <v>-9.5693999999999904E-2</v>
      </c>
      <c r="AE6813">
        <v>-1.45000000000194E-3</v>
      </c>
      <c r="AF6813">
        <v>-6.1139636731292698E-4</v>
      </c>
      <c r="AG6813">
        <v>-9.5693999999999904E-2</v>
      </c>
      <c r="AH6813">
        <v>0.71492459657595298</v>
      </c>
      <c r="AI6813">
        <v>97.623830099137706</v>
      </c>
      <c r="AJ6813">
        <v>90.048998765862294</v>
      </c>
      <c r="AK6813">
        <v>0.721300834763698</v>
      </c>
      <c r="AL6813">
        <v>95.6137568206899</v>
      </c>
      <c r="AM6813">
        <v>75.096965331347107</v>
      </c>
      <c r="AN6813">
        <v>0.99999997086748005</v>
      </c>
    </row>
    <row r="6814" spans="1:40" x14ac:dyDescent="0.25">
      <c r="A6814" t="str">
        <f>"20190303154944415"</f>
        <v>20190303154944415</v>
      </c>
      <c r="B6814" t="str">
        <f>"1551599384407960"</f>
        <v>1551599384407960</v>
      </c>
      <c r="C6814" t="s">
        <v>40</v>
      </c>
      <c r="D6814">
        <v>5.418196</v>
      </c>
      <c r="E6814">
        <v>0.40021279999999998</v>
      </c>
      <c r="F6814" t="s">
        <v>42</v>
      </c>
      <c r="G6814">
        <v>-332.15539999999999</v>
      </c>
      <c r="H6814">
        <v>1.0381119999999999</v>
      </c>
      <c r="I6814">
        <v>17.61008</v>
      </c>
      <c r="J6814">
        <v>-332.73809999999997</v>
      </c>
      <c r="K6814">
        <v>1.121086</v>
      </c>
      <c r="L6814">
        <v>17.611660000000001</v>
      </c>
      <c r="M6814">
        <v>0.99989139999999999</v>
      </c>
      <c r="N6814">
        <v>-1.449755E-2</v>
      </c>
      <c r="O6814">
        <v>-2.6654140000000001E-3</v>
      </c>
      <c r="P6814">
        <v>0.95925640000000001</v>
      </c>
      <c r="Q6814">
        <v>-0.11068409999999999</v>
      </c>
      <c r="R6814">
        <v>-0.25995499999999999</v>
      </c>
      <c r="S6814">
        <v>3.08432</v>
      </c>
      <c r="T6814">
        <v>-0.34757320000000003</v>
      </c>
      <c r="U6814">
        <v>-6.8054200000000004E-3</v>
      </c>
      <c r="V6814">
        <v>0.25742979999999999</v>
      </c>
      <c r="W6814">
        <v>-9.6667719999999999E-2</v>
      </c>
      <c r="X6814">
        <v>0.96144960000000002</v>
      </c>
      <c r="Y6814">
        <v>-4.4326620000000001E-4</v>
      </c>
      <c r="Z6814">
        <v>2.8900209999999999E-4</v>
      </c>
      <c r="AA6814">
        <v>0.99999990000000005</v>
      </c>
      <c r="AB6814">
        <v>22</v>
      </c>
      <c r="AC6814">
        <v>0.58269999999998801</v>
      </c>
      <c r="AD6814">
        <v>-8.2973999999999798E-2</v>
      </c>
      <c r="AE6814">
        <v>-1.5800000000005801E-3</v>
      </c>
      <c r="AF6814" s="1">
        <v>2.6163967349673E-5</v>
      </c>
      <c r="AG6814">
        <v>-8.2973999999999798E-2</v>
      </c>
      <c r="AH6814">
        <v>0.57112184713623104</v>
      </c>
      <c r="AI6814">
        <v>98.266238378983303</v>
      </c>
      <c r="AJ6814">
        <v>89.997375192507604</v>
      </c>
      <c r="AK6814">
        <v>0.57711770864950396</v>
      </c>
      <c r="AL6814">
        <v>95.547314742144806</v>
      </c>
      <c r="AM6814">
        <v>75.010556056555998</v>
      </c>
      <c r="AN6814">
        <v>1.00000004167909</v>
      </c>
    </row>
    <row r="6815" spans="1:40" x14ac:dyDescent="0.25">
      <c r="A6815" t="str">
        <f>"20190303154944427"</f>
        <v>20190303154944427</v>
      </c>
      <c r="B6815" t="str">
        <f>"1551599384417719"</f>
        <v>1551599384417719</v>
      </c>
      <c r="C6815" t="s">
        <v>40</v>
      </c>
      <c r="D6815">
        <v>5.7335669999999999</v>
      </c>
      <c r="E6815">
        <v>0.4020724</v>
      </c>
      <c r="F6815" t="s">
        <v>42</v>
      </c>
      <c r="G6815">
        <v>-331.96510000000001</v>
      </c>
      <c r="H6815">
        <v>1.035139</v>
      </c>
      <c r="I6815">
        <v>17.608699999999999</v>
      </c>
      <c r="J6815">
        <v>-332.63099999999997</v>
      </c>
      <c r="K6815">
        <v>1.1211009999999999</v>
      </c>
      <c r="L6815">
        <v>17.611509999999999</v>
      </c>
      <c r="M6815">
        <v>0.9998918</v>
      </c>
      <c r="N6815">
        <v>-1.449509E-2</v>
      </c>
      <c r="O6815">
        <v>-2.530455E-3</v>
      </c>
      <c r="P6815">
        <v>0.95906199999999997</v>
      </c>
      <c r="Q6815">
        <v>-0.1093329</v>
      </c>
      <c r="R6815">
        <v>-0.26124049999999999</v>
      </c>
      <c r="S6815">
        <v>3.0848080000000002</v>
      </c>
      <c r="T6815">
        <v>-0.34296949999999998</v>
      </c>
      <c r="U6815">
        <v>-1.132202E-2</v>
      </c>
      <c r="V6815">
        <v>0.25884669999999999</v>
      </c>
      <c r="W6815">
        <v>-9.5317330000000006E-2</v>
      </c>
      <c r="X6815">
        <v>0.9612039</v>
      </c>
      <c r="Y6815">
        <v>1.1433319999999999E-3</v>
      </c>
      <c r="Z6815">
        <v>1.7220970000000001E-4</v>
      </c>
      <c r="AA6815">
        <v>0.99999930000000004</v>
      </c>
      <c r="AB6815">
        <v>22</v>
      </c>
      <c r="AC6815">
        <v>0.66589999999996496</v>
      </c>
      <c r="AD6815">
        <v>-8.5962000000000094E-2</v>
      </c>
      <c r="AE6815">
        <v>-2.8100000000001999E-3</v>
      </c>
      <c r="AF6815">
        <v>1.1063475582234199E-3</v>
      </c>
      <c r="AG6815">
        <v>-8.5962000000000094E-2</v>
      </c>
      <c r="AH6815">
        <v>0.65499002404911</v>
      </c>
      <c r="AI6815">
        <v>97.476851894742495</v>
      </c>
      <c r="AJ6815">
        <v>89.903221448955193</v>
      </c>
      <c r="AK6815">
        <v>0.66060776641875196</v>
      </c>
      <c r="AL6815">
        <v>95.469584515807895</v>
      </c>
      <c r="AM6815">
        <v>74.928119612102094</v>
      </c>
      <c r="AN6815">
        <v>0.99999997243721395</v>
      </c>
    </row>
    <row r="6816" spans="1:40" x14ac:dyDescent="0.25">
      <c r="A6816" t="str">
        <f>"20190303154944438"</f>
        <v>20190303154944438</v>
      </c>
      <c r="B6816" t="str">
        <f>"1551599384427479"</f>
        <v>1551599384427479</v>
      </c>
      <c r="C6816" t="s">
        <v>40</v>
      </c>
      <c r="D6816">
        <v>5.5667999999999997</v>
      </c>
      <c r="E6816">
        <v>0.4020724</v>
      </c>
      <c r="F6816" t="s">
        <v>42</v>
      </c>
      <c r="G6816">
        <v>-331.77760000000001</v>
      </c>
      <c r="H6816">
        <v>1.0280370000000001</v>
      </c>
      <c r="I6816">
        <v>17.602999999999899</v>
      </c>
      <c r="J6816">
        <v>-332.5215</v>
      </c>
      <c r="K6816">
        <v>1.121116</v>
      </c>
      <c r="L6816">
        <v>17.611360000000001</v>
      </c>
      <c r="M6816">
        <v>0.99989209999999995</v>
      </c>
      <c r="N6816">
        <v>-1.449256E-2</v>
      </c>
      <c r="O6816">
        <v>-2.3868930000000002E-3</v>
      </c>
      <c r="P6816">
        <v>0.95879639999999999</v>
      </c>
      <c r="Q6816">
        <v>-0.1083615</v>
      </c>
      <c r="R6816">
        <v>-0.26261610000000002</v>
      </c>
      <c r="S6816">
        <v>3.081604</v>
      </c>
      <c r="T6816">
        <v>-0.33609860000000003</v>
      </c>
      <c r="U6816">
        <v>-2.990723E-2</v>
      </c>
      <c r="V6816">
        <v>0.26036229999999999</v>
      </c>
      <c r="W6816">
        <v>-9.4347009999999995E-2</v>
      </c>
      <c r="X6816">
        <v>0.96089029999999998</v>
      </c>
      <c r="Y6816">
        <v>7.2792739999999996E-3</v>
      </c>
      <c r="Z6816">
        <v>-2.2365880000000001E-4</v>
      </c>
      <c r="AA6816">
        <v>0.99997349999999996</v>
      </c>
      <c r="AB6816">
        <v>22</v>
      </c>
      <c r="AC6816">
        <v>0.74389999999999601</v>
      </c>
      <c r="AD6816">
        <v>-9.3078999999999898E-2</v>
      </c>
      <c r="AE6816">
        <v>-8.3600000000032502E-3</v>
      </c>
      <c r="AF6816">
        <v>6.4827010981736198E-3</v>
      </c>
      <c r="AG6816">
        <v>-9.3078999999999898E-2</v>
      </c>
      <c r="AH6816">
        <v>0.73245218556446701</v>
      </c>
      <c r="AI6816">
        <v>97.241968469389803</v>
      </c>
      <c r="AJ6816">
        <v>89.492906537919097</v>
      </c>
      <c r="AK6816">
        <v>0.73837113282731504</v>
      </c>
      <c r="AL6816">
        <v>95.413737287642704</v>
      </c>
      <c r="AM6816">
        <v>74.839200418607206</v>
      </c>
      <c r="AN6816">
        <v>1.0000000270956499</v>
      </c>
    </row>
    <row r="6817" spans="1:40" x14ac:dyDescent="0.25">
      <c r="A6817" t="str">
        <f>"20190303154944448"</f>
        <v>20190303154944448</v>
      </c>
      <c r="B6817" t="str">
        <f>"1551599384437239"</f>
        <v>1551599384437239</v>
      </c>
      <c r="C6817" t="s">
        <v>40</v>
      </c>
      <c r="D6817">
        <v>5.3466110000000002</v>
      </c>
      <c r="E6817">
        <v>0.49176639999999999</v>
      </c>
      <c r="F6817" t="s">
        <v>42</v>
      </c>
      <c r="G6817">
        <v>-331.76949999999999</v>
      </c>
      <c r="H6817">
        <v>1.039625</v>
      </c>
      <c r="I6817">
        <v>17.60276</v>
      </c>
      <c r="J6817">
        <v>-332.41649999999998</v>
      </c>
      <c r="K6817">
        <v>1.12113</v>
      </c>
      <c r="L6817">
        <v>17.611270000000001</v>
      </c>
      <c r="M6817">
        <v>0.99989269999999997</v>
      </c>
      <c r="N6817">
        <v>-1.449017E-2</v>
      </c>
      <c r="O6817">
        <v>-2.23806E-3</v>
      </c>
      <c r="P6817">
        <v>0.95835709999999996</v>
      </c>
      <c r="Q6817">
        <v>-0.107377</v>
      </c>
      <c r="R6817">
        <v>-0.26461659999999998</v>
      </c>
      <c r="S6817">
        <v>3.0817570000000001</v>
      </c>
      <c r="T6817">
        <v>-0.33397729999999998</v>
      </c>
      <c r="U6817">
        <v>-3.4301760000000001E-2</v>
      </c>
      <c r="V6817">
        <v>0.26250859999999998</v>
      </c>
      <c r="W6817">
        <v>-9.3364589999999997E-2</v>
      </c>
      <c r="X6817">
        <v>0.96040210000000004</v>
      </c>
      <c r="Y6817">
        <v>8.8428099999999996E-3</v>
      </c>
      <c r="Z6817">
        <v>-3.3255040000000001E-4</v>
      </c>
      <c r="AA6817">
        <v>0.99996079999999998</v>
      </c>
      <c r="AB6817">
        <v>22</v>
      </c>
      <c r="AC6817">
        <v>0.64699999999999103</v>
      </c>
      <c r="AD6817">
        <v>-8.1504999999999897E-2</v>
      </c>
      <c r="AE6817">
        <v>-8.5100000000011208E-3</v>
      </c>
      <c r="AF6817">
        <v>6.9515051103637296E-3</v>
      </c>
      <c r="AG6817">
        <v>-8.1504999999999897E-2</v>
      </c>
      <c r="AH6817">
        <v>0.63691178078764699</v>
      </c>
      <c r="AI6817">
        <v>97.292022340036397</v>
      </c>
      <c r="AJ6817">
        <v>89.374676208131405</v>
      </c>
      <c r="AK6817">
        <v>0.64214329004856097</v>
      </c>
      <c r="AL6817">
        <v>95.357199596443195</v>
      </c>
      <c r="AM6817">
        <v>74.712638147078707</v>
      </c>
      <c r="AN6817">
        <v>0.99999995271211795</v>
      </c>
    </row>
    <row r="6818" spans="1:40" x14ac:dyDescent="0.25">
      <c r="A6818" t="str">
        <f>"20190303154944462"</f>
        <v>20190303154944462</v>
      </c>
      <c r="B6818" t="str">
        <f>"1551599384457736"</f>
        <v>1551599384457736</v>
      </c>
      <c r="C6818" t="s">
        <v>40</v>
      </c>
      <c r="D6818">
        <v>5.3239460000000003</v>
      </c>
      <c r="E6818">
        <v>0.50213030000000003</v>
      </c>
      <c r="F6818" t="s">
        <v>43</v>
      </c>
      <c r="G6818">
        <v>-316.00200000000001</v>
      </c>
      <c r="H6818">
        <v>-0.05</v>
      </c>
      <c r="I6818">
        <v>13.460509999999999</v>
      </c>
      <c r="J6818">
        <v>-332.29610000000002</v>
      </c>
      <c r="K6818">
        <v>1.1211359999999999</v>
      </c>
      <c r="L6818">
        <v>17.611149999999999</v>
      </c>
      <c r="M6818">
        <v>0.99989300000000003</v>
      </c>
      <c r="N6818">
        <v>-1.4487440000000001E-2</v>
      </c>
      <c r="O6818">
        <v>-2.0618870000000001E-3</v>
      </c>
      <c r="P6818">
        <v>0.95773350000000002</v>
      </c>
      <c r="Q6818">
        <v>-0.1070221</v>
      </c>
      <c r="R6818">
        <v>-0.26700760000000001</v>
      </c>
      <c r="S6818">
        <v>2.904388</v>
      </c>
      <c r="T6818">
        <v>-0.2072204</v>
      </c>
      <c r="U6818">
        <v>-0.73443599999999998</v>
      </c>
      <c r="V6818">
        <v>0.26507229999999998</v>
      </c>
      <c r="W6818">
        <v>-9.3012999999999998E-2</v>
      </c>
      <c r="X6818">
        <v>0.95973189999999997</v>
      </c>
      <c r="Y6818">
        <v>0.2424548</v>
      </c>
      <c r="Z6818">
        <v>-1.0175790000000001E-2</v>
      </c>
      <c r="AA6818">
        <v>0.97010929999999995</v>
      </c>
      <c r="AB6818">
        <v>22</v>
      </c>
      <c r="AC6818">
        <v>16.2941</v>
      </c>
      <c r="AD6818">
        <v>-1.171136</v>
      </c>
      <c r="AE6818">
        <v>-4.1506399999999903</v>
      </c>
      <c r="AF6818">
        <v>4.0971549180232003</v>
      </c>
      <c r="AG6818">
        <v>-1.171136</v>
      </c>
      <c r="AH6818">
        <v>16.223918840769802</v>
      </c>
      <c r="AI6818">
        <v>94.003516399511994</v>
      </c>
      <c r="AJ6818">
        <v>75.826979354607005</v>
      </c>
      <c r="AK6818">
        <v>16.774199846927502</v>
      </c>
      <c r="AL6818">
        <v>95.336966509153001</v>
      </c>
      <c r="AM6818">
        <v>74.5601609059716</v>
      </c>
      <c r="AN6818">
        <v>1.0000000311369399</v>
      </c>
    </row>
    <row r="6819" spans="1:40" x14ac:dyDescent="0.25">
      <c r="A6819" t="str">
        <f>"20190303154944471"</f>
        <v>20190303154944471</v>
      </c>
      <c r="B6819" t="str">
        <f>"1551599384467495"</f>
        <v>1551599384467495</v>
      </c>
      <c r="C6819" t="s">
        <v>40</v>
      </c>
      <c r="D6819">
        <v>5.292001</v>
      </c>
      <c r="E6819">
        <v>0.50410920000000004</v>
      </c>
      <c r="F6819" t="s">
        <v>43</v>
      </c>
      <c r="G6819">
        <v>-313.2439</v>
      </c>
      <c r="H6819">
        <v>-0.05</v>
      </c>
      <c r="I6819">
        <v>12.178990000000001</v>
      </c>
      <c r="J6819">
        <v>-332.19560000000001</v>
      </c>
      <c r="K6819">
        <v>1.1211500000000001</v>
      </c>
      <c r="L6819">
        <v>17.61111</v>
      </c>
      <c r="M6819">
        <v>0.99989340000000004</v>
      </c>
      <c r="N6819">
        <v>-1.448522E-2</v>
      </c>
      <c r="O6819">
        <v>-1.8984640000000001E-3</v>
      </c>
      <c r="P6819">
        <v>0.9571151</v>
      </c>
      <c r="Q6819">
        <v>-0.1068636</v>
      </c>
      <c r="R6819">
        <v>-0.26927889999999999</v>
      </c>
      <c r="S6819">
        <v>2.8833920000000002</v>
      </c>
      <c r="T6819">
        <v>-0.17724219999999999</v>
      </c>
      <c r="U6819">
        <v>-0.82211299999999898</v>
      </c>
      <c r="V6819">
        <v>0.26750420000000003</v>
      </c>
      <c r="W6819">
        <v>-9.2856859999999999E-2</v>
      </c>
      <c r="X6819">
        <v>0.95907200000000004</v>
      </c>
      <c r="Y6819">
        <v>0.27177469999999998</v>
      </c>
      <c r="Z6819">
        <v>-1.010424E-2</v>
      </c>
      <c r="AA6819">
        <v>0.96230789999999999</v>
      </c>
      <c r="AB6819">
        <v>22</v>
      </c>
      <c r="AC6819">
        <v>18.951699999999999</v>
      </c>
      <c r="AD6819">
        <v>-1.1711499999999999</v>
      </c>
      <c r="AE6819">
        <v>-5.4321200000000003</v>
      </c>
      <c r="AF6819">
        <v>5.37715191939321</v>
      </c>
      <c r="AG6819">
        <v>-1.1711499999999999</v>
      </c>
      <c r="AH6819">
        <v>18.8953000972231</v>
      </c>
      <c r="AI6819">
        <v>93.411600188168194</v>
      </c>
      <c r="AJ6819">
        <v>74.114910581023594</v>
      </c>
      <c r="AK6819">
        <v>19.680389245410101</v>
      </c>
      <c r="AL6819">
        <v>95.327981641447494</v>
      </c>
      <c r="AM6819">
        <v>74.415159399404004</v>
      </c>
      <c r="AN6819">
        <v>0.99999999732534905</v>
      </c>
    </row>
    <row r="6820" spans="1:40" x14ac:dyDescent="0.25">
      <c r="A6820" t="str">
        <f>"20190303154944483"</f>
        <v>20190303154944483</v>
      </c>
      <c r="B6820" t="str">
        <f>"1551599384477255"</f>
        <v>1551599384477255</v>
      </c>
      <c r="C6820" t="s">
        <v>40</v>
      </c>
      <c r="D6820">
        <v>5.2827500000000001</v>
      </c>
      <c r="E6820">
        <v>0.5054208</v>
      </c>
      <c r="F6820" t="s">
        <v>43</v>
      </c>
      <c r="G6820">
        <v>-312.36450000000002</v>
      </c>
      <c r="H6820">
        <v>-0.05</v>
      </c>
      <c r="I6820">
        <v>11.79213</v>
      </c>
      <c r="J6820">
        <v>-332.08760000000001</v>
      </c>
      <c r="K6820">
        <v>1.1211629999999999</v>
      </c>
      <c r="L6820">
        <v>17.61111</v>
      </c>
      <c r="M6820">
        <v>0.9998937</v>
      </c>
      <c r="N6820">
        <v>-1.448282E-2</v>
      </c>
      <c r="O6820">
        <v>-1.7176139999999999E-3</v>
      </c>
      <c r="P6820">
        <v>0.9564492</v>
      </c>
      <c r="Q6820">
        <v>-0.10686560000000001</v>
      </c>
      <c r="R6820">
        <v>-0.27163369999999998</v>
      </c>
      <c r="S6820">
        <v>2.8778990000000002</v>
      </c>
      <c r="T6820">
        <v>-0.16995779999999999</v>
      </c>
      <c r="U6820">
        <v>-0.84445190000000003</v>
      </c>
      <c r="V6820">
        <v>0.27003650000000001</v>
      </c>
      <c r="W6820">
        <v>-9.2860970000000001E-2</v>
      </c>
      <c r="X6820">
        <v>0.95836169999999998</v>
      </c>
      <c r="Y6820">
        <v>0.27934290000000001</v>
      </c>
      <c r="Z6820">
        <v>-1.006342E-2</v>
      </c>
      <c r="AA6820">
        <v>0.96013870000000001</v>
      </c>
      <c r="AB6820">
        <v>22</v>
      </c>
      <c r="AC6820">
        <v>19.723099999999899</v>
      </c>
      <c r="AD6820">
        <v>-1.171163</v>
      </c>
      <c r="AE6820">
        <v>-5.8189799999999998</v>
      </c>
      <c r="AF6820">
        <v>5.7663869262907701</v>
      </c>
      <c r="AG6820">
        <v>-1.171163</v>
      </c>
      <c r="AH6820">
        <v>19.669266074504598</v>
      </c>
      <c r="AI6820">
        <v>93.270209165084495</v>
      </c>
      <c r="AJ6820">
        <v>73.660584681529599</v>
      </c>
      <c r="AK6820">
        <v>20.5305350360366</v>
      </c>
      <c r="AL6820">
        <v>95.328218083638902</v>
      </c>
      <c r="AM6820">
        <v>74.263815698231397</v>
      </c>
      <c r="AN6820">
        <v>1.0000000095542401</v>
      </c>
    </row>
    <row r="6821" spans="1:40" x14ac:dyDescent="0.25">
      <c r="A6821" t="str">
        <f>"20190303154944494"</f>
        <v>20190303154944494</v>
      </c>
      <c r="B6821" t="str">
        <f>"1551599384487523"</f>
        <v>1551599384487523</v>
      </c>
      <c r="C6821" t="s">
        <v>40</v>
      </c>
      <c r="D6821">
        <v>5.276141</v>
      </c>
      <c r="E6821">
        <v>0.50627370000000005</v>
      </c>
      <c r="F6821" t="s">
        <v>43</v>
      </c>
      <c r="G6821">
        <v>-311.66320000000002</v>
      </c>
      <c r="H6821">
        <v>-0.05</v>
      </c>
      <c r="I6821">
        <v>11.48625</v>
      </c>
      <c r="J6821">
        <v>-331.97629999999998</v>
      </c>
      <c r="K6821">
        <v>1.1211850000000001</v>
      </c>
      <c r="L6821">
        <v>17.61111</v>
      </c>
      <c r="M6821">
        <v>0.99989410000000001</v>
      </c>
      <c r="N6821">
        <v>-1.4480359999999999E-2</v>
      </c>
      <c r="O6821">
        <v>-1.5153949999999999E-3</v>
      </c>
      <c r="P6821">
        <v>0.95591289999999995</v>
      </c>
      <c r="Q6821">
        <v>-0.1068436</v>
      </c>
      <c r="R6821">
        <v>-0.27352379999999998</v>
      </c>
      <c r="S6821">
        <v>2.8734739999999999</v>
      </c>
      <c r="T6821">
        <v>-0.16476869999999999</v>
      </c>
      <c r="U6821">
        <v>-0.86169430000000002</v>
      </c>
      <c r="V6821">
        <v>0.2721247</v>
      </c>
      <c r="W6821">
        <v>-9.2838190000000001E-2</v>
      </c>
      <c r="X6821">
        <v>0.95777299999999999</v>
      </c>
      <c r="Y6821">
        <v>0.28524429999999901</v>
      </c>
      <c r="Z6821">
        <v>-1.0044229999999999E-2</v>
      </c>
      <c r="AA6821">
        <v>0.95840219999999998</v>
      </c>
      <c r="AB6821">
        <v>21</v>
      </c>
      <c r="AC6821">
        <v>20.313099999999899</v>
      </c>
      <c r="AD6821">
        <v>-1.1711849999999999</v>
      </c>
      <c r="AE6821">
        <v>-6.12486</v>
      </c>
      <c r="AF6821">
        <v>6.0755536729297299</v>
      </c>
      <c r="AG6821">
        <v>-1.1711849999999999</v>
      </c>
      <c r="AH6821">
        <v>20.2606201611713</v>
      </c>
      <c r="AI6821">
        <v>93.169234972502394</v>
      </c>
      <c r="AJ6821">
        <v>73.307585546648795</v>
      </c>
      <c r="AK6821">
        <v>21.184351678824999</v>
      </c>
      <c r="AL6821">
        <v>95.326907537482796</v>
      </c>
      <c r="AM6821">
        <v>74.1389677067842</v>
      </c>
      <c r="AN6821">
        <v>0.99999995070078096</v>
      </c>
    </row>
    <row r="6822" spans="1:40" x14ac:dyDescent="0.25">
      <c r="A6822" t="str">
        <f>"20190303154944507"</f>
        <v>20190303154944507</v>
      </c>
      <c r="B6822" t="str">
        <f>"1551599384497283"</f>
        <v>1551599384497283</v>
      </c>
      <c r="C6822" t="s">
        <v>40</v>
      </c>
      <c r="D6822">
        <v>5.2684899999999999</v>
      </c>
      <c r="E6822">
        <v>0.50705059999999902</v>
      </c>
      <c r="F6822" t="s">
        <v>43</v>
      </c>
      <c r="G6822">
        <v>-311.375</v>
      </c>
      <c r="H6822">
        <v>-0.05</v>
      </c>
      <c r="I6822">
        <v>11.337719999999999</v>
      </c>
      <c r="J6822">
        <v>-331.86700000000002</v>
      </c>
      <c r="K6822">
        <v>1.121202</v>
      </c>
      <c r="L6822">
        <v>17.611179999999901</v>
      </c>
      <c r="M6822">
        <v>0.99989439999999996</v>
      </c>
      <c r="N6822">
        <v>-1.447797E-2</v>
      </c>
      <c r="O6822">
        <v>-1.3038660000000001E-3</v>
      </c>
      <c r="P6822">
        <v>0.95545630000000004</v>
      </c>
      <c r="Q6822">
        <v>-0.10635459999999999</v>
      </c>
      <c r="R6822">
        <v>-0.27530399999999999</v>
      </c>
      <c r="S6822">
        <v>2.8700260000000002</v>
      </c>
      <c r="T6822">
        <v>-0.16316069999999999</v>
      </c>
      <c r="U6822">
        <v>-0.87396240000000003</v>
      </c>
      <c r="V6822">
        <v>0.2741112</v>
      </c>
      <c r="W6822">
        <v>-9.234668E-2</v>
      </c>
      <c r="X6822">
        <v>0.95725389999999999</v>
      </c>
      <c r="Y6822">
        <v>0.28951529999999998</v>
      </c>
      <c r="Z6822">
        <v>-1.0131340000000001E-2</v>
      </c>
      <c r="AA6822">
        <v>0.95711979999999997</v>
      </c>
      <c r="AB6822">
        <v>21</v>
      </c>
      <c r="AC6822">
        <v>20.491999999999901</v>
      </c>
      <c r="AD6822">
        <v>-1.1712020000000001</v>
      </c>
      <c r="AE6822">
        <v>-6.2734599999999903</v>
      </c>
      <c r="AF6822">
        <v>6.2281316546636099</v>
      </c>
      <c r="AG6822">
        <v>-1.1712020000000001</v>
      </c>
      <c r="AH6822">
        <v>20.439118230379801</v>
      </c>
      <c r="AI6822">
        <v>93.137452937453801</v>
      </c>
      <c r="AJ6822">
        <v>73.053168814378495</v>
      </c>
      <c r="AK6822">
        <v>21.3990395127461</v>
      </c>
      <c r="AL6822">
        <v>95.298624620984299</v>
      </c>
      <c r="AM6822">
        <v>74.020849465637099</v>
      </c>
      <c r="AN6822">
        <v>0.99999994416883398</v>
      </c>
    </row>
    <row r="6823" spans="1:40" x14ac:dyDescent="0.25">
      <c r="A6823" t="str">
        <f>"20190303154944517"</f>
        <v>20190303154944517</v>
      </c>
      <c r="B6823" t="str">
        <f>"1551599384508019"</f>
        <v>1551599384508019</v>
      </c>
      <c r="C6823" t="s">
        <v>40</v>
      </c>
      <c r="D6823">
        <v>5.2412260000000002</v>
      </c>
      <c r="E6823">
        <v>0.50761659999999997</v>
      </c>
      <c r="F6823" t="s">
        <v>43</v>
      </c>
      <c r="G6823">
        <v>-310.80250000000001</v>
      </c>
      <c r="H6823">
        <v>-0.05</v>
      </c>
      <c r="I6823">
        <v>11.10657</v>
      </c>
      <c r="J6823">
        <v>-331.76179999999999</v>
      </c>
      <c r="K6823">
        <v>1.1212219999999999</v>
      </c>
      <c r="L6823">
        <v>17.611239999999999</v>
      </c>
      <c r="M6823">
        <v>0.99989470000000003</v>
      </c>
      <c r="N6823">
        <v>-1.4475699999999999E-2</v>
      </c>
      <c r="O6823">
        <v>-1.088517E-3</v>
      </c>
      <c r="P6823">
        <v>0.95502790000000004</v>
      </c>
      <c r="Q6823">
        <v>-0.1060533</v>
      </c>
      <c r="R6823">
        <v>-0.27690219999999999</v>
      </c>
      <c r="S6823">
        <v>2.8670040000000001</v>
      </c>
      <c r="T6823">
        <v>-0.15940760000000001</v>
      </c>
      <c r="U6823">
        <v>-0.88531489999999902</v>
      </c>
      <c r="V6823">
        <v>0.27591919999999998</v>
      </c>
      <c r="W6823">
        <v>-9.2042070000000004E-2</v>
      </c>
      <c r="X6823">
        <v>0.95676369999999999</v>
      </c>
      <c r="Y6823">
        <v>0.29347810000000002</v>
      </c>
      <c r="Z6823">
        <v>-1.009816E-2</v>
      </c>
      <c r="AA6823">
        <v>0.95591250000000005</v>
      </c>
      <c r="AB6823">
        <v>21</v>
      </c>
      <c r="AC6823">
        <v>20.959299999999899</v>
      </c>
      <c r="AD6823">
        <v>-1.171222</v>
      </c>
      <c r="AE6823">
        <v>-6.5046699999999902</v>
      </c>
      <c r="AF6823">
        <v>6.4634392380886601</v>
      </c>
      <c r="AG6823">
        <v>-1.171222</v>
      </c>
      <c r="AH6823">
        <v>20.906819386640901</v>
      </c>
      <c r="AI6823">
        <v>93.063644327423802</v>
      </c>
      <c r="AJ6823">
        <v>72.820765823842905</v>
      </c>
      <c r="AK6823">
        <v>21.9144451132893</v>
      </c>
      <c r="AL6823">
        <v>95.281097005692004</v>
      </c>
      <c r="AM6823">
        <v>73.913071839110003</v>
      </c>
      <c r="AN6823">
        <v>0.99999996260810597</v>
      </c>
    </row>
    <row r="6824" spans="1:40" x14ac:dyDescent="0.25">
      <c r="A6824" t="str">
        <f>"20190303154944530"</f>
        <v>20190303154944530</v>
      </c>
      <c r="B6824" t="str">
        <f>"1551599384527539"</f>
        <v>1551599384527539</v>
      </c>
      <c r="C6824" t="s">
        <v>40</v>
      </c>
      <c r="D6824">
        <v>5.246041</v>
      </c>
      <c r="E6824">
        <v>0.50831959999999998</v>
      </c>
      <c r="F6824" t="s">
        <v>43</v>
      </c>
      <c r="G6824">
        <v>-310.59730000000002</v>
      </c>
      <c r="H6824">
        <v>-0.05</v>
      </c>
      <c r="I6824">
        <v>11.00168</v>
      </c>
      <c r="J6824">
        <v>-331.63990000000001</v>
      </c>
      <c r="K6824">
        <v>1.121245</v>
      </c>
      <c r="L6824">
        <v>17.611419999999999</v>
      </c>
      <c r="M6824">
        <v>0.99989490000000003</v>
      </c>
      <c r="N6824">
        <v>-1.4473069999999999E-2</v>
      </c>
      <c r="O6824">
        <v>-8.1408589999999996E-4</v>
      </c>
      <c r="P6824">
        <v>0.95477040000000002</v>
      </c>
      <c r="Q6824">
        <v>-0.1056156</v>
      </c>
      <c r="R6824">
        <v>-0.27795520000000001</v>
      </c>
      <c r="S6824">
        <v>2.8642880000000002</v>
      </c>
      <c r="T6824">
        <v>-0.1585066</v>
      </c>
      <c r="U6824">
        <v>-0.89450069999999904</v>
      </c>
      <c r="V6824">
        <v>0.27723930000000002</v>
      </c>
      <c r="W6824">
        <v>-9.1596259999999999E-2</v>
      </c>
      <c r="X6824">
        <v>0.95642479999999996</v>
      </c>
      <c r="Y6824">
        <v>0.29678880000000002</v>
      </c>
      <c r="Z6824">
        <v>-1.0182510000000001E-2</v>
      </c>
      <c r="AA6824">
        <v>0.95488890000000004</v>
      </c>
      <c r="AB6824">
        <v>21</v>
      </c>
      <c r="AC6824">
        <v>21.0426</v>
      </c>
      <c r="AD6824">
        <v>-1.1712450000000001</v>
      </c>
      <c r="AE6824">
        <v>-6.6097400000000004</v>
      </c>
      <c r="AF6824">
        <v>6.57406744185029</v>
      </c>
      <c r="AG6824">
        <v>-1.1712450000000001</v>
      </c>
      <c r="AH6824">
        <v>20.988788597295201</v>
      </c>
      <c r="AI6824">
        <v>93.048252543481595</v>
      </c>
      <c r="AJ6824">
        <v>72.608502033560598</v>
      </c>
      <c r="AK6824">
        <v>22.025426769122301</v>
      </c>
      <c r="AL6824">
        <v>95.255445674036295</v>
      </c>
      <c r="AM6824">
        <v>73.834687360586898</v>
      </c>
      <c r="AN6824">
        <v>0.99999995118275697</v>
      </c>
    </row>
    <row r="6825" spans="1:40" x14ac:dyDescent="0.25">
      <c r="A6825" t="str">
        <f>"20190303154944542"</f>
        <v>20190303154944542</v>
      </c>
      <c r="B6825" t="str">
        <f>"1551599384537299"</f>
        <v>1551599384537299</v>
      </c>
      <c r="C6825" t="s">
        <v>40</v>
      </c>
      <c r="D6825">
        <v>5.2459899999999999</v>
      </c>
      <c r="E6825">
        <v>0.50859620000000005</v>
      </c>
      <c r="F6825" t="s">
        <v>43</v>
      </c>
      <c r="G6825">
        <v>-310.46460000000002</v>
      </c>
      <c r="H6825">
        <v>-0.05</v>
      </c>
      <c r="I6825">
        <v>10.9292</v>
      </c>
      <c r="J6825">
        <v>-331.52929999999998</v>
      </c>
      <c r="K6825">
        <v>1.121265</v>
      </c>
      <c r="L6825">
        <v>17.61157</v>
      </c>
      <c r="M6825">
        <v>0.99989519999999998</v>
      </c>
      <c r="N6825">
        <v>-1.44707E-2</v>
      </c>
      <c r="O6825">
        <v>-5.5422100000000003E-4</v>
      </c>
      <c r="P6825">
        <v>0.95447459999999995</v>
      </c>
      <c r="Q6825">
        <v>-0.1053047</v>
      </c>
      <c r="R6825">
        <v>-0.27908670000000002</v>
      </c>
      <c r="S6825">
        <v>2.8616640000000002</v>
      </c>
      <c r="T6825">
        <v>-0.15828349999999999</v>
      </c>
      <c r="U6825">
        <v>-0.90304569999999995</v>
      </c>
      <c r="V6825">
        <v>0.27862369999999997</v>
      </c>
      <c r="W6825">
        <v>-9.1278170000000006E-2</v>
      </c>
      <c r="X6825">
        <v>0.95605289999999998</v>
      </c>
      <c r="Y6825">
        <v>0.29987509999999901</v>
      </c>
      <c r="Z6825">
        <v>-1.029192E-2</v>
      </c>
      <c r="AA6825">
        <v>0.95392299999999997</v>
      </c>
      <c r="AB6825">
        <v>21</v>
      </c>
      <c r="AC6825">
        <v>21.064699999999899</v>
      </c>
      <c r="AD6825">
        <v>-1.171265</v>
      </c>
      <c r="AE6825">
        <v>-6.6823699999999997</v>
      </c>
      <c r="AF6825">
        <v>6.6520075660262004</v>
      </c>
      <c r="AG6825">
        <v>-1.171265</v>
      </c>
      <c r="AH6825">
        <v>21.009384676867899</v>
      </c>
      <c r="AI6825">
        <v>93.042359940505307</v>
      </c>
      <c r="AJ6825">
        <v>72.431131241940705</v>
      </c>
      <c r="AK6825">
        <v>22.0684233886181</v>
      </c>
      <c r="AL6825">
        <v>95.237143485136201</v>
      </c>
      <c r="AM6825">
        <v>73.752226512742098</v>
      </c>
      <c r="AN6825">
        <v>1.00000000905932</v>
      </c>
    </row>
    <row r="6826" spans="1:40" x14ac:dyDescent="0.25">
      <c r="A6826" t="str">
        <f>"20190303154944554"</f>
        <v>20190303154944554</v>
      </c>
      <c r="B6826" t="str">
        <f>"1551599384548036"</f>
        <v>1551599384548036</v>
      </c>
      <c r="C6826" t="s">
        <v>40</v>
      </c>
      <c r="D6826">
        <v>5.2423199999999897</v>
      </c>
      <c r="E6826">
        <v>0.508772</v>
      </c>
      <c r="F6826" t="s">
        <v>43</v>
      </c>
      <c r="G6826">
        <v>-310.3295</v>
      </c>
      <c r="H6826">
        <v>-0.05</v>
      </c>
      <c r="I6826">
        <v>10.876659999999999</v>
      </c>
      <c r="J6826">
        <v>-331.40730000000002</v>
      </c>
      <c r="K6826">
        <v>1.1212899999999999</v>
      </c>
      <c r="L6826">
        <v>17.611879999999999</v>
      </c>
      <c r="M6826">
        <v>0.99989550000000005</v>
      </c>
      <c r="N6826">
        <v>-1.4468119999999999E-2</v>
      </c>
      <c r="O6826">
        <v>-2.339652E-4</v>
      </c>
      <c r="P6826">
        <v>0.95420890000000003</v>
      </c>
      <c r="Q6826">
        <v>-0.1051714</v>
      </c>
      <c r="R6826">
        <v>-0.28004440000000003</v>
      </c>
      <c r="S6826">
        <v>2.8599549999999998</v>
      </c>
      <c r="T6826">
        <v>-0.15800910000000001</v>
      </c>
      <c r="U6826">
        <v>-0.90856930000000002</v>
      </c>
      <c r="V6826">
        <v>0.27989259999999999</v>
      </c>
      <c r="W6826">
        <v>-9.1134489999999999E-2</v>
      </c>
      <c r="X6826">
        <v>0.95569590000000004</v>
      </c>
      <c r="Y6826">
        <v>0.30201519999999998</v>
      </c>
      <c r="Z6826">
        <v>-1.0366780000000001E-2</v>
      </c>
      <c r="AA6826">
        <v>0.95324679999999995</v>
      </c>
      <c r="AB6826">
        <v>21</v>
      </c>
      <c r="AC6826">
        <v>21.0778</v>
      </c>
      <c r="AD6826">
        <v>-1.1712899999999999</v>
      </c>
      <c r="AE6826">
        <v>-6.7352199999999902</v>
      </c>
      <c r="AF6826">
        <v>6.7114828317356396</v>
      </c>
      <c r="AG6826">
        <v>-1.1712899999999999</v>
      </c>
      <c r="AH6826">
        <v>21.020477826038</v>
      </c>
      <c r="AI6826">
        <v>93.0384897849233</v>
      </c>
      <c r="AJ6826">
        <v>72.292597269871706</v>
      </c>
      <c r="AK6826">
        <v>22.0969773973668</v>
      </c>
      <c r="AL6826">
        <v>95.228876777428297</v>
      </c>
      <c r="AM6826">
        <v>73.6763889497241</v>
      </c>
      <c r="AN6826">
        <v>1.0000000080395599</v>
      </c>
    </row>
    <row r="6827" spans="1:40" x14ac:dyDescent="0.25">
      <c r="A6827" t="str">
        <f>"20190303154944568"</f>
        <v>20190303154944568</v>
      </c>
      <c r="B6827" t="str">
        <f>"1551599384557795"</f>
        <v>1551599384557795</v>
      </c>
      <c r="C6827" t="s">
        <v>40</v>
      </c>
      <c r="D6827">
        <v>5.2131829999999999</v>
      </c>
      <c r="E6827">
        <v>0.50896929999999996</v>
      </c>
      <c r="F6827" t="s">
        <v>43</v>
      </c>
      <c r="G6827">
        <v>-310.22000000000003</v>
      </c>
      <c r="H6827">
        <v>-0.05</v>
      </c>
      <c r="I6827">
        <v>10.84581</v>
      </c>
      <c r="J6827">
        <v>-331.28019999999998</v>
      </c>
      <c r="K6827">
        <v>1.1213139999999999</v>
      </c>
      <c r="L6827">
        <v>17.612210000000001</v>
      </c>
      <c r="M6827">
        <v>0.99989550000000005</v>
      </c>
      <c r="N6827">
        <v>-1.4465510000000001E-2</v>
      </c>
      <c r="O6827">
        <v>1.204023E-4</v>
      </c>
      <c r="P6827">
        <v>0.95390770000000003</v>
      </c>
      <c r="Q6827">
        <v>-0.1053168</v>
      </c>
      <c r="R6827">
        <v>-0.28101429999999999</v>
      </c>
      <c r="S6827">
        <v>2.8585820000000002</v>
      </c>
      <c r="T6827">
        <v>-0.15803</v>
      </c>
      <c r="U6827">
        <v>-0.91287229999999997</v>
      </c>
      <c r="V6827">
        <v>0.28120650000000003</v>
      </c>
      <c r="W6827">
        <v>-9.1269279999999994E-2</v>
      </c>
      <c r="X6827">
        <v>0.95529719999999996</v>
      </c>
      <c r="Y6827">
        <v>0.30378349999999998</v>
      </c>
      <c r="Z6827">
        <v>-1.0444749999999999E-2</v>
      </c>
      <c r="AA6827">
        <v>0.95268390000000003</v>
      </c>
      <c r="AB6827">
        <v>21</v>
      </c>
      <c r="AC6827">
        <v>21.060199999999899</v>
      </c>
      <c r="AD6827">
        <v>-1.171314</v>
      </c>
      <c r="AE6827">
        <v>-6.7664</v>
      </c>
      <c r="AF6827">
        <v>6.7500097970728099</v>
      </c>
      <c r="AG6827">
        <v>-1.171314</v>
      </c>
      <c r="AH6827">
        <v>21.000502500724402</v>
      </c>
      <c r="AI6827">
        <v>93.039551380409904</v>
      </c>
      <c r="AJ6827">
        <v>72.181486265375</v>
      </c>
      <c r="AK6827">
        <v>22.089719645801502</v>
      </c>
      <c r="AL6827">
        <v>95.236632254942094</v>
      </c>
      <c r="AM6827">
        <v>73.597392356023093</v>
      </c>
      <c r="AN6827">
        <v>0.99999995872090297</v>
      </c>
    </row>
    <row r="6828" spans="1:40" x14ac:dyDescent="0.25">
      <c r="A6828" t="str">
        <f>"20190303154944586"</f>
        <v>20190303154944586</v>
      </c>
      <c r="B6828" t="str">
        <f>"1551599384577315"</f>
        <v>1551599384577315</v>
      </c>
      <c r="C6828" t="s">
        <v>40</v>
      </c>
      <c r="D6828">
        <v>5.2235829999999996</v>
      </c>
      <c r="E6828">
        <v>0.50931229999999905</v>
      </c>
      <c r="F6828" t="s">
        <v>43</v>
      </c>
      <c r="G6828">
        <v>-310.2199</v>
      </c>
      <c r="H6828">
        <v>-0.05</v>
      </c>
      <c r="I6828">
        <v>10.850099999999999</v>
      </c>
      <c r="J6828">
        <v>-331.11259999999999</v>
      </c>
      <c r="K6828">
        <v>1.121345</v>
      </c>
      <c r="L6828">
        <v>17.61279</v>
      </c>
      <c r="M6828">
        <v>0.99989530000000004</v>
      </c>
      <c r="N6828">
        <v>-1.446214E-2</v>
      </c>
      <c r="O6828">
        <v>6.2325970000000005E-4</v>
      </c>
      <c r="P6828">
        <v>0.95318599999999998</v>
      </c>
      <c r="Q6828">
        <v>-0.10703890000000001</v>
      </c>
      <c r="R6828">
        <v>-0.28280609999999901</v>
      </c>
      <c r="S6828">
        <v>2.8571469999999999</v>
      </c>
      <c r="T6828">
        <v>-0.1589071</v>
      </c>
      <c r="U6828">
        <v>-0.91738889999999995</v>
      </c>
      <c r="V6828">
        <v>0.28348699999999999</v>
      </c>
      <c r="W6828">
        <v>-9.2981060000000004E-2</v>
      </c>
      <c r="X6828">
        <v>0.95445780000000002</v>
      </c>
      <c r="Y6828">
        <v>0.3057569</v>
      </c>
      <c r="Z6828">
        <v>-1.058051E-2</v>
      </c>
      <c r="AA6828">
        <v>0.95205079999999997</v>
      </c>
      <c r="AB6828">
        <v>21</v>
      </c>
      <c r="AC6828">
        <v>20.892699999999898</v>
      </c>
      <c r="AD6828">
        <v>-1.1713450000000001</v>
      </c>
      <c r="AE6828">
        <v>-6.7626900000000001</v>
      </c>
      <c r="AF6828">
        <v>6.7564883025063001</v>
      </c>
      <c r="AG6828">
        <v>-1.1713450000000001</v>
      </c>
      <c r="AH6828">
        <v>20.829218030793001</v>
      </c>
      <c r="AI6828">
        <v>93.061938870311494</v>
      </c>
      <c r="AJ6828">
        <v>72.028206497615201</v>
      </c>
      <c r="AK6828">
        <v>21.928942224039101</v>
      </c>
      <c r="AL6828">
        <v>95.335128553262194</v>
      </c>
      <c r="AM6828">
        <v>73.457861518934905</v>
      </c>
      <c r="AN6828">
        <v>1.0000000243342799</v>
      </c>
    </row>
    <row r="6829" spans="1:40" x14ac:dyDescent="0.25">
      <c r="A6829" t="str">
        <f>"20190303154944599"</f>
        <v>20190303154944599</v>
      </c>
      <c r="B6829" t="str">
        <f>"1551599384587582"</f>
        <v>1551599384587582</v>
      </c>
      <c r="C6829" t="s">
        <v>40</v>
      </c>
      <c r="D6829">
        <v>5.225708</v>
      </c>
      <c r="E6829">
        <v>0.50944219999999996</v>
      </c>
      <c r="F6829" t="s">
        <v>43</v>
      </c>
      <c r="G6829">
        <v>-310.92970000000003</v>
      </c>
      <c r="H6829">
        <v>-0.05</v>
      </c>
      <c r="I6829">
        <v>11.0665</v>
      </c>
      <c r="J6829">
        <v>-330.98450000000003</v>
      </c>
      <c r="K6829">
        <v>1.121364</v>
      </c>
      <c r="L6829">
        <v>17.613309999999998</v>
      </c>
      <c r="M6829">
        <v>0.99989499999999998</v>
      </c>
      <c r="N6829">
        <v>-1.445957E-2</v>
      </c>
      <c r="O6829">
        <v>1.0343609999999999E-3</v>
      </c>
      <c r="P6829">
        <v>0.95301440000000004</v>
      </c>
      <c r="Q6829">
        <v>-0.1080449</v>
      </c>
      <c r="R6829">
        <v>-0.28300239999999999</v>
      </c>
      <c r="S6829">
        <v>2.854095</v>
      </c>
      <c r="T6829">
        <v>-0.1656417</v>
      </c>
      <c r="U6829">
        <v>-0.92572019999999999</v>
      </c>
      <c r="V6829">
        <v>0.28408159999999999</v>
      </c>
      <c r="W6829">
        <v>-9.3974929999999998E-2</v>
      </c>
      <c r="X6829">
        <v>0.95418360000000002</v>
      </c>
      <c r="Y6829">
        <v>0.30891030000000003</v>
      </c>
      <c r="Z6829">
        <v>-1.10685E-2</v>
      </c>
      <c r="AA6829">
        <v>0.9510267</v>
      </c>
      <c r="AB6829">
        <v>21</v>
      </c>
      <c r="AC6829">
        <v>20.0548</v>
      </c>
      <c r="AD6829">
        <v>-1.1713639999999901</v>
      </c>
      <c r="AE6829">
        <v>-6.5468099999999998</v>
      </c>
      <c r="AF6829">
        <v>6.5473672279547497</v>
      </c>
      <c r="AG6829">
        <v>-1.1713639999999901</v>
      </c>
      <c r="AH6829">
        <v>19.986399319645599</v>
      </c>
      <c r="AI6829">
        <v>93.187834066486502</v>
      </c>
      <c r="AJ6829">
        <v>71.861662874677904</v>
      </c>
      <c r="AK6829">
        <v>21.064099055087201</v>
      </c>
      <c r="AL6829">
        <v>95.392323718762199</v>
      </c>
      <c r="AM6829">
        <v>73.420565349695906</v>
      </c>
      <c r="AN6829">
        <v>0.99999999271801199</v>
      </c>
    </row>
    <row r="6830" spans="1:40" x14ac:dyDescent="0.25">
      <c r="A6830" t="str">
        <f>"20190303154944612"</f>
        <v>20190303154944612</v>
      </c>
      <c r="B6830" t="str">
        <f>"1551599384608078"</f>
        <v>1551599384608078</v>
      </c>
      <c r="C6830" t="s">
        <v>40</v>
      </c>
      <c r="D6830">
        <v>5.2336049999999998</v>
      </c>
      <c r="E6830">
        <v>0.5095906</v>
      </c>
      <c r="F6830" t="s">
        <v>43</v>
      </c>
      <c r="G6830">
        <v>-311.30349999999999</v>
      </c>
      <c r="H6830">
        <v>-0.05</v>
      </c>
      <c r="I6830">
        <v>11.21663</v>
      </c>
      <c r="J6830">
        <v>-330.86419999999998</v>
      </c>
      <c r="K6830">
        <v>1.121381</v>
      </c>
      <c r="L6830">
        <v>17.613889999999898</v>
      </c>
      <c r="M6830">
        <v>0.99989459999999997</v>
      </c>
      <c r="N6830">
        <v>-1.4457090000000001E-2</v>
      </c>
      <c r="O6830">
        <v>1.4486729999999999E-3</v>
      </c>
      <c r="P6830">
        <v>0.95285180000000003</v>
      </c>
      <c r="Q6830">
        <v>-0.10902679999999999</v>
      </c>
      <c r="R6830">
        <v>-0.28317310000000001</v>
      </c>
      <c r="S6830">
        <v>2.8532709999999999</v>
      </c>
      <c r="T6830">
        <v>-0.1698202</v>
      </c>
      <c r="U6830">
        <v>-0.92736819999999998</v>
      </c>
      <c r="V6830">
        <v>0.28465289999999999</v>
      </c>
      <c r="W6830">
        <v>-9.4947260000000006E-2</v>
      </c>
      <c r="X6830">
        <v>0.95391700000000001</v>
      </c>
      <c r="Y6830">
        <v>0.30985190000000001</v>
      </c>
      <c r="Z6830">
        <v>-1.1344E-2</v>
      </c>
      <c r="AA6830">
        <v>0.95071719999999904</v>
      </c>
      <c r="AB6830">
        <v>21</v>
      </c>
      <c r="AC6830">
        <v>19.560700000000001</v>
      </c>
      <c r="AD6830">
        <v>-1.171381</v>
      </c>
      <c r="AE6830">
        <v>-6.3972599999999904</v>
      </c>
      <c r="AF6830">
        <v>6.4048439555597696</v>
      </c>
      <c r="AG6830">
        <v>-1.171381</v>
      </c>
      <c r="AH6830">
        <v>19.4882760978136</v>
      </c>
      <c r="AI6830">
        <v>93.268164245310203</v>
      </c>
      <c r="AJ6830">
        <v>71.806832821205205</v>
      </c>
      <c r="AK6830">
        <v>20.547191165870998</v>
      </c>
      <c r="AL6830">
        <v>95.448284589105199</v>
      </c>
      <c r="AM6830">
        <v>73.384672337935598</v>
      </c>
      <c r="AN6830">
        <v>0.99999994927445701</v>
      </c>
    </row>
    <row r="6831" spans="1:40" x14ac:dyDescent="0.25">
      <c r="A6831" t="str">
        <f>"20190303154944623"</f>
        <v>20190303154944623</v>
      </c>
      <c r="B6831" t="str">
        <f>"1551599384617838"</f>
        <v>1551599384617838</v>
      </c>
      <c r="C6831" t="s">
        <v>40</v>
      </c>
      <c r="D6831">
        <v>5.2235990000000001</v>
      </c>
      <c r="E6831">
        <v>0.50970289999999996</v>
      </c>
      <c r="F6831" t="s">
        <v>43</v>
      </c>
      <c r="G6831">
        <v>-311.86009999999999</v>
      </c>
      <c r="H6831">
        <v>-0.05</v>
      </c>
      <c r="I6831">
        <v>11.424480000000001</v>
      </c>
      <c r="J6831">
        <v>-330.75060000000002</v>
      </c>
      <c r="K6831">
        <v>1.1213959999999901</v>
      </c>
      <c r="L6831">
        <v>17.614470000000001</v>
      </c>
      <c r="M6831">
        <v>0.99989380000000005</v>
      </c>
      <c r="N6831">
        <v>-1.4454699999999999E-2</v>
      </c>
      <c r="O6831">
        <v>1.851562E-3</v>
      </c>
      <c r="P6831">
        <v>0.95280750000000003</v>
      </c>
      <c r="Q6831">
        <v>-0.109529</v>
      </c>
      <c r="R6831">
        <v>-0.2831284</v>
      </c>
      <c r="S6831">
        <v>2.8522949999999998</v>
      </c>
      <c r="T6831">
        <v>-0.1758102</v>
      </c>
      <c r="U6831">
        <v>-0.92895510000000003</v>
      </c>
      <c r="V6831">
        <v>0.284997099999999</v>
      </c>
      <c r="W6831">
        <v>-9.5439800000000005E-2</v>
      </c>
      <c r="X6831">
        <v>0.95376510000000003</v>
      </c>
      <c r="Y6831">
        <v>0.31076579999999998</v>
      </c>
      <c r="Z6831">
        <v>-1.171822E-2</v>
      </c>
      <c r="AA6831">
        <v>0.95041430000000005</v>
      </c>
      <c r="AB6831">
        <v>21</v>
      </c>
      <c r="AC6831">
        <v>18.890499999999999</v>
      </c>
      <c r="AD6831">
        <v>-1.1713960000000001</v>
      </c>
      <c r="AE6831">
        <v>-6.1899899999999999</v>
      </c>
      <c r="AF6831">
        <v>6.2034193649822997</v>
      </c>
      <c r="AG6831">
        <v>-1.1713960000000001</v>
      </c>
      <c r="AH6831">
        <v>18.8136770893007</v>
      </c>
      <c r="AI6831">
        <v>93.384044494868206</v>
      </c>
      <c r="AJ6831">
        <v>71.751101318263593</v>
      </c>
      <c r="AK6831">
        <v>19.844622093331299</v>
      </c>
      <c r="AL6831">
        <v>95.476633602044501</v>
      </c>
      <c r="AM6831">
        <v>73.363187852132</v>
      </c>
      <c r="AN6831">
        <v>0.99999998420522995</v>
      </c>
    </row>
    <row r="6832" spans="1:40" x14ac:dyDescent="0.25">
      <c r="A6832" t="str">
        <f>"20190303154944633"</f>
        <v>20190303154944633</v>
      </c>
      <c r="B6832" t="str">
        <f>"1551599384627598"</f>
        <v>1551599384627598</v>
      </c>
      <c r="C6832" t="s">
        <v>40</v>
      </c>
      <c r="D6832">
        <v>5.278861</v>
      </c>
      <c r="E6832">
        <v>0.50983880000000004</v>
      </c>
      <c r="F6832" t="s">
        <v>43</v>
      </c>
      <c r="G6832">
        <v>-311.97489999999999</v>
      </c>
      <c r="H6832">
        <v>-0.05</v>
      </c>
      <c r="I6832">
        <v>11.49268</v>
      </c>
      <c r="J6832">
        <v>-330.65069999999997</v>
      </c>
      <c r="K6832">
        <v>1.1214059999999999</v>
      </c>
      <c r="L6832">
        <v>17.615079999999999</v>
      </c>
      <c r="M6832">
        <v>0.99989320000000004</v>
      </c>
      <c r="N6832">
        <v>-1.445254E-2</v>
      </c>
      <c r="O6832">
        <v>2.2236249999999999E-3</v>
      </c>
      <c r="P6832">
        <v>0.95283899999999999</v>
      </c>
      <c r="Q6832">
        <v>-0.11006009999999999</v>
      </c>
      <c r="R6832">
        <v>-0.2828156</v>
      </c>
      <c r="S6832">
        <v>2.8518370000000002</v>
      </c>
      <c r="T6832">
        <v>-0.17792379999999999</v>
      </c>
      <c r="U6832">
        <v>-0.92984009999999995</v>
      </c>
      <c r="V6832">
        <v>0.2850432</v>
      </c>
      <c r="W6832">
        <v>-9.5963060000000003E-2</v>
      </c>
      <c r="X6832">
        <v>0.95369879999999996</v>
      </c>
      <c r="Y6832">
        <v>0.31141439999999998</v>
      </c>
      <c r="Z6832">
        <v>-1.187422E-2</v>
      </c>
      <c r="AA6832">
        <v>0.95020000000000004</v>
      </c>
      <c r="AB6832">
        <v>21</v>
      </c>
      <c r="AC6832">
        <v>18.675799999999899</v>
      </c>
      <c r="AD6832">
        <v>-1.1714059999999999</v>
      </c>
      <c r="AE6832">
        <v>-6.1223999999999901</v>
      </c>
      <c r="AF6832">
        <v>6.1420978379569</v>
      </c>
      <c r="AG6832">
        <v>-1.1714059999999999</v>
      </c>
      <c r="AH6832">
        <v>18.596077338395201</v>
      </c>
      <c r="AI6832">
        <v>93.423008096247102</v>
      </c>
      <c r="AJ6832">
        <v>71.722128851723895</v>
      </c>
      <c r="AK6832">
        <v>19.619165380908701</v>
      </c>
      <c r="AL6832">
        <v>95.5067525252324</v>
      </c>
      <c r="AM6832">
        <v>73.359552723476497</v>
      </c>
      <c r="AN6832">
        <v>0.999999967936121</v>
      </c>
    </row>
    <row r="6833" spans="1:40" x14ac:dyDescent="0.25">
      <c r="A6833" t="str">
        <f>"20190303154944643"</f>
        <v>20190303154944643</v>
      </c>
      <c r="B6833" t="str">
        <f>"1551599384637358"</f>
        <v>1551599384637358</v>
      </c>
      <c r="C6833" t="s">
        <v>40</v>
      </c>
      <c r="D6833">
        <v>5.2356569999999998</v>
      </c>
      <c r="E6833">
        <v>0.50993370000000005</v>
      </c>
      <c r="F6833" t="s">
        <v>43</v>
      </c>
      <c r="G6833">
        <v>-312.13499999999999</v>
      </c>
      <c r="H6833">
        <v>-0.05</v>
      </c>
      <c r="I6833">
        <v>11.57652</v>
      </c>
      <c r="J6833">
        <v>-330.56220000000002</v>
      </c>
      <c r="K6833">
        <v>1.121416</v>
      </c>
      <c r="L6833">
        <v>17.615659999999998</v>
      </c>
      <c r="M6833">
        <v>0.99989229999999996</v>
      </c>
      <c r="N6833">
        <v>-1.4450609999999999E-2</v>
      </c>
      <c r="O6833">
        <v>2.560475E-3</v>
      </c>
      <c r="P6833">
        <v>0.95288620000000002</v>
      </c>
      <c r="Q6833">
        <v>-0.1102654</v>
      </c>
      <c r="R6833">
        <v>-0.28257589999999999</v>
      </c>
      <c r="S6833">
        <v>2.8515929999999998</v>
      </c>
      <c r="T6833">
        <v>-0.18040719999999999</v>
      </c>
      <c r="U6833">
        <v>-0.92999270000000001</v>
      </c>
      <c r="V6833">
        <v>0.28512759999999998</v>
      </c>
      <c r="W6833">
        <v>-9.6161839999999998E-2</v>
      </c>
      <c r="X6833">
        <v>0.95365359999999999</v>
      </c>
      <c r="Y6833">
        <v>0.3117857</v>
      </c>
      <c r="Z6833">
        <v>-1.203862E-2</v>
      </c>
      <c r="AA6833">
        <v>0.95007620000000004</v>
      </c>
      <c r="AB6833">
        <v>21</v>
      </c>
      <c r="AC6833">
        <v>18.427199999999999</v>
      </c>
      <c r="AD6833">
        <v>-1.171416</v>
      </c>
      <c r="AE6833">
        <v>-6.0391399999999997</v>
      </c>
      <c r="AF6833">
        <v>6.0641781749292001</v>
      </c>
      <c r="AG6833">
        <v>-1.171416</v>
      </c>
      <c r="AH6833">
        <v>18.3447314947602</v>
      </c>
      <c r="AI6833">
        <v>93.469536832903003</v>
      </c>
      <c r="AJ6833">
        <v>71.707775534827803</v>
      </c>
      <c r="AK6833">
        <v>19.356540134982499</v>
      </c>
      <c r="AL6833">
        <v>95.518194418548802</v>
      </c>
      <c r="AM6833">
        <v>73.354152834965106</v>
      </c>
      <c r="AN6833">
        <v>1.0000000182734501</v>
      </c>
    </row>
    <row r="6834" spans="1:40" x14ac:dyDescent="0.25">
      <c r="A6834" t="str">
        <f>"20190303154944653"</f>
        <v>20190303154944653</v>
      </c>
      <c r="B6834" t="str">
        <f>"1551599384648095"</f>
        <v>1551599384648095</v>
      </c>
      <c r="C6834" t="s">
        <v>40</v>
      </c>
      <c r="D6834">
        <v>5.2379519999999999</v>
      </c>
      <c r="E6834">
        <v>0.51001049999999903</v>
      </c>
      <c r="F6834" t="s">
        <v>43</v>
      </c>
      <c r="G6834">
        <v>-312.15890000000002</v>
      </c>
      <c r="H6834">
        <v>-0.05</v>
      </c>
      <c r="I6834">
        <v>11.61327</v>
      </c>
      <c r="J6834">
        <v>-330.4633</v>
      </c>
      <c r="K6834">
        <v>1.121426</v>
      </c>
      <c r="L6834">
        <v>17.616299999999999</v>
      </c>
      <c r="M6834">
        <v>0.99989130000000004</v>
      </c>
      <c r="N6834">
        <v>-1.444842E-2</v>
      </c>
      <c r="O6834">
        <v>2.9498839999999998E-3</v>
      </c>
      <c r="P6834">
        <v>0.9529358</v>
      </c>
      <c r="Q6834">
        <v>-0.11003209999999999</v>
      </c>
      <c r="R6834">
        <v>-0.28250059999999999</v>
      </c>
      <c r="S6834">
        <v>2.8515320000000002</v>
      </c>
      <c r="T6834">
        <v>-0.18150769999999999</v>
      </c>
      <c r="U6834">
        <v>-0.93005369999999998</v>
      </c>
      <c r="V6834">
        <v>0.2854257</v>
      </c>
      <c r="W6834">
        <v>-9.5922859999999999E-2</v>
      </c>
      <c r="X6834">
        <v>0.95358849999999995</v>
      </c>
      <c r="Y6834">
        <v>0.31217089999999997</v>
      </c>
      <c r="Z6834">
        <v>-1.2131380000000001E-2</v>
      </c>
      <c r="AA6834">
        <v>0.94994849999999997</v>
      </c>
      <c r="AB6834">
        <v>21</v>
      </c>
      <c r="AC6834">
        <v>18.304399999999902</v>
      </c>
      <c r="AD6834">
        <v>-1.1714260000000001</v>
      </c>
      <c r="AE6834">
        <v>-6.0030299999999901</v>
      </c>
      <c r="AF6834">
        <v>6.0346897748674699</v>
      </c>
      <c r="AG6834">
        <v>-1.1714260000000001</v>
      </c>
      <c r="AH6834">
        <v>18.219237595185</v>
      </c>
      <c r="AI6834">
        <v>93.492721504745703</v>
      </c>
      <c r="AJ6834">
        <v>71.673773976633299</v>
      </c>
      <c r="AK6834">
        <v>19.228373256783001</v>
      </c>
      <c r="AL6834">
        <v>95.504438237798198</v>
      </c>
      <c r="AM6834">
        <v>73.336639495360799</v>
      </c>
      <c r="AN6834">
        <v>1.00000002631165</v>
      </c>
    </row>
    <row r="6835" spans="1:40" x14ac:dyDescent="0.25">
      <c r="A6835" t="str">
        <f>"20190303154944663"</f>
        <v>20190303154944663</v>
      </c>
      <c r="B6835" t="str">
        <f>"1551599384657854"</f>
        <v>1551599384657854</v>
      </c>
      <c r="C6835" t="s">
        <v>40</v>
      </c>
      <c r="D6835">
        <v>5.233797</v>
      </c>
      <c r="E6835">
        <v>0.51010749999999905</v>
      </c>
      <c r="F6835" t="s">
        <v>43</v>
      </c>
      <c r="G6835">
        <v>-312.06479999999999</v>
      </c>
      <c r="H6835">
        <v>-0.05</v>
      </c>
      <c r="I6835">
        <v>11.612629999999999</v>
      </c>
      <c r="J6835">
        <v>-330.37220000000002</v>
      </c>
      <c r="K6835">
        <v>1.1214390000000001</v>
      </c>
      <c r="L6835">
        <v>17.617000000000001</v>
      </c>
      <c r="M6835">
        <v>0.9998901</v>
      </c>
      <c r="N6835">
        <v>-1.444639E-2</v>
      </c>
      <c r="O6835">
        <v>3.3135650000000001E-3</v>
      </c>
      <c r="P6835">
        <v>0.95298530000000004</v>
      </c>
      <c r="Q6835">
        <v>-0.110288</v>
      </c>
      <c r="R6835">
        <v>-0.28223409999999999</v>
      </c>
      <c r="S6835">
        <v>2.85141</v>
      </c>
      <c r="T6835">
        <v>-0.1815484</v>
      </c>
      <c r="U6835">
        <v>-0.93045040000000001</v>
      </c>
      <c r="V6835">
        <v>0.28550809999999999</v>
      </c>
      <c r="W6835">
        <v>-9.6174490000000001E-2</v>
      </c>
      <c r="X6835">
        <v>0.95353849999999996</v>
      </c>
      <c r="Y6835">
        <v>0.31264599999999998</v>
      </c>
      <c r="Z6835">
        <v>-1.21692E-2</v>
      </c>
      <c r="AA6835">
        <v>0.94979179999999996</v>
      </c>
      <c r="AB6835">
        <v>21</v>
      </c>
      <c r="AC6835">
        <v>18.307400000000001</v>
      </c>
      <c r="AD6835">
        <v>-1.1714389999999999</v>
      </c>
      <c r="AE6835">
        <v>-6.0043699999999998</v>
      </c>
      <c r="AF6835">
        <v>6.0426681128185198</v>
      </c>
      <c r="AG6835">
        <v>-1.1714389999999999</v>
      </c>
      <c r="AH6835">
        <v>18.220047235547501</v>
      </c>
      <c r="AI6835">
        <v>93.492165098730794</v>
      </c>
      <c r="AJ6835">
        <v>71.651927970946403</v>
      </c>
      <c r="AK6835">
        <v>19.231646536840699</v>
      </c>
      <c r="AL6835">
        <v>95.518922468514205</v>
      </c>
      <c r="AM6835">
        <v>73.331270222260699</v>
      </c>
      <c r="AN6835">
        <v>1.0000000393373001</v>
      </c>
    </row>
    <row r="6836" spans="1:40" x14ac:dyDescent="0.25">
      <c r="A6836" t="str">
        <f>"20190303154944675"</f>
        <v>20190303154944675</v>
      </c>
      <c r="B6836" t="str">
        <f>"1551599384667614"</f>
        <v>1551599384667614</v>
      </c>
      <c r="C6836" t="s">
        <v>40</v>
      </c>
      <c r="D6836">
        <v>5.2255089999999997</v>
      </c>
      <c r="E6836">
        <v>0.51021099999999997</v>
      </c>
      <c r="F6836" t="s">
        <v>43</v>
      </c>
      <c r="G6836">
        <v>-312.12459999999999</v>
      </c>
      <c r="H6836">
        <v>-0.05</v>
      </c>
      <c r="I6836">
        <v>11.66292</v>
      </c>
      <c r="J6836">
        <v>-330.2663</v>
      </c>
      <c r="K6836">
        <v>1.1214489999999999</v>
      </c>
      <c r="L6836">
        <v>17.617829999999898</v>
      </c>
      <c r="M6836">
        <v>0.99988860000000002</v>
      </c>
      <c r="N6836">
        <v>-1.4444E-2</v>
      </c>
      <c r="O6836">
        <v>3.7467239999999999E-3</v>
      </c>
      <c r="P6836">
        <v>0.95307019999999998</v>
      </c>
      <c r="Q6836">
        <v>-0.11047990000000001</v>
      </c>
      <c r="R6836">
        <v>-0.28187180000000001</v>
      </c>
      <c r="S6836">
        <v>2.8512879999999998</v>
      </c>
      <c r="T6836">
        <v>-0.18304400000000001</v>
      </c>
      <c r="U6836">
        <v>-0.93035889999999999</v>
      </c>
      <c r="V6836">
        <v>0.2855607</v>
      </c>
      <c r="W6836">
        <v>-9.6363180000000007E-2</v>
      </c>
      <c r="X6836">
        <v>0.95350369999999995</v>
      </c>
      <c r="Y6836">
        <v>0.31302960000000002</v>
      </c>
      <c r="Z6836">
        <v>-1.228652E-2</v>
      </c>
      <c r="AA6836">
        <v>0.94966390000000001</v>
      </c>
      <c r="AB6836">
        <v>21</v>
      </c>
      <c r="AC6836">
        <v>18.1417</v>
      </c>
      <c r="AD6836">
        <v>-1.171449</v>
      </c>
      <c r="AE6836">
        <v>-5.9549099999999902</v>
      </c>
      <c r="AF6836">
        <v>6.0002621592708003</v>
      </c>
      <c r="AG6836">
        <v>-1.171449</v>
      </c>
      <c r="AH6836">
        <v>18.051313500204699</v>
      </c>
      <c r="AI6836">
        <v>93.523966604425198</v>
      </c>
      <c r="AJ6836">
        <v>71.613177231877202</v>
      </c>
      <c r="AK6836">
        <v>19.058472074703499</v>
      </c>
      <c r="AL6836">
        <v>95.529784048251699</v>
      </c>
      <c r="AM6836">
        <v>73.327795008382594</v>
      </c>
      <c r="AN6836">
        <v>1.00000004087894</v>
      </c>
    </row>
    <row r="6837" spans="1:40" x14ac:dyDescent="0.25">
      <c r="A6837" t="str">
        <f>"20190303154944687"</f>
        <v>20190303154944687</v>
      </c>
      <c r="B6837" t="str">
        <f>"1551599384677375"</f>
        <v>1551599384677375</v>
      </c>
      <c r="C6837" t="s">
        <v>40</v>
      </c>
      <c r="D6837">
        <v>5.283048</v>
      </c>
      <c r="E6837">
        <v>0.51028640000000003</v>
      </c>
      <c r="F6837" t="s">
        <v>43</v>
      </c>
      <c r="G6837">
        <v>-312.19260000000003</v>
      </c>
      <c r="H6837">
        <v>-0.05</v>
      </c>
      <c r="I6837">
        <v>11.72214</v>
      </c>
      <c r="J6837">
        <v>-330.1567</v>
      </c>
      <c r="K6837">
        <v>1.121453</v>
      </c>
      <c r="L6837">
        <v>17.61871</v>
      </c>
      <c r="M6837">
        <v>0.99988699999999997</v>
      </c>
      <c r="N6837">
        <v>-1.444146E-2</v>
      </c>
      <c r="O6837">
        <v>4.2005860000000001E-3</v>
      </c>
      <c r="P6837">
        <v>0.95311749999999995</v>
      </c>
      <c r="Q6837">
        <v>-0.1107262</v>
      </c>
      <c r="R6837">
        <v>-0.281614799999999</v>
      </c>
      <c r="S6837">
        <v>2.8512569999999999</v>
      </c>
      <c r="T6837">
        <v>-0.1848043</v>
      </c>
      <c r="U6837">
        <v>-0.93008420000000003</v>
      </c>
      <c r="V6837">
        <v>0.28573799999999999</v>
      </c>
      <c r="W6837">
        <v>-9.6608520000000003E-2</v>
      </c>
      <c r="X6837">
        <v>0.95342570000000004</v>
      </c>
      <c r="Y6837">
        <v>0.313366799999999</v>
      </c>
      <c r="Z6837">
        <v>-1.241796E-2</v>
      </c>
      <c r="AA6837">
        <v>0.94955100000000003</v>
      </c>
      <c r="AB6837">
        <v>21</v>
      </c>
      <c r="AC6837">
        <v>17.964099999999899</v>
      </c>
      <c r="AD6837">
        <v>-1.1714530000000001</v>
      </c>
      <c r="AE6837">
        <v>-5.8965699999999996</v>
      </c>
      <c r="AF6837">
        <v>5.9491477550763197</v>
      </c>
      <c r="AG6837">
        <v>-1.1714530000000001</v>
      </c>
      <c r="AH6837">
        <v>17.870567616482901</v>
      </c>
      <c r="AI6837">
        <v>93.558996082210697</v>
      </c>
      <c r="AJ6837">
        <v>71.587296119029105</v>
      </c>
      <c r="AK6837">
        <v>18.871190955481001</v>
      </c>
      <c r="AL6837">
        <v>95.543907179900501</v>
      </c>
      <c r="AM6837">
        <v>73.316729596710999</v>
      </c>
      <c r="AN6837">
        <v>0.99999998810054003</v>
      </c>
    </row>
    <row r="6838" spans="1:40" x14ac:dyDescent="0.25">
      <c r="A6838" t="str">
        <f>"20190303154944698"</f>
        <v>20190303154944698</v>
      </c>
      <c r="B6838" t="str">
        <f>"1551599384687644"</f>
        <v>1551599384687644</v>
      </c>
      <c r="C6838" t="s">
        <v>40</v>
      </c>
      <c r="D6838">
        <v>5.2298589999999896</v>
      </c>
      <c r="E6838">
        <v>0.51029329999999995</v>
      </c>
      <c r="F6838" t="s">
        <v>43</v>
      </c>
      <c r="G6838">
        <v>-312.3272</v>
      </c>
      <c r="H6838">
        <v>-0.05</v>
      </c>
      <c r="I6838">
        <v>11.80467</v>
      </c>
      <c r="J6838">
        <v>-330.05070000000001</v>
      </c>
      <c r="K6838">
        <v>1.121451</v>
      </c>
      <c r="L6838">
        <v>17.61966</v>
      </c>
      <c r="M6838">
        <v>0.99988500000000002</v>
      </c>
      <c r="N6838">
        <v>-1.4438960000000001E-2</v>
      </c>
      <c r="O6838">
        <v>4.6442189999999998E-3</v>
      </c>
      <c r="P6838">
        <v>0.95314960000000004</v>
      </c>
      <c r="Q6838">
        <v>-0.11120339999999999</v>
      </c>
      <c r="R6838">
        <v>-0.28131800000000001</v>
      </c>
      <c r="S6838">
        <v>2.851105</v>
      </c>
      <c r="T6838">
        <v>-0.18732570000000001</v>
      </c>
      <c r="U6838">
        <v>-0.92971800000000004</v>
      </c>
      <c r="V6838">
        <v>0.28586529999999999</v>
      </c>
      <c r="W6838">
        <v>-9.7086619999999998E-2</v>
      </c>
      <c r="X6838">
        <v>0.95333900000000005</v>
      </c>
      <c r="Y6838">
        <v>0.31367299999999998</v>
      </c>
      <c r="Z6838">
        <v>-1.2590809999999999E-2</v>
      </c>
      <c r="AA6838">
        <v>0.94944759999999995</v>
      </c>
      <c r="AB6838">
        <v>21</v>
      </c>
      <c r="AC6838">
        <v>17.723500000000001</v>
      </c>
      <c r="AD6838">
        <v>-1.171451</v>
      </c>
      <c r="AE6838">
        <v>-5.8149899999999999</v>
      </c>
      <c r="AF6838">
        <v>5.8740796977407497</v>
      </c>
      <c r="AG6838">
        <v>-1.171451</v>
      </c>
      <c r="AH6838">
        <v>17.626778101472102</v>
      </c>
      <c r="AI6838">
        <v>93.607711229961694</v>
      </c>
      <c r="AJ6838">
        <v>71.569477500100604</v>
      </c>
      <c r="AK6838">
        <v>18.6166703784363</v>
      </c>
      <c r="AL6838">
        <v>95.571429518110307</v>
      </c>
      <c r="AM6838">
        <v>73.308276846639004</v>
      </c>
      <c r="AN6838">
        <v>1.00000001522405</v>
      </c>
    </row>
    <row r="6839" spans="1:40" x14ac:dyDescent="0.25">
      <c r="A6839" t="str">
        <f>"20190303154944711"</f>
        <v>20190303154944711</v>
      </c>
      <c r="B6839" t="str">
        <f>"1551599384707161"</f>
        <v>1551599384707161</v>
      </c>
      <c r="C6839" t="s">
        <v>40</v>
      </c>
      <c r="D6839">
        <v>5.2367140000000001</v>
      </c>
      <c r="E6839">
        <v>0.51036890000000001</v>
      </c>
      <c r="F6839" t="s">
        <v>43</v>
      </c>
      <c r="G6839">
        <v>-312.47370000000001</v>
      </c>
      <c r="H6839">
        <v>-0.05</v>
      </c>
      <c r="I6839">
        <v>11.89418</v>
      </c>
      <c r="J6839">
        <v>-329.94119999999998</v>
      </c>
      <c r="K6839">
        <v>1.121448</v>
      </c>
      <c r="L6839">
        <v>17.620729999999998</v>
      </c>
      <c r="M6839">
        <v>0.99988279999999996</v>
      </c>
      <c r="N6839">
        <v>-1.44364E-2</v>
      </c>
      <c r="O6839">
        <v>5.1054990000000003E-3</v>
      </c>
      <c r="P6839">
        <v>0.95312920000000001</v>
      </c>
      <c r="Q6839">
        <v>-0.11186740000000001</v>
      </c>
      <c r="R6839">
        <v>-0.28112350000000003</v>
      </c>
      <c r="S6839">
        <v>2.851105</v>
      </c>
      <c r="T6839">
        <v>-0.1900173</v>
      </c>
      <c r="U6839">
        <v>-0.92871090000000001</v>
      </c>
      <c r="V6839">
        <v>0.2861107</v>
      </c>
      <c r="W6839">
        <v>-9.7754519999999998E-2</v>
      </c>
      <c r="X6839">
        <v>0.95319710000000002</v>
      </c>
      <c r="Y6839">
        <v>0.31378689999999998</v>
      </c>
      <c r="Z6839">
        <v>-1.276707E-2</v>
      </c>
      <c r="AA6839">
        <v>0.94940760000000002</v>
      </c>
      <c r="AB6839">
        <v>21</v>
      </c>
      <c r="AC6839">
        <v>17.467499999999902</v>
      </c>
      <c r="AD6839">
        <v>-1.171448</v>
      </c>
      <c r="AE6839">
        <v>-5.7265499999999898</v>
      </c>
      <c r="AF6839">
        <v>5.7921421909241504</v>
      </c>
      <c r="AG6839">
        <v>-1.171448</v>
      </c>
      <c r="AH6839">
        <v>17.367500347258002</v>
      </c>
      <c r="AI6839">
        <v>93.661133901507299</v>
      </c>
      <c r="AJ6839">
        <v>71.556217284746197</v>
      </c>
      <c r="AK6839">
        <v>18.345333736092002</v>
      </c>
      <c r="AL6839">
        <v>95.609880380978097</v>
      </c>
      <c r="AM6839">
        <v>73.292397664076503</v>
      </c>
      <c r="AN6839">
        <v>0.99999999514166504</v>
      </c>
    </row>
    <row r="6840" spans="1:40" x14ac:dyDescent="0.25">
      <c r="A6840" t="str">
        <f>"20190303154944722"</f>
        <v>20190303154944722</v>
      </c>
      <c r="B6840" t="str">
        <f>"1551599384717897"</f>
        <v>1551599384717897</v>
      </c>
      <c r="C6840" t="s">
        <v>40</v>
      </c>
      <c r="D6840">
        <v>5.2637749999999999</v>
      </c>
      <c r="E6840">
        <v>0.51046029999999998</v>
      </c>
      <c r="F6840" t="s">
        <v>43</v>
      </c>
      <c r="G6840">
        <v>-312.57769999999999</v>
      </c>
      <c r="H6840">
        <v>-0.05</v>
      </c>
      <c r="I6840">
        <v>11.96434</v>
      </c>
      <c r="J6840">
        <v>-329.82690000000002</v>
      </c>
      <c r="K6840">
        <v>1.1214440000000001</v>
      </c>
      <c r="L6840">
        <v>17.621829999999999</v>
      </c>
      <c r="M6840">
        <v>0.9998804</v>
      </c>
      <c r="N6840">
        <v>-1.4433730000000001E-2</v>
      </c>
      <c r="O6840">
        <v>5.5886919999999897E-3</v>
      </c>
      <c r="P6840">
        <v>0.95313890000000001</v>
      </c>
      <c r="Q6840">
        <v>-0.11265600000000001</v>
      </c>
      <c r="R6840">
        <v>-0.28077619999999998</v>
      </c>
      <c r="S6840">
        <v>2.8510740000000001</v>
      </c>
      <c r="T6840">
        <v>-0.19234989999999999</v>
      </c>
      <c r="U6840">
        <v>-0.92877200000000004</v>
      </c>
      <c r="V6840">
        <v>0.28622399999999998</v>
      </c>
      <c r="W6840">
        <v>-9.8547940000000001E-2</v>
      </c>
      <c r="X6840">
        <v>0.95308139999999997</v>
      </c>
      <c r="Y6840">
        <v>0.31424760000000002</v>
      </c>
      <c r="Z6840">
        <v>-1.293911E-2</v>
      </c>
      <c r="AA6840">
        <v>0.94925289999999996</v>
      </c>
      <c r="AB6840">
        <v>21</v>
      </c>
      <c r="AC6840">
        <v>17.249199999999998</v>
      </c>
      <c r="AD6840">
        <v>-1.1714439999999999</v>
      </c>
      <c r="AE6840">
        <v>-5.6574899999999904</v>
      </c>
      <c r="AF6840">
        <v>5.72995142430893</v>
      </c>
      <c r="AG6840">
        <v>-1.1714439999999999</v>
      </c>
      <c r="AH6840">
        <v>17.145910212483098</v>
      </c>
      <c r="AI6840">
        <v>93.707547249846499</v>
      </c>
      <c r="AJ6840">
        <v>71.521008658448906</v>
      </c>
      <c r="AK6840">
        <v>18.115928388702802</v>
      </c>
      <c r="AL6840">
        <v>95.655560454329802</v>
      </c>
      <c r="AM6840">
        <v>73.284234574148698</v>
      </c>
      <c r="AN6840">
        <v>1.0000000148401</v>
      </c>
    </row>
    <row r="6841" spans="1:40" x14ac:dyDescent="0.25">
      <c r="A6841" t="str">
        <f>"20190303154944734"</f>
        <v>20190303154944734</v>
      </c>
      <c r="B6841" t="str">
        <f>"1551599384727658"</f>
        <v>1551599384727658</v>
      </c>
      <c r="C6841" t="s">
        <v>40</v>
      </c>
      <c r="D6841">
        <v>5.2431650000000003</v>
      </c>
      <c r="E6841">
        <v>0.51058199999999998</v>
      </c>
      <c r="F6841" t="s">
        <v>43</v>
      </c>
      <c r="G6841">
        <v>-312.80489999999998</v>
      </c>
      <c r="H6841">
        <v>-0.05</v>
      </c>
      <c r="I6841">
        <v>12.078609999999999</v>
      </c>
      <c r="J6841">
        <v>-329.71280000000002</v>
      </c>
      <c r="K6841">
        <v>1.1214309999999901</v>
      </c>
      <c r="L6841">
        <v>17.62302</v>
      </c>
      <c r="M6841">
        <v>0.99987740000000003</v>
      </c>
      <c r="N6841">
        <v>-1.443098E-2</v>
      </c>
      <c r="O6841">
        <v>6.0715400000000003E-3</v>
      </c>
      <c r="P6841">
        <v>0.9530826</v>
      </c>
      <c r="Q6841">
        <v>-0.113583</v>
      </c>
      <c r="R6841">
        <v>-0.28059329999999999</v>
      </c>
      <c r="S6841">
        <v>2.8508300000000002</v>
      </c>
      <c r="T6841">
        <v>-0.1961929</v>
      </c>
      <c r="U6841">
        <v>-0.92837519999999996</v>
      </c>
      <c r="V6841">
        <v>0.28650059999999999</v>
      </c>
      <c r="W6841">
        <v>-9.9482600000000004E-2</v>
      </c>
      <c r="X6841">
        <v>0.9529012</v>
      </c>
      <c r="Y6841">
        <v>0.3145792</v>
      </c>
      <c r="Z6841">
        <v>-1.319212E-2</v>
      </c>
      <c r="AA6841">
        <v>0.94913950000000002</v>
      </c>
      <c r="AB6841">
        <v>21</v>
      </c>
      <c r="AC6841">
        <v>16.907900000000001</v>
      </c>
      <c r="AD6841">
        <v>-1.1714310000000001</v>
      </c>
      <c r="AE6841">
        <v>-5.5444099999999903</v>
      </c>
      <c r="AF6841">
        <v>5.6226065592841703</v>
      </c>
      <c r="AG6841">
        <v>-1.1714310000000001</v>
      </c>
      <c r="AH6841">
        <v>16.8011040947701</v>
      </c>
      <c r="AI6841">
        <v>93.7828434627543</v>
      </c>
      <c r="AJ6841">
        <v>71.496823477996998</v>
      </c>
      <c r="AK6841">
        <v>17.755648507209401</v>
      </c>
      <c r="AL6841">
        <v>95.709376848179502</v>
      </c>
      <c r="AM6841">
        <v>73.265996137877195</v>
      </c>
      <c r="AN6841">
        <v>1.0000000392322701</v>
      </c>
    </row>
    <row r="6842" spans="1:40" x14ac:dyDescent="0.25">
      <c r="A6842" t="str">
        <f>"20190303154944746"</f>
        <v>20190303154944746</v>
      </c>
      <c r="B6842" t="str">
        <f>"1551599384737419"</f>
        <v>1551599384737419</v>
      </c>
      <c r="C6842" t="s">
        <v>40</v>
      </c>
      <c r="D6842">
        <v>5.2420419999999996</v>
      </c>
      <c r="E6842">
        <v>0.51069869999999995</v>
      </c>
      <c r="F6842" t="s">
        <v>43</v>
      </c>
      <c r="G6842">
        <v>-313.0136</v>
      </c>
      <c r="H6842">
        <v>-0.05</v>
      </c>
      <c r="I6842">
        <v>12.18207</v>
      </c>
      <c r="J6842">
        <v>-329.60750000000002</v>
      </c>
      <c r="K6842">
        <v>1.121424</v>
      </c>
      <c r="L6842">
        <v>17.62415</v>
      </c>
      <c r="M6842">
        <v>0.99987470000000001</v>
      </c>
      <c r="N6842">
        <v>-1.4428430000000001E-2</v>
      </c>
      <c r="O6842">
        <v>6.5161129999999996E-3</v>
      </c>
      <c r="P6842">
        <v>0.95315760000000005</v>
      </c>
      <c r="Q6842">
        <v>-0.11382399999999999</v>
      </c>
      <c r="R6842">
        <v>-0.28024090000000001</v>
      </c>
      <c r="S6842">
        <v>2.8504640000000001</v>
      </c>
      <c r="T6842">
        <v>-0.1999573</v>
      </c>
      <c r="U6842">
        <v>-0.9287415</v>
      </c>
      <c r="V6842">
        <v>0.28657059999999901</v>
      </c>
      <c r="W6842">
        <v>-9.9729689999999996E-2</v>
      </c>
      <c r="X6842">
        <v>0.95285430000000004</v>
      </c>
      <c r="Y6842">
        <v>0.3151157</v>
      </c>
      <c r="Z6842">
        <v>-1.3449040000000001E-2</v>
      </c>
      <c r="AA6842">
        <v>0.94895799999999997</v>
      </c>
      <c r="AB6842">
        <v>21</v>
      </c>
      <c r="AC6842">
        <v>16.593900000000001</v>
      </c>
      <c r="AD6842">
        <v>-1.171424</v>
      </c>
      <c r="AE6842">
        <v>-5.4420799999999998</v>
      </c>
      <c r="AF6842">
        <v>5.5252425059349202</v>
      </c>
      <c r="AG6842">
        <v>-1.171424</v>
      </c>
      <c r="AH6842">
        <v>16.4839131116956</v>
      </c>
      <c r="AI6842">
        <v>93.8547773037658</v>
      </c>
      <c r="AJ6842">
        <v>71.469364347759793</v>
      </c>
      <c r="AK6842">
        <v>17.4246931224368</v>
      </c>
      <c r="AL6842">
        <v>95.7236049377358</v>
      </c>
      <c r="AM6842">
        <v>73.261358444125307</v>
      </c>
      <c r="AN6842">
        <v>1.0000000184401701</v>
      </c>
    </row>
    <row r="6843" spans="1:40" x14ac:dyDescent="0.25">
      <c r="A6843" t="str">
        <f>"20190303154944755"</f>
        <v>20190303154944755</v>
      </c>
      <c r="B6843" t="str">
        <f>"1551599384747178"</f>
        <v>1551599384747178</v>
      </c>
      <c r="C6843" t="s">
        <v>40</v>
      </c>
      <c r="D6843">
        <v>5.2707829999999998</v>
      </c>
      <c r="E6843">
        <v>0.51084609999999997</v>
      </c>
      <c r="F6843" t="s">
        <v>43</v>
      </c>
      <c r="G6843">
        <v>-313.02280000000002</v>
      </c>
      <c r="H6843">
        <v>-0.05</v>
      </c>
      <c r="I6843">
        <v>12.22142</v>
      </c>
      <c r="J6843">
        <v>-329.50709999999998</v>
      </c>
      <c r="K6843">
        <v>1.121418</v>
      </c>
      <c r="L6843">
        <v>17.62527</v>
      </c>
      <c r="M6843">
        <v>0.99987190000000004</v>
      </c>
      <c r="N6843">
        <v>-1.442597E-2</v>
      </c>
      <c r="O6843">
        <v>6.9391000000000001E-3</v>
      </c>
      <c r="P6843">
        <v>0.95323199999999997</v>
      </c>
      <c r="Q6843">
        <v>-0.1141366</v>
      </c>
      <c r="R6843">
        <v>-0.27985949999999998</v>
      </c>
      <c r="S6843">
        <v>2.850403</v>
      </c>
      <c r="T6843">
        <v>-0.20133129999999999</v>
      </c>
      <c r="U6843">
        <v>-0.92855829999999995</v>
      </c>
      <c r="V6843">
        <v>0.286591599999999</v>
      </c>
      <c r="W6843">
        <v>-0.1000489</v>
      </c>
      <c r="X6843">
        <v>0.95281450000000001</v>
      </c>
      <c r="Y6843">
        <v>0.3154554</v>
      </c>
      <c r="Z6843">
        <v>-1.3563209999999999E-2</v>
      </c>
      <c r="AA6843">
        <v>0.94884349999999995</v>
      </c>
      <c r="AB6843">
        <v>21</v>
      </c>
      <c r="AC6843">
        <v>16.484299999999902</v>
      </c>
      <c r="AD6843">
        <v>-1.1714180000000001</v>
      </c>
      <c r="AE6843">
        <v>-5.4038500000000003</v>
      </c>
      <c r="AF6843">
        <v>5.4930702649746799</v>
      </c>
      <c r="AG6843">
        <v>-1.1714180000000001</v>
      </c>
      <c r="AH6843">
        <v>16.3717481684156</v>
      </c>
      <c r="AI6843">
        <v>93.880700188026793</v>
      </c>
      <c r="AJ6843">
        <v>71.452300087206694</v>
      </c>
      <c r="AK6843">
        <v>17.3083846489697</v>
      </c>
      <c r="AL6843">
        <v>95.741986365511593</v>
      </c>
      <c r="AM6843">
        <v>73.259540330499902</v>
      </c>
      <c r="AN6843">
        <v>0.99999999949600904</v>
      </c>
    </row>
    <row r="6844" spans="1:40" x14ac:dyDescent="0.25">
      <c r="A6844" t="str">
        <f>"20190303154944767"</f>
        <v>20190303154944767</v>
      </c>
      <c r="B6844" t="str">
        <f>"1551599384757913"</f>
        <v>1551599384757913</v>
      </c>
      <c r="C6844" t="s">
        <v>40</v>
      </c>
      <c r="D6844">
        <v>5.2024839999999903</v>
      </c>
      <c r="E6844">
        <v>0.51085309999999995</v>
      </c>
      <c r="F6844" t="s">
        <v>43</v>
      </c>
      <c r="G6844">
        <v>-313.03800000000001</v>
      </c>
      <c r="H6844">
        <v>-0.05</v>
      </c>
      <c r="I6844">
        <v>12.26041</v>
      </c>
      <c r="J6844">
        <v>-329.4049</v>
      </c>
      <c r="K6844">
        <v>1.1214150000000001</v>
      </c>
      <c r="L6844">
        <v>17.626460000000002</v>
      </c>
      <c r="M6844">
        <v>0.99986889999999995</v>
      </c>
      <c r="N6844">
        <v>-1.4423450000000001E-2</v>
      </c>
      <c r="O6844">
        <v>7.3673840000000003E-3</v>
      </c>
      <c r="P6844">
        <v>0.95333979999999996</v>
      </c>
      <c r="Q6844">
        <v>-0.1140708</v>
      </c>
      <c r="R6844">
        <v>-0.27951999999999999</v>
      </c>
      <c r="S6844">
        <v>2.850311</v>
      </c>
      <c r="T6844">
        <v>-0.2027378</v>
      </c>
      <c r="U6844">
        <v>-0.92849729999999997</v>
      </c>
      <c r="V6844">
        <v>0.28665889999999999</v>
      </c>
      <c r="W6844">
        <v>-9.9989410000000001E-2</v>
      </c>
      <c r="X6844">
        <v>0.95280050000000005</v>
      </c>
      <c r="Y6844">
        <v>0.31583939999999999</v>
      </c>
      <c r="Z6844">
        <v>-1.368198E-2</v>
      </c>
      <c r="AA6844">
        <v>0.94871399999999995</v>
      </c>
      <c r="AB6844">
        <v>21</v>
      </c>
      <c r="AC6844">
        <v>16.366899999999902</v>
      </c>
      <c r="AD6844">
        <v>-1.1714149999999901</v>
      </c>
      <c r="AE6844">
        <v>-5.3660500000000004</v>
      </c>
      <c r="AF6844">
        <v>5.4612377738431297</v>
      </c>
      <c r="AG6844">
        <v>-1.1714149999999901</v>
      </c>
      <c r="AH6844">
        <v>16.251747237777899</v>
      </c>
      <c r="AI6844">
        <v>93.908646321236105</v>
      </c>
      <c r="AJ6844">
        <v>71.425590172285098</v>
      </c>
      <c r="AK6844">
        <v>17.184778712724199</v>
      </c>
      <c r="AL6844">
        <v>95.738560658929899</v>
      </c>
      <c r="AM6844">
        <v>73.255596936199694</v>
      </c>
      <c r="AN6844">
        <v>0.99999999993080402</v>
      </c>
    </row>
    <row r="6845" spans="1:40" x14ac:dyDescent="0.25">
      <c r="A6845" t="str">
        <f>"20190303154944779"</f>
        <v>20190303154944779</v>
      </c>
      <c r="B6845" t="str">
        <f>"1551599384767674"</f>
        <v>1551599384767674</v>
      </c>
      <c r="C6845" t="s">
        <v>40</v>
      </c>
      <c r="D6845">
        <v>5.2386140000000001</v>
      </c>
      <c r="E6845">
        <v>0.51100570000000001</v>
      </c>
      <c r="F6845" t="s">
        <v>43</v>
      </c>
      <c r="G6845">
        <v>-313.08690000000001</v>
      </c>
      <c r="H6845">
        <v>-0.05</v>
      </c>
      <c r="I6845">
        <v>12.317310000000001</v>
      </c>
      <c r="J6845">
        <v>-329.2978</v>
      </c>
      <c r="K6845">
        <v>1.1214120000000001</v>
      </c>
      <c r="L6845">
        <v>17.627779999999898</v>
      </c>
      <c r="M6845">
        <v>0.99986549999999996</v>
      </c>
      <c r="N6845">
        <v>-1.4420779999999999E-2</v>
      </c>
      <c r="O6845">
        <v>7.8148530000000001E-3</v>
      </c>
      <c r="P6845">
        <v>0.95360029999999996</v>
      </c>
      <c r="Q6845">
        <v>-0.11381810000000001</v>
      </c>
      <c r="R6845">
        <v>-0.27873290000000001</v>
      </c>
      <c r="S6845">
        <v>2.8504330000000002</v>
      </c>
      <c r="T6845">
        <v>-0.2046221</v>
      </c>
      <c r="U6845">
        <v>-0.92739870000000002</v>
      </c>
      <c r="V6845">
        <v>0.28629779999999999</v>
      </c>
      <c r="W6845">
        <v>-9.9741850000000007E-2</v>
      </c>
      <c r="X6845">
        <v>0.95293499999999998</v>
      </c>
      <c r="Y6845">
        <v>0.3159052</v>
      </c>
      <c r="Z6845">
        <v>-1.3815620000000001E-2</v>
      </c>
      <c r="AA6845">
        <v>0.94869020000000004</v>
      </c>
      <c r="AB6845">
        <v>21</v>
      </c>
      <c r="AC6845">
        <v>16.210899999999899</v>
      </c>
      <c r="AD6845">
        <v>-1.1714119999999999</v>
      </c>
      <c r="AE6845">
        <v>-5.3104699999999898</v>
      </c>
      <c r="AF6845">
        <v>5.4114884903238201</v>
      </c>
      <c r="AG6845">
        <v>-1.1714119999999999</v>
      </c>
      <c r="AH6845">
        <v>16.093012194456801</v>
      </c>
      <c r="AI6845">
        <v>93.946803066794203</v>
      </c>
      <c r="AJ6845">
        <v>71.414099831758705</v>
      </c>
      <c r="AK6845">
        <v>17.018855873576999</v>
      </c>
      <c r="AL6845">
        <v>95.724305305705997</v>
      </c>
      <c r="AM6845">
        <v>73.277739817511403</v>
      </c>
      <c r="AN6845">
        <v>0.99999999057563105</v>
      </c>
    </row>
    <row r="6846" spans="1:40" x14ac:dyDescent="0.25">
      <c r="A6846" t="str">
        <f>"20190303154944796"</f>
        <v>20190303154944796</v>
      </c>
      <c r="B6846" t="str">
        <f>"1551599384787699"</f>
        <v>1551599384787699</v>
      </c>
      <c r="C6846" t="s">
        <v>40</v>
      </c>
      <c r="D6846">
        <v>5.2389029999999996</v>
      </c>
      <c r="E6846">
        <v>0.511409</v>
      </c>
      <c r="F6846" t="s">
        <v>43</v>
      </c>
      <c r="G6846">
        <v>-312.93060000000003</v>
      </c>
      <c r="H6846">
        <v>-0.05</v>
      </c>
      <c r="I6846">
        <v>12.31076</v>
      </c>
      <c r="J6846">
        <v>-329.13670000000002</v>
      </c>
      <c r="K6846">
        <v>1.121405</v>
      </c>
      <c r="L6846">
        <v>17.629819999999999</v>
      </c>
      <c r="M6846">
        <v>0.99986019999999998</v>
      </c>
      <c r="N6846">
        <v>-1.4416780000000001E-2</v>
      </c>
      <c r="O6846">
        <v>8.4792280000000001E-3</v>
      </c>
      <c r="P6846">
        <v>0.9542062</v>
      </c>
      <c r="Q6846">
        <v>-0.1126574</v>
      </c>
      <c r="R6846">
        <v>-0.27712690000000001</v>
      </c>
      <c r="S6846">
        <v>2.8509220000000002</v>
      </c>
      <c r="T6846">
        <v>-0.20404310000000001</v>
      </c>
      <c r="U6846">
        <v>-0.92614750000000001</v>
      </c>
      <c r="V6846">
        <v>0.2853252</v>
      </c>
      <c r="W6846">
        <v>-9.8586519999999997E-2</v>
      </c>
      <c r="X6846">
        <v>0.95334680000000005</v>
      </c>
      <c r="Y6846">
        <v>0.31611430000000001</v>
      </c>
      <c r="Z6846">
        <v>-1.382683E-2</v>
      </c>
      <c r="AA6846">
        <v>0.94862029999999997</v>
      </c>
      <c r="AB6846">
        <v>21</v>
      </c>
      <c r="AC6846">
        <v>16.2060999999999</v>
      </c>
      <c r="AD6846">
        <v>-1.171405</v>
      </c>
      <c r="AE6846">
        <v>-5.3190600000000003</v>
      </c>
      <c r="AF6846">
        <v>5.4306840754731498</v>
      </c>
      <c r="AG6846">
        <v>-1.171405</v>
      </c>
      <c r="AH6846">
        <v>16.084547313590701</v>
      </c>
      <c r="AI6846">
        <v>93.947218122609797</v>
      </c>
      <c r="AJ6846">
        <v>71.343588090799699</v>
      </c>
      <c r="AK6846">
        <v>17.016967458532701</v>
      </c>
      <c r="AL6846">
        <v>95.657782130889203</v>
      </c>
      <c r="AM6846">
        <v>73.338192478622602</v>
      </c>
      <c r="AN6846">
        <v>0.99999994637549305</v>
      </c>
    </row>
    <row r="6847" spans="1:40" x14ac:dyDescent="0.25">
      <c r="A6847" t="str">
        <f>"20190303154944809"</f>
        <v>20190303154944809</v>
      </c>
      <c r="B6847" t="str">
        <f>"1551599384797460"</f>
        <v>1551599384797460</v>
      </c>
      <c r="C6847" t="s">
        <v>40</v>
      </c>
      <c r="D6847">
        <v>5.275855</v>
      </c>
      <c r="E6847">
        <v>0.51162580000000002</v>
      </c>
      <c r="F6847" t="s">
        <v>43</v>
      </c>
      <c r="G6847">
        <v>-312.54680000000002</v>
      </c>
      <c r="H6847">
        <v>-0.05</v>
      </c>
      <c r="I6847">
        <v>12.25212</v>
      </c>
      <c r="J6847">
        <v>-329.0231</v>
      </c>
      <c r="K6847">
        <v>1.1214010000000001</v>
      </c>
      <c r="L6847">
        <v>17.631350000000001</v>
      </c>
      <c r="M6847">
        <v>0.99985619999999997</v>
      </c>
      <c r="N6847">
        <v>-1.441393E-2</v>
      </c>
      <c r="O6847">
        <v>8.9421799999999992E-3</v>
      </c>
      <c r="P6847">
        <v>0.95455869999999998</v>
      </c>
      <c r="Q6847">
        <v>-0.1123706</v>
      </c>
      <c r="R6847">
        <v>-0.27602739999999998</v>
      </c>
      <c r="S6847">
        <v>2.8517459999999999</v>
      </c>
      <c r="T6847">
        <v>-0.20136009999999999</v>
      </c>
      <c r="U6847">
        <v>-0.92440800000000001</v>
      </c>
      <c r="V6847">
        <v>0.28466760000000002</v>
      </c>
      <c r="W6847">
        <v>-9.8304699999999995E-2</v>
      </c>
      <c r="X6847">
        <v>0.95357250000000005</v>
      </c>
      <c r="Y6847">
        <v>0.3159711</v>
      </c>
      <c r="Z6847">
        <v>-1.369108E-2</v>
      </c>
      <c r="AA6847">
        <v>0.94867000000000001</v>
      </c>
      <c r="AB6847">
        <v>21</v>
      </c>
      <c r="AC6847">
        <v>16.476299999999899</v>
      </c>
      <c r="AD6847">
        <v>-1.1714009999999999</v>
      </c>
      <c r="AE6847">
        <v>-5.3792299999999997</v>
      </c>
      <c r="AF6847">
        <v>5.5012358161907304</v>
      </c>
      <c r="AG6847">
        <v>-1.1714009999999999</v>
      </c>
      <c r="AH6847">
        <v>16.352837996268899</v>
      </c>
      <c r="AI6847">
        <v>93.884080423300702</v>
      </c>
      <c r="AJ6847">
        <v>71.406616417514599</v>
      </c>
      <c r="AK6847">
        <v>17.2930936023707</v>
      </c>
      <c r="AL6847">
        <v>95.641555998307595</v>
      </c>
      <c r="AM6847">
        <v>73.3781897675224</v>
      </c>
      <c r="AN6847">
        <v>0.99999998464405004</v>
      </c>
    </row>
    <row r="6848" spans="1:40" x14ac:dyDescent="0.25">
      <c r="A6848" t="str">
        <f>"20190303154944821"</f>
        <v>20190303154944821</v>
      </c>
      <c r="B6848" t="str">
        <f>"1551599384817956"</f>
        <v>1551599384817956</v>
      </c>
      <c r="C6848" t="s">
        <v>40</v>
      </c>
      <c r="D6848">
        <v>5.3608079999999996</v>
      </c>
      <c r="E6848">
        <v>0.5119956</v>
      </c>
      <c r="F6848" t="s">
        <v>43</v>
      </c>
      <c r="G6848">
        <v>-312.37130000000002</v>
      </c>
      <c r="H6848">
        <v>-0.05</v>
      </c>
      <c r="I6848">
        <v>12.24413</v>
      </c>
      <c r="J6848">
        <v>-328.9076</v>
      </c>
      <c r="K6848">
        <v>1.121397</v>
      </c>
      <c r="L6848">
        <v>17.63287</v>
      </c>
      <c r="M6848">
        <v>0.99985179999999996</v>
      </c>
      <c r="N6848">
        <v>-1.441105E-2</v>
      </c>
      <c r="O6848">
        <v>9.4097160000000003E-3</v>
      </c>
      <c r="P6848">
        <v>0.95497050000000006</v>
      </c>
      <c r="Q6848">
        <v>-0.11209810000000001</v>
      </c>
      <c r="R6848">
        <v>-0.27470929999999999</v>
      </c>
      <c r="S6848">
        <v>2.852325</v>
      </c>
      <c r="T6848">
        <v>-0.200652</v>
      </c>
      <c r="U6848">
        <v>-0.92279049999999996</v>
      </c>
      <c r="V6848">
        <v>0.28379680000000002</v>
      </c>
      <c r="W6848">
        <v>-9.8036910000000005E-2</v>
      </c>
      <c r="X6848">
        <v>0.95385960000000003</v>
      </c>
      <c r="Y6848">
        <v>0.3158765</v>
      </c>
      <c r="Z6848">
        <v>-1.3670440000000001E-2</v>
      </c>
      <c r="AA6848">
        <v>0.94870180000000004</v>
      </c>
      <c r="AB6848">
        <v>21</v>
      </c>
      <c r="AC6848">
        <v>16.536299999999901</v>
      </c>
      <c r="AD6848">
        <v>-1.171397</v>
      </c>
      <c r="AE6848">
        <v>-5.3887400000000003</v>
      </c>
      <c r="AF6848">
        <v>5.5190832960187599</v>
      </c>
      <c r="AG6848">
        <v>-1.171397</v>
      </c>
      <c r="AH6848">
        <v>16.410413631515301</v>
      </c>
      <c r="AI6848">
        <v>93.870589619737402</v>
      </c>
      <c r="AJ6848">
        <v>71.411388568997793</v>
      </c>
      <c r="AK6848">
        <v>17.3532166158735</v>
      </c>
      <c r="AL6848">
        <v>95.626138212034306</v>
      </c>
      <c r="AM6848">
        <v>73.430957751861499</v>
      </c>
      <c r="AN6848">
        <v>0.99999999796237404</v>
      </c>
    </row>
    <row r="6849" spans="1:40" x14ac:dyDescent="0.25">
      <c r="A6849" t="str">
        <f>"20190303154944832"</f>
        <v>20190303154944832</v>
      </c>
      <c r="B6849" t="str">
        <f>"1551599384827716"</f>
        <v>1551599384827716</v>
      </c>
      <c r="C6849" t="s">
        <v>40</v>
      </c>
      <c r="D6849">
        <v>5.3633930000000003</v>
      </c>
      <c r="E6849">
        <v>0.51213399999999998</v>
      </c>
      <c r="F6849" t="s">
        <v>43</v>
      </c>
      <c r="G6849">
        <v>-317.80930000000001</v>
      </c>
      <c r="H6849">
        <v>-0.05</v>
      </c>
      <c r="I6849">
        <v>14.049989999999999</v>
      </c>
      <c r="J6849">
        <v>-328.79910000000001</v>
      </c>
      <c r="K6849">
        <v>1.121397</v>
      </c>
      <c r="L6849">
        <v>17.634399999999999</v>
      </c>
      <c r="M6849">
        <v>0.99984779999999995</v>
      </c>
      <c r="N6849">
        <v>-1.440838E-2</v>
      </c>
      <c r="O6849">
        <v>9.8397550000000004E-3</v>
      </c>
      <c r="P6849">
        <v>0.9552503</v>
      </c>
      <c r="Q6849">
        <v>-0.1121217</v>
      </c>
      <c r="R6849">
        <v>-0.27372560000000001</v>
      </c>
      <c r="S6849">
        <v>2.8422550000000002</v>
      </c>
      <c r="T6849">
        <v>-0.29999239999999999</v>
      </c>
      <c r="U6849">
        <v>-0.91757200000000005</v>
      </c>
      <c r="V6849">
        <v>0.28322350000000002</v>
      </c>
      <c r="W6849">
        <v>-9.8066490000000006E-2</v>
      </c>
      <c r="X6849">
        <v>0.95402690000000001</v>
      </c>
      <c r="Y6849">
        <v>0.31471329999999997</v>
      </c>
      <c r="Z6849">
        <v>-1.9358159999999999E-2</v>
      </c>
      <c r="AA6849">
        <v>0.94898939999999998</v>
      </c>
      <c r="AB6849">
        <v>21</v>
      </c>
      <c r="AC6849">
        <v>10.989800000000001</v>
      </c>
      <c r="AD6849">
        <v>-1.171397</v>
      </c>
      <c r="AE6849">
        <v>-3.5844099999999899</v>
      </c>
      <c r="AF6849">
        <v>3.6548532093084001</v>
      </c>
      <c r="AG6849">
        <v>-1.171397</v>
      </c>
      <c r="AH6849">
        <v>10.8426521632303</v>
      </c>
      <c r="AI6849">
        <v>95.845364097502298</v>
      </c>
      <c r="AJ6849">
        <v>71.372010425212096</v>
      </c>
      <c r="AK6849">
        <v>11.5018793614784</v>
      </c>
      <c r="AL6849">
        <v>95.627841460624794</v>
      </c>
      <c r="AM6849">
        <v>73.465340741996101</v>
      </c>
      <c r="AN6849">
        <v>0.99999995666838903</v>
      </c>
    </row>
    <row r="6850" spans="1:40" x14ac:dyDescent="0.25">
      <c r="A6850" t="str">
        <f>"20190303154944843"</f>
        <v>20190303154944843</v>
      </c>
      <c r="B6850" t="str">
        <f>"1551599384837478"</f>
        <v>1551599384837478</v>
      </c>
      <c r="C6850" t="s">
        <v>40</v>
      </c>
      <c r="D6850">
        <v>5.359273</v>
      </c>
      <c r="E6850">
        <v>0.5125151</v>
      </c>
      <c r="F6850" t="s">
        <v>43</v>
      </c>
      <c r="G6850">
        <v>-317.78989999999999</v>
      </c>
      <c r="H6850">
        <v>-0.05</v>
      </c>
      <c r="I6850">
        <v>14.088620000000001</v>
      </c>
      <c r="J6850">
        <v>-328.70389999999998</v>
      </c>
      <c r="K6850">
        <v>1.121391</v>
      </c>
      <c r="L6850">
        <v>17.635770000000001</v>
      </c>
      <c r="M6850">
        <v>0.99984410000000001</v>
      </c>
      <c r="N6850">
        <v>-1.440604E-2</v>
      </c>
      <c r="O6850">
        <v>1.0215210000000001E-2</v>
      </c>
      <c r="P6850">
        <v>0.95549059999999997</v>
      </c>
      <c r="Q6850">
        <v>-0.1125317</v>
      </c>
      <c r="R6850">
        <v>-0.2727173</v>
      </c>
      <c r="S6850">
        <v>2.8426819999999999</v>
      </c>
      <c r="T6850">
        <v>-0.30246620000000002</v>
      </c>
      <c r="U6850">
        <v>-0.91555790000000004</v>
      </c>
      <c r="V6850">
        <v>0.2825742</v>
      </c>
      <c r="W6850">
        <v>-9.8482020000000003E-2</v>
      </c>
      <c r="X6850">
        <v>0.95417669999999999</v>
      </c>
      <c r="Y6850">
        <v>0.31439030000000001</v>
      </c>
      <c r="Z6850">
        <v>-1.951234E-2</v>
      </c>
      <c r="AA6850">
        <v>0.94909319999999997</v>
      </c>
      <c r="AB6850">
        <v>21</v>
      </c>
      <c r="AC6850">
        <v>10.9139999999999</v>
      </c>
      <c r="AD6850">
        <v>-1.1713910000000001</v>
      </c>
      <c r="AE6850">
        <v>-3.5471499999999998</v>
      </c>
      <c r="AF6850">
        <v>3.6207407829551501</v>
      </c>
      <c r="AG6850">
        <v>-1.1713910000000001</v>
      </c>
      <c r="AH6850">
        <v>10.765031020443001</v>
      </c>
      <c r="AI6850">
        <v>95.888492502527598</v>
      </c>
      <c r="AJ6850">
        <v>71.410004259465495</v>
      </c>
      <c r="AK6850">
        <v>11.417872549793801</v>
      </c>
      <c r="AL6850">
        <v>95.651764963662004</v>
      </c>
      <c r="AM6850">
        <v>73.503633302666202</v>
      </c>
      <c r="AN6850">
        <v>1.0000000307959001</v>
      </c>
    </row>
    <row r="6851" spans="1:40" x14ac:dyDescent="0.25">
      <c r="A6851" t="str">
        <f>"20190303154944853"</f>
        <v>20190303154944853</v>
      </c>
      <c r="B6851" t="str">
        <f>"1551599384847236"</f>
        <v>1551599384847236</v>
      </c>
      <c r="C6851" t="s">
        <v>40</v>
      </c>
      <c r="D6851">
        <v>5.3597140000000003</v>
      </c>
      <c r="E6851">
        <v>0.5128992</v>
      </c>
      <c r="F6851" t="s">
        <v>43</v>
      </c>
      <c r="G6851">
        <v>-317.93549999999999</v>
      </c>
      <c r="H6851">
        <v>-0.05</v>
      </c>
      <c r="I6851">
        <v>14.167999999999999</v>
      </c>
      <c r="J6851">
        <v>-328.60289999999998</v>
      </c>
      <c r="K6851">
        <v>1.1213820000000001</v>
      </c>
      <c r="L6851">
        <v>17.637270000000001</v>
      </c>
      <c r="M6851">
        <v>0.99983999999999995</v>
      </c>
      <c r="N6851">
        <v>-1.44035E-2</v>
      </c>
      <c r="O6851">
        <v>1.060787E-2</v>
      </c>
      <c r="P6851">
        <v>0.95561609999999997</v>
      </c>
      <c r="Q6851">
        <v>-0.1130675</v>
      </c>
      <c r="R6851">
        <v>-0.27205449999999998</v>
      </c>
      <c r="S6851">
        <v>2.8421020000000001</v>
      </c>
      <c r="T6851">
        <v>-0.30916640000000001</v>
      </c>
      <c r="U6851">
        <v>-0.91525270000000003</v>
      </c>
      <c r="V6851">
        <v>0.28228569999999997</v>
      </c>
      <c r="W6851">
        <v>-9.9025639999999998E-2</v>
      </c>
      <c r="X6851">
        <v>0.95420579999999999</v>
      </c>
      <c r="Y6851">
        <v>0.31464389999999998</v>
      </c>
      <c r="Z6851">
        <v>-1.9949109999999999E-2</v>
      </c>
      <c r="AA6851">
        <v>0.94900010000000001</v>
      </c>
      <c r="AB6851">
        <v>21</v>
      </c>
      <c r="AC6851">
        <v>10.667399999999899</v>
      </c>
      <c r="AD6851">
        <v>-1.1713819999999999</v>
      </c>
      <c r="AE6851">
        <v>-3.4692699999999999</v>
      </c>
      <c r="AF6851">
        <v>3.5436028121748402</v>
      </c>
      <c r="AG6851">
        <v>-1.1713819999999999</v>
      </c>
      <c r="AH6851">
        <v>10.5153273420072</v>
      </c>
      <c r="AI6851">
        <v>96.026082794882299</v>
      </c>
      <c r="AJ6851">
        <v>71.376489372423407</v>
      </c>
      <c r="AK6851">
        <v>11.1580180045536</v>
      </c>
      <c r="AL6851">
        <v>95.683065261415507</v>
      </c>
      <c r="AM6851">
        <v>73.520036794597402</v>
      </c>
      <c r="AN6851">
        <v>1.0000000012777599</v>
      </c>
    </row>
    <row r="6852" spans="1:40" x14ac:dyDescent="0.25">
      <c r="A6852" t="str">
        <f>"20190303154944862"</f>
        <v>20190303154944862</v>
      </c>
      <c r="B6852" t="str">
        <f>"1551599384857972"</f>
        <v>1551599384857972</v>
      </c>
      <c r="C6852" t="s">
        <v>40</v>
      </c>
      <c r="D6852">
        <v>5.4026500000000004</v>
      </c>
      <c r="E6852">
        <v>0.51329950000000002</v>
      </c>
      <c r="F6852" t="s">
        <v>43</v>
      </c>
      <c r="G6852">
        <v>-317.86009999999999</v>
      </c>
      <c r="H6852">
        <v>-0.05</v>
      </c>
      <c r="I6852">
        <v>14.17348</v>
      </c>
      <c r="J6852">
        <v>-328.51929999999999</v>
      </c>
      <c r="K6852">
        <v>1.1213740000000001</v>
      </c>
      <c r="L6852">
        <v>17.63852</v>
      </c>
      <c r="M6852">
        <v>0.99983670000000002</v>
      </c>
      <c r="N6852">
        <v>-1.440141E-2</v>
      </c>
      <c r="O6852">
        <v>1.093088E-2</v>
      </c>
      <c r="P6852">
        <v>0.95571459999999997</v>
      </c>
      <c r="Q6852">
        <v>-0.1138791</v>
      </c>
      <c r="R6852">
        <v>-0.27136949999999999</v>
      </c>
      <c r="S6852">
        <v>2.8418580000000002</v>
      </c>
      <c r="T6852">
        <v>-0.30987199999999998</v>
      </c>
      <c r="U6852">
        <v>-0.9162903</v>
      </c>
      <c r="V6852">
        <v>0.28190880000000001</v>
      </c>
      <c r="W6852">
        <v>-9.9843940000000006E-2</v>
      </c>
      <c r="X6852">
        <v>0.95423190000000002</v>
      </c>
      <c r="Y6852">
        <v>0.31527430000000001</v>
      </c>
      <c r="Z6852">
        <v>-2.005763E-2</v>
      </c>
      <c r="AA6852">
        <v>0.94878859999999998</v>
      </c>
      <c r="AB6852">
        <v>21</v>
      </c>
      <c r="AC6852">
        <v>10.659199999999901</v>
      </c>
      <c r="AD6852">
        <v>-1.1713739999999999</v>
      </c>
      <c r="AE6852">
        <v>-3.4650400000000001</v>
      </c>
      <c r="AF6852">
        <v>3.5426653179993202</v>
      </c>
      <c r="AG6852">
        <v>-1.1713739999999999</v>
      </c>
      <c r="AH6852">
        <v>10.505934007175201</v>
      </c>
      <c r="AI6852">
        <v>96.031005802172501</v>
      </c>
      <c r="AJ6852">
        <v>71.365578475564206</v>
      </c>
      <c r="AK6852">
        <v>11.148867384911901</v>
      </c>
      <c r="AL6852">
        <v>95.7301842019601</v>
      </c>
      <c r="AM6852">
        <v>73.541274784906904</v>
      </c>
      <c r="AN6852">
        <v>0.99999995142488496</v>
      </c>
    </row>
    <row r="6853" spans="1:40" x14ac:dyDescent="0.25">
      <c r="A6853" t="str">
        <f>"20190303154944875"</f>
        <v>20190303154944875</v>
      </c>
      <c r="B6853" t="str">
        <f>"1551599384867732"</f>
        <v>1551599384867732</v>
      </c>
      <c r="C6853" t="s">
        <v>40</v>
      </c>
      <c r="D6853">
        <v>5.4182489999999897</v>
      </c>
      <c r="E6853">
        <v>0.51389309999999999</v>
      </c>
      <c r="F6853" t="s">
        <v>43</v>
      </c>
      <c r="G6853">
        <v>-317.89870000000002</v>
      </c>
      <c r="H6853">
        <v>-0.05</v>
      </c>
      <c r="I6853">
        <v>14.21002</v>
      </c>
      <c r="J6853">
        <v>-328.40600000000001</v>
      </c>
      <c r="K6853">
        <v>1.121359</v>
      </c>
      <c r="L6853">
        <v>17.640260000000001</v>
      </c>
      <c r="M6853">
        <v>0.99983180000000005</v>
      </c>
      <c r="N6853">
        <v>-1.439855E-2</v>
      </c>
      <c r="O6853">
        <v>1.136202E-2</v>
      </c>
      <c r="P6853">
        <v>0.95576380000000005</v>
      </c>
      <c r="Q6853">
        <v>-0.11426070000000001</v>
      </c>
      <c r="R6853">
        <v>-0.27103529999999998</v>
      </c>
      <c r="S6853">
        <v>2.841278</v>
      </c>
      <c r="T6853">
        <v>-0.3133707</v>
      </c>
      <c r="U6853">
        <v>-0.91720579999999996</v>
      </c>
      <c r="V6853">
        <v>0.28198390000000001</v>
      </c>
      <c r="W6853">
        <v>-0.1002359</v>
      </c>
      <c r="X6853">
        <v>0.95416869999999998</v>
      </c>
      <c r="Y6853">
        <v>0.31596760000000002</v>
      </c>
      <c r="Z6853">
        <v>-2.0343400000000001E-2</v>
      </c>
      <c r="AA6853">
        <v>0.94855179999999995</v>
      </c>
      <c r="AB6853">
        <v>21</v>
      </c>
      <c r="AC6853">
        <v>10.507299999999899</v>
      </c>
      <c r="AD6853">
        <v>-1.171359</v>
      </c>
      <c r="AE6853">
        <v>-3.4302399999999902</v>
      </c>
      <c r="AF6853">
        <v>3.5099945479825401</v>
      </c>
      <c r="AG6853">
        <v>-1.171359</v>
      </c>
      <c r="AH6853">
        <v>10.351387385777199</v>
      </c>
      <c r="AI6853">
        <v>96.116831763644797</v>
      </c>
      <c r="AJ6853">
        <v>71.269001114276193</v>
      </c>
      <c r="AK6853">
        <v>10.992877896355299</v>
      </c>
      <c r="AL6853">
        <v>95.752754621652798</v>
      </c>
      <c r="AM6853">
        <v>73.536096162083297</v>
      </c>
      <c r="AN6853">
        <v>1.00000003178385</v>
      </c>
    </row>
    <row r="6854" spans="1:40" x14ac:dyDescent="0.25">
      <c r="A6854" t="str">
        <f>"20190303154944885"</f>
        <v>20190303154944885</v>
      </c>
      <c r="B6854" t="str">
        <f>"1551599384877494"</f>
        <v>1551599384877494</v>
      </c>
      <c r="C6854" t="s">
        <v>40</v>
      </c>
      <c r="D6854">
        <v>5.4251189999999996</v>
      </c>
      <c r="E6854">
        <v>0.51431839999999995</v>
      </c>
      <c r="F6854" t="s">
        <v>43</v>
      </c>
      <c r="G6854">
        <v>-317.8211</v>
      </c>
      <c r="H6854">
        <v>-0.05</v>
      </c>
      <c r="I6854">
        <v>14.208589999999999</v>
      </c>
      <c r="J6854">
        <v>-328.30810000000002</v>
      </c>
      <c r="K6854">
        <v>1.121348</v>
      </c>
      <c r="L6854">
        <v>17.641819999999999</v>
      </c>
      <c r="M6854">
        <v>0.99982760000000004</v>
      </c>
      <c r="N6854">
        <v>-1.439606E-2</v>
      </c>
      <c r="O6854">
        <v>1.1728789999999999E-2</v>
      </c>
      <c r="P6854">
        <v>0.95577089999999998</v>
      </c>
      <c r="Q6854">
        <v>-0.1146046</v>
      </c>
      <c r="R6854">
        <v>-0.27086519999999997</v>
      </c>
      <c r="S6854">
        <v>2.8401179999999999</v>
      </c>
      <c r="T6854">
        <v>-0.31429649999999998</v>
      </c>
      <c r="U6854">
        <v>-0.92077640000000005</v>
      </c>
      <c r="V6854">
        <v>0.28216140000000001</v>
      </c>
      <c r="W6854">
        <v>-0.1005894</v>
      </c>
      <c r="X6854">
        <v>0.95407900000000001</v>
      </c>
      <c r="Y6854">
        <v>0.31748459999999901</v>
      </c>
      <c r="Z6854">
        <v>-2.0527759999999999E-2</v>
      </c>
      <c r="AA6854">
        <v>0.94804120000000003</v>
      </c>
      <c r="AB6854">
        <v>21</v>
      </c>
      <c r="AC6854">
        <v>10.487</v>
      </c>
      <c r="AD6854">
        <v>-1.1713480000000001</v>
      </c>
      <c r="AE6854">
        <v>-3.43323</v>
      </c>
      <c r="AF6854">
        <v>3.5163832741195802</v>
      </c>
      <c r="AG6854">
        <v>-1.1713480000000001</v>
      </c>
      <c r="AH6854">
        <v>10.329611222987101</v>
      </c>
      <c r="AI6854">
        <v>96.127101759973897</v>
      </c>
      <c r="AJ6854">
        <v>71.200513099349806</v>
      </c>
      <c r="AK6854">
        <v>10.9744191411515</v>
      </c>
      <c r="AL6854">
        <v>95.773111688124104</v>
      </c>
      <c r="AM6854">
        <v>73.524829429624504</v>
      </c>
      <c r="AN6854">
        <v>1.00000001064165</v>
      </c>
    </row>
    <row r="6855" spans="1:40" x14ac:dyDescent="0.25">
      <c r="A6855" t="str">
        <f>"20190303154944896"</f>
        <v>20190303154944896</v>
      </c>
      <c r="B6855" t="str">
        <f>"1551599384887761"</f>
        <v>1551599384887761</v>
      </c>
      <c r="C6855" t="s">
        <v>40</v>
      </c>
      <c r="D6855">
        <v>5.4188109999999998</v>
      </c>
      <c r="E6855">
        <v>0.51475899999999997</v>
      </c>
      <c r="F6855" t="s">
        <v>43</v>
      </c>
      <c r="G6855">
        <v>-317.79579999999999</v>
      </c>
      <c r="H6855">
        <v>-0.05</v>
      </c>
      <c r="I6855">
        <v>14.222020000000001</v>
      </c>
      <c r="J6855">
        <v>-328.21140000000003</v>
      </c>
      <c r="K6855">
        <v>1.1213360000000001</v>
      </c>
      <c r="L6855">
        <v>17.643370000000001</v>
      </c>
      <c r="M6855">
        <v>0.99982349999999998</v>
      </c>
      <c r="N6855">
        <v>-1.439359E-2</v>
      </c>
      <c r="O6855">
        <v>1.208656E-2</v>
      </c>
      <c r="P6855">
        <v>0.95583099999999999</v>
      </c>
      <c r="Q6855">
        <v>-0.1144564</v>
      </c>
      <c r="R6855">
        <v>-0.27071590000000001</v>
      </c>
      <c r="S6855">
        <v>2.8391419999999998</v>
      </c>
      <c r="T6855">
        <v>-0.31635479999999999</v>
      </c>
      <c r="U6855">
        <v>-0.9236145</v>
      </c>
      <c r="V6855">
        <v>0.28235139999999997</v>
      </c>
      <c r="W6855">
        <v>-0.1004505</v>
      </c>
      <c r="X6855">
        <v>0.95403740000000004</v>
      </c>
      <c r="Y6855">
        <v>0.31874069999999999</v>
      </c>
      <c r="Z6855">
        <v>-2.0761669999999999E-2</v>
      </c>
      <c r="AA6855">
        <v>0.94761459999999997</v>
      </c>
      <c r="AB6855">
        <v>21</v>
      </c>
      <c r="AC6855">
        <v>10.4156</v>
      </c>
      <c r="AD6855">
        <v>-1.1713359999999999</v>
      </c>
      <c r="AE6855">
        <v>-3.4213499999999999</v>
      </c>
      <c r="AF6855">
        <v>3.5069681850229402</v>
      </c>
      <c r="AG6855">
        <v>-1.1713359999999999</v>
      </c>
      <c r="AH6855">
        <v>10.2564008874548</v>
      </c>
      <c r="AI6855">
        <v>96.167609747669005</v>
      </c>
      <c r="AJ6855">
        <v>71.122917688052596</v>
      </c>
      <c r="AK6855">
        <v>10.9025048974922</v>
      </c>
      <c r="AL6855">
        <v>95.765112919503906</v>
      </c>
      <c r="AM6855">
        <v>73.513657721691899</v>
      </c>
      <c r="AN6855">
        <v>0.99999998831548498</v>
      </c>
    </row>
    <row r="6856" spans="1:40" x14ac:dyDescent="0.25">
      <c r="A6856" t="str">
        <f>"20190303154944906"</f>
        <v>20190303154944906</v>
      </c>
      <c r="B6856" t="str">
        <f>"1551599384897521"</f>
        <v>1551599384897521</v>
      </c>
      <c r="C6856" t="s">
        <v>40</v>
      </c>
      <c r="D6856">
        <v>5.4141079999999997</v>
      </c>
      <c r="E6856">
        <v>0.51516189999999995</v>
      </c>
      <c r="F6856" t="s">
        <v>43</v>
      </c>
      <c r="G6856">
        <v>-317.71730000000002</v>
      </c>
      <c r="H6856">
        <v>-0.05</v>
      </c>
      <c r="I6856">
        <v>14.217739999999999</v>
      </c>
      <c r="J6856">
        <v>-328.11660000000001</v>
      </c>
      <c r="K6856">
        <v>1.121326</v>
      </c>
      <c r="L6856">
        <v>17.644929999999999</v>
      </c>
      <c r="M6856">
        <v>0.99981920000000002</v>
      </c>
      <c r="N6856">
        <v>-1.439114E-2</v>
      </c>
      <c r="O6856">
        <v>1.2428160000000001E-2</v>
      </c>
      <c r="P6856">
        <v>0.95599319999999999</v>
      </c>
      <c r="Q6856">
        <v>-0.1140283</v>
      </c>
      <c r="R6856">
        <v>-0.27032399999999901</v>
      </c>
      <c r="S6856">
        <v>2.8382869999999998</v>
      </c>
      <c r="T6856">
        <v>-0.31680700000000001</v>
      </c>
      <c r="U6856">
        <v>-0.9265137</v>
      </c>
      <c r="V6856">
        <v>0.28228379999999997</v>
      </c>
      <c r="W6856">
        <v>-0.1000311</v>
      </c>
      <c r="X6856">
        <v>0.95410150000000005</v>
      </c>
      <c r="Y6856">
        <v>0.32000729999999999</v>
      </c>
      <c r="Z6856">
        <v>-2.090096E-2</v>
      </c>
      <c r="AA6856">
        <v>0.94718449999999998</v>
      </c>
      <c r="AB6856">
        <v>21</v>
      </c>
      <c r="AC6856">
        <v>10.399299999999901</v>
      </c>
      <c r="AD6856">
        <v>-1.1713260000000001</v>
      </c>
      <c r="AE6856">
        <v>-3.4271899999999902</v>
      </c>
      <c r="AF6856">
        <v>3.5159471508256699</v>
      </c>
      <c r="AG6856">
        <v>-1.1713260000000001</v>
      </c>
      <c r="AH6856">
        <v>10.238729038658001</v>
      </c>
      <c r="AI6856">
        <v>96.175362879232097</v>
      </c>
      <c r="AJ6856">
        <v>71.047690640387501</v>
      </c>
      <c r="AK6856">
        <v>10.888776850167</v>
      </c>
      <c r="AL6856">
        <v>95.740961249100593</v>
      </c>
      <c r="AM6856">
        <v>73.518437907365694</v>
      </c>
      <c r="AN6856">
        <v>1.0000000185059399</v>
      </c>
    </row>
    <row r="6857" spans="1:40" x14ac:dyDescent="0.25">
      <c r="A6857" t="str">
        <f>"20190303154944918"</f>
        <v>20190303154944918</v>
      </c>
      <c r="B6857" t="str">
        <f>"1551599384907281"</f>
        <v>1551599384907281</v>
      </c>
      <c r="C6857" t="s">
        <v>40</v>
      </c>
      <c r="D6857">
        <v>5.4454359999999999</v>
      </c>
      <c r="E6857">
        <v>0.51561579999999996</v>
      </c>
      <c r="F6857" t="s">
        <v>43</v>
      </c>
      <c r="G6857">
        <v>-317.6069</v>
      </c>
      <c r="H6857">
        <v>-0.05</v>
      </c>
      <c r="I6857">
        <v>14.20729</v>
      </c>
      <c r="J6857">
        <v>-328.0061</v>
      </c>
      <c r="K6857">
        <v>1.1213150000000001</v>
      </c>
      <c r="L6857">
        <v>17.64676</v>
      </c>
      <c r="M6857">
        <v>0.99981439999999999</v>
      </c>
      <c r="N6857">
        <v>-1.438825E-2</v>
      </c>
      <c r="O6857">
        <v>1.28196E-2</v>
      </c>
      <c r="P6857">
        <v>0.95629189999999997</v>
      </c>
      <c r="Q6857">
        <v>-0.1136003</v>
      </c>
      <c r="R6857">
        <v>-0.26944669999999998</v>
      </c>
      <c r="S6857">
        <v>2.8378909999999999</v>
      </c>
      <c r="T6857">
        <v>-0.31628840000000003</v>
      </c>
      <c r="U6857">
        <v>-0.9282532</v>
      </c>
      <c r="V6857">
        <v>0.28177960000000002</v>
      </c>
      <c r="W6857">
        <v>-9.9612829999999999E-2</v>
      </c>
      <c r="X6857">
        <v>0.95429430000000004</v>
      </c>
      <c r="Y6857">
        <v>0.32094020000000001</v>
      </c>
      <c r="Z6857">
        <v>-2.096543E-2</v>
      </c>
      <c r="AA6857">
        <v>0.94686740000000003</v>
      </c>
      <c r="AB6857">
        <v>21</v>
      </c>
      <c r="AC6857">
        <v>10.3992</v>
      </c>
      <c r="AD6857">
        <v>-1.1713149999999899</v>
      </c>
      <c r="AE6857">
        <v>-3.43947</v>
      </c>
      <c r="AF6857">
        <v>3.53212238576375</v>
      </c>
      <c r="AG6857">
        <v>-1.1713149999999899</v>
      </c>
      <c r="AH6857">
        <v>10.237178779619001</v>
      </c>
      <c r="AI6857">
        <v>96.173155896148302</v>
      </c>
      <c r="AJ6857">
        <v>70.964086673027495</v>
      </c>
      <c r="AK6857">
        <v>10.8925523520945</v>
      </c>
      <c r="AL6857">
        <v>95.716875750351406</v>
      </c>
      <c r="AM6857">
        <v>73.549427578218896</v>
      </c>
      <c r="AN6857">
        <v>1.0000000349446201</v>
      </c>
    </row>
    <row r="6858" spans="1:40" x14ac:dyDescent="0.25">
      <c r="A6858" t="str">
        <f>"20190303154944929"</f>
        <v>20190303154944929</v>
      </c>
      <c r="B6858" t="str">
        <f>"1551599384918016"</f>
        <v>1551599384918016</v>
      </c>
      <c r="C6858" t="s">
        <v>40</v>
      </c>
      <c r="D6858">
        <v>5.4345169999999996</v>
      </c>
      <c r="E6858">
        <v>0.51592769999999999</v>
      </c>
      <c r="F6858" t="s">
        <v>43</v>
      </c>
      <c r="G6858">
        <v>-317.44229999999999</v>
      </c>
      <c r="H6858">
        <v>-0.05</v>
      </c>
      <c r="I6858">
        <v>14.187810000000001</v>
      </c>
      <c r="J6858">
        <v>-327.911</v>
      </c>
      <c r="K6858">
        <v>1.121294</v>
      </c>
      <c r="L6858">
        <v>17.648350000000001</v>
      </c>
      <c r="M6858">
        <v>0.99981030000000004</v>
      </c>
      <c r="N6858">
        <v>-1.4385739999999999E-2</v>
      </c>
      <c r="O6858">
        <v>1.3139079999999999E-2</v>
      </c>
      <c r="P6858">
        <v>0.95652139999999997</v>
      </c>
      <c r="Q6858">
        <v>-0.11314780000000001</v>
      </c>
      <c r="R6858">
        <v>-0.26882149999999999</v>
      </c>
      <c r="S6858">
        <v>2.8379210000000001</v>
      </c>
      <c r="T6858">
        <v>-0.31466850000000002</v>
      </c>
      <c r="U6858">
        <v>-0.92922969999999905</v>
      </c>
      <c r="V6858">
        <v>0.28145789999999998</v>
      </c>
      <c r="W6858">
        <v>-9.9171159999999994E-2</v>
      </c>
      <c r="X6858">
        <v>0.95443520000000004</v>
      </c>
      <c r="Y6858">
        <v>0.32154909999999998</v>
      </c>
      <c r="Z6858">
        <v>-2.093567E-2</v>
      </c>
      <c r="AA6858">
        <v>0.94666139999999999</v>
      </c>
      <c r="AB6858">
        <v>21</v>
      </c>
      <c r="AC6858">
        <v>10.4687</v>
      </c>
      <c r="AD6858">
        <v>-1.1712940000000001</v>
      </c>
      <c r="AE6858">
        <v>-3.4605399999999999</v>
      </c>
      <c r="AF6858">
        <v>3.5576557002529601</v>
      </c>
      <c r="AG6858">
        <v>-1.1712940000000001</v>
      </c>
      <c r="AH6858">
        <v>10.306017743670401</v>
      </c>
      <c r="AI6858">
        <v>96.131803993944402</v>
      </c>
      <c r="AJ6858">
        <v>70.955234694356506</v>
      </c>
      <c r="AK6858">
        <v>10.965529875424499</v>
      </c>
      <c r="AL6858">
        <v>95.691444139119895</v>
      </c>
      <c r="AM6858">
        <v>73.569490174653893</v>
      </c>
      <c r="AN6858">
        <v>1.0000000097235899</v>
      </c>
    </row>
    <row r="6859" spans="1:40" x14ac:dyDescent="0.25">
      <c r="A6859" t="str">
        <f>"20190303154944941"</f>
        <v>20190303154944941</v>
      </c>
      <c r="B6859" t="str">
        <f>"1551599384937537"</f>
        <v>1551599384937537</v>
      </c>
      <c r="C6859" t="s">
        <v>40</v>
      </c>
      <c r="D6859">
        <v>5.4705700000000004</v>
      </c>
      <c r="E6859">
        <v>0.51678089999999999</v>
      </c>
      <c r="F6859" t="s">
        <v>43</v>
      </c>
      <c r="G6859">
        <v>-317.28300000000002</v>
      </c>
      <c r="H6859">
        <v>-0.05</v>
      </c>
      <c r="I6859">
        <v>14.16685</v>
      </c>
      <c r="J6859">
        <v>-327.80119999999999</v>
      </c>
      <c r="K6859">
        <v>1.1212770000000001</v>
      </c>
      <c r="L6859">
        <v>17.65024</v>
      </c>
      <c r="M6859">
        <v>0.99980539999999996</v>
      </c>
      <c r="N6859">
        <v>-1.4382839999999999E-2</v>
      </c>
      <c r="O6859">
        <v>1.350201E-2</v>
      </c>
      <c r="P6859">
        <v>0.95667950000000002</v>
      </c>
      <c r="Q6859">
        <v>-0.11312319999999999</v>
      </c>
      <c r="R6859">
        <v>-0.26826830000000002</v>
      </c>
      <c r="S6859">
        <v>2.8380740000000002</v>
      </c>
      <c r="T6859">
        <v>-0.31277929999999998</v>
      </c>
      <c r="U6859">
        <v>-0.9296875</v>
      </c>
      <c r="V6859">
        <v>0.28124829999999901</v>
      </c>
      <c r="W6859">
        <v>-9.9161040000000006E-2</v>
      </c>
      <c r="X6859">
        <v>0.95449810000000002</v>
      </c>
      <c r="Y6859">
        <v>0.32203470000000001</v>
      </c>
      <c r="Z6859">
        <v>-2.0885339999999999E-2</v>
      </c>
      <c r="AA6859">
        <v>0.94649740000000004</v>
      </c>
      <c r="AB6859">
        <v>21</v>
      </c>
      <c r="AC6859">
        <v>10.518199999999901</v>
      </c>
      <c r="AD6859">
        <v>-1.1712769999999999</v>
      </c>
      <c r="AE6859">
        <v>-3.48339</v>
      </c>
      <c r="AF6859">
        <v>3.5850418574516998</v>
      </c>
      <c r="AG6859">
        <v>-1.1712769999999999</v>
      </c>
      <c r="AH6859">
        <v>10.3544941112013</v>
      </c>
      <c r="AI6859">
        <v>96.101302197845499</v>
      </c>
      <c r="AJ6859">
        <v>70.902585184587707</v>
      </c>
      <c r="AK6859">
        <v>11.0199801828003</v>
      </c>
      <c r="AL6859">
        <v>95.690861086578295</v>
      </c>
      <c r="AM6859">
        <v>73.582090429787996</v>
      </c>
      <c r="AN6859">
        <v>1.0000000705051799</v>
      </c>
    </row>
    <row r="6860" spans="1:40" x14ac:dyDescent="0.25">
      <c r="A6860" t="str">
        <f>"20190303154944952"</f>
        <v>20190303154944952</v>
      </c>
      <c r="B6860" t="str">
        <f>"1551599384947296"</f>
        <v>1551599384947296</v>
      </c>
      <c r="C6860" t="s">
        <v>40</v>
      </c>
      <c r="D6860">
        <v>5.4666620000000004</v>
      </c>
      <c r="E6860">
        <v>0.51678089999999999</v>
      </c>
      <c r="F6860" t="s">
        <v>43</v>
      </c>
      <c r="G6860">
        <v>-317.04169999999999</v>
      </c>
      <c r="H6860">
        <v>-0.05</v>
      </c>
      <c r="I6860">
        <v>14.105359999999999</v>
      </c>
      <c r="J6860">
        <v>-327.69959999999998</v>
      </c>
      <c r="K6860">
        <v>1.1212530000000001</v>
      </c>
      <c r="L6860">
        <v>17.651949999999999</v>
      </c>
      <c r="M6860">
        <v>0.9998013</v>
      </c>
      <c r="N6860">
        <v>-1.438012E-2</v>
      </c>
      <c r="O6860">
        <v>1.3808549999999999E-2</v>
      </c>
      <c r="P6860">
        <v>0.95675580000000005</v>
      </c>
      <c r="Q6860">
        <v>-0.1134174</v>
      </c>
      <c r="R6860">
        <v>-0.26787139999999998</v>
      </c>
      <c r="S6860">
        <v>2.837189</v>
      </c>
      <c r="T6860">
        <v>-0.3088554</v>
      </c>
      <c r="U6860">
        <v>-0.93475339999999996</v>
      </c>
      <c r="V6860">
        <v>0.28113959999999999</v>
      </c>
      <c r="W6860">
        <v>-9.947346E-2</v>
      </c>
      <c r="X6860">
        <v>0.95449759999999995</v>
      </c>
      <c r="Y6860">
        <v>0.32397229999999999</v>
      </c>
      <c r="Z6860">
        <v>-2.0797679999999999E-2</v>
      </c>
      <c r="AA6860">
        <v>0.94583790000000001</v>
      </c>
      <c r="AB6860">
        <v>21</v>
      </c>
      <c r="AC6860">
        <v>10.6578999999999</v>
      </c>
      <c r="AD6860">
        <v>-1.1712530000000001</v>
      </c>
      <c r="AE6860">
        <v>-3.5465899999999899</v>
      </c>
      <c r="AF6860">
        <v>3.6537104499270101</v>
      </c>
      <c r="AG6860">
        <v>-1.1712530000000001</v>
      </c>
      <c r="AH6860">
        <v>10.493806436061501</v>
      </c>
      <c r="AI6860">
        <v>96.017174793069401</v>
      </c>
      <c r="AJ6860">
        <v>70.803017093382607</v>
      </c>
      <c r="AK6860">
        <v>11.1732451489905</v>
      </c>
      <c r="AL6860">
        <v>95.708850457219299</v>
      </c>
      <c r="AM6860">
        <v>73.588086176630995</v>
      </c>
      <c r="AN6860">
        <v>1.00000005616914</v>
      </c>
    </row>
    <row r="6861" spans="1:40" x14ac:dyDescent="0.25">
      <c r="A6861" t="str">
        <f>"20190303154944963"</f>
        <v>20190303154944963</v>
      </c>
      <c r="B6861" t="str">
        <f>"1551599384958033"</f>
        <v>1551599384958033</v>
      </c>
      <c r="C6861" t="s">
        <v>40</v>
      </c>
      <c r="D6861">
        <v>5.5012509999999999</v>
      </c>
      <c r="E6861">
        <v>0.5242426</v>
      </c>
      <c r="F6861" t="s">
        <v>43</v>
      </c>
      <c r="G6861">
        <v>-316.96780000000001</v>
      </c>
      <c r="H6861">
        <v>-0.05</v>
      </c>
      <c r="I6861">
        <v>14.121090000000001</v>
      </c>
      <c r="J6861">
        <v>-327.59519999999998</v>
      </c>
      <c r="K6861">
        <v>1.1212249999999999</v>
      </c>
      <c r="L6861">
        <v>17.653779999999902</v>
      </c>
      <c r="M6861">
        <v>0.99979709999999999</v>
      </c>
      <c r="N6861">
        <v>-1.4377330000000001E-2</v>
      </c>
      <c r="O6861">
        <v>1.4113799999999999E-2</v>
      </c>
      <c r="P6861">
        <v>0.95672040000000003</v>
      </c>
      <c r="Q6861">
        <v>-0.1139849</v>
      </c>
      <c r="R6861">
        <v>-0.26775710000000003</v>
      </c>
      <c r="S6861">
        <v>2.837494</v>
      </c>
      <c r="T6861">
        <v>-0.30968030000000002</v>
      </c>
      <c r="U6861">
        <v>-0.93356320000000004</v>
      </c>
      <c r="V6861">
        <v>0.28131020000000001</v>
      </c>
      <c r="W6861">
        <v>-0.1000619</v>
      </c>
      <c r="X6861">
        <v>0.95438579999999995</v>
      </c>
      <c r="Y6861">
        <v>0.32386209999999999</v>
      </c>
      <c r="Z6861">
        <v>-2.0867279999999998E-2</v>
      </c>
      <c r="AA6861">
        <v>0.9458742</v>
      </c>
      <c r="AB6861">
        <v>21</v>
      </c>
      <c r="AC6861">
        <v>10.6273999999999</v>
      </c>
      <c r="AD6861">
        <v>-1.171225</v>
      </c>
      <c r="AE6861">
        <v>-3.5326899999999899</v>
      </c>
      <c r="AF6861">
        <v>3.6425074916661599</v>
      </c>
      <c r="AG6861">
        <v>-1.171225</v>
      </c>
      <c r="AH6861">
        <v>10.4620502386336</v>
      </c>
      <c r="AI6861">
        <v>96.035187317522301</v>
      </c>
      <c r="AJ6861">
        <v>70.803730978525394</v>
      </c>
      <c r="AK6861">
        <v>11.139754217358799</v>
      </c>
      <c r="AL6861">
        <v>95.742734769286798</v>
      </c>
      <c r="AM6861">
        <v>73.576843495058498</v>
      </c>
      <c r="AN6861">
        <v>1.0000000338486399</v>
      </c>
    </row>
    <row r="6862" spans="1:40" x14ac:dyDescent="0.25">
      <c r="A6862" t="str">
        <f>"20190303154944975"</f>
        <v>20190303154944975</v>
      </c>
      <c r="B6862" t="str">
        <f>"1551599384967792"</f>
        <v>1551599384967792</v>
      </c>
      <c r="C6862" t="s">
        <v>40</v>
      </c>
      <c r="D6862">
        <v>5.5120060000000004</v>
      </c>
      <c r="E6862">
        <v>0.52395309999999995</v>
      </c>
      <c r="F6862" t="s">
        <v>43</v>
      </c>
      <c r="G6862">
        <v>-316.39760000000001</v>
      </c>
      <c r="H6862">
        <v>-0.05</v>
      </c>
      <c r="I6862">
        <v>13.722079999999901</v>
      </c>
      <c r="J6862">
        <v>-327.48809999999997</v>
      </c>
      <c r="K6862">
        <v>1.1211930000000001</v>
      </c>
      <c r="L6862">
        <v>17.655639999999998</v>
      </c>
      <c r="M6862">
        <v>0.99979309999999999</v>
      </c>
      <c r="N6862">
        <v>-1.437444E-2</v>
      </c>
      <c r="O6862">
        <v>1.440193E-2</v>
      </c>
      <c r="P6862">
        <v>0.95659110000000003</v>
      </c>
      <c r="Q6862">
        <v>-0.11455410000000001</v>
      </c>
      <c r="R6862">
        <v>-0.2679763</v>
      </c>
      <c r="S6862">
        <v>2.8230900000000001</v>
      </c>
      <c r="T6862">
        <v>-0.29528310000000002</v>
      </c>
      <c r="U6862">
        <v>-0.9912415</v>
      </c>
      <c r="V6862">
        <v>0.28179539999999997</v>
      </c>
      <c r="W6862">
        <v>-0.10065590000000001</v>
      </c>
      <c r="X6862">
        <v>0.95418009999999998</v>
      </c>
      <c r="Y6862">
        <v>0.34287499999999999</v>
      </c>
      <c r="Z6862">
        <v>-2.1169500000000001E-2</v>
      </c>
      <c r="AA6862">
        <v>0.93914249999999999</v>
      </c>
      <c r="AB6862">
        <v>20</v>
      </c>
      <c r="AC6862">
        <v>11.090499999999899</v>
      </c>
      <c r="AD6862">
        <v>-1.1711929999999999</v>
      </c>
      <c r="AE6862">
        <v>-3.9335599999999999</v>
      </c>
      <c r="AF6862">
        <v>4.0527468639237503</v>
      </c>
      <c r="AG6862">
        <v>-1.1711929999999999</v>
      </c>
      <c r="AH6862">
        <v>10.9244758737032</v>
      </c>
      <c r="AI6862">
        <v>95.7397725945453</v>
      </c>
      <c r="AJ6862">
        <v>69.646223535948593</v>
      </c>
      <c r="AK6862">
        <v>11.7107054997304</v>
      </c>
      <c r="AL6862">
        <v>95.776941584902104</v>
      </c>
      <c r="AM6862">
        <v>73.546692522085394</v>
      </c>
      <c r="AN6862">
        <v>0.99999996045098904</v>
      </c>
    </row>
    <row r="6863" spans="1:40" x14ac:dyDescent="0.25">
      <c r="A6863" t="str">
        <f>"20190303154944987"</f>
        <v>20190303154944987</v>
      </c>
      <c r="B6863" t="str">
        <f>"1551599384977552"</f>
        <v>1551599384977552</v>
      </c>
      <c r="C6863" t="s">
        <v>40</v>
      </c>
      <c r="D6863">
        <v>5.412477</v>
      </c>
      <c r="E6863">
        <v>0.52395309999999995</v>
      </c>
      <c r="F6863" t="s">
        <v>43</v>
      </c>
      <c r="G6863">
        <v>-316.75069999999999</v>
      </c>
      <c r="H6863">
        <v>-0.05</v>
      </c>
      <c r="I6863">
        <v>13.891780000000001</v>
      </c>
      <c r="J6863">
        <v>-327.38229999999999</v>
      </c>
      <c r="K6863">
        <v>1.1211580000000001</v>
      </c>
      <c r="L6863">
        <v>17.65747</v>
      </c>
      <c r="M6863">
        <v>0.99978920000000004</v>
      </c>
      <c r="N6863">
        <v>-1.437159E-2</v>
      </c>
      <c r="O6863">
        <v>1.466129E-2</v>
      </c>
      <c r="P6863">
        <v>0.95636169999999998</v>
      </c>
      <c r="Q6863">
        <v>-0.1148373</v>
      </c>
      <c r="R6863">
        <v>-0.26867279999999999</v>
      </c>
      <c r="S6863">
        <v>2.8221440000000002</v>
      </c>
      <c r="T6863">
        <v>-0.30782759999999998</v>
      </c>
      <c r="U6863">
        <v>-0.98925779999999996</v>
      </c>
      <c r="V6863">
        <v>0.28272829999999999</v>
      </c>
      <c r="W6863">
        <v>-0.1009675</v>
      </c>
      <c r="X6863">
        <v>0.95387120000000003</v>
      </c>
      <c r="Y6863">
        <v>0.34246850000000001</v>
      </c>
      <c r="Z6863">
        <v>-2.1972700000000001E-2</v>
      </c>
      <c r="AA6863">
        <v>0.93927229999999995</v>
      </c>
      <c r="AB6863">
        <v>20</v>
      </c>
      <c r="AC6863">
        <v>10.631599999999899</v>
      </c>
      <c r="AD6863">
        <v>-1.1711579999999999</v>
      </c>
      <c r="AE6863">
        <v>-3.7656900000000002</v>
      </c>
      <c r="AF6863">
        <v>3.87934657002172</v>
      </c>
      <c r="AG6863">
        <v>-1.1711579999999999</v>
      </c>
      <c r="AH6863">
        <v>10.4624339994187</v>
      </c>
      <c r="AI6863">
        <v>95.991638677816695</v>
      </c>
      <c r="AJ6863">
        <v>69.655816371284899</v>
      </c>
      <c r="AK6863">
        <v>11.219780125452299</v>
      </c>
      <c r="AL6863">
        <v>95.7948861577336</v>
      </c>
      <c r="AM6863">
        <v>73.490128140112205</v>
      </c>
      <c r="AN6863">
        <v>0.99999999693329</v>
      </c>
    </row>
    <row r="6864" spans="1:40" x14ac:dyDescent="0.25">
      <c r="A6864" t="str">
        <f>"20190303154945000"</f>
        <v>20190303154945000</v>
      </c>
      <c r="B6864" t="str">
        <f>"1551599384987821"</f>
        <v>1551599384987821</v>
      </c>
      <c r="C6864" t="s">
        <v>40</v>
      </c>
      <c r="D6864">
        <v>5.4133719999999999</v>
      </c>
      <c r="E6864">
        <v>0.51432309999999903</v>
      </c>
      <c r="F6864" t="s">
        <v>43</v>
      </c>
      <c r="G6864">
        <v>-316.67869999999999</v>
      </c>
      <c r="H6864">
        <v>-0.05</v>
      </c>
      <c r="I6864">
        <v>13.896929999999999</v>
      </c>
      <c r="J6864">
        <v>-327.26400000000001</v>
      </c>
      <c r="K6864">
        <v>1.1211150000000001</v>
      </c>
      <c r="L6864">
        <v>17.659579999999998</v>
      </c>
      <c r="M6864">
        <v>0.99978540000000005</v>
      </c>
      <c r="N6864">
        <v>-1.436841E-2</v>
      </c>
      <c r="O6864">
        <v>1.492888E-2</v>
      </c>
      <c r="P6864">
        <v>0.95610759999999995</v>
      </c>
      <c r="Q6864">
        <v>-0.1152413</v>
      </c>
      <c r="R6864">
        <v>-0.26940310000000001</v>
      </c>
      <c r="S6864">
        <v>2.8213810000000001</v>
      </c>
      <c r="T6864">
        <v>-0.30870619999999999</v>
      </c>
      <c r="U6864">
        <v>-0.9912415</v>
      </c>
      <c r="V6864">
        <v>0.28370020000000001</v>
      </c>
      <c r="W6864">
        <v>-0.1014052</v>
      </c>
      <c r="X6864">
        <v>0.95353619999999994</v>
      </c>
      <c r="Y6864">
        <v>0.34336830000000002</v>
      </c>
      <c r="Z6864">
        <v>-2.2110089999999999E-2</v>
      </c>
      <c r="AA6864">
        <v>0.93894049999999996</v>
      </c>
      <c r="AB6864">
        <v>20</v>
      </c>
      <c r="AC6864">
        <v>10.5853</v>
      </c>
      <c r="AD6864">
        <v>-1.1711149999999999</v>
      </c>
      <c r="AE6864">
        <v>-3.7626499999999901</v>
      </c>
      <c r="AF6864">
        <v>3.8781290661600298</v>
      </c>
      <c r="AG6864">
        <v>-1.1711149999999999</v>
      </c>
      <c r="AH6864">
        <v>10.4147625856705</v>
      </c>
      <c r="AI6864">
        <v>96.015562079536593</v>
      </c>
      <c r="AJ6864">
        <v>69.576256494018907</v>
      </c>
      <c r="AK6864">
        <v>11.174912756388901</v>
      </c>
      <c r="AL6864">
        <v>95.820093581670903</v>
      </c>
      <c r="AM6864">
        <v>73.430978756428303</v>
      </c>
      <c r="AN6864">
        <v>1.0000000513887499</v>
      </c>
    </row>
    <row r="6865" spans="1:40" x14ac:dyDescent="0.25">
      <c r="A6865" t="str">
        <f>"20190303154945013"</f>
        <v>20190303154945013</v>
      </c>
      <c r="B6865" t="str">
        <f>"1551599385007340"</f>
        <v>1551599385007340</v>
      </c>
      <c r="C6865" t="s">
        <v>40</v>
      </c>
      <c r="D6865">
        <v>5.4234730000000004</v>
      </c>
      <c r="E6865">
        <v>0.51121059999999996</v>
      </c>
      <c r="F6865" t="s">
        <v>43</v>
      </c>
      <c r="G6865">
        <v>-314.2389</v>
      </c>
      <c r="H6865">
        <v>-0.05</v>
      </c>
      <c r="I6865">
        <v>13.4438</v>
      </c>
      <c r="J6865">
        <v>-327.15230000000003</v>
      </c>
      <c r="K6865">
        <v>1.121068</v>
      </c>
      <c r="L6865">
        <v>17.661470000000001</v>
      </c>
      <c r="M6865">
        <v>0.99978239999999996</v>
      </c>
      <c r="N6865">
        <v>-1.4365370000000001E-2</v>
      </c>
      <c r="O6865">
        <v>1.5120349999999999E-2</v>
      </c>
      <c r="P6865">
        <v>0.95581939999999999</v>
      </c>
      <c r="Q6865">
        <v>-0.11565019999999999</v>
      </c>
      <c r="R6865">
        <v>-0.27024910000000002</v>
      </c>
      <c r="S6865">
        <v>2.8471980000000001</v>
      </c>
      <c r="T6865">
        <v>-0.2559978</v>
      </c>
      <c r="U6865">
        <v>-0.92153929999999995</v>
      </c>
      <c r="V6865">
        <v>0.2847133</v>
      </c>
      <c r="W6865">
        <v>-0.1018526</v>
      </c>
      <c r="X6865">
        <v>0.95318650000000005</v>
      </c>
      <c r="Y6865">
        <v>0.32087349999999998</v>
      </c>
      <c r="Z6865">
        <v>-1.7519489999999999E-2</v>
      </c>
      <c r="AA6865">
        <v>0.94696000000000002</v>
      </c>
      <c r="AB6865">
        <v>20</v>
      </c>
      <c r="AC6865">
        <v>12.913399999999999</v>
      </c>
      <c r="AD6865">
        <v>-1.171068</v>
      </c>
      <c r="AE6865">
        <v>-4.21767</v>
      </c>
      <c r="AF6865">
        <v>4.3799147238067304</v>
      </c>
      <c r="AG6865">
        <v>-1.171068</v>
      </c>
      <c r="AH6865">
        <v>12.7533705291209</v>
      </c>
      <c r="AI6865">
        <v>94.963421658170603</v>
      </c>
      <c r="AJ6865">
        <v>71.045891713996895</v>
      </c>
      <c r="AK6865">
        <v>13.5352692289992</v>
      </c>
      <c r="AL6865">
        <v>95.8458610789951</v>
      </c>
      <c r="AM6865">
        <v>73.369308175833893</v>
      </c>
      <c r="AN6865">
        <v>1.0000000595529399</v>
      </c>
    </row>
    <row r="6866" spans="1:40" x14ac:dyDescent="0.25">
      <c r="A6866" t="str">
        <f>"20190303154945023"</f>
        <v>20190303154945023</v>
      </c>
      <c r="B6866" t="str">
        <f>"1551599385018077"</f>
        <v>1551599385018077</v>
      </c>
      <c r="C6866" t="s">
        <v>40</v>
      </c>
      <c r="D6866">
        <v>5.4120410000000003</v>
      </c>
      <c r="E6866">
        <v>0.51054429999999995</v>
      </c>
      <c r="F6866" t="s">
        <v>43</v>
      </c>
      <c r="G6866">
        <v>-313.38780000000003</v>
      </c>
      <c r="H6866">
        <v>-0.05</v>
      </c>
      <c r="I6866">
        <v>13.31845</v>
      </c>
      <c r="J6866">
        <v>-327.041</v>
      </c>
      <c r="K6866">
        <v>1.1210119999999999</v>
      </c>
      <c r="L6866">
        <v>17.66339</v>
      </c>
      <c r="M6866">
        <v>0.99978009999999995</v>
      </c>
      <c r="N6866">
        <v>-1.4362379999999999E-2</v>
      </c>
      <c r="O6866">
        <v>1.5284539999999999E-2</v>
      </c>
      <c r="P6866">
        <v>0.95557990000000004</v>
      </c>
      <c r="Q6866">
        <v>-0.1160759</v>
      </c>
      <c r="R6866">
        <v>-0.27091219999999999</v>
      </c>
      <c r="S6866">
        <v>2.8546140000000002</v>
      </c>
      <c r="T6866">
        <v>-0.24286769999999999</v>
      </c>
      <c r="U6866">
        <v>-0.90069580000000005</v>
      </c>
      <c r="V6866">
        <v>0.28551739999999998</v>
      </c>
      <c r="W6866">
        <v>-0.1023179</v>
      </c>
      <c r="X6866">
        <v>0.95289610000000002</v>
      </c>
      <c r="Y6866">
        <v>0.31418570000000001</v>
      </c>
      <c r="Z6866">
        <v>-1.6394820000000001E-2</v>
      </c>
      <c r="AA6866">
        <v>0.94921999999999995</v>
      </c>
      <c r="AB6866">
        <v>20</v>
      </c>
      <c r="AC6866">
        <v>13.653199999999901</v>
      </c>
      <c r="AD6866">
        <v>-1.1710119999999999</v>
      </c>
      <c r="AE6866">
        <v>-4.3449399999999896</v>
      </c>
      <c r="AF6866">
        <v>4.5229248555750301</v>
      </c>
      <c r="AG6866">
        <v>-1.1710119999999999</v>
      </c>
      <c r="AH6866">
        <v>13.4950443779354</v>
      </c>
      <c r="AI6866">
        <v>94.703444602662003</v>
      </c>
      <c r="AJ6866">
        <v>71.471191876093897</v>
      </c>
      <c r="AK6866">
        <v>14.280908273487601</v>
      </c>
      <c r="AL6866">
        <v>95.8726608248069</v>
      </c>
      <c r="AM6866">
        <v>73.320143787221994</v>
      </c>
      <c r="AN6866">
        <v>1.0000000578791799</v>
      </c>
    </row>
    <row r="6867" spans="1:40" x14ac:dyDescent="0.25">
      <c r="A6867" t="str">
        <f>"20190303154945034"</f>
        <v>20190303154945034</v>
      </c>
      <c r="B6867" t="str">
        <f>"1551599385027837"</f>
        <v>1551599385027837</v>
      </c>
      <c r="C6867" t="s">
        <v>40</v>
      </c>
      <c r="D6867">
        <v>5.4311449999999999</v>
      </c>
      <c r="E6867">
        <v>0.51005040000000001</v>
      </c>
      <c r="F6867" t="s">
        <v>43</v>
      </c>
      <c r="G6867">
        <v>-313.23340000000002</v>
      </c>
      <c r="H6867">
        <v>-0.05</v>
      </c>
      <c r="I6867">
        <v>13.323119999999999</v>
      </c>
      <c r="J6867">
        <v>-326.94670000000002</v>
      </c>
      <c r="K6867">
        <v>1.1209610000000001</v>
      </c>
      <c r="L6867">
        <v>17.66498</v>
      </c>
      <c r="M6867">
        <v>0.99977870000000002</v>
      </c>
      <c r="N6867">
        <v>-1.435988E-2</v>
      </c>
      <c r="O6867">
        <v>1.5382150000000001E-2</v>
      </c>
      <c r="P6867">
        <v>0.95524529999999996</v>
      </c>
      <c r="Q6867">
        <v>-0.11672250000000001</v>
      </c>
      <c r="R6867">
        <v>-0.27181329999999998</v>
      </c>
      <c r="S6867">
        <v>2.8555600000000001</v>
      </c>
      <c r="T6867">
        <v>-0.2421769</v>
      </c>
      <c r="U6867">
        <v>-0.89761349999999995</v>
      </c>
      <c r="V6867">
        <v>0.28649520000000001</v>
      </c>
      <c r="W6867">
        <v>-0.1030027</v>
      </c>
      <c r="X6867">
        <v>0.95252870000000001</v>
      </c>
      <c r="Y6867">
        <v>0.31326599999999999</v>
      </c>
      <c r="Z6867">
        <v>-1.631316E-2</v>
      </c>
      <c r="AA6867">
        <v>0.94952530000000002</v>
      </c>
      <c r="AB6867">
        <v>20</v>
      </c>
      <c r="AC6867">
        <v>13.7133</v>
      </c>
      <c r="AD6867">
        <v>-1.1709609999999999</v>
      </c>
      <c r="AE6867">
        <v>-4.3418599999999898</v>
      </c>
      <c r="AF6867">
        <v>4.5223388293657996</v>
      </c>
      <c r="AG6867">
        <v>-1.1709609999999999</v>
      </c>
      <c r="AH6867">
        <v>13.555055068429001</v>
      </c>
      <c r="AI6867">
        <v>94.684652822344205</v>
      </c>
      <c r="AJ6867">
        <v>71.549884620247298</v>
      </c>
      <c r="AK6867">
        <v>14.3374410568711</v>
      </c>
      <c r="AL6867">
        <v>95.912105781751094</v>
      </c>
      <c r="AM6867">
        <v>73.260115982373605</v>
      </c>
      <c r="AN6867">
        <v>0.99999999007701001</v>
      </c>
    </row>
    <row r="6868" spans="1:40" x14ac:dyDescent="0.25">
      <c r="A6868" t="str">
        <f>"20190303154945044"</f>
        <v>20190303154945044</v>
      </c>
      <c r="B6868" t="str">
        <f>"1551599385037596"</f>
        <v>1551599385037596</v>
      </c>
      <c r="C6868" t="s">
        <v>40</v>
      </c>
      <c r="D6868">
        <v>5.4053610000000001</v>
      </c>
      <c r="E6868">
        <v>0.50982109999999903</v>
      </c>
      <c r="F6868" t="s">
        <v>43</v>
      </c>
      <c r="G6868">
        <v>-313.24279999999999</v>
      </c>
      <c r="H6868">
        <v>-0.05</v>
      </c>
      <c r="I6868">
        <v>13.362959999999999</v>
      </c>
      <c r="J6868">
        <v>-326.85750000000002</v>
      </c>
      <c r="K6868">
        <v>1.1209100000000001</v>
      </c>
      <c r="L6868">
        <v>17.66647</v>
      </c>
      <c r="M6868">
        <v>0.99977760000000004</v>
      </c>
      <c r="N6868">
        <v>-1.435752E-2</v>
      </c>
      <c r="O6868">
        <v>1.5449839999999999E-2</v>
      </c>
      <c r="P6868">
        <v>0.95487610000000001</v>
      </c>
      <c r="Q6868">
        <v>-0.1173507</v>
      </c>
      <c r="R6868">
        <v>-0.27283839999999998</v>
      </c>
      <c r="S6868">
        <v>2.8556210000000002</v>
      </c>
      <c r="T6868">
        <v>-0.2440042</v>
      </c>
      <c r="U6868">
        <v>-0.89645390000000003</v>
      </c>
      <c r="V6868">
        <v>0.2875682</v>
      </c>
      <c r="W6868">
        <v>-0.10366880000000001</v>
      </c>
      <c r="X6868">
        <v>0.95213309999999995</v>
      </c>
      <c r="Y6868">
        <v>0.31295699999999999</v>
      </c>
      <c r="Z6868">
        <v>-1.6409799999999999E-2</v>
      </c>
      <c r="AA6868">
        <v>0.94962550000000001</v>
      </c>
      <c r="AB6868">
        <v>20</v>
      </c>
      <c r="AC6868">
        <v>13.614699999999999</v>
      </c>
      <c r="AD6868">
        <v>-1.1709099999999999</v>
      </c>
      <c r="AE6868">
        <v>-4.3035099999999904</v>
      </c>
      <c r="AF6868">
        <v>4.4832146553026204</v>
      </c>
      <c r="AG6868">
        <v>-1.1709099999999999</v>
      </c>
      <c r="AH6868">
        <v>13.4560913199502</v>
      </c>
      <c r="AI6868">
        <v>94.719386526398594</v>
      </c>
      <c r="AJ6868">
        <v>71.573287384716096</v>
      </c>
      <c r="AK6868">
        <v>14.2315367225209</v>
      </c>
      <c r="AL6868">
        <v>95.950475467880096</v>
      </c>
      <c r="AM6868">
        <v>73.1943601313736</v>
      </c>
      <c r="AN6868">
        <v>1.0000000649301399</v>
      </c>
    </row>
    <row r="6869" spans="1:40" x14ac:dyDescent="0.25">
      <c r="A6869" t="str">
        <f>"20190303154945054"</f>
        <v>20190303154945054</v>
      </c>
      <c r="B6869" t="str">
        <f>"1551599385047356"</f>
        <v>1551599385047356</v>
      </c>
      <c r="C6869" t="s">
        <v>40</v>
      </c>
      <c r="D6869">
        <v>5.4153949999999904</v>
      </c>
      <c r="E6869">
        <v>0.50967370000000001</v>
      </c>
      <c r="F6869" t="s">
        <v>43</v>
      </c>
      <c r="G6869">
        <v>-313.21530000000001</v>
      </c>
      <c r="H6869">
        <v>-0.05</v>
      </c>
      <c r="I6869">
        <v>13.376239999999999</v>
      </c>
      <c r="J6869">
        <v>-326.76580000000001</v>
      </c>
      <c r="K6869">
        <v>1.1208579999999999</v>
      </c>
      <c r="L6869">
        <v>17.66797</v>
      </c>
      <c r="M6869">
        <v>0.99977709999999997</v>
      </c>
      <c r="N6869">
        <v>-1.4355100000000001E-2</v>
      </c>
      <c r="O6869">
        <v>1.548453E-2</v>
      </c>
      <c r="P6869">
        <v>0.95447059999999995</v>
      </c>
      <c r="Q6869">
        <v>-0.1182175</v>
      </c>
      <c r="R6869">
        <v>-0.27388069999999998</v>
      </c>
      <c r="S6869">
        <v>2.8551329999999999</v>
      </c>
      <c r="T6869">
        <v>-0.24505579999999999</v>
      </c>
      <c r="U6869">
        <v>-0.89788819999999903</v>
      </c>
      <c r="V6869">
        <v>0.28862549999999998</v>
      </c>
      <c r="W6869">
        <v>-0.1045759</v>
      </c>
      <c r="X6869">
        <v>0.95171380000000005</v>
      </c>
      <c r="Y6869">
        <v>0.31345810000000002</v>
      </c>
      <c r="Z6869">
        <v>-1.6499550000000002E-2</v>
      </c>
      <c r="AA6869">
        <v>0.94945869999999999</v>
      </c>
      <c r="AB6869">
        <v>20</v>
      </c>
      <c r="AC6869">
        <v>13.5505</v>
      </c>
      <c r="AD6869">
        <v>-1.170858</v>
      </c>
      <c r="AE6869">
        <v>-4.2917300000000003</v>
      </c>
      <c r="AF6869">
        <v>4.4707239870892099</v>
      </c>
      <c r="AG6869">
        <v>-1.170858</v>
      </c>
      <c r="AH6869">
        <v>13.391544470328</v>
      </c>
      <c r="AI6869">
        <v>94.740867166405593</v>
      </c>
      <c r="AJ6869">
        <v>71.538578814495096</v>
      </c>
      <c r="AK6869">
        <v>14.1665713821543</v>
      </c>
      <c r="AL6869">
        <v>96.0027330373876</v>
      </c>
      <c r="AM6869">
        <v>73.129064526471197</v>
      </c>
      <c r="AN6869">
        <v>0.99999997761074899</v>
      </c>
    </row>
    <row r="6870" spans="1:40" x14ac:dyDescent="0.25">
      <c r="A6870" t="str">
        <f>"20190303154945063"</f>
        <v>20190303154945063</v>
      </c>
      <c r="B6870" t="str">
        <f>"1551599385057116"</f>
        <v>1551599385057116</v>
      </c>
      <c r="C6870" t="s">
        <v>40</v>
      </c>
      <c r="D6870">
        <v>5.4127169999999998</v>
      </c>
      <c r="E6870">
        <v>0.5095151</v>
      </c>
      <c r="F6870" t="s">
        <v>43</v>
      </c>
      <c r="G6870">
        <v>-313.28230000000002</v>
      </c>
      <c r="H6870">
        <v>-0.05</v>
      </c>
      <c r="I6870">
        <v>13.418010000000001</v>
      </c>
      <c r="J6870">
        <v>-326.67970000000003</v>
      </c>
      <c r="K6870">
        <v>1.1208100000000001</v>
      </c>
      <c r="L6870">
        <v>17.669339999999998</v>
      </c>
      <c r="M6870">
        <v>0.99977700000000003</v>
      </c>
      <c r="N6870">
        <v>-1.43529E-2</v>
      </c>
      <c r="O6870">
        <v>1.549128E-2</v>
      </c>
      <c r="P6870">
        <v>0.95412169999999996</v>
      </c>
      <c r="Q6870">
        <v>-0.11887830000000001</v>
      </c>
      <c r="R6870">
        <v>-0.27480929999999998</v>
      </c>
      <c r="S6870">
        <v>2.854279</v>
      </c>
      <c r="T6870">
        <v>-0.24785460000000001</v>
      </c>
      <c r="U6870">
        <v>-0.89965819999999996</v>
      </c>
      <c r="V6870">
        <v>0.28954360000000001</v>
      </c>
      <c r="W6870">
        <v>-0.10527499999999999</v>
      </c>
      <c r="X6870">
        <v>0.95135780000000003</v>
      </c>
      <c r="Y6870">
        <v>0.31405139999999998</v>
      </c>
      <c r="Z6870">
        <v>-1.669636E-2</v>
      </c>
      <c r="AA6870">
        <v>0.94925919999999997</v>
      </c>
      <c r="AB6870">
        <v>20</v>
      </c>
      <c r="AC6870">
        <v>13.397399999999999</v>
      </c>
      <c r="AD6870">
        <v>-1.1708099999999999</v>
      </c>
      <c r="AE6870">
        <v>-4.2513299999999896</v>
      </c>
      <c r="AF6870">
        <v>4.4276627219158797</v>
      </c>
      <c r="AG6870">
        <v>-1.1708099999999999</v>
      </c>
      <c r="AH6870">
        <v>13.238074493027501</v>
      </c>
      <c r="AI6870">
        <v>94.7944920131538</v>
      </c>
      <c r="AJ6870">
        <v>71.506753645578499</v>
      </c>
      <c r="AK6870">
        <v>14.0079123897206</v>
      </c>
      <c r="AL6870">
        <v>96.043010756516395</v>
      </c>
      <c r="AM6870">
        <v>73.072491249566099</v>
      </c>
      <c r="AN6870">
        <v>0.99999999277340001</v>
      </c>
    </row>
    <row r="6871" spans="1:40" x14ac:dyDescent="0.25">
      <c r="A6871" t="str">
        <f>"20190303154945074"</f>
        <v>20190303154945074</v>
      </c>
      <c r="B6871" t="str">
        <f>"1551599385067852"</f>
        <v>1551599385067852</v>
      </c>
      <c r="C6871" t="s">
        <v>40</v>
      </c>
      <c r="D6871">
        <v>5.4128749999999997</v>
      </c>
      <c r="E6871">
        <v>0.50946519999999995</v>
      </c>
      <c r="F6871" t="s">
        <v>43</v>
      </c>
      <c r="G6871">
        <v>-313.35169999999999</v>
      </c>
      <c r="H6871">
        <v>-0.05</v>
      </c>
      <c r="I6871">
        <v>13.460240000000001</v>
      </c>
      <c r="J6871">
        <v>-326.5822</v>
      </c>
      <c r="K6871">
        <v>1.120757</v>
      </c>
      <c r="L6871">
        <v>17.670809999999999</v>
      </c>
      <c r="M6871">
        <v>0.99977749999999999</v>
      </c>
      <c r="N6871">
        <v>-1.435052E-2</v>
      </c>
      <c r="O6871">
        <v>1.5455099999999999E-2</v>
      </c>
      <c r="P6871">
        <v>0.95370160000000004</v>
      </c>
      <c r="Q6871">
        <v>-0.11958729999999999</v>
      </c>
      <c r="R6871">
        <v>-0.2759566</v>
      </c>
      <c r="S6871">
        <v>2.8534549999999999</v>
      </c>
      <c r="T6871">
        <v>-0.25066549999999999</v>
      </c>
      <c r="U6871">
        <v>-0.9011536</v>
      </c>
      <c r="V6871">
        <v>0.29063660000000002</v>
      </c>
      <c r="W6871">
        <v>-0.1060289</v>
      </c>
      <c r="X6871">
        <v>0.95094069999999997</v>
      </c>
      <c r="Y6871">
        <v>0.31451800000000002</v>
      </c>
      <c r="Z6871">
        <v>-1.6885069999999999E-2</v>
      </c>
      <c r="AA6871">
        <v>0.94910130000000004</v>
      </c>
      <c r="AB6871">
        <v>20</v>
      </c>
      <c r="AC6871">
        <v>13.230499999999999</v>
      </c>
      <c r="AD6871">
        <v>-1.170757</v>
      </c>
      <c r="AE6871">
        <v>-4.2105699999999997</v>
      </c>
      <c r="AF6871">
        <v>4.3833998556427698</v>
      </c>
      <c r="AG6871">
        <v>-1.170757</v>
      </c>
      <c r="AH6871">
        <v>13.070901053737799</v>
      </c>
      <c r="AI6871">
        <v>94.854005418916103</v>
      </c>
      <c r="AJ6871">
        <v>71.460833946583804</v>
      </c>
      <c r="AK6871">
        <v>13.8359430688371</v>
      </c>
      <c r="AL6871">
        <v>96.086449193174005</v>
      </c>
      <c r="AM6871">
        <v>73.005242938048198</v>
      </c>
      <c r="AN6871">
        <v>0.99999998790562905</v>
      </c>
    </row>
    <row r="6872" spans="1:40" x14ac:dyDescent="0.25">
      <c r="A6872" t="str">
        <f>"20190303154945085"</f>
        <v>20190303154945085</v>
      </c>
      <c r="B6872" t="str">
        <f>"1551599385077612"</f>
        <v>1551599385077612</v>
      </c>
      <c r="C6872" t="s">
        <v>40</v>
      </c>
      <c r="D6872">
        <v>5.414326</v>
      </c>
      <c r="E6872">
        <v>0.50937290000000002</v>
      </c>
      <c r="F6872" t="s">
        <v>43</v>
      </c>
      <c r="G6872">
        <v>-313.37819999999999</v>
      </c>
      <c r="H6872">
        <v>-0.05</v>
      </c>
      <c r="I6872">
        <v>13.48517</v>
      </c>
      <c r="J6872">
        <v>-326.48399999999998</v>
      </c>
      <c r="K6872">
        <v>1.1207009999999999</v>
      </c>
      <c r="L6872">
        <v>17.6723</v>
      </c>
      <c r="M6872">
        <v>0.99977870000000002</v>
      </c>
      <c r="N6872">
        <v>-1.43482E-2</v>
      </c>
      <c r="O6872">
        <v>1.537637E-2</v>
      </c>
      <c r="P6872">
        <v>0.9533452</v>
      </c>
      <c r="Q6872">
        <v>-0.1200976</v>
      </c>
      <c r="R6872">
        <v>-0.27696480000000001</v>
      </c>
      <c r="S6872">
        <v>2.852325</v>
      </c>
      <c r="T6872">
        <v>-0.25290550000000001</v>
      </c>
      <c r="U6872">
        <v>-0.90417479999999995</v>
      </c>
      <c r="V6872">
        <v>0.29155019999999998</v>
      </c>
      <c r="W6872">
        <v>-0.106585</v>
      </c>
      <c r="X6872">
        <v>0.95059879999999997</v>
      </c>
      <c r="Y6872">
        <v>0.31543840000000001</v>
      </c>
      <c r="Z6872">
        <v>-1.7061E-2</v>
      </c>
      <c r="AA6872">
        <v>0.94879270000000004</v>
      </c>
      <c r="AB6872">
        <v>20</v>
      </c>
      <c r="AC6872">
        <v>13.1058</v>
      </c>
      <c r="AD6872">
        <v>-1.170701</v>
      </c>
      <c r="AE6872">
        <v>-4.18712999999999</v>
      </c>
      <c r="AF6872">
        <v>4.3566320722431202</v>
      </c>
      <c r="AG6872">
        <v>-1.170701</v>
      </c>
      <c r="AH6872">
        <v>12.9461272614738</v>
      </c>
      <c r="AI6872">
        <v>94.898614021484207</v>
      </c>
      <c r="AJ6872">
        <v>71.400879002321304</v>
      </c>
      <c r="AK6872">
        <v>13.7095949945494</v>
      </c>
      <c r="AL6872">
        <v>96.118493006273894</v>
      </c>
      <c r="AM6872">
        <v>72.949138073707999</v>
      </c>
      <c r="AN6872">
        <v>0.99999997995323897</v>
      </c>
    </row>
    <row r="6873" spans="1:40" x14ac:dyDescent="0.25">
      <c r="A6873" t="str">
        <f>"20190303154945096"</f>
        <v>20190303154945096</v>
      </c>
      <c r="B6873" t="str">
        <f>"1551599385087879"</f>
        <v>1551599385087879</v>
      </c>
      <c r="C6873" t="s">
        <v>40</v>
      </c>
      <c r="D6873">
        <v>5.4091079999999998</v>
      </c>
      <c r="E6873">
        <v>0.50937330000000003</v>
      </c>
      <c r="F6873" t="s">
        <v>43</v>
      </c>
      <c r="G6873">
        <v>-313.41250000000002</v>
      </c>
      <c r="H6873">
        <v>-0.05</v>
      </c>
      <c r="I6873">
        <v>13.517139999999999</v>
      </c>
      <c r="J6873">
        <v>-326.38549999999998</v>
      </c>
      <c r="K6873">
        <v>1.1206430000000001</v>
      </c>
      <c r="L6873">
        <v>17.67371</v>
      </c>
      <c r="M6873">
        <v>0.99978080000000003</v>
      </c>
      <c r="N6873">
        <v>-1.434594E-2</v>
      </c>
      <c r="O6873">
        <v>1.525492E-2</v>
      </c>
      <c r="P6873">
        <v>0.95304979999999995</v>
      </c>
      <c r="Q6873">
        <v>-0.120128399999999</v>
      </c>
      <c r="R6873">
        <v>-0.27796609999999899</v>
      </c>
      <c r="S6873">
        <v>2.8512879999999998</v>
      </c>
      <c r="T6873">
        <v>-0.25536639999999999</v>
      </c>
      <c r="U6873">
        <v>-0.90637210000000001</v>
      </c>
      <c r="V6873">
        <v>0.29241719999999999</v>
      </c>
      <c r="W6873">
        <v>-0.1066624</v>
      </c>
      <c r="X6873">
        <v>0.95032380000000005</v>
      </c>
      <c r="Y6873">
        <v>0.31605909999999998</v>
      </c>
      <c r="Z6873">
        <v>-1.7232310000000001E-2</v>
      </c>
      <c r="AA6873">
        <v>0.94858299999999995</v>
      </c>
      <c r="AB6873">
        <v>20</v>
      </c>
      <c r="AC6873">
        <v>12.9729999999999</v>
      </c>
      <c r="AD6873">
        <v>-1.1706430000000001</v>
      </c>
      <c r="AE6873">
        <v>-4.1565699999999897</v>
      </c>
      <c r="AF6873">
        <v>4.3220916939148903</v>
      </c>
      <c r="AG6873">
        <v>-1.1706430000000001</v>
      </c>
      <c r="AH6873">
        <v>12.8134530872267</v>
      </c>
      <c r="AI6873">
        <v>94.947665958792598</v>
      </c>
      <c r="AJ6873">
        <v>71.360291678244593</v>
      </c>
      <c r="AK6873">
        <v>13.5733364233933</v>
      </c>
      <c r="AL6873">
        <v>96.122952966981799</v>
      </c>
      <c r="AM6873">
        <v>72.896727046597803</v>
      </c>
      <c r="AN6873">
        <v>1.0000000056380201</v>
      </c>
    </row>
    <row r="6874" spans="1:40" x14ac:dyDescent="0.25">
      <c r="A6874" t="str">
        <f>"20190303154945108"</f>
        <v>20190303154945108</v>
      </c>
      <c r="B6874" t="str">
        <f>"1551599385097639"</f>
        <v>1551599385097639</v>
      </c>
      <c r="C6874" t="s">
        <v>40</v>
      </c>
      <c r="D6874">
        <v>5.4364730000000003</v>
      </c>
      <c r="E6874">
        <v>0.50945450000000003</v>
      </c>
      <c r="F6874" t="s">
        <v>43</v>
      </c>
      <c r="G6874">
        <v>-313.3159</v>
      </c>
      <c r="H6874">
        <v>-0.05</v>
      </c>
      <c r="I6874">
        <v>13.50432</v>
      </c>
      <c r="J6874">
        <v>-326.28210000000001</v>
      </c>
      <c r="K6874">
        <v>1.120581</v>
      </c>
      <c r="L6874">
        <v>17.675139999999999</v>
      </c>
      <c r="M6874">
        <v>0.99978370000000005</v>
      </c>
      <c r="N6874">
        <v>-1.4343730000000001E-2</v>
      </c>
      <c r="O6874">
        <v>1.506147E-2</v>
      </c>
      <c r="P6874">
        <v>0.95274899999999996</v>
      </c>
      <c r="Q6874">
        <v>-0.12026539999999999</v>
      </c>
      <c r="R6874">
        <v>-0.2789373</v>
      </c>
      <c r="S6874">
        <v>2.8504330000000002</v>
      </c>
      <c r="T6874">
        <v>-0.25531379999999998</v>
      </c>
      <c r="U6874">
        <v>-0.90933229999999998</v>
      </c>
      <c r="V6874">
        <v>0.29318359999999999</v>
      </c>
      <c r="W6874">
        <v>-0.10685020000000001</v>
      </c>
      <c r="X6874">
        <v>0.95006659999999998</v>
      </c>
      <c r="Y6874">
        <v>0.3168494</v>
      </c>
      <c r="Z6874">
        <v>-1.7257370000000001E-2</v>
      </c>
      <c r="AA6874">
        <v>0.94831880000000002</v>
      </c>
      <c r="AB6874">
        <v>20</v>
      </c>
      <c r="AC6874">
        <v>12.966200000000001</v>
      </c>
      <c r="AD6874">
        <v>-1.1705809999999901</v>
      </c>
      <c r="AE6874">
        <v>-4.1708199999999902</v>
      </c>
      <c r="AF6874">
        <v>4.3336480570991798</v>
      </c>
      <c r="AG6874">
        <v>-1.1705809999999901</v>
      </c>
      <c r="AH6874">
        <v>12.8073074113506</v>
      </c>
      <c r="AI6874">
        <v>94.948178400964494</v>
      </c>
      <c r="AJ6874">
        <v>71.305564678014306</v>
      </c>
      <c r="AK6874">
        <v>13.571215438905901</v>
      </c>
      <c r="AL6874">
        <v>96.1337745849724</v>
      </c>
      <c r="AM6874">
        <v>72.850156961212704</v>
      </c>
      <c r="AN6874">
        <v>1.0000000664922699</v>
      </c>
    </row>
    <row r="6875" spans="1:40" x14ac:dyDescent="0.25">
      <c r="A6875" t="str">
        <f>"20190303154945119"</f>
        <v>20190303154945119</v>
      </c>
      <c r="B6875" t="str">
        <f>"1551599385107399"</f>
        <v>1551599385107399</v>
      </c>
      <c r="C6875" t="s">
        <v>40</v>
      </c>
      <c r="D6875">
        <v>5.4575279999999999</v>
      </c>
      <c r="E6875">
        <v>0.50950220000000002</v>
      </c>
      <c r="F6875" t="s">
        <v>43</v>
      </c>
      <c r="G6875">
        <v>-313.24470000000002</v>
      </c>
      <c r="H6875">
        <v>-0.05</v>
      </c>
      <c r="I6875">
        <v>13.49844</v>
      </c>
      <c r="J6875">
        <v>-326.1832</v>
      </c>
      <c r="K6875">
        <v>1.1205179999999999</v>
      </c>
      <c r="L6875">
        <v>17.676449999999999</v>
      </c>
      <c r="M6875">
        <v>0.99978699999999998</v>
      </c>
      <c r="N6875">
        <v>-1.4341670000000001E-2</v>
      </c>
      <c r="O6875">
        <v>1.48465E-2</v>
      </c>
      <c r="P6875">
        <v>0.95251759999999996</v>
      </c>
      <c r="Q6875">
        <v>-0.119829</v>
      </c>
      <c r="R6875">
        <v>-0.27991369999999999</v>
      </c>
      <c r="S6875">
        <v>2.8492130000000002</v>
      </c>
      <c r="T6875">
        <v>-0.2558202</v>
      </c>
      <c r="U6875">
        <v>-0.91278079999999995</v>
      </c>
      <c r="V6875">
        <v>0.2939369</v>
      </c>
      <c r="W6875">
        <v>-0.1064628</v>
      </c>
      <c r="X6875">
        <v>0.94987730000000004</v>
      </c>
      <c r="Y6875">
        <v>0.3177952</v>
      </c>
      <c r="Z6875">
        <v>-1.7323430000000001E-2</v>
      </c>
      <c r="AA6875">
        <v>0.94800110000000004</v>
      </c>
      <c r="AB6875">
        <v>20</v>
      </c>
      <c r="AC6875">
        <v>12.9384999999999</v>
      </c>
      <c r="AD6875">
        <v>-1.1705179999999999</v>
      </c>
      <c r="AE6875">
        <v>-4.1780099999999996</v>
      </c>
      <c r="AF6875">
        <v>4.3375127009640799</v>
      </c>
      <c r="AG6875">
        <v>-1.1705179999999999</v>
      </c>
      <c r="AH6875">
        <v>12.780315899438801</v>
      </c>
      <c r="AI6875">
        <v>94.956786196396607</v>
      </c>
      <c r="AJ6875">
        <v>71.253296237097004</v>
      </c>
      <c r="AK6875">
        <v>13.5469776448031</v>
      </c>
      <c r="AL6875">
        <v>96.111450923384794</v>
      </c>
      <c r="AM6875">
        <v>72.805462902689996</v>
      </c>
      <c r="AN6875">
        <v>1.00000005701036</v>
      </c>
    </row>
    <row r="6876" spans="1:40" x14ac:dyDescent="0.25">
      <c r="A6876" t="str">
        <f>"20190303154945131"</f>
        <v>20190303154945131</v>
      </c>
      <c r="B6876" t="str">
        <f>"1551599385127895"</f>
        <v>1551599385127895</v>
      </c>
      <c r="C6876" t="s">
        <v>40</v>
      </c>
      <c r="D6876">
        <v>5.4117230000000003</v>
      </c>
      <c r="E6876">
        <v>0.50952470000000005</v>
      </c>
      <c r="F6876" t="s">
        <v>43</v>
      </c>
      <c r="G6876">
        <v>-313.04250000000002</v>
      </c>
      <c r="H6876">
        <v>-0.05</v>
      </c>
      <c r="I6876">
        <v>13.450710000000001</v>
      </c>
      <c r="J6876">
        <v>-326.0763</v>
      </c>
      <c r="K6876">
        <v>1.1204459999999901</v>
      </c>
      <c r="L6876">
        <v>17.677700000000002</v>
      </c>
      <c r="M6876">
        <v>0.99979180000000001</v>
      </c>
      <c r="N6876">
        <v>-1.433976E-2</v>
      </c>
      <c r="O6876">
        <v>1.451942E-2</v>
      </c>
      <c r="P6876">
        <v>0.95227839999999997</v>
      </c>
      <c r="Q6876">
        <v>-0.11934640000000001</v>
      </c>
      <c r="R6876">
        <v>-0.28093170000000001</v>
      </c>
      <c r="S6876">
        <v>2.8484189999999998</v>
      </c>
      <c r="T6876">
        <v>-0.25372549999999999</v>
      </c>
      <c r="U6876">
        <v>-0.9159851</v>
      </c>
      <c r="V6876">
        <v>0.29462310000000003</v>
      </c>
      <c r="W6876">
        <v>-0.1060358</v>
      </c>
      <c r="X6876">
        <v>0.94971240000000001</v>
      </c>
      <c r="Y6876">
        <v>0.31854739999999998</v>
      </c>
      <c r="Z6876">
        <v>-1.7215370000000001E-2</v>
      </c>
      <c r="AA6876">
        <v>0.9477506</v>
      </c>
      <c r="AB6876">
        <v>20</v>
      </c>
      <c r="AC6876">
        <v>13.0337999999999</v>
      </c>
      <c r="AD6876">
        <v>-1.1704460000000001</v>
      </c>
      <c r="AE6876">
        <v>-4.2269899999999998</v>
      </c>
      <c r="AF6876">
        <v>4.3838194099555698</v>
      </c>
      <c r="AG6876">
        <v>-1.1704460000000001</v>
      </c>
      <c r="AH6876">
        <v>12.877085301265801</v>
      </c>
      <c r="AI6876">
        <v>94.917859671073202</v>
      </c>
      <c r="AJ6876">
        <v>71.199593311116004</v>
      </c>
      <c r="AK6876">
        <v>13.653100099028601</v>
      </c>
      <c r="AL6876">
        <v>96.086846687258102</v>
      </c>
      <c r="AM6876">
        <v>72.764881925516406</v>
      </c>
      <c r="AN6876">
        <v>1.0000000023244999</v>
      </c>
    </row>
    <row r="6877" spans="1:40" x14ac:dyDescent="0.25">
      <c r="A6877" t="str">
        <f>"20190303154945142"</f>
        <v>20190303154945142</v>
      </c>
      <c r="B6877" t="str">
        <f>"1551599385137654"</f>
        <v>1551599385137654</v>
      </c>
      <c r="C6877" t="s">
        <v>40</v>
      </c>
      <c r="D6877">
        <v>5.4531739999999997</v>
      </c>
      <c r="E6877">
        <v>0.50964750000000003</v>
      </c>
      <c r="F6877" t="s">
        <v>43</v>
      </c>
      <c r="G6877">
        <v>-312.9135</v>
      </c>
      <c r="H6877">
        <v>-0.05</v>
      </c>
      <c r="I6877">
        <v>13.42906</v>
      </c>
      <c r="J6877">
        <v>-325.97930000000002</v>
      </c>
      <c r="K6877">
        <v>1.1203799999999999</v>
      </c>
      <c r="L6877">
        <v>17.678829999999898</v>
      </c>
      <c r="M6877">
        <v>0.99979649999999998</v>
      </c>
      <c r="N6877">
        <v>-1.433809E-2</v>
      </c>
      <c r="O6877">
        <v>1.4198860000000001E-2</v>
      </c>
      <c r="P6877">
        <v>0.95207280000000005</v>
      </c>
      <c r="Q6877">
        <v>-0.118938</v>
      </c>
      <c r="R6877">
        <v>-0.28180050000000001</v>
      </c>
      <c r="S6877">
        <v>2.8474729999999999</v>
      </c>
      <c r="T6877">
        <v>-0.25319910000000001</v>
      </c>
      <c r="U6877">
        <v>-0.91909790000000002</v>
      </c>
      <c r="V6877">
        <v>0.29516829999999999</v>
      </c>
      <c r="W6877">
        <v>-0.1056786</v>
      </c>
      <c r="X6877">
        <v>0.94958290000000001</v>
      </c>
      <c r="Y6877">
        <v>0.31927670000000002</v>
      </c>
      <c r="Z6877">
        <v>-1.7200299999999901E-2</v>
      </c>
      <c r="AA6877">
        <v>0.94750540000000005</v>
      </c>
      <c r="AB6877">
        <v>20</v>
      </c>
      <c r="AC6877">
        <v>13.065799999999999</v>
      </c>
      <c r="AD6877">
        <v>-1.17038</v>
      </c>
      <c r="AE6877">
        <v>-4.2497699999999901</v>
      </c>
      <c r="AF6877">
        <v>4.40293157131212</v>
      </c>
      <c r="AG6877">
        <v>-1.17038</v>
      </c>
      <c r="AH6877">
        <v>12.9104539804519</v>
      </c>
      <c r="AI6877">
        <v>94.904041008335795</v>
      </c>
      <c r="AJ6877">
        <v>71.168768059365505</v>
      </c>
      <c r="AK6877">
        <v>13.690705524092801</v>
      </c>
      <c r="AL6877">
        <v>96.066265081095196</v>
      </c>
      <c r="AM6877">
        <v>72.732668104973001</v>
      </c>
      <c r="AN6877">
        <v>0.99999998789762901</v>
      </c>
    </row>
    <row r="6878" spans="1:40" x14ac:dyDescent="0.25">
      <c r="A6878" t="str">
        <f>"20190303154945152"</f>
        <v>20190303154945152</v>
      </c>
      <c r="B6878" t="str">
        <f>"1551599385147414"</f>
        <v>1551599385147414</v>
      </c>
      <c r="C6878" t="s">
        <v>40</v>
      </c>
      <c r="D6878">
        <v>5.4272919999999996</v>
      </c>
      <c r="E6878">
        <v>0.50974489999999995</v>
      </c>
      <c r="F6878" t="s">
        <v>43</v>
      </c>
      <c r="G6878">
        <v>-312.77</v>
      </c>
      <c r="H6878">
        <v>-0.05</v>
      </c>
      <c r="I6878">
        <v>13.397489999999999</v>
      </c>
      <c r="J6878">
        <v>-325.88080000000002</v>
      </c>
      <c r="K6878">
        <v>1.120301</v>
      </c>
      <c r="L6878">
        <v>17.67981</v>
      </c>
      <c r="M6878">
        <v>0.99980230000000003</v>
      </c>
      <c r="N6878">
        <v>-1.433676E-2</v>
      </c>
      <c r="O6878">
        <v>1.378425E-2</v>
      </c>
      <c r="P6878">
        <v>0.95186230000000005</v>
      </c>
      <c r="Q6878">
        <v>-0.1186478</v>
      </c>
      <c r="R6878">
        <v>-0.28263250000000001</v>
      </c>
      <c r="S6878">
        <v>2.8464360000000002</v>
      </c>
      <c r="T6878">
        <v>-0.25220229999999999</v>
      </c>
      <c r="U6878">
        <v>-0.92257690000000003</v>
      </c>
      <c r="V6878">
        <v>0.29558649999999997</v>
      </c>
      <c r="W6878">
        <v>-0.1054426</v>
      </c>
      <c r="X6878">
        <v>0.94947899999999996</v>
      </c>
      <c r="Y6878">
        <v>0.32004070000000001</v>
      </c>
      <c r="Z6878">
        <v>-1.7152529999999999E-2</v>
      </c>
      <c r="AA6878">
        <v>0.94724850000000005</v>
      </c>
      <c r="AB6878">
        <v>20</v>
      </c>
      <c r="AC6878">
        <v>13.110799999999999</v>
      </c>
      <c r="AD6878">
        <v>-1.170301</v>
      </c>
      <c r="AE6878">
        <v>-4.2823199999999897</v>
      </c>
      <c r="AF6878">
        <v>4.4307541648114102</v>
      </c>
      <c r="AG6878">
        <v>-1.170301</v>
      </c>
      <c r="AH6878">
        <v>12.9572315941124</v>
      </c>
      <c r="AI6878">
        <v>94.884732225967795</v>
      </c>
      <c r="AJ6878">
        <v>71.121762770835105</v>
      </c>
      <c r="AK6878">
        <v>13.743763585097801</v>
      </c>
      <c r="AL6878">
        <v>96.052667557985103</v>
      </c>
      <c r="AM6878">
        <v>72.707881714215503</v>
      </c>
      <c r="AN6878">
        <v>0.99999994615900301</v>
      </c>
    </row>
    <row r="6879" spans="1:40" x14ac:dyDescent="0.25">
      <c r="A6879" t="str">
        <f>"20190303154945164"</f>
        <v>20190303154945164</v>
      </c>
      <c r="B6879" t="str">
        <f>"1551599385157175"</f>
        <v>1551599385157175</v>
      </c>
      <c r="C6879" t="s">
        <v>40</v>
      </c>
      <c r="D6879">
        <v>5.442704</v>
      </c>
      <c r="E6879">
        <v>0.50978270000000003</v>
      </c>
      <c r="F6879" t="s">
        <v>43</v>
      </c>
      <c r="G6879">
        <v>-312.6173</v>
      </c>
      <c r="H6879">
        <v>-0.05</v>
      </c>
      <c r="I6879">
        <v>13.36476</v>
      </c>
      <c r="J6879">
        <v>-325.77280000000002</v>
      </c>
      <c r="K6879">
        <v>1.120223</v>
      </c>
      <c r="L6879">
        <v>17.680789999999998</v>
      </c>
      <c r="M6879">
        <v>0.99980899999999995</v>
      </c>
      <c r="N6879">
        <v>-1.433546E-2</v>
      </c>
      <c r="O6879">
        <v>1.3291249999999999E-2</v>
      </c>
      <c r="P6879">
        <v>0.95162389999999997</v>
      </c>
      <c r="Q6879">
        <v>-0.1187402</v>
      </c>
      <c r="R6879">
        <v>-0.28339530000000002</v>
      </c>
      <c r="S6879">
        <v>2.8455509999999999</v>
      </c>
      <c r="T6879">
        <v>-0.25107600000000002</v>
      </c>
      <c r="U6879">
        <v>-0.92575070000000004</v>
      </c>
      <c r="V6879">
        <v>0.29585879999999998</v>
      </c>
      <c r="W6879">
        <v>-0.10559350000000001</v>
      </c>
      <c r="X6879">
        <v>0.94937749999999999</v>
      </c>
      <c r="Y6879">
        <v>0.32062580000000002</v>
      </c>
      <c r="Z6879">
        <v>-1.7081880000000001E-2</v>
      </c>
      <c r="AA6879">
        <v>0.94705189999999995</v>
      </c>
      <c r="AB6879">
        <v>20</v>
      </c>
      <c r="AC6879">
        <v>13.1555</v>
      </c>
      <c r="AD6879">
        <v>-1.170223</v>
      </c>
      <c r="AE6879">
        <v>-4.3160299999999898</v>
      </c>
      <c r="AF6879">
        <v>4.4586680893479702</v>
      </c>
      <c r="AG6879">
        <v>-1.170223</v>
      </c>
      <c r="AH6879">
        <v>13.004068658111001</v>
      </c>
      <c r="AI6879">
        <v>94.865542630808704</v>
      </c>
      <c r="AJ6879">
        <v>71.074842015745503</v>
      </c>
      <c r="AK6879">
        <v>13.7969179408143</v>
      </c>
      <c r="AL6879">
        <v>96.061361536743107</v>
      </c>
      <c r="AM6879">
        <v>72.6911631479866</v>
      </c>
      <c r="AN6879">
        <v>1.0000000271429601</v>
      </c>
    </row>
    <row r="6880" spans="1:40" x14ac:dyDescent="0.25">
      <c r="A6880" t="str">
        <f>"20190303154945174"</f>
        <v>20190303154945174</v>
      </c>
      <c r="B6880" t="str">
        <f>"1551599385167911"</f>
        <v>1551599385167911</v>
      </c>
      <c r="C6880" t="s">
        <v>40</v>
      </c>
      <c r="D6880">
        <v>5.4247050000000003</v>
      </c>
      <c r="E6880">
        <v>0.5098838</v>
      </c>
      <c r="F6880" t="s">
        <v>43</v>
      </c>
      <c r="G6880">
        <v>-312.56189999999998</v>
      </c>
      <c r="H6880">
        <v>-0.05</v>
      </c>
      <c r="I6880">
        <v>13.37006</v>
      </c>
      <c r="J6880">
        <v>-325.67759999999998</v>
      </c>
      <c r="K6880">
        <v>1.120155</v>
      </c>
      <c r="L6880">
        <v>17.68158</v>
      </c>
      <c r="M6880">
        <v>0.99981540000000002</v>
      </c>
      <c r="N6880">
        <v>-1.4334619999999999E-2</v>
      </c>
      <c r="O6880">
        <v>1.279926E-2</v>
      </c>
      <c r="P6880">
        <v>0.9514224</v>
      </c>
      <c r="Q6880">
        <v>-0.118947</v>
      </c>
      <c r="R6880">
        <v>-0.28398479999999998</v>
      </c>
      <c r="S6880">
        <v>2.8446660000000001</v>
      </c>
      <c r="T6880">
        <v>-0.25198199999999998</v>
      </c>
      <c r="U6880">
        <v>-0.92822269999999896</v>
      </c>
      <c r="V6880">
        <v>0.29596159999999999</v>
      </c>
      <c r="W6880">
        <v>-0.10585020000000001</v>
      </c>
      <c r="X6880">
        <v>0.94931679999999996</v>
      </c>
      <c r="Y6880">
        <v>0.32098090000000001</v>
      </c>
      <c r="Z6880">
        <v>-1.7120529999999998E-2</v>
      </c>
      <c r="AA6880">
        <v>0.94693090000000002</v>
      </c>
      <c r="AB6880">
        <v>20</v>
      </c>
      <c r="AC6880">
        <v>13.1157</v>
      </c>
      <c r="AD6880">
        <v>-1.1701549999999901</v>
      </c>
      <c r="AE6880">
        <v>-4.3115199999999998</v>
      </c>
      <c r="AF6880">
        <v>4.4471092021789396</v>
      </c>
      <c r="AG6880">
        <v>-1.1701549999999901</v>
      </c>
      <c r="AH6880">
        <v>12.9662914471305</v>
      </c>
      <c r="AI6880">
        <v>94.879207686300205</v>
      </c>
      <c r="AJ6880">
        <v>71.069331593143204</v>
      </c>
      <c r="AK6880">
        <v>13.757570892859601</v>
      </c>
      <c r="AL6880">
        <v>96.0761526626505</v>
      </c>
      <c r="AM6880">
        <v>72.684467517017396</v>
      </c>
      <c r="AN6880">
        <v>0.99999996013841896</v>
      </c>
    </row>
    <row r="6881" spans="1:40" x14ac:dyDescent="0.25">
      <c r="A6881" t="str">
        <f>"20190303154945187"</f>
        <v>20190303154945187</v>
      </c>
      <c r="B6881" t="str">
        <f>"1551599385177670"</f>
        <v>1551599385177670</v>
      </c>
      <c r="C6881" t="s">
        <v>40</v>
      </c>
      <c r="D6881">
        <v>5.418863</v>
      </c>
      <c r="E6881">
        <v>0.51000040000000002</v>
      </c>
      <c r="F6881" t="s">
        <v>43</v>
      </c>
      <c r="G6881">
        <v>-312.49549999999999</v>
      </c>
      <c r="H6881">
        <v>-0.05</v>
      </c>
      <c r="I6881">
        <v>13.367279999999999</v>
      </c>
      <c r="J6881">
        <v>-325.56939999999997</v>
      </c>
      <c r="K6881">
        <v>1.1200859999999999</v>
      </c>
      <c r="L6881">
        <v>17.682279999999999</v>
      </c>
      <c r="M6881">
        <v>0.99982320000000002</v>
      </c>
      <c r="N6881">
        <v>-1.4333749999999999E-2</v>
      </c>
      <c r="O6881">
        <v>1.218054E-2</v>
      </c>
      <c r="P6881">
        <v>0.95118449999999999</v>
      </c>
      <c r="Q6881">
        <v>-0.1194288</v>
      </c>
      <c r="R6881">
        <v>-0.28457900000000003</v>
      </c>
      <c r="S6881">
        <v>2.8438110000000001</v>
      </c>
      <c r="T6881">
        <v>-0.25243900000000002</v>
      </c>
      <c r="U6881">
        <v>-0.93072509999999997</v>
      </c>
      <c r="V6881">
        <v>0.29594670000000001</v>
      </c>
      <c r="W6881">
        <v>-0.1063863</v>
      </c>
      <c r="X6881">
        <v>0.94926149999999998</v>
      </c>
      <c r="Y6881">
        <v>0.3212274</v>
      </c>
      <c r="Z6881">
        <v>-1.711764E-2</v>
      </c>
      <c r="AA6881">
        <v>0.94684740000000001</v>
      </c>
      <c r="AB6881">
        <v>20</v>
      </c>
      <c r="AC6881">
        <v>13.073899999999901</v>
      </c>
      <c r="AD6881">
        <v>-1.170086</v>
      </c>
      <c r="AE6881">
        <v>-4.3150000000000004</v>
      </c>
      <c r="AF6881">
        <v>4.4418595444641102</v>
      </c>
      <c r="AG6881">
        <v>-1.170086</v>
      </c>
      <c r="AH6881">
        <v>12.9269931388191</v>
      </c>
      <c r="AI6881">
        <v>94.892729557055603</v>
      </c>
      <c r="AJ6881">
        <v>71.036705056230105</v>
      </c>
      <c r="AK6881">
        <v>13.718832642437899</v>
      </c>
      <c r="AL6881">
        <v>96.107043449924404</v>
      </c>
      <c r="AM6881">
        <v>72.684338764117996</v>
      </c>
      <c r="AN6881">
        <v>0.99999994472541298</v>
      </c>
    </row>
    <row r="6882" spans="1:40" x14ac:dyDescent="0.25">
      <c r="A6882" t="str">
        <f>"20190303154945200"</f>
        <v>20190303154945200</v>
      </c>
      <c r="B6882" t="str">
        <f>"1551599385187938"</f>
        <v>1551599385187938</v>
      </c>
      <c r="C6882" t="s">
        <v>40</v>
      </c>
      <c r="D6882">
        <v>5.4607460000000003</v>
      </c>
      <c r="E6882">
        <v>0.51015189999999999</v>
      </c>
      <c r="F6882" t="s">
        <v>43</v>
      </c>
      <c r="G6882">
        <v>-312.42579999999998</v>
      </c>
      <c r="H6882">
        <v>-0.05</v>
      </c>
      <c r="I6882">
        <v>13.366849999999999</v>
      </c>
      <c r="J6882">
        <v>-325.4554</v>
      </c>
      <c r="K6882">
        <v>1.120009</v>
      </c>
      <c r="L6882">
        <v>17.682950000000002</v>
      </c>
      <c r="M6882">
        <v>0.99983140000000004</v>
      </c>
      <c r="N6882">
        <v>-1.4332869999999999E-2</v>
      </c>
      <c r="O6882">
        <v>1.148513E-2</v>
      </c>
      <c r="P6882">
        <v>0.95100839999999998</v>
      </c>
      <c r="Q6882">
        <v>-0.11958770000000001</v>
      </c>
      <c r="R6882">
        <v>-0.28510000000000002</v>
      </c>
      <c r="S6882">
        <v>2.8428960000000001</v>
      </c>
      <c r="T6882">
        <v>-0.25308510000000001</v>
      </c>
      <c r="U6882">
        <v>-0.93341059999999998</v>
      </c>
      <c r="V6882">
        <v>0.29578680000000002</v>
      </c>
      <c r="W6882">
        <v>-0.10659920000000001</v>
      </c>
      <c r="X6882">
        <v>0.94928749999999995</v>
      </c>
      <c r="Y6882">
        <v>0.32146079999999999</v>
      </c>
      <c r="Z6882">
        <v>-1.7119639999999998E-2</v>
      </c>
      <c r="AA6882">
        <v>0.94676819999999895</v>
      </c>
      <c r="AB6882">
        <v>20</v>
      </c>
      <c r="AC6882">
        <v>13.0296</v>
      </c>
      <c r="AD6882">
        <v>-1.1700090000000001</v>
      </c>
      <c r="AE6882">
        <v>-4.3160999999999996</v>
      </c>
      <c r="AF6882">
        <v>4.4332648814277196</v>
      </c>
      <c r="AG6882">
        <v>-1.1700090000000001</v>
      </c>
      <c r="AH6882">
        <v>12.885537212904101</v>
      </c>
      <c r="AI6882">
        <v>94.907414005218399</v>
      </c>
      <c r="AJ6882">
        <v>71.014238012499206</v>
      </c>
      <c r="AK6882">
        <v>13.676981678503401</v>
      </c>
      <c r="AL6882">
        <v>96.119311212098197</v>
      </c>
      <c r="AM6882">
        <v>72.693581199079901</v>
      </c>
      <c r="AN6882">
        <v>0.99999998907556398</v>
      </c>
    </row>
    <row r="6883" spans="1:40" x14ac:dyDescent="0.25">
      <c r="A6883" t="str">
        <f>"20190303154945215"</f>
        <v>20190303154945215</v>
      </c>
      <c r="B6883" t="str">
        <f>"1551599385207458"</f>
        <v>1551599385207458</v>
      </c>
      <c r="C6883" t="s">
        <v>40</v>
      </c>
      <c r="D6883">
        <v>5.4437360000000004</v>
      </c>
      <c r="E6883">
        <v>0.51047710000000002</v>
      </c>
      <c r="F6883" t="s">
        <v>43</v>
      </c>
      <c r="G6883">
        <v>-312.33640000000003</v>
      </c>
      <c r="H6883">
        <v>-0.05</v>
      </c>
      <c r="I6883">
        <v>13.361599999999999</v>
      </c>
      <c r="J6883">
        <v>-325.33330000000001</v>
      </c>
      <c r="K6883">
        <v>1.1199349999999999</v>
      </c>
      <c r="L6883">
        <v>17.683409999999999</v>
      </c>
      <c r="M6883">
        <v>0.99984090000000003</v>
      </c>
      <c r="N6883">
        <v>-1.4332009999999999E-2</v>
      </c>
      <c r="O6883">
        <v>1.062654E-2</v>
      </c>
      <c r="P6883">
        <v>0.95079740000000001</v>
      </c>
      <c r="Q6883">
        <v>-0.1198601</v>
      </c>
      <c r="R6883">
        <v>-0.28568850000000001</v>
      </c>
      <c r="S6883">
        <v>2.842041</v>
      </c>
      <c r="T6883">
        <v>-0.25346479999999999</v>
      </c>
      <c r="U6883">
        <v>-0.93615720000000002</v>
      </c>
      <c r="V6883">
        <v>0.29553960000000001</v>
      </c>
      <c r="W6883">
        <v>-0.10692400000000001</v>
      </c>
      <c r="X6883">
        <v>0.9493279</v>
      </c>
      <c r="Y6883">
        <v>0.3215557</v>
      </c>
      <c r="Z6883">
        <v>-1.7086520000000001E-2</v>
      </c>
      <c r="AA6883">
        <v>0.94673649999999998</v>
      </c>
      <c r="AB6883">
        <v>20</v>
      </c>
      <c r="AC6883">
        <v>12.996899999999901</v>
      </c>
      <c r="AD6883">
        <v>-1.1699349999999999</v>
      </c>
      <c r="AE6883">
        <v>-4.3218100000000002</v>
      </c>
      <c r="AF6883">
        <v>4.4273890785623502</v>
      </c>
      <c r="AG6883">
        <v>-1.1699349999999999</v>
      </c>
      <c r="AH6883">
        <v>12.8564323419529</v>
      </c>
      <c r="AI6883">
        <v>94.917674890444303</v>
      </c>
      <c r="AJ6883">
        <v>70.997751282770693</v>
      </c>
      <c r="AK6883">
        <v>13.6476508791957</v>
      </c>
      <c r="AL6883">
        <v>96.138028221896704</v>
      </c>
      <c r="AM6883">
        <v>72.707874032757701</v>
      </c>
      <c r="AN6883">
        <v>0.99999992933128201</v>
      </c>
    </row>
    <row r="6884" spans="1:40" x14ac:dyDescent="0.25">
      <c r="A6884" t="str">
        <f>"20190303154945227"</f>
        <v>20190303154945227</v>
      </c>
      <c r="B6884" t="str">
        <f>"1551599385217218"</f>
        <v>1551599385217218</v>
      </c>
      <c r="C6884" t="s">
        <v>40</v>
      </c>
      <c r="D6884">
        <v>5.4203210000000004</v>
      </c>
      <c r="E6884">
        <v>0.51068630000000004</v>
      </c>
      <c r="F6884" t="s">
        <v>43</v>
      </c>
      <c r="G6884">
        <v>-312.2466</v>
      </c>
      <c r="H6884">
        <v>-0.05</v>
      </c>
      <c r="I6884">
        <v>13.35126</v>
      </c>
      <c r="J6884">
        <v>-325.20749999999998</v>
      </c>
      <c r="K6884">
        <v>1.1198650000000001</v>
      </c>
      <c r="L6884">
        <v>17.683720000000001</v>
      </c>
      <c r="M6884">
        <v>0.99985060000000003</v>
      </c>
      <c r="N6884">
        <v>-1.433127E-2</v>
      </c>
      <c r="O6884">
        <v>9.6790580000000008E-3</v>
      </c>
      <c r="P6884">
        <v>0.95062760000000002</v>
      </c>
      <c r="Q6884">
        <v>-0.1203231</v>
      </c>
      <c r="R6884">
        <v>-0.28606029999999999</v>
      </c>
      <c r="S6884">
        <v>2.8406980000000002</v>
      </c>
      <c r="T6884">
        <v>-0.25395440000000002</v>
      </c>
      <c r="U6884">
        <v>-0.94036869999999995</v>
      </c>
      <c r="V6884">
        <v>0.29499180000000003</v>
      </c>
      <c r="W6884">
        <v>-0.1074359</v>
      </c>
      <c r="X6884">
        <v>0.94944059999999997</v>
      </c>
      <c r="Y6884">
        <v>0.32205230000000001</v>
      </c>
      <c r="Z6884">
        <v>-1.707496E-2</v>
      </c>
      <c r="AA6884">
        <v>0.94656790000000002</v>
      </c>
      <c r="AB6884">
        <v>20</v>
      </c>
      <c r="AC6884">
        <v>12.960899999999899</v>
      </c>
      <c r="AD6884">
        <v>-1.1698649999999999</v>
      </c>
      <c r="AE6884">
        <v>-4.3324600000000002</v>
      </c>
      <c r="AF6884">
        <v>4.4252896526210801</v>
      </c>
      <c r="AG6884">
        <v>-1.1698649999999999</v>
      </c>
      <c r="AH6884">
        <v>12.824374381779901</v>
      </c>
      <c r="AI6884">
        <v>94.928560387356697</v>
      </c>
      <c r="AJ6884">
        <v>70.962050345625002</v>
      </c>
      <c r="AK6884">
        <v>13.616767270974201</v>
      </c>
      <c r="AL6884">
        <v>96.167527153719803</v>
      </c>
      <c r="AM6884">
        <v>72.739947047641195</v>
      </c>
      <c r="AN6884">
        <v>1.0000000438022001</v>
      </c>
    </row>
    <row r="6885" spans="1:40" x14ac:dyDescent="0.25">
      <c r="A6885" t="str">
        <f>"20190303154945253"</f>
        <v>20190303154945253</v>
      </c>
      <c r="B6885" t="str">
        <f>"1551599385247474"</f>
        <v>1551599385247474</v>
      </c>
      <c r="C6885" t="s">
        <v>40</v>
      </c>
      <c r="D6885">
        <v>5.4192489999999998</v>
      </c>
      <c r="E6885">
        <v>0.51073840000000004</v>
      </c>
      <c r="F6885" t="s">
        <v>43</v>
      </c>
      <c r="G6885">
        <v>-312.1918</v>
      </c>
      <c r="H6885">
        <v>-0.05</v>
      </c>
      <c r="I6885">
        <v>13.361560000000001</v>
      </c>
      <c r="J6885">
        <v>-324.97980000000001</v>
      </c>
      <c r="K6885">
        <v>1.1197509999999999</v>
      </c>
      <c r="L6885">
        <v>17.683720000000001</v>
      </c>
      <c r="M6885">
        <v>0.99986710000000001</v>
      </c>
      <c r="N6885">
        <v>-1.433035E-2</v>
      </c>
      <c r="O6885">
        <v>7.7748299999999999E-3</v>
      </c>
      <c r="P6885">
        <v>0.95048960000000005</v>
      </c>
      <c r="Q6885">
        <v>-0.1211552</v>
      </c>
      <c r="R6885">
        <v>-0.28616609999999998</v>
      </c>
      <c r="S6885">
        <v>2.8397220000000001</v>
      </c>
      <c r="T6885">
        <v>-0.25523699999999999</v>
      </c>
      <c r="U6885">
        <v>-0.94299319999999998</v>
      </c>
      <c r="V6885">
        <v>0.29325959999999901</v>
      </c>
      <c r="W6885">
        <v>-0.10833810000000001</v>
      </c>
      <c r="X6885">
        <v>0.94987460000000001</v>
      </c>
      <c r="Y6885">
        <v>0.32113079999999999</v>
      </c>
      <c r="Z6885">
        <v>-1.6965640000000001E-2</v>
      </c>
      <c r="AA6885">
        <v>0.94688280000000002</v>
      </c>
      <c r="AB6885">
        <v>20</v>
      </c>
      <c r="AC6885">
        <v>12.788</v>
      </c>
      <c r="AD6885">
        <v>-1.169751</v>
      </c>
      <c r="AE6885">
        <v>-4.3221600000000002</v>
      </c>
      <c r="AF6885">
        <v>4.3885090157830398</v>
      </c>
      <c r="AG6885">
        <v>-1.169751</v>
      </c>
      <c r="AH6885">
        <v>12.658944854325499</v>
      </c>
      <c r="AI6885">
        <v>94.989699853690993</v>
      </c>
      <c r="AJ6885">
        <v>70.879971440639693</v>
      </c>
      <c r="AK6885">
        <v>13.4490227752229</v>
      </c>
      <c r="AL6885">
        <v>96.219522880514106</v>
      </c>
      <c r="AM6885">
        <v>72.842708433517501</v>
      </c>
      <c r="AN6885">
        <v>1.00000004631446</v>
      </c>
    </row>
    <row r="6886" spans="1:40" x14ac:dyDescent="0.25">
      <c r="A6886" t="str">
        <f>"20190303154945265"</f>
        <v>20190303154945265</v>
      </c>
      <c r="B6886" t="str">
        <f>"1551599385257233"</f>
        <v>1551599385257233</v>
      </c>
      <c r="C6886" t="s">
        <v>40</v>
      </c>
      <c r="D6886">
        <v>5.4510860000000001</v>
      </c>
      <c r="E6886">
        <v>0.46908899999999998</v>
      </c>
      <c r="F6886" t="s">
        <v>43</v>
      </c>
      <c r="G6886">
        <v>-312.12849999999997</v>
      </c>
      <c r="H6886">
        <v>-0.05</v>
      </c>
      <c r="I6886">
        <v>13.4122</v>
      </c>
      <c r="J6886">
        <v>-324.88029999999998</v>
      </c>
      <c r="K6886">
        <v>1.1197079999999999</v>
      </c>
      <c r="L6886">
        <v>17.683529999999902</v>
      </c>
      <c r="M6886">
        <v>0.99987380000000003</v>
      </c>
      <c r="N6886">
        <v>-1.4329949999999999E-2</v>
      </c>
      <c r="O6886">
        <v>6.8819930000000003E-3</v>
      </c>
      <c r="P6886">
        <v>0.95033800000000002</v>
      </c>
      <c r="Q6886">
        <v>-0.1215183</v>
      </c>
      <c r="R6886">
        <v>-0.28651650000000001</v>
      </c>
      <c r="S6886">
        <v>2.8392029999999999</v>
      </c>
      <c r="T6886">
        <v>-0.25842999999999999</v>
      </c>
      <c r="U6886">
        <v>-0.94369510000000001</v>
      </c>
      <c r="V6886">
        <v>0.29275020000000002</v>
      </c>
      <c r="W6886">
        <v>-0.1087277</v>
      </c>
      <c r="X6886">
        <v>0.94998720000000003</v>
      </c>
      <c r="Y6886">
        <v>0.32052049999999999</v>
      </c>
      <c r="Z6886">
        <v>-1.705303E-2</v>
      </c>
      <c r="AA6886">
        <v>0.94708809999999999</v>
      </c>
      <c r="AB6886">
        <v>20</v>
      </c>
      <c r="AC6886">
        <v>12.751799999999999</v>
      </c>
      <c r="AD6886">
        <v>-1.169708</v>
      </c>
      <c r="AE6886">
        <v>-4.2713299999999901</v>
      </c>
      <c r="AF6886">
        <v>4.3262658353087398</v>
      </c>
      <c r="AG6886">
        <v>-1.169708</v>
      </c>
      <c r="AH6886">
        <v>12.626575006921</v>
      </c>
      <c r="AI6886">
        <v>95.008442816255297</v>
      </c>
      <c r="AJ6886">
        <v>71.086910662939104</v>
      </c>
      <c r="AK6886">
        <v>13.398327854192299</v>
      </c>
      <c r="AL6886">
        <v>96.241978023706196</v>
      </c>
      <c r="AM6886">
        <v>72.872676896083107</v>
      </c>
      <c r="AN6886">
        <v>1.0000000362555801</v>
      </c>
    </row>
    <row r="6887" spans="1:40" x14ac:dyDescent="0.25">
      <c r="A6887" t="str">
        <f>"20190303154945274"</f>
        <v>20190303154945274</v>
      </c>
      <c r="B6887" t="str">
        <f>"1551599385267969"</f>
        <v>1551599385267969</v>
      </c>
      <c r="C6887" t="s">
        <v>40</v>
      </c>
      <c r="D6887">
        <v>5.3478510000000004</v>
      </c>
      <c r="E6887">
        <v>0.45830520000000002</v>
      </c>
      <c r="F6887" t="s">
        <v>42</v>
      </c>
      <c r="G6887">
        <v>-324.0206</v>
      </c>
      <c r="H6887">
        <v>1.008823</v>
      </c>
      <c r="I6887">
        <v>17.499860000000002</v>
      </c>
      <c r="J6887">
        <v>-324.78309999999999</v>
      </c>
      <c r="K6887">
        <v>1.1196740000000001</v>
      </c>
      <c r="L6887">
        <v>17.68317</v>
      </c>
      <c r="M6887">
        <v>0.99987950000000003</v>
      </c>
      <c r="N6887">
        <v>-1.43294999999999E-2</v>
      </c>
      <c r="O6887">
        <v>5.9708900000000004E-3</v>
      </c>
      <c r="P6887">
        <v>0.95016610000000001</v>
      </c>
      <c r="Q6887">
        <v>-0.1221387</v>
      </c>
      <c r="R6887">
        <v>-0.28682170000000001</v>
      </c>
      <c r="S6887">
        <v>2.920776</v>
      </c>
      <c r="T6887">
        <v>-0.37652780000000002</v>
      </c>
      <c r="U6887">
        <v>-0.62316890000000003</v>
      </c>
      <c r="V6887">
        <v>0.29217979999999999</v>
      </c>
      <c r="W6887">
        <v>-0.1093691</v>
      </c>
      <c r="X6887">
        <v>0.95008919999999997</v>
      </c>
      <c r="Y6887">
        <v>0.2125812</v>
      </c>
      <c r="Z6887">
        <v>-1.5716580000000001E-2</v>
      </c>
      <c r="AA6887">
        <v>0.97701700000000002</v>
      </c>
      <c r="AB6887">
        <v>20</v>
      </c>
      <c r="AC6887">
        <v>0.76249999999998797</v>
      </c>
      <c r="AD6887">
        <v>-0.11085100000000001</v>
      </c>
      <c r="AE6887">
        <v>-0.183309999999998</v>
      </c>
      <c r="AF6887">
        <v>0.18418006464623199</v>
      </c>
      <c r="AG6887">
        <v>-0.11085100000000001</v>
      </c>
      <c r="AH6887">
        <v>0.74647707392500795</v>
      </c>
      <c r="AI6887">
        <v>98.204099045357495</v>
      </c>
      <c r="AJ6887">
        <v>76.140099432265899</v>
      </c>
      <c r="AK6887">
        <v>0.776812887579584</v>
      </c>
      <c r="AL6887">
        <v>96.278947847893306</v>
      </c>
      <c r="AM6887">
        <v>72.905829028988805</v>
      </c>
      <c r="AN6887">
        <v>1.00000006175974</v>
      </c>
    </row>
    <row r="6888" spans="1:40" x14ac:dyDescent="0.25">
      <c r="A6888" t="str">
        <f>"20190303154945287"</f>
        <v>20190303154945287</v>
      </c>
      <c r="B6888" t="str">
        <f>"1551599385277731"</f>
        <v>1551599385277731</v>
      </c>
      <c r="C6888" t="s">
        <v>40</v>
      </c>
      <c r="D6888">
        <v>5.3956039999999996</v>
      </c>
      <c r="E6888">
        <v>0.45199800000000001</v>
      </c>
      <c r="F6888" t="s">
        <v>42</v>
      </c>
      <c r="G6888">
        <v>-324.01780000000002</v>
      </c>
      <c r="H6888">
        <v>1.0250269999999999</v>
      </c>
      <c r="I6888">
        <v>17.542100000000001</v>
      </c>
      <c r="J6888">
        <v>-324.6748</v>
      </c>
      <c r="K6888">
        <v>1.119637</v>
      </c>
      <c r="L6888">
        <v>17.682649999999999</v>
      </c>
      <c r="M6888">
        <v>0.99988529999999998</v>
      </c>
      <c r="N6888">
        <v>-1.43289E-2</v>
      </c>
      <c r="O6888">
        <v>4.9242970000000002E-3</v>
      </c>
      <c r="P6888">
        <v>0.95000019999999996</v>
      </c>
      <c r="Q6888">
        <v>-0.1226259</v>
      </c>
      <c r="R6888">
        <v>-0.28716370000000002</v>
      </c>
      <c r="S6888">
        <v>2.9468079999999999</v>
      </c>
      <c r="T6888">
        <v>-0.36423699999999998</v>
      </c>
      <c r="U6888">
        <v>-0.5422363</v>
      </c>
      <c r="V6888">
        <v>0.29151840000000001</v>
      </c>
      <c r="W6888">
        <v>-0.109875</v>
      </c>
      <c r="X6888">
        <v>0.95023389999999996</v>
      </c>
      <c r="Y6888">
        <v>0.18426329999999999</v>
      </c>
      <c r="Z6888">
        <v>-1.311959E-2</v>
      </c>
      <c r="AA6888">
        <v>0.98278929999999998</v>
      </c>
      <c r="AB6888">
        <v>20</v>
      </c>
      <c r="AC6888">
        <v>0.65699999999998204</v>
      </c>
      <c r="AD6888">
        <v>-9.4609999999999805E-2</v>
      </c>
      <c r="AE6888">
        <v>-0.14054999999999701</v>
      </c>
      <c r="AF6888">
        <v>0.140988180964983</v>
      </c>
      <c r="AG6888">
        <v>-9.4609999999999805E-2</v>
      </c>
      <c r="AH6888">
        <v>0.64353886851807496</v>
      </c>
      <c r="AI6888">
        <v>98.172324638788993</v>
      </c>
      <c r="AJ6888">
        <v>77.642726595471203</v>
      </c>
      <c r="AK6888">
        <v>0.665560661822301</v>
      </c>
      <c r="AL6888">
        <v>96.308110053295707</v>
      </c>
      <c r="AM6888">
        <v>72.944722831770903</v>
      </c>
      <c r="AN6888">
        <v>0.99999997893638404</v>
      </c>
    </row>
    <row r="6889" spans="1:40" x14ac:dyDescent="0.25">
      <c r="A6889" t="str">
        <f>"20190303154945297"</f>
        <v>20190303154945297</v>
      </c>
      <c r="B6889" t="str">
        <f>"1551599385287999"</f>
        <v>1551599385287999</v>
      </c>
      <c r="C6889" t="s">
        <v>40</v>
      </c>
      <c r="D6889">
        <v>5.399572</v>
      </c>
      <c r="E6889">
        <v>0.44820789999999999</v>
      </c>
      <c r="F6889" t="s">
        <v>42</v>
      </c>
      <c r="G6889">
        <v>-323.84519999999998</v>
      </c>
      <c r="H6889">
        <v>1.0151159999999999</v>
      </c>
      <c r="I6889">
        <v>17.543769999999999</v>
      </c>
      <c r="J6889">
        <v>-324.58359999999999</v>
      </c>
      <c r="K6889">
        <v>1.1196120000000001</v>
      </c>
      <c r="L6889">
        <v>17.682129999999901</v>
      </c>
      <c r="M6889">
        <v>0.99988940000000004</v>
      </c>
      <c r="N6889">
        <v>-1.432831E-2</v>
      </c>
      <c r="O6889">
        <v>4.0224709999999997E-3</v>
      </c>
      <c r="P6889">
        <v>0.94974780000000003</v>
      </c>
      <c r="Q6889">
        <v>-0.1235175</v>
      </c>
      <c r="R6889">
        <v>-0.28761589999999998</v>
      </c>
      <c r="S6889">
        <v>2.9602050000000002</v>
      </c>
      <c r="T6889">
        <v>-0.3728127</v>
      </c>
      <c r="U6889">
        <v>-0.49484250000000002</v>
      </c>
      <c r="V6889">
        <v>0.29110530000000001</v>
      </c>
      <c r="W6889">
        <v>-0.1107818</v>
      </c>
      <c r="X6889">
        <v>0.95025530000000002</v>
      </c>
      <c r="Y6889">
        <v>0.167382</v>
      </c>
      <c r="Z6889">
        <v>-1.2083979999999999E-2</v>
      </c>
      <c r="AA6889">
        <v>0.98581810000000003</v>
      </c>
      <c r="AB6889">
        <v>20</v>
      </c>
      <c r="AC6889">
        <v>0.73840000000001205</v>
      </c>
      <c r="AD6889">
        <v>-0.10449600000000001</v>
      </c>
      <c r="AE6889">
        <v>-0.13835999999999499</v>
      </c>
      <c r="AF6889">
        <v>0.13864688004254599</v>
      </c>
      <c r="AG6889">
        <v>-0.10449600000000001</v>
      </c>
      <c r="AH6889">
        <v>0.72383292072030303</v>
      </c>
      <c r="AI6889">
        <v>98.070014909413501</v>
      </c>
      <c r="AJ6889">
        <v>79.156596341244096</v>
      </c>
      <c r="AK6889">
        <v>0.74436312944692296</v>
      </c>
      <c r="AL6889">
        <v>96.360384741739594</v>
      </c>
      <c r="AM6889">
        <v>72.967852801235793</v>
      </c>
      <c r="AN6889">
        <v>1.0000000190386999</v>
      </c>
    </row>
    <row r="6890" spans="1:40" x14ac:dyDescent="0.25">
      <c r="A6890" t="str">
        <f>"20190303154945309"</f>
        <v>20190303154945309</v>
      </c>
      <c r="B6890" t="str">
        <f>"1551599385297759"</f>
        <v>1551599385297759</v>
      </c>
      <c r="C6890" t="s">
        <v>40</v>
      </c>
      <c r="D6890">
        <v>5.4351940000000001</v>
      </c>
      <c r="E6890">
        <v>0.44514589999999998</v>
      </c>
      <c r="F6890" t="s">
        <v>42</v>
      </c>
      <c r="G6890">
        <v>-323.8408</v>
      </c>
      <c r="H6890">
        <v>1.025164</v>
      </c>
      <c r="I6890">
        <v>17.565010000000001</v>
      </c>
      <c r="J6890">
        <v>-324.48590000000002</v>
      </c>
      <c r="K6890">
        <v>1.119588</v>
      </c>
      <c r="L6890">
        <v>17.6814</v>
      </c>
      <c r="M6890">
        <v>0.99989280000000003</v>
      </c>
      <c r="N6890">
        <v>-1.432752E-2</v>
      </c>
      <c r="O6890">
        <v>3.0245319999999999E-3</v>
      </c>
      <c r="P6890">
        <v>0.94945420000000003</v>
      </c>
      <c r="Q6890">
        <v>-0.1241379</v>
      </c>
      <c r="R6890">
        <v>-0.28831770000000001</v>
      </c>
      <c r="S6890">
        <v>2.9682309999999998</v>
      </c>
      <c r="T6890">
        <v>-0.37728149999999999</v>
      </c>
      <c r="U6890">
        <v>-0.46725460000000002</v>
      </c>
      <c r="V6890">
        <v>0.29085240000000001</v>
      </c>
      <c r="W6890">
        <v>-0.11141529999999999</v>
      </c>
      <c r="X6890">
        <v>0.95025870000000001</v>
      </c>
      <c r="Y6890">
        <v>0.1570957</v>
      </c>
      <c r="Z6890">
        <v>-1.1358750000000001E-2</v>
      </c>
      <c r="AA6890">
        <v>0.98751809999999995</v>
      </c>
      <c r="AB6890">
        <v>20</v>
      </c>
      <c r="AC6890">
        <v>0.645100000000013</v>
      </c>
      <c r="AD6890">
        <v>-9.4423999999999994E-2</v>
      </c>
      <c r="AE6890">
        <v>-0.11638999999999899</v>
      </c>
      <c r="AF6890">
        <v>0.11593524405903401</v>
      </c>
      <c r="AG6890">
        <v>-9.4423999999999994E-2</v>
      </c>
      <c r="AH6890">
        <v>0.63163905977204604</v>
      </c>
      <c r="AI6890">
        <v>98.364505649924396</v>
      </c>
      <c r="AJ6890">
        <v>79.599316996094799</v>
      </c>
      <c r="AK6890">
        <v>0.64909535079273395</v>
      </c>
      <c r="AL6890">
        <v>96.396907567964902</v>
      </c>
      <c r="AM6890">
        <v>72.981851593261297</v>
      </c>
      <c r="AN6890">
        <v>1.00000004229276</v>
      </c>
    </row>
    <row r="6891" spans="1:40" x14ac:dyDescent="0.25">
      <c r="A6891" t="str">
        <f>"20190303154945320"</f>
        <v>20190303154945320</v>
      </c>
      <c r="B6891" t="str">
        <f>"1551599385317279"</f>
        <v>1551599385317279</v>
      </c>
      <c r="C6891" t="s">
        <v>40</v>
      </c>
      <c r="D6891">
        <v>5.4313209999999996</v>
      </c>
      <c r="E6891">
        <v>0.44198019999999999</v>
      </c>
      <c r="F6891" t="s">
        <v>42</v>
      </c>
      <c r="G6891">
        <v>-323.66860000000003</v>
      </c>
      <c r="H6891">
        <v>1.014507</v>
      </c>
      <c r="I6891">
        <v>17.558599999999998</v>
      </c>
      <c r="J6891">
        <v>-324.38240000000002</v>
      </c>
      <c r="K6891">
        <v>1.119559</v>
      </c>
      <c r="L6891">
        <v>17.680510000000002</v>
      </c>
      <c r="M6891">
        <v>0.99989550000000005</v>
      </c>
      <c r="N6891">
        <v>-1.432662E-2</v>
      </c>
      <c r="O6891">
        <v>1.9562199999999998E-3</v>
      </c>
      <c r="P6891">
        <v>0.94912110000000005</v>
      </c>
      <c r="Q6891">
        <v>-0.1248973</v>
      </c>
      <c r="R6891">
        <v>-0.28908460000000002</v>
      </c>
      <c r="S6891">
        <v>2.9742739999999999</v>
      </c>
      <c r="T6891">
        <v>-0.38227830000000002</v>
      </c>
      <c r="U6891">
        <v>-0.44601439999999998</v>
      </c>
      <c r="V6891">
        <v>0.29059790000000002</v>
      </c>
      <c r="W6891">
        <v>-0.1121877</v>
      </c>
      <c r="X6891">
        <v>0.95024560000000002</v>
      </c>
      <c r="Y6891">
        <v>0.1488864</v>
      </c>
      <c r="Z6891">
        <v>-1.0775059999999999E-2</v>
      </c>
      <c r="AA6891">
        <v>0.9887956</v>
      </c>
      <c r="AB6891">
        <v>20</v>
      </c>
      <c r="AC6891">
        <v>0.713799999999992</v>
      </c>
      <c r="AD6891">
        <v>-0.10505199999999899</v>
      </c>
      <c r="AE6891">
        <v>-0.121910000000003</v>
      </c>
      <c r="AF6891">
        <v>0.120764651690053</v>
      </c>
      <c r="AG6891">
        <v>-0.10505199999999899</v>
      </c>
      <c r="AH6891">
        <v>0.69885211268510605</v>
      </c>
      <c r="AI6891">
        <v>98.425696150880398</v>
      </c>
      <c r="AJ6891">
        <v>80.1958657812621</v>
      </c>
      <c r="AK6891">
        <v>0.71694790550377996</v>
      </c>
      <c r="AL6891">
        <v>96.441442566372402</v>
      </c>
      <c r="AM6891">
        <v>72.995662377353</v>
      </c>
      <c r="AN6891">
        <v>0.99999995991752899</v>
      </c>
    </row>
    <row r="6892" spans="1:40" x14ac:dyDescent="0.25">
      <c r="A6892" t="str">
        <f>"20190303154945331"</f>
        <v>20190303154945331</v>
      </c>
      <c r="B6892" t="str">
        <f>"1551599385328015"</f>
        <v>1551599385328015</v>
      </c>
      <c r="C6892" t="s">
        <v>40</v>
      </c>
      <c r="D6892">
        <v>5.4973369999999999</v>
      </c>
      <c r="E6892">
        <v>0.44067190000000001</v>
      </c>
      <c r="F6892" t="s">
        <v>42</v>
      </c>
      <c r="G6892">
        <v>-323.4973</v>
      </c>
      <c r="H6892">
        <v>1.0031730000000001</v>
      </c>
      <c r="I6892">
        <v>17.554379999999998</v>
      </c>
      <c r="J6892">
        <v>-324.27679999999998</v>
      </c>
      <c r="K6892">
        <v>1.11954</v>
      </c>
      <c r="L6892">
        <v>17.679410000000001</v>
      </c>
      <c r="M6892">
        <v>0.99989709999999998</v>
      </c>
      <c r="N6892">
        <v>-1.4325549999999999E-2</v>
      </c>
      <c r="O6892">
        <v>8.2632880000000004E-4</v>
      </c>
      <c r="P6892">
        <v>0.94871119999999998</v>
      </c>
      <c r="Q6892">
        <v>-0.12565799999999999</v>
      </c>
      <c r="R6892">
        <v>-0.2900991</v>
      </c>
      <c r="S6892">
        <v>2.9801329999999999</v>
      </c>
      <c r="T6892">
        <v>-0.39169189999999998</v>
      </c>
      <c r="U6892">
        <v>-0.42401119999999998</v>
      </c>
      <c r="V6892">
        <v>0.29053379999999901</v>
      </c>
      <c r="W6892">
        <v>-0.1129593</v>
      </c>
      <c r="X6892">
        <v>0.95017379999999996</v>
      </c>
      <c r="Y6892">
        <v>0.1403578</v>
      </c>
      <c r="Z6892">
        <v>-1.025E-2</v>
      </c>
      <c r="AA6892">
        <v>0.99004780000000003</v>
      </c>
      <c r="AB6892">
        <v>20</v>
      </c>
      <c r="AC6892">
        <v>0.77949999999998398</v>
      </c>
      <c r="AD6892">
        <v>-0.116367</v>
      </c>
      <c r="AE6892">
        <v>-0.125030000000002</v>
      </c>
      <c r="AF6892">
        <v>0.123001714825418</v>
      </c>
      <c r="AG6892">
        <v>-0.116367</v>
      </c>
      <c r="AH6892">
        <v>0.76282272185136402</v>
      </c>
      <c r="AI6892">
        <v>98.564530189289002</v>
      </c>
      <c r="AJ6892">
        <v>80.840157199839794</v>
      </c>
      <c r="AK6892">
        <v>0.78138927911234901</v>
      </c>
      <c r="AL6892">
        <v>96.485934738025904</v>
      </c>
      <c r="AM6892">
        <v>72.997986284375102</v>
      </c>
      <c r="AN6892">
        <v>0.99999997130268403</v>
      </c>
    </row>
    <row r="6893" spans="1:40" x14ac:dyDescent="0.25">
      <c r="A6893" t="str">
        <f>"20190303154945343"</f>
        <v>20190303154945343</v>
      </c>
      <c r="B6893" t="str">
        <f>"1551599385337774"</f>
        <v>1551599385337774</v>
      </c>
      <c r="C6893" t="s">
        <v>40</v>
      </c>
      <c r="D6893">
        <v>5.4437119999999997</v>
      </c>
      <c r="E6893">
        <v>0.44034620000000002</v>
      </c>
      <c r="F6893" t="s">
        <v>42</v>
      </c>
      <c r="G6893">
        <v>-323.49169999999998</v>
      </c>
      <c r="H6893">
        <v>1.0150939999999999</v>
      </c>
      <c r="I6893">
        <v>17.569400000000002</v>
      </c>
      <c r="J6893">
        <v>-324.18209999999999</v>
      </c>
      <c r="K6893">
        <v>1.119526</v>
      </c>
      <c r="L6893">
        <v>17.678379999999901</v>
      </c>
      <c r="M6893">
        <v>0.99989740000000005</v>
      </c>
      <c r="N6893">
        <v>-1.432453E-2</v>
      </c>
      <c r="O6893">
        <v>-1.917578E-4</v>
      </c>
      <c r="P6893">
        <v>0.94836609999999999</v>
      </c>
      <c r="Q6893">
        <v>-0.12610869999999999</v>
      </c>
      <c r="R6893">
        <v>-0.29102980000000001</v>
      </c>
      <c r="S6893">
        <v>2.9820859999999998</v>
      </c>
      <c r="T6893">
        <v>-0.39658559999999998</v>
      </c>
      <c r="U6893">
        <v>-0.41714479999999998</v>
      </c>
      <c r="V6893">
        <v>0.2904948</v>
      </c>
      <c r="W6893">
        <v>-0.1134188</v>
      </c>
      <c r="X6893">
        <v>0.95013099999999995</v>
      </c>
      <c r="Y6893">
        <v>0.13703209999999999</v>
      </c>
      <c r="Z6893">
        <v>-9.9969940000000004E-3</v>
      </c>
      <c r="AA6893">
        <v>0.99051619999999996</v>
      </c>
      <c r="AB6893">
        <v>20</v>
      </c>
      <c r="AC6893">
        <v>0.690400000000011</v>
      </c>
      <c r="AD6893">
        <v>-0.104432</v>
      </c>
      <c r="AE6893">
        <v>-0.108979999999995</v>
      </c>
      <c r="AF6893">
        <v>0.106470715191019</v>
      </c>
      <c r="AG6893">
        <v>-0.104432</v>
      </c>
      <c r="AH6893">
        <v>0.67534432671746203</v>
      </c>
      <c r="AI6893">
        <v>98.684719692951404</v>
      </c>
      <c r="AJ6893">
        <v>81.040833175741</v>
      </c>
      <c r="AK6893">
        <v>0.69161551128264098</v>
      </c>
      <c r="AL6893">
        <v>96.512432347820294</v>
      </c>
      <c r="AM6893">
        <v>72.999415325814297</v>
      </c>
      <c r="AN6893">
        <v>0.99999998509073895</v>
      </c>
    </row>
    <row r="6894" spans="1:40" x14ac:dyDescent="0.25">
      <c r="A6894" t="str">
        <f>"20190303154945354"</f>
        <v>20190303154945354</v>
      </c>
      <c r="B6894" t="str">
        <f>"1551599385347535"</f>
        <v>1551599385347535</v>
      </c>
      <c r="C6894" t="s">
        <v>40</v>
      </c>
      <c r="D6894">
        <v>5.4200559999999998</v>
      </c>
      <c r="E6894">
        <v>0.44015700000000002</v>
      </c>
      <c r="F6894" t="s">
        <v>42</v>
      </c>
      <c r="G6894">
        <v>-323.31979999999999</v>
      </c>
      <c r="H6894">
        <v>1.005228</v>
      </c>
      <c r="I6894">
        <v>17.55744</v>
      </c>
      <c r="J6894">
        <v>-324.08199999999999</v>
      </c>
      <c r="K6894">
        <v>1.1195040000000001</v>
      </c>
      <c r="L6894">
        <v>17.677119999999999</v>
      </c>
      <c r="M6894">
        <v>0.99989660000000002</v>
      </c>
      <c r="N6894">
        <v>-1.43234E-2</v>
      </c>
      <c r="O6894">
        <v>-1.288813E-3</v>
      </c>
      <c r="P6894">
        <v>0.94794120000000004</v>
      </c>
      <c r="Q6894">
        <v>-0.1269903</v>
      </c>
      <c r="R6894">
        <v>-0.29202879999999998</v>
      </c>
      <c r="S6894">
        <v>2.982605</v>
      </c>
      <c r="T6894">
        <v>-0.3952214</v>
      </c>
      <c r="U6894">
        <v>-0.41769410000000001</v>
      </c>
      <c r="V6894">
        <v>0.29044880000000001</v>
      </c>
      <c r="W6894">
        <v>-0.1143079</v>
      </c>
      <c r="X6894">
        <v>0.95003859999999996</v>
      </c>
      <c r="Y6894">
        <v>0.13612589999999999</v>
      </c>
      <c r="Z6894">
        <v>-9.7700389999999995E-3</v>
      </c>
      <c r="AA6894">
        <v>0.99064339999999995</v>
      </c>
      <c r="AB6894">
        <v>20</v>
      </c>
      <c r="AC6894">
        <v>0.76220000000000698</v>
      </c>
      <c r="AD6894">
        <v>-0.114276</v>
      </c>
      <c r="AE6894">
        <v>-0.11968000000000199</v>
      </c>
      <c r="AF6894">
        <v>0.116149395944004</v>
      </c>
      <c r="AG6894">
        <v>-0.114276</v>
      </c>
      <c r="AH6894">
        <v>0.74598823329573605</v>
      </c>
      <c r="AI6894">
        <v>98.607165389241203</v>
      </c>
      <c r="AJ6894">
        <v>81.150177975126994</v>
      </c>
      <c r="AK6894">
        <v>0.76357588396298304</v>
      </c>
      <c r="AL6894">
        <v>96.563706930575407</v>
      </c>
      <c r="AM6894">
        <v>73.000394271438594</v>
      </c>
      <c r="AN6894">
        <v>1.0000000714569</v>
      </c>
    </row>
    <row r="6895" spans="1:40" x14ac:dyDescent="0.25">
      <c r="A6895" t="str">
        <f>"20190303154945366"</f>
        <v>20190303154945366</v>
      </c>
      <c r="B6895" t="str">
        <f>"1551599385357295"</f>
        <v>1551599385357295</v>
      </c>
      <c r="C6895" t="s">
        <v>40</v>
      </c>
      <c r="D6895">
        <v>5.4564440000000003</v>
      </c>
      <c r="E6895">
        <v>0.43990509999999999</v>
      </c>
      <c r="F6895" t="s">
        <v>42</v>
      </c>
      <c r="G6895">
        <v>-323.3141</v>
      </c>
      <c r="H6895">
        <v>1.0172890000000001</v>
      </c>
      <c r="I6895">
        <v>17.568950000000001</v>
      </c>
      <c r="J6895">
        <v>-323.98469999999998</v>
      </c>
      <c r="K6895">
        <v>1.1194930000000001</v>
      </c>
      <c r="L6895">
        <v>17.675750000000001</v>
      </c>
      <c r="M6895">
        <v>0.99989470000000003</v>
      </c>
      <c r="N6895">
        <v>-1.432224E-2</v>
      </c>
      <c r="O6895">
        <v>-2.3646180000000002E-3</v>
      </c>
      <c r="P6895">
        <v>0.94749059999999896</v>
      </c>
      <c r="Q6895">
        <v>-0.12778610000000001</v>
      </c>
      <c r="R6895">
        <v>-0.29314230000000002</v>
      </c>
      <c r="S6895">
        <v>2.9823909999999998</v>
      </c>
      <c r="T6895">
        <v>-0.39681270000000002</v>
      </c>
      <c r="U6895">
        <v>-0.41943359999999902</v>
      </c>
      <c r="V6895">
        <v>0.29053859999999998</v>
      </c>
      <c r="W6895">
        <v>-0.1151109</v>
      </c>
      <c r="X6895">
        <v>0.94991409999999998</v>
      </c>
      <c r="Y6895">
        <v>0.1356388</v>
      </c>
      <c r="Z6895">
        <v>-9.6431329999999999E-3</v>
      </c>
      <c r="AA6895">
        <v>0.99071149999999997</v>
      </c>
      <c r="AB6895">
        <v>20</v>
      </c>
      <c r="AC6895">
        <v>0.67059999999997899</v>
      </c>
      <c r="AD6895">
        <v>-0.102204</v>
      </c>
      <c r="AE6895">
        <v>-0.10679999999999901</v>
      </c>
      <c r="AF6895">
        <v>0.102883186547728</v>
      </c>
      <c r="AG6895">
        <v>-0.102204</v>
      </c>
      <c r="AH6895">
        <v>0.65599037242596803</v>
      </c>
      <c r="AI6895">
        <v>98.7502695181756</v>
      </c>
      <c r="AJ6895">
        <v>81.086544718859301</v>
      </c>
      <c r="AK6895">
        <v>0.67182882969233704</v>
      </c>
      <c r="AL6895">
        <v>96.610021647298794</v>
      </c>
      <c r="AM6895">
        <v>72.993341501545999</v>
      </c>
      <c r="AN6895">
        <v>0.99999999738378997</v>
      </c>
    </row>
    <row r="6896" spans="1:40" x14ac:dyDescent="0.25">
      <c r="A6896" t="str">
        <f>"20190303154945375"</f>
        <v>20190303154945375</v>
      </c>
      <c r="B6896" t="str">
        <f>"1551599385368031"</f>
        <v>1551599385368031</v>
      </c>
      <c r="C6896" t="s">
        <v>40</v>
      </c>
      <c r="D6896">
        <v>5.3642300000000001</v>
      </c>
      <c r="E6896">
        <v>0.44020009999999998</v>
      </c>
      <c r="F6896" t="s">
        <v>42</v>
      </c>
      <c r="G6896">
        <v>-323.14159999999998</v>
      </c>
      <c r="H6896">
        <v>1.0093760000000001</v>
      </c>
      <c r="I6896">
        <v>17.556609999999999</v>
      </c>
      <c r="J6896">
        <v>-323.89120000000003</v>
      </c>
      <c r="K6896">
        <v>1.1194850000000001</v>
      </c>
      <c r="L6896">
        <v>17.674379999999999</v>
      </c>
      <c r="M6896">
        <v>0.99989170000000005</v>
      </c>
      <c r="N6896">
        <v>-1.432106E-2</v>
      </c>
      <c r="O6896">
        <v>-3.4074859999999999E-3</v>
      </c>
      <c r="P6896">
        <v>0.94706279999999998</v>
      </c>
      <c r="Q6896">
        <v>-0.12826309999999999</v>
      </c>
      <c r="R6896">
        <v>-0.29431370000000001</v>
      </c>
      <c r="S6896">
        <v>2.9833980000000002</v>
      </c>
      <c r="T6896">
        <v>-0.38963789999999998</v>
      </c>
      <c r="U6896">
        <v>-0.42129519999999998</v>
      </c>
      <c r="V6896">
        <v>0.29071989999999998</v>
      </c>
      <c r="W6896">
        <v>-0.1155943</v>
      </c>
      <c r="X6896">
        <v>0.94979990000000003</v>
      </c>
      <c r="Y6896">
        <v>0.13522089999999901</v>
      </c>
      <c r="Z6896">
        <v>-9.3348440000000001E-3</v>
      </c>
      <c r="AA6896">
        <v>0.99077150000000003</v>
      </c>
      <c r="AB6896">
        <v>20</v>
      </c>
      <c r="AC6896">
        <v>0.74960000000004301</v>
      </c>
      <c r="AD6896">
        <v>-0.110109</v>
      </c>
      <c r="AE6896">
        <v>-0.11777</v>
      </c>
      <c r="AF6896">
        <v>0.11283875626501</v>
      </c>
      <c r="AG6896">
        <v>-0.110109</v>
      </c>
      <c r="AH6896">
        <v>0.73452998456505902</v>
      </c>
      <c r="AI6896">
        <v>98.4279653207076</v>
      </c>
      <c r="AJ6896">
        <v>81.266476413250402</v>
      </c>
      <c r="AK6896">
        <v>0.75125952574431998</v>
      </c>
      <c r="AL6896">
        <v>96.637904697766302</v>
      </c>
      <c r="AM6896">
        <v>72.981414302406904</v>
      </c>
      <c r="AN6896">
        <v>0.99999997624425396</v>
      </c>
    </row>
    <row r="6897" spans="1:40" x14ac:dyDescent="0.25">
      <c r="A6897" t="str">
        <f>"20190303154945388"</f>
        <v>20190303154945388</v>
      </c>
      <c r="B6897" t="str">
        <f>"1551599385377791"</f>
        <v>1551599385377791</v>
      </c>
      <c r="C6897" t="s">
        <v>40</v>
      </c>
      <c r="D6897">
        <v>5.4747719999999997</v>
      </c>
      <c r="E6897">
        <v>0.4398591</v>
      </c>
      <c r="F6897" t="s">
        <v>42</v>
      </c>
      <c r="G6897">
        <v>-323.13529999999997</v>
      </c>
      <c r="H6897">
        <v>1.0223660000000001</v>
      </c>
      <c r="I6897">
        <v>17.565939999999902</v>
      </c>
      <c r="J6897">
        <v>-323.78910000000002</v>
      </c>
      <c r="K6897">
        <v>1.1194809999999999</v>
      </c>
      <c r="L6897">
        <v>17.672699999999999</v>
      </c>
      <c r="M6897">
        <v>0.99988710000000003</v>
      </c>
      <c r="N6897">
        <v>-1.431969E-2</v>
      </c>
      <c r="O6897">
        <v>-4.5591779999999997E-3</v>
      </c>
      <c r="P6897">
        <v>0.94661629999999997</v>
      </c>
      <c r="Q6897">
        <v>-0.12870879999999901</v>
      </c>
      <c r="R6897">
        <v>-0.29555340000000002</v>
      </c>
      <c r="S6897">
        <v>2.98291</v>
      </c>
      <c r="T6897">
        <v>-0.38318839999999998</v>
      </c>
      <c r="U6897">
        <v>-0.42758180000000001</v>
      </c>
      <c r="V6897">
        <v>0.29086689999999998</v>
      </c>
      <c r="W6897">
        <v>-0.11604589999999899</v>
      </c>
      <c r="X6897">
        <v>0.94969979999999998</v>
      </c>
      <c r="Y6897">
        <v>0.1361858</v>
      </c>
      <c r="Z6897">
        <v>-9.1366069999999997E-3</v>
      </c>
      <c r="AA6897">
        <v>0.9906412</v>
      </c>
      <c r="AB6897">
        <v>20</v>
      </c>
      <c r="AC6897">
        <v>0.65380000000004601</v>
      </c>
      <c r="AD6897">
        <v>-9.7115000000000007E-2</v>
      </c>
      <c r="AE6897">
        <v>-0.10676000000000101</v>
      </c>
      <c r="AF6897">
        <v>0.101594439084859</v>
      </c>
      <c r="AG6897">
        <v>-9.7115000000000007E-2</v>
      </c>
      <c r="AH6897">
        <v>0.64051475880517506</v>
      </c>
      <c r="AI6897">
        <v>98.516657268466503</v>
      </c>
      <c r="AJ6897">
        <v>80.987184261701401</v>
      </c>
      <c r="AK6897">
        <v>0.65575293329516904</v>
      </c>
      <c r="AL6897">
        <v>96.663954911344106</v>
      </c>
      <c r="AM6897">
        <v>72.9716158231968</v>
      </c>
      <c r="AN6897">
        <v>0.99999995727122903</v>
      </c>
    </row>
    <row r="6898" spans="1:40" x14ac:dyDescent="0.25">
      <c r="A6898" t="str">
        <f>"20190303154945400"</f>
        <v>20190303154945400</v>
      </c>
      <c r="B6898" t="str">
        <f>"1551599385397817"</f>
        <v>1551599385397817</v>
      </c>
      <c r="C6898" t="s">
        <v>40</v>
      </c>
      <c r="D6898">
        <v>5.4422329999999999</v>
      </c>
      <c r="E6898">
        <v>0.43938670000000002</v>
      </c>
      <c r="F6898" t="s">
        <v>42</v>
      </c>
      <c r="G6898">
        <v>-322.96449999999999</v>
      </c>
      <c r="H6898">
        <v>1.012006</v>
      </c>
      <c r="I6898">
        <v>17.553789999999999</v>
      </c>
      <c r="J6898">
        <v>-323.67630000000003</v>
      </c>
      <c r="K6898">
        <v>1.119475</v>
      </c>
      <c r="L6898">
        <v>17.670750000000002</v>
      </c>
      <c r="M6898">
        <v>0.9998804</v>
      </c>
      <c r="N6898">
        <v>-1.431812E-2</v>
      </c>
      <c r="O6898">
        <v>-5.839604E-3</v>
      </c>
      <c r="P6898">
        <v>0.94606109999999999</v>
      </c>
      <c r="Q6898">
        <v>-0.12931999999999999</v>
      </c>
      <c r="R6898">
        <v>-0.29705999999999999</v>
      </c>
      <c r="S6898">
        <v>2.982513</v>
      </c>
      <c r="T6898">
        <v>-0.38839170000000001</v>
      </c>
      <c r="U6898">
        <v>-0.4287415</v>
      </c>
      <c r="V6898">
        <v>0.29115950000000002</v>
      </c>
      <c r="W6898">
        <v>-0.1166644</v>
      </c>
      <c r="X6898">
        <v>0.9495344</v>
      </c>
      <c r="Y6898">
        <v>0.1352989</v>
      </c>
      <c r="Z6898">
        <v>-9.0357790000000007E-3</v>
      </c>
      <c r="AA6898">
        <v>0.99076359999999997</v>
      </c>
      <c r="AB6898">
        <v>20</v>
      </c>
      <c r="AC6898">
        <v>0.71180000000003896</v>
      </c>
      <c r="AD6898">
        <v>-0.107469</v>
      </c>
      <c r="AE6898">
        <v>-0.11696000000000201</v>
      </c>
      <c r="AF6898">
        <v>0.110351555235723</v>
      </c>
      <c r="AG6898">
        <v>-0.107469</v>
      </c>
      <c r="AH6898">
        <v>0.69700012318297699</v>
      </c>
      <c r="AI6898">
        <v>98.659100878652495</v>
      </c>
      <c r="AJ6898">
        <v>81.0034016998558</v>
      </c>
      <c r="AK6898">
        <v>0.71381806044749796</v>
      </c>
      <c r="AL6898">
        <v>96.6996343691128</v>
      </c>
      <c r="AM6898">
        <v>72.952681538317407</v>
      </c>
      <c r="AN6898">
        <v>1.00000000672548</v>
      </c>
    </row>
    <row r="6899" spans="1:40" x14ac:dyDescent="0.25">
      <c r="A6899" t="str">
        <f>"20190303154945415"</f>
        <v>20190303154945415</v>
      </c>
      <c r="B6899" t="str">
        <f>"1551599385408553"</f>
        <v>1551599385408553</v>
      </c>
      <c r="C6899" t="s">
        <v>40</v>
      </c>
      <c r="D6899">
        <v>5.4775070000000001</v>
      </c>
      <c r="E6899">
        <v>0.43926799999999999</v>
      </c>
      <c r="F6899" t="s">
        <v>42</v>
      </c>
      <c r="G6899">
        <v>-322.7937</v>
      </c>
      <c r="H6899">
        <v>1.002202</v>
      </c>
      <c r="I6899">
        <v>17.543420000000001</v>
      </c>
      <c r="J6899">
        <v>-323.55239999999998</v>
      </c>
      <c r="K6899">
        <v>1.119467</v>
      </c>
      <c r="L6899">
        <v>17.668329999999902</v>
      </c>
      <c r="M6899">
        <v>0.99987119999999996</v>
      </c>
      <c r="N6899">
        <v>-1.4316260000000001E-2</v>
      </c>
      <c r="O6899">
        <v>-7.2695279999999999E-3</v>
      </c>
      <c r="P6899">
        <v>0.94542959999999998</v>
      </c>
      <c r="Q6899">
        <v>-0.12964319999999999</v>
      </c>
      <c r="R6899">
        <v>-0.29892489999999999</v>
      </c>
      <c r="S6899">
        <v>2.9820250000000001</v>
      </c>
      <c r="T6899">
        <v>-0.3961016</v>
      </c>
      <c r="U6899">
        <v>-0.42965700000000001</v>
      </c>
      <c r="V6899">
        <v>0.29167090000000001</v>
      </c>
      <c r="W6899">
        <v>-0.116997</v>
      </c>
      <c r="X6899">
        <v>0.94933650000000003</v>
      </c>
      <c r="Y6899">
        <v>0.13417770000000001</v>
      </c>
      <c r="Z6899">
        <v>-8.9442369999999903E-3</v>
      </c>
      <c r="AA6899">
        <v>0.99091689999999999</v>
      </c>
      <c r="AB6899">
        <v>20</v>
      </c>
      <c r="AC6899">
        <v>0.75869999999997595</v>
      </c>
      <c r="AD6899">
        <v>-0.117264999999999</v>
      </c>
      <c r="AE6899">
        <v>-0.124909999999996</v>
      </c>
      <c r="AF6899">
        <v>0.11667701109693</v>
      </c>
      <c r="AG6899">
        <v>-0.117264999999999</v>
      </c>
      <c r="AH6899">
        <v>0.74232276519274698</v>
      </c>
      <c r="AI6899">
        <v>98.869722484868106</v>
      </c>
      <c r="AJ6899">
        <v>81.067429567519</v>
      </c>
      <c r="AK6899">
        <v>0.760531191251825</v>
      </c>
      <c r="AL6899">
        <v>96.718822385735507</v>
      </c>
      <c r="AM6899">
        <v>72.921127060564004</v>
      </c>
      <c r="AN6899">
        <v>1.00000000107403</v>
      </c>
    </row>
    <row r="6900" spans="1:40" x14ac:dyDescent="0.25">
      <c r="A6900" t="str">
        <f>"20190303154945431"</f>
        <v>20190303154945431</v>
      </c>
      <c r="B6900" t="str">
        <f>"1551599385428073"</f>
        <v>1551599385428073</v>
      </c>
      <c r="C6900" t="s">
        <v>40</v>
      </c>
      <c r="D6900">
        <v>5.4831320000000003</v>
      </c>
      <c r="E6900">
        <v>0.43891639999999998</v>
      </c>
      <c r="F6900" t="s">
        <v>42</v>
      </c>
      <c r="G6900">
        <v>-322.7867</v>
      </c>
      <c r="H6900">
        <v>1.016753</v>
      </c>
      <c r="I6900">
        <v>17.556550000000001</v>
      </c>
      <c r="J6900">
        <v>-323.42110000000002</v>
      </c>
      <c r="K6900">
        <v>1.119464</v>
      </c>
      <c r="L6900">
        <v>17.665589999999899</v>
      </c>
      <c r="M6900">
        <v>0.99985889999999999</v>
      </c>
      <c r="N6900">
        <v>-1.43143E-2</v>
      </c>
      <c r="O6900">
        <v>-8.798752E-3</v>
      </c>
      <c r="P6900">
        <v>0.94474329999999995</v>
      </c>
      <c r="Q6900">
        <v>-0.12995699999999999</v>
      </c>
      <c r="R6900">
        <v>-0.30095139999999998</v>
      </c>
      <c r="S6900">
        <v>2.9809570000000001</v>
      </c>
      <c r="T6900">
        <v>-0.3997231</v>
      </c>
      <c r="U6900">
        <v>-0.43457030000000002</v>
      </c>
      <c r="V6900">
        <v>0.2922515</v>
      </c>
      <c r="W6900">
        <v>-0.11732099999999999</v>
      </c>
      <c r="X6900">
        <v>0.94911800000000002</v>
      </c>
      <c r="Y6900">
        <v>0.1343</v>
      </c>
      <c r="Z6900">
        <v>-8.8451550000000004E-3</v>
      </c>
      <c r="AA6900">
        <v>0.99090120000000004</v>
      </c>
      <c r="AB6900">
        <v>20</v>
      </c>
      <c r="AC6900">
        <v>0.63440000000002705</v>
      </c>
      <c r="AD6900">
        <v>-0.102711</v>
      </c>
      <c r="AE6900">
        <v>-0.109039999999996</v>
      </c>
      <c r="AF6900">
        <v>0.100884724074903</v>
      </c>
      <c r="AG6900">
        <v>-0.102711</v>
      </c>
      <c r="AH6900">
        <v>0.619560755298457</v>
      </c>
      <c r="AI6900">
        <v>99.2926925430517</v>
      </c>
      <c r="AJ6900">
        <v>80.7515452328458</v>
      </c>
      <c r="AK6900">
        <v>0.63606824050463595</v>
      </c>
      <c r="AL6900">
        <v>96.737514503907803</v>
      </c>
      <c r="AM6900">
        <v>72.885404699928301</v>
      </c>
      <c r="AN6900">
        <v>1.00000006710862</v>
      </c>
    </row>
    <row r="6901" spans="1:40" x14ac:dyDescent="0.25">
      <c r="A6901" t="str">
        <f>"20190303154945445"</f>
        <v>20190303154945445</v>
      </c>
      <c r="B6901" t="str">
        <f>"1551599385437833"</f>
        <v>1551599385437833</v>
      </c>
      <c r="C6901" t="s">
        <v>40</v>
      </c>
      <c r="D6901">
        <v>5.4588190000000001</v>
      </c>
      <c r="E6901">
        <v>0.43874010000000002</v>
      </c>
      <c r="F6901" t="s">
        <v>42</v>
      </c>
      <c r="G6901">
        <v>-322.61489999999998</v>
      </c>
      <c r="H6901">
        <v>1.0098100000000001</v>
      </c>
      <c r="I6901">
        <v>17.546779999999998</v>
      </c>
      <c r="J6901">
        <v>-323.28739999999999</v>
      </c>
      <c r="K6901">
        <v>1.1194550000000001</v>
      </c>
      <c r="L6901">
        <v>17.662600000000001</v>
      </c>
      <c r="M6901">
        <v>0.99984390000000001</v>
      </c>
      <c r="N6901">
        <v>-1.431224E-2</v>
      </c>
      <c r="O6901">
        <v>-1.037161E-2</v>
      </c>
      <c r="P6901">
        <v>0.9436175</v>
      </c>
      <c r="Q6901">
        <v>-0.1309583</v>
      </c>
      <c r="R6901">
        <v>-0.3040332</v>
      </c>
      <c r="S6901">
        <v>2.9802249999999999</v>
      </c>
      <c r="T6901">
        <v>-0.40498129999999999</v>
      </c>
      <c r="U6901">
        <v>-0.4381409</v>
      </c>
      <c r="V6901">
        <v>0.29384949999999999</v>
      </c>
      <c r="W6901">
        <v>-0.1183418</v>
      </c>
      <c r="X6901">
        <v>0.94849760000000005</v>
      </c>
      <c r="Y6901">
        <v>0.13392229999999999</v>
      </c>
      <c r="Z6901">
        <v>-8.7300490000000001E-3</v>
      </c>
      <c r="AA6901">
        <v>0.99095339999999998</v>
      </c>
      <c r="AB6901">
        <v>20</v>
      </c>
      <c r="AC6901">
        <v>0.67250000000001298</v>
      </c>
      <c r="AD6901">
        <v>-0.10964499999999899</v>
      </c>
      <c r="AE6901">
        <v>-0.115820000000002</v>
      </c>
      <c r="AF6901">
        <v>0.106099032314492</v>
      </c>
      <c r="AG6901">
        <v>-0.10964499999999899</v>
      </c>
      <c r="AH6901">
        <v>0.65671114012598097</v>
      </c>
      <c r="AI6901">
        <v>99.359541097639607</v>
      </c>
      <c r="AJ6901">
        <v>80.822527619232403</v>
      </c>
      <c r="AK6901">
        <v>0.67420215977749398</v>
      </c>
      <c r="AL6901">
        <v>96.796412772015799</v>
      </c>
      <c r="AM6901">
        <v>72.786746409033697</v>
      </c>
      <c r="AN6901">
        <v>1.0000000037416199</v>
      </c>
    </row>
    <row r="6902" spans="1:40" x14ac:dyDescent="0.25">
      <c r="A6902" t="str">
        <f>"20190303154945457"</f>
        <v>20190303154945457</v>
      </c>
      <c r="B6902" t="str">
        <f>"1551599385447593"</f>
        <v>1551599385447593</v>
      </c>
      <c r="C6902" t="s">
        <v>40</v>
      </c>
      <c r="D6902">
        <v>5.4880060000000004</v>
      </c>
      <c r="E6902">
        <v>0.43860209999999999</v>
      </c>
      <c r="F6902" t="s">
        <v>42</v>
      </c>
      <c r="G6902">
        <v>-322.44310000000002</v>
      </c>
      <c r="H6902">
        <v>1.0033430000000001</v>
      </c>
      <c r="I6902">
        <v>17.536010000000001</v>
      </c>
      <c r="J6902">
        <v>-323.1782</v>
      </c>
      <c r="K6902">
        <v>1.119448</v>
      </c>
      <c r="L6902">
        <v>17.659970000000001</v>
      </c>
      <c r="M6902">
        <v>0.99982950000000004</v>
      </c>
      <c r="N6902">
        <v>-1.4310389999999999E-2</v>
      </c>
      <c r="O6902">
        <v>-1.1670410000000001E-2</v>
      </c>
      <c r="P6902">
        <v>0.94285490000000005</v>
      </c>
      <c r="Q6902">
        <v>-0.13119220000000001</v>
      </c>
      <c r="R6902">
        <v>-0.30629040000000002</v>
      </c>
      <c r="S6902">
        <v>2.9785159999999999</v>
      </c>
      <c r="T6902">
        <v>-0.40964010000000001</v>
      </c>
      <c r="U6902">
        <v>-0.4464417</v>
      </c>
      <c r="V6902">
        <v>0.29488300000000001</v>
      </c>
      <c r="W6902">
        <v>-0.1185891</v>
      </c>
      <c r="X6902">
        <v>0.94814589999999999</v>
      </c>
      <c r="Y6902">
        <v>0.1353857</v>
      </c>
      <c r="Z6902">
        <v>-8.7716289999999995E-3</v>
      </c>
      <c r="AA6902">
        <v>0.99075409999999997</v>
      </c>
      <c r="AB6902">
        <v>20</v>
      </c>
      <c r="AC6902">
        <v>0.73509999999998799</v>
      </c>
      <c r="AD6902">
        <v>-0.116104999999999</v>
      </c>
      <c r="AE6902">
        <v>-0.12396</v>
      </c>
      <c r="AF6902">
        <v>0.112639497251677</v>
      </c>
      <c r="AG6902">
        <v>-0.116104999999999</v>
      </c>
      <c r="AH6902">
        <v>0.71905484429441702</v>
      </c>
      <c r="AI6902">
        <v>99.063654629140601</v>
      </c>
      <c r="AJ6902">
        <v>81.097004637730194</v>
      </c>
      <c r="AK6902">
        <v>0.73702638790573705</v>
      </c>
      <c r="AL6902">
        <v>96.810682508249599</v>
      </c>
      <c r="AM6902">
        <v>72.723775860078106</v>
      </c>
      <c r="AN6902">
        <v>1.00000000300731</v>
      </c>
    </row>
    <row r="6903" spans="1:40" x14ac:dyDescent="0.25">
      <c r="A6903" t="str">
        <f>"20190303154945468"</f>
        <v>20190303154945468</v>
      </c>
      <c r="B6903" t="str">
        <f>"1551599385457354"</f>
        <v>1551599385457354</v>
      </c>
      <c r="C6903" t="s">
        <v>40</v>
      </c>
      <c r="D6903">
        <v>5.5040559999999896</v>
      </c>
      <c r="E6903">
        <v>0.43849199999999999</v>
      </c>
      <c r="F6903" t="s">
        <v>42</v>
      </c>
      <c r="G6903">
        <v>-322.4366</v>
      </c>
      <c r="H6903">
        <v>1.016918</v>
      </c>
      <c r="I6903">
        <v>17.547249999999998</v>
      </c>
      <c r="J6903">
        <v>-323.0865</v>
      </c>
      <c r="K6903">
        <v>1.1194459999999999</v>
      </c>
      <c r="L6903">
        <v>17.657589999999999</v>
      </c>
      <c r="M6903">
        <v>0.99981609999999999</v>
      </c>
      <c r="N6903">
        <v>-1.430888E-2</v>
      </c>
      <c r="O6903">
        <v>-1.277227E-2</v>
      </c>
      <c r="P6903">
        <v>0.94218060000000003</v>
      </c>
      <c r="Q6903">
        <v>-0.13169449999999999</v>
      </c>
      <c r="R6903">
        <v>-0.30814399999999997</v>
      </c>
      <c r="S6903">
        <v>2.9775700000000001</v>
      </c>
      <c r="T6903">
        <v>-0.41169549999999999</v>
      </c>
      <c r="U6903">
        <v>-0.45245360000000001</v>
      </c>
      <c r="V6903">
        <v>0.29569970000000001</v>
      </c>
      <c r="W6903">
        <v>-0.11910270000000001</v>
      </c>
      <c r="X6903">
        <v>0.94782719999999998</v>
      </c>
      <c r="Y6903">
        <v>0.1362825</v>
      </c>
      <c r="Z6903">
        <v>-8.7436089999999994E-3</v>
      </c>
      <c r="AA6903">
        <v>0.9906315</v>
      </c>
      <c r="AB6903">
        <v>20</v>
      </c>
      <c r="AC6903">
        <v>0.64990000000000203</v>
      </c>
      <c r="AD6903">
        <v>-0.10252799999999899</v>
      </c>
      <c r="AE6903">
        <v>-0.11033999999999999</v>
      </c>
      <c r="AF6903">
        <v>9.9619572669701895E-2</v>
      </c>
      <c r="AG6903">
        <v>-0.10252799999999899</v>
      </c>
      <c r="AH6903">
        <v>0.63587410866363603</v>
      </c>
      <c r="AI6903">
        <v>99.050966688024104</v>
      </c>
      <c r="AJ6903">
        <v>81.096099988431604</v>
      </c>
      <c r="AK6903">
        <v>0.65174529696168004</v>
      </c>
      <c r="AL6903">
        <v>96.840319115474898</v>
      </c>
      <c r="AM6903">
        <v>72.673311435057499</v>
      </c>
      <c r="AN6903">
        <v>1.0000000833936</v>
      </c>
    </row>
    <row r="6904" spans="1:40" x14ac:dyDescent="0.25">
      <c r="A6904" t="str">
        <f>"20190303154945479"</f>
        <v>20190303154945479</v>
      </c>
      <c r="B6904" t="str">
        <f>"1551599385468090"</f>
        <v>1551599385468090</v>
      </c>
      <c r="C6904" t="s">
        <v>40</v>
      </c>
      <c r="D6904">
        <v>5.4896260000000003</v>
      </c>
      <c r="E6904">
        <v>0.43882850000000001</v>
      </c>
      <c r="F6904" t="s">
        <v>42</v>
      </c>
      <c r="G6904">
        <v>-322.26780000000002</v>
      </c>
      <c r="H6904">
        <v>1.005236</v>
      </c>
      <c r="I6904">
        <v>17.531229999999901</v>
      </c>
      <c r="J6904">
        <v>-322.98410000000001</v>
      </c>
      <c r="K6904">
        <v>1.1194440000000001</v>
      </c>
      <c r="L6904">
        <v>17.654910000000001</v>
      </c>
      <c r="M6904">
        <v>0.99979949999999995</v>
      </c>
      <c r="N6904">
        <v>-1.4307210000000001E-2</v>
      </c>
      <c r="O6904">
        <v>-1.400682E-2</v>
      </c>
      <c r="P6904">
        <v>0.94161649999999997</v>
      </c>
      <c r="Q6904">
        <v>-0.13137769999999999</v>
      </c>
      <c r="R6904">
        <v>-0.30999789999999999</v>
      </c>
      <c r="S6904">
        <v>2.9765320000000002</v>
      </c>
      <c r="T6904">
        <v>-0.41474820000000001</v>
      </c>
      <c r="U6904">
        <v>-0.457428</v>
      </c>
      <c r="V6904">
        <v>0.2963924</v>
      </c>
      <c r="W6904">
        <v>-0.1187952</v>
      </c>
      <c r="X6904">
        <v>0.94764939999999998</v>
      </c>
      <c r="Y6904">
        <v>0.13671469999999999</v>
      </c>
      <c r="Z6904">
        <v>-8.6812629999999998E-3</v>
      </c>
      <c r="AA6904">
        <v>0.99057249999999997</v>
      </c>
      <c r="AB6904">
        <v>19</v>
      </c>
      <c r="AC6904">
        <v>0.71629999999998895</v>
      </c>
      <c r="AD6904">
        <v>-0.114208</v>
      </c>
      <c r="AE6904">
        <v>-0.123680000000003</v>
      </c>
      <c r="AF6904">
        <v>0.110896206250333</v>
      </c>
      <c r="AG6904">
        <v>-0.114208</v>
      </c>
      <c r="AH6904">
        <v>0.70066586044211998</v>
      </c>
      <c r="AI6904">
        <v>99.145867196816695</v>
      </c>
      <c r="AJ6904">
        <v>81.006251368950004</v>
      </c>
      <c r="AK6904">
        <v>0.71852215262566099</v>
      </c>
      <c r="AL6904">
        <v>96.822574778872493</v>
      </c>
      <c r="AM6904">
        <v>72.632097851687604</v>
      </c>
      <c r="AN6904">
        <v>1.00000006982057</v>
      </c>
    </row>
    <row r="6905" spans="1:40" x14ac:dyDescent="0.25">
      <c r="A6905" t="str">
        <f>"20190303154945490"</f>
        <v>20190303154945490</v>
      </c>
      <c r="B6905" t="str">
        <f>"1551599385487929"</f>
        <v>1551599385487929</v>
      </c>
      <c r="C6905" t="s">
        <v>40</v>
      </c>
      <c r="D6905">
        <v>5.5835879999999998</v>
      </c>
      <c r="E6905">
        <v>0.48491420000000002</v>
      </c>
      <c r="F6905" t="s">
        <v>42</v>
      </c>
      <c r="G6905">
        <v>-322.2611</v>
      </c>
      <c r="H6905">
        <v>1.018853</v>
      </c>
      <c r="I6905">
        <v>17.541139999999999</v>
      </c>
      <c r="J6905">
        <v>-322.88679999999999</v>
      </c>
      <c r="K6905">
        <v>1.1194360000000001</v>
      </c>
      <c r="L6905">
        <v>17.65213</v>
      </c>
      <c r="M6905">
        <v>0.99978230000000001</v>
      </c>
      <c r="N6905">
        <v>-1.430498E-2</v>
      </c>
      <c r="O6905">
        <v>-1.5196889999999999E-2</v>
      </c>
      <c r="P6905">
        <v>0.94110850000000001</v>
      </c>
      <c r="Q6905">
        <v>-0.1308841</v>
      </c>
      <c r="R6905">
        <v>-0.31174420000000003</v>
      </c>
      <c r="S6905">
        <v>2.975006</v>
      </c>
      <c r="T6905">
        <v>-0.41337449999999998</v>
      </c>
      <c r="U6905">
        <v>-0.46585080000000001</v>
      </c>
      <c r="V6905">
        <v>0.29702089999999998</v>
      </c>
      <c r="W6905">
        <v>-0.1183105</v>
      </c>
      <c r="X6905">
        <v>0.94751320000000006</v>
      </c>
      <c r="Y6905">
        <v>0.1383501</v>
      </c>
      <c r="Z6905">
        <v>-8.6364200000000006E-3</v>
      </c>
      <c r="AA6905">
        <v>0.9903457</v>
      </c>
      <c r="AB6905">
        <v>19</v>
      </c>
      <c r="AC6905">
        <v>0.62569999999999404</v>
      </c>
      <c r="AD6905">
        <v>-0.10058300000000001</v>
      </c>
      <c r="AE6905">
        <v>-0.110990000000001</v>
      </c>
      <c r="AF6905">
        <v>9.8987565149193005E-2</v>
      </c>
      <c r="AG6905">
        <v>-0.10058300000000001</v>
      </c>
      <c r="AH6905">
        <v>0.61198252243019202</v>
      </c>
      <c r="AI6905">
        <v>99.215778821954302</v>
      </c>
      <c r="AJ6905">
        <v>80.812040481470007</v>
      </c>
      <c r="AK6905">
        <v>0.628043060389323</v>
      </c>
      <c r="AL6905">
        <v>96.794606568778804</v>
      </c>
      <c r="AM6905">
        <v>72.595140234902502</v>
      </c>
      <c r="AN6905">
        <v>1.0000000268106399</v>
      </c>
    </row>
    <row r="6906" spans="1:40" x14ac:dyDescent="0.25">
      <c r="A6906" t="str">
        <f>"20190303154945501"</f>
        <v>20190303154945501</v>
      </c>
      <c r="B6906" t="str">
        <f>"1551599385497689"</f>
        <v>1551599385497689</v>
      </c>
      <c r="C6906" t="s">
        <v>40</v>
      </c>
      <c r="D6906">
        <v>5.9638269999999904</v>
      </c>
      <c r="E6906">
        <v>0.496888</v>
      </c>
      <c r="F6906" t="s">
        <v>43</v>
      </c>
      <c r="G6906">
        <v>-313.41820000000001</v>
      </c>
      <c r="H6906">
        <v>-0.05</v>
      </c>
      <c r="I6906">
        <v>14.934570000000001</v>
      </c>
      <c r="J6906">
        <v>-322.79750000000001</v>
      </c>
      <c r="K6906">
        <v>1.119434</v>
      </c>
      <c r="L6906">
        <v>17.649539999999998</v>
      </c>
      <c r="M6906">
        <v>0.99976500000000001</v>
      </c>
      <c r="N6906">
        <v>-1.43026E-2</v>
      </c>
      <c r="O6906">
        <v>-1.629123E-2</v>
      </c>
      <c r="P6906">
        <v>0.94079639999999998</v>
      </c>
      <c r="Q6906">
        <v>-0.1303985</v>
      </c>
      <c r="R6906">
        <v>-0.31288779999999999</v>
      </c>
      <c r="S6906">
        <v>2.866028</v>
      </c>
      <c r="T6906">
        <v>-0.35397220000000001</v>
      </c>
      <c r="U6906">
        <v>-0.82257080000000005</v>
      </c>
      <c r="V6906">
        <v>0.29713430000000002</v>
      </c>
      <c r="W6906">
        <v>-0.11782960000000001</v>
      </c>
      <c r="X6906">
        <v>0.94753750000000003</v>
      </c>
      <c r="Y6906">
        <v>0.25822590000000001</v>
      </c>
      <c r="Z6906">
        <v>-1.572933E-2</v>
      </c>
      <c r="AA6906">
        <v>0.9659565</v>
      </c>
      <c r="AB6906">
        <v>19</v>
      </c>
      <c r="AC6906">
        <v>9.3793000000000006</v>
      </c>
      <c r="AD6906">
        <v>-1.1694340000000001</v>
      </c>
      <c r="AE6906">
        <v>-2.7149699999999899</v>
      </c>
      <c r="AF6906">
        <v>2.5255673042558699</v>
      </c>
      <c r="AG6906">
        <v>-1.1694340000000001</v>
      </c>
      <c r="AH6906">
        <v>9.2890490292662395</v>
      </c>
      <c r="AI6906">
        <v>96.926561998651394</v>
      </c>
      <c r="AJ6906">
        <v>74.789726971589999</v>
      </c>
      <c r="AK6906">
        <v>9.6970355241586201</v>
      </c>
      <c r="AL6906">
        <v>96.766859393242896</v>
      </c>
      <c r="AM6906">
        <v>72.589316266963806</v>
      </c>
      <c r="AN6906">
        <v>0.99999996038944905</v>
      </c>
    </row>
    <row r="6907" spans="1:40" x14ac:dyDescent="0.25">
      <c r="A6907" t="str">
        <f>"20190303154945511"</f>
        <v>20190303154945511</v>
      </c>
      <c r="B6907" t="str">
        <f>"1551599385507449"</f>
        <v>1551599385507449</v>
      </c>
      <c r="C6907" t="s">
        <v>40</v>
      </c>
      <c r="D6907">
        <v>5.5933510000000002</v>
      </c>
      <c r="E6907">
        <v>0.50954849999999996</v>
      </c>
      <c r="F6907" t="s">
        <v>43</v>
      </c>
      <c r="G6907">
        <v>-312.79230000000001</v>
      </c>
      <c r="H6907">
        <v>-0.05</v>
      </c>
      <c r="I6907">
        <v>14.41512</v>
      </c>
      <c r="J6907">
        <v>-322.7029</v>
      </c>
      <c r="K6907">
        <v>1.1194280000000001</v>
      </c>
      <c r="L6907">
        <v>17.646609999999999</v>
      </c>
      <c r="M6907">
        <v>0.9997452</v>
      </c>
      <c r="N6907">
        <v>-1.4293429999999999E-2</v>
      </c>
      <c r="O6907">
        <v>-1.7467529999999998E-2</v>
      </c>
      <c r="P6907">
        <v>0.94048699999999996</v>
      </c>
      <c r="Q6907">
        <v>-0.12973119999999999</v>
      </c>
      <c r="R6907">
        <v>-0.31409229999999999</v>
      </c>
      <c r="S6907">
        <v>2.8377379999999999</v>
      </c>
      <c r="T6907">
        <v>-0.33168140000000002</v>
      </c>
      <c r="U6907">
        <v>-0.91735840000000002</v>
      </c>
      <c r="V6907">
        <v>0.29723260000000001</v>
      </c>
      <c r="W6907">
        <v>-0.1171731</v>
      </c>
      <c r="X6907">
        <v>0.94758810000000004</v>
      </c>
      <c r="Y6907">
        <v>0.28899509999999901</v>
      </c>
      <c r="Z6907">
        <v>-1.680152E-2</v>
      </c>
      <c r="AA6907">
        <v>0.95718309999999995</v>
      </c>
      <c r="AB6907">
        <v>19</v>
      </c>
      <c r="AC6907">
        <v>9.9105999999999792</v>
      </c>
      <c r="AD6907">
        <v>-1.1694279999999999</v>
      </c>
      <c r="AE6907">
        <v>-3.2314899999999902</v>
      </c>
      <c r="AF6907">
        <v>3.0198593213623601</v>
      </c>
      <c r="AG6907">
        <v>-1.1694279999999999</v>
      </c>
      <c r="AH6907">
        <v>9.8416780534149098</v>
      </c>
      <c r="AI6907">
        <v>96.480823438454294</v>
      </c>
      <c r="AJ6907">
        <v>72.941685303283194</v>
      </c>
      <c r="AK6907">
        <v>10.3607788836106</v>
      </c>
      <c r="AL6907">
        <v>96.728982190447397</v>
      </c>
      <c r="AM6907">
        <v>72.584778357894905</v>
      </c>
      <c r="AN6907">
        <v>0.99999998056398898</v>
      </c>
    </row>
    <row r="6908" spans="1:40" x14ac:dyDescent="0.25">
      <c r="A6908" t="str">
        <f>"20190303154945522"</f>
        <v>20190303154945522</v>
      </c>
      <c r="B6908" t="str">
        <f>"1551599385517208"</f>
        <v>1551599385517208</v>
      </c>
      <c r="C6908" t="s">
        <v>40</v>
      </c>
      <c r="D6908">
        <v>5.5258289999999999</v>
      </c>
      <c r="E6908">
        <v>0.51914329999999997</v>
      </c>
      <c r="F6908" t="s">
        <v>43</v>
      </c>
      <c r="G6908">
        <v>-312.05290000000002</v>
      </c>
      <c r="H6908">
        <v>-0.05</v>
      </c>
      <c r="I6908">
        <v>13.786009999999999</v>
      </c>
      <c r="J6908">
        <v>-322.6148</v>
      </c>
      <c r="K6908">
        <v>1.1194230000000001</v>
      </c>
      <c r="L6908">
        <v>17.643829999999902</v>
      </c>
      <c r="M6908">
        <v>0.9997258</v>
      </c>
      <c r="N6908">
        <v>-1.4283270000000001E-2</v>
      </c>
      <c r="O6908">
        <v>-1.8562749999999999E-2</v>
      </c>
      <c r="P6908">
        <v>0.94019129999999995</v>
      </c>
      <c r="Q6908">
        <v>-0.12941659999999999</v>
      </c>
      <c r="R6908">
        <v>-0.31510640000000001</v>
      </c>
      <c r="S6908">
        <v>2.8074340000000002</v>
      </c>
      <c r="T6908">
        <v>-0.3082744</v>
      </c>
      <c r="U6908">
        <v>-1.0177</v>
      </c>
      <c r="V6908">
        <v>0.29721560000000002</v>
      </c>
      <c r="W6908">
        <v>-0.11686970000000001</v>
      </c>
      <c r="X6908">
        <v>0.94763090000000005</v>
      </c>
      <c r="Y6908">
        <v>0.32141209999999998</v>
      </c>
      <c r="Z6908">
        <v>-1.771694E-2</v>
      </c>
      <c r="AA6908">
        <v>0.94677359999999999</v>
      </c>
      <c r="AB6908">
        <v>19</v>
      </c>
      <c r="AC6908">
        <v>10.5618999999999</v>
      </c>
      <c r="AD6908">
        <v>-1.1694229999999901</v>
      </c>
      <c r="AE6908">
        <v>-3.85781999999999</v>
      </c>
      <c r="AF6908">
        <v>3.6219024004034002</v>
      </c>
      <c r="AG6908">
        <v>-1.1694229999999901</v>
      </c>
      <c r="AH6908">
        <v>10.517935764084701</v>
      </c>
      <c r="AI6908">
        <v>96.001197712678007</v>
      </c>
      <c r="AJ6908">
        <v>70.998603859697297</v>
      </c>
      <c r="AK6908">
        <v>11.185378844204999</v>
      </c>
      <c r="AL6908">
        <v>96.711478384855695</v>
      </c>
      <c r="AM6908">
        <v>72.586453161783595</v>
      </c>
      <c r="AN6908">
        <v>0.99999998114812905</v>
      </c>
    </row>
    <row r="6909" spans="1:40" x14ac:dyDescent="0.25">
      <c r="A6909" t="str">
        <f>"20190303154945532"</f>
        <v>20190303154945532</v>
      </c>
      <c r="B6909" t="str">
        <f>"1551599385527944"</f>
        <v>1551599385527944</v>
      </c>
      <c r="C6909" t="s">
        <v>40</v>
      </c>
      <c r="D6909">
        <v>5.5327699999999904</v>
      </c>
      <c r="E6909">
        <v>0.52549049999999997</v>
      </c>
      <c r="F6909" t="s">
        <v>43</v>
      </c>
      <c r="G6909">
        <v>-311.31670000000003</v>
      </c>
      <c r="H6909">
        <v>-0.05</v>
      </c>
      <c r="I6909">
        <v>13.204879999999999</v>
      </c>
      <c r="J6909">
        <v>-322.5154</v>
      </c>
      <c r="K6909">
        <v>1.1194139999999999</v>
      </c>
      <c r="L6909">
        <v>17.640529999999998</v>
      </c>
      <c r="M6909">
        <v>0.99970210000000004</v>
      </c>
      <c r="N6909">
        <v>-1.426056E-2</v>
      </c>
      <c r="O6909">
        <v>-1.9812349999999999E-2</v>
      </c>
      <c r="P6909">
        <v>0.93992690000000001</v>
      </c>
      <c r="Q6909">
        <v>-0.12932179999999999</v>
      </c>
      <c r="R6909">
        <v>-0.31593300000000002</v>
      </c>
      <c r="S6909">
        <v>2.7845149999999999</v>
      </c>
      <c r="T6909">
        <v>-0.28821550000000001</v>
      </c>
      <c r="U6909">
        <v>-1.094025</v>
      </c>
      <c r="V6909">
        <v>0.29686400000000002</v>
      </c>
      <c r="W6909">
        <v>-0.1167957</v>
      </c>
      <c r="X6909">
        <v>0.94775019999999999</v>
      </c>
      <c r="Y6909">
        <v>0.34539419999999998</v>
      </c>
      <c r="Z6909">
        <v>-1.805232E-2</v>
      </c>
      <c r="AA6909">
        <v>0.93828400000000001</v>
      </c>
      <c r="AB6909">
        <v>19</v>
      </c>
      <c r="AC6909">
        <v>11.198699999999899</v>
      </c>
      <c r="AD6909">
        <v>-1.169414</v>
      </c>
      <c r="AE6909">
        <v>-4.4356499999999901</v>
      </c>
      <c r="AF6909">
        <v>4.1735456751721003</v>
      </c>
      <c r="AG6909">
        <v>-1.169414</v>
      </c>
      <c r="AH6909">
        <v>11.179021430711799</v>
      </c>
      <c r="AI6909">
        <v>95.597164890651001</v>
      </c>
      <c r="AJ6909">
        <v>69.527521019986196</v>
      </c>
      <c r="AK6909">
        <v>11.989851239880201</v>
      </c>
      <c r="AL6909">
        <v>96.7072094311401</v>
      </c>
      <c r="AM6909">
        <v>72.607867257272005</v>
      </c>
      <c r="AN6909">
        <v>0.99999995581726397</v>
      </c>
    </row>
    <row r="6910" spans="1:40" x14ac:dyDescent="0.25">
      <c r="A6910" t="str">
        <f>"20190303154945544"</f>
        <v>20190303154945544</v>
      </c>
      <c r="B6910" t="str">
        <f>"1551599385537704"</f>
        <v>1551599385537704</v>
      </c>
      <c r="C6910" t="s">
        <v>40</v>
      </c>
      <c r="D6910">
        <v>5.4878799999999996</v>
      </c>
      <c r="E6910">
        <v>0.53032089999999998</v>
      </c>
      <c r="F6910" t="s">
        <v>43</v>
      </c>
      <c r="G6910">
        <v>-310.7371</v>
      </c>
      <c r="H6910">
        <v>-0.05</v>
      </c>
      <c r="I6910">
        <v>12.77022</v>
      </c>
      <c r="J6910">
        <v>-322.42200000000003</v>
      </c>
      <c r="K6910">
        <v>1.1194059999999999</v>
      </c>
      <c r="L6910">
        <v>17.637329999999999</v>
      </c>
      <c r="M6910">
        <v>0.99967859999999997</v>
      </c>
      <c r="N6910">
        <v>-1.423454E-2</v>
      </c>
      <c r="O6910">
        <v>-2.098966E-2</v>
      </c>
      <c r="P6910">
        <v>0.93969279999999999</v>
      </c>
      <c r="Q6910">
        <v>-0.12929389999999999</v>
      </c>
      <c r="R6910">
        <v>-0.31664019999999998</v>
      </c>
      <c r="S6910">
        <v>2.769104</v>
      </c>
      <c r="T6910">
        <v>-0.27493139999999999</v>
      </c>
      <c r="U6910">
        <v>-1.1450199999999999</v>
      </c>
      <c r="V6910">
        <v>0.29646109999999998</v>
      </c>
      <c r="W6910">
        <v>-0.1167909</v>
      </c>
      <c r="X6910">
        <v>0.94787690000000002</v>
      </c>
      <c r="Y6910">
        <v>0.36094090000000001</v>
      </c>
      <c r="Z6910">
        <v>-1.8142140000000001E-2</v>
      </c>
      <c r="AA6910">
        <v>0.93241220000000002</v>
      </c>
      <c r="AB6910">
        <v>19</v>
      </c>
      <c r="AC6910">
        <v>11.684900000000001</v>
      </c>
      <c r="AD6910">
        <v>-1.1694059999999999</v>
      </c>
      <c r="AE6910">
        <v>-4.8671099999999896</v>
      </c>
      <c r="AF6910">
        <v>4.5816467430788199</v>
      </c>
      <c r="AG6910">
        <v>-1.1694059999999999</v>
      </c>
      <c r="AH6910">
        <v>11.6847661743667</v>
      </c>
      <c r="AI6910">
        <v>95.323053525177798</v>
      </c>
      <c r="AJ6910">
        <v>68.589642132371793</v>
      </c>
      <c r="AK6910">
        <v>12.605267066620399</v>
      </c>
      <c r="AL6910">
        <v>96.706932502587094</v>
      </c>
      <c r="AM6910">
        <v>72.6322329828688</v>
      </c>
      <c r="AN6910">
        <v>0.99999995784481399</v>
      </c>
    </row>
    <row r="6911" spans="1:40" x14ac:dyDescent="0.25">
      <c r="A6911" t="str">
        <f>"20190303154945554"</f>
        <v>20190303154945554</v>
      </c>
      <c r="B6911" t="str">
        <f>"1551599385547465"</f>
        <v>1551599385547465</v>
      </c>
      <c r="C6911" t="s">
        <v>40</v>
      </c>
      <c r="D6911">
        <v>5.4821169999999997</v>
      </c>
      <c r="E6911">
        <v>0.53404839999999998</v>
      </c>
      <c r="F6911" t="s">
        <v>43</v>
      </c>
      <c r="G6911">
        <v>-310.20299999999997</v>
      </c>
      <c r="H6911">
        <v>-0.05</v>
      </c>
      <c r="I6911">
        <v>12.390470000000001</v>
      </c>
      <c r="J6911">
        <v>-322.32650000000001</v>
      </c>
      <c r="K6911">
        <v>1.1193949999999999</v>
      </c>
      <c r="L6911">
        <v>17.633939999999999</v>
      </c>
      <c r="M6911">
        <v>0.99965289999999996</v>
      </c>
      <c r="N6911">
        <v>-1.4198479999999999E-2</v>
      </c>
      <c r="O6911">
        <v>-2.219894E-2</v>
      </c>
      <c r="P6911">
        <v>0.93941189999999997</v>
      </c>
      <c r="Q6911">
        <v>-0.12922690000000001</v>
      </c>
      <c r="R6911">
        <v>-0.3174997</v>
      </c>
      <c r="S6911">
        <v>2.7572329999999998</v>
      </c>
      <c r="T6911">
        <v>-0.26387860000000002</v>
      </c>
      <c r="U6911">
        <v>-1.1839599999999999</v>
      </c>
      <c r="V6911">
        <v>0.29618149999999999</v>
      </c>
      <c r="W6911">
        <v>-0.1167569</v>
      </c>
      <c r="X6911">
        <v>0.94796849999999999</v>
      </c>
      <c r="Y6911">
        <v>0.3724499</v>
      </c>
      <c r="Z6911">
        <v>-1.8070300000000001E-2</v>
      </c>
      <c r="AA6911">
        <v>0.92787640000000005</v>
      </c>
      <c r="AB6911">
        <v>19</v>
      </c>
      <c r="AC6911">
        <v>12.1235</v>
      </c>
      <c r="AD6911">
        <v>-1.169395</v>
      </c>
      <c r="AE6911">
        <v>-5.2434699999999896</v>
      </c>
      <c r="AF6911">
        <v>4.93434728744566</v>
      </c>
      <c r="AG6911">
        <v>-1.169395</v>
      </c>
      <c r="AH6911">
        <v>12.1417584731171</v>
      </c>
      <c r="AI6911">
        <v>95.098724753808796</v>
      </c>
      <c r="AJ6911">
        <v>67.883431742913601</v>
      </c>
      <c r="AK6911">
        <v>13.1581748977075</v>
      </c>
      <c r="AL6911">
        <v>96.704970972919696</v>
      </c>
      <c r="AM6911">
        <v>72.649205228332903</v>
      </c>
      <c r="AN6911">
        <v>0.99999996581605399</v>
      </c>
    </row>
    <row r="6912" spans="1:40" x14ac:dyDescent="0.25">
      <c r="A6912" t="str">
        <f>"20190303154945566"</f>
        <v>20190303154945566</v>
      </c>
      <c r="B6912" t="str">
        <f>"1551599385557224"</f>
        <v>1551599385557224</v>
      </c>
      <c r="C6912" t="s">
        <v>40</v>
      </c>
      <c r="D6912">
        <v>5.446237</v>
      </c>
      <c r="E6912">
        <v>0.5369623</v>
      </c>
      <c r="F6912" t="s">
        <v>43</v>
      </c>
      <c r="G6912">
        <v>-309.82279999999997</v>
      </c>
      <c r="H6912">
        <v>-0.05</v>
      </c>
      <c r="I6912">
        <v>12.104900000000001</v>
      </c>
      <c r="J6912">
        <v>-322.23509999999999</v>
      </c>
      <c r="K6912">
        <v>1.1193850000000001</v>
      </c>
      <c r="L6912">
        <v>17.630549999999999</v>
      </c>
      <c r="M6912">
        <v>0.99962689999999998</v>
      </c>
      <c r="N6912">
        <v>-1.415979E-2</v>
      </c>
      <c r="O6912">
        <v>-2.3358589999999999E-2</v>
      </c>
      <c r="P6912">
        <v>0.93917249999999997</v>
      </c>
      <c r="Q6912">
        <v>-0.12925410000000001</v>
      </c>
      <c r="R6912">
        <v>-0.31819540000000002</v>
      </c>
      <c r="S6912">
        <v>2.747528</v>
      </c>
      <c r="T6912">
        <v>-0.25695960000000001</v>
      </c>
      <c r="U6912">
        <v>-1.2149350000000001</v>
      </c>
      <c r="V6912">
        <v>0.29578450000000001</v>
      </c>
      <c r="W6912">
        <v>-0.11681800000000001</v>
      </c>
      <c r="X6912">
        <v>0.94808499999999996</v>
      </c>
      <c r="Y6912">
        <v>0.38137080000000001</v>
      </c>
      <c r="Z6912">
        <v>-1.80675E-2</v>
      </c>
      <c r="AA6912">
        <v>0.9242456</v>
      </c>
      <c r="AB6912">
        <v>19</v>
      </c>
      <c r="AC6912">
        <v>12.4123</v>
      </c>
      <c r="AD6912">
        <v>-1.1693849999999999</v>
      </c>
      <c r="AE6912">
        <v>-5.52564999999999</v>
      </c>
      <c r="AF6912">
        <v>5.1956906108746201</v>
      </c>
      <c r="AG6912">
        <v>-1.1693849999999999</v>
      </c>
      <c r="AH6912">
        <v>12.445801214993701</v>
      </c>
      <c r="AI6912">
        <v>94.955496265364005</v>
      </c>
      <c r="AJ6912">
        <v>67.341154918575896</v>
      </c>
      <c r="AK6912">
        <v>13.537378996146</v>
      </c>
      <c r="AL6912">
        <v>96.708495356906496</v>
      </c>
      <c r="AM6912">
        <v>72.673070629480307</v>
      </c>
      <c r="AN6912">
        <v>1.00000004139462</v>
      </c>
    </row>
    <row r="6913" spans="1:40" x14ac:dyDescent="0.25">
      <c r="A6913" t="str">
        <f>"20190303154945576"</f>
        <v>20190303154945576</v>
      </c>
      <c r="B6913" t="str">
        <f>"1551599385567960"</f>
        <v>1551599385567960</v>
      </c>
      <c r="C6913" t="s">
        <v>40</v>
      </c>
      <c r="D6913">
        <v>5.4828749999999999</v>
      </c>
      <c r="E6913">
        <v>0.53940749999999904</v>
      </c>
      <c r="F6913" t="s">
        <v>43</v>
      </c>
      <c r="G6913">
        <v>-309.57659999999998</v>
      </c>
      <c r="H6913">
        <v>-0.05</v>
      </c>
      <c r="I6913">
        <v>11.904529999999999</v>
      </c>
      <c r="J6913">
        <v>-322.13990000000001</v>
      </c>
      <c r="K6913">
        <v>1.1193759999999999</v>
      </c>
      <c r="L6913">
        <v>17.62698</v>
      </c>
      <c r="M6913">
        <v>0.9995986</v>
      </c>
      <c r="N6913">
        <v>-1.411483E-2</v>
      </c>
      <c r="O6913">
        <v>-2.457109E-2</v>
      </c>
      <c r="P6913">
        <v>0.93896089999999999</v>
      </c>
      <c r="Q6913">
        <v>-0.129246</v>
      </c>
      <c r="R6913">
        <v>-0.31882339999999998</v>
      </c>
      <c r="S6913">
        <v>2.7396240000000001</v>
      </c>
      <c r="T6913">
        <v>-0.2530847</v>
      </c>
      <c r="U6913">
        <v>-1.239258</v>
      </c>
      <c r="V6913">
        <v>0.29526950000000002</v>
      </c>
      <c r="W6913">
        <v>-0.11684799999999999</v>
      </c>
      <c r="X6913">
        <v>0.94824180000000002</v>
      </c>
      <c r="Y6913">
        <v>0.38807770000000003</v>
      </c>
      <c r="Z6913">
        <v>-1.8105449999999999E-2</v>
      </c>
      <c r="AA6913">
        <v>0.92144879999999996</v>
      </c>
      <c r="AB6913">
        <v>19</v>
      </c>
      <c r="AC6913">
        <v>12.5633</v>
      </c>
      <c r="AD6913">
        <v>-1.169376</v>
      </c>
      <c r="AE6913">
        <v>-5.7224499999999896</v>
      </c>
      <c r="AF6913">
        <v>5.3734426187174904</v>
      </c>
      <c r="AG6913">
        <v>-1.169376</v>
      </c>
      <c r="AH6913">
        <v>12.609652258739899</v>
      </c>
      <c r="AI6913">
        <v>94.876288667673506</v>
      </c>
      <c r="AJ6913">
        <v>66.919339490356705</v>
      </c>
      <c r="AK6913">
        <v>13.7566222559308</v>
      </c>
      <c r="AL6913">
        <v>96.710226213703805</v>
      </c>
      <c r="AM6913">
        <v>72.7041273264811</v>
      </c>
      <c r="AN6913">
        <v>1.0000000220007399</v>
      </c>
    </row>
    <row r="6914" spans="1:40" x14ac:dyDescent="0.25">
      <c r="A6914" t="str">
        <f>"20190303154945589"</f>
        <v>20190303154945589</v>
      </c>
      <c r="B6914" t="str">
        <f>"1551599385577721"</f>
        <v>1551599385577721</v>
      </c>
      <c r="C6914" t="s">
        <v>40</v>
      </c>
      <c r="D6914">
        <v>5.5550670000000002</v>
      </c>
      <c r="E6914">
        <v>0.54055419999999998</v>
      </c>
      <c r="F6914" t="s">
        <v>43</v>
      </c>
      <c r="G6914">
        <v>-309.36759999999998</v>
      </c>
      <c r="H6914">
        <v>-0.05</v>
      </c>
      <c r="I6914">
        <v>11.74011</v>
      </c>
      <c r="J6914">
        <v>-322.0376</v>
      </c>
      <c r="K6914">
        <v>1.1193709999999999</v>
      </c>
      <c r="L6914">
        <v>17.622920000000001</v>
      </c>
      <c r="M6914">
        <v>0.99956639999999997</v>
      </c>
      <c r="N6914">
        <v>-1.4065299999999999E-2</v>
      </c>
      <c r="O6914">
        <v>-2.5872889999999999E-2</v>
      </c>
      <c r="P6914">
        <v>0.93871870000000002</v>
      </c>
      <c r="Q6914">
        <v>-0.129166899999999</v>
      </c>
      <c r="R6914">
        <v>-0.3195675</v>
      </c>
      <c r="S6914">
        <v>2.7329409999999998</v>
      </c>
      <c r="T6914">
        <v>-0.25021700000000002</v>
      </c>
      <c r="U6914">
        <v>-1.259644</v>
      </c>
      <c r="V6914">
        <v>0.29478779999999999</v>
      </c>
      <c r="W6914">
        <v>-0.1168097</v>
      </c>
      <c r="X6914">
        <v>0.94839629999999997</v>
      </c>
      <c r="Y6914">
        <v>0.39341569999999998</v>
      </c>
      <c r="Z6914">
        <v>-1.8116940000000002E-2</v>
      </c>
      <c r="AA6914">
        <v>0.91918219999999995</v>
      </c>
      <c r="AB6914">
        <v>19</v>
      </c>
      <c r="AC6914">
        <v>12.67</v>
      </c>
      <c r="AD6914">
        <v>-1.1693709999999999</v>
      </c>
      <c r="AE6914">
        <v>-5.8828099999999903</v>
      </c>
      <c r="AF6914">
        <v>5.5143562269828701</v>
      </c>
      <c r="AG6914">
        <v>-1.1693709999999999</v>
      </c>
      <c r="AH6914">
        <v>12.7287804817683</v>
      </c>
      <c r="AI6914">
        <v>94.818512908860498</v>
      </c>
      <c r="AJ6914">
        <v>66.576797309232205</v>
      </c>
      <c r="AK6914">
        <v>13.9211136654634</v>
      </c>
      <c r="AL6914">
        <v>96.708017156870895</v>
      </c>
      <c r="AM6914">
        <v>72.733310313616997</v>
      </c>
      <c r="AN6914">
        <v>0.999999947448308</v>
      </c>
    </row>
    <row r="6915" spans="1:40" x14ac:dyDescent="0.25">
      <c r="A6915" t="str">
        <f>"20190303154945600"</f>
        <v>20190303154945600</v>
      </c>
      <c r="B6915" t="str">
        <f>"1551599385587480"</f>
        <v>1551599385587480</v>
      </c>
      <c r="C6915" t="s">
        <v>40</v>
      </c>
      <c r="D6915">
        <v>5.5323589999999996</v>
      </c>
      <c r="E6915">
        <v>0.54174869999999997</v>
      </c>
      <c r="F6915" t="s">
        <v>43</v>
      </c>
      <c r="G6915">
        <v>-309.40089999999998</v>
      </c>
      <c r="H6915">
        <v>-0.05</v>
      </c>
      <c r="I6915">
        <v>11.73973</v>
      </c>
      <c r="J6915">
        <v>-321.93430000000001</v>
      </c>
      <c r="K6915">
        <v>1.119367</v>
      </c>
      <c r="L6915">
        <v>17.618770000000001</v>
      </c>
      <c r="M6915">
        <v>0.99953210000000003</v>
      </c>
      <c r="N6915">
        <v>-1.401465E-2</v>
      </c>
      <c r="O6915">
        <v>-2.718837E-2</v>
      </c>
      <c r="P6915">
        <v>0.93850109999999998</v>
      </c>
      <c r="Q6915">
        <v>-0.1287838</v>
      </c>
      <c r="R6915">
        <v>-0.32035999999999998</v>
      </c>
      <c r="S6915">
        <v>2.7286069999999998</v>
      </c>
      <c r="T6915">
        <v>-0.25250089999999997</v>
      </c>
      <c r="U6915">
        <v>-1.2703549999999999</v>
      </c>
      <c r="V6915">
        <v>0.2943424</v>
      </c>
      <c r="W6915">
        <v>-0.11646720000000001</v>
      </c>
      <c r="X6915">
        <v>0.9485768</v>
      </c>
      <c r="Y6915">
        <v>0.3956982</v>
      </c>
      <c r="Z6915">
        <v>-1.8271920000000001E-2</v>
      </c>
      <c r="AA6915">
        <v>0.91819879999999998</v>
      </c>
      <c r="AB6915">
        <v>19</v>
      </c>
      <c r="AC6915">
        <v>12.5334</v>
      </c>
      <c r="AD6915">
        <v>-1.169367</v>
      </c>
      <c r="AE6915">
        <v>-5.8790399999999998</v>
      </c>
      <c r="AF6915">
        <v>5.4968499957769801</v>
      </c>
      <c r="AG6915">
        <v>-1.169367</v>
      </c>
      <c r="AH6915">
        <v>12.598730979881299</v>
      </c>
      <c r="AI6915">
        <v>94.862540192698702</v>
      </c>
      <c r="AJ6915">
        <v>66.428266323448398</v>
      </c>
      <c r="AK6915">
        <v>13.795318095650501</v>
      </c>
      <c r="AL6915">
        <v>96.688258125434402</v>
      </c>
      <c r="AM6915">
        <v>72.760937471332298</v>
      </c>
      <c r="AN6915">
        <v>1.00000000130592</v>
      </c>
    </row>
    <row r="6916" spans="1:40" x14ac:dyDescent="0.25">
      <c r="A6916" t="str">
        <f>"20190303154945612"</f>
        <v>20190303154945612</v>
      </c>
      <c r="B6916" t="str">
        <f>"1551599385607976"</f>
        <v>1551599385607976</v>
      </c>
      <c r="C6916" t="s">
        <v>40</v>
      </c>
      <c r="D6916">
        <v>5.5570430000000002</v>
      </c>
      <c r="E6916">
        <v>0.543678199999999</v>
      </c>
      <c r="F6916" t="s">
        <v>43</v>
      </c>
      <c r="G6916">
        <v>-309.33710000000002</v>
      </c>
      <c r="H6916">
        <v>-0.05</v>
      </c>
      <c r="I6916">
        <v>11.692500000000001</v>
      </c>
      <c r="J6916">
        <v>-321.83319999999998</v>
      </c>
      <c r="K6916">
        <v>1.11937</v>
      </c>
      <c r="L6916">
        <v>17.6145</v>
      </c>
      <c r="M6916">
        <v>0.99949699999999997</v>
      </c>
      <c r="N6916">
        <v>-1.396767E-2</v>
      </c>
      <c r="O6916">
        <v>-2.84745E-2</v>
      </c>
      <c r="P6916">
        <v>0.93819680000000005</v>
      </c>
      <c r="Q6916">
        <v>-0.12848799999999999</v>
      </c>
      <c r="R6916">
        <v>-0.3213683</v>
      </c>
      <c r="S6916">
        <v>2.724396</v>
      </c>
      <c r="T6916">
        <v>-0.25289929999999999</v>
      </c>
      <c r="U6916">
        <v>-1.281677</v>
      </c>
      <c r="V6916">
        <v>0.2941433</v>
      </c>
      <c r="W6916">
        <v>-0.1162083</v>
      </c>
      <c r="X6916">
        <v>0.94867029999999997</v>
      </c>
      <c r="Y6916">
        <v>0.39817669999999999</v>
      </c>
      <c r="Z6916">
        <v>-1.8326789999999999E-2</v>
      </c>
      <c r="AA6916">
        <v>0.91712559999999999</v>
      </c>
      <c r="AB6916">
        <v>19</v>
      </c>
      <c r="AC6916">
        <v>12.496099999999901</v>
      </c>
      <c r="AD6916">
        <v>-1.16937</v>
      </c>
      <c r="AE6916">
        <v>-5.9219999999999899</v>
      </c>
      <c r="AF6916">
        <v>5.52423973901214</v>
      </c>
      <c r="AG6916">
        <v>-1.16937</v>
      </c>
      <c r="AH6916">
        <v>12.569788389344399</v>
      </c>
      <c r="AI6916">
        <v>94.868024602462697</v>
      </c>
      <c r="AJ6916">
        <v>66.275207460311805</v>
      </c>
      <c r="AK6916">
        <v>13.7798487308053</v>
      </c>
      <c r="AL6916">
        <v>96.673322882017203</v>
      </c>
      <c r="AM6916">
        <v>72.7735053846867</v>
      </c>
      <c r="AN6916">
        <v>0.99999999401293505</v>
      </c>
    </row>
    <row r="6917" spans="1:40" x14ac:dyDescent="0.25">
      <c r="A6917" t="str">
        <f>"20190303154945623"</f>
        <v>20190303154945623</v>
      </c>
      <c r="B6917" t="str">
        <f>"1551599385617736"</f>
        <v>1551599385617736</v>
      </c>
      <c r="C6917" t="s">
        <v>40</v>
      </c>
      <c r="D6917">
        <v>5.540921</v>
      </c>
      <c r="E6917">
        <v>0.54419300000000004</v>
      </c>
      <c r="F6917" t="s">
        <v>43</v>
      </c>
      <c r="G6917">
        <v>-309.3725</v>
      </c>
      <c r="H6917">
        <v>-0.05</v>
      </c>
      <c r="I6917">
        <v>11.65889</v>
      </c>
      <c r="J6917">
        <v>-321.73390000000001</v>
      </c>
      <c r="K6917">
        <v>1.119375</v>
      </c>
      <c r="L6917">
        <v>17.610199999999999</v>
      </c>
      <c r="M6917">
        <v>0.99946069999999998</v>
      </c>
      <c r="N6917">
        <v>-1.3922439999999999E-2</v>
      </c>
      <c r="O6917">
        <v>-2.973893E-2</v>
      </c>
      <c r="P6917">
        <v>0.93801590000000001</v>
      </c>
      <c r="Q6917">
        <v>-0.127891</v>
      </c>
      <c r="R6917">
        <v>-0.32213360000000002</v>
      </c>
      <c r="S6917">
        <v>2.717743</v>
      </c>
      <c r="T6917">
        <v>-0.25504599999999999</v>
      </c>
      <c r="U6917">
        <v>-1.29895</v>
      </c>
      <c r="V6917">
        <v>0.29371960000000003</v>
      </c>
      <c r="W6917">
        <v>-0.11564389999999899</v>
      </c>
      <c r="X6917">
        <v>0.94887049999999995</v>
      </c>
      <c r="Y6917">
        <v>0.40259279999999997</v>
      </c>
      <c r="Z6917">
        <v>-1.8594010000000001E-2</v>
      </c>
      <c r="AA6917">
        <v>0.91519030000000001</v>
      </c>
      <c r="AB6917">
        <v>19</v>
      </c>
      <c r="AC6917">
        <v>12.3614</v>
      </c>
      <c r="AD6917">
        <v>-1.1693750000000001</v>
      </c>
      <c r="AE6917">
        <v>-5.9513099999999897</v>
      </c>
      <c r="AF6917">
        <v>5.5407729702015001</v>
      </c>
      <c r="AG6917">
        <v>-1.1693750000000001</v>
      </c>
      <c r="AH6917">
        <v>12.4425390118808</v>
      </c>
      <c r="AI6917">
        <v>94.907055679157395</v>
      </c>
      <c r="AJ6917">
        <v>65.996165983018003</v>
      </c>
      <c r="AK6917">
        <v>13.670566193838299</v>
      </c>
      <c r="AL6917">
        <v>96.640765794809397</v>
      </c>
      <c r="AM6917">
        <v>72.800269199126703</v>
      </c>
      <c r="AN6917">
        <v>0.99999997040080901</v>
      </c>
    </row>
    <row r="6918" spans="1:40" x14ac:dyDescent="0.25">
      <c r="A6918" t="str">
        <f>"20190303154945633"</f>
        <v>20190303154945633</v>
      </c>
      <c r="B6918" t="str">
        <f>"1551599385627496"</f>
        <v>1551599385627496</v>
      </c>
      <c r="C6918" t="s">
        <v>40</v>
      </c>
      <c r="D6918">
        <v>5.2725289999999996</v>
      </c>
      <c r="E6918">
        <v>0.54526790000000003</v>
      </c>
      <c r="F6918" t="s">
        <v>43</v>
      </c>
      <c r="G6918">
        <v>-309.44659999999999</v>
      </c>
      <c r="H6918">
        <v>-0.05</v>
      </c>
      <c r="I6918">
        <v>11.704190000000001</v>
      </c>
      <c r="J6918">
        <v>-321.64550000000003</v>
      </c>
      <c r="K6918">
        <v>1.1193820000000001</v>
      </c>
      <c r="L6918">
        <v>17.606259999999999</v>
      </c>
      <c r="M6918">
        <v>0.99942730000000002</v>
      </c>
      <c r="N6918">
        <v>-1.388459E-2</v>
      </c>
      <c r="O6918">
        <v>-3.086241E-2</v>
      </c>
      <c r="P6918">
        <v>0.93780850000000004</v>
      </c>
      <c r="Q6918">
        <v>-0.12756980000000001</v>
      </c>
      <c r="R6918">
        <v>-0.32286479999999901</v>
      </c>
      <c r="S6918">
        <v>2.714874</v>
      </c>
      <c r="T6918">
        <v>-0.25837389999999999</v>
      </c>
      <c r="U6918">
        <v>-1.304932</v>
      </c>
      <c r="V6918">
        <v>0.29339530000000003</v>
      </c>
      <c r="W6918">
        <v>-0.1153494</v>
      </c>
      <c r="X6918">
        <v>0.94900669999999998</v>
      </c>
      <c r="Y6918">
        <v>0.40354020000000002</v>
      </c>
      <c r="Z6918">
        <v>-1.8755859999999999E-2</v>
      </c>
      <c r="AA6918">
        <v>0.91476970000000002</v>
      </c>
      <c r="AB6918">
        <v>19</v>
      </c>
      <c r="AC6918">
        <v>12.1989</v>
      </c>
      <c r="AD6918">
        <v>-1.1693819999999999</v>
      </c>
      <c r="AE6918">
        <v>-5.9020700000000001</v>
      </c>
      <c r="AF6918">
        <v>5.4819154815623596</v>
      </c>
      <c r="AG6918">
        <v>-1.1693819999999999</v>
      </c>
      <c r="AH6918">
        <v>12.2837914206264</v>
      </c>
      <c r="AI6918">
        <v>94.968413722145101</v>
      </c>
      <c r="AJ6918">
        <v>65.950118193031003</v>
      </c>
      <c r="AK6918">
        <v>13.5022362323569</v>
      </c>
      <c r="AL6918">
        <v>96.623778299811505</v>
      </c>
      <c r="AM6918">
        <v>72.820461635334098</v>
      </c>
      <c r="AN6918">
        <v>1.0000000013936601</v>
      </c>
    </row>
    <row r="6919" spans="1:40" x14ac:dyDescent="0.25">
      <c r="A6919" t="str">
        <f>"20190303154945645"</f>
        <v>20190303154945645</v>
      </c>
      <c r="B6919" t="str">
        <f>"1551599385637256"</f>
        <v>1551599385637256</v>
      </c>
      <c r="C6919" t="s">
        <v>40</v>
      </c>
      <c r="D6919">
        <v>5.3154199999999996</v>
      </c>
      <c r="E6919">
        <v>0.54627309999999996</v>
      </c>
      <c r="F6919" t="s">
        <v>43</v>
      </c>
      <c r="G6919">
        <v>-308.48239999999998</v>
      </c>
      <c r="H6919">
        <v>-0.05</v>
      </c>
      <c r="I6919">
        <v>11.22235</v>
      </c>
      <c r="J6919">
        <v>-321.55079999999998</v>
      </c>
      <c r="K6919">
        <v>1.119389</v>
      </c>
      <c r="L6919">
        <v>17.601990000000001</v>
      </c>
      <c r="M6919">
        <v>0.99938990000000005</v>
      </c>
      <c r="N6919">
        <v>-1.3845049999999999E-2</v>
      </c>
      <c r="O6919">
        <v>-3.2066190000000001E-2</v>
      </c>
      <c r="P6919">
        <v>0.93751629999999997</v>
      </c>
      <c r="Q6919">
        <v>-0.12741759999999999</v>
      </c>
      <c r="R6919">
        <v>-0.32377260000000002</v>
      </c>
      <c r="S6919">
        <v>2.7131349999999999</v>
      </c>
      <c r="T6919">
        <v>-0.2410283</v>
      </c>
      <c r="U6919">
        <v>-1.3158259999999999</v>
      </c>
      <c r="V6919">
        <v>0.29317359999999998</v>
      </c>
      <c r="W6919">
        <v>-0.11522590000000001</v>
      </c>
      <c r="X6919">
        <v>0.94909019999999999</v>
      </c>
      <c r="Y6919">
        <v>0.405837</v>
      </c>
      <c r="Z6919">
        <v>-1.7742480000000001E-2</v>
      </c>
      <c r="AA6919">
        <v>0.91377319999999995</v>
      </c>
      <c r="AB6919">
        <v>19</v>
      </c>
      <c r="AC6919">
        <v>13.068399999999899</v>
      </c>
      <c r="AD6919">
        <v>-1.169389</v>
      </c>
      <c r="AE6919">
        <v>-6.3796400000000002</v>
      </c>
      <c r="AF6919">
        <v>5.9189918541001703</v>
      </c>
      <c r="AG6919">
        <v>-1.169389</v>
      </c>
      <c r="AH6919">
        <v>13.1810386167998</v>
      </c>
      <c r="AI6919">
        <v>94.626980281221904</v>
      </c>
      <c r="AJ6919">
        <v>65.817367551581498</v>
      </c>
      <c r="AK6919">
        <v>14.4962655266725</v>
      </c>
      <c r="AL6919">
        <v>96.616654863092194</v>
      </c>
      <c r="AM6919">
        <v>72.834101318314595</v>
      </c>
      <c r="AN6919">
        <v>0.99999998775190402</v>
      </c>
    </row>
    <row r="6920" spans="1:40" x14ac:dyDescent="0.25">
      <c r="A6920" t="str">
        <f>"20190303154945654"</f>
        <v>20190303154945654</v>
      </c>
      <c r="B6920" t="str">
        <f>"1551599385647993"</f>
        <v>1551599385647993</v>
      </c>
      <c r="C6920" t="s">
        <v>40</v>
      </c>
      <c r="D6920">
        <v>5.5482129999999996</v>
      </c>
      <c r="E6920">
        <v>0.54674860000000003</v>
      </c>
      <c r="F6920" t="s">
        <v>43</v>
      </c>
      <c r="G6920">
        <v>-307.56889999999999</v>
      </c>
      <c r="H6920">
        <v>-0.05</v>
      </c>
      <c r="I6920">
        <v>10.76019</v>
      </c>
      <c r="J6920">
        <v>-321.4572</v>
      </c>
      <c r="K6920">
        <v>1.119394</v>
      </c>
      <c r="L6920">
        <v>17.597629999999999</v>
      </c>
      <c r="M6920">
        <v>0.99935169999999995</v>
      </c>
      <c r="N6920">
        <v>-1.3807689999999999E-2</v>
      </c>
      <c r="O6920">
        <v>-3.3253310000000001E-2</v>
      </c>
      <c r="P6920">
        <v>0.9371853</v>
      </c>
      <c r="Q6920">
        <v>-0.1275017</v>
      </c>
      <c r="R6920">
        <v>-0.32469629999999999</v>
      </c>
      <c r="S6920">
        <v>2.7110289999999999</v>
      </c>
      <c r="T6920">
        <v>-0.2267393</v>
      </c>
      <c r="U6920">
        <v>-1.3265990000000001</v>
      </c>
      <c r="V6920">
        <v>0.29298449999999998</v>
      </c>
      <c r="W6920">
        <v>-0.11533740000000001</v>
      </c>
      <c r="X6920">
        <v>0.94913510000000001</v>
      </c>
      <c r="Y6920">
        <v>0.40811209999999998</v>
      </c>
      <c r="Z6920">
        <v>-1.6913230000000001E-2</v>
      </c>
      <c r="AA6920">
        <v>0.91277520000000001</v>
      </c>
      <c r="AB6920">
        <v>19</v>
      </c>
      <c r="AC6920">
        <v>13.888299999999999</v>
      </c>
      <c r="AD6920">
        <v>-1.169394</v>
      </c>
      <c r="AE6920">
        <v>-6.8374399999999902</v>
      </c>
      <c r="AF6920">
        <v>6.3356276288558497</v>
      </c>
      <c r="AG6920">
        <v>-1.169394</v>
      </c>
      <c r="AH6920">
        <v>14.027956170905499</v>
      </c>
      <c r="AI6920">
        <v>94.344559371356397</v>
      </c>
      <c r="AJ6920">
        <v>65.694020422522996</v>
      </c>
      <c r="AK6920">
        <v>15.4366840387307</v>
      </c>
      <c r="AL6920">
        <v>96.6230859033614</v>
      </c>
      <c r="AM6920">
        <v>72.845287233036103</v>
      </c>
      <c r="AN6920">
        <v>1.0000000355655001</v>
      </c>
    </row>
    <row r="6921" spans="1:40" x14ac:dyDescent="0.25">
      <c r="A6921" t="str">
        <f>"20190303154945666"</f>
        <v>20190303154945666</v>
      </c>
      <c r="B6921" t="str">
        <f>"1551599385657752"</f>
        <v>1551599385657752</v>
      </c>
      <c r="C6921" t="s">
        <v>40</v>
      </c>
      <c r="D6921">
        <v>5.2813470000000002</v>
      </c>
      <c r="E6921">
        <v>0.54757480000000003</v>
      </c>
      <c r="F6921" t="s">
        <v>43</v>
      </c>
      <c r="G6921">
        <v>-307.95999999999998</v>
      </c>
      <c r="H6921">
        <v>-0.05</v>
      </c>
      <c r="I6921">
        <v>10.954319999999999</v>
      </c>
      <c r="J6921">
        <v>-321.36399999999998</v>
      </c>
      <c r="K6921">
        <v>1.119402</v>
      </c>
      <c r="L6921">
        <v>17.593170000000001</v>
      </c>
      <c r="M6921">
        <v>0.99931219999999998</v>
      </c>
      <c r="N6921">
        <v>-1.377193E-2</v>
      </c>
      <c r="O6921">
        <v>-3.4432230000000001E-2</v>
      </c>
      <c r="P6921">
        <v>0.93677310000000003</v>
      </c>
      <c r="Q6921">
        <v>-0.12756400000000001</v>
      </c>
      <c r="R6921">
        <v>-0.3258587</v>
      </c>
      <c r="S6921">
        <v>2.7074579999999999</v>
      </c>
      <c r="T6921">
        <v>-0.23457339999999999</v>
      </c>
      <c r="U6921">
        <v>-1.332611</v>
      </c>
      <c r="V6921">
        <v>0.2930449</v>
      </c>
      <c r="W6921">
        <v>-0.1154278</v>
      </c>
      <c r="X6921">
        <v>0.94910539999999999</v>
      </c>
      <c r="Y6921">
        <v>0.40905950000000002</v>
      </c>
      <c r="Z6921">
        <v>-1.7346239999999999E-2</v>
      </c>
      <c r="AA6921">
        <v>0.91234280000000001</v>
      </c>
      <c r="AB6921">
        <v>19</v>
      </c>
      <c r="AC6921">
        <v>13.404</v>
      </c>
      <c r="AD6921">
        <v>-1.1694020000000001</v>
      </c>
      <c r="AE6921">
        <v>-6.6388499999999997</v>
      </c>
      <c r="AF6921">
        <v>6.1358372518460396</v>
      </c>
      <c r="AG6921">
        <v>-1.1694020000000001</v>
      </c>
      <c r="AH6921">
        <v>13.5418948468465</v>
      </c>
      <c r="AI6921">
        <v>94.497448597144</v>
      </c>
      <c r="AJ6921">
        <v>65.624703298675399</v>
      </c>
      <c r="AK6921">
        <v>14.9130451572372</v>
      </c>
      <c r="AL6921">
        <v>96.628300668527103</v>
      </c>
      <c r="AM6921">
        <v>72.841452981192802</v>
      </c>
      <c r="AN6921">
        <v>0.99999997536900398</v>
      </c>
    </row>
    <row r="6922" spans="1:40" x14ac:dyDescent="0.25">
      <c r="A6922" t="str">
        <f>"20190303154945677"</f>
        <v>20190303154945677</v>
      </c>
      <c r="B6922" t="str">
        <f>"1551599385667513"</f>
        <v>1551599385667513</v>
      </c>
      <c r="C6922" t="s">
        <v>40</v>
      </c>
      <c r="D6922">
        <v>5.5797140000000001</v>
      </c>
      <c r="E6922">
        <v>0.54795799999999995</v>
      </c>
      <c r="F6922" t="s">
        <v>43</v>
      </c>
      <c r="G6922">
        <v>-307.18770000000001</v>
      </c>
      <c r="H6922">
        <v>-0.05</v>
      </c>
      <c r="I6922">
        <v>10.55635</v>
      </c>
      <c r="J6922">
        <v>-321.2672</v>
      </c>
      <c r="K6922">
        <v>1.1194109999999999</v>
      </c>
      <c r="L6922">
        <v>17.588439999999999</v>
      </c>
      <c r="M6922">
        <v>0.99926990000000004</v>
      </c>
      <c r="N6922">
        <v>-1.373604E-2</v>
      </c>
      <c r="O6922">
        <v>-3.5654900000000003E-2</v>
      </c>
      <c r="P6922">
        <v>0.93638779999999999</v>
      </c>
      <c r="Q6922">
        <v>-0.12785969999999999</v>
      </c>
      <c r="R6922">
        <v>-0.3268491</v>
      </c>
      <c r="S6922">
        <v>2.7050169999999998</v>
      </c>
      <c r="T6922">
        <v>-0.22313620000000001</v>
      </c>
      <c r="U6922">
        <v>-1.3427119999999999</v>
      </c>
      <c r="V6922">
        <v>0.2928904</v>
      </c>
      <c r="W6922">
        <v>-0.1157504</v>
      </c>
      <c r="X6922">
        <v>0.94911380000000001</v>
      </c>
      <c r="Y6922">
        <v>0.41112280000000001</v>
      </c>
      <c r="Z6922">
        <v>-1.6678930000000002E-2</v>
      </c>
      <c r="AA6922">
        <v>0.9114274</v>
      </c>
      <c r="AB6922">
        <v>19</v>
      </c>
      <c r="AC6922">
        <v>14.0794999999999</v>
      </c>
      <c r="AD6922">
        <v>-1.169411</v>
      </c>
      <c r="AE6922">
        <v>-7.0320899999999904</v>
      </c>
      <c r="AF6922">
        <v>6.4897358564423202</v>
      </c>
      <c r="AG6922">
        <v>-1.169411</v>
      </c>
      <c r="AH6922">
        <v>14.2426605701634</v>
      </c>
      <c r="AI6922">
        <v>94.272943227397107</v>
      </c>
      <c r="AJ6922">
        <v>65.503392782785099</v>
      </c>
      <c r="AK6922">
        <v>15.6951449082257</v>
      </c>
      <c r="AL6922">
        <v>96.646909030090001</v>
      </c>
      <c r="AM6922">
        <v>72.850111372120097</v>
      </c>
      <c r="AN6922">
        <v>0.99999997343137903</v>
      </c>
    </row>
    <row r="6923" spans="1:40" x14ac:dyDescent="0.25">
      <c r="A6923" t="str">
        <f>"20190303154945689"</f>
        <v>20190303154945689</v>
      </c>
      <c r="B6923" t="str">
        <f>"1551599385677273"</f>
        <v>1551599385677273</v>
      </c>
      <c r="C6923" t="s">
        <v>40</v>
      </c>
      <c r="D6923">
        <v>5.5561749999999996</v>
      </c>
      <c r="E6923">
        <v>0.54835339999999999</v>
      </c>
      <c r="F6923" t="s">
        <v>43</v>
      </c>
      <c r="G6923">
        <v>-307.61669999999998</v>
      </c>
      <c r="H6923">
        <v>-0.05</v>
      </c>
      <c r="I6923">
        <v>10.775740000000001</v>
      </c>
      <c r="J6923">
        <v>-321.16520000000003</v>
      </c>
      <c r="K6923">
        <v>1.1193519999999999</v>
      </c>
      <c r="L6923">
        <v>17.583310000000001</v>
      </c>
      <c r="M6923">
        <v>0.99922560000000005</v>
      </c>
      <c r="N6923">
        <v>-1.345526E-2</v>
      </c>
      <c r="O6923">
        <v>-3.6976530000000001E-2</v>
      </c>
      <c r="P6923">
        <v>0.93598179999999997</v>
      </c>
      <c r="Q6923">
        <v>-0.1280087</v>
      </c>
      <c r="R6923">
        <v>-0.32795089999999999</v>
      </c>
      <c r="S6923">
        <v>2.7015690000000001</v>
      </c>
      <c r="T6923">
        <v>-0.23143739999999999</v>
      </c>
      <c r="U6923">
        <v>-1.3482970000000001</v>
      </c>
      <c r="V6923">
        <v>0.29275329999999999</v>
      </c>
      <c r="W6923">
        <v>-0.1161621</v>
      </c>
      <c r="X6923">
        <v>0.9491058</v>
      </c>
      <c r="Y6923">
        <v>0.41180859999999903</v>
      </c>
      <c r="Z6923">
        <v>-1.705361E-2</v>
      </c>
      <c r="AA6923">
        <v>0.9111108</v>
      </c>
      <c r="AB6923">
        <v>19</v>
      </c>
      <c r="AC6923">
        <v>13.548500000000001</v>
      </c>
      <c r="AD6923">
        <v>-1.1693519999999999</v>
      </c>
      <c r="AE6923">
        <v>-6.8075700000000001</v>
      </c>
      <c r="AF6923">
        <v>6.2646322682258102</v>
      </c>
      <c r="AG6923">
        <v>-1.1693519999999999</v>
      </c>
      <c r="AH6923">
        <v>13.7094376924555</v>
      </c>
      <c r="AI6923">
        <v>94.4360881490731</v>
      </c>
      <c r="AJ6923">
        <v>65.441607165157095</v>
      </c>
      <c r="AK6923">
        <v>15.1182566256602</v>
      </c>
      <c r="AL6923">
        <v>96.670657902685804</v>
      </c>
      <c r="AM6923">
        <v>72.857532431731997</v>
      </c>
      <c r="AN6923">
        <v>0.99999997386546902</v>
      </c>
    </row>
    <row r="6924" spans="1:40" x14ac:dyDescent="0.25">
      <c r="A6924" t="str">
        <f>"20190303154945701"</f>
        <v>20190303154945701</v>
      </c>
      <c r="B6924" t="str">
        <f>"1551599385697769"</f>
        <v>1551599385697769</v>
      </c>
      <c r="C6924" t="s">
        <v>40</v>
      </c>
      <c r="D6924">
        <v>5.6113419999999996</v>
      </c>
      <c r="E6924">
        <v>0.54901669999999902</v>
      </c>
      <c r="F6924" t="s">
        <v>43</v>
      </c>
      <c r="G6924">
        <v>-307.90370000000001</v>
      </c>
      <c r="H6924">
        <v>-0.05</v>
      </c>
      <c r="I6924">
        <v>10.927060000000001</v>
      </c>
      <c r="J6924">
        <v>-321.06119999999999</v>
      </c>
      <c r="K6924">
        <v>1.1192629999999999</v>
      </c>
      <c r="L6924">
        <v>17.578060000000001</v>
      </c>
      <c r="M6924">
        <v>0.99917929999999999</v>
      </c>
      <c r="N6924">
        <v>-1.308788E-2</v>
      </c>
      <c r="O6924">
        <v>-3.8336660000000002E-2</v>
      </c>
      <c r="P6924">
        <v>0.93546770000000001</v>
      </c>
      <c r="Q6924">
        <v>-0.12823309999999999</v>
      </c>
      <c r="R6924">
        <v>-0.32932850000000002</v>
      </c>
      <c r="S6924">
        <v>2.6981199999999999</v>
      </c>
      <c r="T6924">
        <v>-0.2379105</v>
      </c>
      <c r="U6924">
        <v>-1.3542479999999999</v>
      </c>
      <c r="V6924">
        <v>0.29285860000000002</v>
      </c>
      <c r="W6924">
        <v>-0.1167344</v>
      </c>
      <c r="X6924">
        <v>0.94900309999999999</v>
      </c>
      <c r="Y6924">
        <v>0.41257769999999999</v>
      </c>
      <c r="Z6924">
        <v>-1.7294070000000002E-2</v>
      </c>
      <c r="AA6924">
        <v>0.91075830000000002</v>
      </c>
      <c r="AB6924">
        <v>19</v>
      </c>
      <c r="AC6924">
        <v>13.157499999999899</v>
      </c>
      <c r="AD6924">
        <v>-1.1692629999999999</v>
      </c>
      <c r="AE6924">
        <v>-6.6509999999999998</v>
      </c>
      <c r="AF6924">
        <v>6.1032623584422998</v>
      </c>
      <c r="AG6924">
        <v>-1.1692629999999999</v>
      </c>
      <c r="AH6924">
        <v>13.319047564026</v>
      </c>
      <c r="AI6924">
        <v>94.563027199619398</v>
      </c>
      <c r="AJ6924">
        <v>65.381060820694003</v>
      </c>
      <c r="AK6924">
        <v>14.697415262281099</v>
      </c>
      <c r="AL6924">
        <v>96.703672834234993</v>
      </c>
      <c r="AM6924">
        <v>72.849981204876798</v>
      </c>
      <c r="AN6924">
        <v>0.99999998177346405</v>
      </c>
    </row>
    <row r="6925" spans="1:40" x14ac:dyDescent="0.25">
      <c r="A6925" t="str">
        <f>"20190303154945712"</f>
        <v>20190303154945712</v>
      </c>
      <c r="B6925" t="str">
        <f>"1551599385707529"</f>
        <v>1551599385707529</v>
      </c>
      <c r="C6925" t="s">
        <v>40</v>
      </c>
      <c r="D6925">
        <v>5.4894150000000002</v>
      </c>
      <c r="E6925">
        <v>0.54952849999999998</v>
      </c>
      <c r="F6925" t="s">
        <v>43</v>
      </c>
      <c r="G6925">
        <v>-308.44209999999998</v>
      </c>
      <c r="H6925">
        <v>-0.05</v>
      </c>
      <c r="I6925">
        <v>11.19215</v>
      </c>
      <c r="J6925">
        <v>-320.95929999999998</v>
      </c>
      <c r="K6925">
        <v>1.1191199999999999</v>
      </c>
      <c r="L6925">
        <v>17.572689999999898</v>
      </c>
      <c r="M6925">
        <v>0.99913189999999996</v>
      </c>
      <c r="N6925">
        <v>-1.272245E-2</v>
      </c>
      <c r="O6925">
        <v>-3.9672890000000002E-2</v>
      </c>
      <c r="P6925">
        <v>0.93506710000000004</v>
      </c>
      <c r="Q6925">
        <v>-0.12804180000000001</v>
      </c>
      <c r="R6925">
        <v>-0.3305381</v>
      </c>
      <c r="S6925">
        <v>2.692993</v>
      </c>
      <c r="T6925">
        <v>-0.24952769999999999</v>
      </c>
      <c r="U6925">
        <v>-1.3627929999999999</v>
      </c>
      <c r="V6925">
        <v>0.29281489999999999</v>
      </c>
      <c r="W6925">
        <v>-0.1168908</v>
      </c>
      <c r="X6925">
        <v>0.94899739999999999</v>
      </c>
      <c r="Y6925">
        <v>0.4142325</v>
      </c>
      <c r="Z6925">
        <v>-1.788114E-2</v>
      </c>
      <c r="AA6925">
        <v>0.90999549999999996</v>
      </c>
      <c r="AB6925">
        <v>19</v>
      </c>
      <c r="AC6925">
        <v>12.517200000000001</v>
      </c>
      <c r="AD6925">
        <v>-1.1691199999999999</v>
      </c>
      <c r="AE6925">
        <v>-6.3805399999999901</v>
      </c>
      <c r="AF6925">
        <v>5.8384538394191896</v>
      </c>
      <c r="AG6925">
        <v>-1.1691199999999999</v>
      </c>
      <c r="AH6925">
        <v>12.672746127046301</v>
      </c>
      <c r="AI6925">
        <v>94.789619803612496</v>
      </c>
      <c r="AJ6925">
        <v>65.264029598247703</v>
      </c>
      <c r="AK6925">
        <v>14.0018884158529</v>
      </c>
      <c r="AL6925">
        <v>96.712695238506399</v>
      </c>
      <c r="AM6925">
        <v>72.852293247800702</v>
      </c>
      <c r="AN6925">
        <v>1.0000000449966999</v>
      </c>
    </row>
    <row r="6926" spans="1:40" x14ac:dyDescent="0.25">
      <c r="A6926" t="str">
        <f>"20190303154945724"</f>
        <v>20190303154945724</v>
      </c>
      <c r="B6926" t="str">
        <f>"1551599385717289"</f>
        <v>1551599385717289</v>
      </c>
      <c r="C6926" t="s">
        <v>40</v>
      </c>
      <c r="D6926">
        <v>5.572546</v>
      </c>
      <c r="E6926">
        <v>0.54978680000000002</v>
      </c>
      <c r="F6926" t="s">
        <v>43</v>
      </c>
      <c r="G6926">
        <v>-308.50749999999999</v>
      </c>
      <c r="H6926">
        <v>-0.05</v>
      </c>
      <c r="I6926">
        <v>11.229799999999999</v>
      </c>
      <c r="J6926">
        <v>-320.86059999999998</v>
      </c>
      <c r="K6926">
        <v>1.1189709999999999</v>
      </c>
      <c r="L6926">
        <v>17.567439999999898</v>
      </c>
      <c r="M6926">
        <v>0.99908319999999995</v>
      </c>
      <c r="N6926">
        <v>-1.2448209999999999E-2</v>
      </c>
      <c r="O6926">
        <v>-4.0962180000000001E-2</v>
      </c>
      <c r="P6926">
        <v>0.93474749999999995</v>
      </c>
      <c r="Q6926">
        <v>-0.1275203</v>
      </c>
      <c r="R6926">
        <v>-0.33164080000000001</v>
      </c>
      <c r="S6926">
        <v>2.6894529999999999</v>
      </c>
      <c r="T6926">
        <v>-0.25251760000000001</v>
      </c>
      <c r="U6926">
        <v>-1.3699950000000001</v>
      </c>
      <c r="V6926">
        <v>0.29270790000000002</v>
      </c>
      <c r="W6926">
        <v>-0.116629</v>
      </c>
      <c r="X6926">
        <v>0.94906259999999998</v>
      </c>
      <c r="Y6926">
        <v>0.41544730000000002</v>
      </c>
      <c r="Z6926">
        <v>-1.7959200000000002E-2</v>
      </c>
      <c r="AA6926">
        <v>0.90944000000000003</v>
      </c>
      <c r="AB6926">
        <v>19</v>
      </c>
      <c r="AC6926">
        <v>12.3530999999999</v>
      </c>
      <c r="AD6926">
        <v>-1.168971</v>
      </c>
      <c r="AE6926">
        <v>-6.3376399999999897</v>
      </c>
      <c r="AF6926">
        <v>5.7852596694581697</v>
      </c>
      <c r="AG6926">
        <v>-1.168971</v>
      </c>
      <c r="AH6926">
        <v>12.513645877155399</v>
      </c>
      <c r="AI6926">
        <v>94.846662361843499</v>
      </c>
      <c r="AJ6926">
        <v>65.188140353603998</v>
      </c>
      <c r="AK6926">
        <v>13.835716670297501</v>
      </c>
      <c r="AL6926">
        <v>96.697592010536496</v>
      </c>
      <c r="AM6926">
        <v>72.859300611511998</v>
      </c>
      <c r="AN6926">
        <v>1.0000000285410799</v>
      </c>
    </row>
    <row r="6927" spans="1:40" x14ac:dyDescent="0.25">
      <c r="A6927" t="str">
        <f>"20190303154945735"</f>
        <v>20190303154945735</v>
      </c>
      <c r="B6927" t="str">
        <f>"1551599385727049"</f>
        <v>1551599385727049</v>
      </c>
      <c r="C6927" t="s">
        <v>40</v>
      </c>
      <c r="D6927">
        <v>5.6022759999999998</v>
      </c>
      <c r="E6927">
        <v>0.55001610000000001</v>
      </c>
      <c r="F6927" t="s">
        <v>43</v>
      </c>
      <c r="G6927">
        <v>-308.57459999999998</v>
      </c>
      <c r="H6927">
        <v>-0.05</v>
      </c>
      <c r="I6927">
        <v>11.27994</v>
      </c>
      <c r="J6927">
        <v>-320.76080000000002</v>
      </c>
      <c r="K6927">
        <v>1.118808</v>
      </c>
      <c r="L6927">
        <v>17.561979999999998</v>
      </c>
      <c r="M6927">
        <v>0.99903070000000005</v>
      </c>
      <c r="N6927">
        <v>-1.234003E-2</v>
      </c>
      <c r="O6927">
        <v>-4.2254989999999999E-2</v>
      </c>
      <c r="P6927">
        <v>0.934423</v>
      </c>
      <c r="Q6927">
        <v>-0.12701409999999999</v>
      </c>
      <c r="R6927">
        <v>-0.33274749999999997</v>
      </c>
      <c r="S6927">
        <v>2.6867369999999999</v>
      </c>
      <c r="T6927">
        <v>-0.25563370000000002</v>
      </c>
      <c r="U6927">
        <v>-1.3749690000000001</v>
      </c>
      <c r="V6927">
        <v>0.29260209999999998</v>
      </c>
      <c r="W6927">
        <v>-0.1162243</v>
      </c>
      <c r="X6927">
        <v>0.94914480000000001</v>
      </c>
      <c r="Y6927">
        <v>0.41594540000000002</v>
      </c>
      <c r="Z6927">
        <v>-1.8046650000000001E-2</v>
      </c>
      <c r="AA6927">
        <v>0.90921050000000003</v>
      </c>
      <c r="AB6927">
        <v>20</v>
      </c>
      <c r="AC6927">
        <v>12.186199999999999</v>
      </c>
      <c r="AD6927">
        <v>-1.1688080000000001</v>
      </c>
      <c r="AE6927">
        <v>-6.2820399999999896</v>
      </c>
      <c r="AF6927">
        <v>5.7198903759430797</v>
      </c>
      <c r="AG6927">
        <v>-1.1688080000000001</v>
      </c>
      <c r="AH6927">
        <v>12.351017233446999</v>
      </c>
      <c r="AI6927">
        <v>94.908008514327094</v>
      </c>
      <c r="AJ6927">
        <v>65.150632460479997</v>
      </c>
      <c r="AK6927">
        <v>13.6612914746218</v>
      </c>
      <c r="AL6927">
        <v>96.6742460692669</v>
      </c>
      <c r="AM6927">
        <v>72.866530298085394</v>
      </c>
      <c r="AN6927">
        <v>0.99999996410096903</v>
      </c>
    </row>
    <row r="6928" spans="1:40" x14ac:dyDescent="0.25">
      <c r="A6928" t="str">
        <f>"20190303154945745"</f>
        <v>20190303154945745</v>
      </c>
      <c r="B6928" t="str">
        <f>"1551599385737784"</f>
        <v>1551599385737784</v>
      </c>
      <c r="C6928" t="s">
        <v>40</v>
      </c>
      <c r="D6928">
        <v>5.5838260000000002</v>
      </c>
      <c r="E6928">
        <v>0.55027559999999998</v>
      </c>
      <c r="F6928" t="s">
        <v>43</v>
      </c>
      <c r="G6928">
        <v>-308.62689999999998</v>
      </c>
      <c r="H6928">
        <v>-0.05</v>
      </c>
      <c r="I6928">
        <v>11.32588</v>
      </c>
      <c r="J6928">
        <v>-320.67189999999999</v>
      </c>
      <c r="K6928">
        <v>1.1186430000000001</v>
      </c>
      <c r="L6928">
        <v>17.55707</v>
      </c>
      <c r="M6928">
        <v>0.99898140000000002</v>
      </c>
      <c r="N6928">
        <v>-1.237888E-2</v>
      </c>
      <c r="O6928">
        <v>-4.3393719999999997E-2</v>
      </c>
      <c r="P6928">
        <v>0.93417779999999995</v>
      </c>
      <c r="Q6928">
        <v>-0.12603519999999999</v>
      </c>
      <c r="R6928">
        <v>-0.33380739999999998</v>
      </c>
      <c r="S6928">
        <v>2.6841430000000002</v>
      </c>
      <c r="T6928">
        <v>-0.25855119999999998</v>
      </c>
      <c r="U6928">
        <v>-1.379486</v>
      </c>
      <c r="V6928">
        <v>0.29259380000000001</v>
      </c>
      <c r="W6928">
        <v>-0.11520809999999999</v>
      </c>
      <c r="X6928">
        <v>0.94927130000000004</v>
      </c>
      <c r="Y6928">
        <v>0.41644249999999999</v>
      </c>
      <c r="Z6928">
        <v>-1.8170539999999999E-2</v>
      </c>
      <c r="AA6928">
        <v>0.90898049999999997</v>
      </c>
      <c r="AB6928">
        <v>20</v>
      </c>
      <c r="AC6928">
        <v>12.045</v>
      </c>
      <c r="AD6928">
        <v>-1.1686430000000001</v>
      </c>
      <c r="AE6928">
        <v>-6.2311899999999998</v>
      </c>
      <c r="AF6928">
        <v>5.6605664834438203</v>
      </c>
      <c r="AG6928">
        <v>-1.1686430000000001</v>
      </c>
      <c r="AH6928">
        <v>12.2133703549364</v>
      </c>
      <c r="AI6928">
        <v>94.961668962416397</v>
      </c>
      <c r="AJ6928">
        <v>65.133554104172902</v>
      </c>
      <c r="AK6928">
        <v>13.5120003997104</v>
      </c>
      <c r="AL6928">
        <v>96.615627949391694</v>
      </c>
      <c r="AM6928">
        <v>72.869137333650201</v>
      </c>
      <c r="AN6928">
        <v>1.0000000195538601</v>
      </c>
    </row>
    <row r="6929" spans="1:40" x14ac:dyDescent="0.25">
      <c r="A6929" t="str">
        <f>"20190303154945756"</f>
        <v>20190303154945756</v>
      </c>
      <c r="B6929" t="str">
        <f>"1551599385747545"</f>
        <v>1551599385747545</v>
      </c>
      <c r="C6929" t="s">
        <v>40</v>
      </c>
      <c r="D6929">
        <v>5.5820270000000001</v>
      </c>
      <c r="E6929">
        <v>0.55050219999999905</v>
      </c>
      <c r="F6929" t="s">
        <v>43</v>
      </c>
      <c r="G6929">
        <v>-308.59859999999998</v>
      </c>
      <c r="H6929">
        <v>-0.05</v>
      </c>
      <c r="I6929">
        <v>11.32436</v>
      </c>
      <c r="J6929">
        <v>-320.57499999999999</v>
      </c>
      <c r="K6929">
        <v>1.118439</v>
      </c>
      <c r="L6929">
        <v>17.551570000000002</v>
      </c>
      <c r="M6929">
        <v>0.9989249</v>
      </c>
      <c r="N6929">
        <v>-1.25656E-2</v>
      </c>
      <c r="O6929">
        <v>-4.4623959999999997E-2</v>
      </c>
      <c r="P6929">
        <v>0.93390910000000005</v>
      </c>
      <c r="Q6929">
        <v>-0.1254895</v>
      </c>
      <c r="R6929">
        <v>-0.33476329999999999</v>
      </c>
      <c r="S6929">
        <v>2.681702</v>
      </c>
      <c r="T6929">
        <v>-0.2595769</v>
      </c>
      <c r="U6929">
        <v>-1.3843989999999999</v>
      </c>
      <c r="V6929">
        <v>0.2923943</v>
      </c>
      <c r="W6929">
        <v>-0.1144853</v>
      </c>
      <c r="X6929">
        <v>0.94942020000000005</v>
      </c>
      <c r="Y6929">
        <v>0.41696030000000001</v>
      </c>
      <c r="Z6929">
        <v>-1.8216130000000001E-2</v>
      </c>
      <c r="AA6929">
        <v>0.9087421</v>
      </c>
      <c r="AB6929">
        <v>20</v>
      </c>
      <c r="AC6929">
        <v>11.9764</v>
      </c>
      <c r="AD6929">
        <v>-1.168439</v>
      </c>
      <c r="AE6929">
        <v>-6.2272100000000004</v>
      </c>
      <c r="AF6929">
        <v>5.6442390588316202</v>
      </c>
      <c r="AG6929">
        <v>-1.168439</v>
      </c>
      <c r="AH6929">
        <v>12.1513271540777</v>
      </c>
      <c r="AI6929">
        <v>94.984072325964505</v>
      </c>
      <c r="AJ6929">
        <v>65.085334852560393</v>
      </c>
      <c r="AK6929">
        <v>13.4490682151363</v>
      </c>
      <c r="AL6929">
        <v>96.573938752380002</v>
      </c>
      <c r="AM6929">
        <v>72.882662601084704</v>
      </c>
      <c r="AN6929">
        <v>1.00000001337831</v>
      </c>
    </row>
    <row r="6930" spans="1:40" x14ac:dyDescent="0.25">
      <c r="A6930" t="str">
        <f>"20190303154945767"</f>
        <v>20190303154945767</v>
      </c>
      <c r="B6930" t="str">
        <f>"1551599385757305"</f>
        <v>1551599385757305</v>
      </c>
      <c r="C6930" t="s">
        <v>40</v>
      </c>
      <c r="D6930">
        <v>5.5758400000000004</v>
      </c>
      <c r="E6930">
        <v>0.550782199999999</v>
      </c>
      <c r="F6930" t="s">
        <v>43</v>
      </c>
      <c r="G6930">
        <v>-308.59519999999998</v>
      </c>
      <c r="H6930">
        <v>-0.05</v>
      </c>
      <c r="I6930">
        <v>11.34215</v>
      </c>
      <c r="J6930">
        <v>-320.48739999999998</v>
      </c>
      <c r="K6930">
        <v>1.1181939999999999</v>
      </c>
      <c r="L6930">
        <v>17.54654</v>
      </c>
      <c r="M6930">
        <v>0.99887190000000003</v>
      </c>
      <c r="N6930">
        <v>-1.2851359999999999E-2</v>
      </c>
      <c r="O6930">
        <v>-4.5716880000000001E-2</v>
      </c>
      <c r="P6930">
        <v>0.93351499999999998</v>
      </c>
      <c r="Q6930">
        <v>-0.12521789999999999</v>
      </c>
      <c r="R6930">
        <v>-0.33596160000000003</v>
      </c>
      <c r="S6930">
        <v>2.6793819999999999</v>
      </c>
      <c r="T6930">
        <v>-0.26133119999999999</v>
      </c>
      <c r="U6930">
        <v>-1.3887940000000001</v>
      </c>
      <c r="V6930">
        <v>0.2925719</v>
      </c>
      <c r="W6930">
        <v>-0.1139482</v>
      </c>
      <c r="X6930">
        <v>0.94943010000000005</v>
      </c>
      <c r="Y6930">
        <v>0.41743599999999997</v>
      </c>
      <c r="Z6930">
        <v>-1.833781E-2</v>
      </c>
      <c r="AA6930">
        <v>0.90852129999999998</v>
      </c>
      <c r="AB6930">
        <v>20</v>
      </c>
      <c r="AC6930">
        <v>11.892200000000001</v>
      </c>
      <c r="AD6930">
        <v>-1.168194</v>
      </c>
      <c r="AE6930">
        <v>-6.2043900000000001</v>
      </c>
      <c r="AF6930">
        <v>5.6116188412680499</v>
      </c>
      <c r="AG6930">
        <v>-1.168194</v>
      </c>
      <c r="AH6930">
        <v>12.0718680249651</v>
      </c>
      <c r="AI6930">
        <v>95.014987575683904</v>
      </c>
      <c r="AJ6930">
        <v>65.068596286238204</v>
      </c>
      <c r="AK6930">
        <v>13.363567669357099</v>
      </c>
      <c r="AL6930">
        <v>96.5429624858739</v>
      </c>
      <c r="AM6930">
        <v>72.873041904365607</v>
      </c>
      <c r="AN6930">
        <v>1.0000000118694199</v>
      </c>
    </row>
    <row r="6931" spans="1:40" x14ac:dyDescent="0.25">
      <c r="A6931" t="str">
        <f>"20190303154945777"</f>
        <v>20190303154945777</v>
      </c>
      <c r="B6931" t="str">
        <f>"1551599385767065"</f>
        <v>1551599385767065</v>
      </c>
      <c r="C6931" t="s">
        <v>40</v>
      </c>
      <c r="D6931">
        <v>5.483892</v>
      </c>
      <c r="E6931">
        <v>0.55123880000000003</v>
      </c>
      <c r="F6931" t="s">
        <v>43</v>
      </c>
      <c r="G6931">
        <v>-308.61419999999998</v>
      </c>
      <c r="H6931">
        <v>-0.05</v>
      </c>
      <c r="I6931">
        <v>11.361980000000001</v>
      </c>
      <c r="J6931">
        <v>-320.39100000000002</v>
      </c>
      <c r="K6931">
        <v>1.117882</v>
      </c>
      <c r="L6931">
        <v>17.540890000000001</v>
      </c>
      <c r="M6931">
        <v>0.99881140000000002</v>
      </c>
      <c r="N6931">
        <v>-1.324552E-2</v>
      </c>
      <c r="O6931">
        <v>-4.6909109999999997E-2</v>
      </c>
      <c r="P6931">
        <v>0.93302189999999996</v>
      </c>
      <c r="Q6931">
        <v>-0.1251543</v>
      </c>
      <c r="R6931">
        <v>-0.3373525</v>
      </c>
      <c r="S6931">
        <v>2.6766049999999999</v>
      </c>
      <c r="T6931">
        <v>-0.26334869999999999</v>
      </c>
      <c r="U6931">
        <v>-1.394196</v>
      </c>
      <c r="V6931">
        <v>0.29285080000000002</v>
      </c>
      <c r="W6931">
        <v>-0.11351989999999899</v>
      </c>
      <c r="X6931">
        <v>0.9493954</v>
      </c>
      <c r="Y6931">
        <v>0.41814699999999999</v>
      </c>
      <c r="Z6931">
        <v>-1.8508940000000002E-2</v>
      </c>
      <c r="AA6931">
        <v>0.90819079999999996</v>
      </c>
      <c r="AB6931">
        <v>20</v>
      </c>
      <c r="AC6931">
        <v>11.7767999999999</v>
      </c>
      <c r="AD6931">
        <v>-1.1678819999999901</v>
      </c>
      <c r="AE6931">
        <v>-6.1789100000000001</v>
      </c>
      <c r="AF6931">
        <v>5.5766151074018904</v>
      </c>
      <c r="AG6931">
        <v>-1.1678819999999901</v>
      </c>
      <c r="AH6931">
        <v>11.961465092924801</v>
      </c>
      <c r="AI6931">
        <v>95.057064873937904</v>
      </c>
      <c r="AJ6931">
        <v>65.004358276329796</v>
      </c>
      <c r="AK6931">
        <v>13.249121917745599</v>
      </c>
      <c r="AL6931">
        <v>96.518262559751307</v>
      </c>
      <c r="AM6931">
        <v>72.857082079041703</v>
      </c>
      <c r="AN6931">
        <v>0.999999992148905</v>
      </c>
    </row>
    <row r="6932" spans="1:40" x14ac:dyDescent="0.25">
      <c r="A6932" t="str">
        <f>"20190303154945791"</f>
        <v>20190303154945791</v>
      </c>
      <c r="B6932" t="str">
        <f>"1551599385787560"</f>
        <v>1551599385787560</v>
      </c>
      <c r="C6932" t="s">
        <v>40</v>
      </c>
      <c r="D6932">
        <v>5.3840490000000001</v>
      </c>
      <c r="E6932">
        <v>0.55193249999999905</v>
      </c>
      <c r="F6932" t="s">
        <v>43</v>
      </c>
      <c r="G6932">
        <v>-308.59190000000001</v>
      </c>
      <c r="H6932">
        <v>-0.05</v>
      </c>
      <c r="I6932">
        <v>11.35384</v>
      </c>
      <c r="J6932">
        <v>-320.28030000000001</v>
      </c>
      <c r="K6932">
        <v>1.11741</v>
      </c>
      <c r="L6932">
        <v>17.53424</v>
      </c>
      <c r="M6932">
        <v>0.9987414</v>
      </c>
      <c r="N6932">
        <v>-1.385028E-2</v>
      </c>
      <c r="O6932">
        <v>-4.8207020000000003E-2</v>
      </c>
      <c r="P6932">
        <v>0.93243069999999895</v>
      </c>
      <c r="Q6932">
        <v>-0.1256004</v>
      </c>
      <c r="R6932">
        <v>-0.33881860000000003</v>
      </c>
      <c r="S6932">
        <v>2.673035</v>
      </c>
      <c r="T6932">
        <v>-0.26457700000000001</v>
      </c>
      <c r="U6932">
        <v>-1.4016420000000001</v>
      </c>
      <c r="V6932">
        <v>0.2931067</v>
      </c>
      <c r="W6932">
        <v>-0.11340799999999999</v>
      </c>
      <c r="X6932">
        <v>0.9493298</v>
      </c>
      <c r="Y6932">
        <v>0.41941859999999997</v>
      </c>
      <c r="Z6932">
        <v>-1.8715740000000002E-2</v>
      </c>
      <c r="AA6932">
        <v>0.90759999999999996</v>
      </c>
      <c r="AB6932">
        <v>20</v>
      </c>
      <c r="AC6932">
        <v>11.6884</v>
      </c>
      <c r="AD6932">
        <v>-1.1674100000000001</v>
      </c>
      <c r="AE6932">
        <v>-6.1803999999999997</v>
      </c>
      <c r="AF6932">
        <v>5.5663018676030704</v>
      </c>
      <c r="AG6932">
        <v>-1.1674100000000001</v>
      </c>
      <c r="AH6932">
        <v>11.880158908531801</v>
      </c>
      <c r="AI6932">
        <v>95.084938026907807</v>
      </c>
      <c r="AJ6932">
        <v>64.895140398686806</v>
      </c>
      <c r="AK6932">
        <v>13.1713605326613</v>
      </c>
      <c r="AL6932">
        <v>96.511809498846205</v>
      </c>
      <c r="AM6932">
        <v>72.841865442769901</v>
      </c>
      <c r="AN6932">
        <v>0.99999999060846501</v>
      </c>
    </row>
    <row r="6933" spans="1:40" x14ac:dyDescent="0.25">
      <c r="A6933" t="str">
        <f>"20190303154945803"</f>
        <v>20190303154945803</v>
      </c>
      <c r="B6933" t="str">
        <f>"1551599385797322"</f>
        <v>1551599385797322</v>
      </c>
      <c r="C6933" t="s">
        <v>40</v>
      </c>
      <c r="D6933">
        <v>5.5041250000000002</v>
      </c>
      <c r="E6933">
        <v>0.55235319999999899</v>
      </c>
      <c r="F6933" t="s">
        <v>43</v>
      </c>
      <c r="G6933">
        <v>-308.3571</v>
      </c>
      <c r="H6933">
        <v>-0.05</v>
      </c>
      <c r="I6933">
        <v>11.23146</v>
      </c>
      <c r="J6933">
        <v>-320.17630000000003</v>
      </c>
      <c r="K6933">
        <v>1.1169249999999999</v>
      </c>
      <c r="L6933">
        <v>17.527950000000001</v>
      </c>
      <c r="M6933">
        <v>0.99867419999999996</v>
      </c>
      <c r="N6933">
        <v>-1.4493580000000001E-2</v>
      </c>
      <c r="O6933">
        <v>-4.9397200000000002E-2</v>
      </c>
      <c r="P6933">
        <v>0.93183450000000001</v>
      </c>
      <c r="Q6933">
        <v>-0.1258348</v>
      </c>
      <c r="R6933">
        <v>-0.34036870000000002</v>
      </c>
      <c r="S6933">
        <v>2.6694339999999999</v>
      </c>
      <c r="T6933">
        <v>-0.2613664</v>
      </c>
      <c r="U6933">
        <v>-1.4111020000000001</v>
      </c>
      <c r="V6933">
        <v>0.29355019999999998</v>
      </c>
      <c r="W6933">
        <v>-0.1130486</v>
      </c>
      <c r="X6933">
        <v>0.94923559999999996</v>
      </c>
      <c r="Y6933">
        <v>0.42137479999999999</v>
      </c>
      <c r="Z6933">
        <v>-1.8728000000000002E-2</v>
      </c>
      <c r="AA6933">
        <v>0.90669319999999998</v>
      </c>
      <c r="AB6933">
        <v>19</v>
      </c>
      <c r="AC6933">
        <v>11.8192</v>
      </c>
      <c r="AD6933">
        <v>-1.166925</v>
      </c>
      <c r="AE6933">
        <v>-6.2964900000000004</v>
      </c>
      <c r="AF6933">
        <v>5.6619144586453096</v>
      </c>
      <c r="AG6933">
        <v>-1.166925</v>
      </c>
      <c r="AH6933">
        <v>12.024528219937499</v>
      </c>
      <c r="AI6933">
        <v>95.017654503520603</v>
      </c>
      <c r="AJ6933">
        <v>64.7859538815283</v>
      </c>
      <c r="AK6933">
        <v>13.3419739246003</v>
      </c>
      <c r="AL6933">
        <v>96.491084276668303</v>
      </c>
      <c r="AM6933">
        <v>72.815826516111301</v>
      </c>
      <c r="AN6933">
        <v>0.99999996509467903</v>
      </c>
    </row>
    <row r="6934" spans="1:40" x14ac:dyDescent="0.25">
      <c r="A6934" t="str">
        <f>"20190303154945814"</f>
        <v>20190303154945814</v>
      </c>
      <c r="B6934" t="str">
        <f>"1551599385807080"</f>
        <v>1551599385807080</v>
      </c>
      <c r="C6934" t="s">
        <v>40</v>
      </c>
      <c r="D6934">
        <v>5.5154690000000004</v>
      </c>
      <c r="E6934">
        <v>0.5527398</v>
      </c>
      <c r="F6934" t="s">
        <v>43</v>
      </c>
      <c r="G6934">
        <v>-308.39210000000003</v>
      </c>
      <c r="H6934">
        <v>-0.05</v>
      </c>
      <c r="I6934">
        <v>11.25662</v>
      </c>
      <c r="J6934">
        <v>-320.07510000000002</v>
      </c>
      <c r="K6934">
        <v>1.116376</v>
      </c>
      <c r="L6934">
        <v>17.521609999999999</v>
      </c>
      <c r="M6934">
        <v>0.99860669999999996</v>
      </c>
      <c r="N6934">
        <v>-1.531044E-2</v>
      </c>
      <c r="O6934">
        <v>-5.0502180000000001E-2</v>
      </c>
      <c r="P6934">
        <v>0.93127139999999997</v>
      </c>
      <c r="Q6934">
        <v>-0.1258821</v>
      </c>
      <c r="R6934">
        <v>-0.34188800000000003</v>
      </c>
      <c r="S6934">
        <v>2.6656490000000002</v>
      </c>
      <c r="T6934">
        <v>-0.263964799999999</v>
      </c>
      <c r="U6934">
        <v>-1.4186099999999999</v>
      </c>
      <c r="V6934">
        <v>0.29404649999999999</v>
      </c>
      <c r="W6934">
        <v>-0.1123323</v>
      </c>
      <c r="X6934">
        <v>0.94916710000000004</v>
      </c>
      <c r="Y6934">
        <v>0.4228401</v>
      </c>
      <c r="Z6934">
        <v>-1.9101369999999999E-2</v>
      </c>
      <c r="AA6934">
        <v>0.906003</v>
      </c>
      <c r="AB6934">
        <v>19</v>
      </c>
      <c r="AC6934">
        <v>11.6829999999999</v>
      </c>
      <c r="AD6934">
        <v>-1.1663760000000001</v>
      </c>
      <c r="AE6934">
        <v>-6.2649899999999903</v>
      </c>
      <c r="AF6934">
        <v>5.6233767552735703</v>
      </c>
      <c r="AG6934">
        <v>-1.1663760000000001</v>
      </c>
      <c r="AH6934">
        <v>11.892460940264099</v>
      </c>
      <c r="AI6934">
        <v>95.066843124676396</v>
      </c>
      <c r="AJ6934">
        <v>64.692769530830105</v>
      </c>
      <c r="AK6934">
        <v>13.206567545006999</v>
      </c>
      <c r="AL6934">
        <v>96.449779742288399</v>
      </c>
      <c r="AM6934">
        <v>72.787320024847801</v>
      </c>
      <c r="AN6934">
        <v>1.0000000367539701</v>
      </c>
    </row>
    <row r="6935" spans="1:40" x14ac:dyDescent="0.25">
      <c r="A6935" t="str">
        <f>"20190303154945829"</f>
        <v>20190303154945829</v>
      </c>
      <c r="B6935" t="str">
        <f>"1551599385817817"</f>
        <v>1551599385817817</v>
      </c>
      <c r="C6935" t="s">
        <v>40</v>
      </c>
      <c r="D6935">
        <v>5.5147510000000004</v>
      </c>
      <c r="E6935">
        <v>0.55310570000000003</v>
      </c>
      <c r="F6935" t="s">
        <v>43</v>
      </c>
      <c r="G6935">
        <v>-308.38260000000002</v>
      </c>
      <c r="H6935">
        <v>-0.05</v>
      </c>
      <c r="I6935">
        <v>11.2597</v>
      </c>
      <c r="J6935">
        <v>-319.95440000000002</v>
      </c>
      <c r="K6935">
        <v>1.115675</v>
      </c>
      <c r="L6935">
        <v>17.513950000000001</v>
      </c>
      <c r="M6935">
        <v>0.99852220000000003</v>
      </c>
      <c r="N6935">
        <v>-1.640494E-2</v>
      </c>
      <c r="O6935">
        <v>-5.1812770000000001E-2</v>
      </c>
      <c r="P6935">
        <v>0.93068890000000004</v>
      </c>
      <c r="Q6935">
        <v>-0.12511240000000001</v>
      </c>
      <c r="R6935">
        <v>-0.34375280000000003</v>
      </c>
      <c r="S6935">
        <v>2.6621090000000001</v>
      </c>
      <c r="T6935">
        <v>-0.26555620000000002</v>
      </c>
      <c r="U6935">
        <v>-1.4256899999999999</v>
      </c>
      <c r="V6935">
        <v>0.2946993</v>
      </c>
      <c r="W6935">
        <v>-0.11052919999999999</v>
      </c>
      <c r="X6935">
        <v>0.94917629999999997</v>
      </c>
      <c r="Y6935">
        <v>0.42397679999999999</v>
      </c>
      <c r="Z6935">
        <v>-1.9462139999999999E-2</v>
      </c>
      <c r="AA6935">
        <v>0.90546389999999999</v>
      </c>
      <c r="AB6935">
        <v>19</v>
      </c>
      <c r="AC6935">
        <v>11.5717999999999</v>
      </c>
      <c r="AD6935">
        <v>-1.165675</v>
      </c>
      <c r="AE6935">
        <v>-6.2542499999999999</v>
      </c>
      <c r="AF6935">
        <v>5.6022036251667098</v>
      </c>
      <c r="AG6935">
        <v>-1.165675</v>
      </c>
      <c r="AH6935">
        <v>11.7877732290716</v>
      </c>
      <c r="AI6935">
        <v>95.103824039978406</v>
      </c>
      <c r="AJ6935">
        <v>64.580340628819897</v>
      </c>
      <c r="AK6935">
        <v>13.1032469778857</v>
      </c>
      <c r="AL6935">
        <v>96.345822424023694</v>
      </c>
      <c r="AM6935">
        <v>72.751529186677104</v>
      </c>
      <c r="AN6935">
        <v>1.0000000149774</v>
      </c>
    </row>
    <row r="6936" spans="1:40" x14ac:dyDescent="0.25">
      <c r="A6936" t="str">
        <f>"20190303154945842"</f>
        <v>20190303154945842</v>
      </c>
      <c r="B6936" t="str">
        <f>"1551599385837338"</f>
        <v>1551599385837338</v>
      </c>
      <c r="C6936" t="s">
        <v>40</v>
      </c>
      <c r="D6936">
        <v>5.5294239999999997</v>
      </c>
      <c r="E6936">
        <v>0.5537514</v>
      </c>
      <c r="F6936" t="s">
        <v>43</v>
      </c>
      <c r="G6936">
        <v>-308.22519999999997</v>
      </c>
      <c r="H6936">
        <v>-0.05</v>
      </c>
      <c r="I6936">
        <v>11.18919</v>
      </c>
      <c r="J6936">
        <v>-319.839</v>
      </c>
      <c r="K6936">
        <v>1.114962</v>
      </c>
      <c r="L6936">
        <v>17.50647</v>
      </c>
      <c r="M6936">
        <v>0.99843689999999996</v>
      </c>
      <c r="N6936">
        <v>-1.7556820000000001E-2</v>
      </c>
      <c r="O6936">
        <v>-5.3060709999999997E-2</v>
      </c>
      <c r="P6936">
        <v>0.93011619999999995</v>
      </c>
      <c r="Q6936">
        <v>-0.1244292</v>
      </c>
      <c r="R6936">
        <v>-0.34554489999999999</v>
      </c>
      <c r="S6936">
        <v>2.658417</v>
      </c>
      <c r="T6936">
        <v>-0.26419959999999998</v>
      </c>
      <c r="U6936">
        <v>-1.4335020000000001</v>
      </c>
      <c r="V6936">
        <v>0.2953423</v>
      </c>
      <c r="W6936">
        <v>-0.1087519</v>
      </c>
      <c r="X6936">
        <v>0.94918170000000002</v>
      </c>
      <c r="Y6936">
        <v>0.42541639999999997</v>
      </c>
      <c r="Z6936">
        <v>-1.9699080000000001E-2</v>
      </c>
      <c r="AA6936">
        <v>0.90478329999999996</v>
      </c>
      <c r="AB6936">
        <v>19</v>
      </c>
      <c r="AC6936">
        <v>11.613799999999999</v>
      </c>
      <c r="AD6936">
        <v>-1.1649620000000001</v>
      </c>
      <c r="AE6936">
        <v>-6.3172800000000002</v>
      </c>
      <c r="AF6936">
        <v>5.6481914058915299</v>
      </c>
      <c r="AG6936">
        <v>-1.1649620000000001</v>
      </c>
      <c r="AH6936">
        <v>11.840748545165001</v>
      </c>
      <c r="AI6936">
        <v>95.074572859482103</v>
      </c>
      <c r="AJ6936">
        <v>64.498249523474897</v>
      </c>
      <c r="AK6936">
        <v>13.1705174055106</v>
      </c>
      <c r="AL6936">
        <v>96.243373237920906</v>
      </c>
      <c r="AM6936">
        <v>72.716227186749407</v>
      </c>
      <c r="AN6936">
        <v>0.99999997476889402</v>
      </c>
    </row>
    <row r="6937" spans="1:40" x14ac:dyDescent="0.25">
      <c r="A6937" t="str">
        <f>"20190303154945855"</f>
        <v>20190303154945855</v>
      </c>
      <c r="B6937" t="str">
        <f>"1551599385847097"</f>
        <v>1551599385847097</v>
      </c>
      <c r="C6937" t="s">
        <v>40</v>
      </c>
      <c r="D6937">
        <v>5.5415859999999997</v>
      </c>
      <c r="E6937">
        <v>0.55406769999999905</v>
      </c>
      <c r="F6937" t="s">
        <v>43</v>
      </c>
      <c r="G6937">
        <v>-308.17090000000002</v>
      </c>
      <c r="H6937">
        <v>-0.05</v>
      </c>
      <c r="I6937">
        <v>11.16046</v>
      </c>
      <c r="J6937">
        <v>-319.70929999999998</v>
      </c>
      <c r="K6937">
        <v>1.1140730000000001</v>
      </c>
      <c r="L6937">
        <v>17.497859999999999</v>
      </c>
      <c r="M6937">
        <v>0.99833369999999999</v>
      </c>
      <c r="N6937">
        <v>-1.8944280000000001E-2</v>
      </c>
      <c r="O6937">
        <v>-5.450816E-2</v>
      </c>
      <c r="P6937">
        <v>0.92953399999999997</v>
      </c>
      <c r="Q6937">
        <v>-0.1215845</v>
      </c>
      <c r="R6937">
        <v>-0.34811520000000001</v>
      </c>
      <c r="S6937">
        <v>2.653778</v>
      </c>
      <c r="T6937">
        <v>-0.26495740000000001</v>
      </c>
      <c r="U6937">
        <v>-1.4433290000000001</v>
      </c>
      <c r="V6937">
        <v>0.29658309999999999</v>
      </c>
      <c r="W6937">
        <v>-0.1045835</v>
      </c>
      <c r="X6937">
        <v>0.94926330000000003</v>
      </c>
      <c r="Y6937">
        <v>0.42730420000000002</v>
      </c>
      <c r="Z6937">
        <v>-2.0138219999999998E-2</v>
      </c>
      <c r="AA6937">
        <v>0.90388360000000001</v>
      </c>
      <c r="AB6937">
        <v>19</v>
      </c>
      <c r="AC6937">
        <v>11.5383999999999</v>
      </c>
      <c r="AD6937">
        <v>-1.1640729999999999</v>
      </c>
      <c r="AE6937">
        <v>-6.3373999999999899</v>
      </c>
      <c r="AF6937">
        <v>5.6547092431972503</v>
      </c>
      <c r="AG6937">
        <v>-1.1640729999999999</v>
      </c>
      <c r="AH6937">
        <v>11.7746721252066</v>
      </c>
      <c r="AI6937">
        <v>95.092649827363701</v>
      </c>
      <c r="AJ6937">
        <v>64.347658254147106</v>
      </c>
      <c r="AK6937">
        <v>13.1138745697275</v>
      </c>
      <c r="AL6937">
        <v>96.003170581435796</v>
      </c>
      <c r="AM6937">
        <v>72.649367168043497</v>
      </c>
      <c r="AN6937">
        <v>1.00000002820237</v>
      </c>
    </row>
    <row r="6938" spans="1:40" x14ac:dyDescent="0.25">
      <c r="A6938" t="str">
        <f>"20190303154945867"</f>
        <v>20190303154945867</v>
      </c>
      <c r="B6938" t="str">
        <f>"1551599385857833"</f>
        <v>1551599385857833</v>
      </c>
      <c r="C6938" t="s">
        <v>40</v>
      </c>
      <c r="D6938">
        <v>5.530805</v>
      </c>
      <c r="E6938">
        <v>0.55435730000000005</v>
      </c>
      <c r="F6938" t="s">
        <v>43</v>
      </c>
      <c r="G6938">
        <v>-307.70960000000002</v>
      </c>
      <c r="H6938">
        <v>-0.05</v>
      </c>
      <c r="I6938">
        <v>10.91982</v>
      </c>
      <c r="J6938">
        <v>-319.61939999999998</v>
      </c>
      <c r="K6938">
        <v>1.11341</v>
      </c>
      <c r="L6938">
        <v>17.491789999999899</v>
      </c>
      <c r="M6938">
        <v>0.9982588</v>
      </c>
      <c r="N6938">
        <v>-1.9875179999999999E-2</v>
      </c>
      <c r="O6938">
        <v>-5.5539190000000002E-2</v>
      </c>
      <c r="P6938">
        <v>0.92904200000000003</v>
      </c>
      <c r="Q6938">
        <v>-0.1209397</v>
      </c>
      <c r="R6938">
        <v>-0.34965010000000002</v>
      </c>
      <c r="S6938">
        <v>2.6498409999999999</v>
      </c>
      <c r="T6938">
        <v>-0.25705800000000001</v>
      </c>
      <c r="U6938">
        <v>-1.4526059999999901</v>
      </c>
      <c r="V6938">
        <v>0.29717009999999899</v>
      </c>
      <c r="W6938">
        <v>-0.1030541</v>
      </c>
      <c r="X6938">
        <v>0.9492469</v>
      </c>
      <c r="Y6938">
        <v>0.4294367</v>
      </c>
      <c r="Z6938">
        <v>-2.0013139999999999E-2</v>
      </c>
      <c r="AA6938">
        <v>0.90287519999999999</v>
      </c>
      <c r="AB6938">
        <v>19</v>
      </c>
      <c r="AC6938">
        <v>11.909799999999899</v>
      </c>
      <c r="AD6938">
        <v>-1.1634100000000001</v>
      </c>
      <c r="AE6938">
        <v>-6.5719699999999897</v>
      </c>
      <c r="AF6938">
        <v>5.8573842539934597</v>
      </c>
      <c r="AG6938">
        <v>-1.1634100000000001</v>
      </c>
      <c r="AH6938">
        <v>12.1674790202223</v>
      </c>
      <c r="AI6938">
        <v>94.924064617500207</v>
      </c>
      <c r="AJ6938">
        <v>64.293989761889605</v>
      </c>
      <c r="AK6938">
        <v>13.5539669039945</v>
      </c>
      <c r="AL6938">
        <v>95.915066799399497</v>
      </c>
      <c r="AM6938">
        <v>72.616811349413098</v>
      </c>
      <c r="AN6938">
        <v>0.99999994651021296</v>
      </c>
    </row>
    <row r="6939" spans="1:40" x14ac:dyDescent="0.25">
      <c r="A6939" t="str">
        <f>"20190303154945878"</f>
        <v>20190303154945878</v>
      </c>
      <c r="B6939" t="str">
        <f>"1551599385867593"</f>
        <v>1551599385867593</v>
      </c>
      <c r="C6939" t="s">
        <v>40</v>
      </c>
      <c r="D6939">
        <v>5.5659769999999904</v>
      </c>
      <c r="E6939">
        <v>0.55465659999999894</v>
      </c>
      <c r="F6939" t="s">
        <v>43</v>
      </c>
      <c r="G6939">
        <v>-307.62709999999998</v>
      </c>
      <c r="H6939">
        <v>-0.05</v>
      </c>
      <c r="I6939">
        <v>10.881119999999999</v>
      </c>
      <c r="J6939">
        <v>-319.52190000000002</v>
      </c>
      <c r="K6939">
        <v>1.1126549999999999</v>
      </c>
      <c r="L6939">
        <v>17.485109999999999</v>
      </c>
      <c r="M6939">
        <v>0.99817449999999996</v>
      </c>
      <c r="N6939">
        <v>-2.0864959999999998E-2</v>
      </c>
      <c r="O6939">
        <v>-5.667838E-2</v>
      </c>
      <c r="P6939">
        <v>0.92847849999999998</v>
      </c>
      <c r="Q6939">
        <v>-0.1203089</v>
      </c>
      <c r="R6939">
        <v>-0.35136000000000001</v>
      </c>
      <c r="S6939">
        <v>2.6466059999999998</v>
      </c>
      <c r="T6939">
        <v>-0.25675520000000002</v>
      </c>
      <c r="U6939">
        <v>-1.458923</v>
      </c>
      <c r="V6939">
        <v>0.29783340000000003</v>
      </c>
      <c r="W6939">
        <v>-0.10148550000000001</v>
      </c>
      <c r="X6939">
        <v>0.9492081</v>
      </c>
      <c r="Y6939">
        <v>0.4305023</v>
      </c>
      <c r="Z6939">
        <v>-2.0265109999999999E-2</v>
      </c>
      <c r="AA6939">
        <v>0.902362</v>
      </c>
      <c r="AB6939">
        <v>19</v>
      </c>
      <c r="AC6939">
        <v>11.8948</v>
      </c>
      <c r="AD6939">
        <v>-1.162655</v>
      </c>
      <c r="AE6939">
        <v>-6.6039899999999996</v>
      </c>
      <c r="AF6939">
        <v>5.87613159120174</v>
      </c>
      <c r="AG6939">
        <v>-1.162655</v>
      </c>
      <c r="AH6939">
        <v>12.161242742191501</v>
      </c>
      <c r="AI6939">
        <v>94.919968715441996</v>
      </c>
      <c r="AJ6939">
        <v>64.210857539484905</v>
      </c>
      <c r="AK6939">
        <v>13.5564196659977</v>
      </c>
      <c r="AL6939">
        <v>95.824718421821302</v>
      </c>
      <c r="AM6939">
        <v>72.579686947554407</v>
      </c>
      <c r="AN6939">
        <v>1.0000000289857001</v>
      </c>
    </row>
    <row r="6940" spans="1:40" x14ac:dyDescent="0.25">
      <c r="A6940" t="str">
        <f>"20190303154945890"</f>
        <v>20190303154945890</v>
      </c>
      <c r="B6940" t="str">
        <f>"1551599385888088"</f>
        <v>1551599385888088</v>
      </c>
      <c r="C6940" t="s">
        <v>40</v>
      </c>
      <c r="D6940">
        <v>5.5174989999999999</v>
      </c>
      <c r="E6940">
        <v>0.55526529999999996</v>
      </c>
      <c r="F6940" t="s">
        <v>43</v>
      </c>
      <c r="G6940">
        <v>-307.48579999999998</v>
      </c>
      <c r="H6940">
        <v>-0.05</v>
      </c>
      <c r="I6940">
        <v>10.81062</v>
      </c>
      <c r="J6940">
        <v>-319.42219999999998</v>
      </c>
      <c r="K6940">
        <v>1.1118269999999999</v>
      </c>
      <c r="L6940">
        <v>17.478120000000001</v>
      </c>
      <c r="M6940">
        <v>0.9980871</v>
      </c>
      <c r="N6940">
        <v>-2.1772400000000001E-2</v>
      </c>
      <c r="O6940">
        <v>-5.7863299999999999E-2</v>
      </c>
      <c r="P6940">
        <v>0.92782379999999998</v>
      </c>
      <c r="Q6940">
        <v>-0.120405</v>
      </c>
      <c r="R6940">
        <v>-0.35305199999999998</v>
      </c>
      <c r="S6940">
        <v>2.6432799999999999</v>
      </c>
      <c r="T6940">
        <v>-0.25533220000000001</v>
      </c>
      <c r="U6940">
        <v>-1.4657899999999999</v>
      </c>
      <c r="V6940">
        <v>0.29843550000000002</v>
      </c>
      <c r="W6940">
        <v>-0.1007324</v>
      </c>
      <c r="X6940">
        <v>0.94909909999999997</v>
      </c>
      <c r="Y6940">
        <v>0.43169730000000001</v>
      </c>
      <c r="Z6940">
        <v>-2.0438970000000001E-2</v>
      </c>
      <c r="AA6940">
        <v>0.90178689999999995</v>
      </c>
      <c r="AB6940">
        <v>19</v>
      </c>
      <c r="AC6940">
        <v>11.9363999999999</v>
      </c>
      <c r="AD6940">
        <v>-1.1618269999999999</v>
      </c>
      <c r="AE6940">
        <v>-6.6675000000000004</v>
      </c>
      <c r="AF6940">
        <v>5.9227123484933699</v>
      </c>
      <c r="AG6940">
        <v>-1.1618269999999999</v>
      </c>
      <c r="AH6940">
        <v>12.2140885145896</v>
      </c>
      <c r="AI6940">
        <v>94.892023075269805</v>
      </c>
      <c r="AJ6940">
        <v>64.130870507244296</v>
      </c>
      <c r="AK6940">
        <v>13.6239613102488</v>
      </c>
      <c r="AL6940">
        <v>95.781347263719098</v>
      </c>
      <c r="AM6940">
        <v>72.544723889320395</v>
      </c>
      <c r="AN6940">
        <v>0.999999932845407</v>
      </c>
    </row>
    <row r="6941" spans="1:40" x14ac:dyDescent="0.25">
      <c r="A6941" t="str">
        <f>"20190303154945902"</f>
        <v>20190303154945902</v>
      </c>
      <c r="B6941" t="str">
        <f>"1551599385897849"</f>
        <v>1551599385897849</v>
      </c>
      <c r="C6941" t="s">
        <v>40</v>
      </c>
      <c r="D6941">
        <v>5.5388120000000001</v>
      </c>
      <c r="E6941">
        <v>0.55553260000000004</v>
      </c>
      <c r="F6941" t="s">
        <v>43</v>
      </c>
      <c r="G6941">
        <v>-307.57799999999997</v>
      </c>
      <c r="H6941">
        <v>-0.05</v>
      </c>
      <c r="I6941">
        <v>10.857419999999999</v>
      </c>
      <c r="J6941">
        <v>-319.31939999999997</v>
      </c>
      <c r="K6941">
        <v>1.110959</v>
      </c>
      <c r="L6941">
        <v>17.470790000000001</v>
      </c>
      <c r="M6941">
        <v>0.99799530000000003</v>
      </c>
      <c r="N6941">
        <v>-2.2667710000000001E-2</v>
      </c>
      <c r="O6941">
        <v>-5.9089849999999999E-2</v>
      </c>
      <c r="P6941">
        <v>0.92705170000000003</v>
      </c>
      <c r="Q6941">
        <v>-0.12108969999999999</v>
      </c>
      <c r="R6941">
        <v>-0.35484139999999997</v>
      </c>
      <c r="S6941">
        <v>2.6385190000000001</v>
      </c>
      <c r="T6941">
        <v>-0.25881789999999999</v>
      </c>
      <c r="U6941">
        <v>-1.4748840000000001</v>
      </c>
      <c r="V6941">
        <v>0.29910009999999998</v>
      </c>
      <c r="W6941">
        <v>-0.1005856</v>
      </c>
      <c r="X6941">
        <v>0.94890549999999996</v>
      </c>
      <c r="Y6941">
        <v>0.43357659999999998</v>
      </c>
      <c r="Z6941">
        <v>-2.092685E-2</v>
      </c>
      <c r="AA6941">
        <v>0.9008737</v>
      </c>
      <c r="AB6941">
        <v>19</v>
      </c>
      <c r="AC6941">
        <v>11.741400000000001</v>
      </c>
      <c r="AD6941">
        <v>-1.1609590000000001</v>
      </c>
      <c r="AE6941">
        <v>-6.6133699999999997</v>
      </c>
      <c r="AF6941">
        <v>5.8643071727264102</v>
      </c>
      <c r="AG6941">
        <v>-1.1609590000000001</v>
      </c>
      <c r="AH6941">
        <v>12.022524826117101</v>
      </c>
      <c r="AI6941">
        <v>94.960318418682903</v>
      </c>
      <c r="AJ6941">
        <v>63.997959528411002</v>
      </c>
      <c r="AK6941">
        <v>13.426802583280001</v>
      </c>
      <c r="AL6941">
        <v>95.772892971890698</v>
      </c>
      <c r="AM6941">
        <v>72.504869149437994</v>
      </c>
      <c r="AN6941">
        <v>0.99999999033880904</v>
      </c>
    </row>
    <row r="6942" spans="1:40" x14ac:dyDescent="0.25">
      <c r="A6942" t="str">
        <f>"20190303154945913"</f>
        <v>20190303154945913</v>
      </c>
      <c r="B6942" t="str">
        <f>"1551599385907609"</f>
        <v>1551599385907609</v>
      </c>
      <c r="C6942" t="s">
        <v>40</v>
      </c>
      <c r="D6942">
        <v>5.555193</v>
      </c>
      <c r="E6942">
        <v>0.55583939999999998</v>
      </c>
      <c r="F6942" t="s">
        <v>43</v>
      </c>
      <c r="G6942">
        <v>-307.64580000000001</v>
      </c>
      <c r="H6942">
        <v>-0.05</v>
      </c>
      <c r="I6942">
        <v>10.905239999999999</v>
      </c>
      <c r="J6942">
        <v>-319.22030000000001</v>
      </c>
      <c r="K6942">
        <v>1.110101</v>
      </c>
      <c r="L6942">
        <v>17.463560000000001</v>
      </c>
      <c r="M6942">
        <v>0.99790780000000001</v>
      </c>
      <c r="N6942">
        <v>-2.3422439999999999E-2</v>
      </c>
      <c r="O6942">
        <v>-6.0263299999999999E-2</v>
      </c>
      <c r="P6942">
        <v>0.92627599999999999</v>
      </c>
      <c r="Q6942">
        <v>-0.1218043</v>
      </c>
      <c r="R6942">
        <v>-0.35661920000000003</v>
      </c>
      <c r="S6942">
        <v>2.634674</v>
      </c>
      <c r="T6942">
        <v>-0.2620229</v>
      </c>
      <c r="U6942">
        <v>-1.4818119999999999</v>
      </c>
      <c r="V6942">
        <v>0.299801599999999</v>
      </c>
      <c r="W6942">
        <v>-0.1006092</v>
      </c>
      <c r="X6942">
        <v>0.94868160000000001</v>
      </c>
      <c r="Y6942">
        <v>0.43481399999999998</v>
      </c>
      <c r="Z6942">
        <v>-2.132558E-2</v>
      </c>
      <c r="AA6942">
        <v>0.90026779999999995</v>
      </c>
      <c r="AB6942">
        <v>19</v>
      </c>
      <c r="AC6942">
        <v>11.5745</v>
      </c>
      <c r="AD6942">
        <v>-1.160101</v>
      </c>
      <c r="AE6942">
        <v>-6.5583200000000001</v>
      </c>
      <c r="AF6942">
        <v>5.8045447442808404</v>
      </c>
      <c r="AG6942">
        <v>-1.160101</v>
      </c>
      <c r="AH6942">
        <v>11.8586085865228</v>
      </c>
      <c r="AI6942">
        <v>95.021479726536498</v>
      </c>
      <c r="AJ6942">
        <v>63.9192034837858</v>
      </c>
      <c r="AK6942">
        <v>13.2538738347289</v>
      </c>
      <c r="AL6942">
        <v>95.774252023453101</v>
      </c>
      <c r="AM6942">
        <v>72.462463646420701</v>
      </c>
      <c r="AN6942">
        <v>0.99999999433288</v>
      </c>
    </row>
    <row r="6943" spans="1:40" x14ac:dyDescent="0.25">
      <c r="A6943" t="str">
        <f>"20190303154945925"</f>
        <v>20190303154945925</v>
      </c>
      <c r="B6943" t="str">
        <f>"1551599385917369"</f>
        <v>1551599385917369</v>
      </c>
      <c r="C6943" t="s">
        <v>40</v>
      </c>
      <c r="D6943">
        <v>5.5350010000000003</v>
      </c>
      <c r="E6943">
        <v>0.55621690000000001</v>
      </c>
      <c r="F6943" t="s">
        <v>43</v>
      </c>
      <c r="G6943">
        <v>-307.70010000000002</v>
      </c>
      <c r="H6943">
        <v>-0.05</v>
      </c>
      <c r="I6943">
        <v>10.942869999999999</v>
      </c>
      <c r="J6943">
        <v>-319.12549999999999</v>
      </c>
      <c r="K6943">
        <v>1.1092820000000001</v>
      </c>
      <c r="L6943">
        <v>17.456510000000002</v>
      </c>
      <c r="M6943">
        <v>0.99782309999999996</v>
      </c>
      <c r="N6943">
        <v>-2.411489E-2</v>
      </c>
      <c r="O6943">
        <v>-6.1382480000000003E-2</v>
      </c>
      <c r="P6943">
        <v>0.92558459999999998</v>
      </c>
      <c r="Q6943">
        <v>-0.1225728</v>
      </c>
      <c r="R6943">
        <v>-0.35814750000000001</v>
      </c>
      <c r="S6943">
        <v>2.6306759999999998</v>
      </c>
      <c r="T6943">
        <v>-0.26491130000000002</v>
      </c>
      <c r="U6943">
        <v>-1.4890139999999901</v>
      </c>
      <c r="V6943">
        <v>0.30030250000000003</v>
      </c>
      <c r="W6943">
        <v>-0.10074180000000001</v>
      </c>
      <c r="X6943">
        <v>0.94850909999999999</v>
      </c>
      <c r="Y6943">
        <v>0.43619619999999998</v>
      </c>
      <c r="Z6943">
        <v>-2.1703429999999999E-2</v>
      </c>
      <c r="AA6943">
        <v>0.89958979999999999</v>
      </c>
      <c r="AB6943">
        <v>19</v>
      </c>
      <c r="AC6943">
        <v>11.4253999999999</v>
      </c>
      <c r="AD6943">
        <v>-1.1592819999999999</v>
      </c>
      <c r="AE6943">
        <v>-6.5136399999999997</v>
      </c>
      <c r="AF6943">
        <v>5.7551103854298002</v>
      </c>
      <c r="AG6943">
        <v>-1.1592819999999999</v>
      </c>
      <c r="AH6943">
        <v>11.712775561972601</v>
      </c>
      <c r="AI6943">
        <v>95.076362964471997</v>
      </c>
      <c r="AJ6943">
        <v>63.832655648577699</v>
      </c>
      <c r="AK6943">
        <v>13.1016923208091</v>
      </c>
      <c r="AL6943">
        <v>95.781888165977705</v>
      </c>
      <c r="AM6943">
        <v>72.431964780437596</v>
      </c>
      <c r="AN6943">
        <v>1.0000000072781501</v>
      </c>
    </row>
    <row r="6944" spans="1:40" x14ac:dyDescent="0.25">
      <c r="A6944" t="str">
        <f>"20190303154945935"</f>
        <v>20190303154945935</v>
      </c>
      <c r="B6944" t="str">
        <f>"1551599385928105"</f>
        <v>1551599385928105</v>
      </c>
      <c r="C6944" t="s">
        <v>40</v>
      </c>
      <c r="D6944">
        <v>5.6360640000000002</v>
      </c>
      <c r="E6944">
        <v>0.55633379999999999</v>
      </c>
      <c r="F6944" t="s">
        <v>43</v>
      </c>
      <c r="G6944">
        <v>-307.7647</v>
      </c>
      <c r="H6944">
        <v>-0.05</v>
      </c>
      <c r="I6944">
        <v>10.98602</v>
      </c>
      <c r="J6944">
        <v>-319.02609999999999</v>
      </c>
      <c r="K6944">
        <v>1.1084510000000001</v>
      </c>
      <c r="L6944">
        <v>17.449010000000001</v>
      </c>
      <c r="M6944">
        <v>0.99773409999999996</v>
      </c>
      <c r="N6944">
        <v>-2.4788439999999998E-2</v>
      </c>
      <c r="O6944">
        <v>-6.2548240000000005E-2</v>
      </c>
      <c r="P6944">
        <v>0.9249482</v>
      </c>
      <c r="Q6944">
        <v>-0.1228407</v>
      </c>
      <c r="R6944">
        <v>-0.35969559999999901</v>
      </c>
      <c r="S6944">
        <v>2.6268310000000001</v>
      </c>
      <c r="T6944">
        <v>-0.268047599999999</v>
      </c>
      <c r="U6944">
        <v>-1.496094</v>
      </c>
      <c r="V6944">
        <v>0.30077880000000001</v>
      </c>
      <c r="W6944">
        <v>-0.10038759999999999</v>
      </c>
      <c r="X6944">
        <v>0.94839569999999995</v>
      </c>
      <c r="Y6944">
        <v>0.43747819999999998</v>
      </c>
      <c r="Z6944">
        <v>-2.2081369999999999E-2</v>
      </c>
      <c r="AA6944">
        <v>0.89895780000000003</v>
      </c>
      <c r="AB6944">
        <v>19</v>
      </c>
      <c r="AC6944">
        <v>11.261399999999901</v>
      </c>
      <c r="AD6944">
        <v>-1.1584509999999999</v>
      </c>
      <c r="AE6944">
        <v>-6.4629899999999996</v>
      </c>
      <c r="AF6944">
        <v>5.7003539925047297</v>
      </c>
      <c r="AG6944">
        <v>-1.1584509999999999</v>
      </c>
      <c r="AH6944">
        <v>11.5517543207768</v>
      </c>
      <c r="AI6944">
        <v>95.138802238673406</v>
      </c>
      <c r="AJ6944">
        <v>63.7354029089907</v>
      </c>
      <c r="AK6944">
        <v>12.9336411055375</v>
      </c>
      <c r="AL6944">
        <v>95.761490751983303</v>
      </c>
      <c r="AM6944">
        <v>72.403844427635207</v>
      </c>
      <c r="AN6944">
        <v>0.99999998027084402</v>
      </c>
    </row>
    <row r="6945" spans="1:40" x14ac:dyDescent="0.25">
      <c r="A6945" t="str">
        <f>"20190303154945946"</f>
        <v>20190303154945946</v>
      </c>
      <c r="B6945" t="str">
        <f>"1551599385937865"</f>
        <v>1551599385937865</v>
      </c>
      <c r="C6945" t="s">
        <v>40</v>
      </c>
      <c r="D6945">
        <v>5.6471689999999999</v>
      </c>
      <c r="E6945">
        <v>0.55643980000000004</v>
      </c>
      <c r="F6945" t="s">
        <v>43</v>
      </c>
      <c r="G6945">
        <v>-307.815</v>
      </c>
      <c r="H6945">
        <v>-0.05</v>
      </c>
      <c r="I6945">
        <v>11.03421</v>
      </c>
      <c r="J6945">
        <v>-318.93819999999999</v>
      </c>
      <c r="K6945">
        <v>1.1077509999999999</v>
      </c>
      <c r="L6945">
        <v>17.442229999999999</v>
      </c>
      <c r="M6945">
        <v>0.9976545</v>
      </c>
      <c r="N6945">
        <v>-2.5352099999999999E-2</v>
      </c>
      <c r="O6945">
        <v>-6.3585050000000004E-2</v>
      </c>
      <c r="P6945">
        <v>0.92443869999999895</v>
      </c>
      <c r="Q6945">
        <v>-0.1229677</v>
      </c>
      <c r="R6945">
        <v>-0.36096</v>
      </c>
      <c r="S6945">
        <v>2.6236269999999999</v>
      </c>
      <c r="T6945">
        <v>-0.27110099999999998</v>
      </c>
      <c r="U6945">
        <v>-1.50119</v>
      </c>
      <c r="V6945">
        <v>0.30108990000000002</v>
      </c>
      <c r="W6945">
        <v>-9.9986640000000002E-2</v>
      </c>
      <c r="X6945">
        <v>0.94833940000000005</v>
      </c>
      <c r="Y6945">
        <v>0.43827379999999999</v>
      </c>
      <c r="Z6945">
        <v>-2.2401770000000001E-2</v>
      </c>
      <c r="AA6945">
        <v>0.89856229999999904</v>
      </c>
      <c r="AB6945">
        <v>19</v>
      </c>
      <c r="AC6945">
        <v>11.123199999999899</v>
      </c>
      <c r="AD6945">
        <v>-1.157751</v>
      </c>
      <c r="AE6945">
        <v>-6.4080199999999898</v>
      </c>
      <c r="AF6945">
        <v>5.64165877824819</v>
      </c>
      <c r="AG6945">
        <v>-1.157751</v>
      </c>
      <c r="AH6945">
        <v>11.4154091907787</v>
      </c>
      <c r="AI6945">
        <v>95.195177469017395</v>
      </c>
      <c r="AJ6945">
        <v>63.700757758845</v>
      </c>
      <c r="AK6945">
        <v>12.785940252523501</v>
      </c>
      <c r="AL6945">
        <v>95.738400937832694</v>
      </c>
      <c r="AM6945">
        <v>72.385788064002995</v>
      </c>
      <c r="AN6945">
        <v>1.0000000368264199</v>
      </c>
    </row>
    <row r="6946" spans="1:40" x14ac:dyDescent="0.25">
      <c r="A6946" t="str">
        <f>"20190303154945958"</f>
        <v>20190303154945958</v>
      </c>
      <c r="B6946" t="str">
        <f>"1551599385947625"</f>
        <v>1551599385947625</v>
      </c>
      <c r="C6946" t="s">
        <v>40</v>
      </c>
      <c r="D6946">
        <v>5.6138349999999999</v>
      </c>
      <c r="E6946">
        <v>0.55664340000000001</v>
      </c>
      <c r="F6946" t="s">
        <v>43</v>
      </c>
      <c r="G6946">
        <v>-307.85980000000001</v>
      </c>
      <c r="H6946">
        <v>-0.05</v>
      </c>
      <c r="I6946">
        <v>11.078889999999999</v>
      </c>
      <c r="J6946">
        <v>-318.84019999999998</v>
      </c>
      <c r="K6946">
        <v>1.107002</v>
      </c>
      <c r="L6946">
        <v>17.434570000000001</v>
      </c>
      <c r="M6946">
        <v>0.99756420000000001</v>
      </c>
      <c r="N6946">
        <v>-2.5956739999999999E-2</v>
      </c>
      <c r="O6946">
        <v>-6.4745339999999998E-2</v>
      </c>
      <c r="P6946">
        <v>0.92403259999999998</v>
      </c>
      <c r="Q6946">
        <v>-0.12280770000000001</v>
      </c>
      <c r="R6946">
        <v>-0.3620526</v>
      </c>
      <c r="S6946">
        <v>2.6209720000000001</v>
      </c>
      <c r="T6946">
        <v>-0.27390500000000001</v>
      </c>
      <c r="U6946">
        <v>-1.505463</v>
      </c>
      <c r="V6946">
        <v>0.3011086</v>
      </c>
      <c r="W6946">
        <v>-9.9251099999999995E-2</v>
      </c>
      <c r="X6946">
        <v>0.94841070000000005</v>
      </c>
      <c r="Y6946">
        <v>0.43866880000000003</v>
      </c>
      <c r="Z6946">
        <v>-2.268529E-2</v>
      </c>
      <c r="AA6946">
        <v>0.89836249999999995</v>
      </c>
      <c r="AB6946">
        <v>19</v>
      </c>
      <c r="AC6946">
        <v>10.9803999999999</v>
      </c>
      <c r="AD6946">
        <v>-1.1570020000000001</v>
      </c>
      <c r="AE6946">
        <v>-6.3556800000000004</v>
      </c>
      <c r="AF6946">
        <v>5.5847210488049202</v>
      </c>
      <c r="AG6946">
        <v>-1.1570020000000001</v>
      </c>
      <c r="AH6946">
        <v>11.2752147705332</v>
      </c>
      <c r="AI6946">
        <v>95.253755408233602</v>
      </c>
      <c r="AJ6946">
        <v>63.650348387821502</v>
      </c>
      <c r="AK6946">
        <v>12.635593810447499</v>
      </c>
      <c r="AL6946">
        <v>95.696047054774297</v>
      </c>
      <c r="AM6946">
        <v>72.386004137181601</v>
      </c>
      <c r="AN6946">
        <v>1.0000000128598301</v>
      </c>
    </row>
    <row r="6947" spans="1:40" x14ac:dyDescent="0.25">
      <c r="A6947" t="str">
        <f>"20190303154945970"</f>
        <v>20190303154945970</v>
      </c>
      <c r="B6947" t="str">
        <f>"1551599385957385"</f>
        <v>1551599385957385</v>
      </c>
      <c r="C6947" t="s">
        <v>40</v>
      </c>
      <c r="D6947">
        <v>5.6166419999999997</v>
      </c>
      <c r="E6947">
        <v>0.55680499999999999</v>
      </c>
      <c r="F6947" t="s">
        <v>43</v>
      </c>
      <c r="G6947">
        <v>-307.83699999999999</v>
      </c>
      <c r="H6947">
        <v>-0.05</v>
      </c>
      <c r="I6947">
        <v>11.09019</v>
      </c>
      <c r="J6947">
        <v>-318.74610000000001</v>
      </c>
      <c r="K6947">
        <v>1.1063270000000001</v>
      </c>
      <c r="L6947">
        <v>17.42709</v>
      </c>
      <c r="M6947">
        <v>0.99747569999999997</v>
      </c>
      <c r="N6947">
        <v>-2.649224E-2</v>
      </c>
      <c r="O6947">
        <v>-6.5881019999999998E-2</v>
      </c>
      <c r="P6947">
        <v>0.92374789999999996</v>
      </c>
      <c r="Q6947">
        <v>-0.1217226</v>
      </c>
      <c r="R6947">
        <v>-0.36314400000000002</v>
      </c>
      <c r="S6947">
        <v>2.6184690000000002</v>
      </c>
      <c r="T6947">
        <v>-0.27533590000000002</v>
      </c>
      <c r="U6947">
        <v>-1.5097959999999999</v>
      </c>
      <c r="V6947">
        <v>0.30114669999999999</v>
      </c>
      <c r="W6947">
        <v>-9.764697E-2</v>
      </c>
      <c r="X6947">
        <v>0.94856510000000005</v>
      </c>
      <c r="Y6947">
        <v>0.43909900000000002</v>
      </c>
      <c r="Z6947">
        <v>-2.2876649999999998E-2</v>
      </c>
      <c r="AA6947">
        <v>0.89814740000000004</v>
      </c>
      <c r="AB6947">
        <v>19</v>
      </c>
      <c r="AC6947">
        <v>10.9091</v>
      </c>
      <c r="AD6947">
        <v>-1.1563270000000001</v>
      </c>
      <c r="AE6947">
        <v>-6.3369</v>
      </c>
      <c r="AF6947">
        <v>5.5574816887297596</v>
      </c>
      <c r="AG6947">
        <v>-1.1563270000000001</v>
      </c>
      <c r="AH6947">
        <v>11.2088492436039</v>
      </c>
      <c r="AI6947">
        <v>95.280570870312999</v>
      </c>
      <c r="AJ6947">
        <v>63.627235115869198</v>
      </c>
      <c r="AK6947">
        <v>12.5642745997266</v>
      </c>
      <c r="AL6947">
        <v>95.603688528987803</v>
      </c>
      <c r="AM6947">
        <v>72.386603341533799</v>
      </c>
      <c r="AN6947">
        <v>1.0000000073045401</v>
      </c>
    </row>
    <row r="6948" spans="1:40" x14ac:dyDescent="0.25">
      <c r="A6948" t="str">
        <f>"20190303154945981"</f>
        <v>20190303154945981</v>
      </c>
      <c r="B6948" t="str">
        <f>"1551599385977880"</f>
        <v>1551599385977880</v>
      </c>
      <c r="C6948" t="s">
        <v>40</v>
      </c>
      <c r="D6948">
        <v>5.5338059999999896</v>
      </c>
      <c r="E6948">
        <v>0.55760500000000002</v>
      </c>
      <c r="F6948" t="s">
        <v>43</v>
      </c>
      <c r="G6948">
        <v>-307.71030000000002</v>
      </c>
      <c r="H6948">
        <v>-0.05</v>
      </c>
      <c r="I6948">
        <v>11.04091</v>
      </c>
      <c r="J6948">
        <v>-318.64280000000002</v>
      </c>
      <c r="K6948">
        <v>1.105607</v>
      </c>
      <c r="L6948">
        <v>17.418789999999898</v>
      </c>
      <c r="M6948">
        <v>0.99737699999999996</v>
      </c>
      <c r="N6948">
        <v>-2.704879E-2</v>
      </c>
      <c r="O6948">
        <v>-6.7140179999999994E-2</v>
      </c>
      <c r="P6948">
        <v>0.92335679999999998</v>
      </c>
      <c r="Q6948">
        <v>-0.1206863</v>
      </c>
      <c r="R6948">
        <v>-0.36448269999999999</v>
      </c>
      <c r="S6948">
        <v>2.616333</v>
      </c>
      <c r="T6948">
        <v>-0.27413690000000002</v>
      </c>
      <c r="U6948">
        <v>-1.514008</v>
      </c>
      <c r="V6948">
        <v>0.30132229999999999</v>
      </c>
      <c r="W6948">
        <v>-9.6070329999999995E-2</v>
      </c>
      <c r="X6948">
        <v>0.94867029999999997</v>
      </c>
      <c r="Y6948">
        <v>0.4393686</v>
      </c>
      <c r="Z6948">
        <v>-2.2912189999999999E-2</v>
      </c>
      <c r="AA6948">
        <v>0.8980146</v>
      </c>
      <c r="AB6948">
        <v>19</v>
      </c>
      <c r="AC6948">
        <v>10.932499999999999</v>
      </c>
      <c r="AD6948">
        <v>-1.1556070000000001</v>
      </c>
      <c r="AE6948">
        <v>-6.3778799999999896</v>
      </c>
      <c r="AF6948">
        <v>5.5826615651288298</v>
      </c>
      <c r="AG6948">
        <v>-1.1556070000000001</v>
      </c>
      <c r="AH6948">
        <v>11.242462984906799</v>
      </c>
      <c r="AI6948">
        <v>95.260034210843401</v>
      </c>
      <c r="AJ6948">
        <v>63.592417895385999</v>
      </c>
      <c r="AK6948">
        <v>12.6053366339902</v>
      </c>
      <c r="AL6948">
        <v>95.512927064406099</v>
      </c>
      <c r="AM6948">
        <v>72.378801665685501</v>
      </c>
      <c r="AN6948">
        <v>0.99999998744284402</v>
      </c>
    </row>
    <row r="6949" spans="1:40" x14ac:dyDescent="0.25">
      <c r="A6949" t="str">
        <f>"20190303154945994"</f>
        <v>20190303154945994</v>
      </c>
      <c r="B6949" t="str">
        <f>"1551599385987640"</f>
        <v>1551599385987640</v>
      </c>
      <c r="C6949" t="s">
        <v>40</v>
      </c>
      <c r="D6949">
        <v>5.7716649999999996</v>
      </c>
      <c r="E6949">
        <v>0.55792089999999905</v>
      </c>
      <c r="F6949" t="s">
        <v>43</v>
      </c>
      <c r="G6949">
        <v>-307.59030000000001</v>
      </c>
      <c r="H6949">
        <v>-0.05</v>
      </c>
      <c r="I6949">
        <v>10.97156</v>
      </c>
      <c r="J6949">
        <v>-318.53070000000002</v>
      </c>
      <c r="K6949">
        <v>1.1048480000000001</v>
      </c>
      <c r="L6949">
        <v>17.409610000000001</v>
      </c>
      <c r="M6949">
        <v>0.99726870000000001</v>
      </c>
      <c r="N6949">
        <v>-2.7420440000000001E-2</v>
      </c>
      <c r="O6949">
        <v>-6.8581119999999995E-2</v>
      </c>
      <c r="P6949">
        <v>0.92311670000000001</v>
      </c>
      <c r="Q6949">
        <v>-0.1185911</v>
      </c>
      <c r="R6949">
        <v>-0.36577539999999997</v>
      </c>
      <c r="S6949">
        <v>2.6119080000000001</v>
      </c>
      <c r="T6949">
        <v>-0.27308979999999999</v>
      </c>
      <c r="U6949">
        <v>-1.52359</v>
      </c>
      <c r="V6949">
        <v>0.30127549999999997</v>
      </c>
      <c r="W6949">
        <v>-9.3596289999999999E-2</v>
      </c>
      <c r="X6949">
        <v>0.94893249999999996</v>
      </c>
      <c r="Y6949">
        <v>0.44118849999999998</v>
      </c>
      <c r="Z6949">
        <v>-2.2994359999999998E-2</v>
      </c>
      <c r="AA6949">
        <v>0.89711980000000002</v>
      </c>
      <c r="AB6949">
        <v>19</v>
      </c>
      <c r="AC6949">
        <v>10.9404</v>
      </c>
      <c r="AD6949">
        <v>-1.1548479999999901</v>
      </c>
      <c r="AE6949">
        <v>-6.4380499999999996</v>
      </c>
      <c r="AF6949">
        <v>5.6257323144344404</v>
      </c>
      <c r="AG6949">
        <v>-1.1548479999999901</v>
      </c>
      <c r="AH6949">
        <v>11.2630981817852</v>
      </c>
      <c r="AI6949">
        <v>95.240957469780199</v>
      </c>
      <c r="AJ6949">
        <v>63.458625831077597</v>
      </c>
      <c r="AK6949">
        <v>12.642781285354401</v>
      </c>
      <c r="AL6949">
        <v>95.370532941032707</v>
      </c>
      <c r="AM6949">
        <v>72.385936397516005</v>
      </c>
      <c r="AN6949">
        <v>1.0000000409791301</v>
      </c>
    </row>
    <row r="6950" spans="1:40" x14ac:dyDescent="0.25">
      <c r="A6950" t="str">
        <f>"20190303154946008"</f>
        <v>20190303154946008</v>
      </c>
      <c r="B6950" t="str">
        <f>"1551599385997401"</f>
        <v>1551599385997401</v>
      </c>
      <c r="C6950" t="s">
        <v>40</v>
      </c>
      <c r="D6950">
        <v>5.6030470000000001</v>
      </c>
      <c r="E6950">
        <v>0.55816909999999997</v>
      </c>
      <c r="F6950" t="s">
        <v>43</v>
      </c>
      <c r="G6950">
        <v>-307.27609999999999</v>
      </c>
      <c r="H6950">
        <v>-0.05</v>
      </c>
      <c r="I6950">
        <v>10.81209</v>
      </c>
      <c r="J6950">
        <v>-318.42110000000002</v>
      </c>
      <c r="K6950">
        <v>1.1041000000000001</v>
      </c>
      <c r="L6950">
        <v>17.400510000000001</v>
      </c>
      <c r="M6950">
        <v>0.9971624</v>
      </c>
      <c r="N6950">
        <v>-2.7687590000000002E-2</v>
      </c>
      <c r="O6950">
        <v>-7.0004720000000006E-2</v>
      </c>
      <c r="P6950">
        <v>0.92279330000000004</v>
      </c>
      <c r="Q6950">
        <v>-0.1165152</v>
      </c>
      <c r="R6950">
        <v>-0.36725570000000002</v>
      </c>
      <c r="S6950">
        <v>2.609375</v>
      </c>
      <c r="T6950">
        <v>-0.26775120000000002</v>
      </c>
      <c r="U6950">
        <v>-1.529633</v>
      </c>
      <c r="V6950">
        <v>0.30143540000000002</v>
      </c>
      <c r="W6950">
        <v>-9.1248060000000006E-2</v>
      </c>
      <c r="X6950">
        <v>0.94911040000000002</v>
      </c>
      <c r="Y6950">
        <v>0.44189899999999999</v>
      </c>
      <c r="Z6950">
        <v>-2.2742430000000001E-2</v>
      </c>
      <c r="AA6950">
        <v>0.89677649999999998</v>
      </c>
      <c r="AB6950">
        <v>19</v>
      </c>
      <c r="AC6950">
        <v>11.145</v>
      </c>
      <c r="AD6950">
        <v>-1.1540999999999999</v>
      </c>
      <c r="AE6950">
        <v>-6.5884200000000002</v>
      </c>
      <c r="AF6950">
        <v>5.7460820260177901</v>
      </c>
      <c r="AG6950">
        <v>-1.1540999999999999</v>
      </c>
      <c r="AH6950">
        <v>11.487748687280501</v>
      </c>
      <c r="AI6950">
        <v>95.134263102597401</v>
      </c>
      <c r="AJ6950">
        <v>63.4261407500804</v>
      </c>
      <c r="AK6950">
        <v>12.896424906222601</v>
      </c>
      <c r="AL6950">
        <v>95.235410969076696</v>
      </c>
      <c r="AM6950">
        <v>72.380265087869901</v>
      </c>
      <c r="AN6950">
        <v>1.00000003010754</v>
      </c>
    </row>
    <row r="6951" spans="1:40" x14ac:dyDescent="0.25">
      <c r="A6951" t="str">
        <f>"20190303154946026"</f>
        <v>20190303154946026</v>
      </c>
      <c r="B6951" t="str">
        <f>"1551599386017897"</f>
        <v>1551599386017897</v>
      </c>
      <c r="C6951" t="s">
        <v>40</v>
      </c>
      <c r="D6951">
        <v>5.5655449999999904</v>
      </c>
      <c r="E6951">
        <v>0.5585852</v>
      </c>
      <c r="F6951" t="s">
        <v>43</v>
      </c>
      <c r="G6951">
        <v>-306.96039999999999</v>
      </c>
      <c r="H6951">
        <v>-0.05</v>
      </c>
      <c r="I6951">
        <v>10.648899999999999</v>
      </c>
      <c r="J6951">
        <v>-318.26580000000001</v>
      </c>
      <c r="K6951">
        <v>1.103005</v>
      </c>
      <c r="L6951">
        <v>17.387419999999999</v>
      </c>
      <c r="M6951">
        <v>0.99701090000000003</v>
      </c>
      <c r="N6951">
        <v>-2.7929929999999999E-2</v>
      </c>
      <c r="O6951">
        <v>-7.2035429999999998E-2</v>
      </c>
      <c r="P6951">
        <v>0.92242599999999997</v>
      </c>
      <c r="Q6951">
        <v>-0.112426</v>
      </c>
      <c r="R6951">
        <v>-0.36944670000000002</v>
      </c>
      <c r="S6951">
        <v>2.6067200000000001</v>
      </c>
      <c r="T6951">
        <v>-0.26249800000000001</v>
      </c>
      <c r="U6951">
        <v>-1.5356449999999999</v>
      </c>
      <c r="V6951">
        <v>0.30173440000000001</v>
      </c>
      <c r="W6951">
        <v>-8.6914489999999997E-2</v>
      </c>
      <c r="X6951">
        <v>0.94942210000000005</v>
      </c>
      <c r="Y6951">
        <v>0.44207550000000001</v>
      </c>
      <c r="Z6951">
        <v>-2.2419910000000001E-2</v>
      </c>
      <c r="AA6951">
        <v>0.89669759999999998</v>
      </c>
      <c r="AB6951">
        <v>19</v>
      </c>
      <c r="AC6951">
        <v>11.305400000000001</v>
      </c>
      <c r="AD6951">
        <v>-1.1530049999999901</v>
      </c>
      <c r="AE6951">
        <v>-6.7385200000000003</v>
      </c>
      <c r="AF6951">
        <v>5.8613087588429904</v>
      </c>
      <c r="AG6951">
        <v>-1.1530049999999901</v>
      </c>
      <c r="AH6951">
        <v>11.672028026304</v>
      </c>
      <c r="AI6951">
        <v>95.044883882192394</v>
      </c>
      <c r="AJ6951">
        <v>63.335701254416698</v>
      </c>
      <c r="AK6951">
        <v>13.1118495698868</v>
      </c>
      <c r="AL6951">
        <v>94.986124330258605</v>
      </c>
      <c r="AM6951">
        <v>72.369301774549797</v>
      </c>
      <c r="AN6951">
        <v>1.00000005034186</v>
      </c>
    </row>
    <row r="6952" spans="1:40" x14ac:dyDescent="0.25">
      <c r="A6952" t="str">
        <f>"20190303154946038"</f>
        <v>20190303154946038</v>
      </c>
      <c r="B6952" t="str">
        <f>"1551599386027656"</f>
        <v>1551599386027656</v>
      </c>
      <c r="C6952" t="s">
        <v>40</v>
      </c>
      <c r="D6952">
        <v>5.5658839999999996</v>
      </c>
      <c r="E6952">
        <v>0.55889350000000004</v>
      </c>
      <c r="F6952" t="s">
        <v>43</v>
      </c>
      <c r="G6952">
        <v>-306.14980000000003</v>
      </c>
      <c r="H6952">
        <v>-0.05</v>
      </c>
      <c r="I6952">
        <v>10.19753</v>
      </c>
      <c r="J6952">
        <v>-318.15559999999999</v>
      </c>
      <c r="K6952">
        <v>1.1021829999999999</v>
      </c>
      <c r="L6952">
        <v>17.3779</v>
      </c>
      <c r="M6952">
        <v>0.99690319999999999</v>
      </c>
      <c r="N6952">
        <v>-2.8062050000000002E-2</v>
      </c>
      <c r="O6952">
        <v>-7.3462680000000002E-2</v>
      </c>
      <c r="P6952">
        <v>0.92221030000000004</v>
      </c>
      <c r="Q6952">
        <v>-0.1103428</v>
      </c>
      <c r="R6952">
        <v>-0.3706122</v>
      </c>
      <c r="S6952">
        <v>2.6033330000000001</v>
      </c>
      <c r="T6952">
        <v>-0.2477413</v>
      </c>
      <c r="U6952">
        <v>-1.544861</v>
      </c>
      <c r="V6952">
        <v>0.3015602</v>
      </c>
      <c r="W6952">
        <v>-8.4710869999999994E-2</v>
      </c>
      <c r="X6952">
        <v>0.94967659999999998</v>
      </c>
      <c r="Y6952">
        <v>0.44383489999999998</v>
      </c>
      <c r="Z6952">
        <v>-2.170615E-2</v>
      </c>
      <c r="AA6952">
        <v>0.89584569999999997</v>
      </c>
      <c r="AB6952">
        <v>19</v>
      </c>
      <c r="AC6952">
        <v>12.005799999999899</v>
      </c>
      <c r="AD6952">
        <v>-1.152183</v>
      </c>
      <c r="AE6952">
        <v>-7.1803699999999999</v>
      </c>
      <c r="AF6952">
        <v>6.2363228927191399</v>
      </c>
      <c r="AG6952">
        <v>-1.152183</v>
      </c>
      <c r="AH6952">
        <v>12.4168009668041</v>
      </c>
      <c r="AI6952">
        <v>94.740190057226698</v>
      </c>
      <c r="AJ6952">
        <v>63.331965987023104</v>
      </c>
      <c r="AK6952">
        <v>13.9426035996498</v>
      </c>
      <c r="AL6952">
        <v>94.859398658398305</v>
      </c>
      <c r="AM6952">
        <v>72.383280662225502</v>
      </c>
      <c r="AN6952">
        <v>1.0000000651538701</v>
      </c>
    </row>
    <row r="6953" spans="1:40" x14ac:dyDescent="0.25">
      <c r="A6953" t="str">
        <f>"20190303154946051"</f>
        <v>20190303154946051</v>
      </c>
      <c r="B6953" t="str">
        <f>"1551599386048153"</f>
        <v>1551599386048153</v>
      </c>
      <c r="C6953" t="s">
        <v>40</v>
      </c>
      <c r="D6953">
        <v>5.7590450000000004</v>
      </c>
      <c r="E6953">
        <v>0.55946839999999998</v>
      </c>
      <c r="F6953" t="s">
        <v>43</v>
      </c>
      <c r="G6953">
        <v>-305.7901</v>
      </c>
      <c r="H6953">
        <v>-0.05</v>
      </c>
      <c r="I6953">
        <v>10.00787</v>
      </c>
      <c r="J6953">
        <v>-318.05720000000002</v>
      </c>
      <c r="K6953">
        <v>1.1013900000000001</v>
      </c>
      <c r="L6953">
        <v>17.369229999999899</v>
      </c>
      <c r="M6953">
        <v>0.996807</v>
      </c>
      <c r="N6953">
        <v>-2.815372E-2</v>
      </c>
      <c r="O6953">
        <v>-7.4721410000000002E-2</v>
      </c>
      <c r="P6953">
        <v>0.92201920000000004</v>
      </c>
      <c r="Q6953">
        <v>-0.1083736</v>
      </c>
      <c r="R6953">
        <v>-0.37166680000000002</v>
      </c>
      <c r="S6953">
        <v>2.6010439999999999</v>
      </c>
      <c r="T6953">
        <v>-0.2423583</v>
      </c>
      <c r="U6953">
        <v>-1.550262</v>
      </c>
      <c r="V6953">
        <v>0.30142869999999999</v>
      </c>
      <c r="W6953">
        <v>-8.2676620000000006E-2</v>
      </c>
      <c r="X6953">
        <v>0.94989749999999995</v>
      </c>
      <c r="Y6953">
        <v>0.4444882</v>
      </c>
      <c r="Z6953">
        <v>-2.1421019999999999E-2</v>
      </c>
      <c r="AA6953">
        <v>0.89552860000000001</v>
      </c>
      <c r="AB6953">
        <v>19</v>
      </c>
      <c r="AC6953">
        <v>12.267099999999999</v>
      </c>
      <c r="AD6953">
        <v>-1.1513899999999999</v>
      </c>
      <c r="AE6953">
        <v>-7.3613599999999897</v>
      </c>
      <c r="AF6953">
        <v>6.3824457223320001</v>
      </c>
      <c r="AG6953">
        <v>-1.1513899999999999</v>
      </c>
      <c r="AH6953">
        <v>12.700783125130799</v>
      </c>
      <c r="AI6953">
        <v>94.630984425833205</v>
      </c>
      <c r="AJ6953">
        <v>63.319383451156398</v>
      </c>
      <c r="AK6953">
        <v>14.260827617015099</v>
      </c>
      <c r="AL6953">
        <v>94.742434779350106</v>
      </c>
      <c r="AM6953">
        <v>72.394330047292598</v>
      </c>
      <c r="AN6953">
        <v>0.99999997259228102</v>
      </c>
    </row>
    <row r="6954" spans="1:40" x14ac:dyDescent="0.25">
      <c r="A6954" t="str">
        <f>"20190303154946062"</f>
        <v>20190303154946062</v>
      </c>
      <c r="B6954" t="str">
        <f>"1551599386057913"</f>
        <v>1551599386057913</v>
      </c>
      <c r="C6954" t="s">
        <v>40</v>
      </c>
      <c r="D6954">
        <v>5.5816129999999999</v>
      </c>
      <c r="E6954">
        <v>0.55946839999999998</v>
      </c>
      <c r="F6954" t="s">
        <v>43</v>
      </c>
      <c r="G6954">
        <v>-305.61610000000002</v>
      </c>
      <c r="H6954">
        <v>-0.05</v>
      </c>
      <c r="I6954">
        <v>9.9087519999999998</v>
      </c>
      <c r="J6954">
        <v>-317.9522</v>
      </c>
      <c r="K6954">
        <v>1.100522</v>
      </c>
      <c r="L6954">
        <v>17.359860000000001</v>
      </c>
      <c r="M6954">
        <v>0.99670329999999996</v>
      </c>
      <c r="N6954">
        <v>-2.8225610000000002E-2</v>
      </c>
      <c r="O6954">
        <v>-7.6067190000000007E-2</v>
      </c>
      <c r="P6954">
        <v>0.92192180000000001</v>
      </c>
      <c r="Q6954">
        <v>-0.1062519</v>
      </c>
      <c r="R6954">
        <v>-0.37252010000000002</v>
      </c>
      <c r="S6954">
        <v>2.5975649999999999</v>
      </c>
      <c r="T6954">
        <v>-0.2403988</v>
      </c>
      <c r="U6954">
        <v>-1.5576779999999999</v>
      </c>
      <c r="V6954">
        <v>0.30100510000000003</v>
      </c>
      <c r="W6954">
        <v>-8.0512799999999995E-2</v>
      </c>
      <c r="X6954">
        <v>0.95021770000000005</v>
      </c>
      <c r="Y6954">
        <v>0.44570789999999999</v>
      </c>
      <c r="Z6954">
        <v>-2.134293E-2</v>
      </c>
      <c r="AA6954">
        <v>0.89492399999999905</v>
      </c>
      <c r="AB6954">
        <v>19</v>
      </c>
      <c r="AC6954">
        <v>12.336099999999901</v>
      </c>
      <c r="AD6954">
        <v>-1.150522</v>
      </c>
      <c r="AE6954">
        <v>-7.4511079999999996</v>
      </c>
      <c r="AF6954">
        <v>6.4496514814510597</v>
      </c>
      <c r="AG6954">
        <v>-1.150522</v>
      </c>
      <c r="AH6954">
        <v>12.785854014660799</v>
      </c>
      <c r="AI6954">
        <v>94.593336499688405</v>
      </c>
      <c r="AJ6954">
        <v>63.231955607555797</v>
      </c>
      <c r="AK6954">
        <v>14.3666199221976</v>
      </c>
      <c r="AL6954">
        <v>94.6180419595823</v>
      </c>
      <c r="AM6954">
        <v>72.423106188930007</v>
      </c>
      <c r="AN6954">
        <v>1.0000000292915601</v>
      </c>
    </row>
    <row r="6955" spans="1:40" x14ac:dyDescent="0.25">
      <c r="A6955" t="str">
        <f>"20190303154946074"</f>
        <v>20190303154946074</v>
      </c>
      <c r="B6955" t="str">
        <f>"1551599386067672"</f>
        <v>1551599386067672</v>
      </c>
      <c r="C6955" t="s">
        <v>40</v>
      </c>
      <c r="D6955">
        <v>5.5781769999999904</v>
      </c>
      <c r="E6955">
        <v>0.57646009999999903</v>
      </c>
      <c r="F6955" t="s">
        <v>43</v>
      </c>
      <c r="G6955">
        <v>-305.2047</v>
      </c>
      <c r="H6955">
        <v>-0.05</v>
      </c>
      <c r="I6955">
        <v>9.7019959999999994</v>
      </c>
      <c r="J6955">
        <v>-317.84679999999997</v>
      </c>
      <c r="K6955">
        <v>1.099553</v>
      </c>
      <c r="L6955">
        <v>17.35022</v>
      </c>
      <c r="M6955">
        <v>0.99659759999999997</v>
      </c>
      <c r="N6955">
        <v>-2.819172E-2</v>
      </c>
      <c r="O6955">
        <v>-7.744943E-2</v>
      </c>
      <c r="P6955">
        <v>0.92171780000000003</v>
      </c>
      <c r="Q6955">
        <v>-0.10464759999999999</v>
      </c>
      <c r="R6955">
        <v>-0.37347740000000001</v>
      </c>
      <c r="S6955">
        <v>2.5967099999999999</v>
      </c>
      <c r="T6955">
        <v>-0.23436589999999999</v>
      </c>
      <c r="U6955">
        <v>-1.5599369999999999</v>
      </c>
      <c r="V6955">
        <v>0.30065320000000001</v>
      </c>
      <c r="W6955">
        <v>-7.8982700000000003E-2</v>
      </c>
      <c r="X6955">
        <v>0.95045749999999996</v>
      </c>
      <c r="Y6955">
        <v>0.44524849999999999</v>
      </c>
      <c r="Z6955">
        <v>-2.0916560000000001E-2</v>
      </c>
      <c r="AA6955">
        <v>0.89516280000000004</v>
      </c>
      <c r="AB6955">
        <v>19</v>
      </c>
      <c r="AC6955">
        <v>12.6420999999999</v>
      </c>
      <c r="AD6955">
        <v>-1.149553</v>
      </c>
      <c r="AE6955">
        <v>-7.6482239999999901</v>
      </c>
      <c r="AF6955">
        <v>6.60573550070613</v>
      </c>
      <c r="AG6955">
        <v>-1.149553</v>
      </c>
      <c r="AH6955">
        <v>13.117284068514101</v>
      </c>
      <c r="AI6955">
        <v>94.475516189534702</v>
      </c>
      <c r="AJ6955">
        <v>63.2706233342345</v>
      </c>
      <c r="AK6955">
        <v>14.731610738109801</v>
      </c>
      <c r="AL6955">
        <v>94.530093539818793</v>
      </c>
      <c r="AM6955">
        <v>72.446549618096796</v>
      </c>
      <c r="AN6955">
        <v>1.00000003643788</v>
      </c>
    </row>
    <row r="6956" spans="1:40" x14ac:dyDescent="0.25">
      <c r="A6956" t="str">
        <f>"20190303154946087"</f>
        <v>20190303154946087</v>
      </c>
      <c r="B6956" t="str">
        <f>"1551599386077433"</f>
        <v>1551599386077433</v>
      </c>
      <c r="C6956" t="s">
        <v>40</v>
      </c>
      <c r="D6956">
        <v>5.5829440000000004</v>
      </c>
      <c r="E6956">
        <v>0.5760518</v>
      </c>
      <c r="F6956" t="s">
        <v>43</v>
      </c>
      <c r="G6956">
        <v>-309.66609999999997</v>
      </c>
      <c r="H6956">
        <v>-0.05</v>
      </c>
      <c r="I6956">
        <v>11.908480000000001</v>
      </c>
      <c r="J6956">
        <v>-317.74990000000003</v>
      </c>
      <c r="K6956">
        <v>1.098603</v>
      </c>
      <c r="L6956">
        <v>17.341190000000001</v>
      </c>
      <c r="M6956">
        <v>0.99649920000000003</v>
      </c>
      <c r="N6956">
        <v>-2.8062529999999999E-2</v>
      </c>
      <c r="O6956">
        <v>-7.8752230000000006E-2</v>
      </c>
      <c r="P6956">
        <v>0.92159570000000002</v>
      </c>
      <c r="Q6956">
        <v>-0.10293380000000001</v>
      </c>
      <c r="R6956">
        <v>-0.37425419999999998</v>
      </c>
      <c r="S6956">
        <v>2.531952</v>
      </c>
      <c r="T6956">
        <v>-0.35578949999999998</v>
      </c>
      <c r="U6956">
        <v>-1.6842349999999999</v>
      </c>
      <c r="V6956">
        <v>0.30019109999999899</v>
      </c>
      <c r="W6956">
        <v>-7.7430589999999994E-2</v>
      </c>
      <c r="X6956">
        <v>0.9507312</v>
      </c>
      <c r="Y6956">
        <v>0.48273460000000001</v>
      </c>
      <c r="Z6956">
        <v>-3.0195039999999999E-2</v>
      </c>
      <c r="AA6956">
        <v>0.87524599999999897</v>
      </c>
      <c r="AB6956">
        <v>19</v>
      </c>
      <c r="AC6956">
        <v>8.0838000000000498</v>
      </c>
      <c r="AD6956">
        <v>-1.148603</v>
      </c>
      <c r="AE6956">
        <v>-5.4327100000000002</v>
      </c>
      <c r="AF6956">
        <v>4.71340446816287</v>
      </c>
      <c r="AG6956">
        <v>-1.148603</v>
      </c>
      <c r="AH6956">
        <v>8.3702712928171294</v>
      </c>
      <c r="AI6956">
        <v>96.818477222541006</v>
      </c>
      <c r="AJ6956">
        <v>60.615594356666598</v>
      </c>
      <c r="AK6956">
        <v>9.6745497077365492</v>
      </c>
      <c r="AL6956">
        <v>94.4408911148589</v>
      </c>
      <c r="AM6956">
        <v>72.476612986059607</v>
      </c>
      <c r="AN6956">
        <v>1.0000000037201899</v>
      </c>
    </row>
    <row r="6957" spans="1:40" x14ac:dyDescent="0.25">
      <c r="A6957" t="str">
        <f>"20190303154946097"</f>
        <v>20190303154946097</v>
      </c>
      <c r="B6957" t="str">
        <f>"1551599386088169"</f>
        <v>1551599386088169</v>
      </c>
      <c r="C6957" t="s">
        <v>40</v>
      </c>
      <c r="D6957">
        <v>5.7273509999999996</v>
      </c>
      <c r="E6957">
        <v>0.5768354</v>
      </c>
      <c r="F6957" t="s">
        <v>43</v>
      </c>
      <c r="G6957">
        <v>-309.33539999999999</v>
      </c>
      <c r="H6957">
        <v>-0.05</v>
      </c>
      <c r="I6957">
        <v>11.74762</v>
      </c>
      <c r="J6957">
        <v>-317.65440000000001</v>
      </c>
      <c r="K6957">
        <v>1.097607</v>
      </c>
      <c r="L6957">
        <v>17.332149999999999</v>
      </c>
      <c r="M6957">
        <v>0.99640070000000003</v>
      </c>
      <c r="N6957">
        <v>-2.7842889999999999E-2</v>
      </c>
      <c r="O6957">
        <v>-8.0067040000000006E-2</v>
      </c>
      <c r="P6957">
        <v>0.92154349999999996</v>
      </c>
      <c r="Q6957">
        <v>-0.1013525</v>
      </c>
      <c r="R6957">
        <v>-0.37481429999999999</v>
      </c>
      <c r="S6957">
        <v>2.5328979999999999</v>
      </c>
      <c r="T6957">
        <v>-0.3457462</v>
      </c>
      <c r="U6957">
        <v>-1.683746</v>
      </c>
      <c r="V6957">
        <v>0.29949500000000001</v>
      </c>
      <c r="W6957">
        <v>-7.6096170000000005E-2</v>
      </c>
      <c r="X6957">
        <v>0.95105839999999997</v>
      </c>
      <c r="Y6957">
        <v>0.48152080000000003</v>
      </c>
      <c r="Z6957">
        <v>-2.9312520000000002E-2</v>
      </c>
      <c r="AA6957">
        <v>0.87594439999999996</v>
      </c>
      <c r="AB6957">
        <v>19</v>
      </c>
      <c r="AC6957">
        <v>8.3190000000000097</v>
      </c>
      <c r="AD6957">
        <v>-1.147607</v>
      </c>
      <c r="AE6957">
        <v>-5.5845299999999902</v>
      </c>
      <c r="AF6957">
        <v>4.8367993615477696</v>
      </c>
      <c r="AG6957">
        <v>-1.147607</v>
      </c>
      <c r="AH6957">
        <v>8.6264154720686506</v>
      </c>
      <c r="AI6957">
        <v>96.618917226095505</v>
      </c>
      <c r="AJ6957">
        <v>60.7208112758276</v>
      </c>
      <c r="AK6957">
        <v>9.9562379334296391</v>
      </c>
      <c r="AL6957">
        <v>94.364208308586498</v>
      </c>
      <c r="AM6957">
        <v>72.520417445273594</v>
      </c>
      <c r="AN6957">
        <v>0.99999998116211397</v>
      </c>
    </row>
    <row r="6958" spans="1:40" x14ac:dyDescent="0.25">
      <c r="A6958" t="str">
        <f>"20190303154946113"</f>
        <v>20190303154946113</v>
      </c>
      <c r="B6958" t="str">
        <f>"1551599386107689"</f>
        <v>1551599386107689</v>
      </c>
      <c r="C6958" t="s">
        <v>40</v>
      </c>
      <c r="D6958">
        <v>5.6164969999999999</v>
      </c>
      <c r="E6958">
        <v>0.57649490000000003</v>
      </c>
      <c r="F6958" t="s">
        <v>43</v>
      </c>
      <c r="G6958">
        <v>-308.21879999999999</v>
      </c>
      <c r="H6958">
        <v>-0.05</v>
      </c>
      <c r="I6958">
        <v>11.030469999999999</v>
      </c>
      <c r="J6958">
        <v>-317.51960000000003</v>
      </c>
      <c r="K6958">
        <v>1.0961019999999999</v>
      </c>
      <c r="L6958">
        <v>17.319089999999999</v>
      </c>
      <c r="M6958">
        <v>0.99625870000000005</v>
      </c>
      <c r="N6958">
        <v>-2.7314620000000001E-2</v>
      </c>
      <c r="O6958">
        <v>-8.1993250000000004E-2</v>
      </c>
      <c r="P6958">
        <v>0.92128290000000002</v>
      </c>
      <c r="Q6958">
        <v>-9.9992960000000006E-2</v>
      </c>
      <c r="R6958">
        <v>-0.37581910000000002</v>
      </c>
      <c r="S6958">
        <v>2.5333860000000001</v>
      </c>
      <c r="T6958">
        <v>-0.30812450000000002</v>
      </c>
      <c r="U6958">
        <v>-1.691956</v>
      </c>
      <c r="V6958">
        <v>0.29866999999999999</v>
      </c>
      <c r="W6958">
        <v>-7.529595E-2</v>
      </c>
      <c r="X6958">
        <v>0.95138149999999999</v>
      </c>
      <c r="Y6958">
        <v>0.48237989999999997</v>
      </c>
      <c r="Z6958">
        <v>-2.6860430000000001E-2</v>
      </c>
      <c r="AA6958">
        <v>0.87555019999999995</v>
      </c>
      <c r="AB6958">
        <v>19</v>
      </c>
      <c r="AC6958">
        <v>9.3008000000000308</v>
      </c>
      <c r="AD6958">
        <v>-1.146102</v>
      </c>
      <c r="AE6958">
        <v>-6.2886199999999999</v>
      </c>
      <c r="AF6958">
        <v>5.4477725825360102</v>
      </c>
      <c r="AG6958">
        <v>-1.146102</v>
      </c>
      <c r="AH6958">
        <v>9.6843584022008393</v>
      </c>
      <c r="AI6958">
        <v>95.888990121983596</v>
      </c>
      <c r="AJ6958">
        <v>60.6408038921074</v>
      </c>
      <c r="AK6958">
        <v>11.1704330071718</v>
      </c>
      <c r="AL6958">
        <v>94.318227057193596</v>
      </c>
      <c r="AM6958">
        <v>72.571208415664998</v>
      </c>
      <c r="AN6958">
        <v>1.00000000376432</v>
      </c>
    </row>
    <row r="6959" spans="1:40" x14ac:dyDescent="0.25">
      <c r="A6959" t="str">
        <f>"20190303154946125"</f>
        <v>20190303154946125</v>
      </c>
      <c r="B6959" t="str">
        <f>"1551599386117449"</f>
        <v>1551599386117449</v>
      </c>
      <c r="C6959" t="s">
        <v>40</v>
      </c>
      <c r="D6959">
        <v>5.6979430000000004</v>
      </c>
      <c r="E6959">
        <v>0.57607439999999999</v>
      </c>
      <c r="F6959" t="s">
        <v>43</v>
      </c>
      <c r="G6959">
        <v>-308.43329999999997</v>
      </c>
      <c r="H6959">
        <v>-0.05</v>
      </c>
      <c r="I6959">
        <v>11.246729999999999</v>
      </c>
      <c r="J6959">
        <v>-317.42180000000002</v>
      </c>
      <c r="K6959">
        <v>1.094962</v>
      </c>
      <c r="L6959">
        <v>17.309449999999998</v>
      </c>
      <c r="M6959">
        <v>0.99615399999999998</v>
      </c>
      <c r="N6959">
        <v>-2.6853869999999998E-2</v>
      </c>
      <c r="O6959">
        <v>-8.3403669999999999E-2</v>
      </c>
      <c r="P6959">
        <v>0.92089299999999996</v>
      </c>
      <c r="Q6959">
        <v>-9.9299380000000007E-2</v>
      </c>
      <c r="R6959">
        <v>-0.37695610000000002</v>
      </c>
      <c r="S6959">
        <v>2.531555</v>
      </c>
      <c r="T6959">
        <v>-0.31931809999999899</v>
      </c>
      <c r="U6959">
        <v>-1.6918329999999999</v>
      </c>
      <c r="V6959">
        <v>0.29848150000000001</v>
      </c>
      <c r="W6959">
        <v>-7.5086299999999995E-2</v>
      </c>
      <c r="X6959">
        <v>0.95145729999999995</v>
      </c>
      <c r="Y6959">
        <v>0.4812496</v>
      </c>
      <c r="Z6959">
        <v>-2.7147230000000001E-2</v>
      </c>
      <c r="AA6959">
        <v>0.87616319999999903</v>
      </c>
      <c r="AB6959">
        <v>19</v>
      </c>
      <c r="AC6959">
        <v>8.9885000000000392</v>
      </c>
      <c r="AD6959">
        <v>-1.144962</v>
      </c>
      <c r="AE6959">
        <v>-6.0627199999999899</v>
      </c>
      <c r="AF6959">
        <v>5.2332744359463801</v>
      </c>
      <c r="AG6959">
        <v>-1.144962</v>
      </c>
      <c r="AH6959">
        <v>9.3586262396700004</v>
      </c>
      <c r="AI6959">
        <v>96.095044858914505</v>
      </c>
      <c r="AJ6959">
        <v>60.786402933224998</v>
      </c>
      <c r="AK6959">
        <v>10.783412465319699</v>
      </c>
      <c r="AL6959">
        <v>94.306180584376307</v>
      </c>
      <c r="AM6959">
        <v>72.582846505351796</v>
      </c>
      <c r="AN6959">
        <v>1.0000000760066099</v>
      </c>
    </row>
    <row r="6960" spans="1:40" x14ac:dyDescent="0.25">
      <c r="A6960" t="str">
        <f>"20190303154946135"</f>
        <v>20190303154946135</v>
      </c>
      <c r="B6960" t="str">
        <f>"1551599386128184"</f>
        <v>1551599386128184</v>
      </c>
      <c r="C6960" t="s">
        <v>40</v>
      </c>
      <c r="D6960">
        <v>5.5844469999999999</v>
      </c>
      <c r="E6960">
        <v>0.57673540000000001</v>
      </c>
      <c r="F6960" t="s">
        <v>43</v>
      </c>
      <c r="G6960">
        <v>-307.42630000000003</v>
      </c>
      <c r="H6960">
        <v>-0.05</v>
      </c>
      <c r="I6960">
        <v>10.631729999999999</v>
      </c>
      <c r="J6960">
        <v>-317.3252</v>
      </c>
      <c r="K6960">
        <v>1.093796</v>
      </c>
      <c r="L6960">
        <v>17.299679999999999</v>
      </c>
      <c r="M6960">
        <v>0.99604990000000004</v>
      </c>
      <c r="N6960">
        <v>-2.6333309999999999E-2</v>
      </c>
      <c r="O6960">
        <v>-8.4802420000000003E-2</v>
      </c>
      <c r="P6960">
        <v>0.92061559999999998</v>
      </c>
      <c r="Q6960">
        <v>-9.8175540000000006E-2</v>
      </c>
      <c r="R6960">
        <v>-0.37792690000000001</v>
      </c>
      <c r="S6960">
        <v>2.533569</v>
      </c>
      <c r="T6960">
        <v>-0.29021259999999999</v>
      </c>
      <c r="U6960">
        <v>-1.692596</v>
      </c>
      <c r="V6960">
        <v>0.2981316</v>
      </c>
      <c r="W6960">
        <v>-7.4497540000000001E-2</v>
      </c>
      <c r="X6960">
        <v>0.95161320000000005</v>
      </c>
      <c r="Y6960">
        <v>0.48037000000000002</v>
      </c>
      <c r="Z6960">
        <v>-2.515409E-2</v>
      </c>
      <c r="AA6960">
        <v>0.87670519999999996</v>
      </c>
      <c r="AB6960">
        <v>19</v>
      </c>
      <c r="AC6960">
        <v>9.8988999999999692</v>
      </c>
      <c r="AD6960">
        <v>-1.14379599999999</v>
      </c>
      <c r="AE6960">
        <v>-6.6679499999999896</v>
      </c>
      <c r="AF6960">
        <v>5.7513513385955104</v>
      </c>
      <c r="AG6960">
        <v>-1.14379599999999</v>
      </c>
      <c r="AH6960">
        <v>10.333963758175299</v>
      </c>
      <c r="AI6960">
        <v>95.5241072027586</v>
      </c>
      <c r="AJ6960">
        <v>60.901943435115697</v>
      </c>
      <c r="AK6960">
        <v>11.881797779160401</v>
      </c>
      <c r="AL6960">
        <v>94.272352665357204</v>
      </c>
      <c r="AM6960">
        <v>72.604709583297904</v>
      </c>
      <c r="AN6960">
        <v>1.00000000839942</v>
      </c>
    </row>
    <row r="6961" spans="1:40" x14ac:dyDescent="0.25">
      <c r="A6961" t="str">
        <f>"20190303154946147"</f>
        <v>20190303154946147</v>
      </c>
      <c r="B6961" t="str">
        <f>"1551599386137945"</f>
        <v>1551599386137945</v>
      </c>
      <c r="C6961" t="s">
        <v>40</v>
      </c>
      <c r="D6961">
        <v>5.6107209999999998</v>
      </c>
      <c r="E6961">
        <v>0.57695669999999899</v>
      </c>
      <c r="F6961" t="s">
        <v>43</v>
      </c>
      <c r="G6961">
        <v>-307.3338</v>
      </c>
      <c r="H6961">
        <v>-0.05</v>
      </c>
      <c r="I6961">
        <v>10.585660000000001</v>
      </c>
      <c r="J6961">
        <v>-317.23649999999998</v>
      </c>
      <c r="K6961">
        <v>1.092719</v>
      </c>
      <c r="L6961">
        <v>17.290559999999999</v>
      </c>
      <c r="M6961">
        <v>0.99595069999999997</v>
      </c>
      <c r="N6961">
        <v>-2.5834090000000001E-2</v>
      </c>
      <c r="O6961">
        <v>-8.611038E-2</v>
      </c>
      <c r="P6961">
        <v>0.9201281</v>
      </c>
      <c r="Q6961">
        <v>-9.7314419999999999E-2</v>
      </c>
      <c r="R6961">
        <v>-0.37933460000000002</v>
      </c>
      <c r="S6961">
        <v>2.5299070000000001</v>
      </c>
      <c r="T6961">
        <v>-0.28961870000000001</v>
      </c>
      <c r="U6961">
        <v>-1.700043</v>
      </c>
      <c r="V6961">
        <v>0.29832360000000002</v>
      </c>
      <c r="W6961">
        <v>-7.4145030000000001E-2</v>
      </c>
      <c r="X6961">
        <v>0.9515806</v>
      </c>
      <c r="Y6961">
        <v>0.48160629999999999</v>
      </c>
      <c r="Z6961">
        <v>-2.494155E-2</v>
      </c>
      <c r="AA6961">
        <v>0.876032699999999</v>
      </c>
      <c r="AB6961">
        <v>19</v>
      </c>
      <c r="AC6961">
        <v>9.9026999999999799</v>
      </c>
      <c r="AD6961">
        <v>-1.142719</v>
      </c>
      <c r="AE6961">
        <v>-6.7048999999999896</v>
      </c>
      <c r="AF6961">
        <v>5.7742482294874797</v>
      </c>
      <c r="AG6961">
        <v>-1.142719</v>
      </c>
      <c r="AH6961">
        <v>10.348958012593901</v>
      </c>
      <c r="AI6961">
        <v>95.507717125827696</v>
      </c>
      <c r="AJ6961">
        <v>60.840468530404799</v>
      </c>
      <c r="AK6961">
        <v>11.905825518423001</v>
      </c>
      <c r="AL6961">
        <v>94.252099151867</v>
      </c>
      <c r="AM6961">
        <v>72.593622985467803</v>
      </c>
      <c r="AN6961">
        <v>1.0000000470435</v>
      </c>
    </row>
    <row r="6962" spans="1:40" x14ac:dyDescent="0.25">
      <c r="A6962" t="str">
        <f>"20190303154946161"</f>
        <v>20190303154946161</v>
      </c>
      <c r="B6962" t="str">
        <f>"1551599386157466"</f>
        <v>1551599386157466</v>
      </c>
      <c r="C6962" t="s">
        <v>40</v>
      </c>
      <c r="D6962">
        <v>5.496613</v>
      </c>
      <c r="E6962">
        <v>0.57714119999999902</v>
      </c>
      <c r="F6962" t="s">
        <v>43</v>
      </c>
      <c r="G6962">
        <v>-307.27679999999998</v>
      </c>
      <c r="H6962">
        <v>-0.05</v>
      </c>
      <c r="I6962">
        <v>10.56837</v>
      </c>
      <c r="J6962">
        <v>-317.12709999999998</v>
      </c>
      <c r="K6962">
        <v>1.091383</v>
      </c>
      <c r="L6962">
        <v>17.279170000000001</v>
      </c>
      <c r="M6962">
        <v>0.9958243</v>
      </c>
      <c r="N6962">
        <v>-2.520099E-2</v>
      </c>
      <c r="O6962">
        <v>-8.7743829999999995E-2</v>
      </c>
      <c r="P6962">
        <v>0.91949749999999997</v>
      </c>
      <c r="Q6962">
        <v>-9.5867190000000005E-2</v>
      </c>
      <c r="R6962">
        <v>-0.38122699999999998</v>
      </c>
      <c r="S6962">
        <v>2.526672</v>
      </c>
      <c r="T6962">
        <v>-0.2898964</v>
      </c>
      <c r="U6962">
        <v>-1.7053529999999999</v>
      </c>
      <c r="V6962">
        <v>0.29870360000000001</v>
      </c>
      <c r="W6962">
        <v>-7.3334759999999999E-2</v>
      </c>
      <c r="X6962">
        <v>0.95152409999999998</v>
      </c>
      <c r="Y6962">
        <v>0.48197400000000001</v>
      </c>
      <c r="Z6962">
        <v>-2.4646589999999999E-2</v>
      </c>
      <c r="AA6962">
        <v>0.87583880000000003</v>
      </c>
      <c r="AB6962">
        <v>19</v>
      </c>
      <c r="AC6962">
        <v>9.8503000000000007</v>
      </c>
      <c r="AD6962">
        <v>-1.141383</v>
      </c>
      <c r="AE6962">
        <v>-6.7107999999999999</v>
      </c>
      <c r="AF6962">
        <v>5.76743406407292</v>
      </c>
      <c r="AG6962">
        <v>-1.141383</v>
      </c>
      <c r="AH6962">
        <v>10.3067864661627</v>
      </c>
      <c r="AI6962">
        <v>95.519898020934207</v>
      </c>
      <c r="AJ6962">
        <v>60.769655021441999</v>
      </c>
      <c r="AK6962">
        <v>11.8657447341156</v>
      </c>
      <c r="AL6962">
        <v>94.205547688046593</v>
      </c>
      <c r="AM6962">
        <v>72.571820502677099</v>
      </c>
      <c r="AN6962">
        <v>0.999999970279013</v>
      </c>
    </row>
    <row r="6963" spans="1:40" x14ac:dyDescent="0.25">
      <c r="A6963" t="str">
        <f>"20190303154946175"</f>
        <v>20190303154946175</v>
      </c>
      <c r="B6963" t="str">
        <f>"1551599386168201"</f>
        <v>1551599386168201</v>
      </c>
      <c r="C6963" t="s">
        <v>40</v>
      </c>
      <c r="D6963">
        <v>5.8032680000000001</v>
      </c>
      <c r="E6963">
        <v>0.57705949999999995</v>
      </c>
      <c r="F6963" t="s">
        <v>43</v>
      </c>
      <c r="G6963">
        <v>-306.62639999999999</v>
      </c>
      <c r="H6963">
        <v>-0.05</v>
      </c>
      <c r="I6963">
        <v>10.15466</v>
      </c>
      <c r="J6963">
        <v>-317.00209999999998</v>
      </c>
      <c r="K6963">
        <v>1.0898760000000001</v>
      </c>
      <c r="L6963">
        <v>17.265779999999999</v>
      </c>
      <c r="M6963">
        <v>0.99566659999999996</v>
      </c>
      <c r="N6963">
        <v>-2.442921E-2</v>
      </c>
      <c r="O6963">
        <v>-8.9731089999999999E-2</v>
      </c>
      <c r="P6963">
        <v>0.91879869999999997</v>
      </c>
      <c r="Q6963">
        <v>-9.3790739999999997E-2</v>
      </c>
      <c r="R6963">
        <v>-0.38342199999999999</v>
      </c>
      <c r="S6963">
        <v>2.523987</v>
      </c>
      <c r="T6963">
        <v>-0.27434579999999997</v>
      </c>
      <c r="U6963">
        <v>-1.7124630000000001</v>
      </c>
      <c r="V6963">
        <v>0.29906290000000002</v>
      </c>
      <c r="W6963">
        <v>-7.2003639999999994E-2</v>
      </c>
      <c r="X6963">
        <v>0.95151289999999999</v>
      </c>
      <c r="Y6963">
        <v>0.48260399999999998</v>
      </c>
      <c r="Z6963">
        <v>-2.3424790000000001E-2</v>
      </c>
      <c r="AA6963">
        <v>0.87552540000000001</v>
      </c>
      <c r="AB6963">
        <v>19</v>
      </c>
      <c r="AC6963">
        <v>10.375699999999901</v>
      </c>
      <c r="AD6963">
        <v>-1.1398759999999999</v>
      </c>
      <c r="AE6963">
        <v>-7.1111199999999997</v>
      </c>
      <c r="AF6963">
        <v>6.1010150995699499</v>
      </c>
      <c r="AG6963">
        <v>-1.1398759999999999</v>
      </c>
      <c r="AH6963">
        <v>10.882730405932399</v>
      </c>
      <c r="AI6963">
        <v>95.220270013041102</v>
      </c>
      <c r="AJ6963">
        <v>60.724383280434502</v>
      </c>
      <c r="AK6963">
        <v>12.5281891600008</v>
      </c>
      <c r="AL6963">
        <v>94.129077942205797</v>
      </c>
      <c r="AM6963">
        <v>72.5519353700479</v>
      </c>
      <c r="AN6963">
        <v>0.99999997059803403</v>
      </c>
    </row>
    <row r="6964" spans="1:40" x14ac:dyDescent="0.25">
      <c r="A6964" t="str">
        <f>"20190303154946189"</f>
        <v>20190303154946189</v>
      </c>
      <c r="B6964" t="str">
        <f>"1551599386177961"</f>
        <v>1551599386177961</v>
      </c>
      <c r="C6964" t="s">
        <v>40</v>
      </c>
      <c r="D6964">
        <v>5.9372400000000001</v>
      </c>
      <c r="E6964">
        <v>0.57786800000000005</v>
      </c>
      <c r="F6964" t="s">
        <v>43</v>
      </c>
      <c r="G6964">
        <v>-306.74</v>
      </c>
      <c r="H6964">
        <v>-0.05</v>
      </c>
      <c r="I6964">
        <v>10.270810000000001</v>
      </c>
      <c r="J6964">
        <v>-316.88409999999999</v>
      </c>
      <c r="K6964">
        <v>1.088471</v>
      </c>
      <c r="L6964">
        <v>17.252929999999999</v>
      </c>
      <c r="M6964">
        <v>0.99550640000000001</v>
      </c>
      <c r="N6964">
        <v>-2.3656940000000001E-2</v>
      </c>
      <c r="O6964">
        <v>-9.1692570000000001E-2</v>
      </c>
      <c r="P6964">
        <v>0.91802419999999996</v>
      </c>
      <c r="Q6964">
        <v>-9.1162419999999994E-2</v>
      </c>
      <c r="R6964">
        <v>-0.38590360000000001</v>
      </c>
      <c r="S6964">
        <v>2.5198360000000002</v>
      </c>
      <c r="T6964">
        <v>-0.27989330000000001</v>
      </c>
      <c r="U6964">
        <v>-1.71759</v>
      </c>
      <c r="V6964">
        <v>0.2997437</v>
      </c>
      <c r="W6964">
        <v>-7.0115109999999994E-2</v>
      </c>
      <c r="X6964">
        <v>0.9514397</v>
      </c>
      <c r="Y6964">
        <v>0.48271649999999999</v>
      </c>
      <c r="Z6964">
        <v>-2.3330489999999999E-2</v>
      </c>
      <c r="AA6964">
        <v>0.87546590000000002</v>
      </c>
      <c r="AB6964">
        <v>19</v>
      </c>
      <c r="AC6964">
        <v>10.1440999999999</v>
      </c>
      <c r="AD6964">
        <v>-1.138471</v>
      </c>
      <c r="AE6964">
        <v>-6.9821199999999903</v>
      </c>
      <c r="AF6964">
        <v>5.9712574814626604</v>
      </c>
      <c r="AG6964">
        <v>-1.138471</v>
      </c>
      <c r="AH6964">
        <v>10.6507029648564</v>
      </c>
      <c r="AI6964">
        <v>95.3267417235636</v>
      </c>
      <c r="AJ6964">
        <v>60.723072270755402</v>
      </c>
      <c r="AK6964">
        <v>12.263339911026099</v>
      </c>
      <c r="AL6964">
        <v>94.020598947148201</v>
      </c>
      <c r="AM6964">
        <v>72.513370682739406</v>
      </c>
      <c r="AN6964">
        <v>0.99999995853804502</v>
      </c>
    </row>
    <row r="6965" spans="1:40" x14ac:dyDescent="0.25">
      <c r="A6965" t="str">
        <f>"20190303154946204"</f>
        <v>20190303154946204</v>
      </c>
      <c r="B6965" t="str">
        <f>"1551599386197481"</f>
        <v>1551599386197481</v>
      </c>
      <c r="C6965" t="s">
        <v>40</v>
      </c>
      <c r="D6965">
        <v>5.6669159999999996</v>
      </c>
      <c r="E6965">
        <v>0.62229690000000004</v>
      </c>
      <c r="F6965" t="s">
        <v>43</v>
      </c>
      <c r="G6965">
        <v>-306.94880000000001</v>
      </c>
      <c r="H6965">
        <v>-0.05</v>
      </c>
      <c r="I6965">
        <v>10.41156</v>
      </c>
      <c r="J6965">
        <v>-316.75360000000001</v>
      </c>
      <c r="K6965">
        <v>1.086943</v>
      </c>
      <c r="L6965">
        <v>17.238429999999902</v>
      </c>
      <c r="M6965">
        <v>0.99531729999999996</v>
      </c>
      <c r="N6965">
        <v>-2.2755339999999999E-2</v>
      </c>
      <c r="O6965">
        <v>-9.3945819999999999E-2</v>
      </c>
      <c r="P6965">
        <v>0.91676199999999997</v>
      </c>
      <c r="Q6965">
        <v>-8.6561269999999996E-2</v>
      </c>
      <c r="R6965">
        <v>-0.38994190000000001</v>
      </c>
      <c r="S6965">
        <v>2.5121150000000001</v>
      </c>
      <c r="T6965">
        <v>-0.28786050000000002</v>
      </c>
      <c r="U6965">
        <v>-1.7298279999999999</v>
      </c>
      <c r="V6965">
        <v>0.3017532</v>
      </c>
      <c r="W6965">
        <v>-6.6384449999999998E-2</v>
      </c>
      <c r="X6965">
        <v>0.95107209999999998</v>
      </c>
      <c r="Y6965">
        <v>0.48479319999999998</v>
      </c>
      <c r="Z6965">
        <v>-2.3421600000000001E-2</v>
      </c>
      <c r="AA6965">
        <v>0.87431510000000001</v>
      </c>
      <c r="AB6965">
        <v>19</v>
      </c>
      <c r="AC6965">
        <v>9.8048000000000002</v>
      </c>
      <c r="AD6965">
        <v>-1.136943</v>
      </c>
      <c r="AE6965">
        <v>-6.8268699999999898</v>
      </c>
      <c r="AF6965">
        <v>5.8225741639777402</v>
      </c>
      <c r="AG6965">
        <v>-1.136943</v>
      </c>
      <c r="AH6965">
        <v>10.3095735638748</v>
      </c>
      <c r="AI6965">
        <v>95.484964048310701</v>
      </c>
      <c r="AJ6965">
        <v>60.5433889677454</v>
      </c>
      <c r="AK6965">
        <v>11.894633930862099</v>
      </c>
      <c r="AL6965">
        <v>93.806347951156994</v>
      </c>
      <c r="AM6965">
        <v>72.396969975800204</v>
      </c>
      <c r="AN6965">
        <v>1.0000000141552201</v>
      </c>
    </row>
    <row r="6966" spans="1:40" x14ac:dyDescent="0.25">
      <c r="A6966" t="str">
        <f>"20190303154946217"</f>
        <v>20190303154946217</v>
      </c>
      <c r="B6966" t="str">
        <f>"1551599386208217"</f>
        <v>1551599386208217</v>
      </c>
      <c r="C6966" t="s">
        <v>40</v>
      </c>
      <c r="D6966">
        <v>5.6875220000000004</v>
      </c>
      <c r="E6966">
        <v>0.62837860000000001</v>
      </c>
      <c r="F6966" t="s">
        <v>43</v>
      </c>
      <c r="G6966">
        <v>-308.5779</v>
      </c>
      <c r="H6966">
        <v>-0.05</v>
      </c>
      <c r="I6966">
        <v>10.089650000000001</v>
      </c>
      <c r="J6966">
        <v>-316.63400000000001</v>
      </c>
      <c r="K6966">
        <v>1.085564</v>
      </c>
      <c r="L6966">
        <v>17.224879999999999</v>
      </c>
      <c r="M6966">
        <v>0.99513320000000005</v>
      </c>
      <c r="N6966">
        <v>-2.1881520000000002E-2</v>
      </c>
      <c r="O6966">
        <v>-9.6079109999999995E-2</v>
      </c>
      <c r="P6966">
        <v>0.9157324</v>
      </c>
      <c r="Q6966">
        <v>-8.4218680000000004E-2</v>
      </c>
      <c r="R6966">
        <v>-0.39286379999999999</v>
      </c>
      <c r="S6966">
        <v>2.3626399999999999</v>
      </c>
      <c r="T6966">
        <v>-0.32855869999999998</v>
      </c>
      <c r="U6966">
        <v>-2.065887</v>
      </c>
      <c r="V6966">
        <v>0.30273349999999999</v>
      </c>
      <c r="W6966">
        <v>-6.4880939999999998E-2</v>
      </c>
      <c r="X6966">
        <v>0.9508643</v>
      </c>
      <c r="Y6966">
        <v>0.57934039999999998</v>
      </c>
      <c r="Z6966">
        <v>-3.2247890000000001E-2</v>
      </c>
      <c r="AA6966">
        <v>0.81444749999999999</v>
      </c>
      <c r="AB6966">
        <v>19</v>
      </c>
      <c r="AC6966">
        <v>8.0561000000000096</v>
      </c>
      <c r="AD6966">
        <v>-1.135564</v>
      </c>
      <c r="AE6966">
        <v>-7.1352299999999902</v>
      </c>
      <c r="AF6966">
        <v>6.2583133232347601</v>
      </c>
      <c r="AG6966">
        <v>-1.135564</v>
      </c>
      <c r="AH6966">
        <v>8.6086700847796696</v>
      </c>
      <c r="AI6966">
        <v>96.090122093573896</v>
      </c>
      <c r="AJ6966">
        <v>53.983674837153004</v>
      </c>
      <c r="AK6966">
        <v>10.703513062469399</v>
      </c>
      <c r="AL6966">
        <v>93.720017029657598</v>
      </c>
      <c r="AM6966">
        <v>72.339711677136904</v>
      </c>
      <c r="AN6966">
        <v>1.00000001270601</v>
      </c>
    </row>
    <row r="6967" spans="1:40" x14ac:dyDescent="0.25">
      <c r="A6967" t="str">
        <f>"20190303154946249"</f>
        <v>20190303154946249</v>
      </c>
      <c r="B6967" t="str">
        <f>"1551599386237498"</f>
        <v>1551599386237498</v>
      </c>
      <c r="C6967" t="s">
        <v>40</v>
      </c>
      <c r="D6967">
        <v>5.7096749999999998</v>
      </c>
      <c r="E6967">
        <v>0.63113219999999903</v>
      </c>
      <c r="F6967" t="s">
        <v>43</v>
      </c>
      <c r="G6967">
        <v>-307.78050000000002</v>
      </c>
      <c r="H6967">
        <v>-0.05</v>
      </c>
      <c r="I6967">
        <v>9.2084960000000002</v>
      </c>
      <c r="J6967">
        <v>-316.37360000000001</v>
      </c>
      <c r="K6967">
        <v>1.0827119999999999</v>
      </c>
      <c r="L6967">
        <v>17.194310000000002</v>
      </c>
      <c r="M6967">
        <v>0.99471160000000003</v>
      </c>
      <c r="N6967">
        <v>-1.9976089999999998E-2</v>
      </c>
      <c r="O6967">
        <v>-0.10074660000000001</v>
      </c>
      <c r="P6967">
        <v>0.91214629999999997</v>
      </c>
      <c r="Q6967">
        <v>-8.136591E-2</v>
      </c>
      <c r="R6967">
        <v>-0.40170810000000001</v>
      </c>
      <c r="S6967">
        <v>2.339661</v>
      </c>
      <c r="T6967">
        <v>-0.30008790000000002</v>
      </c>
      <c r="U6967">
        <v>-2.118439</v>
      </c>
      <c r="V6967">
        <v>0.3074403</v>
      </c>
      <c r="W6967">
        <v>-6.3916909999999993E-2</v>
      </c>
      <c r="X6967">
        <v>0.94941830000000005</v>
      </c>
      <c r="Y6967">
        <v>0.59013130000000003</v>
      </c>
      <c r="Z6967">
        <v>-2.980648E-2</v>
      </c>
      <c r="AA6967">
        <v>0.8067569</v>
      </c>
      <c r="AB6967">
        <v>19</v>
      </c>
      <c r="AC6967">
        <v>8.5930999999999909</v>
      </c>
      <c r="AD6967">
        <v>-1.1327119999999999</v>
      </c>
      <c r="AE6967">
        <v>-7.9858140000000004</v>
      </c>
      <c r="AF6967">
        <v>7.0138753152342401</v>
      </c>
      <c r="AG6967">
        <v>-1.1327119999999999</v>
      </c>
      <c r="AH6967">
        <v>9.2676598337158698</v>
      </c>
      <c r="AI6967">
        <v>95.5663546536735</v>
      </c>
      <c r="AJ6967">
        <v>52.881130128842003</v>
      </c>
      <c r="AK6967">
        <v>11.6776282782963</v>
      </c>
      <c r="AL6967">
        <v>93.664667298715798</v>
      </c>
      <c r="AM6967">
        <v>72.057027873279594</v>
      </c>
      <c r="AN6967">
        <v>1.00000000891146</v>
      </c>
    </row>
    <row r="6968" spans="1:40" x14ac:dyDescent="0.25">
      <c r="A6968" t="str">
        <f>"20190303154946261"</f>
        <v>20190303154946261</v>
      </c>
      <c r="B6968" t="str">
        <f>"1551599386257993"</f>
        <v>1551599386257993</v>
      </c>
      <c r="C6968" t="s">
        <v>40</v>
      </c>
      <c r="D6968">
        <v>5.8217249999999998</v>
      </c>
      <c r="E6968">
        <v>0.63317500000000004</v>
      </c>
      <c r="F6968" t="s">
        <v>43</v>
      </c>
      <c r="G6968">
        <v>-307.41849999999999</v>
      </c>
      <c r="H6968">
        <v>-0.05</v>
      </c>
      <c r="I6968">
        <v>8.8197939999999999</v>
      </c>
      <c r="J6968">
        <v>-316.2672</v>
      </c>
      <c r="K6968">
        <v>1.081604</v>
      </c>
      <c r="L6968">
        <v>17.181519999999999</v>
      </c>
      <c r="M6968">
        <v>0.99453250000000004</v>
      </c>
      <c r="N6968">
        <v>-1.9222360000000001E-2</v>
      </c>
      <c r="O6968">
        <v>-0.1026436</v>
      </c>
      <c r="P6968">
        <v>0.91084100000000001</v>
      </c>
      <c r="Q6968">
        <v>-8.1052330000000006E-2</v>
      </c>
      <c r="R6968">
        <v>-0.404721</v>
      </c>
      <c r="S6968">
        <v>2.311096</v>
      </c>
      <c r="T6968">
        <v>-0.292325</v>
      </c>
      <c r="U6968">
        <v>-2.1612550000000001</v>
      </c>
      <c r="V6968">
        <v>0.30875859999999999</v>
      </c>
      <c r="W6968">
        <v>-6.4351630000000007E-2</v>
      </c>
      <c r="X6968">
        <v>0.94896100000000005</v>
      </c>
      <c r="Y6968">
        <v>0.60160909999999901</v>
      </c>
      <c r="Z6968">
        <v>-2.961774E-2</v>
      </c>
      <c r="AA6968">
        <v>0.79824130000000004</v>
      </c>
      <c r="AB6968">
        <v>19</v>
      </c>
      <c r="AC6968">
        <v>8.8486999999999991</v>
      </c>
      <c r="AD6968">
        <v>-1.1316040000000001</v>
      </c>
      <c r="AE6968">
        <v>-8.3617260000000009</v>
      </c>
      <c r="AF6968">
        <v>7.3456517325592197</v>
      </c>
      <c r="AG6968">
        <v>-1.1316040000000001</v>
      </c>
      <c r="AH6968">
        <v>9.5776359230326804</v>
      </c>
      <c r="AI6968">
        <v>95.355932436832305</v>
      </c>
      <c r="AJ6968">
        <v>52.513281732428098</v>
      </c>
      <c r="AK6968">
        <v>12.1231281797658</v>
      </c>
      <c r="AL6968">
        <v>93.689626364461503</v>
      </c>
      <c r="AM6968">
        <v>71.976930595867401</v>
      </c>
      <c r="AN6968">
        <v>0.99999999243930804</v>
      </c>
    </row>
    <row r="6969" spans="1:40" x14ac:dyDescent="0.25">
      <c r="A6969" t="str">
        <f>"20190303154946275"</f>
        <v>20190303154946275</v>
      </c>
      <c r="B6969" t="str">
        <f>"1551599386267753"</f>
        <v>1551599386267753</v>
      </c>
      <c r="C6969" t="s">
        <v>40</v>
      </c>
      <c r="D6969">
        <v>5.9988679999999999</v>
      </c>
      <c r="E6969">
        <v>0.63427849999999997</v>
      </c>
      <c r="F6969" t="s">
        <v>43</v>
      </c>
      <c r="G6969">
        <v>-307.67450000000002</v>
      </c>
      <c r="H6969">
        <v>-0.05</v>
      </c>
      <c r="I6969">
        <v>9.0123599999999993</v>
      </c>
      <c r="J6969">
        <v>-316.14019999999999</v>
      </c>
      <c r="K6969">
        <v>1.0803969999999901</v>
      </c>
      <c r="L6969">
        <v>17.165769999999998</v>
      </c>
      <c r="M6969">
        <v>0.99431320000000001</v>
      </c>
      <c r="N6969">
        <v>-1.8387299999999999E-2</v>
      </c>
      <c r="O6969">
        <v>-0.104896</v>
      </c>
      <c r="P6969">
        <v>0.90919240000000001</v>
      </c>
      <c r="Q6969">
        <v>-8.0718940000000003E-2</v>
      </c>
      <c r="R6969">
        <v>-0.40847820000000001</v>
      </c>
      <c r="S6969">
        <v>2.2966000000000002</v>
      </c>
      <c r="T6969">
        <v>-0.30244890000000002</v>
      </c>
      <c r="U6969">
        <v>-2.183411</v>
      </c>
      <c r="V6969">
        <v>0.31051489999999998</v>
      </c>
      <c r="W6969">
        <v>-6.485283E-2</v>
      </c>
      <c r="X6969">
        <v>0.94835360000000002</v>
      </c>
      <c r="Y6969">
        <v>0.60620540000000001</v>
      </c>
      <c r="Z6969">
        <v>-3.0136260000000002E-2</v>
      </c>
      <c r="AA6969">
        <v>0.79473700000000003</v>
      </c>
      <c r="AB6969">
        <v>19</v>
      </c>
      <c r="AC6969">
        <v>8.4656999999999698</v>
      </c>
      <c r="AD6969">
        <v>-1.1303970000000001</v>
      </c>
      <c r="AE6969">
        <v>-8.1534099999999992</v>
      </c>
      <c r="AF6969">
        <v>7.1540734224187199</v>
      </c>
      <c r="AG6969">
        <v>-1.1303970000000001</v>
      </c>
      <c r="AH6969">
        <v>9.1893870796943204</v>
      </c>
      <c r="AI6969">
        <v>95.544015347607996</v>
      </c>
      <c r="AJ6969">
        <v>52.0987159275534</v>
      </c>
      <c r="AK6969">
        <v>11.7005725847678</v>
      </c>
      <c r="AL6969">
        <v>93.718403198998502</v>
      </c>
      <c r="AM6969">
        <v>71.870247442720995</v>
      </c>
      <c r="AN6969">
        <v>0.99999997165698895</v>
      </c>
    </row>
    <row r="6970" spans="1:40" x14ac:dyDescent="0.25">
      <c r="A6970" t="str">
        <f>"20190303154946290"</f>
        <v>20190303154946290</v>
      </c>
      <c r="B6970" t="str">
        <f>"1551599386277513"</f>
        <v>1551599386277513</v>
      </c>
      <c r="C6970" t="s">
        <v>40</v>
      </c>
      <c r="D6970">
        <v>5.744872</v>
      </c>
      <c r="E6970">
        <v>0.63535059999999999</v>
      </c>
      <c r="F6970" t="s">
        <v>43</v>
      </c>
      <c r="G6970">
        <v>-307.36309999999997</v>
      </c>
      <c r="H6970">
        <v>-0.05</v>
      </c>
      <c r="I6970">
        <v>8.7083130000000004</v>
      </c>
      <c r="J6970">
        <v>-316.0247</v>
      </c>
      <c r="K6970">
        <v>1.0793680000000001</v>
      </c>
      <c r="L6970">
        <v>17.151150000000001</v>
      </c>
      <c r="M6970">
        <v>0.99410639999999995</v>
      </c>
      <c r="N6970">
        <v>-1.7664619999999999E-2</v>
      </c>
      <c r="O6970">
        <v>-0.10696079999999999</v>
      </c>
      <c r="P6970">
        <v>0.90773190000000004</v>
      </c>
      <c r="Q6970">
        <v>-7.9957639999999996E-2</v>
      </c>
      <c r="R6970">
        <v>-0.41186149999999999</v>
      </c>
      <c r="S6970">
        <v>2.2845149999999999</v>
      </c>
      <c r="T6970">
        <v>-0.29422189999999998</v>
      </c>
      <c r="U6970">
        <v>-2.2013240000000001</v>
      </c>
      <c r="V6970">
        <v>0.3120658</v>
      </c>
      <c r="W6970">
        <v>-6.4811010000000002E-2</v>
      </c>
      <c r="X6970">
        <v>0.94784729999999995</v>
      </c>
      <c r="Y6970">
        <v>0.61004130000000001</v>
      </c>
      <c r="Z6970">
        <v>-2.9326669999999999E-2</v>
      </c>
      <c r="AA6970">
        <v>0.79182669999999999</v>
      </c>
      <c r="AB6970">
        <v>19</v>
      </c>
      <c r="AC6970">
        <v>8.6616000000000195</v>
      </c>
      <c r="AD6970">
        <v>-1.1293679999999999</v>
      </c>
      <c r="AE6970">
        <v>-8.4428369999999902</v>
      </c>
      <c r="AF6970">
        <v>7.4032502821839703</v>
      </c>
      <c r="AG6970">
        <v>-1.1293679999999999</v>
      </c>
      <c r="AH6970">
        <v>9.4328536004345107</v>
      </c>
      <c r="AI6970">
        <v>95.380458676533607</v>
      </c>
      <c r="AJ6970">
        <v>51.873873608703903</v>
      </c>
      <c r="AK6970">
        <v>12.0441817433693</v>
      </c>
      <c r="AL6970">
        <v>93.716001867896395</v>
      </c>
      <c r="AM6970">
        <v>71.776575274089794</v>
      </c>
      <c r="AN6970">
        <v>1.00000001733207</v>
      </c>
    </row>
    <row r="6971" spans="1:40" x14ac:dyDescent="0.25">
      <c r="A6971" t="str">
        <f>"20190303154946304"</f>
        <v>20190303154946304</v>
      </c>
      <c r="B6971" t="str">
        <f>"1551599386298010"</f>
        <v>1551599386298010</v>
      </c>
      <c r="C6971" t="s">
        <v>40</v>
      </c>
      <c r="D6971">
        <v>5.7271559999999999</v>
      </c>
      <c r="E6971">
        <v>0.63609559999999998</v>
      </c>
      <c r="F6971" t="s">
        <v>43</v>
      </c>
      <c r="G6971">
        <v>-307.08109999999999</v>
      </c>
      <c r="H6971">
        <v>-0.05</v>
      </c>
      <c r="I6971">
        <v>8.4259799999999991</v>
      </c>
      <c r="J6971">
        <v>-315.89449999999999</v>
      </c>
      <c r="K6971">
        <v>1.0782769999999999</v>
      </c>
      <c r="L6971">
        <v>17.134399999999999</v>
      </c>
      <c r="M6971">
        <v>0.99386390000000002</v>
      </c>
      <c r="N6971">
        <v>-1.6886129999999999E-2</v>
      </c>
      <c r="O6971">
        <v>-0.1093151</v>
      </c>
      <c r="P6971">
        <v>0.90550120000000001</v>
      </c>
      <c r="Q6971">
        <v>-7.9019800000000001E-2</v>
      </c>
      <c r="R6971">
        <v>-0.41692200000000001</v>
      </c>
      <c r="S6971">
        <v>2.2733759999999998</v>
      </c>
      <c r="T6971">
        <v>-0.28707189999999999</v>
      </c>
      <c r="U6971">
        <v>-2.2178339999999999</v>
      </c>
      <c r="V6971">
        <v>0.31509530000000002</v>
      </c>
      <c r="W6971">
        <v>-6.466015E-2</v>
      </c>
      <c r="X6971">
        <v>0.9468548</v>
      </c>
      <c r="Y6971">
        <v>0.61319369999999995</v>
      </c>
      <c r="Z6971">
        <v>-2.8490310000000001E-2</v>
      </c>
      <c r="AA6971">
        <v>0.78941870000000003</v>
      </c>
      <c r="AB6971">
        <v>19</v>
      </c>
      <c r="AC6971">
        <v>8.8133999999999997</v>
      </c>
      <c r="AD6971">
        <v>-1.128277</v>
      </c>
      <c r="AE6971">
        <v>-8.7084199999999896</v>
      </c>
      <c r="AF6971">
        <v>7.62937502823657</v>
      </c>
      <c r="AG6971">
        <v>-1.128277</v>
      </c>
      <c r="AH6971">
        <v>9.6327846449527303</v>
      </c>
      <c r="AI6971">
        <v>95.246103863937506</v>
      </c>
      <c r="AJ6971">
        <v>51.620009996271399</v>
      </c>
      <c r="AK6971">
        <v>12.3398100603796</v>
      </c>
      <c r="AL6971">
        <v>93.707340131136704</v>
      </c>
      <c r="AM6971">
        <v>71.593536929541003</v>
      </c>
      <c r="AN6971">
        <v>0.99999999768157599</v>
      </c>
    </row>
    <row r="6972" spans="1:40" x14ac:dyDescent="0.25">
      <c r="A6972" t="str">
        <f>"20190303154946316"</f>
        <v>20190303154946316</v>
      </c>
      <c r="B6972" t="str">
        <f>"1551599386307769"</f>
        <v>1551599386307769</v>
      </c>
      <c r="C6972" t="s">
        <v>40</v>
      </c>
      <c r="D6972">
        <v>5.7134049999999998</v>
      </c>
      <c r="E6972">
        <v>0.63632270000000002</v>
      </c>
      <c r="F6972" t="s">
        <v>43</v>
      </c>
      <c r="G6972">
        <v>-306.93079999999998</v>
      </c>
      <c r="H6972">
        <v>-0.05</v>
      </c>
      <c r="I6972">
        <v>8.2615359999999995</v>
      </c>
      <c r="J6972">
        <v>-315.78750000000002</v>
      </c>
      <c r="K6972">
        <v>1.077456</v>
      </c>
      <c r="L6972">
        <v>17.120360000000002</v>
      </c>
      <c r="M6972">
        <v>0.99365499999999995</v>
      </c>
      <c r="N6972">
        <v>-1.6280340000000001E-2</v>
      </c>
      <c r="O6972">
        <v>-0.1112871</v>
      </c>
      <c r="P6972">
        <v>0.90391370000000004</v>
      </c>
      <c r="Q6972">
        <v>-7.819711E-2</v>
      </c>
      <c r="R6972">
        <v>-0.42050680000000001</v>
      </c>
      <c r="S6972">
        <v>2.2587890000000002</v>
      </c>
      <c r="T6972">
        <v>-0.28431770000000001</v>
      </c>
      <c r="U6972">
        <v>-2.2359010000000001</v>
      </c>
      <c r="V6972">
        <v>0.31695719999999999</v>
      </c>
      <c r="W6972">
        <v>-6.4442059999999995E-2</v>
      </c>
      <c r="X6972">
        <v>0.94624810000000004</v>
      </c>
      <c r="Y6972">
        <v>0.6174115</v>
      </c>
      <c r="Z6972">
        <v>-2.8164680000000001E-2</v>
      </c>
      <c r="AA6972">
        <v>0.78613599999999995</v>
      </c>
      <c r="AB6972">
        <v>19</v>
      </c>
      <c r="AC6972">
        <v>8.8567000000000409</v>
      </c>
      <c r="AD6972">
        <v>-1.127456</v>
      </c>
      <c r="AE6972">
        <v>-8.8588240000000003</v>
      </c>
      <c r="AF6972">
        <v>7.7551916706929802</v>
      </c>
      <c r="AG6972">
        <v>-1.127456</v>
      </c>
      <c r="AH6972">
        <v>9.7090239991700908</v>
      </c>
      <c r="AI6972">
        <v>95.184413027145396</v>
      </c>
      <c r="AJ6972">
        <v>51.383497145168498</v>
      </c>
      <c r="AK6972">
        <v>12.4771511931843</v>
      </c>
      <c r="AL6972">
        <v>93.6948181625269</v>
      </c>
      <c r="AM6972">
        <v>71.481105706624007</v>
      </c>
      <c r="AN6972">
        <v>1.0000000562412401</v>
      </c>
    </row>
    <row r="6973" spans="1:40" x14ac:dyDescent="0.25">
      <c r="A6973" t="str">
        <f>"20190303154946329"</f>
        <v>20190303154946329</v>
      </c>
      <c r="B6973" t="str">
        <f>"1551599386317529"</f>
        <v>1551599386317529</v>
      </c>
      <c r="C6973" t="s">
        <v>40</v>
      </c>
      <c r="D6973">
        <v>5.682868</v>
      </c>
      <c r="E6973">
        <v>0.63641740000000002</v>
      </c>
      <c r="F6973" t="s">
        <v>43</v>
      </c>
      <c r="G6973">
        <v>-306.83839999999998</v>
      </c>
      <c r="H6973">
        <v>-0.05</v>
      </c>
      <c r="I6973">
        <v>8.1817320000000002</v>
      </c>
      <c r="J6973">
        <v>-315.68549999999999</v>
      </c>
      <c r="K6973">
        <v>1.0767310000000001</v>
      </c>
      <c r="L6973">
        <v>17.10669</v>
      </c>
      <c r="M6973">
        <v>0.99344730000000003</v>
      </c>
      <c r="N6973">
        <v>-1.572865E-2</v>
      </c>
      <c r="O6973">
        <v>-0.1132045</v>
      </c>
      <c r="P6973">
        <v>0.90227650000000004</v>
      </c>
      <c r="Q6973">
        <v>-7.7757370000000006E-2</v>
      </c>
      <c r="R6973">
        <v>-0.4240891</v>
      </c>
      <c r="S6973">
        <v>2.2492369999999999</v>
      </c>
      <c r="T6973">
        <v>-0.28337180000000001</v>
      </c>
      <c r="U6973">
        <v>-2.246613</v>
      </c>
      <c r="V6973">
        <v>0.31887569999999998</v>
      </c>
      <c r="W6973">
        <v>-6.455466E-2</v>
      </c>
      <c r="X6973">
        <v>0.94559559999999998</v>
      </c>
      <c r="Y6973">
        <v>0.61946820000000002</v>
      </c>
      <c r="Z6973">
        <v>-2.7843239999999998E-2</v>
      </c>
      <c r="AA6973">
        <v>0.7845278</v>
      </c>
      <c r="AB6973">
        <v>19</v>
      </c>
      <c r="AC6973">
        <v>8.84710000000001</v>
      </c>
      <c r="AD6973">
        <v>-1.1267309999999999</v>
      </c>
      <c r="AE6973">
        <v>-8.9249580000000002</v>
      </c>
      <c r="AF6973">
        <v>7.80318857667584</v>
      </c>
      <c r="AG6973">
        <v>-1.1267309999999999</v>
      </c>
      <c r="AH6973">
        <v>9.7225278282104295</v>
      </c>
      <c r="AI6973">
        <v>95.1643403154374</v>
      </c>
      <c r="AJ6973">
        <v>51.2498744716898</v>
      </c>
      <c r="AK6973">
        <v>12.5174606881688</v>
      </c>
      <c r="AL6973">
        <v>93.701283234886901</v>
      </c>
      <c r="AM6973">
        <v>71.364758586525795</v>
      </c>
      <c r="AN6973">
        <v>1.0000000274587799</v>
      </c>
    </row>
    <row r="6974" spans="1:40" x14ac:dyDescent="0.25">
      <c r="A6974" t="str">
        <f>"20190303154946341"</f>
        <v>20190303154946341</v>
      </c>
      <c r="B6974" t="str">
        <f>"1551599386338025"</f>
        <v>1551599386338025</v>
      </c>
      <c r="C6974" t="s">
        <v>40</v>
      </c>
      <c r="D6974">
        <v>5.6818999999999997</v>
      </c>
      <c r="E6974">
        <v>0.63658909999999902</v>
      </c>
      <c r="F6974" t="s">
        <v>43</v>
      </c>
      <c r="G6974">
        <v>-306.78710000000001</v>
      </c>
      <c r="H6974">
        <v>-0.05</v>
      </c>
      <c r="I6974">
        <v>8.1437380000000008</v>
      </c>
      <c r="J6974">
        <v>-315.56950000000001</v>
      </c>
      <c r="K6974">
        <v>1.0759430000000001</v>
      </c>
      <c r="L6974">
        <v>17.09103</v>
      </c>
      <c r="M6974">
        <v>0.9932029</v>
      </c>
      <c r="N6974">
        <v>-1.5120110000000001E-2</v>
      </c>
      <c r="O6974">
        <v>-0.1154106</v>
      </c>
      <c r="P6974">
        <v>0.90044990000000003</v>
      </c>
      <c r="Q6974">
        <v>-7.7686549999999993E-2</v>
      </c>
      <c r="R6974">
        <v>-0.42796640000000002</v>
      </c>
      <c r="S6974">
        <v>2.240021</v>
      </c>
      <c r="T6974">
        <v>-0.28363379999999999</v>
      </c>
      <c r="U6974">
        <v>-2.256256</v>
      </c>
      <c r="V6974">
        <v>0.3208356</v>
      </c>
      <c r="W6974">
        <v>-6.5091159999999995E-2</v>
      </c>
      <c r="X6974">
        <v>0.94489559999999995</v>
      </c>
      <c r="Y6974">
        <v>0.62103399999999997</v>
      </c>
      <c r="Z6974">
        <v>-2.752398E-2</v>
      </c>
      <c r="AA6974">
        <v>0.78330010000000005</v>
      </c>
      <c r="AB6974">
        <v>19</v>
      </c>
      <c r="AC6974">
        <v>8.7823999999999902</v>
      </c>
      <c r="AD6974">
        <v>-1.1259429999999999</v>
      </c>
      <c r="AE6974">
        <v>-8.9472919999999991</v>
      </c>
      <c r="AF6974">
        <v>7.8107967607283904</v>
      </c>
      <c r="AG6974">
        <v>-1.1259429999999999</v>
      </c>
      <c r="AH6974">
        <v>9.6783723044912602</v>
      </c>
      <c r="AI6974">
        <v>95.172975863721604</v>
      </c>
      <c r="AJ6974">
        <v>51.095214387635203</v>
      </c>
      <c r="AK6974">
        <v>12.4878814913097</v>
      </c>
      <c r="AL6974">
        <v>93.732087242457695</v>
      </c>
      <c r="AM6974">
        <v>71.245282584838506</v>
      </c>
      <c r="AN6974">
        <v>1.0000000181184301</v>
      </c>
    </row>
    <row r="6975" spans="1:40" x14ac:dyDescent="0.25">
      <c r="A6975" t="str">
        <f>"20190303154946355"</f>
        <v>20190303154946355</v>
      </c>
      <c r="B6975" t="str">
        <f>"1551599386347786"</f>
        <v>1551599386347786</v>
      </c>
      <c r="C6975" t="s">
        <v>40</v>
      </c>
      <c r="D6975">
        <v>5.7072589999999996</v>
      </c>
      <c r="E6975">
        <v>0.63667229999999997</v>
      </c>
      <c r="F6975" t="s">
        <v>43</v>
      </c>
      <c r="G6975">
        <v>-306.75560000000002</v>
      </c>
      <c r="H6975">
        <v>-0.05</v>
      </c>
      <c r="I6975">
        <v>8.1290440000000004</v>
      </c>
      <c r="J6975">
        <v>-315.45389999999998</v>
      </c>
      <c r="K6975">
        <v>1.0752330000000001</v>
      </c>
      <c r="L6975">
        <v>17.07498</v>
      </c>
      <c r="M6975">
        <v>0.99294700000000002</v>
      </c>
      <c r="N6975">
        <v>-1.455482E-2</v>
      </c>
      <c r="O6975">
        <v>-0.1176627</v>
      </c>
      <c r="P6975">
        <v>0.89856899999999995</v>
      </c>
      <c r="Q6975">
        <v>-7.7742450000000005E-2</v>
      </c>
      <c r="R6975">
        <v>-0.43189139999999998</v>
      </c>
      <c r="S6975">
        <v>2.2296140000000002</v>
      </c>
      <c r="T6975">
        <v>-0.28482229999999997</v>
      </c>
      <c r="U6975">
        <v>-2.2670590000000002</v>
      </c>
      <c r="V6975">
        <v>0.32280809999999999</v>
      </c>
      <c r="W6975">
        <v>-6.5716179999999999E-2</v>
      </c>
      <c r="X6975">
        <v>0.94418029999999997</v>
      </c>
      <c r="Y6975">
        <v>0.62295049999999996</v>
      </c>
      <c r="Z6975">
        <v>-2.730952E-2</v>
      </c>
      <c r="AA6975">
        <v>0.78178449999999999</v>
      </c>
      <c r="AB6975">
        <v>19</v>
      </c>
      <c r="AC6975">
        <v>8.69829999999995</v>
      </c>
      <c r="AD6975">
        <v>-1.1252329999999999</v>
      </c>
      <c r="AE6975">
        <v>-8.9459359999999997</v>
      </c>
      <c r="AF6975">
        <v>7.7967996574673704</v>
      </c>
      <c r="AG6975">
        <v>-1.1252329999999999</v>
      </c>
      <c r="AH6975">
        <v>9.6124070637893109</v>
      </c>
      <c r="AI6975">
        <v>95.194692133840107</v>
      </c>
      <c r="AJ6975">
        <v>50.953857619907801</v>
      </c>
      <c r="AK6975">
        <v>12.4279766560353</v>
      </c>
      <c r="AL6975">
        <v>93.767974923614602</v>
      </c>
      <c r="AM6975">
        <v>71.124829970338794</v>
      </c>
      <c r="AN6975">
        <v>1.0000000623237399</v>
      </c>
    </row>
    <row r="6976" spans="1:40" x14ac:dyDescent="0.25">
      <c r="A6976" t="str">
        <f>"20190303154946372"</f>
        <v>20190303154946372</v>
      </c>
      <c r="B6976" t="str">
        <f>"1551599386367305"</f>
        <v>1551599386367305</v>
      </c>
      <c r="C6976" t="s">
        <v>40</v>
      </c>
      <c r="D6976">
        <v>5.6648709999999998</v>
      </c>
      <c r="E6976">
        <v>0.63663539999999996</v>
      </c>
      <c r="F6976" t="s">
        <v>43</v>
      </c>
      <c r="G6976">
        <v>-306.74239999999998</v>
      </c>
      <c r="H6976">
        <v>-0.05</v>
      </c>
      <c r="I6976">
        <v>8.1358029999999992</v>
      </c>
      <c r="J6976">
        <v>-315.31150000000002</v>
      </c>
      <c r="K6976">
        <v>1.0744199999999999</v>
      </c>
      <c r="L6976">
        <v>17.054870000000001</v>
      </c>
      <c r="M6976">
        <v>0.99261920000000003</v>
      </c>
      <c r="N6976">
        <v>-1.389635E-2</v>
      </c>
      <c r="O6976">
        <v>-0.1204746</v>
      </c>
      <c r="P6976">
        <v>0.89525409999999905</v>
      </c>
      <c r="Q6976">
        <v>-7.8589039999999999E-2</v>
      </c>
      <c r="R6976">
        <v>-0.43857030000000002</v>
      </c>
      <c r="S6976">
        <v>2.2192690000000002</v>
      </c>
      <c r="T6976">
        <v>-0.28665639999999998</v>
      </c>
      <c r="U6976">
        <v>-2.2772830000000002</v>
      </c>
      <c r="V6976">
        <v>0.32715379999999999</v>
      </c>
      <c r="W6976">
        <v>-6.7251409999999998E-2</v>
      </c>
      <c r="X6976">
        <v>0.94257500000000005</v>
      </c>
      <c r="Y6976">
        <v>0.62431099999999995</v>
      </c>
      <c r="Z6976">
        <v>-2.7008440000000002E-2</v>
      </c>
      <c r="AA6976">
        <v>0.78070899999999999</v>
      </c>
      <c r="AB6976">
        <v>19</v>
      </c>
      <c r="AC6976">
        <v>8.5691000000000397</v>
      </c>
      <c r="AD6976">
        <v>-1.12442</v>
      </c>
      <c r="AE6976">
        <v>-8.9190670000000001</v>
      </c>
      <c r="AF6976">
        <v>7.7575198445821796</v>
      </c>
      <c r="AG6976">
        <v>-1.12442</v>
      </c>
      <c r="AH6976">
        <v>9.5027617962143207</v>
      </c>
      <c r="AI6976">
        <v>95.237181397021899</v>
      </c>
      <c r="AJ6976">
        <v>50.773735136321598</v>
      </c>
      <c r="AK6976">
        <v>12.3185192385723</v>
      </c>
      <c r="AL6976">
        <v>93.856132430824999</v>
      </c>
      <c r="AM6976">
        <v>70.858870711592502</v>
      </c>
      <c r="AN6976">
        <v>0.99999999581321397</v>
      </c>
    </row>
    <row r="6977" spans="1:40" x14ac:dyDescent="0.25">
      <c r="A6977" t="str">
        <f>"20190303154946384"</f>
        <v>20190303154946384</v>
      </c>
      <c r="B6977" t="str">
        <f>"1551599386378042"</f>
        <v>1551599386378042</v>
      </c>
      <c r="C6977" t="s">
        <v>40</v>
      </c>
      <c r="D6977">
        <v>5.6932799999999997</v>
      </c>
      <c r="E6977">
        <v>0.63662319999999994</v>
      </c>
      <c r="F6977" t="s">
        <v>43</v>
      </c>
      <c r="G6977">
        <v>-306.85309999999998</v>
      </c>
      <c r="H6977">
        <v>-0.05</v>
      </c>
      <c r="I6977">
        <v>8.2450100000000006</v>
      </c>
      <c r="J6977">
        <v>-315.19560000000001</v>
      </c>
      <c r="K6977">
        <v>1.073804</v>
      </c>
      <c r="L6977">
        <v>17.038239999999998</v>
      </c>
      <c r="M6977">
        <v>0.9923421</v>
      </c>
      <c r="N6977">
        <v>-1.3390839999999999E-2</v>
      </c>
      <c r="O6977">
        <v>-0.1227922</v>
      </c>
      <c r="P6977">
        <v>0.89309939999999999</v>
      </c>
      <c r="Q6977">
        <v>-7.8864779999999995E-2</v>
      </c>
      <c r="R6977">
        <v>-0.44289279999999998</v>
      </c>
      <c r="S6977">
        <v>2.201813</v>
      </c>
      <c r="T6977">
        <v>-0.29269909999999999</v>
      </c>
      <c r="U6977">
        <v>-2.293304</v>
      </c>
      <c r="V6977">
        <v>0.32950069999999998</v>
      </c>
      <c r="W6977">
        <v>-6.8049390000000001E-2</v>
      </c>
      <c r="X6977">
        <v>0.94169990000000003</v>
      </c>
      <c r="Y6977">
        <v>0.62820209999999999</v>
      </c>
      <c r="Z6977">
        <v>-2.73073E-2</v>
      </c>
      <c r="AA6977">
        <v>0.77757080000000001</v>
      </c>
      <c r="AB6977">
        <v>20</v>
      </c>
      <c r="AC6977">
        <v>8.3425000000000296</v>
      </c>
      <c r="AD6977">
        <v>-1.123804</v>
      </c>
      <c r="AE6977">
        <v>-8.7932299999999906</v>
      </c>
      <c r="AF6977">
        <v>7.6365435563517199</v>
      </c>
      <c r="AG6977">
        <v>-1.123804</v>
      </c>
      <c r="AH6977">
        <v>9.2794251801248997</v>
      </c>
      <c r="AI6977">
        <v>95.342340760478706</v>
      </c>
      <c r="AJ6977">
        <v>50.547178110205699</v>
      </c>
      <c r="AK6977">
        <v>12.070106237809499</v>
      </c>
      <c r="AL6977">
        <v>93.901958026296597</v>
      </c>
      <c r="AM6977">
        <v>70.715063391180493</v>
      </c>
      <c r="AN6977">
        <v>1.00000006621993</v>
      </c>
    </row>
    <row r="6978" spans="1:40" x14ac:dyDescent="0.25">
      <c r="A6978" t="str">
        <f>"20190303154946397"</f>
        <v>20190303154946397</v>
      </c>
      <c r="B6978" t="str">
        <f>"1551599386387801"</f>
        <v>1551599386387801</v>
      </c>
      <c r="C6978" t="s">
        <v>40</v>
      </c>
      <c r="D6978">
        <v>5.6895509999999998</v>
      </c>
      <c r="E6978">
        <v>0.63655779999999995</v>
      </c>
      <c r="F6978" t="s">
        <v>43</v>
      </c>
      <c r="G6978">
        <v>-306.81639999999999</v>
      </c>
      <c r="H6978">
        <v>-0.05</v>
      </c>
      <c r="I6978">
        <v>8.2253109999999996</v>
      </c>
      <c r="J6978">
        <v>-315.08179999999999</v>
      </c>
      <c r="K6978">
        <v>1.07324</v>
      </c>
      <c r="L6978">
        <v>17.021609999999999</v>
      </c>
      <c r="M6978">
        <v>0.99205989999999999</v>
      </c>
      <c r="N6978">
        <v>-1.2927330000000001E-2</v>
      </c>
      <c r="O6978">
        <v>-0.12510070000000001</v>
      </c>
      <c r="P6978">
        <v>0.89069589999999998</v>
      </c>
      <c r="Q6978">
        <v>-7.9549579999999995E-2</v>
      </c>
      <c r="R6978">
        <v>-0.44758569999999998</v>
      </c>
      <c r="S6978">
        <v>2.190582</v>
      </c>
      <c r="T6978">
        <v>-0.29379870000000002</v>
      </c>
      <c r="U6978">
        <v>-2.3039860000000001</v>
      </c>
      <c r="V6978">
        <v>0.33225690000000002</v>
      </c>
      <c r="W6978">
        <v>-6.9225670000000003E-2</v>
      </c>
      <c r="X6978">
        <v>0.94064510000000001</v>
      </c>
      <c r="Y6978">
        <v>0.63017959999999995</v>
      </c>
      <c r="Z6978">
        <v>-2.7121579999999999E-2</v>
      </c>
      <c r="AA6978">
        <v>0.77597559999999999</v>
      </c>
      <c r="AB6978">
        <v>20</v>
      </c>
      <c r="AC6978">
        <v>8.2653999999999996</v>
      </c>
      <c r="AD6978">
        <v>-1.12324</v>
      </c>
      <c r="AE6978">
        <v>-8.7962989999999994</v>
      </c>
      <c r="AF6978">
        <v>7.6270414438316498</v>
      </c>
      <c r="AG6978">
        <v>-1.12324</v>
      </c>
      <c r="AH6978">
        <v>9.2211181007514806</v>
      </c>
      <c r="AI6978">
        <v>95.362309741759304</v>
      </c>
      <c r="AJ6978">
        <v>50.404909826512302</v>
      </c>
      <c r="AK6978">
        <v>12.0192532343541</v>
      </c>
      <c r="AL6978">
        <v>93.969513396709104</v>
      </c>
      <c r="AM6978">
        <v>70.545639401836894</v>
      </c>
      <c r="AN6978">
        <v>1.00000002256928</v>
      </c>
    </row>
    <row r="6979" spans="1:40" x14ac:dyDescent="0.25">
      <c r="A6979" t="str">
        <f>"20190303154946412"</f>
        <v>20190303154946412</v>
      </c>
      <c r="B6979" t="str">
        <f>"1551599386407322"</f>
        <v>1551599386407322</v>
      </c>
      <c r="C6979" t="s">
        <v>40</v>
      </c>
      <c r="D6979">
        <v>5.0834549999999998</v>
      </c>
      <c r="E6979">
        <v>0.6381734</v>
      </c>
      <c r="F6979" t="s">
        <v>43</v>
      </c>
      <c r="G6979">
        <v>-306.8612</v>
      </c>
      <c r="H6979">
        <v>-0.05</v>
      </c>
      <c r="I6979">
        <v>8.2870639999999902</v>
      </c>
      <c r="J6979">
        <v>-314.96190000000001</v>
      </c>
      <c r="K6979">
        <v>1.0726990000000001</v>
      </c>
      <c r="L6979">
        <v>17.003629999999902</v>
      </c>
      <c r="M6979">
        <v>0.99175060000000004</v>
      </c>
      <c r="N6979">
        <v>-1.2475170000000001E-2</v>
      </c>
      <c r="O6979">
        <v>-0.1275741</v>
      </c>
      <c r="P6979">
        <v>0.88817969999999902</v>
      </c>
      <c r="Q6979">
        <v>-8.0329150000000002E-2</v>
      </c>
      <c r="R6979">
        <v>-0.4524203</v>
      </c>
      <c r="S6979">
        <v>2.178436</v>
      </c>
      <c r="T6979">
        <v>-0.29765580000000003</v>
      </c>
      <c r="U6979">
        <v>-2.3146360000000001</v>
      </c>
      <c r="V6979">
        <v>0.33501540000000002</v>
      </c>
      <c r="W6979">
        <v>-7.0492650000000004E-2</v>
      </c>
      <c r="X6979">
        <v>0.93957199999999996</v>
      </c>
      <c r="Y6979">
        <v>0.63213599999999903</v>
      </c>
      <c r="Z6979">
        <v>-2.7120869999999998E-2</v>
      </c>
      <c r="AA6979">
        <v>0.77438269999999998</v>
      </c>
      <c r="AB6979">
        <v>20</v>
      </c>
      <c r="AC6979">
        <v>8.1007000000000104</v>
      </c>
      <c r="AD6979">
        <v>-1.1226989999999999</v>
      </c>
      <c r="AE6979">
        <v>-8.7165659999999896</v>
      </c>
      <c r="AF6979">
        <v>7.5446534252979998</v>
      </c>
      <c r="AG6979">
        <v>-1.1226989999999999</v>
      </c>
      <c r="AH6979">
        <v>9.0658935932289602</v>
      </c>
      <c r="AI6979">
        <v>95.437468781916905</v>
      </c>
      <c r="AJ6979">
        <v>50.2327100524735</v>
      </c>
      <c r="AK6979">
        <v>11.847897492644501</v>
      </c>
      <c r="AL6979">
        <v>94.042283733981193</v>
      </c>
      <c r="AM6979">
        <v>70.375711939488795</v>
      </c>
      <c r="AN6979">
        <v>1.0000000375625899</v>
      </c>
    </row>
    <row r="6980" spans="1:40" x14ac:dyDescent="0.25">
      <c r="A6980" t="str">
        <f>"20190303154946430"</f>
        <v>20190303154946430</v>
      </c>
      <c r="B6980" t="str">
        <f>"1551599386418057"</f>
        <v>1551599386418057</v>
      </c>
      <c r="C6980" t="s">
        <v>40</v>
      </c>
      <c r="D6980">
        <v>4.6769850000000002</v>
      </c>
      <c r="E6980">
        <v>0.64025659999999995</v>
      </c>
      <c r="F6980" t="s">
        <v>43</v>
      </c>
      <c r="G6980">
        <v>-306.4196</v>
      </c>
      <c r="H6980">
        <v>-0.05</v>
      </c>
      <c r="I6980">
        <v>7.7594909999999997</v>
      </c>
      <c r="J6980">
        <v>-314.81200000000001</v>
      </c>
      <c r="K6980">
        <v>1.0720670000000001</v>
      </c>
      <c r="L6980">
        <v>16.98077</v>
      </c>
      <c r="M6980">
        <v>0.9913476</v>
      </c>
      <c r="N6980">
        <v>-1.1947620000000001E-2</v>
      </c>
      <c r="O6980">
        <v>-0.13071949999999999</v>
      </c>
      <c r="P6980">
        <v>0.88366009999999995</v>
      </c>
      <c r="Q6980">
        <v>-8.1967399999999996E-2</v>
      </c>
      <c r="R6980">
        <v>-0.46089740000000001</v>
      </c>
      <c r="S6980">
        <v>2.1608580000000002</v>
      </c>
      <c r="T6980">
        <v>-0.28399920000000001</v>
      </c>
      <c r="U6980">
        <v>-2.338409</v>
      </c>
      <c r="V6980">
        <v>0.34100960000000002</v>
      </c>
      <c r="W6980">
        <v>-7.2736850000000006E-2</v>
      </c>
      <c r="X6980">
        <v>0.93724160000000001</v>
      </c>
      <c r="Y6980">
        <v>0.63697019999999904</v>
      </c>
      <c r="Z6980">
        <v>-2.5961580000000001E-2</v>
      </c>
      <c r="AA6980">
        <v>0.7704512</v>
      </c>
      <c r="AB6980">
        <v>20</v>
      </c>
      <c r="AC6980">
        <v>8.3924000000000092</v>
      </c>
      <c r="AD6980">
        <v>-1.1220669999999999</v>
      </c>
      <c r="AE6980">
        <v>-9.2212789999999991</v>
      </c>
      <c r="AF6980">
        <v>7.9803856200716696</v>
      </c>
      <c r="AG6980">
        <v>-1.1220669999999999</v>
      </c>
      <c r="AH6980">
        <v>9.4493387512140803</v>
      </c>
      <c r="AI6980">
        <v>95.183722670630004</v>
      </c>
      <c r="AJ6980">
        <v>49.8174249263528</v>
      </c>
      <c r="AK6980">
        <v>12.419162283855201</v>
      </c>
      <c r="AL6980">
        <v>94.171198078330406</v>
      </c>
      <c r="AM6980">
        <v>70.006394050141395</v>
      </c>
      <c r="AN6980">
        <v>1.0000000067053201</v>
      </c>
    </row>
    <row r="6981" spans="1:40" x14ac:dyDescent="0.25">
      <c r="A6981" t="str">
        <f>"20190303154946445"</f>
        <v>20190303154946445</v>
      </c>
      <c r="B6981" t="str">
        <f>"1551599386437578"</f>
        <v>1551599386437578</v>
      </c>
      <c r="C6981" t="s">
        <v>40</v>
      </c>
      <c r="D6981">
        <v>5.0909599999999999</v>
      </c>
      <c r="E6981">
        <v>0.64368440000000005</v>
      </c>
      <c r="F6981" t="s">
        <v>43</v>
      </c>
      <c r="G6981">
        <v>-305.83760000000001</v>
      </c>
      <c r="H6981">
        <v>-0.05</v>
      </c>
      <c r="I6981">
        <v>6.9874270000000003</v>
      </c>
      <c r="J6981">
        <v>-314.66669999999999</v>
      </c>
      <c r="K6981">
        <v>1.07151</v>
      </c>
      <c r="L6981">
        <v>16.958100000000002</v>
      </c>
      <c r="M6981">
        <v>0.99093739999999997</v>
      </c>
      <c r="N6981">
        <v>-1.147863E-2</v>
      </c>
      <c r="O6981">
        <v>-0.13383339999999999</v>
      </c>
      <c r="P6981">
        <v>0.88040439999999998</v>
      </c>
      <c r="Q6981">
        <v>-8.2092120000000005E-2</v>
      </c>
      <c r="R6981">
        <v>-0.46706429999999999</v>
      </c>
      <c r="S6981">
        <v>2.131958</v>
      </c>
      <c r="T6981">
        <v>-0.26655889999999999</v>
      </c>
      <c r="U6981">
        <v>-2.3740230000000002</v>
      </c>
      <c r="V6981">
        <v>0.34459899999999999</v>
      </c>
      <c r="W6981">
        <v>-7.3391419999999999E-2</v>
      </c>
      <c r="X6981">
        <v>0.93587670000000001</v>
      </c>
      <c r="Y6981">
        <v>0.64571889999999998</v>
      </c>
      <c r="Z6981">
        <v>-2.4826790000000001E-2</v>
      </c>
      <c r="AA6981">
        <v>0.7631715</v>
      </c>
      <c r="AB6981">
        <v>20</v>
      </c>
      <c r="AC6981">
        <v>8.8290999999999809</v>
      </c>
      <c r="AD6981">
        <v>-1.12151</v>
      </c>
      <c r="AE6981">
        <v>-9.9706729999999997</v>
      </c>
      <c r="AF6981">
        <v>8.6380015076100296</v>
      </c>
      <c r="AG6981">
        <v>-1.12151</v>
      </c>
      <c r="AH6981">
        <v>10.013151107435499</v>
      </c>
      <c r="AI6981">
        <v>94.847523208179496</v>
      </c>
      <c r="AJ6981">
        <v>49.216788249373401</v>
      </c>
      <c r="AK6981">
        <v>13.271625741630499</v>
      </c>
      <c r="AL6981">
        <v>94.208802778851805</v>
      </c>
      <c r="AM6981">
        <v>69.785797140639403</v>
      </c>
      <c r="AN6981">
        <v>0.99999998446675298</v>
      </c>
    </row>
    <row r="6982" spans="1:40" x14ac:dyDescent="0.25">
      <c r="A6982" t="str">
        <f>"20190303154946461"</f>
        <v>20190303154946461</v>
      </c>
      <c r="B6982" t="str">
        <f>"1551599386458073"</f>
        <v>1551599386458073</v>
      </c>
      <c r="C6982" t="s">
        <v>40</v>
      </c>
      <c r="D6982">
        <v>5.6298959999999996</v>
      </c>
      <c r="E6982">
        <v>0.64293679999999997</v>
      </c>
      <c r="F6982" t="s">
        <v>43</v>
      </c>
      <c r="G6982">
        <v>-304.39909999999998</v>
      </c>
      <c r="H6982">
        <v>-0.05</v>
      </c>
      <c r="I6982">
        <v>5.1859440000000001</v>
      </c>
      <c r="J6982">
        <v>-314.51979999999998</v>
      </c>
      <c r="K6982">
        <v>1.0709959999999901</v>
      </c>
      <c r="L6982">
        <v>16.93469</v>
      </c>
      <c r="M6982">
        <v>0.99050320000000003</v>
      </c>
      <c r="N6982">
        <v>-1.1045839999999999E-2</v>
      </c>
      <c r="O6982">
        <v>-0.1370451</v>
      </c>
      <c r="P6982">
        <v>0.87507570000000001</v>
      </c>
      <c r="Q6982">
        <v>-8.3446060000000002E-2</v>
      </c>
      <c r="R6982">
        <v>-0.47673850000000001</v>
      </c>
      <c r="S6982">
        <v>2.1054379999999999</v>
      </c>
      <c r="T6982">
        <v>-0.2299745</v>
      </c>
      <c r="U6982">
        <v>-2.4139710000000001</v>
      </c>
      <c r="V6982">
        <v>0.35185640000000001</v>
      </c>
      <c r="W6982">
        <v>-7.5284320000000002E-2</v>
      </c>
      <c r="X6982">
        <v>0.93302160000000001</v>
      </c>
      <c r="Y6982">
        <v>0.65475799999999995</v>
      </c>
      <c r="Z6982">
        <v>-2.2273060000000001E-2</v>
      </c>
      <c r="AA6982">
        <v>0.75551029999999997</v>
      </c>
      <c r="AB6982">
        <v>20</v>
      </c>
      <c r="AC6982">
        <v>10.120699999999999</v>
      </c>
      <c r="AD6982">
        <v>-1.1209960000000001</v>
      </c>
      <c r="AE6982">
        <v>-11.748746000000001</v>
      </c>
      <c r="AF6982">
        <v>10.197512407588899</v>
      </c>
      <c r="AG6982">
        <v>-1.1209960000000001</v>
      </c>
      <c r="AH6982">
        <v>11.574914361240801</v>
      </c>
      <c r="AI6982">
        <v>94.156279946355795</v>
      </c>
      <c r="AJ6982">
        <v>48.619912735854001</v>
      </c>
      <c r="AK6982">
        <v>15.466885071177201</v>
      </c>
      <c r="AL6982">
        <v>94.317558910940207</v>
      </c>
      <c r="AM6982">
        <v>69.337790408470696</v>
      </c>
      <c r="AN6982">
        <v>0.99999998056269102</v>
      </c>
    </row>
    <row r="6983" spans="1:40" x14ac:dyDescent="0.25">
      <c r="A6983" t="str">
        <f>"20190303154946476"</f>
        <v>20190303154946476</v>
      </c>
      <c r="B6983" t="str">
        <f>"1551599386467833"</f>
        <v>1551599386467833</v>
      </c>
      <c r="C6983" t="s">
        <v>40</v>
      </c>
      <c r="D6983">
        <v>5.5773849999999996</v>
      </c>
      <c r="E6983">
        <v>0.6426018</v>
      </c>
      <c r="F6983" t="s">
        <v>43</v>
      </c>
      <c r="G6983">
        <v>-304.83519999999999</v>
      </c>
      <c r="H6983">
        <v>-0.05</v>
      </c>
      <c r="I6983">
        <v>5.6162869999999998</v>
      </c>
      <c r="J6983">
        <v>-314.3775</v>
      </c>
      <c r="K6983">
        <v>1.0705559999999901</v>
      </c>
      <c r="L6983">
        <v>16.911290000000001</v>
      </c>
      <c r="M6983">
        <v>0.99005969999999999</v>
      </c>
      <c r="N6983">
        <v>-1.067304E-2</v>
      </c>
      <c r="O6983">
        <v>-0.14024300000000001</v>
      </c>
      <c r="P6983">
        <v>0.87140479999999998</v>
      </c>
      <c r="Q6983">
        <v>-8.3552329999999994E-2</v>
      </c>
      <c r="R6983">
        <v>-0.48339779999999999</v>
      </c>
      <c r="S6983">
        <v>2.080597</v>
      </c>
      <c r="T6983">
        <v>-0.24082799999999999</v>
      </c>
      <c r="U6983">
        <v>-2.4315799999999999</v>
      </c>
      <c r="V6983">
        <v>0.35593730000000001</v>
      </c>
      <c r="W6983">
        <v>-7.5840190000000002E-2</v>
      </c>
      <c r="X6983">
        <v>0.93142740000000002</v>
      </c>
      <c r="Y6983">
        <v>0.65931390000000001</v>
      </c>
      <c r="Z6983">
        <v>-2.2958599999999999E-2</v>
      </c>
      <c r="AA6983">
        <v>0.7515172</v>
      </c>
      <c r="AB6983">
        <v>20</v>
      </c>
      <c r="AC6983">
        <v>9.5423000000000098</v>
      </c>
      <c r="AD6983">
        <v>-1.1205560000000001</v>
      </c>
      <c r="AE6983">
        <v>-11.295002999999999</v>
      </c>
      <c r="AF6983">
        <v>9.7888271940376299</v>
      </c>
      <c r="AG6983">
        <v>-1.1205560000000001</v>
      </c>
      <c r="AH6983">
        <v>10.9691213154239</v>
      </c>
      <c r="AI6983">
        <v>94.358599585934201</v>
      </c>
      <c r="AJ6983">
        <v>48.254326101362501</v>
      </c>
      <c r="AK6983">
        <v>14.744436442819801</v>
      </c>
      <c r="AL6983">
        <v>94.349498934586293</v>
      </c>
      <c r="AM6983">
        <v>69.086055814096696</v>
      </c>
      <c r="AN6983">
        <v>1.00000004871064</v>
      </c>
    </row>
    <row r="6984" spans="1:40" x14ac:dyDescent="0.25">
      <c r="A6984" t="str">
        <f>"20190303154946490"</f>
        <v>20190303154946490</v>
      </c>
      <c r="B6984" t="str">
        <f>"1551599386477593"</f>
        <v>1551599386477593</v>
      </c>
      <c r="C6984" t="s">
        <v>40</v>
      </c>
      <c r="D6984">
        <v>5.5964910000000003</v>
      </c>
      <c r="E6984">
        <v>0.64224930000000002</v>
      </c>
      <c r="F6984" t="s">
        <v>43</v>
      </c>
      <c r="G6984">
        <v>-304.88339999999999</v>
      </c>
      <c r="H6984">
        <v>-0.05</v>
      </c>
      <c r="I6984">
        <v>5.6594389999999999</v>
      </c>
      <c r="J6984">
        <v>-314.2636</v>
      </c>
      <c r="K6984">
        <v>1.070236</v>
      </c>
      <c r="L6984">
        <v>16.892209999999999</v>
      </c>
      <c r="M6984">
        <v>0.98969010000000002</v>
      </c>
      <c r="N6984">
        <v>-1.039838E-2</v>
      </c>
      <c r="O6984">
        <v>-0.1428489</v>
      </c>
      <c r="P6984">
        <v>0.86765939999999997</v>
      </c>
      <c r="Q6984">
        <v>-8.4444199999999997E-2</v>
      </c>
      <c r="R6984">
        <v>-0.48993530000000002</v>
      </c>
      <c r="S6984">
        <v>2.0630489999999999</v>
      </c>
      <c r="T6984">
        <v>-0.24349509999999999</v>
      </c>
      <c r="U6984">
        <v>-2.4450069999999999</v>
      </c>
      <c r="V6984">
        <v>0.36047489999999999</v>
      </c>
      <c r="W6984">
        <v>-7.7083360000000004E-2</v>
      </c>
      <c r="X6984">
        <v>0.92957840000000003</v>
      </c>
      <c r="Y6984">
        <v>0.6624776</v>
      </c>
      <c r="Z6984">
        <v>-2.3040109999999999E-2</v>
      </c>
      <c r="AA6984">
        <v>0.74872729999999998</v>
      </c>
      <c r="AB6984">
        <v>20</v>
      </c>
      <c r="AC6984">
        <v>9.3802000000000003</v>
      </c>
      <c r="AD6984">
        <v>-1.120236</v>
      </c>
      <c r="AE6984">
        <v>-11.232771</v>
      </c>
      <c r="AF6984">
        <v>9.7205780351412301</v>
      </c>
      <c r="AG6984">
        <v>-1.120236</v>
      </c>
      <c r="AH6984">
        <v>10.825233992591301</v>
      </c>
      <c r="AI6984">
        <v>94.402921953444704</v>
      </c>
      <c r="AJ6984">
        <v>48.0775733198833</v>
      </c>
      <c r="AK6984">
        <v>14.5921299688332</v>
      </c>
      <c r="AL6984">
        <v>94.420936678930602</v>
      </c>
      <c r="AM6984">
        <v>68.804543336484997</v>
      </c>
      <c r="AN6984">
        <v>0.99999999983272903</v>
      </c>
    </row>
    <row r="6985" spans="1:40" x14ac:dyDescent="0.25">
      <c r="A6985" t="str">
        <f>"20190303154946504"</f>
        <v>20190303154946504</v>
      </c>
      <c r="B6985" t="str">
        <f>"1551599386498089"</f>
        <v>1551599386498089</v>
      </c>
      <c r="C6985" t="s">
        <v>40</v>
      </c>
      <c r="D6985">
        <v>5.6982249999999999</v>
      </c>
      <c r="E6985">
        <v>0.64127780000000001</v>
      </c>
      <c r="F6985" t="s">
        <v>43</v>
      </c>
      <c r="G6985">
        <v>-305.04039999999998</v>
      </c>
      <c r="H6985">
        <v>-0.05</v>
      </c>
      <c r="I6985">
        <v>5.8089449999999996</v>
      </c>
      <c r="J6985">
        <v>-314.12779999999998</v>
      </c>
      <c r="K6985">
        <v>1.069868</v>
      </c>
      <c r="L6985">
        <v>16.869019999999999</v>
      </c>
      <c r="M6985">
        <v>0.98923249999999996</v>
      </c>
      <c r="N6985">
        <v>-1.009119E-2</v>
      </c>
      <c r="O6985">
        <v>-0.14600439999999901</v>
      </c>
      <c r="P6985">
        <v>0.86100580000000004</v>
      </c>
      <c r="Q6985">
        <v>-8.5422960000000006E-2</v>
      </c>
      <c r="R6985">
        <v>-0.50136979999999998</v>
      </c>
      <c r="S6985">
        <v>2.045471</v>
      </c>
      <c r="T6985">
        <v>-0.24843899999999999</v>
      </c>
      <c r="U6985">
        <v>-2.4579770000000001</v>
      </c>
      <c r="V6985">
        <v>0.3697742</v>
      </c>
      <c r="W6985">
        <v>-7.8503999999999893E-2</v>
      </c>
      <c r="X6985">
        <v>0.92579929999999999</v>
      </c>
      <c r="Y6985">
        <v>0.66512890000000002</v>
      </c>
      <c r="Z6985">
        <v>-2.3194030000000001E-2</v>
      </c>
      <c r="AA6985">
        <v>0.74636829999999998</v>
      </c>
      <c r="AB6985">
        <v>20</v>
      </c>
      <c r="AC6985">
        <v>9.0874000000000006</v>
      </c>
      <c r="AD6985">
        <v>-1.1198680000000001</v>
      </c>
      <c r="AE6985">
        <v>-11.060074999999999</v>
      </c>
      <c r="AF6985">
        <v>9.5561869928803809</v>
      </c>
      <c r="AG6985">
        <v>-1.1198680000000001</v>
      </c>
      <c r="AH6985">
        <v>10.540399402818601</v>
      </c>
      <c r="AI6985">
        <v>94.500569556680503</v>
      </c>
      <c r="AJ6985">
        <v>47.803769595688102</v>
      </c>
      <c r="AK6985">
        <v>14.271469221886701</v>
      </c>
      <c r="AL6985">
        <v>94.502580377479802</v>
      </c>
      <c r="AM6985">
        <v>68.227700814048703</v>
      </c>
      <c r="AN6985">
        <v>1.00000009044106</v>
      </c>
    </row>
    <row r="6986" spans="1:40" x14ac:dyDescent="0.25">
      <c r="A6986" t="str">
        <f>"20190303154946517"</f>
        <v>20190303154946517</v>
      </c>
      <c r="B6986" t="str">
        <f>"1551599386507849"</f>
        <v>1551599386507849</v>
      </c>
      <c r="C6986" t="s">
        <v>40</v>
      </c>
      <c r="D6986">
        <v>5.5448399999999998</v>
      </c>
      <c r="E6986">
        <v>0.64102309999999996</v>
      </c>
      <c r="F6986" t="s">
        <v>43</v>
      </c>
      <c r="G6986">
        <v>-305.36680000000001</v>
      </c>
      <c r="H6986">
        <v>-0.05</v>
      </c>
      <c r="I6986">
        <v>6.1003109999999996</v>
      </c>
      <c r="J6986">
        <v>-314.0104</v>
      </c>
      <c r="K6986">
        <v>1.069583</v>
      </c>
      <c r="L6986">
        <v>16.84863</v>
      </c>
      <c r="M6986">
        <v>0.98882029999999999</v>
      </c>
      <c r="N6986">
        <v>-9.8462350000000001E-3</v>
      </c>
      <c r="O6986">
        <v>-0.14878769999999999</v>
      </c>
      <c r="P6986">
        <v>0.85687060000000004</v>
      </c>
      <c r="Q6986">
        <v>-8.5058729999999999E-2</v>
      </c>
      <c r="R6986">
        <v>-0.50846619999999998</v>
      </c>
      <c r="S6986">
        <v>2.0158689999999999</v>
      </c>
      <c r="T6986">
        <v>-0.25767770000000001</v>
      </c>
      <c r="U6986">
        <v>-2.4778440000000002</v>
      </c>
      <c r="V6986">
        <v>0.37479220000000002</v>
      </c>
      <c r="W6986">
        <v>-7.8472150000000004E-2</v>
      </c>
      <c r="X6986">
        <v>0.92378190000000004</v>
      </c>
      <c r="Y6986">
        <v>0.67114600000000002</v>
      </c>
      <c r="Z6986">
        <v>-2.3955440000000001E-2</v>
      </c>
      <c r="AA6986">
        <v>0.74093799999999999</v>
      </c>
      <c r="AB6986">
        <v>20</v>
      </c>
      <c r="AC6986">
        <v>8.6435999999999904</v>
      </c>
      <c r="AD6986">
        <v>-1.119583</v>
      </c>
      <c r="AE6986">
        <v>-10.748319</v>
      </c>
      <c r="AF6986">
        <v>9.28139163093444</v>
      </c>
      <c r="AG6986">
        <v>-1.119583</v>
      </c>
      <c r="AH6986">
        <v>10.080256970911</v>
      </c>
      <c r="AI6986">
        <v>94.671093517217102</v>
      </c>
      <c r="AJ6986">
        <v>47.362694722043699</v>
      </c>
      <c r="AK6986">
        <v>13.748064492875599</v>
      </c>
      <c r="AL6986">
        <v>94.500750109441</v>
      </c>
      <c r="AM6986">
        <v>67.916866069091299</v>
      </c>
      <c r="AN6986">
        <v>1.00000003513703</v>
      </c>
    </row>
    <row r="6987" spans="1:40" x14ac:dyDescent="0.25">
      <c r="A6987" t="str">
        <f>"20190303154946529"</f>
        <v>20190303154946529</v>
      </c>
      <c r="B6987" t="str">
        <f>"1551599386517610"</f>
        <v>1551599386517610</v>
      </c>
      <c r="C6987" t="s">
        <v>40</v>
      </c>
      <c r="D6987">
        <v>5.6043849999999997</v>
      </c>
      <c r="E6987">
        <v>0.64070059999999995</v>
      </c>
      <c r="F6987" t="s">
        <v>43</v>
      </c>
      <c r="G6987">
        <v>-305.31360000000001</v>
      </c>
      <c r="H6987">
        <v>-0.05</v>
      </c>
      <c r="I6987">
        <v>5.9915469999999997</v>
      </c>
      <c r="J6987">
        <v>-313.91460000000001</v>
      </c>
      <c r="K6987">
        <v>1.069375</v>
      </c>
      <c r="L6987">
        <v>16.831569999999999</v>
      </c>
      <c r="M6987">
        <v>0.98846999999999996</v>
      </c>
      <c r="N6987">
        <v>-9.6602289999999993E-3</v>
      </c>
      <c r="O6987">
        <v>-0.15110860000000001</v>
      </c>
      <c r="P6987">
        <v>0.85316429999999999</v>
      </c>
      <c r="Q6987">
        <v>-8.4074350000000006E-2</v>
      </c>
      <c r="R6987">
        <v>-0.51482289999999997</v>
      </c>
      <c r="S6987">
        <v>1.9965520000000001</v>
      </c>
      <c r="T6987">
        <v>-0.25702580000000003</v>
      </c>
      <c r="U6987">
        <v>-2.4924930000000001</v>
      </c>
      <c r="V6987">
        <v>0.37946429999999998</v>
      </c>
      <c r="W6987">
        <v>-7.7753139999999998E-2</v>
      </c>
      <c r="X6987">
        <v>0.92193340000000001</v>
      </c>
      <c r="Y6987">
        <v>0.67502119999999999</v>
      </c>
      <c r="Z6987">
        <v>-2.3905719999999998E-2</v>
      </c>
      <c r="AA6987">
        <v>0.73741099999999904</v>
      </c>
      <c r="AB6987">
        <v>20</v>
      </c>
      <c r="AC6987">
        <v>8.6009999999999902</v>
      </c>
      <c r="AD6987">
        <v>-1.119375</v>
      </c>
      <c r="AE6987">
        <v>-10.840023</v>
      </c>
      <c r="AF6987">
        <v>9.3545783674408103</v>
      </c>
      <c r="AG6987">
        <v>-1.119375</v>
      </c>
      <c r="AH6987">
        <v>10.0744005856039</v>
      </c>
      <c r="AI6987">
        <v>94.6548792135128</v>
      </c>
      <c r="AJ6987">
        <v>47.121774926884001</v>
      </c>
      <c r="AK6987">
        <v>13.7932840173192</v>
      </c>
      <c r="AL6987">
        <v>94.459427993199895</v>
      </c>
      <c r="AM6987">
        <v>67.628119625910799</v>
      </c>
      <c r="AN6987">
        <v>0.999999949894953</v>
      </c>
    </row>
    <row r="6988" spans="1:40" x14ac:dyDescent="0.25">
      <c r="A6988" t="str">
        <f>"20190303154946541"</f>
        <v>20190303154946541</v>
      </c>
      <c r="B6988" t="str">
        <f>"1551599386538106"</f>
        <v>1551599386538106</v>
      </c>
      <c r="C6988" t="s">
        <v>40</v>
      </c>
      <c r="D6988">
        <v>5.6083220000000003</v>
      </c>
      <c r="E6988">
        <v>0.64000119999999905</v>
      </c>
      <c r="F6988" t="s">
        <v>43</v>
      </c>
      <c r="G6988">
        <v>-305.26850000000002</v>
      </c>
      <c r="H6988">
        <v>-0.05</v>
      </c>
      <c r="I6988">
        <v>5.8895869999999997</v>
      </c>
      <c r="J6988">
        <v>-313.8039</v>
      </c>
      <c r="K6988">
        <v>1.069145</v>
      </c>
      <c r="L6988">
        <v>16.81174</v>
      </c>
      <c r="M6988">
        <v>0.98805560000000003</v>
      </c>
      <c r="N6988">
        <v>-9.4511390000000008E-3</v>
      </c>
      <c r="O6988">
        <v>-0.15380779999999999</v>
      </c>
      <c r="P6988">
        <v>0.84956500000000001</v>
      </c>
      <c r="Q6988">
        <v>-8.2373399999999902E-2</v>
      </c>
      <c r="R6988">
        <v>-0.52101249999999999</v>
      </c>
      <c r="S6988">
        <v>1.9794620000000001</v>
      </c>
      <c r="T6988">
        <v>-0.25627359999999999</v>
      </c>
      <c r="U6988">
        <v>-2.505096</v>
      </c>
      <c r="V6988">
        <v>0.38361650000000003</v>
      </c>
      <c r="W6988">
        <v>-7.6340309999999995E-2</v>
      </c>
      <c r="X6988">
        <v>0.92033180000000003</v>
      </c>
      <c r="Y6988">
        <v>0.67791380000000001</v>
      </c>
      <c r="Z6988">
        <v>-2.373844E-2</v>
      </c>
      <c r="AA6988">
        <v>0.73475809999999997</v>
      </c>
      <c r="AB6988">
        <v>20</v>
      </c>
      <c r="AC6988">
        <v>8.5353999999999797</v>
      </c>
      <c r="AD6988">
        <v>-1.1191450000000001</v>
      </c>
      <c r="AE6988">
        <v>-10.922153</v>
      </c>
      <c r="AF6988">
        <v>9.4179169143255397</v>
      </c>
      <c r="AG6988">
        <v>-1.1191450000000001</v>
      </c>
      <c r="AH6988">
        <v>10.048314817131001</v>
      </c>
      <c r="AI6988">
        <v>94.645807796289105</v>
      </c>
      <c r="AJ6988">
        <v>46.854828464697697</v>
      </c>
      <c r="AK6988">
        <v>13.817317945257701</v>
      </c>
      <c r="AL6988">
        <v>94.378237041534803</v>
      </c>
      <c r="AM6988">
        <v>67.372448208320506</v>
      </c>
      <c r="AN6988">
        <v>1.00000004204719</v>
      </c>
    </row>
    <row r="6989" spans="1:40" x14ac:dyDescent="0.25">
      <c r="A6989" t="str">
        <f>"20190303154946552"</f>
        <v>20190303154946552</v>
      </c>
      <c r="B6989" t="str">
        <f>"1551599386547865"</f>
        <v>1551599386547865</v>
      </c>
      <c r="C6989" t="s">
        <v>40</v>
      </c>
      <c r="D6989">
        <v>5.6336979999999999</v>
      </c>
      <c r="E6989">
        <v>0.63965850000000002</v>
      </c>
      <c r="F6989" t="s">
        <v>43</v>
      </c>
      <c r="G6989">
        <v>-305.13220000000001</v>
      </c>
      <c r="H6989">
        <v>-0.05</v>
      </c>
      <c r="I6989">
        <v>5.7118679999999999</v>
      </c>
      <c r="J6989">
        <v>-313.69709999999998</v>
      </c>
      <c r="K6989">
        <v>1.068943</v>
      </c>
      <c r="L6989">
        <v>16.792020000000001</v>
      </c>
      <c r="M6989">
        <v>0.98763570000000001</v>
      </c>
      <c r="N6989">
        <v>-9.2660280000000008E-3</v>
      </c>
      <c r="O6989">
        <v>-0.1564931</v>
      </c>
      <c r="P6989">
        <v>0.84643359999999901</v>
      </c>
      <c r="Q6989">
        <v>-7.9030680000000006E-2</v>
      </c>
      <c r="R6989">
        <v>-0.52659709999999904</v>
      </c>
      <c r="S6989">
        <v>1.9645079999999999</v>
      </c>
      <c r="T6989">
        <v>-0.25353340000000002</v>
      </c>
      <c r="U6989">
        <v>-2.5145870000000001</v>
      </c>
      <c r="V6989">
        <v>0.3871327</v>
      </c>
      <c r="W6989">
        <v>-7.3259450000000004E-2</v>
      </c>
      <c r="X6989">
        <v>0.91910899999999995</v>
      </c>
      <c r="Y6989">
        <v>0.68001160000000005</v>
      </c>
      <c r="Z6989">
        <v>-2.3390950000000001E-2</v>
      </c>
      <c r="AA6989">
        <v>0.73282809999999998</v>
      </c>
      <c r="AB6989">
        <v>20</v>
      </c>
      <c r="AC6989">
        <v>8.5648999999999607</v>
      </c>
      <c r="AD6989">
        <v>-1.118943</v>
      </c>
      <c r="AE6989">
        <v>-11.080152</v>
      </c>
      <c r="AF6989">
        <v>9.5423011602902506</v>
      </c>
      <c r="AG6989">
        <v>-1.118943</v>
      </c>
      <c r="AH6989">
        <v>10.128745118968199</v>
      </c>
      <c r="AI6989">
        <v>94.597183615138704</v>
      </c>
      <c r="AJ6989">
        <v>46.707627237067697</v>
      </c>
      <c r="AK6989">
        <v>13.9606240031005</v>
      </c>
      <c r="AL6989">
        <v>94.201220920247493</v>
      </c>
      <c r="AM6989">
        <v>67.158962907255102</v>
      </c>
      <c r="AN6989">
        <v>1.00000001415229</v>
      </c>
    </row>
    <row r="6990" spans="1:40" x14ac:dyDescent="0.25">
      <c r="A6990" t="str">
        <f>"20190303154946564"</f>
        <v>20190303154946564</v>
      </c>
      <c r="B6990" t="str">
        <f>"1551599386557625"</f>
        <v>1551599386557625</v>
      </c>
      <c r="C6990" t="s">
        <v>40</v>
      </c>
      <c r="D6990">
        <v>5.6365499999999997</v>
      </c>
      <c r="E6990">
        <v>0.63933509999999905</v>
      </c>
      <c r="F6990" t="s">
        <v>43</v>
      </c>
      <c r="G6990">
        <v>-304.71730000000002</v>
      </c>
      <c r="H6990">
        <v>-0.05</v>
      </c>
      <c r="I6990">
        <v>5.1656040000000001</v>
      </c>
      <c r="J6990">
        <v>-313.59339999999997</v>
      </c>
      <c r="K6990">
        <v>1.0687500000000001</v>
      </c>
      <c r="L6990">
        <v>16.772739999999999</v>
      </c>
      <c r="M6990">
        <v>0.98721720000000002</v>
      </c>
      <c r="N6990">
        <v>-9.0903070000000006E-3</v>
      </c>
      <c r="O6990">
        <v>-0.1591217</v>
      </c>
      <c r="P6990">
        <v>0.84371589999999996</v>
      </c>
      <c r="Q6990">
        <v>-7.5625810000000002E-2</v>
      </c>
      <c r="R6990">
        <v>-0.53143669999999898</v>
      </c>
      <c r="S6990">
        <v>1.9504699999999999</v>
      </c>
      <c r="T6990">
        <v>-0.24304100000000001</v>
      </c>
      <c r="U6990">
        <v>-2.5253299999999999</v>
      </c>
      <c r="V6990">
        <v>0.38990999999999998</v>
      </c>
      <c r="W6990">
        <v>-7.0099350000000005E-2</v>
      </c>
      <c r="X6990">
        <v>0.91818100000000002</v>
      </c>
      <c r="Y6990">
        <v>0.68226390000000003</v>
      </c>
      <c r="Z6990">
        <v>-2.2496599999999999E-2</v>
      </c>
      <c r="AA6990">
        <v>0.73075990000000002</v>
      </c>
      <c r="AB6990">
        <v>20</v>
      </c>
      <c r="AC6990">
        <v>8.8760999999999495</v>
      </c>
      <c r="AD6990">
        <v>-1.1187499999999999</v>
      </c>
      <c r="AE6990">
        <v>-11.607136000000001</v>
      </c>
      <c r="AF6990">
        <v>9.9882473658887001</v>
      </c>
      <c r="AG6990">
        <v>-1.1187499999999999</v>
      </c>
      <c r="AH6990">
        <v>10.548189829199901</v>
      </c>
      <c r="AI6990">
        <v>94.403802286586895</v>
      </c>
      <c r="AJ6990">
        <v>46.561828514682503</v>
      </c>
      <c r="AK6990">
        <v>14.569866014398301</v>
      </c>
      <c r="AL6990">
        <v>94.019693418926806</v>
      </c>
      <c r="AM6990">
        <v>66.991260999926595</v>
      </c>
      <c r="AN6990">
        <v>1.0000000378657099</v>
      </c>
    </row>
    <row r="6991" spans="1:40" x14ac:dyDescent="0.25">
      <c r="A6991" t="str">
        <f>"20190303154946576"</f>
        <v>20190303154946576</v>
      </c>
      <c r="B6991" t="str">
        <f>"1551599386567386"</f>
        <v>1551599386567386</v>
      </c>
      <c r="C6991" t="s">
        <v>40</v>
      </c>
      <c r="D6991">
        <v>5.6038600000000001</v>
      </c>
      <c r="E6991">
        <v>0.63897490000000001</v>
      </c>
      <c r="F6991" t="s">
        <v>43</v>
      </c>
      <c r="G6991">
        <v>-304.16120000000001</v>
      </c>
      <c r="H6991">
        <v>-0.05</v>
      </c>
      <c r="I6991">
        <v>4.4424130000000002</v>
      </c>
      <c r="J6991">
        <v>-313.48180000000002</v>
      </c>
      <c r="K6991">
        <v>1.0685500000000001</v>
      </c>
      <c r="L6991">
        <v>16.751529999999999</v>
      </c>
      <c r="M6991">
        <v>0.98674899999999999</v>
      </c>
      <c r="N6991">
        <v>-8.9125679999999992E-3</v>
      </c>
      <c r="O6991">
        <v>-0.16200909999999999</v>
      </c>
      <c r="P6991">
        <v>0.84089439999999904</v>
      </c>
      <c r="Q6991">
        <v>-7.3270379999999996E-2</v>
      </c>
      <c r="R6991">
        <v>-0.5362169</v>
      </c>
      <c r="S6991">
        <v>1.9387209999999999</v>
      </c>
      <c r="T6991">
        <v>-0.22994970000000001</v>
      </c>
      <c r="U6991">
        <v>-2.5343930000000001</v>
      </c>
      <c r="V6991">
        <v>0.39240330000000001</v>
      </c>
      <c r="W6991">
        <v>-6.7995109999999997E-2</v>
      </c>
      <c r="X6991">
        <v>0.9172766</v>
      </c>
      <c r="Y6991">
        <v>0.68370189999999997</v>
      </c>
      <c r="Z6991">
        <v>-2.135012E-2</v>
      </c>
      <c r="AA6991">
        <v>0.72944900000000001</v>
      </c>
      <c r="AB6991">
        <v>20</v>
      </c>
      <c r="AC6991">
        <v>9.3206000000000095</v>
      </c>
      <c r="AD6991">
        <v>-1.1185499999999999</v>
      </c>
      <c r="AE6991">
        <v>-12.309117000000001</v>
      </c>
      <c r="AF6991">
        <v>10.580876858285199</v>
      </c>
      <c r="AG6991">
        <v>-1.1185499999999999</v>
      </c>
      <c r="AH6991">
        <v>11.133294439680901</v>
      </c>
      <c r="AI6991">
        <v>94.165270945896594</v>
      </c>
      <c r="AJ6991">
        <v>46.457314202068702</v>
      </c>
      <c r="AK6991">
        <v>15.3998816317959</v>
      </c>
      <c r="AL6991">
        <v>93.898840960736706</v>
      </c>
      <c r="AM6991">
        <v>66.839163792993702</v>
      </c>
      <c r="AN6991">
        <v>1.0000000228711801</v>
      </c>
    </row>
    <row r="6992" spans="1:40" x14ac:dyDescent="0.25">
      <c r="A6992" t="str">
        <f>"20190303154946588"</f>
        <v>20190303154946588</v>
      </c>
      <c r="B6992" t="str">
        <f>"1551599386578121"</f>
        <v>1551599386578121</v>
      </c>
      <c r="C6992" t="s">
        <v>40</v>
      </c>
      <c r="D6992">
        <v>5.628717</v>
      </c>
      <c r="E6992">
        <v>0.63850090000000004</v>
      </c>
      <c r="F6992" t="s">
        <v>43</v>
      </c>
      <c r="G6992">
        <v>-303.67180000000002</v>
      </c>
      <c r="H6992">
        <v>-0.05</v>
      </c>
      <c r="I6992">
        <v>3.803528</v>
      </c>
      <c r="J6992">
        <v>-313.37430000000001</v>
      </c>
      <c r="K6992">
        <v>1.0683590000000001</v>
      </c>
      <c r="L6992">
        <v>16.730709999999998</v>
      </c>
      <c r="M6992">
        <v>0.98628190000000004</v>
      </c>
      <c r="N6992">
        <v>-8.7508009999999904E-3</v>
      </c>
      <c r="O6992">
        <v>-0.1648377</v>
      </c>
      <c r="P6992">
        <v>0.83798639999999902</v>
      </c>
      <c r="Q6992">
        <v>-7.2283899999999998E-2</v>
      </c>
      <c r="R6992">
        <v>-0.5408828</v>
      </c>
      <c r="S6992">
        <v>1.9268190000000001</v>
      </c>
      <c r="T6992">
        <v>-0.21970000000000001</v>
      </c>
      <c r="U6992">
        <v>-2.5431819999999998</v>
      </c>
      <c r="V6992">
        <v>0.39485049999999999</v>
      </c>
      <c r="W6992">
        <v>-6.7246429999999996E-2</v>
      </c>
      <c r="X6992">
        <v>0.91628109999999996</v>
      </c>
      <c r="Y6992">
        <v>0.68512519999999999</v>
      </c>
      <c r="Z6992">
        <v>-2.0432140000000001E-2</v>
      </c>
      <c r="AA6992">
        <v>0.72813869999999903</v>
      </c>
      <c r="AB6992">
        <v>20</v>
      </c>
      <c r="AC6992">
        <v>9.7024999999999793</v>
      </c>
      <c r="AD6992">
        <v>-1.1183590000000001</v>
      </c>
      <c r="AE6992">
        <v>-12.927182</v>
      </c>
      <c r="AF6992">
        <v>11.097804321735699</v>
      </c>
      <c r="AG6992">
        <v>-1.1183590000000001</v>
      </c>
      <c r="AH6992">
        <v>11.644985001181601</v>
      </c>
      <c r="AI6992">
        <v>93.976960071705506</v>
      </c>
      <c r="AJ6992">
        <v>46.378243271028403</v>
      </c>
      <c r="AK6992">
        <v>16.1250632027959</v>
      </c>
      <c r="AL6992">
        <v>93.855846330178196</v>
      </c>
      <c r="AM6992">
        <v>66.687472872699303</v>
      </c>
      <c r="AN6992">
        <v>1.0000000269575999</v>
      </c>
    </row>
    <row r="6993" spans="1:40" x14ac:dyDescent="0.25">
      <c r="A6993" t="str">
        <f>"20190303154946601"</f>
        <v>20190303154946601</v>
      </c>
      <c r="B6993" t="str">
        <f>"1551599386597643"</f>
        <v>1551599386597643</v>
      </c>
      <c r="C6993" t="s">
        <v>40</v>
      </c>
      <c r="D6993">
        <v>5.6915100000000001</v>
      </c>
      <c r="E6993">
        <v>0.61657150000000005</v>
      </c>
      <c r="F6993" t="s">
        <v>43</v>
      </c>
      <c r="G6993">
        <v>-303.4058</v>
      </c>
      <c r="H6993">
        <v>-0.05</v>
      </c>
      <c r="I6993">
        <v>3.4532780000000001</v>
      </c>
      <c r="J6993">
        <v>-313.25729999999999</v>
      </c>
      <c r="K6993">
        <v>1.0681480000000001</v>
      </c>
      <c r="L6993">
        <v>16.707789999999999</v>
      </c>
      <c r="M6993">
        <v>0.98575740000000001</v>
      </c>
      <c r="N6993">
        <v>-8.580519E-3</v>
      </c>
      <c r="O6993">
        <v>-0.16795470000000001</v>
      </c>
      <c r="P6993">
        <v>0.83474419999999905</v>
      </c>
      <c r="Q6993">
        <v>-7.3214680000000004E-2</v>
      </c>
      <c r="R6993">
        <v>-0.54574919999999905</v>
      </c>
      <c r="S6993">
        <v>1.9151</v>
      </c>
      <c r="T6993">
        <v>-0.2148525</v>
      </c>
      <c r="U6993">
        <v>-2.5507810000000002</v>
      </c>
      <c r="V6993">
        <v>0.39727570000000001</v>
      </c>
      <c r="W6993">
        <v>-6.8431850000000002E-2</v>
      </c>
      <c r="X6993">
        <v>0.91514430000000002</v>
      </c>
      <c r="Y6993">
        <v>0.68606940000000005</v>
      </c>
      <c r="Z6993">
        <v>-1.985603E-2</v>
      </c>
      <c r="AA6993">
        <v>0.7272651</v>
      </c>
      <c r="AB6993">
        <v>21</v>
      </c>
      <c r="AC6993">
        <v>9.8514999999999802</v>
      </c>
      <c r="AD6993">
        <v>-1.1181479999999999</v>
      </c>
      <c r="AE6993">
        <v>-13.254511999999901</v>
      </c>
      <c r="AF6993">
        <v>11.3594737628025</v>
      </c>
      <c r="AG6993">
        <v>-1.1181479999999999</v>
      </c>
      <c r="AH6993">
        <v>11.883310823360199</v>
      </c>
      <c r="AI6993">
        <v>93.891079554000001</v>
      </c>
      <c r="AJ6993">
        <v>46.291091968968203</v>
      </c>
      <c r="AK6993">
        <v>16.477286646844799</v>
      </c>
      <c r="AL6993">
        <v>93.9239228509702</v>
      </c>
      <c r="AM6993">
        <v>66.533726271476297</v>
      </c>
      <c r="AN6993">
        <v>0.99999999486370095</v>
      </c>
    </row>
    <row r="6994" spans="1:40" x14ac:dyDescent="0.25">
      <c r="A6994" t="str">
        <f>"20190303154946613"</f>
        <v>20190303154946613</v>
      </c>
      <c r="B6994" t="str">
        <f>"1551599386607402"</f>
        <v>1551599386607402</v>
      </c>
      <c r="C6994" t="s">
        <v>40</v>
      </c>
      <c r="D6994">
        <v>5.6130930000000001</v>
      </c>
      <c r="E6994">
        <v>0.61802389999999996</v>
      </c>
      <c r="F6994" t="s">
        <v>43</v>
      </c>
      <c r="G6994">
        <v>-305.73809999999997</v>
      </c>
      <c r="H6994">
        <v>-0.05</v>
      </c>
      <c r="I6994">
        <v>7.589264</v>
      </c>
      <c r="J6994">
        <v>-313.13959999999997</v>
      </c>
      <c r="K6994">
        <v>1.0679459999999901</v>
      </c>
      <c r="L6994">
        <v>16.684049999999999</v>
      </c>
      <c r="M6994">
        <v>0.9852033</v>
      </c>
      <c r="N6994">
        <v>-8.4243080000000001E-3</v>
      </c>
      <c r="O6994">
        <v>-0.171183</v>
      </c>
      <c r="P6994">
        <v>0.83110849999999903</v>
      </c>
      <c r="Q6994">
        <v>-7.4833620000000003E-2</v>
      </c>
      <c r="R6994">
        <v>-0.55105249999999995</v>
      </c>
      <c r="S6994">
        <v>1.9901120000000001</v>
      </c>
      <c r="T6994">
        <v>-0.29594280000000001</v>
      </c>
      <c r="U6994">
        <v>-2.4134220000000002</v>
      </c>
      <c r="V6994">
        <v>0.4000976</v>
      </c>
      <c r="W6994">
        <v>-7.0304829999999999E-2</v>
      </c>
      <c r="X6994">
        <v>0.91377189999999997</v>
      </c>
      <c r="Y6994">
        <v>0.64878709999999995</v>
      </c>
      <c r="Z6994">
        <v>-2.2631160000000001E-2</v>
      </c>
      <c r="AA6994">
        <v>0.76063340000000002</v>
      </c>
      <c r="AB6994">
        <v>21</v>
      </c>
      <c r="AC6994">
        <v>7.4014999999999898</v>
      </c>
      <c r="AD6994">
        <v>-1.1179460000000001</v>
      </c>
      <c r="AE6994">
        <v>-9.0947859999999991</v>
      </c>
      <c r="AF6994">
        <v>7.6241736027175797</v>
      </c>
      <c r="AG6994">
        <v>-1.1179460000000001</v>
      </c>
      <c r="AH6994">
        <v>8.7694570773306193</v>
      </c>
      <c r="AI6994">
        <v>95.495301486980097</v>
      </c>
      <c r="AJ6994">
        <v>48.996275553704301</v>
      </c>
      <c r="AK6994">
        <v>11.673954077965</v>
      </c>
      <c r="AL6994">
        <v>94.031495940144495</v>
      </c>
      <c r="AM6994">
        <v>66.353657213330294</v>
      </c>
      <c r="AN6994">
        <v>0.999999971938348</v>
      </c>
    </row>
    <row r="6995" spans="1:40" x14ac:dyDescent="0.25">
      <c r="A6995" t="str">
        <f>"20190303154946628"</f>
        <v>20190303154946628</v>
      </c>
      <c r="B6995" t="str">
        <f>"1551599386618138"</f>
        <v>1551599386618138</v>
      </c>
      <c r="C6995" t="s">
        <v>40</v>
      </c>
      <c r="D6995">
        <v>5.6182210000000001</v>
      </c>
      <c r="E6995">
        <v>0.6177281</v>
      </c>
      <c r="F6995" t="s">
        <v>43</v>
      </c>
      <c r="G6995">
        <v>-305.31659999999999</v>
      </c>
      <c r="H6995">
        <v>-0.05</v>
      </c>
      <c r="I6995">
        <v>7.0045169999999999</v>
      </c>
      <c r="J6995">
        <v>-313.00810000000001</v>
      </c>
      <c r="K6995">
        <v>1.067704</v>
      </c>
      <c r="L6995">
        <v>16.657070000000001</v>
      </c>
      <c r="M6995">
        <v>0.98456149999999998</v>
      </c>
      <c r="N6995">
        <v>-8.2576200000000002E-3</v>
      </c>
      <c r="O6995">
        <v>-0.17484439999999901</v>
      </c>
      <c r="P6995">
        <v>0.82447479999999995</v>
      </c>
      <c r="Q6995">
        <v>-8.0573190000000003E-2</v>
      </c>
      <c r="R6995">
        <v>-0.56013389999999996</v>
      </c>
      <c r="S6995">
        <v>1.9689939999999999</v>
      </c>
      <c r="T6995">
        <v>-0.28137649999999997</v>
      </c>
      <c r="U6995">
        <v>-2.4362490000000001</v>
      </c>
      <c r="V6995">
        <v>0.40673789999999999</v>
      </c>
      <c r="W6995">
        <v>-7.6367169999999998E-2</v>
      </c>
      <c r="X6995">
        <v>0.91034740000000003</v>
      </c>
      <c r="Y6995">
        <v>0.65364199999999995</v>
      </c>
      <c r="Z6995">
        <v>-2.16574E-2</v>
      </c>
      <c r="AA6995">
        <v>0.756494</v>
      </c>
      <c r="AB6995">
        <v>21</v>
      </c>
      <c r="AC6995">
        <v>7.6915000000000102</v>
      </c>
      <c r="AD6995">
        <v>-1.117704</v>
      </c>
      <c r="AE6995">
        <v>-9.6525529999999993</v>
      </c>
      <c r="AF6995">
        <v>8.0926267052387804</v>
      </c>
      <c r="AG6995">
        <v>-1.117704</v>
      </c>
      <c r="AH6995">
        <v>9.1854353760246905</v>
      </c>
      <c r="AI6995">
        <v>95.216750240125194</v>
      </c>
      <c r="AJ6995">
        <v>48.619042020189902</v>
      </c>
      <c r="AK6995">
        <v>12.292765851064001</v>
      </c>
      <c r="AL6995">
        <v>94.379780580840603</v>
      </c>
      <c r="AM6995">
        <v>65.925187247162597</v>
      </c>
      <c r="AN6995">
        <v>1.0000000263184801</v>
      </c>
    </row>
    <row r="6996" spans="1:40" x14ac:dyDescent="0.25">
      <c r="A6996" t="str">
        <f>"20190303154946642"</f>
        <v>20190303154946642</v>
      </c>
      <c r="B6996" t="str">
        <f>"1551599386637658"</f>
        <v>1551599386637658</v>
      </c>
      <c r="C6996" t="s">
        <v>40</v>
      </c>
      <c r="D6996">
        <v>5.6212330000000001</v>
      </c>
      <c r="E6996">
        <v>0.61704969999999904</v>
      </c>
      <c r="F6996" t="s">
        <v>43</v>
      </c>
      <c r="G6996">
        <v>-305.70999999999998</v>
      </c>
      <c r="H6996">
        <v>-0.05</v>
      </c>
      <c r="I6996">
        <v>7.4276279999999897</v>
      </c>
      <c r="J6996">
        <v>-312.87860000000001</v>
      </c>
      <c r="K6996">
        <v>1.067499</v>
      </c>
      <c r="L6996">
        <v>16.63007</v>
      </c>
      <c r="M6996">
        <v>0.98390480000000002</v>
      </c>
      <c r="N6996">
        <v>-8.1026499999999994E-3</v>
      </c>
      <c r="O6996">
        <v>-0.17851020000000001</v>
      </c>
      <c r="P6996">
        <v>0.82000379999999995</v>
      </c>
      <c r="Q6996">
        <v>-8.2372169999999995E-2</v>
      </c>
      <c r="R6996">
        <v>-0.56640049999999997</v>
      </c>
      <c r="S6996">
        <v>1.9415279999999999</v>
      </c>
      <c r="T6996">
        <v>-0.29734060000000001</v>
      </c>
      <c r="U6996">
        <v>-2.455292</v>
      </c>
      <c r="V6996">
        <v>0.41027770000000002</v>
      </c>
      <c r="W6996">
        <v>-7.8440360000000001E-2</v>
      </c>
      <c r="X6996">
        <v>0.90858099999999997</v>
      </c>
      <c r="Y6996">
        <v>0.65861569999999903</v>
      </c>
      <c r="Z6996">
        <v>-2.2597200000000001E-2</v>
      </c>
      <c r="AA6996">
        <v>0.75214019999999904</v>
      </c>
      <c r="AB6996">
        <v>21</v>
      </c>
      <c r="AC6996">
        <v>7.1686000000000201</v>
      </c>
      <c r="AD6996">
        <v>-1.117499</v>
      </c>
      <c r="AE6996">
        <v>-9.2024419999999996</v>
      </c>
      <c r="AF6996">
        <v>7.7042084465779901</v>
      </c>
      <c r="AG6996">
        <v>-1.117499</v>
      </c>
      <c r="AH6996">
        <v>8.6171512286658505</v>
      </c>
      <c r="AI6996">
        <v>95.522077273336706</v>
      </c>
      <c r="AJ6996">
        <v>48.201529681280199</v>
      </c>
      <c r="AK6996">
        <v>11.6128776408357</v>
      </c>
      <c r="AL6996">
        <v>94.498922944587903</v>
      </c>
      <c r="AM6996">
        <v>65.698027953563297</v>
      </c>
      <c r="AN6996">
        <v>1.0000000573776</v>
      </c>
    </row>
    <row r="6997" spans="1:40" x14ac:dyDescent="0.25">
      <c r="A6997" t="str">
        <f>"20190303154946653"</f>
        <v>20190303154946653</v>
      </c>
      <c r="B6997" t="str">
        <f>"1551599386647418"</f>
        <v>1551599386647418</v>
      </c>
      <c r="C6997" t="s">
        <v>40</v>
      </c>
      <c r="D6997">
        <v>5.4191640000000003</v>
      </c>
      <c r="E6997">
        <v>0.61906619999999901</v>
      </c>
      <c r="F6997" t="s">
        <v>43</v>
      </c>
      <c r="G6997">
        <v>-305.815</v>
      </c>
      <c r="H6997">
        <v>-0.05</v>
      </c>
      <c r="I6997">
        <v>7.5834349999999997</v>
      </c>
      <c r="J6997">
        <v>-312.77289999999999</v>
      </c>
      <c r="K6997">
        <v>1.067345</v>
      </c>
      <c r="L6997">
        <v>16.60736</v>
      </c>
      <c r="M6997">
        <v>0.98334339999999998</v>
      </c>
      <c r="N6997">
        <v>-7.9888089999999995E-3</v>
      </c>
      <c r="O6997">
        <v>-0.18158170000000001</v>
      </c>
      <c r="P6997">
        <v>0.81587889999999996</v>
      </c>
      <c r="Q6997">
        <v>-8.3484439999999993E-2</v>
      </c>
      <c r="R6997">
        <v>-0.57216420000000001</v>
      </c>
      <c r="S6997">
        <v>1.9250179999999999</v>
      </c>
      <c r="T6997">
        <v>-0.30454520000000002</v>
      </c>
      <c r="U6997">
        <v>-2.4654240000000001</v>
      </c>
      <c r="V6997">
        <v>0.4138327</v>
      </c>
      <c r="W6997">
        <v>-7.9775960000000007E-2</v>
      </c>
      <c r="X6997">
        <v>0.90685079999999996</v>
      </c>
      <c r="Y6997">
        <v>0.66078000000000003</v>
      </c>
      <c r="Z6997">
        <v>-2.286055E-2</v>
      </c>
      <c r="AA6997">
        <v>0.75023139999999999</v>
      </c>
      <c r="AB6997">
        <v>21</v>
      </c>
      <c r="AC6997">
        <v>6.9578999999999898</v>
      </c>
      <c r="AD6997">
        <v>-1.117345</v>
      </c>
      <c r="AE6997">
        <v>-9.0239249999999895</v>
      </c>
      <c r="AF6997">
        <v>7.5379544971977896</v>
      </c>
      <c r="AG6997">
        <v>-1.117345</v>
      </c>
      <c r="AH6997">
        <v>8.4000876863706004</v>
      </c>
      <c r="AI6997">
        <v>95.653828902630096</v>
      </c>
      <c r="AJ6997">
        <v>48.096271067511303</v>
      </c>
      <c r="AK6997">
        <v>11.341547116225501</v>
      </c>
      <c r="AL6997">
        <v>94.575687844854599</v>
      </c>
      <c r="AM6997">
        <v>65.470867886859594</v>
      </c>
      <c r="AN6997">
        <v>1.00000004042192</v>
      </c>
    </row>
    <row r="6998" spans="1:40" x14ac:dyDescent="0.25">
      <c r="A6998" t="str">
        <f>"20190303154946665"</f>
        <v>20190303154946665</v>
      </c>
      <c r="B6998" t="str">
        <f>"1551599386658154"</f>
        <v>1551599386658154</v>
      </c>
      <c r="C6998" t="s">
        <v>40</v>
      </c>
      <c r="D6998">
        <v>5.6913340000000003</v>
      </c>
      <c r="E6998">
        <v>0.61984289999999997</v>
      </c>
      <c r="F6998" t="s">
        <v>43</v>
      </c>
      <c r="G6998">
        <v>-305.3503</v>
      </c>
      <c r="H6998">
        <v>-0.05</v>
      </c>
      <c r="I6998">
        <v>6.8677979999999996</v>
      </c>
      <c r="J6998">
        <v>-312.65980000000002</v>
      </c>
      <c r="K6998">
        <v>1.0671870000000001</v>
      </c>
      <c r="L6998">
        <v>16.58276</v>
      </c>
      <c r="M6998">
        <v>0.98272409999999999</v>
      </c>
      <c r="N6998">
        <v>-7.8724060000000002E-3</v>
      </c>
      <c r="O6998">
        <v>-0.18490880000000001</v>
      </c>
      <c r="P6998">
        <v>0.81158419999999998</v>
      </c>
      <c r="Q6998">
        <v>-8.4041299999999999E-2</v>
      </c>
      <c r="R6998">
        <v>-0.5781596</v>
      </c>
      <c r="S6998">
        <v>1.8997189999999999</v>
      </c>
      <c r="T6998">
        <v>-0.28596539999999998</v>
      </c>
      <c r="U6998">
        <v>-2.4926759999999999</v>
      </c>
      <c r="V6998">
        <v>0.41742790000000002</v>
      </c>
      <c r="W6998">
        <v>-8.0564490000000002E-2</v>
      </c>
      <c r="X6998">
        <v>0.90513160000000004</v>
      </c>
      <c r="Y6998">
        <v>0.66726960000000002</v>
      </c>
      <c r="Z6998">
        <v>-2.1823100000000002E-2</v>
      </c>
      <c r="AA6998">
        <v>0.74449659999999995</v>
      </c>
      <c r="AB6998">
        <v>21</v>
      </c>
      <c r="AC6998">
        <v>7.3095000000000097</v>
      </c>
      <c r="AD6998">
        <v>-1.1171869999999999</v>
      </c>
      <c r="AE6998">
        <v>-9.7149619999999999</v>
      </c>
      <c r="AF6998">
        <v>8.1271647431864693</v>
      </c>
      <c r="AG6998">
        <v>-1.1171869999999999</v>
      </c>
      <c r="AH6998">
        <v>8.9046909821702407</v>
      </c>
      <c r="AI6998">
        <v>95.294329082963898</v>
      </c>
      <c r="AJ6998">
        <v>47.613811672889298</v>
      </c>
      <c r="AK6998">
        <v>12.1075362912446</v>
      </c>
      <c r="AL6998">
        <v>94.621013592971195</v>
      </c>
      <c r="AM6998">
        <v>65.241829426423394</v>
      </c>
      <c r="AN6998">
        <v>0.99999995103296302</v>
      </c>
    </row>
    <row r="6999" spans="1:40" x14ac:dyDescent="0.25">
      <c r="A6999" t="str">
        <f>"20190303154946678"</f>
        <v>20190303154946678</v>
      </c>
      <c r="B6999" t="str">
        <f>"1551599386667914"</f>
        <v>1551599386667914</v>
      </c>
      <c r="C6999" t="s">
        <v>40</v>
      </c>
      <c r="D6999">
        <v>5.8032550000000001</v>
      </c>
      <c r="E6999">
        <v>0.62204649999999995</v>
      </c>
      <c r="F6999" t="s">
        <v>43</v>
      </c>
      <c r="G6999">
        <v>-305.39069999999998</v>
      </c>
      <c r="H6999">
        <v>-0.05</v>
      </c>
      <c r="I6999">
        <v>6.8577269999999997</v>
      </c>
      <c r="J6999">
        <v>-312.5385</v>
      </c>
      <c r="K6999">
        <v>1.0670280000000001</v>
      </c>
      <c r="L6999">
        <v>16.555969999999999</v>
      </c>
      <c r="M6999">
        <v>0.98203739999999995</v>
      </c>
      <c r="N6999">
        <v>-7.7570249999999999E-3</v>
      </c>
      <c r="O6999">
        <v>-0.1885269</v>
      </c>
      <c r="P6999">
        <v>0.80730069999999998</v>
      </c>
      <c r="Q6999">
        <v>-8.3720149999999993E-2</v>
      </c>
      <c r="R6999">
        <v>-0.58417189999999997</v>
      </c>
      <c r="S6999">
        <v>1.8773500000000001</v>
      </c>
      <c r="T6999">
        <v>-0.28852899999999998</v>
      </c>
      <c r="U6999">
        <v>-2.5116269999999998</v>
      </c>
      <c r="V6999">
        <v>0.42079090000000002</v>
      </c>
      <c r="W6999">
        <v>-8.0476690000000003E-2</v>
      </c>
      <c r="X6999">
        <v>0.90358099999999997</v>
      </c>
      <c r="Y6999">
        <v>0.67142650000000004</v>
      </c>
      <c r="Z6999">
        <v>-2.1888600000000001E-2</v>
      </c>
      <c r="AA6999">
        <v>0.74074770000000001</v>
      </c>
      <c r="AB6999">
        <v>21</v>
      </c>
      <c r="AC6999">
        <v>7.1478000000000099</v>
      </c>
      <c r="AD6999">
        <v>-1.1170279999999999</v>
      </c>
      <c r="AE6999">
        <v>-9.6982429999999997</v>
      </c>
      <c r="AF6999">
        <v>8.1070387772384702</v>
      </c>
      <c r="AG6999">
        <v>-1.1170279999999999</v>
      </c>
      <c r="AH6999">
        <v>8.77263900741311</v>
      </c>
      <c r="AI6999">
        <v>95.342431688740504</v>
      </c>
      <c r="AJ6999">
        <v>47.258119922686198</v>
      </c>
      <c r="AK6999">
        <v>11.997125674211199</v>
      </c>
      <c r="AL6999">
        <v>94.615966171430898</v>
      </c>
      <c r="AM6999">
        <v>65.028957369890406</v>
      </c>
      <c r="AN6999">
        <v>1.0000000513585801</v>
      </c>
    </row>
    <row r="7000" spans="1:40" x14ac:dyDescent="0.25">
      <c r="A7000" t="str">
        <f>"20190303154946695"</f>
        <v>20190303154946695</v>
      </c>
      <c r="B7000" t="str">
        <f>"1551599386687433"</f>
        <v>1551599386687433</v>
      </c>
      <c r="C7000" t="s">
        <v>40</v>
      </c>
      <c r="D7000">
        <v>5.8040580000000004</v>
      </c>
      <c r="E7000">
        <v>0.6593601</v>
      </c>
      <c r="F7000" t="s">
        <v>43</v>
      </c>
      <c r="G7000">
        <v>-305.41449999999998</v>
      </c>
      <c r="H7000">
        <v>-0.05</v>
      </c>
      <c r="I7000">
        <v>6.7680660000000001</v>
      </c>
      <c r="J7000">
        <v>-312.38569999999999</v>
      </c>
      <c r="K7000">
        <v>1.0668439999999999</v>
      </c>
      <c r="L7000">
        <v>16.52121</v>
      </c>
      <c r="M7000">
        <v>0.98113019999999995</v>
      </c>
      <c r="N7000">
        <v>-7.6280100000000002E-3</v>
      </c>
      <c r="O7000">
        <v>-0.19319819999999999</v>
      </c>
      <c r="P7000">
        <v>0.79950959999999904</v>
      </c>
      <c r="Q7000">
        <v>-8.3815429999999996E-2</v>
      </c>
      <c r="R7000">
        <v>-0.59477720000000001</v>
      </c>
      <c r="S7000">
        <v>1.8483890000000001</v>
      </c>
      <c r="T7000">
        <v>-0.28982190000000002</v>
      </c>
      <c r="U7000">
        <v>-2.5395509999999999</v>
      </c>
      <c r="V7000">
        <v>0.4283766</v>
      </c>
      <c r="W7000">
        <v>-8.0895069999999999E-2</v>
      </c>
      <c r="X7000">
        <v>0.89997190000000005</v>
      </c>
      <c r="Y7000">
        <v>0.67726929999999996</v>
      </c>
      <c r="Z7000">
        <v>-2.1880239999999999E-2</v>
      </c>
      <c r="AA7000">
        <v>0.7354098</v>
      </c>
      <c r="AB7000">
        <v>21</v>
      </c>
      <c r="AC7000">
        <v>6.9711999999999996</v>
      </c>
      <c r="AD7000">
        <v>-1.1168439999999999</v>
      </c>
      <c r="AE7000">
        <v>-9.7531440000000007</v>
      </c>
      <c r="AF7000">
        <v>8.1517710268651395</v>
      </c>
      <c r="AG7000">
        <v>-1.1168439999999999</v>
      </c>
      <c r="AH7000">
        <v>8.6491329143478897</v>
      </c>
      <c r="AI7000">
        <v>95.368263792123997</v>
      </c>
      <c r="AJ7000">
        <v>46.695647871390797</v>
      </c>
      <c r="AK7000">
        <v>11.937596557298701</v>
      </c>
      <c r="AL7000">
        <v>94.640016358848698</v>
      </c>
      <c r="AM7000">
        <v>64.546072105009699</v>
      </c>
      <c r="AN7000">
        <v>0.99999997228373705</v>
      </c>
    </row>
    <row r="7001" spans="1:40" x14ac:dyDescent="0.25">
      <c r="A7001" t="str">
        <f>"20190303154946708"</f>
        <v>20190303154946708</v>
      </c>
      <c r="B7001" t="str">
        <f>"1551599386698170"</f>
        <v>1551599386698170</v>
      </c>
      <c r="C7001" t="s">
        <v>40</v>
      </c>
      <c r="D7001">
        <v>5.7787519999999999</v>
      </c>
      <c r="E7001">
        <v>0.65737950000000001</v>
      </c>
      <c r="F7001" t="s">
        <v>43</v>
      </c>
      <c r="G7001">
        <v>-306.02429999999998</v>
      </c>
      <c r="H7001">
        <v>-0.05</v>
      </c>
      <c r="I7001">
        <v>5.6314390000000003</v>
      </c>
      <c r="J7001">
        <v>-312.26119999999997</v>
      </c>
      <c r="K7001">
        <v>1.066705</v>
      </c>
      <c r="L7001">
        <v>16.492279999999901</v>
      </c>
      <c r="M7001">
        <v>0.98035879999999997</v>
      </c>
      <c r="N7001">
        <v>-7.5332059999999998E-3</v>
      </c>
      <c r="O7001">
        <v>-0.1970787</v>
      </c>
      <c r="P7001">
        <v>0.79424110000000003</v>
      </c>
      <c r="Q7001">
        <v>-8.3794259999999995E-2</v>
      </c>
      <c r="R7001">
        <v>-0.60179719999999903</v>
      </c>
      <c r="S7001">
        <v>1.6372070000000001</v>
      </c>
      <c r="T7001">
        <v>-0.28743659999999999</v>
      </c>
      <c r="U7001">
        <v>-2.8026430000000002</v>
      </c>
      <c r="V7001">
        <v>0.43271759999999898</v>
      </c>
      <c r="W7001">
        <v>-8.1107120000000005E-2</v>
      </c>
      <c r="X7001">
        <v>0.897873699999999</v>
      </c>
      <c r="Y7001">
        <v>0.74472859999999996</v>
      </c>
      <c r="Z7001">
        <v>-2.6105529999999998E-2</v>
      </c>
      <c r="AA7001">
        <v>0.66685660000000002</v>
      </c>
      <c r="AB7001">
        <v>21</v>
      </c>
      <c r="AC7001">
        <v>6.2368999999999897</v>
      </c>
      <c r="AD7001">
        <v>-1.1167049999999901</v>
      </c>
      <c r="AE7001">
        <v>-10.860840999999899</v>
      </c>
      <c r="AF7001">
        <v>9.3443388988568792</v>
      </c>
      <c r="AG7001">
        <v>-1.1167049999999901</v>
      </c>
      <c r="AH7001">
        <v>8.1899627110903097</v>
      </c>
      <c r="AI7001">
        <v>95.135506413309002</v>
      </c>
      <c r="AJ7001">
        <v>41.233350215141698</v>
      </c>
      <c r="AK7001">
        <v>12.475543624338099</v>
      </c>
      <c r="AL7001">
        <v>94.652205697825707</v>
      </c>
      <c r="AM7001">
        <v>64.268912061493097</v>
      </c>
      <c r="AN7001">
        <v>1.0000000337080699</v>
      </c>
    </row>
    <row r="7002" spans="1:40" x14ac:dyDescent="0.25">
      <c r="A7002" t="str">
        <f>"20190303154946721"</f>
        <v>20190303154946721</v>
      </c>
      <c r="B7002" t="str">
        <f>"1551599386717690"</f>
        <v>1551599386717690</v>
      </c>
      <c r="C7002" t="s">
        <v>40</v>
      </c>
      <c r="D7002">
        <v>5.7559909999999999</v>
      </c>
      <c r="E7002">
        <v>0.65611629999999999</v>
      </c>
      <c r="F7002" t="s">
        <v>43</v>
      </c>
      <c r="G7002">
        <v>-306.11500000000001</v>
      </c>
      <c r="H7002">
        <v>-0.05</v>
      </c>
      <c r="I7002">
        <v>5.8652040000000003</v>
      </c>
      <c r="J7002">
        <v>-312.14089999999999</v>
      </c>
      <c r="K7002">
        <v>1.066573</v>
      </c>
      <c r="L7002">
        <v>16.46396</v>
      </c>
      <c r="M7002">
        <v>0.97958959999999995</v>
      </c>
      <c r="N7002">
        <v>-7.4480219999999899E-3</v>
      </c>
      <c r="O7002">
        <v>-0.20086989999999999</v>
      </c>
      <c r="P7002">
        <v>0.78873839999999995</v>
      </c>
      <c r="Q7002">
        <v>-8.2831230000000006E-2</v>
      </c>
      <c r="R7002">
        <v>-0.60912330000000003</v>
      </c>
      <c r="S7002">
        <v>1.621613</v>
      </c>
      <c r="T7002">
        <v>-0.29463299999999998</v>
      </c>
      <c r="U7002">
        <v>-2.8038639999999999</v>
      </c>
      <c r="V7002">
        <v>0.43751659999999998</v>
      </c>
      <c r="W7002">
        <v>-8.0372970000000002E-2</v>
      </c>
      <c r="X7002">
        <v>0.89561119999999905</v>
      </c>
      <c r="Y7002">
        <v>0.74494649999999996</v>
      </c>
      <c r="Z7002">
        <v>-2.6298539999999999E-2</v>
      </c>
      <c r="AA7002">
        <v>0.66660569999999997</v>
      </c>
      <c r="AB7002">
        <v>21</v>
      </c>
      <c r="AC7002">
        <v>6.0258999999999698</v>
      </c>
      <c r="AD7002">
        <v>-1.116573</v>
      </c>
      <c r="AE7002">
        <v>-10.598756</v>
      </c>
      <c r="AF7002">
        <v>9.0959728374235507</v>
      </c>
      <c r="AG7002">
        <v>-1.116573</v>
      </c>
      <c r="AH7002">
        <v>7.9652953697665598</v>
      </c>
      <c r="AI7002">
        <v>95.276327349299507</v>
      </c>
      <c r="AJ7002">
        <v>41.208461499312499</v>
      </c>
      <c r="AK7002">
        <v>12.14205038085</v>
      </c>
      <c r="AL7002">
        <v>94.610004352063598</v>
      </c>
      <c r="AM7002">
        <v>63.963947081066699</v>
      </c>
      <c r="AN7002">
        <v>1.0000000055738101</v>
      </c>
    </row>
    <row r="7003" spans="1:40" x14ac:dyDescent="0.25">
      <c r="A7003" t="str">
        <f>"20190303154946734"</f>
        <v>20190303154946734</v>
      </c>
      <c r="B7003" t="str">
        <f>"1551599386727450"</f>
        <v>1551599386727450</v>
      </c>
      <c r="C7003" t="s">
        <v>40</v>
      </c>
      <c r="D7003">
        <v>5.7247089999999998</v>
      </c>
      <c r="E7003">
        <v>0.65571389999999996</v>
      </c>
      <c r="F7003" t="s">
        <v>43</v>
      </c>
      <c r="G7003">
        <v>-305.8535</v>
      </c>
      <c r="H7003">
        <v>-0.05</v>
      </c>
      <c r="I7003">
        <v>5.435028</v>
      </c>
      <c r="J7003">
        <v>-312.01749999999998</v>
      </c>
      <c r="K7003">
        <v>1.0664400000000001</v>
      </c>
      <c r="L7003">
        <v>16.43402</v>
      </c>
      <c r="M7003">
        <v>0.97876269999999999</v>
      </c>
      <c r="N7003">
        <v>-7.3733180000000002E-3</v>
      </c>
      <c r="O7003">
        <v>-0.2048635</v>
      </c>
      <c r="P7003">
        <v>0.78286449999999996</v>
      </c>
      <c r="Q7003">
        <v>-8.17306E-2</v>
      </c>
      <c r="R7003">
        <v>-0.61680100000000004</v>
      </c>
      <c r="S7003">
        <v>1.6026309999999999</v>
      </c>
      <c r="T7003">
        <v>-0.28460859999999999</v>
      </c>
      <c r="U7003">
        <v>-2.8112180000000002</v>
      </c>
      <c r="V7003">
        <v>0.44257370000000001</v>
      </c>
      <c r="W7003">
        <v>-7.9499180000000003E-2</v>
      </c>
      <c r="X7003">
        <v>0.89320119999999903</v>
      </c>
      <c r="Y7003">
        <v>0.74652819999999998</v>
      </c>
      <c r="Z7003">
        <v>-2.5314329999999999E-2</v>
      </c>
      <c r="AA7003">
        <v>0.66487209999999997</v>
      </c>
      <c r="AB7003">
        <v>21</v>
      </c>
      <c r="AC7003">
        <v>6.1639999999999802</v>
      </c>
      <c r="AD7003">
        <v>-1.1164399999999901</v>
      </c>
      <c r="AE7003">
        <v>-10.998991999999999</v>
      </c>
      <c r="AF7003">
        <v>9.4289550888255498</v>
      </c>
      <c r="AG7003">
        <v>-1.1164399999999901</v>
      </c>
      <c r="AH7003">
        <v>8.2221448099359105</v>
      </c>
      <c r="AI7003">
        <v>95.099641047413996</v>
      </c>
      <c r="AJ7003">
        <v>41.0887594682059</v>
      </c>
      <c r="AK7003">
        <v>12.5600675800827</v>
      </c>
      <c r="AL7003">
        <v>94.559779214254704</v>
      </c>
      <c r="AM7003">
        <v>63.641970666234897</v>
      </c>
      <c r="AN7003">
        <v>0.99999999161690101</v>
      </c>
    </row>
    <row r="7004" spans="1:40" x14ac:dyDescent="0.25">
      <c r="A7004" t="str">
        <f>"20190303154946746"</f>
        <v>20190303154946746</v>
      </c>
      <c r="B7004" t="str">
        <f>"1551599386738186"</f>
        <v>1551599386738186</v>
      </c>
      <c r="C7004" t="s">
        <v>40</v>
      </c>
      <c r="D7004">
        <v>5.661492</v>
      </c>
      <c r="E7004">
        <v>0.65548830000000002</v>
      </c>
      <c r="F7004" t="s">
        <v>43</v>
      </c>
      <c r="G7004">
        <v>-305.67219999999998</v>
      </c>
      <c r="H7004">
        <v>-0.05</v>
      </c>
      <c r="I7004">
        <v>5.0760800000000001</v>
      </c>
      <c r="J7004">
        <v>-311.9015</v>
      </c>
      <c r="K7004">
        <v>1.0663260000000001</v>
      </c>
      <c r="L7004">
        <v>16.405460000000001</v>
      </c>
      <c r="M7004">
        <v>0.97796150000000004</v>
      </c>
      <c r="N7004">
        <v>-7.30833099999999E-3</v>
      </c>
      <c r="O7004">
        <v>-0.20865739999999999</v>
      </c>
      <c r="P7004">
        <v>0.77687930000000005</v>
      </c>
      <c r="Q7004">
        <v>-8.0683710000000006E-2</v>
      </c>
      <c r="R7004">
        <v>-0.62445859999999997</v>
      </c>
      <c r="S7004">
        <v>1.57785</v>
      </c>
      <c r="T7004">
        <v>-0.27762120000000001</v>
      </c>
      <c r="U7004">
        <v>-2.824341</v>
      </c>
      <c r="V7004">
        <v>0.44784109999999999</v>
      </c>
      <c r="W7004">
        <v>-7.8668100000000005E-2</v>
      </c>
      <c r="X7004">
        <v>0.89064560000000004</v>
      </c>
      <c r="Y7004">
        <v>0.74980009999999997</v>
      </c>
      <c r="Z7004">
        <v>-2.4711650000000002E-2</v>
      </c>
      <c r="AA7004">
        <v>0.66120279999999998</v>
      </c>
      <c r="AB7004">
        <v>21</v>
      </c>
      <c r="AC7004">
        <v>6.2293000000000198</v>
      </c>
      <c r="AD7004">
        <v>-1.1163259999999999</v>
      </c>
      <c r="AE7004">
        <v>-11.32938</v>
      </c>
      <c r="AF7004">
        <v>9.7077966325633707</v>
      </c>
      <c r="AG7004">
        <v>-1.1163259999999999</v>
      </c>
      <c r="AH7004">
        <v>8.3936251672782696</v>
      </c>
      <c r="AI7004">
        <v>94.971444924207404</v>
      </c>
      <c r="AJ7004">
        <v>40.847585642567701</v>
      </c>
      <c r="AK7004">
        <v>12.881787245807599</v>
      </c>
      <c r="AL7004">
        <v>94.512012404548202</v>
      </c>
      <c r="AM7004">
        <v>63.305492427700997</v>
      </c>
      <c r="AN7004">
        <v>0.99999995280308795</v>
      </c>
    </row>
    <row r="7005" spans="1:40" x14ac:dyDescent="0.25">
      <c r="A7005" t="str">
        <f>"20190303154946761"</f>
        <v>20190303154946761</v>
      </c>
      <c r="B7005" t="str">
        <f>"1551599386757706"</f>
        <v>1551599386757706</v>
      </c>
      <c r="C7005" t="s">
        <v>40</v>
      </c>
      <c r="D7005">
        <v>5.7372579999999997</v>
      </c>
      <c r="E7005">
        <v>0.65399680000000004</v>
      </c>
      <c r="F7005" t="s">
        <v>43</v>
      </c>
      <c r="G7005">
        <v>-305.37090000000001</v>
      </c>
      <c r="H7005">
        <v>-0.05</v>
      </c>
      <c r="I7005">
        <v>4.4623410000000003</v>
      </c>
      <c r="J7005">
        <v>-311.76490000000001</v>
      </c>
      <c r="K7005">
        <v>1.0661929999999999</v>
      </c>
      <c r="L7005">
        <v>16.371279999999999</v>
      </c>
      <c r="M7005">
        <v>0.97698600000000002</v>
      </c>
      <c r="N7005">
        <v>-7.2385909999999999E-3</v>
      </c>
      <c r="O7005">
        <v>-0.21318110000000001</v>
      </c>
      <c r="P7005">
        <v>0.76597700000000002</v>
      </c>
      <c r="Q7005">
        <v>-7.8664810000000002E-2</v>
      </c>
      <c r="R7005">
        <v>-0.63803730000000003</v>
      </c>
      <c r="S7005">
        <v>1.552246</v>
      </c>
      <c r="T7005">
        <v>-0.26533810000000002</v>
      </c>
      <c r="U7005">
        <v>-2.8387449999999999</v>
      </c>
      <c r="V7005">
        <v>0.45930900000000002</v>
      </c>
      <c r="W7005">
        <v>-7.6971079999999997E-2</v>
      </c>
      <c r="X7005">
        <v>0.88493539999999904</v>
      </c>
      <c r="Y7005">
        <v>0.75291300000000005</v>
      </c>
      <c r="Z7005">
        <v>-2.36531E-2</v>
      </c>
      <c r="AA7005">
        <v>0.65769489999999997</v>
      </c>
      <c r="AB7005">
        <v>21</v>
      </c>
      <c r="AC7005">
        <v>6.3940000000000001</v>
      </c>
      <c r="AD7005">
        <v>-1.116193</v>
      </c>
      <c r="AE7005">
        <v>-11.908938999999901</v>
      </c>
      <c r="AF7005">
        <v>10.202483173543101</v>
      </c>
      <c r="AG7005">
        <v>-1.116193</v>
      </c>
      <c r="AH7005">
        <v>8.7263328606143293</v>
      </c>
      <c r="AI7005">
        <v>94.752686798287996</v>
      </c>
      <c r="AJ7005">
        <v>40.540854104490499</v>
      </c>
      <c r="AK7005">
        <v>13.471653013417299</v>
      </c>
      <c r="AL7005">
        <v>94.4144844114996</v>
      </c>
      <c r="AM7005">
        <v>62.569283354903298</v>
      </c>
      <c r="AN7005">
        <v>0.99999998340526297</v>
      </c>
    </row>
    <row r="7006" spans="1:40" x14ac:dyDescent="0.25">
      <c r="A7006" t="str">
        <f>"20190303154946773"</f>
        <v>20190303154946773</v>
      </c>
      <c r="B7006" t="str">
        <f>"1551599386767466"</f>
        <v>1551599386767466</v>
      </c>
      <c r="C7006" t="s">
        <v>40</v>
      </c>
      <c r="D7006">
        <v>5.9170949999999998</v>
      </c>
      <c r="E7006">
        <v>0.65399680000000004</v>
      </c>
      <c r="F7006" t="s">
        <v>43</v>
      </c>
      <c r="G7006">
        <v>-305.17270000000002</v>
      </c>
      <c r="H7006">
        <v>-0.05</v>
      </c>
      <c r="I7006">
        <v>3.9034420000000001</v>
      </c>
      <c r="J7006">
        <v>-311.65120000000002</v>
      </c>
      <c r="K7006">
        <v>1.066082</v>
      </c>
      <c r="L7006">
        <v>16.341950000000001</v>
      </c>
      <c r="M7006">
        <v>0.97613709999999998</v>
      </c>
      <c r="N7006">
        <v>-7.1901780000000002E-3</v>
      </c>
      <c r="O7006">
        <v>-0.21703639999999999</v>
      </c>
      <c r="P7006">
        <v>0.75908790000000004</v>
      </c>
      <c r="Q7006">
        <v>-7.7912540000000002E-2</v>
      </c>
      <c r="R7006">
        <v>-0.64630909999999997</v>
      </c>
      <c r="S7006">
        <v>1.510559</v>
      </c>
      <c r="T7006">
        <v>-0.25576670000000001</v>
      </c>
      <c r="U7006">
        <v>-2.856903</v>
      </c>
      <c r="V7006">
        <v>0.46537610000000001</v>
      </c>
      <c r="W7006">
        <v>-7.6434299999999997E-2</v>
      </c>
      <c r="X7006">
        <v>0.881806599999999</v>
      </c>
      <c r="Y7006">
        <v>0.75959869999999996</v>
      </c>
      <c r="Z7006">
        <v>-2.3171890000000001E-2</v>
      </c>
      <c r="AA7006">
        <v>0.64997919999999998</v>
      </c>
      <c r="AB7006">
        <v>21</v>
      </c>
      <c r="AC7006">
        <v>6.4784999999999897</v>
      </c>
      <c r="AD7006">
        <v>-1.116082</v>
      </c>
      <c r="AE7006">
        <v>-12.438508000000001</v>
      </c>
      <c r="AF7006">
        <v>10.6683321077517</v>
      </c>
      <c r="AG7006">
        <v>-1.116082</v>
      </c>
      <c r="AH7006">
        <v>8.9669573128502105</v>
      </c>
      <c r="AI7006">
        <v>94.578743170450394</v>
      </c>
      <c r="AJ7006">
        <v>40.047757044642204</v>
      </c>
      <c r="AK7006">
        <v>13.9808895440343</v>
      </c>
      <c r="AL7006">
        <v>94.383638244612399</v>
      </c>
      <c r="AM7006">
        <v>62.177012907391301</v>
      </c>
      <c r="AN7006">
        <v>0.99999999823562902</v>
      </c>
    </row>
    <row r="7007" spans="1:40" x14ac:dyDescent="0.25">
      <c r="A7007" t="str">
        <f>"20190303154946784"</f>
        <v>20190303154946784</v>
      </c>
      <c r="B7007" t="str">
        <f>"1551599386778202"</f>
        <v>1551599386778202</v>
      </c>
      <c r="C7007" t="s">
        <v>40</v>
      </c>
      <c r="D7007">
        <v>5.907743</v>
      </c>
      <c r="E7007">
        <v>0.62887139999999997</v>
      </c>
      <c r="F7007" t="s">
        <v>43</v>
      </c>
      <c r="G7007">
        <v>-305.07889999999998</v>
      </c>
      <c r="H7007">
        <v>-0.05</v>
      </c>
      <c r="I7007">
        <v>3.5803530000000001</v>
      </c>
      <c r="J7007">
        <v>-311.54840000000002</v>
      </c>
      <c r="K7007">
        <v>1.0659809999999901</v>
      </c>
      <c r="L7007">
        <v>16.31522</v>
      </c>
      <c r="M7007">
        <v>0.97535090000000002</v>
      </c>
      <c r="N7007">
        <v>-7.1486789999999998E-3</v>
      </c>
      <c r="O7007">
        <v>-0.2205445</v>
      </c>
      <c r="P7007">
        <v>0.75192250000000005</v>
      </c>
      <c r="Q7007">
        <v>-7.728285E-2</v>
      </c>
      <c r="R7007">
        <v>-0.65470609999999996</v>
      </c>
      <c r="S7007">
        <v>1.4798279999999999</v>
      </c>
      <c r="T7007">
        <v>-0.25129810000000002</v>
      </c>
      <c r="U7007">
        <v>-2.8734130000000002</v>
      </c>
      <c r="V7007">
        <v>0.47196830000000001</v>
      </c>
      <c r="W7007">
        <v>-7.6014910000000005E-2</v>
      </c>
      <c r="X7007">
        <v>0.87833229999999995</v>
      </c>
      <c r="Y7007">
        <v>0.764304599999999</v>
      </c>
      <c r="Z7007">
        <v>-2.290824E-2</v>
      </c>
      <c r="AA7007">
        <v>0.64444849999999998</v>
      </c>
      <c r="AB7007">
        <v>21</v>
      </c>
      <c r="AC7007">
        <v>6.4695000000000302</v>
      </c>
      <c r="AD7007">
        <v>-1.1159809999999999</v>
      </c>
      <c r="AE7007">
        <v>-12.734866999999999</v>
      </c>
      <c r="AF7007">
        <v>10.9277271020444</v>
      </c>
      <c r="AG7007">
        <v>-1.1159809999999999</v>
      </c>
      <c r="AH7007">
        <v>9.0635447197334393</v>
      </c>
      <c r="AI7007">
        <v>94.494505072639598</v>
      </c>
      <c r="AJ7007">
        <v>39.672585125566002</v>
      </c>
      <c r="AK7007">
        <v>14.241084091308601</v>
      </c>
      <c r="AL7007">
        <v>94.359538907915095</v>
      </c>
      <c r="AM7007">
        <v>61.7488190239768</v>
      </c>
      <c r="AN7007">
        <v>0.99999998598524398</v>
      </c>
    </row>
    <row r="7008" spans="1:40" x14ac:dyDescent="0.25">
      <c r="A7008" t="str">
        <f>"20190303154946794"</f>
        <v>20190303154946794</v>
      </c>
      <c r="B7008" t="str">
        <f>"1551599386787961"</f>
        <v>1551599386787961</v>
      </c>
      <c r="C7008" t="s">
        <v>40</v>
      </c>
      <c r="D7008">
        <v>5.8206920000000002</v>
      </c>
      <c r="E7008">
        <v>0.63371149999999998</v>
      </c>
      <c r="F7008" t="s">
        <v>43</v>
      </c>
      <c r="G7008">
        <v>-307.32029999999997</v>
      </c>
      <c r="H7008">
        <v>-0.05</v>
      </c>
      <c r="I7008">
        <v>8.9502410000000001</v>
      </c>
      <c r="J7008">
        <v>-311.44619999999998</v>
      </c>
      <c r="K7008">
        <v>1.065885</v>
      </c>
      <c r="L7008">
        <v>16.28809</v>
      </c>
      <c r="M7008">
        <v>0.97454399999999997</v>
      </c>
      <c r="N7008">
        <v>-7.1126929999999998E-3</v>
      </c>
      <c r="O7008">
        <v>-0.2240839</v>
      </c>
      <c r="P7008">
        <v>0.74477879999999996</v>
      </c>
      <c r="Q7008">
        <v>-7.7213320000000002E-2</v>
      </c>
      <c r="R7008">
        <v>-0.66282980000000002</v>
      </c>
      <c r="S7008">
        <v>1.56839</v>
      </c>
      <c r="T7008">
        <v>-0.41397600000000001</v>
      </c>
      <c r="U7008">
        <v>-2.732056</v>
      </c>
      <c r="V7008">
        <v>0.47828340000000003</v>
      </c>
      <c r="W7008">
        <v>-7.6148090000000002E-2</v>
      </c>
      <c r="X7008">
        <v>0.87489799999999995</v>
      </c>
      <c r="Y7008">
        <v>0.72906260000000001</v>
      </c>
      <c r="Z7008">
        <v>-3.054399E-2</v>
      </c>
      <c r="AA7008">
        <v>0.68376519999999996</v>
      </c>
      <c r="AB7008">
        <v>21</v>
      </c>
      <c r="AC7008">
        <v>4.1258999999999997</v>
      </c>
      <c r="AD7008">
        <v>-1.115885</v>
      </c>
      <c r="AE7008">
        <v>-7.3378490000000003</v>
      </c>
      <c r="AF7008">
        <v>6.1191468579619999</v>
      </c>
      <c r="AG7008">
        <v>-1.115885</v>
      </c>
      <c r="AH7008">
        <v>5.5674819274032199</v>
      </c>
      <c r="AI7008">
        <v>97.681945179428993</v>
      </c>
      <c r="AJ7008">
        <v>42.297370627682298</v>
      </c>
      <c r="AK7008">
        <v>8.3478148406928998</v>
      </c>
      <c r="AL7008">
        <v>94.367191564208397</v>
      </c>
      <c r="AM7008">
        <v>61.335749106473202</v>
      </c>
      <c r="AN7008">
        <v>1.0000000263651001</v>
      </c>
    </row>
    <row r="7009" spans="1:40" x14ac:dyDescent="0.25">
      <c r="A7009" t="str">
        <f>"20190303154946809"</f>
        <v>20190303154946809</v>
      </c>
      <c r="B7009" t="str">
        <f>"1551599386797721"</f>
        <v>1551599386797721</v>
      </c>
      <c r="C7009" t="s">
        <v>40</v>
      </c>
      <c r="D7009">
        <v>5.7426360000000001</v>
      </c>
      <c r="E7009">
        <v>0.63521019999999995</v>
      </c>
      <c r="F7009" t="s">
        <v>43</v>
      </c>
      <c r="G7009">
        <v>-306.6481</v>
      </c>
      <c r="H7009">
        <v>-0.05</v>
      </c>
      <c r="I7009">
        <v>7.4959559999999996</v>
      </c>
      <c r="J7009">
        <v>-311.31670000000003</v>
      </c>
      <c r="K7009">
        <v>1.0657669999999999</v>
      </c>
      <c r="L7009">
        <v>16.25311</v>
      </c>
      <c r="M7009">
        <v>0.97348860000000004</v>
      </c>
      <c r="N7009">
        <v>-7.0723230000000002E-3</v>
      </c>
      <c r="O7009">
        <v>-0.2286263</v>
      </c>
      <c r="P7009">
        <v>0.73685330000000004</v>
      </c>
      <c r="Q7009">
        <v>-7.6777460000000006E-2</v>
      </c>
      <c r="R7009">
        <v>-0.67167860000000001</v>
      </c>
      <c r="S7009">
        <v>1.517212</v>
      </c>
      <c r="T7009">
        <v>-0.35285699999999998</v>
      </c>
      <c r="U7009">
        <v>-2.7801819999999999</v>
      </c>
      <c r="V7009">
        <v>0.48461460000000001</v>
      </c>
      <c r="W7009">
        <v>-7.5943919999999998E-2</v>
      </c>
      <c r="X7009">
        <v>0.8714248</v>
      </c>
      <c r="Y7009">
        <v>0.74162539999999999</v>
      </c>
      <c r="Z7009">
        <v>-2.7327730000000001E-2</v>
      </c>
      <c r="AA7009">
        <v>0.6702574</v>
      </c>
      <c r="AB7009">
        <v>21</v>
      </c>
      <c r="AC7009">
        <v>4.6686000000000201</v>
      </c>
      <c r="AD7009">
        <v>-1.115767</v>
      </c>
      <c r="AE7009">
        <v>-8.7571539999999999</v>
      </c>
      <c r="AF7009">
        <v>7.3647134156469498</v>
      </c>
      <c r="AG7009">
        <v>-1.115767</v>
      </c>
      <c r="AH7009">
        <v>6.4653789520667102</v>
      </c>
      <c r="AI7009">
        <v>96.495367054501102</v>
      </c>
      <c r="AJ7009">
        <v>41.279444730399803</v>
      </c>
      <c r="AK7009">
        <v>9.8633191516206402</v>
      </c>
      <c r="AL7009">
        <v>94.355459689890694</v>
      </c>
      <c r="AM7009">
        <v>60.920797424745899</v>
      </c>
      <c r="AN7009">
        <v>0.999999985786583</v>
      </c>
    </row>
    <row r="7010" spans="1:40" x14ac:dyDescent="0.25">
      <c r="A7010" t="str">
        <f>"20190303154946825"</f>
        <v>20190303154946825</v>
      </c>
      <c r="B7010" t="str">
        <f>"1551599386818217"</f>
        <v>1551599386818217</v>
      </c>
      <c r="C7010" t="s">
        <v>40</v>
      </c>
      <c r="D7010">
        <v>5.9409039999999997</v>
      </c>
      <c r="E7010">
        <v>0.63029939999999995</v>
      </c>
      <c r="F7010" t="s">
        <v>43</v>
      </c>
      <c r="G7010">
        <v>-306.26150000000001</v>
      </c>
      <c r="H7010">
        <v>-0.05</v>
      </c>
      <c r="I7010">
        <v>6.6460270000000001</v>
      </c>
      <c r="J7010">
        <v>-311.16809999999998</v>
      </c>
      <c r="K7010">
        <v>1.0656319999999999</v>
      </c>
      <c r="L7010">
        <v>16.212160000000001</v>
      </c>
      <c r="M7010">
        <v>0.97223029999999999</v>
      </c>
      <c r="N7010">
        <v>-7.0323219999999997E-3</v>
      </c>
      <c r="O7010">
        <v>-0.23392070000000001</v>
      </c>
      <c r="P7010">
        <v>0.72854629999999998</v>
      </c>
      <c r="Q7010">
        <v>-7.6526239999999995E-2</v>
      </c>
      <c r="R7010">
        <v>-0.68070850000000005</v>
      </c>
      <c r="S7010">
        <v>1.4776309999999999</v>
      </c>
      <c r="T7010">
        <v>-0.32613710000000001</v>
      </c>
      <c r="U7010">
        <v>-2.8081360000000002</v>
      </c>
      <c r="V7010">
        <v>0.49057319999999999</v>
      </c>
      <c r="W7010">
        <v>-7.5939480000000004E-2</v>
      </c>
      <c r="X7010">
        <v>0.86808479999999999</v>
      </c>
      <c r="Y7010">
        <v>0.74854880000000001</v>
      </c>
      <c r="Z7010">
        <v>-2.5647730000000001E-2</v>
      </c>
      <c r="AA7010">
        <v>0.66258349999999999</v>
      </c>
      <c r="AB7010">
        <v>22</v>
      </c>
      <c r="AC7010">
        <v>4.9065999999999601</v>
      </c>
      <c r="AD7010">
        <v>-1.115632</v>
      </c>
      <c r="AE7010">
        <v>-9.5661330000000007</v>
      </c>
      <c r="AF7010">
        <v>8.0660741278957193</v>
      </c>
      <c r="AG7010">
        <v>-1.115632</v>
      </c>
      <c r="AH7010">
        <v>6.9335734036953696</v>
      </c>
      <c r="AI7010">
        <v>95.987674057598397</v>
      </c>
      <c r="AJ7010">
        <v>40.682256264276198</v>
      </c>
      <c r="AK7010">
        <v>10.6948878788215</v>
      </c>
      <c r="AL7010">
        <v>94.355204303299004</v>
      </c>
      <c r="AM7010">
        <v>60.5282843051802</v>
      </c>
      <c r="AN7010">
        <v>1.00000004458597</v>
      </c>
    </row>
    <row r="7011" spans="1:40" x14ac:dyDescent="0.25">
      <c r="A7011" t="str">
        <f>"20190303154946837"</f>
        <v>20190303154946837</v>
      </c>
      <c r="B7011" t="str">
        <f>"1551599386827978"</f>
        <v>1551599386827978</v>
      </c>
      <c r="C7011" t="s">
        <v>40</v>
      </c>
      <c r="D7011">
        <v>5.6647689999999997</v>
      </c>
      <c r="E7011">
        <v>0.63150569999999995</v>
      </c>
      <c r="F7011" t="s">
        <v>43</v>
      </c>
      <c r="G7011">
        <v>-306.61360000000002</v>
      </c>
      <c r="H7011">
        <v>-0.05</v>
      </c>
      <c r="I7011">
        <v>7.5326539999999902</v>
      </c>
      <c r="J7011">
        <v>-311.03660000000002</v>
      </c>
      <c r="K7011">
        <v>1.0655129999999999</v>
      </c>
      <c r="L7011">
        <v>16.17511</v>
      </c>
      <c r="M7011">
        <v>0.97107100000000002</v>
      </c>
      <c r="N7011">
        <v>-7.003591E-3</v>
      </c>
      <c r="O7011">
        <v>-0.23868829999999999</v>
      </c>
      <c r="P7011">
        <v>0.720665</v>
      </c>
      <c r="Q7011">
        <v>-7.6617499999999894E-2</v>
      </c>
      <c r="R7011">
        <v>-0.68903700000000001</v>
      </c>
      <c r="S7011">
        <v>1.46734599999999</v>
      </c>
      <c r="T7011">
        <v>-0.35943009999999997</v>
      </c>
      <c r="U7011">
        <v>-2.7963260000000001</v>
      </c>
      <c r="V7011">
        <v>0.49625979999999997</v>
      </c>
      <c r="W7011">
        <v>-7.625651E-2</v>
      </c>
      <c r="X7011">
        <v>0.86481859999999999</v>
      </c>
      <c r="Y7011">
        <v>0.74550209999999995</v>
      </c>
      <c r="Z7011">
        <v>-2.6974970000000001E-2</v>
      </c>
      <c r="AA7011">
        <v>0.66595729999999997</v>
      </c>
      <c r="AB7011">
        <v>22</v>
      </c>
      <c r="AC7011">
        <v>4.423</v>
      </c>
      <c r="AD7011">
        <v>-1.115513</v>
      </c>
      <c r="AE7011">
        <v>-8.6424559999999992</v>
      </c>
      <c r="AF7011">
        <v>7.2412990383253897</v>
      </c>
      <c r="AG7011">
        <v>-1.115513</v>
      </c>
      <c r="AH7011">
        <v>6.27520964296665</v>
      </c>
      <c r="AI7011">
        <v>96.640345201042607</v>
      </c>
      <c r="AJ7011">
        <v>40.911749487296603</v>
      </c>
      <c r="AK7011">
        <v>9.6467112053177395</v>
      </c>
      <c r="AL7011">
        <v>94.373421681634198</v>
      </c>
      <c r="AM7011">
        <v>60.151456024647203</v>
      </c>
      <c r="AN7011">
        <v>1.0000000276596801</v>
      </c>
    </row>
    <row r="7012" spans="1:40" x14ac:dyDescent="0.25">
      <c r="A7012" t="str">
        <f>"20190303154946852"</f>
        <v>20190303154946852</v>
      </c>
      <c r="B7012" t="str">
        <f>"1551599386847498"</f>
        <v>1551599386847498</v>
      </c>
      <c r="C7012" t="s">
        <v>40</v>
      </c>
      <c r="D7012">
        <v>5.9373009999999997</v>
      </c>
      <c r="E7012">
        <v>0.62739730000000005</v>
      </c>
      <c r="F7012" t="s">
        <v>43</v>
      </c>
      <c r="G7012">
        <v>-306.28680000000003</v>
      </c>
      <c r="H7012">
        <v>-0.05</v>
      </c>
      <c r="I7012">
        <v>6.8023530000000001</v>
      </c>
      <c r="J7012">
        <v>-310.90989999999999</v>
      </c>
      <c r="K7012">
        <v>1.0653969999999999</v>
      </c>
      <c r="L7012">
        <v>16.138490000000001</v>
      </c>
      <c r="M7012">
        <v>0.96990929999999997</v>
      </c>
      <c r="N7012">
        <v>-6.9820169999999897E-3</v>
      </c>
      <c r="O7012">
        <v>-0.24336730000000001</v>
      </c>
      <c r="P7012">
        <v>0.70957479999999995</v>
      </c>
      <c r="Q7012">
        <v>-7.7092320000000006E-2</v>
      </c>
      <c r="R7012">
        <v>-0.70040080000000005</v>
      </c>
      <c r="S7012">
        <v>1.429718</v>
      </c>
      <c r="T7012">
        <v>-0.3357733</v>
      </c>
      <c r="U7012">
        <v>-2.8212280000000001</v>
      </c>
      <c r="V7012">
        <v>0.50578449999999997</v>
      </c>
      <c r="W7012">
        <v>-7.7011919999999998E-2</v>
      </c>
      <c r="X7012">
        <v>0.85921550000000002</v>
      </c>
      <c r="Y7012">
        <v>0.75209680000000001</v>
      </c>
      <c r="Z7012">
        <v>-2.5601349999999998E-2</v>
      </c>
      <c r="AA7012">
        <v>0.65855520000000001</v>
      </c>
      <c r="AB7012">
        <v>22</v>
      </c>
      <c r="AC7012">
        <v>4.62309999999996</v>
      </c>
      <c r="AD7012">
        <v>-1.115397</v>
      </c>
      <c r="AE7012">
        <v>-9.3361369999999901</v>
      </c>
      <c r="AF7012">
        <v>7.8404147539421798</v>
      </c>
      <c r="AG7012">
        <v>-1.115397</v>
      </c>
      <c r="AH7012">
        <v>6.6796946668980199</v>
      </c>
      <c r="AI7012">
        <v>96.180518854997402</v>
      </c>
      <c r="AJ7012">
        <v>40.429563100717701</v>
      </c>
      <c r="AK7012">
        <v>10.360238164464601</v>
      </c>
      <c r="AL7012">
        <v>94.416831105333699</v>
      </c>
      <c r="AM7012">
        <v>59.5164442642822</v>
      </c>
      <c r="AN7012">
        <v>1.0000000358512899</v>
      </c>
    </row>
    <row r="7013" spans="1:40" x14ac:dyDescent="0.25">
      <c r="A7013" t="str">
        <f>"20190303154946866"</f>
        <v>20190303154946866</v>
      </c>
      <c r="B7013" t="str">
        <f>"1551599386858234"</f>
        <v>1551599386858234</v>
      </c>
      <c r="C7013" t="s">
        <v>40</v>
      </c>
      <c r="D7013">
        <v>5.9421169999999996</v>
      </c>
      <c r="E7013">
        <v>0.62570040000000005</v>
      </c>
      <c r="F7013" t="s">
        <v>43</v>
      </c>
      <c r="G7013">
        <v>-306.49220000000003</v>
      </c>
      <c r="H7013">
        <v>-0.05</v>
      </c>
      <c r="I7013">
        <v>7.2778780000000003</v>
      </c>
      <c r="J7013">
        <v>-310.7758</v>
      </c>
      <c r="K7013">
        <v>1.065269</v>
      </c>
      <c r="L7013">
        <v>16.099150000000002</v>
      </c>
      <c r="M7013">
        <v>0.96863969999999999</v>
      </c>
      <c r="N7013">
        <v>-6.9630219999999897E-3</v>
      </c>
      <c r="O7013">
        <v>-0.2483718</v>
      </c>
      <c r="P7013">
        <v>0.70227240000000002</v>
      </c>
      <c r="Q7013">
        <v>-7.7256469999999994E-2</v>
      </c>
      <c r="R7013">
        <v>-0.70770409999999995</v>
      </c>
      <c r="S7013">
        <v>1.4059140000000001</v>
      </c>
      <c r="T7013">
        <v>-0.3549715</v>
      </c>
      <c r="U7013">
        <v>-2.819855</v>
      </c>
      <c r="V7013">
        <v>0.51021099999999997</v>
      </c>
      <c r="W7013">
        <v>-7.7386910000000003E-2</v>
      </c>
      <c r="X7013">
        <v>0.85656060000000001</v>
      </c>
      <c r="Y7013">
        <v>0.75267510000000004</v>
      </c>
      <c r="Z7013">
        <v>-2.6323610000000001E-2</v>
      </c>
      <c r="AA7013">
        <v>0.65786579999999995</v>
      </c>
      <c r="AB7013">
        <v>22</v>
      </c>
      <c r="AC7013">
        <v>4.2835999999999697</v>
      </c>
      <c r="AD7013">
        <v>-1.1152690000000001</v>
      </c>
      <c r="AE7013">
        <v>-8.8212720000000004</v>
      </c>
      <c r="AF7013">
        <v>7.3853652364977496</v>
      </c>
      <c r="AG7013">
        <v>-1.1152690000000001</v>
      </c>
      <c r="AH7013">
        <v>6.2594124637151998</v>
      </c>
      <c r="AI7013">
        <v>96.571536612020495</v>
      </c>
      <c r="AJ7013">
        <v>40.282700168859897</v>
      </c>
      <c r="AK7013">
        <v>9.7451366850210892</v>
      </c>
      <c r="AL7013">
        <v>94.438380786679105</v>
      </c>
      <c r="AM7013">
        <v>59.219823948332902</v>
      </c>
      <c r="AN7013">
        <v>1.0000000299163501</v>
      </c>
    </row>
    <row r="7014" spans="1:40" x14ac:dyDescent="0.25">
      <c r="A7014" t="str">
        <f>"20190303154946877"</f>
        <v>20190303154946877</v>
      </c>
      <c r="B7014" t="str">
        <f>"1551599386867994"</f>
        <v>1551599386867994</v>
      </c>
      <c r="C7014" t="s">
        <v>40</v>
      </c>
      <c r="D7014">
        <v>5.934545</v>
      </c>
      <c r="E7014">
        <v>0.6238475</v>
      </c>
      <c r="F7014" t="s">
        <v>43</v>
      </c>
      <c r="G7014">
        <v>-306.49810000000002</v>
      </c>
      <c r="H7014">
        <v>-0.05</v>
      </c>
      <c r="I7014">
        <v>7.3791659999999997</v>
      </c>
      <c r="J7014">
        <v>-310.66059999999999</v>
      </c>
      <c r="K7014">
        <v>1.0651660000000001</v>
      </c>
      <c r="L7014">
        <v>16.06467</v>
      </c>
      <c r="M7014">
        <v>0.96750939999999996</v>
      </c>
      <c r="N7014">
        <v>-6.9508859999999999E-3</v>
      </c>
      <c r="O7014">
        <v>-0.2527393</v>
      </c>
      <c r="P7014">
        <v>0.69582919999999904</v>
      </c>
      <c r="Q7014">
        <v>-7.7339000000000005E-2</v>
      </c>
      <c r="R7014">
        <v>-0.71403130000000004</v>
      </c>
      <c r="S7014">
        <v>1.385651</v>
      </c>
      <c r="T7014">
        <v>-0.36126219999999998</v>
      </c>
      <c r="U7014">
        <v>-2.8246150000000001</v>
      </c>
      <c r="V7014">
        <v>0.51407539999999996</v>
      </c>
      <c r="W7014">
        <v>-7.7654310000000004E-2</v>
      </c>
      <c r="X7014">
        <v>0.854222699999999</v>
      </c>
      <c r="Y7014">
        <v>0.7538376</v>
      </c>
      <c r="Z7014">
        <v>-2.6320960000000001E-2</v>
      </c>
      <c r="AA7014">
        <v>0.65653329999999999</v>
      </c>
      <c r="AB7014">
        <v>22</v>
      </c>
      <c r="AC7014">
        <v>4.1624999999999597</v>
      </c>
      <c r="AD7014">
        <v>-1.1151659999999901</v>
      </c>
      <c r="AE7014">
        <v>-8.6855039999999892</v>
      </c>
      <c r="AF7014">
        <v>7.2542077763359298</v>
      </c>
      <c r="AG7014">
        <v>-1.1151659999999901</v>
      </c>
      <c r="AH7014">
        <v>6.1402606297791502</v>
      </c>
      <c r="AI7014">
        <v>96.692273246874905</v>
      </c>
      <c r="AJ7014">
        <v>40.245952937825002</v>
      </c>
      <c r="AK7014">
        <v>9.5692176415538093</v>
      </c>
      <c r="AL7014">
        <v>94.453747764820804</v>
      </c>
      <c r="AM7014">
        <v>58.960265252548503</v>
      </c>
      <c r="AN7014">
        <v>1.0000000649710099</v>
      </c>
    </row>
    <row r="7015" spans="1:40" x14ac:dyDescent="0.25">
      <c r="A7015" t="str">
        <f>"20190303154946891"</f>
        <v>20190303154946891</v>
      </c>
      <c r="B7015" t="str">
        <f>"1551599386887514"</f>
        <v>1551599386887514</v>
      </c>
      <c r="C7015" t="s">
        <v>40</v>
      </c>
      <c r="D7015">
        <v>5.9394119999999999</v>
      </c>
      <c r="E7015">
        <v>0.6205562</v>
      </c>
      <c r="F7015" t="s">
        <v>43</v>
      </c>
      <c r="G7015">
        <v>-306.50970000000001</v>
      </c>
      <c r="H7015">
        <v>-0.05</v>
      </c>
      <c r="I7015">
        <v>7.5020899999999902</v>
      </c>
      <c r="J7015">
        <v>-310.53820000000002</v>
      </c>
      <c r="K7015">
        <v>1.0650569999999999</v>
      </c>
      <c r="L7015">
        <v>16.027190000000001</v>
      </c>
      <c r="M7015">
        <v>0.96626420000000002</v>
      </c>
      <c r="N7015">
        <v>-6.9427380000000004E-3</v>
      </c>
      <c r="O7015">
        <v>-0.25746039999999998</v>
      </c>
      <c r="P7015">
        <v>0.68918550000000001</v>
      </c>
      <c r="Q7015">
        <v>-7.7314079999999993E-2</v>
      </c>
      <c r="R7015">
        <v>-0.72044900000000001</v>
      </c>
      <c r="S7015">
        <v>1.3701479999999999</v>
      </c>
      <c r="T7015">
        <v>-0.3681046</v>
      </c>
      <c r="U7015">
        <v>-2.826416</v>
      </c>
      <c r="V7015">
        <v>0.51779419999999998</v>
      </c>
      <c r="W7015">
        <v>-7.7820009999999995E-2</v>
      </c>
      <c r="X7015">
        <v>0.85195849999999995</v>
      </c>
      <c r="Y7015">
        <v>0.75360909999999903</v>
      </c>
      <c r="Z7015">
        <v>-2.6141580000000001E-2</v>
      </c>
      <c r="AA7015">
        <v>0.65680269999999996</v>
      </c>
      <c r="AB7015">
        <v>22</v>
      </c>
      <c r="AC7015">
        <v>4.0285000000000002</v>
      </c>
      <c r="AD7015">
        <v>-1.115057</v>
      </c>
      <c r="AE7015">
        <v>-8.5251000000000001</v>
      </c>
      <c r="AF7015">
        <v>7.1011812248267701</v>
      </c>
      <c r="AG7015">
        <v>-1.115057</v>
      </c>
      <c r="AH7015">
        <v>6.0036548947205901</v>
      </c>
      <c r="AI7015">
        <v>96.837803965196599</v>
      </c>
      <c r="AJ7015">
        <v>40.212666571731503</v>
      </c>
      <c r="AK7015">
        <v>9.3655752090292701</v>
      </c>
      <c r="AL7015">
        <v>94.463270618524007</v>
      </c>
      <c r="AM7015">
        <v>58.710051335140001</v>
      </c>
      <c r="AN7015">
        <v>1.0000000366161399</v>
      </c>
    </row>
    <row r="7016" spans="1:40" x14ac:dyDescent="0.25">
      <c r="A7016" t="str">
        <f>"20190303154946902"</f>
        <v>20190303154946902</v>
      </c>
      <c r="B7016" t="str">
        <f>"1551599386897944"</f>
        <v>1551599386897944</v>
      </c>
      <c r="C7016" t="s">
        <v>40</v>
      </c>
      <c r="D7016">
        <v>5.9433049999999996</v>
      </c>
      <c r="E7016">
        <v>0.61908419999999997</v>
      </c>
      <c r="F7016" t="s">
        <v>43</v>
      </c>
      <c r="G7016">
        <v>-306.5335</v>
      </c>
      <c r="H7016">
        <v>-0.05</v>
      </c>
      <c r="I7016">
        <v>7.7349399999999902</v>
      </c>
      <c r="J7016">
        <v>-310.42399999999998</v>
      </c>
      <c r="K7016">
        <v>1.064962</v>
      </c>
      <c r="L7016">
        <v>15.991820000000001</v>
      </c>
      <c r="M7016">
        <v>0.96506979999999998</v>
      </c>
      <c r="N7016">
        <v>-6.9367569999999896E-3</v>
      </c>
      <c r="O7016">
        <v>-0.26190160000000001</v>
      </c>
      <c r="P7016">
        <v>0.68255790000000005</v>
      </c>
      <c r="Q7016">
        <v>-7.7172210000000005E-2</v>
      </c>
      <c r="R7016">
        <v>-0.72674629999999996</v>
      </c>
      <c r="S7016">
        <v>1.3620909999999999</v>
      </c>
      <c r="T7016">
        <v>-0.37925900000000001</v>
      </c>
      <c r="U7016">
        <v>-2.8204039999999999</v>
      </c>
      <c r="V7016">
        <v>0.52166959999999996</v>
      </c>
      <c r="W7016">
        <v>-7.7864810000000007E-2</v>
      </c>
      <c r="X7016">
        <v>0.84958690000000003</v>
      </c>
      <c r="Y7016">
        <v>0.75139040000000001</v>
      </c>
      <c r="Z7016">
        <v>-2.6015650000000001E-2</v>
      </c>
      <c r="AA7016">
        <v>0.65934490000000001</v>
      </c>
      <c r="AB7016">
        <v>22</v>
      </c>
      <c r="AC7016">
        <v>3.89050000000003</v>
      </c>
      <c r="AD7016">
        <v>-1.114962</v>
      </c>
      <c r="AE7016">
        <v>-8.2568800000000007</v>
      </c>
      <c r="AF7016">
        <v>6.8475282274998399</v>
      </c>
      <c r="AG7016">
        <v>-1.114962</v>
      </c>
      <c r="AH7016">
        <v>5.8302397808065596</v>
      </c>
      <c r="AI7016">
        <v>97.067256387491099</v>
      </c>
      <c r="AJ7016">
        <v>40.412306154709398</v>
      </c>
      <c r="AK7016">
        <v>9.0622005599937197</v>
      </c>
      <c r="AL7016">
        <v>94.465845443661493</v>
      </c>
      <c r="AM7016">
        <v>58.448936650934797</v>
      </c>
      <c r="AN7016">
        <v>1.0000000004260501</v>
      </c>
    </row>
    <row r="7017" spans="1:40" x14ac:dyDescent="0.25">
      <c r="A7017" t="str">
        <f>"20190303154946916"</f>
        <v>20190303154946916</v>
      </c>
      <c r="B7017" t="str">
        <f>"1551599386907702"</f>
        <v>1551599386907702</v>
      </c>
      <c r="C7017" t="s">
        <v>40</v>
      </c>
      <c r="D7017">
        <v>5.9845160000000002</v>
      </c>
      <c r="E7017">
        <v>0.61754589999999998</v>
      </c>
      <c r="F7017" t="s">
        <v>43</v>
      </c>
      <c r="G7017">
        <v>-306.50560000000002</v>
      </c>
      <c r="H7017">
        <v>-0.05</v>
      </c>
      <c r="I7017">
        <v>7.7605899999999997</v>
      </c>
      <c r="J7017">
        <v>-310.28370000000001</v>
      </c>
      <c r="K7017">
        <v>1.0648340000000001</v>
      </c>
      <c r="L7017">
        <v>15.9472</v>
      </c>
      <c r="M7017">
        <v>0.96353999999999995</v>
      </c>
      <c r="N7017">
        <v>-6.9352579999999997E-3</v>
      </c>
      <c r="O7017">
        <v>-0.2674744</v>
      </c>
      <c r="P7017">
        <v>0.67244110000000001</v>
      </c>
      <c r="Q7017">
        <v>-7.6149250000000002E-2</v>
      </c>
      <c r="R7017">
        <v>-0.73622330000000002</v>
      </c>
      <c r="S7017">
        <v>1.3445739999999999</v>
      </c>
      <c r="T7017">
        <v>-0.3825963</v>
      </c>
      <c r="U7017">
        <v>-2.8245239999999998</v>
      </c>
      <c r="V7017">
        <v>0.52858179999999999</v>
      </c>
      <c r="W7017">
        <v>-7.711179E-2</v>
      </c>
      <c r="X7017">
        <v>0.84537269999999898</v>
      </c>
      <c r="Y7017">
        <v>0.75125679999999995</v>
      </c>
      <c r="Z7017">
        <v>-2.5479120000000001E-2</v>
      </c>
      <c r="AA7017">
        <v>0.65951800000000005</v>
      </c>
      <c r="AB7017">
        <v>22</v>
      </c>
      <c r="AC7017">
        <v>3.77809999999999</v>
      </c>
      <c r="AD7017">
        <v>-1.1148340000000001</v>
      </c>
      <c r="AE7017">
        <v>-8.1866099999999999</v>
      </c>
      <c r="AF7017">
        <v>6.7741810601592798</v>
      </c>
      <c r="AG7017">
        <v>-1.1148340000000001</v>
      </c>
      <c r="AH7017">
        <v>5.7424077992829403</v>
      </c>
      <c r="AI7017">
        <v>97.155258627448006</v>
      </c>
      <c r="AJ7017">
        <v>40.287622154317603</v>
      </c>
      <c r="AK7017">
        <v>8.9502866555570293</v>
      </c>
      <c r="AL7017">
        <v>94.422570572284201</v>
      </c>
      <c r="AM7017">
        <v>57.983707563364497</v>
      </c>
      <c r="AN7017">
        <v>0.99999997467676605</v>
      </c>
    </row>
    <row r="7018" spans="1:40" x14ac:dyDescent="0.25">
      <c r="A7018" t="str">
        <f>"20190303154946929"</f>
        <v>20190303154946929</v>
      </c>
      <c r="B7018" t="str">
        <f>"1551599386917464"</f>
        <v>1551599386917464</v>
      </c>
      <c r="C7018" t="s">
        <v>40</v>
      </c>
      <c r="D7018">
        <v>4.6695739999999999</v>
      </c>
      <c r="E7018">
        <v>0.61754589999999998</v>
      </c>
      <c r="F7018" t="s">
        <v>43</v>
      </c>
      <c r="G7018">
        <v>-306.48180000000002</v>
      </c>
      <c r="H7018">
        <v>-0.05</v>
      </c>
      <c r="I7018">
        <v>7.7477259999999903</v>
      </c>
      <c r="J7018">
        <v>-310.16890000000001</v>
      </c>
      <c r="K7018">
        <v>1.064737</v>
      </c>
      <c r="L7018">
        <v>15.90997</v>
      </c>
      <c r="M7018">
        <v>0.96224299999999996</v>
      </c>
      <c r="N7018">
        <v>-6.9372640000000003E-3</v>
      </c>
      <c r="O7018">
        <v>-0.27210329999999999</v>
      </c>
      <c r="P7018">
        <v>0.6658307</v>
      </c>
      <c r="Q7018">
        <v>-7.5851260000000004E-2</v>
      </c>
      <c r="R7018">
        <v>-0.74223749999999999</v>
      </c>
      <c r="S7018">
        <v>1.3143009999999999</v>
      </c>
      <c r="T7018">
        <v>-0.38539509999999899</v>
      </c>
      <c r="U7018">
        <v>-2.8345340000000001</v>
      </c>
      <c r="V7018">
        <v>0.53208540000000004</v>
      </c>
      <c r="W7018">
        <v>-7.6998590000000006E-2</v>
      </c>
      <c r="X7018">
        <v>0.84318230000000005</v>
      </c>
      <c r="Y7018">
        <v>0.75468749999999996</v>
      </c>
      <c r="Z7018">
        <v>-2.5435719999999998E-2</v>
      </c>
      <c r="AA7018">
        <v>0.65559119999999904</v>
      </c>
      <c r="AB7018">
        <v>22</v>
      </c>
      <c r="AC7018">
        <v>3.6870999999999801</v>
      </c>
      <c r="AD7018">
        <v>-1.1147370000000001</v>
      </c>
      <c r="AE7018">
        <v>-8.1622439999999994</v>
      </c>
      <c r="AF7018">
        <v>6.7464461619255403</v>
      </c>
      <c r="AG7018">
        <v>-1.1147370000000001</v>
      </c>
      <c r="AH7018">
        <v>5.6809945866483798</v>
      </c>
      <c r="AI7018">
        <v>97.203463788952206</v>
      </c>
      <c r="AJ7018">
        <v>40.099798277206901</v>
      </c>
      <c r="AK7018">
        <v>8.8899310395782596</v>
      </c>
      <c r="AL7018">
        <v>94.416065133165901</v>
      </c>
      <c r="AM7018">
        <v>57.746258279852498</v>
      </c>
      <c r="AN7018">
        <v>1.0000000233942099</v>
      </c>
    </row>
    <row r="7019" spans="1:40" x14ac:dyDescent="0.25">
      <c r="A7019" t="str">
        <f>"20190303154946939"</f>
        <v>20190303154946939</v>
      </c>
      <c r="B7019" t="str">
        <f>"1551599386928199"</f>
        <v>1551599386928199</v>
      </c>
      <c r="C7019" t="s">
        <v>40</v>
      </c>
      <c r="D7019">
        <v>5.9266829999999997</v>
      </c>
      <c r="E7019">
        <v>0.61612299999999998</v>
      </c>
      <c r="F7019" t="s">
        <v>43</v>
      </c>
      <c r="G7019">
        <v>-306.43740000000003</v>
      </c>
      <c r="H7019">
        <v>-0.05</v>
      </c>
      <c r="I7019">
        <v>7.670242</v>
      </c>
      <c r="J7019">
        <v>-310.0591</v>
      </c>
      <c r="K7019">
        <v>1.0646359999999999</v>
      </c>
      <c r="L7019">
        <v>15.873989999999999</v>
      </c>
      <c r="M7019">
        <v>0.96097140000000003</v>
      </c>
      <c r="N7019">
        <v>-6.93999E-3</v>
      </c>
      <c r="O7019">
        <v>-0.2765611</v>
      </c>
      <c r="P7019">
        <v>0.65958640000000002</v>
      </c>
      <c r="Q7019">
        <v>-7.5244370000000005E-2</v>
      </c>
      <c r="R7019">
        <v>-0.747853199999999</v>
      </c>
      <c r="S7019">
        <v>1.2889710000000001</v>
      </c>
      <c r="T7019">
        <v>-0.38505980000000001</v>
      </c>
      <c r="U7019">
        <v>-2.846222</v>
      </c>
      <c r="V7019">
        <v>0.53528730000000002</v>
      </c>
      <c r="W7019">
        <v>-7.6566990000000001E-2</v>
      </c>
      <c r="X7019">
        <v>0.84119270000000002</v>
      </c>
      <c r="Y7019">
        <v>0.75750109999999904</v>
      </c>
      <c r="Z7019">
        <v>-2.5151280000000002E-2</v>
      </c>
      <c r="AA7019">
        <v>0.65234930000000002</v>
      </c>
      <c r="AB7019">
        <v>22</v>
      </c>
      <c r="AC7019">
        <v>3.6216999999999699</v>
      </c>
      <c r="AD7019">
        <v>-1.114636</v>
      </c>
      <c r="AE7019">
        <v>-8.2037479999999992</v>
      </c>
      <c r="AF7019">
        <v>6.7774039100313601</v>
      </c>
      <c r="AG7019">
        <v>-1.114636</v>
      </c>
      <c r="AH7019">
        <v>5.6618531876027696</v>
      </c>
      <c r="AI7019">
        <v>97.193602417237202</v>
      </c>
      <c r="AJ7019">
        <v>39.875431765035202</v>
      </c>
      <c r="AK7019">
        <v>8.9012470300611302</v>
      </c>
      <c r="AL7019">
        <v>94.391262815180497</v>
      </c>
      <c r="AM7019">
        <v>57.5296389303277</v>
      </c>
      <c r="AN7019">
        <v>1.00000007801611</v>
      </c>
    </row>
    <row r="7020" spans="1:40" x14ac:dyDescent="0.25">
      <c r="A7020" t="str">
        <f>"20190303154946952"</f>
        <v>20190303154946952</v>
      </c>
      <c r="B7020" t="str">
        <f>"1551599386947719"</f>
        <v>1551599386947719</v>
      </c>
      <c r="C7020" t="s">
        <v>40</v>
      </c>
      <c r="D7020">
        <v>5.9450099999999999</v>
      </c>
      <c r="E7020">
        <v>0.6137475</v>
      </c>
      <c r="F7020" t="s">
        <v>43</v>
      </c>
      <c r="G7020">
        <v>-306.39640000000003</v>
      </c>
      <c r="H7020">
        <v>-0.05</v>
      </c>
      <c r="I7020">
        <v>7.6766199999999998</v>
      </c>
      <c r="J7020">
        <v>-309.9436</v>
      </c>
      <c r="K7020">
        <v>1.0645279999999999</v>
      </c>
      <c r="L7020">
        <v>15.83502</v>
      </c>
      <c r="M7020">
        <v>0.95957740000000002</v>
      </c>
      <c r="N7020">
        <v>-6.9477239999999997E-3</v>
      </c>
      <c r="O7020">
        <v>-0.28135919999999998</v>
      </c>
      <c r="P7020">
        <v>0.65316419999999997</v>
      </c>
      <c r="Q7020">
        <v>-7.4819720000000006E-2</v>
      </c>
      <c r="R7020">
        <v>-0.75351089999999998</v>
      </c>
      <c r="S7020">
        <v>1.2732239999999999</v>
      </c>
      <c r="T7020">
        <v>-0.3874669</v>
      </c>
      <c r="U7020">
        <v>-2.849548</v>
      </c>
      <c r="V7020">
        <v>0.53830250000000002</v>
      </c>
      <c r="W7020">
        <v>-7.6322319999999999E-2</v>
      </c>
      <c r="X7020">
        <v>0.83928860000000005</v>
      </c>
      <c r="Y7020">
        <v>0.75751210000000002</v>
      </c>
      <c r="Z7020">
        <v>-2.466018E-2</v>
      </c>
      <c r="AA7020">
        <v>0.65235529999999997</v>
      </c>
      <c r="AB7020">
        <v>22</v>
      </c>
      <c r="AC7020">
        <v>3.5471999999999699</v>
      </c>
      <c r="AD7020">
        <v>-1.114528</v>
      </c>
      <c r="AE7020">
        <v>-8.1584000000000003</v>
      </c>
      <c r="AF7020">
        <v>6.7251885878561604</v>
      </c>
      <c r="AG7020">
        <v>-1.114528</v>
      </c>
      <c r="AH7020">
        <v>5.6113189647603798</v>
      </c>
      <c r="AI7020">
        <v>97.251795436785898</v>
      </c>
      <c r="AJ7020">
        <v>39.840724317682003</v>
      </c>
      <c r="AK7020">
        <v>8.8293394276862092</v>
      </c>
      <c r="AL7020">
        <v>94.377203388458298</v>
      </c>
      <c r="AM7020">
        <v>57.3247198618159</v>
      </c>
      <c r="AN7020">
        <v>1.0000000160631899</v>
      </c>
    </row>
    <row r="7021" spans="1:40" x14ac:dyDescent="0.25">
      <c r="A7021" t="str">
        <f>"20190303154946964"</f>
        <v>20190303154946964</v>
      </c>
      <c r="B7021" t="str">
        <f>"1551599386957478"</f>
        <v>1551599386957478</v>
      </c>
      <c r="C7021" t="s">
        <v>40</v>
      </c>
      <c r="D7021">
        <v>5.7115929999999997</v>
      </c>
      <c r="E7021">
        <v>0.613569699999999</v>
      </c>
      <c r="F7021" t="s">
        <v>43</v>
      </c>
      <c r="G7021">
        <v>-306.34309999999999</v>
      </c>
      <c r="H7021">
        <v>-0.05</v>
      </c>
      <c r="I7021">
        <v>7.7149960000000002</v>
      </c>
      <c r="J7021">
        <v>-309.8349</v>
      </c>
      <c r="K7021">
        <v>1.0644169999999999</v>
      </c>
      <c r="L7021">
        <v>15.798</v>
      </c>
      <c r="M7021">
        <v>0.95823139999999996</v>
      </c>
      <c r="N7021">
        <v>-6.9556540000000004E-3</v>
      </c>
      <c r="O7021">
        <v>-0.28590979999999999</v>
      </c>
      <c r="P7021">
        <v>0.64688909999999999</v>
      </c>
      <c r="Q7021">
        <v>-7.4695590000000006E-2</v>
      </c>
      <c r="R7021">
        <v>-0.75891750000000002</v>
      </c>
      <c r="S7021">
        <v>1.2627870000000001</v>
      </c>
      <c r="T7021">
        <v>-0.39089360000000001</v>
      </c>
      <c r="U7021">
        <v>-2.8479000000000001</v>
      </c>
      <c r="V7021">
        <v>0.54127409999999998</v>
      </c>
      <c r="W7021">
        <v>-7.637331E-2</v>
      </c>
      <c r="X7021">
        <v>0.83737059999999996</v>
      </c>
      <c r="Y7021">
        <v>0.75624539999999996</v>
      </c>
      <c r="Z7021">
        <v>-2.410582E-2</v>
      </c>
      <c r="AA7021">
        <v>0.65384379999999998</v>
      </c>
      <c r="AB7021">
        <v>22</v>
      </c>
      <c r="AC7021">
        <v>3.4918000000000098</v>
      </c>
      <c r="AD7021">
        <v>-1.114417</v>
      </c>
      <c r="AE7021">
        <v>-8.0830039999999901</v>
      </c>
      <c r="AF7021">
        <v>6.6408305628336297</v>
      </c>
      <c r="AG7021">
        <v>-1.114417</v>
      </c>
      <c r="AH7021">
        <v>5.5679056929704904</v>
      </c>
      <c r="AI7021">
        <v>97.3276902340167</v>
      </c>
      <c r="AJ7021">
        <v>39.977650755817102</v>
      </c>
      <c r="AK7021">
        <v>8.7375127822491603</v>
      </c>
      <c r="AL7021">
        <v>94.380133400932806</v>
      </c>
      <c r="AM7021">
        <v>57.121481538884701</v>
      </c>
      <c r="AN7021">
        <v>1.0000000277777601</v>
      </c>
    </row>
    <row r="7022" spans="1:40" x14ac:dyDescent="0.25">
      <c r="A7022" t="str">
        <f>"20190303154946976"</f>
        <v>20190303154946976</v>
      </c>
      <c r="B7022" t="str">
        <f>"1551599386968215"</f>
        <v>1551599386968215</v>
      </c>
      <c r="C7022" t="s">
        <v>40</v>
      </c>
      <c r="D7022">
        <v>5.6361489999999996</v>
      </c>
      <c r="E7022">
        <v>0.6136914</v>
      </c>
      <c r="F7022" t="s">
        <v>43</v>
      </c>
      <c r="G7022">
        <v>-306.22919999999999</v>
      </c>
      <c r="H7022">
        <v>-0.05</v>
      </c>
      <c r="I7022">
        <v>7.4956209999999999</v>
      </c>
      <c r="J7022">
        <v>-309.71469999999999</v>
      </c>
      <c r="K7022">
        <v>1.0642990000000001</v>
      </c>
      <c r="L7022">
        <v>15.7562</v>
      </c>
      <c r="M7022">
        <v>0.95668799999999998</v>
      </c>
      <c r="N7022">
        <v>-6.9679599999999996E-3</v>
      </c>
      <c r="O7022">
        <v>-0.29103200000000001</v>
      </c>
      <c r="P7022">
        <v>0.64008739999999997</v>
      </c>
      <c r="Q7022">
        <v>-7.5031970000000003E-2</v>
      </c>
      <c r="R7022">
        <v>-0.76462949999999996</v>
      </c>
      <c r="S7022">
        <v>1.2409669999999999</v>
      </c>
      <c r="T7022">
        <v>-0.38355139999999999</v>
      </c>
      <c r="U7022">
        <v>-2.8574519999999999</v>
      </c>
      <c r="V7022">
        <v>0.54420800000000003</v>
      </c>
      <c r="W7022">
        <v>-7.6901499999999998E-2</v>
      </c>
      <c r="X7022">
        <v>0.83541829999999995</v>
      </c>
      <c r="Y7022">
        <v>0.7578973</v>
      </c>
      <c r="Z7022">
        <v>-2.3261939999999998E-2</v>
      </c>
      <c r="AA7022">
        <v>0.65195909999999901</v>
      </c>
      <c r="AB7022">
        <v>22</v>
      </c>
      <c r="AC7022">
        <v>3.4855</v>
      </c>
      <c r="AD7022">
        <v>-1.1142989999999999</v>
      </c>
      <c r="AE7022">
        <v>-8.2605789999999999</v>
      </c>
      <c r="AF7022">
        <v>6.7837873901773103</v>
      </c>
      <c r="AG7022">
        <v>-1.1142989999999999</v>
      </c>
      <c r="AH7022">
        <v>5.6514736517900497</v>
      </c>
      <c r="AI7022">
        <v>97.1928585678762</v>
      </c>
      <c r="AJ7022">
        <v>39.797183586267799</v>
      </c>
      <c r="AK7022">
        <v>8.8994712232473105</v>
      </c>
      <c r="AL7022">
        <v>94.410486014332406</v>
      </c>
      <c r="AM7022">
        <v>56.918983566432303</v>
      </c>
      <c r="AN7022">
        <v>0.99999996197056895</v>
      </c>
    </row>
    <row r="7023" spans="1:40" x14ac:dyDescent="0.25">
      <c r="A7023" t="str">
        <f>"20190303154946987"</f>
        <v>20190303154946987</v>
      </c>
      <c r="B7023" t="str">
        <f>"1551599386977975"</f>
        <v>1551599386977975</v>
      </c>
      <c r="C7023" t="s">
        <v>40</v>
      </c>
      <c r="D7023">
        <v>5.6376790000000003</v>
      </c>
      <c r="E7023">
        <v>0.61372680000000002</v>
      </c>
      <c r="F7023" t="s">
        <v>43</v>
      </c>
      <c r="G7023">
        <v>-306.10329999999999</v>
      </c>
      <c r="H7023">
        <v>-0.05</v>
      </c>
      <c r="I7023">
        <v>7.2267609999999998</v>
      </c>
      <c r="J7023">
        <v>-309.6053</v>
      </c>
      <c r="K7023">
        <v>1.064187</v>
      </c>
      <c r="L7023">
        <v>15.71735</v>
      </c>
      <c r="M7023">
        <v>0.95523579999999997</v>
      </c>
      <c r="N7023">
        <v>-6.9813509999999898E-3</v>
      </c>
      <c r="O7023">
        <v>-0.29576340000000001</v>
      </c>
      <c r="P7023">
        <v>0.63347129999999996</v>
      </c>
      <c r="Q7023">
        <v>-7.5052430000000003E-2</v>
      </c>
      <c r="R7023">
        <v>-0.77011790000000002</v>
      </c>
      <c r="S7023">
        <v>1.214996</v>
      </c>
      <c r="T7023">
        <v>-0.37488939999999998</v>
      </c>
      <c r="U7023">
        <v>-2.8695979999999999</v>
      </c>
      <c r="V7023">
        <v>0.54724879999999998</v>
      </c>
      <c r="W7023">
        <v>-7.7103939999999996E-2</v>
      </c>
      <c r="X7023">
        <v>0.83341100000000001</v>
      </c>
      <c r="Y7023">
        <v>0.76081449999999995</v>
      </c>
      <c r="Z7023">
        <v>-2.2567179999999999E-2</v>
      </c>
      <c r="AA7023">
        <v>0.64857699999999996</v>
      </c>
      <c r="AB7023">
        <v>22</v>
      </c>
      <c r="AC7023">
        <v>3.5019999999999998</v>
      </c>
      <c r="AD7023">
        <v>-1.114187</v>
      </c>
      <c r="AE7023">
        <v>-8.4905889999999999</v>
      </c>
      <c r="AF7023">
        <v>6.9723136594539898</v>
      </c>
      <c r="AG7023">
        <v>-1.114187</v>
      </c>
      <c r="AH7023">
        <v>5.7716440350487801</v>
      </c>
      <c r="AI7023">
        <v>97.017671799291705</v>
      </c>
      <c r="AJ7023">
        <v>39.6177761570531</v>
      </c>
      <c r="AK7023">
        <v>9.1195638768579297</v>
      </c>
      <c r="AL7023">
        <v>94.422118987131995</v>
      </c>
      <c r="AM7023">
        <v>56.709601574635599</v>
      </c>
      <c r="AN7023">
        <v>1.0000000807929701</v>
      </c>
    </row>
    <row r="7024" spans="1:40" x14ac:dyDescent="0.25">
      <c r="A7024" t="str">
        <f>"20190303154946999"</f>
        <v>20190303154946999</v>
      </c>
      <c r="B7024" t="str">
        <f>"1551599386987736"</f>
        <v>1551599386987736</v>
      </c>
      <c r="C7024" t="s">
        <v>40</v>
      </c>
      <c r="D7024">
        <v>5.6010220000000004</v>
      </c>
      <c r="E7024">
        <v>0.61374459999999997</v>
      </c>
      <c r="F7024" t="s">
        <v>43</v>
      </c>
      <c r="G7024">
        <v>-305.97829999999999</v>
      </c>
      <c r="H7024">
        <v>-0.05</v>
      </c>
      <c r="I7024">
        <v>6.9426420000000002</v>
      </c>
      <c r="J7024">
        <v>-309.48649999999998</v>
      </c>
      <c r="K7024">
        <v>1.064066</v>
      </c>
      <c r="L7024">
        <v>15.674709999999999</v>
      </c>
      <c r="M7024">
        <v>0.95361669999999998</v>
      </c>
      <c r="N7024">
        <v>-6.9968770000000003E-3</v>
      </c>
      <c r="O7024">
        <v>-0.3009426</v>
      </c>
      <c r="P7024">
        <v>0.62660969999999905</v>
      </c>
      <c r="Q7024">
        <v>-7.5698100000000004E-2</v>
      </c>
      <c r="R7024">
        <v>-0.77564829999999996</v>
      </c>
      <c r="S7024">
        <v>1.1906129999999999</v>
      </c>
      <c r="T7024">
        <v>-0.3657571</v>
      </c>
      <c r="U7024">
        <v>-2.880493</v>
      </c>
      <c r="V7024">
        <v>0.55002949999999995</v>
      </c>
      <c r="W7024">
        <v>-7.7939389999999997E-2</v>
      </c>
      <c r="X7024">
        <v>0.83150049999999898</v>
      </c>
      <c r="Y7024">
        <v>0.76301669999999999</v>
      </c>
      <c r="Z7024">
        <v>-2.1732700000000001E-2</v>
      </c>
      <c r="AA7024">
        <v>0.64601339999999996</v>
      </c>
      <c r="AB7024">
        <v>22</v>
      </c>
      <c r="AC7024">
        <v>3.50819999999998</v>
      </c>
      <c r="AD7024">
        <v>-1.114066</v>
      </c>
      <c r="AE7024">
        <v>-8.7320679999999999</v>
      </c>
      <c r="AF7024">
        <v>7.1709533967063601</v>
      </c>
      <c r="AG7024">
        <v>-1.114066</v>
      </c>
      <c r="AH7024">
        <v>5.8909122013872297</v>
      </c>
      <c r="AI7024">
        <v>96.845333374716006</v>
      </c>
      <c r="AJ7024">
        <v>39.402980166040997</v>
      </c>
      <c r="AK7024">
        <v>9.3470081969870709</v>
      </c>
      <c r="AL7024">
        <v>94.470131409191495</v>
      </c>
      <c r="AM7024">
        <v>56.515751396998297</v>
      </c>
      <c r="AN7024">
        <v>1.0000000404420299</v>
      </c>
    </row>
    <row r="7025" spans="1:40" x14ac:dyDescent="0.25">
      <c r="A7025" t="str">
        <f>"20190303154947013"</f>
        <v>20190303154947013</v>
      </c>
      <c r="B7025" t="str">
        <f>"1551599387008231"</f>
        <v>1551599387008231</v>
      </c>
      <c r="C7025" t="s">
        <v>40</v>
      </c>
      <c r="D7025">
        <v>5.5514250000000001</v>
      </c>
      <c r="E7025">
        <v>0.61395999999999995</v>
      </c>
      <c r="F7025" t="s">
        <v>43</v>
      </c>
      <c r="G7025">
        <v>-305.8732</v>
      </c>
      <c r="H7025">
        <v>-0.05</v>
      </c>
      <c r="I7025">
        <v>6.7108309999999998</v>
      </c>
      <c r="J7025">
        <v>-309.36189999999999</v>
      </c>
      <c r="K7025">
        <v>1.0639369999999999</v>
      </c>
      <c r="L7025">
        <v>15.62872</v>
      </c>
      <c r="M7025">
        <v>0.95184559999999996</v>
      </c>
      <c r="N7025">
        <v>-7.0172790000000004E-3</v>
      </c>
      <c r="O7025">
        <v>-0.30649710000000002</v>
      </c>
      <c r="P7025">
        <v>0.61928000000000005</v>
      </c>
      <c r="Q7025">
        <v>-7.6409000000000005E-2</v>
      </c>
      <c r="R7025">
        <v>-0.78144329999999995</v>
      </c>
      <c r="S7025">
        <v>1.165405</v>
      </c>
      <c r="T7025">
        <v>-0.35932599999999998</v>
      </c>
      <c r="U7025">
        <v>-2.8911739999999999</v>
      </c>
      <c r="V7025">
        <v>0.55290450000000002</v>
      </c>
      <c r="W7025">
        <v>-7.8849180000000005E-2</v>
      </c>
      <c r="X7025">
        <v>0.82950550000000001</v>
      </c>
      <c r="Y7025">
        <v>0.76504309999999998</v>
      </c>
      <c r="Z7025">
        <v>-2.097713E-2</v>
      </c>
      <c r="AA7025">
        <v>0.64363740000000003</v>
      </c>
      <c r="AB7025">
        <v>22</v>
      </c>
      <c r="AC7025">
        <v>3.4886999999999899</v>
      </c>
      <c r="AD7025">
        <v>-1.113937</v>
      </c>
      <c r="AE7025">
        <v>-8.9178890000000006</v>
      </c>
      <c r="AF7025">
        <v>7.3203042284745097</v>
      </c>
      <c r="AG7025">
        <v>-1.113937</v>
      </c>
      <c r="AH7025">
        <v>5.9733312020707601</v>
      </c>
      <c r="AI7025">
        <v>96.724131642599602</v>
      </c>
      <c r="AJ7025">
        <v>39.214271064407903</v>
      </c>
      <c r="AK7025">
        <v>9.5135900314772304</v>
      </c>
      <c r="AL7025">
        <v>94.522419744036696</v>
      </c>
      <c r="AM7025">
        <v>56.314674808671299</v>
      </c>
      <c r="AN7025">
        <v>0.999999976918586</v>
      </c>
    </row>
    <row r="7026" spans="1:40" x14ac:dyDescent="0.25">
      <c r="A7026" t="str">
        <f>"20190303154947027"</f>
        <v>20190303154947027</v>
      </c>
      <c r="B7026" t="str">
        <f>"1551599387017991"</f>
        <v>1551599387017991</v>
      </c>
      <c r="C7026" t="s">
        <v>40</v>
      </c>
      <c r="D7026">
        <v>5.572343</v>
      </c>
      <c r="E7026">
        <v>0.61401439999999996</v>
      </c>
      <c r="F7026" t="s">
        <v>43</v>
      </c>
      <c r="G7026">
        <v>-305.67250000000001</v>
      </c>
      <c r="H7026">
        <v>-0.05</v>
      </c>
      <c r="I7026">
        <v>6.2133789999999998</v>
      </c>
      <c r="J7026">
        <v>-309.2269</v>
      </c>
      <c r="K7026">
        <v>1.063796</v>
      </c>
      <c r="L7026">
        <v>15.5781299999999</v>
      </c>
      <c r="M7026">
        <v>0.94986329999999997</v>
      </c>
      <c r="N7026">
        <v>-7.0405889999999999E-3</v>
      </c>
      <c r="O7026">
        <v>-0.31258629999999998</v>
      </c>
      <c r="P7026">
        <v>0.61148440000000004</v>
      </c>
      <c r="Q7026">
        <v>-7.7143840000000005E-2</v>
      </c>
      <c r="R7026">
        <v>-0.78748739999999995</v>
      </c>
      <c r="S7026">
        <v>1.137848</v>
      </c>
      <c r="T7026">
        <v>-0.34354040000000002</v>
      </c>
      <c r="U7026">
        <v>-2.9037169999999999</v>
      </c>
      <c r="V7026">
        <v>0.55572589999999999</v>
      </c>
      <c r="W7026">
        <v>-7.9796469999999994E-2</v>
      </c>
      <c r="X7026">
        <v>0.82752719999999902</v>
      </c>
      <c r="Y7026">
        <v>0.76742880000000002</v>
      </c>
      <c r="Z7026">
        <v>-1.98149E-2</v>
      </c>
      <c r="AA7026">
        <v>0.64082799999999995</v>
      </c>
      <c r="AB7026">
        <v>22</v>
      </c>
      <c r="AC7026">
        <v>3.5543999999999798</v>
      </c>
      <c r="AD7026">
        <v>-1.113796</v>
      </c>
      <c r="AE7026">
        <v>-9.3647509999999894</v>
      </c>
      <c r="AF7026">
        <v>7.6892963061315998</v>
      </c>
      <c r="AG7026">
        <v>-1.113796</v>
      </c>
      <c r="AH7026">
        <v>6.2266546590731204</v>
      </c>
      <c r="AI7026">
        <v>96.422738362096595</v>
      </c>
      <c r="AJ7026">
        <v>38.9999337729407</v>
      </c>
      <c r="AK7026">
        <v>9.9567588831136202</v>
      </c>
      <c r="AL7026">
        <v>94.576866880713595</v>
      </c>
      <c r="AM7026">
        <v>56.116664573593901</v>
      </c>
      <c r="AN7026">
        <v>1.0000000096475501</v>
      </c>
    </row>
    <row r="7027" spans="1:40" x14ac:dyDescent="0.25">
      <c r="A7027" t="str">
        <f>"20190303154947041"</f>
        <v>20190303154947041</v>
      </c>
      <c r="B7027" t="str">
        <f>"1551599387037511"</f>
        <v>1551599387037511</v>
      </c>
      <c r="C7027" t="s">
        <v>40</v>
      </c>
      <c r="D7027">
        <v>5.5847740000000003</v>
      </c>
      <c r="E7027">
        <v>0.61391879999999999</v>
      </c>
      <c r="F7027" t="s">
        <v>43</v>
      </c>
      <c r="G7027">
        <v>-305.56830000000002</v>
      </c>
      <c r="H7027">
        <v>-0.05</v>
      </c>
      <c r="I7027">
        <v>5.9627230000000004</v>
      </c>
      <c r="J7027">
        <v>-309.09100000000001</v>
      </c>
      <c r="K7027">
        <v>1.063644</v>
      </c>
      <c r="L7027">
        <v>15.526149999999999</v>
      </c>
      <c r="M7027">
        <v>0.94779559999999996</v>
      </c>
      <c r="N7027">
        <v>-7.0655659999999997E-3</v>
      </c>
      <c r="O7027">
        <v>-0.31880039999999998</v>
      </c>
      <c r="P7027">
        <v>0.60100229999999999</v>
      </c>
      <c r="Q7027">
        <v>-7.8838560000000002E-2</v>
      </c>
      <c r="R7027">
        <v>-0.79534959999999999</v>
      </c>
      <c r="S7027">
        <v>1.1092219999999999</v>
      </c>
      <c r="T7027">
        <v>-0.33767930000000002</v>
      </c>
      <c r="U7027">
        <v>-2.9151919999999998</v>
      </c>
      <c r="V7027">
        <v>0.56103879999999995</v>
      </c>
      <c r="W7027">
        <v>-8.1759150000000003E-2</v>
      </c>
      <c r="X7027">
        <v>0.82374199999999997</v>
      </c>
      <c r="Y7027">
        <v>0.76966880000000004</v>
      </c>
      <c r="Z7027">
        <v>-1.9078950000000001E-2</v>
      </c>
      <c r="AA7027">
        <v>0.63815829999999996</v>
      </c>
      <c r="AB7027">
        <v>23</v>
      </c>
      <c r="AC7027">
        <v>3.52269999999998</v>
      </c>
      <c r="AD7027">
        <v>-1.1136440000000001</v>
      </c>
      <c r="AE7027">
        <v>-9.5634270000000008</v>
      </c>
      <c r="AF7027">
        <v>7.8476319595386501</v>
      </c>
      <c r="AG7027">
        <v>-1.1136440000000001</v>
      </c>
      <c r="AH7027">
        <v>6.3124120320080603</v>
      </c>
      <c r="AI7027">
        <v>96.309879518749796</v>
      </c>
      <c r="AJ7027">
        <v>38.812210006171902</v>
      </c>
      <c r="AK7027">
        <v>10.1327230295191</v>
      </c>
      <c r="AL7027">
        <v>94.689688966992406</v>
      </c>
      <c r="AM7027">
        <v>55.7417869883528</v>
      </c>
      <c r="AN7027">
        <v>0.99999998813908098</v>
      </c>
    </row>
    <row r="7028" spans="1:40" x14ac:dyDescent="0.25">
      <c r="A7028" t="str">
        <f>"20190303154947061"</f>
        <v>20190303154947061</v>
      </c>
      <c r="B7028" t="str">
        <f>"1551599387058008"</f>
        <v>1551599387058008</v>
      </c>
      <c r="C7028" t="s">
        <v>40</v>
      </c>
      <c r="D7028">
        <v>5.553782</v>
      </c>
      <c r="E7028">
        <v>0.61362419999999995</v>
      </c>
      <c r="F7028" t="s">
        <v>43</v>
      </c>
      <c r="G7028">
        <v>-305.47890000000001</v>
      </c>
      <c r="H7028">
        <v>-0.05</v>
      </c>
      <c r="I7028">
        <v>5.6528929999999997</v>
      </c>
      <c r="J7028">
        <v>-308.89920000000001</v>
      </c>
      <c r="K7028">
        <v>1.0634479999999999</v>
      </c>
      <c r="L7028">
        <v>15.4507799999999</v>
      </c>
      <c r="M7028">
        <v>0.94473680000000004</v>
      </c>
      <c r="N7028">
        <v>-7.1048179999999997E-3</v>
      </c>
      <c r="O7028">
        <v>-0.32775270000000001</v>
      </c>
      <c r="P7028">
        <v>0.59098289999999998</v>
      </c>
      <c r="Q7028">
        <v>-7.9382640000000004E-2</v>
      </c>
      <c r="R7028">
        <v>-0.80276879999999995</v>
      </c>
      <c r="S7028">
        <v>1.0716859999999999</v>
      </c>
      <c r="T7028">
        <v>-0.33041690000000001</v>
      </c>
      <c r="U7028">
        <v>-2.9293819999999999</v>
      </c>
      <c r="V7028">
        <v>0.56347409999999998</v>
      </c>
      <c r="W7028">
        <v>-8.2572309999999996E-2</v>
      </c>
      <c r="X7028">
        <v>0.82199679999999997</v>
      </c>
      <c r="Y7028">
        <v>0.77197380000000004</v>
      </c>
      <c r="Z7028">
        <v>-1.800415E-2</v>
      </c>
      <c r="AA7028">
        <v>0.63539950000000001</v>
      </c>
      <c r="AB7028">
        <v>23</v>
      </c>
      <c r="AC7028">
        <v>3.4202999999999899</v>
      </c>
      <c r="AD7028">
        <v>-1.113448</v>
      </c>
      <c r="AE7028">
        <v>-9.7978869999999993</v>
      </c>
      <c r="AF7028">
        <v>8.04302924311712</v>
      </c>
      <c r="AG7028">
        <v>-1.113448</v>
      </c>
      <c r="AH7028">
        <v>6.3694078802359497</v>
      </c>
      <c r="AI7028">
        <v>96.193913449206804</v>
      </c>
      <c r="AJ7028">
        <v>38.376285141444498</v>
      </c>
      <c r="AK7028">
        <v>10.319856714080499</v>
      </c>
      <c r="AL7028">
        <v>94.736437651943206</v>
      </c>
      <c r="AM7028">
        <v>55.569585699081699</v>
      </c>
      <c r="AN7028">
        <v>0.99999999347989299</v>
      </c>
    </row>
    <row r="7029" spans="1:40" x14ac:dyDescent="0.25">
      <c r="A7029" t="str">
        <f>"20190303154947075"</f>
        <v>20190303154947075</v>
      </c>
      <c r="B7029" t="str">
        <f>"1551599387067767"</f>
        <v>1551599387067767</v>
      </c>
      <c r="C7029" t="s">
        <v>40</v>
      </c>
      <c r="D7029">
        <v>5.5581909999999999</v>
      </c>
      <c r="E7029">
        <v>0.61346179999999995</v>
      </c>
      <c r="F7029" t="s">
        <v>43</v>
      </c>
      <c r="G7029">
        <v>-305.30560000000003</v>
      </c>
      <c r="H7029">
        <v>-0.05</v>
      </c>
      <c r="I7029">
        <v>5.2628329999999997</v>
      </c>
      <c r="J7029">
        <v>-308.75450000000001</v>
      </c>
      <c r="K7029">
        <v>1.063294</v>
      </c>
      <c r="L7029">
        <v>15.392029999999901</v>
      </c>
      <c r="M7029">
        <v>0.94231609999999999</v>
      </c>
      <c r="N7029">
        <v>-7.1361790000000003E-3</v>
      </c>
      <c r="O7029">
        <v>-0.33464850000000002</v>
      </c>
      <c r="P7029">
        <v>0.58065800000000001</v>
      </c>
      <c r="Q7029">
        <v>-8.0932420000000005E-2</v>
      </c>
      <c r="R7029">
        <v>-0.81011519999999904</v>
      </c>
      <c r="S7029">
        <v>1.0375369999999999</v>
      </c>
      <c r="T7029">
        <v>-0.32147179999999997</v>
      </c>
      <c r="U7029">
        <v>-2.9414370000000001</v>
      </c>
      <c r="V7029">
        <v>0.56778130000000004</v>
      </c>
      <c r="W7029">
        <v>-8.4369250000000007E-2</v>
      </c>
      <c r="X7029">
        <v>0.81884440000000003</v>
      </c>
      <c r="Y7029">
        <v>0.77483869999999999</v>
      </c>
      <c r="Z7029">
        <v>-1.7191660000000001E-2</v>
      </c>
      <c r="AA7029">
        <v>0.63192519999999996</v>
      </c>
      <c r="AB7029">
        <v>23</v>
      </c>
      <c r="AC7029">
        <v>3.4488999999999801</v>
      </c>
      <c r="AD7029">
        <v>-1.113294</v>
      </c>
      <c r="AE7029">
        <v>-10.1291969999999</v>
      </c>
      <c r="AF7029">
        <v>8.3010891581930597</v>
      </c>
      <c r="AG7029">
        <v>-1.113294</v>
      </c>
      <c r="AH7029">
        <v>6.5687359657655602</v>
      </c>
      <c r="AI7029">
        <v>96.003722909404701</v>
      </c>
      <c r="AJ7029">
        <v>38.354925622222503</v>
      </c>
      <c r="AK7029">
        <v>10.644049836911099</v>
      </c>
      <c r="AL7029">
        <v>94.839755447157103</v>
      </c>
      <c r="AM7029">
        <v>55.262816381827101</v>
      </c>
      <c r="AN7029">
        <v>0.99999996319330497</v>
      </c>
    </row>
    <row r="7030" spans="1:40" x14ac:dyDescent="0.25">
      <c r="A7030" t="str">
        <f>"20190303154947090"</f>
        <v>20190303154947090</v>
      </c>
      <c r="B7030" t="str">
        <f>"1551599387087288"</f>
        <v>1551599387087288</v>
      </c>
      <c r="C7030" t="s">
        <v>40</v>
      </c>
      <c r="D7030">
        <v>5.5818029999999998</v>
      </c>
      <c r="E7030">
        <v>0.61295089999999997</v>
      </c>
      <c r="F7030" t="s">
        <v>43</v>
      </c>
      <c r="G7030">
        <v>-305.29689999999999</v>
      </c>
      <c r="H7030">
        <v>-0.05</v>
      </c>
      <c r="I7030">
        <v>5.1947330000000003</v>
      </c>
      <c r="J7030">
        <v>-308.61939999999998</v>
      </c>
      <c r="K7030">
        <v>1.063164</v>
      </c>
      <c r="L7030">
        <v>15.33615</v>
      </c>
      <c r="M7030">
        <v>0.93997810000000004</v>
      </c>
      <c r="N7030">
        <v>-7.1654099999999997E-3</v>
      </c>
      <c r="O7030">
        <v>-0.34115990000000002</v>
      </c>
      <c r="P7030">
        <v>0.57328469999999998</v>
      </c>
      <c r="Q7030">
        <v>-8.1950350000000005E-2</v>
      </c>
      <c r="R7030">
        <v>-0.81524810000000003</v>
      </c>
      <c r="S7030">
        <v>1.0013430000000001</v>
      </c>
      <c r="T7030">
        <v>-0.3224223</v>
      </c>
      <c r="U7030">
        <v>-2.9532470000000002</v>
      </c>
      <c r="V7030">
        <v>0.56940590000000002</v>
      </c>
      <c r="W7030">
        <v>-8.5560750000000005E-2</v>
      </c>
      <c r="X7030">
        <v>0.81759179999999998</v>
      </c>
      <c r="Y7030">
        <v>0.77815849999999998</v>
      </c>
      <c r="Z7030">
        <v>-1.683838E-2</v>
      </c>
      <c r="AA7030">
        <v>0.62784219999999902</v>
      </c>
      <c r="AB7030">
        <v>23</v>
      </c>
      <c r="AC7030">
        <v>3.32249999999999</v>
      </c>
      <c r="AD7030">
        <v>-1.113164</v>
      </c>
      <c r="AE7030">
        <v>-10.141417000000001</v>
      </c>
      <c r="AF7030">
        <v>8.3090157056559999</v>
      </c>
      <c r="AG7030">
        <v>-1.113164</v>
      </c>
      <c r="AH7030">
        <v>6.5122348381359698</v>
      </c>
      <c r="AI7030">
        <v>96.0192440754318</v>
      </c>
      <c r="AJ7030">
        <v>38.087760806612003</v>
      </c>
      <c r="AK7030">
        <v>10.615464129032</v>
      </c>
      <c r="AL7030">
        <v>94.908270773181599</v>
      </c>
      <c r="AM7030">
        <v>55.144996520439101</v>
      </c>
      <c r="AN7030">
        <v>1.0000000361613</v>
      </c>
    </row>
    <row r="7031" spans="1:40" x14ac:dyDescent="0.25">
      <c r="A7031" t="str">
        <f>"20190303154947107"</f>
        <v>20190303154947107</v>
      </c>
      <c r="B7031" t="str">
        <f>"1551599387098023"</f>
        <v>1551599387098023</v>
      </c>
      <c r="C7031" t="s">
        <v>40</v>
      </c>
      <c r="D7031">
        <v>5.6943910000000004</v>
      </c>
      <c r="E7031">
        <v>0.61233870000000001</v>
      </c>
      <c r="F7031" t="s">
        <v>43</v>
      </c>
      <c r="G7031">
        <v>-305.19069999999999</v>
      </c>
      <c r="H7031">
        <v>-0.05</v>
      </c>
      <c r="I7031">
        <v>4.9601749999999996</v>
      </c>
      <c r="J7031">
        <v>-308.45080000000002</v>
      </c>
      <c r="K7031">
        <v>1.0629930000000001</v>
      </c>
      <c r="L7031">
        <v>15.26492</v>
      </c>
      <c r="M7031">
        <v>0.93695110000000004</v>
      </c>
      <c r="N7031">
        <v>-7.2023670000000003E-3</v>
      </c>
      <c r="O7031">
        <v>-0.34938649999999999</v>
      </c>
      <c r="P7031">
        <v>0.56301559999999995</v>
      </c>
      <c r="Q7031">
        <v>-8.5294229999999999E-2</v>
      </c>
      <c r="R7031">
        <v>-0.82203369999999998</v>
      </c>
      <c r="S7031">
        <v>0.97814939999999995</v>
      </c>
      <c r="T7031">
        <v>-0.31756879999999998</v>
      </c>
      <c r="U7031">
        <v>-2.9601139999999999</v>
      </c>
      <c r="V7031">
        <v>0.57208139999999996</v>
      </c>
      <c r="W7031">
        <v>-8.9133229999999994E-2</v>
      </c>
      <c r="X7031">
        <v>0.81533929999999999</v>
      </c>
      <c r="Y7031">
        <v>0.77763359999999904</v>
      </c>
      <c r="Z7031">
        <v>-1.5714059999999998E-2</v>
      </c>
      <c r="AA7031">
        <v>0.62852129999999995</v>
      </c>
      <c r="AB7031">
        <v>23</v>
      </c>
      <c r="AC7031">
        <v>3.26010000000002</v>
      </c>
      <c r="AD7031">
        <v>-1.1129929999999999</v>
      </c>
      <c r="AE7031">
        <v>-10.304745</v>
      </c>
      <c r="AF7031">
        <v>8.4268663126402501</v>
      </c>
      <c r="AG7031">
        <v>-1.1129929999999999</v>
      </c>
      <c r="AH7031">
        <v>6.58523327695716</v>
      </c>
      <c r="AI7031">
        <v>95.941340657324602</v>
      </c>
      <c r="AJ7031">
        <v>38.00609504386</v>
      </c>
      <c r="AK7031">
        <v>10.7524939702891</v>
      </c>
      <c r="AL7031">
        <v>95.113744330242895</v>
      </c>
      <c r="AM7031">
        <v>54.944647485791997</v>
      </c>
      <c r="AN7031">
        <v>1.0000000175203401</v>
      </c>
    </row>
    <row r="7032" spans="1:40" x14ac:dyDescent="0.25">
      <c r="A7032" t="str">
        <f>"20190303154947122"</f>
        <v>20190303154947122</v>
      </c>
      <c r="B7032" t="str">
        <f>"1551599387117543"</f>
        <v>1551599387117543</v>
      </c>
      <c r="C7032" t="s">
        <v>40</v>
      </c>
      <c r="D7032">
        <v>5.6053670000000002</v>
      </c>
      <c r="E7032">
        <v>0.61165559999999997</v>
      </c>
      <c r="F7032" t="s">
        <v>43</v>
      </c>
      <c r="G7032">
        <v>-305.22480000000002</v>
      </c>
      <c r="H7032">
        <v>-0.05</v>
      </c>
      <c r="I7032">
        <v>5.1308439999999997</v>
      </c>
      <c r="J7032">
        <v>-308.31079999999997</v>
      </c>
      <c r="K7032">
        <v>1.062864</v>
      </c>
      <c r="L7032">
        <v>15.204470000000001</v>
      </c>
      <c r="M7032">
        <v>0.93434050000000002</v>
      </c>
      <c r="N7032">
        <v>-7.23370099999999E-3</v>
      </c>
      <c r="O7032">
        <v>-0.35630869999999998</v>
      </c>
      <c r="P7032">
        <v>0.55593930000000003</v>
      </c>
      <c r="Q7032">
        <v>-8.7161210000000003E-2</v>
      </c>
      <c r="R7032">
        <v>-0.82664079999999995</v>
      </c>
      <c r="S7032">
        <v>0.94494630000000002</v>
      </c>
      <c r="T7032">
        <v>-0.32601479999999999</v>
      </c>
      <c r="U7032">
        <v>-2.968445</v>
      </c>
      <c r="V7032">
        <v>0.57280659999999906</v>
      </c>
      <c r="W7032">
        <v>-9.1156970000000004E-2</v>
      </c>
      <c r="X7032">
        <v>0.81460600000000005</v>
      </c>
      <c r="Y7032">
        <v>0.77976380000000001</v>
      </c>
      <c r="Z7032">
        <v>-1.54161E-2</v>
      </c>
      <c r="AA7032">
        <v>0.625884</v>
      </c>
      <c r="AB7032">
        <v>23</v>
      </c>
      <c r="AC7032">
        <v>3.0859999999999501</v>
      </c>
      <c r="AD7032">
        <v>-1.1128639999999901</v>
      </c>
      <c r="AE7032">
        <v>-10.0736259999999</v>
      </c>
      <c r="AF7032">
        <v>8.2211191630561693</v>
      </c>
      <c r="AG7032">
        <v>-1.1128639999999901</v>
      </c>
      <c r="AH7032">
        <v>6.4014411863568403</v>
      </c>
      <c r="AI7032">
        <v>96.0964357290446</v>
      </c>
      <c r="AJ7032">
        <v>37.906398155895701</v>
      </c>
      <c r="AK7032">
        <v>10.4787268233336</v>
      </c>
      <c r="AL7032">
        <v>95.230170397459503</v>
      </c>
      <c r="AM7032">
        <v>54.886258861507599</v>
      </c>
      <c r="AN7032">
        <v>0.99999996470956898</v>
      </c>
    </row>
    <row r="7033" spans="1:40" x14ac:dyDescent="0.25">
      <c r="A7033" t="str">
        <f>"20190303154947138"</f>
        <v>20190303154947138</v>
      </c>
      <c r="B7033" t="str">
        <f>"1551599387128279"</f>
        <v>1551599387128279</v>
      </c>
      <c r="C7033" t="s">
        <v>40</v>
      </c>
      <c r="D7033">
        <v>5.5977949999999996</v>
      </c>
      <c r="E7033">
        <v>0.6112841</v>
      </c>
      <c r="F7033" t="s">
        <v>43</v>
      </c>
      <c r="G7033">
        <v>-305.1388</v>
      </c>
      <c r="H7033">
        <v>-0.05</v>
      </c>
      <c r="I7033">
        <v>5.0028990000000002</v>
      </c>
      <c r="J7033">
        <v>-308.1567</v>
      </c>
      <c r="K7033">
        <v>1.0627249999999999</v>
      </c>
      <c r="L7033">
        <v>15.136139999999999</v>
      </c>
      <c r="M7033">
        <v>0.93134850000000002</v>
      </c>
      <c r="N7033">
        <v>-7.2709180000000003E-3</v>
      </c>
      <c r="O7033">
        <v>-0.36405670000000001</v>
      </c>
      <c r="P7033">
        <v>0.54785879999999998</v>
      </c>
      <c r="Q7033">
        <v>-8.9108679999999996E-2</v>
      </c>
      <c r="R7033">
        <v>-0.83181179999999999</v>
      </c>
      <c r="S7033">
        <v>0.92446899999999999</v>
      </c>
      <c r="T7033">
        <v>-0.3243395</v>
      </c>
      <c r="U7033">
        <v>-2.9732059999999998</v>
      </c>
      <c r="V7033">
        <v>0.57372129999999999</v>
      </c>
      <c r="W7033">
        <v>-9.3278330000000007E-2</v>
      </c>
      <c r="X7033">
        <v>0.81372169999999999</v>
      </c>
      <c r="Y7033">
        <v>0.77884469999999995</v>
      </c>
      <c r="Z7033">
        <v>-1.439794E-2</v>
      </c>
      <c r="AA7033">
        <v>0.62705159999999904</v>
      </c>
      <c r="AB7033">
        <v>23</v>
      </c>
      <c r="AC7033">
        <v>3.0178999999999898</v>
      </c>
      <c r="AD7033">
        <v>-1.112725</v>
      </c>
      <c r="AE7033">
        <v>-10.1332409999999</v>
      </c>
      <c r="AF7033">
        <v>8.2477619667913498</v>
      </c>
      <c r="AG7033">
        <v>-1.112725</v>
      </c>
      <c r="AH7033">
        <v>6.42875908867103</v>
      </c>
      <c r="AI7033">
        <v>96.073807263125303</v>
      </c>
      <c r="AJ7033">
        <v>37.934810364480299</v>
      </c>
      <c r="AK7033">
        <v>10.516305330611299</v>
      </c>
      <c r="AL7033">
        <v>95.352235394084403</v>
      </c>
      <c r="AM7033">
        <v>54.813929224956098</v>
      </c>
      <c r="AN7033">
        <v>0.99999999098608405</v>
      </c>
    </row>
    <row r="7034" spans="1:40" x14ac:dyDescent="0.25">
      <c r="A7034" t="str">
        <f>"20190303154947152"</f>
        <v>20190303154947152</v>
      </c>
      <c r="B7034" t="str">
        <f>"1551599387147799"</f>
        <v>1551599387147799</v>
      </c>
      <c r="C7034" t="s">
        <v>40</v>
      </c>
      <c r="D7034">
        <v>5.6483210000000001</v>
      </c>
      <c r="E7034">
        <v>0.61059390000000002</v>
      </c>
      <c r="F7034" t="s">
        <v>43</v>
      </c>
      <c r="G7034">
        <v>-305.09989999999999</v>
      </c>
      <c r="H7034">
        <v>-0.05</v>
      </c>
      <c r="I7034">
        <v>4.9930570000000003</v>
      </c>
      <c r="J7034">
        <v>-308.01650000000001</v>
      </c>
      <c r="K7034">
        <v>1.0625979999999999</v>
      </c>
      <c r="L7034">
        <v>15.07245</v>
      </c>
      <c r="M7034">
        <v>0.92852159999999995</v>
      </c>
      <c r="N7034">
        <v>-7.3065930000000001E-3</v>
      </c>
      <c r="O7034">
        <v>-0.37120639999999999</v>
      </c>
      <c r="P7034">
        <v>0.53969089999999997</v>
      </c>
      <c r="Q7034">
        <v>-9.1599410000000006E-2</v>
      </c>
      <c r="R7034">
        <v>-0.83686550000000004</v>
      </c>
      <c r="S7034">
        <v>0.89810179999999995</v>
      </c>
      <c r="T7034">
        <v>-0.32691900000000002</v>
      </c>
      <c r="U7034">
        <v>-2.9800420000000001</v>
      </c>
      <c r="V7034">
        <v>0.57510629999999996</v>
      </c>
      <c r="W7034">
        <v>-9.5939979999999994E-2</v>
      </c>
      <c r="X7034">
        <v>0.81243359999999998</v>
      </c>
      <c r="Y7034">
        <v>0.77949829999999998</v>
      </c>
      <c r="Z7034">
        <v>-1.3714240000000001E-2</v>
      </c>
      <c r="AA7034">
        <v>0.62625410000000004</v>
      </c>
      <c r="AB7034">
        <v>23</v>
      </c>
      <c r="AC7034">
        <v>2.9166000000000101</v>
      </c>
      <c r="AD7034">
        <v>-1.112598</v>
      </c>
      <c r="AE7034">
        <v>-10.079393</v>
      </c>
      <c r="AF7034">
        <v>8.1844757610635295</v>
      </c>
      <c r="AG7034">
        <v>-1.112598</v>
      </c>
      <c r="AH7034">
        <v>6.37812371655476</v>
      </c>
      <c r="AI7034">
        <v>96.120194558308</v>
      </c>
      <c r="AJ7034">
        <v>37.9291198490805</v>
      </c>
      <c r="AK7034">
        <v>10.435706968706899</v>
      </c>
      <c r="AL7034">
        <v>95.505423581954403</v>
      </c>
      <c r="AM7034">
        <v>54.706048561206302</v>
      </c>
      <c r="AN7034">
        <v>1.00000004523552</v>
      </c>
    </row>
    <row r="7035" spans="1:40" x14ac:dyDescent="0.25">
      <c r="A7035" t="str">
        <f>"20190303154947165"</f>
        <v>20190303154947165</v>
      </c>
      <c r="B7035" t="str">
        <f>"1551599387157559"</f>
        <v>1551599387157559</v>
      </c>
      <c r="C7035" t="s">
        <v>40</v>
      </c>
      <c r="D7035">
        <v>5.7513769999999997</v>
      </c>
      <c r="E7035">
        <v>0.61027189999999998</v>
      </c>
      <c r="F7035" t="s">
        <v>43</v>
      </c>
      <c r="G7035">
        <v>-305.06099999999998</v>
      </c>
      <c r="H7035">
        <v>-0.05</v>
      </c>
      <c r="I7035">
        <v>4.9782409999999997</v>
      </c>
      <c r="J7035">
        <v>-307.8922</v>
      </c>
      <c r="K7035">
        <v>1.062487</v>
      </c>
      <c r="L7035">
        <v>15.01492</v>
      </c>
      <c r="M7035">
        <v>0.92593590000000003</v>
      </c>
      <c r="N7035">
        <v>-7.3391130000000004E-3</v>
      </c>
      <c r="O7035">
        <v>-0.37760919999999998</v>
      </c>
      <c r="P7035">
        <v>0.53321960000000002</v>
      </c>
      <c r="Q7035">
        <v>-9.2469960000000004E-2</v>
      </c>
      <c r="R7035">
        <v>-0.84090789999999904</v>
      </c>
      <c r="S7035">
        <v>0.87402340000000001</v>
      </c>
      <c r="T7035">
        <v>-0.32902599999999999</v>
      </c>
      <c r="U7035">
        <v>-2.9851380000000001</v>
      </c>
      <c r="V7035">
        <v>0.57563359999999997</v>
      </c>
      <c r="W7035">
        <v>-9.6947560000000002E-2</v>
      </c>
      <c r="X7035">
        <v>0.81194040000000001</v>
      </c>
      <c r="Y7035">
        <v>0.78010729999999995</v>
      </c>
      <c r="Z7035">
        <v>-1.3088249999999999E-2</v>
      </c>
      <c r="AA7035">
        <v>0.62550879999999998</v>
      </c>
      <c r="AB7035">
        <v>23</v>
      </c>
      <c r="AC7035">
        <v>2.8312000000000199</v>
      </c>
      <c r="AD7035">
        <v>-1.112487</v>
      </c>
      <c r="AE7035">
        <v>-10.036678999999999</v>
      </c>
      <c r="AF7035">
        <v>8.1319117620023</v>
      </c>
      <c r="AG7035">
        <v>-1.112487</v>
      </c>
      <c r="AH7035">
        <v>6.3394792542347203</v>
      </c>
      <c r="AI7035">
        <v>96.157997296765799</v>
      </c>
      <c r="AJ7035">
        <v>37.939281496813898</v>
      </c>
      <c r="AK7035">
        <v>10.370854036434601</v>
      </c>
      <c r="AL7035">
        <v>95.563424054372803</v>
      </c>
      <c r="AM7035">
        <v>54.664868710016002</v>
      </c>
      <c r="AN7035">
        <v>1.0000000419955299</v>
      </c>
    </row>
    <row r="7036" spans="1:40" x14ac:dyDescent="0.25">
      <c r="A7036" t="str">
        <f>"20190303154947180"</f>
        <v>20190303154947180</v>
      </c>
      <c r="B7036" t="str">
        <f>"1551599387167319"</f>
        <v>1551599387167319</v>
      </c>
      <c r="C7036" t="s">
        <v>40</v>
      </c>
      <c r="D7036">
        <v>5.6703890000000001</v>
      </c>
      <c r="E7036">
        <v>0.60998069999999904</v>
      </c>
      <c r="F7036" t="s">
        <v>43</v>
      </c>
      <c r="G7036">
        <v>-305.01490000000001</v>
      </c>
      <c r="H7036">
        <v>-0.05</v>
      </c>
      <c r="I7036">
        <v>4.9333039999999997</v>
      </c>
      <c r="J7036">
        <v>-307.75720000000001</v>
      </c>
      <c r="K7036">
        <v>1.0623610000000001</v>
      </c>
      <c r="L7036">
        <v>14.95139</v>
      </c>
      <c r="M7036">
        <v>0.92304059999999999</v>
      </c>
      <c r="N7036">
        <v>-7.3758590000000002E-3</v>
      </c>
      <c r="O7036">
        <v>-0.38463170000000002</v>
      </c>
      <c r="P7036">
        <v>0.52608409999999906</v>
      </c>
      <c r="Q7036">
        <v>-9.2791129999999999E-2</v>
      </c>
      <c r="R7036">
        <v>-0.84535550000000004</v>
      </c>
      <c r="S7036">
        <v>0.85339359999999997</v>
      </c>
      <c r="T7036">
        <v>-0.32995960000000002</v>
      </c>
      <c r="U7036">
        <v>-2.990173</v>
      </c>
      <c r="V7036">
        <v>0.57627019999999995</v>
      </c>
      <c r="W7036">
        <v>-9.7423270000000006E-2</v>
      </c>
      <c r="X7036">
        <v>0.81143180000000004</v>
      </c>
      <c r="Y7036">
        <v>0.77964869999999997</v>
      </c>
      <c r="Z7036">
        <v>-1.224284E-2</v>
      </c>
      <c r="AA7036">
        <v>0.62609749999999997</v>
      </c>
      <c r="AB7036">
        <v>23</v>
      </c>
      <c r="AC7036">
        <v>2.7423000000000002</v>
      </c>
      <c r="AD7036">
        <v>-1.1123609999999999</v>
      </c>
      <c r="AE7036">
        <v>-10.018086</v>
      </c>
      <c r="AF7036">
        <v>8.0996495870059508</v>
      </c>
      <c r="AG7036">
        <v>-1.1123609999999999</v>
      </c>
      <c r="AH7036">
        <v>6.3123032294029198</v>
      </c>
      <c r="AI7036">
        <v>96.182384830234199</v>
      </c>
      <c r="AJ7036">
        <v>37.930370411560503</v>
      </c>
      <c r="AK7036">
        <v>10.328932301382199</v>
      </c>
      <c r="AL7036">
        <v>95.5908095314159</v>
      </c>
      <c r="AM7036">
        <v>54.618036940201399</v>
      </c>
      <c r="AN7036">
        <v>1.0000001014983799</v>
      </c>
    </row>
    <row r="7037" spans="1:40" x14ac:dyDescent="0.25">
      <c r="A7037" t="str">
        <f>"20190303154947193"</f>
        <v>20190303154947193</v>
      </c>
      <c r="B7037" t="str">
        <f>"1551599387187816"</f>
        <v>1551599387187816</v>
      </c>
      <c r="C7037" t="s">
        <v>40</v>
      </c>
      <c r="D7037">
        <v>5.7043089999999896</v>
      </c>
      <c r="E7037">
        <v>0.60919679999999998</v>
      </c>
      <c r="F7037" t="s">
        <v>43</v>
      </c>
      <c r="G7037">
        <v>-304.93560000000002</v>
      </c>
      <c r="H7037">
        <v>-0.05</v>
      </c>
      <c r="I7037">
        <v>4.7653499999999998</v>
      </c>
      <c r="J7037">
        <v>-307.62349999999998</v>
      </c>
      <c r="K7037">
        <v>1.062235</v>
      </c>
      <c r="L7037">
        <v>14.88669</v>
      </c>
      <c r="M7037">
        <v>0.9200583</v>
      </c>
      <c r="N7037">
        <v>-7.4150580000000004E-3</v>
      </c>
      <c r="O7037">
        <v>-0.3917117</v>
      </c>
      <c r="P7037">
        <v>0.51884350000000001</v>
      </c>
      <c r="Q7037">
        <v>-9.3045030000000001E-2</v>
      </c>
      <c r="R7037">
        <v>-0.84979099999999996</v>
      </c>
      <c r="S7037">
        <v>0.83001709999999995</v>
      </c>
      <c r="T7037">
        <v>-0.32721640000000002</v>
      </c>
      <c r="U7037">
        <v>-2.9963679999999999</v>
      </c>
      <c r="V7037">
        <v>0.57690790000000003</v>
      </c>
      <c r="W7037">
        <v>-9.7834199999999996E-2</v>
      </c>
      <c r="X7037">
        <v>0.81092889999999995</v>
      </c>
      <c r="Y7037">
        <v>0.77977629999999998</v>
      </c>
      <c r="Z7037">
        <v>-1.1385060000000001E-2</v>
      </c>
      <c r="AA7037">
        <v>0.62595469999999998</v>
      </c>
      <c r="AB7037">
        <v>23</v>
      </c>
      <c r="AC7037">
        <v>2.6878999999999502</v>
      </c>
      <c r="AD7037">
        <v>-1.1122350000000001</v>
      </c>
      <c r="AE7037">
        <v>-10.12134</v>
      </c>
      <c r="AF7037">
        <v>8.16743582140953</v>
      </c>
      <c r="AG7037">
        <v>-1.1122350000000001</v>
      </c>
      <c r="AH7037">
        <v>6.3660373079486599</v>
      </c>
      <c r="AI7037">
        <v>96.130449602860097</v>
      </c>
      <c r="AJ7037">
        <v>37.934325241542297</v>
      </c>
      <c r="AK7037">
        <v>10.4149174551823</v>
      </c>
      <c r="AL7037">
        <v>95.614467848465495</v>
      </c>
      <c r="AM7037">
        <v>54.571339464005398</v>
      </c>
      <c r="AN7037">
        <v>0.99999996831362903</v>
      </c>
    </row>
    <row r="7038" spans="1:40" x14ac:dyDescent="0.25">
      <c r="A7038" t="str">
        <f>"20190303154947208"</f>
        <v>20190303154947208</v>
      </c>
      <c r="B7038" t="str">
        <f>"1551599387198083"</f>
        <v>1551599387198083</v>
      </c>
      <c r="C7038" t="s">
        <v>40</v>
      </c>
      <c r="D7038">
        <v>5.6992229999999999</v>
      </c>
      <c r="E7038">
        <v>0.60879019999999995</v>
      </c>
      <c r="F7038" t="s">
        <v>43</v>
      </c>
      <c r="G7038">
        <v>-304.83699999999999</v>
      </c>
      <c r="H7038">
        <v>-0.05</v>
      </c>
      <c r="I7038">
        <v>4.5678099999999997</v>
      </c>
      <c r="J7038">
        <v>-307.48050000000001</v>
      </c>
      <c r="K7038">
        <v>1.062093</v>
      </c>
      <c r="L7038">
        <v>14.81622</v>
      </c>
      <c r="M7038">
        <v>0.91676559999999996</v>
      </c>
      <c r="N7038">
        <v>-7.458391E-3</v>
      </c>
      <c r="O7038">
        <v>-0.3993565</v>
      </c>
      <c r="P7038">
        <v>0.51099819999999996</v>
      </c>
      <c r="Q7038">
        <v>-9.302858E-2</v>
      </c>
      <c r="R7038">
        <v>-0.85453319999999999</v>
      </c>
      <c r="S7038">
        <v>0.81018069999999998</v>
      </c>
      <c r="T7038">
        <v>-0.32338620000000001</v>
      </c>
      <c r="U7038">
        <v>-3.0002439999999999</v>
      </c>
      <c r="V7038">
        <v>0.57759249999999995</v>
      </c>
      <c r="W7038">
        <v>-9.7991060000000005E-2</v>
      </c>
      <c r="X7038">
        <v>0.81042250000000005</v>
      </c>
      <c r="Y7038">
        <v>0.7787153</v>
      </c>
      <c r="Z7038">
        <v>-1.034267E-2</v>
      </c>
      <c r="AA7038">
        <v>0.62729219999999997</v>
      </c>
      <c r="AB7038">
        <v>23</v>
      </c>
      <c r="AC7038">
        <v>2.6435000000000102</v>
      </c>
      <c r="AD7038">
        <v>-1.112093</v>
      </c>
      <c r="AE7038">
        <v>-10.24841</v>
      </c>
      <c r="AF7038">
        <v>8.2488485071374598</v>
      </c>
      <c r="AG7038">
        <v>-1.112093</v>
      </c>
      <c r="AH7038">
        <v>6.4452591238889498</v>
      </c>
      <c r="AI7038">
        <v>96.064047554157298</v>
      </c>
      <c r="AJ7038">
        <v>38.002382285828503</v>
      </c>
      <c r="AK7038">
        <v>10.5271847000243</v>
      </c>
      <c r="AL7038">
        <v>95.623498556729103</v>
      </c>
      <c r="AM7038">
        <v>54.522322357024898</v>
      </c>
      <c r="AN7038">
        <v>0.999999986201211</v>
      </c>
    </row>
    <row r="7039" spans="1:40" x14ac:dyDescent="0.25">
      <c r="A7039" t="str">
        <f>"20190303154947224"</f>
        <v>20190303154947224</v>
      </c>
      <c r="B7039" t="str">
        <f>"1551599387217602"</f>
        <v>1551599387217602</v>
      </c>
      <c r="C7039" t="s">
        <v>40</v>
      </c>
      <c r="D7039">
        <v>5.6908200000000004</v>
      </c>
      <c r="E7039">
        <v>0.6079118</v>
      </c>
      <c r="F7039" t="s">
        <v>43</v>
      </c>
      <c r="G7039">
        <v>-304.7629</v>
      </c>
      <c r="H7039">
        <v>-0.05</v>
      </c>
      <c r="I7039">
        <v>4.4161989999999998</v>
      </c>
      <c r="J7039">
        <v>-307.33120000000002</v>
      </c>
      <c r="K7039">
        <v>1.061939</v>
      </c>
      <c r="L7039">
        <v>14.74109</v>
      </c>
      <c r="M7039">
        <v>0.91320009999999996</v>
      </c>
      <c r="N7039">
        <v>-7.5056119999999896E-3</v>
      </c>
      <c r="O7039">
        <v>-0.40744239999999998</v>
      </c>
      <c r="P7039">
        <v>0.50312829999999997</v>
      </c>
      <c r="Q7039">
        <v>-9.2836169999999996E-2</v>
      </c>
      <c r="R7039">
        <v>-0.85921080000000005</v>
      </c>
      <c r="S7039">
        <v>0.78549190000000002</v>
      </c>
      <c r="T7039">
        <v>-0.32143450000000001</v>
      </c>
      <c r="U7039">
        <v>-3.0059809999999998</v>
      </c>
      <c r="V7039">
        <v>0.57786169999999903</v>
      </c>
      <c r="W7039">
        <v>-9.7974790000000006E-2</v>
      </c>
      <c r="X7039">
        <v>0.81023259999999997</v>
      </c>
      <c r="Y7039">
        <v>0.77834930000000002</v>
      </c>
      <c r="Z7039">
        <v>-9.3581010000000006E-3</v>
      </c>
      <c r="AA7039">
        <v>0.62776180000000004</v>
      </c>
      <c r="AB7039">
        <v>23</v>
      </c>
      <c r="AC7039">
        <v>2.5683000000000198</v>
      </c>
      <c r="AD7039">
        <v>-1.111939</v>
      </c>
      <c r="AE7039">
        <v>-10.324890999999999</v>
      </c>
      <c r="AF7039">
        <v>8.2919254566027298</v>
      </c>
      <c r="AG7039">
        <v>-1.111939</v>
      </c>
      <c r="AH7039">
        <v>6.4815604682389001</v>
      </c>
      <c r="AI7039">
        <v>96.0310223053568</v>
      </c>
      <c r="AJ7039">
        <v>38.013720454582099</v>
      </c>
      <c r="AK7039">
        <v>10.583149919613399</v>
      </c>
      <c r="AL7039">
        <v>95.622561572035295</v>
      </c>
      <c r="AM7039">
        <v>54.503355812877999</v>
      </c>
      <c r="AN7039">
        <v>1.0000000349525899</v>
      </c>
    </row>
    <row r="7040" spans="1:40" x14ac:dyDescent="0.25">
      <c r="A7040" t="str">
        <f>"20190303154947240"</f>
        <v>20190303154947240</v>
      </c>
      <c r="B7040" t="str">
        <f>"1551599387227362"</f>
        <v>1551599387227362</v>
      </c>
      <c r="C7040" t="s">
        <v>40</v>
      </c>
      <c r="D7040">
        <v>5.4705069999999996</v>
      </c>
      <c r="E7040">
        <v>0.60762819999999995</v>
      </c>
      <c r="F7040" t="s">
        <v>43</v>
      </c>
      <c r="G7040">
        <v>-304.64210000000003</v>
      </c>
      <c r="H7040">
        <v>-0.05</v>
      </c>
      <c r="I7040">
        <v>4.1502080000000001</v>
      </c>
      <c r="J7040">
        <v>-307.17669999999998</v>
      </c>
      <c r="K7040">
        <v>1.0617799999999999</v>
      </c>
      <c r="L7040">
        <v>14.66147</v>
      </c>
      <c r="M7040">
        <v>0.90936660000000002</v>
      </c>
      <c r="N7040">
        <v>-7.5568959999999996E-3</v>
      </c>
      <c r="O7040">
        <v>-0.41592709999999999</v>
      </c>
      <c r="P7040">
        <v>0.49480069999999998</v>
      </c>
      <c r="Q7040">
        <v>-9.3207120000000004E-2</v>
      </c>
      <c r="R7040">
        <v>-0.86399369999999998</v>
      </c>
      <c r="S7040">
        <v>0.76425169999999998</v>
      </c>
      <c r="T7040">
        <v>-0.31601230000000002</v>
      </c>
      <c r="U7040">
        <v>-3.0099179999999999</v>
      </c>
      <c r="V7040">
        <v>0.57806829999999998</v>
      </c>
      <c r="W7040">
        <v>-9.8530919999999994E-2</v>
      </c>
      <c r="X7040">
        <v>0.81001780000000001</v>
      </c>
      <c r="Y7040">
        <v>0.77696889999999996</v>
      </c>
      <c r="Z7040">
        <v>-8.2193690000000007E-3</v>
      </c>
      <c r="AA7040">
        <v>0.62948539999999997</v>
      </c>
      <c r="AB7040">
        <v>23</v>
      </c>
      <c r="AC7040">
        <v>2.53459999999995</v>
      </c>
      <c r="AD7040">
        <v>-1.11178</v>
      </c>
      <c r="AE7040">
        <v>-10.511262</v>
      </c>
      <c r="AF7040">
        <v>8.4156487594285707</v>
      </c>
      <c r="AG7040">
        <v>-1.11178</v>
      </c>
      <c r="AH7040">
        <v>6.6071349315562804</v>
      </c>
      <c r="AI7040">
        <v>95.932337382891205</v>
      </c>
      <c r="AJ7040">
        <v>38.135496830270903</v>
      </c>
      <c r="AK7040">
        <v>10.757017747231901</v>
      </c>
      <c r="AL7040">
        <v>95.654580203750299</v>
      </c>
      <c r="AM7040">
        <v>54.4864902049029</v>
      </c>
      <c r="AN7040">
        <v>1.0000000689888799</v>
      </c>
    </row>
    <row r="7041" spans="1:40" x14ac:dyDescent="0.25">
      <c r="A7041" t="str">
        <f>"20190303154947253"</f>
        <v>20190303154947253</v>
      </c>
      <c r="B7041" t="str">
        <f>"1551599387247859"</f>
        <v>1551599387247859</v>
      </c>
      <c r="C7041" t="s">
        <v>40</v>
      </c>
      <c r="D7041">
        <v>5.734318</v>
      </c>
      <c r="E7041">
        <v>0.60683690000000001</v>
      </c>
      <c r="F7041" t="s">
        <v>43</v>
      </c>
      <c r="G7041">
        <v>-304.50360000000001</v>
      </c>
      <c r="H7041">
        <v>-0.05</v>
      </c>
      <c r="I7041">
        <v>3.7266240000000002</v>
      </c>
      <c r="J7041">
        <v>-307.0532</v>
      </c>
      <c r="K7041">
        <v>1.061631</v>
      </c>
      <c r="L7041">
        <v>14.59595</v>
      </c>
      <c r="M7041">
        <v>0.90617490000000001</v>
      </c>
      <c r="N7041">
        <v>-7.6005719999999999E-3</v>
      </c>
      <c r="O7041">
        <v>-0.42283490000000001</v>
      </c>
      <c r="P7041">
        <v>0.48737780000000003</v>
      </c>
      <c r="Q7041">
        <v>-9.3893539999999998E-2</v>
      </c>
      <c r="R7041">
        <v>-0.86812869999999998</v>
      </c>
      <c r="S7041">
        <v>0.73748780000000003</v>
      </c>
      <c r="T7041">
        <v>-0.30672630000000001</v>
      </c>
      <c r="U7041">
        <v>-3.016785</v>
      </c>
      <c r="V7041">
        <v>0.57873459999999999</v>
      </c>
      <c r="W7041">
        <v>-9.9379579999999995E-2</v>
      </c>
      <c r="X7041">
        <v>0.80943799999999999</v>
      </c>
      <c r="Y7041">
        <v>0.77790680000000001</v>
      </c>
      <c r="Z7041">
        <v>-7.5010140000000003E-3</v>
      </c>
      <c r="AA7041">
        <v>0.62833490000000003</v>
      </c>
      <c r="AB7041">
        <v>23</v>
      </c>
      <c r="AC7041">
        <v>2.5495999999999901</v>
      </c>
      <c r="AD7041">
        <v>-1.111631</v>
      </c>
      <c r="AE7041">
        <v>-10.869325999999999</v>
      </c>
      <c r="AF7041">
        <v>8.6855935318590394</v>
      </c>
      <c r="AG7041">
        <v>-1.111631</v>
      </c>
      <c r="AH7041">
        <v>6.8387132825352301</v>
      </c>
      <c r="AI7041">
        <v>95.742180629803002</v>
      </c>
      <c r="AJ7041">
        <v>38.2155799032464</v>
      </c>
      <c r="AK7041">
        <v>11.1105021417376</v>
      </c>
      <c r="AL7041">
        <v>95.703445311405403</v>
      </c>
      <c r="AM7041">
        <v>54.435867620601798</v>
      </c>
      <c r="AN7041">
        <v>0.99999995700106703</v>
      </c>
    </row>
    <row r="7042" spans="1:40" x14ac:dyDescent="0.25">
      <c r="A7042" t="str">
        <f>"20190303154947267"</f>
        <v>20190303154947267</v>
      </c>
      <c r="B7042" t="str">
        <f>"1551599387257619"</f>
        <v>1551599387257619</v>
      </c>
      <c r="C7042" t="s">
        <v>40</v>
      </c>
      <c r="D7042">
        <v>5.7297260000000003</v>
      </c>
      <c r="E7042">
        <v>0.60646659999999997</v>
      </c>
      <c r="F7042" t="s">
        <v>43</v>
      </c>
      <c r="G7042">
        <v>-304.44060000000002</v>
      </c>
      <c r="H7042">
        <v>-0.05</v>
      </c>
      <c r="I7042">
        <v>3.5980530000000002</v>
      </c>
      <c r="J7042">
        <v>-306.91899999999998</v>
      </c>
      <c r="K7042">
        <v>1.061482</v>
      </c>
      <c r="L7042">
        <v>14.52365</v>
      </c>
      <c r="M7042">
        <v>0.90259849999999997</v>
      </c>
      <c r="N7042">
        <v>-7.6493569999999999E-3</v>
      </c>
      <c r="O7042">
        <v>-0.43041580000000002</v>
      </c>
      <c r="P7042">
        <v>0.47948459999999898</v>
      </c>
      <c r="Q7042">
        <v>-9.4449400000000003E-2</v>
      </c>
      <c r="R7042">
        <v>-0.87245319999999904</v>
      </c>
      <c r="S7042">
        <v>0.71740719999999902</v>
      </c>
      <c r="T7042">
        <v>-0.30524430000000002</v>
      </c>
      <c r="U7042">
        <v>-3.0199280000000002</v>
      </c>
      <c r="V7042">
        <v>0.57919049999999905</v>
      </c>
      <c r="W7042">
        <v>-0.10011150000000001</v>
      </c>
      <c r="X7042">
        <v>0.80902169999999995</v>
      </c>
      <c r="Y7042">
        <v>0.77679089999999995</v>
      </c>
      <c r="Z7042">
        <v>-6.5667109999999898E-3</v>
      </c>
      <c r="AA7042">
        <v>0.62972439999999996</v>
      </c>
      <c r="AB7042">
        <v>23</v>
      </c>
      <c r="AC7042">
        <v>2.4784000000000201</v>
      </c>
      <c r="AD7042">
        <v>-1.1114820000000001</v>
      </c>
      <c r="AE7042">
        <v>-10.925597</v>
      </c>
      <c r="AF7042">
        <v>8.7092169644909401</v>
      </c>
      <c r="AG7042">
        <v>-1.1114820000000001</v>
      </c>
      <c r="AH7042">
        <v>6.8721101793318304</v>
      </c>
      <c r="AI7042">
        <v>95.721250145837004</v>
      </c>
      <c r="AJ7042">
        <v>38.275621235576899</v>
      </c>
      <c r="AK7042">
        <v>11.1495179576418</v>
      </c>
      <c r="AL7042">
        <v>95.745591007362293</v>
      </c>
      <c r="AM7042">
        <v>54.400568859001901</v>
      </c>
      <c r="AN7042">
        <v>1.00000002939669</v>
      </c>
    </row>
    <row r="7043" spans="1:40" x14ac:dyDescent="0.25">
      <c r="A7043" t="str">
        <f>"20190303154947282"</f>
        <v>20190303154947282</v>
      </c>
      <c r="B7043" t="str">
        <f>"1551599387278115"</f>
        <v>1551599387278115</v>
      </c>
      <c r="C7043" t="s">
        <v>40</v>
      </c>
      <c r="D7043">
        <v>5.701829</v>
      </c>
      <c r="E7043">
        <v>0.60575389999999996</v>
      </c>
      <c r="F7043" t="s">
        <v>43</v>
      </c>
      <c r="G7043">
        <v>-304.39909999999998</v>
      </c>
      <c r="H7043">
        <v>-0.05</v>
      </c>
      <c r="I7043">
        <v>3.5193629999999998</v>
      </c>
      <c r="J7043">
        <v>-306.77600000000001</v>
      </c>
      <c r="K7043">
        <v>1.0613159999999999</v>
      </c>
      <c r="L7043">
        <v>14.445040000000001</v>
      </c>
      <c r="M7043">
        <v>0.89865079999999997</v>
      </c>
      <c r="N7043">
        <v>-7.7036400000000003E-3</v>
      </c>
      <c r="O7043">
        <v>-0.43859690000000001</v>
      </c>
      <c r="P7043">
        <v>0.47095009999999998</v>
      </c>
      <c r="Q7043">
        <v>-9.5075560000000003E-2</v>
      </c>
      <c r="R7043">
        <v>-0.87702169999999902</v>
      </c>
      <c r="S7043">
        <v>0.69265750000000004</v>
      </c>
      <c r="T7043">
        <v>-0.30552279999999998</v>
      </c>
      <c r="U7043">
        <v>-3.0248409999999999</v>
      </c>
      <c r="V7043">
        <v>0.579621099999999</v>
      </c>
      <c r="W7043">
        <v>-0.10093290000000001</v>
      </c>
      <c r="X7043">
        <v>0.80861110000000003</v>
      </c>
      <c r="Y7043">
        <v>0.77621890000000004</v>
      </c>
      <c r="Z7043">
        <v>-5.6192319999999896E-3</v>
      </c>
      <c r="AA7043">
        <v>0.63043839999999995</v>
      </c>
      <c r="AB7043">
        <v>24</v>
      </c>
      <c r="AC7043">
        <v>2.3769000000000302</v>
      </c>
      <c r="AD7043">
        <v>-1.111316</v>
      </c>
      <c r="AE7043">
        <v>-10.925677</v>
      </c>
      <c r="AF7043">
        <v>8.6902806892029307</v>
      </c>
      <c r="AG7043">
        <v>-1.111316</v>
      </c>
      <c r="AH7043">
        <v>6.86040605608836</v>
      </c>
      <c r="AI7043">
        <v>95.731751559620605</v>
      </c>
      <c r="AJ7043">
        <v>38.288774677519903</v>
      </c>
      <c r="AK7043">
        <v>11.1274962576225</v>
      </c>
      <c r="AL7043">
        <v>95.792893582105506</v>
      </c>
      <c r="AM7043">
        <v>54.366640353218102</v>
      </c>
      <c r="AN7043">
        <v>0.99999999045541499</v>
      </c>
    </row>
    <row r="7044" spans="1:40" x14ac:dyDescent="0.25">
      <c r="A7044" t="str">
        <f>"20190303154947295"</f>
        <v>20190303154947295</v>
      </c>
      <c r="B7044" t="str">
        <f>"1551599387287875"</f>
        <v>1551599387287875</v>
      </c>
      <c r="C7044" t="s">
        <v>40</v>
      </c>
      <c r="D7044">
        <v>5.7532899999999998</v>
      </c>
      <c r="E7044">
        <v>0.60537580000000002</v>
      </c>
      <c r="F7044" t="s">
        <v>43</v>
      </c>
      <c r="G7044">
        <v>-304.33670000000001</v>
      </c>
      <c r="H7044">
        <v>-0.05</v>
      </c>
      <c r="I7044">
        <v>3.394409</v>
      </c>
      <c r="J7044">
        <v>-306.64440000000002</v>
      </c>
      <c r="K7044">
        <v>1.0611569999999999</v>
      </c>
      <c r="L7044">
        <v>14.370729999999901</v>
      </c>
      <c r="M7044">
        <v>0.89486359999999998</v>
      </c>
      <c r="N7044">
        <v>-7.7580139999999997E-3</v>
      </c>
      <c r="O7044">
        <v>-0.44627230000000001</v>
      </c>
      <c r="P7044">
        <v>0.46267239999999998</v>
      </c>
      <c r="Q7044">
        <v>-9.5614729999999995E-2</v>
      </c>
      <c r="R7044">
        <v>-0.88135810000000003</v>
      </c>
      <c r="S7044">
        <v>0.66854859999999905</v>
      </c>
      <c r="T7044">
        <v>-0.30457970000000001</v>
      </c>
      <c r="U7044">
        <v>-3.0286559999999998</v>
      </c>
      <c r="V7044">
        <v>0.58021129999999999</v>
      </c>
      <c r="W7044">
        <v>-0.10166260000000001</v>
      </c>
      <c r="X7044">
        <v>0.80809619999999904</v>
      </c>
      <c r="Y7044">
        <v>0.77581299999999997</v>
      </c>
      <c r="Z7044">
        <v>-4.7475360000000001E-3</v>
      </c>
      <c r="AA7044">
        <v>0.63094510000000004</v>
      </c>
      <c r="AB7044">
        <v>24</v>
      </c>
      <c r="AC7044">
        <v>2.3077000000000099</v>
      </c>
      <c r="AD7044">
        <v>-1.111157</v>
      </c>
      <c r="AE7044">
        <v>-10.976321</v>
      </c>
      <c r="AF7044">
        <v>8.70725776250484</v>
      </c>
      <c r="AG7044">
        <v>-1.111157</v>
      </c>
      <c r="AH7044">
        <v>6.8960355473104</v>
      </c>
      <c r="AI7044">
        <v>95.712784746432902</v>
      </c>
      <c r="AJ7044">
        <v>38.378768587305302</v>
      </c>
      <c r="AK7044">
        <v>11.162719824985199</v>
      </c>
      <c r="AL7044">
        <v>95.834918704671495</v>
      </c>
      <c r="AM7044">
        <v>54.3217358483978</v>
      </c>
      <c r="AN7044">
        <v>0.99999995267044295</v>
      </c>
    </row>
    <row r="7045" spans="1:40" x14ac:dyDescent="0.25">
      <c r="A7045" t="str">
        <f>"20190303154947308"</f>
        <v>20190303154947308</v>
      </c>
      <c r="B7045" t="str">
        <f>"1551599387298142"</f>
        <v>1551599387298142</v>
      </c>
      <c r="C7045" t="s">
        <v>40</v>
      </c>
      <c r="D7045">
        <v>5.7464690000000003</v>
      </c>
      <c r="E7045">
        <v>0.60499080000000005</v>
      </c>
      <c r="F7045" t="s">
        <v>43</v>
      </c>
      <c r="G7045">
        <v>-304.30439999999999</v>
      </c>
      <c r="H7045">
        <v>-0.05</v>
      </c>
      <c r="I7045">
        <v>3.322479</v>
      </c>
      <c r="J7045">
        <v>-306.52980000000002</v>
      </c>
      <c r="K7045">
        <v>1.06101</v>
      </c>
      <c r="L7045">
        <v>14.304690000000001</v>
      </c>
      <c r="M7045">
        <v>0.89145649999999999</v>
      </c>
      <c r="N7045">
        <v>-7.8068699999999996E-3</v>
      </c>
      <c r="O7045">
        <v>-0.45303919999999998</v>
      </c>
      <c r="P7045">
        <v>0.45451799999999998</v>
      </c>
      <c r="Q7045">
        <v>-9.6683069999999996E-2</v>
      </c>
      <c r="R7045">
        <v>-0.88547529999999997</v>
      </c>
      <c r="S7045">
        <v>0.64248660000000002</v>
      </c>
      <c r="T7045">
        <v>-0.30508639999999998</v>
      </c>
      <c r="U7045">
        <v>-3.0334780000000001</v>
      </c>
      <c r="V7045">
        <v>0.58138619999999996</v>
      </c>
      <c r="W7045">
        <v>-0.1029168</v>
      </c>
      <c r="X7045">
        <v>0.80709249999999999</v>
      </c>
      <c r="Y7045">
        <v>0.77643700000000004</v>
      </c>
      <c r="Z7045">
        <v>-4.0596199999999999E-3</v>
      </c>
      <c r="AA7045">
        <v>0.63018180000000001</v>
      </c>
      <c r="AB7045">
        <v>24</v>
      </c>
      <c r="AC7045">
        <v>2.2254000000000298</v>
      </c>
      <c r="AD7045">
        <v>-1.1110100000000001</v>
      </c>
      <c r="AE7045">
        <v>-10.982211</v>
      </c>
      <c r="AF7045">
        <v>8.6967427162911601</v>
      </c>
      <c r="AG7045">
        <v>-1.1110100000000001</v>
      </c>
      <c r="AH7045">
        <v>6.89168157512582</v>
      </c>
      <c r="AI7045">
        <v>95.717631179033205</v>
      </c>
      <c r="AJ7045">
        <v>38.394853688763398</v>
      </c>
      <c r="AK7045">
        <v>11.151813844679801</v>
      </c>
      <c r="AL7045">
        <v>95.907157467923696</v>
      </c>
      <c r="AM7045">
        <v>54.233042644393699</v>
      </c>
      <c r="AN7045">
        <v>1.0000000424144599</v>
      </c>
    </row>
    <row r="7046" spans="1:40" x14ac:dyDescent="0.25">
      <c r="A7046" t="str">
        <f>"20190303154947321"</f>
        <v>20190303154947321</v>
      </c>
      <c r="B7046" t="str">
        <f>"1551599387317663"</f>
        <v>1551599387317663</v>
      </c>
      <c r="C7046" t="s">
        <v>40</v>
      </c>
      <c r="D7046">
        <v>5.7378679999999997</v>
      </c>
      <c r="E7046">
        <v>0.60420169999999995</v>
      </c>
      <c r="F7046" t="s">
        <v>43</v>
      </c>
      <c r="G7046">
        <v>-304.29790000000003</v>
      </c>
      <c r="H7046">
        <v>-0.05</v>
      </c>
      <c r="I7046">
        <v>3.3234409999999999</v>
      </c>
      <c r="J7046">
        <v>-306.40260000000001</v>
      </c>
      <c r="K7046">
        <v>1.0608599999999999</v>
      </c>
      <c r="L7046">
        <v>14.23044</v>
      </c>
      <c r="M7046">
        <v>0.88756950000000001</v>
      </c>
      <c r="N7046">
        <v>-7.8615769999999998E-3</v>
      </c>
      <c r="O7046">
        <v>-0.46060679999999998</v>
      </c>
      <c r="P7046">
        <v>0.44639479999999998</v>
      </c>
      <c r="Q7046">
        <v>-9.6895099999999998E-2</v>
      </c>
      <c r="R7046">
        <v>-0.8895748</v>
      </c>
      <c r="S7046">
        <v>0.61737059999999999</v>
      </c>
      <c r="T7046">
        <v>-0.30732130000000002</v>
      </c>
      <c r="U7046">
        <v>-3.0375670000000001</v>
      </c>
      <c r="V7046">
        <v>0.58184340000000001</v>
      </c>
      <c r="W7046">
        <v>-0.10331360000000001</v>
      </c>
      <c r="X7046">
        <v>0.80671219999999999</v>
      </c>
      <c r="Y7046">
        <v>0.77624859999999996</v>
      </c>
      <c r="Z7046">
        <v>-3.1811930000000001E-3</v>
      </c>
      <c r="AA7046">
        <v>0.63041899999999995</v>
      </c>
      <c r="AB7046">
        <v>24</v>
      </c>
      <c r="AC7046">
        <v>2.1046999999999798</v>
      </c>
      <c r="AD7046">
        <v>-1.11086</v>
      </c>
      <c r="AE7046">
        <v>-10.906999000000001</v>
      </c>
      <c r="AF7046">
        <v>8.6252906062309602</v>
      </c>
      <c r="AG7046">
        <v>-1.11086</v>
      </c>
      <c r="AH7046">
        <v>6.8238747541225404</v>
      </c>
      <c r="AI7046">
        <v>95.767519683481197</v>
      </c>
      <c r="AJ7046">
        <v>38.349185449554298</v>
      </c>
      <c r="AK7046">
        <v>11.0541808670514</v>
      </c>
      <c r="AL7046">
        <v>95.930014478146006</v>
      </c>
      <c r="AM7046">
        <v>54.198868820378003</v>
      </c>
      <c r="AN7046">
        <v>1.0000000078486799</v>
      </c>
    </row>
    <row r="7047" spans="1:40" x14ac:dyDescent="0.25">
      <c r="A7047" t="str">
        <f>"20190303154947334"</f>
        <v>20190303154947334</v>
      </c>
      <c r="B7047" t="str">
        <f>"1551599387327422"</f>
        <v>1551599387327422</v>
      </c>
      <c r="C7047" t="s">
        <v>40</v>
      </c>
      <c r="D7047">
        <v>5.7726959999999998</v>
      </c>
      <c r="E7047">
        <v>0.60380719999999899</v>
      </c>
      <c r="F7047" t="s">
        <v>43</v>
      </c>
      <c r="G7047">
        <v>-304.2328</v>
      </c>
      <c r="H7047">
        <v>-0.05</v>
      </c>
      <c r="I7047">
        <v>3.1487270000000001</v>
      </c>
      <c r="J7047">
        <v>-306.27449999999999</v>
      </c>
      <c r="K7047">
        <v>1.060697</v>
      </c>
      <c r="L7047">
        <v>14.15344</v>
      </c>
      <c r="M7047">
        <v>0.88348499999999996</v>
      </c>
      <c r="N7047">
        <v>-7.9211890000000004E-3</v>
      </c>
      <c r="O7047">
        <v>-0.46839229999999998</v>
      </c>
      <c r="P7047">
        <v>0.43811060000000002</v>
      </c>
      <c r="Q7047">
        <v>-9.7235740000000001E-2</v>
      </c>
      <c r="R7047">
        <v>-0.89364659999999996</v>
      </c>
      <c r="S7047">
        <v>0.59533689999999995</v>
      </c>
      <c r="T7047">
        <v>-0.30478430000000001</v>
      </c>
      <c r="U7047">
        <v>-3.0404659999999999</v>
      </c>
      <c r="V7047">
        <v>0.58216540000000006</v>
      </c>
      <c r="W7047">
        <v>-0.10384409999999999</v>
      </c>
      <c r="X7047">
        <v>0.80641169999999995</v>
      </c>
      <c r="Y7047">
        <v>0.77527480000000004</v>
      </c>
      <c r="Z7047">
        <v>-2.264716E-3</v>
      </c>
      <c r="AA7047">
        <v>0.63162010000000002</v>
      </c>
      <c r="AB7047">
        <v>24</v>
      </c>
      <c r="AC7047">
        <v>2.0416999999999899</v>
      </c>
      <c r="AD7047">
        <v>-1.110697</v>
      </c>
      <c r="AE7047">
        <v>-11.004713000000001</v>
      </c>
      <c r="AF7047">
        <v>8.6809701616491708</v>
      </c>
      <c r="AG7047">
        <v>-1.110697</v>
      </c>
      <c r="AH7047">
        <v>6.8906952978423499</v>
      </c>
      <c r="AI7047">
        <v>95.722676012442406</v>
      </c>
      <c r="AJ7047">
        <v>38.441498278551798</v>
      </c>
      <c r="AK7047">
        <v>11.1388766247301</v>
      </c>
      <c r="AL7047">
        <v>95.960574369787693</v>
      </c>
      <c r="AM7047">
        <v>54.173697719862602</v>
      </c>
      <c r="AN7047">
        <v>0.99999998997942996</v>
      </c>
    </row>
    <row r="7048" spans="1:40" x14ac:dyDescent="0.25">
      <c r="A7048" t="str">
        <f>"20190303154947347"</f>
        <v>20190303154947347</v>
      </c>
      <c r="B7048" t="str">
        <f>"1551599387338159"</f>
        <v>1551599387338159</v>
      </c>
      <c r="C7048" t="s">
        <v>40</v>
      </c>
      <c r="D7048">
        <v>5.7523269999999904</v>
      </c>
      <c r="E7048">
        <v>0.60342499999999999</v>
      </c>
      <c r="F7048" t="s">
        <v>43</v>
      </c>
      <c r="G7048">
        <v>-304.1884</v>
      </c>
      <c r="H7048">
        <v>-0.05</v>
      </c>
      <c r="I7048">
        <v>3.0117799999999999</v>
      </c>
      <c r="J7048">
        <v>-306.15910000000002</v>
      </c>
      <c r="K7048">
        <v>1.060549</v>
      </c>
      <c r="L7048">
        <v>14.08282</v>
      </c>
      <c r="M7048">
        <v>0.87968760000000001</v>
      </c>
      <c r="N7048">
        <v>-7.9760200000000003E-3</v>
      </c>
      <c r="O7048">
        <v>-0.4754854</v>
      </c>
      <c r="P7048">
        <v>0.43049120000000002</v>
      </c>
      <c r="Q7048">
        <v>-9.7659159999999995E-2</v>
      </c>
      <c r="R7048">
        <v>-0.89729639999999999</v>
      </c>
      <c r="S7048">
        <v>0.57003780000000004</v>
      </c>
      <c r="T7048">
        <v>-0.30350769999999999</v>
      </c>
      <c r="U7048">
        <v>-3.044556</v>
      </c>
      <c r="V7048">
        <v>0.58245210000000003</v>
      </c>
      <c r="W7048">
        <v>-0.10444050000000001</v>
      </c>
      <c r="X7048">
        <v>0.80612759999999895</v>
      </c>
      <c r="Y7048">
        <v>0.77545149999999996</v>
      </c>
      <c r="Z7048">
        <v>-1.5197920000000001E-3</v>
      </c>
      <c r="AA7048">
        <v>0.6314052</v>
      </c>
      <c r="AB7048">
        <v>24</v>
      </c>
      <c r="AC7048">
        <v>1.9707000000000201</v>
      </c>
      <c r="AD7048">
        <v>-1.110549</v>
      </c>
      <c r="AE7048">
        <v>-11.07104</v>
      </c>
      <c r="AF7048">
        <v>8.7172742829782504</v>
      </c>
      <c r="AG7048">
        <v>-1.110549</v>
      </c>
      <c r="AH7048">
        <v>6.9303462548411296</v>
      </c>
      <c r="AI7048">
        <v>95.694820666107304</v>
      </c>
      <c r="AJ7048">
        <v>38.485155336858803</v>
      </c>
      <c r="AK7048">
        <v>11.191688398899601</v>
      </c>
      <c r="AL7048">
        <v>95.994932415517098</v>
      </c>
      <c r="AM7048">
        <v>54.150725554479102</v>
      </c>
      <c r="AN7048">
        <v>0.99999998715820904</v>
      </c>
    </row>
    <row r="7049" spans="1:40" x14ac:dyDescent="0.25">
      <c r="A7049" t="str">
        <f>"20190303154947375"</f>
        <v>20190303154947375</v>
      </c>
      <c r="B7049" t="str">
        <f>"1551599387367437"</f>
        <v>1551599387367437</v>
      </c>
      <c r="C7049" t="s">
        <v>40</v>
      </c>
      <c r="D7049">
        <v>5.7770460000000003</v>
      </c>
      <c r="E7049">
        <v>0.60267780000000004</v>
      </c>
      <c r="F7049" t="s">
        <v>43</v>
      </c>
      <c r="G7049">
        <v>-304.154</v>
      </c>
      <c r="H7049">
        <v>-0.05</v>
      </c>
      <c r="I7049">
        <v>2.904938</v>
      </c>
      <c r="J7049">
        <v>-305.90039999999999</v>
      </c>
      <c r="K7049">
        <v>1.0602129999999901</v>
      </c>
      <c r="L7049">
        <v>13.9195299999999</v>
      </c>
      <c r="M7049">
        <v>0.87071960000000004</v>
      </c>
      <c r="N7049">
        <v>-8.1049169999999997E-3</v>
      </c>
      <c r="O7049">
        <v>-0.49171300000000001</v>
      </c>
      <c r="P7049">
        <v>0.41316570000000002</v>
      </c>
      <c r="Q7049">
        <v>-9.808762E-2</v>
      </c>
      <c r="R7049">
        <v>-0.90535829999999995</v>
      </c>
      <c r="S7049">
        <v>0.54678340000000003</v>
      </c>
      <c r="T7049">
        <v>-0.30283549999999998</v>
      </c>
      <c r="U7049">
        <v>-3.0480960000000001</v>
      </c>
      <c r="V7049">
        <v>0.58286499999999997</v>
      </c>
      <c r="W7049">
        <v>-0.1052585</v>
      </c>
      <c r="X7049">
        <v>0.80572270000000001</v>
      </c>
      <c r="Y7049">
        <v>0.76859609999999901</v>
      </c>
      <c r="Z7049">
        <v>8.6461380000000003E-4</v>
      </c>
      <c r="AA7049">
        <v>0.63973380000000002</v>
      </c>
      <c r="AB7049">
        <v>24</v>
      </c>
      <c r="AC7049">
        <v>1.74639999999999</v>
      </c>
      <c r="AD7049">
        <v>-1.1102129999999999</v>
      </c>
      <c r="AE7049">
        <v>-11.014592</v>
      </c>
      <c r="AF7049">
        <v>8.6464899052205997</v>
      </c>
      <c r="AG7049">
        <v>-1.1102129999999999</v>
      </c>
      <c r="AH7049">
        <v>6.8687978647862602</v>
      </c>
      <c r="AI7049">
        <v>95.741099674227002</v>
      </c>
      <c r="AJ7049">
        <v>38.463735772101003</v>
      </c>
      <c r="AK7049">
        <v>11.098411809522201</v>
      </c>
      <c r="AL7049">
        <v>96.042059961487496</v>
      </c>
      <c r="AM7049">
        <v>54.117780117147198</v>
      </c>
      <c r="AN7049">
        <v>1.00000001467127</v>
      </c>
    </row>
    <row r="7050" spans="1:40" x14ac:dyDescent="0.25">
      <c r="A7050" t="str">
        <f>"20190303154947397"</f>
        <v>20190303154947397</v>
      </c>
      <c r="B7050" t="str">
        <f>"1551599387387934"</f>
        <v>1551599387387934</v>
      </c>
      <c r="C7050" t="s">
        <v>40</v>
      </c>
      <c r="D7050">
        <v>5.7097340000000001</v>
      </c>
      <c r="E7050">
        <v>0.60284859999999996</v>
      </c>
      <c r="F7050" t="s">
        <v>43</v>
      </c>
      <c r="G7050">
        <v>-304.07679999999999</v>
      </c>
      <c r="H7050">
        <v>-0.05</v>
      </c>
      <c r="I7050">
        <v>2.63591</v>
      </c>
      <c r="J7050">
        <v>-305.70030000000003</v>
      </c>
      <c r="K7050">
        <v>1.059944</v>
      </c>
      <c r="L7050">
        <v>13.788180000000001</v>
      </c>
      <c r="M7050">
        <v>0.86331229999999903</v>
      </c>
      <c r="N7050">
        <v>-8.2164539999999998E-3</v>
      </c>
      <c r="O7050">
        <v>-0.50460320000000003</v>
      </c>
      <c r="P7050">
        <v>0.4007463</v>
      </c>
      <c r="Q7050">
        <v>-9.8767270000000004E-2</v>
      </c>
      <c r="R7050">
        <v>-0.91085000000000005</v>
      </c>
      <c r="S7050">
        <v>0.49383539999999998</v>
      </c>
      <c r="T7050">
        <v>-0.30065170000000002</v>
      </c>
      <c r="U7050">
        <v>-3.0556640000000002</v>
      </c>
      <c r="V7050">
        <v>0.58175739999999998</v>
      </c>
      <c r="W7050">
        <v>-0.1062072</v>
      </c>
      <c r="X7050">
        <v>0.80639839999999996</v>
      </c>
      <c r="Y7050">
        <v>0.77018050000000005</v>
      </c>
      <c r="Z7050">
        <v>2.0811150000000001E-3</v>
      </c>
      <c r="AA7050">
        <v>0.63782269999999996</v>
      </c>
      <c r="AB7050">
        <v>24</v>
      </c>
      <c r="AC7050">
        <v>1.6235000000000299</v>
      </c>
      <c r="AD7050">
        <v>-1.109944</v>
      </c>
      <c r="AE7050">
        <v>-11.1522699999999</v>
      </c>
      <c r="AF7050">
        <v>8.7243404173208408</v>
      </c>
      <c r="AG7050">
        <v>-1.109944</v>
      </c>
      <c r="AH7050">
        <v>6.9617672617360098</v>
      </c>
      <c r="AI7050">
        <v>95.679021306667295</v>
      </c>
      <c r="AJ7050">
        <v>38.588838418342398</v>
      </c>
      <c r="AK7050">
        <v>11.2166079902532</v>
      </c>
      <c r="AL7050">
        <v>96.096722902470901</v>
      </c>
      <c r="AM7050">
        <v>54.192310651509501</v>
      </c>
      <c r="AN7050">
        <v>1.0000000106545801</v>
      </c>
    </row>
    <row r="7051" spans="1:40" x14ac:dyDescent="0.25">
      <c r="A7051" t="str">
        <f>"20190303154947413"</f>
        <v>20190303154947413</v>
      </c>
      <c r="B7051" t="str">
        <f>"1551599387407455"</f>
        <v>1551599387407455</v>
      </c>
      <c r="C7051" t="s">
        <v>40</v>
      </c>
      <c r="D7051">
        <v>5.2848819999999996</v>
      </c>
      <c r="E7051">
        <v>0.63745180000000001</v>
      </c>
      <c r="F7051" t="s">
        <v>43</v>
      </c>
      <c r="G7051">
        <v>-304.0206</v>
      </c>
      <c r="H7051">
        <v>-0.05</v>
      </c>
      <c r="I7051">
        <v>2.379578</v>
      </c>
      <c r="J7051">
        <v>-305.55950000000001</v>
      </c>
      <c r="K7051">
        <v>1.05975</v>
      </c>
      <c r="L7051">
        <v>13.69281</v>
      </c>
      <c r="M7051">
        <v>0.85782789999999998</v>
      </c>
      <c r="N7051">
        <v>-8.3040739999999998E-3</v>
      </c>
      <c r="O7051">
        <v>-0.51386999999999905</v>
      </c>
      <c r="P7051">
        <v>0.39165499999999998</v>
      </c>
      <c r="Q7051">
        <v>-9.8991999999999997E-2</v>
      </c>
      <c r="R7051">
        <v>-0.91477160000000002</v>
      </c>
      <c r="S7051">
        <v>0.45095829999999998</v>
      </c>
      <c r="T7051">
        <v>-0.29799229999999999</v>
      </c>
      <c r="U7051">
        <v>-3.0629270000000002</v>
      </c>
      <c r="V7051">
        <v>0.58102969999999998</v>
      </c>
      <c r="W7051">
        <v>-0.1066213</v>
      </c>
      <c r="X7051">
        <v>0.80686829999999998</v>
      </c>
      <c r="Y7051">
        <v>0.77230639999999995</v>
      </c>
      <c r="Z7051">
        <v>2.8150380000000002E-3</v>
      </c>
      <c r="AA7051">
        <v>0.63524399999999903</v>
      </c>
      <c r="AB7051">
        <v>24</v>
      </c>
      <c r="AC7051">
        <v>1.5389000000000099</v>
      </c>
      <c r="AD7051">
        <v>-1.10975</v>
      </c>
      <c r="AE7051">
        <v>-11.313231999999999</v>
      </c>
      <c r="AF7051">
        <v>8.8308893173834999</v>
      </c>
      <c r="AG7051">
        <v>-1.10975</v>
      </c>
      <c r="AH7051">
        <v>7.0671214479756799</v>
      </c>
      <c r="AI7051">
        <v>95.603711405374895</v>
      </c>
      <c r="AJ7051">
        <v>38.6693413179269</v>
      </c>
      <c r="AK7051">
        <v>11.364873811829799</v>
      </c>
      <c r="AL7051">
        <v>96.120584432331995</v>
      </c>
      <c r="AM7051">
        <v>54.242160060138701</v>
      </c>
      <c r="AN7051">
        <v>1.0000000337203301</v>
      </c>
    </row>
    <row r="7052" spans="1:40" x14ac:dyDescent="0.25">
      <c r="A7052" t="str">
        <f>"20190303154947433"</f>
        <v>20190303154947433</v>
      </c>
      <c r="B7052" t="str">
        <f>"1551599387427950"</f>
        <v>1551599387427950</v>
      </c>
      <c r="C7052" t="s">
        <v>40</v>
      </c>
      <c r="D7052">
        <v>5.3325889999999996</v>
      </c>
      <c r="E7052">
        <v>0.63671750000000005</v>
      </c>
      <c r="F7052" t="s">
        <v>69</v>
      </c>
      <c r="G7052">
        <v>-299.47280000000001</v>
      </c>
      <c r="H7052">
        <v>0.99126239999999999</v>
      </c>
      <c r="I7052">
        <v>-90.976820000000004</v>
      </c>
      <c r="J7052">
        <v>-305.38290000000001</v>
      </c>
      <c r="K7052">
        <v>1.0594969999999999</v>
      </c>
      <c r="L7052">
        <v>13.569850000000001</v>
      </c>
      <c r="M7052">
        <v>0.85063169999999899</v>
      </c>
      <c r="N7052">
        <v>-8.4219889999999995E-3</v>
      </c>
      <c r="O7052">
        <v>-0.52569480000000002</v>
      </c>
      <c r="P7052">
        <v>0.38042550000000003</v>
      </c>
      <c r="Q7052">
        <v>-9.9021319999999996E-2</v>
      </c>
      <c r="R7052">
        <v>-0.91949519999999996</v>
      </c>
      <c r="S7052">
        <v>0.1860657</v>
      </c>
      <c r="T7052">
        <v>-2.0931959999999999E-3</v>
      </c>
      <c r="U7052">
        <v>-3.199646</v>
      </c>
      <c r="V7052">
        <v>0.57967449999999998</v>
      </c>
      <c r="W7052">
        <v>-0.10687000000000001</v>
      </c>
      <c r="X7052">
        <v>0.80780949999999996</v>
      </c>
      <c r="Y7052">
        <v>0.81867789999999996</v>
      </c>
      <c r="Z7052">
        <v>-8.0990980000000008E-3</v>
      </c>
      <c r="AA7052">
        <v>0.57419589999999998</v>
      </c>
      <c r="AB7052">
        <v>24</v>
      </c>
      <c r="AC7052">
        <v>5.9100999999999999</v>
      </c>
      <c r="AD7052">
        <v>-6.8234599999999895E-2</v>
      </c>
      <c r="AE7052">
        <v>-104.54667000000001</v>
      </c>
      <c r="AF7052">
        <v>85.826799876191998</v>
      </c>
      <c r="AG7052">
        <v>-6.8234599999999895E-2</v>
      </c>
      <c r="AH7052">
        <v>59.989054011508102</v>
      </c>
      <c r="AI7052">
        <v>90.037335705728594</v>
      </c>
      <c r="AJ7052">
        <v>34.951808937386701</v>
      </c>
      <c r="AK7052">
        <v>104.713565664359</v>
      </c>
      <c r="AL7052">
        <v>96.134916257671094</v>
      </c>
      <c r="AM7052">
        <v>54.337227526878898</v>
      </c>
      <c r="AN7052">
        <v>0.99999995557024901</v>
      </c>
    </row>
    <row r="7053" spans="1:40" x14ac:dyDescent="0.25">
      <c r="A7053" t="str">
        <f>"20190303154947454"</f>
        <v>20190303154947454</v>
      </c>
      <c r="B7053" t="str">
        <f>"1551599387447469"</f>
        <v>1551599387447469</v>
      </c>
      <c r="C7053" t="s">
        <v>40</v>
      </c>
      <c r="D7053">
        <v>5.2864630000000004</v>
      </c>
      <c r="E7053">
        <v>0.63659790000000005</v>
      </c>
      <c r="F7053" t="s">
        <v>69</v>
      </c>
      <c r="G7053">
        <v>-300.4085</v>
      </c>
      <c r="H7053">
        <v>1.120344</v>
      </c>
      <c r="I7053">
        <v>-90.976820000000004</v>
      </c>
      <c r="J7053">
        <v>-305.18060000000003</v>
      </c>
      <c r="K7053">
        <v>1.0592109999999999</v>
      </c>
      <c r="L7053">
        <v>13.42407</v>
      </c>
      <c r="M7053">
        <v>0.84192089999999997</v>
      </c>
      <c r="N7053">
        <v>-8.5700380000000003E-3</v>
      </c>
      <c r="O7053">
        <v>-0.53953309999999999</v>
      </c>
      <c r="P7053">
        <v>0.36621740000000003</v>
      </c>
      <c r="Q7053">
        <v>-9.9098919999999993E-2</v>
      </c>
      <c r="R7053">
        <v>-0.92523809999999995</v>
      </c>
      <c r="S7053">
        <v>0.1522522</v>
      </c>
      <c r="T7053">
        <v>1.862764E-3</v>
      </c>
      <c r="U7053">
        <v>-3.1998600000000001</v>
      </c>
      <c r="V7053">
        <v>0.57882800000000001</v>
      </c>
      <c r="W7053">
        <v>-0.107209</v>
      </c>
      <c r="X7053">
        <v>0.80837150000000002</v>
      </c>
      <c r="Y7053">
        <v>0.8153319</v>
      </c>
      <c r="Z7053">
        <v>-8.4109549999999995E-3</v>
      </c>
      <c r="AA7053">
        <v>0.57893280000000003</v>
      </c>
      <c r="AB7053">
        <v>24</v>
      </c>
      <c r="AC7053">
        <v>4.7721000000000204</v>
      </c>
      <c r="AD7053">
        <v>6.1132999999999799E-2</v>
      </c>
      <c r="AE7053">
        <v>-104.40089</v>
      </c>
      <c r="AF7053">
        <v>85.325680517247903</v>
      </c>
      <c r="AG7053">
        <v>6.1132999999999799E-2</v>
      </c>
      <c r="AH7053">
        <v>60.3476556378711</v>
      </c>
      <c r="AI7053">
        <v>89.966484861659893</v>
      </c>
      <c r="AJ7053">
        <v>35.270337947490503</v>
      </c>
      <c r="AK7053">
        <v>104.509880078211</v>
      </c>
      <c r="AL7053">
        <v>96.154451164183698</v>
      </c>
      <c r="AM7053">
        <v>54.395743098278402</v>
      </c>
      <c r="AN7053">
        <v>1.0000000526386199</v>
      </c>
    </row>
    <row r="7054" spans="1:40" x14ac:dyDescent="0.25">
      <c r="A7054" t="str">
        <f>"20190303154947467"</f>
        <v>20190303154947467</v>
      </c>
      <c r="B7054" t="str">
        <f>"1551599387458205"</f>
        <v>1551599387458205</v>
      </c>
      <c r="C7054" t="s">
        <v>40</v>
      </c>
      <c r="D7054">
        <v>5.2888149999999996</v>
      </c>
      <c r="E7054">
        <v>0.63728130000000005</v>
      </c>
      <c r="F7054" t="s">
        <v>69</v>
      </c>
      <c r="G7054">
        <v>-301.79349999999999</v>
      </c>
      <c r="H7054">
        <v>1.2788809999999999</v>
      </c>
      <c r="I7054">
        <v>-90.976820000000004</v>
      </c>
      <c r="J7054">
        <v>-305.06029999999998</v>
      </c>
      <c r="K7054">
        <v>1.0590459999999999</v>
      </c>
      <c r="L7054">
        <v>13.334809999999999</v>
      </c>
      <c r="M7054">
        <v>0.83649569999999995</v>
      </c>
      <c r="N7054">
        <v>-8.6655650000000001E-3</v>
      </c>
      <c r="O7054">
        <v>-0.54790509999999903</v>
      </c>
      <c r="P7054">
        <v>0.35777759999999997</v>
      </c>
      <c r="Q7054">
        <v>-9.8872860000000007E-2</v>
      </c>
      <c r="R7054">
        <v>-0.92855810000000005</v>
      </c>
      <c r="S7054">
        <v>0.1038818</v>
      </c>
      <c r="T7054">
        <v>6.7378280000000004E-3</v>
      </c>
      <c r="U7054">
        <v>-3.202026</v>
      </c>
      <c r="V7054">
        <v>0.57810869999999903</v>
      </c>
      <c r="W7054">
        <v>-0.1071217</v>
      </c>
      <c r="X7054">
        <v>0.80889759999999999</v>
      </c>
      <c r="Y7054">
        <v>0.81830049999999999</v>
      </c>
      <c r="Z7054">
        <v>-8.7531129999999999E-3</v>
      </c>
      <c r="AA7054">
        <v>0.57472389999999995</v>
      </c>
      <c r="AB7054">
        <v>24</v>
      </c>
      <c r="AC7054">
        <v>3.2667999999999799</v>
      </c>
      <c r="AD7054">
        <v>0.219835</v>
      </c>
      <c r="AE7054">
        <v>-104.31162999999999</v>
      </c>
      <c r="AF7054">
        <v>85.469157165263496</v>
      </c>
      <c r="AG7054">
        <v>0.219835</v>
      </c>
      <c r="AH7054">
        <v>59.8875166854097</v>
      </c>
      <c r="AI7054">
        <v>89.879308926621107</v>
      </c>
      <c r="AJ7054">
        <v>35.018604320849903</v>
      </c>
      <c r="AK7054">
        <v>104.362540256133</v>
      </c>
      <c r="AL7054">
        <v>96.149420426505102</v>
      </c>
      <c r="AM7054">
        <v>54.447095946725398</v>
      </c>
      <c r="AN7054">
        <v>1.00000002745616</v>
      </c>
    </row>
    <row r="7055" spans="1:40" x14ac:dyDescent="0.25">
      <c r="A7055" t="str">
        <f>"20190303154947483"</f>
        <v>20190303154947483</v>
      </c>
      <c r="B7055" t="str">
        <f>"1551599387477726"</f>
        <v>1551599387477726</v>
      </c>
      <c r="C7055" t="s">
        <v>40</v>
      </c>
      <c r="D7055">
        <v>5.5651299999999999</v>
      </c>
      <c r="E7055">
        <v>0.63421799999999995</v>
      </c>
      <c r="F7055" t="s">
        <v>69</v>
      </c>
      <c r="G7055">
        <v>-302.77710000000002</v>
      </c>
      <c r="H7055">
        <v>1.458073</v>
      </c>
      <c r="I7055">
        <v>-91.564989999999995</v>
      </c>
      <c r="J7055">
        <v>-304.92169999999999</v>
      </c>
      <c r="K7055">
        <v>1.0588580000000001</v>
      </c>
      <c r="L7055">
        <v>13.229679999999901</v>
      </c>
      <c r="M7055">
        <v>0.83001879999999995</v>
      </c>
      <c r="N7055">
        <v>-8.7814079999999992E-3</v>
      </c>
      <c r="O7055">
        <v>-0.557666199999999</v>
      </c>
      <c r="P7055">
        <v>0.34789750000000003</v>
      </c>
      <c r="Q7055">
        <v>-9.8723249999999999E-2</v>
      </c>
      <c r="R7055">
        <v>-0.93232040000000005</v>
      </c>
      <c r="S7055">
        <v>6.9763179999999994E-2</v>
      </c>
      <c r="T7055">
        <v>1.219285E-2</v>
      </c>
      <c r="U7055">
        <v>-3.2052610000000001</v>
      </c>
      <c r="V7055">
        <v>0.57719189999999998</v>
      </c>
      <c r="W7055">
        <v>-0.1071217</v>
      </c>
      <c r="X7055">
        <v>0.80955200000000005</v>
      </c>
      <c r="Y7055">
        <v>0.817704599999999</v>
      </c>
      <c r="Z7055">
        <v>-9.1627229999999994E-3</v>
      </c>
      <c r="AA7055">
        <v>0.57556509999999905</v>
      </c>
      <c r="AB7055">
        <v>24</v>
      </c>
      <c r="AC7055">
        <v>2.1445999999999601</v>
      </c>
      <c r="AD7055">
        <v>0.39921499999999899</v>
      </c>
      <c r="AE7055">
        <v>-104.79467</v>
      </c>
      <c r="AF7055">
        <v>85.787642414014499</v>
      </c>
      <c r="AG7055">
        <v>0.39921499999999899</v>
      </c>
      <c r="AH7055">
        <v>60.221954803187501</v>
      </c>
      <c r="AI7055">
        <v>89.7817754708705</v>
      </c>
      <c r="AJ7055">
        <v>35.068420989090498</v>
      </c>
      <c r="AK7055">
        <v>104.81585187312101</v>
      </c>
      <c r="AL7055">
        <v>96.149420630749205</v>
      </c>
      <c r="AM7055">
        <v>54.512007028646401</v>
      </c>
      <c r="AN7055">
        <v>0.99999999437025</v>
      </c>
    </row>
    <row r="7056" spans="1:40" x14ac:dyDescent="0.25">
      <c r="A7056" t="str">
        <f>"20190303154947498"</f>
        <v>20190303154947498</v>
      </c>
      <c r="B7056" t="str">
        <f>"1551599387487486"</f>
        <v>1551599387487486</v>
      </c>
      <c r="C7056" t="s">
        <v>40</v>
      </c>
      <c r="D7056">
        <v>5.749403</v>
      </c>
      <c r="E7056">
        <v>0.63214780000000004</v>
      </c>
      <c r="F7056" t="s">
        <v>69</v>
      </c>
      <c r="G7056">
        <v>-302.99790000000002</v>
      </c>
      <c r="H7056">
        <v>1.322157</v>
      </c>
      <c r="I7056">
        <v>-91.564989999999995</v>
      </c>
      <c r="J7056">
        <v>-304.7867</v>
      </c>
      <c r="K7056">
        <v>1.058675</v>
      </c>
      <c r="L7056">
        <v>13.124359999999999</v>
      </c>
      <c r="M7056">
        <v>0.82343849999999996</v>
      </c>
      <c r="N7056">
        <v>-8.9029969999999993E-3</v>
      </c>
      <c r="O7056">
        <v>-0.56733610000000001</v>
      </c>
      <c r="P7056">
        <v>0.33935369999999998</v>
      </c>
      <c r="Q7056">
        <v>-9.8561250000000003E-2</v>
      </c>
      <c r="R7056">
        <v>-0.93548169999999997</v>
      </c>
      <c r="S7056">
        <v>5.8685300000000003E-2</v>
      </c>
      <c r="T7056">
        <v>8.0323219999999997E-3</v>
      </c>
      <c r="U7056">
        <v>-3.1967469999999998</v>
      </c>
      <c r="V7056">
        <v>0.57510269999999997</v>
      </c>
      <c r="W7056">
        <v>-0.1070555</v>
      </c>
      <c r="X7056">
        <v>0.81104619999999905</v>
      </c>
      <c r="Y7056">
        <v>0.81289820000000002</v>
      </c>
      <c r="Z7056">
        <v>-9.1800700000000002E-3</v>
      </c>
      <c r="AA7056">
        <v>0.5823334</v>
      </c>
      <c r="AB7056">
        <v>24</v>
      </c>
      <c r="AC7056">
        <v>1.78879999999998</v>
      </c>
      <c r="AD7056">
        <v>0.26348199999999999</v>
      </c>
      <c r="AE7056">
        <v>-104.68935</v>
      </c>
      <c r="AF7056">
        <v>85.193207153088807</v>
      </c>
      <c r="AG7056">
        <v>0.26348199999999999</v>
      </c>
      <c r="AH7056">
        <v>60.869026767507698</v>
      </c>
      <c r="AI7056">
        <v>89.8558185046288</v>
      </c>
      <c r="AJ7056">
        <v>35.545130118629402</v>
      </c>
      <c r="AK7056">
        <v>104.704299756108</v>
      </c>
      <c r="AL7056">
        <v>96.145605880720098</v>
      </c>
      <c r="AM7056">
        <v>54.660024103136799</v>
      </c>
      <c r="AN7056">
        <v>0.99999996708098904</v>
      </c>
    </row>
    <row r="7057" spans="1:40" x14ac:dyDescent="0.25">
      <c r="A7057" t="str">
        <f>"20190303154947518"</f>
        <v>20190303154947518</v>
      </c>
      <c r="B7057" t="str">
        <f>"1551599387507982"</f>
        <v>1551599387507982</v>
      </c>
      <c r="C7057" t="s">
        <v>40</v>
      </c>
      <c r="D7057">
        <v>5.7729410000000003</v>
      </c>
      <c r="E7057">
        <v>0.62929959999999996</v>
      </c>
      <c r="F7057" t="s">
        <v>69</v>
      </c>
      <c r="G7057">
        <v>-303.32960000000003</v>
      </c>
      <c r="H7057">
        <v>0.8400936</v>
      </c>
      <c r="I7057">
        <v>-91.564989999999995</v>
      </c>
      <c r="J7057">
        <v>-304.61439999999999</v>
      </c>
      <c r="K7057">
        <v>1.058446</v>
      </c>
      <c r="L7057">
        <v>12.98587</v>
      </c>
      <c r="M7057">
        <v>0.81464569999999903</v>
      </c>
      <c r="N7057">
        <v>-9.0660080000000004E-3</v>
      </c>
      <c r="O7057">
        <v>-0.57988819999999996</v>
      </c>
      <c r="P7057">
        <v>0.32597969999999998</v>
      </c>
      <c r="Q7057">
        <v>-9.8779889999999995E-2</v>
      </c>
      <c r="R7057">
        <v>-0.94020210000000004</v>
      </c>
      <c r="S7057">
        <v>4.4403079999999998E-2</v>
      </c>
      <c r="T7057">
        <v>-6.6602229999999998E-3</v>
      </c>
      <c r="U7057">
        <v>-3.1900940000000002</v>
      </c>
      <c r="V7057">
        <v>0.57415629999999995</v>
      </c>
      <c r="W7057">
        <v>-0.1074413</v>
      </c>
      <c r="X7057">
        <v>0.81166549999999904</v>
      </c>
      <c r="Y7057">
        <v>0.806486699999999</v>
      </c>
      <c r="Z7057">
        <v>-8.6525639999999997E-3</v>
      </c>
      <c r="AA7057">
        <v>0.59118909999999902</v>
      </c>
      <c r="AB7057">
        <v>24</v>
      </c>
      <c r="AC7057">
        <v>1.28479999999996</v>
      </c>
      <c r="AD7057">
        <v>-0.2183524</v>
      </c>
      <c r="AE7057">
        <v>-104.55086</v>
      </c>
      <c r="AF7057">
        <v>84.429964168411999</v>
      </c>
      <c r="AG7057">
        <v>-0.2183524</v>
      </c>
      <c r="AH7057">
        <v>61.676728458818701</v>
      </c>
      <c r="AI7057">
        <v>90.1196524141819</v>
      </c>
      <c r="AJ7057">
        <v>36.148411413383599</v>
      </c>
      <c r="AK7057">
        <v>104.558526006408</v>
      </c>
      <c r="AL7057">
        <v>96.167838704960602</v>
      </c>
      <c r="AM7057">
        <v>54.725158599475598</v>
      </c>
      <c r="AN7057">
        <v>0.99999998683281399</v>
      </c>
    </row>
    <row r="7058" spans="1:40" x14ac:dyDescent="0.25">
      <c r="A7058" t="str">
        <f>"20190303154947536"</f>
        <v>20190303154947536</v>
      </c>
      <c r="B7058" t="str">
        <f>"1551599387528479"</f>
        <v>1551599387528479</v>
      </c>
      <c r="C7058" t="s">
        <v>40</v>
      </c>
      <c r="D7058">
        <v>5.807347</v>
      </c>
      <c r="E7058">
        <v>0.62631930000000002</v>
      </c>
      <c r="F7058" t="s">
        <v>69</v>
      </c>
      <c r="G7058">
        <v>-303.95569999999998</v>
      </c>
      <c r="H7058">
        <v>0.4450269</v>
      </c>
      <c r="I7058">
        <v>-91.564989999999995</v>
      </c>
      <c r="J7058">
        <v>-304.45609999999999</v>
      </c>
      <c r="K7058">
        <v>1.058233</v>
      </c>
      <c r="L7058">
        <v>12.854369999999999</v>
      </c>
      <c r="M7058">
        <v>0.80615360000000003</v>
      </c>
      <c r="N7058">
        <v>-9.2238770000000001E-3</v>
      </c>
      <c r="O7058">
        <v>-0.59163469999999996</v>
      </c>
      <c r="P7058">
        <v>0.31424869999999999</v>
      </c>
      <c r="Q7058">
        <v>-9.9303569999999994E-2</v>
      </c>
      <c r="R7058">
        <v>-0.944133</v>
      </c>
      <c r="S7058">
        <v>2.005005E-2</v>
      </c>
      <c r="T7058">
        <v>-1.8668290000000001E-2</v>
      </c>
      <c r="U7058">
        <v>-3.1818849999999999</v>
      </c>
      <c r="V7058">
        <v>0.57238610000000001</v>
      </c>
      <c r="W7058">
        <v>-0.1080807</v>
      </c>
      <c r="X7058">
        <v>0.81283000000000005</v>
      </c>
      <c r="Y7058">
        <v>0.80237890000000001</v>
      </c>
      <c r="Z7058">
        <v>-8.1000039999999992E-3</v>
      </c>
      <c r="AA7058">
        <v>0.59675999999999996</v>
      </c>
      <c r="AB7058">
        <v>24</v>
      </c>
      <c r="AC7058">
        <v>0.50040000000001295</v>
      </c>
      <c r="AD7058">
        <v>-0.61320609999999998</v>
      </c>
      <c r="AE7058">
        <v>-104.41936</v>
      </c>
      <c r="AF7058">
        <v>83.882651138897501</v>
      </c>
      <c r="AG7058">
        <v>-0.61320609999999998</v>
      </c>
      <c r="AH7058">
        <v>62.182006853574102</v>
      </c>
      <c r="AI7058">
        <v>90.336475207145597</v>
      </c>
      <c r="AJ7058">
        <v>36.549451021722703</v>
      </c>
      <c r="AK7058">
        <v>104.418758660257</v>
      </c>
      <c r="AL7058">
        <v>96.204688456345494</v>
      </c>
      <c r="AM7058">
        <v>54.847207404766202</v>
      </c>
      <c r="AN7058">
        <v>0.999999947042848</v>
      </c>
    </row>
    <row r="7059" spans="1:40" x14ac:dyDescent="0.25">
      <c r="A7059" t="str">
        <f>"20190303154947550"</f>
        <v>20190303154947550</v>
      </c>
      <c r="B7059" t="str">
        <f>"1551599387547998"</f>
        <v>1551599387547998</v>
      </c>
      <c r="C7059" t="s">
        <v>40</v>
      </c>
      <c r="D7059">
        <v>5.8305059999999997</v>
      </c>
      <c r="E7059">
        <v>0.62367640000000002</v>
      </c>
      <c r="F7059" t="s">
        <v>64</v>
      </c>
      <c r="G7059">
        <v>-304.39960000000002</v>
      </c>
      <c r="H7059" s="1">
        <v>-8.7776390000000005E-6</v>
      </c>
      <c r="I7059">
        <v>-68.807360000000003</v>
      </c>
      <c r="J7059">
        <v>-304.33010000000002</v>
      </c>
      <c r="K7059">
        <v>1.058063</v>
      </c>
      <c r="L7059">
        <v>12.74658</v>
      </c>
      <c r="M7059">
        <v>0.7990893</v>
      </c>
      <c r="N7059">
        <v>-9.355314E-3</v>
      </c>
      <c r="O7059">
        <v>-0.60113969999999906</v>
      </c>
      <c r="P7059">
        <v>0.30406430000000001</v>
      </c>
      <c r="Q7059">
        <v>-9.9147979999999997E-2</v>
      </c>
      <c r="R7059">
        <v>-0.94747840000000005</v>
      </c>
      <c r="S7059">
        <v>2.1972659999999998E-3</v>
      </c>
      <c r="T7059">
        <v>-4.1111349999999998E-2</v>
      </c>
      <c r="U7059">
        <v>-3.1724549999999998</v>
      </c>
      <c r="V7059">
        <v>0.57148789999999905</v>
      </c>
      <c r="W7059">
        <v>-0.108029399999999</v>
      </c>
      <c r="X7059">
        <v>0.81346859999999999</v>
      </c>
      <c r="Y7059">
        <v>0.79859550000000001</v>
      </c>
      <c r="Z7059">
        <v>-6.7243619999999898E-3</v>
      </c>
      <c r="AA7059">
        <v>0.60183050000000005</v>
      </c>
      <c r="AB7059">
        <v>24</v>
      </c>
      <c r="AC7059">
        <v>-6.9500000000005002E-2</v>
      </c>
      <c r="AD7059">
        <v>-1.0580717776390001</v>
      </c>
      <c r="AE7059">
        <v>-81.553939999999997</v>
      </c>
      <c r="AF7059">
        <v>65.202533354116596</v>
      </c>
      <c r="AG7059">
        <v>-1.0580717776390001</v>
      </c>
      <c r="AH7059">
        <v>48.963671608603399</v>
      </c>
      <c r="AI7059">
        <v>90.743432220106598</v>
      </c>
      <c r="AJ7059">
        <v>36.9046216210455</v>
      </c>
      <c r="AK7059">
        <v>81.547109139910503</v>
      </c>
      <c r="AL7059">
        <v>96.201731746456801</v>
      </c>
      <c r="AM7059">
        <v>54.910722832561497</v>
      </c>
      <c r="AN7059">
        <v>0.99999996714836403</v>
      </c>
    </row>
    <row r="7060" spans="1:40" x14ac:dyDescent="0.25">
      <c r="A7060" t="str">
        <f>"20190303154947565"</f>
        <v>20190303154947565</v>
      </c>
      <c r="B7060" t="str">
        <f>"1551599387557758"</f>
        <v>1551599387557758</v>
      </c>
      <c r="C7060" t="s">
        <v>40</v>
      </c>
      <c r="D7060">
        <v>5.8353000000000002</v>
      </c>
      <c r="E7060">
        <v>0.622444</v>
      </c>
      <c r="F7060" t="s">
        <v>64</v>
      </c>
      <c r="G7060">
        <v>-304.5566</v>
      </c>
      <c r="H7060" s="1">
        <v>-2.5724990000000001E-6</v>
      </c>
      <c r="I7060">
        <v>-43.425930000000001</v>
      </c>
      <c r="J7060">
        <v>-304.20659999999998</v>
      </c>
      <c r="K7060">
        <v>1.057901</v>
      </c>
      <c r="L7060">
        <v>12.63855</v>
      </c>
      <c r="M7060">
        <v>0.79191630000000002</v>
      </c>
      <c r="N7060">
        <v>-9.4879730000000002E-3</v>
      </c>
      <c r="O7060">
        <v>-0.61055619999999999</v>
      </c>
      <c r="P7060">
        <v>0.29510180000000003</v>
      </c>
      <c r="Q7060">
        <v>-9.835845E-2</v>
      </c>
      <c r="R7060">
        <v>-0.95038990000000001</v>
      </c>
      <c r="S7060">
        <v>-1.275635E-2</v>
      </c>
      <c r="T7060">
        <v>-5.96E-2</v>
      </c>
      <c r="U7060">
        <v>-3.1641539999999999</v>
      </c>
      <c r="V7060">
        <v>0.56958959999999903</v>
      </c>
      <c r="W7060">
        <v>-0.1073008</v>
      </c>
      <c r="X7060">
        <v>0.81489529999999999</v>
      </c>
      <c r="Y7060">
        <v>0.79424890000000004</v>
      </c>
      <c r="Z7060">
        <v>-5.3756890000000003E-3</v>
      </c>
      <c r="AA7060">
        <v>0.60756869999999996</v>
      </c>
      <c r="AB7060">
        <v>24</v>
      </c>
      <c r="AC7060">
        <v>-0.35000000000002202</v>
      </c>
      <c r="AD7060">
        <v>-1.057903572499</v>
      </c>
      <c r="AE7060">
        <v>-56.064480000000003</v>
      </c>
      <c r="AF7060">
        <v>44.5981924570861</v>
      </c>
      <c r="AG7060">
        <v>-1.057903572499</v>
      </c>
      <c r="AH7060">
        <v>33.942783063943899</v>
      </c>
      <c r="AI7060">
        <v>91.081372903772404</v>
      </c>
      <c r="AJ7060">
        <v>37.274029836801198</v>
      </c>
      <c r="AK7060">
        <v>56.055601437625803</v>
      </c>
      <c r="AL7060">
        <v>96.1597413749802</v>
      </c>
      <c r="AM7060">
        <v>55.047500685937102</v>
      </c>
      <c r="AN7060">
        <v>1.0000000620354399</v>
      </c>
    </row>
    <row r="7061" spans="1:40" x14ac:dyDescent="0.25">
      <c r="A7061" t="str">
        <f>"20190303154947588"</f>
        <v>20190303154947588</v>
      </c>
      <c r="B7061" t="str">
        <f>"1551599387577278"</f>
        <v>1551599387577278</v>
      </c>
      <c r="C7061" t="s">
        <v>40</v>
      </c>
      <c r="D7061">
        <v>5.8468359999999997</v>
      </c>
      <c r="E7061">
        <v>0.62144829999999995</v>
      </c>
      <c r="F7061" t="s">
        <v>42</v>
      </c>
      <c r="G7061">
        <v>-304.2235</v>
      </c>
      <c r="H7061">
        <v>1.0250969999999999</v>
      </c>
      <c r="I7061">
        <v>11.02225</v>
      </c>
      <c r="J7061">
        <v>-304.01979999999998</v>
      </c>
      <c r="K7061">
        <v>1.0576639999999999</v>
      </c>
      <c r="L7061">
        <v>12.469480000000001</v>
      </c>
      <c r="M7061">
        <v>0.78051949999999903</v>
      </c>
      <c r="N7061">
        <v>-9.7005129999999992E-3</v>
      </c>
      <c r="O7061">
        <v>-0.62505619999999995</v>
      </c>
      <c r="P7061">
        <v>0.27988550000000001</v>
      </c>
      <c r="Q7061">
        <v>-9.7520259999999998E-2</v>
      </c>
      <c r="R7061">
        <v>-0.95506760000000002</v>
      </c>
      <c r="S7061">
        <v>-3.3081050000000001E-2</v>
      </c>
      <c r="T7061">
        <v>-6.4138769999999998E-2</v>
      </c>
      <c r="U7061">
        <v>-3.1602480000000002</v>
      </c>
      <c r="V7061">
        <v>0.56760739999999998</v>
      </c>
      <c r="W7061">
        <v>-0.10657030000000001</v>
      </c>
      <c r="X7061">
        <v>0.81637280000000001</v>
      </c>
      <c r="Y7061">
        <v>0.7868868</v>
      </c>
      <c r="Z7061">
        <v>-4.7717219999999999E-3</v>
      </c>
      <c r="AA7061">
        <v>0.61707900000000004</v>
      </c>
      <c r="AB7061">
        <v>25</v>
      </c>
      <c r="AC7061">
        <v>-0.203700000000026</v>
      </c>
      <c r="AD7061">
        <v>-3.2566999999999999E-2</v>
      </c>
      <c r="AE7061">
        <v>-1.44723</v>
      </c>
      <c r="AF7061">
        <v>1.25635046137978</v>
      </c>
      <c r="AG7061">
        <v>-3.2566999999999999E-2</v>
      </c>
      <c r="AH7061">
        <v>0.74527326598773602</v>
      </c>
      <c r="AI7061">
        <v>91.277163900124606</v>
      </c>
      <c r="AJ7061">
        <v>30.6766262383181</v>
      </c>
      <c r="AK7061">
        <v>1.46113289344064</v>
      </c>
      <c r="AL7061">
        <v>96.117646001093206</v>
      </c>
      <c r="AM7061">
        <v>55.189896543338499</v>
      </c>
      <c r="AN7061">
        <v>0.99999996897834398</v>
      </c>
    </row>
    <row r="7062" spans="1:40" x14ac:dyDescent="0.25">
      <c r="A7062" t="str">
        <f>"20190303154947610"</f>
        <v>20190303154947610</v>
      </c>
      <c r="B7062" t="str">
        <f>"1551599387597775"</f>
        <v>1551599387597775</v>
      </c>
      <c r="C7062" t="s">
        <v>40</v>
      </c>
      <c r="D7062">
        <v>5.8481139999999998</v>
      </c>
      <c r="E7062">
        <v>0.60106859999999995</v>
      </c>
      <c r="F7062" t="s">
        <v>41</v>
      </c>
      <c r="G7062">
        <v>-305.23050000000001</v>
      </c>
      <c r="H7062" s="1">
        <v>-2.5099490000000002E-6</v>
      </c>
      <c r="I7062">
        <v>-37.804209999999998</v>
      </c>
      <c r="J7062">
        <v>-303.8306</v>
      </c>
      <c r="K7062">
        <v>1.057423</v>
      </c>
      <c r="L7062">
        <v>12.291410000000001</v>
      </c>
      <c r="M7062">
        <v>0.76830600000000004</v>
      </c>
      <c r="N7062">
        <v>-9.9273209999999994E-3</v>
      </c>
      <c r="O7062">
        <v>-0.64000610000000002</v>
      </c>
      <c r="P7062">
        <v>0.26436880000000001</v>
      </c>
      <c r="Q7062">
        <v>-9.7816470000000003E-2</v>
      </c>
      <c r="R7062">
        <v>-0.95944859999999998</v>
      </c>
      <c r="S7062">
        <v>-7.6019290000000003E-2</v>
      </c>
      <c r="T7062">
        <v>-6.6410060000000007E-2</v>
      </c>
      <c r="U7062">
        <v>-3.156647</v>
      </c>
      <c r="V7062">
        <v>0.56498959999999998</v>
      </c>
      <c r="W7062">
        <v>-0.1069309</v>
      </c>
      <c r="X7062">
        <v>0.81813970000000003</v>
      </c>
      <c r="Y7062">
        <v>0.78335399999999999</v>
      </c>
      <c r="Z7062">
        <v>-4.3849550000000003E-3</v>
      </c>
      <c r="AA7062">
        <v>0.62156029999999995</v>
      </c>
      <c r="AB7062">
        <v>25</v>
      </c>
      <c r="AC7062">
        <v>-1.3998999999999999</v>
      </c>
      <c r="AD7062">
        <v>-1.057425509949</v>
      </c>
      <c r="AE7062">
        <v>-50.095619999999997</v>
      </c>
      <c r="AF7062">
        <v>39.369114205779901</v>
      </c>
      <c r="AG7062">
        <v>-1.057425509949</v>
      </c>
      <c r="AH7062">
        <v>30.9736808429695</v>
      </c>
      <c r="AI7062">
        <v>91.209294195916897</v>
      </c>
      <c r="AJ7062">
        <v>38.193926303646997</v>
      </c>
      <c r="AK7062">
        <v>50.104033839791498</v>
      </c>
      <c r="AL7062">
        <v>96.138425301601799</v>
      </c>
      <c r="AM7062">
        <v>55.371879783798398</v>
      </c>
      <c r="AN7062">
        <v>1.00000001709952</v>
      </c>
    </row>
    <row r="7063" spans="1:40" x14ac:dyDescent="0.25">
      <c r="A7063" t="str">
        <f>"20190303154947633"</f>
        <v>20190303154947633</v>
      </c>
      <c r="B7063" t="str">
        <f>"1551599387628031"</f>
        <v>1551599387628031</v>
      </c>
      <c r="C7063" t="s">
        <v>40</v>
      </c>
      <c r="D7063">
        <v>5.8641329999999998</v>
      </c>
      <c r="E7063">
        <v>0.59887599999999996</v>
      </c>
      <c r="F7063" t="s">
        <v>41</v>
      </c>
      <c r="G7063">
        <v>-303.7251</v>
      </c>
      <c r="H7063" s="1">
        <v>-3.8349740000000003E-6</v>
      </c>
      <c r="I7063">
        <v>-3.2839689999999999</v>
      </c>
      <c r="J7063">
        <v>-303.64499999999998</v>
      </c>
      <c r="K7063">
        <v>1.057204</v>
      </c>
      <c r="L7063">
        <v>12.10938</v>
      </c>
      <c r="M7063">
        <v>0.7556155</v>
      </c>
      <c r="N7063">
        <v>-1.016506E-2</v>
      </c>
      <c r="O7063">
        <v>-0.65493630000000003</v>
      </c>
      <c r="P7063">
        <v>0.2499326</v>
      </c>
      <c r="Q7063">
        <v>-9.8892709999999995E-2</v>
      </c>
      <c r="R7063">
        <v>-0.96319980000000005</v>
      </c>
      <c r="S7063">
        <v>2.0996089999999999E-2</v>
      </c>
      <c r="T7063">
        <v>-0.21043319999999999</v>
      </c>
      <c r="U7063">
        <v>-3.0995789999999999</v>
      </c>
      <c r="V7063">
        <v>0.56107149999999995</v>
      </c>
      <c r="W7063">
        <v>-0.107991</v>
      </c>
      <c r="X7063">
        <v>0.8206928</v>
      </c>
      <c r="Y7063">
        <v>0.75049089999999996</v>
      </c>
      <c r="Z7063">
        <v>1.113334E-2</v>
      </c>
      <c r="AA7063">
        <v>0.66078689999999995</v>
      </c>
      <c r="AB7063">
        <v>25</v>
      </c>
      <c r="AC7063">
        <v>-8.0100000000015797E-2</v>
      </c>
      <c r="AD7063">
        <v>-1.0572078349739999</v>
      </c>
      <c r="AE7063">
        <v>-15.393348999999899</v>
      </c>
      <c r="AF7063">
        <v>11.629664909061299</v>
      </c>
      <c r="AG7063">
        <v>-1.0572078349739999</v>
      </c>
      <c r="AH7063">
        <v>9.9746099383267399</v>
      </c>
      <c r="AI7063">
        <v>93.947296906158101</v>
      </c>
      <c r="AJ7063">
        <v>40.619255481231399</v>
      </c>
      <c r="AK7063">
        <v>15.357722413338101</v>
      </c>
      <c r="AL7063">
        <v>96.1995185732588</v>
      </c>
      <c r="AM7063">
        <v>55.641304515513099</v>
      </c>
      <c r="AN7063">
        <v>0.99999997808254404</v>
      </c>
    </row>
    <row r="7064" spans="1:40" x14ac:dyDescent="0.25">
      <c r="A7064" t="str">
        <f>"20190303154947655"</f>
        <v>20190303154947655</v>
      </c>
      <c r="B7064" t="str">
        <f>"1551599387647550"</f>
        <v>1551599387647550</v>
      </c>
      <c r="C7064" t="s">
        <v>40</v>
      </c>
      <c r="D7064">
        <v>5.8747319999999998</v>
      </c>
      <c r="E7064">
        <v>0.59793430000000003</v>
      </c>
      <c r="F7064" t="s">
        <v>41</v>
      </c>
      <c r="G7064">
        <v>-303.68849999999998</v>
      </c>
      <c r="H7064" s="1">
        <v>-4.1335600000000003E-6</v>
      </c>
      <c r="I7064">
        <v>-2.4895170000000002</v>
      </c>
      <c r="J7064">
        <v>-303.46640000000002</v>
      </c>
      <c r="K7064">
        <v>1.056994</v>
      </c>
      <c r="L7064">
        <v>11.92712</v>
      </c>
      <c r="M7064">
        <v>0.74270080000000005</v>
      </c>
      <c r="N7064">
        <v>-1.041746E-2</v>
      </c>
      <c r="O7064">
        <v>-0.66954219999999998</v>
      </c>
      <c r="P7064">
        <v>0.23621539999999999</v>
      </c>
      <c r="Q7064">
        <v>-9.8843970000000003E-2</v>
      </c>
      <c r="R7064">
        <v>-0.96666059999999998</v>
      </c>
      <c r="S7064">
        <v>-9.2163090000000007E-3</v>
      </c>
      <c r="T7064">
        <v>-0.22406010000000001</v>
      </c>
      <c r="U7064">
        <v>-3.0940249999999998</v>
      </c>
      <c r="V7064">
        <v>0.55669049999999998</v>
      </c>
      <c r="W7064">
        <v>-0.1078679</v>
      </c>
      <c r="X7064">
        <v>0.82368699999999995</v>
      </c>
      <c r="Y7064">
        <v>0.74397000000000002</v>
      </c>
      <c r="Z7064">
        <v>1.4044549999999999E-2</v>
      </c>
      <c r="AA7064">
        <v>0.66806540000000003</v>
      </c>
      <c r="AB7064">
        <v>25</v>
      </c>
      <c r="AC7064">
        <v>-0.222099999999954</v>
      </c>
      <c r="AD7064">
        <v>-1.0569981335600001</v>
      </c>
      <c r="AE7064">
        <v>-14.416637</v>
      </c>
      <c r="AF7064">
        <v>10.798509737316801</v>
      </c>
      <c r="AG7064">
        <v>-1.0569981335600001</v>
      </c>
      <c r="AH7064">
        <v>9.4373901570226799</v>
      </c>
      <c r="AI7064">
        <v>94.215261987162293</v>
      </c>
      <c r="AJ7064">
        <v>41.151932172509902</v>
      </c>
      <c r="AK7064">
        <v>14.3801735238885</v>
      </c>
      <c r="AL7064">
        <v>96.192423664472102</v>
      </c>
      <c r="AM7064">
        <v>55.9471274476833</v>
      </c>
      <c r="AN7064">
        <v>1.00000003530482</v>
      </c>
    </row>
    <row r="7065" spans="1:40" x14ac:dyDescent="0.25">
      <c r="A7065" t="str">
        <f>"20190303154947677"</f>
        <v>20190303154947677</v>
      </c>
      <c r="B7065" t="str">
        <f>"1551599387668046"</f>
        <v>1551599387668046</v>
      </c>
      <c r="C7065" t="s">
        <v>40</v>
      </c>
      <c r="D7065">
        <v>5.8616859999999997</v>
      </c>
      <c r="E7065">
        <v>0.59688140000000001</v>
      </c>
      <c r="F7065" t="s">
        <v>41</v>
      </c>
      <c r="G7065">
        <v>-303.6798</v>
      </c>
      <c r="H7065" s="1">
        <v>-4.2065439999999998E-6</v>
      </c>
      <c r="I7065">
        <v>-2.295477</v>
      </c>
      <c r="J7065">
        <v>-303.29640000000001</v>
      </c>
      <c r="K7065">
        <v>1.056808</v>
      </c>
      <c r="L7065">
        <v>11.746460000000001</v>
      </c>
      <c r="M7065">
        <v>0.72969869999999903</v>
      </c>
      <c r="N7065">
        <v>-1.068532E-2</v>
      </c>
      <c r="O7065">
        <v>-0.6836856</v>
      </c>
      <c r="P7065">
        <v>0.2241523</v>
      </c>
      <c r="Q7065">
        <v>-9.8894380000000004E-2</v>
      </c>
      <c r="R7065">
        <v>-0.96952340000000004</v>
      </c>
      <c r="S7065">
        <v>-4.6386719999999999E-2</v>
      </c>
      <c r="T7065">
        <v>-0.22974040000000001</v>
      </c>
      <c r="U7065">
        <v>-3.0913089999999999</v>
      </c>
      <c r="V7065">
        <v>0.55107379999999995</v>
      </c>
      <c r="W7065">
        <v>-0.10775949999999999</v>
      </c>
      <c r="X7065">
        <v>0.82746939999999902</v>
      </c>
      <c r="Y7065">
        <v>0.73913809999999902</v>
      </c>
      <c r="Z7065">
        <v>1.6071160000000001E-2</v>
      </c>
      <c r="AA7065">
        <v>0.67336219999999902</v>
      </c>
      <c r="AB7065">
        <v>25</v>
      </c>
      <c r="AC7065">
        <v>-0.38339999999999402</v>
      </c>
      <c r="AD7065">
        <v>-1.056812206544</v>
      </c>
      <c r="AE7065">
        <v>-14.0419369999999</v>
      </c>
      <c r="AF7065">
        <v>10.449959281501</v>
      </c>
      <c r="AG7065">
        <v>-1.056812206544</v>
      </c>
      <c r="AH7065">
        <v>9.2685737473396106</v>
      </c>
      <c r="AI7065">
        <v>94.326693878976002</v>
      </c>
      <c r="AJ7065">
        <v>41.571368176071203</v>
      </c>
      <c r="AK7065">
        <v>14.0080319936386</v>
      </c>
      <c r="AL7065">
        <v>96.186176448973995</v>
      </c>
      <c r="AM7065">
        <v>56.337383508317501</v>
      </c>
      <c r="AN7065">
        <v>1.00000002541152</v>
      </c>
    </row>
    <row r="7066" spans="1:40" x14ac:dyDescent="0.25">
      <c r="A7066" t="str">
        <f>"20190303154947700"</f>
        <v>20190303154947700</v>
      </c>
      <c r="B7066" t="str">
        <f>"1551599387687566"</f>
        <v>1551599387687566</v>
      </c>
      <c r="C7066" t="s">
        <v>40</v>
      </c>
      <c r="D7066">
        <v>5.881456</v>
      </c>
      <c r="E7066">
        <v>0.59627569999999996</v>
      </c>
      <c r="F7066" t="s">
        <v>41</v>
      </c>
      <c r="G7066">
        <v>-303.64260000000002</v>
      </c>
      <c r="H7066" s="1">
        <v>-4.2547409999999998E-6</v>
      </c>
      <c r="I7066">
        <v>-2.152755</v>
      </c>
      <c r="J7066">
        <v>-303.12189999999998</v>
      </c>
      <c r="K7066">
        <v>1.0566230000000001</v>
      </c>
      <c r="L7066">
        <v>11.55316</v>
      </c>
      <c r="M7066">
        <v>0.71556549999999997</v>
      </c>
      <c r="N7066">
        <v>-1.0988700000000001E-2</v>
      </c>
      <c r="O7066">
        <v>-0.69845930000000001</v>
      </c>
      <c r="P7066">
        <v>0.2118266</v>
      </c>
      <c r="Q7066">
        <v>-9.8489030000000005E-2</v>
      </c>
      <c r="R7066">
        <v>-0.97233210000000003</v>
      </c>
      <c r="S7066">
        <v>-7.6904299999999995E-2</v>
      </c>
      <c r="T7066">
        <v>-0.23480300000000001</v>
      </c>
      <c r="U7066">
        <v>-3.0881349999999999</v>
      </c>
      <c r="V7066">
        <v>0.54465030000000003</v>
      </c>
      <c r="W7066">
        <v>-0.107134199999999</v>
      </c>
      <c r="X7066">
        <v>0.83179219999999898</v>
      </c>
      <c r="Y7066">
        <v>0.73198719999999995</v>
      </c>
      <c r="Z7066">
        <v>1.8269190000000001E-2</v>
      </c>
      <c r="AA7066">
        <v>0.68107329999999999</v>
      </c>
      <c r="AB7066">
        <v>25</v>
      </c>
      <c r="AC7066">
        <v>-0.52070000000003303</v>
      </c>
      <c r="AD7066">
        <v>-1.0566272547409901</v>
      </c>
      <c r="AE7066">
        <v>-13.705914999999999</v>
      </c>
      <c r="AF7066">
        <v>10.111770506004399</v>
      </c>
      <c r="AG7066">
        <v>-1.0566272547409901</v>
      </c>
      <c r="AH7066">
        <v>9.1467005506583003</v>
      </c>
      <c r="AI7066">
        <v>94.431246525597601</v>
      </c>
      <c r="AJ7066">
        <v>42.131224982664399</v>
      </c>
      <c r="AK7066">
        <v>13.675763045803899</v>
      </c>
      <c r="AL7066">
        <v>96.150141092735097</v>
      </c>
      <c r="AM7066">
        <v>56.783569488539598</v>
      </c>
      <c r="AN7066">
        <v>0.99999997504028404</v>
      </c>
    </row>
    <row r="7067" spans="1:40" x14ac:dyDescent="0.25">
      <c r="A7067" t="str">
        <f>"20190303154947722"</f>
        <v>20190303154947722</v>
      </c>
      <c r="B7067" t="str">
        <f>"1551599387717823"</f>
        <v>1551599387717823</v>
      </c>
      <c r="C7067" t="s">
        <v>40</v>
      </c>
      <c r="D7067">
        <v>5.8813199999999997</v>
      </c>
      <c r="E7067">
        <v>0.58783890000000005</v>
      </c>
      <c r="F7067" t="s">
        <v>41</v>
      </c>
      <c r="G7067">
        <v>-303.61919999999998</v>
      </c>
      <c r="H7067" s="1">
        <v>-4.2316509999999998E-6</v>
      </c>
      <c r="I7067">
        <v>-2.2020930000000001</v>
      </c>
      <c r="J7067">
        <v>-302.95400000000001</v>
      </c>
      <c r="K7067">
        <v>1.056449</v>
      </c>
      <c r="L7067">
        <v>11.358829999999999</v>
      </c>
      <c r="M7067">
        <v>0.70112319999999995</v>
      </c>
      <c r="N7067">
        <v>-1.130861E-2</v>
      </c>
      <c r="O7067">
        <v>-0.71295050000000004</v>
      </c>
      <c r="P7067">
        <v>0.2000131</v>
      </c>
      <c r="Q7067">
        <v>-9.7280110000000003E-2</v>
      </c>
      <c r="R7067">
        <v>-0.97495229999999999</v>
      </c>
      <c r="S7067">
        <v>-0.1115723</v>
      </c>
      <c r="T7067">
        <v>-0.23702899999999999</v>
      </c>
      <c r="U7067">
        <v>-3.0856629999999998</v>
      </c>
      <c r="V7067">
        <v>0.53779889999999997</v>
      </c>
      <c r="W7067">
        <v>-0.105657</v>
      </c>
      <c r="X7067">
        <v>0.83642629999999996</v>
      </c>
      <c r="Y7067">
        <v>0.72568540000000004</v>
      </c>
      <c r="Z7067">
        <v>2.0072710000000001E-2</v>
      </c>
      <c r="AA7067">
        <v>0.68773390000000001</v>
      </c>
      <c r="AB7067">
        <v>25</v>
      </c>
      <c r="AC7067">
        <v>-0.66519999999997004</v>
      </c>
      <c r="AD7067">
        <v>-1.056453231651</v>
      </c>
      <c r="AE7067">
        <v>-13.560923000000001</v>
      </c>
      <c r="AF7067">
        <v>9.9226935816946096</v>
      </c>
      <c r="AG7067">
        <v>-1.056453231651</v>
      </c>
      <c r="AH7067">
        <v>9.1470868924669801</v>
      </c>
      <c r="AI7067">
        <v>94.476087051358107</v>
      </c>
      <c r="AJ7067">
        <v>42.670948003831803</v>
      </c>
      <c r="AK7067">
        <v>13.536806860009801</v>
      </c>
      <c r="AL7067">
        <v>96.065020408827095</v>
      </c>
      <c r="AM7067">
        <v>57.260107368838</v>
      </c>
      <c r="AN7067">
        <v>1.00000000691095</v>
      </c>
    </row>
    <row r="7068" spans="1:40" x14ac:dyDescent="0.25">
      <c r="A7068" t="str">
        <f>"20190303154947745"</f>
        <v>20190303154947745</v>
      </c>
      <c r="B7068" t="str">
        <f>"1551599387737343"</f>
        <v>1551599387737343</v>
      </c>
      <c r="C7068" t="s">
        <v>40</v>
      </c>
      <c r="D7068">
        <v>5.8821389999999996</v>
      </c>
      <c r="E7068">
        <v>0.58753659999999996</v>
      </c>
      <c r="F7068" t="s">
        <v>43</v>
      </c>
      <c r="G7068">
        <v>-303.29860000000002</v>
      </c>
      <c r="H7068">
        <v>-0.05</v>
      </c>
      <c r="I7068">
        <v>-0.92208860000000004</v>
      </c>
      <c r="J7068">
        <v>-302.78840000000002</v>
      </c>
      <c r="K7068">
        <v>1.0562720000000001</v>
      </c>
      <c r="L7068">
        <v>11.15814</v>
      </c>
      <c r="M7068">
        <v>0.68597519999999901</v>
      </c>
      <c r="N7068">
        <v>-1.1645890000000001E-2</v>
      </c>
      <c r="O7068">
        <v>-0.72753179999999995</v>
      </c>
      <c r="P7068">
        <v>0.18817020000000001</v>
      </c>
      <c r="Q7068">
        <v>-9.6859580000000001E-2</v>
      </c>
      <c r="R7068">
        <v>-0.97734889999999996</v>
      </c>
      <c r="S7068">
        <v>-8.6059570000000002E-2</v>
      </c>
      <c r="T7068">
        <v>-0.2763369</v>
      </c>
      <c r="U7068">
        <v>-3.0671689999999998</v>
      </c>
      <c r="V7068">
        <v>0.53035120000000002</v>
      </c>
      <c r="W7068">
        <v>-0.1049233</v>
      </c>
      <c r="X7068">
        <v>0.84126019999999901</v>
      </c>
      <c r="Y7068">
        <v>0.70520989999999995</v>
      </c>
      <c r="Z7068">
        <v>2.816722E-2</v>
      </c>
      <c r="AA7068">
        <v>0.70843889999999998</v>
      </c>
      <c r="AB7068">
        <v>25</v>
      </c>
      <c r="AC7068">
        <v>-0.51019999999999699</v>
      </c>
      <c r="AD7068">
        <v>-1.1062719999999999</v>
      </c>
      <c r="AE7068">
        <v>-12.0802286</v>
      </c>
      <c r="AF7068">
        <v>8.5866282674366001</v>
      </c>
      <c r="AG7068">
        <v>-1.1062719999999999</v>
      </c>
      <c r="AH7068">
        <v>8.3692749317161592</v>
      </c>
      <c r="AI7068">
        <v>95.271269267084506</v>
      </c>
      <c r="AJ7068">
        <v>44.2655804527474</v>
      </c>
      <c r="AK7068">
        <v>12.041544154458601</v>
      </c>
      <c r="AL7068">
        <v>96.022747509105798</v>
      </c>
      <c r="AM7068">
        <v>57.7716564054233</v>
      </c>
      <c r="AN7068">
        <v>1.0000000091641801</v>
      </c>
    </row>
    <row r="7069" spans="1:40" x14ac:dyDescent="0.25">
      <c r="A7069" t="str">
        <f>"20190303154947766"</f>
        <v>20190303154947766</v>
      </c>
      <c r="B7069" t="str">
        <f>"1551599387757838"</f>
        <v>1551599387757838</v>
      </c>
      <c r="C7069" t="s">
        <v>40</v>
      </c>
      <c r="D7069">
        <v>5.8988180000000003</v>
      </c>
      <c r="E7069">
        <v>0.587202</v>
      </c>
      <c r="F7069" t="s">
        <v>41</v>
      </c>
      <c r="G7069">
        <v>-303.25740000000002</v>
      </c>
      <c r="H7069" s="1">
        <v>-4.7132010000000003E-6</v>
      </c>
      <c r="I7069">
        <v>-0.78095049999999999</v>
      </c>
      <c r="J7069">
        <v>-302.63159999999999</v>
      </c>
      <c r="K7069">
        <v>1.0561</v>
      </c>
      <c r="L7069">
        <v>10.95959</v>
      </c>
      <c r="M7069">
        <v>0.67076729999999996</v>
      </c>
      <c r="N7069">
        <v>-1.197397E-2</v>
      </c>
      <c r="O7069">
        <v>-0.74157119999999999</v>
      </c>
      <c r="P7069">
        <v>0.17711550000000001</v>
      </c>
      <c r="Q7069">
        <v>-9.7753229999999997E-2</v>
      </c>
      <c r="R7069">
        <v>-0.97932370000000002</v>
      </c>
      <c r="S7069">
        <v>-0.1204224</v>
      </c>
      <c r="T7069">
        <v>-0.27123999999999998</v>
      </c>
      <c r="U7069">
        <v>-3.0658259999999999</v>
      </c>
      <c r="V7069">
        <v>0.5223063</v>
      </c>
      <c r="W7069">
        <v>-0.10545930000000001</v>
      </c>
      <c r="X7069">
        <v>0.84621179999999996</v>
      </c>
      <c r="Y7069">
        <v>0.69849469999999902</v>
      </c>
      <c r="Z7069">
        <v>2.9172090000000001E-2</v>
      </c>
      <c r="AA7069">
        <v>0.7150204</v>
      </c>
      <c r="AB7069">
        <v>25</v>
      </c>
      <c r="AC7069">
        <v>-0.625800000000026</v>
      </c>
      <c r="AD7069">
        <v>-1.056104713201</v>
      </c>
      <c r="AE7069">
        <v>-11.7405404999999</v>
      </c>
      <c r="AF7069">
        <v>8.2730904308118394</v>
      </c>
      <c r="AG7069">
        <v>-1.056104713201</v>
      </c>
      <c r="AH7069">
        <v>8.2209420556750903</v>
      </c>
      <c r="AI7069">
        <v>95.174075909633501</v>
      </c>
      <c r="AJ7069">
        <v>44.818851342105098</v>
      </c>
      <c r="AK7069">
        <v>11.710818533493001</v>
      </c>
      <c r="AL7069">
        <v>96.0536296009426</v>
      </c>
      <c r="AM7069">
        <v>58.315920124907301</v>
      </c>
      <c r="AN7069">
        <v>0.99999997271770902</v>
      </c>
    </row>
    <row r="7070" spans="1:40" x14ac:dyDescent="0.25">
      <c r="A7070" t="str">
        <f>"20190303154947789"</f>
        <v>20190303154947789</v>
      </c>
      <c r="B7070" t="str">
        <f>"1551599387777358"</f>
        <v>1551599387777358</v>
      </c>
      <c r="C7070" t="s">
        <v>40</v>
      </c>
      <c r="D7070">
        <v>5.0660920000000003</v>
      </c>
      <c r="E7070">
        <v>0.58691099999999996</v>
      </c>
      <c r="F7070" t="s">
        <v>41</v>
      </c>
      <c r="G7070">
        <v>-303.21170000000001</v>
      </c>
      <c r="H7070" s="1">
        <v>-4.7480829999999996E-6</v>
      </c>
      <c r="I7070">
        <v>-0.66902830000000002</v>
      </c>
      <c r="J7070">
        <v>-302.48230000000001</v>
      </c>
      <c r="K7070">
        <v>1.055936</v>
      </c>
      <c r="L7070">
        <v>10.76215</v>
      </c>
      <c r="M7070">
        <v>0.65542880000000003</v>
      </c>
      <c r="N7070">
        <v>-1.2292600000000001E-2</v>
      </c>
      <c r="O7070">
        <v>-0.75515719999999997</v>
      </c>
      <c r="P7070">
        <v>0.17537420000000001</v>
      </c>
      <c r="Q7070">
        <v>-0.1001034</v>
      </c>
      <c r="R7070">
        <v>-0.97940000000000005</v>
      </c>
      <c r="S7070">
        <v>-0.15280150000000001</v>
      </c>
      <c r="T7070">
        <v>-0.27819820000000001</v>
      </c>
      <c r="U7070">
        <v>-3.063202</v>
      </c>
      <c r="V7070">
        <v>0.50613999999999904</v>
      </c>
      <c r="W7070">
        <v>-0.10709589999999899</v>
      </c>
      <c r="X7070">
        <v>0.85577610000000004</v>
      </c>
      <c r="Y7070">
        <v>0.69135480000000005</v>
      </c>
      <c r="Z7070">
        <v>3.201035E-2</v>
      </c>
      <c r="AA7070">
        <v>0.72180599999999995</v>
      </c>
      <c r="AB7070">
        <v>25</v>
      </c>
      <c r="AC7070">
        <v>-0.72939999999999805</v>
      </c>
      <c r="AD7070">
        <v>-1.0559407480830001</v>
      </c>
      <c r="AE7070">
        <v>-11.431178299999999</v>
      </c>
      <c r="AF7070">
        <v>7.9759590627541801</v>
      </c>
      <c r="AG7070">
        <v>-1.0559407480830001</v>
      </c>
      <c r="AH7070">
        <v>8.0861625870482197</v>
      </c>
      <c r="AI7070">
        <v>95.311503275314394</v>
      </c>
      <c r="AJ7070">
        <v>45.393104839503003</v>
      </c>
      <c r="AK7070">
        <v>11.4068820989072</v>
      </c>
      <c r="AL7070">
        <v>96.147933920712902</v>
      </c>
      <c r="AM7070">
        <v>59.398242828830199</v>
      </c>
      <c r="AN7070">
        <v>0.999999982364009</v>
      </c>
    </row>
    <row r="7071" spans="1:40" x14ac:dyDescent="0.25">
      <c r="A7071" t="str">
        <f>"20190303154947811"</f>
        <v>20190303154947811</v>
      </c>
      <c r="B7071" t="str">
        <f>"1551599387807615"</f>
        <v>1551599387807615</v>
      </c>
      <c r="C7071" t="s">
        <v>40</v>
      </c>
      <c r="D7071">
        <v>5.9218769999999896</v>
      </c>
      <c r="E7071">
        <v>0.58547289999999996</v>
      </c>
      <c r="F7071" t="s">
        <v>41</v>
      </c>
      <c r="G7071">
        <v>-303.05720000000002</v>
      </c>
      <c r="H7071" s="1">
        <v>-4.7828290000000003E-6</v>
      </c>
      <c r="I7071">
        <v>-0.50716019999999995</v>
      </c>
      <c r="J7071">
        <v>-302.32940000000002</v>
      </c>
      <c r="K7071">
        <v>1.0557829999999999</v>
      </c>
      <c r="L7071">
        <v>10.55048</v>
      </c>
      <c r="M7071">
        <v>0.63875999999999999</v>
      </c>
      <c r="N7071">
        <v>-1.2628520000000001E-2</v>
      </c>
      <c r="O7071">
        <v>-0.7693025</v>
      </c>
      <c r="P7071">
        <v>0.16581570000000001</v>
      </c>
      <c r="Q7071">
        <v>-0.1001816</v>
      </c>
      <c r="R7071">
        <v>-0.98105500000000001</v>
      </c>
      <c r="S7071">
        <v>-0.15618899999999999</v>
      </c>
      <c r="T7071">
        <v>-0.28688669999999999</v>
      </c>
      <c r="U7071">
        <v>-3.0617369999999999</v>
      </c>
      <c r="V7071">
        <v>0.49571559999999998</v>
      </c>
      <c r="W7071">
        <v>-0.1066671</v>
      </c>
      <c r="X7071">
        <v>0.86190959999999905</v>
      </c>
      <c r="Y7071">
        <v>0.67622990000000005</v>
      </c>
      <c r="Z7071">
        <v>3.5728309999999999E-2</v>
      </c>
      <c r="AA7071">
        <v>0.73582380000000003</v>
      </c>
      <c r="AB7071">
        <v>25</v>
      </c>
      <c r="AC7071">
        <v>-0.727800000000002</v>
      </c>
      <c r="AD7071">
        <v>-1.0557877828290001</v>
      </c>
      <c r="AE7071">
        <v>-11.0576401999999</v>
      </c>
      <c r="AF7071">
        <v>7.5551049061755897</v>
      </c>
      <c r="AG7071">
        <v>-1.0557877828290001</v>
      </c>
      <c r="AH7071">
        <v>7.9700756093759599</v>
      </c>
      <c r="AI7071">
        <v>95.491485361631007</v>
      </c>
      <c r="AJ7071">
        <v>46.5310875245586</v>
      </c>
      <c r="AK7071">
        <v>11.032515724206201</v>
      </c>
      <c r="AL7071">
        <v>96.123223883377605</v>
      </c>
      <c r="AM7071">
        <v>60.095224443424499</v>
      </c>
      <c r="AN7071">
        <v>0.99999999243896498</v>
      </c>
    </row>
    <row r="7072" spans="1:40" x14ac:dyDescent="0.25">
      <c r="A7072" t="str">
        <f>"20190303154947835"</f>
        <v>20190303154947835</v>
      </c>
      <c r="B7072" t="str">
        <f>"1551599387828111"</f>
        <v>1551599387828111</v>
      </c>
      <c r="C7072" t="s">
        <v>40</v>
      </c>
      <c r="D7072">
        <v>5.9150749999999999</v>
      </c>
      <c r="E7072">
        <v>0.58482060000000002</v>
      </c>
      <c r="F7072" t="s">
        <v>41</v>
      </c>
      <c r="G7072">
        <v>-302.96179999999998</v>
      </c>
      <c r="H7072" s="1">
        <v>-4.7674289999999996E-6</v>
      </c>
      <c r="I7072">
        <v>-0.50320909999999996</v>
      </c>
      <c r="J7072">
        <v>-302.1696</v>
      </c>
      <c r="K7072">
        <v>1.0556270000000001</v>
      </c>
      <c r="L7072">
        <v>10.318020000000001</v>
      </c>
      <c r="M7072">
        <v>0.62018549999999995</v>
      </c>
      <c r="N7072">
        <v>-1.2996550000000001E-2</v>
      </c>
      <c r="O7072">
        <v>-0.78434749999999998</v>
      </c>
      <c r="P7072">
        <v>0.15658459999999999</v>
      </c>
      <c r="Q7072">
        <v>-9.8239999999999994E-2</v>
      </c>
      <c r="R7072">
        <v>-0.98276669999999999</v>
      </c>
      <c r="S7072">
        <v>-0.17492679999999999</v>
      </c>
      <c r="T7072">
        <v>-0.2920527</v>
      </c>
      <c r="U7072">
        <v>-3.0576780000000001</v>
      </c>
      <c r="V7072">
        <v>0.48334539999999998</v>
      </c>
      <c r="W7072">
        <v>-0.1040953</v>
      </c>
      <c r="X7072">
        <v>0.86921879999999996</v>
      </c>
      <c r="Y7072">
        <v>0.66307490000000002</v>
      </c>
      <c r="Z7072">
        <v>3.8966420000000002E-2</v>
      </c>
      <c r="AA7072">
        <v>0.74753819999999904</v>
      </c>
      <c r="AB7072">
        <v>25</v>
      </c>
      <c r="AC7072">
        <v>-0.79219999999997903</v>
      </c>
      <c r="AD7072">
        <v>-1.0556317674289999</v>
      </c>
      <c r="AE7072">
        <v>-10.821229099999901</v>
      </c>
      <c r="AF7072">
        <v>7.2643868122021802</v>
      </c>
      <c r="AG7072">
        <v>-1.0556317674289999</v>
      </c>
      <c r="AH7072">
        <v>7.9219818940220001</v>
      </c>
      <c r="AI7072">
        <v>95.609172669479506</v>
      </c>
      <c r="AJ7072">
        <v>47.479453856401001</v>
      </c>
      <c r="AK7072">
        <v>10.8001607078281</v>
      </c>
      <c r="AL7072">
        <v>95.975045647989603</v>
      </c>
      <c r="AM7072">
        <v>60.922932380506303</v>
      </c>
      <c r="AN7072">
        <v>0.99999996472834396</v>
      </c>
    </row>
    <row r="7073" spans="1:40" x14ac:dyDescent="0.25">
      <c r="A7073" t="str">
        <f>"20190303154947858"</f>
        <v>20190303154947858</v>
      </c>
      <c r="B7073" t="str">
        <f>"1551599387847630"</f>
        <v>1551599387847630</v>
      </c>
      <c r="C7073" t="s">
        <v>40</v>
      </c>
      <c r="D7073">
        <v>5.8837380000000001</v>
      </c>
      <c r="E7073">
        <v>0.584045699999999</v>
      </c>
      <c r="F7073" t="s">
        <v>41</v>
      </c>
      <c r="G7073">
        <v>-302.89859999999999</v>
      </c>
      <c r="H7073" s="1">
        <v>-4.6075130000000001E-6</v>
      </c>
      <c r="I7073">
        <v>-0.89046190000000003</v>
      </c>
      <c r="J7073">
        <v>-302.02789999999999</v>
      </c>
      <c r="K7073">
        <v>1.0555099999999999</v>
      </c>
      <c r="L7073">
        <v>10.100949999999999</v>
      </c>
      <c r="M7073">
        <v>0.6025819</v>
      </c>
      <c r="N7073">
        <v>-1.3342100000000001E-2</v>
      </c>
      <c r="O7073">
        <v>-0.79794569999999998</v>
      </c>
      <c r="P7073">
        <v>0.1478005</v>
      </c>
      <c r="Q7073">
        <v>-9.5055790000000001E-2</v>
      </c>
      <c r="R7073">
        <v>-0.98443910000000001</v>
      </c>
      <c r="S7073">
        <v>-0.1987305</v>
      </c>
      <c r="T7073">
        <v>-0.28777239999999998</v>
      </c>
      <c r="U7073">
        <v>-3.0555110000000001</v>
      </c>
      <c r="V7073">
        <v>0.47202880000000003</v>
      </c>
      <c r="W7073">
        <v>-0.1003019</v>
      </c>
      <c r="X7073">
        <v>0.87585859999999904</v>
      </c>
      <c r="Y7073">
        <v>0.65223799999999998</v>
      </c>
      <c r="Z7073">
        <v>4.019971E-2</v>
      </c>
      <c r="AA7073">
        <v>0.75694759999999905</v>
      </c>
      <c r="AB7073">
        <v>25</v>
      </c>
      <c r="AC7073">
        <v>-0.87069999999999903</v>
      </c>
      <c r="AD7073">
        <v>-1.055514607513</v>
      </c>
      <c r="AE7073">
        <v>-10.991411899999999</v>
      </c>
      <c r="AF7073">
        <v>7.2521854910482597</v>
      </c>
      <c r="AG7073">
        <v>-1.055514607513</v>
      </c>
      <c r="AH7073">
        <v>8.1717255193829192</v>
      </c>
      <c r="AI7073">
        <v>95.518121426563297</v>
      </c>
      <c r="AJ7073">
        <v>48.411811400258102</v>
      </c>
      <c r="AK7073">
        <v>10.9765843251613</v>
      </c>
      <c r="AL7073">
        <v>95.756555635434395</v>
      </c>
      <c r="AM7073">
        <v>61.678322627193602</v>
      </c>
      <c r="AN7073">
        <v>0.99999997318350398</v>
      </c>
    </row>
    <row r="7074" spans="1:40" x14ac:dyDescent="0.25">
      <c r="A7074" t="str">
        <f>"20190303154947882"</f>
        <v>20190303154947882</v>
      </c>
      <c r="B7074" t="str">
        <f>"1551599387877887"</f>
        <v>1551599387877887</v>
      </c>
      <c r="C7074" t="s">
        <v>40</v>
      </c>
      <c r="D7074">
        <v>5.9489700000000001</v>
      </c>
      <c r="E7074">
        <v>0.58339200000000002</v>
      </c>
      <c r="F7074" t="s">
        <v>41</v>
      </c>
      <c r="G7074">
        <v>-302.86610000000002</v>
      </c>
      <c r="H7074" s="1">
        <v>-4.3557109999999997E-6</v>
      </c>
      <c r="I7074">
        <v>-1.531177</v>
      </c>
      <c r="J7074">
        <v>-301.8854</v>
      </c>
      <c r="K7074">
        <v>1.055382</v>
      </c>
      <c r="L7074">
        <v>9.8709720000000001</v>
      </c>
      <c r="M7074">
        <v>0.58366499999999999</v>
      </c>
      <c r="N7074">
        <v>-1.371027E-2</v>
      </c>
      <c r="O7074">
        <v>-0.81187900000000002</v>
      </c>
      <c r="P7074">
        <v>0.13523250000000001</v>
      </c>
      <c r="Q7074">
        <v>-9.5733940000000003E-2</v>
      </c>
      <c r="R7074">
        <v>-0.98617880000000002</v>
      </c>
      <c r="S7074">
        <v>-0.22006229999999999</v>
      </c>
      <c r="T7074">
        <v>-0.2770977</v>
      </c>
      <c r="U7074">
        <v>-3.0537109999999998</v>
      </c>
      <c r="V7074">
        <v>0.46252520000000003</v>
      </c>
      <c r="W7074">
        <v>-0.1004263</v>
      </c>
      <c r="X7074">
        <v>0.88090009999999996</v>
      </c>
      <c r="Y7074">
        <v>0.63971140000000004</v>
      </c>
      <c r="Z7074">
        <v>4.0203299999999997E-2</v>
      </c>
      <c r="AA7074">
        <v>0.76756309999999905</v>
      </c>
      <c r="AB7074">
        <v>25</v>
      </c>
      <c r="AC7074">
        <v>-0.98070000000001301</v>
      </c>
      <c r="AD7074">
        <v>-1.0553863557109999</v>
      </c>
      <c r="AE7074">
        <v>-11.402149</v>
      </c>
      <c r="AF7074">
        <v>7.3891036705790896</v>
      </c>
      <c r="AG7074">
        <v>-1.0553863557109999</v>
      </c>
      <c r="AH7074">
        <v>8.6123364794639308</v>
      </c>
      <c r="AI7074">
        <v>95.313457800325907</v>
      </c>
      <c r="AJ7074">
        <v>49.371483370460098</v>
      </c>
      <c r="AK7074">
        <v>11.3967115015644</v>
      </c>
      <c r="AL7074">
        <v>95.763719280095501</v>
      </c>
      <c r="AM7074">
        <v>62.2978428365006</v>
      </c>
      <c r="AN7074">
        <v>0.99999999427337005</v>
      </c>
    </row>
    <row r="7075" spans="1:40" x14ac:dyDescent="0.25">
      <c r="A7075" t="str">
        <f>"20190303154947909"</f>
        <v>20190303154947909</v>
      </c>
      <c r="B7075" t="str">
        <f>"1551599387897407"</f>
        <v>1551599387897407</v>
      </c>
      <c r="C7075" t="s">
        <v>40</v>
      </c>
      <c r="D7075">
        <v>5.9556009999999997</v>
      </c>
      <c r="E7075">
        <v>0.58299860000000003</v>
      </c>
      <c r="F7075" t="s">
        <v>41</v>
      </c>
      <c r="G7075">
        <v>-302.84300000000002</v>
      </c>
      <c r="H7075" s="1">
        <v>-4.3144520000000003E-6</v>
      </c>
      <c r="I7075">
        <v>-1.627902</v>
      </c>
      <c r="J7075">
        <v>-301.7303</v>
      </c>
      <c r="K7075">
        <v>1.0552189999999999</v>
      </c>
      <c r="L7075">
        <v>9.6040650000000003</v>
      </c>
      <c r="M7075">
        <v>0.56137809999999999</v>
      </c>
      <c r="N7075">
        <v>-1.414605E-2</v>
      </c>
      <c r="O7075">
        <v>-0.82743860000000002</v>
      </c>
      <c r="P7075">
        <v>0.11702650000000001</v>
      </c>
      <c r="Q7075">
        <v>-0.10150339999999999</v>
      </c>
      <c r="R7075">
        <v>-0.98792809999999998</v>
      </c>
      <c r="S7075">
        <v>-0.25396729999999901</v>
      </c>
      <c r="T7075">
        <v>-0.27990779999999998</v>
      </c>
      <c r="U7075">
        <v>-3.0497130000000001</v>
      </c>
      <c r="V7075">
        <v>0.45426050000000001</v>
      </c>
      <c r="W7075">
        <v>-0.1056532</v>
      </c>
      <c r="X7075">
        <v>0.88458169999999903</v>
      </c>
      <c r="Y7075">
        <v>0.62730450000000004</v>
      </c>
      <c r="Z7075">
        <v>4.2908469999999997E-2</v>
      </c>
      <c r="AA7075">
        <v>0.77759100000000003</v>
      </c>
      <c r="AB7075">
        <v>25</v>
      </c>
      <c r="AC7075">
        <v>-1.11270000000001</v>
      </c>
      <c r="AD7075">
        <v>-1.055223314452</v>
      </c>
      <c r="AE7075">
        <v>-11.231966999999999</v>
      </c>
      <c r="AF7075">
        <v>7.1641755113635597</v>
      </c>
      <c r="AG7075">
        <v>-1.055223314452</v>
      </c>
      <c r="AH7075">
        <v>8.5948613515564301</v>
      </c>
      <c r="AI7075">
        <v>95.387500986699607</v>
      </c>
      <c r="AJ7075">
        <v>50.187383274294298</v>
      </c>
      <c r="AK7075">
        <v>11.2387965838635</v>
      </c>
      <c r="AL7075">
        <v>96.064801548603299</v>
      </c>
      <c r="AM7075">
        <v>62.818076864176099</v>
      </c>
      <c r="AN7075">
        <v>0.99999999225268998</v>
      </c>
    </row>
    <row r="7076" spans="1:40" x14ac:dyDescent="0.25">
      <c r="A7076" t="str">
        <f>"20190303154947926"</f>
        <v>20190303154947926</v>
      </c>
      <c r="B7076" t="str">
        <f>"1551599387917903"</f>
        <v>1551599387917903</v>
      </c>
      <c r="C7076" t="s">
        <v>40</v>
      </c>
      <c r="D7076">
        <v>5.9609249999999996</v>
      </c>
      <c r="E7076">
        <v>0.58261130000000005</v>
      </c>
      <c r="F7076" t="s">
        <v>41</v>
      </c>
      <c r="G7076">
        <v>-302.82080000000002</v>
      </c>
      <c r="H7076" s="1">
        <v>-4.4721620000000004E-6</v>
      </c>
      <c r="I7076">
        <v>-1.206963</v>
      </c>
      <c r="J7076">
        <v>-301.62759999999997</v>
      </c>
      <c r="K7076">
        <v>1.055105</v>
      </c>
      <c r="L7076">
        <v>9.4179689999999994</v>
      </c>
      <c r="M7076">
        <v>0.54563649999999997</v>
      </c>
      <c r="N7076">
        <v>-1.445069E-2</v>
      </c>
      <c r="O7076">
        <v>-0.83789740000000001</v>
      </c>
      <c r="P7076">
        <v>0.10778500000000001</v>
      </c>
      <c r="Q7076">
        <v>-0.109413</v>
      </c>
      <c r="R7076">
        <v>-0.98813519999999999</v>
      </c>
      <c r="S7076">
        <v>-0.30688480000000001</v>
      </c>
      <c r="T7076">
        <v>-0.29696499999999998</v>
      </c>
      <c r="U7076">
        <v>-3.0424799999999999</v>
      </c>
      <c r="V7076">
        <v>0.4450423</v>
      </c>
      <c r="W7076">
        <v>-0.1130245</v>
      </c>
      <c r="X7076">
        <v>0.88834829999999998</v>
      </c>
      <c r="Y7076">
        <v>0.62606890000000004</v>
      </c>
      <c r="Z7076">
        <v>4.7648040000000003E-2</v>
      </c>
      <c r="AA7076">
        <v>0.77831059999999996</v>
      </c>
      <c r="AB7076">
        <v>25</v>
      </c>
      <c r="AC7076">
        <v>-1.19320000000004</v>
      </c>
      <c r="AD7076">
        <v>-1.055109472162</v>
      </c>
      <c r="AE7076">
        <v>-10.624931999999999</v>
      </c>
      <c r="AF7076">
        <v>6.7322760380432101</v>
      </c>
      <c r="AG7076">
        <v>-1.055109472162</v>
      </c>
      <c r="AH7076">
        <v>8.1728184399799506</v>
      </c>
      <c r="AI7076">
        <v>95.690497646343005</v>
      </c>
      <c r="AJ7076">
        <v>50.520357106465603</v>
      </c>
      <c r="AK7076">
        <v>10.6410412039204</v>
      </c>
      <c r="AL7076">
        <v>96.489694677132604</v>
      </c>
      <c r="AM7076">
        <v>63.390171895392101</v>
      </c>
      <c r="AN7076">
        <v>0.99999994425121297</v>
      </c>
    </row>
    <row r="7077" spans="1:40" x14ac:dyDescent="0.25">
      <c r="A7077" t="str">
        <f>"20190303154947945"</f>
        <v>20190303154947945</v>
      </c>
      <c r="B7077" t="str">
        <f>"1551599387937423"</f>
        <v>1551599387937423</v>
      </c>
      <c r="C7077" t="s">
        <v>40</v>
      </c>
      <c r="D7077">
        <v>5.9288689999999997</v>
      </c>
      <c r="E7077">
        <v>0.58221919999999905</v>
      </c>
      <c r="F7077" t="s">
        <v>41</v>
      </c>
      <c r="G7077">
        <v>-302.70890000000003</v>
      </c>
      <c r="H7077" s="1">
        <v>-4.7390870000000004E-6</v>
      </c>
      <c r="I7077">
        <v>-0.46019460000000001</v>
      </c>
      <c r="J7077">
        <v>-301.52890000000002</v>
      </c>
      <c r="K7077">
        <v>1.055024</v>
      </c>
      <c r="L7077">
        <v>9.2304689999999994</v>
      </c>
      <c r="M7077">
        <v>0.52961749999999996</v>
      </c>
      <c r="N7077">
        <v>-1.4762900000000001E-2</v>
      </c>
      <c r="O7077">
        <v>-0.84810810000000003</v>
      </c>
      <c r="P7077">
        <v>0.10028330000000001</v>
      </c>
      <c r="Q7077">
        <v>-0.1117368</v>
      </c>
      <c r="R7077">
        <v>-0.98866500000000002</v>
      </c>
      <c r="S7077">
        <v>-0.33236690000000002</v>
      </c>
      <c r="T7077">
        <v>-0.32432250000000001</v>
      </c>
      <c r="U7077">
        <v>-3.0363769999999999</v>
      </c>
      <c r="V7077">
        <v>0.43466359999999898</v>
      </c>
      <c r="W7077">
        <v>-0.11472250000000001</v>
      </c>
      <c r="X7077">
        <v>0.89325599999999905</v>
      </c>
      <c r="Y7077">
        <v>0.61771669999999901</v>
      </c>
      <c r="Z7077">
        <v>5.5101039999999997E-2</v>
      </c>
      <c r="AA7077">
        <v>0.7844679</v>
      </c>
      <c r="AB7077">
        <v>25</v>
      </c>
      <c r="AC7077">
        <v>-1.18</v>
      </c>
      <c r="AD7077">
        <v>-1.0550287390869999</v>
      </c>
      <c r="AE7077">
        <v>-9.6906636000000006</v>
      </c>
      <c r="AF7077">
        <v>6.0629677815684202</v>
      </c>
      <c r="AG7077">
        <v>-1.0550287390869999</v>
      </c>
      <c r="AH7077">
        <v>7.5069310713960702</v>
      </c>
      <c r="AI7077">
        <v>96.239628780696904</v>
      </c>
      <c r="AJ7077">
        <v>51.073947005801102</v>
      </c>
      <c r="AK7077">
        <v>9.7070427047236194</v>
      </c>
      <c r="AL7077">
        <v>96.587619608552799</v>
      </c>
      <c r="AM7077">
        <v>64.052174319697997</v>
      </c>
      <c r="AN7077">
        <v>0.99999998935360401</v>
      </c>
    </row>
    <row r="7078" spans="1:40" x14ac:dyDescent="0.25">
      <c r="A7078" t="str">
        <f>"20190303154948012"</f>
        <v>20190303154948012</v>
      </c>
      <c r="B7078" t="str">
        <f>"1551599388007695"</f>
        <v>1551599388007695</v>
      </c>
      <c r="C7078" t="s">
        <v>40</v>
      </c>
      <c r="D7078">
        <v>5.9869909999999997</v>
      </c>
      <c r="E7078">
        <v>0.58157179999999997</v>
      </c>
      <c r="F7078" t="s">
        <v>43</v>
      </c>
      <c r="G7078">
        <v>-302.6995</v>
      </c>
      <c r="H7078">
        <v>-0.05</v>
      </c>
      <c r="I7078">
        <v>-0.83905030000000003</v>
      </c>
      <c r="J7078">
        <v>-301.2047</v>
      </c>
      <c r="K7078">
        <v>1.054913</v>
      </c>
      <c r="L7078">
        <v>8.5389710000000001</v>
      </c>
      <c r="M7078">
        <v>0.4691572</v>
      </c>
      <c r="N7078">
        <v>-1.603214E-2</v>
      </c>
      <c r="O7078">
        <v>-0.88296909999999895</v>
      </c>
      <c r="P7078">
        <v>5.4368350000000003E-2</v>
      </c>
      <c r="Q7078">
        <v>-0.1064556</v>
      </c>
      <c r="R7078">
        <v>-0.99282990000000004</v>
      </c>
      <c r="S7078">
        <v>-0.35253909999999899</v>
      </c>
      <c r="T7078">
        <v>-0.33279180000000003</v>
      </c>
      <c r="U7078">
        <v>-3.032562</v>
      </c>
      <c r="V7078">
        <v>0.41408440000000002</v>
      </c>
      <c r="W7078">
        <v>-0.10763499999999999</v>
      </c>
      <c r="X7078">
        <v>0.90385219999999999</v>
      </c>
      <c r="Y7078">
        <v>0.56694529999999999</v>
      </c>
      <c r="Z7078">
        <v>6.3505199999999998E-2</v>
      </c>
      <c r="AA7078">
        <v>0.82130389999999998</v>
      </c>
      <c r="AB7078">
        <v>24</v>
      </c>
      <c r="AC7078">
        <v>-1.4947999999999899</v>
      </c>
      <c r="AD7078">
        <v>-1.10491299999999</v>
      </c>
      <c r="AE7078">
        <v>-9.3780213000000003</v>
      </c>
      <c r="AF7078">
        <v>5.6439588400833998</v>
      </c>
      <c r="AG7078">
        <v>-1.10491299999999</v>
      </c>
      <c r="AH7078">
        <v>7.4789353940029999</v>
      </c>
      <c r="AI7078">
        <v>96.725586343513001</v>
      </c>
      <c r="AJ7078">
        <v>52.9600667774152</v>
      </c>
      <c r="AK7078">
        <v>9.4344887913333899</v>
      </c>
      <c r="AL7078">
        <v>96.1790016029627</v>
      </c>
      <c r="AM7078">
        <v>65.385927834171</v>
      </c>
      <c r="AN7078">
        <v>0.99999999149660002</v>
      </c>
    </row>
    <row r="7079" spans="1:40" x14ac:dyDescent="0.25">
      <c r="A7079" t="str">
        <f>"20190303154948079"</f>
        <v>20190303154948079</v>
      </c>
      <c r="B7079" t="str">
        <f>"1551599388067230"</f>
        <v>1551599388067230</v>
      </c>
      <c r="C7079" t="s">
        <v>40</v>
      </c>
      <c r="D7079">
        <v>5.99444</v>
      </c>
      <c r="E7079">
        <v>0.57118679999999999</v>
      </c>
      <c r="F7079" t="s">
        <v>41</v>
      </c>
      <c r="G7079">
        <v>-302.82170000000002</v>
      </c>
      <c r="H7079" s="1">
        <v>-4.3739270000000003E-6</v>
      </c>
      <c r="I7079">
        <v>-1.4632080000000001</v>
      </c>
      <c r="J7079">
        <v>-300.93290000000002</v>
      </c>
      <c r="K7079">
        <v>1.0548070000000001</v>
      </c>
      <c r="L7079">
        <v>7.8299560000000001</v>
      </c>
      <c r="M7079">
        <v>0.40484399999999998</v>
      </c>
      <c r="N7079">
        <v>-1.733065E-2</v>
      </c>
      <c r="O7079">
        <v>-0.91422170000000003</v>
      </c>
      <c r="P7079">
        <v>4.3641269999999998E-3</v>
      </c>
      <c r="Q7079">
        <v>-0.1159704</v>
      </c>
      <c r="R7079">
        <v>-0.9932434</v>
      </c>
      <c r="S7079">
        <v>-0.48730469999999998</v>
      </c>
      <c r="T7079">
        <v>-0.31790940000000001</v>
      </c>
      <c r="U7079">
        <v>-3.0142519999999999</v>
      </c>
      <c r="V7079">
        <v>0.39406819999999998</v>
      </c>
      <c r="W7079">
        <v>-0.1152958</v>
      </c>
      <c r="X7079">
        <v>0.91182079999999999</v>
      </c>
      <c r="Y7079">
        <v>0.54451719999999904</v>
      </c>
      <c r="Z7079">
        <v>6.4447980000000002E-2</v>
      </c>
      <c r="AA7079">
        <v>0.83626999999999996</v>
      </c>
      <c r="AB7079">
        <v>24</v>
      </c>
      <c r="AC7079">
        <v>-1.8888</v>
      </c>
      <c r="AD7079">
        <v>-1.054811373927</v>
      </c>
      <c r="AE7079">
        <v>-9.2931639999999902</v>
      </c>
      <c r="AF7079">
        <v>5.4227959552924299</v>
      </c>
      <c r="AG7079">
        <v>-1.054811373927</v>
      </c>
      <c r="AH7079">
        <v>7.6380048583290003</v>
      </c>
      <c r="AI7079">
        <v>96.424784383481096</v>
      </c>
      <c r="AJ7079">
        <v>54.626183257461598</v>
      </c>
      <c r="AK7079">
        <v>9.4264766070446093</v>
      </c>
      <c r="AL7079">
        <v>96.620686498003096</v>
      </c>
      <c r="AM7079">
        <v>66.627097922855995</v>
      </c>
      <c r="AN7079">
        <v>1.0000000195307599</v>
      </c>
    </row>
    <row r="7080" spans="1:40" x14ac:dyDescent="0.25">
      <c r="A7080" t="str">
        <f>"20190303154948102"</f>
        <v>20190303154948102</v>
      </c>
      <c r="B7080" t="str">
        <f>"1551599388097487"</f>
        <v>1551599388097487</v>
      </c>
      <c r="C7080" t="s">
        <v>40</v>
      </c>
      <c r="D7080">
        <v>6.0007590000000004</v>
      </c>
      <c r="E7080">
        <v>0.56952619999999998</v>
      </c>
      <c r="F7080" t="s">
        <v>41</v>
      </c>
      <c r="G7080">
        <v>-302.48759999999999</v>
      </c>
      <c r="H7080" s="1">
        <v>-4.6916330000000004E-6</v>
      </c>
      <c r="I7080">
        <v>-0.48154639999999999</v>
      </c>
      <c r="J7080">
        <v>-300.85610000000003</v>
      </c>
      <c r="K7080">
        <v>1.0547679999999999</v>
      </c>
      <c r="L7080">
        <v>7.5953979999999897</v>
      </c>
      <c r="M7080">
        <v>0.38308009999999998</v>
      </c>
      <c r="N7080">
        <v>-1.770675E-2</v>
      </c>
      <c r="O7080">
        <v>-0.92354570000000002</v>
      </c>
      <c r="P7080">
        <v>-1.0808379999999999E-2</v>
      </c>
      <c r="Q7080">
        <v>-0.1174818</v>
      </c>
      <c r="R7080">
        <v>-0.99301629999999996</v>
      </c>
      <c r="S7080">
        <v>-0.55718990000000002</v>
      </c>
      <c r="T7080">
        <v>-0.37803029999999999</v>
      </c>
      <c r="U7080">
        <v>-2.978729</v>
      </c>
      <c r="V7080">
        <v>0.38628129999999999</v>
      </c>
      <c r="W7080">
        <v>-0.1161773</v>
      </c>
      <c r="X7080">
        <v>0.9150353</v>
      </c>
      <c r="Y7080">
        <v>0.54483800000000004</v>
      </c>
      <c r="Z7080">
        <v>8.2071389999999994E-2</v>
      </c>
      <c r="AA7080">
        <v>0.83451529999999996</v>
      </c>
      <c r="AB7080">
        <v>24</v>
      </c>
      <c r="AC7080">
        <v>-1.63149999999996</v>
      </c>
      <c r="AD7080">
        <v>-1.054772691633</v>
      </c>
      <c r="AE7080">
        <v>-8.0769443999999897</v>
      </c>
      <c r="AF7080">
        <v>4.52741833473205</v>
      </c>
      <c r="AG7080">
        <v>-1.054772691633</v>
      </c>
      <c r="AH7080">
        <v>6.7253054190541404</v>
      </c>
      <c r="AI7080">
        <v>97.412695796062707</v>
      </c>
      <c r="AJ7080">
        <v>56.051895873352798</v>
      </c>
      <c r="AK7080">
        <v>8.1755608485437694</v>
      </c>
      <c r="AL7080">
        <v>96.671534533263596</v>
      </c>
      <c r="AM7080">
        <v>67.113005656482599</v>
      </c>
      <c r="AN7080">
        <v>1.0000000040055299</v>
      </c>
    </row>
    <row r="7081" spans="1:40" x14ac:dyDescent="0.25">
      <c r="A7081" t="str">
        <f>"20190303154948146"</f>
        <v>20190303154948146</v>
      </c>
      <c r="B7081" t="str">
        <f>"1551599388137503"</f>
        <v>1551599388137503</v>
      </c>
      <c r="C7081" t="s">
        <v>40</v>
      </c>
      <c r="D7081">
        <v>6.0309210000000002</v>
      </c>
      <c r="E7081">
        <v>0.56753949999999997</v>
      </c>
      <c r="F7081" t="s">
        <v>41</v>
      </c>
      <c r="G7081">
        <v>-302.47770000000003</v>
      </c>
      <c r="H7081" s="1">
        <v>-4.6545070000000001E-6</v>
      </c>
      <c r="I7081">
        <v>-0.5736504</v>
      </c>
      <c r="J7081">
        <v>-300.721</v>
      </c>
      <c r="K7081">
        <v>1.054675</v>
      </c>
      <c r="L7081">
        <v>7.1221920000000001</v>
      </c>
      <c r="M7081">
        <v>0.33849109999999899</v>
      </c>
      <c r="N7081">
        <v>-1.835987E-2</v>
      </c>
      <c r="O7081">
        <v>-0.94079049999999997</v>
      </c>
      <c r="P7081">
        <v>-3.9785290000000001E-2</v>
      </c>
      <c r="Q7081">
        <v>-0.12340420000000001</v>
      </c>
      <c r="R7081">
        <v>-0.99155890000000002</v>
      </c>
      <c r="S7081">
        <v>-0.58941650000000001</v>
      </c>
      <c r="T7081">
        <v>-0.38339450000000003</v>
      </c>
      <c r="U7081">
        <v>-2.9693299999999998</v>
      </c>
      <c r="V7081">
        <v>0.36873739999999999</v>
      </c>
      <c r="W7081">
        <v>-0.120824</v>
      </c>
      <c r="X7081">
        <v>0.92164760000000001</v>
      </c>
      <c r="Y7081">
        <v>0.51360079999999997</v>
      </c>
      <c r="Z7081">
        <v>8.762549E-2</v>
      </c>
      <c r="AA7081">
        <v>0.85354319999999895</v>
      </c>
      <c r="AB7081">
        <v>24</v>
      </c>
      <c r="AC7081">
        <v>-1.7567000000000199</v>
      </c>
      <c r="AD7081">
        <v>-1.0546796545070001</v>
      </c>
      <c r="AE7081">
        <v>-7.6958424000000001</v>
      </c>
      <c r="AF7081">
        <v>4.1836941225651296</v>
      </c>
      <c r="AG7081">
        <v>-1.0546796545070001</v>
      </c>
      <c r="AH7081">
        <v>6.5300975463588298</v>
      </c>
      <c r="AI7081">
        <v>97.744361690186295</v>
      </c>
      <c r="AJ7081">
        <v>57.353180190506301</v>
      </c>
      <c r="AK7081">
        <v>7.8267374844042603</v>
      </c>
      <c r="AL7081">
        <v>96.939660306134101</v>
      </c>
      <c r="AM7081">
        <v>68.194391169760294</v>
      </c>
      <c r="AN7081">
        <v>1.0000000038602599</v>
      </c>
    </row>
    <row r="7082" spans="1:40" x14ac:dyDescent="0.25">
      <c r="A7082" t="str">
        <f>"20190303154948175"</f>
        <v>20190303154948175</v>
      </c>
      <c r="B7082" t="str">
        <f>"1551599388167759"</f>
        <v>1551599388167759</v>
      </c>
      <c r="C7082" t="s">
        <v>40</v>
      </c>
      <c r="D7082">
        <v>6.0278679999999998</v>
      </c>
      <c r="E7082">
        <v>0.56661280000000003</v>
      </c>
      <c r="F7082" t="s">
        <v>41</v>
      </c>
      <c r="G7082">
        <v>-302.47039999999998</v>
      </c>
      <c r="H7082" s="1">
        <v>-4.6071649999999998E-6</v>
      </c>
      <c r="I7082">
        <v>-0.69358439999999999</v>
      </c>
      <c r="J7082">
        <v>-300.64350000000002</v>
      </c>
      <c r="K7082">
        <v>1.05462099999999</v>
      </c>
      <c r="L7082">
        <v>6.8011169999999996</v>
      </c>
      <c r="M7082">
        <v>0.3077531</v>
      </c>
      <c r="N7082">
        <v>-1.872739E-2</v>
      </c>
      <c r="O7082">
        <v>-0.95128219999999997</v>
      </c>
      <c r="P7082">
        <v>-6.2180310000000003E-2</v>
      </c>
      <c r="Q7082">
        <v>-0.12645049999999999</v>
      </c>
      <c r="R7082">
        <v>-0.99002250000000003</v>
      </c>
      <c r="S7082">
        <v>-0.66018679999999996</v>
      </c>
      <c r="T7082">
        <v>-0.39801569999999997</v>
      </c>
      <c r="U7082">
        <v>-2.9495239999999998</v>
      </c>
      <c r="V7082">
        <v>0.35939559999999998</v>
      </c>
      <c r="W7082">
        <v>-0.1231622</v>
      </c>
      <c r="X7082">
        <v>0.92502209999999996</v>
      </c>
      <c r="Y7082">
        <v>0.5062835</v>
      </c>
      <c r="Z7082">
        <v>9.407256E-2</v>
      </c>
      <c r="AA7082">
        <v>0.85722069999999995</v>
      </c>
      <c r="AB7082">
        <v>24</v>
      </c>
      <c r="AC7082">
        <v>-1.82689999999996</v>
      </c>
      <c r="AD7082">
        <v>-1.05462560716499</v>
      </c>
      <c r="AE7082">
        <v>-7.4947013999999896</v>
      </c>
      <c r="AF7082">
        <v>3.9709052900102</v>
      </c>
      <c r="AG7082">
        <v>-1.05462560716499</v>
      </c>
      <c r="AH7082">
        <v>6.4479763874988096</v>
      </c>
      <c r="AI7082">
        <v>97.928492397654594</v>
      </c>
      <c r="AJ7082">
        <v>58.373683006604999</v>
      </c>
      <c r="AK7082">
        <v>7.6456996728397204</v>
      </c>
      <c r="AL7082">
        <v>97.074637471974199</v>
      </c>
      <c r="AM7082">
        <v>68.767532371415001</v>
      </c>
      <c r="AN7082">
        <v>1.0000000051483</v>
      </c>
    </row>
    <row r="7083" spans="1:40" x14ac:dyDescent="0.25">
      <c r="A7083" t="str">
        <f>"20190303154948198"</f>
        <v>20190303154948198</v>
      </c>
      <c r="B7083" t="str">
        <f>"1551599388187279"</f>
        <v>1551599388187279</v>
      </c>
      <c r="C7083" t="s">
        <v>40</v>
      </c>
      <c r="D7083">
        <v>6.1108599999999997</v>
      </c>
      <c r="E7083">
        <v>0.56632139999999997</v>
      </c>
      <c r="F7083" t="s">
        <v>41</v>
      </c>
      <c r="G7083">
        <v>-302.49959999999999</v>
      </c>
      <c r="H7083" s="1">
        <v>-4.583669E-6</v>
      </c>
      <c r="I7083">
        <v>-0.76823430000000004</v>
      </c>
      <c r="J7083">
        <v>-300.59289999999999</v>
      </c>
      <c r="K7083">
        <v>1.0546279999999999</v>
      </c>
      <c r="L7083">
        <v>6.5616759999999896</v>
      </c>
      <c r="M7083">
        <v>0.28458870000000003</v>
      </c>
      <c r="N7083">
        <v>-1.896575E-2</v>
      </c>
      <c r="O7083">
        <v>-0.95846220000000004</v>
      </c>
      <c r="P7083">
        <v>-7.5076450000000003E-2</v>
      </c>
      <c r="Q7083">
        <v>-0.12578879999999901</v>
      </c>
      <c r="R7083">
        <v>-0.98921239999999999</v>
      </c>
      <c r="S7083">
        <v>-0.71917719999999996</v>
      </c>
      <c r="T7083">
        <v>-0.40863509999999997</v>
      </c>
      <c r="U7083">
        <v>-2.9328919999999998</v>
      </c>
      <c r="V7083">
        <v>0.34907539999999998</v>
      </c>
      <c r="W7083">
        <v>-0.121825</v>
      </c>
      <c r="X7083">
        <v>0.92914209999999997</v>
      </c>
      <c r="Y7083">
        <v>0.50263599999999997</v>
      </c>
      <c r="Z7083">
        <v>9.8795910000000001E-2</v>
      </c>
      <c r="AA7083">
        <v>0.85883430000000005</v>
      </c>
      <c r="AB7083">
        <v>24</v>
      </c>
      <c r="AC7083">
        <v>-1.9067000000000001</v>
      </c>
      <c r="AD7083">
        <v>-1.054632583669</v>
      </c>
      <c r="AE7083">
        <v>-7.3299102999999999</v>
      </c>
      <c r="AF7083">
        <v>3.8397615213298</v>
      </c>
      <c r="AG7083">
        <v>-1.054632583669</v>
      </c>
      <c r="AH7083">
        <v>6.3606514563501602</v>
      </c>
      <c r="AI7083">
        <v>98.078971551005395</v>
      </c>
      <c r="AJ7083">
        <v>58.881700802260198</v>
      </c>
      <c r="AK7083">
        <v>7.5042591490693296</v>
      </c>
      <c r="AL7083">
        <v>96.997440210536894</v>
      </c>
      <c r="AM7083">
        <v>69.408978154520199</v>
      </c>
      <c r="AN7083">
        <v>1.00000000375128</v>
      </c>
    </row>
    <row r="7084" spans="1:40" x14ac:dyDescent="0.25">
      <c r="A7084" t="str">
        <f>"20190303154948220"</f>
        <v>20190303154948220</v>
      </c>
      <c r="B7084" t="str">
        <f>"1551599388207775"</f>
        <v>1551599388207775</v>
      </c>
      <c r="C7084" t="s">
        <v>40</v>
      </c>
      <c r="D7084">
        <v>6.0151770000000004</v>
      </c>
      <c r="E7084">
        <v>0.53600389999999998</v>
      </c>
      <c r="F7084" t="s">
        <v>41</v>
      </c>
      <c r="G7084">
        <v>-302.54360000000003</v>
      </c>
      <c r="H7084" s="1">
        <v>-4.5057729999999996E-6</v>
      </c>
      <c r="I7084">
        <v>-0.99142839999999999</v>
      </c>
      <c r="J7084">
        <v>-300.5478</v>
      </c>
      <c r="K7084">
        <v>1.054656</v>
      </c>
      <c r="L7084">
        <v>6.3175350000000003</v>
      </c>
      <c r="M7084">
        <v>0.26077309999999998</v>
      </c>
      <c r="N7084">
        <v>-1.9179939999999999E-2</v>
      </c>
      <c r="O7084">
        <v>-0.96520980000000001</v>
      </c>
      <c r="P7084">
        <v>-8.7467569999999994E-2</v>
      </c>
      <c r="Q7084">
        <v>-0.1231869</v>
      </c>
      <c r="R7084">
        <v>-0.98852180000000001</v>
      </c>
      <c r="S7084">
        <v>-0.75503540000000002</v>
      </c>
      <c r="T7084">
        <v>-0.40820459999999997</v>
      </c>
      <c r="U7084">
        <v>-2.923492</v>
      </c>
      <c r="V7084">
        <v>0.33791880000000002</v>
      </c>
      <c r="W7084">
        <v>-0.1185133</v>
      </c>
      <c r="X7084">
        <v>0.93368379999999995</v>
      </c>
      <c r="Y7084">
        <v>0.49175799999999997</v>
      </c>
      <c r="Z7084">
        <v>0.10048989999999999</v>
      </c>
      <c r="AA7084">
        <v>0.86491379999999995</v>
      </c>
      <c r="AB7084">
        <v>24</v>
      </c>
      <c r="AC7084">
        <v>-1.99580000000003</v>
      </c>
      <c r="AD7084">
        <v>-1.0546605057730001</v>
      </c>
      <c r="AE7084">
        <v>-7.3089633999999997</v>
      </c>
      <c r="AF7084">
        <v>3.7601905739060402</v>
      </c>
      <c r="AG7084">
        <v>-1.0546605057730001</v>
      </c>
      <c r="AH7084">
        <v>6.4112043235321003</v>
      </c>
      <c r="AI7084">
        <v>98.076229407812605</v>
      </c>
      <c r="AJ7084">
        <v>59.608249070200898</v>
      </c>
      <c r="AK7084">
        <v>7.5069889311631401</v>
      </c>
      <c r="AL7084">
        <v>96.806308814252901</v>
      </c>
      <c r="AM7084">
        <v>70.103798918181099</v>
      </c>
      <c r="AN7084">
        <v>0.99999997802638396</v>
      </c>
    </row>
    <row r="7085" spans="1:40" x14ac:dyDescent="0.25">
      <c r="A7085" t="str">
        <f>"20190303154948245"</f>
        <v>20190303154948245</v>
      </c>
      <c r="B7085" t="str">
        <f>"1551599388238031"</f>
        <v>1551599388238031</v>
      </c>
      <c r="C7085" t="s">
        <v>40</v>
      </c>
      <c r="D7085">
        <v>5.9861459999999997</v>
      </c>
      <c r="E7085">
        <v>0.52192870000000002</v>
      </c>
      <c r="F7085" t="s">
        <v>41</v>
      </c>
      <c r="G7085">
        <v>-302.09010000000001</v>
      </c>
      <c r="H7085" s="1">
        <v>-4.0611150000000002E-6</v>
      </c>
      <c r="I7085">
        <v>-1.9398599999999999</v>
      </c>
      <c r="J7085">
        <v>-300.50529999999998</v>
      </c>
      <c r="K7085">
        <v>1.054684</v>
      </c>
      <c r="L7085">
        <v>6.0435179999999997</v>
      </c>
      <c r="M7085">
        <v>0.23381469999999999</v>
      </c>
      <c r="N7085">
        <v>-1.938602E-2</v>
      </c>
      <c r="O7085">
        <v>-0.97208799999999995</v>
      </c>
      <c r="P7085">
        <v>-0.10169309999999999</v>
      </c>
      <c r="Q7085">
        <v>-0.123567899999999</v>
      </c>
      <c r="R7085">
        <v>-0.98711199999999999</v>
      </c>
      <c r="S7085">
        <v>-0.54904169999999997</v>
      </c>
      <c r="T7085">
        <v>-0.37543989999999999</v>
      </c>
      <c r="U7085">
        <v>-2.9394840000000002</v>
      </c>
      <c r="V7085">
        <v>0.32537579999999999</v>
      </c>
      <c r="W7085">
        <v>-0.1181253</v>
      </c>
      <c r="X7085">
        <v>0.9381775</v>
      </c>
      <c r="Y7085">
        <v>0.40688990000000003</v>
      </c>
      <c r="Z7085">
        <v>9.5253699999999997E-2</v>
      </c>
      <c r="AA7085">
        <v>0.90849729999999995</v>
      </c>
      <c r="AB7085">
        <v>24</v>
      </c>
      <c r="AC7085">
        <v>-1.58480000000002</v>
      </c>
      <c r="AD7085">
        <v>-1.054688061115</v>
      </c>
      <c r="AE7085">
        <v>-7.9833780000000001</v>
      </c>
      <c r="AF7085">
        <v>3.3515586301147602</v>
      </c>
      <c r="AG7085">
        <v>-1.054688061115</v>
      </c>
      <c r="AH7085">
        <v>7.2693220035928601</v>
      </c>
      <c r="AI7085">
        <v>97.505931207875705</v>
      </c>
      <c r="AJ7085">
        <v>65.247690563670602</v>
      </c>
      <c r="AK7085">
        <v>8.0739305514275106</v>
      </c>
      <c r="AL7085">
        <v>96.783920573415799</v>
      </c>
      <c r="AM7085">
        <v>70.872590433630094</v>
      </c>
      <c r="AN7085">
        <v>1.00000000961599</v>
      </c>
    </row>
    <row r="7086" spans="1:40" x14ac:dyDescent="0.25">
      <c r="A7086" t="str">
        <f>"20190303154948281"</f>
        <v>20190303154948281</v>
      </c>
      <c r="B7086" t="str">
        <f>"1551599388278048"</f>
        <v>1551599388278048</v>
      </c>
      <c r="C7086" t="s">
        <v>40</v>
      </c>
      <c r="D7086">
        <v>5.8737599999999999</v>
      </c>
      <c r="E7086">
        <v>0.51547509999999996</v>
      </c>
      <c r="F7086" t="s">
        <v>41</v>
      </c>
      <c r="G7086">
        <v>-301.92110000000002</v>
      </c>
      <c r="H7086" s="1">
        <v>-3.7222889999999998E-6</v>
      </c>
      <c r="I7086">
        <v>-2.6696119999999999</v>
      </c>
      <c r="J7086">
        <v>-300.45760000000001</v>
      </c>
      <c r="K7086">
        <v>1.0547310000000001</v>
      </c>
      <c r="L7086">
        <v>5.6505429999999999</v>
      </c>
      <c r="M7086">
        <v>0.194795</v>
      </c>
      <c r="N7086">
        <v>-1.963111E-2</v>
      </c>
      <c r="O7086">
        <v>-0.98064770000000001</v>
      </c>
      <c r="P7086">
        <v>-0.1192227</v>
      </c>
      <c r="Q7086">
        <v>-0.1239981</v>
      </c>
      <c r="R7086">
        <v>-0.98509440000000004</v>
      </c>
      <c r="S7086">
        <v>-0.47857670000000002</v>
      </c>
      <c r="T7086">
        <v>-0.3565103</v>
      </c>
      <c r="U7086">
        <v>-2.9452509999999998</v>
      </c>
      <c r="V7086">
        <v>0.30454799999999999</v>
      </c>
      <c r="W7086">
        <v>-0.117351</v>
      </c>
      <c r="X7086">
        <v>0.94524030000000003</v>
      </c>
      <c r="Y7086">
        <v>0.3484063</v>
      </c>
      <c r="Z7086">
        <v>9.2386709999999997E-2</v>
      </c>
      <c r="AA7086">
        <v>0.93277960000000004</v>
      </c>
      <c r="AB7086">
        <v>23</v>
      </c>
      <c r="AC7086">
        <v>-1.46350000000001</v>
      </c>
      <c r="AD7086">
        <v>-1.05473472228899</v>
      </c>
      <c r="AE7086">
        <v>-8.3201549999999997</v>
      </c>
      <c r="AF7086">
        <v>3.0095776534955001</v>
      </c>
      <c r="AG7086">
        <v>-1.05473472228899</v>
      </c>
      <c r="AH7086">
        <v>7.7546944418544497</v>
      </c>
      <c r="AI7086">
        <v>97.226430850174793</v>
      </c>
      <c r="AJ7086">
        <v>68.788890825246099</v>
      </c>
      <c r="AK7086">
        <v>8.3848261087126801</v>
      </c>
      <c r="AL7086">
        <v>96.739245901886704</v>
      </c>
      <c r="AM7086">
        <v>72.1415220490656</v>
      </c>
      <c r="AN7086">
        <v>0.99999998312454497</v>
      </c>
    </row>
    <row r="7087" spans="1:40" x14ac:dyDescent="0.25">
      <c r="A7087" t="str">
        <f>"20190303154948313"</f>
        <v>20190303154948313</v>
      </c>
      <c r="B7087" t="str">
        <f>"1551599388308303"</f>
        <v>1551599388308303</v>
      </c>
      <c r="C7087" t="s">
        <v>40</v>
      </c>
      <c r="D7087">
        <v>5.8558159999999999</v>
      </c>
      <c r="E7087">
        <v>0.5138971</v>
      </c>
      <c r="F7087" t="s">
        <v>41</v>
      </c>
      <c r="G7087">
        <v>-301.92570000000001</v>
      </c>
      <c r="H7087" s="1">
        <v>-3.3965349999999999E-6</v>
      </c>
      <c r="I7087">
        <v>-3.361313</v>
      </c>
      <c r="J7087">
        <v>-300.4298</v>
      </c>
      <c r="K7087">
        <v>1.0548070000000001</v>
      </c>
      <c r="L7087">
        <v>5.3011470000000003</v>
      </c>
      <c r="M7087">
        <v>0.1597961</v>
      </c>
      <c r="N7087">
        <v>-1.9794920000000001E-2</v>
      </c>
      <c r="O7087">
        <v>-0.98695160000000004</v>
      </c>
      <c r="P7087">
        <v>-0.14442269999999999</v>
      </c>
      <c r="Q7087">
        <v>-0.1237106</v>
      </c>
      <c r="R7087">
        <v>-0.98175259999999998</v>
      </c>
      <c r="S7087">
        <v>-0.4795837</v>
      </c>
      <c r="T7087">
        <v>-0.34456160000000002</v>
      </c>
      <c r="U7087">
        <v>-2.944</v>
      </c>
      <c r="V7087">
        <v>0.29520429999999998</v>
      </c>
      <c r="W7087">
        <v>-0.11643630000000001</v>
      </c>
      <c r="X7087">
        <v>0.94831270000000001</v>
      </c>
      <c r="Y7087">
        <v>0.3153494</v>
      </c>
      <c r="Z7087">
        <v>9.037191E-2</v>
      </c>
      <c r="AA7087">
        <v>0.94466269999999997</v>
      </c>
      <c r="AB7087">
        <v>23</v>
      </c>
      <c r="AC7087">
        <v>-1.4959</v>
      </c>
      <c r="AD7087">
        <v>-1.054810396535</v>
      </c>
      <c r="AE7087">
        <v>-8.6624599999999994</v>
      </c>
      <c r="AF7087">
        <v>2.8205580838909401</v>
      </c>
      <c r="AG7087">
        <v>-1.054810396535</v>
      </c>
      <c r="AH7087">
        <v>8.1940395967281603</v>
      </c>
      <c r="AI7087">
        <v>96.939883653405403</v>
      </c>
      <c r="AJ7087">
        <v>71.005476333277002</v>
      </c>
      <c r="AK7087">
        <v>8.7298601243084004</v>
      </c>
      <c r="AL7087">
        <v>96.686475675211298</v>
      </c>
      <c r="AM7087">
        <v>72.708934527680995</v>
      </c>
      <c r="AN7087">
        <v>0.99999998383873401</v>
      </c>
    </row>
    <row r="7088" spans="1:40" x14ac:dyDescent="0.25">
      <c r="A7088" t="str">
        <f>"20190303154948337"</f>
        <v>20190303154948337</v>
      </c>
      <c r="B7088" t="str">
        <f>"1551599388327823"</f>
        <v>1551599388327823</v>
      </c>
      <c r="C7088" t="s">
        <v>40</v>
      </c>
      <c r="D7088">
        <v>5.9508320000000001</v>
      </c>
      <c r="E7088">
        <v>0.51305059999999902</v>
      </c>
      <c r="F7088" t="s">
        <v>41</v>
      </c>
      <c r="G7088">
        <v>-302.101</v>
      </c>
      <c r="H7088" s="1">
        <v>-3.2644520000000002E-6</v>
      </c>
      <c r="I7088">
        <v>-3.7393809999999998</v>
      </c>
      <c r="J7088">
        <v>-300.41699999999997</v>
      </c>
      <c r="K7088">
        <v>1.054872</v>
      </c>
      <c r="L7088">
        <v>5.0441589999999996</v>
      </c>
      <c r="M7088">
        <v>0.1339207</v>
      </c>
      <c r="N7088">
        <v>-1.9888200000000002E-2</v>
      </c>
      <c r="O7088">
        <v>-0.99079249999999996</v>
      </c>
      <c r="P7088">
        <v>-0.15942129999999999</v>
      </c>
      <c r="Q7088">
        <v>-0.12497659999999999</v>
      </c>
      <c r="R7088">
        <v>-0.97926809999999997</v>
      </c>
      <c r="S7088">
        <v>-0.54214479999999998</v>
      </c>
      <c r="T7088">
        <v>-0.34219739999999998</v>
      </c>
      <c r="U7088">
        <v>-2.9328919999999998</v>
      </c>
      <c r="V7088">
        <v>0.28486679999999998</v>
      </c>
      <c r="W7088">
        <v>-0.117105</v>
      </c>
      <c r="X7088">
        <v>0.95138699999999998</v>
      </c>
      <c r="Y7088">
        <v>0.31066050000000001</v>
      </c>
      <c r="Z7088">
        <v>9.050395E-2</v>
      </c>
      <c r="AA7088">
        <v>0.94620249999999995</v>
      </c>
      <c r="AB7088">
        <v>23</v>
      </c>
      <c r="AC7088">
        <v>-1.68399999999996</v>
      </c>
      <c r="AD7088">
        <v>-1.0548752644519901</v>
      </c>
      <c r="AE7088">
        <v>-8.7835399999999897</v>
      </c>
      <c r="AF7088">
        <v>2.8063139644819102</v>
      </c>
      <c r="AG7088">
        <v>-1.0548752644519901</v>
      </c>
      <c r="AH7088">
        <v>8.3624819479018093</v>
      </c>
      <c r="AI7088">
        <v>96.819587993124202</v>
      </c>
      <c r="AJ7088">
        <v>71.449078565438796</v>
      </c>
      <c r="AK7088">
        <v>8.8836515138642405</v>
      </c>
      <c r="AL7088">
        <v>96.725053510865095</v>
      </c>
      <c r="AM7088">
        <v>73.331109875655997</v>
      </c>
      <c r="AN7088">
        <v>0.99999994926811797</v>
      </c>
    </row>
    <row r="7089" spans="1:40" x14ac:dyDescent="0.25">
      <c r="A7089" t="str">
        <f>"20190303154948361"</f>
        <v>20190303154948361</v>
      </c>
      <c r="B7089" t="str">
        <f>"1551599388348320"</f>
        <v>1551599388348320</v>
      </c>
      <c r="C7089" t="s">
        <v>40</v>
      </c>
      <c r="D7089">
        <v>5.8816889999999997</v>
      </c>
      <c r="E7089">
        <v>0.51237690000000002</v>
      </c>
      <c r="F7089" t="s">
        <v>41</v>
      </c>
      <c r="G7089">
        <v>-302.18150000000003</v>
      </c>
      <c r="H7089" s="1">
        <v>-3.2339129999999998E-6</v>
      </c>
      <c r="I7089">
        <v>-3.8493119999999998</v>
      </c>
      <c r="J7089">
        <v>-300.41090000000003</v>
      </c>
      <c r="K7089">
        <v>1.0549539999999999</v>
      </c>
      <c r="L7089">
        <v>4.789612</v>
      </c>
      <c r="M7089">
        <v>0.1082544</v>
      </c>
      <c r="N7089">
        <v>-1.9954650000000001E-2</v>
      </c>
      <c r="O7089">
        <v>-0.99392290000000005</v>
      </c>
      <c r="P7089">
        <v>-0.1738324</v>
      </c>
      <c r="Q7089">
        <v>-0.1293996</v>
      </c>
      <c r="R7089">
        <v>-0.97623660000000001</v>
      </c>
      <c r="S7089">
        <v>-0.58029169999999997</v>
      </c>
      <c r="T7089">
        <v>-0.34691440000000001</v>
      </c>
      <c r="U7089">
        <v>-2.9247740000000002</v>
      </c>
      <c r="V7089">
        <v>0.27409790000000001</v>
      </c>
      <c r="W7089">
        <v>-0.1209321</v>
      </c>
      <c r="X7089">
        <v>0.95406800000000003</v>
      </c>
      <c r="Y7089">
        <v>0.2984078</v>
      </c>
      <c r="Z7089">
        <v>9.2922420000000006E-2</v>
      </c>
      <c r="AA7089">
        <v>0.94990430000000003</v>
      </c>
      <c r="AB7089">
        <v>23</v>
      </c>
      <c r="AC7089">
        <v>-1.7706</v>
      </c>
      <c r="AD7089">
        <v>-1.054957233913</v>
      </c>
      <c r="AE7089">
        <v>-8.6389239999999994</v>
      </c>
      <c r="AF7089">
        <v>2.6575452494388201</v>
      </c>
      <c r="AG7089">
        <v>-1.054957233913</v>
      </c>
      <c r="AH7089">
        <v>8.2779528215816001</v>
      </c>
      <c r="AI7089">
        <v>96.918560895598404</v>
      </c>
      <c r="AJ7089">
        <v>72.201346825274598</v>
      </c>
      <c r="AK7089">
        <v>8.7578527296667303</v>
      </c>
      <c r="AL7089">
        <v>96.945899827290106</v>
      </c>
      <c r="AM7089">
        <v>73.9709653295008</v>
      </c>
      <c r="AN7089">
        <v>0.99999999010940999</v>
      </c>
    </row>
    <row r="7090" spans="1:40" x14ac:dyDescent="0.25">
      <c r="A7090" t="str">
        <f>"20190303154948386"</f>
        <v>20190303154948386</v>
      </c>
      <c r="B7090" t="str">
        <f>"1551599388377599"</f>
        <v>1551599388377599</v>
      </c>
      <c r="C7090" t="s">
        <v>40</v>
      </c>
      <c r="D7090">
        <v>5.9619809999999998</v>
      </c>
      <c r="E7090">
        <v>0.51163519999999996</v>
      </c>
      <c r="F7090" t="s">
        <v>41</v>
      </c>
      <c r="G7090">
        <v>-302.21969999999999</v>
      </c>
      <c r="H7090" s="1">
        <v>-3.2954939999999999E-6</v>
      </c>
      <c r="I7090">
        <v>-3.7405490000000001</v>
      </c>
      <c r="J7090">
        <v>-300.41239999999999</v>
      </c>
      <c r="K7090">
        <v>1.0551109999999999</v>
      </c>
      <c r="L7090">
        <v>4.5138850000000001</v>
      </c>
      <c r="M7090">
        <v>8.0536170000000004E-2</v>
      </c>
      <c r="N7090">
        <v>-1.99866E-2</v>
      </c>
      <c r="O7090">
        <v>-0.99655130000000003</v>
      </c>
      <c r="P7090">
        <v>-0.19039980000000001</v>
      </c>
      <c r="Q7090">
        <v>-0.1338491</v>
      </c>
      <c r="R7090">
        <v>-0.97253959999999995</v>
      </c>
      <c r="S7090">
        <v>-0.61816409999999999</v>
      </c>
      <c r="T7090">
        <v>-0.36052909999999999</v>
      </c>
      <c r="U7090">
        <v>-2.9151609999999999</v>
      </c>
      <c r="V7090">
        <v>0.2635982</v>
      </c>
      <c r="W7090">
        <v>-0.124794</v>
      </c>
      <c r="X7090">
        <v>0.95652619999999999</v>
      </c>
      <c r="Y7090">
        <v>0.28414879999999998</v>
      </c>
      <c r="Z7090">
        <v>9.8282720000000004E-2</v>
      </c>
      <c r="AA7090">
        <v>0.95372950000000001</v>
      </c>
      <c r="AB7090">
        <v>23</v>
      </c>
      <c r="AC7090">
        <v>-1.8072999999999899</v>
      </c>
      <c r="AD7090">
        <v>-1.055114295494</v>
      </c>
      <c r="AE7090">
        <v>-8.2544339999999998</v>
      </c>
      <c r="AF7090">
        <v>2.42847663053143</v>
      </c>
      <c r="AG7090">
        <v>-1.055114295494</v>
      </c>
      <c r="AH7090">
        <v>7.95795159503517</v>
      </c>
      <c r="AI7090">
        <v>97.227265432638006</v>
      </c>
      <c r="AJ7090">
        <v>73.029722151442897</v>
      </c>
      <c r="AK7090">
        <v>8.3868801416567305</v>
      </c>
      <c r="AL7090">
        <v>97.168859972221497</v>
      </c>
      <c r="AM7090">
        <v>74.592930053005105</v>
      </c>
      <c r="AN7090">
        <v>0.99999996238283895</v>
      </c>
    </row>
    <row r="7091" spans="1:40" x14ac:dyDescent="0.25">
      <c r="A7091" t="str">
        <f>"20190303154948415"</f>
        <v>20190303154948415</v>
      </c>
      <c r="B7091" t="str">
        <f>"1551599388407855"</f>
        <v>1551599388407855</v>
      </c>
      <c r="C7091" t="s">
        <v>40</v>
      </c>
      <c r="D7091">
        <v>5.8326250000000002</v>
      </c>
      <c r="E7091">
        <v>0.51109859999999996</v>
      </c>
      <c r="F7091" t="s">
        <v>41</v>
      </c>
      <c r="G7091">
        <v>-302.26429999999999</v>
      </c>
      <c r="H7091" s="1">
        <v>-3.3702660000000001E-6</v>
      </c>
      <c r="I7091">
        <v>-3.6074449999999998</v>
      </c>
      <c r="J7091">
        <v>-300.423</v>
      </c>
      <c r="K7091">
        <v>1.05532</v>
      </c>
      <c r="L7091">
        <v>4.2004700000000001</v>
      </c>
      <c r="M7091">
        <v>4.9226489999999998E-2</v>
      </c>
      <c r="N7091">
        <v>-1.997531E-2</v>
      </c>
      <c r="O7091">
        <v>-0.99858800000000003</v>
      </c>
      <c r="P7091">
        <v>-0.2000265</v>
      </c>
      <c r="Q7091">
        <v>-0.14373849999999999</v>
      </c>
      <c r="R7091">
        <v>-0.96918979999999999</v>
      </c>
      <c r="S7091">
        <v>-0.66198729999999995</v>
      </c>
      <c r="T7091">
        <v>-0.37718020000000002</v>
      </c>
      <c r="U7091">
        <v>-2.9031980000000002</v>
      </c>
      <c r="V7091">
        <v>0.24270920000000001</v>
      </c>
      <c r="W7091">
        <v>-0.1336706</v>
      </c>
      <c r="X7091">
        <v>0.96084559999999997</v>
      </c>
      <c r="Y7091">
        <v>0.26842870000000002</v>
      </c>
      <c r="Z7091">
        <v>0.1047158</v>
      </c>
      <c r="AA7091">
        <v>0.95759110000000003</v>
      </c>
      <c r="AB7091">
        <v>23</v>
      </c>
      <c r="AC7091">
        <v>-1.84129999999998</v>
      </c>
      <c r="AD7091">
        <v>-1.0553233702660001</v>
      </c>
      <c r="AE7091">
        <v>-7.8079149999999897</v>
      </c>
      <c r="AF7091">
        <v>2.1856744692201802</v>
      </c>
      <c r="AG7091">
        <v>-1.0553233702660001</v>
      </c>
      <c r="AH7091">
        <v>7.5766648380435404</v>
      </c>
      <c r="AI7091">
        <v>97.622534821877494</v>
      </c>
      <c r="AJ7091">
        <v>73.908498979052496</v>
      </c>
      <c r="AK7091">
        <v>7.95592423099139</v>
      </c>
      <c r="AL7091">
        <v>97.681754728748302</v>
      </c>
      <c r="AM7091">
        <v>75.823658730203306</v>
      </c>
      <c r="AN7091">
        <v>0.99999992605417698</v>
      </c>
    </row>
    <row r="7092" spans="1:40" x14ac:dyDescent="0.25">
      <c r="A7092" t="str">
        <f>"20190303154948446"</f>
        <v>20190303154948446</v>
      </c>
      <c r="B7092" t="str">
        <f>"1551599388438111"</f>
        <v>1551599388438111</v>
      </c>
      <c r="C7092" t="s">
        <v>40</v>
      </c>
      <c r="D7092">
        <v>5.8547909999999996</v>
      </c>
      <c r="E7092">
        <v>0.51071999999999995</v>
      </c>
      <c r="F7092" t="s">
        <v>41</v>
      </c>
      <c r="G7092">
        <v>-302.20679999999999</v>
      </c>
      <c r="H7092" s="1">
        <v>-3.4924959999999999E-6</v>
      </c>
      <c r="I7092">
        <v>-3.3165490000000002</v>
      </c>
      <c r="J7092">
        <v>-300.4443</v>
      </c>
      <c r="K7092">
        <v>1.055655</v>
      </c>
      <c r="L7092">
        <v>3.8735050000000002</v>
      </c>
      <c r="M7092">
        <v>1.6880860000000001E-2</v>
      </c>
      <c r="N7092">
        <v>-1.9908019999999998E-2</v>
      </c>
      <c r="O7092">
        <v>-0.99965939999999998</v>
      </c>
      <c r="P7092">
        <v>-0.2178843</v>
      </c>
      <c r="Q7092">
        <v>-0.14579810000000001</v>
      </c>
      <c r="R7092">
        <v>-0.96502299999999996</v>
      </c>
      <c r="S7092">
        <v>-0.68661499999999998</v>
      </c>
      <c r="T7092">
        <v>-0.40620800000000001</v>
      </c>
      <c r="U7092">
        <v>-2.893402</v>
      </c>
      <c r="V7092">
        <v>0.2293972</v>
      </c>
      <c r="W7092">
        <v>-0.1350471</v>
      </c>
      <c r="X7092">
        <v>0.96391870000000002</v>
      </c>
      <c r="Y7092">
        <v>0.24536749999999999</v>
      </c>
      <c r="Z7092">
        <v>0.1152493</v>
      </c>
      <c r="AA7092">
        <v>0.96255520000000006</v>
      </c>
      <c r="AB7092">
        <v>23</v>
      </c>
      <c r="AC7092">
        <v>-1.76249999999998</v>
      </c>
      <c r="AD7092">
        <v>-1.055658492496</v>
      </c>
      <c r="AE7092">
        <v>-7.1900539999999902</v>
      </c>
      <c r="AF7092">
        <v>1.8461068508501199</v>
      </c>
      <c r="AG7092">
        <v>-1.055658492496</v>
      </c>
      <c r="AH7092">
        <v>7.0165895782038401</v>
      </c>
      <c r="AI7092">
        <v>98.278440816408505</v>
      </c>
      <c r="AJ7092">
        <v>75.259217719783294</v>
      </c>
      <c r="AK7092">
        <v>7.3317838665970898</v>
      </c>
      <c r="AL7092">
        <v>97.761343247263994</v>
      </c>
      <c r="AM7092">
        <v>76.613535515791497</v>
      </c>
      <c r="AN7092">
        <v>1.0000000273979599</v>
      </c>
    </row>
    <row r="7093" spans="1:40" x14ac:dyDescent="0.25">
      <c r="A7093" t="str">
        <f>"20190303154948474"</f>
        <v>20190303154948474</v>
      </c>
      <c r="B7093" t="str">
        <f>"1551599388468367"</f>
        <v>1551599388468367</v>
      </c>
      <c r="C7093" t="s">
        <v>40</v>
      </c>
      <c r="D7093">
        <v>5.8752760000000004</v>
      </c>
      <c r="E7093">
        <v>0.51046720000000001</v>
      </c>
      <c r="F7093" t="s">
        <v>42</v>
      </c>
      <c r="G7093">
        <v>-300.66629999999998</v>
      </c>
      <c r="H7093">
        <v>0.93273499999999998</v>
      </c>
      <c r="I7093">
        <v>3.005979</v>
      </c>
      <c r="J7093">
        <v>-300.47219999999999</v>
      </c>
      <c r="K7093">
        <v>1.0560339999999999</v>
      </c>
      <c r="L7093">
        <v>3.5809630000000001</v>
      </c>
      <c r="M7093">
        <v>-1.165035E-2</v>
      </c>
      <c r="N7093">
        <v>-1.9802670000000001E-2</v>
      </c>
      <c r="O7093">
        <v>-0.99973599999999996</v>
      </c>
      <c r="P7093">
        <v>-0.2316407</v>
      </c>
      <c r="Q7093">
        <v>-0.14515029999999901</v>
      </c>
      <c r="R7093">
        <v>-0.96191159999999998</v>
      </c>
      <c r="S7093">
        <v>-0.73690800000000001</v>
      </c>
      <c r="T7093">
        <v>-0.40836630000000002</v>
      </c>
      <c r="U7093">
        <v>-2.880646</v>
      </c>
      <c r="V7093">
        <v>0.21581790000000001</v>
      </c>
      <c r="W7093">
        <v>-0.13374339999999901</v>
      </c>
      <c r="X7093">
        <v>0.96723079999999995</v>
      </c>
      <c r="Y7093">
        <v>0.2344765</v>
      </c>
      <c r="Z7093">
        <v>0.1166292</v>
      </c>
      <c r="AA7093">
        <v>0.96510019999999996</v>
      </c>
      <c r="AB7093">
        <v>23</v>
      </c>
      <c r="AC7093">
        <v>-0.194099999999991</v>
      </c>
      <c r="AD7093">
        <v>-0.12329899999999901</v>
      </c>
      <c r="AE7093">
        <v>-0.57498399999999905</v>
      </c>
      <c r="AF7093">
        <v>0.179958079790041</v>
      </c>
      <c r="AG7093">
        <v>-0.12329899999999901</v>
      </c>
      <c r="AH7093">
        <v>0.55432425312051203</v>
      </c>
      <c r="AI7093">
        <v>101.945454808641</v>
      </c>
      <c r="AJ7093">
        <v>72.014285526248301</v>
      </c>
      <c r="AK7093">
        <v>0.59570372793892501</v>
      </c>
      <c r="AL7093">
        <v>97.6859627596439</v>
      </c>
      <c r="AM7093">
        <v>77.421655012235604</v>
      </c>
      <c r="AN7093">
        <v>1.0000000417363</v>
      </c>
    </row>
    <row r="7094" spans="1:40" x14ac:dyDescent="0.25">
      <c r="A7094" t="str">
        <f>"20190303154948498"</f>
        <v>20190303154948498</v>
      </c>
      <c r="B7094" t="str">
        <f>"1551599388487887"</f>
        <v>1551599388487887</v>
      </c>
      <c r="C7094" t="s">
        <v>40</v>
      </c>
      <c r="D7094">
        <v>5.849723</v>
      </c>
      <c r="E7094">
        <v>0.51025129999999996</v>
      </c>
      <c r="F7094" t="s">
        <v>42</v>
      </c>
      <c r="G7094">
        <v>-300.68470000000002</v>
      </c>
      <c r="H7094">
        <v>0.94538730000000004</v>
      </c>
      <c r="I7094">
        <v>2.7942209999999998</v>
      </c>
      <c r="J7094">
        <v>-300.50369999999998</v>
      </c>
      <c r="K7094">
        <v>1.0564180000000001</v>
      </c>
      <c r="L7094">
        <v>3.3184200000000001</v>
      </c>
      <c r="M7094">
        <v>-3.6879019999999998E-2</v>
      </c>
      <c r="N7094">
        <v>-1.967855E-2</v>
      </c>
      <c r="O7094">
        <v>-0.99912610000000002</v>
      </c>
      <c r="P7094">
        <v>-0.2424183</v>
      </c>
      <c r="Q7094">
        <v>-0.143306399999999</v>
      </c>
      <c r="R7094">
        <v>-0.95952950000000004</v>
      </c>
      <c r="S7094">
        <v>-0.77581789999999995</v>
      </c>
      <c r="T7094">
        <v>-0.4030318</v>
      </c>
      <c r="U7094">
        <v>-2.8711549999999999</v>
      </c>
      <c r="V7094">
        <v>0.20245179999999999</v>
      </c>
      <c r="W7094">
        <v>-0.13129449999999901</v>
      </c>
      <c r="X7094">
        <v>0.97045090000000001</v>
      </c>
      <c r="Y7094">
        <v>0.22299540000000001</v>
      </c>
      <c r="Z7094">
        <v>0.1153275</v>
      </c>
      <c r="AA7094">
        <v>0.96797350000000004</v>
      </c>
      <c r="AB7094">
        <v>23</v>
      </c>
      <c r="AC7094">
        <v>-0.18100000000003999</v>
      </c>
      <c r="AD7094">
        <v>-0.1110307</v>
      </c>
      <c r="AE7094">
        <v>-0.52419899999999897</v>
      </c>
      <c r="AF7094">
        <v>0.15531539531732499</v>
      </c>
      <c r="AG7094">
        <v>-0.1110307</v>
      </c>
      <c r="AH7094">
        <v>0.51007264807896802</v>
      </c>
      <c r="AI7094">
        <v>101.76297411773</v>
      </c>
      <c r="AJ7094">
        <v>73.064684929213598</v>
      </c>
      <c r="AK7094">
        <v>0.54463271539943103</v>
      </c>
      <c r="AL7094">
        <v>97.544403195839806</v>
      </c>
      <c r="AM7094">
        <v>78.216177864619496</v>
      </c>
      <c r="AN7094">
        <v>0.99999996318214901</v>
      </c>
    </row>
    <row r="7095" spans="1:40" x14ac:dyDescent="0.25">
      <c r="A7095" t="str">
        <f>"20190303154948526"</f>
        <v>20190303154948526</v>
      </c>
      <c r="B7095" t="str">
        <f>"1551599388518143"</f>
        <v>1551599388518143</v>
      </c>
      <c r="C7095" t="s">
        <v>40</v>
      </c>
      <c r="D7095">
        <v>5.8377049999999997</v>
      </c>
      <c r="E7095">
        <v>0.50997139999999996</v>
      </c>
      <c r="F7095" t="s">
        <v>42</v>
      </c>
      <c r="G7095">
        <v>-300.7106</v>
      </c>
      <c r="H7095">
        <v>0.95480379999999998</v>
      </c>
      <c r="I7095">
        <v>2.5833210000000002</v>
      </c>
      <c r="J7095">
        <v>-300.54610000000002</v>
      </c>
      <c r="K7095">
        <v>1.056929</v>
      </c>
      <c r="L7095">
        <v>3.0278320000000001</v>
      </c>
      <c r="M7095">
        <v>-6.4141829999999997E-2</v>
      </c>
      <c r="N7095">
        <v>-1.9497830000000001E-2</v>
      </c>
      <c r="O7095">
        <v>-0.99775040000000004</v>
      </c>
      <c r="P7095">
        <v>-0.23978769999999999</v>
      </c>
      <c r="Q7095">
        <v>-0.14184140000000001</v>
      </c>
      <c r="R7095">
        <v>-0.96040769999999998</v>
      </c>
      <c r="S7095">
        <v>-0.80639649999999996</v>
      </c>
      <c r="T7095">
        <v>-0.3957176</v>
      </c>
      <c r="U7095">
        <v>-2.8637079999999999</v>
      </c>
      <c r="V7095">
        <v>0.17349049999999999</v>
      </c>
      <c r="W7095">
        <v>-0.1286765</v>
      </c>
      <c r="X7095">
        <v>0.97639299999999996</v>
      </c>
      <c r="Y7095">
        <v>0.2066935</v>
      </c>
      <c r="Z7095">
        <v>0.1132865</v>
      </c>
      <c r="AA7095">
        <v>0.9718251</v>
      </c>
      <c r="AB7095">
        <v>23</v>
      </c>
      <c r="AC7095">
        <v>-0.164499999999975</v>
      </c>
      <c r="AD7095">
        <v>-0.102125199999999</v>
      </c>
      <c r="AE7095">
        <v>-0.44451099999999999</v>
      </c>
      <c r="AF7095">
        <v>0.12962598152169499</v>
      </c>
      <c r="AG7095">
        <v>-0.102125199999999</v>
      </c>
      <c r="AH7095">
        <v>0.43399987999926298</v>
      </c>
      <c r="AI7095">
        <v>102.705986569552</v>
      </c>
      <c r="AJ7095">
        <v>73.370300309319205</v>
      </c>
      <c r="AK7095">
        <v>0.464314922654741</v>
      </c>
      <c r="AL7095">
        <v>97.393119436223401</v>
      </c>
      <c r="AM7095">
        <v>79.924548766595194</v>
      </c>
      <c r="AN7095">
        <v>0.999999942845748</v>
      </c>
    </row>
    <row r="7096" spans="1:40" x14ac:dyDescent="0.25">
      <c r="A7096" t="str">
        <f>"20190303154948571"</f>
        <v>20190303154948571</v>
      </c>
      <c r="B7096" t="str">
        <f>"1551599388567919"</f>
        <v>1551599388567919</v>
      </c>
      <c r="C7096" t="s">
        <v>40</v>
      </c>
      <c r="D7096">
        <v>5.8437809999999999</v>
      </c>
      <c r="E7096">
        <v>0.50990440000000004</v>
      </c>
      <c r="F7096" t="s">
        <v>42</v>
      </c>
      <c r="G7096">
        <v>-300.7817</v>
      </c>
      <c r="H7096">
        <v>0.94158920000000002</v>
      </c>
      <c r="I7096">
        <v>2.1795789999999999</v>
      </c>
      <c r="J7096">
        <v>-300.62920000000003</v>
      </c>
      <c r="K7096">
        <v>1.0578559999999999</v>
      </c>
      <c r="L7096">
        <v>2.5619510000000001</v>
      </c>
      <c r="M7096">
        <v>-0.1061608</v>
      </c>
      <c r="N7096">
        <v>-1.9121409999999998E-2</v>
      </c>
      <c r="O7096">
        <v>-0.99416510000000002</v>
      </c>
      <c r="P7096">
        <v>-0.25172670000000003</v>
      </c>
      <c r="Q7096">
        <v>-0.14543329999999999</v>
      </c>
      <c r="R7096">
        <v>-0.95680869999999996</v>
      </c>
      <c r="S7096">
        <v>-0.79656979999999999</v>
      </c>
      <c r="T7096">
        <v>-0.38968799999999998</v>
      </c>
      <c r="U7096">
        <v>-2.8672490000000002</v>
      </c>
      <c r="V7096">
        <v>0.144703</v>
      </c>
      <c r="W7096">
        <v>-0.1312605</v>
      </c>
      <c r="X7096">
        <v>0.9807302</v>
      </c>
      <c r="Y7096">
        <v>0.16195590000000001</v>
      </c>
      <c r="Z7096">
        <v>0.11153100000000001</v>
      </c>
      <c r="AA7096">
        <v>0.98047490000000004</v>
      </c>
      <c r="AB7096">
        <v>23</v>
      </c>
      <c r="AC7096">
        <v>-0.15249999999997499</v>
      </c>
      <c r="AD7096">
        <v>-0.116266799999999</v>
      </c>
      <c r="AE7096">
        <v>-0.38237199999999899</v>
      </c>
      <c r="AF7096">
        <v>0.102834582132042</v>
      </c>
      <c r="AG7096">
        <v>-0.116266799999999</v>
      </c>
      <c r="AH7096">
        <v>0.367118346872644</v>
      </c>
      <c r="AI7096">
        <v>106.95975925962399</v>
      </c>
      <c r="AJ7096">
        <v>74.351755685097103</v>
      </c>
      <c r="AK7096">
        <v>0.39858349272770299</v>
      </c>
      <c r="AL7096">
        <v>97.542437845052106</v>
      </c>
      <c r="AM7096">
        <v>81.606783116879896</v>
      </c>
      <c r="AN7096">
        <v>1.00000000113064</v>
      </c>
    </row>
    <row r="7097" spans="1:40" x14ac:dyDescent="0.25">
      <c r="A7097" t="str">
        <f>"20190303154948599"</f>
        <v>20190303154948599</v>
      </c>
      <c r="B7097" t="str">
        <f>"1551599388587439"</f>
        <v>1551599388587439</v>
      </c>
      <c r="C7097" t="s">
        <v>40</v>
      </c>
      <c r="D7097">
        <v>5.894698</v>
      </c>
      <c r="E7097">
        <v>0.50991390000000003</v>
      </c>
      <c r="F7097" t="s">
        <v>42</v>
      </c>
      <c r="G7097">
        <v>-300.86020000000002</v>
      </c>
      <c r="H7097">
        <v>0.94778300000000004</v>
      </c>
      <c r="I7097">
        <v>1.7688489999999999</v>
      </c>
      <c r="J7097">
        <v>-300.68869999999998</v>
      </c>
      <c r="K7097">
        <v>1.058438</v>
      </c>
      <c r="L7097">
        <v>2.2758180000000001</v>
      </c>
      <c r="M7097">
        <v>-0.1309371</v>
      </c>
      <c r="N7097">
        <v>-1.8861300000000001E-2</v>
      </c>
      <c r="O7097">
        <v>-0.99121139999999996</v>
      </c>
      <c r="P7097">
        <v>-0.2617795</v>
      </c>
      <c r="Q7097">
        <v>-0.14506579999999999</v>
      </c>
      <c r="R7097">
        <v>-0.95416330000000005</v>
      </c>
      <c r="S7097">
        <v>-0.83190919999999902</v>
      </c>
      <c r="T7097">
        <v>-0.39602090000000001</v>
      </c>
      <c r="U7097">
        <v>-2.8563839999999998</v>
      </c>
      <c r="V7097">
        <v>0.1307574</v>
      </c>
      <c r="W7097">
        <v>-0.1304844</v>
      </c>
      <c r="X7097">
        <v>0.9827901</v>
      </c>
      <c r="Y7097">
        <v>0.14944569999999999</v>
      </c>
      <c r="Z7097">
        <v>0.1137519</v>
      </c>
      <c r="AA7097">
        <v>0.98220490000000005</v>
      </c>
      <c r="AB7097">
        <v>23</v>
      </c>
      <c r="AC7097">
        <v>-0.17150000000003701</v>
      </c>
      <c r="AD7097">
        <v>-0.110654999999999</v>
      </c>
      <c r="AE7097">
        <v>-0.506969</v>
      </c>
      <c r="AF7097">
        <v>9.9381676310355202E-2</v>
      </c>
      <c r="AG7097">
        <v>-0.110654999999999</v>
      </c>
      <c r="AH7097">
        <v>0.503536891855492</v>
      </c>
      <c r="AI7097">
        <v>102.16654087943699</v>
      </c>
      <c r="AJ7097">
        <v>78.835186079760803</v>
      </c>
      <c r="AK7097">
        <v>0.52504347255322203</v>
      </c>
      <c r="AL7097">
        <v>97.4975846119316</v>
      </c>
      <c r="AM7097">
        <v>82.421469171868793</v>
      </c>
      <c r="AN7097">
        <v>1.0000000284780599</v>
      </c>
    </row>
    <row r="7098" spans="1:40" x14ac:dyDescent="0.25">
      <c r="A7098" t="str">
        <f>"20190303154948622"</f>
        <v>20190303154948622</v>
      </c>
      <c r="B7098" t="str">
        <f>"1551599388617695"</f>
        <v>1551599388617695</v>
      </c>
      <c r="C7098" t="s">
        <v>40</v>
      </c>
      <c r="D7098">
        <v>5.8653449999999996</v>
      </c>
      <c r="E7098">
        <v>0.50990309999999905</v>
      </c>
      <c r="F7098" t="s">
        <v>42</v>
      </c>
      <c r="G7098">
        <v>-300.90519999999998</v>
      </c>
      <c r="H7098">
        <v>0.95948610000000001</v>
      </c>
      <c r="I7098">
        <v>1.560673</v>
      </c>
      <c r="J7098">
        <v>-300.74160000000001</v>
      </c>
      <c r="K7098">
        <v>1.0589280000000001</v>
      </c>
      <c r="L7098">
        <v>2.044495</v>
      </c>
      <c r="M7098">
        <v>-0.1502203</v>
      </c>
      <c r="N7098">
        <v>-1.8637529999999999E-2</v>
      </c>
      <c r="O7098">
        <v>-0.98847680000000004</v>
      </c>
      <c r="P7098">
        <v>-0.2669145</v>
      </c>
      <c r="Q7098">
        <v>-0.14405889999999999</v>
      </c>
      <c r="R7098">
        <v>-0.95289239999999997</v>
      </c>
      <c r="S7098">
        <v>-0.86218259999999902</v>
      </c>
      <c r="T7098">
        <v>-0.3934937</v>
      </c>
      <c r="U7098">
        <v>-2.8477480000000002</v>
      </c>
      <c r="V7098">
        <v>0.1170939</v>
      </c>
      <c r="W7098">
        <v>-0.12910849999999999</v>
      </c>
      <c r="X7098">
        <v>0.98469289999999998</v>
      </c>
      <c r="Y7098">
        <v>0.14061499999999999</v>
      </c>
      <c r="Z7098">
        <v>0.1129351</v>
      </c>
      <c r="AA7098">
        <v>0.98360210000000003</v>
      </c>
      <c r="AB7098">
        <v>23</v>
      </c>
      <c r="AC7098">
        <v>-0.16359999999997399</v>
      </c>
      <c r="AD7098">
        <v>-9.9441900000000194E-2</v>
      </c>
      <c r="AE7098">
        <v>-0.48382199999999997</v>
      </c>
      <c r="AF7098">
        <v>8.5797822928056003E-2</v>
      </c>
      <c r="AG7098">
        <v>-9.9441900000000194E-2</v>
      </c>
      <c r="AH7098">
        <v>0.48454143305814401</v>
      </c>
      <c r="AI7098">
        <v>101.424767931321</v>
      </c>
      <c r="AJ7098">
        <v>79.958708898647799</v>
      </c>
      <c r="AK7098">
        <v>0.50202625254546596</v>
      </c>
      <c r="AL7098">
        <v>97.418078641390096</v>
      </c>
      <c r="AM7098">
        <v>83.2185669948624</v>
      </c>
      <c r="AN7098">
        <v>1.0000000467499299</v>
      </c>
    </row>
    <row r="7099" spans="1:40" x14ac:dyDescent="0.25">
      <c r="A7099" t="str">
        <f>"20190303154948644"</f>
        <v>20190303154948644</v>
      </c>
      <c r="B7099" t="str">
        <f>"1551599388638191"</f>
        <v>1551599388638191</v>
      </c>
      <c r="C7099" t="s">
        <v>40</v>
      </c>
      <c r="D7099">
        <v>5.8983140000000001</v>
      </c>
      <c r="E7099">
        <v>0.50997590000000004</v>
      </c>
      <c r="F7099" t="s">
        <v>42</v>
      </c>
      <c r="G7099">
        <v>-301.01130000000001</v>
      </c>
      <c r="H7099">
        <v>0.93883110000000003</v>
      </c>
      <c r="I7099">
        <v>1.1706099999999999</v>
      </c>
      <c r="J7099">
        <v>-300.79660000000001</v>
      </c>
      <c r="K7099">
        <v>1.0595060000000001</v>
      </c>
      <c r="L7099">
        <v>1.8208310000000001</v>
      </c>
      <c r="M7099">
        <v>-0.16791979999999901</v>
      </c>
      <c r="N7099">
        <v>-1.8392769999999999E-2</v>
      </c>
      <c r="O7099">
        <v>-0.98562930000000004</v>
      </c>
      <c r="P7099">
        <v>-0.27150849999999999</v>
      </c>
      <c r="Q7099">
        <v>-0.14385979999999901</v>
      </c>
      <c r="R7099">
        <v>-0.95162409999999997</v>
      </c>
      <c r="S7099">
        <v>-0.87750239999999902</v>
      </c>
      <c r="T7099">
        <v>-0.38967289999999999</v>
      </c>
      <c r="U7099">
        <v>-2.8435969999999999</v>
      </c>
      <c r="V7099">
        <v>0.1043965</v>
      </c>
      <c r="W7099">
        <v>-0.128606</v>
      </c>
      <c r="X7099">
        <v>0.98618550000000005</v>
      </c>
      <c r="Y7099">
        <v>0.12816069999999999</v>
      </c>
      <c r="Z7099">
        <v>0.11160970000000001</v>
      </c>
      <c r="AA7099">
        <v>0.98545320000000003</v>
      </c>
      <c r="AB7099">
        <v>23</v>
      </c>
      <c r="AC7099">
        <v>-0.21469999999999301</v>
      </c>
      <c r="AD7099">
        <v>-0.1206749</v>
      </c>
      <c r="AE7099">
        <v>-0.65022100000000005</v>
      </c>
      <c r="AF7099">
        <v>9.9361013891929903E-2</v>
      </c>
      <c r="AG7099">
        <v>-0.1206749</v>
      </c>
      <c r="AH7099">
        <v>0.656649607554319</v>
      </c>
      <c r="AI7099">
        <v>100.29858257143999</v>
      </c>
      <c r="AJ7099">
        <v>81.395555929619803</v>
      </c>
      <c r="AK7099">
        <v>0.674999073831131</v>
      </c>
      <c r="AL7099">
        <v>97.389045916307595</v>
      </c>
      <c r="AM7099">
        <v>83.957237400096503</v>
      </c>
      <c r="AN7099">
        <v>0.99999998642925003</v>
      </c>
    </row>
    <row r="7100" spans="1:40" x14ac:dyDescent="0.25">
      <c r="A7100" t="str">
        <f>"20190303154948670"</f>
        <v>20190303154948670</v>
      </c>
      <c r="B7100" t="str">
        <f>"1551599388657711"</f>
        <v>1551599388657711</v>
      </c>
      <c r="C7100" t="s">
        <v>40</v>
      </c>
      <c r="D7100">
        <v>5.8848609999999999</v>
      </c>
      <c r="E7100">
        <v>0.51010900000000003</v>
      </c>
      <c r="F7100" t="s">
        <v>42</v>
      </c>
      <c r="G7100">
        <v>-301.06420000000003</v>
      </c>
      <c r="H7100">
        <v>0.94304429999999995</v>
      </c>
      <c r="I7100">
        <v>0.96925570000000005</v>
      </c>
      <c r="J7100">
        <v>-300.86559999999997</v>
      </c>
      <c r="K7100">
        <v>1.060243</v>
      </c>
      <c r="L7100">
        <v>1.557434</v>
      </c>
      <c r="M7100">
        <v>-0.18768989999999999</v>
      </c>
      <c r="N7100">
        <v>-1.8076729999999999E-2</v>
      </c>
      <c r="O7100">
        <v>-0.98206199999999999</v>
      </c>
      <c r="P7100">
        <v>-0.2791845</v>
      </c>
      <c r="Q7100">
        <v>-0.14263870000000001</v>
      </c>
      <c r="R7100">
        <v>-0.94958469999999995</v>
      </c>
      <c r="S7100">
        <v>-0.89212039999999904</v>
      </c>
      <c r="T7100">
        <v>-0.38838780000000001</v>
      </c>
      <c r="U7100">
        <v>-2.839264</v>
      </c>
      <c r="V7100">
        <v>9.2794020000000005E-2</v>
      </c>
      <c r="W7100">
        <v>-0.12718279999999901</v>
      </c>
      <c r="X7100">
        <v>0.9875292</v>
      </c>
      <c r="Y7100">
        <v>0.1133069</v>
      </c>
      <c r="Z7100">
        <v>0.1110708</v>
      </c>
      <c r="AA7100">
        <v>0.98733219999999999</v>
      </c>
      <c r="AB7100">
        <v>22</v>
      </c>
      <c r="AC7100">
        <v>-0.19860000000005501</v>
      </c>
      <c r="AD7100">
        <v>-0.1171987</v>
      </c>
      <c r="AE7100">
        <v>-0.58817830000000004</v>
      </c>
      <c r="AF7100">
        <v>8.1742894016204298E-2</v>
      </c>
      <c r="AG7100">
        <v>-0.1171987</v>
      </c>
      <c r="AH7100">
        <v>0.59383878398743595</v>
      </c>
      <c r="AI7100">
        <v>101.06258664371499</v>
      </c>
      <c r="AJ7100">
        <v>82.162395458903305</v>
      </c>
      <c r="AK7100">
        <v>0.61078796433092097</v>
      </c>
      <c r="AL7100">
        <v>97.306826834057404</v>
      </c>
      <c r="AM7100">
        <v>84.631915698122796</v>
      </c>
      <c r="AN7100">
        <v>1.0000000578081101</v>
      </c>
    </row>
    <row r="7101" spans="1:40" x14ac:dyDescent="0.25">
      <c r="A7101" t="str">
        <f>"20190303154948706"</f>
        <v>20190303154948706</v>
      </c>
      <c r="B7101" t="str">
        <f>"1551599388697727"</f>
        <v>1551599388697727</v>
      </c>
      <c r="C7101" t="s">
        <v>40</v>
      </c>
      <c r="D7101">
        <v>5.9167500000000004</v>
      </c>
      <c r="E7101">
        <v>0.51026890000000003</v>
      </c>
      <c r="F7101" t="s">
        <v>42</v>
      </c>
      <c r="G7101">
        <v>-301.12150000000003</v>
      </c>
      <c r="H7101">
        <v>0.95296289999999995</v>
      </c>
      <c r="I7101">
        <v>0.76644119999999905</v>
      </c>
      <c r="J7101">
        <v>-300.96570000000003</v>
      </c>
      <c r="K7101">
        <v>1.0613300000000001</v>
      </c>
      <c r="L7101">
        <v>1.1997070000000001</v>
      </c>
      <c r="M7101">
        <v>-0.21264050000000001</v>
      </c>
      <c r="N7101">
        <v>-1.763487E-2</v>
      </c>
      <c r="O7101">
        <v>-0.97697160000000005</v>
      </c>
      <c r="P7101">
        <v>-0.28455249999999999</v>
      </c>
      <c r="Q7101">
        <v>-0.14169699999999999</v>
      </c>
      <c r="R7101">
        <v>-0.9481311</v>
      </c>
      <c r="S7101">
        <v>-0.91604609999999997</v>
      </c>
      <c r="T7101">
        <v>-0.38339069999999997</v>
      </c>
      <c r="U7101">
        <v>-2.8323670000000001</v>
      </c>
      <c r="V7101">
        <v>7.3582750000000002E-2</v>
      </c>
      <c r="W7101">
        <v>-0.12595899999999999</v>
      </c>
      <c r="X7101">
        <v>0.98930280000000004</v>
      </c>
      <c r="Y7101">
        <v>9.632839E-2</v>
      </c>
      <c r="Z7101">
        <v>0.1092215</v>
      </c>
      <c r="AA7101">
        <v>0.98933890000000002</v>
      </c>
      <c r="AB7101">
        <v>22</v>
      </c>
      <c r="AC7101">
        <v>-0.15579999999999899</v>
      </c>
      <c r="AD7101">
        <v>-0.10836709999999899</v>
      </c>
      <c r="AE7101">
        <v>-0.43326579999999998</v>
      </c>
      <c r="AF7101">
        <v>5.6937570457795302E-2</v>
      </c>
      <c r="AG7101">
        <v>-0.10836709999999899</v>
      </c>
      <c r="AH7101">
        <v>0.43252856244363502</v>
      </c>
      <c r="AI7101">
        <v>103.94994268956501</v>
      </c>
      <c r="AJ7101">
        <v>82.500767598991601</v>
      </c>
      <c r="AK7101">
        <v>0.44951782236258803</v>
      </c>
      <c r="AL7101">
        <v>97.2361397431428</v>
      </c>
      <c r="AM7101">
        <v>85.746264691257906</v>
      </c>
      <c r="AN7101">
        <v>1.00000006043319</v>
      </c>
    </row>
    <row r="7102" spans="1:40" x14ac:dyDescent="0.25">
      <c r="A7102" t="str">
        <f>"20190303154948734"</f>
        <v>20190303154948734</v>
      </c>
      <c r="B7102" t="str">
        <f>"1551599388727983"</f>
        <v>1551599388727983</v>
      </c>
      <c r="C7102" t="s">
        <v>40</v>
      </c>
      <c r="D7102">
        <v>5.9114620000000002</v>
      </c>
      <c r="E7102">
        <v>0.510324</v>
      </c>
      <c r="F7102" t="s">
        <v>42</v>
      </c>
      <c r="G7102">
        <v>-301.23820000000001</v>
      </c>
      <c r="H7102">
        <v>0.95063129999999996</v>
      </c>
      <c r="I7102">
        <v>0.3741659</v>
      </c>
      <c r="J7102">
        <v>-301.0496</v>
      </c>
      <c r="K7102">
        <v>1.0624199999999999</v>
      </c>
      <c r="L7102">
        <v>0.91760249999999999</v>
      </c>
      <c r="M7102">
        <v>-0.22940479999999999</v>
      </c>
      <c r="N7102">
        <v>-1.762857E-2</v>
      </c>
      <c r="O7102">
        <v>-0.97317149999999997</v>
      </c>
      <c r="P7102">
        <v>-0.2901705</v>
      </c>
      <c r="Q7102">
        <v>-0.14381160000000001</v>
      </c>
      <c r="R7102">
        <v>-0.9461077</v>
      </c>
      <c r="S7102">
        <v>-0.93295289999999997</v>
      </c>
      <c r="T7102">
        <v>-0.37868299999999999</v>
      </c>
      <c r="U7102">
        <v>-2.827515</v>
      </c>
      <c r="V7102">
        <v>6.2804899999999997E-2</v>
      </c>
      <c r="W7102">
        <v>-0.127668</v>
      </c>
      <c r="X7102">
        <v>0.9898264</v>
      </c>
      <c r="Y7102">
        <v>8.513279E-2</v>
      </c>
      <c r="Z7102">
        <v>0.1071936</v>
      </c>
      <c r="AA7102">
        <v>0.99058670000000004</v>
      </c>
      <c r="AB7102">
        <v>22</v>
      </c>
      <c r="AC7102">
        <v>-0.18860000000000801</v>
      </c>
      <c r="AD7102">
        <v>-0.1117887</v>
      </c>
      <c r="AE7102">
        <v>-0.54343659999999905</v>
      </c>
      <c r="AF7102">
        <v>5.6739470878555999E-2</v>
      </c>
      <c r="AG7102">
        <v>-0.1117887</v>
      </c>
      <c r="AH7102">
        <v>0.55138761449712204</v>
      </c>
      <c r="AI7102">
        <v>101.402221358161</v>
      </c>
      <c r="AJ7102">
        <v>84.124768609925894</v>
      </c>
      <c r="AK7102">
        <v>0.56545944365984002</v>
      </c>
      <c r="AL7102">
        <v>97.334856112241795</v>
      </c>
      <c r="AM7102">
        <v>86.369425729728604</v>
      </c>
      <c r="AN7102">
        <v>0.99999993791248298</v>
      </c>
    </row>
    <row r="7103" spans="1:40" x14ac:dyDescent="0.25">
      <c r="A7103" t="str">
        <f>"20190303154948759"</f>
        <v>20190303154948759</v>
      </c>
      <c r="B7103" t="str">
        <f>"1551599388747503"</f>
        <v>1551599388747503</v>
      </c>
      <c r="C7103" t="s">
        <v>40</v>
      </c>
      <c r="D7103">
        <v>5.9535299999999998</v>
      </c>
      <c r="E7103">
        <v>0.5103837</v>
      </c>
      <c r="F7103" t="s">
        <v>42</v>
      </c>
      <c r="G7103">
        <v>-301.29930000000002</v>
      </c>
      <c r="H7103">
        <v>0.96149419999999997</v>
      </c>
      <c r="I7103">
        <v>0.1762658</v>
      </c>
      <c r="J7103">
        <v>-301.11849999999998</v>
      </c>
      <c r="K7103">
        <v>1.0638019999999999</v>
      </c>
      <c r="L7103">
        <v>0.69476319999999903</v>
      </c>
      <c r="M7103">
        <v>-0.23969170000000001</v>
      </c>
      <c r="N7103">
        <v>-1.8022570000000002E-2</v>
      </c>
      <c r="O7103">
        <v>-0.97068180000000004</v>
      </c>
      <c r="P7103">
        <v>-0.28850569999999998</v>
      </c>
      <c r="Q7103">
        <v>-0.1473942</v>
      </c>
      <c r="R7103">
        <v>-0.94606539999999995</v>
      </c>
      <c r="S7103">
        <v>-0.95037839999999996</v>
      </c>
      <c r="T7103">
        <v>-0.38426549999999998</v>
      </c>
      <c r="U7103">
        <v>-2.8209840000000002</v>
      </c>
      <c r="V7103">
        <v>5.1026469999999997E-2</v>
      </c>
      <c r="W7103">
        <v>-0.13047919999999999</v>
      </c>
      <c r="X7103">
        <v>0.99013709999999999</v>
      </c>
      <c r="Y7103">
        <v>8.0729040000000002E-2</v>
      </c>
      <c r="Z7103">
        <v>0.1083635</v>
      </c>
      <c r="AA7103">
        <v>0.99082800000000004</v>
      </c>
      <c r="AB7103">
        <v>22</v>
      </c>
      <c r="AC7103">
        <v>-0.18080000000003299</v>
      </c>
      <c r="AD7103">
        <v>-0.1023078</v>
      </c>
      <c r="AE7103">
        <v>-0.518497399999999</v>
      </c>
      <c r="AF7103">
        <v>4.950945313684E-2</v>
      </c>
      <c r="AG7103">
        <v>-0.1023078</v>
      </c>
      <c r="AH7103">
        <v>0.52837949664565398</v>
      </c>
      <c r="AI7103">
        <v>100.911685296519</v>
      </c>
      <c r="AJ7103">
        <v>84.646983164551798</v>
      </c>
      <c r="AK7103">
        <v>0.54046550710129804</v>
      </c>
      <c r="AL7103">
        <v>97.497284323004706</v>
      </c>
      <c r="AM7103">
        <v>87.049886026699099</v>
      </c>
      <c r="AN7103">
        <v>0.99999999953485497</v>
      </c>
    </row>
    <row r="7104" spans="1:40" x14ac:dyDescent="0.25">
      <c r="A7104" t="str">
        <f>"20190303154948783"</f>
        <v>20190303154948783</v>
      </c>
      <c r="B7104" t="str">
        <f>"1551599388777760"</f>
        <v>1551599388777760</v>
      </c>
      <c r="C7104" t="s">
        <v>40</v>
      </c>
      <c r="D7104">
        <v>5.9446529999999997</v>
      </c>
      <c r="E7104">
        <v>0.51045309999999999</v>
      </c>
      <c r="F7104" t="s">
        <v>42</v>
      </c>
      <c r="G7104">
        <v>-301.35680000000002</v>
      </c>
      <c r="H7104">
        <v>0.96432790000000002</v>
      </c>
      <c r="I7104">
        <v>-1.5648660000000002E-2</v>
      </c>
      <c r="J7104">
        <v>-301.19189999999998</v>
      </c>
      <c r="K7104">
        <v>1.0660499999999999</v>
      </c>
      <c r="L7104">
        <v>0.46466059999999998</v>
      </c>
      <c r="M7104">
        <v>-0.2499062</v>
      </c>
      <c r="N7104">
        <v>-1.843995E-2</v>
      </c>
      <c r="O7104">
        <v>-0.96809449999999997</v>
      </c>
      <c r="P7104">
        <v>-0.28784140000000003</v>
      </c>
      <c r="Q7104">
        <v>-0.1518642</v>
      </c>
      <c r="R7104">
        <v>-0.94556059999999997</v>
      </c>
      <c r="S7104">
        <v>-0.94570920000000003</v>
      </c>
      <c r="T7104">
        <v>-0.39447900000000002</v>
      </c>
      <c r="U7104">
        <v>-2.821167</v>
      </c>
      <c r="V7104">
        <v>4.0573709999999999E-2</v>
      </c>
      <c r="W7104">
        <v>-0.13418329999999901</v>
      </c>
      <c r="X7104">
        <v>0.99012549999999999</v>
      </c>
      <c r="Y7104">
        <v>6.8642469999999997E-2</v>
      </c>
      <c r="Z7104">
        <v>0.11085449999999999</v>
      </c>
      <c r="AA7104">
        <v>0.99146330000000005</v>
      </c>
      <c r="AB7104">
        <v>22</v>
      </c>
      <c r="AC7104">
        <v>-0.16490000000004501</v>
      </c>
      <c r="AD7104">
        <v>-0.101722099999999</v>
      </c>
      <c r="AE7104">
        <v>-0.48030926000000002</v>
      </c>
      <c r="AF7104">
        <v>3.8085148513096002E-2</v>
      </c>
      <c r="AG7104">
        <v>-0.101722099999999</v>
      </c>
      <c r="AH7104">
        <v>0.48675026274142102</v>
      </c>
      <c r="AI7104">
        <v>101.76894803127</v>
      </c>
      <c r="AJ7104">
        <v>85.526080433513897</v>
      </c>
      <c r="AK7104">
        <v>0.498722049286491</v>
      </c>
      <c r="AL7104">
        <v>97.711397175654298</v>
      </c>
      <c r="AM7104">
        <v>87.653426339676201</v>
      </c>
      <c r="AN7104">
        <v>0.99999994484614996</v>
      </c>
    </row>
    <row r="7105" spans="1:40" x14ac:dyDescent="0.25">
      <c r="A7105" t="str">
        <f>"20190303154948806"</f>
        <v>20190303154948806</v>
      </c>
      <c r="B7105" t="str">
        <f>"1551599388798256"</f>
        <v>1551599388798256</v>
      </c>
      <c r="C7105" t="s">
        <v>40</v>
      </c>
      <c r="D7105">
        <v>5.9197329999999999</v>
      </c>
      <c r="E7105">
        <v>0.5105499</v>
      </c>
      <c r="F7105" t="s">
        <v>42</v>
      </c>
      <c r="G7105">
        <v>-301.47489999999999</v>
      </c>
      <c r="H7105">
        <v>0.94370600000000004</v>
      </c>
      <c r="I7105">
        <v>-0.37984329999999999</v>
      </c>
      <c r="J7105">
        <v>-301.262</v>
      </c>
      <c r="K7105">
        <v>1.068417</v>
      </c>
      <c r="L7105">
        <v>0.2470398</v>
      </c>
      <c r="M7105">
        <v>-0.26135530000000001</v>
      </c>
      <c r="N7105">
        <v>-1.7840109999999999E-2</v>
      </c>
      <c r="O7105">
        <v>-0.96507810000000005</v>
      </c>
      <c r="P7105">
        <v>-0.28942030000000002</v>
      </c>
      <c r="Q7105">
        <v>-0.15348789999999901</v>
      </c>
      <c r="R7105">
        <v>-0.94481649999999995</v>
      </c>
      <c r="S7105">
        <v>-0.94433590000000001</v>
      </c>
      <c r="T7105">
        <v>-0.40777960000000002</v>
      </c>
      <c r="U7105">
        <v>-2.819763</v>
      </c>
      <c r="V7105">
        <v>3.1098190000000001E-2</v>
      </c>
      <c r="W7105">
        <v>-0.13614470000000001</v>
      </c>
      <c r="X7105">
        <v>0.99020079999999999</v>
      </c>
      <c r="Y7105">
        <v>5.6386390000000002E-2</v>
      </c>
      <c r="Z7105">
        <v>0.1152257</v>
      </c>
      <c r="AA7105">
        <v>0.99173770000000006</v>
      </c>
      <c r="AB7105">
        <v>22</v>
      </c>
      <c r="AC7105">
        <v>-0.21289999999998999</v>
      </c>
      <c r="AD7105">
        <v>-0.124711</v>
      </c>
      <c r="AE7105">
        <v>-0.62688309999999903</v>
      </c>
      <c r="AF7105">
        <v>4.0205865804643998E-2</v>
      </c>
      <c r="AG7105">
        <v>-0.124711</v>
      </c>
      <c r="AH7105">
        <v>0.63809660115351496</v>
      </c>
      <c r="AI7105">
        <v>101.037265736859</v>
      </c>
      <c r="AJ7105">
        <v>86.394613158354503</v>
      </c>
      <c r="AK7105">
        <v>0.65141125072397099</v>
      </c>
      <c r="AL7105">
        <v>97.824817146541704</v>
      </c>
      <c r="AM7105">
        <v>88.201163269747099</v>
      </c>
      <c r="AN7105">
        <v>1.00000005054</v>
      </c>
    </row>
    <row r="7106" spans="1:40" x14ac:dyDescent="0.25">
      <c r="A7106" t="str">
        <f>"20190303154948838"</f>
        <v>20190303154948838</v>
      </c>
      <c r="B7106" t="str">
        <f>"1551599388827536"</f>
        <v>1551599388827536</v>
      </c>
      <c r="C7106" t="s">
        <v>40</v>
      </c>
      <c r="D7106">
        <v>5.9571389999999997</v>
      </c>
      <c r="E7106">
        <v>0.51064830000000005</v>
      </c>
      <c r="F7106" t="s">
        <v>42</v>
      </c>
      <c r="G7106">
        <v>-301.53739999999999</v>
      </c>
      <c r="H7106">
        <v>0.94887049999999995</v>
      </c>
      <c r="I7106">
        <v>-0.56948469999999995</v>
      </c>
      <c r="J7106">
        <v>-301.36430000000001</v>
      </c>
      <c r="K7106">
        <v>1.0707960000000001</v>
      </c>
      <c r="L7106">
        <v>-6.6619869999999998E-2</v>
      </c>
      <c r="M7106">
        <v>-0.27690969999999998</v>
      </c>
      <c r="N7106">
        <v>-1.534778E-2</v>
      </c>
      <c r="O7106">
        <v>-0.96077360000000001</v>
      </c>
      <c r="P7106">
        <v>-0.28378439999999999</v>
      </c>
      <c r="Q7106">
        <v>-0.14502970000000001</v>
      </c>
      <c r="R7106">
        <v>-0.94785739999999996</v>
      </c>
      <c r="S7106">
        <v>-0.95004270000000002</v>
      </c>
      <c r="T7106">
        <v>-0.41236810000000002</v>
      </c>
      <c r="U7106">
        <v>-2.8172000000000001</v>
      </c>
      <c r="V7106">
        <v>9.2426590000000003E-3</v>
      </c>
      <c r="W7106">
        <v>-0.12989819999999999</v>
      </c>
      <c r="X7106">
        <v>0.99148429999999999</v>
      </c>
      <c r="Y7106">
        <v>4.2239850000000002E-2</v>
      </c>
      <c r="Z7106">
        <v>0.11832769999999999</v>
      </c>
      <c r="AA7106">
        <v>0.99207579999999995</v>
      </c>
      <c r="AB7106">
        <v>22</v>
      </c>
      <c r="AC7106">
        <v>-0.173099999999976</v>
      </c>
      <c r="AD7106">
        <v>-0.12192549999999901</v>
      </c>
      <c r="AE7106">
        <v>-0.50286482999999904</v>
      </c>
      <c r="AF7106">
        <v>2.5713449851137601E-2</v>
      </c>
      <c r="AG7106">
        <v>-0.12192549999999901</v>
      </c>
      <c r="AH7106">
        <v>0.50461245112259301</v>
      </c>
      <c r="AI7106">
        <v>103.566626114578</v>
      </c>
      <c r="AJ7106">
        <v>87.082911910784205</v>
      </c>
      <c r="AK7106">
        <v>0.51976988647039502</v>
      </c>
      <c r="AL7106">
        <v>97.463709401883605</v>
      </c>
      <c r="AM7106">
        <v>89.465901766522606</v>
      </c>
      <c r="AN7106">
        <v>1.00000004312755</v>
      </c>
    </row>
    <row r="7107" spans="1:40" x14ac:dyDescent="0.25">
      <c r="A7107" t="str">
        <f>"20190303154948864"</f>
        <v>20190303154948864</v>
      </c>
      <c r="B7107" t="str">
        <f>"1551599388857792"</f>
        <v>1551599388857792</v>
      </c>
      <c r="C7107" t="s">
        <v>40</v>
      </c>
      <c r="D7107">
        <v>5.963641</v>
      </c>
      <c r="E7107">
        <v>0.51082099999999997</v>
      </c>
      <c r="F7107" t="s">
        <v>42</v>
      </c>
      <c r="G7107">
        <v>-301.59699999999998</v>
      </c>
      <c r="H7107">
        <v>0.97448559999999995</v>
      </c>
      <c r="I7107">
        <v>-0.77128649999999999</v>
      </c>
      <c r="J7107">
        <v>-301.44349999999997</v>
      </c>
      <c r="K7107">
        <v>1.0722719999999999</v>
      </c>
      <c r="L7107">
        <v>-0.30474849999999998</v>
      </c>
      <c r="M7107">
        <v>-0.28528690000000001</v>
      </c>
      <c r="N7107">
        <v>-1.273314E-2</v>
      </c>
      <c r="O7107">
        <v>-0.95835780000000004</v>
      </c>
      <c r="P7107">
        <v>-0.28283360000000002</v>
      </c>
      <c r="Q7107">
        <v>-0.14033019999999999</v>
      </c>
      <c r="R7107">
        <v>-0.94884840000000004</v>
      </c>
      <c r="S7107">
        <v>-0.93344119999999997</v>
      </c>
      <c r="T7107">
        <v>-0.38613900000000001</v>
      </c>
      <c r="U7107">
        <v>-2.8264770000000001</v>
      </c>
      <c r="V7107">
        <v>-5.3707790000000004E-4</v>
      </c>
      <c r="W7107">
        <v>-0.12771109999999999</v>
      </c>
      <c r="X7107">
        <v>0.99181129999999995</v>
      </c>
      <c r="Y7107">
        <v>2.7560640000000001E-2</v>
      </c>
      <c r="Z7107">
        <v>0.1117813</v>
      </c>
      <c r="AA7107">
        <v>0.99335059999999997</v>
      </c>
      <c r="AB7107">
        <v>22</v>
      </c>
      <c r="AC7107">
        <v>-0.15350000000000799</v>
      </c>
      <c r="AD7107">
        <v>-9.7786399999999898E-2</v>
      </c>
      <c r="AE7107">
        <v>-0.46653800000000001</v>
      </c>
      <c r="AF7107">
        <v>1.3477610701321001E-2</v>
      </c>
      <c r="AG7107">
        <v>-9.7786399999999898E-2</v>
      </c>
      <c r="AH7107">
        <v>0.47222224517016198</v>
      </c>
      <c r="AI7107">
        <v>101.694656419076</v>
      </c>
      <c r="AJ7107">
        <v>88.365175198442003</v>
      </c>
      <c r="AK7107">
        <v>0.48242893243329099</v>
      </c>
      <c r="AL7107">
        <v>97.337345231676807</v>
      </c>
      <c r="AM7107">
        <v>90.0310263594817</v>
      </c>
      <c r="AN7107">
        <v>1.0000000341617801</v>
      </c>
    </row>
    <row r="7108" spans="1:40" x14ac:dyDescent="0.25">
      <c r="A7108" t="str">
        <f>"20190303154948890"</f>
        <v>20190303154948890</v>
      </c>
      <c r="B7108" t="str">
        <f>"1551599388878287"</f>
        <v>1551599388878287</v>
      </c>
      <c r="C7108" t="s">
        <v>40</v>
      </c>
      <c r="D7108">
        <v>5.9419729999999999</v>
      </c>
      <c r="E7108">
        <v>0.51092950000000004</v>
      </c>
      <c r="F7108" t="s">
        <v>42</v>
      </c>
      <c r="G7108">
        <v>-301.7192</v>
      </c>
      <c r="H7108">
        <v>0.96223239999999999</v>
      </c>
      <c r="I7108">
        <v>-1.140852</v>
      </c>
      <c r="J7108">
        <v>-301.52929999999998</v>
      </c>
      <c r="K7108">
        <v>1.074424</v>
      </c>
      <c r="L7108">
        <v>-0.55953980000000003</v>
      </c>
      <c r="M7108">
        <v>-0.29122409999999999</v>
      </c>
      <c r="N7108">
        <v>-1.007476E-2</v>
      </c>
      <c r="O7108">
        <v>-0.9566019</v>
      </c>
      <c r="P7108">
        <v>-0.2811671</v>
      </c>
      <c r="Q7108">
        <v>-0.13778509999999999</v>
      </c>
      <c r="R7108">
        <v>-0.949716</v>
      </c>
      <c r="S7108">
        <v>-0.93188479999999996</v>
      </c>
      <c r="T7108">
        <v>-0.37194169999999999</v>
      </c>
      <c r="U7108">
        <v>-2.8289490000000002</v>
      </c>
      <c r="V7108">
        <v>-8.4051149999999995E-3</v>
      </c>
      <c r="W7108">
        <v>-0.12775029999999901</v>
      </c>
      <c r="X7108">
        <v>0.99177070000000001</v>
      </c>
      <c r="Y7108">
        <v>2.0713039999999999E-2</v>
      </c>
      <c r="Z7108">
        <v>0.1094133</v>
      </c>
      <c r="AA7108">
        <v>0.99378049999999996</v>
      </c>
      <c r="AB7108">
        <v>22</v>
      </c>
      <c r="AC7108">
        <v>-0.189900000000022</v>
      </c>
      <c r="AD7108">
        <v>-0.112191599999999</v>
      </c>
      <c r="AE7108">
        <v>-0.58131219999999995</v>
      </c>
      <c r="AF7108">
        <v>1.1964524347770801E-2</v>
      </c>
      <c r="AG7108">
        <v>-0.112191599999999</v>
      </c>
      <c r="AH7108">
        <v>0.59151076675299297</v>
      </c>
      <c r="AI7108">
        <v>100.737548809543</v>
      </c>
      <c r="AJ7108">
        <v>88.841232787169403</v>
      </c>
      <c r="AK7108">
        <v>0.60217530017275001</v>
      </c>
      <c r="AL7108">
        <v>97.339610372468201</v>
      </c>
      <c r="AM7108">
        <v>90.485561921557604</v>
      </c>
      <c r="AN7108">
        <v>0.99999995324336999</v>
      </c>
    </row>
    <row r="7109" spans="1:40" x14ac:dyDescent="0.25">
      <c r="A7109" t="str">
        <f>"20190303154948916"</f>
        <v>20190303154948916</v>
      </c>
      <c r="B7109" t="str">
        <f>"1551599388907567"</f>
        <v>1551599388907567</v>
      </c>
      <c r="C7109" t="s">
        <v>40</v>
      </c>
      <c r="D7109">
        <v>5.9553099999999999</v>
      </c>
      <c r="E7109">
        <v>0.51106790000000002</v>
      </c>
      <c r="F7109" t="s">
        <v>42</v>
      </c>
      <c r="G7109">
        <v>-301.78300000000002</v>
      </c>
      <c r="H7109">
        <v>0.97478620000000005</v>
      </c>
      <c r="I7109">
        <v>-1.3332269999999999</v>
      </c>
      <c r="J7109">
        <v>-301.60739999999998</v>
      </c>
      <c r="K7109">
        <v>1.0768990000000001</v>
      </c>
      <c r="L7109">
        <v>-0.79229740000000004</v>
      </c>
      <c r="M7109">
        <v>-0.29534169999999998</v>
      </c>
      <c r="N7109">
        <v>-7.8813140000000004E-3</v>
      </c>
      <c r="O7109">
        <v>-0.95535910000000002</v>
      </c>
      <c r="P7109">
        <v>-0.27823520000000002</v>
      </c>
      <c r="Q7109">
        <v>-0.13515820000000001</v>
      </c>
      <c r="R7109">
        <v>-0.95095609999999997</v>
      </c>
      <c r="S7109">
        <v>-0.92803959999999996</v>
      </c>
      <c r="T7109">
        <v>-0.36446119999999999</v>
      </c>
      <c r="U7109">
        <v>-2.831207</v>
      </c>
      <c r="V7109">
        <v>-1.5617239999999999E-2</v>
      </c>
      <c r="W7109">
        <v>-0.1272768</v>
      </c>
      <c r="X7109">
        <v>0.99174430000000002</v>
      </c>
      <c r="Y7109">
        <v>1.4983E-2</v>
      </c>
      <c r="Z7109">
        <v>0.1088484</v>
      </c>
      <c r="AA7109">
        <v>0.99394539999999998</v>
      </c>
      <c r="AB7109">
        <v>22</v>
      </c>
      <c r="AC7109">
        <v>-0.17560000000003101</v>
      </c>
      <c r="AD7109">
        <v>-0.1021128</v>
      </c>
      <c r="AE7109">
        <v>-0.54092959999999901</v>
      </c>
      <c r="AF7109">
        <v>7.7523211245384598E-3</v>
      </c>
      <c r="AG7109">
        <v>-0.1021128</v>
      </c>
      <c r="AH7109">
        <v>0.55090182089574602</v>
      </c>
      <c r="AI7109">
        <v>100.49990687454201</v>
      </c>
      <c r="AJ7109">
        <v>89.193783811261099</v>
      </c>
      <c r="AK7109">
        <v>0.56033912827225196</v>
      </c>
      <c r="AL7109">
        <v>97.3122570477843</v>
      </c>
      <c r="AM7109">
        <v>90.902176082682502</v>
      </c>
      <c r="AN7109">
        <v>1.0000000192929701</v>
      </c>
    </row>
    <row r="7110" spans="1:40" x14ac:dyDescent="0.25">
      <c r="A7110" t="str">
        <f>"20190303154948939"</f>
        <v>20190303154948939</v>
      </c>
      <c r="B7110" t="str">
        <f>"1551599388928064"</f>
        <v>1551599388928064</v>
      </c>
      <c r="C7110" t="s">
        <v>40</v>
      </c>
      <c r="D7110">
        <v>5.981592</v>
      </c>
      <c r="E7110">
        <v>0.51114040000000005</v>
      </c>
      <c r="F7110" t="s">
        <v>42</v>
      </c>
      <c r="G7110">
        <v>-301.84550000000002</v>
      </c>
      <c r="H7110">
        <v>0.98459370000000002</v>
      </c>
      <c r="I7110">
        <v>-1.5240959999999999</v>
      </c>
      <c r="J7110">
        <v>-301.68119999999999</v>
      </c>
      <c r="K7110">
        <v>1.0795129999999999</v>
      </c>
      <c r="L7110">
        <v>-1.015198</v>
      </c>
      <c r="M7110">
        <v>-0.29846810000000001</v>
      </c>
      <c r="N7110">
        <v>-5.9827509999999997E-3</v>
      </c>
      <c r="O7110">
        <v>-0.9544009</v>
      </c>
      <c r="P7110">
        <v>-0.27401239999999999</v>
      </c>
      <c r="Q7110">
        <v>-0.132029799999999</v>
      </c>
      <c r="R7110">
        <v>-0.95262020000000003</v>
      </c>
      <c r="S7110">
        <v>-0.92050169999999998</v>
      </c>
      <c r="T7110">
        <v>-0.357375</v>
      </c>
      <c r="U7110">
        <v>-2.834625</v>
      </c>
      <c r="V7110">
        <v>-2.310972E-2</v>
      </c>
      <c r="W7110">
        <v>-0.12604399999999999</v>
      </c>
      <c r="X7110">
        <v>0.99175539999999995</v>
      </c>
      <c r="Y7110">
        <v>8.9959919999999995E-3</v>
      </c>
      <c r="Z7110">
        <v>0.1081622</v>
      </c>
      <c r="AA7110">
        <v>0.99409259999999999</v>
      </c>
      <c r="AB7110">
        <v>22</v>
      </c>
      <c r="AC7110">
        <v>-0.16430000000002501</v>
      </c>
      <c r="AD7110">
        <v>-9.4919299999999901E-2</v>
      </c>
      <c r="AE7110">
        <v>-0.50889799999999896</v>
      </c>
      <c r="AF7110">
        <v>4.7681148184002802E-3</v>
      </c>
      <c r="AG7110">
        <v>-9.4919299999999901E-2</v>
      </c>
      <c r="AH7110">
        <v>0.51840788013736105</v>
      </c>
      <c r="AI7110">
        <v>100.375367192453</v>
      </c>
      <c r="AJ7110">
        <v>89.473030479464299</v>
      </c>
      <c r="AK7110">
        <v>0.52704756770136396</v>
      </c>
      <c r="AL7110">
        <v>97.241049732668998</v>
      </c>
      <c r="AM7110">
        <v>91.334855197570903</v>
      </c>
      <c r="AN7110">
        <v>0.999999961261818</v>
      </c>
    </row>
    <row r="7111" spans="1:40" x14ac:dyDescent="0.25">
      <c r="A7111" t="str">
        <f>"20190303154948959"</f>
        <v>20190303154948959</v>
      </c>
      <c r="B7111" t="str">
        <f>"1551599388947584"</f>
        <v>1551599388947584</v>
      </c>
      <c r="C7111" t="s">
        <v>40</v>
      </c>
      <c r="D7111">
        <v>5.9770250000000003</v>
      </c>
      <c r="E7111">
        <v>0.51122849999999997</v>
      </c>
      <c r="F7111" t="s">
        <v>42</v>
      </c>
      <c r="G7111">
        <v>-301.9051</v>
      </c>
      <c r="H7111">
        <v>0.99358380000000002</v>
      </c>
      <c r="I7111">
        <v>-1.714982</v>
      </c>
      <c r="J7111">
        <v>-301.74110000000002</v>
      </c>
      <c r="K7111">
        <v>1.0816319999999999</v>
      </c>
      <c r="L7111">
        <v>-1.1994320000000001</v>
      </c>
      <c r="M7111">
        <v>-0.30015770000000003</v>
      </c>
      <c r="N7111">
        <v>-4.5642189999999996E-3</v>
      </c>
      <c r="O7111">
        <v>-0.95387880000000003</v>
      </c>
      <c r="P7111">
        <v>-0.2695417</v>
      </c>
      <c r="Q7111">
        <v>-0.13100209999999901</v>
      </c>
      <c r="R7111">
        <v>-0.95403680000000002</v>
      </c>
      <c r="S7111">
        <v>-0.90841669999999997</v>
      </c>
      <c r="T7111">
        <v>-0.34869909999999998</v>
      </c>
      <c r="U7111">
        <v>-2.8395999999999999</v>
      </c>
      <c r="V7111">
        <v>-2.93221E-2</v>
      </c>
      <c r="W7111">
        <v>-0.1264615</v>
      </c>
      <c r="X7111">
        <v>0.99153800000000003</v>
      </c>
      <c r="Y7111">
        <v>2.9392340000000002E-3</v>
      </c>
      <c r="Z7111">
        <v>0.1065715</v>
      </c>
      <c r="AA7111">
        <v>0.99430070000000004</v>
      </c>
      <c r="AB7111">
        <v>22</v>
      </c>
      <c r="AC7111">
        <v>-0.16399999999998699</v>
      </c>
      <c r="AD7111">
        <v>-8.8048199999999896E-2</v>
      </c>
      <c r="AE7111">
        <v>-0.51554999999999995</v>
      </c>
      <c r="AF7111">
        <v>1.64623419850803E-3</v>
      </c>
      <c r="AG7111">
        <v>-8.8048199999999896E-2</v>
      </c>
      <c r="AH7111">
        <v>0.52704372594144899</v>
      </c>
      <c r="AI7111">
        <v>99.484231731979094</v>
      </c>
      <c r="AJ7111">
        <v>89.821035788351196</v>
      </c>
      <c r="AK7111">
        <v>0.53435033888313499</v>
      </c>
      <c r="AL7111">
        <v>97.265163754023405</v>
      </c>
      <c r="AM7111">
        <v>91.693876675121203</v>
      </c>
      <c r="AN7111">
        <v>0.99999995098732797</v>
      </c>
    </row>
    <row r="7112" spans="1:40" x14ac:dyDescent="0.25">
      <c r="A7112" t="str">
        <f>"20190303154948978"</f>
        <v>20190303154948978</v>
      </c>
      <c r="B7112" t="str">
        <f>"1551599388968079"</f>
        <v>1551599388968079</v>
      </c>
      <c r="C7112" t="s">
        <v>40</v>
      </c>
      <c r="D7112">
        <v>5.9743909999999998</v>
      </c>
      <c r="E7112">
        <v>0.5112911</v>
      </c>
      <c r="F7112" t="s">
        <v>42</v>
      </c>
      <c r="G7112">
        <v>-301.96280000000002</v>
      </c>
      <c r="H7112">
        <v>0.99594499999999997</v>
      </c>
      <c r="I7112">
        <v>-1.902552</v>
      </c>
      <c r="J7112">
        <v>-301.79730000000001</v>
      </c>
      <c r="K7112">
        <v>1.0835330000000001</v>
      </c>
      <c r="L7112">
        <v>-1.3759459999999999</v>
      </c>
      <c r="M7112">
        <v>-0.300791799999999</v>
      </c>
      <c r="N7112">
        <v>-3.3336659999999999E-3</v>
      </c>
      <c r="O7112">
        <v>-0.95368410000000003</v>
      </c>
      <c r="P7112">
        <v>-0.26704939999999999</v>
      </c>
      <c r="Q7112">
        <v>-0.1336773</v>
      </c>
      <c r="R7112">
        <v>-0.95436639999999995</v>
      </c>
      <c r="S7112">
        <v>-0.89599609999999996</v>
      </c>
      <c r="T7112">
        <v>-0.34665639999999998</v>
      </c>
      <c r="U7112">
        <v>-2.8438110000000001</v>
      </c>
      <c r="V7112">
        <v>-3.2249489999999999E-2</v>
      </c>
      <c r="W7112">
        <v>-0.130408199999999</v>
      </c>
      <c r="X7112">
        <v>0.99093569999999997</v>
      </c>
      <c r="Y7112">
        <v>-2.1096729999999998E-3</v>
      </c>
      <c r="Z7112">
        <v>0.10697420000000001</v>
      </c>
      <c r="AA7112">
        <v>0.99425949999999996</v>
      </c>
      <c r="AB7112">
        <v>22</v>
      </c>
      <c r="AC7112">
        <v>-0.165500000000008</v>
      </c>
      <c r="AD7112">
        <v>-8.7587999999999999E-2</v>
      </c>
      <c r="AE7112">
        <v>-0.52660600000000002</v>
      </c>
      <c r="AF7112">
        <v>-5.5019859340296696E-4</v>
      </c>
      <c r="AG7112">
        <v>-8.7587999999999999E-2</v>
      </c>
      <c r="AH7112">
        <v>0.53844322834062097</v>
      </c>
      <c r="AI7112">
        <v>99.239312894394502</v>
      </c>
      <c r="AJ7112">
        <v>90.058546648309203</v>
      </c>
      <c r="AK7112">
        <v>0.54552091674688497</v>
      </c>
      <c r="AL7112">
        <v>97.493181676835704</v>
      </c>
      <c r="AM7112">
        <v>91.864003623268104</v>
      </c>
      <c r="AN7112">
        <v>0.99999994488349297</v>
      </c>
    </row>
    <row r="7113" spans="1:40" x14ac:dyDescent="0.25">
      <c r="A7113" t="str">
        <f>"20190303154948997"</f>
        <v>20190303154948997</v>
      </c>
      <c r="B7113" t="str">
        <f>"1551599388987600"</f>
        <v>1551599388987600</v>
      </c>
      <c r="C7113" t="s">
        <v>40</v>
      </c>
      <c r="D7113">
        <v>5.9772339999999904</v>
      </c>
      <c r="E7113">
        <v>0.51136269999999995</v>
      </c>
      <c r="F7113" t="s">
        <v>42</v>
      </c>
      <c r="G7113">
        <v>-302.01979999999998</v>
      </c>
      <c r="H7113">
        <v>0.99457689999999999</v>
      </c>
      <c r="I7113">
        <v>-2.0878009999999998</v>
      </c>
      <c r="J7113">
        <v>-301.85340000000002</v>
      </c>
      <c r="K7113">
        <v>1.0853680000000001</v>
      </c>
      <c r="L7113">
        <v>-1.5551759999999999</v>
      </c>
      <c r="M7113">
        <v>-0.29985499999999998</v>
      </c>
      <c r="N7113">
        <v>-2.4977889999999998E-3</v>
      </c>
      <c r="O7113">
        <v>-0.95398170000000004</v>
      </c>
      <c r="P7113">
        <v>-0.26594820000000002</v>
      </c>
      <c r="Q7113">
        <v>-0.13618620000000001</v>
      </c>
      <c r="R7113">
        <v>-0.95431949999999999</v>
      </c>
      <c r="S7113">
        <v>-0.8888855</v>
      </c>
      <c r="T7113">
        <v>-0.35560409999999998</v>
      </c>
      <c r="U7113">
        <v>-2.84491</v>
      </c>
      <c r="V7113">
        <v>-3.2115789999999998E-2</v>
      </c>
      <c r="W7113">
        <v>-0.13379269999999999</v>
      </c>
      <c r="X7113">
        <v>0.99048879999999995</v>
      </c>
      <c r="Y7113">
        <v>-3.6232949999999999E-3</v>
      </c>
      <c r="Z7113">
        <v>0.1106198</v>
      </c>
      <c r="AA7113">
        <v>0.99385619999999997</v>
      </c>
      <c r="AB7113">
        <v>22</v>
      </c>
      <c r="AC7113">
        <v>-0.166399999999953</v>
      </c>
      <c r="AD7113">
        <v>-9.0791100000000097E-2</v>
      </c>
      <c r="AE7113">
        <v>-0.53262499999999902</v>
      </c>
      <c r="AF7113">
        <v>-9.4275995156586901E-4</v>
      </c>
      <c r="AG7113">
        <v>-9.0791100000000097E-2</v>
      </c>
      <c r="AH7113">
        <v>0.54362090964512</v>
      </c>
      <c r="AI7113">
        <v>99.481546683294098</v>
      </c>
      <c r="AJ7113">
        <v>90.099363566059793</v>
      </c>
      <c r="AK7113">
        <v>0.551151164417643</v>
      </c>
      <c r="AL7113">
        <v>97.688813483498095</v>
      </c>
      <c r="AM7113">
        <v>91.857118202786907</v>
      </c>
      <c r="AN7113">
        <v>0.99999998673302604</v>
      </c>
    </row>
    <row r="7114" spans="1:40" x14ac:dyDescent="0.25">
      <c r="A7114" t="str">
        <f>"20190303154949018"</f>
        <v>20190303154949018</v>
      </c>
      <c r="B7114" t="str">
        <f>"1551599389008096"</f>
        <v>1551599389008096</v>
      </c>
      <c r="C7114" t="s">
        <v>40</v>
      </c>
      <c r="D7114">
        <v>6.0034650000000003</v>
      </c>
      <c r="E7114">
        <v>0.5114514</v>
      </c>
      <c r="F7114" t="s">
        <v>42</v>
      </c>
      <c r="G7114">
        <v>-302.07659999999998</v>
      </c>
      <c r="H7114">
        <v>0.99371229999999999</v>
      </c>
      <c r="I7114">
        <v>-2.271096</v>
      </c>
      <c r="J7114">
        <v>-301.91370000000001</v>
      </c>
      <c r="K7114">
        <v>1.087636</v>
      </c>
      <c r="L7114">
        <v>-1.7512209999999999</v>
      </c>
      <c r="M7114">
        <v>-0.29706139999999998</v>
      </c>
      <c r="N7114">
        <v>-2.0821780000000001E-3</v>
      </c>
      <c r="O7114">
        <v>-0.95485629999999999</v>
      </c>
      <c r="P7114">
        <v>-0.26225140000000002</v>
      </c>
      <c r="Q7114">
        <v>-0.1376182</v>
      </c>
      <c r="R7114">
        <v>-0.95513650000000005</v>
      </c>
      <c r="S7114">
        <v>-0.88610840000000002</v>
      </c>
      <c r="T7114">
        <v>-0.36437510000000001</v>
      </c>
      <c r="U7114">
        <v>-2.8446660000000001</v>
      </c>
      <c r="V7114">
        <v>-3.2737750000000003E-2</v>
      </c>
      <c r="W7114">
        <v>-0.13569890000000001</v>
      </c>
      <c r="X7114">
        <v>0.99020909999999995</v>
      </c>
      <c r="Y7114">
        <v>-1.671407E-3</v>
      </c>
      <c r="Z7114">
        <v>0.1139435</v>
      </c>
      <c r="AA7114">
        <v>0.99348579999999997</v>
      </c>
      <c r="AB7114">
        <v>22</v>
      </c>
      <c r="AC7114">
        <v>-0.16289999999997901</v>
      </c>
      <c r="AD7114">
        <v>-9.3923699999999999E-2</v>
      </c>
      <c r="AE7114">
        <v>-0.51987499999999998</v>
      </c>
      <c r="AF7114">
        <v>1.0792215968236001E-3</v>
      </c>
      <c r="AG7114">
        <v>-9.3923699999999999E-2</v>
      </c>
      <c r="AH7114">
        <v>0.52907322254965405</v>
      </c>
      <c r="AI7114">
        <v>100.066534973495</v>
      </c>
      <c r="AJ7114">
        <v>89.883126277689399</v>
      </c>
      <c r="AK7114">
        <v>0.53734653712480596</v>
      </c>
      <c r="AL7114">
        <v>97.799035767425593</v>
      </c>
      <c r="AM7114">
        <v>91.893591892488502</v>
      </c>
      <c r="AN7114">
        <v>1.00000000672954</v>
      </c>
    </row>
    <row r="7115" spans="1:40" x14ac:dyDescent="0.25">
      <c r="A7115" t="str">
        <f>"20190303154949042"</f>
        <v>20190303154949042</v>
      </c>
      <c r="B7115" t="str">
        <f>"1551599389037376"</f>
        <v>1551599389037376</v>
      </c>
      <c r="C7115" t="s">
        <v>40</v>
      </c>
      <c r="D7115">
        <v>5.9779949999999999</v>
      </c>
      <c r="E7115">
        <v>0.51148179999999999</v>
      </c>
      <c r="F7115" t="s">
        <v>42</v>
      </c>
      <c r="G7115">
        <v>-302.13029999999998</v>
      </c>
      <c r="H7115">
        <v>0.9962723</v>
      </c>
      <c r="I7115">
        <v>-2.454949</v>
      </c>
      <c r="J7115">
        <v>-301.97730000000001</v>
      </c>
      <c r="K7115">
        <v>1.090611</v>
      </c>
      <c r="L7115">
        <v>-1.962555</v>
      </c>
      <c r="M7115">
        <v>-0.2931493</v>
      </c>
      <c r="N7115">
        <v>-1.822433E-3</v>
      </c>
      <c r="O7115">
        <v>-0.9560651</v>
      </c>
      <c r="P7115">
        <v>-0.25483479999999997</v>
      </c>
      <c r="Q7115">
        <v>-0.13647970000000001</v>
      </c>
      <c r="R7115">
        <v>-0.95730510000000002</v>
      </c>
      <c r="S7115">
        <v>-0.87585449999999998</v>
      </c>
      <c r="T7115">
        <v>-0.36980859999999999</v>
      </c>
      <c r="U7115">
        <v>-2.8471679999999999</v>
      </c>
      <c r="V7115">
        <v>-3.6018179999999997E-2</v>
      </c>
      <c r="W7115">
        <v>-0.1349398</v>
      </c>
      <c r="X7115">
        <v>0.99019900000000005</v>
      </c>
      <c r="Y7115">
        <v>-1.1635720000000001E-3</v>
      </c>
      <c r="Z7115">
        <v>0.11607430000000001</v>
      </c>
      <c r="AA7115">
        <v>0.99323989999999995</v>
      </c>
      <c r="AB7115">
        <v>22</v>
      </c>
      <c r="AC7115">
        <v>-0.152999999999963</v>
      </c>
      <c r="AD7115">
        <v>-9.4338699999999998E-2</v>
      </c>
      <c r="AE7115">
        <v>-0.492394</v>
      </c>
      <c r="AF7115">
        <v>1.8703946351949199E-3</v>
      </c>
      <c r="AG7115">
        <v>-9.4338699999999998E-2</v>
      </c>
      <c r="AH7115">
        <v>0.49891207225523498</v>
      </c>
      <c r="AI7115">
        <v>100.70749795735</v>
      </c>
      <c r="AJ7115">
        <v>89.7852021978876</v>
      </c>
      <c r="AK7115">
        <v>0.50775638305765702</v>
      </c>
      <c r="AL7115">
        <v>97.755138367545797</v>
      </c>
      <c r="AM7115">
        <v>92.083197673721202</v>
      </c>
      <c r="AN7115">
        <v>1.00000005925777</v>
      </c>
    </row>
    <row r="7116" spans="1:40" x14ac:dyDescent="0.25">
      <c r="A7116" t="str">
        <f>"20190303154949065"</f>
        <v>20190303154949065</v>
      </c>
      <c r="B7116" t="str">
        <f>"1551599389057872"</f>
        <v>1551599389057872</v>
      </c>
      <c r="C7116" t="s">
        <v>40</v>
      </c>
      <c r="D7116">
        <v>6.0096579999999999</v>
      </c>
      <c r="E7116">
        <v>0.51149449999999996</v>
      </c>
      <c r="F7116" t="s">
        <v>42</v>
      </c>
      <c r="G7116">
        <v>-302.23169999999999</v>
      </c>
      <c r="H7116">
        <v>0.98094650000000005</v>
      </c>
      <c r="I7116">
        <v>-2.8127840000000002</v>
      </c>
      <c r="J7116">
        <v>-302.03859999999997</v>
      </c>
      <c r="K7116">
        <v>1.093953</v>
      </c>
      <c r="L7116">
        <v>-2.1739199999999999</v>
      </c>
      <c r="M7116">
        <v>-0.29053899999999999</v>
      </c>
      <c r="N7116">
        <v>-1.8622759999999999E-3</v>
      </c>
      <c r="O7116">
        <v>-0.95686139999999997</v>
      </c>
      <c r="P7116">
        <v>-0.24588389999999999</v>
      </c>
      <c r="Q7116">
        <v>-0.13292300000000001</v>
      </c>
      <c r="R7116">
        <v>-0.9601421</v>
      </c>
      <c r="S7116">
        <v>-0.85421749999999996</v>
      </c>
      <c r="T7116">
        <v>-0.36800270000000002</v>
      </c>
      <c r="U7116">
        <v>-2.8539430000000001</v>
      </c>
      <c r="V7116">
        <v>-4.2276099999999997E-2</v>
      </c>
      <c r="W7116">
        <v>-0.13153899999999999</v>
      </c>
      <c r="X7116">
        <v>0.99040910000000004</v>
      </c>
      <c r="Y7116">
        <v>-5.9703300000000003E-3</v>
      </c>
      <c r="Z7116">
        <v>0.11547010000000001</v>
      </c>
      <c r="AA7116">
        <v>0.99329299999999998</v>
      </c>
      <c r="AB7116">
        <v>22</v>
      </c>
      <c r="AC7116">
        <v>-0.19310000000001501</v>
      </c>
      <c r="AD7116">
        <v>-0.1130065</v>
      </c>
      <c r="AE7116">
        <v>-0.63886399999999999</v>
      </c>
      <c r="AF7116">
        <v>-8.2142285005118399E-4</v>
      </c>
      <c r="AG7116">
        <v>-0.1130065</v>
      </c>
      <c r="AH7116">
        <v>0.64880740663154401</v>
      </c>
      <c r="AI7116">
        <v>99.880407186938399</v>
      </c>
      <c r="AJ7116">
        <v>90.072539303461099</v>
      </c>
      <c r="AK7116">
        <v>0.65857588376564402</v>
      </c>
      <c r="AL7116">
        <v>97.5585344355339</v>
      </c>
      <c r="AM7116">
        <v>92.444214780272205</v>
      </c>
      <c r="AN7116">
        <v>0.999999981257509</v>
      </c>
    </row>
    <row r="7117" spans="1:40" x14ac:dyDescent="0.25">
      <c r="A7117" t="str">
        <f>"20190303154949108"</f>
        <v>20190303154949108</v>
      </c>
      <c r="B7117" t="str">
        <f>"1551599389097887"</f>
        <v>1551599389097887</v>
      </c>
      <c r="C7117" t="s">
        <v>40</v>
      </c>
      <c r="D7117">
        <v>6.0746609999999999</v>
      </c>
      <c r="E7117">
        <v>0.48784169999999999</v>
      </c>
      <c r="F7117" t="s">
        <v>42</v>
      </c>
      <c r="G7117">
        <v>-302.27800000000002</v>
      </c>
      <c r="H7117">
        <v>0.99048890000000001</v>
      </c>
      <c r="I7117">
        <v>-3.001646</v>
      </c>
      <c r="J7117">
        <v>-302.14569999999998</v>
      </c>
      <c r="K7117">
        <v>1.099343</v>
      </c>
      <c r="L7117">
        <v>-2.5647890000000002</v>
      </c>
      <c r="M7117">
        <v>-0.28643629999999998</v>
      </c>
      <c r="N7117">
        <v>-2.730344E-3</v>
      </c>
      <c r="O7117">
        <v>-0.95809560000000005</v>
      </c>
      <c r="P7117">
        <v>-0.22640879999999999</v>
      </c>
      <c r="Q7117">
        <v>-0.13011600000000001</v>
      </c>
      <c r="R7117">
        <v>-0.96530260000000001</v>
      </c>
      <c r="S7117">
        <v>-0.8276367</v>
      </c>
      <c r="T7117">
        <v>-0.35809930000000001</v>
      </c>
      <c r="U7117">
        <v>-2.8630070000000001</v>
      </c>
      <c r="V7117">
        <v>-5.7849240000000003E-2</v>
      </c>
      <c r="W7117">
        <v>-0.12820689999999901</v>
      </c>
      <c r="X7117">
        <v>0.99005880000000002</v>
      </c>
      <c r="Y7117">
        <v>-1.0905750000000001E-2</v>
      </c>
      <c r="Z7117">
        <v>0.11154509999999999</v>
      </c>
      <c r="AA7117">
        <v>0.99369960000000002</v>
      </c>
      <c r="AB7117">
        <v>21</v>
      </c>
      <c r="AC7117">
        <v>-0.13230000000004299</v>
      </c>
      <c r="AD7117">
        <v>-0.108854099999999</v>
      </c>
      <c r="AE7117">
        <v>-0.436857</v>
      </c>
      <c r="AF7117">
        <v>1.5369413493201401E-3</v>
      </c>
      <c r="AG7117">
        <v>-0.108854099999999</v>
      </c>
      <c r="AH7117">
        <v>0.43188553301239202</v>
      </c>
      <c r="AI7117">
        <v>104.146320820252</v>
      </c>
      <c r="AJ7117">
        <v>89.796103656617802</v>
      </c>
      <c r="AK7117">
        <v>0.44539498302172098</v>
      </c>
      <c r="AL7117">
        <v>97.365988296596001</v>
      </c>
      <c r="AM7117">
        <v>93.343996338402604</v>
      </c>
      <c r="AN7117">
        <v>0.99999998561681303</v>
      </c>
    </row>
    <row r="7118" spans="1:40" x14ac:dyDescent="0.25">
      <c r="A7118" t="str">
        <f>"20190303154949133"</f>
        <v>20190303154949133</v>
      </c>
      <c r="B7118" t="str">
        <f>"1551599389128144"</f>
        <v>1551599389128144</v>
      </c>
      <c r="C7118" t="s">
        <v>40</v>
      </c>
      <c r="D7118">
        <v>5.9976839999999996</v>
      </c>
      <c r="E7118">
        <v>0.48509459999999999</v>
      </c>
      <c r="F7118" t="s">
        <v>41</v>
      </c>
      <c r="G7118">
        <v>-303.68099999999998</v>
      </c>
      <c r="H7118" s="1">
        <v>-6.2095650000000003E-7</v>
      </c>
      <c r="I7118">
        <v>-10.220980000000001</v>
      </c>
      <c r="J7118">
        <v>-302.20530000000002</v>
      </c>
      <c r="K7118">
        <v>1.101537</v>
      </c>
      <c r="L7118">
        <v>-2.7905880000000001</v>
      </c>
      <c r="M7118">
        <v>-0.28114830000000002</v>
      </c>
      <c r="N7118">
        <v>-3.1575459999999998E-3</v>
      </c>
      <c r="O7118">
        <v>-0.95965929999999999</v>
      </c>
      <c r="P7118">
        <v>-0.2157636</v>
      </c>
      <c r="Q7118">
        <v>-0.1342188</v>
      </c>
      <c r="R7118">
        <v>-0.96717719999999896</v>
      </c>
      <c r="S7118">
        <v>-0.58441160000000003</v>
      </c>
      <c r="T7118">
        <v>-0.41847069999999997</v>
      </c>
      <c r="U7118">
        <v>-2.9143680000000001</v>
      </c>
      <c r="V7118">
        <v>-6.3215430000000003E-2</v>
      </c>
      <c r="W7118">
        <v>-0.1318973</v>
      </c>
      <c r="X7118">
        <v>0.98924570000000001</v>
      </c>
      <c r="Y7118">
        <v>-8.8667300000000004E-2</v>
      </c>
      <c r="Z7118">
        <v>0.12904930000000001</v>
      </c>
      <c r="AA7118">
        <v>0.98766609999999999</v>
      </c>
      <c r="AB7118">
        <v>21</v>
      </c>
      <c r="AC7118">
        <v>-1.47569999999996</v>
      </c>
      <c r="AD7118">
        <v>-1.1015376209565</v>
      </c>
      <c r="AE7118">
        <v>-7.4303920000000003</v>
      </c>
      <c r="AF7118">
        <v>-0.65894380083648296</v>
      </c>
      <c r="AG7118">
        <v>-1.1015376209565</v>
      </c>
      <c r="AH7118">
        <v>7.3893362318592501</v>
      </c>
      <c r="AI7118">
        <v>98.445688178151499</v>
      </c>
      <c r="AJ7118">
        <v>95.095869917159305</v>
      </c>
      <c r="AK7118">
        <v>7.4999921340299496</v>
      </c>
      <c r="AL7118">
        <v>97.579243262392495</v>
      </c>
      <c r="AM7118">
        <v>93.656381027150999</v>
      </c>
      <c r="AN7118">
        <v>1.00000007165292</v>
      </c>
    </row>
    <row r="7119" spans="1:40" x14ac:dyDescent="0.25">
      <c r="A7119" t="str">
        <f>"20190303154949156"</f>
        <v>20190303154949156</v>
      </c>
      <c r="B7119" t="str">
        <f>"1551599389148641"</f>
        <v>1551599389148641</v>
      </c>
      <c r="C7119" t="s">
        <v>40</v>
      </c>
      <c r="D7119">
        <v>5.993627</v>
      </c>
      <c r="E7119">
        <v>0.48488369999999997</v>
      </c>
      <c r="F7119" t="s">
        <v>41</v>
      </c>
      <c r="G7119">
        <v>-303.54199999999997</v>
      </c>
      <c r="H7119" s="1">
        <v>-6.182158E-7</v>
      </c>
      <c r="I7119">
        <v>-10.148569999999999</v>
      </c>
      <c r="J7119">
        <v>-302.26339999999999</v>
      </c>
      <c r="K7119">
        <v>1.1035980000000001</v>
      </c>
      <c r="L7119">
        <v>-3.014221</v>
      </c>
      <c r="M7119">
        <v>-0.27391979999999999</v>
      </c>
      <c r="N7119">
        <v>-3.8104179999999999E-3</v>
      </c>
      <c r="O7119">
        <v>-0.96174519999999997</v>
      </c>
      <c r="P7119">
        <v>-0.20464940000000001</v>
      </c>
      <c r="Q7119">
        <v>-0.1403211</v>
      </c>
      <c r="R7119">
        <v>-0.96872559999999996</v>
      </c>
      <c r="S7119">
        <v>-0.53094479999999999</v>
      </c>
      <c r="T7119">
        <v>-0.43753789999999998</v>
      </c>
      <c r="U7119">
        <v>-2.9226380000000001</v>
      </c>
      <c r="V7119">
        <v>-6.7021940000000002E-2</v>
      </c>
      <c r="W7119">
        <v>-0.13730439999999999</v>
      </c>
      <c r="X7119">
        <v>0.98825879999999999</v>
      </c>
      <c r="Y7119">
        <v>-9.9260790000000002E-2</v>
      </c>
      <c r="Z7119">
        <v>0.13453080000000001</v>
      </c>
      <c r="AA7119">
        <v>0.9859253</v>
      </c>
      <c r="AB7119">
        <v>22</v>
      </c>
      <c r="AC7119">
        <v>-1.2786000000000399</v>
      </c>
      <c r="AD7119">
        <v>-1.1035986182158</v>
      </c>
      <c r="AE7119">
        <v>-7.1343489999999896</v>
      </c>
      <c r="AF7119">
        <v>-0.70813980848501901</v>
      </c>
      <c r="AG7119">
        <v>-1.1035986182158</v>
      </c>
      <c r="AH7119">
        <v>7.0483044578457497</v>
      </c>
      <c r="AI7119">
        <v>98.855049658107703</v>
      </c>
      <c r="AJ7119">
        <v>95.737227404591593</v>
      </c>
      <c r="AK7119">
        <v>7.1692389853440703</v>
      </c>
      <c r="AL7119">
        <v>97.891893785082104</v>
      </c>
      <c r="AM7119">
        <v>93.8797562543391</v>
      </c>
      <c r="AN7119">
        <v>0.99999994723908003</v>
      </c>
    </row>
    <row r="7120" spans="1:40" x14ac:dyDescent="0.25">
      <c r="A7120" t="str">
        <f>"20190303154949177"</f>
        <v>20190303154949177</v>
      </c>
      <c r="B7120" t="str">
        <f>"1551599389168160"</f>
        <v>1551599389168160</v>
      </c>
      <c r="C7120" t="s">
        <v>40</v>
      </c>
      <c r="D7120">
        <v>5.9498089999999904</v>
      </c>
      <c r="E7120">
        <v>0.48577779999999998</v>
      </c>
      <c r="F7120" t="s">
        <v>41</v>
      </c>
      <c r="G7120">
        <v>-303.45010000000002</v>
      </c>
      <c r="H7120" s="1">
        <v>-6.5558909999999997E-7</v>
      </c>
      <c r="I7120">
        <v>-10.017770000000001</v>
      </c>
      <c r="J7120">
        <v>-302.31439999999998</v>
      </c>
      <c r="K7120">
        <v>1.1057380000000001</v>
      </c>
      <c r="L7120">
        <v>-3.2153320000000001</v>
      </c>
      <c r="M7120">
        <v>-0.26682329999999999</v>
      </c>
      <c r="N7120">
        <v>-4.7009620000000004E-3</v>
      </c>
      <c r="O7120">
        <v>-0.96373419999999999</v>
      </c>
      <c r="P7120">
        <v>-0.19408230000000001</v>
      </c>
      <c r="Q7120">
        <v>-0.14280979999999999</v>
      </c>
      <c r="R7120">
        <v>-0.97053509999999998</v>
      </c>
      <c r="S7120">
        <v>-0.495697</v>
      </c>
      <c r="T7120">
        <v>-0.46096890000000001</v>
      </c>
      <c r="U7120">
        <v>-2.925354</v>
      </c>
      <c r="V7120">
        <v>-7.0491899999999996E-2</v>
      </c>
      <c r="W7120">
        <v>-0.13890089999999999</v>
      </c>
      <c r="X7120">
        <v>0.98779419999999996</v>
      </c>
      <c r="Y7120">
        <v>-0.10375959999999999</v>
      </c>
      <c r="Z7120">
        <v>0.14132999999999901</v>
      </c>
      <c r="AA7120">
        <v>0.98450990000000005</v>
      </c>
      <c r="AB7120">
        <v>22</v>
      </c>
      <c r="AC7120">
        <v>-1.1357000000000399</v>
      </c>
      <c r="AD7120">
        <v>-1.10573865558909</v>
      </c>
      <c r="AE7120">
        <v>-6.8024380000000004</v>
      </c>
      <c r="AF7120">
        <v>-0.70248569134486305</v>
      </c>
      <c r="AG7120">
        <v>-1.10573865558909</v>
      </c>
      <c r="AH7120">
        <v>6.6869524734130499</v>
      </c>
      <c r="AI7120">
        <v>99.338853431694304</v>
      </c>
      <c r="AJ7120">
        <v>95.997107284309905</v>
      </c>
      <c r="AK7120">
        <v>6.8140646828961904</v>
      </c>
      <c r="AL7120">
        <v>97.984251270073401</v>
      </c>
      <c r="AM7120">
        <v>94.081875549336502</v>
      </c>
      <c r="AN7120">
        <v>0.999999974770029</v>
      </c>
    </row>
    <row r="7121" spans="1:40" x14ac:dyDescent="0.25">
      <c r="A7121" t="str">
        <f>"20190303154949203"</f>
        <v>20190303154949203</v>
      </c>
      <c r="B7121" t="str">
        <f>"1551599389197441"</f>
        <v>1551599389197441</v>
      </c>
      <c r="C7121" t="s">
        <v>40</v>
      </c>
      <c r="D7121">
        <v>5.9085190000000001</v>
      </c>
      <c r="E7121">
        <v>0.4883576</v>
      </c>
      <c r="F7121" t="s">
        <v>41</v>
      </c>
      <c r="G7121">
        <v>-303.41969999999998</v>
      </c>
      <c r="H7121" s="1">
        <v>-6.1238700000000002E-7</v>
      </c>
      <c r="I7121">
        <v>-10.092029999999999</v>
      </c>
      <c r="J7121">
        <v>-302.36970000000002</v>
      </c>
      <c r="K7121">
        <v>1.1084969999999901</v>
      </c>
      <c r="L7121">
        <v>-3.4423520000000001</v>
      </c>
      <c r="M7121">
        <v>-0.25921850000000002</v>
      </c>
      <c r="N7121">
        <v>-5.8637619999999998E-3</v>
      </c>
      <c r="O7121">
        <v>-0.96580100000000002</v>
      </c>
      <c r="P7121">
        <v>-0.1834307</v>
      </c>
      <c r="Q7121">
        <v>-0.13740050000000001</v>
      </c>
      <c r="R7121">
        <v>-0.97338279999999999</v>
      </c>
      <c r="S7121">
        <v>-0.47058109999999997</v>
      </c>
      <c r="T7121">
        <v>-0.4707595</v>
      </c>
      <c r="U7121">
        <v>-2.9277039999999999</v>
      </c>
      <c r="V7121">
        <v>-7.3773489999999997E-2</v>
      </c>
      <c r="W7121">
        <v>-0.13239049999999999</v>
      </c>
      <c r="X7121">
        <v>0.9884484</v>
      </c>
      <c r="Y7121">
        <v>-0.10431260000000001</v>
      </c>
      <c r="Z7121">
        <v>0.14368259999999999</v>
      </c>
      <c r="AA7121">
        <v>0.98411090000000001</v>
      </c>
      <c r="AB7121">
        <v>22</v>
      </c>
      <c r="AC7121">
        <v>-1.0499999999999501</v>
      </c>
      <c r="AD7121">
        <v>-1.1084976123869901</v>
      </c>
      <c r="AE7121">
        <v>-6.6496779999999998</v>
      </c>
      <c r="AF7121">
        <v>-0.69090825349264295</v>
      </c>
      <c r="AG7121">
        <v>-1.1084976123869901</v>
      </c>
      <c r="AH7121">
        <v>6.5178432375773099</v>
      </c>
      <c r="AI7121">
        <v>99.599240252142707</v>
      </c>
      <c r="AJ7121">
        <v>96.050904680002304</v>
      </c>
      <c r="AK7121">
        <v>6.64743571921115</v>
      </c>
      <c r="AL7121">
        <v>97.607752044486105</v>
      </c>
      <c r="AM7121">
        <v>94.268393885144306</v>
      </c>
      <c r="AN7121">
        <v>1.00000000588979</v>
      </c>
    </row>
    <row r="7122" spans="1:40" x14ac:dyDescent="0.25">
      <c r="A7122" t="str">
        <f>"20190303154949224"</f>
        <v>20190303154949224</v>
      </c>
      <c r="B7122" t="str">
        <f>"1551599389217936"</f>
        <v>1551599389217936</v>
      </c>
      <c r="C7122" t="s">
        <v>40</v>
      </c>
      <c r="D7122">
        <v>5.9008180000000001</v>
      </c>
      <c r="E7122">
        <v>0.48902699999999999</v>
      </c>
      <c r="F7122" t="s">
        <v>41</v>
      </c>
      <c r="G7122">
        <v>-303.5016</v>
      </c>
      <c r="H7122" s="1">
        <v>-4.81848E-6</v>
      </c>
      <c r="I7122">
        <v>-10.679080000000001</v>
      </c>
      <c r="J7122">
        <v>-302.41629999999998</v>
      </c>
      <c r="K7122">
        <v>1.1109450000000001</v>
      </c>
      <c r="L7122">
        <v>-3.6434630000000001</v>
      </c>
      <c r="M7122">
        <v>-0.25296459999999998</v>
      </c>
      <c r="N7122">
        <v>-6.8351640000000003E-3</v>
      </c>
      <c r="O7122">
        <v>-0.96745139999999996</v>
      </c>
      <c r="P7122">
        <v>-0.17446249999999999</v>
      </c>
      <c r="Q7122">
        <v>-0.12995419999999999</v>
      </c>
      <c r="R7122">
        <v>-0.97605070000000005</v>
      </c>
      <c r="S7122">
        <v>-0.45861819999999998</v>
      </c>
      <c r="T7122">
        <v>-0.44914939999999998</v>
      </c>
      <c r="U7122">
        <v>-2.93222</v>
      </c>
      <c r="V7122">
        <v>-7.6730069999999997E-2</v>
      </c>
      <c r="W7122">
        <v>-0.1240682</v>
      </c>
      <c r="X7122">
        <v>0.98930260000000003</v>
      </c>
      <c r="Y7122">
        <v>-0.1018582</v>
      </c>
      <c r="Z7122">
        <v>0.13624459999999999</v>
      </c>
      <c r="AA7122">
        <v>0.98542490000000005</v>
      </c>
      <c r="AB7122">
        <v>21</v>
      </c>
      <c r="AC7122">
        <v>-1.0853000000000099</v>
      </c>
      <c r="AD7122">
        <v>-1.11094981848</v>
      </c>
      <c r="AE7122">
        <v>-7.0356170000000002</v>
      </c>
      <c r="AF7122">
        <v>-0.71245295834989797</v>
      </c>
      <c r="AG7122">
        <v>-1.11094981848</v>
      </c>
      <c r="AH7122">
        <v>6.9129665796719904</v>
      </c>
      <c r="AI7122">
        <v>99.0823717074435</v>
      </c>
      <c r="AJ7122">
        <v>95.884150732275899</v>
      </c>
      <c r="AK7122">
        <v>7.0378196658272003</v>
      </c>
      <c r="AL7122">
        <v>97.126948500085504</v>
      </c>
      <c r="AM7122">
        <v>94.434968125957596</v>
      </c>
      <c r="AN7122">
        <v>1.0000000281301</v>
      </c>
    </row>
    <row r="7123" spans="1:40" x14ac:dyDescent="0.25">
      <c r="A7123" t="str">
        <f>"20190303154949264"</f>
        <v>20190303154949264</v>
      </c>
      <c r="B7123" t="str">
        <f>"1551599389257952"</f>
        <v>1551599389257952</v>
      </c>
      <c r="C7123" t="s">
        <v>40</v>
      </c>
      <c r="D7123">
        <v>5.9251899999999997</v>
      </c>
      <c r="E7123">
        <v>0.49085839999999997</v>
      </c>
      <c r="F7123" t="s">
        <v>41</v>
      </c>
      <c r="G7123">
        <v>-303.5591</v>
      </c>
      <c r="H7123" s="1">
        <v>-4.6070920000000001E-6</v>
      </c>
      <c r="I7123">
        <v>-11.33024</v>
      </c>
      <c r="J7123">
        <v>-302.4939</v>
      </c>
      <c r="K7123">
        <v>1.1146039999999999</v>
      </c>
      <c r="L7123">
        <v>-4.0015260000000001</v>
      </c>
      <c r="M7123">
        <v>-0.24181440000000001</v>
      </c>
      <c r="N7123">
        <v>-8.2709129999999995E-3</v>
      </c>
      <c r="O7123">
        <v>-0.97028749999999997</v>
      </c>
      <c r="P7123">
        <v>-0.1701087</v>
      </c>
      <c r="Q7123">
        <v>-0.13000719999999999</v>
      </c>
      <c r="R7123">
        <v>-0.97681189999999996</v>
      </c>
      <c r="S7123">
        <v>-0.43695070000000003</v>
      </c>
      <c r="T7123">
        <v>-0.4247609</v>
      </c>
      <c r="U7123">
        <v>-2.938965</v>
      </c>
      <c r="V7123">
        <v>-6.9659479999999996E-2</v>
      </c>
      <c r="W7123">
        <v>-0.1226846</v>
      </c>
      <c r="X7123">
        <v>0.98999800000000004</v>
      </c>
      <c r="Y7123">
        <v>-9.7672679999999998E-2</v>
      </c>
      <c r="Z7123">
        <v>0.12762609999999999</v>
      </c>
      <c r="AA7123">
        <v>0.98700140000000003</v>
      </c>
      <c r="AB7123">
        <v>21</v>
      </c>
      <c r="AC7123">
        <v>-1.0651999999999999</v>
      </c>
      <c r="AD7123">
        <v>-1.114608607092</v>
      </c>
      <c r="AE7123">
        <v>-7.3287139999999997</v>
      </c>
      <c r="AF7123">
        <v>-0.72230172211230903</v>
      </c>
      <c r="AG7123">
        <v>-1.114608607092</v>
      </c>
      <c r="AH7123">
        <v>7.2055688068219901</v>
      </c>
      <c r="AI7123">
        <v>98.750056561803405</v>
      </c>
      <c r="AJ7123">
        <v>95.724329714758397</v>
      </c>
      <c r="AK7123">
        <v>7.3269566638964099</v>
      </c>
      <c r="AL7123">
        <v>97.047063950865606</v>
      </c>
      <c r="AM7123">
        <v>94.024883808560702</v>
      </c>
      <c r="AN7123">
        <v>0.99999999711751497</v>
      </c>
    </row>
    <row r="7124" spans="1:40" x14ac:dyDescent="0.25">
      <c r="A7124" t="str">
        <f>"20190303154949296"</f>
        <v>20190303154949296</v>
      </c>
      <c r="B7124" t="str">
        <f>"1551599389288207"</f>
        <v>1551599389288207</v>
      </c>
      <c r="C7124" t="s">
        <v>40</v>
      </c>
      <c r="D7124">
        <v>5.8485290000000001</v>
      </c>
      <c r="E7124">
        <v>0.49166339999999997</v>
      </c>
      <c r="F7124" t="s">
        <v>41</v>
      </c>
      <c r="G7124">
        <v>-303.62959999999998</v>
      </c>
      <c r="H7124" s="1">
        <v>-4.5203989999999997E-6</v>
      </c>
      <c r="I7124">
        <v>-11.62175</v>
      </c>
      <c r="J7124">
        <v>-302.55329999999998</v>
      </c>
      <c r="K7124">
        <v>1.1166860000000001</v>
      </c>
      <c r="L7124">
        <v>-4.2960510000000003</v>
      </c>
      <c r="M7124">
        <v>-0.23173460000000001</v>
      </c>
      <c r="N7124">
        <v>-9.2877889999999994E-3</v>
      </c>
      <c r="O7124">
        <v>-0.97273480000000001</v>
      </c>
      <c r="P7124">
        <v>-0.16829269999999999</v>
      </c>
      <c r="Q7124">
        <v>-0.1366434</v>
      </c>
      <c r="R7124">
        <v>-0.97622050000000005</v>
      </c>
      <c r="S7124">
        <v>-0.43786619999999998</v>
      </c>
      <c r="T7124">
        <v>-0.42970779999999997</v>
      </c>
      <c r="U7124">
        <v>-2.9377749999999998</v>
      </c>
      <c r="V7124">
        <v>-6.0993680000000002E-2</v>
      </c>
      <c r="W7124">
        <v>-0.128194</v>
      </c>
      <c r="X7124">
        <v>0.98987170000000002</v>
      </c>
      <c r="Y7124">
        <v>-8.7004319999999996E-2</v>
      </c>
      <c r="Z7124">
        <v>0.12882560000000001</v>
      </c>
      <c r="AA7124">
        <v>0.98784320000000003</v>
      </c>
      <c r="AB7124">
        <v>21</v>
      </c>
      <c r="AC7124">
        <v>-1.0763</v>
      </c>
      <c r="AD7124">
        <v>-1.1166905203990001</v>
      </c>
      <c r="AE7124">
        <v>-7.3256990000000002</v>
      </c>
      <c r="AF7124">
        <v>-0.63622041268055396</v>
      </c>
      <c r="AG7124">
        <v>-1.1166905203990001</v>
      </c>
      <c r="AH7124">
        <v>7.2116639384197496</v>
      </c>
      <c r="AI7124">
        <v>98.768539425942095</v>
      </c>
      <c r="AJ7124">
        <v>95.041640045205199</v>
      </c>
      <c r="AK7124">
        <v>7.3252898162846902</v>
      </c>
      <c r="AL7124">
        <v>97.3652432465895</v>
      </c>
      <c r="AM7124">
        <v>93.525979863094904</v>
      </c>
      <c r="AN7124">
        <v>0.999999956548415</v>
      </c>
    </row>
    <row r="7125" spans="1:40" x14ac:dyDescent="0.25">
      <c r="A7125" t="str">
        <f>"20190303154949320"</f>
        <v>20190303154949320</v>
      </c>
      <c r="B7125" t="str">
        <f>"1551599389307727"</f>
        <v>1551599389307727</v>
      </c>
      <c r="C7125" t="s">
        <v>40</v>
      </c>
      <c r="D7125">
        <v>5.8896410000000001</v>
      </c>
      <c r="E7125">
        <v>0.49194900000000003</v>
      </c>
      <c r="F7125" t="s">
        <v>41</v>
      </c>
      <c r="G7125">
        <v>-303.63029999999998</v>
      </c>
      <c r="H7125" s="1">
        <v>-4.5615240000000001E-6</v>
      </c>
      <c r="I7125">
        <v>-11.50127</v>
      </c>
      <c r="J7125">
        <v>-302.59649999999999</v>
      </c>
      <c r="K7125">
        <v>1.117909</v>
      </c>
      <c r="L7125">
        <v>-4.5212709999999996</v>
      </c>
      <c r="M7125">
        <v>-0.2235346</v>
      </c>
      <c r="N7125">
        <v>-1.00137E-2</v>
      </c>
      <c r="O7125">
        <v>-0.97464450000000002</v>
      </c>
      <c r="P7125">
        <v>-0.16632449999999999</v>
      </c>
      <c r="Q7125">
        <v>-0.1441752</v>
      </c>
      <c r="R7125">
        <v>-0.97547399999999995</v>
      </c>
      <c r="S7125">
        <v>-0.43856810000000002</v>
      </c>
      <c r="T7125">
        <v>-0.45469219999999999</v>
      </c>
      <c r="U7125">
        <v>-2.9338069999999998</v>
      </c>
      <c r="V7125">
        <v>-5.4403340000000001E-2</v>
      </c>
      <c r="W7125">
        <v>-0.1349079</v>
      </c>
      <c r="X7125">
        <v>0.98936349999999995</v>
      </c>
      <c r="Y7125">
        <v>-7.8341740000000007E-2</v>
      </c>
      <c r="Z7125">
        <v>0.13663910000000001</v>
      </c>
      <c r="AA7125">
        <v>0.98751829999999996</v>
      </c>
      <c r="AB7125">
        <v>21</v>
      </c>
      <c r="AC7125">
        <v>-1.0337999999999801</v>
      </c>
      <c r="AD7125">
        <v>-1.1179135615239999</v>
      </c>
      <c r="AE7125">
        <v>-6.9799990000000003</v>
      </c>
      <c r="AF7125">
        <v>-0.53917792054912295</v>
      </c>
      <c r="AG7125">
        <v>-1.1179135615239999</v>
      </c>
      <c r="AH7125">
        <v>6.8622159048342102</v>
      </c>
      <c r="AI7125">
        <v>99.224750123856893</v>
      </c>
      <c r="AJ7125">
        <v>94.492613127206099</v>
      </c>
      <c r="AK7125">
        <v>6.9735536626318897</v>
      </c>
      <c r="AL7125">
        <v>97.7532942273901</v>
      </c>
      <c r="AM7125">
        <v>93.147423317533296</v>
      </c>
      <c r="AN7125">
        <v>1.0000000000089</v>
      </c>
    </row>
    <row r="7126" spans="1:40" x14ac:dyDescent="0.25">
      <c r="A7126" t="str">
        <f>"20190303154949344"</f>
        <v>20190303154949344</v>
      </c>
      <c r="B7126" t="str">
        <f>"1551599389337984"</f>
        <v>1551599389337984</v>
      </c>
      <c r="C7126" t="s">
        <v>40</v>
      </c>
      <c r="D7126">
        <v>5.912477</v>
      </c>
      <c r="E7126">
        <v>0.49235459999999898</v>
      </c>
      <c r="F7126" t="s">
        <v>42</v>
      </c>
      <c r="G7126">
        <v>-302.7022</v>
      </c>
      <c r="H7126">
        <v>1.0008090000000001</v>
      </c>
      <c r="I7126">
        <v>-5.2324859999999997</v>
      </c>
      <c r="J7126">
        <v>-302.63630000000001</v>
      </c>
      <c r="K7126">
        <v>1.118976</v>
      </c>
      <c r="L7126">
        <v>-4.739166</v>
      </c>
      <c r="M7126">
        <v>-0.21534310000000001</v>
      </c>
      <c r="N7126">
        <v>-1.064115E-2</v>
      </c>
      <c r="O7126">
        <v>-0.97648060000000003</v>
      </c>
      <c r="P7126">
        <v>-0.16100429999999999</v>
      </c>
      <c r="Q7126">
        <v>-0.14974000000000001</v>
      </c>
      <c r="R7126">
        <v>-0.97552850000000002</v>
      </c>
      <c r="S7126">
        <v>-0.43484499999999998</v>
      </c>
      <c r="T7126">
        <v>-0.4830353</v>
      </c>
      <c r="U7126">
        <v>-2.9299010000000001</v>
      </c>
      <c r="V7126">
        <v>-5.1299999999999998E-2</v>
      </c>
      <c r="W7126">
        <v>-0.13980719999999999</v>
      </c>
      <c r="X7126">
        <v>0.98884899999999998</v>
      </c>
      <c r="Y7126">
        <v>-7.1193699999999999E-2</v>
      </c>
      <c r="Z7126">
        <v>0.14563119999999999</v>
      </c>
      <c r="AA7126">
        <v>0.98677400000000004</v>
      </c>
      <c r="AB7126">
        <v>21</v>
      </c>
      <c r="AC7126">
        <v>-6.5899999999999098E-2</v>
      </c>
      <c r="AD7126">
        <v>-0.118166999999999</v>
      </c>
      <c r="AE7126">
        <v>-0.49331999999999898</v>
      </c>
      <c r="AF7126">
        <v>-3.9650241252092898E-2</v>
      </c>
      <c r="AG7126">
        <v>-0.118166999999999</v>
      </c>
      <c r="AH7126">
        <v>0.46947207138336899</v>
      </c>
      <c r="AI7126">
        <v>104.079858312764</v>
      </c>
      <c r="AJ7126">
        <v>94.827577734943304</v>
      </c>
      <c r="AK7126">
        <v>0.48573614990994901</v>
      </c>
      <c r="AL7126">
        <v>98.036689543922094</v>
      </c>
      <c r="AM7126">
        <v>92.969756595664293</v>
      </c>
      <c r="AN7126">
        <v>1.0000000439864101</v>
      </c>
    </row>
    <row r="7127" spans="1:40" x14ac:dyDescent="0.25">
      <c r="A7127" t="str">
        <f>"20190303154949368"</f>
        <v>20190303154949368</v>
      </c>
      <c r="B7127" t="str">
        <f>"1551599389357505"</f>
        <v>1551599389357505</v>
      </c>
      <c r="C7127" t="s">
        <v>40</v>
      </c>
      <c r="D7127">
        <v>5.9128879999999997</v>
      </c>
      <c r="E7127">
        <v>0.49239630000000001</v>
      </c>
      <c r="F7127" t="s">
        <v>42</v>
      </c>
      <c r="G7127">
        <v>-302.75839999999999</v>
      </c>
      <c r="H7127">
        <v>0.97407319999999997</v>
      </c>
      <c r="I7127">
        <v>-5.5828100000000003</v>
      </c>
      <c r="J7127">
        <v>-302.67399999999998</v>
      </c>
      <c r="K7127">
        <v>1.120031</v>
      </c>
      <c r="L7127">
        <v>-4.9556879999999897</v>
      </c>
      <c r="M7127">
        <v>-0.20713380000000001</v>
      </c>
      <c r="N7127">
        <v>-1.1187839999999999E-2</v>
      </c>
      <c r="O7127">
        <v>-0.97824880000000003</v>
      </c>
      <c r="P7127">
        <v>-0.15391959999999999</v>
      </c>
      <c r="Q7127">
        <v>-0.1452194</v>
      </c>
      <c r="R7127">
        <v>-0.97735369999999999</v>
      </c>
      <c r="S7127">
        <v>-0.42276000000000002</v>
      </c>
      <c r="T7127">
        <v>-0.50392680000000001</v>
      </c>
      <c r="U7127">
        <v>-2.928131</v>
      </c>
      <c r="V7127">
        <v>-5.0378109999999997E-2</v>
      </c>
      <c r="W7127">
        <v>-0.13472529999999999</v>
      </c>
      <c r="X7127">
        <v>0.98960150000000002</v>
      </c>
      <c r="Y7127">
        <v>-6.6857669999999994E-2</v>
      </c>
      <c r="Z7127">
        <v>0.1522705</v>
      </c>
      <c r="AA7127">
        <v>0.98607489999999998</v>
      </c>
      <c r="AB7127">
        <v>21</v>
      </c>
      <c r="AC7127">
        <v>-8.4399999999959605E-2</v>
      </c>
      <c r="AD7127">
        <v>-0.1459578</v>
      </c>
      <c r="AE7127">
        <v>-0.62712199999999996</v>
      </c>
      <c r="AF7127">
        <v>-4.4945577829905999E-2</v>
      </c>
      <c r="AG7127">
        <v>-0.1459578</v>
      </c>
      <c r="AH7127">
        <v>0.59912616084366199</v>
      </c>
      <c r="AI7127">
        <v>103.654640719589</v>
      </c>
      <c r="AJ7127">
        <v>94.290210406995698</v>
      </c>
      <c r="AK7127">
        <v>0.61828467630580197</v>
      </c>
      <c r="AL7127">
        <v>97.742735666015193</v>
      </c>
      <c r="AM7127">
        <v>92.914267480952304</v>
      </c>
      <c r="AN7127">
        <v>0.99999999461475597</v>
      </c>
    </row>
    <row r="7128" spans="1:40" x14ac:dyDescent="0.25">
      <c r="A7128" t="str">
        <f>"20190303154949397"</f>
        <v>20190303154949397</v>
      </c>
      <c r="B7128" t="str">
        <f>"1551599389387760"</f>
        <v>1551599389387760</v>
      </c>
      <c r="C7128" t="s">
        <v>40</v>
      </c>
      <c r="D7128">
        <v>5.9290050000000001</v>
      </c>
      <c r="E7128">
        <v>0.4927047</v>
      </c>
      <c r="F7128" t="s">
        <v>42</v>
      </c>
      <c r="G7128">
        <v>-302.78579999999999</v>
      </c>
      <c r="H7128">
        <v>0.9836435</v>
      </c>
      <c r="I7128">
        <v>-5.7698939999999999</v>
      </c>
      <c r="J7128">
        <v>-302.71730000000002</v>
      </c>
      <c r="K7128">
        <v>1.121262</v>
      </c>
      <c r="L7128">
        <v>-5.220459</v>
      </c>
      <c r="M7128">
        <v>-0.19706099999999999</v>
      </c>
      <c r="N7128">
        <v>-1.1766860000000001E-2</v>
      </c>
      <c r="O7128">
        <v>-0.98032059999999999</v>
      </c>
      <c r="P7128">
        <v>-0.1483061</v>
      </c>
      <c r="Q7128">
        <v>-0.13021569999999999</v>
      </c>
      <c r="R7128">
        <v>-0.98033130000000002</v>
      </c>
      <c r="S7128">
        <v>-0.40231319999999998</v>
      </c>
      <c r="T7128">
        <v>-0.49183549999999998</v>
      </c>
      <c r="U7128">
        <v>-2.9330750000000001</v>
      </c>
      <c r="V7128">
        <v>-4.646227E-2</v>
      </c>
      <c r="W7128">
        <v>-0.1190845</v>
      </c>
      <c r="X7128">
        <v>0.99179640000000002</v>
      </c>
      <c r="Y7128">
        <v>-6.3483429999999993E-2</v>
      </c>
      <c r="Z7128">
        <v>0.14821309999999999</v>
      </c>
      <c r="AA7128">
        <v>0.98691580000000001</v>
      </c>
      <c r="AB7128">
        <v>21</v>
      </c>
      <c r="AC7128">
        <v>-6.8499999999971806E-2</v>
      </c>
      <c r="AD7128">
        <v>-0.13761849999999901</v>
      </c>
      <c r="AE7128">
        <v>-0.54943499999999901</v>
      </c>
      <c r="AF7128">
        <v>-3.8730468729871903E-2</v>
      </c>
      <c r="AG7128">
        <v>-0.13761849999999901</v>
      </c>
      <c r="AH7128">
        <v>0.52003356867142703</v>
      </c>
      <c r="AI7128">
        <v>104.783480906479</v>
      </c>
      <c r="AJ7128">
        <v>94.259346271362503</v>
      </c>
      <c r="AK7128">
        <v>0.53932718575594296</v>
      </c>
      <c r="AL7128">
        <v>96.8392695691781</v>
      </c>
      <c r="AM7128">
        <v>92.682150416118802</v>
      </c>
      <c r="AN7128">
        <v>0.99999997986338096</v>
      </c>
    </row>
    <row r="7129" spans="1:40" x14ac:dyDescent="0.25">
      <c r="A7129" t="str">
        <f>"20190303154949429"</f>
        <v>20190303154949429</v>
      </c>
      <c r="B7129" t="str">
        <f>"1551599389418017"</f>
        <v>1551599389418017</v>
      </c>
      <c r="C7129" t="s">
        <v>40</v>
      </c>
      <c r="D7129">
        <v>5.8681400000000004</v>
      </c>
      <c r="E7129">
        <v>0.46110250000000003</v>
      </c>
      <c r="F7129" t="s">
        <v>42</v>
      </c>
      <c r="G7129">
        <v>-302.81580000000002</v>
      </c>
      <c r="H7129">
        <v>1.008489</v>
      </c>
      <c r="I7129">
        <v>-5.9661559999999998</v>
      </c>
      <c r="J7129">
        <v>-302.76170000000002</v>
      </c>
      <c r="K7129">
        <v>1.1222840000000001</v>
      </c>
      <c r="L7129">
        <v>-5.5131230000000002</v>
      </c>
      <c r="M7129">
        <v>-0.18578459999999999</v>
      </c>
      <c r="N7129">
        <v>-1.230524E-2</v>
      </c>
      <c r="O7129">
        <v>-0.98251350000000004</v>
      </c>
      <c r="P7129">
        <v>-0.13775509999999999</v>
      </c>
      <c r="Q7129">
        <v>-0.1279342</v>
      </c>
      <c r="R7129">
        <v>-0.98216939999999997</v>
      </c>
      <c r="S7129">
        <v>-0.38781739999999998</v>
      </c>
      <c r="T7129">
        <v>-0.44567200000000001</v>
      </c>
      <c r="U7129">
        <v>-2.9423219999999999</v>
      </c>
      <c r="V7129">
        <v>-4.5810389999999999E-2</v>
      </c>
      <c r="W7129">
        <v>-0.11626259999999999</v>
      </c>
      <c r="X7129">
        <v>0.99216150000000003</v>
      </c>
      <c r="Y7129">
        <v>-5.6930929999999998E-2</v>
      </c>
      <c r="Z7129">
        <v>0.13312289999999999</v>
      </c>
      <c r="AA7129">
        <v>0.98946310000000004</v>
      </c>
      <c r="AB7129">
        <v>21</v>
      </c>
      <c r="AC7129">
        <v>-5.4100000000005297E-2</v>
      </c>
      <c r="AD7129">
        <v>-0.11379499999999999</v>
      </c>
      <c r="AE7129">
        <v>-0.45303299999999902</v>
      </c>
      <c r="AF7129">
        <v>-2.91985738304445E-2</v>
      </c>
      <c r="AG7129">
        <v>-0.11379499999999999</v>
      </c>
      <c r="AH7129">
        <v>0.42853845947396102</v>
      </c>
      <c r="AI7129">
        <v>104.838364577636</v>
      </c>
      <c r="AJ7129">
        <v>93.897837754875894</v>
      </c>
      <c r="AK7129">
        <v>0.44435016595816401</v>
      </c>
      <c r="AL7129">
        <v>96.676455147616693</v>
      </c>
      <c r="AM7129">
        <v>92.643601040093202</v>
      </c>
      <c r="AN7129">
        <v>1.0000000130364799</v>
      </c>
    </row>
    <row r="7130" spans="1:40" x14ac:dyDescent="0.25">
      <c r="A7130" t="str">
        <f>"20190303154949454"</f>
        <v>20190303154949454</v>
      </c>
      <c r="B7130" t="str">
        <f>"1551599389448272"</f>
        <v>1551599389448272</v>
      </c>
      <c r="C7130" t="s">
        <v>40</v>
      </c>
      <c r="D7130">
        <v>5.861529</v>
      </c>
      <c r="E7130">
        <v>0.45828439999999998</v>
      </c>
      <c r="F7130" t="s">
        <v>41</v>
      </c>
      <c r="G7130">
        <v>-303.10890000000001</v>
      </c>
      <c r="H7130" s="1">
        <v>-3.0057540000000001E-6</v>
      </c>
      <c r="I7130">
        <v>-15.332649999999999</v>
      </c>
      <c r="J7130">
        <v>-302.79390000000001</v>
      </c>
      <c r="K7130">
        <v>1.122889</v>
      </c>
      <c r="L7130">
        <v>-5.7427060000000001</v>
      </c>
      <c r="M7130">
        <v>-0.17681959999999999</v>
      </c>
      <c r="N7130">
        <v>-1.26661E-2</v>
      </c>
      <c r="O7130">
        <v>-0.98416170000000003</v>
      </c>
      <c r="P7130">
        <v>-0.12858459999999999</v>
      </c>
      <c r="Q7130">
        <v>-0.12688540000000001</v>
      </c>
      <c r="R7130">
        <v>-0.98354799999999998</v>
      </c>
      <c r="S7130">
        <v>-0.10592650000000001</v>
      </c>
      <c r="T7130">
        <v>-0.34230549999999998</v>
      </c>
      <c r="U7130">
        <v>-2.9950260000000002</v>
      </c>
      <c r="V7130">
        <v>-4.6069680000000002E-2</v>
      </c>
      <c r="W7130">
        <v>-0.114854399999999</v>
      </c>
      <c r="X7130">
        <v>0.99231349999999996</v>
      </c>
      <c r="Y7130">
        <v>-0.14198649999999999</v>
      </c>
      <c r="Z7130">
        <v>9.7714400000000007E-2</v>
      </c>
      <c r="AA7130">
        <v>0.98503390000000002</v>
      </c>
      <c r="AB7130">
        <v>21</v>
      </c>
      <c r="AC7130">
        <v>-0.314999999999997</v>
      </c>
      <c r="AD7130">
        <v>-1.1228920057539999</v>
      </c>
      <c r="AE7130">
        <v>-9.5899439999999991</v>
      </c>
      <c r="AF7130">
        <v>-1.3670678192004899</v>
      </c>
      <c r="AG7130">
        <v>-1.1228920057539999</v>
      </c>
      <c r="AH7130">
        <v>9.3662414370960594</v>
      </c>
      <c r="AI7130">
        <v>96.765391048756698</v>
      </c>
      <c r="AJ7130">
        <v>98.304078785526301</v>
      </c>
      <c r="AK7130">
        <v>9.5318539401763296</v>
      </c>
      <c r="AL7130">
        <v>96.595227035635602</v>
      </c>
      <c r="AM7130">
        <v>92.658135954476606</v>
      </c>
      <c r="AN7130">
        <v>1.0000000154484501</v>
      </c>
    </row>
    <row r="7131" spans="1:40" x14ac:dyDescent="0.25">
      <c r="A7131" t="str">
        <f>"20190303154949478"</f>
        <v>20190303154949478</v>
      </c>
      <c r="B7131" t="str">
        <f>"1551599389467792"</f>
        <v>1551599389467792</v>
      </c>
      <c r="C7131" t="s">
        <v>40</v>
      </c>
      <c r="D7131">
        <v>5.8610769999999999</v>
      </c>
      <c r="E7131">
        <v>0.4572195</v>
      </c>
      <c r="F7131" t="s">
        <v>41</v>
      </c>
      <c r="G7131">
        <v>-302.9821</v>
      </c>
      <c r="H7131" s="1">
        <v>-2.743659E-6</v>
      </c>
      <c r="I7131">
        <v>-15.864929999999999</v>
      </c>
      <c r="J7131">
        <v>-302.82229999999998</v>
      </c>
      <c r="K7131">
        <v>1.123302</v>
      </c>
      <c r="L7131">
        <v>-5.9580989999999998</v>
      </c>
      <c r="M7131">
        <v>-0.16837750000000001</v>
      </c>
      <c r="N7131">
        <v>-1.295988E-2</v>
      </c>
      <c r="O7131">
        <v>-0.98563750000000006</v>
      </c>
      <c r="P7131">
        <v>-0.1212196</v>
      </c>
      <c r="Q7131">
        <v>-0.12652469999999999</v>
      </c>
      <c r="R7131">
        <v>-0.98452919999999999</v>
      </c>
      <c r="S7131">
        <v>-5.5786130000000003E-2</v>
      </c>
      <c r="T7131">
        <v>-0.3327965</v>
      </c>
      <c r="U7131">
        <v>-2.9999690000000001</v>
      </c>
      <c r="V7131">
        <v>-4.5028409999999998E-2</v>
      </c>
      <c r="W7131">
        <v>-0.1141812</v>
      </c>
      <c r="X7131">
        <v>0.99243899999999996</v>
      </c>
      <c r="Y7131">
        <v>-0.14999319999999999</v>
      </c>
      <c r="Z7131">
        <v>9.4399150000000001E-2</v>
      </c>
      <c r="AA7131">
        <v>0.98417010000000005</v>
      </c>
      <c r="AB7131">
        <v>21</v>
      </c>
      <c r="AC7131">
        <v>-0.15980000000001801</v>
      </c>
      <c r="AD7131">
        <v>-1.123304743659</v>
      </c>
      <c r="AE7131">
        <v>-9.9068310000000004</v>
      </c>
      <c r="AF7131">
        <v>-1.49153816828914</v>
      </c>
      <c r="AG7131">
        <v>-1.123304743659</v>
      </c>
      <c r="AH7131">
        <v>9.6680069220086793</v>
      </c>
      <c r="AI7131">
        <v>96.550545760174998</v>
      </c>
      <c r="AJ7131">
        <v>98.770200720629006</v>
      </c>
      <c r="AK7131">
        <v>9.8466673295383504</v>
      </c>
      <c r="AL7131">
        <v>96.556399943628506</v>
      </c>
      <c r="AM7131">
        <v>92.597811762005506</v>
      </c>
      <c r="AN7131">
        <v>1.0000000364307799</v>
      </c>
    </row>
    <row r="7132" spans="1:40" x14ac:dyDescent="0.25">
      <c r="A7132" t="str">
        <f>"20190303154949504"</f>
        <v>20190303154949504</v>
      </c>
      <c r="B7132" t="str">
        <f>"1551599389498050"</f>
        <v>1551599389498050</v>
      </c>
      <c r="C7132" t="s">
        <v>40</v>
      </c>
      <c r="D7132">
        <v>5.8662850000000004</v>
      </c>
      <c r="E7132">
        <v>0.45674300000000001</v>
      </c>
      <c r="F7132" t="s">
        <v>41</v>
      </c>
      <c r="G7132">
        <v>-302.90519999999998</v>
      </c>
      <c r="H7132" s="1">
        <v>-2.7166040000000001E-6</v>
      </c>
      <c r="I7132">
        <v>-15.880280000000001</v>
      </c>
      <c r="J7132">
        <v>-302.85090000000002</v>
      </c>
      <c r="K7132">
        <v>1.1235790000000001</v>
      </c>
      <c r="L7132">
        <v>-6.190277</v>
      </c>
      <c r="M7132">
        <v>-0.1594266</v>
      </c>
      <c r="N7132">
        <v>-1.322576E-2</v>
      </c>
      <c r="O7132">
        <v>-0.98712129999999998</v>
      </c>
      <c r="P7132">
        <v>-0.1143373</v>
      </c>
      <c r="Q7132">
        <v>-0.12882269999999901</v>
      </c>
      <c r="R7132">
        <v>-0.98505450000000006</v>
      </c>
      <c r="S7132">
        <v>-2.505493E-2</v>
      </c>
      <c r="T7132">
        <v>-0.33967920000000001</v>
      </c>
      <c r="U7132">
        <v>-3.000397</v>
      </c>
      <c r="V7132">
        <v>-4.2931820000000002E-2</v>
      </c>
      <c r="W7132">
        <v>-0.11617909999999999</v>
      </c>
      <c r="X7132">
        <v>0.99229999999999996</v>
      </c>
      <c r="Y7132">
        <v>-0.1510985</v>
      </c>
      <c r="Z7132">
        <v>9.6549090000000004E-2</v>
      </c>
      <c r="AA7132">
        <v>0.98379240000000001</v>
      </c>
      <c r="AB7132">
        <v>21</v>
      </c>
      <c r="AC7132">
        <v>-5.4299999999955099E-2</v>
      </c>
      <c r="AD7132">
        <v>-1.1235817166040001</v>
      </c>
      <c r="AE7132">
        <v>-9.6900030000000008</v>
      </c>
      <c r="AF7132">
        <v>-1.4715888983751599</v>
      </c>
      <c r="AG7132">
        <v>-1.1235817166040001</v>
      </c>
      <c r="AH7132">
        <v>9.4476813107094006</v>
      </c>
      <c r="AI7132">
        <v>96.702077539735498</v>
      </c>
      <c r="AJ7132">
        <v>98.853358176115293</v>
      </c>
      <c r="AK7132">
        <v>9.6273927887271498</v>
      </c>
      <c r="AL7132">
        <v>96.671638347239494</v>
      </c>
      <c r="AM7132">
        <v>92.477354639685998</v>
      </c>
      <c r="AN7132">
        <v>1.00000000722266</v>
      </c>
    </row>
    <row r="7133" spans="1:40" x14ac:dyDescent="0.25">
      <c r="A7133" t="str">
        <f>"20190303154949533"</f>
        <v>20190303154949533</v>
      </c>
      <c r="B7133" t="str">
        <f>"1551599389528304"</f>
        <v>1551599389528304</v>
      </c>
      <c r="C7133" t="s">
        <v>40</v>
      </c>
      <c r="D7133">
        <v>5.8676919999999999</v>
      </c>
      <c r="E7133">
        <v>0.45749010000000001</v>
      </c>
      <c r="F7133" t="s">
        <v>41</v>
      </c>
      <c r="G7133">
        <v>-302.85129999999998</v>
      </c>
      <c r="H7133" s="1">
        <v>-2.8461409999999998E-6</v>
      </c>
      <c r="I7133">
        <v>-15.544930000000001</v>
      </c>
      <c r="J7133">
        <v>-302.88119999999998</v>
      </c>
      <c r="K7133">
        <v>1.123637</v>
      </c>
      <c r="L7133">
        <v>-6.4545589999999997</v>
      </c>
      <c r="M7133">
        <v>-0.1496352</v>
      </c>
      <c r="N7133">
        <v>-1.346632E-2</v>
      </c>
      <c r="O7133">
        <v>-0.98864969999999996</v>
      </c>
      <c r="P7133">
        <v>-0.10976420000000001</v>
      </c>
      <c r="Q7133">
        <v>-0.13953489999999999</v>
      </c>
      <c r="R7133">
        <v>-0.98411499999999996</v>
      </c>
      <c r="S7133">
        <v>-1.5258789999999999E-4</v>
      </c>
      <c r="T7133">
        <v>-0.36013770000000001</v>
      </c>
      <c r="U7133">
        <v>-2.9984130000000002</v>
      </c>
      <c r="V7133">
        <v>-3.7457360000000002E-2</v>
      </c>
      <c r="W7133">
        <v>-0.12658549999999999</v>
      </c>
      <c r="X7133">
        <v>0.99124829999999997</v>
      </c>
      <c r="Y7133">
        <v>-0.1494579</v>
      </c>
      <c r="Z7133">
        <v>0.1031923</v>
      </c>
      <c r="AA7133">
        <v>0.98336849999999998</v>
      </c>
      <c r="AB7133">
        <v>21</v>
      </c>
      <c r="AC7133">
        <v>2.98999999999978E-2</v>
      </c>
      <c r="AD7133">
        <v>-1.123639846141</v>
      </c>
      <c r="AE7133">
        <v>-9.0903709999999993</v>
      </c>
      <c r="AF7133">
        <v>-1.3690092772374101</v>
      </c>
      <c r="AG7133">
        <v>-1.123639846141</v>
      </c>
      <c r="AH7133">
        <v>8.8483407381771908</v>
      </c>
      <c r="AI7133">
        <v>97.152972740998806</v>
      </c>
      <c r="AJ7133">
        <v>98.795027935351499</v>
      </c>
      <c r="AK7133">
        <v>9.0238509918927594</v>
      </c>
      <c r="AL7133">
        <v>97.272325138094601</v>
      </c>
      <c r="AM7133">
        <v>92.164067258884302</v>
      </c>
      <c r="AN7133">
        <v>1.00000006744065</v>
      </c>
    </row>
    <row r="7134" spans="1:40" x14ac:dyDescent="0.25">
      <c r="A7134" t="str">
        <f>"20190303154949559"</f>
        <v>20190303154949559</v>
      </c>
      <c r="B7134" t="str">
        <f>"1551599389547824"</f>
        <v>1551599389547824</v>
      </c>
      <c r="C7134" t="s">
        <v>40</v>
      </c>
      <c r="D7134">
        <v>5.8535750000000002</v>
      </c>
      <c r="E7134">
        <v>0.45818930000000002</v>
      </c>
      <c r="F7134" t="s">
        <v>41</v>
      </c>
      <c r="G7134">
        <v>-302.86009999999999</v>
      </c>
      <c r="H7134" s="1">
        <v>-3.0958859999999999E-6</v>
      </c>
      <c r="I7134">
        <v>-14.96819</v>
      </c>
      <c r="J7134">
        <v>-302.90690000000001</v>
      </c>
      <c r="K7134">
        <v>1.123615</v>
      </c>
      <c r="L7134">
        <v>-6.6935729999999998</v>
      </c>
      <c r="M7134">
        <v>-0.14116770000000001</v>
      </c>
      <c r="N7134">
        <v>-1.364129E-2</v>
      </c>
      <c r="O7134">
        <v>-0.98989179999999999</v>
      </c>
      <c r="P7134">
        <v>-0.1042204</v>
      </c>
      <c r="Q7134">
        <v>-0.145863299999999</v>
      </c>
      <c r="R7134">
        <v>-0.98380000000000001</v>
      </c>
      <c r="S7134">
        <v>7.4157709999999998E-3</v>
      </c>
      <c r="T7134">
        <v>-0.39505000000000001</v>
      </c>
      <c r="U7134">
        <v>-2.9932249999999998</v>
      </c>
      <c r="V7134">
        <v>-3.445778E-2</v>
      </c>
      <c r="W7134">
        <v>-0.1326966</v>
      </c>
      <c r="X7134">
        <v>0.99055760000000004</v>
      </c>
      <c r="Y7134">
        <v>-0.1434675</v>
      </c>
      <c r="Z7134">
        <v>0.11467089999999899</v>
      </c>
      <c r="AA7134">
        <v>0.98298909999999995</v>
      </c>
      <c r="AB7134">
        <v>21</v>
      </c>
      <c r="AC7134">
        <v>4.6800000000018799E-2</v>
      </c>
      <c r="AD7134">
        <v>-1.123618095886</v>
      </c>
      <c r="AE7134">
        <v>-8.2746169999999992</v>
      </c>
      <c r="AF7134">
        <v>-1.19255937121633</v>
      </c>
      <c r="AG7134">
        <v>-1.123618095886</v>
      </c>
      <c r="AH7134">
        <v>8.03693987522405</v>
      </c>
      <c r="AI7134">
        <v>97.873637846396505</v>
      </c>
      <c r="AJ7134">
        <v>98.440234110127307</v>
      </c>
      <c r="AK7134">
        <v>8.2022629826923197</v>
      </c>
      <c r="AL7134">
        <v>97.625446115112297</v>
      </c>
      <c r="AM7134">
        <v>91.992301703036802</v>
      </c>
      <c r="AN7134">
        <v>1.0000000425859199</v>
      </c>
    </row>
    <row r="7135" spans="1:40" x14ac:dyDescent="0.25">
      <c r="A7135" t="str">
        <f>"20190303154949581"</f>
        <v>20190303154949581</v>
      </c>
      <c r="B7135" t="str">
        <f>"1551599389568320"</f>
        <v>1551599389568320</v>
      </c>
      <c r="C7135" t="s">
        <v>40</v>
      </c>
      <c r="D7135">
        <v>5.8729620000000002</v>
      </c>
      <c r="E7135">
        <v>0.45872269999999998</v>
      </c>
      <c r="F7135" t="s">
        <v>41</v>
      </c>
      <c r="G7135">
        <v>-302.85550000000001</v>
      </c>
      <c r="H7135" s="1">
        <v>-3.1556619999999999E-6</v>
      </c>
      <c r="I7135">
        <v>-14.825989999999999</v>
      </c>
      <c r="J7135">
        <v>-302.92619999999999</v>
      </c>
      <c r="K7135">
        <v>1.1234869999999999</v>
      </c>
      <c r="L7135">
        <v>-6.8829960000000003</v>
      </c>
      <c r="M7135">
        <v>-0.13488259999999999</v>
      </c>
      <c r="N7135">
        <v>-1.375171E-2</v>
      </c>
      <c r="O7135">
        <v>-0.99076620000000004</v>
      </c>
      <c r="P7135">
        <v>-0.1002046</v>
      </c>
      <c r="Q7135">
        <v>-0.15172759999999999</v>
      </c>
      <c r="R7135">
        <v>-0.98333000000000004</v>
      </c>
      <c r="S7135">
        <v>1.8920900000000001E-2</v>
      </c>
      <c r="T7135">
        <v>-0.4131341</v>
      </c>
      <c r="U7135">
        <v>-2.9901430000000002</v>
      </c>
      <c r="V7135">
        <v>-3.2135799999999999E-2</v>
      </c>
      <c r="W7135">
        <v>-0.13841800000000001</v>
      </c>
      <c r="X7135">
        <v>0.98985239999999997</v>
      </c>
      <c r="Y7135">
        <v>-0.14096210000000001</v>
      </c>
      <c r="Z7135">
        <v>0.1206686</v>
      </c>
      <c r="AA7135">
        <v>0.9826336</v>
      </c>
      <c r="AB7135">
        <v>21</v>
      </c>
      <c r="AC7135">
        <v>7.0699999999987995E-2</v>
      </c>
      <c r="AD7135">
        <v>-1.1234901556620001</v>
      </c>
      <c r="AE7135">
        <v>-7.9429939999999899</v>
      </c>
      <c r="AF7135">
        <v>-1.1191385269543199</v>
      </c>
      <c r="AG7135">
        <v>-1.1234901556620001</v>
      </c>
      <c r="AH7135">
        <v>7.7066855326286596</v>
      </c>
      <c r="AI7135">
        <v>98.209307337208401</v>
      </c>
      <c r="AJ7135">
        <v>98.262540524024701</v>
      </c>
      <c r="AK7135">
        <v>7.8681448303402997</v>
      </c>
      <c r="AL7135">
        <v>97.956312952618902</v>
      </c>
      <c r="AM7135">
        <v>91.859468375203207</v>
      </c>
      <c r="AN7135">
        <v>1.0000000130756901</v>
      </c>
    </row>
    <row r="7136" spans="1:40" x14ac:dyDescent="0.25">
      <c r="A7136" t="str">
        <f>"20190303154949603"</f>
        <v>20190303154949603</v>
      </c>
      <c r="B7136" t="str">
        <f>"1551599389597600"</f>
        <v>1551599389597600</v>
      </c>
      <c r="C7136" t="s">
        <v>40</v>
      </c>
      <c r="D7136">
        <v>5.8467539999999998</v>
      </c>
      <c r="E7136">
        <v>0.45943430000000002</v>
      </c>
      <c r="F7136" t="s">
        <v>41</v>
      </c>
      <c r="G7136">
        <v>-302.85590000000002</v>
      </c>
      <c r="H7136" s="1">
        <v>-3.2129129999999999E-6</v>
      </c>
      <c r="I7136">
        <v>-14.69279</v>
      </c>
      <c r="J7136">
        <v>-302.94659999999999</v>
      </c>
      <c r="K7136">
        <v>1.1232359999999999</v>
      </c>
      <c r="L7136">
        <v>-7.0907289999999996</v>
      </c>
      <c r="M7136">
        <v>-0.1285734</v>
      </c>
      <c r="N7136">
        <v>-1.3845980000000001E-2</v>
      </c>
      <c r="O7136">
        <v>-0.99160329999999997</v>
      </c>
      <c r="P7136">
        <v>-9.4639000000000001E-2</v>
      </c>
      <c r="Q7136">
        <v>-0.15817419999999999</v>
      </c>
      <c r="R7136">
        <v>-0.98286549999999995</v>
      </c>
      <c r="S7136">
        <v>2.6916499999999999E-2</v>
      </c>
      <c r="T7136">
        <v>-0.4297435</v>
      </c>
      <c r="U7136">
        <v>-2.9873050000000001</v>
      </c>
      <c r="V7136">
        <v>-3.1380669999999999E-2</v>
      </c>
      <c r="W7136">
        <v>-0.14474860000000001</v>
      </c>
      <c r="X7136">
        <v>0.98897080000000004</v>
      </c>
      <c r="Y7136">
        <v>-0.13728679999999999</v>
      </c>
      <c r="Z7136">
        <v>0.12621979999999999</v>
      </c>
      <c r="AA7136">
        <v>0.98245660000000001</v>
      </c>
      <c r="AB7136">
        <v>21</v>
      </c>
      <c r="AC7136">
        <v>9.0699999999969805E-2</v>
      </c>
      <c r="AD7136">
        <v>-1.123239212913</v>
      </c>
      <c r="AE7136">
        <v>-7.6020609999999902</v>
      </c>
      <c r="AF7136">
        <v>-1.04466044516206</v>
      </c>
      <c r="AG7136">
        <v>-1.123239212913</v>
      </c>
      <c r="AH7136">
        <v>7.3664909738530397</v>
      </c>
      <c r="AI7136">
        <v>98.585058665550903</v>
      </c>
      <c r="AJ7136">
        <v>98.071436813114801</v>
      </c>
      <c r="AK7136">
        <v>7.52450470416293</v>
      </c>
      <c r="AL7136">
        <v>98.322720831047803</v>
      </c>
      <c r="AM7136">
        <v>91.817421597935606</v>
      </c>
      <c r="AN7136">
        <v>1.0000000734521199</v>
      </c>
    </row>
    <row r="7137" spans="1:40" x14ac:dyDescent="0.25">
      <c r="A7137" t="str">
        <f>"20190303154949625"</f>
        <v>20190303154949625</v>
      </c>
      <c r="B7137" t="str">
        <f>"1551599389618095"</f>
        <v>1551599389618095</v>
      </c>
      <c r="C7137" t="s">
        <v>40</v>
      </c>
      <c r="D7137">
        <v>5.8390940000000002</v>
      </c>
      <c r="E7137">
        <v>0.46004089999999997</v>
      </c>
      <c r="F7137" t="s">
        <v>41</v>
      </c>
      <c r="G7137">
        <v>-302.85079999999999</v>
      </c>
      <c r="H7137" s="1">
        <v>-3.2636540000000002E-6</v>
      </c>
      <c r="I7137">
        <v>-14.571339999999999</v>
      </c>
      <c r="J7137">
        <v>-302.96589999999998</v>
      </c>
      <c r="K7137">
        <v>1.1229279999999999</v>
      </c>
      <c r="L7137">
        <v>-7.2928470000000001</v>
      </c>
      <c r="M7137">
        <v>-0.1230381</v>
      </c>
      <c r="N7137">
        <v>-1.391617E-2</v>
      </c>
      <c r="O7137">
        <v>-0.99230439999999998</v>
      </c>
      <c r="P7137">
        <v>-9.0473310000000001E-2</v>
      </c>
      <c r="Q7137">
        <v>-0.16293929999999901</v>
      </c>
      <c r="R7137">
        <v>-0.9824792</v>
      </c>
      <c r="S7137">
        <v>3.823853E-2</v>
      </c>
      <c r="T7137">
        <v>-0.44804060000000001</v>
      </c>
      <c r="U7137">
        <v>-2.9838870000000002</v>
      </c>
      <c r="V7137">
        <v>-3.0069309999999998E-2</v>
      </c>
      <c r="W7137">
        <v>-0.14941299999999999</v>
      </c>
      <c r="X7137">
        <v>0.98831749999999996</v>
      </c>
      <c r="Y7137">
        <v>-0.13548199999999999</v>
      </c>
      <c r="Z7137">
        <v>0.132324</v>
      </c>
      <c r="AA7137">
        <v>0.98190370000000005</v>
      </c>
      <c r="AB7137">
        <v>21</v>
      </c>
      <c r="AC7137">
        <v>0.11509999999998401</v>
      </c>
      <c r="AD7137">
        <v>-1.1229312636540001</v>
      </c>
      <c r="AE7137">
        <v>-7.2784929999999903</v>
      </c>
      <c r="AF7137">
        <v>-0.98637165874353605</v>
      </c>
      <c r="AG7137">
        <v>-1.1229312636540001</v>
      </c>
      <c r="AH7137">
        <v>7.0414541910847497</v>
      </c>
      <c r="AI7137">
        <v>98.974729089056098</v>
      </c>
      <c r="AJ7137">
        <v>97.974143846227904</v>
      </c>
      <c r="AK7137">
        <v>7.1983318065513604</v>
      </c>
      <c r="AL7137">
        <v>98.592911073460996</v>
      </c>
      <c r="AM7137">
        <v>91.742672024408705</v>
      </c>
      <c r="AN7137">
        <v>0.99999994438956097</v>
      </c>
    </row>
    <row r="7138" spans="1:40" x14ac:dyDescent="0.25">
      <c r="A7138" t="str">
        <f>"20190303154949665"</f>
        <v>20190303154949665</v>
      </c>
      <c r="B7138" t="str">
        <f>"1551599389658112"</f>
        <v>1551599389658112</v>
      </c>
      <c r="C7138" t="s">
        <v>40</v>
      </c>
      <c r="D7138">
        <v>5.8414640000000002</v>
      </c>
      <c r="E7138">
        <v>0.46127560000000001</v>
      </c>
      <c r="F7138" t="s">
        <v>41</v>
      </c>
      <c r="G7138">
        <v>-302.85320000000002</v>
      </c>
      <c r="H7138" s="1">
        <v>-3.2513920000000001E-6</v>
      </c>
      <c r="I7138">
        <v>-14.60144</v>
      </c>
      <c r="J7138">
        <v>-302.9991</v>
      </c>
      <c r="K7138">
        <v>1.1224069999999999</v>
      </c>
      <c r="L7138">
        <v>-7.6529539999999896</v>
      </c>
      <c r="M7138">
        <v>-0.114405199999999</v>
      </c>
      <c r="N7138">
        <v>-1.401031E-2</v>
      </c>
      <c r="O7138">
        <v>-0.99333550000000004</v>
      </c>
      <c r="P7138">
        <v>-8.5897680000000004E-2</v>
      </c>
      <c r="Q7138">
        <v>-0.16924069999999999</v>
      </c>
      <c r="R7138">
        <v>-0.98182460000000005</v>
      </c>
      <c r="S7138">
        <v>4.5959470000000002E-2</v>
      </c>
      <c r="T7138">
        <v>-0.4581324</v>
      </c>
      <c r="U7138">
        <v>-2.9817499999999999</v>
      </c>
      <c r="V7138">
        <v>-2.6164010000000001E-2</v>
      </c>
      <c r="W7138">
        <v>-0.15556449999999999</v>
      </c>
      <c r="X7138">
        <v>0.9874792</v>
      </c>
      <c r="Y7138">
        <v>-0.1294121</v>
      </c>
      <c r="Z7138">
        <v>0.1358502</v>
      </c>
      <c r="AA7138">
        <v>0.98224089999999997</v>
      </c>
      <c r="AB7138">
        <v>21</v>
      </c>
      <c r="AC7138">
        <v>0.14589999999998299</v>
      </c>
      <c r="AD7138">
        <v>-1.122410251392</v>
      </c>
      <c r="AE7138">
        <v>-6.9484859999999999</v>
      </c>
      <c r="AF7138">
        <v>-0.91607029160905495</v>
      </c>
      <c r="AG7138">
        <v>-1.122410251392</v>
      </c>
      <c r="AH7138">
        <v>6.7111253299657898</v>
      </c>
      <c r="AI7138">
        <v>99.408957574758901</v>
      </c>
      <c r="AJ7138">
        <v>97.772850421889402</v>
      </c>
      <c r="AK7138">
        <v>6.8657259445820404</v>
      </c>
      <c r="AL7138">
        <v>98.949536681561398</v>
      </c>
      <c r="AM7138">
        <v>91.517740015987897</v>
      </c>
      <c r="AN7138">
        <v>1.0000000197560801</v>
      </c>
    </row>
    <row r="7139" spans="1:40" x14ac:dyDescent="0.25">
      <c r="A7139" t="str">
        <f>"20190303154949695"</f>
        <v>20190303154949695</v>
      </c>
      <c r="B7139" t="str">
        <f>"1551599389688368"</f>
        <v>1551599389688368</v>
      </c>
      <c r="C7139" t="s">
        <v>40</v>
      </c>
      <c r="D7139">
        <v>5.8992250000000004</v>
      </c>
      <c r="E7139">
        <v>0.47219919999999999</v>
      </c>
      <c r="F7139" t="s">
        <v>41</v>
      </c>
      <c r="G7139">
        <v>-302.87869999999998</v>
      </c>
      <c r="H7139" s="1">
        <v>-3.1695790000000002E-6</v>
      </c>
      <c r="I7139">
        <v>-14.807969999999999</v>
      </c>
      <c r="J7139">
        <v>-303.02269999999999</v>
      </c>
      <c r="K7139">
        <v>1.1221410000000001</v>
      </c>
      <c r="L7139">
        <v>-7.9178769999999998</v>
      </c>
      <c r="M7139">
        <v>-0.1090555</v>
      </c>
      <c r="N7139">
        <v>-1.4061260000000001E-2</v>
      </c>
      <c r="O7139">
        <v>-0.99393620000000005</v>
      </c>
      <c r="P7139">
        <v>-8.0670989999999998E-2</v>
      </c>
      <c r="Q7139">
        <v>-0.16932649999999999</v>
      </c>
      <c r="R7139">
        <v>-0.98225309999999999</v>
      </c>
      <c r="S7139">
        <v>5.0109859999999999E-2</v>
      </c>
      <c r="T7139">
        <v>-0.46737499999999998</v>
      </c>
      <c r="U7139">
        <v>-2.9793699999999999</v>
      </c>
      <c r="V7139">
        <v>-2.6234110000000001E-2</v>
      </c>
      <c r="W7139">
        <v>-0.15557760000000001</v>
      </c>
      <c r="X7139">
        <v>0.98747529999999994</v>
      </c>
      <c r="Y7139">
        <v>-0.1254469</v>
      </c>
      <c r="Z7139">
        <v>0.13905090000000001</v>
      </c>
      <c r="AA7139">
        <v>0.98230740000000005</v>
      </c>
      <c r="AB7139">
        <v>20</v>
      </c>
      <c r="AC7139">
        <v>0.14400000000000501</v>
      </c>
      <c r="AD7139">
        <v>-1.122144169579</v>
      </c>
      <c r="AE7139">
        <v>-6.8900929999999896</v>
      </c>
      <c r="AF7139">
        <v>-0.87151148924767097</v>
      </c>
      <c r="AG7139">
        <v>-1.122144169579</v>
      </c>
      <c r="AH7139">
        <v>6.6567934580153798</v>
      </c>
      <c r="AI7139">
        <v>99.488981064595805</v>
      </c>
      <c r="AJ7139">
        <v>97.458776713332597</v>
      </c>
      <c r="AK7139">
        <v>6.8067348233853702</v>
      </c>
      <c r="AL7139">
        <v>98.950296296441905</v>
      </c>
      <c r="AM7139">
        <v>91.521810523197999</v>
      </c>
      <c r="AN7139">
        <v>1.0000000431296701</v>
      </c>
    </row>
    <row r="7140" spans="1:40" x14ac:dyDescent="0.25">
      <c r="A7140" t="str">
        <f>"20190303154949720"</f>
        <v>20190303154949720</v>
      </c>
      <c r="B7140" t="str">
        <f>"1551599389707889"</f>
        <v>1551599389707889</v>
      </c>
      <c r="C7140" t="s">
        <v>40</v>
      </c>
      <c r="D7140">
        <v>5.8344699999999996</v>
      </c>
      <c r="E7140">
        <v>0.47212539999999997</v>
      </c>
      <c r="F7140" t="s">
        <v>41</v>
      </c>
      <c r="G7140">
        <v>-303.08330000000001</v>
      </c>
      <c r="H7140" s="1">
        <v>-2.3843039999999999E-6</v>
      </c>
      <c r="I7140">
        <v>-16.765329999999999</v>
      </c>
      <c r="J7140">
        <v>-303.04239999999999</v>
      </c>
      <c r="K7140">
        <v>1.1219709999999901</v>
      </c>
      <c r="L7140">
        <v>-8.1433719999999994</v>
      </c>
      <c r="M7140">
        <v>-0.10508430000000001</v>
      </c>
      <c r="N7140">
        <v>-1.4094999999999899E-2</v>
      </c>
      <c r="O7140">
        <v>-0.99436349999999996</v>
      </c>
      <c r="P7140">
        <v>-7.7009620000000001E-2</v>
      </c>
      <c r="Q7140">
        <v>-0.16599539999999999</v>
      </c>
      <c r="R7140">
        <v>-0.98311519999999997</v>
      </c>
      <c r="S7140">
        <v>-2.0446780000000001E-2</v>
      </c>
      <c r="T7140">
        <v>-0.37887530000000003</v>
      </c>
      <c r="U7140">
        <v>-2.9872130000000001</v>
      </c>
      <c r="V7140">
        <v>-2.6133650000000001E-2</v>
      </c>
      <c r="W7140">
        <v>-0.1521894</v>
      </c>
      <c r="X7140">
        <v>0.98800580000000005</v>
      </c>
      <c r="Y7140">
        <v>-9.8228239999999994E-2</v>
      </c>
      <c r="Z7140">
        <v>0.11048620000000001</v>
      </c>
      <c r="AA7140">
        <v>0.98901159999999999</v>
      </c>
      <c r="AB7140">
        <v>20</v>
      </c>
      <c r="AC7140">
        <v>-4.0900000000021898E-2</v>
      </c>
      <c r="AD7140">
        <v>-1.1219733843039901</v>
      </c>
      <c r="AE7140">
        <v>-8.6219579999999993</v>
      </c>
      <c r="AF7140">
        <v>-0.85103791816936003</v>
      </c>
      <c r="AG7140">
        <v>-1.1219733843039901</v>
      </c>
      <c r="AH7140">
        <v>8.4356655363687292</v>
      </c>
      <c r="AI7140">
        <v>97.538255483786102</v>
      </c>
      <c r="AJ7140">
        <v>95.7608324443882</v>
      </c>
      <c r="AK7140">
        <v>8.5523998301487207</v>
      </c>
      <c r="AL7140">
        <v>98.753826686017106</v>
      </c>
      <c r="AM7140">
        <v>91.515172064845899</v>
      </c>
      <c r="AN7140">
        <v>1.00000002098416</v>
      </c>
    </row>
    <row r="7141" spans="1:40" x14ac:dyDescent="0.25">
      <c r="A7141" t="str">
        <f>"20190303154949744"</f>
        <v>20190303154949744</v>
      </c>
      <c r="B7141" t="str">
        <f>"1551599389738144"</f>
        <v>1551599389738144</v>
      </c>
      <c r="C7141" t="s">
        <v>40</v>
      </c>
      <c r="D7141">
        <v>5.8477370000000004</v>
      </c>
      <c r="E7141">
        <v>0.4728445</v>
      </c>
      <c r="F7141" t="s">
        <v>41</v>
      </c>
      <c r="G7141">
        <v>-303.06849999999997</v>
      </c>
      <c r="H7141" s="1">
        <v>-2.1906139999999998E-6</v>
      </c>
      <c r="I7141">
        <v>-17.207650000000001</v>
      </c>
      <c r="J7141">
        <v>-303.0609</v>
      </c>
      <c r="K7141">
        <v>1.121788</v>
      </c>
      <c r="L7141">
        <v>-8.3598630000000007</v>
      </c>
      <c r="M7141">
        <v>-0.1018907</v>
      </c>
      <c r="N7141">
        <v>-1.4118800000000001E-2</v>
      </c>
      <c r="O7141">
        <v>-0.99469540000000001</v>
      </c>
      <c r="P7141">
        <v>-7.401874E-2</v>
      </c>
      <c r="Q7141">
        <v>-0.16283069999999999</v>
      </c>
      <c r="R7141">
        <v>-0.98387400000000003</v>
      </c>
      <c r="S7141">
        <v>-8.6059569999999991E-3</v>
      </c>
      <c r="T7141">
        <v>-0.3699036</v>
      </c>
      <c r="U7141">
        <v>-2.9884029999999999</v>
      </c>
      <c r="V7141">
        <v>-2.61249E-2</v>
      </c>
      <c r="W7141">
        <v>-0.14897759999999999</v>
      </c>
      <c r="X7141">
        <v>0.98849540000000002</v>
      </c>
      <c r="Y7141">
        <v>-9.8954260000000002E-2</v>
      </c>
      <c r="Z7141">
        <v>0.1075619</v>
      </c>
      <c r="AA7141">
        <v>0.98926159999999996</v>
      </c>
      <c r="AB7141">
        <v>20</v>
      </c>
      <c r="AC7141">
        <v>-7.5999999999680698E-3</v>
      </c>
      <c r="AD7141">
        <v>-1.121790190614</v>
      </c>
      <c r="AE7141">
        <v>-8.8477870000000003</v>
      </c>
      <c r="AF7141">
        <v>-0.87989228679133602</v>
      </c>
      <c r="AG7141">
        <v>-1.121790190614</v>
      </c>
      <c r="AH7141">
        <v>8.6632423438703299</v>
      </c>
      <c r="AI7141">
        <v>97.340739902223604</v>
      </c>
      <c r="AJ7141">
        <v>95.799425378954894</v>
      </c>
      <c r="AK7141">
        <v>8.7797717269152695</v>
      </c>
      <c r="AL7141">
        <v>98.567681677180104</v>
      </c>
      <c r="AM7141">
        <v>91.513915133640893</v>
      </c>
      <c r="AN7141">
        <v>0.99999999576146503</v>
      </c>
    </row>
    <row r="7142" spans="1:40" x14ac:dyDescent="0.25">
      <c r="A7142" t="str">
        <f>"20190303154949771"</f>
        <v>20190303154949771</v>
      </c>
      <c r="B7142" t="str">
        <f>"1551599389767425"</f>
        <v>1551599389767425</v>
      </c>
      <c r="C7142" t="s">
        <v>40</v>
      </c>
      <c r="D7142">
        <v>5.8868169999999997</v>
      </c>
      <c r="E7142">
        <v>0.47266469999999999</v>
      </c>
      <c r="F7142" t="s">
        <v>41</v>
      </c>
      <c r="G7142">
        <v>-303.07830000000001</v>
      </c>
      <c r="H7142" s="1">
        <v>-1.9772349999999998E-6</v>
      </c>
      <c r="I7142">
        <v>-17.71115</v>
      </c>
      <c r="J7142">
        <v>-303.08170000000001</v>
      </c>
      <c r="K7142">
        <v>1.121518</v>
      </c>
      <c r="L7142">
        <v>-8.6028439999999993</v>
      </c>
      <c r="M7142">
        <v>-9.8908510000000005E-2</v>
      </c>
      <c r="N7142">
        <v>-1.414002E-2</v>
      </c>
      <c r="O7142">
        <v>-0.99499610000000005</v>
      </c>
      <c r="P7142">
        <v>-7.2071830000000003E-2</v>
      </c>
      <c r="Q7142">
        <v>-0.16450239999999999</v>
      </c>
      <c r="R7142">
        <v>-0.98374030000000001</v>
      </c>
      <c r="S7142">
        <v>-5.5541990000000001E-3</v>
      </c>
      <c r="T7142">
        <v>-0.35861279999999901</v>
      </c>
      <c r="U7142">
        <v>-2.9894099999999999</v>
      </c>
      <c r="V7142">
        <v>-2.5207469999999999E-2</v>
      </c>
      <c r="W7142">
        <v>-0.15060799999999999</v>
      </c>
      <c r="X7142">
        <v>0.98827209999999999</v>
      </c>
      <c r="Y7142">
        <v>-9.6985929999999998E-2</v>
      </c>
      <c r="Z7142">
        <v>0.1039023</v>
      </c>
      <c r="AA7142">
        <v>0.98984749999999999</v>
      </c>
      <c r="AB7142">
        <v>20</v>
      </c>
      <c r="AC7142">
        <v>3.3999999999991802E-3</v>
      </c>
      <c r="AD7142">
        <v>-1.121519977235</v>
      </c>
      <c r="AE7142">
        <v>-9.1083060000000007</v>
      </c>
      <c r="AF7142">
        <v>-0.89085574003577805</v>
      </c>
      <c r="AG7142">
        <v>-1.121519977235</v>
      </c>
      <c r="AH7142">
        <v>8.9279385619249894</v>
      </c>
      <c r="AI7142">
        <v>97.124926161028696</v>
      </c>
      <c r="AJ7142">
        <v>95.698278001973506</v>
      </c>
      <c r="AK7142">
        <v>9.04209698988012</v>
      </c>
      <c r="AL7142">
        <v>98.662162987839594</v>
      </c>
      <c r="AM7142">
        <v>91.461104239482793</v>
      </c>
      <c r="AN7142">
        <v>0.99999996492310395</v>
      </c>
    </row>
    <row r="7143" spans="1:40" x14ac:dyDescent="0.25">
      <c r="A7143" t="str">
        <f>"20190303154949800"</f>
        <v>20190303154949800</v>
      </c>
      <c r="B7143" t="str">
        <f>"1551599389787920"</f>
        <v>1551599389787920</v>
      </c>
      <c r="C7143" t="s">
        <v>40</v>
      </c>
      <c r="D7143">
        <v>5.8860320000000002</v>
      </c>
      <c r="E7143">
        <v>0.47281459999999997</v>
      </c>
      <c r="F7143" t="s">
        <v>41</v>
      </c>
      <c r="G7143">
        <v>-303.07600000000002</v>
      </c>
      <c r="H7143" s="1">
        <v>-2.0758480000000002E-6</v>
      </c>
      <c r="I7143">
        <v>-17.479869999999998</v>
      </c>
      <c r="J7143">
        <v>-303.10390000000001</v>
      </c>
      <c r="K7143">
        <v>1.121264</v>
      </c>
      <c r="L7143">
        <v>-8.8626710000000006</v>
      </c>
      <c r="M7143">
        <v>-9.6220169999999994E-2</v>
      </c>
      <c r="N7143">
        <v>-1.4160580000000001E-2</v>
      </c>
      <c r="O7143">
        <v>-0.99525929999999996</v>
      </c>
      <c r="P7143">
        <v>-7.2427179999999994E-2</v>
      </c>
      <c r="Q7143">
        <v>-0.16284289999999901</v>
      </c>
      <c r="R7143">
        <v>-0.98399029999999998</v>
      </c>
      <c r="S7143">
        <v>1.8920899999999999E-3</v>
      </c>
      <c r="T7143">
        <v>-0.3773299</v>
      </c>
      <c r="U7143">
        <v>-2.9866329999999999</v>
      </c>
      <c r="V7143">
        <v>-2.2340510000000001E-2</v>
      </c>
      <c r="W7143">
        <v>-0.14889759999999999</v>
      </c>
      <c r="X7143">
        <v>0.98860020000000004</v>
      </c>
      <c r="Y7143">
        <v>-9.6758549999999999E-2</v>
      </c>
      <c r="Z7143">
        <v>0.11011700000000001</v>
      </c>
      <c r="AA7143">
        <v>0.98919769999999896</v>
      </c>
      <c r="AB7143">
        <v>20</v>
      </c>
      <c r="AC7143">
        <v>2.7900000000045101E-2</v>
      </c>
      <c r="AD7143">
        <v>-1.121266075848</v>
      </c>
      <c r="AE7143">
        <v>-8.6171989999999994</v>
      </c>
      <c r="AF7143">
        <v>-0.84273379202801402</v>
      </c>
      <c r="AG7143">
        <v>-1.121266075848</v>
      </c>
      <c r="AH7143">
        <v>8.4317654401447193</v>
      </c>
      <c r="AI7143">
        <v>97.537697364692605</v>
      </c>
      <c r="AJ7143">
        <v>95.707614308878604</v>
      </c>
      <c r="AK7143">
        <v>8.5476374686045506</v>
      </c>
      <c r="AL7143">
        <v>98.563046497673596</v>
      </c>
      <c r="AM7143">
        <v>91.294556799538199</v>
      </c>
      <c r="AN7143">
        <v>0.99999997455642897</v>
      </c>
    </row>
    <row r="7144" spans="1:40" x14ac:dyDescent="0.25">
      <c r="A7144" t="str">
        <f>"20190303154949835"</f>
        <v>20190303154949835</v>
      </c>
      <c r="B7144" t="str">
        <f>"1551599389827936"</f>
        <v>1551599389827936</v>
      </c>
      <c r="C7144" t="s">
        <v>40</v>
      </c>
      <c r="D7144">
        <v>5.7880219999999998</v>
      </c>
      <c r="E7144">
        <v>0.47408630000000002</v>
      </c>
      <c r="F7144" t="s">
        <v>41</v>
      </c>
      <c r="G7144">
        <v>-303.10629999999998</v>
      </c>
      <c r="H7144" s="1">
        <v>-1.973766E-6</v>
      </c>
      <c r="I7144">
        <v>-17.736609999999999</v>
      </c>
      <c r="J7144">
        <v>-303.13060000000002</v>
      </c>
      <c r="K7144">
        <v>1.1209960000000001</v>
      </c>
      <c r="L7144">
        <v>-9.1717220000000008</v>
      </c>
      <c r="M7144">
        <v>-9.3922169999999999E-2</v>
      </c>
      <c r="N7144">
        <v>-1.4179590000000001E-2</v>
      </c>
      <c r="O7144">
        <v>-0.99547870000000005</v>
      </c>
      <c r="P7144">
        <v>-7.112549E-2</v>
      </c>
      <c r="Q7144">
        <v>-0.15688959999999999</v>
      </c>
      <c r="R7144">
        <v>-0.98505200000000004</v>
      </c>
      <c r="S7144">
        <v>-8.2397459999999998E-4</v>
      </c>
      <c r="T7144">
        <v>-0.37733329999999998</v>
      </c>
      <c r="U7144">
        <v>-2.9862980000000001</v>
      </c>
      <c r="V7144">
        <v>-2.1590499999999999E-2</v>
      </c>
      <c r="W7144">
        <v>-0.1428922</v>
      </c>
      <c r="X7144">
        <v>0.98950269999999996</v>
      </c>
      <c r="Y7144">
        <v>-9.3563820000000006E-2</v>
      </c>
      <c r="Z7144">
        <v>0.11017390000000001</v>
      </c>
      <c r="AA7144">
        <v>0.98949860000000001</v>
      </c>
      <c r="AB7144">
        <v>20</v>
      </c>
      <c r="AC7144">
        <v>2.43000000000392E-2</v>
      </c>
      <c r="AD7144">
        <v>-1.1209979737660001</v>
      </c>
      <c r="AE7144">
        <v>-8.5648879999999892</v>
      </c>
      <c r="AF7144">
        <v>-0.81474936790470498</v>
      </c>
      <c r="AG7144">
        <v>-1.1209979737660001</v>
      </c>
      <c r="AH7144">
        <v>8.3811659562281893</v>
      </c>
      <c r="AI7144">
        <v>97.582886037048993</v>
      </c>
      <c r="AJ7144">
        <v>95.552387189556399</v>
      </c>
      <c r="AK7144">
        <v>8.4949629649296892</v>
      </c>
      <c r="AL7144">
        <v>98.215240463677802</v>
      </c>
      <c r="AM7144">
        <v>91.249969573323</v>
      </c>
      <c r="AN7144">
        <v>0.99999996190918905</v>
      </c>
    </row>
    <row r="7145" spans="1:40" x14ac:dyDescent="0.25">
      <c r="A7145" t="str">
        <f>"20190303154949859"</f>
        <v>20190303154949859</v>
      </c>
      <c r="B7145" t="str">
        <f>"1551599389848434"</f>
        <v>1551599389848434</v>
      </c>
      <c r="C7145" t="s">
        <v>40</v>
      </c>
      <c r="D7145">
        <v>5.7887849999999998</v>
      </c>
      <c r="E7145">
        <v>0.47497679999999998</v>
      </c>
      <c r="F7145" t="s">
        <v>41</v>
      </c>
      <c r="G7145">
        <v>-303.15159999999997</v>
      </c>
      <c r="H7145" s="1">
        <v>-1.6125659999999999E-6</v>
      </c>
      <c r="I7145">
        <v>-18.606629999999999</v>
      </c>
      <c r="J7145">
        <v>-303.14940000000001</v>
      </c>
      <c r="K7145">
        <v>1.1208469999999999</v>
      </c>
      <c r="L7145">
        <v>-9.3873599999999993</v>
      </c>
      <c r="M7145">
        <v>-9.2853720000000001E-2</v>
      </c>
      <c r="N7145">
        <v>-1.418999E-2</v>
      </c>
      <c r="O7145">
        <v>-0.99557870000000004</v>
      </c>
      <c r="P7145">
        <v>-7.1344270000000001E-2</v>
      </c>
      <c r="Q7145">
        <v>-0.15241299999999999</v>
      </c>
      <c r="R7145">
        <v>-0.98573860000000002</v>
      </c>
      <c r="S7145">
        <v>-6.6528319999999896E-3</v>
      </c>
      <c r="T7145">
        <v>-0.35507440000000001</v>
      </c>
      <c r="U7145">
        <v>-2.9884949999999999</v>
      </c>
      <c r="V7145">
        <v>-2.0451960000000002E-2</v>
      </c>
      <c r="W7145">
        <v>-0.13838399999999901</v>
      </c>
      <c r="X7145">
        <v>0.99016740000000003</v>
      </c>
      <c r="Y7145">
        <v>-9.0571460000000006E-2</v>
      </c>
      <c r="Z7145">
        <v>0.1028772</v>
      </c>
      <c r="AA7145">
        <v>0.99056200000000005</v>
      </c>
      <c r="AB7145">
        <v>20</v>
      </c>
      <c r="AC7145">
        <v>-2.1999999999593399E-3</v>
      </c>
      <c r="AD7145">
        <v>-1.120848612566</v>
      </c>
      <c r="AE7145">
        <v>-9.2192699999999892</v>
      </c>
      <c r="AF7145">
        <v>-0.84150102822607298</v>
      </c>
      <c r="AG7145">
        <v>-1.120848612566</v>
      </c>
      <c r="AH7145">
        <v>9.0459298480305605</v>
      </c>
      <c r="AI7145">
        <v>97.033253176632201</v>
      </c>
      <c r="AJ7145">
        <v>95.314666123320606</v>
      </c>
      <c r="AK7145">
        <v>9.1538665277732107</v>
      </c>
      <c r="AL7145">
        <v>97.954346494809101</v>
      </c>
      <c r="AM7145">
        <v>91.183279099777707</v>
      </c>
      <c r="AN7145">
        <v>0.99999994707329898</v>
      </c>
    </row>
    <row r="7146" spans="1:40" x14ac:dyDescent="0.25">
      <c r="A7146" t="str">
        <f>"20190303154949884"</f>
        <v>20190303154949884</v>
      </c>
      <c r="B7146" t="str">
        <f>"1551599389877713"</f>
        <v>1551599389877713</v>
      </c>
      <c r="C7146" t="s">
        <v>40</v>
      </c>
      <c r="D7146">
        <v>5.7808640000000002</v>
      </c>
      <c r="E7146">
        <v>0.47607579999999999</v>
      </c>
      <c r="F7146" t="s">
        <v>41</v>
      </c>
      <c r="G7146">
        <v>-303.19580000000002</v>
      </c>
      <c r="H7146" s="1">
        <v>-1.3233000000000001E-6</v>
      </c>
      <c r="I7146">
        <v>-19.30837</v>
      </c>
      <c r="J7146">
        <v>-303.16910000000001</v>
      </c>
      <c r="K7146">
        <v>1.120682</v>
      </c>
      <c r="L7146">
        <v>-9.609375</v>
      </c>
      <c r="M7146">
        <v>-9.2225719999999997E-2</v>
      </c>
      <c r="N7146">
        <v>-1.4199700000000001E-2</v>
      </c>
      <c r="O7146">
        <v>-0.99563679999999999</v>
      </c>
      <c r="P7146">
        <v>-7.1912370000000003E-2</v>
      </c>
      <c r="Q7146">
        <v>-0.1504384</v>
      </c>
      <c r="R7146">
        <v>-0.98600049999999995</v>
      </c>
      <c r="S7146">
        <v>-1.400757E-2</v>
      </c>
      <c r="T7146">
        <v>-0.3378179</v>
      </c>
      <c r="U7146">
        <v>-2.9901430000000002</v>
      </c>
      <c r="V7146">
        <v>-1.9354900000000001E-2</v>
      </c>
      <c r="W7146">
        <v>-0.13638539999999999</v>
      </c>
      <c r="X7146">
        <v>0.99046679999999998</v>
      </c>
      <c r="Y7146">
        <v>-8.7511640000000002E-2</v>
      </c>
      <c r="Z7146">
        <v>9.7212720000000002E-2</v>
      </c>
      <c r="AA7146">
        <v>0.99140879999999998</v>
      </c>
      <c r="AB7146">
        <v>20</v>
      </c>
      <c r="AC7146">
        <v>-2.6700000000005199E-2</v>
      </c>
      <c r="AD7146">
        <v>-1.1206833233</v>
      </c>
      <c r="AE7146">
        <v>-9.698995</v>
      </c>
      <c r="AF7146">
        <v>-0.856564996733583</v>
      </c>
      <c r="AG7146">
        <v>-1.1206833233</v>
      </c>
      <c r="AH7146">
        <v>9.5328418426403605</v>
      </c>
      <c r="AI7146">
        <v>96.678270491254096</v>
      </c>
      <c r="AJ7146">
        <v>95.1344725956058</v>
      </c>
      <c r="AK7146">
        <v>9.6366336602335796</v>
      </c>
      <c r="AL7146">
        <v>97.838738205851698</v>
      </c>
      <c r="AM7146">
        <v>91.119485237526007</v>
      </c>
      <c r="AN7146">
        <v>1.0000000356947001</v>
      </c>
    </row>
    <row r="7147" spans="1:40" x14ac:dyDescent="0.25">
      <c r="A7147" t="str">
        <f>"20190303154949909"</f>
        <v>20190303154949909</v>
      </c>
      <c r="B7147" t="str">
        <f>"1551599389899184"</f>
        <v>1551599389899184</v>
      </c>
      <c r="C7147" t="s">
        <v>40</v>
      </c>
      <c r="D7147">
        <v>5.8535190000000004</v>
      </c>
      <c r="E7147">
        <v>0.47655180000000003</v>
      </c>
      <c r="F7147" t="s">
        <v>41</v>
      </c>
      <c r="G7147">
        <v>-303.25099999999998</v>
      </c>
      <c r="H7147" s="1">
        <v>-1.173252E-6</v>
      </c>
      <c r="I7147">
        <v>-19.692350000000001</v>
      </c>
      <c r="J7147">
        <v>-303.18920000000003</v>
      </c>
      <c r="K7147">
        <v>1.120514</v>
      </c>
      <c r="L7147">
        <v>-9.8320310000000006</v>
      </c>
      <c r="M7147">
        <v>-9.2009800000000003E-2</v>
      </c>
      <c r="N7147">
        <v>-1.420919E-2</v>
      </c>
      <c r="O7147">
        <v>-0.99565669999999995</v>
      </c>
      <c r="P7147">
        <v>-7.3136309999999996E-2</v>
      </c>
      <c r="Q7147">
        <v>-0.14789330000000001</v>
      </c>
      <c r="R7147">
        <v>-0.98629529999999999</v>
      </c>
      <c r="S7147">
        <v>-2.4291989999999999E-2</v>
      </c>
      <c r="T7147">
        <v>-0.3323393</v>
      </c>
      <c r="U7147">
        <v>-2.9901119999999999</v>
      </c>
      <c r="V7147">
        <v>-1.8010020000000002E-2</v>
      </c>
      <c r="W7147">
        <v>-0.133817299999999</v>
      </c>
      <c r="X7147">
        <v>0.99084229999999995</v>
      </c>
      <c r="Y7147">
        <v>-8.3888270000000001E-2</v>
      </c>
      <c r="Z7147">
        <v>9.5439949999999996E-2</v>
      </c>
      <c r="AA7147">
        <v>0.9918941</v>
      </c>
      <c r="AB7147">
        <v>20</v>
      </c>
      <c r="AC7147">
        <v>-6.1799999999948299E-2</v>
      </c>
      <c r="AD7147">
        <v>-1.120515173252</v>
      </c>
      <c r="AE7147">
        <v>-9.8603190000000005</v>
      </c>
      <c r="AF7147">
        <v>-0.83501699024810905</v>
      </c>
      <c r="AG7147">
        <v>-1.120515173252</v>
      </c>
      <c r="AH7147">
        <v>9.6989259171592401</v>
      </c>
      <c r="AI7147">
        <v>96.566078733282495</v>
      </c>
      <c r="AJ7147">
        <v>94.920675398566601</v>
      </c>
      <c r="AK7147">
        <v>9.79908013917807</v>
      </c>
      <c r="AL7147">
        <v>97.690236056298701</v>
      </c>
      <c r="AM7147">
        <v>91.041320618336698</v>
      </c>
      <c r="AN7147">
        <v>0.99999994703448802</v>
      </c>
    </row>
    <row r="7148" spans="1:40" x14ac:dyDescent="0.25">
      <c r="A7148" t="str">
        <f>"20190303154950074"</f>
        <v>20190303154950074</v>
      </c>
      <c r="B7148" t="str">
        <f>"1551599390068032"</f>
        <v>1551599390068032</v>
      </c>
      <c r="C7148" t="s">
        <v>40</v>
      </c>
      <c r="D7148">
        <v>5.9291980000000004</v>
      </c>
      <c r="E7148">
        <v>0.54568739999999905</v>
      </c>
      <c r="F7148" t="s">
        <v>41</v>
      </c>
      <c r="G7148">
        <v>-303.29790000000003</v>
      </c>
      <c r="H7148" s="1">
        <v>-1.0143209999999999E-6</v>
      </c>
      <c r="I7148">
        <v>-20.091909999999999</v>
      </c>
      <c r="J7148">
        <v>-303.33210000000003</v>
      </c>
      <c r="K7148">
        <v>1.1200600000000001</v>
      </c>
      <c r="L7148">
        <v>-11.29623</v>
      </c>
      <c r="M7148">
        <v>-9.7006700000000001E-2</v>
      </c>
      <c r="N7148">
        <v>-1.4247060000000001E-2</v>
      </c>
      <c r="O7148">
        <v>-0.99518189999999995</v>
      </c>
      <c r="P7148">
        <v>-7.9806619999999995E-2</v>
      </c>
      <c r="Q7148">
        <v>-0.1519297</v>
      </c>
      <c r="R7148">
        <v>-0.98516459999999995</v>
      </c>
      <c r="S7148">
        <v>-3.1677249999999997E-2</v>
      </c>
      <c r="T7148">
        <v>-0.3265864</v>
      </c>
      <c r="U7148">
        <v>-2.9903559999999998</v>
      </c>
      <c r="V7148">
        <v>-1.6387470000000001E-2</v>
      </c>
      <c r="W7148">
        <v>-0.13780609999999999</v>
      </c>
      <c r="X7148">
        <v>0.99032370000000003</v>
      </c>
      <c r="Y7148">
        <v>-8.6438039999999994E-2</v>
      </c>
      <c r="Z7148">
        <v>9.3428529999999996E-2</v>
      </c>
      <c r="AA7148">
        <v>0.99186669999999999</v>
      </c>
      <c r="AB7148">
        <v>20</v>
      </c>
      <c r="AC7148">
        <v>3.4199999999998398E-2</v>
      </c>
      <c r="AD7148">
        <v>-1.1200610143209999</v>
      </c>
      <c r="AE7148">
        <v>-8.7956800000000008</v>
      </c>
      <c r="AF7148">
        <v>-0.87320533561271096</v>
      </c>
      <c r="AG7148">
        <v>-1.1200610143209999</v>
      </c>
      <c r="AH7148">
        <v>8.6112328958312503</v>
      </c>
      <c r="AI7148">
        <v>97.373449912512797</v>
      </c>
      <c r="AJ7148">
        <v>95.790175312377798</v>
      </c>
      <c r="AK7148">
        <v>8.7275630172569105</v>
      </c>
      <c r="AL7148">
        <v>97.920914128198902</v>
      </c>
      <c r="AM7148">
        <v>90.948020512476603</v>
      </c>
      <c r="AN7148">
        <v>1.0000000505759401</v>
      </c>
    </row>
    <row r="7149" spans="1:40" x14ac:dyDescent="0.25">
      <c r="A7149" t="str">
        <f>"20190303154950100"</f>
        <v>20190303154950100</v>
      </c>
      <c r="B7149" t="str">
        <f>"1551599390087553"</f>
        <v>1551599390087553</v>
      </c>
      <c r="C7149" t="s">
        <v>40</v>
      </c>
      <c r="D7149">
        <v>5.8693049999999998</v>
      </c>
      <c r="E7149">
        <v>0.50146029999999997</v>
      </c>
      <c r="F7149" t="s">
        <v>69</v>
      </c>
      <c r="G7149">
        <v>-317.28140000000002</v>
      </c>
      <c r="H7149">
        <v>36.533969999999997</v>
      </c>
      <c r="I7149">
        <v>-90.976820000000004</v>
      </c>
      <c r="J7149">
        <v>-303.3544</v>
      </c>
      <c r="K7149">
        <v>1.1201190000000001</v>
      </c>
      <c r="L7149">
        <v>-11.511900000000001</v>
      </c>
      <c r="M7149">
        <v>-9.8055600000000007E-2</v>
      </c>
      <c r="N7149">
        <v>-1.4247660000000001E-2</v>
      </c>
      <c r="O7149">
        <v>-0.99507900000000005</v>
      </c>
      <c r="P7149">
        <v>-7.9315510000000006E-2</v>
      </c>
      <c r="Q7149">
        <v>-0.15161920000000001</v>
      </c>
      <c r="R7149">
        <v>-0.98525200000000002</v>
      </c>
      <c r="S7149">
        <v>-0.56375120000000001</v>
      </c>
      <c r="T7149">
        <v>1.4312339999999999</v>
      </c>
      <c r="U7149">
        <v>-3.2202449999999998</v>
      </c>
      <c r="V7149">
        <v>-1.79017E-2</v>
      </c>
      <c r="W7149">
        <v>-0.13749520000000001</v>
      </c>
      <c r="X7149">
        <v>0.99034069999999996</v>
      </c>
      <c r="Y7149">
        <v>5.9733429999999997E-2</v>
      </c>
      <c r="Z7149">
        <v>-0.41342250000000003</v>
      </c>
      <c r="AA7149">
        <v>0.90857790000000005</v>
      </c>
      <c r="AB7149">
        <v>20</v>
      </c>
      <c r="AC7149">
        <v>-13.927</v>
      </c>
      <c r="AD7149">
        <v>35.413851000000001</v>
      </c>
      <c r="AE7149">
        <v>-79.464919999999907</v>
      </c>
      <c r="AF7149">
        <v>5.0869098984021104</v>
      </c>
      <c r="AG7149">
        <v>35.413851000000001</v>
      </c>
      <c r="AH7149">
        <v>67.450668296869296</v>
      </c>
      <c r="AI7149">
        <v>62.365847525916102</v>
      </c>
      <c r="AJ7149">
        <v>85.687103201809293</v>
      </c>
      <c r="AK7149">
        <v>76.351883726984397</v>
      </c>
      <c r="AL7149">
        <v>97.902929667133094</v>
      </c>
      <c r="AM7149">
        <v>91.035583170637096</v>
      </c>
      <c r="AN7149">
        <v>1.0000000514812</v>
      </c>
    </row>
    <row r="7150" spans="1:40" x14ac:dyDescent="0.25">
      <c r="A7150" t="str">
        <f>"20190303154950125"</f>
        <v>20190303154950125</v>
      </c>
      <c r="B7150" t="str">
        <f>"1551599390117809"</f>
        <v>1551599390117809</v>
      </c>
      <c r="C7150" t="s">
        <v>40</v>
      </c>
      <c r="D7150">
        <v>5.801558</v>
      </c>
      <c r="E7150">
        <v>0.49840849999999998</v>
      </c>
      <c r="F7150" t="s">
        <v>41</v>
      </c>
      <c r="G7150">
        <v>-304.94029999999998</v>
      </c>
      <c r="H7150" s="1">
        <v>-4.984948E-6</v>
      </c>
      <c r="I7150">
        <v>-30.939830000000001</v>
      </c>
      <c r="J7150">
        <v>-303.37709999999998</v>
      </c>
      <c r="K7150">
        <v>1.1201920000000001</v>
      </c>
      <c r="L7150">
        <v>-11.73016</v>
      </c>
      <c r="M7150">
        <v>-9.9028679999999994E-2</v>
      </c>
      <c r="N7150">
        <v>-1.4247320000000001E-2</v>
      </c>
      <c r="O7150">
        <v>-0.99498299999999995</v>
      </c>
      <c r="P7150">
        <v>-7.7305680000000002E-2</v>
      </c>
      <c r="Q7150">
        <v>-0.15031659999999999</v>
      </c>
      <c r="R7150">
        <v>-0.98561129999999997</v>
      </c>
      <c r="S7150">
        <v>-0.24478150000000001</v>
      </c>
      <c r="T7150">
        <v>-0.17288510000000001</v>
      </c>
      <c r="U7150">
        <v>-2.998596</v>
      </c>
      <c r="V7150">
        <v>-2.087433E-2</v>
      </c>
      <c r="W7150">
        <v>-0.13619049999999999</v>
      </c>
      <c r="X7150">
        <v>0.99046270000000003</v>
      </c>
      <c r="Y7150">
        <v>-1.7815029999999999E-2</v>
      </c>
      <c r="Z7150">
        <v>4.2864909999999999E-2</v>
      </c>
      <c r="AA7150">
        <v>0.99892199999999998</v>
      </c>
      <c r="AB7150">
        <v>20</v>
      </c>
      <c r="AC7150">
        <v>-1.5631999999999899</v>
      </c>
      <c r="AD7150">
        <v>-1.120196984948</v>
      </c>
      <c r="AE7150">
        <v>-19.209669999999999</v>
      </c>
      <c r="AF7150">
        <v>-0.34581767736818703</v>
      </c>
      <c r="AG7150">
        <v>-1.120196984948</v>
      </c>
      <c r="AH7150">
        <v>19.205166062940599</v>
      </c>
      <c r="AI7150">
        <v>93.337620413557701</v>
      </c>
      <c r="AJ7150">
        <v>91.031584538313098</v>
      </c>
      <c r="AK7150">
        <v>19.240915639755599</v>
      </c>
      <c r="AL7150">
        <v>97.827466559547105</v>
      </c>
      <c r="AM7150">
        <v>91.207348827060699</v>
      </c>
      <c r="AN7150">
        <v>0.99999997501724402</v>
      </c>
    </row>
    <row r="7151" spans="1:40" x14ac:dyDescent="0.25">
      <c r="A7151" t="str">
        <f>"20190303154950154"</f>
        <v>20190303154950154</v>
      </c>
      <c r="B7151" t="str">
        <f>"1551599390148065"</f>
        <v>1551599390148065</v>
      </c>
      <c r="C7151" t="s">
        <v>40</v>
      </c>
      <c r="D7151">
        <v>5.811312</v>
      </c>
      <c r="E7151">
        <v>0.49655139999999998</v>
      </c>
      <c r="F7151" t="s">
        <v>41</v>
      </c>
      <c r="G7151">
        <v>-304.60599999999999</v>
      </c>
      <c r="H7151" s="1">
        <v>-1.899195E-6</v>
      </c>
      <c r="I7151">
        <v>-28.84057</v>
      </c>
      <c r="J7151">
        <v>-303.40370000000001</v>
      </c>
      <c r="K7151">
        <v>1.120279</v>
      </c>
      <c r="L7151">
        <v>-11.983700000000001</v>
      </c>
      <c r="M7151">
        <v>-0.1000004</v>
      </c>
      <c r="N7151">
        <v>-1.4245519999999999E-2</v>
      </c>
      <c r="O7151">
        <v>-0.99488540000000003</v>
      </c>
      <c r="P7151">
        <v>-7.3750659999999996E-2</v>
      </c>
      <c r="Q7151">
        <v>-0.14927499999999999</v>
      </c>
      <c r="R7151">
        <v>-0.98604150000000002</v>
      </c>
      <c r="S7151">
        <v>-0.2152405</v>
      </c>
      <c r="T7151">
        <v>-0.19620799999999999</v>
      </c>
      <c r="U7151">
        <v>-2.9969790000000001</v>
      </c>
      <c r="V7151">
        <v>-2.538433E-2</v>
      </c>
      <c r="W7151">
        <v>-0.1351503</v>
      </c>
      <c r="X7151">
        <v>0.99049989999999999</v>
      </c>
      <c r="Y7151">
        <v>-2.8554090000000001E-2</v>
      </c>
      <c r="Z7151">
        <v>5.0571459999999999E-2</v>
      </c>
      <c r="AA7151">
        <v>0.99831219999999998</v>
      </c>
      <c r="AB7151">
        <v>20</v>
      </c>
      <c r="AC7151">
        <v>-1.2022999999999699</v>
      </c>
      <c r="AD7151">
        <v>-1.120280899195</v>
      </c>
      <c r="AE7151">
        <v>-16.856870000000001</v>
      </c>
      <c r="AF7151">
        <v>-0.48745067598192299</v>
      </c>
      <c r="AG7151">
        <v>-1.120280899195</v>
      </c>
      <c r="AH7151">
        <v>16.8186911947504</v>
      </c>
      <c r="AI7151">
        <v>93.809206506364802</v>
      </c>
      <c r="AJ7151">
        <v>91.660120281027403</v>
      </c>
      <c r="AK7151">
        <v>16.8630071742555</v>
      </c>
      <c r="AL7151">
        <v>97.767311019095004</v>
      </c>
      <c r="AM7151">
        <v>91.468043245681301</v>
      </c>
      <c r="AN7151">
        <v>1.0000000098498201</v>
      </c>
    </row>
    <row r="7152" spans="1:40" x14ac:dyDescent="0.25">
      <c r="A7152" t="str">
        <f>"20190303154950180"</f>
        <v>20190303154950180</v>
      </c>
      <c r="B7152" t="str">
        <f>"1551599390167585"</f>
        <v>1551599390167585</v>
      </c>
      <c r="C7152" t="s">
        <v>40</v>
      </c>
      <c r="D7152">
        <v>5.7975789999999998</v>
      </c>
      <c r="E7152">
        <v>0.49605490000000002</v>
      </c>
      <c r="F7152" t="s">
        <v>41</v>
      </c>
      <c r="G7152">
        <v>-304.42559999999997</v>
      </c>
      <c r="H7152" s="1">
        <v>-2.1261510000000002E-6</v>
      </c>
      <c r="I7152">
        <v>-28.199660000000002</v>
      </c>
      <c r="J7152">
        <v>-303.42720000000003</v>
      </c>
      <c r="K7152">
        <v>1.1203419999999999</v>
      </c>
      <c r="L7152">
        <v>-12.20749</v>
      </c>
      <c r="M7152">
        <v>-0.1007266</v>
      </c>
      <c r="N7152">
        <v>-1.4243E-2</v>
      </c>
      <c r="O7152">
        <v>-0.99481249999999999</v>
      </c>
      <c r="P7152">
        <v>-6.4352119999999999E-2</v>
      </c>
      <c r="Q7152">
        <v>-0.14338770000000001</v>
      </c>
      <c r="R7152">
        <v>-0.98757240000000002</v>
      </c>
      <c r="S7152">
        <v>-0.18887329999999999</v>
      </c>
      <c r="T7152">
        <v>-0.20704880000000001</v>
      </c>
      <c r="U7152">
        <v>-2.9970089999999998</v>
      </c>
      <c r="V7152">
        <v>-3.5577449999999997E-2</v>
      </c>
      <c r="W7152">
        <v>-0.12925420000000001</v>
      </c>
      <c r="X7152">
        <v>0.99097310000000005</v>
      </c>
      <c r="Y7152">
        <v>-3.8031580000000002E-2</v>
      </c>
      <c r="Z7152">
        <v>5.4132689999999997E-2</v>
      </c>
      <c r="AA7152">
        <v>0.99780919999999895</v>
      </c>
      <c r="AB7152">
        <v>19</v>
      </c>
      <c r="AC7152">
        <v>-0.998399999999946</v>
      </c>
      <c r="AD7152">
        <v>-1.1203441261510001</v>
      </c>
      <c r="AE7152">
        <v>-15.9921699999999</v>
      </c>
      <c r="AF7152">
        <v>-0.614673582737296</v>
      </c>
      <c r="AG7152">
        <v>-1.1203441261510001</v>
      </c>
      <c r="AH7152">
        <v>15.933500172770801</v>
      </c>
      <c r="AI7152">
        <v>94.0190816507817</v>
      </c>
      <c r="AJ7152">
        <v>92.209228761849602</v>
      </c>
      <c r="AK7152">
        <v>15.984662096209799</v>
      </c>
      <c r="AL7152">
        <v>97.4264971952948</v>
      </c>
      <c r="AM7152">
        <v>92.056123030227994</v>
      </c>
      <c r="AN7152">
        <v>1.00000004404487</v>
      </c>
    </row>
    <row r="7153" spans="1:40" x14ac:dyDescent="0.25">
      <c r="A7153" t="str">
        <f>"20190303154950213"</f>
        <v>20190303154950213</v>
      </c>
      <c r="B7153" t="str">
        <f>"1551599390207601"</f>
        <v>1551599390207601</v>
      </c>
      <c r="C7153" t="s">
        <v>40</v>
      </c>
      <c r="D7153">
        <v>5.7631649999999999</v>
      </c>
      <c r="E7153">
        <v>0.49627260000000001</v>
      </c>
      <c r="F7153" t="s">
        <v>41</v>
      </c>
      <c r="G7153">
        <v>-304.3023</v>
      </c>
      <c r="H7153" s="1">
        <v>-1.642463E-6</v>
      </c>
      <c r="I7153">
        <v>-29.25067</v>
      </c>
      <c r="J7153">
        <v>-303.45650000000001</v>
      </c>
      <c r="K7153">
        <v>1.120452</v>
      </c>
      <c r="L7153">
        <v>-12.48672</v>
      </c>
      <c r="M7153">
        <v>-0.10143199999999999</v>
      </c>
      <c r="N7153">
        <v>-1.4238779999999999E-2</v>
      </c>
      <c r="O7153">
        <v>-0.99474059999999997</v>
      </c>
      <c r="P7153">
        <v>-5.970719E-2</v>
      </c>
      <c r="Q7153">
        <v>-0.1390634</v>
      </c>
      <c r="R7153">
        <v>-0.98848170000000002</v>
      </c>
      <c r="S7153">
        <v>-0.15399170000000001</v>
      </c>
      <c r="T7153">
        <v>-0.19714670000000001</v>
      </c>
      <c r="U7153">
        <v>-2.9990839999999999</v>
      </c>
      <c r="V7153">
        <v>-4.0954959999999999E-2</v>
      </c>
      <c r="W7153">
        <v>-0.12493460000000001</v>
      </c>
      <c r="X7153">
        <v>0.99131939999999996</v>
      </c>
      <c r="Y7153">
        <v>-5.0332479999999999E-2</v>
      </c>
      <c r="Z7153">
        <v>5.0825460000000003E-2</v>
      </c>
      <c r="AA7153">
        <v>0.99743839999999995</v>
      </c>
      <c r="AB7153">
        <v>19</v>
      </c>
      <c r="AC7153">
        <v>-0.845799999999997</v>
      </c>
      <c r="AD7153">
        <v>-1.1204536424630001</v>
      </c>
      <c r="AE7153">
        <v>-16.763950000000001</v>
      </c>
      <c r="AF7153">
        <v>-0.85532524524982101</v>
      </c>
      <c r="AG7153">
        <v>-1.1204536424630001</v>
      </c>
      <c r="AH7153">
        <v>16.688908470681401</v>
      </c>
      <c r="AI7153">
        <v>93.835918899561506</v>
      </c>
      <c r="AJ7153">
        <v>92.933905841523895</v>
      </c>
      <c r="AK7153">
        <v>16.748333158343002</v>
      </c>
      <c r="AL7153">
        <v>97.176978613119203</v>
      </c>
      <c r="AM7153">
        <v>92.365748804553405</v>
      </c>
      <c r="AN7153">
        <v>1.00000005792105</v>
      </c>
    </row>
    <row r="7154" spans="1:40" x14ac:dyDescent="0.25">
      <c r="A7154" t="str">
        <f>"20190303154950237"</f>
        <v>20190303154950237</v>
      </c>
      <c r="B7154" t="str">
        <f>"1551599390228097"</f>
        <v>1551599390228097</v>
      </c>
      <c r="C7154" t="s">
        <v>40</v>
      </c>
      <c r="D7154">
        <v>5.815239</v>
      </c>
      <c r="E7154">
        <v>0.49665939999999997</v>
      </c>
      <c r="F7154" t="s">
        <v>41</v>
      </c>
      <c r="G7154">
        <v>-304.2758</v>
      </c>
      <c r="H7154" s="1">
        <v>-1.360205E-6</v>
      </c>
      <c r="I7154">
        <v>-29.89218</v>
      </c>
      <c r="J7154">
        <v>-303.4796</v>
      </c>
      <c r="K7154">
        <v>1.1205510000000001</v>
      </c>
      <c r="L7154">
        <v>-12.70642</v>
      </c>
      <c r="M7154">
        <v>-0.1018544</v>
      </c>
      <c r="N7154">
        <v>-1.423495E-2</v>
      </c>
      <c r="O7154">
        <v>-0.99469790000000002</v>
      </c>
      <c r="P7154">
        <v>-5.427945E-2</v>
      </c>
      <c r="Q7154">
        <v>-0.1380864</v>
      </c>
      <c r="R7154">
        <v>-0.98893209999999998</v>
      </c>
      <c r="S7154">
        <v>-0.1411743</v>
      </c>
      <c r="T7154">
        <v>-0.19307389999999999</v>
      </c>
      <c r="U7154">
        <v>-2.9992679999999998</v>
      </c>
      <c r="V7154">
        <v>-4.6794910000000002E-2</v>
      </c>
      <c r="W7154">
        <v>-0.12396889999999899</v>
      </c>
      <c r="X7154">
        <v>0.99118209999999995</v>
      </c>
      <c r="Y7154">
        <v>-5.5006010000000001E-2</v>
      </c>
      <c r="Z7154">
        <v>4.9478609999999999E-2</v>
      </c>
      <c r="AA7154">
        <v>0.99725929999999996</v>
      </c>
      <c r="AB7154">
        <v>19</v>
      </c>
      <c r="AC7154">
        <v>-0.79619999999999802</v>
      </c>
      <c r="AD7154">
        <v>-1.120552360205</v>
      </c>
      <c r="AE7154">
        <v>-17.185759999999998</v>
      </c>
      <c r="AF7154">
        <v>-0.95451423197520802</v>
      </c>
      <c r="AG7154">
        <v>-1.120552360205</v>
      </c>
      <c r="AH7154">
        <v>17.104905695919001</v>
      </c>
      <c r="AI7154">
        <v>93.742318490824502</v>
      </c>
      <c r="AJ7154">
        <v>93.193994477655195</v>
      </c>
      <c r="AK7154">
        <v>17.168125520198299</v>
      </c>
      <c r="AL7154">
        <v>97.121214940165899</v>
      </c>
      <c r="AM7154">
        <v>92.702996251543695</v>
      </c>
      <c r="AN7154">
        <v>1.00000000356476</v>
      </c>
    </row>
    <row r="7155" spans="1:40" x14ac:dyDescent="0.25">
      <c r="A7155" t="str">
        <f>"20190303154950264"</f>
        <v>20190303154950264</v>
      </c>
      <c r="B7155" t="str">
        <f>"1551599390258353"</f>
        <v>1551599390258353</v>
      </c>
      <c r="C7155" t="s">
        <v>40</v>
      </c>
      <c r="D7155">
        <v>5.7596189999999998</v>
      </c>
      <c r="E7155">
        <v>0.49736940000000002</v>
      </c>
      <c r="F7155" t="s">
        <v>41</v>
      </c>
      <c r="G7155">
        <v>-304.21260000000001</v>
      </c>
      <c r="H7155" s="1">
        <v>-1.3201530000000001E-6</v>
      </c>
      <c r="I7155">
        <v>-29.946370000000002</v>
      </c>
      <c r="J7155">
        <v>-303.50200000000001</v>
      </c>
      <c r="K7155">
        <v>1.1206560000000001</v>
      </c>
      <c r="L7155">
        <v>-12.920719999999999</v>
      </c>
      <c r="M7155">
        <v>-0.1021352</v>
      </c>
      <c r="N7155">
        <v>-1.4230949999999999E-2</v>
      </c>
      <c r="O7155">
        <v>-0.99466880000000002</v>
      </c>
      <c r="P7155">
        <v>-4.8249470000000003E-2</v>
      </c>
      <c r="Q7155">
        <v>-0.1387275</v>
      </c>
      <c r="R7155">
        <v>-0.98915450000000005</v>
      </c>
      <c r="S7155">
        <v>-0.12753299999999901</v>
      </c>
      <c r="T7155">
        <v>-0.1949506</v>
      </c>
      <c r="U7155">
        <v>-2.9993590000000001</v>
      </c>
      <c r="V7155">
        <v>-5.3071279999999998E-2</v>
      </c>
      <c r="W7155">
        <v>-0.1246275</v>
      </c>
      <c r="X7155">
        <v>0.99078319999999998</v>
      </c>
      <c r="Y7155">
        <v>-5.9813560000000002E-2</v>
      </c>
      <c r="Z7155">
        <v>5.0088830000000001E-2</v>
      </c>
      <c r="AA7155">
        <v>0.99695210000000001</v>
      </c>
      <c r="AB7155">
        <v>19</v>
      </c>
      <c r="AC7155">
        <v>-0.71059999999999901</v>
      </c>
      <c r="AD7155">
        <v>-1.1206573201529999</v>
      </c>
      <c r="AE7155">
        <v>-17.025649999999999</v>
      </c>
      <c r="AF7155">
        <v>-1.02776592340756</v>
      </c>
      <c r="AG7155">
        <v>-1.1206573201529999</v>
      </c>
      <c r="AH7155">
        <v>16.9359340805415</v>
      </c>
      <c r="AI7155">
        <v>93.778833393971198</v>
      </c>
      <c r="AJ7155">
        <v>93.472765119013701</v>
      </c>
      <c r="AK7155">
        <v>17.004059480105798</v>
      </c>
      <c r="AL7155">
        <v>97.159245166141602</v>
      </c>
      <c r="AM7155">
        <v>93.066116950212304</v>
      </c>
      <c r="AN7155">
        <v>0.99999996195966301</v>
      </c>
    </row>
    <row r="7156" spans="1:40" x14ac:dyDescent="0.25">
      <c r="A7156" t="str">
        <f>"20190303154950291"</f>
        <v>20190303154950291</v>
      </c>
      <c r="B7156" t="str">
        <f>"1551599390287633"</f>
        <v>1551599390287633</v>
      </c>
      <c r="C7156" t="s">
        <v>40</v>
      </c>
      <c r="D7156">
        <v>5.7841209999999998</v>
      </c>
      <c r="E7156">
        <v>0.49764510000000001</v>
      </c>
      <c r="F7156" t="s">
        <v>41</v>
      </c>
      <c r="G7156">
        <v>-304.13850000000002</v>
      </c>
      <c r="H7156" s="1">
        <v>-1.5402840000000001E-6</v>
      </c>
      <c r="I7156">
        <v>-29.387270000000001</v>
      </c>
      <c r="J7156">
        <v>-303.52710000000002</v>
      </c>
      <c r="K7156">
        <v>1.120797</v>
      </c>
      <c r="L7156">
        <v>-13.16104</v>
      </c>
      <c r="M7156">
        <v>-0.1022754</v>
      </c>
      <c r="N7156">
        <v>-1.4226290000000001E-2</v>
      </c>
      <c r="O7156">
        <v>-0.9946547</v>
      </c>
      <c r="P7156">
        <v>-3.8326010000000001E-2</v>
      </c>
      <c r="Q7156">
        <v>-0.135851</v>
      </c>
      <c r="R7156">
        <v>-0.98998819999999998</v>
      </c>
      <c r="S7156">
        <v>-0.1159058</v>
      </c>
      <c r="T7156">
        <v>-0.20407629999999999</v>
      </c>
      <c r="U7156">
        <v>-2.9986269999999999</v>
      </c>
      <c r="V7156">
        <v>-6.3137899999999997E-2</v>
      </c>
      <c r="W7156">
        <v>-0.121770699999999</v>
      </c>
      <c r="X7156">
        <v>0.99054810000000004</v>
      </c>
      <c r="Y7156">
        <v>-6.3805039999999993E-2</v>
      </c>
      <c r="Z7156">
        <v>5.3099779999999999E-2</v>
      </c>
      <c r="AA7156">
        <v>0.99654869999999995</v>
      </c>
      <c r="AB7156">
        <v>19</v>
      </c>
      <c r="AC7156">
        <v>-0.61140000000000305</v>
      </c>
      <c r="AD7156">
        <v>-1.1207985402839999</v>
      </c>
      <c r="AE7156">
        <v>-16.226229999999902</v>
      </c>
      <c r="AF7156">
        <v>-1.0465323213639</v>
      </c>
      <c r="AG7156">
        <v>-1.1207985402839999</v>
      </c>
      <c r="AH7156">
        <v>16.1268280431979</v>
      </c>
      <c r="AI7156">
        <v>93.967289101788495</v>
      </c>
      <c r="AJ7156">
        <v>93.712938851128797</v>
      </c>
      <c r="AK7156">
        <v>16.199567957277001</v>
      </c>
      <c r="AL7156">
        <v>96.994305612269301</v>
      </c>
      <c r="AM7156">
        <v>93.647120171693899</v>
      </c>
      <c r="AN7156">
        <v>1.0000000181042501</v>
      </c>
    </row>
    <row r="7157" spans="1:40" x14ac:dyDescent="0.25">
      <c r="A7157" t="str">
        <f>"20190303154950351"</f>
        <v>20190303154950351</v>
      </c>
      <c r="B7157" t="str">
        <f>"1551599390337409"</f>
        <v>1551599390337409</v>
      </c>
      <c r="C7157" t="s">
        <v>40</v>
      </c>
      <c r="D7157">
        <v>5.7929779999999997</v>
      </c>
      <c r="E7157">
        <v>0.4982934</v>
      </c>
      <c r="F7157" t="s">
        <v>41</v>
      </c>
      <c r="G7157">
        <v>-304.04270000000002</v>
      </c>
      <c r="H7157" s="1">
        <v>-1.1395109999999999E-6</v>
      </c>
      <c r="I7157">
        <v>-30.262049999999999</v>
      </c>
      <c r="J7157">
        <v>-303.57859999999999</v>
      </c>
      <c r="K7157">
        <v>1.121057</v>
      </c>
      <c r="L7157">
        <v>-13.66281</v>
      </c>
      <c r="M7157">
        <v>-0.101964899999999</v>
      </c>
      <c r="N7157">
        <v>-1.421644E-2</v>
      </c>
      <c r="O7157">
        <v>-0.99468639999999997</v>
      </c>
      <c r="P7157">
        <v>-3.1591330000000001E-2</v>
      </c>
      <c r="Q7157">
        <v>-0.1280425</v>
      </c>
      <c r="R7157">
        <v>-0.99126530000000002</v>
      </c>
      <c r="S7157">
        <v>-9.0454099999999996E-2</v>
      </c>
      <c r="T7157">
        <v>-0.1966096</v>
      </c>
      <c r="U7157">
        <v>-2.9998469999999999</v>
      </c>
      <c r="V7157">
        <v>-6.960218E-2</v>
      </c>
      <c r="W7157">
        <v>-0.113999</v>
      </c>
      <c r="X7157">
        <v>0.99103980000000003</v>
      </c>
      <c r="Y7157">
        <v>-7.1944569999999999E-2</v>
      </c>
      <c r="Z7157">
        <v>5.0618709999999997E-2</v>
      </c>
      <c r="AA7157">
        <v>0.99612339999999999</v>
      </c>
      <c r="AB7157">
        <v>19</v>
      </c>
      <c r="AC7157">
        <v>-0.46410000000002999</v>
      </c>
      <c r="AD7157">
        <v>-1.121058139511</v>
      </c>
      <c r="AE7157">
        <v>-16.599239999999899</v>
      </c>
      <c r="AF7157">
        <v>-1.2254451614855699</v>
      </c>
      <c r="AG7157">
        <v>-1.121058139511</v>
      </c>
      <c r="AH7157">
        <v>16.484901539324699</v>
      </c>
      <c r="AI7157">
        <v>93.879745660315095</v>
      </c>
      <c r="AJ7157">
        <v>94.251401166233805</v>
      </c>
      <c r="AK7157">
        <v>16.5683573705181</v>
      </c>
      <c r="AL7157">
        <v>96.545891883559605</v>
      </c>
      <c r="AM7157">
        <v>94.017370199542199</v>
      </c>
      <c r="AN7157">
        <v>1.00000006032289</v>
      </c>
    </row>
    <row r="7158" spans="1:40" x14ac:dyDescent="0.25">
      <c r="A7158" t="str">
        <f>"20190303154950376"</f>
        <v>20190303154950376</v>
      </c>
      <c r="B7158" t="str">
        <f>"1551599390367664"</f>
        <v>1551599390367664</v>
      </c>
      <c r="C7158" t="s">
        <v>40</v>
      </c>
      <c r="D7158">
        <v>5.8257139999999996</v>
      </c>
      <c r="E7158">
        <v>0.49907210000000002</v>
      </c>
      <c r="F7158" t="s">
        <v>41</v>
      </c>
      <c r="G7158">
        <v>-304.065</v>
      </c>
      <c r="H7158" s="1">
        <v>-4.290681E-6</v>
      </c>
      <c r="I7158">
        <v>-32.52373</v>
      </c>
      <c r="J7158">
        <v>-303.60070000000002</v>
      </c>
      <c r="K7158">
        <v>1.1211880000000001</v>
      </c>
      <c r="L7158">
        <v>-13.882540000000001</v>
      </c>
      <c r="M7158">
        <v>-0.10147109999999999</v>
      </c>
      <c r="N7158">
        <v>-1.421271E-2</v>
      </c>
      <c r="O7158">
        <v>-0.99473719999999999</v>
      </c>
      <c r="P7158">
        <v>-2.9714770000000001E-2</v>
      </c>
      <c r="Q7158">
        <v>-0.1270744</v>
      </c>
      <c r="R7158">
        <v>-0.99144829999999995</v>
      </c>
      <c r="S7158">
        <v>-7.7392580000000002E-2</v>
      </c>
      <c r="T7158">
        <v>-0.17836930000000001</v>
      </c>
      <c r="U7158">
        <v>-3.0009160000000001</v>
      </c>
      <c r="V7158">
        <v>-7.096276E-2</v>
      </c>
      <c r="W7158">
        <v>-0.1130564</v>
      </c>
      <c r="X7158">
        <v>0.99105120000000002</v>
      </c>
      <c r="Y7158">
        <v>-7.5785450000000004E-2</v>
      </c>
      <c r="Z7158">
        <v>4.4604520000000002E-2</v>
      </c>
      <c r="AA7158">
        <v>0.99612599999999996</v>
      </c>
      <c r="AB7158">
        <v>19</v>
      </c>
      <c r="AC7158">
        <v>-0.46429999999998001</v>
      </c>
      <c r="AD7158">
        <v>-1.1211922906809999</v>
      </c>
      <c r="AE7158">
        <v>-18.641189999999899</v>
      </c>
      <c r="AF7158">
        <v>-1.4246790154264599</v>
      </c>
      <c r="AG7158">
        <v>-1.1211922906809999</v>
      </c>
      <c r="AH7158">
        <v>18.525097925073801</v>
      </c>
      <c r="AI7158">
        <v>93.453308478690104</v>
      </c>
      <c r="AJ7158">
        <v>94.397695268186993</v>
      </c>
      <c r="AK7158">
        <v>18.613598136396199</v>
      </c>
      <c r="AL7158">
        <v>96.491534022642398</v>
      </c>
      <c r="AM7158">
        <v>94.095589909288293</v>
      </c>
      <c r="AN7158">
        <v>0.99999997195460799</v>
      </c>
    </row>
    <row r="7159" spans="1:40" x14ac:dyDescent="0.25">
      <c r="A7159" t="str">
        <f>"20190303154950402"</f>
        <v>20190303154950402</v>
      </c>
      <c r="B7159" t="str">
        <f>"1551599390397920"</f>
        <v>1551599390397920</v>
      </c>
      <c r="C7159" t="s">
        <v>40</v>
      </c>
      <c r="D7159">
        <v>5.834568</v>
      </c>
      <c r="E7159">
        <v>0.49968410000000002</v>
      </c>
      <c r="F7159" t="s">
        <v>41</v>
      </c>
      <c r="G7159">
        <v>-304.0994</v>
      </c>
      <c r="H7159" s="1">
        <v>-4.1880460000000004E-6</v>
      </c>
      <c r="I7159">
        <v>-32.843229999999998</v>
      </c>
      <c r="J7159">
        <v>-303.62270000000001</v>
      </c>
      <c r="K7159">
        <v>1.1213439999999999</v>
      </c>
      <c r="L7159">
        <v>-14.105219999999999</v>
      </c>
      <c r="M7159">
        <v>-0.1006353</v>
      </c>
      <c r="N7159">
        <v>-1.421005E-2</v>
      </c>
      <c r="O7159">
        <v>-0.99482199999999998</v>
      </c>
      <c r="P7159">
        <v>-3.1344950000000003E-2</v>
      </c>
      <c r="Q7159">
        <v>-0.12776589999999999</v>
      </c>
      <c r="R7159">
        <v>-0.991309</v>
      </c>
      <c r="S7159">
        <v>-7.8918459999999996E-2</v>
      </c>
      <c r="T7159">
        <v>-0.1774424</v>
      </c>
      <c r="U7159">
        <v>-3.0007630000000001</v>
      </c>
      <c r="V7159">
        <v>-6.8446590000000002E-2</v>
      </c>
      <c r="W7159">
        <v>-0.11377660000000001</v>
      </c>
      <c r="X7159">
        <v>0.99114579999999997</v>
      </c>
      <c r="Y7159">
        <v>-7.444067E-2</v>
      </c>
      <c r="Z7159">
        <v>4.431587E-2</v>
      </c>
      <c r="AA7159">
        <v>0.99624029999999997</v>
      </c>
      <c r="AB7159">
        <v>19</v>
      </c>
      <c r="AC7159">
        <v>-0.47669999999999302</v>
      </c>
      <c r="AD7159">
        <v>-1.1213481880459999</v>
      </c>
      <c r="AE7159">
        <v>-18.738009999999999</v>
      </c>
      <c r="AF7159">
        <v>-1.4065819399222299</v>
      </c>
      <c r="AG7159">
        <v>-1.1213481880459999</v>
      </c>
      <c r="AH7159">
        <v>18.6241880872801</v>
      </c>
      <c r="AI7159">
        <v>93.435814334091404</v>
      </c>
      <c r="AJ7159">
        <v>94.319034006167897</v>
      </c>
      <c r="AK7159">
        <v>18.710859852581201</v>
      </c>
      <c r="AL7159">
        <v>96.533066092686795</v>
      </c>
      <c r="AM7159">
        <v>93.950462477573197</v>
      </c>
      <c r="AN7159">
        <v>1.0000000236239099</v>
      </c>
    </row>
    <row r="7160" spans="1:40" x14ac:dyDescent="0.25">
      <c r="A7160" t="str">
        <f>"20190303154950447"</f>
        <v>20190303154950447</v>
      </c>
      <c r="B7160" t="str">
        <f>"1551599390437937"</f>
        <v>1551599390437937</v>
      </c>
      <c r="C7160" t="s">
        <v>40</v>
      </c>
      <c r="D7160">
        <v>5.733549</v>
      </c>
      <c r="E7160">
        <v>0.50071290000000002</v>
      </c>
      <c r="F7160" t="s">
        <v>41</v>
      </c>
      <c r="G7160">
        <v>-304.15940000000001</v>
      </c>
      <c r="H7160" s="1">
        <v>-4.4930739999999999E-6</v>
      </c>
      <c r="I7160">
        <v>-31.978169999999999</v>
      </c>
      <c r="J7160">
        <v>-303.65769999999998</v>
      </c>
      <c r="K7160">
        <v>1.121675</v>
      </c>
      <c r="L7160">
        <v>-14.477449999999999</v>
      </c>
      <c r="M7160">
        <v>-9.8315819999999998E-2</v>
      </c>
      <c r="N7160">
        <v>-1.421092E-2</v>
      </c>
      <c r="O7160">
        <v>-0.99505390000000005</v>
      </c>
      <c r="P7160">
        <v>-3.3864079999999998E-2</v>
      </c>
      <c r="Q7160">
        <v>-0.13063449999999999</v>
      </c>
      <c r="R7160">
        <v>-0.99085230000000002</v>
      </c>
      <c r="S7160">
        <v>-9.0057369999999998E-2</v>
      </c>
      <c r="T7160">
        <v>-0.18817020000000001</v>
      </c>
      <c r="U7160">
        <v>-2.9992070000000002</v>
      </c>
      <c r="V7160">
        <v>-6.3481029999999994E-2</v>
      </c>
      <c r="W7160">
        <v>-0.1166952</v>
      </c>
      <c r="X7160">
        <v>0.99113689999999999</v>
      </c>
      <c r="Y7160">
        <v>-6.8410319999999997E-2</v>
      </c>
      <c r="Z7160">
        <v>4.7906659999999997E-2</v>
      </c>
      <c r="AA7160">
        <v>0.99650640000000001</v>
      </c>
      <c r="AB7160">
        <v>19</v>
      </c>
      <c r="AC7160">
        <v>-0.50170000000002701</v>
      </c>
      <c r="AD7160">
        <v>-1.1216794930739999</v>
      </c>
      <c r="AE7160">
        <v>-17.500720000000001</v>
      </c>
      <c r="AF7160">
        <v>-1.21650905079563</v>
      </c>
      <c r="AG7160">
        <v>-1.1216794930739999</v>
      </c>
      <c r="AH7160">
        <v>17.393852009712798</v>
      </c>
      <c r="AI7160">
        <v>93.680764630852096</v>
      </c>
      <c r="AJ7160">
        <v>94.000696351801693</v>
      </c>
      <c r="AK7160">
        <v>17.472382404573299</v>
      </c>
      <c r="AL7160">
        <v>96.701411377403801</v>
      </c>
      <c r="AM7160">
        <v>93.664714490787503</v>
      </c>
      <c r="AN7160">
        <v>0.99999998270725499</v>
      </c>
    </row>
    <row r="7161" spans="1:40" x14ac:dyDescent="0.25">
      <c r="A7161" t="str">
        <f>"20190303154950476"</f>
        <v>20190303154950476</v>
      </c>
      <c r="B7161" t="str">
        <f>"1551599390468194"</f>
        <v>1551599390468194</v>
      </c>
      <c r="C7161" t="s">
        <v>40</v>
      </c>
      <c r="D7161">
        <v>5.753177</v>
      </c>
      <c r="E7161">
        <v>0.50144009999999895</v>
      </c>
      <c r="F7161" t="s">
        <v>41</v>
      </c>
      <c r="G7161">
        <v>-304.26940000000002</v>
      </c>
      <c r="H7161" s="1">
        <v>-4.6197129999999997E-6</v>
      </c>
      <c r="I7161">
        <v>-31.663399999999999</v>
      </c>
      <c r="J7161">
        <v>-303.67919999999998</v>
      </c>
      <c r="K7161">
        <v>1.121861</v>
      </c>
      <c r="L7161">
        <v>-14.718780000000001</v>
      </c>
      <c r="M7161">
        <v>-9.6297380000000002E-2</v>
      </c>
      <c r="N7161">
        <v>-1.421326E-2</v>
      </c>
      <c r="O7161">
        <v>-0.9952512</v>
      </c>
      <c r="P7161">
        <v>-3.2952599999999999E-2</v>
      </c>
      <c r="Q7161">
        <v>-0.1318126</v>
      </c>
      <c r="R7161">
        <v>-0.99072680000000002</v>
      </c>
      <c r="S7161">
        <v>-0.10672</v>
      </c>
      <c r="T7161">
        <v>-0.1956881</v>
      </c>
      <c r="U7161">
        <v>-2.9982600000000001</v>
      </c>
      <c r="V7161">
        <v>-6.2310860000000003E-2</v>
      </c>
      <c r="W7161">
        <v>-0.1178993</v>
      </c>
      <c r="X7161">
        <v>0.99106870000000002</v>
      </c>
      <c r="Y7161">
        <v>-6.0850979999999999E-2</v>
      </c>
      <c r="Z7161">
        <v>5.0429170000000002E-2</v>
      </c>
      <c r="AA7161">
        <v>0.99687210000000004</v>
      </c>
      <c r="AB7161">
        <v>19</v>
      </c>
      <c r="AC7161">
        <v>-0.59020000000003803</v>
      </c>
      <c r="AD7161">
        <v>-1.1218656197129999</v>
      </c>
      <c r="AE7161">
        <v>-16.94462</v>
      </c>
      <c r="AF7161">
        <v>-1.03987792443067</v>
      </c>
      <c r="AG7161">
        <v>-1.1218656197129999</v>
      </c>
      <c r="AH7161">
        <v>16.8489289509561</v>
      </c>
      <c r="AI7161">
        <v>93.802134427465205</v>
      </c>
      <c r="AJ7161">
        <v>93.531686777201898</v>
      </c>
      <c r="AK7161">
        <v>16.918224947102999</v>
      </c>
      <c r="AL7161">
        <v>96.770880479593501</v>
      </c>
      <c r="AM7161">
        <v>93.597587361067696</v>
      </c>
      <c r="AN7161">
        <v>1.00000002816705</v>
      </c>
    </row>
    <row r="7162" spans="1:40" x14ac:dyDescent="0.25">
      <c r="A7162" t="str">
        <f>"20190303154950501"</f>
        <v>20190303154950501</v>
      </c>
      <c r="B7162" t="str">
        <f>"1551599390487713"</f>
        <v>1551599390487713</v>
      </c>
      <c r="C7162" t="s">
        <v>40</v>
      </c>
      <c r="D7162">
        <v>5.7920109999999996</v>
      </c>
      <c r="E7162">
        <v>0.50170049999999999</v>
      </c>
      <c r="F7162" t="s">
        <v>41</v>
      </c>
      <c r="G7162">
        <v>-304.30090000000001</v>
      </c>
      <c r="H7162" s="1">
        <v>-4.622899E-6</v>
      </c>
      <c r="I7162">
        <v>-31.67043</v>
      </c>
      <c r="J7162">
        <v>-303.69729999999998</v>
      </c>
      <c r="K7162">
        <v>1.121974</v>
      </c>
      <c r="L7162">
        <v>-14.930630000000001</v>
      </c>
      <c r="M7162">
        <v>-9.4227110000000003E-2</v>
      </c>
      <c r="N7162">
        <v>-1.421421E-2</v>
      </c>
      <c r="O7162">
        <v>-0.99544940000000004</v>
      </c>
      <c r="P7162">
        <v>-3.1155780000000001E-2</v>
      </c>
      <c r="Q7162">
        <v>-0.1339341</v>
      </c>
      <c r="R7162">
        <v>-0.99050050000000001</v>
      </c>
      <c r="S7162">
        <v>-0.10995480000000001</v>
      </c>
      <c r="T7162">
        <v>-0.19840969999999999</v>
      </c>
      <c r="U7162">
        <v>-2.9980159999999998</v>
      </c>
      <c r="V7162">
        <v>-6.1980100000000003E-2</v>
      </c>
      <c r="W7162">
        <v>-0.1200408</v>
      </c>
      <c r="X7162">
        <v>0.9908323</v>
      </c>
      <c r="Y7162">
        <v>-5.7700630000000003E-2</v>
      </c>
      <c r="Z7162">
        <v>5.1353459999999997E-2</v>
      </c>
      <c r="AA7162">
        <v>0.99701229999999996</v>
      </c>
      <c r="AB7162">
        <v>19</v>
      </c>
      <c r="AC7162">
        <v>-0.603600000000028</v>
      </c>
      <c r="AD7162">
        <v>-1.1219786228990001</v>
      </c>
      <c r="AE7162">
        <v>-16.739799999999999</v>
      </c>
      <c r="AF7162">
        <v>-0.97222637317204597</v>
      </c>
      <c r="AG7162">
        <v>-1.1219786228990001</v>
      </c>
      <c r="AH7162">
        <v>16.647497806119301</v>
      </c>
      <c r="AI7162">
        <v>93.849150166455502</v>
      </c>
      <c r="AJ7162">
        <v>93.342320173589201</v>
      </c>
      <c r="AK7162">
        <v>16.7135646513746</v>
      </c>
      <c r="AL7162">
        <v>96.894457361083894</v>
      </c>
      <c r="AM7162">
        <v>93.579391892918593</v>
      </c>
      <c r="AN7162">
        <v>0.99999998659196998</v>
      </c>
    </row>
    <row r="7163" spans="1:40" x14ac:dyDescent="0.25">
      <c r="A7163" t="str">
        <f>"20190303154950529"</f>
        <v>20190303154950529</v>
      </c>
      <c r="B7163" t="str">
        <f>"1551599390517500"</f>
        <v>1551599390517500</v>
      </c>
      <c r="C7163" t="s">
        <v>40</v>
      </c>
      <c r="D7163">
        <v>5.7806389999999999</v>
      </c>
      <c r="E7163">
        <v>0.50186229999999998</v>
      </c>
      <c r="F7163" t="s">
        <v>41</v>
      </c>
      <c r="G7163">
        <v>-304.27589999999998</v>
      </c>
      <c r="H7163" s="1">
        <v>-4.7625160000000002E-6</v>
      </c>
      <c r="I7163">
        <v>-31.247140000000002</v>
      </c>
      <c r="J7163">
        <v>-303.71570000000003</v>
      </c>
      <c r="K7163">
        <v>1.122061</v>
      </c>
      <c r="L7163">
        <v>-15.15701</v>
      </c>
      <c r="M7163">
        <v>-9.1659119999999997E-2</v>
      </c>
      <c r="N7163">
        <v>-1.421508E-2</v>
      </c>
      <c r="O7163">
        <v>-0.99568900000000005</v>
      </c>
      <c r="P7163">
        <v>-2.88934E-2</v>
      </c>
      <c r="Q7163">
        <v>-0.136548799999999</v>
      </c>
      <c r="R7163">
        <v>-0.99021210000000004</v>
      </c>
      <c r="S7163">
        <v>-0.1062927</v>
      </c>
      <c r="T7163">
        <v>-0.20612230000000001</v>
      </c>
      <c r="U7163">
        <v>-2.9975589999999999</v>
      </c>
      <c r="V7163">
        <v>-6.1619460000000001E-2</v>
      </c>
      <c r="W7163">
        <v>-0.1226722</v>
      </c>
      <c r="X7163">
        <v>0.99053250000000004</v>
      </c>
      <c r="Y7163">
        <v>-5.6340920000000003E-2</v>
      </c>
      <c r="Z7163">
        <v>5.3927570000000001E-2</v>
      </c>
      <c r="AA7163">
        <v>0.99695409999999995</v>
      </c>
      <c r="AB7163">
        <v>19</v>
      </c>
      <c r="AC7163">
        <v>-0.56019999999995196</v>
      </c>
      <c r="AD7163">
        <v>-1.122065762516</v>
      </c>
      <c r="AE7163">
        <v>-16.090129999999998</v>
      </c>
      <c r="AF7163">
        <v>-0.91268168891599</v>
      </c>
      <c r="AG7163">
        <v>-1.122065762516</v>
      </c>
      <c r="AH7163">
        <v>15.996039655916301</v>
      </c>
      <c r="AI7163">
        <v>94.006030021497395</v>
      </c>
      <c r="AJ7163">
        <v>93.265569142526999</v>
      </c>
      <c r="AK7163">
        <v>16.0612983321505</v>
      </c>
      <c r="AL7163">
        <v>97.046347842730697</v>
      </c>
      <c r="AM7163">
        <v>93.559692672279397</v>
      </c>
      <c r="AN7163">
        <v>1.0000000300298899</v>
      </c>
    </row>
    <row r="7164" spans="1:40" x14ac:dyDescent="0.25">
      <c r="A7164" t="str">
        <f>"20190303154950554"</f>
        <v>20190303154950554</v>
      </c>
      <c r="B7164" t="str">
        <f>"1551599390547757"</f>
        <v>1551599390547757</v>
      </c>
      <c r="C7164" t="s">
        <v>40</v>
      </c>
      <c r="D7164">
        <v>5.6710629999999904</v>
      </c>
      <c r="E7164">
        <v>0.5021525</v>
      </c>
      <c r="F7164" t="s">
        <v>41</v>
      </c>
      <c r="G7164">
        <v>-304.23270000000002</v>
      </c>
      <c r="H7164" s="1">
        <v>-4.9854419999999996E-6</v>
      </c>
      <c r="I7164">
        <v>-30.569559999999999</v>
      </c>
      <c r="J7164">
        <v>-303.73239999999998</v>
      </c>
      <c r="K7164">
        <v>1.1221209999999999</v>
      </c>
      <c r="L7164">
        <v>-15.37106</v>
      </c>
      <c r="M7164">
        <v>-8.9036749999999998E-2</v>
      </c>
      <c r="N7164">
        <v>-1.4216299999999901E-2</v>
      </c>
      <c r="O7164">
        <v>-0.99592720000000001</v>
      </c>
      <c r="P7164">
        <v>-2.6720569999999999E-2</v>
      </c>
      <c r="Q7164">
        <v>-0.13803570000000001</v>
      </c>
      <c r="R7164">
        <v>-0.99006719999999904</v>
      </c>
      <c r="S7164">
        <v>-0.1005249</v>
      </c>
      <c r="T7164">
        <v>-0.21816189999999999</v>
      </c>
      <c r="U7164">
        <v>-2.9966430000000002</v>
      </c>
      <c r="V7164">
        <v>-6.1142290000000002E-2</v>
      </c>
      <c r="W7164">
        <v>-0.1241688</v>
      </c>
      <c r="X7164">
        <v>0.99037560000000002</v>
      </c>
      <c r="Y7164">
        <v>-5.5623850000000002E-2</v>
      </c>
      <c r="Z7164">
        <v>5.7936689999999999E-2</v>
      </c>
      <c r="AA7164">
        <v>0.99676940000000003</v>
      </c>
      <c r="AB7164">
        <v>19</v>
      </c>
      <c r="AC7164">
        <v>-0.50030000000003805</v>
      </c>
      <c r="AD7164">
        <v>-1.12212598544199</v>
      </c>
      <c r="AE7164">
        <v>-15.198499999999999</v>
      </c>
      <c r="AF7164">
        <v>-0.85041813281362999</v>
      </c>
      <c r="AG7164">
        <v>-1.12212598544199</v>
      </c>
      <c r="AH7164">
        <v>15.1004496187737</v>
      </c>
      <c r="AI7164">
        <v>94.243183030686197</v>
      </c>
      <c r="AJ7164">
        <v>93.223344707862793</v>
      </c>
      <c r="AK7164">
        <v>15.165947264082901</v>
      </c>
      <c r="AL7164">
        <v>97.132757217666494</v>
      </c>
      <c r="AM7164">
        <v>93.532755284559698</v>
      </c>
      <c r="AN7164">
        <v>1.00000004979762</v>
      </c>
    </row>
    <row r="7165" spans="1:40" x14ac:dyDescent="0.25">
      <c r="A7165" t="str">
        <f>"20190303154950581"</f>
        <v>20190303154950581</v>
      </c>
      <c r="B7165" t="str">
        <f>"1551599390578013"</f>
        <v>1551599390578013</v>
      </c>
      <c r="C7165" t="s">
        <v>40</v>
      </c>
      <c r="D7165">
        <v>5.7268869999999996</v>
      </c>
      <c r="E7165">
        <v>0.5022221</v>
      </c>
      <c r="F7165" t="s">
        <v>41</v>
      </c>
      <c r="G7165">
        <v>-304.21390000000002</v>
      </c>
      <c r="H7165" s="1">
        <v>-1.1369869999999999E-6</v>
      </c>
      <c r="I7165">
        <v>-30.374110000000002</v>
      </c>
      <c r="J7165">
        <v>-303.74930000000001</v>
      </c>
      <c r="K7165">
        <v>1.122187</v>
      </c>
      <c r="L7165">
        <v>-15.599119999999999</v>
      </c>
      <c r="M7165">
        <v>-8.6089780000000005E-2</v>
      </c>
      <c r="N7165">
        <v>-1.421541E-2</v>
      </c>
      <c r="O7165">
        <v>-0.99618580000000001</v>
      </c>
      <c r="P7165">
        <v>-2.5403240000000001E-2</v>
      </c>
      <c r="Q7165">
        <v>-0.13237599999999999</v>
      </c>
      <c r="R7165">
        <v>-0.99087389999999997</v>
      </c>
      <c r="S7165">
        <v>-9.6160889999999999E-2</v>
      </c>
      <c r="T7165">
        <v>-0.2240982</v>
      </c>
      <c r="U7165">
        <v>-2.9962460000000002</v>
      </c>
      <c r="V7165">
        <v>-5.9601759999999997E-2</v>
      </c>
      <c r="W7165">
        <v>-0.11850140000000001</v>
      </c>
      <c r="X7165">
        <v>0.99116349999999998</v>
      </c>
      <c r="Y7165">
        <v>-5.4119519999999997E-2</v>
      </c>
      <c r="Z7165">
        <v>5.9932539999999999E-2</v>
      </c>
      <c r="AA7165">
        <v>0.99673429999999996</v>
      </c>
      <c r="AB7165">
        <v>19</v>
      </c>
      <c r="AC7165">
        <v>-0.464600000000018</v>
      </c>
      <c r="AD7165">
        <v>-1.1221881369869999</v>
      </c>
      <c r="AE7165">
        <v>-14.774989999999899</v>
      </c>
      <c r="AF7165">
        <v>-0.80459275609506398</v>
      </c>
      <c r="AG7165">
        <v>-1.1221881369869999</v>
      </c>
      <c r="AH7165">
        <v>14.675551326232201</v>
      </c>
      <c r="AI7165">
        <v>94.366167128361994</v>
      </c>
      <c r="AJ7165">
        <v>93.138121492269704</v>
      </c>
      <c r="AK7165">
        <v>14.740369142149399</v>
      </c>
      <c r="AL7165">
        <v>96.805621884659899</v>
      </c>
      <c r="AM7165">
        <v>93.441230520340895</v>
      </c>
      <c r="AN7165">
        <v>1.00000001766465</v>
      </c>
    </row>
    <row r="7166" spans="1:40" x14ac:dyDescent="0.25">
      <c r="A7166" t="str">
        <f>"20190303154950610"</f>
        <v>20190303154950610</v>
      </c>
      <c r="B7166" t="str">
        <f>"1551599390598508"</f>
        <v>1551599390598508</v>
      </c>
      <c r="C7166" t="s">
        <v>40</v>
      </c>
      <c r="D7166">
        <v>5.6877659999999999</v>
      </c>
      <c r="E7166">
        <v>0.50229590000000002</v>
      </c>
      <c r="F7166" t="s">
        <v>41</v>
      </c>
      <c r="G7166">
        <v>-304.24369999999999</v>
      </c>
      <c r="H7166" s="1">
        <v>-4.6822400000000001E-6</v>
      </c>
      <c r="I7166">
        <v>-31.466280000000001</v>
      </c>
      <c r="J7166">
        <v>-303.76589999999999</v>
      </c>
      <c r="K7166">
        <v>1.122234</v>
      </c>
      <c r="L7166">
        <v>-15.836980000000001</v>
      </c>
      <c r="M7166">
        <v>-8.2835510000000001E-2</v>
      </c>
      <c r="N7166">
        <v>-1.4107430000000001E-2</v>
      </c>
      <c r="O7166">
        <v>-0.99646349999999995</v>
      </c>
      <c r="P7166">
        <v>-2.3007010000000001E-2</v>
      </c>
      <c r="Q7166">
        <v>-0.12812460000000001</v>
      </c>
      <c r="R7166">
        <v>-0.99149140000000002</v>
      </c>
      <c r="S7166">
        <v>-9.3383789999999994E-2</v>
      </c>
      <c r="T7166">
        <v>-0.21195449999999999</v>
      </c>
      <c r="U7166">
        <v>-2.996918</v>
      </c>
      <c r="V7166">
        <v>-5.8808159999999998E-2</v>
      </c>
      <c r="W7166">
        <v>-0.1143537</v>
      </c>
      <c r="X7166">
        <v>0.99169799999999997</v>
      </c>
      <c r="Y7166">
        <v>-5.1783839999999998E-2</v>
      </c>
      <c r="Z7166">
        <v>5.6059350000000001E-2</v>
      </c>
      <c r="AA7166">
        <v>0.99708370000000002</v>
      </c>
      <c r="AB7166">
        <v>19</v>
      </c>
      <c r="AC7166">
        <v>-0.477800000000002</v>
      </c>
      <c r="AD7166">
        <v>-1.1222386822399999</v>
      </c>
      <c r="AE7166">
        <v>-15.629300000000001</v>
      </c>
      <c r="AF7166">
        <v>-0.81443703166824</v>
      </c>
      <c r="AG7166">
        <v>-1.1222386822399999</v>
      </c>
      <c r="AH7166">
        <v>15.535137369128201</v>
      </c>
      <c r="AI7166">
        <v>94.126150755629993</v>
      </c>
      <c r="AJ7166">
        <v>93.001011391032407</v>
      </c>
      <c r="AK7166">
        <v>15.596897781807501</v>
      </c>
      <c r="AL7166">
        <v>96.566348567133602</v>
      </c>
      <c r="AM7166">
        <v>93.393692496907505</v>
      </c>
      <c r="AN7166">
        <v>1.0000000457951299</v>
      </c>
    </row>
    <row r="7167" spans="1:40" x14ac:dyDescent="0.25">
      <c r="A7167" t="str">
        <f>"20190303154950635"</f>
        <v>20190303154950635</v>
      </c>
      <c r="B7167" t="str">
        <f>"1551599390628296"</f>
        <v>1551599390628296</v>
      </c>
      <c r="C7167" t="s">
        <v>40</v>
      </c>
      <c r="D7167">
        <v>5.6818860000000004</v>
      </c>
      <c r="E7167">
        <v>0.50246329999999995</v>
      </c>
      <c r="F7167" t="s">
        <v>41</v>
      </c>
      <c r="G7167">
        <v>-304.24829999999997</v>
      </c>
      <c r="H7167" s="1">
        <v>-4.3399660000000003E-6</v>
      </c>
      <c r="I7167">
        <v>-32.474429999999998</v>
      </c>
      <c r="J7167">
        <v>-303.7792</v>
      </c>
      <c r="K7167">
        <v>1.122231</v>
      </c>
      <c r="L7167">
        <v>-16.038180000000001</v>
      </c>
      <c r="M7167">
        <v>-7.9991489999999998E-2</v>
      </c>
      <c r="N7167">
        <v>-1.390432E-2</v>
      </c>
      <c r="O7167">
        <v>-0.9966988</v>
      </c>
      <c r="P7167">
        <v>-2.1560869999999999E-2</v>
      </c>
      <c r="Q7167">
        <v>-0.125468</v>
      </c>
      <c r="R7167">
        <v>-0.99186370000000001</v>
      </c>
      <c r="S7167">
        <v>-8.6914060000000001E-2</v>
      </c>
      <c r="T7167">
        <v>-0.20219480000000001</v>
      </c>
      <c r="U7167">
        <v>-2.9975890000000001</v>
      </c>
      <c r="V7167">
        <v>-5.7452950000000003E-2</v>
      </c>
      <c r="W7167">
        <v>-0.1118931</v>
      </c>
      <c r="X7167">
        <v>0.992058</v>
      </c>
      <c r="Y7167">
        <v>-5.1087960000000002E-2</v>
      </c>
      <c r="Z7167">
        <v>5.3055289999999998E-2</v>
      </c>
      <c r="AA7167">
        <v>0.9972839</v>
      </c>
      <c r="AB7167">
        <v>19</v>
      </c>
      <c r="AC7167">
        <v>-0.46909999999996899</v>
      </c>
      <c r="AD7167">
        <v>-1.1222353399659999</v>
      </c>
      <c r="AE7167">
        <v>-16.436249999999902</v>
      </c>
      <c r="AF7167">
        <v>-0.84336196592059698</v>
      </c>
      <c r="AG7167">
        <v>-1.1222353399659999</v>
      </c>
      <c r="AH7167">
        <v>16.344961788865501</v>
      </c>
      <c r="AI7167">
        <v>93.922528188947695</v>
      </c>
      <c r="AJ7167">
        <v>92.953709417429394</v>
      </c>
      <c r="AK7167">
        <v>16.405134788940401</v>
      </c>
      <c r="AL7167">
        <v>96.424456074755497</v>
      </c>
      <c r="AM7167">
        <v>93.314462263647599</v>
      </c>
      <c r="AN7167">
        <v>0.99999999132765605</v>
      </c>
    </row>
    <row r="7168" spans="1:40" x14ac:dyDescent="0.25">
      <c r="A7168" t="str">
        <f>"20190303154950658"</f>
        <v>20190303154950658</v>
      </c>
      <c r="B7168" t="str">
        <f>"1551599390647816"</f>
        <v>1551599390647816</v>
      </c>
      <c r="C7168" t="s">
        <v>40</v>
      </c>
      <c r="D7168">
        <v>5.6165880000000001</v>
      </c>
      <c r="E7168">
        <v>0.50267029999999902</v>
      </c>
      <c r="F7168" t="s">
        <v>41</v>
      </c>
      <c r="G7168">
        <v>-304.25819999999999</v>
      </c>
      <c r="H7168" s="1">
        <v>-4.131648E-6</v>
      </c>
      <c r="I7168">
        <v>-33.091740000000001</v>
      </c>
      <c r="J7168">
        <v>-303.79169999999999</v>
      </c>
      <c r="K7168">
        <v>1.1221760000000001</v>
      </c>
      <c r="L7168">
        <v>-16.236660000000001</v>
      </c>
      <c r="M7168">
        <v>-7.7109289999999997E-2</v>
      </c>
      <c r="N7168">
        <v>-1.361183E-2</v>
      </c>
      <c r="O7168">
        <v>-0.99692979999999998</v>
      </c>
      <c r="P7168">
        <v>-2.1114819999999999E-2</v>
      </c>
      <c r="Q7168">
        <v>-0.12722800000000001</v>
      </c>
      <c r="R7168">
        <v>-0.99164890000000006</v>
      </c>
      <c r="S7168">
        <v>-8.4197999999999995E-2</v>
      </c>
      <c r="T7168">
        <v>-0.19727690000000001</v>
      </c>
      <c r="U7168">
        <v>-2.997833</v>
      </c>
      <c r="V7168">
        <v>-5.5003709999999997E-2</v>
      </c>
      <c r="W7168">
        <v>-0.1139381</v>
      </c>
      <c r="X7168">
        <v>0.99196399999999996</v>
      </c>
      <c r="Y7168">
        <v>-4.910552E-2</v>
      </c>
      <c r="Z7168">
        <v>5.1745300000000001E-2</v>
      </c>
      <c r="AA7168">
        <v>0.99745229999999996</v>
      </c>
      <c r="AB7168">
        <v>19</v>
      </c>
      <c r="AC7168">
        <v>-0.46649999999999597</v>
      </c>
      <c r="AD7168">
        <v>-1.122180131648</v>
      </c>
      <c r="AE7168">
        <v>-16.855079999999901</v>
      </c>
      <c r="AF7168">
        <v>-0.83101200101919703</v>
      </c>
      <c r="AG7168">
        <v>-1.122180131648</v>
      </c>
      <c r="AH7168">
        <v>16.766598387137702</v>
      </c>
      <c r="AI7168">
        <v>93.8243869175854</v>
      </c>
      <c r="AJ7168">
        <v>92.837459837455398</v>
      </c>
      <c r="AK7168">
        <v>16.8246453356162</v>
      </c>
      <c r="AL7168">
        <v>96.542380490225199</v>
      </c>
      <c r="AM7168">
        <v>93.173760854676999</v>
      </c>
      <c r="AN7168">
        <v>0.99999993802068499</v>
      </c>
    </row>
    <row r="7169" spans="1:40" x14ac:dyDescent="0.25">
      <c r="A7169" t="str">
        <f>"20190303154950683"</f>
        <v>20190303154950683</v>
      </c>
      <c r="B7169" t="str">
        <f>"1551599390678071"</f>
        <v>1551599390678071</v>
      </c>
      <c r="C7169" t="s">
        <v>40</v>
      </c>
      <c r="D7169">
        <v>5.5643799999999999</v>
      </c>
      <c r="E7169">
        <v>0.50291189999999997</v>
      </c>
      <c r="F7169" t="s">
        <v>41</v>
      </c>
      <c r="G7169">
        <v>-304.25990000000002</v>
      </c>
      <c r="H7169" s="1">
        <v>-4.2295900000000003E-6</v>
      </c>
      <c r="I7169">
        <v>-32.804859999999998</v>
      </c>
      <c r="J7169">
        <v>-303.80410000000001</v>
      </c>
      <c r="K7169">
        <v>1.122096</v>
      </c>
      <c r="L7169">
        <v>-16.444890000000001</v>
      </c>
      <c r="M7169">
        <v>-7.4006059999999999E-2</v>
      </c>
      <c r="N7169">
        <v>-1.3255919999999999E-2</v>
      </c>
      <c r="O7169">
        <v>-0.9971698</v>
      </c>
      <c r="P7169">
        <v>-2.0498389999999998E-2</v>
      </c>
      <c r="Q7169">
        <v>-0.131434299999999</v>
      </c>
      <c r="R7169">
        <v>-0.99111309999999997</v>
      </c>
      <c r="S7169">
        <v>-8.4716799999999995E-2</v>
      </c>
      <c r="T7169">
        <v>-0.20301739999999999</v>
      </c>
      <c r="U7169">
        <v>-2.9974059999999998</v>
      </c>
      <c r="V7169">
        <v>-5.2477900000000001E-2</v>
      </c>
      <c r="W7169">
        <v>-0.1184941</v>
      </c>
      <c r="X7169">
        <v>0.99156710000000003</v>
      </c>
      <c r="Y7169">
        <v>-4.5825129999999999E-2</v>
      </c>
      <c r="Z7169">
        <v>5.4031959999999997E-2</v>
      </c>
      <c r="AA7169">
        <v>0.99748709999999996</v>
      </c>
      <c r="AB7169">
        <v>19</v>
      </c>
      <c r="AC7169">
        <v>-0.45580000000000997</v>
      </c>
      <c r="AD7169">
        <v>-1.12210022959</v>
      </c>
      <c r="AE7169">
        <v>-16.359969999999901</v>
      </c>
      <c r="AF7169">
        <v>-0.75275482688403705</v>
      </c>
      <c r="AG7169">
        <v>-1.12210022959</v>
      </c>
      <c r="AH7169">
        <v>16.2723434008185</v>
      </c>
      <c r="AI7169">
        <v>93.9405286843498</v>
      </c>
      <c r="AJ7169">
        <v>92.648601226102599</v>
      </c>
      <c r="AK7169">
        <v>16.328346778189299</v>
      </c>
      <c r="AL7169">
        <v>96.805200451853906</v>
      </c>
      <c r="AM7169">
        <v>93.029507141954099</v>
      </c>
      <c r="AN7169">
        <v>1.0000000477628099</v>
      </c>
    </row>
    <row r="7170" spans="1:40" x14ac:dyDescent="0.25">
      <c r="A7170" t="str">
        <f>"20190303154950710"</f>
        <v>20190303154950710</v>
      </c>
      <c r="B7170" t="str">
        <f>"1551599390698567"</f>
        <v>1551599390698567</v>
      </c>
      <c r="C7170" t="s">
        <v>40</v>
      </c>
      <c r="D7170">
        <v>5.5889930000000003</v>
      </c>
      <c r="E7170">
        <v>0.50312009999999996</v>
      </c>
      <c r="F7170" t="s">
        <v>41</v>
      </c>
      <c r="G7170">
        <v>-304.2457</v>
      </c>
      <c r="H7170" s="1">
        <v>-4.4996299999999996E-6</v>
      </c>
      <c r="I7170">
        <v>-32.003920000000001</v>
      </c>
      <c r="J7170">
        <v>-303.8159</v>
      </c>
      <c r="K7170">
        <v>1.1220190000000001</v>
      </c>
      <c r="L7170">
        <v>-16.656129999999902</v>
      </c>
      <c r="M7170">
        <v>-7.0796150000000002E-2</v>
      </c>
      <c r="N7170">
        <v>-1.2883149999999999E-2</v>
      </c>
      <c r="O7170">
        <v>-0.99740770000000001</v>
      </c>
      <c r="P7170">
        <v>-1.9567339999999999E-2</v>
      </c>
      <c r="Q7170">
        <v>-0.13528660000000001</v>
      </c>
      <c r="R7170">
        <v>-0.99061350000000004</v>
      </c>
      <c r="S7170">
        <v>-8.5052489999999994E-2</v>
      </c>
      <c r="T7170">
        <v>-0.21610360000000001</v>
      </c>
      <c r="U7170">
        <v>-2.9964900000000001</v>
      </c>
      <c r="V7170">
        <v>-5.0169560000000002E-2</v>
      </c>
      <c r="W7170">
        <v>-0.1227123</v>
      </c>
      <c r="X7170">
        <v>0.99117339999999998</v>
      </c>
      <c r="Y7170">
        <v>-4.2497960000000001E-2</v>
      </c>
      <c r="Z7170">
        <v>5.8771999999999998E-2</v>
      </c>
      <c r="AA7170">
        <v>0.99736639999999999</v>
      </c>
      <c r="AB7170">
        <v>19</v>
      </c>
      <c r="AC7170">
        <v>-0.42980000000000002</v>
      </c>
      <c r="AD7170">
        <v>-1.12202349963</v>
      </c>
      <c r="AE7170">
        <v>-15.34779</v>
      </c>
      <c r="AF7170">
        <v>-0.65443820809936604</v>
      </c>
      <c r="AG7170">
        <v>-1.12202349963</v>
      </c>
      <c r="AH7170">
        <v>15.258219096817101</v>
      </c>
      <c r="AI7170">
        <v>94.201864850079602</v>
      </c>
      <c r="AJ7170">
        <v>92.455960238443595</v>
      </c>
      <c r="AK7170">
        <v>15.313408376596501</v>
      </c>
      <c r="AL7170">
        <v>97.048663099166205</v>
      </c>
      <c r="AM7170">
        <v>92.8976291897485</v>
      </c>
      <c r="AN7170">
        <v>1.0000000010947201</v>
      </c>
    </row>
    <row r="7171" spans="1:40" x14ac:dyDescent="0.25">
      <c r="A7171" t="str">
        <f>"20190303154950736"</f>
        <v>20190303154950736</v>
      </c>
      <c r="B7171" t="str">
        <f>"1551599390728355"</f>
        <v>1551599390728355</v>
      </c>
      <c r="C7171" t="s">
        <v>40</v>
      </c>
      <c r="D7171">
        <v>5.5980210000000001</v>
      </c>
      <c r="E7171">
        <v>0.48012129999999997</v>
      </c>
      <c r="F7171" t="s">
        <v>41</v>
      </c>
      <c r="G7171">
        <v>-304.22620000000001</v>
      </c>
      <c r="H7171" s="1">
        <v>-4.7064780000000004E-6</v>
      </c>
      <c r="I7171">
        <v>-31.38589</v>
      </c>
      <c r="J7171">
        <v>-303.82749999999999</v>
      </c>
      <c r="K7171">
        <v>1.1219509999999999</v>
      </c>
      <c r="L7171">
        <v>-16.876860000000001</v>
      </c>
      <c r="M7171">
        <v>-6.7410689999999995E-2</v>
      </c>
      <c r="N7171">
        <v>-1.2485349999999999E-2</v>
      </c>
      <c r="O7171">
        <v>-0.99764730000000001</v>
      </c>
      <c r="P7171">
        <v>-1.765897E-2</v>
      </c>
      <c r="Q7171">
        <v>-0.13719210000000001</v>
      </c>
      <c r="R7171">
        <v>-0.99038709999999996</v>
      </c>
      <c r="S7171">
        <v>-8.3435060000000005E-2</v>
      </c>
      <c r="T7171">
        <v>-0.228187</v>
      </c>
      <c r="U7171">
        <v>-2.9956049999999999</v>
      </c>
      <c r="V7171">
        <v>-4.8691239999999997E-2</v>
      </c>
      <c r="W7171">
        <v>-0.1250087</v>
      </c>
      <c r="X7171">
        <v>0.99096010000000001</v>
      </c>
      <c r="Y7171">
        <v>-3.9645279999999998E-2</v>
      </c>
      <c r="Z7171">
        <v>6.320713E-2</v>
      </c>
      <c r="AA7171">
        <v>0.9972126</v>
      </c>
      <c r="AB7171">
        <v>19</v>
      </c>
      <c r="AC7171">
        <v>-0.39870000000001898</v>
      </c>
      <c r="AD7171">
        <v>-1.1219557064779999</v>
      </c>
      <c r="AE7171">
        <v>-14.509029999999999</v>
      </c>
      <c r="AF7171">
        <v>-0.57689986860458098</v>
      </c>
      <c r="AG7171">
        <v>-1.1219557064779999</v>
      </c>
      <c r="AH7171">
        <v>14.4167581759691</v>
      </c>
      <c r="AI7171">
        <v>94.446417371817205</v>
      </c>
      <c r="AJ7171">
        <v>92.291520840005504</v>
      </c>
      <c r="AK7171">
        <v>14.4718524857762</v>
      </c>
      <c r="AL7171">
        <v>97.181258442037603</v>
      </c>
      <c r="AM7171">
        <v>92.812989814250898</v>
      </c>
      <c r="AN7171">
        <v>0.999999965860218</v>
      </c>
    </row>
    <row r="7172" spans="1:40" x14ac:dyDescent="0.25">
      <c r="A7172" t="str">
        <f>"20190303154950765"</f>
        <v>20190303154950765</v>
      </c>
      <c r="B7172" t="str">
        <f>"1551599390757635"</f>
        <v>1551599390757635</v>
      </c>
      <c r="C7172" t="s">
        <v>40</v>
      </c>
      <c r="D7172">
        <v>5.5932149999999998</v>
      </c>
      <c r="E7172">
        <v>0.46275359999999999</v>
      </c>
      <c r="F7172" t="s">
        <v>41</v>
      </c>
      <c r="G7172">
        <v>-303.45049999999998</v>
      </c>
      <c r="H7172" s="1">
        <v>-2.1695519999999999E-6</v>
      </c>
      <c r="I7172">
        <v>-27.49372</v>
      </c>
      <c r="J7172">
        <v>-303.83920000000001</v>
      </c>
      <c r="K7172">
        <v>1.121858</v>
      </c>
      <c r="L7172">
        <v>-17.11505</v>
      </c>
      <c r="M7172">
        <v>-6.3738249999999996E-2</v>
      </c>
      <c r="N7172">
        <v>-1.197819E-2</v>
      </c>
      <c r="O7172">
        <v>-0.99789470000000002</v>
      </c>
      <c r="P7172">
        <v>-1.650776E-2</v>
      </c>
      <c r="Q7172">
        <v>-0.14039939999999901</v>
      </c>
      <c r="R7172">
        <v>-0.98995719999999998</v>
      </c>
      <c r="S7172">
        <v>0.1060791</v>
      </c>
      <c r="T7172">
        <v>-0.31568489999999999</v>
      </c>
      <c r="U7172">
        <v>-2.9872740000000002</v>
      </c>
      <c r="V7172">
        <v>-4.6156610000000001E-2</v>
      </c>
      <c r="W7172">
        <v>-0.1287131</v>
      </c>
      <c r="X7172">
        <v>0.99060709999999996</v>
      </c>
      <c r="Y7172">
        <v>-9.8895350000000007E-2</v>
      </c>
      <c r="Z7172">
        <v>9.2548039999999998E-2</v>
      </c>
      <c r="AA7172">
        <v>0.99078480000000002</v>
      </c>
      <c r="AB7172">
        <v>19</v>
      </c>
      <c r="AC7172">
        <v>0.38870000000002802</v>
      </c>
      <c r="AD7172">
        <v>-1.1218601695520001</v>
      </c>
      <c r="AE7172">
        <v>-10.37867</v>
      </c>
      <c r="AF7172">
        <v>-1.03737154786988</v>
      </c>
      <c r="AG7172">
        <v>-1.1218601695520001</v>
      </c>
      <c r="AH7172">
        <v>10.213617225618201</v>
      </c>
      <c r="AI7172">
        <v>96.236391059736206</v>
      </c>
      <c r="AJ7172">
        <v>95.7995010736648</v>
      </c>
      <c r="AK7172">
        <v>10.3272787703151</v>
      </c>
      <c r="AL7172">
        <v>97.395233913939506</v>
      </c>
      <c r="AM7172">
        <v>92.667725299542298</v>
      </c>
      <c r="AN7172">
        <v>0.99999996066435504</v>
      </c>
    </row>
    <row r="7173" spans="1:40" x14ac:dyDescent="0.25">
      <c r="A7173" t="str">
        <f>"20190303154950794"</f>
        <v>20190303154950794</v>
      </c>
      <c r="B7173" t="str">
        <f>"1551599390787891"</f>
        <v>1551599390787891</v>
      </c>
      <c r="C7173" t="s">
        <v>40</v>
      </c>
      <c r="D7173">
        <v>5.5835080000000001</v>
      </c>
      <c r="E7173">
        <v>0.45718120000000001</v>
      </c>
      <c r="F7173" t="s">
        <v>41</v>
      </c>
      <c r="G7173">
        <v>-302.98849999999999</v>
      </c>
      <c r="H7173" s="1">
        <v>-2.0970820000000001E-6</v>
      </c>
      <c r="I7173">
        <v>-27.376080000000002</v>
      </c>
      <c r="J7173">
        <v>-303.85070000000002</v>
      </c>
      <c r="K7173">
        <v>1.1217220000000001</v>
      </c>
      <c r="L7173">
        <v>-17.36899</v>
      </c>
      <c r="M7173">
        <v>-5.980709E-2</v>
      </c>
      <c r="N7173">
        <v>-1.127994E-2</v>
      </c>
      <c r="O7173">
        <v>-0.99814650000000005</v>
      </c>
      <c r="P7173">
        <v>-1.1833669999999999E-2</v>
      </c>
      <c r="Q7173">
        <v>-0.1425825</v>
      </c>
      <c r="R7173">
        <v>-0.9897125</v>
      </c>
      <c r="S7173">
        <v>0.24774170000000001</v>
      </c>
      <c r="T7173">
        <v>-0.32670860000000002</v>
      </c>
      <c r="U7173">
        <v>-2.9882200000000001</v>
      </c>
      <c r="V7173">
        <v>-4.6900629999999999E-2</v>
      </c>
      <c r="W7173">
        <v>-0.13159460000000001</v>
      </c>
      <c r="X7173">
        <v>0.99019349999999995</v>
      </c>
      <c r="Y7173">
        <v>-0.1415978</v>
      </c>
      <c r="Z7173">
        <v>9.6414449999999999E-2</v>
      </c>
      <c r="AA7173">
        <v>0.98521789999999998</v>
      </c>
      <c r="AB7173">
        <v>19</v>
      </c>
      <c r="AC7173">
        <v>0.86220000000002905</v>
      </c>
      <c r="AD7173">
        <v>-1.1217240970819999</v>
      </c>
      <c r="AE7173">
        <v>-10.0070899999999</v>
      </c>
      <c r="AF7173">
        <v>-1.4412141013387301</v>
      </c>
      <c r="AG7173">
        <v>-1.1217240970819999</v>
      </c>
      <c r="AH7173">
        <v>9.8151882493572007</v>
      </c>
      <c r="AI7173">
        <v>96.451152474039603</v>
      </c>
      <c r="AJ7173">
        <v>98.353338385472497</v>
      </c>
      <c r="AK7173">
        <v>9.9836508055015507</v>
      </c>
      <c r="AL7173">
        <v>97.561747967033597</v>
      </c>
      <c r="AM7173">
        <v>92.711794526369999</v>
      </c>
      <c r="AN7173">
        <v>0.99999998764290299</v>
      </c>
    </row>
    <row r="7174" spans="1:40" x14ac:dyDescent="0.25">
      <c r="A7174" t="str">
        <f>"20190303154950827"</f>
        <v>20190303154950827</v>
      </c>
      <c r="B7174" t="str">
        <f>"1551599390817679"</f>
        <v>1551599390817679</v>
      </c>
      <c r="C7174" t="s">
        <v>40</v>
      </c>
      <c r="D7174">
        <v>5.5458990000000004</v>
      </c>
      <c r="E7174">
        <v>0.45475759999999998</v>
      </c>
      <c r="F7174" t="s">
        <v>41</v>
      </c>
      <c r="G7174">
        <v>-302.84039999999999</v>
      </c>
      <c r="H7174" s="1">
        <v>-2.1262890000000002E-6</v>
      </c>
      <c r="I7174">
        <v>-27.216139999999999</v>
      </c>
      <c r="J7174">
        <v>-303.86219999999997</v>
      </c>
      <c r="K7174">
        <v>1.121561</v>
      </c>
      <c r="L7174">
        <v>-17.647220000000001</v>
      </c>
      <c r="M7174">
        <v>-5.5499680000000003E-2</v>
      </c>
      <c r="N7174">
        <v>-1.0419039999999999E-2</v>
      </c>
      <c r="O7174">
        <v>-0.99840430000000002</v>
      </c>
      <c r="P7174">
        <v>-2.2529300000000002E-3</v>
      </c>
      <c r="Q7174">
        <v>-0.146484</v>
      </c>
      <c r="R7174">
        <v>-0.98921049999999999</v>
      </c>
      <c r="S7174">
        <v>0.30633539999999998</v>
      </c>
      <c r="T7174">
        <v>-0.34012750000000003</v>
      </c>
      <c r="U7174">
        <v>-2.98584</v>
      </c>
      <c r="V7174">
        <v>-5.2154569999999997E-2</v>
      </c>
      <c r="W7174">
        <v>-0.1363762</v>
      </c>
      <c r="X7174">
        <v>0.98928329999999998</v>
      </c>
      <c r="Y7174">
        <v>-0.1564846</v>
      </c>
      <c r="Z7174">
        <v>0.1015443</v>
      </c>
      <c r="AA7174">
        <v>0.98244659999999995</v>
      </c>
      <c r="AB7174">
        <v>19</v>
      </c>
      <c r="AC7174">
        <v>1.0217999999999801</v>
      </c>
      <c r="AD7174">
        <v>-1.121563126289</v>
      </c>
      <c r="AE7174">
        <v>-9.5689200000000003</v>
      </c>
      <c r="AF7174">
        <v>-1.5305364186970101</v>
      </c>
      <c r="AG7174">
        <v>-1.121563126289</v>
      </c>
      <c r="AH7174">
        <v>9.3701815084372093</v>
      </c>
      <c r="AI7174">
        <v>96.737095620066299</v>
      </c>
      <c r="AJ7174">
        <v>99.276835598763796</v>
      </c>
      <c r="AK7174">
        <v>9.5603737937523992</v>
      </c>
      <c r="AL7174">
        <v>97.838206336426595</v>
      </c>
      <c r="AM7174">
        <v>93.017813904306493</v>
      </c>
      <c r="AN7174">
        <v>1.0000000073786</v>
      </c>
    </row>
    <row r="7175" spans="1:40" x14ac:dyDescent="0.25">
      <c r="A7175" t="str">
        <f>"20190303154950859"</f>
        <v>20190303154950859</v>
      </c>
      <c r="B7175" t="str">
        <f>"1551599390847933"</f>
        <v>1551599390847933</v>
      </c>
      <c r="C7175" t="s">
        <v>40</v>
      </c>
      <c r="D7175">
        <v>5.4721820000000001</v>
      </c>
      <c r="E7175">
        <v>0.4538121</v>
      </c>
      <c r="F7175" t="s">
        <v>41</v>
      </c>
      <c r="G7175">
        <v>-302.73880000000003</v>
      </c>
      <c r="H7175" s="1">
        <v>-2.1535129999999999E-6</v>
      </c>
      <c r="I7175">
        <v>-27.089639999999999</v>
      </c>
      <c r="J7175">
        <v>-303.87270000000001</v>
      </c>
      <c r="K7175">
        <v>1.12144</v>
      </c>
      <c r="L7175">
        <v>-17.928739999999902</v>
      </c>
      <c r="M7175">
        <v>-5.1159209999999997E-2</v>
      </c>
      <c r="N7175">
        <v>-9.5198829999999998E-3</v>
      </c>
      <c r="O7175">
        <v>-0.99864529999999996</v>
      </c>
      <c r="P7175">
        <v>3.8966000000000001E-3</v>
      </c>
      <c r="Q7175">
        <v>-0.14713280000000001</v>
      </c>
      <c r="R7175">
        <v>-0.98910940000000003</v>
      </c>
      <c r="S7175">
        <v>0.35467530000000003</v>
      </c>
      <c r="T7175">
        <v>-0.35409000000000002</v>
      </c>
      <c r="U7175">
        <v>-2.9810789999999998</v>
      </c>
      <c r="V7175">
        <v>-5.3990549999999998E-2</v>
      </c>
      <c r="W7175">
        <v>-0.13792299999999999</v>
      </c>
      <c r="X7175">
        <v>0.98897029999999997</v>
      </c>
      <c r="Y7175">
        <v>-0.1680075</v>
      </c>
      <c r="Z7175">
        <v>0.1069866</v>
      </c>
      <c r="AA7175">
        <v>0.97996289999999997</v>
      </c>
      <c r="AB7175">
        <v>19</v>
      </c>
      <c r="AC7175">
        <v>1.1338999999999799</v>
      </c>
      <c r="AD7175">
        <v>-1.1214421535129999</v>
      </c>
      <c r="AE7175">
        <v>-9.1608999999999998</v>
      </c>
      <c r="AF7175">
        <v>-1.5778127340169299</v>
      </c>
      <c r="AG7175">
        <v>-1.1214421535129999</v>
      </c>
      <c r="AH7175">
        <v>8.9586645432986902</v>
      </c>
      <c r="AI7175">
        <v>97.028086543991506</v>
      </c>
      <c r="AJ7175">
        <v>99.988577063316797</v>
      </c>
      <c r="AK7175">
        <v>9.1654130254265702</v>
      </c>
      <c r="AL7175">
        <v>97.927677031093197</v>
      </c>
      <c r="AM7175">
        <v>93.124828876532604</v>
      </c>
      <c r="AN7175">
        <v>0.999999993850196</v>
      </c>
    </row>
    <row r="7176" spans="1:40" x14ac:dyDescent="0.25">
      <c r="A7176" t="str">
        <f>"20190303154950884"</f>
        <v>20190303154950884</v>
      </c>
      <c r="B7176" t="str">
        <f>"1551599390878189"</f>
        <v>1551599390878189</v>
      </c>
      <c r="C7176" t="s">
        <v>40</v>
      </c>
      <c r="D7176">
        <v>5.4352910000000003</v>
      </c>
      <c r="E7176">
        <v>0.45389400000000002</v>
      </c>
      <c r="F7176" t="s">
        <v>41</v>
      </c>
      <c r="G7176">
        <v>-302.65570000000002</v>
      </c>
      <c r="H7176" s="1">
        <v>-1.9688870000000002E-6</v>
      </c>
      <c r="I7176">
        <v>-27.46847</v>
      </c>
      <c r="J7176">
        <v>-303.87979999999999</v>
      </c>
      <c r="K7176">
        <v>1.1213839999999999</v>
      </c>
      <c r="L7176">
        <v>-18.14038</v>
      </c>
      <c r="M7176">
        <v>-4.7924799999999997E-2</v>
      </c>
      <c r="N7176">
        <v>-8.8770949999999998E-3</v>
      </c>
      <c r="O7176">
        <v>-0.99881140000000002</v>
      </c>
      <c r="P7176">
        <v>7.4720759999999898E-3</v>
      </c>
      <c r="Q7176">
        <v>-0.14603940000000001</v>
      </c>
      <c r="R7176">
        <v>-0.98925050000000003</v>
      </c>
      <c r="S7176">
        <v>0.3800964</v>
      </c>
      <c r="T7176">
        <v>-0.35024670000000002</v>
      </c>
      <c r="U7176">
        <v>-2.9794309999999999</v>
      </c>
      <c r="V7176">
        <v>-5.4368939999999998E-2</v>
      </c>
      <c r="W7176">
        <v>-0.13746639999999999</v>
      </c>
      <c r="X7176">
        <v>0.98901309999999998</v>
      </c>
      <c r="Y7176">
        <v>-0.17312649999999999</v>
      </c>
      <c r="Z7176">
        <v>0.10635890000000001</v>
      </c>
      <c r="AA7176">
        <v>0.97913989999999995</v>
      </c>
      <c r="AB7176">
        <v>19</v>
      </c>
      <c r="AC7176">
        <v>1.22409999999996</v>
      </c>
      <c r="AD7176">
        <v>-1.121385968887</v>
      </c>
      <c r="AE7176">
        <v>-9.3280899999999995</v>
      </c>
      <c r="AF7176">
        <v>-1.64636750601175</v>
      </c>
      <c r="AG7176">
        <v>-1.121385968887</v>
      </c>
      <c r="AH7176">
        <v>9.1290056648897906</v>
      </c>
      <c r="AI7176">
        <v>96.892898266147995</v>
      </c>
      <c r="AJ7176">
        <v>100.223100899572</v>
      </c>
      <c r="AK7176">
        <v>9.3438095488755497</v>
      </c>
      <c r="AL7176">
        <v>97.901264517864604</v>
      </c>
      <c r="AM7176">
        <v>93.146549320957206</v>
      </c>
      <c r="AN7176">
        <v>0.99999995236864503</v>
      </c>
    </row>
    <row r="7177" spans="1:40" x14ac:dyDescent="0.25">
      <c r="A7177" t="str">
        <f>"20190303154950909"</f>
        <v>20190303154950909</v>
      </c>
      <c r="B7177" t="str">
        <f>"1551599390898686"</f>
        <v>1551599390898686</v>
      </c>
      <c r="C7177" t="s">
        <v>40</v>
      </c>
      <c r="D7177">
        <v>5.446364</v>
      </c>
      <c r="E7177">
        <v>0.45398860000000002</v>
      </c>
      <c r="F7177" t="s">
        <v>41</v>
      </c>
      <c r="G7177">
        <v>-302.5829</v>
      </c>
      <c r="H7177" s="1">
        <v>-1.702284E-6</v>
      </c>
      <c r="I7177">
        <v>-28.044789999999999</v>
      </c>
      <c r="J7177">
        <v>-303.88659999999999</v>
      </c>
      <c r="K7177">
        <v>1.1213439999999999</v>
      </c>
      <c r="L7177">
        <v>-18.362919999999999</v>
      </c>
      <c r="M7177">
        <v>-4.4558920000000002E-2</v>
      </c>
      <c r="N7177">
        <v>-8.2661079999999994E-3</v>
      </c>
      <c r="O7177">
        <v>-0.99897250000000004</v>
      </c>
      <c r="P7177">
        <v>9.9975129999999995E-3</v>
      </c>
      <c r="Q7177">
        <v>-0.14371879999999901</v>
      </c>
      <c r="R7177">
        <v>-0.98956820000000001</v>
      </c>
      <c r="S7177">
        <v>0.39019779999999998</v>
      </c>
      <c r="T7177">
        <v>-0.33738210000000002</v>
      </c>
      <c r="U7177">
        <v>-2.9798580000000001</v>
      </c>
      <c r="V7177">
        <v>-5.357957E-2</v>
      </c>
      <c r="W7177">
        <v>-0.1357457</v>
      </c>
      <c r="X7177">
        <v>0.98929389999999995</v>
      </c>
      <c r="Y7177">
        <v>-0.17311460000000001</v>
      </c>
      <c r="Z7177">
        <v>0.10277500000000001</v>
      </c>
      <c r="AA7177">
        <v>0.97952470000000003</v>
      </c>
      <c r="AB7177">
        <v>20</v>
      </c>
      <c r="AC7177">
        <v>1.3036999999999901</v>
      </c>
      <c r="AD7177">
        <v>-1.1213457022840001</v>
      </c>
      <c r="AE7177">
        <v>-9.68187</v>
      </c>
      <c r="AF7177">
        <v>-1.71128694095109</v>
      </c>
      <c r="AG7177">
        <v>-1.1213457022840001</v>
      </c>
      <c r="AH7177">
        <v>9.4891383256860298</v>
      </c>
      <c r="AI7177">
        <v>96.633442589541701</v>
      </c>
      <c r="AJ7177">
        <v>100.22293382307301</v>
      </c>
      <c r="AK7177">
        <v>9.7071965748255096</v>
      </c>
      <c r="AL7177">
        <v>97.801741968615801</v>
      </c>
      <c r="AM7177">
        <v>93.100076662047002</v>
      </c>
      <c r="AN7177">
        <v>1.0000000429835401</v>
      </c>
    </row>
    <row r="7178" spans="1:40" x14ac:dyDescent="0.25">
      <c r="A7178" t="str">
        <f>"20190303154950936"</f>
        <v>20190303154950936</v>
      </c>
      <c r="B7178" t="str">
        <f>"1551599390928474"</f>
        <v>1551599390928474</v>
      </c>
      <c r="C7178" t="s">
        <v>40</v>
      </c>
      <c r="D7178">
        <v>5.4221009999999996</v>
      </c>
      <c r="E7178">
        <v>0.45409179999999999</v>
      </c>
      <c r="F7178" t="s">
        <v>41</v>
      </c>
      <c r="G7178">
        <v>-302.5136</v>
      </c>
      <c r="H7178" s="1">
        <v>-1.4174059999999999E-6</v>
      </c>
      <c r="I7178">
        <v>-28.665859999999999</v>
      </c>
      <c r="J7178">
        <v>-303.89299999999997</v>
      </c>
      <c r="K7178">
        <v>1.1213200000000001</v>
      </c>
      <c r="L7178">
        <v>-18.599209999999999</v>
      </c>
      <c r="M7178">
        <v>-4.1019029999999998E-2</v>
      </c>
      <c r="N7178">
        <v>-7.6963939999999996E-3</v>
      </c>
      <c r="O7178">
        <v>-0.99912889999999999</v>
      </c>
      <c r="P7178">
        <v>1.148327E-2</v>
      </c>
      <c r="Q7178">
        <v>-0.14303260000000001</v>
      </c>
      <c r="R7178">
        <v>-0.98965179999999997</v>
      </c>
      <c r="S7178">
        <v>0.39718629999999999</v>
      </c>
      <c r="T7178">
        <v>-0.3243897</v>
      </c>
      <c r="U7178">
        <v>-2.980499</v>
      </c>
      <c r="V7178">
        <v>-5.1560420000000003E-2</v>
      </c>
      <c r="W7178">
        <v>-0.13561619999999999</v>
      </c>
      <c r="X7178">
        <v>0.98941889999999999</v>
      </c>
      <c r="Y7178">
        <v>-0.1719145</v>
      </c>
      <c r="Z7178">
        <v>9.9113850000000003E-2</v>
      </c>
      <c r="AA7178">
        <v>0.98011309999999996</v>
      </c>
      <c r="AB7178">
        <v>20</v>
      </c>
      <c r="AC7178">
        <v>1.37939999999997</v>
      </c>
      <c r="AD7178">
        <v>-1.121321417406</v>
      </c>
      <c r="AE7178">
        <v>-10.066649999999999</v>
      </c>
      <c r="AF7178">
        <v>-1.76962312503651</v>
      </c>
      <c r="AG7178">
        <v>-1.121321417406</v>
      </c>
      <c r="AH7178">
        <v>9.8812500488586092</v>
      </c>
      <c r="AI7178">
        <v>96.373662682670201</v>
      </c>
      <c r="AJ7178">
        <v>100.15340697408899</v>
      </c>
      <c r="AK7178">
        <v>10.1008925473873</v>
      </c>
      <c r="AL7178">
        <v>97.794253286228397</v>
      </c>
      <c r="AM7178">
        <v>92.9830889896554</v>
      </c>
      <c r="AN7178">
        <v>0.99999999514511295</v>
      </c>
    </row>
    <row r="7179" spans="1:40" x14ac:dyDescent="0.25">
      <c r="A7179" t="str">
        <f>"20190303154950962"</f>
        <v>20190303154950962</v>
      </c>
      <c r="B7179" t="str">
        <f>"1551599390957755"</f>
        <v>1551599390957755</v>
      </c>
      <c r="C7179" t="s">
        <v>40</v>
      </c>
      <c r="D7179">
        <v>5.4185210000000001</v>
      </c>
      <c r="E7179">
        <v>0.45451649999999999</v>
      </c>
      <c r="F7179" t="s">
        <v>41</v>
      </c>
      <c r="G7179">
        <v>-302.47660000000002</v>
      </c>
      <c r="H7179" s="1">
        <v>-1.206667E-6</v>
      </c>
      <c r="I7179">
        <v>-29.134129999999999</v>
      </c>
      <c r="J7179">
        <v>-303.89859999999999</v>
      </c>
      <c r="K7179">
        <v>1.121313</v>
      </c>
      <c r="L7179">
        <v>-18.830439999999999</v>
      </c>
      <c r="M7179">
        <v>-3.7594410000000002E-2</v>
      </c>
      <c r="N7179">
        <v>-7.2157480000000001E-3</v>
      </c>
      <c r="O7179">
        <v>-0.99926700000000002</v>
      </c>
      <c r="P7179">
        <v>1.2978079999999999E-2</v>
      </c>
      <c r="Q7179">
        <v>-0.1418201</v>
      </c>
      <c r="R7179">
        <v>-0.9898074</v>
      </c>
      <c r="S7179">
        <v>0.40078740000000002</v>
      </c>
      <c r="T7179">
        <v>-0.31727899999999998</v>
      </c>
      <c r="U7179">
        <v>-2.9808650000000001</v>
      </c>
      <c r="V7179">
        <v>-4.9671649999999998E-2</v>
      </c>
      <c r="W7179">
        <v>-0.13487170000000001</v>
      </c>
      <c r="X7179">
        <v>0.98961730000000003</v>
      </c>
      <c r="Y7179">
        <v>-0.16971710000000001</v>
      </c>
      <c r="Z7179">
        <v>9.7299109999999994E-2</v>
      </c>
      <c r="AA7179">
        <v>0.98067780000000004</v>
      </c>
      <c r="AB7179">
        <v>20</v>
      </c>
      <c r="AC7179">
        <v>1.42199999999996</v>
      </c>
      <c r="AD7179">
        <v>-1.1213142066670001</v>
      </c>
      <c r="AE7179">
        <v>-10.30369</v>
      </c>
      <c r="AF7179">
        <v>-1.7875908446183599</v>
      </c>
      <c r="AG7179">
        <v>-1.1213142066670001</v>
      </c>
      <c r="AH7179">
        <v>10.125270759050601</v>
      </c>
      <c r="AI7179">
        <v>96.223940438705199</v>
      </c>
      <c r="AJ7179">
        <v>100.012251209792</v>
      </c>
      <c r="AK7179">
        <v>10.3428204336111</v>
      </c>
      <c r="AL7179">
        <v>97.751200799280497</v>
      </c>
      <c r="AM7179">
        <v>92.873423435401193</v>
      </c>
      <c r="AN7179">
        <v>1.00000002436695</v>
      </c>
    </row>
    <row r="7180" spans="1:40" x14ac:dyDescent="0.25">
      <c r="A7180" t="str">
        <f>"20190303154950993"</f>
        <v>20190303154950993</v>
      </c>
      <c r="B7180" t="str">
        <f>"1551599390988010"</f>
        <v>1551599390988010</v>
      </c>
      <c r="C7180" t="s">
        <v>40</v>
      </c>
      <c r="D7180">
        <v>5.4098629999999996</v>
      </c>
      <c r="E7180">
        <v>0.4548412</v>
      </c>
      <c r="F7180" t="s">
        <v>41</v>
      </c>
      <c r="G7180">
        <v>-302.44099999999997</v>
      </c>
      <c r="H7180" s="1">
        <v>-9.8564610000000008E-7</v>
      </c>
      <c r="I7180">
        <v>-29.627289999999999</v>
      </c>
      <c r="J7180">
        <v>-303.9042</v>
      </c>
      <c r="K7180">
        <v>1.12127</v>
      </c>
      <c r="L7180">
        <v>-19.10934</v>
      </c>
      <c r="M7180">
        <v>-3.353946E-2</v>
      </c>
      <c r="N7180">
        <v>-6.713508E-3</v>
      </c>
      <c r="O7180">
        <v>-0.99941500000000005</v>
      </c>
      <c r="P7180">
        <v>1.6853340000000001E-2</v>
      </c>
      <c r="Q7180">
        <v>-0.1414918</v>
      </c>
      <c r="R7180">
        <v>-0.98979620000000001</v>
      </c>
      <c r="S7180">
        <v>0.40246579999999998</v>
      </c>
      <c r="T7180">
        <v>-0.30962099999999998</v>
      </c>
      <c r="U7180">
        <v>-2.9812620000000001</v>
      </c>
      <c r="V7180">
        <v>-4.9533189999999998E-2</v>
      </c>
      <c r="W7180">
        <v>-0.13503870000000001</v>
      </c>
      <c r="X7180">
        <v>0.98960139999999996</v>
      </c>
      <c r="Y7180">
        <v>-0.16627629999999999</v>
      </c>
      <c r="Z7180">
        <v>9.5340449999999993E-2</v>
      </c>
      <c r="AA7180">
        <v>0.98145930000000003</v>
      </c>
      <c r="AB7180">
        <v>20</v>
      </c>
      <c r="AC7180">
        <v>1.46320000000002</v>
      </c>
      <c r="AD7180">
        <v>-1.1212709856461001</v>
      </c>
      <c r="AE7180">
        <v>-10.517950000000001</v>
      </c>
      <c r="AF7180">
        <v>-1.79513710244446</v>
      </c>
      <c r="AG7180">
        <v>-1.1212709856461001</v>
      </c>
      <c r="AH7180">
        <v>10.347591339289901</v>
      </c>
      <c r="AI7180">
        <v>96.094146777557896</v>
      </c>
      <c r="AJ7180">
        <v>99.841920688915394</v>
      </c>
      <c r="AK7180">
        <v>10.5618375467895</v>
      </c>
      <c r="AL7180">
        <v>97.760858046246298</v>
      </c>
      <c r="AM7180">
        <v>92.865473081282701</v>
      </c>
      <c r="AN7180">
        <v>0.99999995914561202</v>
      </c>
    </row>
    <row r="7181" spans="1:40" x14ac:dyDescent="0.25">
      <c r="A7181" t="str">
        <f>"20190303154951019"</f>
        <v>20190303154951019</v>
      </c>
      <c r="B7181" t="str">
        <f>"1551599391008507"</f>
        <v>1551599391008507</v>
      </c>
      <c r="C7181" t="s">
        <v>40</v>
      </c>
      <c r="D7181">
        <v>5.4254259999999999</v>
      </c>
      <c r="E7181">
        <v>0.4549878</v>
      </c>
      <c r="F7181" t="s">
        <v>41</v>
      </c>
      <c r="G7181">
        <v>-302.38740000000001</v>
      </c>
      <c r="H7181" s="1">
        <v>-7.7308339999999998E-7</v>
      </c>
      <c r="I7181">
        <v>-30.08954</v>
      </c>
      <c r="J7181">
        <v>-303.90839999999997</v>
      </c>
      <c r="K7181">
        <v>1.121208</v>
      </c>
      <c r="L7181">
        <v>-19.353269999999998</v>
      </c>
      <c r="M7181">
        <v>-3.0059990000000002E-2</v>
      </c>
      <c r="N7181">
        <v>-6.3155909999999997E-3</v>
      </c>
      <c r="O7181">
        <v>-0.99952830000000004</v>
      </c>
      <c r="P7181">
        <v>2.1054300000000001E-2</v>
      </c>
      <c r="Q7181">
        <v>-0.1417629</v>
      </c>
      <c r="R7181">
        <v>-0.98967660000000002</v>
      </c>
      <c r="S7181">
        <v>0.41171259999999998</v>
      </c>
      <c r="T7181">
        <v>-0.30435200000000001</v>
      </c>
      <c r="U7181">
        <v>-2.9804080000000002</v>
      </c>
      <c r="V7181">
        <v>-5.0290170000000002E-2</v>
      </c>
      <c r="W7181">
        <v>-0.13570470000000001</v>
      </c>
      <c r="X7181">
        <v>0.98947220000000002</v>
      </c>
      <c r="Y7181">
        <v>-0.16589229999999899</v>
      </c>
      <c r="Z7181">
        <v>9.4046589999999999E-2</v>
      </c>
      <c r="AA7181">
        <v>0.98164910000000005</v>
      </c>
      <c r="AB7181">
        <v>20</v>
      </c>
      <c r="AC7181">
        <v>1.5209999999999499</v>
      </c>
      <c r="AD7181">
        <v>-1.12120877308339</v>
      </c>
      <c r="AE7181">
        <v>-10.736269999999999</v>
      </c>
      <c r="AF7181">
        <v>-1.82355476219126</v>
      </c>
      <c r="AG7181">
        <v>-1.12120877308339</v>
      </c>
      <c r="AH7181">
        <v>10.572658985493099</v>
      </c>
      <c r="AI7181">
        <v>95.966033235644502</v>
      </c>
      <c r="AJ7181">
        <v>99.785998973738899</v>
      </c>
      <c r="AK7181">
        <v>10.787195145499</v>
      </c>
      <c r="AL7181">
        <v>97.799370840682499</v>
      </c>
      <c r="AM7181">
        <v>92.909568591055304</v>
      </c>
      <c r="AN7181">
        <v>1.0000000506867699</v>
      </c>
    </row>
    <row r="7182" spans="1:40" x14ac:dyDescent="0.25">
      <c r="A7182" t="str">
        <f>"20190303154951046"</f>
        <v>20190303154951046</v>
      </c>
      <c r="B7182" t="str">
        <f>"1551599391038292"</f>
        <v>1551599391038292</v>
      </c>
      <c r="C7182" t="s">
        <v>40</v>
      </c>
      <c r="D7182">
        <v>5.4089119999999999</v>
      </c>
      <c r="E7182">
        <v>0.45546029999999998</v>
      </c>
      <c r="F7182" t="s">
        <v>41</v>
      </c>
      <c r="G7182">
        <v>-302.35070000000002</v>
      </c>
      <c r="H7182" s="1">
        <v>-6.688616E-7</v>
      </c>
      <c r="I7182">
        <v>-30.309740000000001</v>
      </c>
      <c r="J7182">
        <v>-303.91160000000002</v>
      </c>
      <c r="K7182">
        <v>1.121127</v>
      </c>
      <c r="L7182">
        <v>-19.58258</v>
      </c>
      <c r="M7182">
        <v>-2.690172E-2</v>
      </c>
      <c r="N7182">
        <v>-5.9755290000000003E-3</v>
      </c>
      <c r="O7182">
        <v>-0.99962039999999996</v>
      </c>
      <c r="P7182">
        <v>2.5681490000000001E-2</v>
      </c>
      <c r="Q7182">
        <v>-0.1423613</v>
      </c>
      <c r="R7182">
        <v>-0.98948159999999996</v>
      </c>
      <c r="S7182">
        <v>0.4234619</v>
      </c>
      <c r="T7182">
        <v>-0.3048129</v>
      </c>
      <c r="U7182">
        <v>-2.9786380000000001</v>
      </c>
      <c r="V7182">
        <v>-5.1795550000000003E-2</v>
      </c>
      <c r="W7182">
        <v>-0.1366414</v>
      </c>
      <c r="X7182">
        <v>0.98926559999999997</v>
      </c>
      <c r="Y7182">
        <v>-0.1666492</v>
      </c>
      <c r="Z7182">
        <v>9.4575950000000006E-2</v>
      </c>
      <c r="AA7182">
        <v>0.98146999999999995</v>
      </c>
      <c r="AB7182">
        <v>20</v>
      </c>
      <c r="AC7182">
        <v>1.5609</v>
      </c>
      <c r="AD7182">
        <v>-1.1211276688616001</v>
      </c>
      <c r="AE7182">
        <v>-10.72716</v>
      </c>
      <c r="AF7182">
        <v>-1.82935157708889</v>
      </c>
      <c r="AG7182">
        <v>-1.1211276688616001</v>
      </c>
      <c r="AH7182">
        <v>10.5682427709592</v>
      </c>
      <c r="AI7182">
        <v>95.967462790027795</v>
      </c>
      <c r="AJ7182">
        <v>99.820525188925501</v>
      </c>
      <c r="AK7182">
        <v>10.783840211557999</v>
      </c>
      <c r="AL7182">
        <v>97.853544510235807</v>
      </c>
      <c r="AM7182">
        <v>92.997131502170006</v>
      </c>
      <c r="AN7182">
        <v>1.00000003926856</v>
      </c>
    </row>
    <row r="7183" spans="1:40" x14ac:dyDescent="0.25">
      <c r="A7183" t="str">
        <f>"20190303154951073"</f>
        <v>20190303154951073</v>
      </c>
      <c r="B7183" t="str">
        <f>"1551599391068549"</f>
        <v>1551599391068549</v>
      </c>
      <c r="C7183" t="s">
        <v>40</v>
      </c>
      <c r="D7183">
        <v>5.4272530000000003</v>
      </c>
      <c r="E7183">
        <v>0.4559414</v>
      </c>
      <c r="F7183" t="s">
        <v>41</v>
      </c>
      <c r="G7183">
        <v>-302.30860000000001</v>
      </c>
      <c r="H7183" s="1">
        <v>-4.6412060000000003E-6</v>
      </c>
      <c r="I7183">
        <v>-30.57817</v>
      </c>
      <c r="J7183">
        <v>-303.91460000000001</v>
      </c>
      <c r="K7183">
        <v>1.121008</v>
      </c>
      <c r="L7183">
        <v>-19.844940000000001</v>
      </c>
      <c r="M7183">
        <v>-2.3450479999999999E-2</v>
      </c>
      <c r="N7183">
        <v>-5.6208669999999999E-3</v>
      </c>
      <c r="O7183">
        <v>-0.99970919999999996</v>
      </c>
      <c r="P7183">
        <v>3.3650800000000002E-2</v>
      </c>
      <c r="Q7183">
        <v>-0.14421439999999999</v>
      </c>
      <c r="R7183">
        <v>-0.98897409999999997</v>
      </c>
      <c r="S7183">
        <v>0.4339905</v>
      </c>
      <c r="T7183">
        <v>-0.30353649999999999</v>
      </c>
      <c r="U7183">
        <v>-2.9769589999999999</v>
      </c>
      <c r="V7183">
        <v>-5.6350770000000001E-2</v>
      </c>
      <c r="W7183">
        <v>-0.13885620000000001</v>
      </c>
      <c r="X7183">
        <v>0.98870800000000003</v>
      </c>
      <c r="Y7183">
        <v>-0.16672699999999999</v>
      </c>
      <c r="Z7183">
        <v>9.4556870000000001E-2</v>
      </c>
      <c r="AA7183">
        <v>0.98145870000000002</v>
      </c>
      <c r="AB7183">
        <v>21</v>
      </c>
      <c r="AC7183">
        <v>1.6059999999999901</v>
      </c>
      <c r="AD7183">
        <v>-1.121012641206</v>
      </c>
      <c r="AE7183">
        <v>-10.733230000000001</v>
      </c>
      <c r="AF7183">
        <v>-1.8376548478494501</v>
      </c>
      <c r="AG7183">
        <v>-1.121012641206</v>
      </c>
      <c r="AH7183">
        <v>10.5797357064497</v>
      </c>
      <c r="AI7183">
        <v>95.959825296197195</v>
      </c>
      <c r="AJ7183">
        <v>99.853720530815494</v>
      </c>
      <c r="AK7183">
        <v>10.7965018547628</v>
      </c>
      <c r="AL7183">
        <v>97.981665033699102</v>
      </c>
      <c r="AM7183">
        <v>93.262006724073004</v>
      </c>
      <c r="AN7183">
        <v>0.99999998141101598</v>
      </c>
    </row>
    <row r="7184" spans="1:40" x14ac:dyDescent="0.25">
      <c r="A7184" t="str">
        <f>"20190303154951107"</f>
        <v>20190303154951107</v>
      </c>
      <c r="B7184" t="str">
        <f>"1551599391097828"</f>
        <v>1551599391097828</v>
      </c>
      <c r="C7184" t="s">
        <v>40</v>
      </c>
      <c r="D7184">
        <v>5.3625829999999999</v>
      </c>
      <c r="E7184">
        <v>0.45654400000000001</v>
      </c>
      <c r="F7184" t="s">
        <v>41</v>
      </c>
      <c r="G7184">
        <v>-302.25459999999998</v>
      </c>
      <c r="H7184" s="1">
        <v>-4.58656E-6</v>
      </c>
      <c r="I7184">
        <v>-30.710609999999999</v>
      </c>
      <c r="J7184">
        <v>-303.91730000000001</v>
      </c>
      <c r="K7184">
        <v>1.1208910000000001</v>
      </c>
      <c r="L7184">
        <v>-20.161159999999999</v>
      </c>
      <c r="M7184">
        <v>-1.9502240000000001E-2</v>
      </c>
      <c r="N7184">
        <v>-5.2471009999999997E-3</v>
      </c>
      <c r="O7184">
        <v>-0.99979629999999997</v>
      </c>
      <c r="P7184">
        <v>3.995845E-2</v>
      </c>
      <c r="Q7184">
        <v>-0.14507129999999999</v>
      </c>
      <c r="R7184">
        <v>-0.9886144</v>
      </c>
      <c r="S7184">
        <v>0.45422360000000001</v>
      </c>
      <c r="T7184">
        <v>-0.30675219999999997</v>
      </c>
      <c r="U7184">
        <v>-2.9732669999999999</v>
      </c>
      <c r="V7184">
        <v>-5.8767859999999998E-2</v>
      </c>
      <c r="W7184">
        <v>-0.14008229999999999</v>
      </c>
      <c r="X7184">
        <v>0.98839429999999995</v>
      </c>
      <c r="Y7184">
        <v>-0.1695208</v>
      </c>
      <c r="Z7184">
        <v>9.6043100000000006E-2</v>
      </c>
      <c r="AA7184">
        <v>0.98083560000000003</v>
      </c>
      <c r="AB7184">
        <v>21</v>
      </c>
      <c r="AC7184">
        <v>1.6627000000000201</v>
      </c>
      <c r="AD7184">
        <v>-1.1208955865600001</v>
      </c>
      <c r="AE7184">
        <v>-10.54945</v>
      </c>
      <c r="AF7184">
        <v>-1.8477698757275001</v>
      </c>
      <c r="AG7184">
        <v>-1.1208955865600001</v>
      </c>
      <c r="AH7184">
        <v>10.4004479950485</v>
      </c>
      <c r="AI7184">
        <v>96.057111101911204</v>
      </c>
      <c r="AJ7184">
        <v>100.074196798934</v>
      </c>
      <c r="AK7184">
        <v>10.6226163880338</v>
      </c>
      <c r="AL7184">
        <v>98.052608601996198</v>
      </c>
      <c r="AM7184">
        <v>93.402681344802701</v>
      </c>
      <c r="AN7184">
        <v>1.0000000022073701</v>
      </c>
    </row>
    <row r="7185" spans="1:40" x14ac:dyDescent="0.25">
      <c r="A7185" t="str">
        <f>"20190303154951136"</f>
        <v>20190303154951136</v>
      </c>
      <c r="B7185" t="str">
        <f>"1551599391127614"</f>
        <v>1551599391127614</v>
      </c>
      <c r="C7185" t="s">
        <v>40</v>
      </c>
      <c r="D7185">
        <v>5.3794820000000003</v>
      </c>
      <c r="E7185">
        <v>0.45716820000000002</v>
      </c>
      <c r="F7185" t="s">
        <v>41</v>
      </c>
      <c r="G7185">
        <v>-302.20440000000002</v>
      </c>
      <c r="H7185" s="1">
        <v>-4.4714780000000001E-6</v>
      </c>
      <c r="I7185">
        <v>-31.02262</v>
      </c>
      <c r="J7185">
        <v>-303.91890000000001</v>
      </c>
      <c r="K7185">
        <v>1.120817</v>
      </c>
      <c r="L7185">
        <v>-20.427489999999999</v>
      </c>
      <c r="M7185">
        <v>-1.635004E-2</v>
      </c>
      <c r="N7185">
        <v>-4.983922E-3</v>
      </c>
      <c r="O7185">
        <v>-0.99985409999999997</v>
      </c>
      <c r="P7185">
        <v>4.5200400000000002E-2</v>
      </c>
      <c r="Q7185">
        <v>-0.14583879999999999</v>
      </c>
      <c r="R7185">
        <v>-0.98827540000000003</v>
      </c>
      <c r="S7185">
        <v>0.46847529999999998</v>
      </c>
      <c r="T7185">
        <v>-0.30656850000000002</v>
      </c>
      <c r="U7185">
        <v>-2.9706419999999998</v>
      </c>
      <c r="V7185">
        <v>-6.0901740000000003E-2</v>
      </c>
      <c r="W7185">
        <v>-0.1411113</v>
      </c>
      <c r="X7185">
        <v>0.98811870000000002</v>
      </c>
      <c r="Y7185">
        <v>-0.17113629999999999</v>
      </c>
      <c r="Z7185">
        <v>9.6291619999999994E-2</v>
      </c>
      <c r="AA7185">
        <v>0.98053060000000003</v>
      </c>
      <c r="AB7185">
        <v>21</v>
      </c>
      <c r="AC7185">
        <v>1.7144999999999799</v>
      </c>
      <c r="AD7185">
        <v>-1.120821471478</v>
      </c>
      <c r="AE7185">
        <v>-10.595129999999999</v>
      </c>
      <c r="AF7185">
        <v>-1.8671421393116101</v>
      </c>
      <c r="AG7185">
        <v>-1.120821471478</v>
      </c>
      <c r="AH7185">
        <v>10.4517031077193</v>
      </c>
      <c r="AI7185">
        <v>96.026215988934496</v>
      </c>
      <c r="AJ7185">
        <v>100.12874412218601</v>
      </c>
      <c r="AK7185">
        <v>10.676167776464901</v>
      </c>
      <c r="AL7185">
        <v>98.112157538723096</v>
      </c>
      <c r="AM7185">
        <v>93.526908495087994</v>
      </c>
      <c r="AN7185">
        <v>0.99999999310620302</v>
      </c>
    </row>
    <row r="7186" spans="1:40" x14ac:dyDescent="0.25">
      <c r="A7186" t="str">
        <f>"20190303154951164"</f>
        <v>20190303154951164</v>
      </c>
      <c r="B7186" t="str">
        <f>"1551599391157871"</f>
        <v>1551599391157871</v>
      </c>
      <c r="C7186" t="s">
        <v>40</v>
      </c>
      <c r="D7186">
        <v>5.5167330000000003</v>
      </c>
      <c r="E7186">
        <v>0.49232670000000001</v>
      </c>
      <c r="F7186" t="s">
        <v>41</v>
      </c>
      <c r="G7186">
        <v>-302.1592</v>
      </c>
      <c r="H7186" s="1">
        <v>-4.3585730000000004E-6</v>
      </c>
      <c r="I7186">
        <v>-31.330839999999998</v>
      </c>
      <c r="J7186">
        <v>-303.91969999999998</v>
      </c>
      <c r="K7186">
        <v>1.1207800000000001</v>
      </c>
      <c r="L7186">
        <v>-20.69699</v>
      </c>
      <c r="M7186">
        <v>-1.329088E-2</v>
      </c>
      <c r="N7186">
        <v>-4.7621429999999999E-3</v>
      </c>
      <c r="O7186">
        <v>-0.99990060000000003</v>
      </c>
      <c r="P7186">
        <v>4.9659290000000002E-2</v>
      </c>
      <c r="Q7186">
        <v>-0.1449936</v>
      </c>
      <c r="R7186">
        <v>-0.9881856</v>
      </c>
      <c r="S7186">
        <v>0.47909550000000001</v>
      </c>
      <c r="T7186">
        <v>-0.3051662</v>
      </c>
      <c r="U7186">
        <v>-2.968658</v>
      </c>
      <c r="V7186">
        <v>-6.234953E-2</v>
      </c>
      <c r="W7186">
        <v>-0.14048550000000001</v>
      </c>
      <c r="X7186">
        <v>0.98811760000000004</v>
      </c>
      <c r="Y7186">
        <v>-0.1716491</v>
      </c>
      <c r="Z7186">
        <v>9.6095410000000006E-2</v>
      </c>
      <c r="AA7186">
        <v>0.9804602</v>
      </c>
      <c r="AB7186">
        <v>21</v>
      </c>
      <c r="AC7186">
        <v>1.76049999999997</v>
      </c>
      <c r="AD7186">
        <v>-1.120784358573</v>
      </c>
      <c r="AE7186">
        <v>-10.633850000000001</v>
      </c>
      <c r="AF7186">
        <v>-1.88133761989752</v>
      </c>
      <c r="AG7186">
        <v>-1.120784358573</v>
      </c>
      <c r="AH7186">
        <v>10.4960252531243</v>
      </c>
      <c r="AI7186">
        <v>96.000139850648694</v>
      </c>
      <c r="AJ7186">
        <v>100.16194887131</v>
      </c>
      <c r="AK7186">
        <v>10.7220396815478</v>
      </c>
      <c r="AL7186">
        <v>98.075940878690304</v>
      </c>
      <c r="AM7186">
        <v>93.610536911897398</v>
      </c>
      <c r="AN7186">
        <v>1.0000000155156099</v>
      </c>
    </row>
    <row r="7187" spans="1:40" x14ac:dyDescent="0.25">
      <c r="A7187" t="str">
        <f>"20190303154951191"</f>
        <v>20190303154951191</v>
      </c>
      <c r="B7187" t="str">
        <f>"1551599391188128"</f>
        <v>1551599391188128</v>
      </c>
      <c r="C7187" t="s">
        <v>40</v>
      </c>
      <c r="D7187">
        <v>5.4735969999999998</v>
      </c>
      <c r="E7187">
        <v>0.50783769999999995</v>
      </c>
      <c r="F7187" t="s">
        <v>41</v>
      </c>
      <c r="G7187">
        <v>-302.7054</v>
      </c>
      <c r="H7187" s="1">
        <v>-1.889741E-6</v>
      </c>
      <c r="I7187">
        <v>-37.683839999999996</v>
      </c>
      <c r="J7187">
        <v>-303.91989999999998</v>
      </c>
      <c r="K7187">
        <v>1.120757</v>
      </c>
      <c r="L7187">
        <v>-20.963069999999998</v>
      </c>
      <c r="M7187">
        <v>-1.037941E-2</v>
      </c>
      <c r="N7187">
        <v>-4.5866639999999998E-3</v>
      </c>
      <c r="O7187">
        <v>-0.99993569999999998</v>
      </c>
      <c r="P7187">
        <v>5.2327449999999998E-2</v>
      </c>
      <c r="Q7187">
        <v>-0.1424057</v>
      </c>
      <c r="R7187">
        <v>-0.98842459999999999</v>
      </c>
      <c r="S7187">
        <v>0.21417240000000001</v>
      </c>
      <c r="T7187">
        <v>-0.19768040000000001</v>
      </c>
      <c r="U7187">
        <v>-2.9960939999999998</v>
      </c>
      <c r="V7187">
        <v>-6.2156040000000003E-2</v>
      </c>
      <c r="W7187">
        <v>-0.13806679999999999</v>
      </c>
      <c r="X7187">
        <v>0.98847059999999998</v>
      </c>
      <c r="Y7187">
        <v>-8.1504960000000001E-2</v>
      </c>
      <c r="Z7187">
        <v>6.1058870000000001E-2</v>
      </c>
      <c r="AA7187">
        <v>0.99480089999999999</v>
      </c>
      <c r="AB7187">
        <v>21</v>
      </c>
      <c r="AC7187">
        <v>1.2144999999999799</v>
      </c>
      <c r="AD7187">
        <v>-1.1207588897409999</v>
      </c>
      <c r="AE7187">
        <v>-16.720770000000002</v>
      </c>
      <c r="AF7187">
        <v>-1.3818125624361599</v>
      </c>
      <c r="AG7187">
        <v>-1.1207588897409999</v>
      </c>
      <c r="AH7187">
        <v>16.6329280068509</v>
      </c>
      <c r="AI7187">
        <v>93.841678892524797</v>
      </c>
      <c r="AJ7187">
        <v>94.749051754791196</v>
      </c>
      <c r="AK7187">
        <v>16.727815174962998</v>
      </c>
      <c r="AL7187">
        <v>97.935995933898198</v>
      </c>
      <c r="AM7187">
        <v>93.598079776085797</v>
      </c>
      <c r="AN7187">
        <v>0.99999997081754</v>
      </c>
    </row>
    <row r="7188" spans="1:40" x14ac:dyDescent="0.25">
      <c r="A7188" t="str">
        <f>"20190303154951228"</f>
        <v>20190303154951228</v>
      </c>
      <c r="B7188" t="str">
        <f>"1551599391217914"</f>
        <v>1551599391217914</v>
      </c>
      <c r="C7188" t="s">
        <v>40</v>
      </c>
      <c r="D7188">
        <v>5.4957149999999997</v>
      </c>
      <c r="E7188">
        <v>0.51246879999999995</v>
      </c>
      <c r="F7188" t="s">
        <v>41</v>
      </c>
      <c r="G7188">
        <v>-303.35419999999999</v>
      </c>
      <c r="H7188" s="1">
        <v>-1.820361E-6</v>
      </c>
      <c r="I7188">
        <v>-38.247970000000002</v>
      </c>
      <c r="J7188">
        <v>-303.91899999999998</v>
      </c>
      <c r="K7188">
        <v>1.1207370000000001</v>
      </c>
      <c r="L7188">
        <v>-21.329989999999999</v>
      </c>
      <c r="M7188">
        <v>-6.4530639999999997E-3</v>
      </c>
      <c r="N7188">
        <v>-4.3926909999999998E-3</v>
      </c>
      <c r="O7188">
        <v>-0.99996969999999996</v>
      </c>
      <c r="P7188">
        <v>5.4344089999999998E-2</v>
      </c>
      <c r="Q7188">
        <v>-0.1431075</v>
      </c>
      <c r="R7188">
        <v>-0.98821409999999998</v>
      </c>
      <c r="S7188">
        <v>9.8236080000000003E-2</v>
      </c>
      <c r="T7188">
        <v>-0.1946437</v>
      </c>
      <c r="U7188">
        <v>-3.0018919999999998</v>
      </c>
      <c r="V7188">
        <v>-6.0287029999999998E-2</v>
      </c>
      <c r="W7188">
        <v>-0.13895569999999999</v>
      </c>
      <c r="X7188">
        <v>0.9884619</v>
      </c>
      <c r="Y7188">
        <v>-3.909079E-2</v>
      </c>
      <c r="Z7188">
        <v>6.0275929999999998E-2</v>
      </c>
      <c r="AA7188">
        <v>0.99741599999999997</v>
      </c>
      <c r="AB7188">
        <v>22</v>
      </c>
      <c r="AC7188">
        <v>0.56480000000004704</v>
      </c>
      <c r="AD7188">
        <v>-1.120738820361</v>
      </c>
      <c r="AE7188">
        <v>-16.91798</v>
      </c>
      <c r="AF7188">
        <v>-0.67102061589489903</v>
      </c>
      <c r="AG7188">
        <v>-1.120738820361</v>
      </c>
      <c r="AH7188">
        <v>16.8401629640124</v>
      </c>
      <c r="AI7188">
        <v>93.804497638803895</v>
      </c>
      <c r="AJ7188">
        <v>92.2818259509488</v>
      </c>
      <c r="AK7188">
        <v>16.890749326921998</v>
      </c>
      <c r="AL7188">
        <v>97.987421058700605</v>
      </c>
      <c r="AM7188">
        <v>93.490189012008997</v>
      </c>
      <c r="AN7188">
        <v>1.0000000701501499</v>
      </c>
    </row>
    <row r="7189" spans="1:40" x14ac:dyDescent="0.25">
      <c r="A7189" t="str">
        <f>"20190303154951259"</f>
        <v>20190303154951259</v>
      </c>
      <c r="B7189" t="str">
        <f>"1551599391248170"</f>
        <v>1551599391248170</v>
      </c>
      <c r="C7189" t="s">
        <v>40</v>
      </c>
      <c r="D7189">
        <v>5.604012</v>
      </c>
      <c r="E7189">
        <v>0.5133181</v>
      </c>
      <c r="F7189" t="s">
        <v>41</v>
      </c>
      <c r="G7189">
        <v>-303.53449999999998</v>
      </c>
      <c r="H7189" s="1">
        <v>-1.81244E-6</v>
      </c>
      <c r="I7189">
        <v>-38.378219999999999</v>
      </c>
      <c r="J7189">
        <v>-303.91730000000001</v>
      </c>
      <c r="K7189">
        <v>1.1207389999999999</v>
      </c>
      <c r="L7189">
        <v>-21.633970000000001</v>
      </c>
      <c r="M7189">
        <v>-3.2332659999999998E-3</v>
      </c>
      <c r="N7189">
        <v>-4.2581520000000003E-3</v>
      </c>
      <c r="O7189">
        <v>-0.99998580000000004</v>
      </c>
      <c r="P7189">
        <v>5.5341920000000003E-2</v>
      </c>
      <c r="Q7189">
        <v>-0.14275019999999999</v>
      </c>
      <c r="R7189">
        <v>-0.98821040000000004</v>
      </c>
      <c r="S7189">
        <v>6.7749019999999993E-2</v>
      </c>
      <c r="T7189">
        <v>-0.1974446</v>
      </c>
      <c r="U7189">
        <v>-3.0034480000000001</v>
      </c>
      <c r="V7189">
        <v>-5.8095639999999997E-2</v>
      </c>
      <c r="W7189">
        <v>-0.13872719999999999</v>
      </c>
      <c r="X7189">
        <v>0.98862510000000003</v>
      </c>
      <c r="Y7189">
        <v>-2.5737409999999999E-2</v>
      </c>
      <c r="Z7189">
        <v>6.1328290000000001E-2</v>
      </c>
      <c r="AA7189">
        <v>0.9977857</v>
      </c>
      <c r="AB7189">
        <v>22</v>
      </c>
      <c r="AC7189">
        <v>0.382800000000031</v>
      </c>
      <c r="AD7189">
        <v>-1.12074081244</v>
      </c>
      <c r="AE7189">
        <v>-16.744249999999901</v>
      </c>
      <c r="AF7189">
        <v>-0.43498936040921399</v>
      </c>
      <c r="AG7189">
        <v>-1.12074081244</v>
      </c>
      <c r="AH7189">
        <v>16.668289675713201</v>
      </c>
      <c r="AI7189">
        <v>93.845352821992506</v>
      </c>
      <c r="AJ7189">
        <v>91.494898359760199</v>
      </c>
      <c r="AK7189">
        <v>16.711587489697799</v>
      </c>
      <c r="AL7189">
        <v>97.974201785018593</v>
      </c>
      <c r="AM7189">
        <v>93.363065938774099</v>
      </c>
      <c r="AN7189">
        <v>0.99999996387842904</v>
      </c>
    </row>
    <row r="7190" spans="1:40" x14ac:dyDescent="0.25">
      <c r="A7190" t="str">
        <f>"20190303154951285"</f>
        <v>20190303154951285</v>
      </c>
      <c r="B7190" t="str">
        <f>"1551599391278426"</f>
        <v>1551599391278426</v>
      </c>
      <c r="C7190" t="s">
        <v>40</v>
      </c>
      <c r="D7190">
        <v>5.5998060000000001</v>
      </c>
      <c r="E7190">
        <v>0.51416170000000005</v>
      </c>
      <c r="F7190" t="s">
        <v>41</v>
      </c>
      <c r="G7190">
        <v>-303.59620000000001</v>
      </c>
      <c r="H7190" s="1">
        <v>-2.5289180000000001E-6</v>
      </c>
      <c r="I7190">
        <v>-36.746369999999999</v>
      </c>
      <c r="J7190">
        <v>-303.9153</v>
      </c>
      <c r="K7190">
        <v>1.12076</v>
      </c>
      <c r="L7190">
        <v>-21.878630000000001</v>
      </c>
      <c r="M7190">
        <v>-6.4588730000000004E-4</v>
      </c>
      <c r="N7190">
        <v>-4.1621779999999999E-3</v>
      </c>
      <c r="O7190">
        <v>-0.99999119999999997</v>
      </c>
      <c r="P7190">
        <v>5.5203519999999999E-2</v>
      </c>
      <c r="Q7190">
        <v>-0.1415305</v>
      </c>
      <c r="R7190">
        <v>-0.98839370000000004</v>
      </c>
      <c r="S7190">
        <v>6.3751219999999997E-2</v>
      </c>
      <c r="T7190">
        <v>-0.22248799999999999</v>
      </c>
      <c r="U7190">
        <v>-3.000092</v>
      </c>
      <c r="V7190">
        <v>-5.5395510000000002E-2</v>
      </c>
      <c r="W7190">
        <v>-0.1375961</v>
      </c>
      <c r="X7190">
        <v>0.98893819999999999</v>
      </c>
      <c r="Y7190">
        <v>-2.183535E-2</v>
      </c>
      <c r="Z7190">
        <v>6.9788740000000002E-2</v>
      </c>
      <c r="AA7190">
        <v>0.99732279999999995</v>
      </c>
      <c r="AB7190">
        <v>22</v>
      </c>
      <c r="AC7190">
        <v>0.319099999999991</v>
      </c>
      <c r="AD7190">
        <v>-1.1207625289180001</v>
      </c>
      <c r="AE7190">
        <v>-14.86774</v>
      </c>
      <c r="AF7190">
        <v>-0.32684645975093402</v>
      </c>
      <c r="AG7190">
        <v>-1.1207625289180001</v>
      </c>
      <c r="AH7190">
        <v>14.783562297848899</v>
      </c>
      <c r="AI7190">
        <v>94.334325037356606</v>
      </c>
      <c r="AJ7190">
        <v>91.266533192925394</v>
      </c>
      <c r="AK7190">
        <v>14.8295870296127</v>
      </c>
      <c r="AL7190">
        <v>97.908766246857994</v>
      </c>
      <c r="AM7190">
        <v>93.206080576949603</v>
      </c>
      <c r="AN7190">
        <v>1.0000000563413001</v>
      </c>
    </row>
    <row r="7191" spans="1:40" x14ac:dyDescent="0.25">
      <c r="A7191" t="str">
        <f>"20190303154951308"</f>
        <v>20190303154951308</v>
      </c>
      <c r="B7191" t="str">
        <f>"1551599391298922"</f>
        <v>1551599391298922</v>
      </c>
      <c r="C7191" t="s">
        <v>40</v>
      </c>
      <c r="D7191">
        <v>5.6181349999999997</v>
      </c>
      <c r="E7191">
        <v>0.51428339999999995</v>
      </c>
      <c r="F7191" t="s">
        <v>41</v>
      </c>
      <c r="G7191">
        <v>-303.6413</v>
      </c>
      <c r="H7191" s="1">
        <v>-2.6929239999999999E-6</v>
      </c>
      <c r="I7191">
        <v>-36.392049999999998</v>
      </c>
      <c r="J7191">
        <v>-303.91250000000002</v>
      </c>
      <c r="K7191">
        <v>1.1207780000000001</v>
      </c>
      <c r="L7191">
        <v>-22.123380000000001</v>
      </c>
      <c r="M7191">
        <v>1.945902E-3</v>
      </c>
      <c r="N7191">
        <v>-4.076395E-3</v>
      </c>
      <c r="O7191">
        <v>-0.99999000000000005</v>
      </c>
      <c r="P7191">
        <v>5.5420940000000002E-2</v>
      </c>
      <c r="Q7191">
        <v>-0.1399889</v>
      </c>
      <c r="R7191">
        <v>-0.9886009</v>
      </c>
      <c r="S7191">
        <v>5.6610109999999998E-2</v>
      </c>
      <c r="T7191">
        <v>-0.2315826</v>
      </c>
      <c r="U7191">
        <v>-2.998901</v>
      </c>
      <c r="V7191">
        <v>-5.3046009999999998E-2</v>
      </c>
      <c r="W7191">
        <v>-0.13613400000000001</v>
      </c>
      <c r="X7191">
        <v>0.98926930000000002</v>
      </c>
      <c r="Y7191">
        <v>-1.6874940000000001E-2</v>
      </c>
      <c r="Z7191">
        <v>7.2915900000000006E-2</v>
      </c>
      <c r="AA7191">
        <v>0.99719530000000001</v>
      </c>
      <c r="AB7191">
        <v>22</v>
      </c>
      <c r="AC7191">
        <v>0.27120000000002098</v>
      </c>
      <c r="AD7191">
        <v>-1.1207806929240001</v>
      </c>
      <c r="AE7191">
        <v>-14.26867</v>
      </c>
      <c r="AF7191">
        <v>-0.241941624560921</v>
      </c>
      <c r="AG7191">
        <v>-1.1207806929240001</v>
      </c>
      <c r="AH7191">
        <v>14.181703395989199</v>
      </c>
      <c r="AI7191">
        <v>94.518041534218398</v>
      </c>
      <c r="AJ7191">
        <v>90.977378313864804</v>
      </c>
      <c r="AK7191">
        <v>14.227979347860201</v>
      </c>
      <c r="AL7191">
        <v>97.824198351862606</v>
      </c>
      <c r="AM7191">
        <v>93.069340749838204</v>
      </c>
      <c r="AN7191">
        <v>1.0000000465276999</v>
      </c>
    </row>
    <row r="7192" spans="1:40" x14ac:dyDescent="0.25">
      <c r="A7192" t="str">
        <f>"20190303154951342"</f>
        <v>20190303154951342</v>
      </c>
      <c r="B7192" t="str">
        <f>"1551599391338469"</f>
        <v>1551599391338469</v>
      </c>
      <c r="C7192" t="s">
        <v>40</v>
      </c>
      <c r="D7192">
        <v>5.6687969999999996</v>
      </c>
      <c r="E7192">
        <v>0.51457739999999996</v>
      </c>
      <c r="F7192" t="s">
        <v>41</v>
      </c>
      <c r="G7192">
        <v>-303.6456</v>
      </c>
      <c r="H7192" s="1">
        <v>-2.6913629999999998E-6</v>
      </c>
      <c r="I7192">
        <v>-36.398319999999998</v>
      </c>
      <c r="J7192">
        <v>-303.90780000000001</v>
      </c>
      <c r="K7192">
        <v>1.1208070000000001</v>
      </c>
      <c r="L7192">
        <v>-22.455200000000001</v>
      </c>
      <c r="M7192">
        <v>5.4675740000000002E-3</v>
      </c>
      <c r="N7192">
        <v>-3.9769760000000001E-3</v>
      </c>
      <c r="O7192">
        <v>-0.99997740000000002</v>
      </c>
      <c r="P7192">
        <v>5.6347920000000003E-2</v>
      </c>
      <c r="Q7192">
        <v>-0.14010500000000001</v>
      </c>
      <c r="R7192">
        <v>-0.98853230000000003</v>
      </c>
      <c r="S7192">
        <v>5.6060789999999999E-2</v>
      </c>
      <c r="T7192">
        <v>-0.23539299999999999</v>
      </c>
      <c r="U7192">
        <v>-2.9981080000000002</v>
      </c>
      <c r="V7192">
        <v>-5.0477729999999998E-2</v>
      </c>
      <c r="W7192">
        <v>-0.1363443</v>
      </c>
      <c r="X7192">
        <v>0.98937459999999999</v>
      </c>
      <c r="Y7192">
        <v>-1.3174679999999999E-2</v>
      </c>
      <c r="Z7192">
        <v>7.4295849999999997E-2</v>
      </c>
      <c r="AA7192">
        <v>0.99714919999999996</v>
      </c>
      <c r="AB7192">
        <v>22</v>
      </c>
      <c r="AC7192">
        <v>0.26220000000000698</v>
      </c>
      <c r="AD7192">
        <v>-1.1208096913629999</v>
      </c>
      <c r="AE7192">
        <v>-13.943119999999899</v>
      </c>
      <c r="AF7192">
        <v>-0.18476697838456199</v>
      </c>
      <c r="AG7192">
        <v>-1.1208096913629999</v>
      </c>
      <c r="AH7192">
        <v>13.8548515582522</v>
      </c>
      <c r="AI7192">
        <v>94.624550042777003</v>
      </c>
      <c r="AJ7192">
        <v>90.764045756460305</v>
      </c>
      <c r="AK7192">
        <v>13.901340399463599</v>
      </c>
      <c r="AL7192">
        <v>97.8363619444943</v>
      </c>
      <c r="AM7192">
        <v>92.920688833128807</v>
      </c>
      <c r="AN7192">
        <v>0.999999934246799</v>
      </c>
    </row>
    <row r="7193" spans="1:40" x14ac:dyDescent="0.25">
      <c r="A7193" t="str">
        <f>"20190303154951374"</f>
        <v>20190303154951374</v>
      </c>
      <c r="B7193" t="str">
        <f>"1551599391367749"</f>
        <v>1551599391367749</v>
      </c>
      <c r="C7193" t="s">
        <v>40</v>
      </c>
      <c r="D7193">
        <v>5.5861689999999999</v>
      </c>
      <c r="E7193">
        <v>0.51499470000000003</v>
      </c>
      <c r="F7193" t="s">
        <v>42</v>
      </c>
      <c r="G7193">
        <v>-303.89049999999997</v>
      </c>
      <c r="H7193">
        <v>1.044116</v>
      </c>
      <c r="I7193">
        <v>-23.383330000000001</v>
      </c>
      <c r="J7193">
        <v>-303.90190000000001</v>
      </c>
      <c r="K7193">
        <v>1.12083</v>
      </c>
      <c r="L7193">
        <v>-22.789950000000001</v>
      </c>
      <c r="M7193">
        <v>9.0283429999999994E-3</v>
      </c>
      <c r="N7193">
        <v>-3.9010939999999999E-3</v>
      </c>
      <c r="O7193">
        <v>-0.9999517</v>
      </c>
      <c r="P7193">
        <v>5.9154110000000003E-2</v>
      </c>
      <c r="Q7193">
        <v>-0.14067929999999901</v>
      </c>
      <c r="R7193">
        <v>-0.98828669999999996</v>
      </c>
      <c r="S7193">
        <v>5.6518550000000001E-2</v>
      </c>
      <c r="T7193">
        <v>-0.24769340000000001</v>
      </c>
      <c r="U7193">
        <v>-2.9964900000000001</v>
      </c>
      <c r="V7193">
        <v>-4.9749500000000002E-2</v>
      </c>
      <c r="W7193">
        <v>-0.136995799999999</v>
      </c>
      <c r="X7193">
        <v>0.98932149999999996</v>
      </c>
      <c r="Y7193">
        <v>-9.7708380000000004E-3</v>
      </c>
      <c r="Z7193">
        <v>7.8477809999999995E-2</v>
      </c>
      <c r="AA7193">
        <v>0.99686799999999998</v>
      </c>
      <c r="AB7193">
        <v>23</v>
      </c>
      <c r="AC7193">
        <v>1.14000000000373E-2</v>
      </c>
      <c r="AD7193">
        <v>-7.6713999999999893E-2</v>
      </c>
      <c r="AE7193">
        <v>-0.59337999999999602</v>
      </c>
      <c r="AF7193">
        <v>-5.9429620736538803E-3</v>
      </c>
      <c r="AG7193">
        <v>-7.6713999999999893E-2</v>
      </c>
      <c r="AH7193">
        <v>0.58370620516516403</v>
      </c>
      <c r="AI7193">
        <v>97.486843161111693</v>
      </c>
      <c r="AJ7193">
        <v>90.583332636420096</v>
      </c>
      <c r="AK7193">
        <v>0.58875571380881397</v>
      </c>
      <c r="AL7193">
        <v>97.874043635952503</v>
      </c>
      <c r="AM7193">
        <v>92.878778395013995</v>
      </c>
      <c r="AN7193">
        <v>0.99999994616506804</v>
      </c>
    </row>
    <row r="7194" spans="1:40" x14ac:dyDescent="0.25">
      <c r="A7194" t="str">
        <f>"20190303154951398"</f>
        <v>20190303154951398</v>
      </c>
      <c r="B7194" t="str">
        <f>"1551599391388244"</f>
        <v>1551599391388244</v>
      </c>
      <c r="C7194" t="s">
        <v>40</v>
      </c>
      <c r="D7194">
        <v>5.6616309999999999</v>
      </c>
      <c r="E7194">
        <v>0.51527179999999995</v>
      </c>
      <c r="F7194" t="s">
        <v>41</v>
      </c>
      <c r="G7194">
        <v>-303.63189999999997</v>
      </c>
      <c r="H7194" s="1">
        <v>-2.8449500000000002E-6</v>
      </c>
      <c r="I7194">
        <v>-36.03181</v>
      </c>
      <c r="J7194">
        <v>-303.89679999999998</v>
      </c>
      <c r="K7194">
        <v>1.120854</v>
      </c>
      <c r="L7194">
        <v>-23.039760000000001</v>
      </c>
      <c r="M7194">
        <v>1.168723E-2</v>
      </c>
      <c r="N7194">
        <v>-3.8574080000000001E-3</v>
      </c>
      <c r="O7194">
        <v>-0.99992420000000004</v>
      </c>
      <c r="P7194">
        <v>6.1637440000000002E-2</v>
      </c>
      <c r="Q7194">
        <v>-0.13929179999999999</v>
      </c>
      <c r="R7194">
        <v>-0.98833139999999997</v>
      </c>
      <c r="S7194">
        <v>6.1096190000000002E-2</v>
      </c>
      <c r="T7194">
        <v>-0.25357560000000001</v>
      </c>
      <c r="U7194">
        <v>-2.995819</v>
      </c>
      <c r="V7194">
        <v>-4.9599299999999999E-2</v>
      </c>
      <c r="W7194">
        <v>-0.13565339999999901</v>
      </c>
      <c r="X7194">
        <v>0.98951409999999995</v>
      </c>
      <c r="Y7194">
        <v>-8.635673E-3</v>
      </c>
      <c r="Z7194">
        <v>8.0478839999999996E-2</v>
      </c>
      <c r="AA7194">
        <v>0.99671889999999996</v>
      </c>
      <c r="AB7194">
        <v>23</v>
      </c>
      <c r="AC7194">
        <v>0.26490000000001102</v>
      </c>
      <c r="AD7194">
        <v>-1.12085684495</v>
      </c>
      <c r="AE7194">
        <v>-12.992050000000001</v>
      </c>
      <c r="AF7194">
        <v>-0.112204903908052</v>
      </c>
      <c r="AG7194">
        <v>-1.12085684495</v>
      </c>
      <c r="AH7194">
        <v>12.8982971767519</v>
      </c>
      <c r="AI7194">
        <v>94.966316750099494</v>
      </c>
      <c r="AJ7194">
        <v>90.498415037525106</v>
      </c>
      <c r="AK7194">
        <v>12.9473927903319</v>
      </c>
      <c r="AL7194">
        <v>97.796404179956198</v>
      </c>
      <c r="AM7194">
        <v>92.869543849297202</v>
      </c>
      <c r="AN7194">
        <v>1.00000004479542</v>
      </c>
    </row>
    <row r="7195" spans="1:40" x14ac:dyDescent="0.25">
      <c r="A7195" t="str">
        <f>"20190303154951423"</f>
        <v>20190303154951423</v>
      </c>
      <c r="B7195" t="str">
        <f>"1551599391418031"</f>
        <v>1551599391418031</v>
      </c>
      <c r="C7195" t="s">
        <v>40</v>
      </c>
      <c r="D7195">
        <v>5.7149539999999996</v>
      </c>
      <c r="E7195">
        <v>0.51580090000000001</v>
      </c>
      <c r="F7195" t="s">
        <v>41</v>
      </c>
      <c r="G7195">
        <v>-303.60070000000002</v>
      </c>
      <c r="H7195" s="1">
        <v>-2.650764E-6</v>
      </c>
      <c r="I7195">
        <v>-36.465130000000002</v>
      </c>
      <c r="J7195">
        <v>-303.89080000000001</v>
      </c>
      <c r="K7195">
        <v>1.120878</v>
      </c>
      <c r="L7195">
        <v>-23.296720000000001</v>
      </c>
      <c r="M7195">
        <v>1.4421109999999999E-2</v>
      </c>
      <c r="N7195">
        <v>-3.8387479999999999E-3</v>
      </c>
      <c r="O7195">
        <v>-0.99988869999999996</v>
      </c>
      <c r="P7195">
        <v>6.479501E-2</v>
      </c>
      <c r="Q7195">
        <v>-0.1370817</v>
      </c>
      <c r="R7195">
        <v>-0.98843840000000005</v>
      </c>
      <c r="S7195">
        <v>6.607056E-2</v>
      </c>
      <c r="T7195">
        <v>-0.25013279999999999</v>
      </c>
      <c r="U7195">
        <v>-2.9960330000000002</v>
      </c>
      <c r="V7195">
        <v>-5.0050749999999998E-2</v>
      </c>
      <c r="W7195">
        <v>-0.13346540000000001</v>
      </c>
      <c r="X7195">
        <v>0.98978880000000002</v>
      </c>
      <c r="Y7195">
        <v>-7.5565240000000002E-3</v>
      </c>
      <c r="Z7195">
        <v>7.9348940000000007E-2</v>
      </c>
      <c r="AA7195">
        <v>0.99681819999999999</v>
      </c>
      <c r="AB7195">
        <v>23</v>
      </c>
      <c r="AC7195">
        <v>0.29009999999999497</v>
      </c>
      <c r="AD7195">
        <v>-1.1208806507639999</v>
      </c>
      <c r="AE7195">
        <v>-13.16841</v>
      </c>
      <c r="AF7195">
        <v>-9.9445201242174805E-2</v>
      </c>
      <c r="AG7195">
        <v>-1.1208806507639999</v>
      </c>
      <c r="AH7195">
        <v>13.076527728310699</v>
      </c>
      <c r="AI7195">
        <v>94.899105528052999</v>
      </c>
      <c r="AJ7195">
        <v>90.435718151202494</v>
      </c>
      <c r="AK7195">
        <v>13.124855816754099</v>
      </c>
      <c r="AL7195">
        <v>97.669890920645003</v>
      </c>
      <c r="AM7195">
        <v>92.894815758535799</v>
      </c>
      <c r="AN7195">
        <v>0.99999997958908105</v>
      </c>
    </row>
    <row r="7196" spans="1:40" x14ac:dyDescent="0.25">
      <c r="A7196" t="str">
        <f>"20190303154951447"</f>
        <v>20190303154951447</v>
      </c>
      <c r="B7196" t="str">
        <f>"1551599391437552"</f>
        <v>1551599391437552</v>
      </c>
      <c r="C7196" t="s">
        <v>40</v>
      </c>
      <c r="D7196">
        <v>5.9192289999999996</v>
      </c>
      <c r="E7196">
        <v>0.51584059999999998</v>
      </c>
      <c r="F7196" t="s">
        <v>42</v>
      </c>
      <c r="G7196">
        <v>-303.86900000000003</v>
      </c>
      <c r="H7196">
        <v>1.046303</v>
      </c>
      <c r="I7196">
        <v>-24.216709999999999</v>
      </c>
      <c r="J7196">
        <v>-303.88409999999999</v>
      </c>
      <c r="K7196">
        <v>1.1208929999999999</v>
      </c>
      <c r="L7196">
        <v>-23.549589999999998</v>
      </c>
      <c r="M7196">
        <v>1.7106900000000001E-2</v>
      </c>
      <c r="N7196">
        <v>-3.8655909999999998E-3</v>
      </c>
      <c r="O7196">
        <v>-0.99984620000000002</v>
      </c>
      <c r="P7196">
        <v>6.9561100000000001E-2</v>
      </c>
      <c r="Q7196">
        <v>-0.13650660000000001</v>
      </c>
      <c r="R7196">
        <v>-0.98819389999999996</v>
      </c>
      <c r="S7196">
        <v>7.13501E-2</v>
      </c>
      <c r="T7196">
        <v>-0.2429626</v>
      </c>
      <c r="U7196">
        <v>-2.9967350000000001</v>
      </c>
      <c r="V7196">
        <v>-5.2156960000000002E-2</v>
      </c>
      <c r="W7196">
        <v>-0.1328744</v>
      </c>
      <c r="X7196">
        <v>0.98975959999999996</v>
      </c>
      <c r="Y7196">
        <v>-6.6252259999999997E-3</v>
      </c>
      <c r="Z7196">
        <v>7.6927910000000002E-2</v>
      </c>
      <c r="AA7196">
        <v>0.99701459999999997</v>
      </c>
      <c r="AB7196">
        <v>23</v>
      </c>
      <c r="AC7196">
        <v>1.50999999999612E-2</v>
      </c>
      <c r="AD7196">
        <v>-7.4590000000000101E-2</v>
      </c>
      <c r="AE7196">
        <v>-0.66712000000000005</v>
      </c>
      <c r="AF7196">
        <v>-3.63987038991037E-3</v>
      </c>
      <c r="AG7196">
        <v>-7.4590000000000101E-2</v>
      </c>
      <c r="AH7196">
        <v>0.65904601514818295</v>
      </c>
      <c r="AI7196">
        <v>96.457089288656306</v>
      </c>
      <c r="AJ7196">
        <v>90.316437830005299</v>
      </c>
      <c r="AK7196">
        <v>0.66326357267616798</v>
      </c>
      <c r="AL7196">
        <v>97.635724568455402</v>
      </c>
      <c r="AM7196">
        <v>93.016502300938498</v>
      </c>
      <c r="AN7196">
        <v>1.0000000102219799</v>
      </c>
    </row>
    <row r="7197" spans="1:40" x14ac:dyDescent="0.25">
      <c r="A7197" t="str">
        <f>"20190303154951470"</f>
        <v>20190303154951470</v>
      </c>
      <c r="B7197" t="str">
        <f>"1551599391458047"</f>
        <v>1551599391458047</v>
      </c>
      <c r="C7197" t="s">
        <v>40</v>
      </c>
      <c r="D7197">
        <v>5.7509430000000004</v>
      </c>
      <c r="E7197">
        <v>0.51590689999999995</v>
      </c>
      <c r="F7197" t="s">
        <v>41</v>
      </c>
      <c r="G7197">
        <v>-303.49250000000001</v>
      </c>
      <c r="H7197" s="1">
        <v>-2.25919E-6</v>
      </c>
      <c r="I7197">
        <v>-37.310780000000001</v>
      </c>
      <c r="J7197">
        <v>-303.87729999999999</v>
      </c>
      <c r="K7197">
        <v>1.120922</v>
      </c>
      <c r="L7197">
        <v>-23.786930000000002</v>
      </c>
      <c r="M7197">
        <v>1.9624409999999998E-2</v>
      </c>
      <c r="N7197">
        <v>-3.9351730000000001E-3</v>
      </c>
      <c r="O7197">
        <v>-0.99979989999999996</v>
      </c>
      <c r="P7197">
        <v>7.442182E-2</v>
      </c>
      <c r="Q7197">
        <v>-0.13778370000000001</v>
      </c>
      <c r="R7197">
        <v>-0.9876627</v>
      </c>
      <c r="S7197">
        <v>8.5266110000000006E-2</v>
      </c>
      <c r="T7197">
        <v>-0.2440445</v>
      </c>
      <c r="U7197">
        <v>-2.996124</v>
      </c>
      <c r="V7197">
        <v>-5.4524990000000002E-2</v>
      </c>
      <c r="W7197">
        <v>-0.13409550000000001</v>
      </c>
      <c r="X7197">
        <v>0.98946730000000005</v>
      </c>
      <c r="Y7197">
        <v>-8.7387569999999998E-3</v>
      </c>
      <c r="Z7197">
        <v>7.7221570000000003E-2</v>
      </c>
      <c r="AA7197">
        <v>0.99697570000000002</v>
      </c>
      <c r="AB7197">
        <v>23</v>
      </c>
      <c r="AC7197">
        <v>0.38479999999998399</v>
      </c>
      <c r="AD7197">
        <v>-1.1209242591899999</v>
      </c>
      <c r="AE7197">
        <v>-13.523849999999999</v>
      </c>
      <c r="AF7197">
        <v>-0.11851280663483101</v>
      </c>
      <c r="AG7197">
        <v>-1.1209242591899999</v>
      </c>
      <c r="AH7197">
        <v>13.436563623832701</v>
      </c>
      <c r="AI7197">
        <v>94.768583727268705</v>
      </c>
      <c r="AJ7197">
        <v>90.505345544617697</v>
      </c>
      <c r="AK7197">
        <v>13.4837590640548</v>
      </c>
      <c r="AL7197">
        <v>97.706319852322906</v>
      </c>
      <c r="AM7197">
        <v>93.154116748964796</v>
      </c>
      <c r="AN7197">
        <v>1.0000000577120101</v>
      </c>
    </row>
    <row r="7198" spans="1:40" x14ac:dyDescent="0.25">
      <c r="A7198" t="str">
        <f>"20190303154951496"</f>
        <v>20190303154951496</v>
      </c>
      <c r="B7198" t="str">
        <f>"1551599391488304"</f>
        <v>1551599391488304</v>
      </c>
      <c r="C7198" t="s">
        <v>40</v>
      </c>
      <c r="D7198">
        <v>5.7028489999999996</v>
      </c>
      <c r="E7198">
        <v>0.51556279999999999</v>
      </c>
      <c r="F7198" t="s">
        <v>41</v>
      </c>
      <c r="G7198">
        <v>-303.43119999999999</v>
      </c>
      <c r="H7198" s="1">
        <v>-2.2760880000000002E-6</v>
      </c>
      <c r="I7198">
        <v>-37.233359999999998</v>
      </c>
      <c r="J7198">
        <v>-303.86860000000001</v>
      </c>
      <c r="K7198">
        <v>1.1209880000000001</v>
      </c>
      <c r="L7198">
        <v>-24.063479999999998</v>
      </c>
      <c r="M7198">
        <v>2.2548430000000001E-2</v>
      </c>
      <c r="N7198">
        <v>-4.1183130000000002E-3</v>
      </c>
      <c r="O7198">
        <v>-0.9997374</v>
      </c>
      <c r="P7198">
        <v>7.909178E-2</v>
      </c>
      <c r="Q7198">
        <v>-0.14021359999999999</v>
      </c>
      <c r="R7198">
        <v>-0.98695730000000004</v>
      </c>
      <c r="S7198">
        <v>9.9365229999999999E-2</v>
      </c>
      <c r="T7198">
        <v>-0.24968209999999999</v>
      </c>
      <c r="U7198">
        <v>-2.9951479999999999</v>
      </c>
      <c r="V7198">
        <v>-5.6300259999999998E-2</v>
      </c>
      <c r="W7198">
        <v>-0.13635620000000001</v>
      </c>
      <c r="X7198">
        <v>0.98905880000000002</v>
      </c>
      <c r="Y7198">
        <v>-1.050718E-2</v>
      </c>
      <c r="Z7198">
        <v>7.8914219999999993E-2</v>
      </c>
      <c r="AA7198">
        <v>0.99682610000000005</v>
      </c>
      <c r="AB7198">
        <v>24</v>
      </c>
      <c r="AC7198">
        <v>0.43740000000002499</v>
      </c>
      <c r="AD7198">
        <v>-1.1209902760879999</v>
      </c>
      <c r="AE7198">
        <v>-13.169879999999999</v>
      </c>
      <c r="AF7198">
        <v>-0.13931794293452501</v>
      </c>
      <c r="AG7198">
        <v>-1.1209902760879999</v>
      </c>
      <c r="AH7198">
        <v>13.0817212864449</v>
      </c>
      <c r="AI7198">
        <v>94.897511186945295</v>
      </c>
      <c r="AJ7198">
        <v>90.610166522030994</v>
      </c>
      <c r="AK7198">
        <v>13.1304021455755</v>
      </c>
      <c r="AL7198">
        <v>97.837049506285794</v>
      </c>
      <c r="AM7198">
        <v>93.257935685412505</v>
      </c>
      <c r="AN7198">
        <v>1.0000000212059701</v>
      </c>
    </row>
    <row r="7199" spans="1:40" x14ac:dyDescent="0.25">
      <c r="A7199" t="str">
        <f>"20190303154951531"</f>
        <v>20190303154951531</v>
      </c>
      <c r="B7199" t="str">
        <f>"1551599391527850"</f>
        <v>1551599391527850</v>
      </c>
      <c r="C7199" t="s">
        <v>40</v>
      </c>
      <c r="D7199">
        <v>5.7054390000000001</v>
      </c>
      <c r="E7199">
        <v>0.4788578</v>
      </c>
      <c r="F7199" t="s">
        <v>41</v>
      </c>
      <c r="G7199">
        <v>-303.36149999999998</v>
      </c>
      <c r="H7199" s="1">
        <v>-2.3074460000000001E-6</v>
      </c>
      <c r="I7199">
        <v>-37.11703</v>
      </c>
      <c r="J7199">
        <v>-303.85570000000001</v>
      </c>
      <c r="K7199">
        <v>1.121149</v>
      </c>
      <c r="L7199">
        <v>-24.42963</v>
      </c>
      <c r="M7199">
        <v>2.6397830000000001E-2</v>
      </c>
      <c r="N7199">
        <v>-4.7307909999999998E-3</v>
      </c>
      <c r="O7199">
        <v>-0.99964030000000004</v>
      </c>
      <c r="P7199">
        <v>8.1955490000000006E-2</v>
      </c>
      <c r="Q7199">
        <v>-0.14054949999999999</v>
      </c>
      <c r="R7199">
        <v>-0.98667590000000005</v>
      </c>
      <c r="S7199">
        <v>0.1163025</v>
      </c>
      <c r="T7199">
        <v>-0.25709680000000001</v>
      </c>
      <c r="U7199">
        <v>-2.993805</v>
      </c>
      <c r="V7199">
        <v>-5.5355300000000003E-2</v>
      </c>
      <c r="W7199">
        <v>-0.1360866</v>
      </c>
      <c r="X7199">
        <v>0.98914930000000001</v>
      </c>
      <c r="Y7199">
        <v>-1.229716E-2</v>
      </c>
      <c r="Z7199">
        <v>8.0769519999999997E-2</v>
      </c>
      <c r="AA7199">
        <v>0.99665700000000002</v>
      </c>
      <c r="AB7199">
        <v>24</v>
      </c>
      <c r="AC7199">
        <v>0.494200000000034</v>
      </c>
      <c r="AD7199">
        <v>-1.121151307446</v>
      </c>
      <c r="AE7199">
        <v>-12.6874</v>
      </c>
      <c r="AF7199">
        <v>-0.15787326195979101</v>
      </c>
      <c r="AG7199">
        <v>-1.121151307446</v>
      </c>
      <c r="AH7199">
        <v>12.59780008785</v>
      </c>
      <c r="AI7199">
        <v>95.085288181686906</v>
      </c>
      <c r="AJ7199">
        <v>90.717982351718604</v>
      </c>
      <c r="AK7199">
        <v>12.648575859537001</v>
      </c>
      <c r="AL7199">
        <v>97.821456955142693</v>
      </c>
      <c r="AM7199">
        <v>93.203075916759701</v>
      </c>
      <c r="AN7199">
        <v>1.00000005481406</v>
      </c>
    </row>
    <row r="7200" spans="1:40" x14ac:dyDescent="0.25">
      <c r="A7200" t="str">
        <f>"20190303154951558"</f>
        <v>20190303154951558</v>
      </c>
      <c r="B7200" t="str">
        <f>"1551599391548347"</f>
        <v>1551599391548347</v>
      </c>
      <c r="C7200" t="s">
        <v>40</v>
      </c>
      <c r="D7200">
        <v>5.6285239999999996</v>
      </c>
      <c r="E7200">
        <v>0.47877989999999998</v>
      </c>
      <c r="F7200" t="s">
        <v>41</v>
      </c>
      <c r="G7200">
        <v>-302.03339999999997</v>
      </c>
      <c r="H7200" s="1">
        <v>-1.8253360000000001E-6</v>
      </c>
      <c r="I7200">
        <v>-37.41713</v>
      </c>
      <c r="J7200">
        <v>-303.84480000000002</v>
      </c>
      <c r="K7200">
        <v>1.1213310000000001</v>
      </c>
      <c r="L7200">
        <v>-24.71555</v>
      </c>
      <c r="M7200">
        <v>2.938969E-2</v>
      </c>
      <c r="N7200">
        <v>-5.5344829999999998E-3</v>
      </c>
      <c r="O7200">
        <v>-0.99955289999999997</v>
      </c>
      <c r="P7200">
        <v>8.4129770000000006E-2</v>
      </c>
      <c r="Q7200">
        <v>-0.13967270000000001</v>
      </c>
      <c r="R7200">
        <v>-0.98661759999999998</v>
      </c>
      <c r="S7200">
        <v>0.41665649999999999</v>
      </c>
      <c r="T7200">
        <v>-0.25633359999999999</v>
      </c>
      <c r="U7200">
        <v>-2.9693909999999999</v>
      </c>
      <c r="V7200">
        <v>-5.4572160000000002E-2</v>
      </c>
      <c r="W7200">
        <v>-0.1344129</v>
      </c>
      <c r="X7200">
        <v>0.98942149999999995</v>
      </c>
      <c r="Y7200">
        <v>-0.10932070000000001</v>
      </c>
      <c r="Z7200">
        <v>7.9773640000000007E-2</v>
      </c>
      <c r="AA7200">
        <v>0.99080029999999997</v>
      </c>
      <c r="AB7200">
        <v>24</v>
      </c>
      <c r="AC7200">
        <v>1.8114000000000401</v>
      </c>
      <c r="AD7200">
        <v>-1.12133282533599</v>
      </c>
      <c r="AE7200">
        <v>-12.70158</v>
      </c>
      <c r="AF7200">
        <v>-1.4264206139359901</v>
      </c>
      <c r="AG7200">
        <v>-1.12133282533599</v>
      </c>
      <c r="AH7200">
        <v>12.652682606568799</v>
      </c>
      <c r="AI7200">
        <v>95.032839849470903</v>
      </c>
      <c r="AJ7200">
        <v>96.432174009829893</v>
      </c>
      <c r="AK7200">
        <v>12.7821140745812</v>
      </c>
      <c r="AL7200">
        <v>97.724672691912403</v>
      </c>
      <c r="AM7200">
        <v>93.156985717292798</v>
      </c>
      <c r="AN7200">
        <v>0.99999992649785996</v>
      </c>
    </row>
    <row r="7201" spans="1:40" x14ac:dyDescent="0.25">
      <c r="A7201" t="str">
        <f>"20190303154951586"</f>
        <v>20190303154951586</v>
      </c>
      <c r="B7201" t="str">
        <f>"1551599391577627"</f>
        <v>1551599391577627</v>
      </c>
      <c r="C7201" t="s">
        <v>40</v>
      </c>
      <c r="D7201">
        <v>5.6751060000000004</v>
      </c>
      <c r="E7201">
        <v>0.47864810000000002</v>
      </c>
      <c r="F7201" t="s">
        <v>41</v>
      </c>
      <c r="G7201">
        <v>-301.99029999999999</v>
      </c>
      <c r="H7201" s="1">
        <v>-1.6882880000000001E-6</v>
      </c>
      <c r="I7201">
        <v>-37.709879999999998</v>
      </c>
      <c r="J7201">
        <v>-303.83249999999998</v>
      </c>
      <c r="K7201">
        <v>1.1215189999999999</v>
      </c>
      <c r="L7201">
        <v>-25.010560000000002</v>
      </c>
      <c r="M7201">
        <v>3.247912E-2</v>
      </c>
      <c r="N7201">
        <v>-6.5714069999999996E-3</v>
      </c>
      <c r="O7201">
        <v>-0.99945090000000003</v>
      </c>
      <c r="P7201">
        <v>8.5730819999999999E-2</v>
      </c>
      <c r="Q7201">
        <v>-0.14074229999999999</v>
      </c>
      <c r="R7201">
        <v>-0.98632770000000003</v>
      </c>
      <c r="S7201">
        <v>0.4236145</v>
      </c>
      <c r="T7201">
        <v>-0.25614819999999999</v>
      </c>
      <c r="U7201">
        <v>-2.9683229999999998</v>
      </c>
      <c r="V7201">
        <v>-5.312625E-2</v>
      </c>
      <c r="W7201">
        <v>-0.13445090000000001</v>
      </c>
      <c r="X7201">
        <v>0.98949509999999996</v>
      </c>
      <c r="Y7201">
        <v>-0.108581</v>
      </c>
      <c r="Z7201">
        <v>7.8690090000000004E-2</v>
      </c>
      <c r="AA7201">
        <v>0.99096819999999997</v>
      </c>
      <c r="AB7201">
        <v>24</v>
      </c>
      <c r="AC7201">
        <v>1.8421999999999901</v>
      </c>
      <c r="AD7201">
        <v>-1.121520688288</v>
      </c>
      <c r="AE7201">
        <v>-12.699319999999901</v>
      </c>
      <c r="AF7201">
        <v>-1.4179255720481601</v>
      </c>
      <c r="AG7201">
        <v>-1.121520688288</v>
      </c>
      <c r="AH7201">
        <v>12.6557825397981</v>
      </c>
      <c r="AI7201">
        <v>95.032840408462206</v>
      </c>
      <c r="AJ7201">
        <v>96.3926321940489</v>
      </c>
      <c r="AK7201">
        <v>12.784254114995701</v>
      </c>
      <c r="AL7201">
        <v>97.726869320527896</v>
      </c>
      <c r="AM7201">
        <v>93.073274560332194</v>
      </c>
      <c r="AN7201">
        <v>0.99999999793694105</v>
      </c>
    </row>
    <row r="7202" spans="1:40" x14ac:dyDescent="0.25">
      <c r="A7202" t="str">
        <f>"20190303154951617"</f>
        <v>20190303154951617</v>
      </c>
      <c r="B7202" t="str">
        <f>"1551599391607884"</f>
        <v>1551599391607884</v>
      </c>
      <c r="C7202" t="s">
        <v>40</v>
      </c>
      <c r="D7202">
        <v>5.6713699999999996</v>
      </c>
      <c r="E7202">
        <v>0.47877249999999999</v>
      </c>
      <c r="F7202" t="s">
        <v>41</v>
      </c>
      <c r="G7202">
        <v>-302.0009</v>
      </c>
      <c r="H7202" s="1">
        <v>-1.708255E-6</v>
      </c>
      <c r="I7202">
        <v>-37.669910000000002</v>
      </c>
      <c r="J7202">
        <v>-303.8177</v>
      </c>
      <c r="K7202">
        <v>1.1216870000000001</v>
      </c>
      <c r="L7202">
        <v>-25.337399999999999</v>
      </c>
      <c r="M7202">
        <v>3.5910980000000002E-2</v>
      </c>
      <c r="N7202">
        <v>-7.78275699999999E-3</v>
      </c>
      <c r="O7202">
        <v>-0.99932480000000001</v>
      </c>
      <c r="P7202">
        <v>8.8950409999999994E-2</v>
      </c>
      <c r="Q7202">
        <v>-0.1428094</v>
      </c>
      <c r="R7202">
        <v>-0.98574539999999999</v>
      </c>
      <c r="S7202">
        <v>0.42922969999999999</v>
      </c>
      <c r="T7202">
        <v>-0.26283250000000002</v>
      </c>
      <c r="U7202">
        <v>-2.9667659999999998</v>
      </c>
      <c r="V7202">
        <v>-5.2970839999999998E-2</v>
      </c>
      <c r="W7202">
        <v>-0.13531889999999999</v>
      </c>
      <c r="X7202">
        <v>0.98938510000000002</v>
      </c>
      <c r="Y7202">
        <v>-0.1070588</v>
      </c>
      <c r="Z7202">
        <v>7.9721210000000001E-2</v>
      </c>
      <c r="AA7202">
        <v>0.99105140000000003</v>
      </c>
      <c r="AB7202">
        <v>24</v>
      </c>
      <c r="AC7202">
        <v>1.8168</v>
      </c>
      <c r="AD7202">
        <v>-1.121688708255</v>
      </c>
      <c r="AE7202">
        <v>-12.3325099999999</v>
      </c>
      <c r="AF7202">
        <v>-1.3617165526461801</v>
      </c>
      <c r="AG7202">
        <v>-1.121688708255</v>
      </c>
      <c r="AH7202">
        <v>12.290287121090801</v>
      </c>
      <c r="AI7202">
        <v>95.183183120374593</v>
      </c>
      <c r="AJ7202">
        <v>96.322365523919103</v>
      </c>
      <c r="AK7202">
        <v>12.4162641340634</v>
      </c>
      <c r="AL7202">
        <v>97.777060764899105</v>
      </c>
      <c r="AM7202">
        <v>93.064641521768806</v>
      </c>
      <c r="AN7202">
        <v>0.99999999534476203</v>
      </c>
    </row>
    <row r="7203" spans="1:40" x14ac:dyDescent="0.25">
      <c r="A7203" t="str">
        <f>"20190303154951642"</f>
        <v>20190303154951642</v>
      </c>
      <c r="B7203" t="str">
        <f>"1551599391637670"</f>
        <v>1551599391637670</v>
      </c>
      <c r="C7203" t="s">
        <v>40</v>
      </c>
      <c r="D7203">
        <v>5.7160979999999997</v>
      </c>
      <c r="E7203">
        <v>0.47885909999999898</v>
      </c>
      <c r="F7203" t="s">
        <v>41</v>
      </c>
      <c r="G7203">
        <v>-302.02179999999998</v>
      </c>
      <c r="H7203" s="1">
        <v>-1.7863409999999901E-6</v>
      </c>
      <c r="I7203">
        <v>-37.50085</v>
      </c>
      <c r="J7203">
        <v>-303.80529999999999</v>
      </c>
      <c r="K7203">
        <v>1.1217950000000001</v>
      </c>
      <c r="L7203">
        <v>-25.596039999999999</v>
      </c>
      <c r="M7203">
        <v>3.8615679999999999E-2</v>
      </c>
      <c r="N7203">
        <v>-8.6895010000000005E-3</v>
      </c>
      <c r="O7203">
        <v>-0.99921649999999995</v>
      </c>
      <c r="P7203">
        <v>9.1170409999999993E-2</v>
      </c>
      <c r="Q7203">
        <v>-0.14405760000000001</v>
      </c>
      <c r="R7203">
        <v>-0.98536069999999998</v>
      </c>
      <c r="S7203">
        <v>0.43768309999999999</v>
      </c>
      <c r="T7203">
        <v>-0.27336129999999997</v>
      </c>
      <c r="U7203">
        <v>-2.9642940000000002</v>
      </c>
      <c r="V7203">
        <v>-5.2530500000000001E-2</v>
      </c>
      <c r="W7203">
        <v>-0.13566829999999999</v>
      </c>
      <c r="X7203">
        <v>0.98936069999999998</v>
      </c>
      <c r="Y7203">
        <v>-0.1072138</v>
      </c>
      <c r="Z7203">
        <v>8.2340670000000005E-2</v>
      </c>
      <c r="AA7203">
        <v>0.99082049999999999</v>
      </c>
      <c r="AB7203">
        <v>24</v>
      </c>
      <c r="AC7203">
        <v>1.7835000000000001</v>
      </c>
      <c r="AD7203">
        <v>-1.1217967863410001</v>
      </c>
      <c r="AE7203">
        <v>-11.904809999999999</v>
      </c>
      <c r="AF7203">
        <v>-1.3110542032507599</v>
      </c>
      <c r="AG7203">
        <v>-1.1217967863410001</v>
      </c>
      <c r="AH7203">
        <v>11.861790127225101</v>
      </c>
      <c r="AI7203">
        <v>95.370016879126894</v>
      </c>
      <c r="AJ7203">
        <v>96.307159896498803</v>
      </c>
      <c r="AK7203">
        <v>11.986632395132601</v>
      </c>
      <c r="AL7203">
        <v>97.797266456371304</v>
      </c>
      <c r="AM7203">
        <v>93.039288312447795</v>
      </c>
      <c r="AN7203">
        <v>0.99999996787981404</v>
      </c>
    </row>
    <row r="7204" spans="1:40" x14ac:dyDescent="0.25">
      <c r="A7204" t="str">
        <f>"20190303154951664"</f>
        <v>20190303154951664</v>
      </c>
      <c r="B7204" t="str">
        <f>"1551599391658165"</f>
        <v>1551599391658165</v>
      </c>
      <c r="C7204" t="s">
        <v>40</v>
      </c>
      <c r="D7204">
        <v>5.7135290000000003</v>
      </c>
      <c r="E7204">
        <v>0.4789408</v>
      </c>
      <c r="F7204" t="s">
        <v>41</v>
      </c>
      <c r="G7204">
        <v>-302.02960000000002</v>
      </c>
      <c r="H7204" s="1">
        <v>-1.807429E-6</v>
      </c>
      <c r="I7204">
        <v>-37.456510000000002</v>
      </c>
      <c r="J7204">
        <v>-303.79320000000001</v>
      </c>
      <c r="K7204">
        <v>1.1218669999999999</v>
      </c>
      <c r="L7204">
        <v>-25.83408</v>
      </c>
      <c r="M7204">
        <v>4.1077929999999999E-2</v>
      </c>
      <c r="N7204">
        <v>-9.4459690000000002E-3</v>
      </c>
      <c r="O7204">
        <v>-0.99911139999999998</v>
      </c>
      <c r="P7204">
        <v>9.3589249999999999E-2</v>
      </c>
      <c r="Q7204">
        <v>-0.14373859999999999</v>
      </c>
      <c r="R7204">
        <v>-0.98518070000000002</v>
      </c>
      <c r="S7204">
        <v>0.44354250000000001</v>
      </c>
      <c r="T7204">
        <v>-0.28020689999999998</v>
      </c>
      <c r="U7204">
        <v>-2.962555</v>
      </c>
      <c r="V7204">
        <v>-5.2526429999999999E-2</v>
      </c>
      <c r="W7204">
        <v>-0.1345991</v>
      </c>
      <c r="X7204">
        <v>0.98950700000000003</v>
      </c>
      <c r="Y7204">
        <v>-0.1067405</v>
      </c>
      <c r="Z7204">
        <v>8.3880350000000006E-2</v>
      </c>
      <c r="AA7204">
        <v>0.99074240000000002</v>
      </c>
      <c r="AB7204">
        <v>23</v>
      </c>
      <c r="AC7204">
        <v>1.7635999999999901</v>
      </c>
      <c r="AD7204">
        <v>-1.121868807429</v>
      </c>
      <c r="AE7204">
        <v>-11.6224299999999</v>
      </c>
      <c r="AF7204">
        <v>-1.27307006608653</v>
      </c>
      <c r="AG7204">
        <v>-1.121868807429</v>
      </c>
      <c r="AH7204">
        <v>11.5796050332845</v>
      </c>
      <c r="AI7204">
        <v>95.5007869420795</v>
      </c>
      <c r="AJ7204">
        <v>96.273942342866107</v>
      </c>
      <c r="AK7204">
        <v>11.703270899245</v>
      </c>
      <c r="AL7204">
        <v>97.735438249254997</v>
      </c>
      <c r="AM7204">
        <v>93.038604787281699</v>
      </c>
      <c r="AN7204">
        <v>1.0000000233091699</v>
      </c>
    </row>
    <row r="7205" spans="1:40" x14ac:dyDescent="0.25">
      <c r="A7205" t="str">
        <f>"20190303154951689"</f>
        <v>20190303154951689</v>
      </c>
      <c r="B7205" t="str">
        <f>"1551599391678661"</f>
        <v>1551599391678661</v>
      </c>
      <c r="C7205" t="s">
        <v>40</v>
      </c>
      <c r="D7205">
        <v>5.7261199999999999</v>
      </c>
      <c r="E7205">
        <v>0.47895949999999998</v>
      </c>
      <c r="F7205" t="s">
        <v>41</v>
      </c>
      <c r="G7205">
        <v>-301.99160000000001</v>
      </c>
      <c r="H7205" s="1">
        <v>-1.694989E-6</v>
      </c>
      <c r="I7205">
        <v>-37.695050000000002</v>
      </c>
      <c r="J7205">
        <v>-303.7799</v>
      </c>
      <c r="K7205">
        <v>1.121909</v>
      </c>
      <c r="L7205">
        <v>-26.082280000000001</v>
      </c>
      <c r="M7205">
        <v>4.3622029999999999E-2</v>
      </c>
      <c r="N7205">
        <v>-1.015371E-2</v>
      </c>
      <c r="O7205">
        <v>-0.99899649999999995</v>
      </c>
      <c r="P7205">
        <v>9.5504500000000006E-2</v>
      </c>
      <c r="Q7205">
        <v>-0.14399619999999999</v>
      </c>
      <c r="R7205">
        <v>-0.98495880000000002</v>
      </c>
      <c r="S7205">
        <v>0.44982909999999998</v>
      </c>
      <c r="T7205">
        <v>-0.2801149</v>
      </c>
      <c r="U7205">
        <v>-2.9615170000000002</v>
      </c>
      <c r="V7205">
        <v>-5.1939800000000001E-2</v>
      </c>
      <c r="W7205">
        <v>-0.13415199999999999</v>
      </c>
      <c r="X7205">
        <v>0.98959859999999999</v>
      </c>
      <c r="Y7205">
        <v>-0.1063206</v>
      </c>
      <c r="Z7205">
        <v>8.3153740000000004E-2</v>
      </c>
      <c r="AA7205">
        <v>0.99084879999999997</v>
      </c>
      <c r="AB7205">
        <v>23</v>
      </c>
      <c r="AC7205">
        <v>1.78829999999999</v>
      </c>
      <c r="AD7205">
        <v>-1.1219106949889901</v>
      </c>
      <c r="AE7205">
        <v>-11.612769999999999</v>
      </c>
      <c r="AF7205">
        <v>-1.26843413964036</v>
      </c>
      <c r="AG7205">
        <v>-1.1219106949889901</v>
      </c>
      <c r="AH7205">
        <v>11.5742025716523</v>
      </c>
      <c r="AI7205">
        <v>95.503750168345405</v>
      </c>
      <c r="AJ7205">
        <v>96.254171558176907</v>
      </c>
      <c r="AK7205">
        <v>11.6974259537634</v>
      </c>
      <c r="AL7205">
        <v>97.709587450070501</v>
      </c>
      <c r="AM7205">
        <v>93.004453711116298</v>
      </c>
      <c r="AN7205">
        <v>0.99999994552499805</v>
      </c>
    </row>
    <row r="7206" spans="1:40" x14ac:dyDescent="0.25">
      <c r="A7206" t="str">
        <f>"20190303154951722"</f>
        <v>20190303154951722</v>
      </c>
      <c r="B7206" t="str">
        <f>"1551599391718208"</f>
        <v>1551599391718208</v>
      </c>
      <c r="C7206" t="s">
        <v>40</v>
      </c>
      <c r="D7206">
        <v>5.7350289999999999</v>
      </c>
      <c r="E7206">
        <v>0.47879719999999998</v>
      </c>
      <c r="F7206" t="s">
        <v>41</v>
      </c>
      <c r="G7206">
        <v>-301.97030000000001</v>
      </c>
      <c r="H7206" s="1">
        <v>-1.6237729999999999E-6</v>
      </c>
      <c r="I7206">
        <v>-37.847880000000004</v>
      </c>
      <c r="J7206">
        <v>-303.7611</v>
      </c>
      <c r="K7206">
        <v>1.1219159999999999</v>
      </c>
      <c r="L7206">
        <v>-26.417210000000001</v>
      </c>
      <c r="M7206">
        <v>4.7027649999999997E-2</v>
      </c>
      <c r="N7206">
        <v>-1.0988700000000001E-2</v>
      </c>
      <c r="O7206">
        <v>-0.99883339999999998</v>
      </c>
      <c r="P7206">
        <v>9.7476389999999996E-2</v>
      </c>
      <c r="Q7206">
        <v>-0.14516770000000001</v>
      </c>
      <c r="R7206">
        <v>-0.98459419999999997</v>
      </c>
      <c r="S7206">
        <v>0.45532230000000001</v>
      </c>
      <c r="T7206">
        <v>-0.28228819999999999</v>
      </c>
      <c r="U7206">
        <v>-2.960388</v>
      </c>
      <c r="V7206">
        <v>-5.0567569999999999E-2</v>
      </c>
      <c r="W7206">
        <v>-0.13448829999999901</v>
      </c>
      <c r="X7206">
        <v>0.98962410000000001</v>
      </c>
      <c r="Y7206">
        <v>-0.1047796</v>
      </c>
      <c r="Z7206">
        <v>8.3053390000000005E-2</v>
      </c>
      <c r="AA7206">
        <v>0.99102140000000005</v>
      </c>
      <c r="AB7206">
        <v>23</v>
      </c>
      <c r="AC7206">
        <v>1.79079999999999</v>
      </c>
      <c r="AD7206">
        <v>-1.121917623773</v>
      </c>
      <c r="AE7206">
        <v>-11.430669999999999</v>
      </c>
      <c r="AF7206">
        <v>-1.2395733219285301</v>
      </c>
      <c r="AG7206">
        <v>-1.121917623773</v>
      </c>
      <c r="AH7206">
        <v>11.3951000932308</v>
      </c>
      <c r="AI7206">
        <v>95.590231618316395</v>
      </c>
      <c r="AJ7206">
        <v>96.208295430514198</v>
      </c>
      <c r="AK7206">
        <v>11.517098042029501</v>
      </c>
      <c r="AL7206">
        <v>97.729031646622602</v>
      </c>
      <c r="AM7206">
        <v>92.925141656231105</v>
      </c>
      <c r="AN7206">
        <v>1.0000000206366999</v>
      </c>
    </row>
    <row r="7207" spans="1:40" x14ac:dyDescent="0.25">
      <c r="A7207" t="str">
        <f>"20190303154951757"</f>
        <v>20190303154951757</v>
      </c>
      <c r="B7207" t="str">
        <f>"1551599391747487"</f>
        <v>1551599391747487</v>
      </c>
      <c r="C7207" t="s">
        <v>40</v>
      </c>
      <c r="D7207">
        <v>5.7436360000000004</v>
      </c>
      <c r="E7207">
        <v>0.47867399999999999</v>
      </c>
      <c r="F7207" t="s">
        <v>41</v>
      </c>
      <c r="G7207">
        <v>-301.96249999999998</v>
      </c>
      <c r="H7207" s="1">
        <v>-1.5877029999999999E-6</v>
      </c>
      <c r="I7207">
        <v>-37.92709</v>
      </c>
      <c r="J7207">
        <v>-303.73899999999998</v>
      </c>
      <c r="K7207">
        <v>1.121891</v>
      </c>
      <c r="L7207">
        <v>-26.78857</v>
      </c>
      <c r="M7207">
        <v>5.0756959999999997E-2</v>
      </c>
      <c r="N7207">
        <v>-1.174357E-2</v>
      </c>
      <c r="O7207">
        <v>-0.99864200000000003</v>
      </c>
      <c r="P7207">
        <v>0.1011017</v>
      </c>
      <c r="Q7207">
        <v>-0.1458256</v>
      </c>
      <c r="R7207">
        <v>-0.98413090000000003</v>
      </c>
      <c r="S7207">
        <v>0.46234130000000001</v>
      </c>
      <c r="T7207">
        <v>-0.28839209999999998</v>
      </c>
      <c r="U7207">
        <v>-2.9586489999999999</v>
      </c>
      <c r="V7207">
        <v>-5.0539439999999998E-2</v>
      </c>
      <c r="W7207">
        <v>-0.13439329999999999</v>
      </c>
      <c r="X7207">
        <v>0.98963840000000003</v>
      </c>
      <c r="Y7207">
        <v>-0.1034274</v>
      </c>
      <c r="Z7207">
        <v>8.4341669999999994E-2</v>
      </c>
      <c r="AA7207">
        <v>0.99105460000000001</v>
      </c>
      <c r="AB7207">
        <v>23</v>
      </c>
      <c r="AC7207">
        <v>1.7765000000000499</v>
      </c>
      <c r="AD7207">
        <v>-1.1218925877029999</v>
      </c>
      <c r="AE7207">
        <v>-11.13852</v>
      </c>
      <c r="AF7207">
        <v>-1.1969715200652</v>
      </c>
      <c r="AG7207">
        <v>-1.1218925877029999</v>
      </c>
      <c r="AH7207">
        <v>11.1044775958607</v>
      </c>
      <c r="AI7207">
        <v>95.7360503066338</v>
      </c>
      <c r="AJ7207">
        <v>96.152260183924497</v>
      </c>
      <c r="AK7207">
        <v>11.225008083523299</v>
      </c>
      <c r="AL7207">
        <v>97.723539008558205</v>
      </c>
      <c r="AM7207">
        <v>92.9234750956265</v>
      </c>
      <c r="AN7207">
        <v>0.99999997841748101</v>
      </c>
    </row>
    <row r="7208" spans="1:40" x14ac:dyDescent="0.25">
      <c r="A7208" t="str">
        <f>"20190303154951789"</f>
        <v>20190303154951789</v>
      </c>
      <c r="B7208" t="str">
        <f>"1551599391777745"</f>
        <v>1551599391777745</v>
      </c>
      <c r="C7208" t="s">
        <v>40</v>
      </c>
      <c r="D7208">
        <v>5.732774</v>
      </c>
      <c r="E7208">
        <v>0.4785664</v>
      </c>
      <c r="F7208" t="s">
        <v>41</v>
      </c>
      <c r="G7208">
        <v>-301.92149999999998</v>
      </c>
      <c r="H7208" s="1">
        <v>-1.4931280000000001E-6</v>
      </c>
      <c r="I7208">
        <v>-38.122149999999998</v>
      </c>
      <c r="J7208">
        <v>-303.71870000000001</v>
      </c>
      <c r="K7208">
        <v>1.121856</v>
      </c>
      <c r="L7208">
        <v>-27.11063</v>
      </c>
      <c r="M7208">
        <v>5.3935709999999998E-2</v>
      </c>
      <c r="N7208">
        <v>-1.2279679999999999E-2</v>
      </c>
      <c r="O7208">
        <v>-0.99846889999999999</v>
      </c>
      <c r="P7208">
        <v>0.1042791</v>
      </c>
      <c r="Q7208">
        <v>-0.14558740000000001</v>
      </c>
      <c r="R7208">
        <v>-0.98383469999999995</v>
      </c>
      <c r="S7208">
        <v>0.47406009999999998</v>
      </c>
      <c r="T7208">
        <v>-0.29263899999999998</v>
      </c>
      <c r="U7208">
        <v>-2.956299</v>
      </c>
      <c r="V7208">
        <v>-5.0599999999999999E-2</v>
      </c>
      <c r="W7208">
        <v>-0.13361870000000001</v>
      </c>
      <c r="X7208">
        <v>0.98974019999999996</v>
      </c>
      <c r="Y7208">
        <v>-0.1041967</v>
      </c>
      <c r="Z7208">
        <v>8.5233450000000002E-2</v>
      </c>
      <c r="AA7208">
        <v>0.99089769999999999</v>
      </c>
      <c r="AB7208">
        <v>23</v>
      </c>
      <c r="AC7208">
        <v>1.7972000000000301</v>
      </c>
      <c r="AD7208">
        <v>-1.1218574931280001</v>
      </c>
      <c r="AE7208">
        <v>-11.0115199999999</v>
      </c>
      <c r="AF7208">
        <v>-1.1886075189856999</v>
      </c>
      <c r="AG7208">
        <v>-1.1218574931280001</v>
      </c>
      <c r="AH7208">
        <v>10.981404711003099</v>
      </c>
      <c r="AI7208">
        <v>95.799445865776093</v>
      </c>
      <c r="AJ7208">
        <v>96.177542805206002</v>
      </c>
      <c r="AK7208">
        <v>11.102369183913799</v>
      </c>
      <c r="AL7208">
        <v>97.678753664559196</v>
      </c>
      <c r="AM7208">
        <v>92.926671595188395</v>
      </c>
      <c r="AN7208">
        <v>0.99999999024286501</v>
      </c>
    </row>
    <row r="7209" spans="1:40" x14ac:dyDescent="0.25">
      <c r="A7209" t="str">
        <f>"20190303154951855"</f>
        <v>20190303154951855</v>
      </c>
      <c r="B7209" t="str">
        <f>"1551599391847547"</f>
        <v>1551599391847547</v>
      </c>
      <c r="C7209" t="s">
        <v>40</v>
      </c>
      <c r="D7209">
        <v>5.7534260000000002</v>
      </c>
      <c r="E7209">
        <v>0.47865730000000001</v>
      </c>
      <c r="F7209" t="s">
        <v>41</v>
      </c>
      <c r="G7209">
        <v>-301.87299999999999</v>
      </c>
      <c r="H7209" s="1">
        <v>-1.372731E-6</v>
      </c>
      <c r="I7209">
        <v>-38.372669999999999</v>
      </c>
      <c r="J7209">
        <v>-303.67230000000001</v>
      </c>
      <c r="K7209">
        <v>1.121794</v>
      </c>
      <c r="L7209">
        <v>-27.79626</v>
      </c>
      <c r="M7209">
        <v>6.0475859999999999E-2</v>
      </c>
      <c r="N7209">
        <v>-1.312704E-2</v>
      </c>
      <c r="O7209">
        <v>-0.99808350000000001</v>
      </c>
      <c r="P7209">
        <v>0.1110671</v>
      </c>
      <c r="Q7209">
        <v>-0.1454078</v>
      </c>
      <c r="R7209">
        <v>-0.98311789999999999</v>
      </c>
      <c r="S7209">
        <v>0.48419190000000001</v>
      </c>
      <c r="T7209">
        <v>-0.29430339999999999</v>
      </c>
      <c r="U7209">
        <v>-2.954437</v>
      </c>
      <c r="V7209">
        <v>-5.0977099999999997E-2</v>
      </c>
      <c r="W7209">
        <v>-0.13259019999999999</v>
      </c>
      <c r="X7209">
        <v>0.98985919999999905</v>
      </c>
      <c r="Y7209">
        <v>-0.1010892</v>
      </c>
      <c r="Z7209">
        <v>8.4944899999999907E-2</v>
      </c>
      <c r="AA7209">
        <v>0.99124429999999997</v>
      </c>
      <c r="AB7209">
        <v>23</v>
      </c>
      <c r="AC7209">
        <v>1.7993000000000099</v>
      </c>
      <c r="AD7209">
        <v>-1.1217953727309999</v>
      </c>
      <c r="AE7209">
        <v>-10.576409999999999</v>
      </c>
      <c r="AF7209">
        <v>-1.1438275436772001</v>
      </c>
      <c r="AG7209">
        <v>-1.1217953727309999</v>
      </c>
      <c r="AH7209">
        <v>10.550517580231601</v>
      </c>
      <c r="AI7209">
        <v>96.034138960132694</v>
      </c>
      <c r="AJ7209">
        <v>96.187518397392793</v>
      </c>
      <c r="AK7209">
        <v>10.671466043554201</v>
      </c>
      <c r="AL7209">
        <v>97.619295586499703</v>
      </c>
      <c r="AM7209">
        <v>92.9480906398733</v>
      </c>
      <c r="AN7209">
        <v>1.0000000308425401</v>
      </c>
    </row>
    <row r="7210" spans="1:40" x14ac:dyDescent="0.25">
      <c r="A7210" t="str">
        <f>"20190303154951888"</f>
        <v>20190303154951888</v>
      </c>
      <c r="B7210" t="str">
        <f>"1551599391877803"</f>
        <v>1551599391877803</v>
      </c>
      <c r="C7210" t="s">
        <v>40</v>
      </c>
      <c r="D7210">
        <v>5.7656150000000004</v>
      </c>
      <c r="E7210">
        <v>0.4787131</v>
      </c>
      <c r="F7210" t="s">
        <v>41</v>
      </c>
      <c r="G7210">
        <v>-301.77390000000003</v>
      </c>
      <c r="H7210" s="1">
        <v>-1.11195E-6</v>
      </c>
      <c r="I7210">
        <v>-38.919119999999999</v>
      </c>
      <c r="J7210">
        <v>-303.64839999999998</v>
      </c>
      <c r="K7210">
        <v>1.121775</v>
      </c>
      <c r="L7210">
        <v>-28.1282</v>
      </c>
      <c r="M7210">
        <v>6.3541219999999995E-2</v>
      </c>
      <c r="N7210">
        <v>-1.342165E-2</v>
      </c>
      <c r="O7210">
        <v>-0.99788900000000003</v>
      </c>
      <c r="P7210">
        <v>0.1142721</v>
      </c>
      <c r="Q7210">
        <v>-0.1450466</v>
      </c>
      <c r="R7210">
        <v>-0.98280380000000001</v>
      </c>
      <c r="S7210">
        <v>0.50360109999999902</v>
      </c>
      <c r="T7210">
        <v>-0.29758489999999999</v>
      </c>
      <c r="U7210">
        <v>-2.9506230000000002</v>
      </c>
      <c r="V7210">
        <v>-5.1175150000000003E-2</v>
      </c>
      <c r="W7210">
        <v>-0.13193239999999901</v>
      </c>
      <c r="X7210">
        <v>0.98993679999999995</v>
      </c>
      <c r="Y7210">
        <v>-0.1045628</v>
      </c>
      <c r="Z7210">
        <v>8.5767839999999998E-2</v>
      </c>
      <c r="AA7210">
        <v>0.9908131</v>
      </c>
      <c r="AB7210">
        <v>23</v>
      </c>
      <c r="AC7210">
        <v>1.8744999999999501</v>
      </c>
      <c r="AD7210">
        <v>-1.1217761119499901</v>
      </c>
      <c r="AE7210">
        <v>-10.79092</v>
      </c>
      <c r="AF7210">
        <v>-1.1726797377002101</v>
      </c>
      <c r="AG7210">
        <v>-1.1217761119499901</v>
      </c>
      <c r="AH7210">
        <v>10.775194613868701</v>
      </c>
      <c r="AI7210">
        <v>95.908855449396597</v>
      </c>
      <c r="AJ7210">
        <v>96.211135917409294</v>
      </c>
      <c r="AK7210">
        <v>10.8967141092762</v>
      </c>
      <c r="AL7210">
        <v>97.581272917065704</v>
      </c>
      <c r="AM7210">
        <v>92.959292297627698</v>
      </c>
      <c r="AN7210">
        <v>0.99999996107075995</v>
      </c>
    </row>
    <row r="7211" spans="1:40" x14ac:dyDescent="0.25">
      <c r="A7211" t="str">
        <f>"20190303154951914"</f>
        <v>20190303154951914</v>
      </c>
      <c r="B7211" t="str">
        <f>"1551599391908059"</f>
        <v>1551599391908059</v>
      </c>
      <c r="C7211" t="s">
        <v>40</v>
      </c>
      <c r="D7211">
        <v>5.7746449999999996</v>
      </c>
      <c r="E7211">
        <v>0.47879490000000002</v>
      </c>
      <c r="F7211" t="s">
        <v>41</v>
      </c>
      <c r="G7211">
        <v>-301.72050000000002</v>
      </c>
      <c r="H7211" s="1">
        <v>-9.7036340000000007E-7</v>
      </c>
      <c r="I7211">
        <v>-39.216059999999999</v>
      </c>
      <c r="J7211">
        <v>-303.62860000000001</v>
      </c>
      <c r="K7211">
        <v>1.121756</v>
      </c>
      <c r="L7211">
        <v>-28.393519999999999</v>
      </c>
      <c r="M7211">
        <v>6.5936629999999996E-2</v>
      </c>
      <c r="N7211">
        <v>-1.3615189999999999E-2</v>
      </c>
      <c r="O7211">
        <v>-0.99773109999999998</v>
      </c>
      <c r="P7211">
        <v>0.1162764</v>
      </c>
      <c r="Q7211">
        <v>-0.14477119999999999</v>
      </c>
      <c r="R7211">
        <v>-0.98260959999999997</v>
      </c>
      <c r="S7211">
        <v>0.51272580000000001</v>
      </c>
      <c r="T7211">
        <v>-0.2983402</v>
      </c>
      <c r="U7211">
        <v>-2.9488530000000002</v>
      </c>
      <c r="V7211">
        <v>-5.0827650000000002E-2</v>
      </c>
      <c r="W7211">
        <v>-0.131459299999999</v>
      </c>
      <c r="X7211">
        <v>0.9900177</v>
      </c>
      <c r="Y7211">
        <v>-0.1052483</v>
      </c>
      <c r="Z7211">
        <v>8.5835239999999993E-2</v>
      </c>
      <c r="AA7211">
        <v>0.99073460000000002</v>
      </c>
      <c r="AB7211">
        <v>23</v>
      </c>
      <c r="AC7211">
        <v>1.9080999999999899</v>
      </c>
      <c r="AD7211">
        <v>-1.1217569703633901</v>
      </c>
      <c r="AE7211">
        <v>-10.822539999999901</v>
      </c>
      <c r="AF7211">
        <v>-1.178004844405</v>
      </c>
      <c r="AG7211">
        <v>-1.1217569703633901</v>
      </c>
      <c r="AH7211">
        <v>10.812152377341</v>
      </c>
      <c r="AI7211">
        <v>95.888624552740694</v>
      </c>
      <c r="AJ7211">
        <v>96.217959553346802</v>
      </c>
      <c r="AK7211">
        <v>10.9338315857179</v>
      </c>
      <c r="AL7211">
        <v>97.553927651410106</v>
      </c>
      <c r="AM7211">
        <v>92.938993099790693</v>
      </c>
      <c r="AN7211">
        <v>1.0000000219371501</v>
      </c>
    </row>
    <row r="7212" spans="1:40" x14ac:dyDescent="0.25">
      <c r="A7212" t="str">
        <f>"20190303154951940"</f>
        <v>20190303154951940</v>
      </c>
      <c r="B7212" t="str">
        <f>"1551599391937847"</f>
        <v>1551599391937847</v>
      </c>
      <c r="C7212" t="s">
        <v>40</v>
      </c>
      <c r="D7212">
        <v>5.7857139999999996</v>
      </c>
      <c r="E7212">
        <v>0.47885859999999902</v>
      </c>
      <c r="F7212" t="s">
        <v>41</v>
      </c>
      <c r="G7212">
        <v>-301.6814</v>
      </c>
      <c r="H7212" s="1">
        <v>-8.4961699999999897E-7</v>
      </c>
      <c r="I7212">
        <v>-39.473239999999997</v>
      </c>
      <c r="J7212">
        <v>-303.60789999999997</v>
      </c>
      <c r="K7212">
        <v>1.121745</v>
      </c>
      <c r="L7212">
        <v>-28.664059999999999</v>
      </c>
      <c r="M7212">
        <v>6.8330979999999999E-2</v>
      </c>
      <c r="N7212">
        <v>-1.3781730000000001E-2</v>
      </c>
      <c r="O7212">
        <v>-0.99756769999999995</v>
      </c>
      <c r="P7212">
        <v>0.11794449999999999</v>
      </c>
      <c r="Q7212">
        <v>-0.1445293</v>
      </c>
      <c r="R7212">
        <v>-0.98244640000000005</v>
      </c>
      <c r="S7212">
        <v>0.51806640000000004</v>
      </c>
      <c r="T7212">
        <v>-0.29844920000000003</v>
      </c>
      <c r="U7212">
        <v>-2.9478149999999999</v>
      </c>
      <c r="V7212">
        <v>-5.0144010000000003E-2</v>
      </c>
      <c r="W7212">
        <v>-0.1310451</v>
      </c>
      <c r="X7212">
        <v>0.99010750000000003</v>
      </c>
      <c r="Y7212">
        <v>-0.1046633</v>
      </c>
      <c r="Z7212">
        <v>8.5707870000000005E-2</v>
      </c>
      <c r="AA7212">
        <v>0.99080769999999996</v>
      </c>
      <c r="AB7212">
        <v>23</v>
      </c>
      <c r="AC7212">
        <v>1.9264999999999699</v>
      </c>
      <c r="AD7212">
        <v>-1.1217458496170001</v>
      </c>
      <c r="AE7212">
        <v>-10.80918</v>
      </c>
      <c r="AF7212">
        <v>-1.1711003796361701</v>
      </c>
      <c r="AG7212">
        <v>-1.1217458496170001</v>
      </c>
      <c r="AH7212">
        <v>10.8028020857989</v>
      </c>
      <c r="AI7212">
        <v>95.893970015999798</v>
      </c>
      <c r="AJ7212">
        <v>96.187107276245399</v>
      </c>
      <c r="AK7212">
        <v>10.9238419411514</v>
      </c>
      <c r="AL7212">
        <v>97.529988425444103</v>
      </c>
      <c r="AM7212">
        <v>92.899268557958393</v>
      </c>
      <c r="AN7212">
        <v>1.0000000507645599</v>
      </c>
    </row>
    <row r="7213" spans="1:40" x14ac:dyDescent="0.25">
      <c r="A7213" t="str">
        <f>"20190303154951969"</f>
        <v>20190303154951969</v>
      </c>
      <c r="B7213" t="str">
        <f>"1551599391958342"</f>
        <v>1551599391958342</v>
      </c>
      <c r="C7213" t="s">
        <v>40</v>
      </c>
      <c r="D7213">
        <v>5.7557320000000001</v>
      </c>
      <c r="E7213">
        <v>0.47888740000000002</v>
      </c>
      <c r="F7213" t="s">
        <v>41</v>
      </c>
      <c r="G7213">
        <v>-301.64589999999998</v>
      </c>
      <c r="H7213" s="1">
        <v>-7.2934519999999895E-7</v>
      </c>
      <c r="I7213">
        <v>-39.731619999999999</v>
      </c>
      <c r="J7213">
        <v>-303.58550000000002</v>
      </c>
      <c r="K7213">
        <v>1.1217200000000001</v>
      </c>
      <c r="L7213">
        <v>-28.945650000000001</v>
      </c>
      <c r="M7213">
        <v>7.0740079999999997E-2</v>
      </c>
      <c r="N7213">
        <v>-1.3921920000000001E-2</v>
      </c>
      <c r="O7213">
        <v>-0.99739770000000005</v>
      </c>
      <c r="P7213">
        <v>0.121369699999999</v>
      </c>
      <c r="Q7213">
        <v>-0.14333860000000001</v>
      </c>
      <c r="R7213">
        <v>-0.98220350000000001</v>
      </c>
      <c r="S7213">
        <v>0.52239990000000003</v>
      </c>
      <c r="T7213">
        <v>-0.29868440000000002</v>
      </c>
      <c r="U7213">
        <v>-2.94693</v>
      </c>
      <c r="V7213">
        <v>-5.1209169999999998E-2</v>
      </c>
      <c r="W7213">
        <v>-0.1297114</v>
      </c>
      <c r="X7213">
        <v>0.99022849999999996</v>
      </c>
      <c r="Y7213">
        <v>-0.1037257</v>
      </c>
      <c r="Z7213">
        <v>8.5646810000000004E-2</v>
      </c>
      <c r="AA7213">
        <v>0.99091149999999995</v>
      </c>
      <c r="AB7213">
        <v>23</v>
      </c>
      <c r="AC7213">
        <v>1.93960000000004</v>
      </c>
      <c r="AD7213">
        <v>-1.1217207293451901</v>
      </c>
      <c r="AE7213">
        <v>-10.785970000000001</v>
      </c>
      <c r="AF7213">
        <v>-1.15951760685903</v>
      </c>
      <c r="AG7213">
        <v>-1.1217207293451901</v>
      </c>
      <c r="AH7213">
        <v>10.7831907815844</v>
      </c>
      <c r="AI7213">
        <v>95.905031133141804</v>
      </c>
      <c r="AJ7213">
        <v>96.137438360431403</v>
      </c>
      <c r="AK7213">
        <v>10.903207872333001</v>
      </c>
      <c r="AL7213">
        <v>97.452915893143199</v>
      </c>
      <c r="AM7213">
        <v>92.960385292807402</v>
      </c>
      <c r="AN7213">
        <v>0.99999995429714805</v>
      </c>
    </row>
    <row r="7214" spans="1:40" x14ac:dyDescent="0.25">
      <c r="A7214" t="str">
        <f>"20190303154952003"</f>
        <v>20190303154952003</v>
      </c>
      <c r="B7214" t="str">
        <f>"1551599391998359"</f>
        <v>1551599391998359</v>
      </c>
      <c r="C7214" t="s">
        <v>40</v>
      </c>
      <c r="D7214">
        <v>5.882898</v>
      </c>
      <c r="E7214">
        <v>0.47897630000000002</v>
      </c>
      <c r="F7214" t="s">
        <v>41</v>
      </c>
      <c r="G7214">
        <v>-301.56360000000001</v>
      </c>
      <c r="H7214" s="1">
        <v>-5.3743129999999997E-7</v>
      </c>
      <c r="I7214">
        <v>-40.127879999999998</v>
      </c>
      <c r="J7214">
        <v>-303.55799999999999</v>
      </c>
      <c r="K7214">
        <v>1.121672</v>
      </c>
      <c r="L7214">
        <v>-29.28519</v>
      </c>
      <c r="M7214">
        <v>7.3538320000000004E-2</v>
      </c>
      <c r="N7214">
        <v>-1.406044E-2</v>
      </c>
      <c r="O7214">
        <v>-0.99719349999999995</v>
      </c>
      <c r="P7214">
        <v>0.125141</v>
      </c>
      <c r="Q7214">
        <v>-0.14323610000000001</v>
      </c>
      <c r="R7214">
        <v>-0.98174539999999999</v>
      </c>
      <c r="S7214">
        <v>0.53259279999999998</v>
      </c>
      <c r="T7214">
        <v>-0.29546450000000002</v>
      </c>
      <c r="U7214">
        <v>-2.9454349999999998</v>
      </c>
      <c r="V7214">
        <v>-5.2251980000000003E-2</v>
      </c>
      <c r="W7214">
        <v>-0.12946679999999999</v>
      </c>
      <c r="X7214">
        <v>0.99020609999999998</v>
      </c>
      <c r="Y7214">
        <v>-0.1043617</v>
      </c>
      <c r="Z7214">
        <v>8.4438289999999999E-2</v>
      </c>
      <c r="AA7214">
        <v>0.99094839999999995</v>
      </c>
      <c r="AB7214">
        <v>23</v>
      </c>
      <c r="AC7214">
        <v>1.99439999999998</v>
      </c>
      <c r="AD7214">
        <v>-1.1216725374312999</v>
      </c>
      <c r="AE7214">
        <v>-10.8426899999999</v>
      </c>
      <c r="AF7214">
        <v>-1.17935877973676</v>
      </c>
      <c r="AG7214">
        <v>-1.1216725374312999</v>
      </c>
      <c r="AH7214">
        <v>10.847714565218601</v>
      </c>
      <c r="AI7214">
        <v>95.8691617665352</v>
      </c>
      <c r="AJ7214">
        <v>96.204801852230005</v>
      </c>
      <c r="AK7214">
        <v>10.969136141967899</v>
      </c>
      <c r="AL7214">
        <v>97.438781666391705</v>
      </c>
      <c r="AM7214">
        <v>93.020627474692702</v>
      </c>
      <c r="AN7214">
        <v>1.00000002109668</v>
      </c>
    </row>
    <row r="7215" spans="1:40" x14ac:dyDescent="0.25">
      <c r="A7215" t="str">
        <f>"20190303154952032"</f>
        <v>20190303154952032</v>
      </c>
      <c r="B7215" t="str">
        <f>"1551599392028145"</f>
        <v>1551599392028145</v>
      </c>
      <c r="C7215" t="s">
        <v>40</v>
      </c>
      <c r="D7215">
        <v>5.7553349999999996</v>
      </c>
      <c r="E7215">
        <v>0.47903790000000002</v>
      </c>
      <c r="F7215" t="s">
        <v>64</v>
      </c>
      <c r="G7215">
        <v>-301.4975</v>
      </c>
      <c r="H7215" s="1">
        <v>-4.344078E-7</v>
      </c>
      <c r="I7215">
        <v>-40.45252</v>
      </c>
      <c r="J7215">
        <v>-303.53320000000002</v>
      </c>
      <c r="K7215">
        <v>1.121626</v>
      </c>
      <c r="L7215">
        <v>-29.582000000000001</v>
      </c>
      <c r="M7215">
        <v>7.5868859999999996E-2</v>
      </c>
      <c r="N7215">
        <v>-1.4155299999999999E-2</v>
      </c>
      <c r="O7215">
        <v>-0.99701740000000005</v>
      </c>
      <c r="P7215">
        <v>0.12800249999999999</v>
      </c>
      <c r="Q7215">
        <v>-0.14429610000000001</v>
      </c>
      <c r="R7215">
        <v>-0.9812208</v>
      </c>
      <c r="S7215">
        <v>0.54309079999999998</v>
      </c>
      <c r="T7215">
        <v>-0.29564370000000001</v>
      </c>
      <c r="U7215">
        <v>-2.9434200000000001</v>
      </c>
      <c r="V7215">
        <v>-5.2851500000000003E-2</v>
      </c>
      <c r="W7215">
        <v>-0.1304293</v>
      </c>
      <c r="X7215">
        <v>0.99004789999999998</v>
      </c>
      <c r="Y7215">
        <v>-0.10557469999999999</v>
      </c>
      <c r="Z7215">
        <v>8.4410940000000004E-2</v>
      </c>
      <c r="AA7215">
        <v>0.99082230000000004</v>
      </c>
      <c r="AB7215">
        <v>23</v>
      </c>
      <c r="AC7215">
        <v>2.0357000000000198</v>
      </c>
      <c r="AD7215">
        <v>-1.1216264344078</v>
      </c>
      <c r="AE7215">
        <v>-10.870520000000001</v>
      </c>
      <c r="AF7215">
        <v>-1.19274697402291</v>
      </c>
      <c r="AG7215">
        <v>-1.1216264344078</v>
      </c>
      <c r="AH7215">
        <v>10.8817202627939</v>
      </c>
      <c r="AI7215">
        <v>95.850150901336207</v>
      </c>
      <c r="AJ7215">
        <v>96.255227754965503</v>
      </c>
      <c r="AK7215">
        <v>11.004204972650401</v>
      </c>
      <c r="AL7215">
        <v>97.494400889614099</v>
      </c>
      <c r="AM7215">
        <v>93.055707024039407</v>
      </c>
      <c r="AN7215">
        <v>0.99999996382257395</v>
      </c>
    </row>
    <row r="7216" spans="1:40" x14ac:dyDescent="0.25">
      <c r="A7216" t="str">
        <f>"20190303154952055"</f>
        <v>20190303154952055</v>
      </c>
      <c r="B7216" t="str">
        <f>"1551599392047666"</f>
        <v>1551599392047666</v>
      </c>
      <c r="C7216" t="s">
        <v>40</v>
      </c>
      <c r="D7216">
        <v>5.7251560000000001</v>
      </c>
      <c r="E7216">
        <v>0.50348440000000005</v>
      </c>
      <c r="F7216" t="s">
        <v>64</v>
      </c>
      <c r="G7216">
        <v>-301.46780000000001</v>
      </c>
      <c r="H7216" s="1">
        <v>-4.8571190000000004E-7</v>
      </c>
      <c r="I7216">
        <v>-40.607509999999998</v>
      </c>
      <c r="J7216">
        <v>-303.51319999999998</v>
      </c>
      <c r="K7216">
        <v>1.1216010000000001</v>
      </c>
      <c r="L7216">
        <v>-29.817350000000001</v>
      </c>
      <c r="M7216">
        <v>7.7643190000000001E-2</v>
      </c>
      <c r="N7216">
        <v>-1.421826E-2</v>
      </c>
      <c r="O7216">
        <v>-0.99687990000000004</v>
      </c>
      <c r="P7216">
        <v>0.12995419999999999</v>
      </c>
      <c r="Q7216">
        <v>-0.14257539999999999</v>
      </c>
      <c r="R7216">
        <v>-0.98121570000000002</v>
      </c>
      <c r="S7216">
        <v>0.5510254</v>
      </c>
      <c r="T7216">
        <v>-0.29924230000000002</v>
      </c>
      <c r="U7216">
        <v>-2.9415279999999999</v>
      </c>
      <c r="V7216">
        <v>-5.3058059999999997E-2</v>
      </c>
      <c r="W7216">
        <v>-0.12863740000000001</v>
      </c>
      <c r="X7216">
        <v>0.99027129999999997</v>
      </c>
      <c r="Y7216">
        <v>-0.1064819</v>
      </c>
      <c r="Z7216">
        <v>8.5552959999999997E-2</v>
      </c>
      <c r="AA7216">
        <v>0.99062720000000004</v>
      </c>
      <c r="AB7216">
        <v>23</v>
      </c>
      <c r="AC7216">
        <v>2.0453999999999701</v>
      </c>
      <c r="AD7216">
        <v>-1.1216014857118899</v>
      </c>
      <c r="AE7216">
        <v>-10.790159999999901</v>
      </c>
      <c r="AF7216">
        <v>-1.18895608846541</v>
      </c>
      <c r="AG7216">
        <v>-1.1216014857118899</v>
      </c>
      <c r="AH7216">
        <v>10.80372344265</v>
      </c>
      <c r="AI7216">
        <v>95.891679858968502</v>
      </c>
      <c r="AJ7216">
        <v>96.280162148550204</v>
      </c>
      <c r="AK7216">
        <v>10.9266667698029</v>
      </c>
      <c r="AL7216">
        <v>97.390860023793493</v>
      </c>
      <c r="AM7216">
        <v>93.066936187037896</v>
      </c>
      <c r="AN7216">
        <v>0.99999999300670595</v>
      </c>
    </row>
    <row r="7217" spans="1:40" x14ac:dyDescent="0.25">
      <c r="A7217" t="str">
        <f>"20190303154952087"</f>
        <v>20190303154952087</v>
      </c>
      <c r="B7217" t="str">
        <f>"1551599392077922"</f>
        <v>1551599392077922</v>
      </c>
      <c r="C7217" t="s">
        <v>40</v>
      </c>
      <c r="D7217">
        <v>5.6795330000000002</v>
      </c>
      <c r="E7217">
        <v>0.50707570000000002</v>
      </c>
      <c r="F7217" t="s">
        <v>64</v>
      </c>
      <c r="G7217">
        <v>-301.8741</v>
      </c>
      <c r="H7217" s="1">
        <v>-2.0609250000000001E-6</v>
      </c>
      <c r="I7217">
        <v>-43.208710000000004</v>
      </c>
      <c r="J7217">
        <v>-303.4855</v>
      </c>
      <c r="K7217">
        <v>1.1215469999999901</v>
      </c>
      <c r="L7217">
        <v>-30.136199999999999</v>
      </c>
      <c r="M7217">
        <v>7.9889920000000003E-2</v>
      </c>
      <c r="N7217">
        <v>-1.428726E-2</v>
      </c>
      <c r="O7217">
        <v>-0.99670130000000001</v>
      </c>
      <c r="P7217">
        <v>0.13242209999999999</v>
      </c>
      <c r="Q7217">
        <v>-0.14091779999999901</v>
      </c>
      <c r="R7217">
        <v>-0.98112540000000004</v>
      </c>
      <c r="S7217">
        <v>0.36389159999999998</v>
      </c>
      <c r="T7217">
        <v>-0.24901019999999999</v>
      </c>
      <c r="U7217">
        <v>-2.9730530000000002</v>
      </c>
      <c r="V7217">
        <v>-5.3325570000000003E-2</v>
      </c>
      <c r="W7217">
        <v>-0.12689880000000001</v>
      </c>
      <c r="X7217">
        <v>0.99048130000000001</v>
      </c>
      <c r="Y7217">
        <v>-4.1479809999999999E-2</v>
      </c>
      <c r="Z7217">
        <v>6.8545510000000004E-2</v>
      </c>
      <c r="AA7217">
        <v>0.99678529999999999</v>
      </c>
      <c r="AB7217">
        <v>23</v>
      </c>
      <c r="AC7217">
        <v>1.6113999999999999</v>
      </c>
      <c r="AD7217">
        <v>-1.1215490609249901</v>
      </c>
      <c r="AE7217">
        <v>-13.0725099999999</v>
      </c>
      <c r="AF7217">
        <v>-0.55773615624485195</v>
      </c>
      <c r="AG7217">
        <v>-1.1215490609249901</v>
      </c>
      <c r="AH7217">
        <v>13.064739263084601</v>
      </c>
      <c r="AI7217">
        <v>94.902112392785398</v>
      </c>
      <c r="AJ7217">
        <v>92.444483251909901</v>
      </c>
      <c r="AK7217">
        <v>13.124646811569001</v>
      </c>
      <c r="AL7217">
        <v>97.290421868990407</v>
      </c>
      <c r="AM7217">
        <v>93.0817171725637</v>
      </c>
      <c r="AN7217">
        <v>1.0000000637534701</v>
      </c>
    </row>
    <row r="7218" spans="1:40" x14ac:dyDescent="0.25">
      <c r="A7218" t="str">
        <f>"20190303154952123"</f>
        <v>20190303154952123</v>
      </c>
      <c r="B7218" t="str">
        <f>"1551599392117938"</f>
        <v>1551599392117938</v>
      </c>
      <c r="C7218" t="s">
        <v>40</v>
      </c>
      <c r="D7218">
        <v>5.6699479999999998</v>
      </c>
      <c r="E7218">
        <v>0.5086098</v>
      </c>
      <c r="F7218" t="s">
        <v>64</v>
      </c>
      <c r="G7218">
        <v>-301.85770000000002</v>
      </c>
      <c r="H7218" s="1">
        <v>-2.717984E-6</v>
      </c>
      <c r="I7218">
        <v>-44.246009999999998</v>
      </c>
      <c r="J7218">
        <v>-303.45429999999999</v>
      </c>
      <c r="K7218">
        <v>1.1214740000000001</v>
      </c>
      <c r="L7218">
        <v>-30.488219999999998</v>
      </c>
      <c r="M7218">
        <v>8.2164730000000005E-2</v>
      </c>
      <c r="N7218">
        <v>-1.434594E-2</v>
      </c>
      <c r="O7218">
        <v>-0.99651540000000005</v>
      </c>
      <c r="P7218">
        <v>0.13630390000000001</v>
      </c>
      <c r="Q7218">
        <v>-0.13859469999999999</v>
      </c>
      <c r="R7218">
        <v>-0.98092440000000003</v>
      </c>
      <c r="S7218">
        <v>0.34347529999999998</v>
      </c>
      <c r="T7218">
        <v>-0.23666180000000001</v>
      </c>
      <c r="U7218">
        <v>-2.9773559999999999</v>
      </c>
      <c r="V7218">
        <v>-5.4990619999999997E-2</v>
      </c>
      <c r="W7218">
        <v>-0.1245043</v>
      </c>
      <c r="X7218">
        <v>0.99069399999999996</v>
      </c>
      <c r="Y7218">
        <v>-3.2323329999999997E-2</v>
      </c>
      <c r="Z7218">
        <v>6.4315540000000004E-2</v>
      </c>
      <c r="AA7218">
        <v>0.99740600000000001</v>
      </c>
      <c r="AB7218">
        <v>22</v>
      </c>
      <c r="AC7218">
        <v>1.5965999999999601</v>
      </c>
      <c r="AD7218">
        <v>-1.1214767179839999</v>
      </c>
      <c r="AE7218">
        <v>-13.7577899999999</v>
      </c>
      <c r="AF7218">
        <v>-0.45767806827306901</v>
      </c>
      <c r="AG7218">
        <v>-1.1214767179839999</v>
      </c>
      <c r="AH7218">
        <v>13.752292611034701</v>
      </c>
      <c r="AI7218">
        <v>94.659491616475805</v>
      </c>
      <c r="AJ7218">
        <v>91.906107411090005</v>
      </c>
      <c r="AK7218">
        <v>13.805532633791399</v>
      </c>
      <c r="AL7218">
        <v>97.152131034945597</v>
      </c>
      <c r="AM7218">
        <v>93.177066338542502</v>
      </c>
      <c r="AN7218">
        <v>0.99999994532123504</v>
      </c>
    </row>
    <row r="7219" spans="1:40" x14ac:dyDescent="0.25">
      <c r="A7219" t="str">
        <f>"20190303154952157"</f>
        <v>20190303154952157</v>
      </c>
      <c r="B7219" t="str">
        <f>"1551599392148193"</f>
        <v>1551599392148193</v>
      </c>
      <c r="C7219" t="s">
        <v>40</v>
      </c>
      <c r="D7219">
        <v>5.5981589999999999</v>
      </c>
      <c r="E7219">
        <v>0.50921439999999996</v>
      </c>
      <c r="F7219" t="s">
        <v>64</v>
      </c>
      <c r="G7219">
        <v>-301.75380000000001</v>
      </c>
      <c r="H7219" s="1">
        <v>-3.358809E-6</v>
      </c>
      <c r="I7219">
        <v>-45.276960000000003</v>
      </c>
      <c r="J7219">
        <v>-303.423</v>
      </c>
      <c r="K7219">
        <v>1.1214040000000001</v>
      </c>
      <c r="L7219">
        <v>-30.83652</v>
      </c>
      <c r="M7219">
        <v>8.4210989999999999E-2</v>
      </c>
      <c r="N7219">
        <v>-1.4389269999999999E-2</v>
      </c>
      <c r="O7219">
        <v>-0.99634400000000001</v>
      </c>
      <c r="P7219">
        <v>0.13893910000000001</v>
      </c>
      <c r="Q7219">
        <v>-0.13892550000000001</v>
      </c>
      <c r="R7219">
        <v>-0.98050789999999999</v>
      </c>
      <c r="S7219">
        <v>0.34252929999999998</v>
      </c>
      <c r="T7219">
        <v>-0.2258935</v>
      </c>
      <c r="U7219">
        <v>-2.9788209999999999</v>
      </c>
      <c r="V7219">
        <v>-5.5648120000000002E-2</v>
      </c>
      <c r="W7219">
        <v>-0.124782</v>
      </c>
      <c r="X7219">
        <v>0.99062240000000001</v>
      </c>
      <c r="Y7219">
        <v>-2.9930709999999999E-2</v>
      </c>
      <c r="Z7219">
        <v>6.0665120000000003E-2</v>
      </c>
      <c r="AA7219">
        <v>0.99770930000000002</v>
      </c>
      <c r="AB7219">
        <v>22</v>
      </c>
      <c r="AC7219">
        <v>1.66919999999998</v>
      </c>
      <c r="AD7219">
        <v>-1.1214073588089899</v>
      </c>
      <c r="AE7219">
        <v>-14.440439999999899</v>
      </c>
      <c r="AF7219">
        <v>-0.444454943576781</v>
      </c>
      <c r="AG7219">
        <v>-1.1214073588089899</v>
      </c>
      <c r="AH7219">
        <v>14.443758575634201</v>
      </c>
      <c r="AI7219">
        <v>94.437422303572205</v>
      </c>
      <c r="AJ7219">
        <v>91.762516267625699</v>
      </c>
      <c r="AK7219">
        <v>14.4940421019282</v>
      </c>
      <c r="AL7219">
        <v>97.168166734565204</v>
      </c>
      <c r="AM7219">
        <v>93.215205868576504</v>
      </c>
      <c r="AN7219">
        <v>1.0000000000826399</v>
      </c>
    </row>
    <row r="7220" spans="1:40" x14ac:dyDescent="0.25">
      <c r="A7220" t="str">
        <f>"20190303154952186"</f>
        <v>20190303154952186</v>
      </c>
      <c r="B7220" t="str">
        <f>"1551599392177475"</f>
        <v>1551599392177475</v>
      </c>
      <c r="C7220" t="s">
        <v>40</v>
      </c>
      <c r="D7220">
        <v>5.5474620000000003</v>
      </c>
      <c r="E7220">
        <v>0.5094457</v>
      </c>
      <c r="F7220" t="s">
        <v>64</v>
      </c>
      <c r="G7220">
        <v>-301.70209999999997</v>
      </c>
      <c r="H7220" s="1">
        <v>-3.522524E-6</v>
      </c>
      <c r="I7220">
        <v>-45.680630000000001</v>
      </c>
      <c r="J7220">
        <v>-303.39760000000001</v>
      </c>
      <c r="K7220">
        <v>1.1213580000000001</v>
      </c>
      <c r="L7220">
        <v>-31.114930000000001</v>
      </c>
      <c r="M7220">
        <v>8.5694899999999893E-2</v>
      </c>
      <c r="N7220">
        <v>-1.4415890000000001E-2</v>
      </c>
      <c r="O7220">
        <v>-0.99621709999999997</v>
      </c>
      <c r="P7220">
        <v>0.14174539999999999</v>
      </c>
      <c r="Q7220">
        <v>-0.1376858</v>
      </c>
      <c r="R7220">
        <v>-0.98028110000000002</v>
      </c>
      <c r="S7220">
        <v>0.3453369</v>
      </c>
      <c r="T7220">
        <v>-0.22503670000000001</v>
      </c>
      <c r="U7220">
        <v>-2.9788209999999999</v>
      </c>
      <c r="V7220">
        <v>-5.7013389999999997E-2</v>
      </c>
      <c r="W7220">
        <v>-0.1235079</v>
      </c>
      <c r="X7220">
        <v>0.99070440000000004</v>
      </c>
      <c r="Y7220">
        <v>-2.9372530000000001E-2</v>
      </c>
      <c r="Z7220">
        <v>6.0339940000000002E-2</v>
      </c>
      <c r="AA7220">
        <v>0.99774560000000001</v>
      </c>
      <c r="AB7220">
        <v>22</v>
      </c>
      <c r="AC7220">
        <v>1.69550000000003</v>
      </c>
      <c r="AD7220">
        <v>-1.1213615225239999</v>
      </c>
      <c r="AE7220">
        <v>-14.5657</v>
      </c>
      <c r="AF7220">
        <v>-0.438362317060702</v>
      </c>
      <c r="AG7220">
        <v>-1.1213615225239999</v>
      </c>
      <c r="AH7220">
        <v>14.572205072060999</v>
      </c>
      <c r="AI7220">
        <v>94.398375603219606</v>
      </c>
      <c r="AJ7220">
        <v>91.723056906531497</v>
      </c>
      <c r="AK7220">
        <v>14.621859452457301</v>
      </c>
      <c r="AL7220">
        <v>97.094597276573595</v>
      </c>
      <c r="AM7220">
        <v>93.293644018892394</v>
      </c>
      <c r="AN7220">
        <v>0.99999996809053004</v>
      </c>
    </row>
    <row r="7221" spans="1:40" x14ac:dyDescent="0.25">
      <c r="A7221" t="str">
        <f>"20190303154952214"</f>
        <v>20190303154952214</v>
      </c>
      <c r="B7221" t="str">
        <f>"1551599392207731"</f>
        <v>1551599392207731</v>
      </c>
      <c r="C7221" t="s">
        <v>40</v>
      </c>
      <c r="D7221">
        <v>5.571008</v>
      </c>
      <c r="E7221">
        <v>0.50996920000000001</v>
      </c>
      <c r="F7221" t="s">
        <v>64</v>
      </c>
      <c r="G7221">
        <v>-301.58839999999998</v>
      </c>
      <c r="H7221" s="1">
        <v>-3.806934E-6</v>
      </c>
      <c r="I7221">
        <v>-46.435070000000003</v>
      </c>
      <c r="J7221">
        <v>-303.37180000000001</v>
      </c>
      <c r="K7221">
        <v>1.1213010000000001</v>
      </c>
      <c r="L7221">
        <v>-31.393709999999999</v>
      </c>
      <c r="M7221">
        <v>8.7027660000000007E-2</v>
      </c>
      <c r="N7221">
        <v>-1.443642E-2</v>
      </c>
      <c r="O7221">
        <v>-0.99610140000000003</v>
      </c>
      <c r="P7221">
        <v>0.14407159999999999</v>
      </c>
      <c r="Q7221">
        <v>-0.138009299999999</v>
      </c>
      <c r="R7221">
        <v>-0.97989649999999995</v>
      </c>
      <c r="S7221">
        <v>0.35177609999999998</v>
      </c>
      <c r="T7221">
        <v>-0.2180377</v>
      </c>
      <c r="U7221">
        <v>-2.9788510000000001</v>
      </c>
      <c r="V7221">
        <v>-5.8061830000000002E-2</v>
      </c>
      <c r="W7221">
        <v>-0.1238041</v>
      </c>
      <c r="X7221">
        <v>0.99060649999999995</v>
      </c>
      <c r="Y7221">
        <v>-3.0178030000000002E-2</v>
      </c>
      <c r="Z7221">
        <v>5.7987249999999997E-2</v>
      </c>
      <c r="AA7221">
        <v>0.99786109999999995</v>
      </c>
      <c r="AB7221">
        <v>22</v>
      </c>
      <c r="AC7221">
        <v>1.7834000000000201</v>
      </c>
      <c r="AD7221">
        <v>-1.1213048069339999</v>
      </c>
      <c r="AE7221">
        <v>-15.041359999999999</v>
      </c>
      <c r="AF7221">
        <v>-0.46493352655007197</v>
      </c>
      <c r="AG7221">
        <v>-1.1213048069339999</v>
      </c>
      <c r="AH7221">
        <v>15.056982961197001</v>
      </c>
      <c r="AI7221">
        <v>94.256976444563406</v>
      </c>
      <c r="AJ7221">
        <v>91.768632358053907</v>
      </c>
      <c r="AK7221">
        <v>15.1058340897793</v>
      </c>
      <c r="AL7221">
        <v>97.111699784189597</v>
      </c>
      <c r="AM7221">
        <v>93.354405724969496</v>
      </c>
      <c r="AN7221">
        <v>0.999999934561002</v>
      </c>
    </row>
    <row r="7222" spans="1:40" x14ac:dyDescent="0.25">
      <c r="A7222" t="str">
        <f>"20190303154952236"</f>
        <v>20190303154952236</v>
      </c>
      <c r="B7222" t="str">
        <f>"1551599392228225"</f>
        <v>1551599392228225</v>
      </c>
      <c r="C7222" t="s">
        <v>40</v>
      </c>
      <c r="D7222">
        <v>5.5244980000000004</v>
      </c>
      <c r="E7222">
        <v>0.51023890000000005</v>
      </c>
      <c r="F7222" t="s">
        <v>64</v>
      </c>
      <c r="G7222">
        <v>-301.55930000000001</v>
      </c>
      <c r="H7222" s="1">
        <v>-3.9004370000000003E-6</v>
      </c>
      <c r="I7222">
        <v>-46.62189</v>
      </c>
      <c r="J7222">
        <v>-303.35140000000001</v>
      </c>
      <c r="K7222">
        <v>1.121265</v>
      </c>
      <c r="L7222">
        <v>-31.61346</v>
      </c>
      <c r="M7222">
        <v>8.7989460000000005E-2</v>
      </c>
      <c r="N7222">
        <v>-1.4449109999999999E-2</v>
      </c>
      <c r="O7222">
        <v>-0.99601689999999998</v>
      </c>
      <c r="P7222">
        <v>0.1479338</v>
      </c>
      <c r="Q7222">
        <v>-0.1363964</v>
      </c>
      <c r="R7222">
        <v>-0.97954669999999999</v>
      </c>
      <c r="S7222">
        <v>0.35452270000000002</v>
      </c>
      <c r="T7222">
        <v>-0.21932080000000001</v>
      </c>
      <c r="U7222">
        <v>-2.9785460000000001</v>
      </c>
      <c r="V7222">
        <v>-6.1004500000000003E-2</v>
      </c>
      <c r="W7222">
        <v>-0.1221739</v>
      </c>
      <c r="X7222">
        <v>0.99063210000000002</v>
      </c>
      <c r="Y7222">
        <v>-3.012925E-2</v>
      </c>
      <c r="Z7222">
        <v>5.839403E-2</v>
      </c>
      <c r="AA7222">
        <v>0.99783889999999997</v>
      </c>
      <c r="AB7222">
        <v>22</v>
      </c>
      <c r="AC7222">
        <v>1.7921</v>
      </c>
      <c r="AD7222">
        <v>-1.121268900437</v>
      </c>
      <c r="AE7222">
        <v>-15.008430000000001</v>
      </c>
      <c r="AF7222">
        <v>-0.46188482347405502</v>
      </c>
      <c r="AG7222">
        <v>-1.121268900437</v>
      </c>
      <c r="AH7222">
        <v>15.0252245451638</v>
      </c>
      <c r="AI7222">
        <v>94.265823026285105</v>
      </c>
      <c r="AJ7222">
        <v>91.760753697629497</v>
      </c>
      <c r="AK7222">
        <v>15.074082199916401</v>
      </c>
      <c r="AL7222">
        <v>97.017581295383906</v>
      </c>
      <c r="AM7222">
        <v>93.523903612986302</v>
      </c>
      <c r="AN7222">
        <v>0.99999998420593394</v>
      </c>
    </row>
    <row r="7223" spans="1:40" x14ac:dyDescent="0.25">
      <c r="A7223" t="str">
        <f>"20190303154952265"</f>
        <v>20190303154952265</v>
      </c>
      <c r="B7223" t="str">
        <f>"1551599392257506"</f>
        <v>1551599392257506</v>
      </c>
      <c r="C7223" t="s">
        <v>40</v>
      </c>
      <c r="D7223">
        <v>5.5129130000000002</v>
      </c>
      <c r="E7223">
        <v>0.51064319999999996</v>
      </c>
      <c r="F7223" t="s">
        <v>64</v>
      </c>
      <c r="G7223">
        <v>-301.45</v>
      </c>
      <c r="H7223" s="1">
        <v>-4.1653900000000001E-6</v>
      </c>
      <c r="I7223">
        <v>-47.154330000000002</v>
      </c>
      <c r="J7223">
        <v>-303.32490000000001</v>
      </c>
      <c r="K7223">
        <v>1.1212029999999999</v>
      </c>
      <c r="L7223">
        <v>-31.896820000000002</v>
      </c>
      <c r="M7223">
        <v>8.9106420000000006E-2</v>
      </c>
      <c r="N7223">
        <v>-1.44616E-2</v>
      </c>
      <c r="O7223">
        <v>-0.99591730000000001</v>
      </c>
      <c r="P7223">
        <v>0.14972869999999999</v>
      </c>
      <c r="Q7223">
        <v>-0.13534749999999901</v>
      </c>
      <c r="R7223">
        <v>-0.9794197</v>
      </c>
      <c r="S7223">
        <v>0.3643188</v>
      </c>
      <c r="T7223">
        <v>-0.2148418</v>
      </c>
      <c r="U7223">
        <v>-2.977722</v>
      </c>
      <c r="V7223">
        <v>-6.1717429999999997E-2</v>
      </c>
      <c r="W7223">
        <v>-0.121101</v>
      </c>
      <c r="X7223">
        <v>0.99071969999999998</v>
      </c>
      <c r="Y7223">
        <v>-3.2285649999999999E-2</v>
      </c>
      <c r="Z7223">
        <v>5.6898079999999997E-2</v>
      </c>
      <c r="AA7223">
        <v>0.99785780000000002</v>
      </c>
      <c r="AB7223">
        <v>22</v>
      </c>
      <c r="AC7223">
        <v>1.87490000000002</v>
      </c>
      <c r="AD7223">
        <v>-1.12120716539</v>
      </c>
      <c r="AE7223">
        <v>-15.25751</v>
      </c>
      <c r="AF7223">
        <v>-0.50506938964909098</v>
      </c>
      <c r="AG7223">
        <v>-1.12120716539</v>
      </c>
      <c r="AH7223">
        <v>15.282587365845799</v>
      </c>
      <c r="AI7223">
        <v>94.193706564623497</v>
      </c>
      <c r="AJ7223">
        <v>91.892861133968907</v>
      </c>
      <c r="AK7223">
        <v>15.331982167703901</v>
      </c>
      <c r="AL7223">
        <v>96.955648604530595</v>
      </c>
      <c r="AM7223">
        <v>93.564665764984994</v>
      </c>
      <c r="AN7223">
        <v>1.0000000086674401</v>
      </c>
    </row>
    <row r="7224" spans="1:40" x14ac:dyDescent="0.25">
      <c r="A7224" t="str">
        <f>"20190303154952288"</f>
        <v>20190303154952288</v>
      </c>
      <c r="B7224" t="str">
        <f>"1551599392278978"</f>
        <v>1551599392278978</v>
      </c>
      <c r="C7224" t="s">
        <v>40</v>
      </c>
      <c r="D7224">
        <v>5.4819360000000001</v>
      </c>
      <c r="E7224">
        <v>0.51090879999999905</v>
      </c>
      <c r="F7224" t="s">
        <v>64</v>
      </c>
      <c r="G7224">
        <v>-301.38099999999997</v>
      </c>
      <c r="H7224" s="1">
        <v>-4.4315529999999998E-6</v>
      </c>
      <c r="I7224">
        <v>-47.684559999999998</v>
      </c>
      <c r="J7224">
        <v>-303.30329999999998</v>
      </c>
      <c r="K7224">
        <v>1.1211629999999999</v>
      </c>
      <c r="L7224">
        <v>-32.127719999999997</v>
      </c>
      <c r="M7224">
        <v>8.9913759999999995E-2</v>
      </c>
      <c r="N7224">
        <v>-1.446918E-2</v>
      </c>
      <c r="O7224">
        <v>-0.99584439999999996</v>
      </c>
      <c r="P7224">
        <v>0.15100629999999901</v>
      </c>
      <c r="Q7224">
        <v>-0.1353181</v>
      </c>
      <c r="R7224">
        <v>-0.97922739999999997</v>
      </c>
      <c r="S7224">
        <v>0.36663820000000003</v>
      </c>
      <c r="T7224">
        <v>-0.21147289999999999</v>
      </c>
      <c r="U7224">
        <v>-2.9777529999999999</v>
      </c>
      <c r="V7224">
        <v>-6.2222310000000003E-2</v>
      </c>
      <c r="W7224">
        <v>-0.121056399999999</v>
      </c>
      <c r="X7224">
        <v>0.99069359999999995</v>
      </c>
      <c r="Y7224">
        <v>-3.2247919999999999E-2</v>
      </c>
      <c r="Z7224">
        <v>5.5767379999999998E-2</v>
      </c>
      <c r="AA7224">
        <v>0.99792289999999995</v>
      </c>
      <c r="AB7224">
        <v>22</v>
      </c>
      <c r="AC7224">
        <v>1.9222999999999999</v>
      </c>
      <c r="AD7224">
        <v>-1.12116743155299</v>
      </c>
      <c r="AE7224">
        <v>-15.5568399999999</v>
      </c>
      <c r="AF7224">
        <v>-0.51296744834757702</v>
      </c>
      <c r="AG7224">
        <v>-1.12116743155299</v>
      </c>
      <c r="AH7224">
        <v>15.586933662276</v>
      </c>
      <c r="AI7224">
        <v>94.111978534991096</v>
      </c>
      <c r="AJ7224">
        <v>91.884929166500399</v>
      </c>
      <c r="AK7224">
        <v>15.6356212861796</v>
      </c>
      <c r="AL7224">
        <v>96.953074065015898</v>
      </c>
      <c r="AM7224">
        <v>93.593844862761898</v>
      </c>
      <c r="AN7224">
        <v>1.00000003846182</v>
      </c>
    </row>
    <row r="7225" spans="1:40" x14ac:dyDescent="0.25">
      <c r="A7225" t="str">
        <f>"20190303154952313"</f>
        <v>20190303154952313</v>
      </c>
      <c r="B7225" t="str">
        <f>"1551599392308258"</f>
        <v>1551599392308258</v>
      </c>
      <c r="C7225" t="s">
        <v>40</v>
      </c>
      <c r="D7225">
        <v>5.4733799999999997</v>
      </c>
      <c r="E7225">
        <v>0.51134659999999998</v>
      </c>
      <c r="F7225" t="s">
        <v>64</v>
      </c>
      <c r="G7225">
        <v>-301.34390000000002</v>
      </c>
      <c r="H7225" s="1">
        <v>-4.5624300000000001E-6</v>
      </c>
      <c r="I7225">
        <v>-47.945639999999997</v>
      </c>
      <c r="J7225">
        <v>-303.28050000000002</v>
      </c>
      <c r="K7225">
        <v>1.121129</v>
      </c>
      <c r="L7225">
        <v>-32.368899999999996</v>
      </c>
      <c r="M7225">
        <v>9.0674619999999997E-2</v>
      </c>
      <c r="N7225">
        <v>-1.447507E-2</v>
      </c>
      <c r="O7225">
        <v>-0.99577530000000003</v>
      </c>
      <c r="P7225">
        <v>0.15046809999999999</v>
      </c>
      <c r="Q7225">
        <v>-0.13401589999999999</v>
      </c>
      <c r="R7225">
        <v>-0.97948930000000001</v>
      </c>
      <c r="S7225">
        <v>0.36883539999999998</v>
      </c>
      <c r="T7225">
        <v>-0.21105099999999999</v>
      </c>
      <c r="U7225">
        <v>-2.9775999999999998</v>
      </c>
      <c r="V7225">
        <v>-6.0923529999999997E-2</v>
      </c>
      <c r="W7225">
        <v>-0.11973590000000001</v>
      </c>
      <c r="X7225">
        <v>0.99093469999999995</v>
      </c>
      <c r="Y7225">
        <v>-3.2216849999999998E-2</v>
      </c>
      <c r="Z7225">
        <v>5.5616529999999997E-2</v>
      </c>
      <c r="AA7225">
        <v>0.99793229999999999</v>
      </c>
      <c r="AB7225">
        <v>22</v>
      </c>
      <c r="AC7225">
        <v>1.9365999999999901</v>
      </c>
      <c r="AD7225">
        <v>-1.1211335624299901</v>
      </c>
      <c r="AE7225">
        <v>-15.576739999999999</v>
      </c>
      <c r="AF7225">
        <v>-0.51343825014853395</v>
      </c>
      <c r="AG7225">
        <v>-1.1211335624299901</v>
      </c>
      <c r="AH7225">
        <v>15.608550725141299</v>
      </c>
      <c r="AI7225">
        <v>94.106181595468797</v>
      </c>
      <c r="AJ7225">
        <v>91.884046863325494</v>
      </c>
      <c r="AK7225">
        <v>15.6571841351129</v>
      </c>
      <c r="AL7225">
        <v>96.876861069488001</v>
      </c>
      <c r="AM7225">
        <v>93.518166207968605</v>
      </c>
      <c r="AN7225">
        <v>0.99999997096027904</v>
      </c>
    </row>
    <row r="7226" spans="1:40" x14ac:dyDescent="0.25">
      <c r="A7226" t="str">
        <f>"20190303154952347"</f>
        <v>20190303154952347</v>
      </c>
      <c r="B7226" t="str">
        <f>"1551599392337537"</f>
        <v>1551599392337537</v>
      </c>
      <c r="C7226" t="s">
        <v>40</v>
      </c>
      <c r="D7226">
        <v>5.4509290000000004</v>
      </c>
      <c r="E7226">
        <v>0.51170850000000001</v>
      </c>
      <c r="F7226" t="s">
        <v>64</v>
      </c>
      <c r="G7226">
        <v>-301.31110000000001</v>
      </c>
      <c r="H7226" s="1">
        <v>-4.8292609999999996E-6</v>
      </c>
      <c r="I7226">
        <v>-48.473059999999997</v>
      </c>
      <c r="J7226">
        <v>-303.25020000000001</v>
      </c>
      <c r="K7226">
        <v>1.121092</v>
      </c>
      <c r="L7226">
        <v>-32.689149999999998</v>
      </c>
      <c r="M7226">
        <v>9.154524E-2</v>
      </c>
      <c r="N7226">
        <v>-1.448005E-2</v>
      </c>
      <c r="O7226">
        <v>-0.99569569999999996</v>
      </c>
      <c r="P7226">
        <v>0.14838200000000001</v>
      </c>
      <c r="Q7226">
        <v>-0.13059879999999999</v>
      </c>
      <c r="R7226">
        <v>-0.98026860000000005</v>
      </c>
      <c r="S7226">
        <v>0.36425780000000002</v>
      </c>
      <c r="T7226">
        <v>-0.20735500000000001</v>
      </c>
      <c r="U7226">
        <v>-2.978485</v>
      </c>
      <c r="V7226">
        <v>-5.7930099999999901E-2</v>
      </c>
      <c r="W7226">
        <v>-0.1162936</v>
      </c>
      <c r="X7226">
        <v>0.99152399999999996</v>
      </c>
      <c r="Y7226">
        <v>-2.980594E-2</v>
      </c>
      <c r="Z7226">
        <v>5.4371129999999997E-2</v>
      </c>
      <c r="AA7226">
        <v>0.99807579999999996</v>
      </c>
      <c r="AB7226">
        <v>22</v>
      </c>
      <c r="AC7226">
        <v>1.9390999999999901</v>
      </c>
      <c r="AD7226">
        <v>-1.121096829261</v>
      </c>
      <c r="AE7226">
        <v>-15.783910000000001</v>
      </c>
      <c r="AF7226">
        <v>-0.48345984256836</v>
      </c>
      <c r="AG7226">
        <v>-1.121096829261</v>
      </c>
      <c r="AH7226">
        <v>15.816544824944</v>
      </c>
      <c r="AI7226">
        <v>94.052530412110201</v>
      </c>
      <c r="AJ7226">
        <v>91.750798716872893</v>
      </c>
      <c r="AK7226">
        <v>15.863596115617</v>
      </c>
      <c r="AL7226">
        <v>96.678243734504306</v>
      </c>
      <c r="AM7226">
        <v>93.343722687675097</v>
      </c>
      <c r="AN7226">
        <v>0.99999997023148401</v>
      </c>
    </row>
    <row r="7227" spans="1:40" x14ac:dyDescent="0.25">
      <c r="A7227" t="str">
        <f>"20190303154952391"</f>
        <v>20190303154952391</v>
      </c>
      <c r="B7227" t="str">
        <f>"1551599392377554"</f>
        <v>1551599392377554</v>
      </c>
      <c r="C7227" t="s">
        <v>40</v>
      </c>
      <c r="D7227">
        <v>5.4762040000000001</v>
      </c>
      <c r="E7227">
        <v>0.51211629999999997</v>
      </c>
      <c r="F7227" t="s">
        <v>64</v>
      </c>
      <c r="G7227">
        <v>-301.24160000000001</v>
      </c>
      <c r="H7227" s="1">
        <v>-5.3773259999999996E-6</v>
      </c>
      <c r="I7227">
        <v>-49.55659</v>
      </c>
      <c r="J7227">
        <v>-303.20949999999999</v>
      </c>
      <c r="K7227">
        <v>1.1210370000000001</v>
      </c>
      <c r="L7227">
        <v>-33.117100000000001</v>
      </c>
      <c r="M7227">
        <v>9.2456449999999996E-2</v>
      </c>
      <c r="N7227">
        <v>-1.448259E-2</v>
      </c>
      <c r="O7227">
        <v>-0.99561140000000004</v>
      </c>
      <c r="P7227">
        <v>0.15462219999999999</v>
      </c>
      <c r="Q7227">
        <v>-0.12701799999999999</v>
      </c>
      <c r="R7227">
        <v>-0.9797747</v>
      </c>
      <c r="S7227">
        <v>0.35488890000000001</v>
      </c>
      <c r="T7227">
        <v>-0.19808519999999999</v>
      </c>
      <c r="U7227">
        <v>-2.980286</v>
      </c>
      <c r="V7227">
        <v>-6.3309569999999996E-2</v>
      </c>
      <c r="W7227">
        <v>-0.1126991</v>
      </c>
      <c r="X7227">
        <v>0.9916102</v>
      </c>
      <c r="Y7227">
        <v>-2.5748170000000001E-2</v>
      </c>
      <c r="Z7227">
        <v>5.1273510000000001E-2</v>
      </c>
      <c r="AA7227">
        <v>0.99835260000000003</v>
      </c>
      <c r="AB7227">
        <v>22</v>
      </c>
      <c r="AC7227">
        <v>1.96789999999998</v>
      </c>
      <c r="AD7227">
        <v>-1.1210423773260001</v>
      </c>
      <c r="AE7227">
        <v>-16.439489999999999</v>
      </c>
      <c r="AF7227">
        <v>-0.43736777361096701</v>
      </c>
      <c r="AG7227">
        <v>-1.1210423773260001</v>
      </c>
      <c r="AH7227">
        <v>16.475493273369</v>
      </c>
      <c r="AI7227">
        <v>93.891211468050997</v>
      </c>
      <c r="AJ7227">
        <v>91.520649062849898</v>
      </c>
      <c r="AK7227">
        <v>16.519379685145001</v>
      </c>
      <c r="AL7227">
        <v>96.470930451532098</v>
      </c>
      <c r="AM7227">
        <v>93.653103344814994</v>
      </c>
      <c r="AN7227">
        <v>0.99999998876921703</v>
      </c>
    </row>
    <row r="7228" spans="1:40" x14ac:dyDescent="0.25">
      <c r="A7228" t="str">
        <f>"20190303154952421"</f>
        <v>20190303154952421</v>
      </c>
      <c r="B7228" t="str">
        <f>"1551599392417570"</f>
        <v>1551599392417570</v>
      </c>
      <c r="C7228" t="s">
        <v>40</v>
      </c>
      <c r="D7228">
        <v>5.4892390000000004</v>
      </c>
      <c r="E7228">
        <v>0.51260360000000005</v>
      </c>
      <c r="F7228" t="s">
        <v>64</v>
      </c>
      <c r="G7228">
        <v>-301.00819999999999</v>
      </c>
      <c r="H7228" s="1">
        <v>-5.9581919999999998E-6</v>
      </c>
      <c r="I7228">
        <v>-50.808399999999999</v>
      </c>
      <c r="J7228">
        <v>-303.18110000000001</v>
      </c>
      <c r="K7228">
        <v>1.1209750000000001</v>
      </c>
      <c r="L7228">
        <v>-33.416289999999996</v>
      </c>
      <c r="M7228">
        <v>9.2940839999999997E-2</v>
      </c>
      <c r="N7228">
        <v>-1.4482510000000001E-2</v>
      </c>
      <c r="O7228">
        <v>-0.99556630000000002</v>
      </c>
      <c r="P7228">
        <v>0.1581835</v>
      </c>
      <c r="Q7228">
        <v>-0.126947</v>
      </c>
      <c r="R7228">
        <v>-0.97921530000000001</v>
      </c>
      <c r="S7228">
        <v>0.37066650000000001</v>
      </c>
      <c r="T7228">
        <v>-0.1887664</v>
      </c>
      <c r="U7228">
        <v>-2.9789430000000001</v>
      </c>
      <c r="V7228">
        <v>-6.644332E-2</v>
      </c>
      <c r="W7228">
        <v>-0.11262229999999999</v>
      </c>
      <c r="X7228">
        <v>0.99141389999999996</v>
      </c>
      <c r="Y7228">
        <v>-3.054159E-2</v>
      </c>
      <c r="Z7228">
        <v>4.8198489999999997E-2</v>
      </c>
      <c r="AA7228">
        <v>0.99837070000000006</v>
      </c>
      <c r="AB7228">
        <v>22</v>
      </c>
      <c r="AC7228">
        <v>2.1729000000000198</v>
      </c>
      <c r="AD7228">
        <v>-1.1209809581919901</v>
      </c>
      <c r="AE7228">
        <v>-17.392109999999899</v>
      </c>
      <c r="AF7228">
        <v>-0.54465818831738499</v>
      </c>
      <c r="AG7228">
        <v>-1.1209809581919901</v>
      </c>
      <c r="AH7228">
        <v>17.4474202043594</v>
      </c>
      <c r="AI7228">
        <v>93.674364215073496</v>
      </c>
      <c r="AJ7228">
        <v>91.788028487198105</v>
      </c>
      <c r="AK7228">
        <v>17.491875903922299</v>
      </c>
      <c r="AL7228">
        <v>96.466501809087404</v>
      </c>
      <c r="AM7228">
        <v>93.834157974751804</v>
      </c>
      <c r="AN7228">
        <v>1.00000000917156</v>
      </c>
    </row>
    <row r="7229" spans="1:40" x14ac:dyDescent="0.25">
      <c r="A7229" t="str">
        <f>"20190303154952445"</f>
        <v>20190303154952445</v>
      </c>
      <c r="B7229" t="str">
        <f>"1551599392438065"</f>
        <v>1551599392438065</v>
      </c>
      <c r="C7229" t="s">
        <v>40</v>
      </c>
      <c r="D7229">
        <v>5.492915</v>
      </c>
      <c r="E7229">
        <v>0.51283559999999995</v>
      </c>
      <c r="F7229" t="s">
        <v>64</v>
      </c>
      <c r="G7229">
        <v>-300.96940000000001</v>
      </c>
      <c r="H7229" s="1">
        <v>-5.9788430000000004E-6</v>
      </c>
      <c r="I7229">
        <v>-50.864629999999998</v>
      </c>
      <c r="J7229">
        <v>-303.15879999999999</v>
      </c>
      <c r="K7229">
        <v>1.120914</v>
      </c>
      <c r="L7229">
        <v>-33.649990000000003</v>
      </c>
      <c r="M7229">
        <v>9.3189839999999996E-2</v>
      </c>
      <c r="N7229">
        <v>-1.448139E-2</v>
      </c>
      <c r="O7229">
        <v>-0.99554299999999996</v>
      </c>
      <c r="P7229">
        <v>0.16118399999999999</v>
      </c>
      <c r="Q7229">
        <v>-0.12698019999999999</v>
      </c>
      <c r="R7229">
        <v>-0.97872130000000002</v>
      </c>
      <c r="S7229">
        <v>0.37747190000000003</v>
      </c>
      <c r="T7229">
        <v>-0.19131770000000001</v>
      </c>
      <c r="U7229">
        <v>-2.9779049999999998</v>
      </c>
      <c r="V7229">
        <v>-6.924524E-2</v>
      </c>
      <c r="W7229">
        <v>-0.1126505</v>
      </c>
      <c r="X7229">
        <v>0.99121890000000001</v>
      </c>
      <c r="Y7229">
        <v>-3.2573699999999997E-2</v>
      </c>
      <c r="Z7229">
        <v>4.9053039999999999E-2</v>
      </c>
      <c r="AA7229">
        <v>0.99826479999999995</v>
      </c>
      <c r="AB7229">
        <v>22</v>
      </c>
      <c r="AC7229">
        <v>2.1893999999999698</v>
      </c>
      <c r="AD7229">
        <v>-1.120919978843</v>
      </c>
      <c r="AE7229">
        <v>-17.2146399999999</v>
      </c>
      <c r="AF7229">
        <v>-0.57308154555693003</v>
      </c>
      <c r="AG7229">
        <v>-1.120919978843</v>
      </c>
      <c r="AH7229">
        <v>17.271699317925499</v>
      </c>
      <c r="AI7229">
        <v>93.711207875987796</v>
      </c>
      <c r="AJ7229">
        <v>91.900398531020201</v>
      </c>
      <c r="AK7229">
        <v>17.317519492862001</v>
      </c>
      <c r="AL7229">
        <v>96.468128132580901</v>
      </c>
      <c r="AM7229">
        <v>93.996115076983102</v>
      </c>
      <c r="AN7229">
        <v>0.99999997306505795</v>
      </c>
    </row>
    <row r="7230" spans="1:40" x14ac:dyDescent="0.25">
      <c r="A7230" t="str">
        <f>"20190303154952470"</f>
        <v>20190303154952470</v>
      </c>
      <c r="B7230" t="str">
        <f>"1551599392457586"</f>
        <v>1551599392457586</v>
      </c>
      <c r="C7230" t="s">
        <v>40</v>
      </c>
      <c r="D7230">
        <v>5.4987500000000002</v>
      </c>
      <c r="E7230">
        <v>0.52143359999999905</v>
      </c>
      <c r="F7230" t="s">
        <v>64</v>
      </c>
      <c r="G7230">
        <v>-300.93200000000002</v>
      </c>
      <c r="H7230" s="1">
        <v>-5.9854710000000004E-6</v>
      </c>
      <c r="I7230">
        <v>-50.886229999999998</v>
      </c>
      <c r="J7230">
        <v>-303.13630000000001</v>
      </c>
      <c r="K7230">
        <v>1.120857</v>
      </c>
      <c r="L7230">
        <v>-33.888210000000001</v>
      </c>
      <c r="M7230">
        <v>9.3341049999999995E-2</v>
      </c>
      <c r="N7230">
        <v>-1.447966E-2</v>
      </c>
      <c r="O7230">
        <v>-0.995529</v>
      </c>
      <c r="P7230">
        <v>0.16603080000000001</v>
      </c>
      <c r="Q7230">
        <v>-0.12590199999999999</v>
      </c>
      <c r="R7230">
        <v>-0.97805059999999999</v>
      </c>
      <c r="S7230">
        <v>0.38458249999999999</v>
      </c>
      <c r="T7230">
        <v>-0.19358810000000001</v>
      </c>
      <c r="U7230">
        <v>-2.9767760000000001</v>
      </c>
      <c r="V7230">
        <v>-7.4000369999999996E-2</v>
      </c>
      <c r="W7230">
        <v>-0.11156679999999999</v>
      </c>
      <c r="X7230">
        <v>0.99099789999999999</v>
      </c>
      <c r="Y7230">
        <v>-3.4808859999999997E-2</v>
      </c>
      <c r="Z7230">
        <v>4.981737E-2</v>
      </c>
      <c r="AA7230">
        <v>0.99815160000000003</v>
      </c>
      <c r="AB7230">
        <v>22</v>
      </c>
      <c r="AC7230">
        <v>2.2042999999999799</v>
      </c>
      <c r="AD7230">
        <v>-1.1208629854709999</v>
      </c>
      <c r="AE7230">
        <v>-16.998019999999901</v>
      </c>
      <c r="AF7230">
        <v>-0.60530674948756802</v>
      </c>
      <c r="AG7230">
        <v>-1.1208629854709999</v>
      </c>
      <c r="AH7230">
        <v>17.056628751469599</v>
      </c>
      <c r="AI7230">
        <v>93.7573829742188</v>
      </c>
      <c r="AJ7230">
        <v>92.032463402849402</v>
      </c>
      <c r="AK7230">
        <v>17.1041315026117</v>
      </c>
      <c r="AL7230">
        <v>96.405642468024894</v>
      </c>
      <c r="AM7230">
        <v>94.270498025201903</v>
      </c>
      <c r="AN7230">
        <v>1.00000002171339</v>
      </c>
    </row>
    <row r="7231" spans="1:40" x14ac:dyDescent="0.25">
      <c r="A7231" t="str">
        <f>"20190303154952493"</f>
        <v>20190303154952493</v>
      </c>
      <c r="B7231" t="str">
        <f>"1551599392487843"</f>
        <v>1551599392487843</v>
      </c>
      <c r="C7231" t="s">
        <v>40</v>
      </c>
      <c r="D7231">
        <v>5.567615</v>
      </c>
      <c r="E7231">
        <v>0.52167609999999998</v>
      </c>
      <c r="F7231" t="s">
        <v>64</v>
      </c>
      <c r="G7231">
        <v>-301.47969999999998</v>
      </c>
      <c r="H7231" s="1">
        <v>-4.9989980000000003E-6</v>
      </c>
      <c r="I7231">
        <v>-48.786969999999997</v>
      </c>
      <c r="J7231">
        <v>-303.11520000000002</v>
      </c>
      <c r="K7231">
        <v>1.120798</v>
      </c>
      <c r="L7231">
        <v>-34.111719999999998</v>
      </c>
      <c r="M7231">
        <v>9.339103E-2</v>
      </c>
      <c r="N7231">
        <v>-1.447756E-2</v>
      </c>
      <c r="O7231">
        <v>-0.99552430000000003</v>
      </c>
      <c r="P7231">
        <v>0.17076939999999999</v>
      </c>
      <c r="Q7231">
        <v>-0.1245627</v>
      </c>
      <c r="R7231">
        <v>-0.97740579999999999</v>
      </c>
      <c r="S7231">
        <v>0.33157350000000002</v>
      </c>
      <c r="T7231">
        <v>-0.22435260000000001</v>
      </c>
      <c r="U7231">
        <v>-2.9821469999999999</v>
      </c>
      <c r="V7231">
        <v>-7.8744399999999895E-2</v>
      </c>
      <c r="W7231">
        <v>-0.11022179999999999</v>
      </c>
      <c r="X7231">
        <v>0.99078270000000002</v>
      </c>
      <c r="Y7231">
        <v>-1.6982819999999999E-2</v>
      </c>
      <c r="Z7231">
        <v>5.9926510000000002E-2</v>
      </c>
      <c r="AA7231">
        <v>0.99805829999999995</v>
      </c>
      <c r="AB7231">
        <v>22</v>
      </c>
      <c r="AC7231">
        <v>1.6355000000000299</v>
      </c>
      <c r="AD7231">
        <v>-1.120802998998</v>
      </c>
      <c r="AE7231">
        <v>-14.67525</v>
      </c>
      <c r="AF7231">
        <v>-0.25619423683710202</v>
      </c>
      <c r="AG7231">
        <v>-1.120802998998</v>
      </c>
      <c r="AH7231">
        <v>14.6792825212527</v>
      </c>
      <c r="AI7231">
        <v>94.365554296516507</v>
      </c>
      <c r="AJ7231">
        <v>90.999868921924303</v>
      </c>
      <c r="AK7231">
        <v>14.724237507874699</v>
      </c>
      <c r="AL7231">
        <v>96.328101888150798</v>
      </c>
      <c r="AM7231">
        <v>94.544142786817801</v>
      </c>
      <c r="AN7231">
        <v>0.99999994217294297</v>
      </c>
    </row>
    <row r="7232" spans="1:40" x14ac:dyDescent="0.25">
      <c r="A7232" t="str">
        <f>"20190303154952525"</f>
        <v>20190303154952525</v>
      </c>
      <c r="B7232" t="str">
        <f>"1551599392518099"</f>
        <v>1551599392518099</v>
      </c>
      <c r="C7232" t="s">
        <v>40</v>
      </c>
      <c r="D7232">
        <v>5.540184</v>
      </c>
      <c r="E7232">
        <v>0.52193670000000003</v>
      </c>
      <c r="F7232" t="s">
        <v>64</v>
      </c>
      <c r="G7232">
        <v>-301.46839999999997</v>
      </c>
      <c r="H7232" s="1">
        <v>-4.7848770000000001E-6</v>
      </c>
      <c r="I7232">
        <v>-48.368029999999997</v>
      </c>
      <c r="J7232">
        <v>-303.08670000000001</v>
      </c>
      <c r="K7232">
        <v>1.1207290000000001</v>
      </c>
      <c r="L7232">
        <v>-34.415799999999997</v>
      </c>
      <c r="M7232">
        <v>9.3291189999999996E-2</v>
      </c>
      <c r="N7232">
        <v>-1.44741E-2</v>
      </c>
      <c r="O7232">
        <v>-0.99553380000000002</v>
      </c>
      <c r="P7232">
        <v>0.17770920000000001</v>
      </c>
      <c r="Q7232">
        <v>-0.12542990000000001</v>
      </c>
      <c r="R7232">
        <v>-0.9760567</v>
      </c>
      <c r="S7232">
        <v>0.34414670000000003</v>
      </c>
      <c r="T7232">
        <v>-0.2342323</v>
      </c>
      <c r="U7232">
        <v>-2.9793699999999999</v>
      </c>
      <c r="V7232">
        <v>-8.5900920000000006E-2</v>
      </c>
      <c r="W7232">
        <v>-0.11108469999999999</v>
      </c>
      <c r="X7232">
        <v>0.99009150000000001</v>
      </c>
      <c r="Y7232">
        <v>-2.1316649999999999E-2</v>
      </c>
      <c r="Z7232">
        <v>6.3239409999999996E-2</v>
      </c>
      <c r="AA7232">
        <v>0.99777070000000001</v>
      </c>
      <c r="AB7232">
        <v>22</v>
      </c>
      <c r="AC7232">
        <v>1.61830000000003</v>
      </c>
      <c r="AD7232">
        <v>-1.120733784877</v>
      </c>
      <c r="AE7232">
        <v>-13.952229999999901</v>
      </c>
      <c r="AF7232">
        <v>-0.30752665574167798</v>
      </c>
      <c r="AG7232">
        <v>-1.120733784877</v>
      </c>
      <c r="AH7232">
        <v>13.9535208561849</v>
      </c>
      <c r="AI7232">
        <v>94.590975677415699</v>
      </c>
      <c r="AJ7232">
        <v>91.262557859336795</v>
      </c>
      <c r="AK7232">
        <v>14.001834206436801</v>
      </c>
      <c r="AL7232">
        <v>96.377847674778295</v>
      </c>
      <c r="AM7232">
        <v>94.958598571502193</v>
      </c>
      <c r="AN7232">
        <v>0.99999997850159295</v>
      </c>
    </row>
    <row r="7233" spans="1:40" x14ac:dyDescent="0.25">
      <c r="A7233" t="str">
        <f>"20190303154952563"</f>
        <v>20190303154952563</v>
      </c>
      <c r="B7233" t="str">
        <f>"1551599392558114"</f>
        <v>1551599392558114</v>
      </c>
      <c r="C7233" t="s">
        <v>40</v>
      </c>
      <c r="D7233">
        <v>5.598198</v>
      </c>
      <c r="E7233">
        <v>0.48150480000000001</v>
      </c>
      <c r="F7233" t="s">
        <v>64</v>
      </c>
      <c r="G7233">
        <v>-301.40300000000002</v>
      </c>
      <c r="H7233" s="1">
        <v>-4.7048329999999997E-6</v>
      </c>
      <c r="I7233">
        <v>-48.218389999999999</v>
      </c>
      <c r="J7233">
        <v>-303.05279999999999</v>
      </c>
      <c r="K7233">
        <v>1.1206400000000001</v>
      </c>
      <c r="L7233">
        <v>-34.780760000000001</v>
      </c>
      <c r="M7233">
        <v>9.2904810000000004E-2</v>
      </c>
      <c r="N7233">
        <v>-1.4469360000000001E-2</v>
      </c>
      <c r="O7233">
        <v>-0.99556990000000001</v>
      </c>
      <c r="P7233">
        <v>0.18049509999999999</v>
      </c>
      <c r="Q7233">
        <v>-0.1243958</v>
      </c>
      <c r="R7233">
        <v>-0.97567800000000005</v>
      </c>
      <c r="S7233">
        <v>0.36306759999999999</v>
      </c>
      <c r="T7233">
        <v>-0.24167910000000001</v>
      </c>
      <c r="U7233">
        <v>-2.9764400000000002</v>
      </c>
      <c r="V7233">
        <v>-8.9120350000000001E-2</v>
      </c>
      <c r="W7233">
        <v>-0.1100347</v>
      </c>
      <c r="X7233">
        <v>0.98992420000000003</v>
      </c>
      <c r="Y7233">
        <v>-2.8045799999999999E-2</v>
      </c>
      <c r="Z7233">
        <v>6.5747819999999998E-2</v>
      </c>
      <c r="AA7233">
        <v>0.9974421</v>
      </c>
      <c r="AB7233">
        <v>22</v>
      </c>
      <c r="AC7233">
        <v>1.64979999999997</v>
      </c>
      <c r="AD7233">
        <v>-1.1206447048329999</v>
      </c>
      <c r="AE7233">
        <v>-13.43763</v>
      </c>
      <c r="AF7233">
        <v>-0.39143007078512099</v>
      </c>
      <c r="AG7233">
        <v>-1.1206447048329999</v>
      </c>
      <c r="AH7233">
        <v>13.4406998821787</v>
      </c>
      <c r="AI7233">
        <v>94.764113529665806</v>
      </c>
      <c r="AJ7233">
        <v>91.668138861840902</v>
      </c>
      <c r="AK7233">
        <v>13.493015799945701</v>
      </c>
      <c r="AL7233">
        <v>96.317315895304006</v>
      </c>
      <c r="AM7233">
        <v>95.1443246046517</v>
      </c>
      <c r="AN7233">
        <v>0.99999999686692598</v>
      </c>
    </row>
    <row r="7234" spans="1:40" x14ac:dyDescent="0.25">
      <c r="A7234" t="str">
        <f>"20190303154952592"</f>
        <v>20190303154952592</v>
      </c>
      <c r="B7234" t="str">
        <f>"1551599392588370"</f>
        <v>1551599392588370</v>
      </c>
      <c r="C7234" t="s">
        <v>40</v>
      </c>
      <c r="D7234">
        <v>5.4660250000000001</v>
      </c>
      <c r="E7234">
        <v>0.3834552</v>
      </c>
      <c r="F7234" t="s">
        <v>64</v>
      </c>
      <c r="G7234">
        <v>-300.54300000000001</v>
      </c>
      <c r="H7234" s="1">
        <v>-3.262119E-6</v>
      </c>
      <c r="I7234">
        <v>-45.395380000000003</v>
      </c>
      <c r="J7234">
        <v>-303.02780000000001</v>
      </c>
      <c r="K7234">
        <v>1.120574</v>
      </c>
      <c r="L7234">
        <v>-35.053890000000003</v>
      </c>
      <c r="M7234">
        <v>9.2448649999999993E-2</v>
      </c>
      <c r="N7234">
        <v>-1.4465479999999999E-2</v>
      </c>
      <c r="O7234">
        <v>-0.99561239999999995</v>
      </c>
      <c r="P7234">
        <v>0.18365590000000001</v>
      </c>
      <c r="Q7234">
        <v>-0.12280729999999999</v>
      </c>
      <c r="R7234">
        <v>-0.97528910000000002</v>
      </c>
      <c r="S7234">
        <v>0.68768309999999999</v>
      </c>
      <c r="T7234">
        <v>-0.30705739999999998</v>
      </c>
      <c r="U7234">
        <v>-2.908417</v>
      </c>
      <c r="V7234">
        <v>-9.2772690000000005E-2</v>
      </c>
      <c r="W7234">
        <v>-0.10843559999999999</v>
      </c>
      <c r="X7234">
        <v>0.98976509999999995</v>
      </c>
      <c r="Y7234">
        <v>-0.138124</v>
      </c>
      <c r="Z7234">
        <v>8.8180040000000001E-2</v>
      </c>
      <c r="AA7234">
        <v>0.98648170000000002</v>
      </c>
      <c r="AB7234">
        <v>21</v>
      </c>
      <c r="AC7234">
        <v>2.4847999999999999</v>
      </c>
      <c r="AD7234">
        <v>-1.120577262119</v>
      </c>
      <c r="AE7234">
        <v>-10.341489999999901</v>
      </c>
      <c r="AF7234">
        <v>-1.5013341612697999</v>
      </c>
      <c r="AG7234">
        <v>-1.120577262119</v>
      </c>
      <c r="AH7234">
        <v>10.4113621278371</v>
      </c>
      <c r="AI7234">
        <v>96.080691990993799</v>
      </c>
      <c r="AJ7234">
        <v>98.205574252697502</v>
      </c>
      <c r="AK7234">
        <v>10.5785707456695</v>
      </c>
      <c r="AL7234">
        <v>96.2251425993488</v>
      </c>
      <c r="AM7234">
        <v>95.354804288998807</v>
      </c>
      <c r="AN7234">
        <v>1.0000000022676001</v>
      </c>
    </row>
    <row r="7235" spans="1:40" x14ac:dyDescent="0.25">
      <c r="A7235" t="str">
        <f>"20190303154952617"</f>
        <v>20190303154952617</v>
      </c>
      <c r="B7235" t="str">
        <f>"1551599392607890"</f>
        <v>1551599392607890</v>
      </c>
      <c r="C7235" t="s">
        <v>40</v>
      </c>
      <c r="D7235">
        <v>5.4687739999999998</v>
      </c>
      <c r="E7235">
        <v>0.3757952</v>
      </c>
      <c r="F7235" t="s">
        <v>64</v>
      </c>
      <c r="G7235">
        <v>-298.45870000000002</v>
      </c>
      <c r="H7235" s="1">
        <v>-2.4721340000000001E-6</v>
      </c>
      <c r="I7235">
        <v>-43.647919999999999</v>
      </c>
      <c r="J7235">
        <v>-303.00529999999998</v>
      </c>
      <c r="K7235">
        <v>1.1205480000000001</v>
      </c>
      <c r="L7235">
        <v>-35.301639999999999</v>
      </c>
      <c r="M7235">
        <v>9.1934699999999994E-2</v>
      </c>
      <c r="N7235">
        <v>-1.446159E-2</v>
      </c>
      <c r="O7235">
        <v>-0.99565999999999999</v>
      </c>
      <c r="P7235">
        <v>0.19292570000000001</v>
      </c>
      <c r="Q7235">
        <v>-0.1176739</v>
      </c>
      <c r="R7235">
        <v>-0.974132</v>
      </c>
      <c r="S7235">
        <v>1.464691</v>
      </c>
      <c r="T7235">
        <v>-0.35922130000000002</v>
      </c>
      <c r="U7235">
        <v>-2.7549739999999998</v>
      </c>
      <c r="V7235">
        <v>-0.102628</v>
      </c>
      <c r="W7235">
        <v>-0.1032925</v>
      </c>
      <c r="X7235">
        <v>0.98934230000000001</v>
      </c>
      <c r="Y7235">
        <v>-0.38348680000000002</v>
      </c>
      <c r="Z7235">
        <v>0.10194739999999999</v>
      </c>
      <c r="AA7235">
        <v>0.91790229999999995</v>
      </c>
      <c r="AB7235">
        <v>21</v>
      </c>
      <c r="AC7235">
        <v>4.54659999999995</v>
      </c>
      <c r="AD7235">
        <v>-1.1205504721339901</v>
      </c>
      <c r="AE7235">
        <v>-8.3462800000000001</v>
      </c>
      <c r="AF7235">
        <v>-3.7084007188829999</v>
      </c>
      <c r="AG7235">
        <v>-1.1205504721339901</v>
      </c>
      <c r="AH7235">
        <v>8.6092894970753608</v>
      </c>
      <c r="AI7235">
        <v>96.816676032385203</v>
      </c>
      <c r="AJ7235">
        <v>113.303676362397</v>
      </c>
      <c r="AK7235">
        <v>9.4407486406991996</v>
      </c>
      <c r="AL7235">
        <v>95.928798981505494</v>
      </c>
      <c r="AM7235">
        <v>95.922313213974505</v>
      </c>
      <c r="AN7235">
        <v>1.00000001675476</v>
      </c>
    </row>
    <row r="7236" spans="1:40" x14ac:dyDescent="0.25">
      <c r="A7236" t="str">
        <f>"20190303154952659"</f>
        <v>20190303154952659</v>
      </c>
      <c r="B7236" t="str">
        <f>"1551599392647906"</f>
        <v>1551599392647906</v>
      </c>
      <c r="C7236" t="s">
        <v>40</v>
      </c>
      <c r="D7236">
        <v>4.7071719999999999</v>
      </c>
      <c r="E7236">
        <v>0.34526180000000001</v>
      </c>
      <c r="F7236" t="s">
        <v>64</v>
      </c>
      <c r="G7236">
        <v>-298.02870000000001</v>
      </c>
      <c r="H7236" s="1">
        <v>-2.852016E-6</v>
      </c>
      <c r="I7236">
        <v>-44.065559999999998</v>
      </c>
      <c r="J7236">
        <v>-302.97019999999998</v>
      </c>
      <c r="K7236">
        <v>1.120557</v>
      </c>
      <c r="L7236">
        <v>-35.694209999999998</v>
      </c>
      <c r="M7236">
        <v>9.0898789999999993E-2</v>
      </c>
      <c r="N7236">
        <v>-1.4454969999999999E-2</v>
      </c>
      <c r="O7236">
        <v>-0.99575530000000001</v>
      </c>
      <c r="P7236">
        <v>0.20529549999999999</v>
      </c>
      <c r="Q7236">
        <v>-0.1065871</v>
      </c>
      <c r="R7236">
        <v>-0.97287889999999999</v>
      </c>
      <c r="S7236">
        <v>1.550476</v>
      </c>
      <c r="T7236">
        <v>-0.3491088</v>
      </c>
      <c r="U7236">
        <v>-2.7304080000000002</v>
      </c>
      <c r="V7236">
        <v>-0.11609510000000001</v>
      </c>
      <c r="W7236">
        <v>-9.2185359999999994E-2</v>
      </c>
      <c r="X7236">
        <v>0.98895080000000002</v>
      </c>
      <c r="Y7236">
        <v>-0.40997699999999998</v>
      </c>
      <c r="Z7236">
        <v>9.8175860000000004E-2</v>
      </c>
      <c r="AA7236">
        <v>0.90679679999999996</v>
      </c>
      <c r="AB7236">
        <v>21</v>
      </c>
      <c r="AC7236">
        <v>4.9414999999999596</v>
      </c>
      <c r="AD7236">
        <v>-1.1205598520160001</v>
      </c>
      <c r="AE7236">
        <v>-8.3713499999999996</v>
      </c>
      <c r="AF7236">
        <v>-4.1054616454127704</v>
      </c>
      <c r="AG7236">
        <v>-1.1205598520160001</v>
      </c>
      <c r="AH7236">
        <v>8.6706966695075192</v>
      </c>
      <c r="AI7236">
        <v>96.662172011967996</v>
      </c>
      <c r="AJ7236">
        <v>115.336943853848</v>
      </c>
      <c r="AK7236">
        <v>9.6587499418151506</v>
      </c>
      <c r="AL7236">
        <v>95.289342044854195</v>
      </c>
      <c r="AM7236">
        <v>96.695432819002406</v>
      </c>
      <c r="AN7236">
        <v>0.99999994883148802</v>
      </c>
    </row>
    <row r="7237" spans="1:40" x14ac:dyDescent="0.25">
      <c r="A7237" t="str">
        <f>"20190303154952692"</f>
        <v>20190303154952692</v>
      </c>
      <c r="B7237" t="str">
        <f>"1551599392687922"</f>
        <v>1551599392687922</v>
      </c>
      <c r="C7237" t="s">
        <v>40</v>
      </c>
      <c r="D7237">
        <v>5.3988100000000001</v>
      </c>
      <c r="E7237">
        <v>0.34299849999999998</v>
      </c>
      <c r="F7237" t="s">
        <v>42</v>
      </c>
      <c r="G7237">
        <v>-302.47980000000001</v>
      </c>
      <c r="H7237">
        <v>1.0337019999999999</v>
      </c>
      <c r="I7237">
        <v>-36.410539999999997</v>
      </c>
      <c r="J7237">
        <v>-302.94260000000003</v>
      </c>
      <c r="K7237">
        <v>1.1205480000000001</v>
      </c>
      <c r="L7237">
        <v>-36.009279999999997</v>
      </c>
      <c r="M7237">
        <v>8.9929099999999998E-2</v>
      </c>
      <c r="N7237">
        <v>-1.4449500000000001E-2</v>
      </c>
      <c r="O7237">
        <v>-0.99584349999999999</v>
      </c>
      <c r="P7237">
        <v>0.21360599999999999</v>
      </c>
      <c r="Q7237">
        <v>-0.1011865</v>
      </c>
      <c r="R7237">
        <v>-0.97166580000000002</v>
      </c>
      <c r="S7237">
        <v>1.8234250000000001</v>
      </c>
      <c r="T7237">
        <v>-0.3229358</v>
      </c>
      <c r="U7237">
        <v>-2.6634829999999998</v>
      </c>
      <c r="V7237">
        <v>-0.1254461</v>
      </c>
      <c r="W7237">
        <v>-8.6776519999999996E-2</v>
      </c>
      <c r="X7237">
        <v>0.98829809999999996</v>
      </c>
      <c r="Y7237">
        <v>-0.48588559999999997</v>
      </c>
      <c r="Z7237">
        <v>8.7487880000000004E-2</v>
      </c>
      <c r="AA7237">
        <v>0.86963269999999904</v>
      </c>
      <c r="AB7237">
        <v>21</v>
      </c>
      <c r="AC7237">
        <v>0.46280000000001498</v>
      </c>
      <c r="AD7237">
        <v>-8.6845999999999701E-2</v>
      </c>
      <c r="AE7237">
        <v>-0.401260000000007</v>
      </c>
      <c r="AF7237">
        <v>-0.41646385277828601</v>
      </c>
      <c r="AG7237">
        <v>-8.6845999999999701E-2</v>
      </c>
      <c r="AH7237">
        <v>0.43256188729225198</v>
      </c>
      <c r="AI7237">
        <v>98.229763855557394</v>
      </c>
      <c r="AJ7237">
        <v>133.913767996763</v>
      </c>
      <c r="AK7237">
        <v>0.60670763529460303</v>
      </c>
      <c r="AL7237">
        <v>94.978189445692905</v>
      </c>
      <c r="AM7237">
        <v>97.233951113196795</v>
      </c>
      <c r="AN7237">
        <v>1.0000000114460601</v>
      </c>
    </row>
    <row r="7238" spans="1:40" x14ac:dyDescent="0.25">
      <c r="A7238" t="str">
        <f>"20190303154952720"</f>
        <v>20190303154952720</v>
      </c>
      <c r="B7238" t="str">
        <f>"1551599392707442"</f>
        <v>1551599392707442</v>
      </c>
      <c r="C7238" t="s">
        <v>40</v>
      </c>
      <c r="D7238">
        <v>5.4212680000000004</v>
      </c>
      <c r="E7238">
        <v>0.34406829999999999</v>
      </c>
      <c r="F7238" t="s">
        <v>42</v>
      </c>
      <c r="G7238">
        <v>-302.41070000000002</v>
      </c>
      <c r="H7238">
        <v>1.0315589999999999</v>
      </c>
      <c r="I7238">
        <v>-36.764099999999999</v>
      </c>
      <c r="J7238">
        <v>-302.92059999999998</v>
      </c>
      <c r="K7238">
        <v>1.1205639999999999</v>
      </c>
      <c r="L7238">
        <v>-36.263579999999997</v>
      </c>
      <c r="M7238">
        <v>8.9101050000000001E-2</v>
      </c>
      <c r="N7238">
        <v>-1.444467E-2</v>
      </c>
      <c r="O7238">
        <v>-0.99591799999999997</v>
      </c>
      <c r="P7238">
        <v>0.2219874</v>
      </c>
      <c r="Q7238">
        <v>-9.6956819999999999E-2</v>
      </c>
      <c r="R7238">
        <v>-0.97021710000000005</v>
      </c>
      <c r="S7238">
        <v>1.864136</v>
      </c>
      <c r="T7238">
        <v>-0.31185940000000001</v>
      </c>
      <c r="U7238">
        <v>-2.645203</v>
      </c>
      <c r="V7238">
        <v>-0.13474269999999999</v>
      </c>
      <c r="W7238">
        <v>-8.2547869999999995E-2</v>
      </c>
      <c r="X7238">
        <v>0.98743619999999999</v>
      </c>
      <c r="Y7238">
        <v>-0.49854510000000002</v>
      </c>
      <c r="Z7238">
        <v>8.3852019999999999E-2</v>
      </c>
      <c r="AA7238">
        <v>0.86279879999999998</v>
      </c>
      <c r="AB7238">
        <v>21</v>
      </c>
      <c r="AC7238">
        <v>0.50989999999995905</v>
      </c>
      <c r="AD7238">
        <v>-8.9004999999999695E-2</v>
      </c>
      <c r="AE7238">
        <v>-0.50052000000000096</v>
      </c>
      <c r="AF7238">
        <v>-0.45619111556081499</v>
      </c>
      <c r="AG7238">
        <v>-8.9004999999999695E-2</v>
      </c>
      <c r="AH7238">
        <v>0.53565423728207795</v>
      </c>
      <c r="AI7238">
        <v>97.209713738205906</v>
      </c>
      <c r="AJ7238">
        <v>130.41944953372601</v>
      </c>
      <c r="AK7238">
        <v>0.70919509717698004</v>
      </c>
      <c r="AL7238">
        <v>94.735032526823503</v>
      </c>
      <c r="AM7238">
        <v>97.770424387530198</v>
      </c>
      <c r="AN7238">
        <v>0.99999999755763302</v>
      </c>
    </row>
    <row r="7239" spans="1:40" x14ac:dyDescent="0.25">
      <c r="A7239" t="str">
        <f>"20190303154952747"</f>
        <v>20190303154952747</v>
      </c>
      <c r="B7239" t="str">
        <f>"1551599392737698"</f>
        <v>1551599392737698</v>
      </c>
      <c r="C7239" t="s">
        <v>40</v>
      </c>
      <c r="D7239">
        <v>5.4658829999999998</v>
      </c>
      <c r="E7239">
        <v>0.3454834</v>
      </c>
      <c r="F7239" t="s">
        <v>42</v>
      </c>
      <c r="G7239">
        <v>-302.42250000000001</v>
      </c>
      <c r="H7239">
        <v>1.0405740000000001</v>
      </c>
      <c r="I7239">
        <v>-36.961669999999998</v>
      </c>
      <c r="J7239">
        <v>-302.89850000000001</v>
      </c>
      <c r="K7239">
        <v>1.120592</v>
      </c>
      <c r="L7239">
        <v>-36.521610000000003</v>
      </c>
      <c r="M7239">
        <v>8.8234069999999998E-2</v>
      </c>
      <c r="N7239">
        <v>-1.443944E-2</v>
      </c>
      <c r="O7239">
        <v>-0.99599530000000003</v>
      </c>
      <c r="P7239">
        <v>0.22967589999999999</v>
      </c>
      <c r="Q7239">
        <v>-9.2762869999999997E-2</v>
      </c>
      <c r="R7239">
        <v>-0.96883649999999999</v>
      </c>
      <c r="S7239">
        <v>1.8784479999999999</v>
      </c>
      <c r="T7239">
        <v>-0.3016199</v>
      </c>
      <c r="U7239">
        <v>-2.6321720000000002</v>
      </c>
      <c r="V7239">
        <v>-0.14337620000000001</v>
      </c>
      <c r="W7239">
        <v>-7.8362559999999998E-2</v>
      </c>
      <c r="X7239">
        <v>0.98656100000000002</v>
      </c>
      <c r="Y7239">
        <v>-0.50456520000000005</v>
      </c>
      <c r="Z7239">
        <v>8.0753279999999997E-2</v>
      </c>
      <c r="AA7239">
        <v>0.85958880000000004</v>
      </c>
      <c r="AB7239">
        <v>21</v>
      </c>
      <c r="AC7239">
        <v>0.47599999999999898</v>
      </c>
      <c r="AD7239">
        <v>-8.0018000000000103E-2</v>
      </c>
      <c r="AE7239">
        <v>-0.44006000000000201</v>
      </c>
      <c r="AF7239">
        <v>-0.42877764086369302</v>
      </c>
      <c r="AG7239">
        <v>-8.0018000000000103E-2</v>
      </c>
      <c r="AH7239">
        <v>0.47313805426094402</v>
      </c>
      <c r="AI7239">
        <v>97.142932887261694</v>
      </c>
      <c r="AJ7239">
        <v>132.184195918406</v>
      </c>
      <c r="AK7239">
        <v>0.64351593921088401</v>
      </c>
      <c r="AL7239">
        <v>94.494451755489195</v>
      </c>
      <c r="AM7239">
        <v>98.268864232593003</v>
      </c>
      <c r="AN7239">
        <v>1.00000001612859</v>
      </c>
    </row>
    <row r="7240" spans="1:40" x14ac:dyDescent="0.25">
      <c r="A7240" t="str">
        <f>"20190303154952775"</f>
        <v>20190303154952775</v>
      </c>
      <c r="B7240" t="str">
        <f>"1551599392767954"</f>
        <v>1551599392767954</v>
      </c>
      <c r="C7240" t="s">
        <v>40</v>
      </c>
      <c r="D7240">
        <v>5.3972389999999999</v>
      </c>
      <c r="E7240">
        <v>0.34723340000000003</v>
      </c>
      <c r="F7240" t="s">
        <v>42</v>
      </c>
      <c r="G7240">
        <v>-302.32479999999998</v>
      </c>
      <c r="H7240">
        <v>1.03234</v>
      </c>
      <c r="I7240">
        <v>-37.317860000000003</v>
      </c>
      <c r="J7240">
        <v>-302.87569999999999</v>
      </c>
      <c r="K7240">
        <v>1.1206309999999999</v>
      </c>
      <c r="L7240">
        <v>-36.79083</v>
      </c>
      <c r="M7240">
        <v>8.7323139999999994E-2</v>
      </c>
      <c r="N7240">
        <v>-1.443375E-2</v>
      </c>
      <c r="O7240">
        <v>-0.9960755</v>
      </c>
      <c r="P7240">
        <v>0.24088850000000001</v>
      </c>
      <c r="Q7240">
        <v>-8.7555399999999894E-2</v>
      </c>
      <c r="R7240">
        <v>-0.96659539999999999</v>
      </c>
      <c r="S7240">
        <v>1.888611</v>
      </c>
      <c r="T7240">
        <v>-0.29050110000000001</v>
      </c>
      <c r="U7240">
        <v>-2.6209720000000001</v>
      </c>
      <c r="V7240">
        <v>-0.15563360000000001</v>
      </c>
      <c r="W7240">
        <v>-7.3173119999999994E-2</v>
      </c>
      <c r="X7240">
        <v>0.98510089999999995</v>
      </c>
      <c r="Y7240">
        <v>-0.50944100000000003</v>
      </c>
      <c r="Z7240">
        <v>7.7387449999999997E-2</v>
      </c>
      <c r="AA7240">
        <v>0.85701870000000002</v>
      </c>
      <c r="AB7240">
        <v>21</v>
      </c>
      <c r="AC7240">
        <v>0.55090000000001205</v>
      </c>
      <c r="AD7240">
        <v>-8.8290999999999897E-2</v>
      </c>
      <c r="AE7240">
        <v>-0.527029999999996</v>
      </c>
      <c r="AF7240">
        <v>-0.49611492159027998</v>
      </c>
      <c r="AG7240">
        <v>-8.8290999999999897E-2</v>
      </c>
      <c r="AH7240">
        <v>0.56554304188502502</v>
      </c>
      <c r="AI7240">
        <v>96.693614047940102</v>
      </c>
      <c r="AJ7240">
        <v>131.258416369743</v>
      </c>
      <c r="AK7240">
        <v>0.75747227561812203</v>
      </c>
      <c r="AL7240">
        <v>94.196261521199602</v>
      </c>
      <c r="AM7240">
        <v>98.977810582172694</v>
      </c>
      <c r="AN7240">
        <v>0.99999995306015099</v>
      </c>
    </row>
    <row r="7241" spans="1:40" x14ac:dyDescent="0.25">
      <c r="A7241" t="str">
        <f>"20190303154952810"</f>
        <v>20190303154952810</v>
      </c>
      <c r="B7241" t="str">
        <f>"1551599392798210"</f>
        <v>1551599392798210</v>
      </c>
      <c r="C7241" t="s">
        <v>40</v>
      </c>
      <c r="D7241">
        <v>5.428941</v>
      </c>
      <c r="E7241">
        <v>0.34870630000000002</v>
      </c>
      <c r="F7241" t="s">
        <v>42</v>
      </c>
      <c r="G7241">
        <v>-302.34469999999999</v>
      </c>
      <c r="H7241">
        <v>1.046176</v>
      </c>
      <c r="I7241">
        <v>-37.516730000000003</v>
      </c>
      <c r="J7241">
        <v>-302.84910000000002</v>
      </c>
      <c r="K7241">
        <v>1.1206640000000001</v>
      </c>
      <c r="L7241">
        <v>-37.109529999999999</v>
      </c>
      <c r="M7241">
        <v>8.6264270000000004E-2</v>
      </c>
      <c r="N7241">
        <v>-1.442677E-2</v>
      </c>
      <c r="O7241">
        <v>-0.99616800000000005</v>
      </c>
      <c r="P7241">
        <v>0.2452116</v>
      </c>
      <c r="Q7241">
        <v>-8.6870630000000004E-2</v>
      </c>
      <c r="R7241">
        <v>-0.96556989999999998</v>
      </c>
      <c r="S7241">
        <v>1.905151</v>
      </c>
      <c r="T7241">
        <v>-0.267157599999999</v>
      </c>
      <c r="U7241">
        <v>-2.6046749999999999</v>
      </c>
      <c r="V7241">
        <v>-0.16107099999999999</v>
      </c>
      <c r="W7241">
        <v>-7.2509680000000007E-2</v>
      </c>
      <c r="X7241">
        <v>0.98427560000000003</v>
      </c>
      <c r="Y7241">
        <v>-0.51676230000000001</v>
      </c>
      <c r="Z7241">
        <v>7.0201319999999998E-2</v>
      </c>
      <c r="AA7241">
        <v>0.8532459</v>
      </c>
      <c r="AB7241">
        <v>21</v>
      </c>
      <c r="AC7241">
        <v>0.50440000000003204</v>
      </c>
      <c r="AD7241">
        <v>-7.4487999999999804E-2</v>
      </c>
      <c r="AE7241">
        <v>-0.40719999999999601</v>
      </c>
      <c r="AF7241">
        <v>-0.46129820624943801</v>
      </c>
      <c r="AG7241">
        <v>-7.4487999999999804E-2</v>
      </c>
      <c r="AH7241">
        <v>0.44334434632932901</v>
      </c>
      <c r="AI7241">
        <v>96.640651070411494</v>
      </c>
      <c r="AJ7241">
        <v>136.13696329030799</v>
      </c>
      <c r="AK7241">
        <v>0.64412631265546705</v>
      </c>
      <c r="AL7241">
        <v>94.158147810816203</v>
      </c>
      <c r="AM7241">
        <v>99.293746269215006</v>
      </c>
      <c r="AN7241">
        <v>0.99999998874503104</v>
      </c>
    </row>
    <row r="7242" spans="1:40" x14ac:dyDescent="0.25">
      <c r="A7242" t="str">
        <f>"20190303154952838"</f>
        <v>20190303154952838</v>
      </c>
      <c r="B7242" t="str">
        <f>"1551599392827490"</f>
        <v>1551599392827490</v>
      </c>
      <c r="C7242" t="s">
        <v>40</v>
      </c>
      <c r="D7242">
        <v>5.4054539999999998</v>
      </c>
      <c r="E7242">
        <v>0.34985880000000003</v>
      </c>
      <c r="F7242" t="s">
        <v>42</v>
      </c>
      <c r="G7242">
        <v>-302.28309999999999</v>
      </c>
      <c r="H7242">
        <v>1.041739</v>
      </c>
      <c r="I7242">
        <v>-37.881689999999999</v>
      </c>
      <c r="J7242">
        <v>-302.82729999999998</v>
      </c>
      <c r="K7242">
        <v>1.120665</v>
      </c>
      <c r="L7242">
        <v>-37.371949999999998</v>
      </c>
      <c r="M7242">
        <v>8.5421709999999998E-2</v>
      </c>
      <c r="N7242">
        <v>-1.4420789999999999E-2</v>
      </c>
      <c r="O7242">
        <v>-0.99624060000000003</v>
      </c>
      <c r="P7242">
        <v>0.2555519</v>
      </c>
      <c r="Q7242">
        <v>-8.9379529999999999E-2</v>
      </c>
      <c r="R7242">
        <v>-0.96265509999999999</v>
      </c>
      <c r="S7242">
        <v>1.9055789999999999</v>
      </c>
      <c r="T7242">
        <v>-0.26567360000000001</v>
      </c>
      <c r="U7242">
        <v>-2.5991520000000001</v>
      </c>
      <c r="V7242">
        <v>-0.172453</v>
      </c>
      <c r="W7242">
        <v>-7.5051080000000006E-2</v>
      </c>
      <c r="X7242">
        <v>0.98215439999999998</v>
      </c>
      <c r="Y7242">
        <v>-0.51845410000000003</v>
      </c>
      <c r="Z7242">
        <v>6.9841760000000003E-2</v>
      </c>
      <c r="AA7242">
        <v>0.85224840000000002</v>
      </c>
      <c r="AB7242">
        <v>21</v>
      </c>
      <c r="AC7242">
        <v>0.54419999999998903</v>
      </c>
      <c r="AD7242">
        <v>-7.8925999999999996E-2</v>
      </c>
      <c r="AE7242">
        <v>-0.50973999999999997</v>
      </c>
      <c r="AF7242">
        <v>-0.493137951659462</v>
      </c>
      <c r="AG7242">
        <v>-7.8925999999999996E-2</v>
      </c>
      <c r="AH7242">
        <v>0.54822544352812697</v>
      </c>
      <c r="AI7242">
        <v>96.1093961819209</v>
      </c>
      <c r="AJ7242">
        <v>131.97191046445599</v>
      </c>
      <c r="AK7242">
        <v>0.74159658155529595</v>
      </c>
      <c r="AL7242">
        <v>94.304157315484204</v>
      </c>
      <c r="AM7242">
        <v>99.958844658826393</v>
      </c>
      <c r="AN7242">
        <v>0.99999998362876297</v>
      </c>
    </row>
    <row r="7243" spans="1:40" x14ac:dyDescent="0.25">
      <c r="A7243" t="str">
        <f>"20190303154952875"</f>
        <v>20190303154952875</v>
      </c>
      <c r="B7243" t="str">
        <f>"1551599392868482"</f>
        <v>1551599392868482</v>
      </c>
      <c r="C7243" t="s">
        <v>40</v>
      </c>
      <c r="D7243">
        <v>5.404293</v>
      </c>
      <c r="E7243">
        <v>0.35127370000000002</v>
      </c>
      <c r="F7243" t="s">
        <v>42</v>
      </c>
      <c r="G7243">
        <v>-302.3005</v>
      </c>
      <c r="H7243">
        <v>1.0432349999999999</v>
      </c>
      <c r="I7243">
        <v>-38.078360000000004</v>
      </c>
      <c r="J7243">
        <v>-302.79910000000001</v>
      </c>
      <c r="K7243">
        <v>1.120662</v>
      </c>
      <c r="L7243">
        <v>-37.716279999999998</v>
      </c>
      <c r="M7243">
        <v>8.4368390000000001E-2</v>
      </c>
      <c r="N7243">
        <v>-1.441277E-2</v>
      </c>
      <c r="O7243">
        <v>-0.99633050000000001</v>
      </c>
      <c r="P7243">
        <v>0.25928590000000001</v>
      </c>
      <c r="Q7243">
        <v>-9.3553280000000003E-2</v>
      </c>
      <c r="R7243">
        <v>-0.96125910000000003</v>
      </c>
      <c r="S7243">
        <v>1.9244079999999999</v>
      </c>
      <c r="T7243">
        <v>-0.28275329999999999</v>
      </c>
      <c r="U7243">
        <v>-2.579285</v>
      </c>
      <c r="V7243">
        <v>-0.17732719999999999</v>
      </c>
      <c r="W7243">
        <v>-7.9257110000000006E-2</v>
      </c>
      <c r="X7243">
        <v>0.98095540000000003</v>
      </c>
      <c r="Y7243">
        <v>-0.52620500000000003</v>
      </c>
      <c r="Z7243">
        <v>7.5355870000000005E-2</v>
      </c>
      <c r="AA7243">
        <v>0.84701229999999905</v>
      </c>
      <c r="AB7243">
        <v>21</v>
      </c>
      <c r="AC7243">
        <v>0.49860000000000998</v>
      </c>
      <c r="AD7243">
        <v>-7.7426999999999899E-2</v>
      </c>
      <c r="AE7243">
        <v>-0.36207999999999801</v>
      </c>
      <c r="AF7243">
        <v>-0.45902338771329498</v>
      </c>
      <c r="AG7243">
        <v>-7.7426999999999899E-2</v>
      </c>
      <c r="AH7243">
        <v>0.39659756194773599</v>
      </c>
      <c r="AI7243">
        <v>97.2736759177549</v>
      </c>
      <c r="AJ7243">
        <v>139.172887637776</v>
      </c>
      <c r="AK7243">
        <v>0.61154479552987695</v>
      </c>
      <c r="AL7243">
        <v>94.545865405421694</v>
      </c>
      <c r="AM7243">
        <v>100.246695083229</v>
      </c>
      <c r="AN7243">
        <v>1.0000000610672699</v>
      </c>
    </row>
    <row r="7244" spans="1:40" x14ac:dyDescent="0.25">
      <c r="A7244" t="str">
        <f>"20190303154952902"</f>
        <v>20190303154952902</v>
      </c>
      <c r="B7244" t="str">
        <f>"1551599392897762"</f>
        <v>1551599392897762</v>
      </c>
      <c r="C7244" t="s">
        <v>40</v>
      </c>
      <c r="D7244">
        <v>5.3896050000000004</v>
      </c>
      <c r="E7244">
        <v>0.35225079999999998</v>
      </c>
      <c r="F7244" t="s">
        <v>42</v>
      </c>
      <c r="G7244">
        <v>-302.25420000000003</v>
      </c>
      <c r="H7244">
        <v>1.0343059999999999</v>
      </c>
      <c r="I7244">
        <v>-38.445489999999999</v>
      </c>
      <c r="J7244">
        <v>-302.77850000000001</v>
      </c>
      <c r="K7244">
        <v>1.1206609999999999</v>
      </c>
      <c r="L7244">
        <v>-37.969729999999998</v>
      </c>
      <c r="M7244">
        <v>8.3626519999999996E-2</v>
      </c>
      <c r="N7244">
        <v>-1.440667E-2</v>
      </c>
      <c r="O7244">
        <v>-0.99639310000000003</v>
      </c>
      <c r="P7244">
        <v>0.26191249999999999</v>
      </c>
      <c r="Q7244">
        <v>-9.8345429999999998E-2</v>
      </c>
      <c r="R7244">
        <v>-0.96006769999999997</v>
      </c>
      <c r="S7244">
        <v>1.9230039999999999</v>
      </c>
      <c r="T7244">
        <v>-0.30466399999999999</v>
      </c>
      <c r="U7244">
        <v>-2.57254</v>
      </c>
      <c r="V7244">
        <v>-0.18077380000000001</v>
      </c>
      <c r="W7244">
        <v>-8.4077280000000004E-2</v>
      </c>
      <c r="X7244">
        <v>0.97992440000000003</v>
      </c>
      <c r="Y7244">
        <v>-0.52724740000000003</v>
      </c>
      <c r="Z7244">
        <v>8.2407439999999998E-2</v>
      </c>
      <c r="AA7244">
        <v>0.84570639999999997</v>
      </c>
      <c r="AB7244">
        <v>21</v>
      </c>
      <c r="AC7244">
        <v>0.524299999999982</v>
      </c>
      <c r="AD7244">
        <v>-8.6355000000000098E-2</v>
      </c>
      <c r="AE7244">
        <v>-0.47576000000000102</v>
      </c>
      <c r="AF7244">
        <v>-0.47559709227424302</v>
      </c>
      <c r="AG7244">
        <v>-8.6355000000000098E-2</v>
      </c>
      <c r="AH7244">
        <v>0.51035032406577796</v>
      </c>
      <c r="AI7244">
        <v>97.056641004600294</v>
      </c>
      <c r="AJ7244">
        <v>132.981241779502</v>
      </c>
      <c r="AK7244">
        <v>0.70292761610194199</v>
      </c>
      <c r="AL7244">
        <v>94.822967004493506</v>
      </c>
      <c r="AM7244">
        <v>100.452257578123</v>
      </c>
      <c r="AN7244">
        <v>0.99999999274699902</v>
      </c>
    </row>
    <row r="7245" spans="1:40" x14ac:dyDescent="0.25">
      <c r="A7245" t="str">
        <f>"20190303154952926"</f>
        <v>20190303154952926</v>
      </c>
      <c r="B7245" t="str">
        <f>"1551599392918258"</f>
        <v>1551599392918258</v>
      </c>
      <c r="C7245" t="s">
        <v>40</v>
      </c>
      <c r="D7245">
        <v>5.9625709999999996</v>
      </c>
      <c r="E7245">
        <v>0.35263070000000002</v>
      </c>
      <c r="F7245" t="s">
        <v>42</v>
      </c>
      <c r="G7245">
        <v>-302.15960000000001</v>
      </c>
      <c r="H7245">
        <v>1.015822</v>
      </c>
      <c r="I7245">
        <v>-38.79636</v>
      </c>
      <c r="J7245">
        <v>-302.76049999999998</v>
      </c>
      <c r="K7245">
        <v>1.1206700000000001</v>
      </c>
      <c r="L7245">
        <v>-38.193049999999999</v>
      </c>
      <c r="M7245">
        <v>8.2995399999999997E-2</v>
      </c>
      <c r="N7245">
        <v>-1.4401280000000001E-2</v>
      </c>
      <c r="O7245">
        <v>-0.99644580000000005</v>
      </c>
      <c r="P7245">
        <v>0.2679745</v>
      </c>
      <c r="Q7245">
        <v>-9.9448590000000003E-2</v>
      </c>
      <c r="R7245">
        <v>-0.9582794</v>
      </c>
      <c r="S7245">
        <v>1.9223330000000001</v>
      </c>
      <c r="T7245">
        <v>-0.32557190000000003</v>
      </c>
      <c r="U7245">
        <v>-2.5670169999999999</v>
      </c>
      <c r="V7245">
        <v>-0.18757989999999999</v>
      </c>
      <c r="W7245">
        <v>-8.5208259999999994E-2</v>
      </c>
      <c r="X7245">
        <v>0.97854660000000004</v>
      </c>
      <c r="Y7245">
        <v>-0.52814749999999999</v>
      </c>
      <c r="Z7245">
        <v>8.9113319999999996E-2</v>
      </c>
      <c r="AA7245">
        <v>0.84446379999999999</v>
      </c>
      <c r="AB7245">
        <v>21</v>
      </c>
      <c r="AC7245">
        <v>0.60089999999996702</v>
      </c>
      <c r="AD7245">
        <v>-0.104848</v>
      </c>
      <c r="AE7245">
        <v>-0.60331000000000001</v>
      </c>
      <c r="AF7245">
        <v>-0.54055363044883398</v>
      </c>
      <c r="AG7245">
        <v>-0.104848</v>
      </c>
      <c r="AH7245">
        <v>0.64138087793935705</v>
      </c>
      <c r="AI7245">
        <v>97.124970948413704</v>
      </c>
      <c r="AJ7245">
        <v>130.12407581094001</v>
      </c>
      <c r="AK7245">
        <v>0.84531695894597703</v>
      </c>
      <c r="AL7245">
        <v>94.888000455049905</v>
      </c>
      <c r="AM7245">
        <v>100.851524176617</v>
      </c>
      <c r="AN7245">
        <v>1.0000000574138901</v>
      </c>
    </row>
    <row r="7246" spans="1:40" x14ac:dyDescent="0.25">
      <c r="A7246" t="str">
        <f>"20190303154952957"</f>
        <v>20190303154952957</v>
      </c>
      <c r="B7246" t="str">
        <f>"1551599392948514"</f>
        <v>1551599392948514</v>
      </c>
      <c r="C7246" t="s">
        <v>40</v>
      </c>
      <c r="D7246">
        <v>5.6468939999999996</v>
      </c>
      <c r="E7246">
        <v>0.49422270000000001</v>
      </c>
      <c r="F7246" t="s">
        <v>42</v>
      </c>
      <c r="G7246">
        <v>-302.16000000000003</v>
      </c>
      <c r="H7246">
        <v>1.01555</v>
      </c>
      <c r="I7246">
        <v>-38.985750000000003</v>
      </c>
      <c r="J7246">
        <v>-302.73829999999998</v>
      </c>
      <c r="K7246">
        <v>1.120698</v>
      </c>
      <c r="L7246">
        <v>-38.471339999999998</v>
      </c>
      <c r="M7246">
        <v>8.2229440000000001E-2</v>
      </c>
      <c r="N7246">
        <v>-1.439463E-2</v>
      </c>
      <c r="O7246">
        <v>-0.99650970000000005</v>
      </c>
      <c r="P7246">
        <v>0.27105190000000001</v>
      </c>
      <c r="Q7246">
        <v>-9.9183489999999999E-2</v>
      </c>
      <c r="R7246">
        <v>-0.95744119999999999</v>
      </c>
      <c r="S7246">
        <v>1.9349670000000001</v>
      </c>
      <c r="T7246">
        <v>-0.33872909999999901</v>
      </c>
      <c r="U7246">
        <v>-2.5543520000000002</v>
      </c>
      <c r="V7246">
        <v>-0.19146360000000001</v>
      </c>
      <c r="W7246">
        <v>-8.4964960000000006E-2</v>
      </c>
      <c r="X7246">
        <v>0.97781530000000005</v>
      </c>
      <c r="Y7246">
        <v>-0.53320389999999995</v>
      </c>
      <c r="Z7246">
        <v>9.3341140000000003E-2</v>
      </c>
      <c r="AA7246">
        <v>0.84082169999999901</v>
      </c>
      <c r="AB7246">
        <v>21</v>
      </c>
      <c r="AC7246">
        <v>0.57829999999995596</v>
      </c>
      <c r="AD7246">
        <v>-0.10514800000000001</v>
      </c>
      <c r="AE7246">
        <v>-0.51440999999999804</v>
      </c>
      <c r="AF7246">
        <v>-0.52435948573683699</v>
      </c>
      <c r="AG7246">
        <v>-0.10514800000000001</v>
      </c>
      <c r="AH7246">
        <v>0.55007353838538298</v>
      </c>
      <c r="AI7246">
        <v>97.877462688608702</v>
      </c>
      <c r="AJ7246">
        <v>133.62902064203601</v>
      </c>
      <c r="AK7246">
        <v>0.767196109099893</v>
      </c>
      <c r="AL7246">
        <v>94.874009654294298</v>
      </c>
      <c r="AM7246">
        <v>101.07877547369699</v>
      </c>
      <c r="AN7246">
        <v>1.00000005773342</v>
      </c>
    </row>
    <row r="7247" spans="1:40" x14ac:dyDescent="0.25">
      <c r="A7247" t="str">
        <f>"20190303154952986"</f>
        <v>20190303154952986</v>
      </c>
      <c r="B7247" t="str">
        <f>"1551599392977795"</f>
        <v>1551599392977795</v>
      </c>
      <c r="C7247" t="s">
        <v>40</v>
      </c>
      <c r="D7247">
        <v>5.5822690000000001</v>
      </c>
      <c r="E7247">
        <v>0.52526090000000003</v>
      </c>
      <c r="F7247" t="s">
        <v>64</v>
      </c>
      <c r="G7247">
        <v>-300.04000000000002</v>
      </c>
      <c r="H7247" s="1">
        <v>-4.2416019999999998E-6</v>
      </c>
      <c r="I7247">
        <v>-47.464530000000003</v>
      </c>
      <c r="J7247">
        <v>-302.71730000000002</v>
      </c>
      <c r="K7247">
        <v>1.1206959999999999</v>
      </c>
      <c r="L7247">
        <v>-38.73648</v>
      </c>
      <c r="M7247">
        <v>8.1513199999999994E-2</v>
      </c>
      <c r="N7247">
        <v>-1.438827E-2</v>
      </c>
      <c r="O7247">
        <v>-0.99656869999999997</v>
      </c>
      <c r="P7247">
        <v>0.2737078</v>
      </c>
      <c r="Q7247">
        <v>-9.8766709999999994E-2</v>
      </c>
      <c r="R7247">
        <v>-0.95672860000000004</v>
      </c>
      <c r="S7247">
        <v>0.85635380000000005</v>
      </c>
      <c r="T7247">
        <v>-0.3556646</v>
      </c>
      <c r="U7247">
        <v>-2.8540649999999999</v>
      </c>
      <c r="V7247">
        <v>-0.19486809999999999</v>
      </c>
      <c r="W7247">
        <v>-8.4564100000000003E-2</v>
      </c>
      <c r="X7247">
        <v>0.97717719999999997</v>
      </c>
      <c r="Y7247">
        <v>-0.20656620000000001</v>
      </c>
      <c r="Z7247">
        <v>0.1050101</v>
      </c>
      <c r="AA7247">
        <v>0.97278120000000001</v>
      </c>
      <c r="AB7247">
        <v>21</v>
      </c>
      <c r="AC7247">
        <v>2.6772999999999998</v>
      </c>
      <c r="AD7247">
        <v>-1.120700241602</v>
      </c>
      <c r="AE7247">
        <v>-8.7280499999999908</v>
      </c>
      <c r="AF7247">
        <v>-1.9278134813724299</v>
      </c>
      <c r="AG7247">
        <v>-1.120700241602</v>
      </c>
      <c r="AH7247">
        <v>8.7848761413099492</v>
      </c>
      <c r="AI7247">
        <v>97.102815783526907</v>
      </c>
      <c r="AJ7247">
        <v>102.377185519656</v>
      </c>
      <c r="AK7247">
        <v>9.0634696815648201</v>
      </c>
      <c r="AL7247">
        <v>94.850959528483003</v>
      </c>
      <c r="AM7247">
        <v>101.27794294694201</v>
      </c>
      <c r="AN7247">
        <v>0.99999997180312905</v>
      </c>
    </row>
    <row r="7248" spans="1:40" x14ac:dyDescent="0.25">
      <c r="A7248" t="str">
        <f>"20190303154953016"</f>
        <v>20190303154953016</v>
      </c>
      <c r="B7248" t="str">
        <f>"1551599393008050"</f>
        <v>1551599393008050</v>
      </c>
      <c r="C7248" t="s">
        <v>40</v>
      </c>
      <c r="D7248">
        <v>5.6109629999999999</v>
      </c>
      <c r="E7248">
        <v>0.53136859999999997</v>
      </c>
      <c r="F7248" t="s">
        <v>64</v>
      </c>
      <c r="G7248">
        <v>-300.5258</v>
      </c>
      <c r="H7248" s="1">
        <v>-5.0292159999999997E-6</v>
      </c>
      <c r="I7248">
        <v>-48.954940000000001</v>
      </c>
      <c r="J7248">
        <v>-302.69499999999999</v>
      </c>
      <c r="K7248">
        <v>1.1206860000000001</v>
      </c>
      <c r="L7248">
        <v>-39.020539999999997</v>
      </c>
      <c r="M7248">
        <v>8.0738870000000004E-2</v>
      </c>
      <c r="N7248">
        <v>-1.4381430000000001E-2</v>
      </c>
      <c r="O7248">
        <v>-0.99663159999999895</v>
      </c>
      <c r="P7248">
        <v>0.28007690000000002</v>
      </c>
      <c r="Q7248">
        <v>-0.10022</v>
      </c>
      <c r="R7248">
        <v>-0.95473189999999997</v>
      </c>
      <c r="S7248">
        <v>0.6269226</v>
      </c>
      <c r="T7248">
        <v>-0.32060490000000003</v>
      </c>
      <c r="U7248">
        <v>-2.9232480000000001</v>
      </c>
      <c r="V7248">
        <v>-0.2021385</v>
      </c>
      <c r="W7248">
        <v>-8.6039309999999994E-2</v>
      </c>
      <c r="X7248">
        <v>0.97557020000000005</v>
      </c>
      <c r="Y7248">
        <v>-0.12904089999999999</v>
      </c>
      <c r="Z7248">
        <v>9.2648880000000003E-2</v>
      </c>
      <c r="AA7248">
        <v>0.98730169999999995</v>
      </c>
      <c r="AB7248">
        <v>21</v>
      </c>
      <c r="AC7248">
        <v>2.16919999999998</v>
      </c>
      <c r="AD7248">
        <v>-1.1206910292159999</v>
      </c>
      <c r="AE7248">
        <v>-9.9343999999999895</v>
      </c>
      <c r="AF7248">
        <v>-1.3436209328509701</v>
      </c>
      <c r="AG7248">
        <v>-1.1206910292159999</v>
      </c>
      <c r="AH7248">
        <v>9.9561817495587999</v>
      </c>
      <c r="AI7248">
        <v>96.365092980674504</v>
      </c>
      <c r="AJ7248">
        <v>97.685827564745907</v>
      </c>
      <c r="AK7248">
        <v>10.108749706289499</v>
      </c>
      <c r="AL7248">
        <v>94.935792027288898</v>
      </c>
      <c r="AM7248">
        <v>101.706060752081</v>
      </c>
      <c r="AN7248">
        <v>0.99999997558778198</v>
      </c>
    </row>
    <row r="7249" spans="1:40" x14ac:dyDescent="0.25">
      <c r="A7249" t="str">
        <f>"20190303154953049"</f>
        <v>20190303154953049</v>
      </c>
      <c r="B7249" t="str">
        <f>"1551599393038306"</f>
        <v>1551599393038306</v>
      </c>
      <c r="C7249" t="s">
        <v>40</v>
      </c>
      <c r="D7249">
        <v>5.6105409999999996</v>
      </c>
      <c r="E7249">
        <v>0.53481400000000001</v>
      </c>
      <c r="F7249" t="s">
        <v>64</v>
      </c>
      <c r="G7249">
        <v>-300.72140000000002</v>
      </c>
      <c r="H7249" s="1">
        <v>-4.8932500000000001E-6</v>
      </c>
      <c r="I7249">
        <v>-48.665819999999997</v>
      </c>
      <c r="J7249">
        <v>-302.67250000000001</v>
      </c>
      <c r="K7249">
        <v>1.1206769999999999</v>
      </c>
      <c r="L7249">
        <v>-39.311610000000002</v>
      </c>
      <c r="M7249">
        <v>7.9896980000000006E-2</v>
      </c>
      <c r="N7249">
        <v>-1.4374609999999999E-2</v>
      </c>
      <c r="O7249">
        <v>-0.99669949999999996</v>
      </c>
      <c r="P7249">
        <v>0.28346149999999998</v>
      </c>
      <c r="Q7249">
        <v>-9.7777139999999998E-2</v>
      </c>
      <c r="R7249">
        <v>-0.953986</v>
      </c>
      <c r="S7249">
        <v>0.59967040000000005</v>
      </c>
      <c r="T7249">
        <v>-0.34050849999999999</v>
      </c>
      <c r="U7249">
        <v>-2.9306030000000001</v>
      </c>
      <c r="V7249">
        <v>-0.20639750000000001</v>
      </c>
      <c r="W7249">
        <v>-8.3597539999999998E-2</v>
      </c>
      <c r="X7249">
        <v>0.97489049999999999</v>
      </c>
      <c r="Y7249">
        <v>-0.1204465</v>
      </c>
      <c r="Z7249">
        <v>9.9110770000000001E-2</v>
      </c>
      <c r="AA7249">
        <v>0.98775990000000002</v>
      </c>
      <c r="AB7249">
        <v>21</v>
      </c>
      <c r="AC7249">
        <v>1.9510999999999901</v>
      </c>
      <c r="AD7249">
        <v>-1.12068189325</v>
      </c>
      <c r="AE7249">
        <v>-9.3542100000000001</v>
      </c>
      <c r="AF7249">
        <v>-1.18116422061357</v>
      </c>
      <c r="AG7249">
        <v>-1.12068189325</v>
      </c>
      <c r="AH7249">
        <v>9.3515732419618605</v>
      </c>
      <c r="AI7249">
        <v>96.780308980335704</v>
      </c>
      <c r="AJ7249">
        <v>97.198708150566901</v>
      </c>
      <c r="AK7249">
        <v>9.4922599480678507</v>
      </c>
      <c r="AL7249">
        <v>94.795382867563305</v>
      </c>
      <c r="AM7249">
        <v>101.95377738625599</v>
      </c>
      <c r="AN7249">
        <v>0.99999998184527505</v>
      </c>
    </row>
    <row r="7250" spans="1:40" x14ac:dyDescent="0.25">
      <c r="A7250" t="str">
        <f>"20190303154953071"</f>
        <v>20190303154953071</v>
      </c>
      <c r="B7250" t="str">
        <f>"1551599393068563"</f>
        <v>1551599393068563</v>
      </c>
      <c r="C7250" t="s">
        <v>40</v>
      </c>
      <c r="D7250">
        <v>5.5987999999999998</v>
      </c>
      <c r="E7250">
        <v>0.53702830000000001</v>
      </c>
      <c r="F7250" t="s">
        <v>64</v>
      </c>
      <c r="G7250">
        <v>-300.75240000000002</v>
      </c>
      <c r="H7250" s="1">
        <v>-5.0550480000000004E-6</v>
      </c>
      <c r="I7250">
        <v>-48.97983</v>
      </c>
      <c r="J7250">
        <v>-302.65629999999999</v>
      </c>
      <c r="K7250">
        <v>1.1206560000000001</v>
      </c>
      <c r="L7250">
        <v>-39.522860000000001</v>
      </c>
      <c r="M7250">
        <v>7.9224039999999996E-2</v>
      </c>
      <c r="N7250">
        <v>-1.436982E-2</v>
      </c>
      <c r="O7250">
        <v>-0.99675329999999995</v>
      </c>
      <c r="P7250">
        <v>0.28665829999999998</v>
      </c>
      <c r="Q7250">
        <v>-9.5946980000000001E-2</v>
      </c>
      <c r="R7250">
        <v>-0.95321630000000002</v>
      </c>
      <c r="S7250">
        <v>0.58319089999999996</v>
      </c>
      <c r="T7250">
        <v>-0.34038459999999998</v>
      </c>
      <c r="U7250">
        <v>-2.9365230000000002</v>
      </c>
      <c r="V7250">
        <v>-0.21030779999999999</v>
      </c>
      <c r="W7250">
        <v>-8.1761589999999995E-2</v>
      </c>
      <c r="X7250">
        <v>0.97421029999999997</v>
      </c>
      <c r="Y7250">
        <v>-0.11540449999999999</v>
      </c>
      <c r="Z7250">
        <v>9.8953780000000005E-2</v>
      </c>
      <c r="AA7250">
        <v>0.98837750000000002</v>
      </c>
      <c r="AB7250">
        <v>20</v>
      </c>
      <c r="AC7250">
        <v>1.90389999999996</v>
      </c>
      <c r="AD7250">
        <v>-1.1206610550479901</v>
      </c>
      <c r="AE7250">
        <v>-9.4569700000000001</v>
      </c>
      <c r="AF7250">
        <v>-1.1333230041561699</v>
      </c>
      <c r="AG7250">
        <v>-1.1206610550479901</v>
      </c>
      <c r="AH7250">
        <v>9.4505491865615294</v>
      </c>
      <c r="AI7250">
        <v>96.714976099401696</v>
      </c>
      <c r="AJ7250">
        <v>96.838333343754698</v>
      </c>
      <c r="AK7250">
        <v>9.5840065817835107</v>
      </c>
      <c r="AL7250">
        <v>94.689829095695103</v>
      </c>
      <c r="AM7250">
        <v>102.18179881953699</v>
      </c>
      <c r="AN7250">
        <v>1.0000000184831199</v>
      </c>
    </row>
    <row r="7251" spans="1:40" x14ac:dyDescent="0.25">
      <c r="A7251" t="str">
        <f>"20190303154953093"</f>
        <v>20190303154953093</v>
      </c>
      <c r="B7251" t="str">
        <f>"1551599393088082"</f>
        <v>1551599393088082</v>
      </c>
      <c r="C7251" t="s">
        <v>40</v>
      </c>
      <c r="D7251">
        <v>5.6207219999999998</v>
      </c>
      <c r="E7251">
        <v>0.53837619999999997</v>
      </c>
      <c r="F7251" t="s">
        <v>64</v>
      </c>
      <c r="G7251">
        <v>-300.7627</v>
      </c>
      <c r="H7251" s="1">
        <v>-5.1598059999999999E-6</v>
      </c>
      <c r="I7251">
        <v>-49.184249999999999</v>
      </c>
      <c r="J7251">
        <v>-302.64089999999999</v>
      </c>
      <c r="K7251">
        <v>1.1206210000000001</v>
      </c>
      <c r="L7251">
        <v>-39.727910000000001</v>
      </c>
      <c r="M7251">
        <v>7.8510949999999996E-2</v>
      </c>
      <c r="N7251">
        <v>-1.4365330000000001E-2</v>
      </c>
      <c r="O7251">
        <v>-0.99680990000000003</v>
      </c>
      <c r="P7251">
        <v>0.2891553</v>
      </c>
      <c r="Q7251">
        <v>-9.5778950000000002E-2</v>
      </c>
      <c r="R7251">
        <v>-0.95247879999999996</v>
      </c>
      <c r="S7251">
        <v>0.57617189999999996</v>
      </c>
      <c r="T7251">
        <v>-0.34097949999999999</v>
      </c>
      <c r="U7251">
        <v>-2.9396360000000001</v>
      </c>
      <c r="V7251">
        <v>-0.21355869999999999</v>
      </c>
      <c r="W7251">
        <v>-8.1583370000000002E-2</v>
      </c>
      <c r="X7251">
        <v>0.97351779999999999</v>
      </c>
      <c r="Y7251">
        <v>-0.1136424</v>
      </c>
      <c r="Z7251">
        <v>9.9081619999999995E-2</v>
      </c>
      <c r="AA7251">
        <v>0.98856880000000003</v>
      </c>
      <c r="AB7251">
        <v>20</v>
      </c>
      <c r="AC7251">
        <v>1.8781999999999901</v>
      </c>
      <c r="AD7251">
        <v>-1.1206261598060001</v>
      </c>
      <c r="AE7251">
        <v>-9.4563400000000009</v>
      </c>
      <c r="AF7251">
        <v>-1.1148365106926501</v>
      </c>
      <c r="AG7251">
        <v>-1.1206261598060001</v>
      </c>
      <c r="AH7251">
        <v>9.4469853921512694</v>
      </c>
      <c r="AI7251">
        <v>96.718771570421893</v>
      </c>
      <c r="AJ7251">
        <v>96.730333678289597</v>
      </c>
      <c r="AK7251">
        <v>9.5783190819232207</v>
      </c>
      <c r="AL7251">
        <v>94.679583533137304</v>
      </c>
      <c r="AM7251">
        <v>102.372877369775</v>
      </c>
      <c r="AN7251">
        <v>1.00000003576154</v>
      </c>
    </row>
    <row r="7252" spans="1:40" x14ac:dyDescent="0.25">
      <c r="A7252" t="str">
        <f>"20190303154953118"</f>
        <v>20190303154953118</v>
      </c>
      <c r="B7252" t="str">
        <f>"1551599393109554"</f>
        <v>1551599393109554</v>
      </c>
      <c r="C7252" t="s">
        <v>40</v>
      </c>
      <c r="D7252">
        <v>5.6612400000000003</v>
      </c>
      <c r="E7252">
        <v>0.53948890000000005</v>
      </c>
      <c r="F7252" t="s">
        <v>64</v>
      </c>
      <c r="G7252">
        <v>-300.77839999999998</v>
      </c>
      <c r="H7252" s="1">
        <v>-5.2098429999999998E-6</v>
      </c>
      <c r="I7252">
        <v>-49.280670000000001</v>
      </c>
      <c r="J7252">
        <v>-302.62400000000002</v>
      </c>
      <c r="K7252">
        <v>1.120579</v>
      </c>
      <c r="L7252">
        <v>-39.954160000000002</v>
      </c>
      <c r="M7252">
        <v>7.7640940000000006E-2</v>
      </c>
      <c r="N7252">
        <v>-1.4360589999999999E-2</v>
      </c>
      <c r="O7252">
        <v>-0.99687800000000004</v>
      </c>
      <c r="P7252">
        <v>0.29135909999999998</v>
      </c>
      <c r="Q7252">
        <v>-9.5532889999999995E-2</v>
      </c>
      <c r="R7252">
        <v>-0.95183150000000005</v>
      </c>
      <c r="S7252">
        <v>0.57339479999999998</v>
      </c>
      <c r="T7252">
        <v>-0.34499659999999999</v>
      </c>
      <c r="U7252">
        <v>-2.9409179999999999</v>
      </c>
      <c r="V7252">
        <v>-0.21666560000000001</v>
      </c>
      <c r="W7252">
        <v>-8.1318909999999994E-2</v>
      </c>
      <c r="X7252">
        <v>0.97285319999999997</v>
      </c>
      <c r="Y7252">
        <v>-0.1135032</v>
      </c>
      <c r="Z7252">
        <v>0.1003776</v>
      </c>
      <c r="AA7252">
        <v>0.98845400000000005</v>
      </c>
      <c r="AB7252">
        <v>20</v>
      </c>
      <c r="AC7252">
        <v>1.8456000000000401</v>
      </c>
      <c r="AD7252">
        <v>-1.1205842098429999</v>
      </c>
      <c r="AE7252">
        <v>-9.3265100000000007</v>
      </c>
      <c r="AF7252">
        <v>-1.10054514363886</v>
      </c>
      <c r="AG7252">
        <v>-1.1205842098429999</v>
      </c>
      <c r="AH7252">
        <v>9.3122924756660606</v>
      </c>
      <c r="AI7252">
        <v>96.814656112388207</v>
      </c>
      <c r="AJ7252">
        <v>96.740065123564804</v>
      </c>
      <c r="AK7252">
        <v>9.44381806987424</v>
      </c>
      <c r="AL7252">
        <v>94.664380520033205</v>
      </c>
      <c r="AM7252">
        <v>102.555519520505</v>
      </c>
      <c r="AN7252">
        <v>1.00000004804859</v>
      </c>
    </row>
    <row r="7253" spans="1:40" x14ac:dyDescent="0.25">
      <c r="A7253" t="str">
        <f>"20190303154953143"</f>
        <v>20190303154953143</v>
      </c>
      <c r="B7253" t="str">
        <f>"1551599393138835"</f>
        <v>1551599393138835</v>
      </c>
      <c r="C7253" t="s">
        <v>40</v>
      </c>
      <c r="D7253">
        <v>5.6085659999999997</v>
      </c>
      <c r="E7253">
        <v>0.54100930000000003</v>
      </c>
      <c r="F7253" t="s">
        <v>64</v>
      </c>
      <c r="G7253">
        <v>-300.78519999999997</v>
      </c>
      <c r="H7253" s="1">
        <v>-5.281163E-6</v>
      </c>
      <c r="I7253">
        <v>-49.41986</v>
      </c>
      <c r="J7253">
        <v>-302.6078</v>
      </c>
      <c r="K7253">
        <v>1.1205309999999999</v>
      </c>
      <c r="L7253">
        <v>-40.176540000000003</v>
      </c>
      <c r="M7253">
        <v>7.6676709999999995E-2</v>
      </c>
      <c r="N7253">
        <v>-1.4356219999999999E-2</v>
      </c>
      <c r="O7253">
        <v>-0.99695279999999997</v>
      </c>
      <c r="P7253">
        <v>0.29301450000000001</v>
      </c>
      <c r="Q7253">
        <v>-9.4914810000000002E-2</v>
      </c>
      <c r="R7253">
        <v>-0.95138540000000005</v>
      </c>
      <c r="S7253">
        <v>0.57150269999999903</v>
      </c>
      <c r="T7253">
        <v>-0.34827599999999997</v>
      </c>
      <c r="U7253">
        <v>-2.9419249999999999</v>
      </c>
      <c r="V7253">
        <v>-0.219301</v>
      </c>
      <c r="W7253">
        <v>-8.0677170000000006E-2</v>
      </c>
      <c r="X7253">
        <v>0.97231599999999996</v>
      </c>
      <c r="Y7253">
        <v>-0.1137664</v>
      </c>
      <c r="Z7253">
        <v>0.1014359</v>
      </c>
      <c r="AA7253">
        <v>0.98831570000000002</v>
      </c>
      <c r="AB7253">
        <v>20</v>
      </c>
      <c r="AC7253">
        <v>1.82260000000002</v>
      </c>
      <c r="AD7253">
        <v>-1.120536281163</v>
      </c>
      <c r="AE7253">
        <v>-9.24331999999999</v>
      </c>
      <c r="AF7253">
        <v>-1.0929520793496501</v>
      </c>
      <c r="AG7253">
        <v>-1.120536281163</v>
      </c>
      <c r="AH7253">
        <v>9.2253664049855608</v>
      </c>
      <c r="AI7253">
        <v>96.877732632144301</v>
      </c>
      <c r="AJ7253">
        <v>96.7564800992686</v>
      </c>
      <c r="AK7253">
        <v>9.3572181288774896</v>
      </c>
      <c r="AL7253">
        <v>94.627490218361601</v>
      </c>
      <c r="AM7253">
        <v>102.710100881882</v>
      </c>
      <c r="AN7253">
        <v>1.0000000691080999</v>
      </c>
    </row>
    <row r="7254" spans="1:40" x14ac:dyDescent="0.25">
      <c r="A7254" t="str">
        <f>"20190303154953173"</f>
        <v>20190303154953173</v>
      </c>
      <c r="B7254" t="str">
        <f>"1551599393167645"</f>
        <v>1551599393167645</v>
      </c>
      <c r="C7254" t="s">
        <v>40</v>
      </c>
      <c r="D7254">
        <v>5.6346860000000003</v>
      </c>
      <c r="E7254">
        <v>0.54230859999999903</v>
      </c>
      <c r="F7254" t="s">
        <v>64</v>
      </c>
      <c r="G7254">
        <v>-300.8048</v>
      </c>
      <c r="H7254" s="1">
        <v>-5.3588250000000003E-6</v>
      </c>
      <c r="I7254">
        <v>-49.570039999999999</v>
      </c>
      <c r="J7254">
        <v>-302.58879999999999</v>
      </c>
      <c r="K7254">
        <v>1.120498</v>
      </c>
      <c r="L7254">
        <v>-40.443820000000002</v>
      </c>
      <c r="M7254">
        <v>7.5373899999999994E-2</v>
      </c>
      <c r="N7254">
        <v>-1.435121E-2</v>
      </c>
      <c r="O7254">
        <v>-0.99705220000000006</v>
      </c>
      <c r="P7254">
        <v>0.297239799999999</v>
      </c>
      <c r="Q7254">
        <v>-9.2568319999999996E-2</v>
      </c>
      <c r="R7254">
        <v>-0.95030510000000001</v>
      </c>
      <c r="S7254">
        <v>0.56512450000000003</v>
      </c>
      <c r="T7254">
        <v>-0.351211</v>
      </c>
      <c r="U7254">
        <v>-2.9442140000000001</v>
      </c>
      <c r="V7254">
        <v>-0.22487489999999999</v>
      </c>
      <c r="W7254">
        <v>-7.8304960000000007E-2</v>
      </c>
      <c r="X7254">
        <v>0.97123610000000005</v>
      </c>
      <c r="Y7254">
        <v>-0.1128388</v>
      </c>
      <c r="Z7254">
        <v>0.1023593</v>
      </c>
      <c r="AA7254">
        <v>0.98832679999999995</v>
      </c>
      <c r="AB7254">
        <v>20</v>
      </c>
      <c r="AC7254">
        <v>1.78399999999999</v>
      </c>
      <c r="AD7254">
        <v>-1.120503358825</v>
      </c>
      <c r="AE7254">
        <v>-9.12622</v>
      </c>
      <c r="AF7254">
        <v>-1.0753606054235301</v>
      </c>
      <c r="AG7254">
        <v>-1.120503358825</v>
      </c>
      <c r="AH7254">
        <v>9.1025678430263106</v>
      </c>
      <c r="AI7254">
        <v>96.969676791015104</v>
      </c>
      <c r="AJ7254">
        <v>96.737589044700997</v>
      </c>
      <c r="AK7254">
        <v>9.2341036135475303</v>
      </c>
      <c r="AL7254">
        <v>94.491141532931493</v>
      </c>
      <c r="AM7254">
        <v>103.036252704285</v>
      </c>
      <c r="AN7254">
        <v>0.99999997467691004</v>
      </c>
    </row>
    <row r="7255" spans="1:40" x14ac:dyDescent="0.25">
      <c r="A7255" t="str">
        <f>"20190303154953208"</f>
        <v>20190303154953208</v>
      </c>
      <c r="B7255" t="str">
        <f>"1551599393197901"</f>
        <v>1551599393197901</v>
      </c>
      <c r="C7255" t="s">
        <v>40</v>
      </c>
      <c r="D7255">
        <v>5.6478539999999997</v>
      </c>
      <c r="E7255">
        <v>0.54340339999999998</v>
      </c>
      <c r="F7255" t="s">
        <v>64</v>
      </c>
      <c r="G7255">
        <v>-300.75700000000001</v>
      </c>
      <c r="H7255" s="1">
        <v>-5.5422010000000003E-6</v>
      </c>
      <c r="I7255">
        <v>-49.935380000000002</v>
      </c>
      <c r="J7255">
        <v>-302.56700000000001</v>
      </c>
      <c r="K7255">
        <v>1.1204379999999901</v>
      </c>
      <c r="L7255">
        <v>-40.759889999999999</v>
      </c>
      <c r="M7255">
        <v>7.3666410000000002E-2</v>
      </c>
      <c r="N7255">
        <v>-1.434536E-2</v>
      </c>
      <c r="O7255">
        <v>-0.9971797</v>
      </c>
      <c r="P7255">
        <v>0.29822120000000002</v>
      </c>
      <c r="Q7255">
        <v>-9.1348390000000002E-2</v>
      </c>
      <c r="R7255">
        <v>-0.95011559999999995</v>
      </c>
      <c r="S7255">
        <v>0.56842040000000005</v>
      </c>
      <c r="T7255">
        <v>-0.34769090000000002</v>
      </c>
      <c r="U7255">
        <v>-2.9452210000000001</v>
      </c>
      <c r="V7255">
        <v>-0.2275393</v>
      </c>
      <c r="W7255">
        <v>-7.7056769999999997E-2</v>
      </c>
      <c r="X7255">
        <v>0.97071529999999995</v>
      </c>
      <c r="Y7255">
        <v>-0.1155656</v>
      </c>
      <c r="Z7255">
        <v>0.10116310000000001</v>
      </c>
      <c r="AA7255">
        <v>0.98813490000000004</v>
      </c>
      <c r="AB7255">
        <v>20</v>
      </c>
      <c r="AC7255">
        <v>1.81</v>
      </c>
      <c r="AD7255">
        <v>-1.12044354220099</v>
      </c>
      <c r="AE7255">
        <v>-9.1754899999999893</v>
      </c>
      <c r="AF7255">
        <v>-1.1131096562168401</v>
      </c>
      <c r="AG7255">
        <v>-1.12044354220099</v>
      </c>
      <c r="AH7255">
        <v>9.1525382193633007</v>
      </c>
      <c r="AI7255">
        <v>96.928807069512104</v>
      </c>
      <c r="AJ7255">
        <v>96.934121369489503</v>
      </c>
      <c r="AK7255">
        <v>9.28780720595174</v>
      </c>
      <c r="AL7255">
        <v>94.419408478007099</v>
      </c>
      <c r="AM7255">
        <v>103.192171817478</v>
      </c>
      <c r="AN7255">
        <v>1.0000000362507</v>
      </c>
    </row>
    <row r="7256" spans="1:40" x14ac:dyDescent="0.25">
      <c r="A7256" t="str">
        <f>"20190303154953239"</f>
        <v>20190303154953239</v>
      </c>
      <c r="B7256" t="str">
        <f>"1551599393228157"</f>
        <v>1551599393228157</v>
      </c>
      <c r="C7256" t="s">
        <v>40</v>
      </c>
      <c r="D7256">
        <v>5.6627470000000004</v>
      </c>
      <c r="E7256">
        <v>0.54447659999999998</v>
      </c>
      <c r="F7256" t="s">
        <v>64</v>
      </c>
      <c r="G7256">
        <v>-300.75319999999999</v>
      </c>
      <c r="H7256" s="1">
        <v>-5.7030679999999996E-6</v>
      </c>
      <c r="I7256">
        <v>-50.251519999999999</v>
      </c>
      <c r="J7256">
        <v>-302.54829999999998</v>
      </c>
      <c r="K7256">
        <v>1.1204000000000001</v>
      </c>
      <c r="L7256">
        <v>-41.039670000000001</v>
      </c>
      <c r="M7256">
        <v>7.1995190000000001E-2</v>
      </c>
      <c r="N7256">
        <v>-1.43403E-2</v>
      </c>
      <c r="O7256">
        <v>-0.99730209999999997</v>
      </c>
      <c r="P7256">
        <v>0.3028245</v>
      </c>
      <c r="Q7256">
        <v>-8.8901259999999996E-2</v>
      </c>
      <c r="R7256">
        <v>-0.94889109999999999</v>
      </c>
      <c r="S7256">
        <v>0.56320190000000003</v>
      </c>
      <c r="T7256">
        <v>-0.34791460000000002</v>
      </c>
      <c r="U7256">
        <v>-2.9472960000000001</v>
      </c>
      <c r="V7256">
        <v>-0.233849</v>
      </c>
      <c r="W7256">
        <v>-7.4591729999999995E-2</v>
      </c>
      <c r="X7256">
        <v>0.96940740000000003</v>
      </c>
      <c r="Y7256">
        <v>-0.1154126</v>
      </c>
      <c r="Z7256">
        <v>0.10120030000000001</v>
      </c>
      <c r="AA7256">
        <v>0.98814900000000006</v>
      </c>
      <c r="AB7256">
        <v>20</v>
      </c>
      <c r="AC7256">
        <v>1.7950999999999899</v>
      </c>
      <c r="AD7256">
        <v>-1.1204057030679999</v>
      </c>
      <c r="AE7256">
        <v>-9.2118499999999894</v>
      </c>
      <c r="AF7256">
        <v>-1.1113253531737901</v>
      </c>
      <c r="AG7256">
        <v>-1.1204057030679999</v>
      </c>
      <c r="AH7256">
        <v>9.1862708335107506</v>
      </c>
      <c r="AI7256">
        <v>96.903902843645696</v>
      </c>
      <c r="AJ7256">
        <v>96.897937240360406</v>
      </c>
      <c r="AK7256">
        <v>9.3208328386836996</v>
      </c>
      <c r="AL7256">
        <v>94.277764473376394</v>
      </c>
      <c r="AM7256">
        <v>103.56228618490999</v>
      </c>
      <c r="AN7256">
        <v>0.999999994080076</v>
      </c>
    </row>
    <row r="7257" spans="1:40" x14ac:dyDescent="0.25">
      <c r="A7257" t="str">
        <f>"20190303154953272"</f>
        <v>20190303154953272</v>
      </c>
      <c r="B7257" t="str">
        <f>"1551599393267704"</f>
        <v>1551599393267704</v>
      </c>
      <c r="C7257" t="s">
        <v>40</v>
      </c>
      <c r="D7257">
        <v>5.7193509999999996</v>
      </c>
      <c r="E7257">
        <v>0.54577790000000004</v>
      </c>
      <c r="F7257" t="s">
        <v>64</v>
      </c>
      <c r="G7257">
        <v>-300.6737</v>
      </c>
      <c r="H7257" s="1">
        <v>-5.9131320000000002E-6</v>
      </c>
      <c r="I7257">
        <v>-50.745429999999999</v>
      </c>
      <c r="J7257">
        <v>-302.5292</v>
      </c>
      <c r="K7257">
        <v>1.1203289999999999</v>
      </c>
      <c r="L7257">
        <v>-41.336669999999998</v>
      </c>
      <c r="M7257">
        <v>7.003392E-2</v>
      </c>
      <c r="N7257">
        <v>-1.4335469999999999E-2</v>
      </c>
      <c r="O7257">
        <v>-0.99744149999999998</v>
      </c>
      <c r="P7257">
        <v>0.30580039999999997</v>
      </c>
      <c r="Q7257">
        <v>-9.0050669999999999E-2</v>
      </c>
      <c r="R7257">
        <v>-0.94782759999999999</v>
      </c>
      <c r="S7257">
        <v>0.5693665</v>
      </c>
      <c r="T7257">
        <v>-0.34030880000000002</v>
      </c>
      <c r="U7257">
        <v>-2.9479980000000001</v>
      </c>
      <c r="V7257">
        <v>-0.23881050000000001</v>
      </c>
      <c r="W7257">
        <v>-7.5716229999999995E-2</v>
      </c>
      <c r="X7257">
        <v>0.96810980000000002</v>
      </c>
      <c r="Y7257">
        <v>-0.11936140000000001</v>
      </c>
      <c r="Z7257">
        <v>9.8659709999999998E-2</v>
      </c>
      <c r="AA7257">
        <v>0.98793679999999995</v>
      </c>
      <c r="AB7257">
        <v>20</v>
      </c>
      <c r="AC7257">
        <v>1.8554999999999999</v>
      </c>
      <c r="AD7257">
        <v>-1.120334913132</v>
      </c>
      <c r="AE7257">
        <v>-9.4087599999999991</v>
      </c>
      <c r="AF7257">
        <v>-1.17589465609954</v>
      </c>
      <c r="AG7257">
        <v>-1.120334913132</v>
      </c>
      <c r="AH7257">
        <v>9.3874962877796104</v>
      </c>
      <c r="AI7257">
        <v>96.753396482550798</v>
      </c>
      <c r="AJ7257">
        <v>97.1397849793604</v>
      </c>
      <c r="AK7257">
        <v>9.5269599092733603</v>
      </c>
      <c r="AL7257">
        <v>94.342376309369698</v>
      </c>
      <c r="AM7257">
        <v>103.85691399929</v>
      </c>
      <c r="AN7257">
        <v>0.99999999362585101</v>
      </c>
    </row>
    <row r="7258" spans="1:40" x14ac:dyDescent="0.25">
      <c r="A7258" t="str">
        <f>"20190303154953296"</f>
        <v>20190303154953296</v>
      </c>
      <c r="B7258" t="str">
        <f>"1551599393288200"</f>
        <v>1551599393288200</v>
      </c>
      <c r="C7258" t="s">
        <v>40</v>
      </c>
      <c r="D7258">
        <v>5.6875580000000001</v>
      </c>
      <c r="E7258">
        <v>0.54631189999999996</v>
      </c>
      <c r="F7258" t="s">
        <v>64</v>
      </c>
      <c r="G7258">
        <v>-300.68279999999999</v>
      </c>
      <c r="H7258" s="1">
        <v>-5.9811539999999996E-6</v>
      </c>
      <c r="I7258">
        <v>-50.911140000000003</v>
      </c>
      <c r="J7258">
        <v>-302.51549999999997</v>
      </c>
      <c r="K7258">
        <v>1.120252</v>
      </c>
      <c r="L7258">
        <v>-41.555759999999999</v>
      </c>
      <c r="M7258">
        <v>6.8473779999999998E-2</v>
      </c>
      <c r="N7258">
        <v>-1.433223E-2</v>
      </c>
      <c r="O7258">
        <v>-0.99755000000000005</v>
      </c>
      <c r="P7258">
        <v>0.31036849999999999</v>
      </c>
      <c r="Q7258">
        <v>-9.294848E-2</v>
      </c>
      <c r="R7258">
        <v>-0.94606159999999995</v>
      </c>
      <c r="S7258">
        <v>0.56866459999999996</v>
      </c>
      <c r="T7258">
        <v>-0.345057</v>
      </c>
      <c r="U7258">
        <v>-2.9488829999999999</v>
      </c>
      <c r="V7258">
        <v>-0.24501729999999999</v>
      </c>
      <c r="W7258">
        <v>-7.8596699999999894E-2</v>
      </c>
      <c r="X7258">
        <v>0.96632759999999995</v>
      </c>
      <c r="Y7258">
        <v>-0.12060070000000001</v>
      </c>
      <c r="Z7258">
        <v>0.1001957</v>
      </c>
      <c r="AA7258">
        <v>0.9876317</v>
      </c>
      <c r="AB7258">
        <v>20</v>
      </c>
      <c r="AC7258">
        <v>1.83269999999998</v>
      </c>
      <c r="AD7258">
        <v>-1.1202579811540001</v>
      </c>
      <c r="AE7258">
        <v>-9.3553800000000003</v>
      </c>
      <c r="AF7258">
        <v>-1.17155572625368</v>
      </c>
      <c r="AG7258">
        <v>-1.1202579811540001</v>
      </c>
      <c r="AH7258">
        <v>9.3300843560162505</v>
      </c>
      <c r="AI7258">
        <v>96.793849336784803</v>
      </c>
      <c r="AJ7258">
        <v>97.157031397898507</v>
      </c>
      <c r="AK7258">
        <v>9.4698466119803708</v>
      </c>
      <c r="AL7258">
        <v>94.507908681384095</v>
      </c>
      <c r="AM7258">
        <v>104.227793341297</v>
      </c>
      <c r="AN7258">
        <v>0.99999997453596901</v>
      </c>
    </row>
    <row r="7259" spans="1:40" x14ac:dyDescent="0.25">
      <c r="A7259" t="str">
        <f>"20190303154953329"</f>
        <v>20190303154953329</v>
      </c>
      <c r="B7259" t="str">
        <f>"1551599393318456"</f>
        <v>1551599393318456</v>
      </c>
      <c r="C7259" t="s">
        <v>40</v>
      </c>
      <c r="D7259">
        <v>5.6840780000000004</v>
      </c>
      <c r="E7259">
        <v>0.56058359999999996</v>
      </c>
      <c r="F7259" t="s">
        <v>64</v>
      </c>
      <c r="G7259">
        <v>-300.67829999999998</v>
      </c>
      <c r="H7259" s="1">
        <v>-5.9802970000000003E-6</v>
      </c>
      <c r="I7259">
        <v>-50.909680000000002</v>
      </c>
      <c r="J7259">
        <v>-302.49860000000001</v>
      </c>
      <c r="K7259">
        <v>1.1201620000000001</v>
      </c>
      <c r="L7259">
        <v>-41.841030000000003</v>
      </c>
      <c r="M7259">
        <v>6.6325819999999994E-2</v>
      </c>
      <c r="N7259">
        <v>-1.4327960000000001E-2</v>
      </c>
      <c r="O7259">
        <v>-0.99769529999999995</v>
      </c>
      <c r="P7259">
        <v>0.32179639999999998</v>
      </c>
      <c r="Q7259">
        <v>-9.7212460000000001E-2</v>
      </c>
      <c r="R7259">
        <v>-0.94180549999999996</v>
      </c>
      <c r="S7259">
        <v>0.57873540000000001</v>
      </c>
      <c r="T7259">
        <v>-0.35288320000000001</v>
      </c>
      <c r="U7259">
        <v>-2.9465029999999999</v>
      </c>
      <c r="V7259">
        <v>-0.25879999999999997</v>
      </c>
      <c r="W7259">
        <v>-8.2856650000000004E-2</v>
      </c>
      <c r="X7259">
        <v>0.96237070000000002</v>
      </c>
      <c r="Y7259">
        <v>-0.1260781</v>
      </c>
      <c r="Z7259">
        <v>0.1028005</v>
      </c>
      <c r="AA7259">
        <v>0.98667950000000004</v>
      </c>
      <c r="AB7259">
        <v>20</v>
      </c>
      <c r="AC7259">
        <v>1.82030000000003</v>
      </c>
      <c r="AD7259">
        <v>-1.1201679802969999</v>
      </c>
      <c r="AE7259">
        <v>-9.0686499999999999</v>
      </c>
      <c r="AF7259">
        <v>-1.19718509423824</v>
      </c>
      <c r="AG7259">
        <v>-1.1201679802969999</v>
      </c>
      <c r="AH7259">
        <v>9.0368827309311701</v>
      </c>
      <c r="AI7259">
        <v>97.005472502707804</v>
      </c>
      <c r="AJ7259">
        <v>97.546467968415598</v>
      </c>
      <c r="AK7259">
        <v>9.1844040605011994</v>
      </c>
      <c r="AL7259">
        <v>94.752785052915698</v>
      </c>
      <c r="AM7259">
        <v>105.05184406846401</v>
      </c>
      <c r="AN7259">
        <v>1.0000000143338501</v>
      </c>
    </row>
    <row r="7260" spans="1:40" x14ac:dyDescent="0.25">
      <c r="A7260" t="str">
        <f>"20190303154953361"</f>
        <v>20190303154953361</v>
      </c>
      <c r="B7260" t="str">
        <f>"1551599393358002"</f>
        <v>1551599393358002</v>
      </c>
      <c r="C7260" t="s">
        <v>40</v>
      </c>
      <c r="D7260">
        <v>5.556216</v>
      </c>
      <c r="E7260">
        <v>0.48135679999999997</v>
      </c>
      <c r="F7260" t="s">
        <v>64</v>
      </c>
      <c r="G7260">
        <v>-301.01650000000001</v>
      </c>
      <c r="H7260" s="1">
        <v>-5.8535599999999999E-6</v>
      </c>
      <c r="I7260">
        <v>-50.550319999999999</v>
      </c>
      <c r="J7260">
        <v>-302.48200000000003</v>
      </c>
      <c r="K7260">
        <v>1.1201460000000001</v>
      </c>
      <c r="L7260">
        <v>-42.132809999999999</v>
      </c>
      <c r="M7260">
        <v>6.4044320000000002E-2</v>
      </c>
      <c r="N7260">
        <v>-1.432279E-2</v>
      </c>
      <c r="O7260">
        <v>-0.99784430000000002</v>
      </c>
      <c r="P7260">
        <v>0.32623859999999999</v>
      </c>
      <c r="Q7260">
        <v>-9.6920450000000005E-2</v>
      </c>
      <c r="R7260">
        <v>-0.94030559999999996</v>
      </c>
      <c r="S7260">
        <v>0.50592040000000005</v>
      </c>
      <c r="T7260">
        <v>-0.38238729999999999</v>
      </c>
      <c r="U7260">
        <v>-2.9730530000000002</v>
      </c>
      <c r="V7260">
        <v>-0.26553009999999999</v>
      </c>
      <c r="W7260">
        <v>-8.2567570000000007E-2</v>
      </c>
      <c r="X7260">
        <v>0.96056039999999998</v>
      </c>
      <c r="Y7260">
        <v>-0.1031125</v>
      </c>
      <c r="Z7260">
        <v>0.1118041</v>
      </c>
      <c r="AA7260">
        <v>0.98836610000000003</v>
      </c>
      <c r="AB7260">
        <v>20</v>
      </c>
      <c r="AC7260">
        <v>1.46550000000002</v>
      </c>
      <c r="AD7260">
        <v>-1.1201518535599999</v>
      </c>
      <c r="AE7260">
        <v>-8.41751</v>
      </c>
      <c r="AF7260">
        <v>-0.90773983036811401</v>
      </c>
      <c r="AG7260">
        <v>-1.1201518535599999</v>
      </c>
      <c r="AH7260">
        <v>8.3505652359941998</v>
      </c>
      <c r="AI7260">
        <v>97.595877499293493</v>
      </c>
      <c r="AJ7260">
        <v>96.203920523056595</v>
      </c>
      <c r="AK7260">
        <v>8.4741177437692894</v>
      </c>
      <c r="AL7260">
        <v>94.736165299102396</v>
      </c>
      <c r="AM7260">
        <v>105.45252815362301</v>
      </c>
      <c r="AN7260">
        <v>0.99999995983493595</v>
      </c>
    </row>
    <row r="7261" spans="1:40" x14ac:dyDescent="0.25">
      <c r="A7261" t="str">
        <f>"20190303154953390"</f>
        <v>20190303154953390</v>
      </c>
      <c r="B7261" t="str">
        <f>"1551599393379474"</f>
        <v>1551599393379474</v>
      </c>
      <c r="C7261" t="s">
        <v>40</v>
      </c>
      <c r="D7261">
        <v>5.493144</v>
      </c>
      <c r="E7261">
        <v>0.41484260000000001</v>
      </c>
      <c r="F7261" t="s">
        <v>64</v>
      </c>
      <c r="G7261">
        <v>-299.13470000000001</v>
      </c>
      <c r="H7261" s="1">
        <v>-7.5723119999999998E-6</v>
      </c>
      <c r="I7261">
        <v>-50.415120000000002</v>
      </c>
      <c r="J7261">
        <v>-302.46809999999999</v>
      </c>
      <c r="K7261">
        <v>1.1201669999999999</v>
      </c>
      <c r="L7261">
        <v>-42.387360000000001</v>
      </c>
      <c r="M7261">
        <v>6.2011089999999998E-2</v>
      </c>
      <c r="N7261">
        <v>-1.4317460000000001E-2</v>
      </c>
      <c r="O7261">
        <v>-0.99797270000000005</v>
      </c>
      <c r="P7261">
        <v>0.33086359999999998</v>
      </c>
      <c r="Q7261">
        <v>-9.6291710000000003E-2</v>
      </c>
      <c r="R7261">
        <v>-0.9387527</v>
      </c>
      <c r="S7261">
        <v>1.1171879999999901</v>
      </c>
      <c r="T7261">
        <v>-0.37385950000000001</v>
      </c>
      <c r="U7261">
        <v>-2.7642820000000001</v>
      </c>
      <c r="V7261">
        <v>-0.27219110000000002</v>
      </c>
      <c r="W7261">
        <v>-8.1965540000000003E-2</v>
      </c>
      <c r="X7261">
        <v>0.95874590000000004</v>
      </c>
      <c r="Y7261">
        <v>-0.31385780000000002</v>
      </c>
      <c r="Z7261">
        <v>0.1113818</v>
      </c>
      <c r="AA7261">
        <v>0.94291429999999998</v>
      </c>
      <c r="AB7261">
        <v>20</v>
      </c>
      <c r="AC7261">
        <v>3.3333999999999802</v>
      </c>
      <c r="AD7261">
        <v>-1.120174572312</v>
      </c>
      <c r="AE7261">
        <v>-8.0277600000000007</v>
      </c>
      <c r="AF7261">
        <v>-2.7829055967088698</v>
      </c>
      <c r="AG7261">
        <v>-1.120174572312</v>
      </c>
      <c r="AH7261">
        <v>8.0847696635667194</v>
      </c>
      <c r="AI7261">
        <v>97.463788348576998</v>
      </c>
      <c r="AJ7261">
        <v>108.994273302042</v>
      </c>
      <c r="AK7261">
        <v>8.6233900031006705</v>
      </c>
      <c r="AL7261">
        <v>94.701553903632401</v>
      </c>
      <c r="AM7261">
        <v>105.849417946446</v>
      </c>
      <c r="AN7261">
        <v>1.00000002271675</v>
      </c>
    </row>
    <row r="7262" spans="1:40" x14ac:dyDescent="0.25">
      <c r="A7262" t="str">
        <f>"20190303154953418"</f>
        <v>20190303154953418</v>
      </c>
      <c r="B7262" t="str">
        <f>"1551599393407779"</f>
        <v>1551599393407779</v>
      </c>
      <c r="C7262" t="s">
        <v>40</v>
      </c>
      <c r="D7262">
        <v>5.4909589999999904</v>
      </c>
      <c r="E7262">
        <v>0.38540049999999998</v>
      </c>
      <c r="F7262" t="s">
        <v>42</v>
      </c>
      <c r="G7262">
        <v>-301.97030000000001</v>
      </c>
      <c r="H7262">
        <v>0.99194789999999999</v>
      </c>
      <c r="I7262">
        <v>-43.174970000000002</v>
      </c>
      <c r="J7262">
        <v>-302.45499999999998</v>
      </c>
      <c r="K7262">
        <v>1.120214</v>
      </c>
      <c r="L7262">
        <v>-42.634950000000003</v>
      </c>
      <c r="M7262">
        <v>6.0038649999999999E-2</v>
      </c>
      <c r="N7262">
        <v>-1.4311839999999999E-2</v>
      </c>
      <c r="O7262">
        <v>-0.99809360000000003</v>
      </c>
      <c r="P7262">
        <v>0.34046799999999999</v>
      </c>
      <c r="Q7262">
        <v>-9.5343129999999998E-2</v>
      </c>
      <c r="R7262">
        <v>-0.93540999999999996</v>
      </c>
      <c r="S7262">
        <v>1.630371</v>
      </c>
      <c r="T7262">
        <v>-0.41974089999999997</v>
      </c>
      <c r="U7262">
        <v>-2.578033</v>
      </c>
      <c r="V7262">
        <v>-0.28386309999999998</v>
      </c>
      <c r="W7262">
        <v>-8.1064020000000001E-2</v>
      </c>
      <c r="X7262">
        <v>0.95543210000000001</v>
      </c>
      <c r="Y7262">
        <v>-0.47818559999999999</v>
      </c>
      <c r="Z7262">
        <v>0.1242337</v>
      </c>
      <c r="AA7262">
        <v>0.86942770000000003</v>
      </c>
      <c r="AB7262">
        <v>20</v>
      </c>
      <c r="AC7262">
        <v>0.48469999999997498</v>
      </c>
      <c r="AD7262">
        <v>-0.12826609999999999</v>
      </c>
      <c r="AE7262">
        <v>-0.54001999999999795</v>
      </c>
      <c r="AF7262">
        <v>-0.43772342501601202</v>
      </c>
      <c r="AG7262">
        <v>-0.12826609999999999</v>
      </c>
      <c r="AH7262">
        <v>0.550935408357204</v>
      </c>
      <c r="AI7262">
        <v>100.33074972564199</v>
      </c>
      <c r="AJ7262">
        <v>128.46747585264501</v>
      </c>
      <c r="AK7262">
        <v>0.71525087444803404</v>
      </c>
      <c r="AL7262">
        <v>94.649727939555206</v>
      </c>
      <c r="AM7262">
        <v>106.54691722475999</v>
      </c>
      <c r="AN7262">
        <v>1.0000000662952799</v>
      </c>
    </row>
    <row r="7263" spans="1:40" x14ac:dyDescent="0.25">
      <c r="A7263" t="str">
        <f>"20190303154953464"</f>
        <v>20190303154953464</v>
      </c>
      <c r="B7263" t="str">
        <f>"1551599393458062"</f>
        <v>1551599393458062</v>
      </c>
      <c r="C7263" t="s">
        <v>40</v>
      </c>
      <c r="D7263">
        <v>5.4404750000000002</v>
      </c>
      <c r="E7263">
        <v>0.37532310000000002</v>
      </c>
      <c r="F7263" t="s">
        <v>42</v>
      </c>
      <c r="G7263">
        <v>-301.92140000000001</v>
      </c>
      <c r="H7263">
        <v>1.024397</v>
      </c>
      <c r="I7263">
        <v>-43.341630000000002</v>
      </c>
      <c r="J7263">
        <v>-302.435</v>
      </c>
      <c r="K7263">
        <v>1.1203350000000001</v>
      </c>
      <c r="L7263">
        <v>-43.033110000000001</v>
      </c>
      <c r="M7263">
        <v>5.7034979999999999E-2</v>
      </c>
      <c r="N7263">
        <v>-1.430149E-2</v>
      </c>
      <c r="O7263">
        <v>-0.99826990000000004</v>
      </c>
      <c r="P7263">
        <v>0.34819889999999998</v>
      </c>
      <c r="Q7263">
        <v>-9.1681120000000005E-2</v>
      </c>
      <c r="R7263">
        <v>-0.9329269</v>
      </c>
      <c r="S7263">
        <v>1.8793949999999999</v>
      </c>
      <c r="T7263">
        <v>-0.33743699999999999</v>
      </c>
      <c r="U7263">
        <v>-2.4887079999999999</v>
      </c>
      <c r="V7263">
        <v>-0.29456939999999998</v>
      </c>
      <c r="W7263">
        <v>-7.7490600000000007E-2</v>
      </c>
      <c r="X7263">
        <v>0.95248310000000003</v>
      </c>
      <c r="Y7263">
        <v>-0.55298009999999997</v>
      </c>
      <c r="Z7263">
        <v>9.5304180000000002E-2</v>
      </c>
      <c r="AA7263">
        <v>0.82772590000000001</v>
      </c>
      <c r="AB7263">
        <v>20</v>
      </c>
      <c r="AC7263">
        <v>0.51359999999999595</v>
      </c>
      <c r="AD7263">
        <v>-9.5937999999999996E-2</v>
      </c>
      <c r="AE7263">
        <v>-0.30852000000000102</v>
      </c>
      <c r="AF7263">
        <v>-0.48278673788521898</v>
      </c>
      <c r="AG7263">
        <v>-9.5937999999999996E-2</v>
      </c>
      <c r="AH7263">
        <v>0.32888121496425399</v>
      </c>
      <c r="AI7263">
        <v>99.326525290888796</v>
      </c>
      <c r="AJ7263">
        <v>145.73675052035099</v>
      </c>
      <c r="AK7263">
        <v>0.59198816515046604</v>
      </c>
      <c r="AL7263">
        <v>94.444339856887694</v>
      </c>
      <c r="AM7263">
        <v>107.18499229550601</v>
      </c>
      <c r="AN7263">
        <v>0.99999999014516405</v>
      </c>
    </row>
    <row r="7264" spans="1:40" x14ac:dyDescent="0.25">
      <c r="A7264" t="str">
        <f>"20190303154953498"</f>
        <v>20190303154953498</v>
      </c>
      <c r="B7264" t="str">
        <f>"1551599393488318"</f>
        <v>1551599393488318</v>
      </c>
      <c r="C7264" t="s">
        <v>40</v>
      </c>
      <c r="D7264">
        <v>5.4138859999999998</v>
      </c>
      <c r="E7264">
        <v>0.37341340000000001</v>
      </c>
      <c r="F7264" t="s">
        <v>64</v>
      </c>
      <c r="G7264">
        <v>-295.15839999999997</v>
      </c>
      <c r="H7264" s="1">
        <v>-8.7840129999999998E-6</v>
      </c>
      <c r="I7264">
        <v>-52.050820000000002</v>
      </c>
      <c r="J7264">
        <v>-302.4203</v>
      </c>
      <c r="K7264">
        <v>1.120422</v>
      </c>
      <c r="L7264">
        <v>-43.334809999999997</v>
      </c>
      <c r="M7264">
        <v>5.4952220000000003E-2</v>
      </c>
      <c r="N7264">
        <v>-1.429245E-2</v>
      </c>
      <c r="O7264">
        <v>-0.99838689999999997</v>
      </c>
      <c r="P7264">
        <v>0.35179660000000001</v>
      </c>
      <c r="Q7264">
        <v>-8.8290060000000004E-2</v>
      </c>
      <c r="R7264">
        <v>-0.93190379999999995</v>
      </c>
      <c r="S7264">
        <v>1.9756469999999999</v>
      </c>
      <c r="T7264">
        <v>-0.30418420000000002</v>
      </c>
      <c r="U7264">
        <v>-2.4483950000000001</v>
      </c>
      <c r="V7264">
        <v>-0.3001798</v>
      </c>
      <c r="W7264">
        <v>-7.4179889999999998E-2</v>
      </c>
      <c r="X7264">
        <v>0.95099389999999995</v>
      </c>
      <c r="Y7264">
        <v>-0.5816519</v>
      </c>
      <c r="Z7264">
        <v>8.3839819999999995E-2</v>
      </c>
      <c r="AA7264">
        <v>0.80910569999999904</v>
      </c>
      <c r="AB7264">
        <v>20</v>
      </c>
      <c r="AC7264">
        <v>7.2619000000000202</v>
      </c>
      <c r="AD7264">
        <v>-1.1204307840129999</v>
      </c>
      <c r="AE7264">
        <v>-8.7160100000000007</v>
      </c>
      <c r="AF7264">
        <v>-6.7064975438438701</v>
      </c>
      <c r="AG7264">
        <v>-1.1204307840129999</v>
      </c>
      <c r="AH7264">
        <v>9.01401378149008</v>
      </c>
      <c r="AI7264">
        <v>95.6949984240416</v>
      </c>
      <c r="AJ7264">
        <v>126.649539151658</v>
      </c>
      <c r="AK7264">
        <v>11.2909219685657</v>
      </c>
      <c r="AL7264">
        <v>94.254102270564502</v>
      </c>
      <c r="AM7264">
        <v>107.518223427508</v>
      </c>
      <c r="AN7264">
        <v>0.99999998312283001</v>
      </c>
    </row>
    <row r="7265" spans="1:40" x14ac:dyDescent="0.25">
      <c r="A7265" t="str">
        <f>"20190303154953530"</f>
        <v>20190303154953530</v>
      </c>
      <c r="B7265" t="str">
        <f>"1551599393518573"</f>
        <v>1551599393518573</v>
      </c>
      <c r="C7265" t="s">
        <v>40</v>
      </c>
      <c r="D7265">
        <v>5.4241840000000003</v>
      </c>
      <c r="E7265">
        <v>0.37254969999999998</v>
      </c>
      <c r="F7265" t="s">
        <v>42</v>
      </c>
      <c r="G7265">
        <v>-301.84539999999998</v>
      </c>
      <c r="H7265">
        <v>1.0361450000000001</v>
      </c>
      <c r="I7265">
        <v>-44.035690000000002</v>
      </c>
      <c r="J7265">
        <v>-302.40710000000001</v>
      </c>
      <c r="K7265">
        <v>1.12052</v>
      </c>
      <c r="L7265">
        <v>-43.615110000000001</v>
      </c>
      <c r="M7265">
        <v>5.3228989999999997E-2</v>
      </c>
      <c r="N7265">
        <v>-1.42287E-2</v>
      </c>
      <c r="O7265">
        <v>-0.9984809</v>
      </c>
      <c r="P7265">
        <v>0.36290509999999998</v>
      </c>
      <c r="Q7265">
        <v>-8.7862800000000005E-2</v>
      </c>
      <c r="R7265">
        <v>-0.9276742</v>
      </c>
      <c r="S7265">
        <v>1.999268</v>
      </c>
      <c r="T7265">
        <v>-0.29300989999999999</v>
      </c>
      <c r="U7265">
        <v>-2.4367369999999999</v>
      </c>
      <c r="V7265">
        <v>-0.31311800000000001</v>
      </c>
      <c r="W7265">
        <v>-7.3927880000000001E-2</v>
      </c>
      <c r="X7265">
        <v>0.94683249999999997</v>
      </c>
      <c r="Y7265">
        <v>-0.58982309999999905</v>
      </c>
      <c r="Z7265">
        <v>8.0141870000000004E-2</v>
      </c>
      <c r="AA7265">
        <v>0.80354579999999998</v>
      </c>
      <c r="AB7265">
        <v>20</v>
      </c>
      <c r="AC7265">
        <v>0.56170000000002995</v>
      </c>
      <c r="AD7265">
        <v>-8.4375000000000006E-2</v>
      </c>
      <c r="AE7265">
        <v>-0.420580000000008</v>
      </c>
      <c r="AF7265">
        <v>-0.53083923464484895</v>
      </c>
      <c r="AG7265">
        <v>-8.4375000000000006E-2</v>
      </c>
      <c r="AH7265">
        <v>0.44347355631972601</v>
      </c>
      <c r="AI7265">
        <v>96.9546259466903</v>
      </c>
      <c r="AJ7265">
        <v>140.12395292033199</v>
      </c>
      <c r="AK7265">
        <v>0.69683443429425496</v>
      </c>
      <c r="AL7265">
        <v>94.239623341333498</v>
      </c>
      <c r="AM7265">
        <v>108.299077571691</v>
      </c>
      <c r="AN7265">
        <v>0.99999999821077201</v>
      </c>
    </row>
    <row r="7266" spans="1:40" x14ac:dyDescent="0.25">
      <c r="A7266" t="str">
        <f>"20190303154953564"</f>
        <v>20190303154953564</v>
      </c>
      <c r="B7266" t="str">
        <f>"1551599393558121"</f>
        <v>1551599393558121</v>
      </c>
      <c r="C7266" t="s">
        <v>40</v>
      </c>
      <c r="D7266">
        <v>5.366549</v>
      </c>
      <c r="E7266">
        <v>0.37207200000000001</v>
      </c>
      <c r="F7266" t="s">
        <v>42</v>
      </c>
      <c r="G7266">
        <v>-301.76949999999999</v>
      </c>
      <c r="H7266">
        <v>1.025531</v>
      </c>
      <c r="I7266">
        <v>-44.370190000000001</v>
      </c>
      <c r="J7266">
        <v>-302.39319999999998</v>
      </c>
      <c r="K7266">
        <v>1.1206480000000001</v>
      </c>
      <c r="L7266">
        <v>-43.914250000000003</v>
      </c>
      <c r="M7266">
        <v>5.1762639999999999E-2</v>
      </c>
      <c r="N7266">
        <v>-1.4044050000000001E-2</v>
      </c>
      <c r="O7266">
        <v>-0.99856100000000003</v>
      </c>
      <c r="P7266">
        <v>0.3687146</v>
      </c>
      <c r="Q7266">
        <v>-8.787652E-2</v>
      </c>
      <c r="R7266">
        <v>-0.92537990000000003</v>
      </c>
      <c r="S7266">
        <v>2.0342099999999999</v>
      </c>
      <c r="T7266">
        <v>-0.30309469999999999</v>
      </c>
      <c r="U7266">
        <v>-2.4093930000000001</v>
      </c>
      <c r="V7266">
        <v>-0.3203974</v>
      </c>
      <c r="W7266">
        <v>-7.4269260000000004E-2</v>
      </c>
      <c r="X7266">
        <v>0.94436730000000002</v>
      </c>
      <c r="Y7266">
        <v>-0.60204740000000001</v>
      </c>
      <c r="Z7266">
        <v>8.3496089999999995E-2</v>
      </c>
      <c r="AA7266">
        <v>0.79408269999999903</v>
      </c>
      <c r="AB7266">
        <v>20</v>
      </c>
      <c r="AC7266">
        <v>0.62369999999998504</v>
      </c>
      <c r="AD7266">
        <v>-9.5116999999999896E-2</v>
      </c>
      <c r="AE7266">
        <v>-0.45593999999999801</v>
      </c>
      <c r="AF7266">
        <v>-0.59031307481413897</v>
      </c>
      <c r="AG7266">
        <v>-9.5116999999999896E-2</v>
      </c>
      <c r="AH7266">
        <v>0.480335508352839</v>
      </c>
      <c r="AI7266">
        <v>97.123992757453706</v>
      </c>
      <c r="AJ7266">
        <v>140.86488153483501</v>
      </c>
      <c r="AK7266">
        <v>0.76696738559739497</v>
      </c>
      <c r="AL7266">
        <v>94.259236855889398</v>
      </c>
      <c r="AM7266">
        <v>108.740636734125</v>
      </c>
      <c r="AN7266">
        <v>1.00000000710849</v>
      </c>
    </row>
    <row r="7267" spans="1:40" x14ac:dyDescent="0.25">
      <c r="A7267" t="str">
        <f>"20190303154953597"</f>
        <v>20190303154953597</v>
      </c>
      <c r="B7267" t="str">
        <f>"1551599393588376"</f>
        <v>1551599393588376</v>
      </c>
      <c r="C7267" t="s">
        <v>40</v>
      </c>
      <c r="D7267">
        <v>5.3763269999999999</v>
      </c>
      <c r="E7267">
        <v>0.37243110000000001</v>
      </c>
      <c r="F7267" t="s">
        <v>64</v>
      </c>
      <c r="G7267">
        <v>-294.97089999999997</v>
      </c>
      <c r="H7267" s="1">
        <v>-8.7909389999999907E-6</v>
      </c>
      <c r="I7267">
        <v>-52.57441</v>
      </c>
      <c r="J7267">
        <v>-302.37959999999998</v>
      </c>
      <c r="K7267">
        <v>1.120795</v>
      </c>
      <c r="L7267">
        <v>-44.201599999999999</v>
      </c>
      <c r="M7267">
        <v>5.0775309999999997E-2</v>
      </c>
      <c r="N7267">
        <v>-1.3815020000000001E-2</v>
      </c>
      <c r="O7267">
        <v>-0.99861480000000002</v>
      </c>
      <c r="P7267">
        <v>0.38348959999999999</v>
      </c>
      <c r="Q7267">
        <v>-8.9501079999999997E-2</v>
      </c>
      <c r="R7267">
        <v>-0.91919850000000003</v>
      </c>
      <c r="S7267">
        <v>2.0523989999999999</v>
      </c>
      <c r="T7267">
        <v>-0.30988450000000001</v>
      </c>
      <c r="U7267">
        <v>-2.394714</v>
      </c>
      <c r="V7267">
        <v>-0.33636369999999999</v>
      </c>
      <c r="W7267">
        <v>-7.633732E-2</v>
      </c>
      <c r="X7267">
        <v>0.9386331</v>
      </c>
      <c r="Y7267">
        <v>-0.60856219999999905</v>
      </c>
      <c r="Z7267">
        <v>8.5854899999999998E-2</v>
      </c>
      <c r="AA7267">
        <v>0.78884790000000005</v>
      </c>
      <c r="AB7267">
        <v>20</v>
      </c>
      <c r="AC7267">
        <v>7.4086999999999996</v>
      </c>
      <c r="AD7267">
        <v>-1.1208037909389901</v>
      </c>
      <c r="AE7267">
        <v>-8.3728099999999994</v>
      </c>
      <c r="AF7267">
        <v>-6.9045769159994599</v>
      </c>
      <c r="AG7267">
        <v>-1.1208037909389901</v>
      </c>
      <c r="AH7267">
        <v>8.6512757592515097</v>
      </c>
      <c r="AI7267">
        <v>95.781958332547305</v>
      </c>
      <c r="AJ7267">
        <v>128.59334209096701</v>
      </c>
      <c r="AK7267">
        <v>11.125374411198401</v>
      </c>
      <c r="AL7267">
        <v>94.378065363040605</v>
      </c>
      <c r="AM7267">
        <v>109.71538575304599</v>
      </c>
      <c r="AN7267">
        <v>1.0000000107590401</v>
      </c>
    </row>
    <row r="7268" spans="1:40" x14ac:dyDescent="0.25">
      <c r="A7268" t="str">
        <f>"20190303154953643"</f>
        <v>20190303154953643</v>
      </c>
      <c r="B7268" t="str">
        <f>"1551599393638153"</f>
        <v>1551599393638153</v>
      </c>
      <c r="C7268" t="s">
        <v>40</v>
      </c>
      <c r="D7268">
        <v>5.3098890000000001</v>
      </c>
      <c r="E7268">
        <v>0.37354589999999999</v>
      </c>
      <c r="F7268" t="s">
        <v>42</v>
      </c>
      <c r="G7268">
        <v>-301.76280000000003</v>
      </c>
      <c r="H7268">
        <v>1.025434</v>
      </c>
      <c r="I7268">
        <v>-44.899540000000002</v>
      </c>
      <c r="J7268">
        <v>-302.3605</v>
      </c>
      <c r="K7268">
        <v>1.121081</v>
      </c>
      <c r="L7268">
        <v>-44.595550000000003</v>
      </c>
      <c r="M7268">
        <v>5.0245039999999998E-2</v>
      </c>
      <c r="N7268">
        <v>-1.3525550000000001E-2</v>
      </c>
      <c r="O7268">
        <v>-0.99864549999999996</v>
      </c>
      <c r="P7268">
        <v>0.39878429999999998</v>
      </c>
      <c r="Q7268">
        <v>-9.1440300000000002E-2</v>
      </c>
      <c r="R7268">
        <v>-0.91247460000000002</v>
      </c>
      <c r="S7268">
        <v>2.0872190000000002</v>
      </c>
      <c r="T7268">
        <v>-0.32267390000000001</v>
      </c>
      <c r="U7268">
        <v>-2.3615110000000001</v>
      </c>
      <c r="V7268">
        <v>-0.35241420000000001</v>
      </c>
      <c r="W7268">
        <v>-7.8900979999999996E-2</v>
      </c>
      <c r="X7268">
        <v>0.93251209999999995</v>
      </c>
      <c r="Y7268">
        <v>-0.62065899999999996</v>
      </c>
      <c r="Z7268">
        <v>9.0305659999999996E-2</v>
      </c>
      <c r="AA7268">
        <v>0.77886279999999997</v>
      </c>
      <c r="AB7268">
        <v>20</v>
      </c>
      <c r="AC7268">
        <v>0.59769999999997403</v>
      </c>
      <c r="AD7268">
        <v>-9.5646999999999996E-2</v>
      </c>
      <c r="AE7268">
        <v>-0.30398999999999798</v>
      </c>
      <c r="AF7268">
        <v>-0.57007129074033103</v>
      </c>
      <c r="AG7268">
        <v>-9.5646999999999996E-2</v>
      </c>
      <c r="AH7268">
        <v>0.32698752526930902</v>
      </c>
      <c r="AI7268">
        <v>98.280618227594005</v>
      </c>
      <c r="AJ7268">
        <v>150.161823535748</v>
      </c>
      <c r="AK7268">
        <v>0.66411630518840103</v>
      </c>
      <c r="AL7268">
        <v>94.525396950405906</v>
      </c>
      <c r="AM7268">
        <v>110.70253987027399</v>
      </c>
      <c r="AN7268">
        <v>0.99999997482650405</v>
      </c>
    </row>
    <row r="7269" spans="1:40" x14ac:dyDescent="0.25">
      <c r="A7269" t="str">
        <f>"20190303154953668"</f>
        <v>20190303154953668</v>
      </c>
      <c r="B7269" t="str">
        <f>"1551599393658179"</f>
        <v>1551599393658179</v>
      </c>
      <c r="C7269" t="s">
        <v>40</v>
      </c>
      <c r="D7269">
        <v>5.287261</v>
      </c>
      <c r="E7269">
        <v>0.37405509999999997</v>
      </c>
      <c r="F7269" t="s">
        <v>64</v>
      </c>
      <c r="G7269">
        <v>-295.16570000000002</v>
      </c>
      <c r="H7269" s="1">
        <v>-8.7301509999999907E-6</v>
      </c>
      <c r="I7269">
        <v>-52.506900000000002</v>
      </c>
      <c r="J7269">
        <v>-302.3485</v>
      </c>
      <c r="K7269">
        <v>1.121275</v>
      </c>
      <c r="L7269">
        <v>-44.830260000000003</v>
      </c>
      <c r="M7269">
        <v>5.0505099999999997E-2</v>
      </c>
      <c r="N7269">
        <v>-1.336611E-2</v>
      </c>
      <c r="O7269">
        <v>-0.99863460000000004</v>
      </c>
      <c r="P7269">
        <v>0.40629029999999999</v>
      </c>
      <c r="Q7269">
        <v>-9.1478260000000006E-2</v>
      </c>
      <c r="R7269">
        <v>-0.90915369999999995</v>
      </c>
      <c r="S7269">
        <v>2.1180729999999999</v>
      </c>
      <c r="T7269">
        <v>-0.33004</v>
      </c>
      <c r="U7269">
        <v>-2.3290410000000001</v>
      </c>
      <c r="V7269">
        <v>-0.3597957</v>
      </c>
      <c r="W7269">
        <v>-7.9309309999999994E-2</v>
      </c>
      <c r="X7269">
        <v>0.92965419999999999</v>
      </c>
      <c r="Y7269">
        <v>-0.63125959999999903</v>
      </c>
      <c r="Z7269">
        <v>9.2977459999999998E-2</v>
      </c>
      <c r="AA7269">
        <v>0.7699783</v>
      </c>
      <c r="AB7269">
        <v>19</v>
      </c>
      <c r="AC7269">
        <v>7.1827999999999799</v>
      </c>
      <c r="AD7269">
        <v>-1.1212837301509999</v>
      </c>
      <c r="AE7269">
        <v>-7.6766399999999999</v>
      </c>
      <c r="AF7269">
        <v>-6.7095619646896703</v>
      </c>
      <c r="AG7269">
        <v>-1.1212837301509999</v>
      </c>
      <c r="AH7269">
        <v>7.9393265952208596</v>
      </c>
      <c r="AI7269">
        <v>96.1566924142045</v>
      </c>
      <c r="AJ7269">
        <v>130.20130852454199</v>
      </c>
      <c r="AK7269">
        <v>10.455066032651001</v>
      </c>
      <c r="AL7269">
        <v>94.548866323429493</v>
      </c>
      <c r="AM7269">
        <v>111.15748405436599</v>
      </c>
      <c r="AN7269">
        <v>0.99999992198440002</v>
      </c>
    </row>
    <row r="7270" spans="1:40" x14ac:dyDescent="0.25">
      <c r="A7270" t="str">
        <f>"20190303154953693"</f>
        <v>20190303154953693</v>
      </c>
      <c r="B7270" t="str">
        <f>"1551599393688434"</f>
        <v>1551599393688434</v>
      </c>
      <c r="C7270" t="s">
        <v>40</v>
      </c>
      <c r="D7270">
        <v>5.2744419999999996</v>
      </c>
      <c r="E7270">
        <v>0.37477870000000002</v>
      </c>
      <c r="F7270" t="s">
        <v>64</v>
      </c>
      <c r="G7270">
        <v>-295.11169999999998</v>
      </c>
      <c r="H7270" s="1">
        <v>-8.7300799999999999E-6</v>
      </c>
      <c r="I7270">
        <v>-52.676299999999998</v>
      </c>
      <c r="J7270">
        <v>-302.33760000000001</v>
      </c>
      <c r="K7270">
        <v>1.1214440000000001</v>
      </c>
      <c r="L7270">
        <v>-45.035220000000002</v>
      </c>
      <c r="M7270">
        <v>5.1031460000000001E-2</v>
      </c>
      <c r="N7270">
        <v>-1.3238410000000001E-2</v>
      </c>
      <c r="O7270">
        <v>-0.99860939999999998</v>
      </c>
      <c r="P7270">
        <v>0.41425260000000003</v>
      </c>
      <c r="Q7270">
        <v>-9.0892870000000001E-2</v>
      </c>
      <c r="R7270">
        <v>-0.90561230000000004</v>
      </c>
      <c r="S7270">
        <v>2.1334840000000002</v>
      </c>
      <c r="T7270">
        <v>-0.33056400000000002</v>
      </c>
      <c r="U7270">
        <v>-2.3130799999999998</v>
      </c>
      <c r="V7270">
        <v>-0.36740630000000002</v>
      </c>
      <c r="W7270">
        <v>-7.9040879999999994E-2</v>
      </c>
      <c r="X7270">
        <v>0.92669579999999996</v>
      </c>
      <c r="Y7270">
        <v>-0.63623249999999998</v>
      </c>
      <c r="Z7270">
        <v>9.3356129999999996E-2</v>
      </c>
      <c r="AA7270">
        <v>0.76582830000000002</v>
      </c>
      <c r="AB7270">
        <v>19</v>
      </c>
      <c r="AC7270">
        <v>7.2259000000000198</v>
      </c>
      <c r="AD7270">
        <v>-1.1214527300799999</v>
      </c>
      <c r="AE7270">
        <v>-7.6410799999999899</v>
      </c>
      <c r="AF7270">
        <v>-6.7497605796920501</v>
      </c>
      <c r="AG7270">
        <v>-1.1214527300799999</v>
      </c>
      <c r="AH7270">
        <v>7.9099567643207003</v>
      </c>
      <c r="AI7270">
        <v>96.155478000340295</v>
      </c>
      <c r="AJ7270">
        <v>130.47494151168399</v>
      </c>
      <c r="AK7270">
        <v>10.458696865403001</v>
      </c>
      <c r="AL7270">
        <v>94.533437728411002</v>
      </c>
      <c r="AM7270">
        <v>111.626798669663</v>
      </c>
      <c r="AN7270">
        <v>0.99999997786425199</v>
      </c>
    </row>
    <row r="7271" spans="1:40" x14ac:dyDescent="0.25">
      <c r="A7271" t="str">
        <f>"20190303154953714"</f>
        <v>20190303154953714</v>
      </c>
      <c r="B7271" t="str">
        <f>"1551599393707955"</f>
        <v>1551599393707955</v>
      </c>
      <c r="C7271" t="s">
        <v>40</v>
      </c>
      <c r="D7271">
        <v>5.2800089999999997</v>
      </c>
      <c r="E7271">
        <v>0.37527640000000001</v>
      </c>
      <c r="F7271" t="s">
        <v>64</v>
      </c>
      <c r="G7271">
        <v>-295.0145</v>
      </c>
      <c r="H7271" s="1">
        <v>-8.7430439999999995E-6</v>
      </c>
      <c r="I7271">
        <v>-52.864339999999999</v>
      </c>
      <c r="J7271">
        <v>-302.32709999999997</v>
      </c>
      <c r="K7271">
        <v>1.1216360000000001</v>
      </c>
      <c r="L7271">
        <v>-45.224089999999997</v>
      </c>
      <c r="M7271">
        <v>5.1898180000000002E-2</v>
      </c>
      <c r="N7271">
        <v>-1.313488E-2</v>
      </c>
      <c r="O7271">
        <v>-0.99856599999999995</v>
      </c>
      <c r="P7271">
        <v>0.42191390000000001</v>
      </c>
      <c r="Q7271">
        <v>-9.1032189999999999E-2</v>
      </c>
      <c r="R7271">
        <v>-0.90205420000000003</v>
      </c>
      <c r="S7271">
        <v>2.1484679999999998</v>
      </c>
      <c r="T7271">
        <v>-0.32901160000000002</v>
      </c>
      <c r="U7271">
        <v>-2.2969059999999999</v>
      </c>
      <c r="V7271">
        <v>-0.37440040000000002</v>
      </c>
      <c r="W7271">
        <v>-7.9500589999999996E-2</v>
      </c>
      <c r="X7271">
        <v>0.92385280000000003</v>
      </c>
      <c r="Y7271">
        <v>-0.64092579999999999</v>
      </c>
      <c r="Z7271">
        <v>9.3071600000000004E-2</v>
      </c>
      <c r="AA7271">
        <v>0.76193959999999905</v>
      </c>
      <c r="AB7271">
        <v>19</v>
      </c>
      <c r="AC7271">
        <v>7.3125999999999696</v>
      </c>
      <c r="AD7271">
        <v>-1.121644743044</v>
      </c>
      <c r="AE7271">
        <v>-7.64025</v>
      </c>
      <c r="AF7271">
        <v>-6.8293760270301798</v>
      </c>
      <c r="AG7271">
        <v>-1.121644743044</v>
      </c>
      <c r="AH7271">
        <v>7.9204049093422002</v>
      </c>
      <c r="AI7271">
        <v>96.121608794034998</v>
      </c>
      <c r="AJ7271">
        <v>130.76958366956899</v>
      </c>
      <c r="AK7271">
        <v>10.5181404143558</v>
      </c>
      <c r="AL7271">
        <v>94.559860220885398</v>
      </c>
      <c r="AM7271">
        <v>112.060734163582</v>
      </c>
      <c r="AN7271">
        <v>0.99999999969917397</v>
      </c>
    </row>
    <row r="7272" spans="1:40" x14ac:dyDescent="0.25">
      <c r="A7272" t="str">
        <f>"20190303154953754"</f>
        <v>20190303154953754</v>
      </c>
      <c r="B7272" t="str">
        <f>"1551599393747971"</f>
        <v>1551599393747971</v>
      </c>
      <c r="C7272" t="s">
        <v>40</v>
      </c>
      <c r="D7272">
        <v>5.2112210000000001</v>
      </c>
      <c r="E7272">
        <v>0.3897581</v>
      </c>
      <c r="F7272" t="s">
        <v>64</v>
      </c>
      <c r="G7272">
        <v>-294.93740000000003</v>
      </c>
      <c r="H7272" s="1">
        <v>-8.7536980000000001E-6</v>
      </c>
      <c r="I7272">
        <v>-53.010249999999999</v>
      </c>
      <c r="J7272">
        <v>-302.30680000000001</v>
      </c>
      <c r="K7272">
        <v>1.122109</v>
      </c>
      <c r="L7272">
        <v>-45.560670000000002</v>
      </c>
      <c r="M7272">
        <v>5.4535510000000002E-2</v>
      </c>
      <c r="N7272">
        <v>-1.2969990000000001E-2</v>
      </c>
      <c r="O7272">
        <v>-0.99842770000000003</v>
      </c>
      <c r="P7272">
        <v>0.43649529999999997</v>
      </c>
      <c r="Q7272">
        <v>-9.0529940000000003E-2</v>
      </c>
      <c r="R7272">
        <v>-0.8951403</v>
      </c>
      <c r="S7272">
        <v>2.1642459999999999</v>
      </c>
      <c r="T7272">
        <v>-0.32849610000000001</v>
      </c>
      <c r="U7272">
        <v>-2.2803339999999999</v>
      </c>
      <c r="V7272">
        <v>-0.38680759999999997</v>
      </c>
      <c r="W7272">
        <v>-7.9682680000000006E-2</v>
      </c>
      <c r="X7272">
        <v>0.91871139999999996</v>
      </c>
      <c r="Y7272">
        <v>-0.64442940000000004</v>
      </c>
      <c r="Z7272">
        <v>9.3225520000000006E-2</v>
      </c>
      <c r="AA7272">
        <v>0.75895970000000001</v>
      </c>
      <c r="AB7272">
        <v>19</v>
      </c>
      <c r="AC7272">
        <v>7.3693999999999802</v>
      </c>
      <c r="AD7272">
        <v>-1.122117753698</v>
      </c>
      <c r="AE7272">
        <v>-7.4495799999999903</v>
      </c>
      <c r="AF7272">
        <v>-6.8733127946378696</v>
      </c>
      <c r="AG7272">
        <v>-1.122117753698</v>
      </c>
      <c r="AH7272">
        <v>7.7515312715784104</v>
      </c>
      <c r="AI7272">
        <v>96.181778428669304</v>
      </c>
      <c r="AJ7272">
        <v>131.56352844173401</v>
      </c>
      <c r="AK7272">
        <v>10.420547686199299</v>
      </c>
      <c r="AL7272">
        <v>94.570326215882702</v>
      </c>
      <c r="AM7272">
        <v>112.832687258297</v>
      </c>
      <c r="AN7272">
        <v>1.0000000426998501</v>
      </c>
    </row>
    <row r="7273" spans="1:40" x14ac:dyDescent="0.25">
      <c r="A7273" t="str">
        <f>"20190303154953785"</f>
        <v>20190303154953785</v>
      </c>
      <c r="B7273" t="str">
        <f>"1551599393777757"</f>
        <v>1551599393777757</v>
      </c>
      <c r="C7273" t="s">
        <v>40</v>
      </c>
      <c r="D7273">
        <v>5.2194909999999997</v>
      </c>
      <c r="E7273">
        <v>0.39049669999999997</v>
      </c>
      <c r="F7273" t="s">
        <v>64</v>
      </c>
      <c r="G7273">
        <v>-294.92630000000003</v>
      </c>
      <c r="H7273" s="1">
        <v>-8.6867109999999994E-6</v>
      </c>
      <c r="I7273">
        <v>-53.640309999999999</v>
      </c>
      <c r="J7273">
        <v>-302.28890000000001</v>
      </c>
      <c r="K7273">
        <v>1.122482</v>
      </c>
      <c r="L7273">
        <v>-45.827939999999998</v>
      </c>
      <c r="M7273">
        <v>5.7501579999999997E-2</v>
      </c>
      <c r="N7273">
        <v>-1.2838469999999999E-2</v>
      </c>
      <c r="O7273">
        <v>-0.99826300000000001</v>
      </c>
      <c r="P7273">
        <v>0.44498460000000001</v>
      </c>
      <c r="Q7273">
        <v>-8.8819029999999993E-2</v>
      </c>
      <c r="R7273">
        <v>-0.89112289999999905</v>
      </c>
      <c r="S7273">
        <v>2.097626</v>
      </c>
      <c r="T7273">
        <v>-0.3189186</v>
      </c>
      <c r="U7273">
        <v>-2.2963260000000001</v>
      </c>
      <c r="V7273">
        <v>-0.39271699999999998</v>
      </c>
      <c r="W7273">
        <v>-7.8507889999999997E-2</v>
      </c>
      <c r="X7273">
        <v>0.91630230000000001</v>
      </c>
      <c r="Y7273">
        <v>-0.62766750000000004</v>
      </c>
      <c r="Z7273">
        <v>9.1426380000000002E-2</v>
      </c>
      <c r="AA7273">
        <v>0.77309430000000001</v>
      </c>
      <c r="AB7273">
        <v>19</v>
      </c>
      <c r="AC7273">
        <v>7.36259999999998</v>
      </c>
      <c r="AD7273">
        <v>-1.1224906867110001</v>
      </c>
      <c r="AE7273">
        <v>-7.8123699999999898</v>
      </c>
      <c r="AF7273">
        <v>-6.8265177618419601</v>
      </c>
      <c r="AG7273">
        <v>-1.1224906867110001</v>
      </c>
      <c r="AH7273">
        <v>8.1339057079747494</v>
      </c>
      <c r="AI7273">
        <v>96.034129667408607</v>
      </c>
      <c r="AJ7273">
        <v>130.00562326491001</v>
      </c>
      <c r="AK7273">
        <v>10.6780968416998</v>
      </c>
      <c r="AL7273">
        <v>94.502804275222005</v>
      </c>
      <c r="AM7273">
        <v>113.199436487162</v>
      </c>
      <c r="AN7273">
        <v>1.00000001793327</v>
      </c>
    </row>
    <row r="7274" spans="1:40" x14ac:dyDescent="0.25">
      <c r="A7274" t="str">
        <f>"20190303154953811"</f>
        <v>20190303154953811</v>
      </c>
      <c r="B7274" t="str">
        <f>"1551599393808014"</f>
        <v>1551599393808014</v>
      </c>
      <c r="C7274" t="s">
        <v>40</v>
      </c>
      <c r="D7274">
        <v>5.1988949999999896</v>
      </c>
      <c r="E7274">
        <v>0.39657789999999998</v>
      </c>
      <c r="F7274" t="s">
        <v>64</v>
      </c>
      <c r="G7274">
        <v>-294.77289999999999</v>
      </c>
      <c r="H7274" s="1">
        <v>-8.707797E-6</v>
      </c>
      <c r="I7274">
        <v>-53.931669999999997</v>
      </c>
      <c r="J7274">
        <v>-302.27170000000001</v>
      </c>
      <c r="K7274">
        <v>1.122722</v>
      </c>
      <c r="L7274">
        <v>-46.061070000000001</v>
      </c>
      <c r="M7274">
        <v>6.0694440000000002E-2</v>
      </c>
      <c r="N7274">
        <v>-1.2710529999999999E-2</v>
      </c>
      <c r="O7274">
        <v>-0.99807559999999995</v>
      </c>
      <c r="P7274">
        <v>0.45328170000000001</v>
      </c>
      <c r="Q7274">
        <v>-8.6657120000000004E-2</v>
      </c>
      <c r="R7274">
        <v>-0.88714509999999902</v>
      </c>
      <c r="S7274">
        <v>2.1141049999999999</v>
      </c>
      <c r="T7274">
        <v>-0.31573449999999997</v>
      </c>
      <c r="U7274">
        <v>-2.2794189999999999</v>
      </c>
      <c r="V7274">
        <v>-0.39826889999999998</v>
      </c>
      <c r="W7274">
        <v>-7.6767260000000004E-2</v>
      </c>
      <c r="X7274">
        <v>0.91405069999999999</v>
      </c>
      <c r="Y7274">
        <v>-0.63109199999999999</v>
      </c>
      <c r="Z7274">
        <v>9.0693720000000005E-2</v>
      </c>
      <c r="AA7274">
        <v>0.77038790000000001</v>
      </c>
      <c r="AB7274">
        <v>19</v>
      </c>
      <c r="AC7274">
        <v>7.4988000000000099</v>
      </c>
      <c r="AD7274">
        <v>-1.1227307077969999</v>
      </c>
      <c r="AE7274">
        <v>-7.8705999999999898</v>
      </c>
      <c r="AF7274">
        <v>-6.9332803780181704</v>
      </c>
      <c r="AG7274">
        <v>-1.1227307077969999</v>
      </c>
      <c r="AH7274">
        <v>8.2235448422132702</v>
      </c>
      <c r="AI7274">
        <v>95.958915651236296</v>
      </c>
      <c r="AJ7274">
        <v>130.13427749850899</v>
      </c>
      <c r="AK7274">
        <v>10.8146932834146</v>
      </c>
      <c r="AL7274">
        <v>94.402771632222596</v>
      </c>
      <c r="AM7274">
        <v>113.543653073415</v>
      </c>
      <c r="AN7274">
        <v>1.0000000055428</v>
      </c>
    </row>
    <row r="7275" spans="1:40" x14ac:dyDescent="0.25">
      <c r="A7275" t="str">
        <f>"20190303154953842"</f>
        <v>20190303154953842</v>
      </c>
      <c r="B7275" t="str">
        <f>"1551599393838269"</f>
        <v>1551599393838269</v>
      </c>
      <c r="C7275" t="s">
        <v>40</v>
      </c>
      <c r="D7275">
        <v>5.2345069999999998</v>
      </c>
      <c r="E7275">
        <v>0.39694269999999998</v>
      </c>
      <c r="F7275" t="s">
        <v>64</v>
      </c>
      <c r="G7275">
        <v>-294.00659999999999</v>
      </c>
      <c r="H7275" s="1">
        <v>-8.8555849999999993E-6</v>
      </c>
      <c r="I7275">
        <v>-55.081760000000003</v>
      </c>
      <c r="J7275">
        <v>-302.25080000000003</v>
      </c>
      <c r="K7275">
        <v>1.122895</v>
      </c>
      <c r="L7275">
        <v>-46.32394</v>
      </c>
      <c r="M7275">
        <v>6.4848439999999993E-2</v>
      </c>
      <c r="N7275">
        <v>-1.254565E-2</v>
      </c>
      <c r="O7275">
        <v>-0.99781640000000005</v>
      </c>
      <c r="P7275">
        <v>0.46746159999999998</v>
      </c>
      <c r="Q7275">
        <v>-8.3213860000000001E-2</v>
      </c>
      <c r="R7275">
        <v>-0.88008819999999999</v>
      </c>
      <c r="S7275">
        <v>2.093048</v>
      </c>
      <c r="T7275">
        <v>-0.28431960000000001</v>
      </c>
      <c r="U7275">
        <v>-2.2843930000000001</v>
      </c>
      <c r="V7275">
        <v>-0.40905019999999997</v>
      </c>
      <c r="W7275">
        <v>-7.3777960000000004E-2</v>
      </c>
      <c r="X7275">
        <v>0.90952440000000001</v>
      </c>
      <c r="Y7275">
        <v>-0.62375970000000003</v>
      </c>
      <c r="Z7275">
        <v>8.1090229999999999E-2</v>
      </c>
      <c r="AA7275">
        <v>0.77739829999999999</v>
      </c>
      <c r="AB7275">
        <v>19</v>
      </c>
      <c r="AC7275">
        <v>8.2442000000000295</v>
      </c>
      <c r="AD7275">
        <v>-1.1229038555849999</v>
      </c>
      <c r="AE7275">
        <v>-8.7578199999999899</v>
      </c>
      <c r="AF7275">
        <v>-7.5926906717063796</v>
      </c>
      <c r="AG7275">
        <v>-1.1229038555849999</v>
      </c>
      <c r="AH7275">
        <v>9.1939142044220894</v>
      </c>
      <c r="AI7275">
        <v>95.379867268286503</v>
      </c>
      <c r="AJ7275">
        <v>129.551214334496</v>
      </c>
      <c r="AK7275">
        <v>11.9765572308313</v>
      </c>
      <c r="AL7275">
        <v>94.231010266778398</v>
      </c>
      <c r="AM7275">
        <v>114.21539232246499</v>
      </c>
      <c r="AN7275">
        <v>0.99999994384857904</v>
      </c>
    </row>
    <row r="7276" spans="1:40" x14ac:dyDescent="0.25">
      <c r="A7276" t="str">
        <f>"20190303154953873"</f>
        <v>20190303154953873</v>
      </c>
      <c r="B7276" t="str">
        <f>"1551599393868055"</f>
        <v>1551599393868055</v>
      </c>
      <c r="C7276" t="s">
        <v>40</v>
      </c>
      <c r="D7276">
        <v>5.2725229999999996</v>
      </c>
      <c r="E7276">
        <v>0.39770080000000002</v>
      </c>
      <c r="F7276" t="s">
        <v>64</v>
      </c>
      <c r="G7276">
        <v>-293.49489999999997</v>
      </c>
      <c r="H7276" s="1">
        <v>-8.990048E-6</v>
      </c>
      <c r="I7276">
        <v>-55.597929999999998</v>
      </c>
      <c r="J7276">
        <v>-302.22770000000003</v>
      </c>
      <c r="K7276">
        <v>1.123011</v>
      </c>
      <c r="L7276">
        <v>-46.591340000000002</v>
      </c>
      <c r="M7276">
        <v>6.9669999999999996E-2</v>
      </c>
      <c r="N7276">
        <v>-1.234797E-2</v>
      </c>
      <c r="O7276">
        <v>-0.99749379999999999</v>
      </c>
      <c r="P7276">
        <v>0.47686119999999999</v>
      </c>
      <c r="Q7276">
        <v>-8.2788319999999999E-2</v>
      </c>
      <c r="R7276">
        <v>-0.87507119999999905</v>
      </c>
      <c r="S7276">
        <v>2.1271969999999998</v>
      </c>
      <c r="T7276">
        <v>-0.27280549999999998</v>
      </c>
      <c r="U7276">
        <v>-2.253082</v>
      </c>
      <c r="V7276">
        <v>-0.41435699999999998</v>
      </c>
      <c r="W7276">
        <v>-7.3728539999999995E-2</v>
      </c>
      <c r="X7276">
        <v>0.90712309999999996</v>
      </c>
      <c r="Y7276">
        <v>-0.63178239999999997</v>
      </c>
      <c r="Z7276">
        <v>7.7705999999999997E-2</v>
      </c>
      <c r="AA7276">
        <v>0.77124110000000001</v>
      </c>
      <c r="AB7276">
        <v>19</v>
      </c>
      <c r="AC7276">
        <v>8.7328000000000507</v>
      </c>
      <c r="AD7276">
        <v>-1.123019990048</v>
      </c>
      <c r="AE7276">
        <v>-9.0065899999999992</v>
      </c>
      <c r="AF7276">
        <v>-8.0197732531637893</v>
      </c>
      <c r="AG7276">
        <v>-1.123019990048</v>
      </c>
      <c r="AH7276">
        <v>9.5168979759906698</v>
      </c>
      <c r="AI7276">
        <v>95.156161029896893</v>
      </c>
      <c r="AJ7276">
        <v>130.120428415969</v>
      </c>
      <c r="AK7276">
        <v>12.495970711218201</v>
      </c>
      <c r="AL7276">
        <v>94.228170866490899</v>
      </c>
      <c r="AM7276">
        <v>114.55004096856401</v>
      </c>
      <c r="AN7276">
        <v>0.99999996980657002</v>
      </c>
    </row>
    <row r="7277" spans="1:40" x14ac:dyDescent="0.25">
      <c r="A7277" t="str">
        <f>"20190303154953909"</f>
        <v>20190303154953909</v>
      </c>
      <c r="B7277" t="str">
        <f>"1551599393898312"</f>
        <v>1551599393898312</v>
      </c>
      <c r="C7277" t="s">
        <v>40</v>
      </c>
      <c r="D7277">
        <v>5.2751749999999999</v>
      </c>
      <c r="E7277">
        <v>0.39919850000000001</v>
      </c>
      <c r="F7277" t="s">
        <v>64</v>
      </c>
      <c r="G7277">
        <v>-293.28989999999999</v>
      </c>
      <c r="H7277" s="1">
        <v>-9.0350439999999994E-6</v>
      </c>
      <c r="I7277">
        <v>-55.893639999999998</v>
      </c>
      <c r="J7277">
        <v>-302.19889999999998</v>
      </c>
      <c r="K7277">
        <v>1.1230979999999999</v>
      </c>
      <c r="L7277">
        <v>-46.8996</v>
      </c>
      <c r="M7277">
        <v>7.5666040000000004E-2</v>
      </c>
      <c r="N7277">
        <v>-1.2086650000000001E-2</v>
      </c>
      <c r="O7277">
        <v>-0.99705999999999995</v>
      </c>
      <c r="P7277">
        <v>0.49223</v>
      </c>
      <c r="Q7277">
        <v>-8.3712229999999999E-2</v>
      </c>
      <c r="R7277">
        <v>-0.86643049999999999</v>
      </c>
      <c r="S7277">
        <v>2.145905</v>
      </c>
      <c r="T7277">
        <v>-0.269630599999999</v>
      </c>
      <c r="U7277">
        <v>-2.2334290000000001</v>
      </c>
      <c r="V7277">
        <v>-0.4248517</v>
      </c>
      <c r="W7277">
        <v>-7.5129609999999999E-2</v>
      </c>
      <c r="X7277">
        <v>0.90214000000000005</v>
      </c>
      <c r="Y7277">
        <v>-0.63391809999999904</v>
      </c>
      <c r="Z7277">
        <v>7.7150679999999999E-2</v>
      </c>
      <c r="AA7277">
        <v>0.76954250000000002</v>
      </c>
      <c r="AB7277">
        <v>19</v>
      </c>
      <c r="AC7277">
        <v>8.90899999999999</v>
      </c>
      <c r="AD7277">
        <v>-1.123107035044</v>
      </c>
      <c r="AE7277">
        <v>-8.99404</v>
      </c>
      <c r="AF7277">
        <v>-8.1388055649095499</v>
      </c>
      <c r="AG7277">
        <v>-1.123107035044</v>
      </c>
      <c r="AH7277">
        <v>9.5671111337964696</v>
      </c>
      <c r="AI7277">
        <v>95.109500867186199</v>
      </c>
      <c r="AJ7277">
        <v>130.38803552900799</v>
      </c>
      <c r="AK7277">
        <v>12.610754968755</v>
      </c>
      <c r="AL7277">
        <v>94.308669410967198</v>
      </c>
      <c r="AM7277">
        <v>115.21751217878899</v>
      </c>
      <c r="AN7277">
        <v>1.00000000244582</v>
      </c>
    </row>
    <row r="7278" spans="1:40" x14ac:dyDescent="0.25">
      <c r="A7278" t="str">
        <f>"20190303154953936"</f>
        <v>20190303154953936</v>
      </c>
      <c r="B7278" t="str">
        <f>"1551599393928568"</f>
        <v>1551599393928568</v>
      </c>
      <c r="C7278" t="s">
        <v>40</v>
      </c>
      <c r="D7278">
        <v>4.8514989999999996</v>
      </c>
      <c r="E7278">
        <v>0.39843729999999999</v>
      </c>
      <c r="F7278" t="s">
        <v>64</v>
      </c>
      <c r="G7278">
        <v>-293.39330000000001</v>
      </c>
      <c r="H7278" s="1">
        <v>-9.0057749999999993E-6</v>
      </c>
      <c r="I7278">
        <v>-55.810540000000003</v>
      </c>
      <c r="J7278">
        <v>-302.17520000000002</v>
      </c>
      <c r="K7278">
        <v>1.123151</v>
      </c>
      <c r="L7278">
        <v>-47.13626</v>
      </c>
      <c r="M7278">
        <v>8.0535490000000001E-2</v>
      </c>
      <c r="N7278">
        <v>-1.184498E-2</v>
      </c>
      <c r="O7278">
        <v>-0.9966815</v>
      </c>
      <c r="P7278">
        <v>0.50137659999999995</v>
      </c>
      <c r="Q7278">
        <v>-8.2784830000000004E-2</v>
      </c>
      <c r="R7278">
        <v>-0.86125989999999997</v>
      </c>
      <c r="S7278">
        <v>2.1744080000000001</v>
      </c>
      <c r="T7278">
        <v>-0.27733279999999999</v>
      </c>
      <c r="U7278">
        <v>-2.2004090000000001</v>
      </c>
      <c r="V7278">
        <v>-0.4299654</v>
      </c>
      <c r="W7278">
        <v>-7.456778E-2</v>
      </c>
      <c r="X7278">
        <v>0.89976080000000003</v>
      </c>
      <c r="Y7278">
        <v>-0.64075530000000003</v>
      </c>
      <c r="Z7278">
        <v>8.0203460000000004E-2</v>
      </c>
      <c r="AA7278">
        <v>0.76354440000000001</v>
      </c>
      <c r="AB7278">
        <v>20</v>
      </c>
      <c r="AC7278">
        <v>8.7819000000000091</v>
      </c>
      <c r="AD7278">
        <v>-1.123160005775</v>
      </c>
      <c r="AE7278">
        <v>-8.6742799999999995</v>
      </c>
      <c r="AF7278">
        <v>-7.9885931399574899</v>
      </c>
      <c r="AG7278">
        <v>-1.123160005775</v>
      </c>
      <c r="AH7278">
        <v>9.2765993063597207</v>
      </c>
      <c r="AI7278">
        <v>95.241898577392504</v>
      </c>
      <c r="AJ7278">
        <v>130.733562189899</v>
      </c>
      <c r="AK7278">
        <v>12.2936733096785</v>
      </c>
      <c r="AL7278">
        <v>94.276388175676303</v>
      </c>
      <c r="AM7278">
        <v>115.541565433865</v>
      </c>
      <c r="AN7278">
        <v>1.0000000481139599</v>
      </c>
    </row>
    <row r="7279" spans="1:40" x14ac:dyDescent="0.25">
      <c r="A7279" t="str">
        <f>"20190303154953960"</f>
        <v>20190303154953960</v>
      </c>
      <c r="B7279" t="str">
        <f>"1551599393948088"</f>
        <v>1551599393948088</v>
      </c>
      <c r="C7279" t="s">
        <v>40</v>
      </c>
      <c r="D7279">
        <v>5.3121900000000002</v>
      </c>
      <c r="E7279">
        <v>0.39938829999999997</v>
      </c>
      <c r="F7279" t="s">
        <v>64</v>
      </c>
      <c r="G7279">
        <v>-293.52350000000001</v>
      </c>
      <c r="H7279" s="1">
        <v>-8.9716999999999992E-6</v>
      </c>
      <c r="I7279">
        <v>-55.677660000000003</v>
      </c>
      <c r="J7279">
        <v>-302.154</v>
      </c>
      <c r="K7279">
        <v>1.1232</v>
      </c>
      <c r="L7279">
        <v>-47.337400000000002</v>
      </c>
      <c r="M7279">
        <v>8.4842609999999999E-2</v>
      </c>
      <c r="N7279">
        <v>-1.1623130000000001E-2</v>
      </c>
      <c r="O7279">
        <v>-0.99632690000000002</v>
      </c>
      <c r="P7279">
        <v>0.50997159999999997</v>
      </c>
      <c r="Q7279">
        <v>-8.1202339999999998E-2</v>
      </c>
      <c r="R7279">
        <v>-0.8563499</v>
      </c>
      <c r="S7279">
        <v>2.2019959999999998</v>
      </c>
      <c r="T7279">
        <v>-0.2858617</v>
      </c>
      <c r="U7279">
        <v>-2.1739199999999999</v>
      </c>
      <c r="V7279">
        <v>-0.43505169999999999</v>
      </c>
      <c r="W7279">
        <v>-7.3321259999999999E-2</v>
      </c>
      <c r="X7279">
        <v>0.89741519999999997</v>
      </c>
      <c r="Y7279">
        <v>-0.64667509999999995</v>
      </c>
      <c r="Z7279">
        <v>8.3363619999999999E-2</v>
      </c>
      <c r="AA7279">
        <v>0.75819639999999999</v>
      </c>
      <c r="AB7279">
        <v>20</v>
      </c>
      <c r="AC7279">
        <v>8.6304999999999801</v>
      </c>
      <c r="AD7279">
        <v>-1.1232089717</v>
      </c>
      <c r="AE7279">
        <v>-8.34025999999999</v>
      </c>
      <c r="AF7279">
        <v>-7.8232021607905198</v>
      </c>
      <c r="AG7279">
        <v>-1.1232089717</v>
      </c>
      <c r="AH7279">
        <v>8.9639580474378704</v>
      </c>
      <c r="AI7279">
        <v>95.393060401806807</v>
      </c>
      <c r="AJ7279">
        <v>131.112494995844</v>
      </c>
      <c r="AK7279">
        <v>11.9505913794645</v>
      </c>
      <c r="AL7279">
        <v>94.204771918594105</v>
      </c>
      <c r="AM7279">
        <v>115.863322315632</v>
      </c>
      <c r="AN7279">
        <v>1.00000001501595</v>
      </c>
    </row>
    <row r="7280" spans="1:40" x14ac:dyDescent="0.25">
      <c r="A7280" t="str">
        <f>"20190303154953983"</f>
        <v>20190303154953983</v>
      </c>
      <c r="B7280" t="str">
        <f>"1551599393977875"</f>
        <v>1551599393977875</v>
      </c>
      <c r="C7280" t="s">
        <v>40</v>
      </c>
      <c r="D7280">
        <v>5.3593549999999999</v>
      </c>
      <c r="E7280">
        <v>0.39939520000000001</v>
      </c>
      <c r="F7280" t="s">
        <v>64</v>
      </c>
      <c r="G7280">
        <v>-293.42129999999997</v>
      </c>
      <c r="H7280" s="1">
        <v>-8.9936749999999999E-6</v>
      </c>
      <c r="I7280">
        <v>-55.829639999999998</v>
      </c>
      <c r="J7280">
        <v>-302.13069999999999</v>
      </c>
      <c r="K7280">
        <v>1.1232819999999999</v>
      </c>
      <c r="L7280">
        <v>-47.545499999999997</v>
      </c>
      <c r="M7280">
        <v>8.9531890000000003E-2</v>
      </c>
      <c r="N7280">
        <v>-1.139893E-2</v>
      </c>
      <c r="O7280">
        <v>-0.99591879999999999</v>
      </c>
      <c r="P7280">
        <v>0.51777309999999999</v>
      </c>
      <c r="Q7280">
        <v>-7.9950380000000001E-2</v>
      </c>
      <c r="R7280">
        <v>-0.85177429999999998</v>
      </c>
      <c r="S7280">
        <v>2.21698</v>
      </c>
      <c r="T7280">
        <v>-0.2851515</v>
      </c>
      <c r="U7280">
        <v>-2.155945</v>
      </c>
      <c r="V7280">
        <v>-0.438994</v>
      </c>
      <c r="W7280">
        <v>-7.242461E-2</v>
      </c>
      <c r="X7280">
        <v>0.89556630000000004</v>
      </c>
      <c r="Y7280">
        <v>-0.64880530000000003</v>
      </c>
      <c r="Z7280">
        <v>8.356276E-2</v>
      </c>
      <c r="AA7280">
        <v>0.75635240000000004</v>
      </c>
      <c r="AB7280">
        <v>20</v>
      </c>
      <c r="AC7280">
        <v>8.7094000000000094</v>
      </c>
      <c r="AD7280">
        <v>-1.123290993675</v>
      </c>
      <c r="AE7280">
        <v>-8.2841400000000007</v>
      </c>
      <c r="AF7280">
        <v>-7.8639971677996297</v>
      </c>
      <c r="AG7280">
        <v>-1.123290993675</v>
      </c>
      <c r="AH7280">
        <v>8.9525015870950995</v>
      </c>
      <c r="AI7280">
        <v>95.385238188539901</v>
      </c>
      <c r="AJ7280">
        <v>131.29650452881799</v>
      </c>
      <c r="AK7280">
        <v>11.9687726513027</v>
      </c>
      <c r="AL7280">
        <v>94.153260651012502</v>
      </c>
      <c r="AM7280">
        <v>116.113443836141</v>
      </c>
      <c r="AN7280">
        <v>1.0000000269326701</v>
      </c>
    </row>
    <row r="7281" spans="1:40" x14ac:dyDescent="0.25">
      <c r="A7281" t="str">
        <f>"20190303154954009"</f>
        <v>20190303154954009</v>
      </c>
      <c r="B7281" t="str">
        <f>"1551599393998370"</f>
        <v>1551599393998370</v>
      </c>
      <c r="C7281" t="s">
        <v>40</v>
      </c>
      <c r="D7281">
        <v>5.3988490000000002</v>
      </c>
      <c r="E7281">
        <v>0.40046130000000002</v>
      </c>
      <c r="F7281" t="s">
        <v>64</v>
      </c>
      <c r="G7281">
        <v>-293.37439999999998</v>
      </c>
      <c r="H7281" s="1">
        <v>-9.0029229999999994E-6</v>
      </c>
      <c r="I7281">
        <v>-55.907760000000003</v>
      </c>
      <c r="J7281">
        <v>-302.1053</v>
      </c>
      <c r="K7281">
        <v>1.1233900000000001</v>
      </c>
      <c r="L7281">
        <v>-47.76135</v>
      </c>
      <c r="M7281">
        <v>9.4670180000000007E-2</v>
      </c>
      <c r="N7281">
        <v>-1.1188439999999999E-2</v>
      </c>
      <c r="O7281">
        <v>-0.99544600000000005</v>
      </c>
      <c r="P7281">
        <v>0.52539380000000002</v>
      </c>
      <c r="Q7281">
        <v>-8.0134929999999993E-2</v>
      </c>
      <c r="R7281">
        <v>-0.84707719999999898</v>
      </c>
      <c r="S7281">
        <v>2.2363590000000002</v>
      </c>
      <c r="T7281">
        <v>-0.28688730000000001</v>
      </c>
      <c r="U7281">
        <v>-2.1357119999999998</v>
      </c>
      <c r="V7281">
        <v>-0.44237569999999998</v>
      </c>
      <c r="W7281">
        <v>-7.2985980000000006E-2</v>
      </c>
      <c r="X7281">
        <v>0.89385499999999996</v>
      </c>
      <c r="Y7281">
        <v>-0.65168419999999905</v>
      </c>
      <c r="Z7281">
        <v>8.4517809999999999E-2</v>
      </c>
      <c r="AA7281">
        <v>0.75376679999999996</v>
      </c>
      <c r="AB7281">
        <v>20</v>
      </c>
      <c r="AC7281">
        <v>8.7309000000000196</v>
      </c>
      <c r="AD7281">
        <v>-1.1233990029230001</v>
      </c>
      <c r="AE7281">
        <v>-8.1464099999999906</v>
      </c>
      <c r="AF7281">
        <v>-7.8509265570755904</v>
      </c>
      <c r="AG7281">
        <v>-1.1233990029230001</v>
      </c>
      <c r="AH7281">
        <v>8.8580263076817101</v>
      </c>
      <c r="AI7281">
        <v>95.421706827463893</v>
      </c>
      <c r="AJ7281">
        <v>131.55078071798999</v>
      </c>
      <c r="AK7281">
        <v>11.889646890969599</v>
      </c>
      <c r="AL7281">
        <v>94.185510298509598</v>
      </c>
      <c r="AM7281">
        <v>116.331161079905</v>
      </c>
      <c r="AN7281">
        <v>0.999999987126025</v>
      </c>
    </row>
    <row r="7282" spans="1:40" x14ac:dyDescent="0.25">
      <c r="A7282" t="str">
        <f>"20190303154954044"</f>
        <v>20190303154954044</v>
      </c>
      <c r="B7282" t="str">
        <f>"1551599394038387"</f>
        <v>1551599394038387</v>
      </c>
      <c r="C7282" t="s">
        <v>40</v>
      </c>
      <c r="D7282">
        <v>5.4511669999999999</v>
      </c>
      <c r="E7282">
        <v>0.40229369999999998</v>
      </c>
      <c r="F7282" t="s">
        <v>64</v>
      </c>
      <c r="G7282">
        <v>-293.35700000000003</v>
      </c>
      <c r="H7282" s="1">
        <v>-8.9989260000000007E-6</v>
      </c>
      <c r="I7282">
        <v>-56.011279999999999</v>
      </c>
      <c r="J7282">
        <v>-302.06700000000001</v>
      </c>
      <c r="K7282">
        <v>1.12357</v>
      </c>
      <c r="L7282">
        <v>-48.0657</v>
      </c>
      <c r="M7282">
        <v>0.1023217</v>
      </c>
      <c r="N7282">
        <v>-1.0933160000000001E-2</v>
      </c>
      <c r="O7282">
        <v>-0.9946914</v>
      </c>
      <c r="P7282">
        <v>0.53723189999999998</v>
      </c>
      <c r="Q7282">
        <v>-8.3359080000000002E-2</v>
      </c>
      <c r="R7282">
        <v>-0.83930530000000003</v>
      </c>
      <c r="S7282">
        <v>2.2480470000000001</v>
      </c>
      <c r="T7282">
        <v>-0.28867710000000002</v>
      </c>
      <c r="U7282">
        <v>-2.1199650000000001</v>
      </c>
      <c r="V7282">
        <v>-0.44800600000000002</v>
      </c>
      <c r="W7282">
        <v>-7.673692E-2</v>
      </c>
      <c r="X7282">
        <v>0.89073119999999995</v>
      </c>
      <c r="Y7282">
        <v>-0.65055499999999999</v>
      </c>
      <c r="Z7282">
        <v>8.5648950000000001E-2</v>
      </c>
      <c r="AA7282">
        <v>0.75461409999999995</v>
      </c>
      <c r="AB7282">
        <v>20</v>
      </c>
      <c r="AC7282">
        <v>8.7099999999999795</v>
      </c>
      <c r="AD7282">
        <v>-1.1235789989260001</v>
      </c>
      <c r="AE7282">
        <v>-7.9455799999999996</v>
      </c>
      <c r="AF7282">
        <v>-7.7805584651424802</v>
      </c>
      <c r="AG7282">
        <v>-1.1235789989260001</v>
      </c>
      <c r="AH7282">
        <v>8.7159840538115301</v>
      </c>
      <c r="AI7282">
        <v>95.493103000265805</v>
      </c>
      <c r="AJ7282">
        <v>131.75455599414599</v>
      </c>
      <c r="AK7282">
        <v>11.737457042418701</v>
      </c>
      <c r="AL7282">
        <v>94.401028156285406</v>
      </c>
      <c r="AM7282">
        <v>116.700763792071</v>
      </c>
      <c r="AN7282">
        <v>1.0000000007902601</v>
      </c>
    </row>
    <row r="7283" spans="1:40" x14ac:dyDescent="0.25">
      <c r="A7283" t="str">
        <f>"20190303154954075"</f>
        <v>20190303154954075</v>
      </c>
      <c r="B7283" t="str">
        <f>"1551599394068173"</f>
        <v>1551599394068173</v>
      </c>
      <c r="C7283" t="s">
        <v>40</v>
      </c>
      <c r="D7283">
        <v>5.4810420000000004</v>
      </c>
      <c r="E7283">
        <v>0.40345900000000001</v>
      </c>
      <c r="F7283" t="s">
        <v>64</v>
      </c>
      <c r="G7283">
        <v>-293.67630000000003</v>
      </c>
      <c r="H7283" s="1">
        <v>-8.9014109999999993E-6</v>
      </c>
      <c r="I7283">
        <v>-55.825069999999997</v>
      </c>
      <c r="J7283">
        <v>-302.03059999999999</v>
      </c>
      <c r="K7283">
        <v>1.123734</v>
      </c>
      <c r="L7283">
        <v>-48.334229999999998</v>
      </c>
      <c r="M7283">
        <v>0.1095772</v>
      </c>
      <c r="N7283">
        <v>-1.075155E-2</v>
      </c>
      <c r="O7283">
        <v>-0.99392009999999997</v>
      </c>
      <c r="P7283">
        <v>0.54526759999999996</v>
      </c>
      <c r="Q7283">
        <v>-8.4706920000000005E-2</v>
      </c>
      <c r="R7283">
        <v>-0.83397119999999902</v>
      </c>
      <c r="S7283">
        <v>2.264923</v>
      </c>
      <c r="T7283">
        <v>-0.3032917</v>
      </c>
      <c r="U7283">
        <v>-2.0945130000000001</v>
      </c>
      <c r="V7283">
        <v>-0.45002429999999899</v>
      </c>
      <c r="W7283">
        <v>-7.8487489999999993E-2</v>
      </c>
      <c r="X7283">
        <v>0.88956049999999998</v>
      </c>
      <c r="Y7283">
        <v>-0.65203449999999996</v>
      </c>
      <c r="Z7283">
        <v>9.1048560000000001E-2</v>
      </c>
      <c r="AA7283">
        <v>0.75270249999999905</v>
      </c>
      <c r="AB7283">
        <v>20</v>
      </c>
      <c r="AC7283">
        <v>8.3542999999999594</v>
      </c>
      <c r="AD7283">
        <v>-1.1237429014110001</v>
      </c>
      <c r="AE7283">
        <v>-7.4908399999999897</v>
      </c>
      <c r="AF7283">
        <v>-7.4088067892273504</v>
      </c>
      <c r="AG7283">
        <v>-1.1237429014110001</v>
      </c>
      <c r="AH7283">
        <v>8.2781937904388503</v>
      </c>
      <c r="AI7283">
        <v>95.775958454475898</v>
      </c>
      <c r="AJ7283">
        <v>131.82786390301399</v>
      </c>
      <c r="AK7283">
        <v>11.166096389546</v>
      </c>
      <c r="AL7283">
        <v>94.501631814545803</v>
      </c>
      <c r="AM7283">
        <v>116.834625094476</v>
      </c>
      <c r="AN7283">
        <v>1.0000000199186101</v>
      </c>
    </row>
    <row r="7284" spans="1:40" x14ac:dyDescent="0.25">
      <c r="A7284" t="str">
        <f>"20190303154954100"</f>
        <v>20190303154954100</v>
      </c>
      <c r="B7284" t="str">
        <f>"1551599394087693"</f>
        <v>1551599394087693</v>
      </c>
      <c r="C7284" t="s">
        <v>40</v>
      </c>
      <c r="D7284">
        <v>5.5008569999999999</v>
      </c>
      <c r="E7284">
        <v>0.4043812</v>
      </c>
      <c r="F7284" t="s">
        <v>64</v>
      </c>
      <c r="G7284">
        <v>-293.80619999999999</v>
      </c>
      <c r="H7284" s="1">
        <v>-8.8528939999999998E-6</v>
      </c>
      <c r="I7284">
        <v>-55.837949999999999</v>
      </c>
      <c r="J7284">
        <v>-301.99880000000002</v>
      </c>
      <c r="K7284">
        <v>1.1238870000000001</v>
      </c>
      <c r="L7284">
        <v>-48.555050000000001</v>
      </c>
      <c r="M7284">
        <v>0.11589969999999999</v>
      </c>
      <c r="N7284">
        <v>-1.062546E-2</v>
      </c>
      <c r="O7284">
        <v>-0.99320410000000003</v>
      </c>
      <c r="P7284">
        <v>0.55225080000000004</v>
      </c>
      <c r="Q7284">
        <v>-8.6492479999999997E-2</v>
      </c>
      <c r="R7284">
        <v>-0.82917929999999995</v>
      </c>
      <c r="S7284">
        <v>2.2766419999999998</v>
      </c>
      <c r="T7284">
        <v>-0.3110696</v>
      </c>
      <c r="U7284">
        <v>-2.0771480000000002</v>
      </c>
      <c r="V7284">
        <v>-0.45180510000000002</v>
      </c>
      <c r="W7284">
        <v>-8.0593999999999999E-2</v>
      </c>
      <c r="X7284">
        <v>0.88846879999999995</v>
      </c>
      <c r="Y7284">
        <v>-0.65207839999999995</v>
      </c>
      <c r="Z7284">
        <v>9.4044299999999997E-2</v>
      </c>
      <c r="AA7284">
        <v>0.75229609999999902</v>
      </c>
      <c r="AB7284">
        <v>20</v>
      </c>
      <c r="AC7284">
        <v>8.1926000000000201</v>
      </c>
      <c r="AD7284">
        <v>-1.123895852894</v>
      </c>
      <c r="AE7284">
        <v>-7.2828999999999899</v>
      </c>
      <c r="AF7284">
        <v>-7.2173788987533198</v>
      </c>
      <c r="AG7284">
        <v>-1.123895852894</v>
      </c>
      <c r="AH7284">
        <v>8.0982571842835291</v>
      </c>
      <c r="AI7284">
        <v>95.915136167974197</v>
      </c>
      <c r="AJ7284">
        <v>131.708261663146</v>
      </c>
      <c r="AK7284">
        <v>10.9057539619744</v>
      </c>
      <c r="AL7284">
        <v>94.622709565376297</v>
      </c>
      <c r="AM7284">
        <v>116.954295287406</v>
      </c>
      <c r="AN7284">
        <v>1.0000000248977201</v>
      </c>
    </row>
    <row r="7285" spans="1:40" x14ac:dyDescent="0.25">
      <c r="A7285" t="str">
        <f>"20190303154954127"</f>
        <v>20190303154954127</v>
      </c>
      <c r="B7285" t="str">
        <f>"1551599394117950"</f>
        <v>1551599394117950</v>
      </c>
      <c r="C7285" t="s">
        <v>40</v>
      </c>
      <c r="D7285">
        <v>5.4268049999999999</v>
      </c>
      <c r="E7285">
        <v>0.40343220000000002</v>
      </c>
      <c r="F7285" t="s">
        <v>64</v>
      </c>
      <c r="G7285">
        <v>-293.91390000000001</v>
      </c>
      <c r="H7285" s="1">
        <v>-8.8136399999999992E-6</v>
      </c>
      <c r="I7285">
        <v>-55.839039999999997</v>
      </c>
      <c r="J7285">
        <v>-301.96420000000001</v>
      </c>
      <c r="K7285">
        <v>1.1240859999999999</v>
      </c>
      <c r="L7285">
        <v>-48.781190000000002</v>
      </c>
      <c r="M7285">
        <v>0.12289559999999999</v>
      </c>
      <c r="N7285">
        <v>-1.051537E-2</v>
      </c>
      <c r="O7285">
        <v>-0.99236380000000002</v>
      </c>
      <c r="P7285">
        <v>0.56027229999999995</v>
      </c>
      <c r="Q7285">
        <v>-8.774564E-2</v>
      </c>
      <c r="R7285">
        <v>-0.82364769999999898</v>
      </c>
      <c r="S7285">
        <v>2.287811</v>
      </c>
      <c r="T7285">
        <v>-0.31802979999999997</v>
      </c>
      <c r="U7285">
        <v>-2.0611570000000001</v>
      </c>
      <c r="V7285">
        <v>-0.45412449999999999</v>
      </c>
      <c r="W7285">
        <v>-8.2224920000000007E-2</v>
      </c>
      <c r="X7285">
        <v>0.88713580000000003</v>
      </c>
      <c r="Y7285">
        <v>-0.65128900000000001</v>
      </c>
      <c r="Z7285">
        <v>9.6750429999999998E-2</v>
      </c>
      <c r="AA7285">
        <v>0.75263669999999905</v>
      </c>
      <c r="AB7285">
        <v>20</v>
      </c>
      <c r="AC7285">
        <v>8.0502999999999894</v>
      </c>
      <c r="AD7285">
        <v>-1.12409481364</v>
      </c>
      <c r="AE7285">
        <v>-7.0578500000000002</v>
      </c>
      <c r="AF7285">
        <v>-7.0441861666402099</v>
      </c>
      <c r="AG7285">
        <v>-1.12409481364</v>
      </c>
      <c r="AH7285">
        <v>7.9065810291263201</v>
      </c>
      <c r="AI7285">
        <v>96.059439021700598</v>
      </c>
      <c r="AJ7285">
        <v>131.69870496716501</v>
      </c>
      <c r="AK7285">
        <v>10.6488577542606</v>
      </c>
      <c r="AL7285">
        <v>94.716465898116397</v>
      </c>
      <c r="AM7285">
        <v>117.107890511812</v>
      </c>
      <c r="AN7285">
        <v>0.99999996330544705</v>
      </c>
    </row>
    <row r="7286" spans="1:40" x14ac:dyDescent="0.25">
      <c r="A7286" t="str">
        <f>"20190303154954156"</f>
        <v>20190303154954156</v>
      </c>
      <c r="B7286" t="str">
        <f>"1551599394148205"</f>
        <v>1551599394148205</v>
      </c>
      <c r="C7286" t="s">
        <v>40</v>
      </c>
      <c r="D7286">
        <v>5.4723790000000001</v>
      </c>
      <c r="E7286">
        <v>0.36162</v>
      </c>
      <c r="F7286" t="s">
        <v>64</v>
      </c>
      <c r="G7286">
        <v>-293.91730000000001</v>
      </c>
      <c r="H7286" s="1">
        <v>-8.8108399999999998E-6</v>
      </c>
      <c r="I7286">
        <v>-55.854439999999997</v>
      </c>
      <c r="J7286">
        <v>-301.9221</v>
      </c>
      <c r="K7286">
        <v>1.1243479999999999</v>
      </c>
      <c r="L7286">
        <v>-49.039059999999999</v>
      </c>
      <c r="M7286">
        <v>0.13146289999999999</v>
      </c>
      <c r="N7286">
        <v>-1.0404200000000001E-2</v>
      </c>
      <c r="O7286">
        <v>-0.9912666</v>
      </c>
      <c r="P7286">
        <v>0.57256169999999995</v>
      </c>
      <c r="Q7286">
        <v>-9.1859880000000005E-2</v>
      </c>
      <c r="R7286">
        <v>-0.81469919999999996</v>
      </c>
      <c r="S7286">
        <v>2.3138730000000001</v>
      </c>
      <c r="T7286">
        <v>-0.32323210000000002</v>
      </c>
      <c r="U7286">
        <v>-2.0339049999999999</v>
      </c>
      <c r="V7286">
        <v>-0.45971099999999998</v>
      </c>
      <c r="W7286">
        <v>-8.6859899999999907E-2</v>
      </c>
      <c r="X7286">
        <v>0.8838106</v>
      </c>
      <c r="Y7286">
        <v>-0.65381309999999904</v>
      </c>
      <c r="Z7286">
        <v>9.8828189999999996E-2</v>
      </c>
      <c r="AA7286">
        <v>0.75017419999999901</v>
      </c>
      <c r="AB7286">
        <v>20</v>
      </c>
      <c r="AC7286">
        <v>8.0047999999999799</v>
      </c>
      <c r="AD7286">
        <v>-1.1243568108399999</v>
      </c>
      <c r="AE7286">
        <v>-6.8153800000000002</v>
      </c>
      <c r="AF7286">
        <v>-6.9596977946757796</v>
      </c>
      <c r="AG7286">
        <v>-1.1243568108399999</v>
      </c>
      <c r="AH7286">
        <v>7.7203111211858397</v>
      </c>
      <c r="AI7286">
        <v>96.173734376618299</v>
      </c>
      <c r="AJ7286">
        <v>132.03399374227899</v>
      </c>
      <c r="AK7286">
        <v>10.454892416433699</v>
      </c>
      <c r="AL7286">
        <v>94.982984875631104</v>
      </c>
      <c r="AM7286">
        <v>117.481038962677</v>
      </c>
      <c r="AN7286">
        <v>1.0000000112106799</v>
      </c>
    </row>
    <row r="7287" spans="1:40" x14ac:dyDescent="0.25">
      <c r="A7287" t="str">
        <f>"20190303154954193"</f>
        <v>20190303154954193</v>
      </c>
      <c r="B7287" t="str">
        <f>"1551599394188221"</f>
        <v>1551599394188221</v>
      </c>
      <c r="C7287" t="s">
        <v>40</v>
      </c>
      <c r="D7287">
        <v>5.503654</v>
      </c>
      <c r="E7287">
        <v>0.35969759999999901</v>
      </c>
      <c r="F7287" t="s">
        <v>64</v>
      </c>
      <c r="G7287">
        <v>-293.38889999999998</v>
      </c>
      <c r="H7287" s="1">
        <v>-9.0956150000000008E-6</v>
      </c>
      <c r="I7287">
        <v>-54.927280000000003</v>
      </c>
      <c r="J7287">
        <v>-301.86559999999997</v>
      </c>
      <c r="K7287">
        <v>1.1246959999999999</v>
      </c>
      <c r="L7287">
        <v>-49.359340000000003</v>
      </c>
      <c r="M7287">
        <v>0.14291519999999999</v>
      </c>
      <c r="N7287">
        <v>-1.028913E-2</v>
      </c>
      <c r="O7287">
        <v>-0.98968140000000004</v>
      </c>
      <c r="P7287">
        <v>0.58433069999999998</v>
      </c>
      <c r="Q7287">
        <v>-9.2158989999999996E-2</v>
      </c>
      <c r="R7287">
        <v>-0.80626540000000002</v>
      </c>
      <c r="S7287">
        <v>2.6159059999999998</v>
      </c>
      <c r="T7287">
        <v>-0.34467599999999998</v>
      </c>
      <c r="U7287">
        <v>-1.8050539999999999</v>
      </c>
      <c r="V7287">
        <v>-0.46224330000000002</v>
      </c>
      <c r="W7287">
        <v>-8.7716089999999997E-2</v>
      </c>
      <c r="X7287">
        <v>0.88240409999999903</v>
      </c>
      <c r="Y7287">
        <v>-0.72871239999999904</v>
      </c>
      <c r="Z7287">
        <v>0.1039337</v>
      </c>
      <c r="AA7287">
        <v>0.67688700000000002</v>
      </c>
      <c r="AB7287">
        <v>20</v>
      </c>
      <c r="AC7287">
        <v>8.4766999999999904</v>
      </c>
      <c r="AD7287">
        <v>-1.124705095615</v>
      </c>
      <c r="AE7287">
        <v>-5.5679400000000001</v>
      </c>
      <c r="AF7287">
        <v>-7.5016339042523903</v>
      </c>
      <c r="AG7287">
        <v>-1.124705095615</v>
      </c>
      <c r="AH7287">
        <v>6.6406235718884101</v>
      </c>
      <c r="AI7287">
        <v>96.405302113246705</v>
      </c>
      <c r="AJ7287">
        <v>138.48398700129499</v>
      </c>
      <c r="AK7287">
        <v>10.0815353101128</v>
      </c>
      <c r="AL7287">
        <v>95.032229024462396</v>
      </c>
      <c r="AM7287">
        <v>117.647586864692</v>
      </c>
      <c r="AN7287">
        <v>0.99999998826829295</v>
      </c>
    </row>
    <row r="7288" spans="1:40" x14ac:dyDescent="0.25">
      <c r="A7288" t="str">
        <f>"20190303154954223"</f>
        <v>20190303154954223</v>
      </c>
      <c r="B7288" t="str">
        <f>"1551599394218477"</f>
        <v>1551599394218477</v>
      </c>
      <c r="C7288" t="s">
        <v>40</v>
      </c>
      <c r="D7288">
        <v>5.4902389999999999</v>
      </c>
      <c r="E7288">
        <v>0.35673840000000001</v>
      </c>
      <c r="F7288" t="s">
        <v>64</v>
      </c>
      <c r="G7288">
        <v>-293.08179999999999</v>
      </c>
      <c r="H7288" s="1">
        <v>-9.1824050000000007E-6</v>
      </c>
      <c r="I7288">
        <v>-55.17615</v>
      </c>
      <c r="J7288">
        <v>-301.81659999999999</v>
      </c>
      <c r="K7288">
        <v>1.124935</v>
      </c>
      <c r="L7288">
        <v>-49.617550000000001</v>
      </c>
      <c r="M7288">
        <v>0.152782</v>
      </c>
      <c r="N7288">
        <v>-1.021555E-2</v>
      </c>
      <c r="O7288">
        <v>-0.98820730000000001</v>
      </c>
      <c r="P7288">
        <v>0.59480140000000004</v>
      </c>
      <c r="Q7288">
        <v>-9.0719869999999994E-2</v>
      </c>
      <c r="R7288">
        <v>-0.79873729999999998</v>
      </c>
      <c r="S7288">
        <v>2.6547550000000002</v>
      </c>
      <c r="T7288">
        <v>-0.33992220000000001</v>
      </c>
      <c r="U7288">
        <v>-1.7580260000000001</v>
      </c>
      <c r="V7288">
        <v>-0.4648813</v>
      </c>
      <c r="W7288">
        <v>-8.6682399999999896E-2</v>
      </c>
      <c r="X7288">
        <v>0.88111949999999895</v>
      </c>
      <c r="Y7288">
        <v>-0.734931</v>
      </c>
      <c r="Z7288">
        <v>0.102705</v>
      </c>
      <c r="AA7288">
        <v>0.67031940000000001</v>
      </c>
      <c r="AB7288">
        <v>20</v>
      </c>
      <c r="AC7288">
        <v>8.7347999999999999</v>
      </c>
      <c r="AD7288">
        <v>-1.1249441824049999</v>
      </c>
      <c r="AE7288">
        <v>-5.5585999999999904</v>
      </c>
      <c r="AF7288">
        <v>-7.69213347876053</v>
      </c>
      <c r="AG7288">
        <v>-1.1249441824049999</v>
      </c>
      <c r="AH7288">
        <v>6.7482570677289599</v>
      </c>
      <c r="AI7288">
        <v>96.273694533723102</v>
      </c>
      <c r="AJ7288">
        <v>138.73974055491499</v>
      </c>
      <c r="AK7288">
        <v>10.2943377796121</v>
      </c>
      <c r="AL7288">
        <v>94.972776340199601</v>
      </c>
      <c r="AM7288">
        <v>117.816263912053</v>
      </c>
      <c r="AN7288">
        <v>1.00000001741984</v>
      </c>
    </row>
    <row r="7289" spans="1:40" x14ac:dyDescent="0.25">
      <c r="A7289" t="str">
        <f>"20190303154954245"</f>
        <v>20190303154954245</v>
      </c>
      <c r="B7289" t="str">
        <f>"1551599394237997"</f>
        <v>1551599394237997</v>
      </c>
      <c r="C7289" t="s">
        <v>40</v>
      </c>
      <c r="D7289">
        <v>4.9120980000000003</v>
      </c>
      <c r="E7289">
        <v>0.35261769999999998</v>
      </c>
      <c r="F7289" t="s">
        <v>64</v>
      </c>
      <c r="G7289">
        <v>-292.74419999999998</v>
      </c>
      <c r="H7289" s="1">
        <v>-9.2856850000000005E-6</v>
      </c>
      <c r="I7289">
        <v>-55.370759999999997</v>
      </c>
      <c r="J7289">
        <v>-301.77510000000001</v>
      </c>
      <c r="K7289">
        <v>1.125129</v>
      </c>
      <c r="L7289">
        <v>-49.822569999999999</v>
      </c>
      <c r="M7289">
        <v>0.1610674</v>
      </c>
      <c r="N7289">
        <v>-1.0173E-2</v>
      </c>
      <c r="O7289">
        <v>-0.98689119999999997</v>
      </c>
      <c r="P7289">
        <v>0.60464359999999995</v>
      </c>
      <c r="Q7289">
        <v>-9.095512E-2</v>
      </c>
      <c r="R7289">
        <v>-0.79128599999999905</v>
      </c>
      <c r="S7289">
        <v>2.696472</v>
      </c>
      <c r="T7289">
        <v>-0.33435490000000001</v>
      </c>
      <c r="U7289">
        <v>-1.7099610000000001</v>
      </c>
      <c r="V7289">
        <v>-0.46835100000000002</v>
      </c>
      <c r="W7289">
        <v>-8.7224430000000006E-2</v>
      </c>
      <c r="X7289">
        <v>0.87922649999999902</v>
      </c>
      <c r="Y7289">
        <v>-0.74263380000000001</v>
      </c>
      <c r="Z7289">
        <v>0.10104340000000001</v>
      </c>
      <c r="AA7289">
        <v>0.66203120000000004</v>
      </c>
      <c r="AB7289">
        <v>20</v>
      </c>
      <c r="AC7289">
        <v>9.0309000000000292</v>
      </c>
      <c r="AD7289">
        <v>-1.1251382856850001</v>
      </c>
      <c r="AE7289">
        <v>-5.5481899999999902</v>
      </c>
      <c r="AF7289">
        <v>-7.9299352726975201</v>
      </c>
      <c r="AG7289">
        <v>-1.1251382856850001</v>
      </c>
      <c r="AH7289">
        <v>6.8531732885579002</v>
      </c>
      <c r="AI7289">
        <v>96.127294498258806</v>
      </c>
      <c r="AJ7289">
        <v>139.16591421809801</v>
      </c>
      <c r="AK7289">
        <v>10.541147646916301</v>
      </c>
      <c r="AL7289">
        <v>95.003950537796001</v>
      </c>
      <c r="AM7289">
        <v>118.043570428998</v>
      </c>
      <c r="AN7289">
        <v>0.99999999934603701</v>
      </c>
    </row>
    <row r="7290" spans="1:40" x14ac:dyDescent="0.25">
      <c r="A7290" t="str">
        <f>"20190303154954277"</f>
        <v>20190303154954277</v>
      </c>
      <c r="B7290" t="str">
        <f>"1551599394268253"</f>
        <v>1551599394268253</v>
      </c>
      <c r="C7290" t="s">
        <v>40</v>
      </c>
      <c r="D7290">
        <v>4.9255940000000002</v>
      </c>
      <c r="E7290">
        <v>0.35188150000000001</v>
      </c>
      <c r="F7290" t="s">
        <v>64</v>
      </c>
      <c r="G7290">
        <v>-292.56189999999998</v>
      </c>
      <c r="H7290" s="1">
        <v>-9.3506979999999996E-6</v>
      </c>
      <c r="I7290">
        <v>-55.383710000000001</v>
      </c>
      <c r="J7290">
        <v>-301.71690000000001</v>
      </c>
      <c r="K7290">
        <v>1.1253500000000001</v>
      </c>
      <c r="L7290">
        <v>-50.094270000000002</v>
      </c>
      <c r="M7290">
        <v>0.17251050000000001</v>
      </c>
      <c r="N7290">
        <v>-1.0132759999999999E-2</v>
      </c>
      <c r="O7290">
        <v>-0.98495549999999998</v>
      </c>
      <c r="P7290">
        <v>0.61339069999999996</v>
      </c>
      <c r="Q7290">
        <v>-8.8045390000000001E-2</v>
      </c>
      <c r="R7290">
        <v>-0.78485660000000002</v>
      </c>
      <c r="S7290">
        <v>2.7437740000000002</v>
      </c>
      <c r="T7290">
        <v>-0.33507629999999999</v>
      </c>
      <c r="U7290">
        <v>-1.656158</v>
      </c>
      <c r="V7290">
        <v>-0.46783770000000002</v>
      </c>
      <c r="W7290">
        <v>-8.4585930000000004E-2</v>
      </c>
      <c r="X7290">
        <v>0.87975740000000002</v>
      </c>
      <c r="Y7290">
        <v>-0.74946550000000001</v>
      </c>
      <c r="Z7290">
        <v>0.10143489999999999</v>
      </c>
      <c r="AA7290">
        <v>0.65422669999999905</v>
      </c>
      <c r="AB7290">
        <v>20</v>
      </c>
      <c r="AC7290">
        <v>9.1550000000000296</v>
      </c>
      <c r="AD7290">
        <v>-1.125359350698</v>
      </c>
      <c r="AE7290">
        <v>-5.2894399999999901</v>
      </c>
      <c r="AF7290">
        <v>-8.0144093131061993</v>
      </c>
      <c r="AG7290">
        <v>-1.125359350698</v>
      </c>
      <c r="AH7290">
        <v>6.7134920683250501</v>
      </c>
      <c r="AI7290">
        <v>96.143719315233398</v>
      </c>
      <c r="AJ7290">
        <v>140.047841975479</v>
      </c>
      <c r="AK7290">
        <v>10.515139849648699</v>
      </c>
      <c r="AL7290">
        <v>94.852214714195796</v>
      </c>
      <c r="AM7290">
        <v>118.00316775500799</v>
      </c>
      <c r="AN7290">
        <v>0.999999987975007</v>
      </c>
    </row>
    <row r="7291" spans="1:40" x14ac:dyDescent="0.25">
      <c r="A7291" t="str">
        <f>"20190303154954312"</f>
        <v>20190303154954312</v>
      </c>
      <c r="B7291" t="str">
        <f>"1551599394308269"</f>
        <v>1551599394308269</v>
      </c>
      <c r="C7291" t="s">
        <v>40</v>
      </c>
      <c r="D7291">
        <v>4.9395040000000003</v>
      </c>
      <c r="E7291">
        <v>0.35125580000000001</v>
      </c>
      <c r="F7291" t="s">
        <v>64</v>
      </c>
      <c r="G7291">
        <v>-291.93270000000001</v>
      </c>
      <c r="H7291" s="1">
        <v>-9.5344490000000004E-6</v>
      </c>
      <c r="I7291">
        <v>-55.834339999999997</v>
      </c>
      <c r="J7291">
        <v>-301.6472</v>
      </c>
      <c r="K7291">
        <v>1.1256189999999999</v>
      </c>
      <c r="L7291">
        <v>-50.397979999999997</v>
      </c>
      <c r="M7291">
        <v>0.18597079999999999</v>
      </c>
      <c r="N7291">
        <v>-1.0111119999999999E-2</v>
      </c>
      <c r="O7291">
        <v>-0.98250340000000003</v>
      </c>
      <c r="P7291">
        <v>0.62157680000000004</v>
      </c>
      <c r="Q7291">
        <v>-8.0506240000000007E-2</v>
      </c>
      <c r="R7291">
        <v>-0.77920519999999904</v>
      </c>
      <c r="S7291">
        <v>2.7676090000000002</v>
      </c>
      <c r="T7291">
        <v>-0.31832310000000003</v>
      </c>
      <c r="U7291">
        <v>-1.6236569999999999</v>
      </c>
      <c r="V7291">
        <v>-0.4649046</v>
      </c>
      <c r="W7291">
        <v>-7.7289479999999994E-2</v>
      </c>
      <c r="X7291">
        <v>0.88198080000000001</v>
      </c>
      <c r="Y7291">
        <v>-0.74911340000000004</v>
      </c>
      <c r="Z7291">
        <v>9.6286259999999999E-2</v>
      </c>
      <c r="AA7291">
        <v>0.65540679999999996</v>
      </c>
      <c r="AB7291">
        <v>20</v>
      </c>
      <c r="AC7291">
        <v>9.7144999999999797</v>
      </c>
      <c r="AD7291">
        <v>-1.125628534449</v>
      </c>
      <c r="AE7291">
        <v>-5.4363599999999996</v>
      </c>
      <c r="AF7291">
        <v>-8.4475901366118507</v>
      </c>
      <c r="AG7291">
        <v>-1.125628534449</v>
      </c>
      <c r="AH7291">
        <v>7.0758746659625098</v>
      </c>
      <c r="AI7291">
        <v>95.8324547864392</v>
      </c>
      <c r="AJ7291">
        <v>140.049768419938</v>
      </c>
      <c r="AK7291">
        <v>11.076859708516499</v>
      </c>
      <c r="AL7291">
        <v>94.432781639190495</v>
      </c>
      <c r="AM7291">
        <v>117.794351058806</v>
      </c>
      <c r="AN7291">
        <v>1.00000004119423</v>
      </c>
    </row>
    <row r="7292" spans="1:40" x14ac:dyDescent="0.25">
      <c r="A7292" t="str">
        <f>"20190303154954336"</f>
        <v>20190303154954336</v>
      </c>
      <c r="B7292" t="str">
        <f>"1551599394327789"</f>
        <v>1551599394327789</v>
      </c>
      <c r="C7292" t="s">
        <v>40</v>
      </c>
      <c r="D7292">
        <v>4.944394</v>
      </c>
      <c r="E7292">
        <v>0.34991529999999998</v>
      </c>
      <c r="F7292" t="s">
        <v>64</v>
      </c>
      <c r="G7292">
        <v>-290.85730000000001</v>
      </c>
      <c r="H7292" s="1">
        <v>-9.8522709999999995E-6</v>
      </c>
      <c r="I7292">
        <v>-56.5670199999999</v>
      </c>
      <c r="J7292">
        <v>-301.59559999999999</v>
      </c>
      <c r="K7292">
        <v>1.125807</v>
      </c>
      <c r="L7292">
        <v>-50.609589999999997</v>
      </c>
      <c r="M7292">
        <v>0.19572139999999999</v>
      </c>
      <c r="N7292">
        <v>-1.010833E-2</v>
      </c>
      <c r="O7292">
        <v>-0.98060769999999997</v>
      </c>
      <c r="P7292">
        <v>0.62755019999999995</v>
      </c>
      <c r="Q7292">
        <v>-7.7539940000000002E-2</v>
      </c>
      <c r="R7292">
        <v>-0.77470559999999999</v>
      </c>
      <c r="S7292">
        <v>2.7894589999999999</v>
      </c>
      <c r="T7292">
        <v>-0.29100280000000001</v>
      </c>
      <c r="U7292">
        <v>-1.594849</v>
      </c>
      <c r="V7292">
        <v>-0.46287089999999997</v>
      </c>
      <c r="W7292">
        <v>-7.448784E-2</v>
      </c>
      <c r="X7292">
        <v>0.88329049999999998</v>
      </c>
      <c r="Y7292">
        <v>-0.75062269999999998</v>
      </c>
      <c r="Z7292">
        <v>8.7495450000000002E-2</v>
      </c>
      <c r="AA7292">
        <v>0.6549123</v>
      </c>
      <c r="AB7292">
        <v>20</v>
      </c>
      <c r="AC7292">
        <v>10.738299999999899</v>
      </c>
      <c r="AD7292">
        <v>-1.1258168522709999</v>
      </c>
      <c r="AE7292">
        <v>-5.95742999999998</v>
      </c>
      <c r="AF7292">
        <v>-9.2864879697898193</v>
      </c>
      <c r="AG7292">
        <v>-1.1258168522709999</v>
      </c>
      <c r="AH7292">
        <v>7.8778091556740897</v>
      </c>
      <c r="AI7292">
        <v>95.281885120557007</v>
      </c>
      <c r="AJ7292">
        <v>139.69176615133799</v>
      </c>
      <c r="AK7292">
        <v>12.2297260595293</v>
      </c>
      <c r="AL7292">
        <v>94.271795350039596</v>
      </c>
      <c r="AM7292">
        <v>117.655896167097</v>
      </c>
      <c r="AN7292">
        <v>1.00000000788246</v>
      </c>
    </row>
    <row r="7293" spans="1:40" x14ac:dyDescent="0.25">
      <c r="A7293" t="str">
        <f>"20190303154954359"</f>
        <v>20190303154954359</v>
      </c>
      <c r="B7293" t="str">
        <f>"1551599394348286"</f>
        <v>1551599394348286</v>
      </c>
      <c r="C7293" t="s">
        <v>40</v>
      </c>
      <c r="D7293">
        <v>5.4735050000000003</v>
      </c>
      <c r="E7293">
        <v>0.3513117</v>
      </c>
      <c r="F7293" t="s">
        <v>64</v>
      </c>
      <c r="G7293">
        <v>-290.46039999999999</v>
      </c>
      <c r="H7293" s="1">
        <v>-9.9711839999999999E-6</v>
      </c>
      <c r="I7293">
        <v>-56.82123</v>
      </c>
      <c r="J7293">
        <v>-301.54300000000001</v>
      </c>
      <c r="K7293">
        <v>1.1259969999999999</v>
      </c>
      <c r="L7293">
        <v>-50.815399999999997</v>
      </c>
      <c r="M7293">
        <v>0.20547550000000001</v>
      </c>
      <c r="N7293">
        <v>-1.0112619999999999E-2</v>
      </c>
      <c r="O7293">
        <v>-0.97861010000000004</v>
      </c>
      <c r="P7293">
        <v>0.63335589999999997</v>
      </c>
      <c r="Q7293">
        <v>-7.4282879999999996E-2</v>
      </c>
      <c r="R7293">
        <v>-0.77028730000000001</v>
      </c>
      <c r="S7293">
        <v>2.810181</v>
      </c>
      <c r="T7293">
        <v>-0.28412140000000002</v>
      </c>
      <c r="U7293">
        <v>-1.5676270000000001</v>
      </c>
      <c r="V7293">
        <v>-0.46066259999999998</v>
      </c>
      <c r="W7293">
        <v>-7.1372169999999999E-2</v>
      </c>
      <c r="X7293">
        <v>0.88470110000000002</v>
      </c>
      <c r="Y7293">
        <v>-0.75114979999999998</v>
      </c>
      <c r="Z7293">
        <v>8.5377800000000004E-2</v>
      </c>
      <c r="AA7293">
        <v>0.65458729999999998</v>
      </c>
      <c r="AB7293">
        <v>20</v>
      </c>
      <c r="AC7293">
        <v>11.082599999999999</v>
      </c>
      <c r="AD7293">
        <v>-1.1260069711839999</v>
      </c>
      <c r="AE7293">
        <v>-6.0058299999999996</v>
      </c>
      <c r="AF7293">
        <v>-9.5358925652918298</v>
      </c>
      <c r="AG7293">
        <v>-1.1260069711839999</v>
      </c>
      <c r="AH7293">
        <v>8.0904275509912704</v>
      </c>
      <c r="AI7293">
        <v>95.1450793518853</v>
      </c>
      <c r="AJ7293">
        <v>139.68811057700299</v>
      </c>
      <c r="AK7293">
        <v>12.5561202874845</v>
      </c>
      <c r="AL7293">
        <v>94.092803814672905</v>
      </c>
      <c r="AM7293">
        <v>117.505928650429</v>
      </c>
      <c r="AN7293">
        <v>1.0000000270152301</v>
      </c>
    </row>
    <row r="7294" spans="1:40" x14ac:dyDescent="0.25">
      <c r="A7294" t="str">
        <f>"20190303154954384"</f>
        <v>20190303154954384</v>
      </c>
      <c r="B7294" t="str">
        <f>"1551599394377565"</f>
        <v>1551599394377565</v>
      </c>
      <c r="C7294" t="s">
        <v>40</v>
      </c>
      <c r="D7294">
        <v>5.4262370000000004</v>
      </c>
      <c r="E7294">
        <v>0.35284840000000001</v>
      </c>
      <c r="F7294" t="s">
        <v>64</v>
      </c>
      <c r="G7294">
        <v>-289.85520000000002</v>
      </c>
      <c r="H7294" s="1">
        <v>-1.6252309999999999E-6</v>
      </c>
      <c r="I7294">
        <v>-57.274760000000001</v>
      </c>
      <c r="J7294">
        <v>-301.48610000000002</v>
      </c>
      <c r="K7294">
        <v>1.126169</v>
      </c>
      <c r="L7294">
        <v>-51.026789999999998</v>
      </c>
      <c r="M7294">
        <v>0.2158043</v>
      </c>
      <c r="N7294">
        <v>-1.0123129999999999E-2</v>
      </c>
      <c r="O7294">
        <v>-0.97638449999999999</v>
      </c>
      <c r="P7294">
        <v>0.63964750000000004</v>
      </c>
      <c r="Q7294">
        <v>-7.0987430000000004E-2</v>
      </c>
      <c r="R7294">
        <v>-0.76538379999999995</v>
      </c>
      <c r="S7294">
        <v>2.8137210000000001</v>
      </c>
      <c r="T7294">
        <v>-0.27107229999999999</v>
      </c>
      <c r="U7294">
        <v>-1.555023</v>
      </c>
      <c r="V7294">
        <v>-0.4585148</v>
      </c>
      <c r="W7294">
        <v>-6.8206199999999995E-2</v>
      </c>
      <c r="X7294">
        <v>0.88606549999999995</v>
      </c>
      <c r="Y7294">
        <v>-0.74709230000000004</v>
      </c>
      <c r="Z7294">
        <v>8.1347989999999995E-2</v>
      </c>
      <c r="AA7294">
        <v>0.65972390000000003</v>
      </c>
      <c r="AB7294">
        <v>20</v>
      </c>
      <c r="AC7294">
        <v>11.630899999999899</v>
      </c>
      <c r="AD7294">
        <v>-1.126170625231</v>
      </c>
      <c r="AE7294">
        <v>-6.2479699999999898</v>
      </c>
      <c r="AF7294">
        <v>-9.9361092179305199</v>
      </c>
      <c r="AG7294">
        <v>-1.126170625231</v>
      </c>
      <c r="AH7294">
        <v>8.54866031837871</v>
      </c>
      <c r="AI7294">
        <v>94.910690910983902</v>
      </c>
      <c r="AJ7294">
        <v>139.292516653066</v>
      </c>
      <c r="AK7294">
        <v>13.155763752317799</v>
      </c>
      <c r="AL7294">
        <v>93.910963802999206</v>
      </c>
      <c r="AM7294">
        <v>117.36033580239901</v>
      </c>
      <c r="AN7294">
        <v>0.99999998891386499</v>
      </c>
    </row>
    <row r="7295" spans="1:40" x14ac:dyDescent="0.25">
      <c r="A7295" t="str">
        <f>"20190303154954406"</f>
        <v>20190303154954406</v>
      </c>
      <c r="B7295" t="str">
        <f>"1551599394398062"</f>
        <v>1551599394398062</v>
      </c>
      <c r="C7295" t="s">
        <v>40</v>
      </c>
      <c r="D7295">
        <v>5.4431039999999999</v>
      </c>
      <c r="E7295">
        <v>0.35364030000000002</v>
      </c>
      <c r="F7295" t="s">
        <v>64</v>
      </c>
      <c r="G7295">
        <v>-289.23140000000001</v>
      </c>
      <c r="H7295" s="1">
        <v>-1.8934040000000001E-6</v>
      </c>
      <c r="I7295">
        <v>-57.729059999999997</v>
      </c>
      <c r="J7295">
        <v>-301.43200000000002</v>
      </c>
      <c r="K7295">
        <v>1.1263099999999999</v>
      </c>
      <c r="L7295">
        <v>-51.218960000000003</v>
      </c>
      <c r="M7295">
        <v>0.22541620000000001</v>
      </c>
      <c r="N7295">
        <v>-1.013609E-2</v>
      </c>
      <c r="O7295">
        <v>-0.97421000000000002</v>
      </c>
      <c r="P7295">
        <v>0.64577589999999996</v>
      </c>
      <c r="Q7295">
        <v>-6.8974209999999994E-2</v>
      </c>
      <c r="R7295">
        <v>-0.7604052</v>
      </c>
      <c r="S7295">
        <v>2.8174739999999998</v>
      </c>
      <c r="T7295">
        <v>-0.25891910000000001</v>
      </c>
      <c r="U7295">
        <v>-1.540924</v>
      </c>
      <c r="V7295">
        <v>-0.45686599999999999</v>
      </c>
      <c r="W7295">
        <v>-6.629488E-2</v>
      </c>
      <c r="X7295">
        <v>0.88706169999999995</v>
      </c>
      <c r="Y7295">
        <v>-0.7437416</v>
      </c>
      <c r="Z7295">
        <v>7.7583079999999999E-2</v>
      </c>
      <c r="AA7295">
        <v>0.66394980000000003</v>
      </c>
      <c r="AB7295">
        <v>20</v>
      </c>
      <c r="AC7295">
        <v>12.2006</v>
      </c>
      <c r="AD7295">
        <v>-1.126311893404</v>
      </c>
      <c r="AE7295">
        <v>-6.5101000000000004</v>
      </c>
      <c r="AF7295">
        <v>-10.3503383173208</v>
      </c>
      <c r="AG7295">
        <v>-1.126311893404</v>
      </c>
      <c r="AH7295">
        <v>9.0329622106110392</v>
      </c>
      <c r="AI7295">
        <v>94.687028258362304</v>
      </c>
      <c r="AJ7295">
        <v>138.88809910769001</v>
      </c>
      <c r="AK7295">
        <v>13.783776262786199</v>
      </c>
      <c r="AL7295">
        <v>93.801204667799098</v>
      </c>
      <c r="AM7295">
        <v>117.249959335545</v>
      </c>
      <c r="AN7295">
        <v>1.0000000063385499</v>
      </c>
    </row>
    <row r="7296" spans="1:40" x14ac:dyDescent="0.25">
      <c r="A7296" t="str">
        <f>"20190303154954432"</f>
        <v>20190303154954432</v>
      </c>
      <c r="B7296" t="str">
        <f>"1551599394428317"</f>
        <v>1551599394428317</v>
      </c>
      <c r="C7296" t="s">
        <v>40</v>
      </c>
      <c r="D7296">
        <v>5.4605449999999998</v>
      </c>
      <c r="E7296">
        <v>0.35457959999999999</v>
      </c>
      <c r="F7296" t="s">
        <v>64</v>
      </c>
      <c r="G7296">
        <v>-288.82159999999999</v>
      </c>
      <c r="H7296" s="1">
        <v>-2.0719450000000002E-6</v>
      </c>
      <c r="I7296">
        <v>-58.017139999999998</v>
      </c>
      <c r="J7296">
        <v>-301.36759999999998</v>
      </c>
      <c r="K7296">
        <v>1.126428</v>
      </c>
      <c r="L7296">
        <v>-51.43817</v>
      </c>
      <c r="M7296">
        <v>0.2365902</v>
      </c>
      <c r="N7296">
        <v>-1.0150080000000001E-2</v>
      </c>
      <c r="O7296">
        <v>-0.97155650000000005</v>
      </c>
      <c r="P7296">
        <v>0.65395809999999999</v>
      </c>
      <c r="Q7296">
        <v>-6.6660750000000005E-2</v>
      </c>
      <c r="R7296">
        <v>-0.75358809999999998</v>
      </c>
      <c r="S7296">
        <v>2.8251949999999999</v>
      </c>
      <c r="T7296">
        <v>-0.25233529999999998</v>
      </c>
      <c r="U7296">
        <v>-1.5230410000000001</v>
      </c>
      <c r="V7296">
        <v>-0.45623219999999998</v>
      </c>
      <c r="W7296">
        <v>-6.4085669999999997E-2</v>
      </c>
      <c r="X7296">
        <v>0.88755010000000001</v>
      </c>
      <c r="Y7296">
        <v>-0.74023539999999999</v>
      </c>
      <c r="Z7296">
        <v>7.5625429999999993E-2</v>
      </c>
      <c r="AA7296">
        <v>0.66808109999999998</v>
      </c>
      <c r="AB7296">
        <v>20</v>
      </c>
      <c r="AC7296">
        <v>12.5459999999999</v>
      </c>
      <c r="AD7296">
        <v>-1.126430071945</v>
      </c>
      <c r="AE7296">
        <v>-6.57897</v>
      </c>
      <c r="AF7296">
        <v>-10.5663692719616</v>
      </c>
      <c r="AG7296">
        <v>-1.126430071945</v>
      </c>
      <c r="AH7296">
        <v>9.3017728975346596</v>
      </c>
      <c r="AI7296">
        <v>94.574907649004302</v>
      </c>
      <c r="AJ7296">
        <v>138.64193217827801</v>
      </c>
      <c r="AK7296">
        <v>14.1223221651309</v>
      </c>
      <c r="AL7296">
        <v>93.674356480508195</v>
      </c>
      <c r="AM7296">
        <v>117.204769814038</v>
      </c>
      <c r="AN7296">
        <v>0.99999998671309898</v>
      </c>
    </row>
    <row r="7297" spans="1:40" x14ac:dyDescent="0.25">
      <c r="A7297" t="str">
        <f>"20190303154954457"</f>
        <v>20190303154954457</v>
      </c>
      <c r="B7297" t="str">
        <f>"1551599394447837"</f>
        <v>1551599394447837</v>
      </c>
      <c r="C7297" t="s">
        <v>40</v>
      </c>
      <c r="D7297">
        <v>5.432906</v>
      </c>
      <c r="E7297">
        <v>0.35522559999999997</v>
      </c>
      <c r="F7297" t="s">
        <v>64</v>
      </c>
      <c r="G7297">
        <v>-288.53859999999997</v>
      </c>
      <c r="H7297" s="1">
        <v>-2.1957559999999999E-6</v>
      </c>
      <c r="I7297">
        <v>-58.213650000000001</v>
      </c>
      <c r="J7297">
        <v>-301.30180000000001</v>
      </c>
      <c r="K7297">
        <v>1.126514</v>
      </c>
      <c r="L7297">
        <v>-51.652560000000001</v>
      </c>
      <c r="M7297">
        <v>0.24769769999999999</v>
      </c>
      <c r="N7297">
        <v>-1.015744E-2</v>
      </c>
      <c r="O7297">
        <v>-0.96878419999999998</v>
      </c>
      <c r="P7297">
        <v>0.66183230000000004</v>
      </c>
      <c r="Q7297">
        <v>-6.5025769999999997E-2</v>
      </c>
      <c r="R7297">
        <v>-0.74682649999999995</v>
      </c>
      <c r="S7297">
        <v>2.8360599999999998</v>
      </c>
      <c r="T7297">
        <v>-0.24901619999999999</v>
      </c>
      <c r="U7297">
        <v>-1.497833</v>
      </c>
      <c r="V7297">
        <v>-0.45536179999999898</v>
      </c>
      <c r="W7297">
        <v>-6.2523289999999995E-2</v>
      </c>
      <c r="X7297">
        <v>0.88810840000000002</v>
      </c>
      <c r="Y7297">
        <v>-0.73832019999999998</v>
      </c>
      <c r="Z7297">
        <v>7.4781760000000003E-2</v>
      </c>
      <c r="AA7297">
        <v>0.67029169999999905</v>
      </c>
      <c r="AB7297">
        <v>20</v>
      </c>
      <c r="AC7297">
        <v>12.763199999999999</v>
      </c>
      <c r="AD7297">
        <v>-1.1265161957559999</v>
      </c>
      <c r="AE7297">
        <v>-6.5610899999999903</v>
      </c>
      <c r="AF7297">
        <v>-10.674397621024999</v>
      </c>
      <c r="AG7297">
        <v>-1.1265161957559999</v>
      </c>
      <c r="AH7297">
        <v>9.4598944083756802</v>
      </c>
      <c r="AI7297">
        <v>94.515953023407803</v>
      </c>
      <c r="AJ7297">
        <v>138.45190659872699</v>
      </c>
      <c r="AK7297">
        <v>14.307389892243201</v>
      </c>
      <c r="AL7297">
        <v>93.584658622909103</v>
      </c>
      <c r="AM7297">
        <v>117.145676550044</v>
      </c>
      <c r="AN7297">
        <v>1.0000000304211101</v>
      </c>
    </row>
    <row r="7298" spans="1:40" x14ac:dyDescent="0.25">
      <c r="A7298" t="str">
        <f>"20190303154954481"</f>
        <v>20190303154954481</v>
      </c>
      <c r="B7298" t="str">
        <f>"1551599394478093"</f>
        <v>1551599394478093</v>
      </c>
      <c r="C7298" t="s">
        <v>40</v>
      </c>
      <c r="D7298">
        <v>5.4380439999999997</v>
      </c>
      <c r="E7298">
        <v>0.35611500000000001</v>
      </c>
      <c r="F7298" t="s">
        <v>64</v>
      </c>
      <c r="G7298">
        <v>-288.35610000000003</v>
      </c>
      <c r="H7298" s="1">
        <v>-2.2750260000000001E-6</v>
      </c>
      <c r="I7298">
        <v>-58.3429199999999</v>
      </c>
      <c r="J7298">
        <v>-301.2355</v>
      </c>
      <c r="K7298">
        <v>1.126571</v>
      </c>
      <c r="L7298">
        <v>-51.859679999999997</v>
      </c>
      <c r="M7298">
        <v>0.25858320000000001</v>
      </c>
      <c r="N7298">
        <v>-1.016007E-2</v>
      </c>
      <c r="O7298">
        <v>-0.96593560000000001</v>
      </c>
      <c r="P7298">
        <v>0.66980859999999998</v>
      </c>
      <c r="Q7298">
        <v>-6.4336039999999997E-2</v>
      </c>
      <c r="R7298">
        <v>-0.73974150000000005</v>
      </c>
      <c r="S7298">
        <v>2.8477779999999999</v>
      </c>
      <c r="T7298">
        <v>-0.24781020000000001</v>
      </c>
      <c r="U7298">
        <v>-1.471741</v>
      </c>
      <c r="V7298">
        <v>-0.45488309999999998</v>
      </c>
      <c r="W7298">
        <v>-6.1899129999999997E-2</v>
      </c>
      <c r="X7298">
        <v>0.88839729999999995</v>
      </c>
      <c r="Y7298">
        <v>-0.73673900000000003</v>
      </c>
      <c r="Z7298">
        <v>7.461893E-2</v>
      </c>
      <c r="AA7298">
        <v>0.67204730000000001</v>
      </c>
      <c r="AB7298">
        <v>21</v>
      </c>
      <c r="AC7298">
        <v>12.879399999999899</v>
      </c>
      <c r="AD7298">
        <v>-1.126573275026</v>
      </c>
      <c r="AE7298">
        <v>-6.4832399999999897</v>
      </c>
      <c r="AF7298">
        <v>-10.699455788661499</v>
      </c>
      <c r="AG7298">
        <v>-1.126573275026</v>
      </c>
      <c r="AH7298">
        <v>9.5350779256794205</v>
      </c>
      <c r="AI7298">
        <v>94.494629353884903</v>
      </c>
      <c r="AJ7298">
        <v>138.29340162142901</v>
      </c>
      <c r="AK7298">
        <v>14.375855889869801</v>
      </c>
      <c r="AL7298">
        <v>93.548827771460196</v>
      </c>
      <c r="AM7298">
        <v>117.113656545371</v>
      </c>
      <c r="AN7298">
        <v>0.999999949803827</v>
      </c>
    </row>
    <row r="7299" spans="1:40" x14ac:dyDescent="0.25">
      <c r="A7299" t="str">
        <f>"20190303154954503"</f>
        <v>20190303154954503</v>
      </c>
      <c r="B7299" t="str">
        <f>"1551599394497615"</f>
        <v>1551599394497615</v>
      </c>
      <c r="C7299" t="s">
        <v>40</v>
      </c>
      <c r="D7299">
        <v>5.439273</v>
      </c>
      <c r="E7299">
        <v>0.3565854</v>
      </c>
      <c r="F7299" t="s">
        <v>64</v>
      </c>
      <c r="G7299">
        <v>-288.40550000000002</v>
      </c>
      <c r="H7299" s="1">
        <v>-2.2441100000000001E-6</v>
      </c>
      <c r="I7299">
        <v>-58.350360000000002</v>
      </c>
      <c r="J7299">
        <v>-301.17129999999997</v>
      </c>
      <c r="K7299">
        <v>1.126625</v>
      </c>
      <c r="L7299">
        <v>-52.052190000000003</v>
      </c>
      <c r="M7299">
        <v>0.26884249999999998</v>
      </c>
      <c r="N7299">
        <v>-1.016338E-2</v>
      </c>
      <c r="O7299">
        <v>-0.96313070000000001</v>
      </c>
      <c r="P7299">
        <v>0.67628569999999999</v>
      </c>
      <c r="Q7299">
        <v>-6.6675559999999995E-2</v>
      </c>
      <c r="R7299">
        <v>-0.73361580000000004</v>
      </c>
      <c r="S7299">
        <v>2.8580019999999999</v>
      </c>
      <c r="T7299">
        <v>-0.25095499999999998</v>
      </c>
      <c r="U7299">
        <v>-1.445862</v>
      </c>
      <c r="V7299">
        <v>-0.45325700000000002</v>
      </c>
      <c r="W7299">
        <v>-6.4275669999999993E-2</v>
      </c>
      <c r="X7299">
        <v>0.889059499999999</v>
      </c>
      <c r="Y7299">
        <v>-0.73529169999999999</v>
      </c>
      <c r="Z7299">
        <v>7.5916949999999997E-2</v>
      </c>
      <c r="AA7299">
        <v>0.67348560000000002</v>
      </c>
      <c r="AB7299">
        <v>21</v>
      </c>
      <c r="AC7299">
        <v>12.765799999999899</v>
      </c>
      <c r="AD7299">
        <v>-1.12662724411</v>
      </c>
      <c r="AE7299">
        <v>-6.2981699999999901</v>
      </c>
      <c r="AF7299">
        <v>-10.536463653088701</v>
      </c>
      <c r="AG7299">
        <v>-1.12662724411</v>
      </c>
      <c r="AH7299">
        <v>9.4393117101741399</v>
      </c>
      <c r="AI7299">
        <v>94.553490898496705</v>
      </c>
      <c r="AJ7299">
        <v>138.14376176054401</v>
      </c>
      <c r="AK7299">
        <v>14.191087372779499</v>
      </c>
      <c r="AL7299">
        <v>93.685265001512406</v>
      </c>
      <c r="AM7299">
        <v>117.013227005224</v>
      </c>
      <c r="AN7299">
        <v>1.0000000321715901</v>
      </c>
    </row>
    <row r="7300" spans="1:40" x14ac:dyDescent="0.25">
      <c r="A7300" t="str">
        <f>"20190303154954524"</f>
        <v>20190303154954524</v>
      </c>
      <c r="B7300" t="str">
        <f>"1551599394518109"</f>
        <v>1551599394518109</v>
      </c>
      <c r="C7300" t="s">
        <v>40</v>
      </c>
      <c r="D7300">
        <v>5.4285489999999896</v>
      </c>
      <c r="E7300">
        <v>0.35711920000000003</v>
      </c>
      <c r="F7300" t="s">
        <v>64</v>
      </c>
      <c r="G7300">
        <v>-288.64519999999999</v>
      </c>
      <c r="H7300" s="1">
        <v>-2.121343E-6</v>
      </c>
      <c r="I7300">
        <v>-58.264600000000002</v>
      </c>
      <c r="J7300">
        <v>-301.10849999999999</v>
      </c>
      <c r="K7300">
        <v>1.126663</v>
      </c>
      <c r="L7300">
        <v>-52.234099999999998</v>
      </c>
      <c r="M7300">
        <v>0.27861849999999999</v>
      </c>
      <c r="N7300">
        <v>-1.0167860000000001E-2</v>
      </c>
      <c r="O7300">
        <v>-0.96034830000000004</v>
      </c>
      <c r="P7300">
        <v>0.68256740000000005</v>
      </c>
      <c r="Q7300">
        <v>-6.951939E-2</v>
      </c>
      <c r="R7300">
        <v>-0.72750899999999996</v>
      </c>
      <c r="S7300">
        <v>2.867737</v>
      </c>
      <c r="T7300">
        <v>-0.25792999999999999</v>
      </c>
      <c r="U7300">
        <v>-1.422272</v>
      </c>
      <c r="V7300">
        <v>-0.45188610000000001</v>
      </c>
      <c r="W7300">
        <v>-6.7153190000000001E-2</v>
      </c>
      <c r="X7300">
        <v>0.88954449999999996</v>
      </c>
      <c r="Y7300">
        <v>-0.73359869999999905</v>
      </c>
      <c r="Z7300">
        <v>7.8457280000000004E-2</v>
      </c>
      <c r="AA7300">
        <v>0.67503880000000005</v>
      </c>
      <c r="AB7300">
        <v>21</v>
      </c>
      <c r="AC7300">
        <v>12.4633</v>
      </c>
      <c r="AD7300">
        <v>-1.1266651213429999</v>
      </c>
      <c r="AE7300">
        <v>-6.0305</v>
      </c>
      <c r="AF7300">
        <v>-10.221744621207501</v>
      </c>
      <c r="AG7300">
        <v>-1.1266651213429999</v>
      </c>
      <c r="AH7300">
        <v>9.2034211400359194</v>
      </c>
      <c r="AI7300">
        <v>94.682775142721496</v>
      </c>
      <c r="AJ7300">
        <v>138.00086385895401</v>
      </c>
      <c r="AK7300">
        <v>13.800594120460699</v>
      </c>
      <c r="AL7300">
        <v>93.850492042036706</v>
      </c>
      <c r="AM7300">
        <v>116.930441230548</v>
      </c>
      <c r="AN7300">
        <v>1.00000000789031</v>
      </c>
    </row>
    <row r="7301" spans="1:40" x14ac:dyDescent="0.25">
      <c r="A7301" t="str">
        <f>"20190303154954556"</f>
        <v>20190303154954556</v>
      </c>
      <c r="B7301" t="str">
        <f>"1551599394548365"</f>
        <v>1551599394548365</v>
      </c>
      <c r="C7301" t="s">
        <v>40</v>
      </c>
      <c r="D7301">
        <v>5.4221490000000001</v>
      </c>
      <c r="E7301">
        <v>0.35785850000000002</v>
      </c>
      <c r="F7301" t="s">
        <v>64</v>
      </c>
      <c r="G7301">
        <v>-288.90089999999998</v>
      </c>
      <c r="H7301" s="1">
        <v>-1.9904879999999999E-6</v>
      </c>
      <c r="I7301">
        <v>-58.172289999999997</v>
      </c>
      <c r="J7301">
        <v>-301.01049999999998</v>
      </c>
      <c r="K7301">
        <v>1.1267069999999999</v>
      </c>
      <c r="L7301">
        <v>-52.506010000000003</v>
      </c>
      <c r="M7301">
        <v>0.29336430000000002</v>
      </c>
      <c r="N7301">
        <v>-1.017586E-2</v>
      </c>
      <c r="O7301">
        <v>-0.95594670000000004</v>
      </c>
      <c r="P7301">
        <v>0.69382330000000003</v>
      </c>
      <c r="Q7301">
        <v>-7.326734E-2</v>
      </c>
      <c r="R7301">
        <v>-0.71640869999999901</v>
      </c>
      <c r="S7301">
        <v>2.8766780000000001</v>
      </c>
      <c r="T7301">
        <v>-0.26549630000000002</v>
      </c>
      <c r="U7301">
        <v>-1.3993230000000001</v>
      </c>
      <c r="V7301">
        <v>-0.45210159999999999</v>
      </c>
      <c r="W7301">
        <v>-7.0993269999999997E-2</v>
      </c>
      <c r="X7301">
        <v>0.8891367</v>
      </c>
      <c r="Y7301">
        <v>-0.72813289999999997</v>
      </c>
      <c r="Z7301">
        <v>8.1198590000000001E-2</v>
      </c>
      <c r="AA7301">
        <v>0.68060949999999998</v>
      </c>
      <c r="AB7301">
        <v>21</v>
      </c>
      <c r="AC7301">
        <v>12.1096</v>
      </c>
      <c r="AD7301">
        <v>-1.1267089904880001</v>
      </c>
      <c r="AE7301">
        <v>-5.6662800000000004</v>
      </c>
      <c r="AF7301">
        <v>-9.8444448854004598</v>
      </c>
      <c r="AG7301">
        <v>-1.1267089904880001</v>
      </c>
      <c r="AH7301">
        <v>8.90639619929693</v>
      </c>
      <c r="AI7301">
        <v>94.851168158243695</v>
      </c>
      <c r="AJ7301">
        <v>137.86394944698</v>
      </c>
      <c r="AK7301">
        <v>13.3231550884084</v>
      </c>
      <c r="AL7301">
        <v>94.071039400353698</v>
      </c>
      <c r="AM7301">
        <v>116.952086420859</v>
      </c>
      <c r="AN7301">
        <v>0.99999998619737096</v>
      </c>
    </row>
    <row r="7302" spans="1:40" x14ac:dyDescent="0.25">
      <c r="A7302" t="str">
        <f>"20190303154954581"</f>
        <v>20190303154954581</v>
      </c>
      <c r="B7302" t="str">
        <f>"1551599394577645"</f>
        <v>1551599394577645</v>
      </c>
      <c r="C7302" t="s">
        <v>40</v>
      </c>
      <c r="D7302">
        <v>5.4805960000000002</v>
      </c>
      <c r="E7302">
        <v>0.3585623</v>
      </c>
      <c r="F7302" t="s">
        <v>64</v>
      </c>
      <c r="G7302">
        <v>-289.55059999999997</v>
      </c>
      <c r="H7302" s="1">
        <v>-1.6711960000000001E-6</v>
      </c>
      <c r="I7302">
        <v>-57.878819999999997</v>
      </c>
      <c r="J7302">
        <v>-300.9298</v>
      </c>
      <c r="K7302">
        <v>1.126757</v>
      </c>
      <c r="L7302">
        <v>-52.720610000000001</v>
      </c>
      <c r="M7302">
        <v>0.30510320000000002</v>
      </c>
      <c r="N7302">
        <v>-1.0182760000000001E-2</v>
      </c>
      <c r="O7302">
        <v>-0.95226489999999997</v>
      </c>
      <c r="P7302">
        <v>0.70217669999999999</v>
      </c>
      <c r="Q7302">
        <v>-7.3448399999999997E-2</v>
      </c>
      <c r="R7302">
        <v>-0.70820430000000001</v>
      </c>
      <c r="S7302">
        <v>2.8932190000000002</v>
      </c>
      <c r="T7302">
        <v>-0.28445389999999998</v>
      </c>
      <c r="U7302">
        <v>-1.3564449999999999</v>
      </c>
      <c r="V7302">
        <v>-0.45158179999999998</v>
      </c>
      <c r="W7302">
        <v>-7.1226629999999999E-2</v>
      </c>
      <c r="X7302">
        <v>0.88938220000000001</v>
      </c>
      <c r="Y7302">
        <v>-0.72895369999999904</v>
      </c>
      <c r="Z7302">
        <v>8.7899399999999905E-2</v>
      </c>
      <c r="AA7302">
        <v>0.67889630000000001</v>
      </c>
      <c r="AB7302">
        <v>21</v>
      </c>
      <c r="AC7302">
        <v>11.379200000000001</v>
      </c>
      <c r="AD7302">
        <v>-1.126758671196</v>
      </c>
      <c r="AE7302">
        <v>-5.1582099999999897</v>
      </c>
      <c r="AF7302">
        <v>-9.1879757776696405</v>
      </c>
      <c r="AG7302">
        <v>-1.126758671196</v>
      </c>
      <c r="AH7302">
        <v>8.3166038675949991</v>
      </c>
      <c r="AI7302">
        <v>95.195017485659505</v>
      </c>
      <c r="AJ7302">
        <v>137.849811649223</v>
      </c>
      <c r="AK7302">
        <v>12.444050139912401</v>
      </c>
      <c r="AL7302">
        <v>94.084443713282894</v>
      </c>
      <c r="AM7302">
        <v>116.919079626422</v>
      </c>
      <c r="AN7302">
        <v>1.00000002629461</v>
      </c>
    </row>
    <row r="7303" spans="1:40" x14ac:dyDescent="0.25">
      <c r="A7303" t="str">
        <f>"20190303154954607"</f>
        <v>20190303154954607</v>
      </c>
      <c r="B7303" t="str">
        <f>"1551599394599117"</f>
        <v>1551599394599117</v>
      </c>
      <c r="C7303" t="s">
        <v>40</v>
      </c>
      <c r="D7303">
        <v>5.5014589999999997</v>
      </c>
      <c r="E7303">
        <v>0.35916920000000002</v>
      </c>
      <c r="F7303" t="s">
        <v>64</v>
      </c>
      <c r="G7303">
        <v>-289.68959999999998</v>
      </c>
      <c r="H7303" s="1">
        <v>-1.594879E-6</v>
      </c>
      <c r="I7303">
        <v>-57.852049999999998</v>
      </c>
      <c r="J7303">
        <v>-300.84190000000001</v>
      </c>
      <c r="K7303">
        <v>1.1268009999999999</v>
      </c>
      <c r="L7303">
        <v>-52.944920000000003</v>
      </c>
      <c r="M7303">
        <v>0.31747110000000001</v>
      </c>
      <c r="N7303">
        <v>-1.0191510000000001E-2</v>
      </c>
      <c r="O7303">
        <v>-0.94821310000000003</v>
      </c>
      <c r="P7303">
        <v>0.71037930000000005</v>
      </c>
      <c r="Q7303">
        <v>-7.5044760000000002E-2</v>
      </c>
      <c r="R7303">
        <v>-0.69980690000000001</v>
      </c>
      <c r="S7303">
        <v>2.9046020000000001</v>
      </c>
      <c r="T7303">
        <v>-0.29116629999999999</v>
      </c>
      <c r="U7303">
        <v>-1.3260190000000001</v>
      </c>
      <c r="V7303">
        <v>-0.45038739999999999</v>
      </c>
      <c r="W7303">
        <v>-7.2857450000000004E-2</v>
      </c>
      <c r="X7303">
        <v>0.88985559999999997</v>
      </c>
      <c r="Y7303">
        <v>-0.7267593</v>
      </c>
      <c r="Z7303">
        <v>9.0380699999999994E-2</v>
      </c>
      <c r="AA7303">
        <v>0.68092010000000003</v>
      </c>
      <c r="AB7303">
        <v>21</v>
      </c>
      <c r="AC7303">
        <v>11.1523</v>
      </c>
      <c r="AD7303">
        <v>-1.1268025948789999</v>
      </c>
      <c r="AE7303">
        <v>-4.9071300000000004</v>
      </c>
      <c r="AF7303">
        <v>-8.9408850446233394</v>
      </c>
      <c r="AG7303">
        <v>-1.1268025948789999</v>
      </c>
      <c r="AH7303">
        <v>8.1244776311511302</v>
      </c>
      <c r="AI7303">
        <v>95.328670364839397</v>
      </c>
      <c r="AJ7303">
        <v>137.73894340944301</v>
      </c>
      <c r="AK7303">
        <v>12.133270220681201</v>
      </c>
      <c r="AL7303">
        <v>94.178126345082305</v>
      </c>
      <c r="AM7303">
        <v>116.845585444146</v>
      </c>
      <c r="AN7303">
        <v>1.00000000347531</v>
      </c>
    </row>
    <row r="7304" spans="1:40" x14ac:dyDescent="0.25">
      <c r="A7304" t="str">
        <f>"20190303154954636"</f>
        <v>20190303154954636</v>
      </c>
      <c r="B7304" t="str">
        <f>"1551599394628398"</f>
        <v>1551599394628398</v>
      </c>
      <c r="C7304" t="s">
        <v>40</v>
      </c>
      <c r="D7304">
        <v>5.5107280000000003</v>
      </c>
      <c r="E7304">
        <v>0.36002899999999999</v>
      </c>
      <c r="F7304" t="s">
        <v>64</v>
      </c>
      <c r="G7304">
        <v>-289.78539999999998</v>
      </c>
      <c r="H7304" s="1">
        <v>-1.537911E-6</v>
      </c>
      <c r="I7304">
        <v>-57.853169999999999</v>
      </c>
      <c r="J7304">
        <v>-300.74400000000003</v>
      </c>
      <c r="K7304">
        <v>1.1268339999999999</v>
      </c>
      <c r="L7304">
        <v>-53.185389999999998</v>
      </c>
      <c r="M7304">
        <v>0.33080019999999999</v>
      </c>
      <c r="N7304">
        <v>-1.0201379999999999E-2</v>
      </c>
      <c r="O7304">
        <v>-0.94364570000000003</v>
      </c>
      <c r="P7304">
        <v>0.71951430000000005</v>
      </c>
      <c r="Q7304">
        <v>-7.7482490000000001E-2</v>
      </c>
      <c r="R7304">
        <v>-0.69014169999999997</v>
      </c>
      <c r="S7304">
        <v>2.9163510000000001</v>
      </c>
      <c r="T7304">
        <v>-0.29721579999999997</v>
      </c>
      <c r="U7304">
        <v>-1.2946470000000001</v>
      </c>
      <c r="V7304">
        <v>-0.44958609999999999</v>
      </c>
      <c r="W7304">
        <v>-7.5329690000000005E-2</v>
      </c>
      <c r="X7304">
        <v>0.89005489999999998</v>
      </c>
      <c r="Y7304">
        <v>-0.7240607</v>
      </c>
      <c r="Z7304">
        <v>9.2615829999999996E-2</v>
      </c>
      <c r="AA7304">
        <v>0.68348989999999998</v>
      </c>
      <c r="AB7304">
        <v>21</v>
      </c>
      <c r="AC7304">
        <v>10.958600000000001</v>
      </c>
      <c r="AD7304">
        <v>-1.126835537911</v>
      </c>
      <c r="AE7304">
        <v>-4.6677799999999898</v>
      </c>
      <c r="AF7304">
        <v>-8.7193561941390492</v>
      </c>
      <c r="AG7304">
        <v>-1.126835537911</v>
      </c>
      <c r="AH7304">
        <v>7.9590253235489401</v>
      </c>
      <c r="AI7304">
        <v>95.452299995366602</v>
      </c>
      <c r="AJ7304">
        <v>137.610181850337</v>
      </c>
      <c r="AK7304">
        <v>11.859300774947201</v>
      </c>
      <c r="AL7304">
        <v>94.320165850381002</v>
      </c>
      <c r="AM7304">
        <v>116.79933420156399</v>
      </c>
      <c r="AN7304">
        <v>0.99999997426135701</v>
      </c>
    </row>
    <row r="7305" spans="1:40" x14ac:dyDescent="0.25">
      <c r="A7305" t="str">
        <f>"20190303154954662"</f>
        <v>20190303154954662</v>
      </c>
      <c r="B7305" t="str">
        <f>"1551599394657678"</f>
        <v>1551599394657678</v>
      </c>
      <c r="C7305" t="s">
        <v>40</v>
      </c>
      <c r="D7305">
        <v>5.4759859999999998</v>
      </c>
      <c r="E7305">
        <v>0.3609194</v>
      </c>
      <c r="F7305" t="s">
        <v>64</v>
      </c>
      <c r="G7305">
        <v>-289.96409999999997</v>
      </c>
      <c r="H7305" s="1">
        <v>-1.005145E-5</v>
      </c>
      <c r="I7305">
        <v>-57.823889999999999</v>
      </c>
      <c r="J7305">
        <v>-300.65120000000002</v>
      </c>
      <c r="K7305">
        <v>1.1268659999999999</v>
      </c>
      <c r="L7305">
        <v>-53.4045699999999</v>
      </c>
      <c r="M7305">
        <v>0.34300059999999999</v>
      </c>
      <c r="N7305">
        <v>-1.0210139999999999E-2</v>
      </c>
      <c r="O7305">
        <v>-0.9392798</v>
      </c>
      <c r="P7305">
        <v>0.72833749999999997</v>
      </c>
      <c r="Q7305">
        <v>-7.9331730000000003E-2</v>
      </c>
      <c r="R7305">
        <v>-0.68061099999999997</v>
      </c>
      <c r="S7305">
        <v>2.9280400000000002</v>
      </c>
      <c r="T7305">
        <v>-0.30607600000000001</v>
      </c>
      <c r="U7305">
        <v>-1.2599180000000001</v>
      </c>
      <c r="V7305">
        <v>-0.44954519999999998</v>
      </c>
      <c r="W7305">
        <v>-7.7214820000000003E-2</v>
      </c>
      <c r="X7305">
        <v>0.88991399999999998</v>
      </c>
      <c r="Y7305">
        <v>-0.72269869999999903</v>
      </c>
      <c r="Z7305">
        <v>9.5839069999999998E-2</v>
      </c>
      <c r="AA7305">
        <v>0.68448619999999905</v>
      </c>
      <c r="AB7305">
        <v>21</v>
      </c>
      <c r="AC7305">
        <v>10.687099999999999</v>
      </c>
      <c r="AD7305">
        <v>-1.12687605145</v>
      </c>
      <c r="AE7305">
        <v>-4.4193200000000097</v>
      </c>
      <c r="AF7305">
        <v>-8.4426317726899303</v>
      </c>
      <c r="AG7305">
        <v>-1.12687605145</v>
      </c>
      <c r="AH7305">
        <v>7.7435445856724598</v>
      </c>
      <c r="AI7305">
        <v>95.617847570579997</v>
      </c>
      <c r="AJ7305">
        <v>137.47308975974801</v>
      </c>
      <c r="AK7305">
        <v>11.511314591950899</v>
      </c>
      <c r="AL7305">
        <v>94.428491424606307</v>
      </c>
      <c r="AM7305">
        <v>116.80088698144699</v>
      </c>
      <c r="AN7305">
        <v>0.99999997133333496</v>
      </c>
    </row>
    <row r="7306" spans="1:40" x14ac:dyDescent="0.25">
      <c r="A7306" t="str">
        <f>"20190303154954692"</f>
        <v>20190303154954692</v>
      </c>
      <c r="B7306" t="str">
        <f>"1551599394687935"</f>
        <v>1551599394687935</v>
      </c>
      <c r="C7306" t="s">
        <v>40</v>
      </c>
      <c r="D7306">
        <v>5.4943609999999996</v>
      </c>
      <c r="E7306">
        <v>0.37849310000000003</v>
      </c>
      <c r="F7306" t="s">
        <v>64</v>
      </c>
      <c r="G7306">
        <v>-290.15129999999999</v>
      </c>
      <c r="H7306" s="1">
        <v>-9.9872020000000003E-6</v>
      </c>
      <c r="I7306">
        <v>-57.785780000000003</v>
      </c>
      <c r="J7306">
        <v>-300.541</v>
      </c>
      <c r="K7306">
        <v>1.1268940000000001</v>
      </c>
      <c r="L7306">
        <v>-53.654420000000002</v>
      </c>
      <c r="M7306">
        <v>0.35697709999999999</v>
      </c>
      <c r="N7306">
        <v>-1.0220699999999999E-2</v>
      </c>
      <c r="O7306">
        <v>-0.93405729999999998</v>
      </c>
      <c r="P7306">
        <v>0.73922980000000005</v>
      </c>
      <c r="Q7306">
        <v>-8.155345E-2</v>
      </c>
      <c r="R7306">
        <v>-0.66849709999999996</v>
      </c>
      <c r="S7306">
        <v>2.9387509999999999</v>
      </c>
      <c r="T7306">
        <v>-0.31539339999999999</v>
      </c>
      <c r="U7306">
        <v>-1.226227</v>
      </c>
      <c r="V7306">
        <v>-0.45068540000000001</v>
      </c>
      <c r="W7306">
        <v>-7.9495850000000007E-2</v>
      </c>
      <c r="X7306">
        <v>0.88913609999999899</v>
      </c>
      <c r="Y7306">
        <v>-0.71968269999999901</v>
      </c>
      <c r="Z7306">
        <v>9.9175009999999994E-2</v>
      </c>
      <c r="AA7306">
        <v>0.68718349999999995</v>
      </c>
      <c r="AB7306">
        <v>21</v>
      </c>
      <c r="AC7306">
        <v>10.389699999999999</v>
      </c>
      <c r="AD7306">
        <v>-1.1269039872019999</v>
      </c>
      <c r="AE7306">
        <v>-4.1313599999999999</v>
      </c>
      <c r="AF7306">
        <v>-8.1474404494637902</v>
      </c>
      <c r="AG7306">
        <v>-1.1269039872019999</v>
      </c>
      <c r="AH7306">
        <v>7.4921006948373501</v>
      </c>
      <c r="AI7306">
        <v>95.813339980263805</v>
      </c>
      <c r="AJ7306">
        <v>137.39944693060099</v>
      </c>
      <c r="AK7306">
        <v>11.125748122958401</v>
      </c>
      <c r="AL7306">
        <v>94.559587948260699</v>
      </c>
      <c r="AM7306">
        <v>116.87954331172099</v>
      </c>
      <c r="AN7306">
        <v>0.99999996213179498</v>
      </c>
    </row>
    <row r="7307" spans="1:40" x14ac:dyDescent="0.25">
      <c r="A7307" t="str">
        <f>"20190303154954725"</f>
        <v>20190303154954725</v>
      </c>
      <c r="B7307" t="str">
        <f>"1551599394718190"</f>
        <v>1551599394718190</v>
      </c>
      <c r="C7307" t="s">
        <v>40</v>
      </c>
      <c r="D7307">
        <v>5.5292459999999997</v>
      </c>
      <c r="E7307">
        <v>0.37861</v>
      </c>
      <c r="F7307" t="s">
        <v>64</v>
      </c>
      <c r="G7307">
        <v>-291.6626</v>
      </c>
      <c r="H7307" s="1">
        <v>-9.4540589999999993E-6</v>
      </c>
      <c r="I7307">
        <v>-57.622230000000002</v>
      </c>
      <c r="J7307">
        <v>-300.41559999999998</v>
      </c>
      <c r="K7307">
        <v>1.126919</v>
      </c>
      <c r="L7307">
        <v>-53.927889999999998</v>
      </c>
      <c r="M7307">
        <v>0.37232199999999999</v>
      </c>
      <c r="N7307">
        <v>-1.0233320000000001E-2</v>
      </c>
      <c r="O7307">
        <v>-0.92804739999999997</v>
      </c>
      <c r="P7307">
        <v>0.75054469999999995</v>
      </c>
      <c r="Q7307">
        <v>-8.2663070000000005E-2</v>
      </c>
      <c r="R7307">
        <v>-0.65562929999999997</v>
      </c>
      <c r="S7307">
        <v>2.861694</v>
      </c>
      <c r="T7307">
        <v>-0.36322149999999997</v>
      </c>
      <c r="U7307">
        <v>-1.2788999999999999</v>
      </c>
      <c r="V7307">
        <v>-0.4512507</v>
      </c>
      <c r="W7307">
        <v>-8.0655169999999998E-2</v>
      </c>
      <c r="X7307">
        <v>0.88874489999999995</v>
      </c>
      <c r="Y7307">
        <v>-0.68874089999999999</v>
      </c>
      <c r="Z7307">
        <v>0.1162036</v>
      </c>
      <c r="AA7307">
        <v>0.71563449999999995</v>
      </c>
      <c r="AB7307">
        <v>21</v>
      </c>
      <c r="AC7307">
        <v>8.7529999999999806</v>
      </c>
      <c r="AD7307">
        <v>-1.1269284540590001</v>
      </c>
      <c r="AE7307">
        <v>-3.6943399999999902</v>
      </c>
      <c r="AF7307">
        <v>-6.6544415092620399</v>
      </c>
      <c r="AG7307">
        <v>-1.1269284540590001</v>
      </c>
      <c r="AH7307">
        <v>6.5950167119498602</v>
      </c>
      <c r="AI7307">
        <v>96.858829407214003</v>
      </c>
      <c r="AJ7307">
        <v>135.25697407378499</v>
      </c>
      <c r="AK7307">
        <v>9.4364084784231004</v>
      </c>
      <c r="AL7307">
        <v>94.626226031107095</v>
      </c>
      <c r="AM7307">
        <v>116.918694583182</v>
      </c>
      <c r="AN7307">
        <v>0.99999997398711404</v>
      </c>
    </row>
    <row r="7308" spans="1:40" x14ac:dyDescent="0.25">
      <c r="A7308" t="str">
        <f>"20190303154954750"</f>
        <v>20190303154954750</v>
      </c>
      <c r="B7308" t="str">
        <f>"1551599394737710"</f>
        <v>1551599394737710</v>
      </c>
      <c r="C7308" t="s">
        <v>40</v>
      </c>
      <c r="D7308">
        <v>5.4393289999999999</v>
      </c>
      <c r="E7308">
        <v>0.37292629999999999</v>
      </c>
      <c r="F7308" t="s">
        <v>64</v>
      </c>
      <c r="G7308">
        <v>-291.5265</v>
      </c>
      <c r="H7308" s="1">
        <v>-9.4936819999999993E-6</v>
      </c>
      <c r="I7308">
        <v>-57.720889999999997</v>
      </c>
      <c r="J7308">
        <v>-300.3143</v>
      </c>
      <c r="K7308">
        <v>1.1269480000000001</v>
      </c>
      <c r="L7308">
        <v>-54.139859999999999</v>
      </c>
      <c r="M7308">
        <v>0.38427220000000001</v>
      </c>
      <c r="N7308">
        <v>-1.0244959999999999E-2</v>
      </c>
      <c r="O7308">
        <v>-0.92316299999999996</v>
      </c>
      <c r="P7308">
        <v>0.75932010000000005</v>
      </c>
      <c r="Q7308">
        <v>-8.3551589999999995E-2</v>
      </c>
      <c r="R7308">
        <v>-0.64533099999999999</v>
      </c>
      <c r="S7308">
        <v>2.8824459999999998</v>
      </c>
      <c r="T7308">
        <v>-0.36542639999999998</v>
      </c>
      <c r="U7308">
        <v>-1.2299500000000001</v>
      </c>
      <c r="V7308">
        <v>-0.45178610000000002</v>
      </c>
      <c r="W7308">
        <v>-8.1592620000000005E-2</v>
      </c>
      <c r="X7308">
        <v>0.88838729999999999</v>
      </c>
      <c r="Y7308">
        <v>-0.69146750000000001</v>
      </c>
      <c r="Z7308">
        <v>0.1171649</v>
      </c>
      <c r="AA7308">
        <v>0.71284289999999995</v>
      </c>
      <c r="AB7308">
        <v>21</v>
      </c>
      <c r="AC7308">
        <v>8.7878000000000007</v>
      </c>
      <c r="AD7308">
        <v>-1.1269574936819999</v>
      </c>
      <c r="AE7308">
        <v>-3.5810300000000002</v>
      </c>
      <c r="AF7308">
        <v>-6.64314172841424</v>
      </c>
      <c r="AG7308">
        <v>-1.1269574936819999</v>
      </c>
      <c r="AH7308">
        <v>6.5901858891895904</v>
      </c>
      <c r="AI7308">
        <v>96.867299324801195</v>
      </c>
      <c r="AJ7308">
        <v>135.22927943598799</v>
      </c>
      <c r="AK7308">
        <v>9.4250684491115599</v>
      </c>
      <c r="AL7308">
        <v>94.680115387879198</v>
      </c>
      <c r="AM7308">
        <v>116.955445398004</v>
      </c>
      <c r="AN7308">
        <v>1.0000000152964801</v>
      </c>
    </row>
    <row r="7309" spans="1:40" x14ac:dyDescent="0.25">
      <c r="A7309" t="str">
        <f>"20190303154954776"</f>
        <v>20190303154954776</v>
      </c>
      <c r="B7309" t="str">
        <f>"1551599394767966"</f>
        <v>1551599394767966</v>
      </c>
      <c r="C7309" t="s">
        <v>40</v>
      </c>
      <c r="D7309">
        <v>5.4655680000000002</v>
      </c>
      <c r="E7309">
        <v>0.36984860000000003</v>
      </c>
      <c r="F7309" t="s">
        <v>64</v>
      </c>
      <c r="G7309">
        <v>-291.46170000000001</v>
      </c>
      <c r="H7309" s="1">
        <v>-9.5259040000000007E-6</v>
      </c>
      <c r="I7309">
        <v>-57.634329999999999</v>
      </c>
      <c r="J7309">
        <v>-300.2045</v>
      </c>
      <c r="K7309">
        <v>1.1269819999999999</v>
      </c>
      <c r="L7309">
        <v>-54.362459999999999</v>
      </c>
      <c r="M7309">
        <v>0.39686589999999999</v>
      </c>
      <c r="N7309">
        <v>-1.025914E-2</v>
      </c>
      <c r="O7309">
        <v>-0.91781939999999995</v>
      </c>
      <c r="P7309">
        <v>0.76837619999999995</v>
      </c>
      <c r="Q7309">
        <v>-8.411006E-2</v>
      </c>
      <c r="R7309">
        <v>-0.63444769999999995</v>
      </c>
      <c r="S7309">
        <v>2.9277039999999999</v>
      </c>
      <c r="T7309">
        <v>-0.3727008</v>
      </c>
      <c r="U7309">
        <v>-1.15567</v>
      </c>
      <c r="V7309">
        <v>-0.45221349999999999</v>
      </c>
      <c r="W7309">
        <v>-8.2205909999999993E-2</v>
      </c>
      <c r="X7309">
        <v>0.88811329999999999</v>
      </c>
      <c r="Y7309">
        <v>-0.70081119999999997</v>
      </c>
      <c r="Z7309">
        <v>0.1195436</v>
      </c>
      <c r="AA7309">
        <v>0.70325879999999996</v>
      </c>
      <c r="AB7309">
        <v>21</v>
      </c>
      <c r="AC7309">
        <v>8.7427999999999795</v>
      </c>
      <c r="AD7309">
        <v>-1.126991525904</v>
      </c>
      <c r="AE7309">
        <v>-3.2718699999999998</v>
      </c>
      <c r="AF7309">
        <v>-6.6295438617996396</v>
      </c>
      <c r="AG7309">
        <v>-1.126991525904</v>
      </c>
      <c r="AH7309">
        <v>6.3800540746743204</v>
      </c>
      <c r="AI7309">
        <v>96.983234349718401</v>
      </c>
      <c r="AJ7309">
        <v>136.09864731373801</v>
      </c>
      <c r="AK7309">
        <v>9.2696306135009099</v>
      </c>
      <c r="AL7309">
        <v>94.715372607837196</v>
      </c>
      <c r="AM7309">
        <v>116.98448783192499</v>
      </c>
      <c r="AN7309">
        <v>1.00000004742903</v>
      </c>
    </row>
    <row r="7310" spans="1:40" x14ac:dyDescent="0.25">
      <c r="A7310" t="str">
        <f>"20190303154954801"</f>
        <v>20190303154954801</v>
      </c>
      <c r="B7310" t="str">
        <f>"1551599394798222"</f>
        <v>1551599394798222</v>
      </c>
      <c r="C7310" t="s">
        <v>40</v>
      </c>
      <c r="D7310">
        <v>5.5086300000000001</v>
      </c>
      <c r="E7310">
        <v>0.36873030000000001</v>
      </c>
      <c r="F7310" t="s">
        <v>64</v>
      </c>
      <c r="G7310">
        <v>-291.3818</v>
      </c>
      <c r="H7310" s="1">
        <v>-9.5557250000000007E-6</v>
      </c>
      <c r="I7310">
        <v>-57.626449999999998</v>
      </c>
      <c r="J7310">
        <v>-300.101</v>
      </c>
      <c r="K7310">
        <v>1.1270230000000001</v>
      </c>
      <c r="L7310">
        <v>-54.5657</v>
      </c>
      <c r="M7310">
        <v>0.40842309999999998</v>
      </c>
      <c r="N7310">
        <v>-1.027425E-2</v>
      </c>
      <c r="O7310">
        <v>-0.91273470000000001</v>
      </c>
      <c r="P7310">
        <v>0.77618860000000001</v>
      </c>
      <c r="Q7310">
        <v>-8.4645319999999996E-2</v>
      </c>
      <c r="R7310">
        <v>-0.62479300000000004</v>
      </c>
      <c r="S7310">
        <v>2.959076</v>
      </c>
      <c r="T7310">
        <v>-0.37798710000000002</v>
      </c>
      <c r="U7310">
        <v>-1.094727</v>
      </c>
      <c r="V7310">
        <v>-0.45202799999999999</v>
      </c>
      <c r="W7310">
        <v>-8.2789760000000004E-2</v>
      </c>
      <c r="X7310">
        <v>0.88815339999999998</v>
      </c>
      <c r="Y7310">
        <v>-0.70683229999999997</v>
      </c>
      <c r="Z7310">
        <v>0.12134780000000001</v>
      </c>
      <c r="AA7310">
        <v>0.69689509999999999</v>
      </c>
      <c r="AB7310">
        <v>21</v>
      </c>
      <c r="AC7310">
        <v>8.7192000000000007</v>
      </c>
      <c r="AD7310">
        <v>-1.1270325557249901</v>
      </c>
      <c r="AE7310">
        <v>-3.0607499999999899</v>
      </c>
      <c r="AF7310">
        <v>-6.6102640901439997</v>
      </c>
      <c r="AG7310">
        <v>-1.1270325557249901</v>
      </c>
      <c r="AH7310">
        <v>6.2619662761664499</v>
      </c>
      <c r="AI7310">
        <v>97.055991667637201</v>
      </c>
      <c r="AJ7310">
        <v>136.549935491659</v>
      </c>
      <c r="AK7310">
        <v>9.1748577845630503</v>
      </c>
      <c r="AL7310">
        <v>94.748939586162706</v>
      </c>
      <c r="AM7310">
        <v>116.973937846789</v>
      </c>
      <c r="AN7310">
        <v>0.99999995953820797</v>
      </c>
    </row>
    <row r="7311" spans="1:40" x14ac:dyDescent="0.25">
      <c r="A7311" t="str">
        <f>"20190303154954829"</f>
        <v>20190303154954829</v>
      </c>
      <c r="B7311" t="str">
        <f>"1551599394817741"</f>
        <v>1551599394817741</v>
      </c>
      <c r="C7311" t="s">
        <v>40</v>
      </c>
      <c r="D7311">
        <v>5.5325730000000002</v>
      </c>
      <c r="E7311">
        <v>0.36847770000000002</v>
      </c>
      <c r="F7311" t="s">
        <v>64</v>
      </c>
      <c r="G7311">
        <v>-291.22480000000002</v>
      </c>
      <c r="H7311" s="1">
        <v>-9.6055809999999997E-6</v>
      </c>
      <c r="I7311">
        <v>-57.698700000000002</v>
      </c>
      <c r="J7311">
        <v>-299.98099999999999</v>
      </c>
      <c r="K7311">
        <v>1.1270910000000001</v>
      </c>
      <c r="L7311">
        <v>-54.792389999999997</v>
      </c>
      <c r="M7311">
        <v>0.42142869999999999</v>
      </c>
      <c r="N7311">
        <v>-1.029659E-2</v>
      </c>
      <c r="O7311">
        <v>-0.90680340000000004</v>
      </c>
      <c r="P7311">
        <v>0.78356159999999997</v>
      </c>
      <c r="Q7311">
        <v>-8.656838E-2</v>
      </c>
      <c r="R7311">
        <v>-0.61525399999999997</v>
      </c>
      <c r="S7311">
        <v>2.9777529999999999</v>
      </c>
      <c r="T7311">
        <v>-0.37809569999999998</v>
      </c>
      <c r="U7311">
        <v>-1.051056</v>
      </c>
      <c r="V7311">
        <v>-0.44995689999999999</v>
      </c>
      <c r="W7311">
        <v>-8.4740990000000002E-2</v>
      </c>
      <c r="X7311">
        <v>0.8890207</v>
      </c>
      <c r="Y7311">
        <v>-0.70726809999999996</v>
      </c>
      <c r="Z7311">
        <v>0.12133960000000001</v>
      </c>
      <c r="AA7311">
        <v>0.69645429999999997</v>
      </c>
      <c r="AB7311">
        <v>21</v>
      </c>
      <c r="AC7311">
        <v>8.7561999999999696</v>
      </c>
      <c r="AD7311">
        <v>-1.127100605581</v>
      </c>
      <c r="AE7311">
        <v>-2.9063099999999902</v>
      </c>
      <c r="AF7311">
        <v>-6.6169476052131504</v>
      </c>
      <c r="AG7311">
        <v>-1.127100605581</v>
      </c>
      <c r="AH7311">
        <v>6.2328755006164602</v>
      </c>
      <c r="AI7311">
        <v>97.068030282244493</v>
      </c>
      <c r="AJ7311">
        <v>136.71202053699</v>
      </c>
      <c r="AK7311">
        <v>9.1598629024359308</v>
      </c>
      <c r="AL7311">
        <v>94.861130824969095</v>
      </c>
      <c r="AM7311">
        <v>116.84517871703</v>
      </c>
      <c r="AN7311">
        <v>1.0000000261361299</v>
      </c>
    </row>
    <row r="7312" spans="1:40" x14ac:dyDescent="0.25">
      <c r="A7312" t="str">
        <f>"20190303154954858"</f>
        <v>20190303154954858</v>
      </c>
      <c r="B7312" t="str">
        <f>"1551599394847998"</f>
        <v>1551599394847998</v>
      </c>
      <c r="C7312" t="s">
        <v>40</v>
      </c>
      <c r="D7312">
        <v>5.5277310000000002</v>
      </c>
      <c r="E7312">
        <v>0.36859209999999998</v>
      </c>
      <c r="F7312" t="s">
        <v>64</v>
      </c>
      <c r="G7312">
        <v>-291.09780000000001</v>
      </c>
      <c r="H7312" s="1">
        <v>-9.6415420000000007E-6</v>
      </c>
      <c r="I7312">
        <v>-57.80115</v>
      </c>
      <c r="J7312">
        <v>-299.84539999999998</v>
      </c>
      <c r="K7312">
        <v>1.127186</v>
      </c>
      <c r="L7312">
        <v>-55.040309999999998</v>
      </c>
      <c r="M7312">
        <v>0.43575190000000003</v>
      </c>
      <c r="N7312">
        <v>-1.033124E-2</v>
      </c>
      <c r="O7312">
        <v>-0.90000749999999996</v>
      </c>
      <c r="P7312">
        <v>0.79191739999999999</v>
      </c>
      <c r="Q7312">
        <v>-8.8157369999999999E-2</v>
      </c>
      <c r="R7312">
        <v>-0.60423099999999996</v>
      </c>
      <c r="S7312">
        <v>2.9912109999999998</v>
      </c>
      <c r="T7312">
        <v>-0.37952209999999997</v>
      </c>
      <c r="U7312">
        <v>-1.013123</v>
      </c>
      <c r="V7312">
        <v>-0.44809840000000001</v>
      </c>
      <c r="W7312">
        <v>-8.6365979999999995E-2</v>
      </c>
      <c r="X7312">
        <v>0.88980269999999995</v>
      </c>
      <c r="Y7312">
        <v>-0.70496800000000004</v>
      </c>
      <c r="Z7312">
        <v>0.12171369999999999</v>
      </c>
      <c r="AA7312">
        <v>0.69871729999999999</v>
      </c>
      <c r="AB7312">
        <v>21</v>
      </c>
      <c r="AC7312">
        <v>8.7475999999999701</v>
      </c>
      <c r="AD7312">
        <v>-1.1271956415419999</v>
      </c>
      <c r="AE7312">
        <v>-2.76084</v>
      </c>
      <c r="AF7312">
        <v>-6.5709972710314304</v>
      </c>
      <c r="AG7312">
        <v>-1.1271956415419999</v>
      </c>
      <c r="AH7312">
        <v>6.2032264371237797</v>
      </c>
      <c r="AI7312">
        <v>97.110253033253599</v>
      </c>
      <c r="AJ7312">
        <v>136.64909415187401</v>
      </c>
      <c r="AK7312">
        <v>9.10651378851672</v>
      </c>
      <c r="AL7312">
        <v>94.954578393131996</v>
      </c>
      <c r="AM7312">
        <v>116.729504789684</v>
      </c>
      <c r="AN7312">
        <v>1.0000000517556</v>
      </c>
    </row>
    <row r="7313" spans="1:40" x14ac:dyDescent="0.25">
      <c r="A7313" t="str">
        <f>"20190303154954885"</f>
        <v>20190303154954885</v>
      </c>
      <c r="B7313" t="str">
        <f>"1551599394878254"</f>
        <v>1551599394878254</v>
      </c>
      <c r="C7313" t="s">
        <v>40</v>
      </c>
      <c r="D7313">
        <v>5.5196809999999896</v>
      </c>
      <c r="E7313">
        <v>0.3689191</v>
      </c>
      <c r="F7313" t="s">
        <v>64</v>
      </c>
      <c r="G7313">
        <v>-290.88240000000002</v>
      </c>
      <c r="H7313" s="1">
        <v>-9.7059010000000008E-6</v>
      </c>
      <c r="I7313">
        <v>-57.940759999999997</v>
      </c>
      <c r="J7313">
        <v>-299.7235</v>
      </c>
      <c r="K7313">
        <v>1.1272709999999999</v>
      </c>
      <c r="L7313">
        <v>-55.25488</v>
      </c>
      <c r="M7313">
        <v>0.44825569999999998</v>
      </c>
      <c r="N7313">
        <v>-1.037249E-2</v>
      </c>
      <c r="O7313">
        <v>-0.89384529999999995</v>
      </c>
      <c r="P7313">
        <v>0.79913159999999905</v>
      </c>
      <c r="Q7313">
        <v>-8.9686100000000005E-2</v>
      </c>
      <c r="R7313">
        <v>-0.59442869999999903</v>
      </c>
      <c r="S7313">
        <v>3.0043950000000001</v>
      </c>
      <c r="T7313">
        <v>-0.37783650000000002</v>
      </c>
      <c r="U7313">
        <v>-0.97222900000000001</v>
      </c>
      <c r="V7313">
        <v>-0.44646459999999999</v>
      </c>
      <c r="W7313">
        <v>-8.7910989999999994E-2</v>
      </c>
      <c r="X7313">
        <v>0.89047240000000005</v>
      </c>
      <c r="Y7313">
        <v>-0.70473339999999995</v>
      </c>
      <c r="Z7313">
        <v>0.12112630000000001</v>
      </c>
      <c r="AA7313">
        <v>0.69905609999999996</v>
      </c>
      <c r="AB7313">
        <v>21</v>
      </c>
      <c r="AC7313">
        <v>8.8410999999999795</v>
      </c>
      <c r="AD7313">
        <v>-1.1272807059009999</v>
      </c>
      <c r="AE7313">
        <v>-2.6858799999999898</v>
      </c>
      <c r="AF7313">
        <v>-6.6007306443306701</v>
      </c>
      <c r="AG7313">
        <v>-1.1272807059009999</v>
      </c>
      <c r="AH7313">
        <v>6.2708426636391303</v>
      </c>
      <c r="AI7313">
        <v>97.058149042293394</v>
      </c>
      <c r="AJ7313">
        <v>136.46812295086499</v>
      </c>
      <c r="AK7313">
        <v>9.1740871230340595</v>
      </c>
      <c r="AL7313">
        <v>95.043439025616706</v>
      </c>
      <c r="AM7313">
        <v>116.628247558499</v>
      </c>
      <c r="AN7313">
        <v>1.0000000381888401</v>
      </c>
    </row>
    <row r="7314" spans="1:40" x14ac:dyDescent="0.25">
      <c r="A7314" t="str">
        <f>"20190303154954907"</f>
        <v>20190303154954907</v>
      </c>
      <c r="B7314" t="str">
        <f>"1551599394897774"</f>
        <v>1551599394897774</v>
      </c>
      <c r="C7314" t="s">
        <v>40</v>
      </c>
      <c r="D7314">
        <v>5.5238649999999998</v>
      </c>
      <c r="E7314">
        <v>0.3693651</v>
      </c>
      <c r="F7314" t="s">
        <v>64</v>
      </c>
      <c r="G7314">
        <v>-290.69690000000003</v>
      </c>
      <c r="H7314" s="1">
        <v>-9.7612140000000006E-6</v>
      </c>
      <c r="I7314">
        <v>-58.062260000000002</v>
      </c>
      <c r="J7314">
        <v>-299.6155</v>
      </c>
      <c r="K7314">
        <v>1.1273470000000001</v>
      </c>
      <c r="L7314">
        <v>-55.439059999999998</v>
      </c>
      <c r="M7314">
        <v>0.4590726</v>
      </c>
      <c r="N7314">
        <v>-1.041431E-2</v>
      </c>
      <c r="O7314">
        <v>-0.88833790000000001</v>
      </c>
      <c r="P7314">
        <v>0.80504069999999905</v>
      </c>
      <c r="Q7314">
        <v>-8.9719969999999996E-2</v>
      </c>
      <c r="R7314">
        <v>-0.58639600000000003</v>
      </c>
      <c r="S7314">
        <v>3.014465</v>
      </c>
      <c r="T7314">
        <v>-0.37645780000000001</v>
      </c>
      <c r="U7314">
        <v>-0.93753050000000004</v>
      </c>
      <c r="V7314">
        <v>-0.44455650000000002</v>
      </c>
      <c r="W7314">
        <v>-8.7936749999999994E-2</v>
      </c>
      <c r="X7314">
        <v>0.89142389999999905</v>
      </c>
      <c r="Y7314">
        <v>-0.70424149999999996</v>
      </c>
      <c r="Z7314">
        <v>0.1206323</v>
      </c>
      <c r="AA7314">
        <v>0.69963690000000001</v>
      </c>
      <c r="AB7314">
        <v>21</v>
      </c>
      <c r="AC7314">
        <v>8.9185999999999694</v>
      </c>
      <c r="AD7314">
        <v>-1.1273567612140001</v>
      </c>
      <c r="AE7314">
        <v>-2.62319999999999</v>
      </c>
      <c r="AF7314">
        <v>-6.6214787389471397</v>
      </c>
      <c r="AG7314">
        <v>-1.1273567612140001</v>
      </c>
      <c r="AH7314">
        <v>6.3318045241768601</v>
      </c>
      <c r="AI7314">
        <v>97.015083276695805</v>
      </c>
      <c r="AJ7314">
        <v>136.28109172593199</v>
      </c>
      <c r="AK7314">
        <v>9.2307455002166794</v>
      </c>
      <c r="AL7314">
        <v>95.044921090511494</v>
      </c>
      <c r="AM7314">
        <v>116.505607649304</v>
      </c>
      <c r="AN7314">
        <v>0.99999996159200999</v>
      </c>
    </row>
    <row r="7315" spans="1:40" x14ac:dyDescent="0.25">
      <c r="A7315" t="str">
        <f>"20190303154954926"</f>
        <v>20190303154954926</v>
      </c>
      <c r="B7315" t="str">
        <f>"1551599394918270"</f>
        <v>1551599394918270</v>
      </c>
      <c r="C7315" t="s">
        <v>40</v>
      </c>
      <c r="D7315">
        <v>5.525855</v>
      </c>
      <c r="E7315">
        <v>0.36981740000000002</v>
      </c>
      <c r="F7315" t="s">
        <v>64</v>
      </c>
      <c r="G7315">
        <v>-290.44060000000002</v>
      </c>
      <c r="H7315" s="1">
        <v>-9.8403699999999994E-6</v>
      </c>
      <c r="I7315">
        <v>-58.20261</v>
      </c>
      <c r="J7315">
        <v>-299.52600000000001</v>
      </c>
      <c r="K7315">
        <v>1.1274</v>
      </c>
      <c r="L7315">
        <v>-55.588070000000002</v>
      </c>
      <c r="M7315">
        <v>0.46786879999999997</v>
      </c>
      <c r="N7315">
        <v>-1.044979E-2</v>
      </c>
      <c r="O7315">
        <v>-0.88373639999999998</v>
      </c>
      <c r="P7315">
        <v>0.80988059999999995</v>
      </c>
      <c r="Q7315">
        <v>-8.8690699999999997E-2</v>
      </c>
      <c r="R7315">
        <v>-0.57985159999999902</v>
      </c>
      <c r="S7315">
        <v>3.0220950000000002</v>
      </c>
      <c r="T7315">
        <v>-0.37133680000000002</v>
      </c>
      <c r="U7315">
        <v>-0.91027829999999998</v>
      </c>
      <c r="V7315">
        <v>-0.44304120000000002</v>
      </c>
      <c r="W7315">
        <v>-8.6894299999999994E-2</v>
      </c>
      <c r="X7315">
        <v>0.89228019999999997</v>
      </c>
      <c r="Y7315">
        <v>-0.70373509999999995</v>
      </c>
      <c r="Z7315">
        <v>0.11886330000000001</v>
      </c>
      <c r="AA7315">
        <v>0.70044890000000004</v>
      </c>
      <c r="AB7315">
        <v>21</v>
      </c>
      <c r="AC7315">
        <v>9.0853999999999893</v>
      </c>
      <c r="AD7315">
        <v>-1.1274098403699999</v>
      </c>
      <c r="AE7315">
        <v>-2.6145399999999999</v>
      </c>
      <c r="AF7315">
        <v>-6.7107750381824003</v>
      </c>
      <c r="AG7315">
        <v>-1.1274098403699999</v>
      </c>
      <c r="AH7315">
        <v>6.4696924768098203</v>
      </c>
      <c r="AI7315">
        <v>96.896229022884199</v>
      </c>
      <c r="AJ7315">
        <v>136.04787430046801</v>
      </c>
      <c r="AK7315">
        <v>9.3894874889817501</v>
      </c>
      <c r="AL7315">
        <v>94.984963188058202</v>
      </c>
      <c r="AM7315">
        <v>116.405638979687</v>
      </c>
      <c r="AN7315">
        <v>1.0000000397909801</v>
      </c>
    </row>
    <row r="7316" spans="1:40" x14ac:dyDescent="0.25">
      <c r="A7316" t="str">
        <f>"20190303154954945"</f>
        <v>20190303154954945</v>
      </c>
      <c r="B7316" t="str">
        <f>"1551599394937790"</f>
        <v>1551599394937790</v>
      </c>
      <c r="C7316" t="s">
        <v>40</v>
      </c>
      <c r="D7316">
        <v>5.521693</v>
      </c>
      <c r="E7316">
        <v>0.37028810000000001</v>
      </c>
      <c r="F7316" t="s">
        <v>64</v>
      </c>
      <c r="G7316">
        <v>-290.14490000000001</v>
      </c>
      <c r="H7316" s="1">
        <v>-9.9340059999999998E-6</v>
      </c>
      <c r="I7316">
        <v>-58.341760000000001</v>
      </c>
      <c r="J7316">
        <v>-299.42959999999999</v>
      </c>
      <c r="K7316">
        <v>1.1274360000000001</v>
      </c>
      <c r="L7316">
        <v>-55.744750000000003</v>
      </c>
      <c r="M7316">
        <v>0.4771686</v>
      </c>
      <c r="N7316">
        <v>-1.04879E-2</v>
      </c>
      <c r="O7316">
        <v>-0.87874940000000001</v>
      </c>
      <c r="P7316">
        <v>0.81516149999999998</v>
      </c>
      <c r="Q7316">
        <v>-8.9935169999999995E-2</v>
      </c>
      <c r="R7316">
        <v>-0.57220950000000004</v>
      </c>
      <c r="S7316">
        <v>3.0280149999999999</v>
      </c>
      <c r="T7316">
        <v>-0.36390139999999999</v>
      </c>
      <c r="U7316">
        <v>-0.88882450000000002</v>
      </c>
      <c r="V7316">
        <v>-0.44186629999999899</v>
      </c>
      <c r="W7316">
        <v>-8.8133130000000004E-2</v>
      </c>
      <c r="X7316">
        <v>0.89274109999999995</v>
      </c>
      <c r="Y7316">
        <v>-0.70154939999999999</v>
      </c>
      <c r="Z7316">
        <v>0.1162083</v>
      </c>
      <c r="AA7316">
        <v>0.70308190000000004</v>
      </c>
      <c r="AB7316">
        <v>22</v>
      </c>
      <c r="AC7316">
        <v>9.2846999999999795</v>
      </c>
      <c r="AD7316">
        <v>-1.1274459340059999</v>
      </c>
      <c r="AE7316">
        <v>-2.5970099999999898</v>
      </c>
      <c r="AF7316">
        <v>-6.8267335953817296</v>
      </c>
      <c r="AG7316">
        <v>-1.1274459340059999</v>
      </c>
      <c r="AH7316">
        <v>6.6222933989585799</v>
      </c>
      <c r="AI7316">
        <v>96.760368330447506</v>
      </c>
      <c r="AJ7316">
        <v>135.870892616638</v>
      </c>
      <c r="AK7316">
        <v>9.5775882025857992</v>
      </c>
      <c r="AL7316">
        <v>95.056216631446105</v>
      </c>
      <c r="AM7316">
        <v>116.33331994355299</v>
      </c>
      <c r="AN7316">
        <v>0.99999997365424798</v>
      </c>
    </row>
    <row r="7317" spans="1:40" x14ac:dyDescent="0.25">
      <c r="A7317" t="str">
        <f>"20190303154954965"</f>
        <v>20190303154954965</v>
      </c>
      <c r="B7317" t="str">
        <f>"1551599394958286"</f>
        <v>1551599394958286</v>
      </c>
      <c r="C7317" t="s">
        <v>40</v>
      </c>
      <c r="D7317">
        <v>5.5227170000000001</v>
      </c>
      <c r="E7317">
        <v>0.37085489999999999</v>
      </c>
      <c r="F7317" t="s">
        <v>64</v>
      </c>
      <c r="G7317">
        <v>-290.09289999999999</v>
      </c>
      <c r="H7317" s="1">
        <v>-9.9468210000000002E-6</v>
      </c>
      <c r="I7317">
        <v>-58.402520000000003</v>
      </c>
      <c r="J7317">
        <v>-299.32889999999998</v>
      </c>
      <c r="K7317">
        <v>1.1274789999999999</v>
      </c>
      <c r="L7317">
        <v>-55.90448</v>
      </c>
      <c r="M7317">
        <v>0.48669679999999998</v>
      </c>
      <c r="N7317">
        <v>-1.052935E-2</v>
      </c>
      <c r="O7317">
        <v>-0.873507699999999</v>
      </c>
      <c r="P7317">
        <v>0.82096970000000002</v>
      </c>
      <c r="Q7317">
        <v>-9.2710379999999995E-2</v>
      </c>
      <c r="R7317">
        <v>-0.56339499999999998</v>
      </c>
      <c r="S7317">
        <v>3.0336609999999999</v>
      </c>
      <c r="T7317">
        <v>-0.36632789999999998</v>
      </c>
      <c r="U7317">
        <v>-0.86355590000000004</v>
      </c>
      <c r="V7317">
        <v>-0.4414476</v>
      </c>
      <c r="W7317">
        <v>-9.0917029999999996E-2</v>
      </c>
      <c r="X7317">
        <v>0.89266909999999899</v>
      </c>
      <c r="Y7317">
        <v>-0.69951549999999996</v>
      </c>
      <c r="Z7317">
        <v>0.1169032</v>
      </c>
      <c r="AA7317">
        <v>0.70499060000000002</v>
      </c>
      <c r="AB7317">
        <v>22</v>
      </c>
      <c r="AC7317">
        <v>9.23599999999999</v>
      </c>
      <c r="AD7317">
        <v>-1.1274889468209901</v>
      </c>
      <c r="AE7317">
        <v>-2.4980399999999801</v>
      </c>
      <c r="AF7317">
        <v>-6.7584559100497597</v>
      </c>
      <c r="AG7317">
        <v>-1.1274889468209901</v>
      </c>
      <c r="AH7317">
        <v>6.5860994704331501</v>
      </c>
      <c r="AI7317">
        <v>96.813272488217905</v>
      </c>
      <c r="AJ7317">
        <v>135.73998325194501</v>
      </c>
      <c r="AK7317">
        <v>9.5039288637768102</v>
      </c>
      <c r="AL7317">
        <v>95.216365307063995</v>
      </c>
      <c r="AM7317">
        <v>116.31356779543</v>
      </c>
      <c r="AN7317">
        <v>1.00000000599229</v>
      </c>
    </row>
    <row r="7318" spans="1:40" x14ac:dyDescent="0.25">
      <c r="A7318" t="str">
        <f>"20190303154954983"</f>
        <v>20190303154954983</v>
      </c>
      <c r="B7318" t="str">
        <f>"1551599394978316"</f>
        <v>1551599394978316</v>
      </c>
      <c r="C7318" t="s">
        <v>40</v>
      </c>
      <c r="D7318">
        <v>5.5430679999999999</v>
      </c>
      <c r="E7318">
        <v>0.37112699999999998</v>
      </c>
      <c r="F7318" t="s">
        <v>64</v>
      </c>
      <c r="G7318">
        <v>-290.11880000000002</v>
      </c>
      <c r="H7318" s="1">
        <v>-9.9343090000000004E-6</v>
      </c>
      <c r="I7318">
        <v>-58.433700000000002</v>
      </c>
      <c r="J7318">
        <v>-299.23660000000001</v>
      </c>
      <c r="K7318">
        <v>1.1275059999999999</v>
      </c>
      <c r="L7318">
        <v>-56.047640000000001</v>
      </c>
      <c r="M7318">
        <v>0.49527300000000002</v>
      </c>
      <c r="N7318">
        <v>-1.0568650000000001E-2</v>
      </c>
      <c r="O7318">
        <v>-0.86867309999999998</v>
      </c>
      <c r="P7318">
        <v>0.82634039999999997</v>
      </c>
      <c r="Q7318">
        <v>-9.5465590000000003E-2</v>
      </c>
      <c r="R7318">
        <v>-0.55502059999999998</v>
      </c>
      <c r="S7318">
        <v>3.0393979999999998</v>
      </c>
      <c r="T7318">
        <v>-0.37207770000000001</v>
      </c>
      <c r="U7318">
        <v>-0.83465579999999995</v>
      </c>
      <c r="V7318">
        <v>-0.44140360000000001</v>
      </c>
      <c r="W7318">
        <v>-9.3684589999999998E-2</v>
      </c>
      <c r="X7318">
        <v>0.89240459999999999</v>
      </c>
      <c r="Y7318">
        <v>-0.69885090000000005</v>
      </c>
      <c r="Z7318">
        <v>0.1187993</v>
      </c>
      <c r="AA7318">
        <v>0.70533269999999904</v>
      </c>
      <c r="AB7318">
        <v>22</v>
      </c>
      <c r="AC7318">
        <v>9.1177999999999795</v>
      </c>
      <c r="AD7318">
        <v>-1.127515934309</v>
      </c>
      <c r="AE7318">
        <v>-2.3860600000000001</v>
      </c>
      <c r="AF7318">
        <v>-6.6439256073536299</v>
      </c>
      <c r="AG7318">
        <v>-1.127515934309</v>
      </c>
      <c r="AH7318">
        <v>6.4959054725027103</v>
      </c>
      <c r="AI7318">
        <v>96.9187059146157</v>
      </c>
      <c r="AJ7318">
        <v>135.64540938479701</v>
      </c>
      <c r="AK7318">
        <v>9.3600121562880805</v>
      </c>
      <c r="AL7318">
        <v>95.375614947995501</v>
      </c>
      <c r="AM7318">
        <v>116.31804554146299</v>
      </c>
      <c r="AN7318">
        <v>0.99999995529879304</v>
      </c>
    </row>
    <row r="7319" spans="1:40" x14ac:dyDescent="0.25">
      <c r="A7319" t="str">
        <f>"20190303154955003"</f>
        <v>20190303154955003</v>
      </c>
      <c r="B7319" t="str">
        <f>"1551599394997836"</f>
        <v>1551599394997836</v>
      </c>
      <c r="C7319" t="s">
        <v>40</v>
      </c>
      <c r="D7319">
        <v>5.4392880000000003</v>
      </c>
      <c r="E7319">
        <v>0.38001030000000002</v>
      </c>
      <c r="F7319" t="s">
        <v>64</v>
      </c>
      <c r="G7319">
        <v>-290.10919999999999</v>
      </c>
      <c r="H7319" s="1">
        <v>-9.9350179999999998E-6</v>
      </c>
      <c r="I7319">
        <v>-58.461649999999999</v>
      </c>
      <c r="J7319">
        <v>-299.13170000000002</v>
      </c>
      <c r="K7319">
        <v>1.12754</v>
      </c>
      <c r="L7319">
        <v>-56.206600000000002</v>
      </c>
      <c r="M7319">
        <v>0.50484229999999997</v>
      </c>
      <c r="N7319">
        <v>-1.0613650000000001E-2</v>
      </c>
      <c r="O7319">
        <v>-0.86314650000000004</v>
      </c>
      <c r="P7319">
        <v>0.83240439999999905</v>
      </c>
      <c r="Q7319">
        <v>-9.8207939999999994E-2</v>
      </c>
      <c r="R7319">
        <v>-0.54539729999999997</v>
      </c>
      <c r="S7319">
        <v>3.0458980000000002</v>
      </c>
      <c r="T7319">
        <v>-0.37625910000000001</v>
      </c>
      <c r="U7319">
        <v>-0.80557250000000002</v>
      </c>
      <c r="V7319">
        <v>-0.44156079999999998</v>
      </c>
      <c r="W7319">
        <v>-9.6443180000000003E-2</v>
      </c>
      <c r="X7319">
        <v>0.89203290000000002</v>
      </c>
      <c r="Y7319">
        <v>-0.69749340000000004</v>
      </c>
      <c r="Z7319">
        <v>0.1200645</v>
      </c>
      <c r="AA7319">
        <v>0.70646119999999901</v>
      </c>
      <c r="AB7319">
        <v>22</v>
      </c>
      <c r="AC7319">
        <v>9.0225000000000293</v>
      </c>
      <c r="AD7319">
        <v>-1.127549935018</v>
      </c>
      <c r="AE7319">
        <v>-2.25504999999999</v>
      </c>
      <c r="AF7319">
        <v>-6.5533376616107004</v>
      </c>
      <c r="AG7319">
        <v>-1.127549935018</v>
      </c>
      <c r="AH7319">
        <v>6.4075557665943004</v>
      </c>
      <c r="AI7319">
        <v>97.013491178218104</v>
      </c>
      <c r="AJ7319">
        <v>135.64442587572699</v>
      </c>
      <c r="AK7319">
        <v>9.2344125024313293</v>
      </c>
      <c r="AL7319">
        <v>95.534389603505801</v>
      </c>
      <c r="AM7319">
        <v>116.335642905481</v>
      </c>
      <c r="AN7319">
        <v>0.99999996087377996</v>
      </c>
    </row>
    <row r="7320" spans="1:40" x14ac:dyDescent="0.25">
      <c r="A7320" t="str">
        <f>"20190303154955026"</f>
        <v>20190303154955026</v>
      </c>
      <c r="B7320" t="str">
        <f>"1551599395018332"</f>
        <v>1551599395018332</v>
      </c>
      <c r="C7320" t="s">
        <v>40</v>
      </c>
      <c r="D7320">
        <v>5.4279580000000003</v>
      </c>
      <c r="E7320">
        <v>0.38037219999999999</v>
      </c>
      <c r="F7320" t="s">
        <v>64</v>
      </c>
      <c r="G7320">
        <v>-289.07459999999998</v>
      </c>
      <c r="H7320" s="1">
        <v>-1.7080340000000001E-6</v>
      </c>
      <c r="I7320">
        <v>-58.980319999999899</v>
      </c>
      <c r="J7320">
        <v>-299.0136</v>
      </c>
      <c r="K7320">
        <v>1.1275740000000001</v>
      </c>
      <c r="L7320">
        <v>-56.380619999999901</v>
      </c>
      <c r="M7320">
        <v>0.51537040000000001</v>
      </c>
      <c r="N7320">
        <v>-1.0666719999999999E-2</v>
      </c>
      <c r="O7320">
        <v>-0.85690119999999903</v>
      </c>
      <c r="P7320">
        <v>0.83941710000000003</v>
      </c>
      <c r="Q7320">
        <v>-0.10040979999999999</v>
      </c>
      <c r="R7320">
        <v>-0.53413199999999905</v>
      </c>
      <c r="S7320">
        <v>3.0185849999999999</v>
      </c>
      <c r="T7320">
        <v>-0.338426</v>
      </c>
      <c r="U7320">
        <v>-0.83251949999999997</v>
      </c>
      <c r="V7320">
        <v>-0.4423861</v>
      </c>
      <c r="W7320">
        <v>-9.8672239999999994E-2</v>
      </c>
      <c r="X7320">
        <v>0.89138009999999901</v>
      </c>
      <c r="Y7320">
        <v>-0.68270719999999996</v>
      </c>
      <c r="Z7320">
        <v>0.107225</v>
      </c>
      <c r="AA7320">
        <v>0.72278189999999998</v>
      </c>
      <c r="AB7320">
        <v>22</v>
      </c>
      <c r="AC7320">
        <v>9.9390000000000196</v>
      </c>
      <c r="AD7320">
        <v>-1.1275757080339901</v>
      </c>
      <c r="AE7320">
        <v>-2.5996999999999901</v>
      </c>
      <c r="AF7320">
        <v>-7.0919070307696197</v>
      </c>
      <c r="AG7320">
        <v>-1.1275757080339901</v>
      </c>
      <c r="AH7320">
        <v>7.2628771110718997</v>
      </c>
      <c r="AI7320">
        <v>96.338392873675801</v>
      </c>
      <c r="AJ7320">
        <v>134.317621166077</v>
      </c>
      <c r="AK7320">
        <v>10.213518308641699</v>
      </c>
      <c r="AL7320">
        <v>95.662716844286905</v>
      </c>
      <c r="AM7320">
        <v>116.394903412635</v>
      </c>
      <c r="AN7320">
        <v>1.0000000775479101</v>
      </c>
    </row>
    <row r="7321" spans="1:40" x14ac:dyDescent="0.25">
      <c r="A7321" t="str">
        <f>"20190303154955051"</f>
        <v>20190303154955051</v>
      </c>
      <c r="B7321" t="str">
        <f>"1551599395048588"</f>
        <v>1551599395048588</v>
      </c>
      <c r="C7321" t="s">
        <v>40</v>
      </c>
      <c r="D7321">
        <v>5.4221130000000004</v>
      </c>
      <c r="E7321">
        <v>0.38020920000000002</v>
      </c>
      <c r="F7321" t="s">
        <v>64</v>
      </c>
      <c r="G7321">
        <v>-289.22239999999999</v>
      </c>
      <c r="H7321" s="1">
        <v>-1.6275819999999901E-6</v>
      </c>
      <c r="I7321">
        <v>-58.948599999999999</v>
      </c>
      <c r="J7321">
        <v>-298.87520000000001</v>
      </c>
      <c r="K7321">
        <v>1.127624</v>
      </c>
      <c r="L7321">
        <v>-56.578949999999999</v>
      </c>
      <c r="M7321">
        <v>0.52742979999999995</v>
      </c>
      <c r="N7321">
        <v>-1.0735110000000001E-2</v>
      </c>
      <c r="O7321">
        <v>-0.84953080000000003</v>
      </c>
      <c r="P7321">
        <v>0.84750139999999996</v>
      </c>
      <c r="Q7321">
        <v>-0.1019794</v>
      </c>
      <c r="R7321">
        <v>-0.5209049</v>
      </c>
      <c r="S7321">
        <v>3.0270389999999998</v>
      </c>
      <c r="T7321">
        <v>-0.34860000000000002</v>
      </c>
      <c r="U7321">
        <v>-0.79391480000000003</v>
      </c>
      <c r="V7321">
        <v>-0.44356279999999998</v>
      </c>
      <c r="W7321">
        <v>-0.10026939999999999</v>
      </c>
      <c r="X7321">
        <v>0.89061669999999904</v>
      </c>
      <c r="Y7321">
        <v>-0.68115409999999998</v>
      </c>
      <c r="Z7321">
        <v>0.11042630000000001</v>
      </c>
      <c r="AA7321">
        <v>0.72376459999999998</v>
      </c>
      <c r="AB7321">
        <v>22</v>
      </c>
      <c r="AC7321">
        <v>9.6528000000000098</v>
      </c>
      <c r="AD7321">
        <v>-1.127625627582</v>
      </c>
      <c r="AE7321">
        <v>-2.36965</v>
      </c>
      <c r="AF7321">
        <v>-6.8625995016039099</v>
      </c>
      <c r="AG7321">
        <v>-1.127625627582</v>
      </c>
      <c r="AH7321">
        <v>7.0143927958678001</v>
      </c>
      <c r="AI7321">
        <v>96.555118754143905</v>
      </c>
      <c r="AJ7321">
        <v>134.37329587803799</v>
      </c>
      <c r="AK7321">
        <v>9.8776777518866297</v>
      </c>
      <c r="AL7321">
        <v>95.7546838851882</v>
      </c>
      <c r="AM7321">
        <v>116.475144006397</v>
      </c>
      <c r="AN7321">
        <v>1.0000000082195399</v>
      </c>
    </row>
    <row r="7322" spans="1:40" x14ac:dyDescent="0.25">
      <c r="A7322" t="str">
        <f>"20190303154955074"</f>
        <v>20190303154955074</v>
      </c>
      <c r="B7322" t="str">
        <f>"1551599395068108"</f>
        <v>1551599395068108</v>
      </c>
      <c r="C7322" t="s">
        <v>40</v>
      </c>
      <c r="D7322">
        <v>5.5774910000000002</v>
      </c>
      <c r="E7322">
        <v>0.37930659999999999</v>
      </c>
      <c r="F7322" t="s">
        <v>64</v>
      </c>
      <c r="G7322">
        <v>-289.18880000000001</v>
      </c>
      <c r="H7322" s="1">
        <v>-1.646291E-6</v>
      </c>
      <c r="I7322">
        <v>-58.954050000000002</v>
      </c>
      <c r="J7322">
        <v>-298.74299999999999</v>
      </c>
      <c r="K7322">
        <v>1.127669</v>
      </c>
      <c r="L7322">
        <v>-56.763150000000003</v>
      </c>
      <c r="M7322">
        <v>0.53868959999999999</v>
      </c>
      <c r="N7322">
        <v>-1.0805560000000001E-2</v>
      </c>
      <c r="O7322">
        <v>-0.84243509999999999</v>
      </c>
      <c r="P7322">
        <v>0.85474660000000002</v>
      </c>
      <c r="Q7322">
        <v>-0.1032095</v>
      </c>
      <c r="R7322">
        <v>-0.50868089999999999</v>
      </c>
      <c r="S7322">
        <v>3.039215</v>
      </c>
      <c r="T7322">
        <v>-0.35380240000000002</v>
      </c>
      <c r="U7322">
        <v>-0.74520869999999995</v>
      </c>
      <c r="V7322">
        <v>-0.44433909999999999</v>
      </c>
      <c r="W7322">
        <v>-0.10151250000000001</v>
      </c>
      <c r="X7322">
        <v>0.89008869999999896</v>
      </c>
      <c r="Y7322">
        <v>-0.68286369999999996</v>
      </c>
      <c r="Z7322">
        <v>0.1120487</v>
      </c>
      <c r="AA7322">
        <v>0.72190189999999999</v>
      </c>
      <c r="AB7322">
        <v>22</v>
      </c>
      <c r="AC7322">
        <v>9.5541999999999803</v>
      </c>
      <c r="AD7322">
        <v>-1.127670646291</v>
      </c>
      <c r="AE7322">
        <v>-2.1908999999999899</v>
      </c>
      <c r="AF7322">
        <v>-6.7792564841943799</v>
      </c>
      <c r="AG7322">
        <v>-1.127670646291</v>
      </c>
      <c r="AH7322">
        <v>6.9015065943621998</v>
      </c>
      <c r="AI7322">
        <v>96.648700052489403</v>
      </c>
      <c r="AJ7322">
        <v>134.48802351953</v>
      </c>
      <c r="AK7322">
        <v>9.7396484965846106</v>
      </c>
      <c r="AL7322">
        <v>95.826273849663096</v>
      </c>
      <c r="AM7322">
        <v>116.52872162583699</v>
      </c>
      <c r="AN7322">
        <v>0.99999995865637403</v>
      </c>
    </row>
    <row r="7323" spans="1:40" x14ac:dyDescent="0.25">
      <c r="A7323" t="str">
        <f>"20190303154955097"</f>
        <v>20190303154955097</v>
      </c>
      <c r="B7323" t="str">
        <f>"1551599395087628"</f>
        <v>1551599395087628</v>
      </c>
      <c r="C7323" t="s">
        <v>40</v>
      </c>
      <c r="D7323">
        <v>5.5494700000000003</v>
      </c>
      <c r="E7323">
        <v>0.36059010000000002</v>
      </c>
      <c r="F7323" t="s">
        <v>64</v>
      </c>
      <c r="G7323">
        <v>-289.11619999999999</v>
      </c>
      <c r="H7323" s="1">
        <v>-1.6889320000000001E-6</v>
      </c>
      <c r="I7323">
        <v>-58.955410000000001</v>
      </c>
      <c r="J7323">
        <v>-298.62259999999998</v>
      </c>
      <c r="K7323">
        <v>1.127723</v>
      </c>
      <c r="L7323">
        <v>-56.926389999999998</v>
      </c>
      <c r="M7323">
        <v>0.54872140000000003</v>
      </c>
      <c r="N7323">
        <v>-1.0872939999999999E-2</v>
      </c>
      <c r="O7323">
        <v>-0.83593490000000004</v>
      </c>
      <c r="P7323">
        <v>0.86046520000000004</v>
      </c>
      <c r="Q7323">
        <v>-0.10538260000000001</v>
      </c>
      <c r="R7323">
        <v>-0.4984922</v>
      </c>
      <c r="S7323">
        <v>3.0528870000000001</v>
      </c>
      <c r="T7323">
        <v>-0.35761279999999901</v>
      </c>
      <c r="U7323">
        <v>-0.69522090000000003</v>
      </c>
      <c r="V7323">
        <v>-0.44400139999999999</v>
      </c>
      <c r="W7323">
        <v>-0.1036738</v>
      </c>
      <c r="X7323">
        <v>0.89000820000000003</v>
      </c>
      <c r="Y7323">
        <v>-0.68596550000000001</v>
      </c>
      <c r="Z7323">
        <v>0.11321100000000001</v>
      </c>
      <c r="AA7323">
        <v>0.718773</v>
      </c>
      <c r="AB7323">
        <v>22</v>
      </c>
      <c r="AC7323">
        <v>9.5063999999999798</v>
      </c>
      <c r="AD7323">
        <v>-1.1277246889319901</v>
      </c>
      <c r="AE7323">
        <v>-2.0290199999999898</v>
      </c>
      <c r="AF7323">
        <v>-6.7430097851448396</v>
      </c>
      <c r="AG7323">
        <v>-1.1277246889319901</v>
      </c>
      <c r="AH7323">
        <v>6.8210924022991701</v>
      </c>
      <c r="AI7323">
        <v>96.705838679151398</v>
      </c>
      <c r="AJ7323">
        <v>134.670176843424</v>
      </c>
      <c r="AK7323">
        <v>9.6574968546352302</v>
      </c>
      <c r="AL7323">
        <v>95.950763599665905</v>
      </c>
      <c r="AM7323">
        <v>116.513387505548</v>
      </c>
      <c r="AN7323">
        <v>1.00000004803781</v>
      </c>
    </row>
    <row r="7324" spans="1:40" x14ac:dyDescent="0.25">
      <c r="A7324" t="str">
        <f>"20190303154955116"</f>
        <v>20190303154955116</v>
      </c>
      <c r="B7324" t="str">
        <f>"1551599395108124"</f>
        <v>1551599395108124</v>
      </c>
      <c r="C7324" t="s">
        <v>40</v>
      </c>
      <c r="D7324">
        <v>5.5265329999999997</v>
      </c>
      <c r="E7324">
        <v>0.36123670000000002</v>
      </c>
      <c r="F7324" t="s">
        <v>64</v>
      </c>
      <c r="G7324">
        <v>-288.49579999999997</v>
      </c>
      <c r="H7324" s="1">
        <v>-2.126143E-6</v>
      </c>
      <c r="I7324">
        <v>-58.640639999999998</v>
      </c>
      <c r="J7324">
        <v>-298.5077</v>
      </c>
      <c r="K7324">
        <v>1.1277710000000001</v>
      </c>
      <c r="L7324">
        <v>-57.078249999999997</v>
      </c>
      <c r="M7324">
        <v>0.55810769999999998</v>
      </c>
      <c r="N7324">
        <v>-1.0939890000000001E-2</v>
      </c>
      <c r="O7324">
        <v>-0.82969629999999905</v>
      </c>
      <c r="P7324">
        <v>0.86560700000000002</v>
      </c>
      <c r="Q7324">
        <v>-0.1059538</v>
      </c>
      <c r="R7324">
        <v>-0.48938569999999998</v>
      </c>
      <c r="S7324">
        <v>3.136139</v>
      </c>
      <c r="T7324">
        <v>-0.34924359999999999</v>
      </c>
      <c r="U7324">
        <v>-0.53088380000000002</v>
      </c>
      <c r="V7324">
        <v>-0.4432818</v>
      </c>
      <c r="W7324">
        <v>-0.104223</v>
      </c>
      <c r="X7324">
        <v>0.8903027</v>
      </c>
      <c r="Y7324">
        <v>-0.71793479999999998</v>
      </c>
      <c r="Z7324">
        <v>0.110193899999999</v>
      </c>
      <c r="AA7324">
        <v>0.68733319999999998</v>
      </c>
      <c r="AB7324">
        <v>22</v>
      </c>
      <c r="AC7324">
        <v>10.011900000000001</v>
      </c>
      <c r="AD7324">
        <v>-1.127773126143</v>
      </c>
      <c r="AE7324">
        <v>-1.5623899999999999</v>
      </c>
      <c r="AF7324">
        <v>-7.3443269520471803</v>
      </c>
      <c r="AG7324">
        <v>-1.127773126143</v>
      </c>
      <c r="AH7324">
        <v>6.8002070625620101</v>
      </c>
      <c r="AI7324">
        <v>96.428679538931505</v>
      </c>
      <c r="AJ7324">
        <v>137.20300000974399</v>
      </c>
      <c r="AK7324">
        <v>10.072429036549901</v>
      </c>
      <c r="AL7324">
        <v>95.982401866287105</v>
      </c>
      <c r="AM7324">
        <v>116.46871785256999</v>
      </c>
      <c r="AN7324">
        <v>1.0000000427837601</v>
      </c>
    </row>
    <row r="7325" spans="1:40" x14ac:dyDescent="0.25">
      <c r="A7325" t="str">
        <f>"20190303154955137"</f>
        <v>20190303154955137</v>
      </c>
      <c r="B7325" t="str">
        <f>"1551599395127645"</f>
        <v>1551599395127645</v>
      </c>
      <c r="C7325" t="s">
        <v>40</v>
      </c>
      <c r="D7325">
        <v>5.5347600000000003</v>
      </c>
      <c r="E7325">
        <v>0.36229539999999999</v>
      </c>
      <c r="F7325" t="s">
        <v>64</v>
      </c>
      <c r="G7325">
        <v>-288.072</v>
      </c>
      <c r="H7325" s="1">
        <v>-2.3526659999999998E-6</v>
      </c>
      <c r="I7325">
        <v>-58.750210000000003</v>
      </c>
      <c r="J7325">
        <v>-298.38529999999997</v>
      </c>
      <c r="K7325">
        <v>1.127839</v>
      </c>
      <c r="L7325">
        <v>-57.23621</v>
      </c>
      <c r="M7325">
        <v>0.56793110000000002</v>
      </c>
      <c r="N7325">
        <v>-1.101325E-2</v>
      </c>
      <c r="O7325">
        <v>-0.82300249999999997</v>
      </c>
      <c r="P7325">
        <v>0.8705813</v>
      </c>
      <c r="Q7325">
        <v>-0.10608389999999999</v>
      </c>
      <c r="R7325">
        <v>-0.4804524</v>
      </c>
      <c r="S7325">
        <v>3.1398320000000002</v>
      </c>
      <c r="T7325">
        <v>-0.3393176</v>
      </c>
      <c r="U7325">
        <v>-0.50305180000000005</v>
      </c>
      <c r="V7325">
        <v>-0.44183319999999998</v>
      </c>
      <c r="W7325">
        <v>-0.1043144</v>
      </c>
      <c r="X7325">
        <v>0.89101180000000002</v>
      </c>
      <c r="Y7325">
        <v>-0.7162056</v>
      </c>
      <c r="Z7325">
        <v>0.10664319999999999</v>
      </c>
      <c r="AA7325">
        <v>0.68969329999999995</v>
      </c>
      <c r="AB7325">
        <v>22</v>
      </c>
      <c r="AC7325">
        <v>10.3132999999999</v>
      </c>
      <c r="AD7325">
        <v>-1.1278413526660001</v>
      </c>
      <c r="AE7325">
        <v>-1.51399999999999</v>
      </c>
      <c r="AF7325">
        <v>-7.5402137851786</v>
      </c>
      <c r="AG7325">
        <v>-1.1278413526660001</v>
      </c>
      <c r="AH7325">
        <v>7.0215001109758202</v>
      </c>
      <c r="AI7325">
        <v>96.247008121531394</v>
      </c>
      <c r="AJ7325">
        <v>137.040113092513</v>
      </c>
      <c r="AK7325">
        <v>10.3647630870857</v>
      </c>
      <c r="AL7325">
        <v>95.987667363299494</v>
      </c>
      <c r="AM7325">
        <v>116.37580388006501</v>
      </c>
      <c r="AN7325">
        <v>1.0000000492044101</v>
      </c>
    </row>
    <row r="7326" spans="1:40" x14ac:dyDescent="0.25">
      <c r="A7326" t="str">
        <f>"20190303154955160"</f>
        <v>20190303154955160</v>
      </c>
      <c r="B7326" t="str">
        <f>"1551599395148141"</f>
        <v>1551599395148141</v>
      </c>
      <c r="C7326" t="s">
        <v>40</v>
      </c>
      <c r="D7326">
        <v>5.5708979999999997</v>
      </c>
      <c r="E7326">
        <v>0.36339939999999998</v>
      </c>
      <c r="F7326" t="s">
        <v>64</v>
      </c>
      <c r="G7326">
        <v>-287.73270000000002</v>
      </c>
      <c r="H7326" s="1">
        <v>-2.5292439999999998E-6</v>
      </c>
      <c r="I7326">
        <v>-58.859099999999998</v>
      </c>
      <c r="J7326">
        <v>-298.24709999999999</v>
      </c>
      <c r="K7326">
        <v>1.1279079999999999</v>
      </c>
      <c r="L7326">
        <v>-57.41</v>
      </c>
      <c r="M7326">
        <v>0.57880710000000002</v>
      </c>
      <c r="N7326">
        <v>-1.109535E-2</v>
      </c>
      <c r="O7326">
        <v>-0.81538920000000004</v>
      </c>
      <c r="P7326">
        <v>0.87627359999999899</v>
      </c>
      <c r="Q7326">
        <v>-0.1067284</v>
      </c>
      <c r="R7326">
        <v>-0.4698447</v>
      </c>
      <c r="S7326">
        <v>3.141327</v>
      </c>
      <c r="T7326">
        <v>-0.33258949999999998</v>
      </c>
      <c r="U7326">
        <v>-0.47857670000000002</v>
      </c>
      <c r="V7326">
        <v>-0.44073430000000002</v>
      </c>
      <c r="W7326">
        <v>-0.104931</v>
      </c>
      <c r="X7326">
        <v>0.89148340000000004</v>
      </c>
      <c r="Y7326">
        <v>-0.71258120000000003</v>
      </c>
      <c r="Z7326">
        <v>0.1040664</v>
      </c>
      <c r="AA7326">
        <v>0.69382869999999996</v>
      </c>
      <c r="AB7326">
        <v>22</v>
      </c>
      <c r="AC7326">
        <v>10.514399999999901</v>
      </c>
      <c r="AD7326">
        <v>-1.1279105292439999</v>
      </c>
      <c r="AE7326">
        <v>-1.4491000000000001</v>
      </c>
      <c r="AF7326">
        <v>-7.6486774133631403</v>
      </c>
      <c r="AG7326">
        <v>-1.1279105292439999</v>
      </c>
      <c r="AH7326">
        <v>7.18667711207386</v>
      </c>
      <c r="AI7326">
        <v>96.133949721142599</v>
      </c>
      <c r="AJ7326">
        <v>136.78371976996499</v>
      </c>
      <c r="AK7326">
        <v>10.5556987570163</v>
      </c>
      <c r="AL7326">
        <v>96.0231915220551</v>
      </c>
      <c r="AM7326">
        <v>116.307012048879</v>
      </c>
      <c r="AN7326">
        <v>0.99999994521652302</v>
      </c>
    </row>
    <row r="7327" spans="1:40" x14ac:dyDescent="0.25">
      <c r="A7327" t="str">
        <f>"20190303154955185"</f>
        <v>20190303154955185</v>
      </c>
      <c r="B7327" t="str">
        <f>"1551599395178396"</f>
        <v>1551599395178396</v>
      </c>
      <c r="C7327" t="s">
        <v>40</v>
      </c>
      <c r="D7327">
        <v>5.5697330000000003</v>
      </c>
      <c r="E7327">
        <v>0.36527409999999999</v>
      </c>
      <c r="F7327" t="s">
        <v>64</v>
      </c>
      <c r="G7327">
        <v>-287.49639999999999</v>
      </c>
      <c r="H7327" s="1">
        <v>-2.6502749999999998E-6</v>
      </c>
      <c r="I7327">
        <v>-58.943950000000001</v>
      </c>
      <c r="J7327">
        <v>-298.0976</v>
      </c>
      <c r="K7327">
        <v>1.127982</v>
      </c>
      <c r="L7327">
        <v>-57.592100000000002</v>
      </c>
      <c r="M7327">
        <v>0.59030930000000004</v>
      </c>
      <c r="N7327">
        <v>-1.1183490000000001E-2</v>
      </c>
      <c r="O7327">
        <v>-0.80709989999999998</v>
      </c>
      <c r="P7327">
        <v>0.88223830000000003</v>
      </c>
      <c r="Q7327">
        <v>-0.1070803</v>
      </c>
      <c r="R7327">
        <v>-0.45846429999999999</v>
      </c>
      <c r="S7327">
        <v>3.143005</v>
      </c>
      <c r="T7327">
        <v>-0.32974890000000001</v>
      </c>
      <c r="U7327">
        <v>-0.44845580000000002</v>
      </c>
      <c r="V7327">
        <v>-0.43957580000000002</v>
      </c>
      <c r="W7327">
        <v>-0.1052527</v>
      </c>
      <c r="X7327">
        <v>0.89201739999999996</v>
      </c>
      <c r="Y7327">
        <v>-0.70938469999999998</v>
      </c>
      <c r="Z7327">
        <v>0.102783</v>
      </c>
      <c r="AA7327">
        <v>0.69728699999999999</v>
      </c>
      <c r="AB7327">
        <v>22</v>
      </c>
      <c r="AC7327">
        <v>10.6012</v>
      </c>
      <c r="AD7327">
        <v>-1.1279846502749999</v>
      </c>
      <c r="AE7327">
        <v>-1.35184999999999</v>
      </c>
      <c r="AF7327">
        <v>-7.6732206964708398</v>
      </c>
      <c r="AG7327">
        <v>-1.1279846502749999</v>
      </c>
      <c r="AH7327">
        <v>7.2685503936264801</v>
      </c>
      <c r="AI7327">
        <v>96.091703694306105</v>
      </c>
      <c r="AJ7327">
        <v>136.55137124437101</v>
      </c>
      <c r="AK7327">
        <v>10.629322182185099</v>
      </c>
      <c r="AL7327">
        <v>96.041725706746305</v>
      </c>
      <c r="AM7327">
        <v>116.233541777851</v>
      </c>
      <c r="AN7327">
        <v>1.0000000283528401</v>
      </c>
    </row>
    <row r="7328" spans="1:40" x14ac:dyDescent="0.25">
      <c r="A7328" t="str">
        <f>"20190303154955206"</f>
        <v>20190303154955206</v>
      </c>
      <c r="B7328" t="str">
        <f>"1551599395197917"</f>
        <v>1551599395197917</v>
      </c>
      <c r="C7328" t="s">
        <v>40</v>
      </c>
      <c r="D7328">
        <v>5.5868840000000004</v>
      </c>
      <c r="E7328">
        <v>0.36616739999999998</v>
      </c>
      <c r="F7328" t="s">
        <v>64</v>
      </c>
      <c r="G7328">
        <v>-287.15890000000002</v>
      </c>
      <c r="H7328" s="1">
        <v>-2.8243420000000001E-6</v>
      </c>
      <c r="I7328">
        <v>-59.0595199999999</v>
      </c>
      <c r="J7328">
        <v>-297.9674</v>
      </c>
      <c r="K7328">
        <v>1.128039</v>
      </c>
      <c r="L7328">
        <v>-57.746639999999999</v>
      </c>
      <c r="M7328">
        <v>0.600136</v>
      </c>
      <c r="N7328">
        <v>-1.125875E-2</v>
      </c>
      <c r="O7328">
        <v>-0.7998189</v>
      </c>
      <c r="P7328">
        <v>0.88723030000000003</v>
      </c>
      <c r="Q7328">
        <v>-0.1074755</v>
      </c>
      <c r="R7328">
        <v>-0.448633</v>
      </c>
      <c r="S7328">
        <v>3.14209</v>
      </c>
      <c r="T7328">
        <v>-0.32400820000000002</v>
      </c>
      <c r="U7328">
        <v>-0.42150880000000002</v>
      </c>
      <c r="V7328">
        <v>-0.4385193</v>
      </c>
      <c r="W7328">
        <v>-0.1056179</v>
      </c>
      <c r="X7328">
        <v>0.89249409999999896</v>
      </c>
      <c r="Y7328">
        <v>-0.70688439999999997</v>
      </c>
      <c r="Z7328">
        <v>0.1006727</v>
      </c>
      <c r="AA7328">
        <v>0.70012819999999998</v>
      </c>
      <c r="AB7328">
        <v>22</v>
      </c>
      <c r="AC7328">
        <v>10.808499999999899</v>
      </c>
      <c r="AD7328">
        <v>-1.1280418243420001</v>
      </c>
      <c r="AE7328">
        <v>-1.3128799999999901</v>
      </c>
      <c r="AF7328">
        <v>-7.7739876448339897</v>
      </c>
      <c r="AG7328">
        <v>-1.1280418243420001</v>
      </c>
      <c r="AH7328">
        <v>7.4570693251564801</v>
      </c>
      <c r="AI7328">
        <v>95.9780405544861</v>
      </c>
      <c r="AJ7328">
        <v>136.19200278675501</v>
      </c>
      <c r="AK7328">
        <v>10.8312162373247</v>
      </c>
      <c r="AL7328">
        <v>96.062767471505097</v>
      </c>
      <c r="AM7328">
        <v>116.1667972207</v>
      </c>
      <c r="AN7328">
        <v>1.00000001790385</v>
      </c>
    </row>
    <row r="7329" spans="1:40" x14ac:dyDescent="0.25">
      <c r="A7329" t="str">
        <f>"20190303154955230"</f>
        <v>20190303154955230</v>
      </c>
      <c r="B7329" t="str">
        <f>"1551599395218412"</f>
        <v>1551599395218412</v>
      </c>
      <c r="C7329" t="s">
        <v>40</v>
      </c>
      <c r="D7329">
        <v>5.0656879999999997</v>
      </c>
      <c r="E7329">
        <v>0.36525629999999998</v>
      </c>
      <c r="F7329" t="s">
        <v>64</v>
      </c>
      <c r="G7329">
        <v>-286.8981</v>
      </c>
      <c r="H7329" s="1">
        <v>-2.9627379999999998E-6</v>
      </c>
      <c r="I7329">
        <v>-59.131320000000002</v>
      </c>
      <c r="J7329">
        <v>-297.82319999999999</v>
      </c>
      <c r="K7329">
        <v>1.128107</v>
      </c>
      <c r="L7329">
        <v>-57.913209999999999</v>
      </c>
      <c r="M7329">
        <v>0.61080000000000001</v>
      </c>
      <c r="N7329">
        <v>-1.1337399999999999E-2</v>
      </c>
      <c r="O7329">
        <v>-0.79170359999999995</v>
      </c>
      <c r="P7329">
        <v>0.89290740000000002</v>
      </c>
      <c r="Q7329">
        <v>-0.1073868</v>
      </c>
      <c r="R7329">
        <v>-0.43724629999999998</v>
      </c>
      <c r="S7329">
        <v>3.1436769999999998</v>
      </c>
      <c r="T7329">
        <v>-0.32036350000000002</v>
      </c>
      <c r="U7329">
        <v>-0.39324949999999997</v>
      </c>
      <c r="V7329">
        <v>-0.43797419999999998</v>
      </c>
      <c r="W7329">
        <v>-0.1055055</v>
      </c>
      <c r="X7329">
        <v>0.89277499999999999</v>
      </c>
      <c r="Y7329">
        <v>-0.70385379999999997</v>
      </c>
      <c r="Z7329">
        <v>9.9103209999999997E-2</v>
      </c>
      <c r="AA7329">
        <v>0.70339770000000001</v>
      </c>
      <c r="AB7329">
        <v>22</v>
      </c>
      <c r="AC7329">
        <v>10.925099999999899</v>
      </c>
      <c r="AD7329">
        <v>-1.128109962738</v>
      </c>
      <c r="AE7329">
        <v>-1.21810999999999</v>
      </c>
      <c r="AF7329">
        <v>-7.8235356135480201</v>
      </c>
      <c r="AG7329">
        <v>-1.128109962738</v>
      </c>
      <c r="AH7329">
        <v>7.5583251369151601</v>
      </c>
      <c r="AI7329">
        <v>95.920603743212197</v>
      </c>
      <c r="AJ7329">
        <v>135.98778267136001</v>
      </c>
      <c r="AK7329">
        <v>10.936572610274499</v>
      </c>
      <c r="AL7329">
        <v>96.056291317057898</v>
      </c>
      <c r="AM7329">
        <v>116.131471564848</v>
      </c>
      <c r="AN7329">
        <v>1.0000000055104401</v>
      </c>
    </row>
    <row r="7330" spans="1:40" x14ac:dyDescent="0.25">
      <c r="A7330" t="str">
        <f>"20190303154955252"</f>
        <v>20190303154955252</v>
      </c>
      <c r="B7330" t="str">
        <f>"1551599395247692"</f>
        <v>1551599395247692</v>
      </c>
      <c r="C7330" t="s">
        <v>40</v>
      </c>
      <c r="D7330">
        <v>5.640822</v>
      </c>
      <c r="E7330">
        <v>0.36623329999999998</v>
      </c>
      <c r="F7330" t="s">
        <v>64</v>
      </c>
      <c r="G7330">
        <v>-286.74310000000003</v>
      </c>
      <c r="H7330" s="1">
        <v>-3.05451E-6</v>
      </c>
      <c r="I7330">
        <v>-59.131160000000001</v>
      </c>
      <c r="J7330">
        <v>-297.67939999999999</v>
      </c>
      <c r="K7330">
        <v>1.1281600000000001</v>
      </c>
      <c r="L7330">
        <v>-58.074860000000001</v>
      </c>
      <c r="M7330">
        <v>0.62121199999999999</v>
      </c>
      <c r="N7330">
        <v>-1.14091E-2</v>
      </c>
      <c r="O7330">
        <v>-0.78355940000000002</v>
      </c>
      <c r="P7330">
        <v>0.89832400000000001</v>
      </c>
      <c r="Q7330">
        <v>-0.10807369999999999</v>
      </c>
      <c r="R7330">
        <v>-0.42583349999999998</v>
      </c>
      <c r="S7330">
        <v>3.1516109999999999</v>
      </c>
      <c r="T7330">
        <v>-0.32088050000000001</v>
      </c>
      <c r="U7330">
        <v>-0.34643550000000001</v>
      </c>
      <c r="V7330">
        <v>-0.4374595</v>
      </c>
      <c r="W7330">
        <v>-0.1061701</v>
      </c>
      <c r="X7330">
        <v>0.89294859999999898</v>
      </c>
      <c r="Y7330">
        <v>-0.70503680000000002</v>
      </c>
      <c r="Z7330">
        <v>9.8980890000000002E-2</v>
      </c>
      <c r="AA7330">
        <v>0.70222929999999995</v>
      </c>
      <c r="AB7330">
        <v>22</v>
      </c>
      <c r="AC7330">
        <v>10.9362999999999</v>
      </c>
      <c r="AD7330">
        <v>-1.1281630545100001</v>
      </c>
      <c r="AE7330">
        <v>-1.05629999999999</v>
      </c>
      <c r="AF7330">
        <v>-7.8310066484851903</v>
      </c>
      <c r="AG7330">
        <v>-1.1281630545100001</v>
      </c>
      <c r="AH7330">
        <v>7.5424105150757903</v>
      </c>
      <c r="AI7330">
        <v>95.923947157276203</v>
      </c>
      <c r="AJ7330">
        <v>136.07545370637601</v>
      </c>
      <c r="AK7330">
        <v>10.930936528226001</v>
      </c>
      <c r="AL7330">
        <v>96.0945848815456</v>
      </c>
      <c r="AM7330">
        <v>116.100439563558</v>
      </c>
      <c r="AN7330">
        <v>1.0000000532580999</v>
      </c>
    </row>
    <row r="7331" spans="1:40" x14ac:dyDescent="0.25">
      <c r="A7331" t="str">
        <f>"20190303154955276"</f>
        <v>20190303154955276</v>
      </c>
      <c r="B7331" t="str">
        <f>"1551599395268188"</f>
        <v>1551599395268188</v>
      </c>
      <c r="C7331" t="s">
        <v>40</v>
      </c>
      <c r="D7331">
        <v>5.6386440000000002</v>
      </c>
      <c r="E7331">
        <v>0.36687189999999997</v>
      </c>
      <c r="F7331" t="s">
        <v>64</v>
      </c>
      <c r="G7331">
        <v>-286.74009999999998</v>
      </c>
      <c r="H7331" s="1">
        <v>-3.0495109999999999E-6</v>
      </c>
      <c r="I7331">
        <v>-59.161639999999998</v>
      </c>
      <c r="J7331">
        <v>-297.52100000000002</v>
      </c>
      <c r="K7331">
        <v>1.1282019999999999</v>
      </c>
      <c r="L7331">
        <v>-58.248139999999999</v>
      </c>
      <c r="M7331">
        <v>0.63244690000000003</v>
      </c>
      <c r="N7331">
        <v>-1.148068E-2</v>
      </c>
      <c r="O7331">
        <v>-0.77451859999999995</v>
      </c>
      <c r="P7331">
        <v>0.9038969</v>
      </c>
      <c r="Q7331">
        <v>-0.10874589999999899</v>
      </c>
      <c r="R7331">
        <v>-0.41369620000000001</v>
      </c>
      <c r="S7331">
        <v>3.1520079999999999</v>
      </c>
      <c r="T7331">
        <v>-0.32506390000000002</v>
      </c>
      <c r="U7331">
        <v>-0.3131409</v>
      </c>
      <c r="V7331">
        <v>-0.43652220000000003</v>
      </c>
      <c r="W7331">
        <v>-0.10680969999999999</v>
      </c>
      <c r="X7331">
        <v>0.89333090000000004</v>
      </c>
      <c r="Y7331">
        <v>-0.70206679999999999</v>
      </c>
      <c r="Z7331">
        <v>9.9942719999999999E-2</v>
      </c>
      <c r="AA7331">
        <v>0.705063</v>
      </c>
      <c r="AB7331">
        <v>22</v>
      </c>
      <c r="AC7331">
        <v>10.7808999999999</v>
      </c>
      <c r="AD7331">
        <v>-1.1282050495110001</v>
      </c>
      <c r="AE7331">
        <v>-0.91350000000000597</v>
      </c>
      <c r="AF7331">
        <v>-7.6891735474059502</v>
      </c>
      <c r="AG7331">
        <v>-1.1282050495110001</v>
      </c>
      <c r="AH7331">
        <v>7.4454099951042396</v>
      </c>
      <c r="AI7331">
        <v>96.017250377895706</v>
      </c>
      <c r="AJ7331">
        <v>135.92274856281199</v>
      </c>
      <c r="AK7331">
        <v>10.7624516942501</v>
      </c>
      <c r="AL7331">
        <v>96.131441036389106</v>
      </c>
      <c r="AM7331">
        <v>116.042243090954</v>
      </c>
      <c r="AN7331">
        <v>1.0000000200008701</v>
      </c>
    </row>
    <row r="7332" spans="1:40" x14ac:dyDescent="0.25">
      <c r="A7332" t="str">
        <f>"20190303154955299"</f>
        <v>20190303154955299</v>
      </c>
      <c r="B7332" t="str">
        <f>"1551599395287708"</f>
        <v>1551599395287708</v>
      </c>
      <c r="C7332" t="s">
        <v>40</v>
      </c>
      <c r="D7332">
        <v>5.5716070000000002</v>
      </c>
      <c r="E7332">
        <v>0.36734929999999999</v>
      </c>
      <c r="F7332" t="s">
        <v>64</v>
      </c>
      <c r="G7332">
        <v>-286.65390000000002</v>
      </c>
      <c r="H7332" s="1">
        <v>-3.0926950000000001E-6</v>
      </c>
      <c r="I7332">
        <v>-59.196919999999999</v>
      </c>
      <c r="J7332">
        <v>-297.37709999999998</v>
      </c>
      <c r="K7332">
        <v>1.128236</v>
      </c>
      <c r="L7332">
        <v>-58.40128</v>
      </c>
      <c r="M7332">
        <v>0.64243779999999995</v>
      </c>
      <c r="N7332">
        <v>-1.1539219999999999E-2</v>
      </c>
      <c r="O7332">
        <v>-0.76625100000000002</v>
      </c>
      <c r="P7332">
        <v>0.9087636</v>
      </c>
      <c r="Q7332">
        <v>-0.1099984</v>
      </c>
      <c r="R7332">
        <v>-0.40255400000000002</v>
      </c>
      <c r="S7332">
        <v>3.1535639999999998</v>
      </c>
      <c r="T7332">
        <v>-0.32739849999999998</v>
      </c>
      <c r="U7332">
        <v>-0.27532960000000001</v>
      </c>
      <c r="V7332">
        <v>-0.43576949999999998</v>
      </c>
      <c r="W7332">
        <v>-0.1080393</v>
      </c>
      <c r="X7332">
        <v>0.89355049999999903</v>
      </c>
      <c r="Y7332">
        <v>-0.70122010000000001</v>
      </c>
      <c r="Z7332">
        <v>0.1004019</v>
      </c>
      <c r="AA7332">
        <v>0.70583980000000002</v>
      </c>
      <c r="AB7332">
        <v>22</v>
      </c>
      <c r="AC7332">
        <v>10.723199999999901</v>
      </c>
      <c r="AD7332">
        <v>-1.1282390926949999</v>
      </c>
      <c r="AE7332">
        <v>-0.79563999999999102</v>
      </c>
      <c r="AF7332">
        <v>-7.6221103676211301</v>
      </c>
      <c r="AG7332">
        <v>-1.1282390926949999</v>
      </c>
      <c r="AH7332">
        <v>7.4174848842865204</v>
      </c>
      <c r="AI7332">
        <v>96.055377741270703</v>
      </c>
      <c r="AJ7332">
        <v>135.779505898287</v>
      </c>
      <c r="AK7332">
        <v>10.6952593196753</v>
      </c>
      <c r="AL7332">
        <v>96.202301974070494</v>
      </c>
      <c r="AM7332">
        <v>115.997710510201</v>
      </c>
      <c r="AN7332">
        <v>1.00000002176249</v>
      </c>
    </row>
    <row r="7333" spans="1:40" x14ac:dyDescent="0.25">
      <c r="A7333" t="str">
        <f>"20190303154955317"</f>
        <v>20190303154955317</v>
      </c>
      <c r="B7333" t="str">
        <f>"1551599395308205"</f>
        <v>1551599395308205</v>
      </c>
      <c r="C7333" t="s">
        <v>40</v>
      </c>
      <c r="D7333">
        <v>5.5686339999999896</v>
      </c>
      <c r="E7333">
        <v>0.3679617</v>
      </c>
      <c r="F7333" t="s">
        <v>64</v>
      </c>
      <c r="G7333">
        <v>-286.70760000000001</v>
      </c>
      <c r="H7333" s="1">
        <v>-3.0574589999999999E-6</v>
      </c>
      <c r="I7333">
        <v>-59.212449999999997</v>
      </c>
      <c r="J7333">
        <v>-297.24939999999998</v>
      </c>
      <c r="K7333">
        <v>1.1282639999999999</v>
      </c>
      <c r="L7333">
        <v>-58.5336</v>
      </c>
      <c r="M7333">
        <v>0.65112389999999998</v>
      </c>
      <c r="N7333">
        <v>-1.1586569999999999E-2</v>
      </c>
      <c r="O7333">
        <v>-0.75888310000000003</v>
      </c>
      <c r="P7333">
        <v>0.91290789999999999</v>
      </c>
      <c r="Q7333">
        <v>-0.110805</v>
      </c>
      <c r="R7333">
        <v>-0.39283790000000002</v>
      </c>
      <c r="S7333">
        <v>3.1546020000000001</v>
      </c>
      <c r="T7333">
        <v>-0.3335824</v>
      </c>
      <c r="U7333">
        <v>-0.23983760000000001</v>
      </c>
      <c r="V7333">
        <v>-0.435025</v>
      </c>
      <c r="W7333">
        <v>-0.10882559999999999</v>
      </c>
      <c r="X7333">
        <v>0.8938178</v>
      </c>
      <c r="Y7333">
        <v>-0.70081599999999999</v>
      </c>
      <c r="Z7333">
        <v>0.1021434</v>
      </c>
      <c r="AA7333">
        <v>0.70599119999999904</v>
      </c>
      <c r="AB7333">
        <v>22</v>
      </c>
      <c r="AC7333">
        <v>10.541799999999901</v>
      </c>
      <c r="AD7333">
        <v>-1.1282670574589999</v>
      </c>
      <c r="AE7333">
        <v>-0.67884999999999696</v>
      </c>
      <c r="AF7333">
        <v>-7.4732330507924898</v>
      </c>
      <c r="AG7333">
        <v>-1.1282670574589999</v>
      </c>
      <c r="AH7333">
        <v>7.2964451171034597</v>
      </c>
      <c r="AI7333">
        <v>96.165475217758498</v>
      </c>
      <c r="AJ7333">
        <v>135.685777892375</v>
      </c>
      <c r="AK7333">
        <v>10.5052515501204</v>
      </c>
      <c r="AL7333">
        <v>96.247620923298598</v>
      </c>
      <c r="AM7333">
        <v>115.95238781077801</v>
      </c>
      <c r="AN7333">
        <v>1.0000000107186</v>
      </c>
    </row>
    <row r="7334" spans="1:40" x14ac:dyDescent="0.25">
      <c r="A7334" t="str">
        <f>"20190303154955338"</f>
        <v>20190303154955338</v>
      </c>
      <c r="B7334" t="str">
        <f>"1551599395327724"</f>
        <v>1551599395327724</v>
      </c>
      <c r="C7334" t="s">
        <v>40</v>
      </c>
      <c r="D7334">
        <v>5.5136079999999996</v>
      </c>
      <c r="E7334">
        <v>0.36811159999999998</v>
      </c>
      <c r="F7334" t="s">
        <v>64</v>
      </c>
      <c r="G7334">
        <v>-286.7165</v>
      </c>
      <c r="H7334" s="1">
        <v>-3.0468330000000001E-6</v>
      </c>
      <c r="I7334">
        <v>-59.236690000000003</v>
      </c>
      <c r="J7334">
        <v>-297.10640000000001</v>
      </c>
      <c r="K7334">
        <v>1.128301</v>
      </c>
      <c r="L7334">
        <v>-58.678310000000003</v>
      </c>
      <c r="M7334">
        <v>0.66066279999999999</v>
      </c>
      <c r="N7334">
        <v>-1.1637379999999999E-2</v>
      </c>
      <c r="O7334">
        <v>-0.75059279999999995</v>
      </c>
      <c r="P7334">
        <v>0.91723100000000002</v>
      </c>
      <c r="Q7334">
        <v>-0.1120961</v>
      </c>
      <c r="R7334">
        <v>-0.38225900000000002</v>
      </c>
      <c r="S7334">
        <v>3.1545719999999999</v>
      </c>
      <c r="T7334">
        <v>-0.3379124</v>
      </c>
      <c r="U7334">
        <v>-0.21057129999999999</v>
      </c>
      <c r="V7334">
        <v>-0.43390909999999999</v>
      </c>
      <c r="W7334">
        <v>-0.11008809999999999</v>
      </c>
      <c r="X7334">
        <v>0.89420549999999999</v>
      </c>
      <c r="Y7334">
        <v>-0.69821599999999995</v>
      </c>
      <c r="Z7334">
        <v>0.1030967</v>
      </c>
      <c r="AA7334">
        <v>0.70842469999999902</v>
      </c>
      <c r="AB7334">
        <v>22</v>
      </c>
      <c r="AC7334">
        <v>10.389900000000001</v>
      </c>
      <c r="AD7334">
        <v>-1.1283040468329999</v>
      </c>
      <c r="AE7334">
        <v>-0.55838000000000598</v>
      </c>
      <c r="AF7334">
        <v>-7.3438278266848496</v>
      </c>
      <c r="AG7334">
        <v>-1.1283040468329999</v>
      </c>
      <c r="AH7334">
        <v>7.1991721657447902</v>
      </c>
      <c r="AI7334">
        <v>96.2611588990206</v>
      </c>
      <c r="AJ7334">
        <v>135.569888299339</v>
      </c>
      <c r="AK7334">
        <v>10.345673348899201</v>
      </c>
      <c r="AL7334">
        <v>96.320394256850904</v>
      </c>
      <c r="AM7334">
        <v>115.884766695425</v>
      </c>
      <c r="AN7334">
        <v>0.99999998652733402</v>
      </c>
    </row>
    <row r="7335" spans="1:40" x14ac:dyDescent="0.25">
      <c r="A7335" t="str">
        <f>"20190303154955361"</f>
        <v>20190303154955361</v>
      </c>
      <c r="B7335" t="str">
        <f>"1551599395357981"</f>
        <v>1551599395357981</v>
      </c>
      <c r="C7335" t="s">
        <v>40</v>
      </c>
      <c r="D7335">
        <v>5.6057090000000001</v>
      </c>
      <c r="E7335">
        <v>0.36909910000000001</v>
      </c>
      <c r="F7335" t="s">
        <v>64</v>
      </c>
      <c r="G7335">
        <v>-286.66489999999999</v>
      </c>
      <c r="H7335" s="1">
        <v>-3.0725790000000001E-6</v>
      </c>
      <c r="I7335">
        <v>-59.25806</v>
      </c>
      <c r="J7335">
        <v>-296.94959999999998</v>
      </c>
      <c r="K7335">
        <v>1.1283459999999901</v>
      </c>
      <c r="L7335">
        <v>-58.832979999999999</v>
      </c>
      <c r="M7335">
        <v>0.67090740000000004</v>
      </c>
      <c r="N7335">
        <v>-1.1692569999999999E-2</v>
      </c>
      <c r="O7335">
        <v>-0.74144909999999997</v>
      </c>
      <c r="P7335">
        <v>0.92163969999999995</v>
      </c>
      <c r="Q7335">
        <v>-0.1132703</v>
      </c>
      <c r="R7335">
        <v>-0.37114730000000001</v>
      </c>
      <c r="S7335">
        <v>3.1559750000000002</v>
      </c>
      <c r="T7335">
        <v>-0.3410337</v>
      </c>
      <c r="U7335">
        <v>-0.1752319</v>
      </c>
      <c r="V7335">
        <v>-0.43229790000000001</v>
      </c>
      <c r="W7335">
        <v>-0.111218</v>
      </c>
      <c r="X7335">
        <v>0.89484589999999997</v>
      </c>
      <c r="Y7335">
        <v>-0.69626969999999899</v>
      </c>
      <c r="Z7335">
        <v>0.1035946</v>
      </c>
      <c r="AA7335">
        <v>0.71026519999999904</v>
      </c>
      <c r="AB7335">
        <v>22</v>
      </c>
      <c r="AC7335">
        <v>10.2846999999999</v>
      </c>
      <c r="AD7335">
        <v>-1.12834907257899</v>
      </c>
      <c r="AE7335">
        <v>-0.42507999999999402</v>
      </c>
      <c r="AF7335">
        <v>-7.2537319003362803</v>
      </c>
      <c r="AG7335">
        <v>-1.12834907257899</v>
      </c>
      <c r="AH7335">
        <v>7.1300735260630699</v>
      </c>
      <c r="AI7335">
        <v>96.3302247357921</v>
      </c>
      <c r="AJ7335">
        <v>135.49256286449901</v>
      </c>
      <c r="AK7335">
        <v>10.233657537684699</v>
      </c>
      <c r="AL7335">
        <v>96.385532356618</v>
      </c>
      <c r="AM7335">
        <v>115.78507636694501</v>
      </c>
      <c r="AN7335">
        <v>1.0000000513075999</v>
      </c>
    </row>
    <row r="7336" spans="1:40" x14ac:dyDescent="0.25">
      <c r="A7336" t="str">
        <f>"20190303154955383"</f>
        <v>20190303154955383</v>
      </c>
      <c r="B7336" t="str">
        <f>"1551599395378476"</f>
        <v>1551599395378476</v>
      </c>
      <c r="C7336" t="s">
        <v>40</v>
      </c>
      <c r="D7336">
        <v>5.7031669999999997</v>
      </c>
      <c r="E7336">
        <v>0.3833609</v>
      </c>
      <c r="F7336" t="s">
        <v>64</v>
      </c>
      <c r="G7336">
        <v>-286.64949999999999</v>
      </c>
      <c r="H7336" s="1">
        <v>-3.0714579999999998E-6</v>
      </c>
      <c r="I7336">
        <v>-59.304200000000002</v>
      </c>
      <c r="J7336">
        <v>-296.79379999999998</v>
      </c>
      <c r="K7336">
        <v>1.1283859999999999</v>
      </c>
      <c r="L7336">
        <v>-58.982089999999999</v>
      </c>
      <c r="M7336">
        <v>0.68084679999999997</v>
      </c>
      <c r="N7336">
        <v>-1.174511E-2</v>
      </c>
      <c r="O7336">
        <v>-0.73233190000000004</v>
      </c>
      <c r="P7336">
        <v>0.92592609999999997</v>
      </c>
      <c r="Q7336">
        <v>-0.11382490000000001</v>
      </c>
      <c r="R7336">
        <v>-0.36014590000000002</v>
      </c>
      <c r="S7336">
        <v>3.15448</v>
      </c>
      <c r="T7336">
        <v>-0.34556629999999999</v>
      </c>
      <c r="U7336">
        <v>-0.14431759999999999</v>
      </c>
      <c r="V7336">
        <v>-0.43081570000000002</v>
      </c>
      <c r="W7336">
        <v>-0.11172989999999999</v>
      </c>
      <c r="X7336">
        <v>0.89549669999999904</v>
      </c>
      <c r="Y7336">
        <v>-0.69340690000000005</v>
      </c>
      <c r="Z7336">
        <v>0.1045321</v>
      </c>
      <c r="AA7336">
        <v>0.71292349999999904</v>
      </c>
      <c r="AB7336">
        <v>22</v>
      </c>
      <c r="AC7336">
        <v>10.1442999999999</v>
      </c>
      <c r="AD7336">
        <v>-1.128389071458</v>
      </c>
      <c r="AE7336">
        <v>-0.32211000000000201</v>
      </c>
      <c r="AF7336">
        <v>-7.1221497830634402</v>
      </c>
      <c r="AG7336">
        <v>-1.128389071458</v>
      </c>
      <c r="AH7336">
        <v>7.05588294872679</v>
      </c>
      <c r="AI7336">
        <v>96.421727893396493</v>
      </c>
      <c r="AJ7336">
        <v>135.26779330769801</v>
      </c>
      <c r="AK7336">
        <v>10.0887939623678</v>
      </c>
      <c r="AL7336">
        <v>96.415046093540795</v>
      </c>
      <c r="AM7336">
        <v>115.691804002209</v>
      </c>
      <c r="AN7336">
        <v>1.00000003881569</v>
      </c>
    </row>
    <row r="7337" spans="1:40" x14ac:dyDescent="0.25">
      <c r="A7337" t="str">
        <f>"20190303154955405"</f>
        <v>20190303154955405</v>
      </c>
      <c r="B7337" t="str">
        <f>"1551599395397996"</f>
        <v>1551599395397996</v>
      </c>
      <c r="C7337" t="s">
        <v>40</v>
      </c>
      <c r="D7337">
        <v>5.7208319999999997</v>
      </c>
      <c r="E7337">
        <v>0.38465319999999997</v>
      </c>
      <c r="F7337" t="s">
        <v>64</v>
      </c>
      <c r="G7337">
        <v>-287.0675</v>
      </c>
      <c r="H7337" s="1">
        <v>-2.7484560000000001E-6</v>
      </c>
      <c r="I7337">
        <v>-59.643949999999997</v>
      </c>
      <c r="J7337">
        <v>-296.63909999999998</v>
      </c>
      <c r="K7337">
        <v>1.1284209999999999</v>
      </c>
      <c r="L7337">
        <v>-59.126339999999999</v>
      </c>
      <c r="M7337">
        <v>0.69050230000000001</v>
      </c>
      <c r="N7337">
        <v>-1.1793430000000001E-2</v>
      </c>
      <c r="O7337">
        <v>-0.72323419999999905</v>
      </c>
      <c r="P7337">
        <v>0.93011630000000001</v>
      </c>
      <c r="Q7337">
        <v>-0.1137975</v>
      </c>
      <c r="R7337">
        <v>-0.34919040000000001</v>
      </c>
      <c r="S7337">
        <v>3.1132200000000001</v>
      </c>
      <c r="T7337">
        <v>-0.36117860000000002</v>
      </c>
      <c r="U7337">
        <v>-0.21185300000000001</v>
      </c>
      <c r="V7337">
        <v>-0.42950250000000001</v>
      </c>
      <c r="W7337">
        <v>-0.11166189999999999</v>
      </c>
      <c r="X7337">
        <v>0.89613569999999998</v>
      </c>
      <c r="Y7337">
        <v>-0.66699589999999997</v>
      </c>
      <c r="Z7337">
        <v>0.1085232</v>
      </c>
      <c r="AA7337">
        <v>0.73711539999999998</v>
      </c>
      <c r="AB7337">
        <v>22</v>
      </c>
      <c r="AC7337">
        <v>9.5715999999999894</v>
      </c>
      <c r="AD7337">
        <v>-1.12842374845599</v>
      </c>
      <c r="AE7337">
        <v>-0.51760999999999702</v>
      </c>
      <c r="AF7337">
        <v>-6.4758103107580096</v>
      </c>
      <c r="AG7337">
        <v>-1.12842374845599</v>
      </c>
      <c r="AH7337">
        <v>6.8885865251723102</v>
      </c>
      <c r="AI7337">
        <v>96.806187078343399</v>
      </c>
      <c r="AJ7337">
        <v>133.230910151617</v>
      </c>
      <c r="AK7337">
        <v>9.5216639119318298</v>
      </c>
      <c r="AL7337">
        <v>96.411125792701696</v>
      </c>
      <c r="AM7337">
        <v>115.607602549387</v>
      </c>
      <c r="AN7337">
        <v>0.99999998511617405</v>
      </c>
    </row>
    <row r="7338" spans="1:40" x14ac:dyDescent="0.25">
      <c r="A7338" t="str">
        <f>"20190303154955428"</f>
        <v>20190303154955428</v>
      </c>
      <c r="B7338" t="str">
        <f>"1551599395418492"</f>
        <v>1551599395418492</v>
      </c>
      <c r="C7338" t="s">
        <v>40</v>
      </c>
      <c r="D7338">
        <v>5.6989890000000001</v>
      </c>
      <c r="E7338">
        <v>0.38663829999999999</v>
      </c>
      <c r="F7338" t="s">
        <v>64</v>
      </c>
      <c r="G7338">
        <v>-286.77420000000001</v>
      </c>
      <c r="H7338" s="1">
        <v>-2.9067079999999999E-6</v>
      </c>
      <c r="I7338">
        <v>-59.713099999999997</v>
      </c>
      <c r="J7338">
        <v>-296.47680000000003</v>
      </c>
      <c r="K7338">
        <v>1.1284449999999999</v>
      </c>
      <c r="L7338">
        <v>-59.273470000000003</v>
      </c>
      <c r="M7338">
        <v>0.70039280000000004</v>
      </c>
      <c r="N7338">
        <v>-1.183937E-2</v>
      </c>
      <c r="O7338">
        <v>-0.7136595</v>
      </c>
      <c r="P7338">
        <v>0.934145</v>
      </c>
      <c r="Q7338">
        <v>-0.1146628</v>
      </c>
      <c r="R7338">
        <v>-0.33797319999999997</v>
      </c>
      <c r="S7338">
        <v>3.1123050000000001</v>
      </c>
      <c r="T7338">
        <v>-0.35601120000000003</v>
      </c>
      <c r="U7338">
        <v>-0.1851196</v>
      </c>
      <c r="V7338">
        <v>-0.42785020000000001</v>
      </c>
      <c r="W7338">
        <v>-0.1124797</v>
      </c>
      <c r="X7338">
        <v>0.89682359999999905</v>
      </c>
      <c r="Y7338">
        <v>-0.66335649999999902</v>
      </c>
      <c r="Z7338">
        <v>0.1062323</v>
      </c>
      <c r="AA7338">
        <v>0.74072459999999996</v>
      </c>
      <c r="AB7338">
        <v>22</v>
      </c>
      <c r="AC7338">
        <v>9.7026000000000092</v>
      </c>
      <c r="AD7338">
        <v>-1.128447906708</v>
      </c>
      <c r="AE7338">
        <v>-0.43963000000000102</v>
      </c>
      <c r="AF7338">
        <v>-6.5287715579295904</v>
      </c>
      <c r="AG7338">
        <v>-1.128447906708</v>
      </c>
      <c r="AH7338">
        <v>7.0151784838253901</v>
      </c>
      <c r="AI7338">
        <v>96.7158131564873</v>
      </c>
      <c r="AJ7338">
        <v>132.94320772804301</v>
      </c>
      <c r="AK7338">
        <v>9.6494031884728901</v>
      </c>
      <c r="AL7338">
        <v>96.458279094108093</v>
      </c>
      <c r="AM7338">
        <v>115.50454274694501</v>
      </c>
      <c r="AN7338">
        <v>1.0000000230345401</v>
      </c>
    </row>
    <row r="7339" spans="1:40" x14ac:dyDescent="0.25">
      <c r="A7339" t="str">
        <f>"20190303154955451"</f>
        <v>20190303154955451</v>
      </c>
      <c r="B7339" t="str">
        <f>"1551599395447773"</f>
        <v>1551599395447773</v>
      </c>
      <c r="C7339" t="s">
        <v>40</v>
      </c>
      <c r="D7339">
        <v>5.855677</v>
      </c>
      <c r="E7339">
        <v>0.38821549999999999</v>
      </c>
      <c r="F7339" t="s">
        <v>64</v>
      </c>
      <c r="G7339">
        <v>-286.31180000000001</v>
      </c>
      <c r="H7339" s="1">
        <v>-3.1594249999999998E-6</v>
      </c>
      <c r="I7339">
        <v>-59.807619999999901</v>
      </c>
      <c r="J7339">
        <v>-296.31330000000003</v>
      </c>
      <c r="K7339">
        <v>1.128484</v>
      </c>
      <c r="L7339">
        <v>-59.417720000000003</v>
      </c>
      <c r="M7339">
        <v>0.71013389999999998</v>
      </c>
      <c r="N7339">
        <v>-1.1881299999999999E-2</v>
      </c>
      <c r="O7339">
        <v>-0.70396650000000005</v>
      </c>
      <c r="P7339">
        <v>0.93810110000000002</v>
      </c>
      <c r="Q7339">
        <v>-0.1153696</v>
      </c>
      <c r="R7339">
        <v>-0.32658300000000001</v>
      </c>
      <c r="S7339">
        <v>3.109985</v>
      </c>
      <c r="T7339">
        <v>-0.34524640000000001</v>
      </c>
      <c r="U7339">
        <v>-0.1634216</v>
      </c>
      <c r="V7339">
        <v>-0.4263556</v>
      </c>
      <c r="W7339">
        <v>-0.1131453</v>
      </c>
      <c r="X7339">
        <v>0.89745140000000001</v>
      </c>
      <c r="Y7339">
        <v>-0.65874500000000002</v>
      </c>
      <c r="Z7339">
        <v>0.1021753</v>
      </c>
      <c r="AA7339">
        <v>0.74539599999999995</v>
      </c>
      <c r="AB7339">
        <v>22</v>
      </c>
      <c r="AC7339">
        <v>10.0015</v>
      </c>
      <c r="AD7339">
        <v>-1.1284871594249899</v>
      </c>
      <c r="AE7339">
        <v>-0.38989999999999703</v>
      </c>
      <c r="AF7339">
        <v>-6.6794100613560703</v>
      </c>
      <c r="AG7339">
        <v>-1.1284871594249899</v>
      </c>
      <c r="AH7339">
        <v>7.2847987695295</v>
      </c>
      <c r="AI7339">
        <v>96.513785716478097</v>
      </c>
      <c r="AJ7339">
        <v>132.51761719990799</v>
      </c>
      <c r="AK7339">
        <v>9.947677877237</v>
      </c>
      <c r="AL7339">
        <v>96.496660420238598</v>
      </c>
      <c r="AM7339">
        <v>115.411165584873</v>
      </c>
      <c r="AN7339">
        <v>0.99999998596270501</v>
      </c>
    </row>
    <row r="7340" spans="1:40" x14ac:dyDescent="0.25">
      <c r="A7340" t="str">
        <f>"20190303154955473"</f>
        <v>20190303154955473</v>
      </c>
      <c r="B7340" t="str">
        <f>"1551599395468189"</f>
        <v>1551599395468189</v>
      </c>
      <c r="C7340" t="s">
        <v>40</v>
      </c>
      <c r="D7340">
        <v>5.7513769999999997</v>
      </c>
      <c r="E7340">
        <v>0.39497929999999998</v>
      </c>
      <c r="F7340" t="s">
        <v>64</v>
      </c>
      <c r="G7340">
        <v>-285.94990000000001</v>
      </c>
      <c r="H7340" s="1">
        <v>-3.3579949999999999E-6</v>
      </c>
      <c r="I7340">
        <v>-59.877839999999999</v>
      </c>
      <c r="J7340">
        <v>-296.15069999999997</v>
      </c>
      <c r="K7340">
        <v>1.1285149999999999</v>
      </c>
      <c r="L7340">
        <v>-59.557369999999999</v>
      </c>
      <c r="M7340">
        <v>0.71960599999999997</v>
      </c>
      <c r="N7340">
        <v>-1.191934E-2</v>
      </c>
      <c r="O7340">
        <v>-0.69428040000000002</v>
      </c>
      <c r="P7340">
        <v>0.94198470000000001</v>
      </c>
      <c r="Q7340">
        <v>-0.11572</v>
      </c>
      <c r="R7340">
        <v>-0.31507780000000002</v>
      </c>
      <c r="S7340">
        <v>3.108276</v>
      </c>
      <c r="T7340">
        <v>-0.33846470000000001</v>
      </c>
      <c r="U7340">
        <v>-0.1380005</v>
      </c>
      <c r="V7340">
        <v>-0.42513669999999998</v>
      </c>
      <c r="W7340">
        <v>-0.1134645</v>
      </c>
      <c r="X7340">
        <v>0.89798919999999904</v>
      </c>
      <c r="Y7340">
        <v>-0.65498210000000001</v>
      </c>
      <c r="Z7340">
        <v>9.9409540000000005E-2</v>
      </c>
      <c r="AA7340">
        <v>0.74907679999999999</v>
      </c>
      <c r="AB7340">
        <v>22</v>
      </c>
      <c r="AC7340">
        <v>10.2007999999999</v>
      </c>
      <c r="AD7340">
        <v>-1.128518357995</v>
      </c>
      <c r="AE7340">
        <v>-0.32046999999999998</v>
      </c>
      <c r="AF7340">
        <v>-6.7693210735421996</v>
      </c>
      <c r="AG7340">
        <v>-1.128518357995</v>
      </c>
      <c r="AH7340">
        <v>7.4722266864762599</v>
      </c>
      <c r="AI7340">
        <v>96.386411782347196</v>
      </c>
      <c r="AJ7340">
        <v>132.174403293072</v>
      </c>
      <c r="AK7340">
        <v>10.1455129557416</v>
      </c>
      <c r="AL7340">
        <v>96.515067648078798</v>
      </c>
      <c r="AM7340">
        <v>115.33436597073</v>
      </c>
      <c r="AN7340">
        <v>1.00000000488188</v>
      </c>
    </row>
    <row r="7341" spans="1:40" x14ac:dyDescent="0.25">
      <c r="A7341" t="str">
        <f>"20190303154955494"</f>
        <v>20190303154955494</v>
      </c>
      <c r="B7341" t="str">
        <f>"1551599395487710"</f>
        <v>1551599395487710</v>
      </c>
      <c r="C7341" t="s">
        <v>40</v>
      </c>
      <c r="D7341">
        <v>5.8371389999999996</v>
      </c>
      <c r="E7341">
        <v>0.39642169999999999</v>
      </c>
      <c r="F7341" t="s">
        <v>64</v>
      </c>
      <c r="G7341">
        <v>-284.90120000000002</v>
      </c>
      <c r="H7341" s="1">
        <v>-3.9073260000000001E-6</v>
      </c>
      <c r="I7341">
        <v>-60.113010000000003</v>
      </c>
      <c r="J7341">
        <v>-295.98809999999997</v>
      </c>
      <c r="K7341">
        <v>1.128544</v>
      </c>
      <c r="L7341">
        <v>-59.693179999999998</v>
      </c>
      <c r="M7341">
        <v>0.72886030000000002</v>
      </c>
      <c r="N7341">
        <v>-1.19544E-2</v>
      </c>
      <c r="O7341">
        <v>-0.68455819999999901</v>
      </c>
      <c r="P7341">
        <v>0.94582829999999996</v>
      </c>
      <c r="Q7341">
        <v>-0.11626110000000001</v>
      </c>
      <c r="R7341">
        <v>-0.30313780000000001</v>
      </c>
      <c r="S7341">
        <v>3.0954899999999999</v>
      </c>
      <c r="T7341">
        <v>-0.31052970000000002</v>
      </c>
      <c r="U7341">
        <v>-0.1528931</v>
      </c>
      <c r="V7341">
        <v>-0.42437740000000002</v>
      </c>
      <c r="W7341">
        <v>-0.11399040000000001</v>
      </c>
      <c r="X7341">
        <v>0.89828180000000002</v>
      </c>
      <c r="Y7341">
        <v>-0.64220339999999998</v>
      </c>
      <c r="Z7341">
        <v>8.9931469999999999E-2</v>
      </c>
      <c r="AA7341">
        <v>0.76124049999999999</v>
      </c>
      <c r="AB7341">
        <v>22</v>
      </c>
      <c r="AC7341">
        <v>11.086899999999901</v>
      </c>
      <c r="AD7341">
        <v>-1.1285479073260001</v>
      </c>
      <c r="AE7341">
        <v>-0.41982999999998999</v>
      </c>
      <c r="AF7341">
        <v>-7.2095563956995896</v>
      </c>
      <c r="AG7341">
        <v>-1.1285479073260001</v>
      </c>
      <c r="AH7341">
        <v>8.2830947810585407</v>
      </c>
      <c r="AI7341">
        <v>95.867724417453999</v>
      </c>
      <c r="AJ7341">
        <v>131.03611715350999</v>
      </c>
      <c r="AK7341">
        <v>11.0390662174797</v>
      </c>
      <c r="AL7341">
        <v>96.545395707965099</v>
      </c>
      <c r="AM7341">
        <v>115.28756662106601</v>
      </c>
      <c r="AN7341">
        <v>1.0000000905670701</v>
      </c>
    </row>
    <row r="7342" spans="1:40" x14ac:dyDescent="0.25">
      <c r="A7342" t="str">
        <f>"20190303154955516"</f>
        <v>20190303154955516</v>
      </c>
      <c r="B7342" t="str">
        <f>"1551599395508206"</f>
        <v>1551599395508206</v>
      </c>
      <c r="C7342" t="s">
        <v>40</v>
      </c>
      <c r="D7342">
        <v>5.8442089999999904</v>
      </c>
      <c r="E7342">
        <v>0.39809539999999999</v>
      </c>
      <c r="F7342" t="s">
        <v>64</v>
      </c>
      <c r="G7342">
        <v>-284.51209999999998</v>
      </c>
      <c r="H7342" s="1">
        <v>-4.0806590000000001E-6</v>
      </c>
      <c r="I7342">
        <v>-60.157339999999998</v>
      </c>
      <c r="J7342">
        <v>-295.81880000000001</v>
      </c>
      <c r="K7342">
        <v>1.128584</v>
      </c>
      <c r="L7342">
        <v>-59.8307199999999</v>
      </c>
      <c r="M7342">
        <v>0.73827640000000005</v>
      </c>
      <c r="N7342">
        <v>-1.198812E-2</v>
      </c>
      <c r="O7342">
        <v>-0.67439199999999999</v>
      </c>
      <c r="P7342">
        <v>0.94932930000000004</v>
      </c>
      <c r="Q7342">
        <v>-0.1167757</v>
      </c>
      <c r="R7342">
        <v>-0.29178369999999998</v>
      </c>
      <c r="S7342">
        <v>3.0942690000000002</v>
      </c>
      <c r="T7342">
        <v>-0.30429030000000001</v>
      </c>
      <c r="U7342">
        <v>-0.1251526</v>
      </c>
      <c r="V7342">
        <v>-0.4226317</v>
      </c>
      <c r="W7342">
        <v>-0.1144688</v>
      </c>
      <c r="X7342">
        <v>0.89904359999999905</v>
      </c>
      <c r="Y7342">
        <v>-0.638679199999999</v>
      </c>
      <c r="Z7342">
        <v>8.7384760000000006E-2</v>
      </c>
      <c r="AA7342">
        <v>0.76449509999999998</v>
      </c>
      <c r="AB7342">
        <v>22</v>
      </c>
      <c r="AC7342">
        <v>11.306699999999999</v>
      </c>
      <c r="AD7342">
        <v>-1.1285880806590001</v>
      </c>
      <c r="AE7342">
        <v>-0.32662000000001201</v>
      </c>
      <c r="AF7342">
        <v>-7.3117538512789499</v>
      </c>
      <c r="AG7342">
        <v>-1.1285880806590001</v>
      </c>
      <c r="AH7342">
        <v>8.4838976497137804</v>
      </c>
      <c r="AI7342">
        <v>95.754128390733797</v>
      </c>
      <c r="AJ7342">
        <v>130.75604557746999</v>
      </c>
      <c r="AK7342">
        <v>11.256641362694101</v>
      </c>
      <c r="AL7342">
        <v>96.572987023566199</v>
      </c>
      <c r="AM7342">
        <v>115.177763349633</v>
      </c>
      <c r="AN7342">
        <v>1.0000000273596401</v>
      </c>
    </row>
    <row r="7343" spans="1:40" x14ac:dyDescent="0.25">
      <c r="A7343" t="str">
        <f>"20190303154955539"</f>
        <v>20190303154955539</v>
      </c>
      <c r="B7343" t="str">
        <f>"1551599395528701"</f>
        <v>1551599395528701</v>
      </c>
      <c r="C7343" t="s">
        <v>40</v>
      </c>
      <c r="D7343">
        <v>5.8781420000000004</v>
      </c>
      <c r="E7343">
        <v>0.40581149999999999</v>
      </c>
      <c r="F7343" t="s">
        <v>64</v>
      </c>
      <c r="G7343">
        <v>-284.33150000000001</v>
      </c>
      <c r="H7343" s="1">
        <v>-4.156104E-6</v>
      </c>
      <c r="I7343">
        <v>-60.206040000000002</v>
      </c>
      <c r="J7343">
        <v>-295.65030000000002</v>
      </c>
      <c r="K7343">
        <v>1.128628</v>
      </c>
      <c r="L7343">
        <v>-59.96378</v>
      </c>
      <c r="M7343">
        <v>0.74743179999999998</v>
      </c>
      <c r="N7343">
        <v>-1.20191E-2</v>
      </c>
      <c r="O7343">
        <v>-0.66422990000000004</v>
      </c>
      <c r="P7343">
        <v>0.95242769999999999</v>
      </c>
      <c r="Q7343">
        <v>-0.11680980000000001</v>
      </c>
      <c r="R7343">
        <v>-0.28149010000000002</v>
      </c>
      <c r="S7343">
        <v>3.091675</v>
      </c>
      <c r="T7343">
        <v>-0.30374790000000002</v>
      </c>
      <c r="U7343">
        <v>-0.1010132</v>
      </c>
      <c r="V7343">
        <v>-0.42005530000000002</v>
      </c>
      <c r="W7343">
        <v>-0.1144486</v>
      </c>
      <c r="X7343">
        <v>0.90025279999999996</v>
      </c>
      <c r="Y7343">
        <v>-0.63417570000000001</v>
      </c>
      <c r="Z7343">
        <v>8.6532109999999995E-2</v>
      </c>
      <c r="AA7343">
        <v>0.76833149999999995</v>
      </c>
      <c r="AB7343">
        <v>22</v>
      </c>
      <c r="AC7343">
        <v>11.3188</v>
      </c>
      <c r="AD7343">
        <v>-1.128632156104</v>
      </c>
      <c r="AE7343">
        <v>-0.24225999999999401</v>
      </c>
      <c r="AF7343">
        <v>-7.2655362391943399</v>
      </c>
      <c r="AG7343">
        <v>-1.128632156104</v>
      </c>
      <c r="AH7343">
        <v>8.53673042106049</v>
      </c>
      <c r="AI7343">
        <v>95.749220451479601</v>
      </c>
      <c r="AJ7343">
        <v>130.40081417887001</v>
      </c>
      <c r="AK7343">
        <v>11.2666584961424</v>
      </c>
      <c r="AL7343">
        <v>96.571822037528193</v>
      </c>
      <c r="AM7343">
        <v>115.013617926189</v>
      </c>
      <c r="AN7343">
        <v>1.0000000205039401</v>
      </c>
    </row>
    <row r="7344" spans="1:40" x14ac:dyDescent="0.25">
      <c r="A7344" t="str">
        <f>"20190303154955562"</f>
        <v>20190303154955562</v>
      </c>
      <c r="B7344" t="str">
        <f>"1551599395557981"</f>
        <v>1551599395557981</v>
      </c>
      <c r="C7344" t="s">
        <v>40</v>
      </c>
      <c r="D7344">
        <v>5.941694</v>
      </c>
      <c r="E7344">
        <v>0.40501920000000002</v>
      </c>
      <c r="F7344" t="s">
        <v>42</v>
      </c>
      <c r="G7344">
        <v>-294.7407</v>
      </c>
      <c r="H7344">
        <v>1.0436879999999999</v>
      </c>
      <c r="I7344">
        <v>-60.001530000000002</v>
      </c>
      <c r="J7344">
        <v>-295.47300000000001</v>
      </c>
      <c r="K7344">
        <v>1.1286639999999999</v>
      </c>
      <c r="L7344">
        <v>-60.099550000000001</v>
      </c>
      <c r="M7344">
        <v>0.75684119999999899</v>
      </c>
      <c r="N7344">
        <v>-1.2049610000000001E-2</v>
      </c>
      <c r="O7344">
        <v>-0.6534877</v>
      </c>
      <c r="P7344">
        <v>0.95537479999999997</v>
      </c>
      <c r="Q7344">
        <v>-0.1174998</v>
      </c>
      <c r="R7344">
        <v>-0.27102199999999999</v>
      </c>
      <c r="S7344">
        <v>3.0769039999999999</v>
      </c>
      <c r="T7344">
        <v>-0.28729569999999999</v>
      </c>
      <c r="U7344">
        <v>-0.12759400000000001</v>
      </c>
      <c r="V7344">
        <v>-0.41699950000000002</v>
      </c>
      <c r="W7344">
        <v>-0.11507729999999999</v>
      </c>
      <c r="X7344">
        <v>0.90159230000000001</v>
      </c>
      <c r="Y7344">
        <v>-0.61690999999999996</v>
      </c>
      <c r="Z7344">
        <v>8.0467899999999995E-2</v>
      </c>
      <c r="AA7344">
        <v>0.78290930000000003</v>
      </c>
      <c r="AB7344">
        <v>22</v>
      </c>
      <c r="AC7344">
        <v>0.73230000000000905</v>
      </c>
      <c r="AD7344">
        <v>-8.4975999999999899E-2</v>
      </c>
      <c r="AE7344">
        <v>9.8019999999998206E-2</v>
      </c>
      <c r="AF7344">
        <v>-0.54555797957253804</v>
      </c>
      <c r="AG7344">
        <v>-8.4975999999999899E-2</v>
      </c>
      <c r="AH7344">
        <v>0.48381551091344699</v>
      </c>
      <c r="AI7344">
        <v>96.647014119653406</v>
      </c>
      <c r="AJ7344">
        <v>138.43252442279999</v>
      </c>
      <c r="AK7344">
        <v>0.73411979829705598</v>
      </c>
      <c r="AL7344">
        <v>96.608083468807607</v>
      </c>
      <c r="AM7344">
        <v>114.82122510484901</v>
      </c>
      <c r="AN7344">
        <v>1.0000000216974101</v>
      </c>
    </row>
    <row r="7345" spans="1:40" x14ac:dyDescent="0.25">
      <c r="A7345" t="str">
        <f>"20190303154955585"</f>
        <v>20190303154955585</v>
      </c>
      <c r="B7345" t="str">
        <f>"1551599395578477"</f>
        <v>1551599395578477</v>
      </c>
      <c r="C7345" t="s">
        <v>40</v>
      </c>
      <c r="D7345">
        <v>5.9709190000000003</v>
      </c>
      <c r="E7345">
        <v>0.43273980000000001</v>
      </c>
      <c r="F7345" t="s">
        <v>64</v>
      </c>
      <c r="G7345">
        <v>-286.05869999999999</v>
      </c>
      <c r="H7345" s="1">
        <v>-3.1876109999999999E-6</v>
      </c>
      <c r="I7345">
        <v>-60.35445</v>
      </c>
      <c r="J7345">
        <v>-295.2989</v>
      </c>
      <c r="K7345">
        <v>1.1286989999999999</v>
      </c>
      <c r="L7345">
        <v>-60.228940000000001</v>
      </c>
      <c r="M7345">
        <v>0.76586719999999997</v>
      </c>
      <c r="N7345">
        <v>-1.207778E-2</v>
      </c>
      <c r="O7345">
        <v>-0.64288529999999999</v>
      </c>
      <c r="P7345">
        <v>0.95811009999999996</v>
      </c>
      <c r="Q7345">
        <v>-0.1188022</v>
      </c>
      <c r="R7345">
        <v>-0.26059759999999998</v>
      </c>
      <c r="S7345">
        <v>3.071259</v>
      </c>
      <c r="T7345">
        <v>-0.36820960000000003</v>
      </c>
      <c r="U7345">
        <v>-8.3160399999999995E-2</v>
      </c>
      <c r="V7345">
        <v>-0.41412910000000003</v>
      </c>
      <c r="W7345">
        <v>-0.11632629999999999</v>
      </c>
      <c r="X7345">
        <v>0.90275430000000001</v>
      </c>
      <c r="Y7345">
        <v>-0.61411210000000005</v>
      </c>
      <c r="Z7345">
        <v>0.10364859999999999</v>
      </c>
      <c r="AA7345">
        <v>0.7823831</v>
      </c>
      <c r="AB7345">
        <v>22</v>
      </c>
      <c r="AC7345">
        <v>9.2402000000000104</v>
      </c>
      <c r="AD7345">
        <v>-1.1287021876109999</v>
      </c>
      <c r="AE7345">
        <v>-0.12550999999999801</v>
      </c>
      <c r="AF7345">
        <v>-5.7587806774928598</v>
      </c>
      <c r="AG7345">
        <v>-1.1287021876109999</v>
      </c>
      <c r="AH7345">
        <v>7.0527625235914799</v>
      </c>
      <c r="AI7345">
        <v>97.066457175579302</v>
      </c>
      <c r="AJ7345">
        <v>129.23261324616101</v>
      </c>
      <c r="AK7345">
        <v>9.1749105027765498</v>
      </c>
      <c r="AL7345">
        <v>96.680129756318706</v>
      </c>
      <c r="AM7345">
        <v>114.642795776688</v>
      </c>
      <c r="AN7345">
        <v>1.00000002285349</v>
      </c>
    </row>
    <row r="7346" spans="1:40" x14ac:dyDescent="0.25">
      <c r="A7346" t="str">
        <f>"20190303154955606"</f>
        <v>20190303154955606</v>
      </c>
      <c r="B7346" t="str">
        <f>"1551599395597997"</f>
        <v>1551599395597997</v>
      </c>
      <c r="C7346" t="s">
        <v>40</v>
      </c>
      <c r="D7346">
        <v>5.9635210000000001</v>
      </c>
      <c r="E7346">
        <v>0.44552890000000001</v>
      </c>
      <c r="F7346" t="s">
        <v>42</v>
      </c>
      <c r="G7346">
        <v>-294.27530000000002</v>
      </c>
      <c r="H7346">
        <v>1.009763</v>
      </c>
      <c r="I7346">
        <v>-60.318649999999998</v>
      </c>
      <c r="J7346">
        <v>-295.12740000000002</v>
      </c>
      <c r="K7346">
        <v>1.1287320000000001</v>
      </c>
      <c r="L7346">
        <v>-60.352719999999998</v>
      </c>
      <c r="M7346">
        <v>0.77454509999999999</v>
      </c>
      <c r="N7346">
        <v>-1.2103610000000001E-2</v>
      </c>
      <c r="O7346">
        <v>-0.63240299999999905</v>
      </c>
      <c r="P7346">
        <v>0.96057879999999995</v>
      </c>
      <c r="Q7346">
        <v>-0.11955780000000001</v>
      </c>
      <c r="R7346">
        <v>-0.25098779999999998</v>
      </c>
      <c r="S7346">
        <v>3.0158079999999998</v>
      </c>
      <c r="T7346">
        <v>-0.35041670000000003</v>
      </c>
      <c r="U7346">
        <v>-0.26431270000000001</v>
      </c>
      <c r="V7346">
        <v>-0.4108038</v>
      </c>
      <c r="W7346">
        <v>-0.1170138</v>
      </c>
      <c r="X7346">
        <v>0.90418370000000003</v>
      </c>
      <c r="Y7346">
        <v>-0.55560369999999903</v>
      </c>
      <c r="Z7346">
        <v>9.5289449999999998E-2</v>
      </c>
      <c r="AA7346">
        <v>0.82596879999999995</v>
      </c>
      <c r="AB7346">
        <v>22</v>
      </c>
      <c r="AC7346">
        <v>0.85210000000000696</v>
      </c>
      <c r="AD7346">
        <v>-0.11896900000000001</v>
      </c>
      <c r="AE7346">
        <v>3.4069999999999802E-2</v>
      </c>
      <c r="AF7346">
        <v>-0.55450873057764405</v>
      </c>
      <c r="AG7346">
        <v>-0.11896900000000001</v>
      </c>
      <c r="AH7346">
        <v>0.62630140154963798</v>
      </c>
      <c r="AI7346">
        <v>98.094449504802895</v>
      </c>
      <c r="AJ7346">
        <v>131.52072791188601</v>
      </c>
      <c r="AK7346">
        <v>0.84491833974110897</v>
      </c>
      <c r="AL7346">
        <v>96.719791096814404</v>
      </c>
      <c r="AM7346">
        <v>114.434039301209</v>
      </c>
      <c r="AN7346">
        <v>1.00000007741528</v>
      </c>
    </row>
    <row r="7347" spans="1:40" x14ac:dyDescent="0.25">
      <c r="A7347" t="str">
        <f>"20190303154955629"</f>
        <v>20190303154955629</v>
      </c>
      <c r="B7347" t="str">
        <f>"1551599395618493"</f>
        <v>1551599395618493</v>
      </c>
      <c r="C7347" t="s">
        <v>40</v>
      </c>
      <c r="D7347">
        <v>5.9122700000000004</v>
      </c>
      <c r="E7347">
        <v>0.45354549999999999</v>
      </c>
      <c r="F7347" t="s">
        <v>42</v>
      </c>
      <c r="G7347">
        <v>-294.13850000000002</v>
      </c>
      <c r="H7347">
        <v>1.0124340000000001</v>
      </c>
      <c r="I7347">
        <v>-60.462789999999998</v>
      </c>
      <c r="J7347">
        <v>-294.95089999999999</v>
      </c>
      <c r="K7347">
        <v>1.1287670000000001</v>
      </c>
      <c r="L7347">
        <v>-60.476439999999997</v>
      </c>
      <c r="M7347">
        <v>0.78326499999999999</v>
      </c>
      <c r="N7347">
        <v>-1.2128079999999999E-2</v>
      </c>
      <c r="O7347">
        <v>-0.62156959999999895</v>
      </c>
      <c r="P7347">
        <v>0.96314540000000004</v>
      </c>
      <c r="Q7347">
        <v>-0.1195891</v>
      </c>
      <c r="R7347">
        <v>-0.24093429999999999</v>
      </c>
      <c r="S7347">
        <v>2.99234</v>
      </c>
      <c r="T7347">
        <v>-0.3518867</v>
      </c>
      <c r="U7347">
        <v>-0.33288570000000001</v>
      </c>
      <c r="V7347">
        <v>-0.40766849999999999</v>
      </c>
      <c r="W7347">
        <v>-0.11697929999999999</v>
      </c>
      <c r="X7347">
        <v>0.90560600000000002</v>
      </c>
      <c r="Y7347">
        <v>-0.52453289999999997</v>
      </c>
      <c r="Z7347">
        <v>9.3425129999999995E-2</v>
      </c>
      <c r="AA7347">
        <v>0.84624880000000002</v>
      </c>
      <c r="AB7347">
        <v>22</v>
      </c>
      <c r="AC7347">
        <v>0.81239999999996804</v>
      </c>
      <c r="AD7347">
        <v>-0.11633300000000001</v>
      </c>
      <c r="AE7347">
        <v>1.3649999999998301E-2</v>
      </c>
      <c r="AF7347">
        <v>-0.50533356991604805</v>
      </c>
      <c r="AG7347">
        <v>-0.11633300000000001</v>
      </c>
      <c r="AH7347">
        <v>0.61527346305592301</v>
      </c>
      <c r="AI7347">
        <v>98.312752483317993</v>
      </c>
      <c r="AJ7347">
        <v>129.39678863973199</v>
      </c>
      <c r="AK7347">
        <v>0.80464701460573795</v>
      </c>
      <c r="AL7347">
        <v>96.717801280351694</v>
      </c>
      <c r="AM7347">
        <v>114.23541592284001</v>
      </c>
      <c r="AN7347">
        <v>0.99999999487836899</v>
      </c>
    </row>
    <row r="7348" spans="1:40" x14ac:dyDescent="0.25">
      <c r="A7348" t="str">
        <f>"20190303154955653"</f>
        <v>20190303154955653</v>
      </c>
      <c r="B7348" t="str">
        <f>"1551599395647773"</f>
        <v>1551599395647773</v>
      </c>
      <c r="C7348" t="s">
        <v>40</v>
      </c>
      <c r="D7348">
        <v>5.9847060000000001</v>
      </c>
      <c r="E7348">
        <v>0.4607831</v>
      </c>
      <c r="F7348" t="s">
        <v>42</v>
      </c>
      <c r="G7348">
        <v>-293.99329999999998</v>
      </c>
      <c r="H7348">
        <v>1.017118</v>
      </c>
      <c r="I7348">
        <v>-60.593559999999997</v>
      </c>
      <c r="J7348">
        <v>-294.75920000000002</v>
      </c>
      <c r="K7348">
        <v>1.1288020000000001</v>
      </c>
      <c r="L7348">
        <v>-60.606749999999998</v>
      </c>
      <c r="M7348">
        <v>0.79250500000000001</v>
      </c>
      <c r="N7348">
        <v>-1.215256E-2</v>
      </c>
      <c r="O7348">
        <v>-0.60974430000000002</v>
      </c>
      <c r="P7348">
        <v>0.96587520000000004</v>
      </c>
      <c r="Q7348">
        <v>-0.1199339</v>
      </c>
      <c r="R7348">
        <v>-0.22956679999999999</v>
      </c>
      <c r="S7348">
        <v>2.9806210000000002</v>
      </c>
      <c r="T7348">
        <v>-0.3474796</v>
      </c>
      <c r="U7348">
        <v>-0.36389159999999998</v>
      </c>
      <c r="V7348">
        <v>-0.40470929999999999</v>
      </c>
      <c r="W7348">
        <v>-0.1172639</v>
      </c>
      <c r="X7348">
        <v>0.90689560000000002</v>
      </c>
      <c r="Y7348">
        <v>-0.5029091</v>
      </c>
      <c r="Z7348">
        <v>9.0189060000000001E-2</v>
      </c>
      <c r="AA7348">
        <v>0.85962099999999897</v>
      </c>
      <c r="AB7348">
        <v>22</v>
      </c>
      <c r="AC7348">
        <v>0.76590000000004399</v>
      </c>
      <c r="AD7348">
        <v>-0.11168400000000001</v>
      </c>
      <c r="AE7348">
        <v>1.3190000000001499E-2</v>
      </c>
      <c r="AF7348">
        <v>-0.46755264041391498</v>
      </c>
      <c r="AG7348">
        <v>-0.11168400000000001</v>
      </c>
      <c r="AH7348">
        <v>0.58651357203204402</v>
      </c>
      <c r="AI7348">
        <v>98.469020964035707</v>
      </c>
      <c r="AJ7348">
        <v>128.560898055634</v>
      </c>
      <c r="AK7348">
        <v>0.75833828704069295</v>
      </c>
      <c r="AL7348">
        <v>96.734220396193194</v>
      </c>
      <c r="AM7348">
        <v>114.049193836302</v>
      </c>
      <c r="AN7348">
        <v>1.0000000345245199</v>
      </c>
    </row>
    <row r="7349" spans="1:40" x14ac:dyDescent="0.25">
      <c r="A7349" t="str">
        <f>"20190303154955675"</f>
        <v>20190303154955675</v>
      </c>
      <c r="B7349" t="str">
        <f>"1551599395667802"</f>
        <v>1551599395667802</v>
      </c>
      <c r="C7349" t="s">
        <v>40</v>
      </c>
      <c r="D7349">
        <v>5.9569710000000002</v>
      </c>
      <c r="E7349">
        <v>0.46431250000000002</v>
      </c>
      <c r="F7349" t="s">
        <v>42</v>
      </c>
      <c r="G7349">
        <v>-293.84699999999998</v>
      </c>
      <c r="H7349">
        <v>1.021841</v>
      </c>
      <c r="I7349">
        <v>-60.724910000000001</v>
      </c>
      <c r="J7349">
        <v>-294.57799999999997</v>
      </c>
      <c r="K7349">
        <v>1.128844</v>
      </c>
      <c r="L7349">
        <v>-60.726140000000001</v>
      </c>
      <c r="M7349">
        <v>0.80101469999999997</v>
      </c>
      <c r="N7349">
        <v>-1.2176380000000001E-2</v>
      </c>
      <c r="O7349">
        <v>-0.59852079999999996</v>
      </c>
      <c r="P7349">
        <v>0.96807889999999996</v>
      </c>
      <c r="Q7349">
        <v>-0.12091209999999999</v>
      </c>
      <c r="R7349">
        <v>-0.21955330000000001</v>
      </c>
      <c r="S7349">
        <v>2.9712519999999998</v>
      </c>
      <c r="T7349">
        <v>-0.34842960000000001</v>
      </c>
      <c r="U7349">
        <v>-0.38491819999999999</v>
      </c>
      <c r="V7349">
        <v>-0.40122659999999999</v>
      </c>
      <c r="W7349">
        <v>-0.1181662</v>
      </c>
      <c r="X7349">
        <v>0.90832480000000004</v>
      </c>
      <c r="Y7349">
        <v>-0.48445110000000002</v>
      </c>
      <c r="Z7349">
        <v>8.8610229999999998E-2</v>
      </c>
      <c r="AA7349">
        <v>0.87031909999999901</v>
      </c>
      <c r="AB7349">
        <v>22</v>
      </c>
      <c r="AC7349">
        <v>0.73099999999999399</v>
      </c>
      <c r="AD7349">
        <v>-0.107002999999999</v>
      </c>
      <c r="AE7349">
        <v>1.2300000000067201E-3</v>
      </c>
      <c r="AF7349">
        <v>-0.42933717967298801</v>
      </c>
      <c r="AG7349">
        <v>-0.107002999999999</v>
      </c>
      <c r="AH7349">
        <v>0.57258040739282501</v>
      </c>
      <c r="AI7349">
        <v>98.5035947427438</v>
      </c>
      <c r="AJ7349">
        <v>126.86361293392</v>
      </c>
      <c r="AK7349">
        <v>0.72362170972731998</v>
      </c>
      <c r="AL7349">
        <v>96.786280640775502</v>
      </c>
      <c r="AM7349">
        <v>113.832078687022</v>
      </c>
      <c r="AN7349">
        <v>0.99999998883251995</v>
      </c>
    </row>
    <row r="7350" spans="1:40" x14ac:dyDescent="0.25">
      <c r="A7350" t="str">
        <f>"20190303154955696"</f>
        <v>20190303154955696</v>
      </c>
      <c r="B7350" t="str">
        <f>"1551599395688298"</f>
        <v>1551599395688298</v>
      </c>
      <c r="C7350" t="s">
        <v>40</v>
      </c>
      <c r="D7350">
        <v>6.0550759999999997</v>
      </c>
      <c r="E7350">
        <v>0.46687390000000001</v>
      </c>
      <c r="F7350" t="s">
        <v>42</v>
      </c>
      <c r="G7350">
        <v>-293.69200000000001</v>
      </c>
      <c r="H7350">
        <v>1.0221180000000001</v>
      </c>
      <c r="I7350">
        <v>-60.840040000000002</v>
      </c>
      <c r="J7350">
        <v>-294.40230000000003</v>
      </c>
      <c r="K7350">
        <v>1.128868</v>
      </c>
      <c r="L7350">
        <v>-60.838380000000001</v>
      </c>
      <c r="M7350">
        <v>0.80906299999999998</v>
      </c>
      <c r="N7350">
        <v>-1.2202849999999999E-2</v>
      </c>
      <c r="O7350">
        <v>-0.58759530000000004</v>
      </c>
      <c r="P7350">
        <v>0.97007160000000003</v>
      </c>
      <c r="Q7350">
        <v>-0.1214696</v>
      </c>
      <c r="R7350">
        <v>-0.21025340000000001</v>
      </c>
      <c r="S7350">
        <v>2.9678040000000001</v>
      </c>
      <c r="T7350">
        <v>-0.35749170000000002</v>
      </c>
      <c r="U7350">
        <v>-0.3812256</v>
      </c>
      <c r="V7350">
        <v>-0.39755869999999999</v>
      </c>
      <c r="W7350">
        <v>-0.1186367</v>
      </c>
      <c r="X7350">
        <v>0.90987490000000004</v>
      </c>
      <c r="Y7350">
        <v>-0.4732826</v>
      </c>
      <c r="Z7350">
        <v>8.952135E-2</v>
      </c>
      <c r="AA7350">
        <v>0.87635010000000002</v>
      </c>
      <c r="AB7350">
        <v>22</v>
      </c>
      <c r="AC7350">
        <v>0.71030000000001703</v>
      </c>
      <c r="AD7350">
        <v>-0.106749999999999</v>
      </c>
      <c r="AE7350">
        <v>-1.6599999999939901E-3</v>
      </c>
      <c r="AF7350">
        <v>-0.40686713599636498</v>
      </c>
      <c r="AG7350">
        <v>-0.106749999999999</v>
      </c>
      <c r="AH7350">
        <v>0.56297992740089997</v>
      </c>
      <c r="AI7350">
        <v>98.737012851470297</v>
      </c>
      <c r="AJ7350">
        <v>125.855742637665</v>
      </c>
      <c r="AK7350">
        <v>0.70276797558668502</v>
      </c>
      <c r="AL7350">
        <v>96.813429471049304</v>
      </c>
      <c r="AM7350">
        <v>113.602333494281</v>
      </c>
      <c r="AN7350">
        <v>0.99999996009129399</v>
      </c>
    </row>
    <row r="7351" spans="1:40" x14ac:dyDescent="0.25">
      <c r="A7351" t="str">
        <f>"20190303154955718"</f>
        <v>20190303154955718</v>
      </c>
      <c r="B7351" t="str">
        <f>"1551599395707818"</f>
        <v>1551599395707818</v>
      </c>
      <c r="C7351" t="s">
        <v>40</v>
      </c>
      <c r="D7351">
        <v>6.0471440000000003</v>
      </c>
      <c r="E7351">
        <v>0.4686323</v>
      </c>
      <c r="F7351" t="s">
        <v>42</v>
      </c>
      <c r="G7351">
        <v>-293.52359999999999</v>
      </c>
      <c r="H7351">
        <v>1.0218039999999999</v>
      </c>
      <c r="I7351">
        <v>-60.948779999999999</v>
      </c>
      <c r="J7351">
        <v>-294.21789999999999</v>
      </c>
      <c r="K7351">
        <v>1.128898</v>
      </c>
      <c r="L7351">
        <v>-60.952640000000002</v>
      </c>
      <c r="M7351">
        <v>0.8172973</v>
      </c>
      <c r="N7351">
        <v>-1.2232740000000001E-2</v>
      </c>
      <c r="O7351">
        <v>-0.5760866</v>
      </c>
      <c r="P7351">
        <v>0.97181790000000001</v>
      </c>
      <c r="Q7351">
        <v>-0.1233384</v>
      </c>
      <c r="R7351">
        <v>-0.20089319999999999</v>
      </c>
      <c r="S7351">
        <v>2.9665219999999999</v>
      </c>
      <c r="T7351">
        <v>-0.361452</v>
      </c>
      <c r="U7351">
        <v>-0.3726196</v>
      </c>
      <c r="V7351">
        <v>-0.39327190000000001</v>
      </c>
      <c r="W7351">
        <v>-0.12040240000000001</v>
      </c>
      <c r="X7351">
        <v>0.91150450000000005</v>
      </c>
      <c r="Y7351">
        <v>-0.46324199999999999</v>
      </c>
      <c r="Z7351">
        <v>8.8996259999999994E-2</v>
      </c>
      <c r="AA7351">
        <v>0.88175199999999998</v>
      </c>
      <c r="AB7351">
        <v>22</v>
      </c>
      <c r="AC7351">
        <v>0.69429999999999803</v>
      </c>
      <c r="AD7351">
        <v>-0.107093999999999</v>
      </c>
      <c r="AE7351">
        <v>3.85999999999597E-3</v>
      </c>
      <c r="AF7351">
        <v>-0.39379286367844302</v>
      </c>
      <c r="AG7351">
        <v>-0.107093999999999</v>
      </c>
      <c r="AH7351">
        <v>0.55213196594925595</v>
      </c>
      <c r="AI7351">
        <v>98.9737474574261</v>
      </c>
      <c r="AJ7351">
        <v>125.49731478953601</v>
      </c>
      <c r="AK7351">
        <v>0.68657967647102602</v>
      </c>
      <c r="AL7351">
        <v>96.915326860860404</v>
      </c>
      <c r="AM7351">
        <v>113.337956579809</v>
      </c>
      <c r="AN7351">
        <v>0.99999998938780899</v>
      </c>
    </row>
    <row r="7352" spans="1:40" x14ac:dyDescent="0.25">
      <c r="A7352" t="str">
        <f>"20190303154955742"</f>
        <v>20190303154955742</v>
      </c>
      <c r="B7352" t="str">
        <f>"1551599395738075"</f>
        <v>1551599395738075</v>
      </c>
      <c r="C7352" t="s">
        <v>40</v>
      </c>
      <c r="D7352">
        <v>6.0464159999999998</v>
      </c>
      <c r="E7352">
        <v>0.47114220000000001</v>
      </c>
      <c r="F7352" t="s">
        <v>42</v>
      </c>
      <c r="G7352">
        <v>-293.303</v>
      </c>
      <c r="H7352">
        <v>1.0145299999999999</v>
      </c>
      <c r="I7352">
        <v>-61.062959999999997</v>
      </c>
      <c r="J7352">
        <v>-294.02390000000003</v>
      </c>
      <c r="K7352">
        <v>1.128935</v>
      </c>
      <c r="L7352">
        <v>-61.068910000000002</v>
      </c>
      <c r="M7352">
        <v>0.82573200000000002</v>
      </c>
      <c r="N7352">
        <v>-1.2264280000000001E-2</v>
      </c>
      <c r="O7352">
        <v>-0.56392929999999997</v>
      </c>
      <c r="P7352">
        <v>0.97376399999999996</v>
      </c>
      <c r="Q7352">
        <v>-0.1234222</v>
      </c>
      <c r="R7352">
        <v>-0.1911824</v>
      </c>
      <c r="S7352">
        <v>2.9660030000000002</v>
      </c>
      <c r="T7352">
        <v>-0.37075639999999999</v>
      </c>
      <c r="U7352">
        <v>-0.35757450000000002</v>
      </c>
      <c r="V7352">
        <v>-0.38886920000000003</v>
      </c>
      <c r="W7352">
        <v>-0.12037589999999999</v>
      </c>
      <c r="X7352">
        <v>0.91339499999999996</v>
      </c>
      <c r="Y7352">
        <v>-0.45429520000000001</v>
      </c>
      <c r="Z7352">
        <v>8.9781139999999995E-2</v>
      </c>
      <c r="AA7352">
        <v>0.88631550000000003</v>
      </c>
      <c r="AB7352">
        <v>22</v>
      </c>
      <c r="AC7352">
        <v>0.72090000000002796</v>
      </c>
      <c r="AD7352">
        <v>-0.11440500000000001</v>
      </c>
      <c r="AE7352">
        <v>5.9499999999985597E-3</v>
      </c>
      <c r="AF7352">
        <v>-0.401372844014665</v>
      </c>
      <c r="AG7352">
        <v>-0.11440500000000001</v>
      </c>
      <c r="AH7352">
        <v>0.57741812108263202</v>
      </c>
      <c r="AI7352">
        <v>99.2404041558014</v>
      </c>
      <c r="AJ7352">
        <v>124.803799877187</v>
      </c>
      <c r="AK7352">
        <v>0.71246077119517104</v>
      </c>
      <c r="AL7352">
        <v>96.913797192713801</v>
      </c>
      <c r="AM7352">
        <v>113.061416585849</v>
      </c>
      <c r="AN7352">
        <v>1.00000001901722</v>
      </c>
    </row>
    <row r="7353" spans="1:40" x14ac:dyDescent="0.25">
      <c r="A7353" t="str">
        <f>"20190303154955763"</f>
        <v>20190303154955763</v>
      </c>
      <c r="B7353" t="str">
        <f>"1551599395758571"</f>
        <v>1551599395758571</v>
      </c>
      <c r="C7353" t="s">
        <v>40</v>
      </c>
      <c r="D7353">
        <v>6.064819</v>
      </c>
      <c r="E7353">
        <v>0.47247159999999999</v>
      </c>
      <c r="F7353" t="s">
        <v>42</v>
      </c>
      <c r="G7353">
        <v>-293.01639999999998</v>
      </c>
      <c r="H7353">
        <v>0.99942609999999998</v>
      </c>
      <c r="I7353">
        <v>-61.186990000000002</v>
      </c>
      <c r="J7353">
        <v>-293.83929999999998</v>
      </c>
      <c r="K7353">
        <v>1.1289819999999999</v>
      </c>
      <c r="L7353">
        <v>-61.175780000000003</v>
      </c>
      <c r="M7353">
        <v>0.83353999999999995</v>
      </c>
      <c r="N7353">
        <v>-1.229276E-2</v>
      </c>
      <c r="O7353">
        <v>-0.5523226</v>
      </c>
      <c r="P7353">
        <v>0.97562179999999998</v>
      </c>
      <c r="Q7353">
        <v>-0.1226486</v>
      </c>
      <c r="R7353">
        <v>-0.18198839999999999</v>
      </c>
      <c r="S7353">
        <v>2.9644170000000001</v>
      </c>
      <c r="T7353">
        <v>-0.38108560000000002</v>
      </c>
      <c r="U7353">
        <v>-0.3471069</v>
      </c>
      <c r="V7353">
        <v>-0.38477220000000001</v>
      </c>
      <c r="W7353">
        <v>-0.1194979</v>
      </c>
      <c r="X7353">
        <v>0.91524349999999999</v>
      </c>
      <c r="Y7353">
        <v>-0.44460450000000001</v>
      </c>
      <c r="Z7353">
        <v>9.0729619999999997E-2</v>
      </c>
      <c r="AA7353">
        <v>0.89112000000000002</v>
      </c>
      <c r="AB7353">
        <v>22</v>
      </c>
      <c r="AC7353">
        <v>0.82290000000000396</v>
      </c>
      <c r="AD7353">
        <v>-0.129555899999999</v>
      </c>
      <c r="AE7353">
        <v>-1.1209999999998299E-2</v>
      </c>
      <c r="AF7353">
        <v>-0.43442973606243601</v>
      </c>
      <c r="AG7353">
        <v>-0.129555899999999</v>
      </c>
      <c r="AH7353">
        <v>0.67542528072383201</v>
      </c>
      <c r="AI7353">
        <v>99.164278039172103</v>
      </c>
      <c r="AJ7353">
        <v>122.74889573025401</v>
      </c>
      <c r="AK7353">
        <v>0.81345758134088098</v>
      </c>
      <c r="AL7353">
        <v>96.863125656589801</v>
      </c>
      <c r="AM7353">
        <v>112.802088573692</v>
      </c>
      <c r="AN7353">
        <v>1.00000002914474</v>
      </c>
    </row>
    <row r="7354" spans="1:40" x14ac:dyDescent="0.25">
      <c r="A7354" t="str">
        <f>"20190303154955786"</f>
        <v>20190303154955786</v>
      </c>
      <c r="B7354" t="str">
        <f>"1551599395778597"</f>
        <v>1551599395778597</v>
      </c>
      <c r="C7354" t="s">
        <v>40</v>
      </c>
      <c r="D7354">
        <v>6.097486</v>
      </c>
      <c r="E7354">
        <v>0.47369549999999999</v>
      </c>
      <c r="F7354" t="s">
        <v>42</v>
      </c>
      <c r="G7354">
        <v>-292.85120000000001</v>
      </c>
      <c r="H7354">
        <v>1.0020089999999999</v>
      </c>
      <c r="I7354">
        <v>-61.285469999999997</v>
      </c>
      <c r="J7354">
        <v>-293.6497</v>
      </c>
      <c r="K7354">
        <v>1.1290129999999901</v>
      </c>
      <c r="L7354">
        <v>-61.281979999999997</v>
      </c>
      <c r="M7354">
        <v>0.84133819999999904</v>
      </c>
      <c r="N7354">
        <v>-1.2319780000000001E-2</v>
      </c>
      <c r="O7354">
        <v>-0.54036890000000004</v>
      </c>
      <c r="P7354">
        <v>0.97738009999999997</v>
      </c>
      <c r="Q7354">
        <v>-0.12236859999999999</v>
      </c>
      <c r="R7354">
        <v>-0.17249429999999999</v>
      </c>
      <c r="S7354">
        <v>2.9656069999999999</v>
      </c>
      <c r="T7354">
        <v>-0.38110490000000002</v>
      </c>
      <c r="U7354">
        <v>-0.32943729999999999</v>
      </c>
      <c r="V7354">
        <v>-0.38062780000000002</v>
      </c>
      <c r="W7354">
        <v>-0.11911140000000001</v>
      </c>
      <c r="X7354">
        <v>0.91702499999999998</v>
      </c>
      <c r="Y7354">
        <v>-0.4372433</v>
      </c>
      <c r="Z7354">
        <v>8.9126940000000002E-2</v>
      </c>
      <c r="AA7354">
        <v>0.89491599999999905</v>
      </c>
      <c r="AB7354">
        <v>22</v>
      </c>
      <c r="AC7354">
        <v>0.79849999999999</v>
      </c>
      <c r="AD7354">
        <v>-0.12700399999999901</v>
      </c>
      <c r="AE7354">
        <v>-3.4899999999922198E-3</v>
      </c>
      <c r="AF7354">
        <v>-0.418006268749123</v>
      </c>
      <c r="AG7354">
        <v>-0.12700399999999901</v>
      </c>
      <c r="AH7354">
        <v>0.65712196645989795</v>
      </c>
      <c r="AI7354">
        <v>99.2619979742677</v>
      </c>
      <c r="AJ7354">
        <v>122.461121566179</v>
      </c>
      <c r="AK7354">
        <v>0.789093489729631</v>
      </c>
      <c r="AL7354">
        <v>96.840822085070101</v>
      </c>
      <c r="AM7354">
        <v>112.54177723818</v>
      </c>
      <c r="AN7354">
        <v>0.99999994918389801</v>
      </c>
    </row>
    <row r="7355" spans="1:40" x14ac:dyDescent="0.25">
      <c r="A7355" t="str">
        <f>"20190303154955807"</f>
        <v>20190303154955807</v>
      </c>
      <c r="B7355" t="str">
        <f>"1551599395798117"</f>
        <v>1551599395798117</v>
      </c>
      <c r="C7355" t="s">
        <v>40</v>
      </c>
      <c r="D7355">
        <v>5.1203019999999997</v>
      </c>
      <c r="E7355">
        <v>0.47289340000000002</v>
      </c>
      <c r="F7355" t="s">
        <v>42</v>
      </c>
      <c r="G7355">
        <v>-292.67829999999998</v>
      </c>
      <c r="H7355">
        <v>1.0041249999999999</v>
      </c>
      <c r="I7355">
        <v>-61.383580000000002</v>
      </c>
      <c r="J7355">
        <v>-293.46300000000002</v>
      </c>
      <c r="K7355">
        <v>1.1290309999999999</v>
      </c>
      <c r="L7355">
        <v>-61.383090000000003</v>
      </c>
      <c r="M7355">
        <v>0.84880029999999995</v>
      </c>
      <c r="N7355">
        <v>-1.234388E-2</v>
      </c>
      <c r="O7355">
        <v>-0.52856979999999998</v>
      </c>
      <c r="P7355">
        <v>0.97881019999999996</v>
      </c>
      <c r="Q7355">
        <v>-0.12318079999999999</v>
      </c>
      <c r="R7355">
        <v>-0.16357669999999999</v>
      </c>
      <c r="S7355">
        <v>2.9669490000000001</v>
      </c>
      <c r="T7355">
        <v>-0.38145570000000001</v>
      </c>
      <c r="U7355">
        <v>-0.31008909999999901</v>
      </c>
      <c r="V7355">
        <v>-0.37611129999999998</v>
      </c>
      <c r="W7355">
        <v>-0.1198071</v>
      </c>
      <c r="X7355">
        <v>0.91879630000000001</v>
      </c>
      <c r="Y7355">
        <v>-0.43062509999999998</v>
      </c>
      <c r="Z7355">
        <v>8.7653410000000001E-2</v>
      </c>
      <c r="AA7355">
        <v>0.89826439999999996</v>
      </c>
      <c r="AB7355">
        <v>22</v>
      </c>
      <c r="AC7355">
        <v>0.78469999999998596</v>
      </c>
      <c r="AD7355">
        <v>-0.124905999999999</v>
      </c>
      <c r="AE7355">
        <v>-4.8999999999921296E-4</v>
      </c>
      <c r="AF7355">
        <v>-0.40414440823016501</v>
      </c>
      <c r="AG7355">
        <v>-0.124905999999999</v>
      </c>
      <c r="AH7355">
        <v>0.64989666487917097</v>
      </c>
      <c r="AI7355">
        <v>99.269505261099994</v>
      </c>
      <c r="AJ7355">
        <v>121.875806919063</v>
      </c>
      <c r="AK7355">
        <v>0.77543528844177601</v>
      </c>
      <c r="AL7355">
        <v>96.880969588927996</v>
      </c>
      <c r="AM7355">
        <v>112.261847790628</v>
      </c>
      <c r="AN7355">
        <v>1.00000004604589</v>
      </c>
    </row>
    <row r="7356" spans="1:40" x14ac:dyDescent="0.25">
      <c r="A7356" t="str">
        <f>"20190303154955831"</f>
        <v>20190303154955831</v>
      </c>
      <c r="B7356" t="str">
        <f>"1551599395828374"</f>
        <v>1551599395828374</v>
      </c>
      <c r="C7356" t="s">
        <v>40</v>
      </c>
      <c r="D7356">
        <v>6.0328390000000001</v>
      </c>
      <c r="E7356">
        <v>0.47539670000000001</v>
      </c>
      <c r="F7356" t="s">
        <v>42</v>
      </c>
      <c r="G7356">
        <v>-292.47460000000001</v>
      </c>
      <c r="H7356">
        <v>1.0004930000000001</v>
      </c>
      <c r="I7356">
        <v>-61.475009999999997</v>
      </c>
      <c r="J7356">
        <v>-293.26609999999999</v>
      </c>
      <c r="K7356">
        <v>1.1290480000000001</v>
      </c>
      <c r="L7356">
        <v>-61.486150000000002</v>
      </c>
      <c r="M7356">
        <v>0.85644629999999999</v>
      </c>
      <c r="N7356">
        <v>-1.236666E-2</v>
      </c>
      <c r="O7356">
        <v>-0.51608809999999905</v>
      </c>
      <c r="P7356">
        <v>0.98028219999999999</v>
      </c>
      <c r="Q7356">
        <v>-0.1242216</v>
      </c>
      <c r="R7356">
        <v>-0.15367510000000001</v>
      </c>
      <c r="S7356">
        <v>2.9700929999999999</v>
      </c>
      <c r="T7356">
        <v>-0.38626749999999999</v>
      </c>
      <c r="U7356">
        <v>-0.27664179999999999</v>
      </c>
      <c r="V7356">
        <v>-0.3718571</v>
      </c>
      <c r="W7356">
        <v>-0.1207363</v>
      </c>
      <c r="X7356">
        <v>0.92040489999999997</v>
      </c>
      <c r="Y7356">
        <v>-0.42747770000000002</v>
      </c>
      <c r="Z7356">
        <v>8.7370669999999998E-2</v>
      </c>
      <c r="AA7356">
        <v>0.89979399999999998</v>
      </c>
      <c r="AB7356">
        <v>22</v>
      </c>
      <c r="AC7356">
        <v>0.79149999999998499</v>
      </c>
      <c r="AD7356">
        <v>-0.128554999999999</v>
      </c>
      <c r="AE7356">
        <v>1.11400000000045E-2</v>
      </c>
      <c r="AF7356">
        <v>-0.40731364691192801</v>
      </c>
      <c r="AG7356">
        <v>-0.128554999999999</v>
      </c>
      <c r="AH7356">
        <v>0.65490632473583898</v>
      </c>
      <c r="AI7356">
        <v>99.463441097579604</v>
      </c>
      <c r="AJ7356">
        <v>121.87920948014499</v>
      </c>
      <c r="AK7356">
        <v>0.78187792472015705</v>
      </c>
      <c r="AL7356">
        <v>96.934597959456397</v>
      </c>
      <c r="AM7356">
        <v>111.999431776267</v>
      </c>
      <c r="AN7356">
        <v>1.0000000684510499</v>
      </c>
    </row>
    <row r="7357" spans="1:40" x14ac:dyDescent="0.25">
      <c r="A7357" t="str">
        <f>"20190303154955853"</f>
        <v>20190303154955853</v>
      </c>
      <c r="B7357" t="str">
        <f>"1551599395847893"</f>
        <v>1551599395847893</v>
      </c>
      <c r="C7357" t="s">
        <v>40</v>
      </c>
      <c r="D7357">
        <v>6.0053020000000004</v>
      </c>
      <c r="E7357">
        <v>0.47687499999999999</v>
      </c>
      <c r="F7357" t="s">
        <v>64</v>
      </c>
      <c r="G7357">
        <v>-284.59879999999998</v>
      </c>
      <c r="H7357" s="1">
        <v>-5.8825360000000002E-6</v>
      </c>
      <c r="I7357">
        <v>-62.263919999999999</v>
      </c>
      <c r="J7357">
        <v>-293.06819999999999</v>
      </c>
      <c r="K7357">
        <v>1.129065</v>
      </c>
      <c r="L7357">
        <v>-61.586120000000001</v>
      </c>
      <c r="M7357">
        <v>0.86389669999999896</v>
      </c>
      <c r="N7357">
        <v>-1.2386909999999999E-2</v>
      </c>
      <c r="O7357">
        <v>-0.50351699999999999</v>
      </c>
      <c r="P7357">
        <v>0.98213240000000002</v>
      </c>
      <c r="Q7357">
        <v>-0.12435160000000001</v>
      </c>
      <c r="R7357">
        <v>-0.14125489999999999</v>
      </c>
      <c r="S7357">
        <v>2.9695429999999998</v>
      </c>
      <c r="T7357">
        <v>-0.3868337</v>
      </c>
      <c r="U7357">
        <v>-0.26647949999999998</v>
      </c>
      <c r="V7357">
        <v>-0.37004369999999998</v>
      </c>
      <c r="W7357">
        <v>-0.1208148</v>
      </c>
      <c r="X7357">
        <v>0.92112510000000003</v>
      </c>
      <c r="Y7357">
        <v>-0.4174447</v>
      </c>
      <c r="Z7357">
        <v>8.5600109999999993E-2</v>
      </c>
      <c r="AA7357">
        <v>0.90466159999999995</v>
      </c>
      <c r="AB7357">
        <v>22</v>
      </c>
      <c r="AC7357">
        <v>8.4694000000000091</v>
      </c>
      <c r="AD7357">
        <v>-1.1290708825360001</v>
      </c>
      <c r="AE7357">
        <v>-0.67780000000000395</v>
      </c>
      <c r="AF7357">
        <v>-3.61537571287161</v>
      </c>
      <c r="AG7357">
        <v>-1.1290708825360001</v>
      </c>
      <c r="AH7357">
        <v>7.5256617427988699</v>
      </c>
      <c r="AI7357">
        <v>97.701589956292395</v>
      </c>
      <c r="AJ7357">
        <v>115.65992538638601</v>
      </c>
      <c r="AK7357">
        <v>8.4250416776440407</v>
      </c>
      <c r="AL7357">
        <v>96.939129302234207</v>
      </c>
      <c r="AM7357">
        <v>111.88681430144401</v>
      </c>
      <c r="AN7357">
        <v>1.0000000028293701</v>
      </c>
    </row>
    <row r="7358" spans="1:40" x14ac:dyDescent="0.25">
      <c r="A7358" t="str">
        <f>"20190303154955876"</f>
        <v>20190303154955876</v>
      </c>
      <c r="B7358" t="str">
        <f>"1551599395868389"</f>
        <v>1551599395868389</v>
      </c>
      <c r="C7358" t="s">
        <v>40</v>
      </c>
      <c r="D7358">
        <v>6.0056219999999998</v>
      </c>
      <c r="E7358">
        <v>0.47835309999999998</v>
      </c>
      <c r="F7358" t="s">
        <v>64</v>
      </c>
      <c r="G7358">
        <v>-284.36759999999998</v>
      </c>
      <c r="H7358" s="1">
        <v>-5.9854589999999899E-6</v>
      </c>
      <c r="I7358">
        <v>-62.290860000000002</v>
      </c>
      <c r="J7358">
        <v>-292.87049999999999</v>
      </c>
      <c r="K7358">
        <v>1.1290739999999999</v>
      </c>
      <c r="L7358">
        <v>-61.682369999999999</v>
      </c>
      <c r="M7358">
        <v>0.87110140000000003</v>
      </c>
      <c r="N7358">
        <v>-1.240466E-2</v>
      </c>
      <c r="O7358">
        <v>-0.4909462</v>
      </c>
      <c r="P7358">
        <v>0.98348869999999999</v>
      </c>
      <c r="Q7358">
        <v>-0.12546189999999999</v>
      </c>
      <c r="R7358">
        <v>-0.13041939999999999</v>
      </c>
      <c r="S7358">
        <v>2.9711609999999999</v>
      </c>
      <c r="T7358">
        <v>-0.3855674</v>
      </c>
      <c r="U7358">
        <v>-0.2406616</v>
      </c>
      <c r="V7358">
        <v>-0.36675859999999999</v>
      </c>
      <c r="W7358">
        <v>-0.121836</v>
      </c>
      <c r="X7358">
        <v>0.92230369999999995</v>
      </c>
      <c r="Y7358">
        <v>-0.4123116</v>
      </c>
      <c r="Z7358">
        <v>8.3719260000000004E-2</v>
      </c>
      <c r="AA7358">
        <v>0.90718810000000005</v>
      </c>
      <c r="AB7358">
        <v>22</v>
      </c>
      <c r="AC7358">
        <v>8.5029000000000092</v>
      </c>
      <c r="AD7358">
        <v>-1.1290799854589999</v>
      </c>
      <c r="AE7358">
        <v>-0.60848999999999598</v>
      </c>
      <c r="AF7358">
        <v>-3.5818554588190099</v>
      </c>
      <c r="AG7358">
        <v>-1.1290799854589999</v>
      </c>
      <c r="AH7358">
        <v>7.5733607235387597</v>
      </c>
      <c r="AI7358">
        <v>97.675642122729599</v>
      </c>
      <c r="AJ7358">
        <v>115.3120214856</v>
      </c>
      <c r="AK7358">
        <v>8.4534195915188803</v>
      </c>
      <c r="AL7358">
        <v>96.998075232479295</v>
      </c>
      <c r="AM7358">
        <v>111.685485352771</v>
      </c>
      <c r="AN7358">
        <v>0.99999999830182396</v>
      </c>
    </row>
    <row r="7359" spans="1:40" x14ac:dyDescent="0.25">
      <c r="A7359" t="str">
        <f>"20190303154955888"</f>
        <v>20190303154955888</v>
      </c>
      <c r="B7359" t="str">
        <f>"1551599395878150"</f>
        <v>1551599395878150</v>
      </c>
      <c r="C7359" t="s">
        <v>40</v>
      </c>
      <c r="D7359">
        <v>6.0881369999999997</v>
      </c>
      <c r="E7359">
        <v>0.47886669999999998</v>
      </c>
      <c r="F7359" t="s">
        <v>64</v>
      </c>
      <c r="G7359">
        <v>-284.2022</v>
      </c>
      <c r="H7359" s="1">
        <v>-6.0567939999999996E-6</v>
      </c>
      <c r="I7359">
        <v>-62.323009999999996</v>
      </c>
      <c r="J7359">
        <v>-292.75619999999998</v>
      </c>
      <c r="K7359">
        <v>1.1290739999999999</v>
      </c>
      <c r="L7359">
        <v>-61.736359999999998</v>
      </c>
      <c r="M7359">
        <v>0.87516499999999997</v>
      </c>
      <c r="N7359">
        <v>-1.2413850000000001E-2</v>
      </c>
      <c r="O7359">
        <v>-0.48366550000000003</v>
      </c>
      <c r="P7359">
        <v>0.98416709999999996</v>
      </c>
      <c r="Q7359">
        <v>-0.12609239999999999</v>
      </c>
      <c r="R7359">
        <v>-0.1245641</v>
      </c>
      <c r="S7359">
        <v>2.9718930000000001</v>
      </c>
      <c r="T7359">
        <v>-0.38709840000000001</v>
      </c>
      <c r="U7359">
        <v>-0.219635</v>
      </c>
      <c r="V7359">
        <v>-0.364506</v>
      </c>
      <c r="W7359">
        <v>-0.1224056</v>
      </c>
      <c r="X7359">
        <v>0.92312090000000002</v>
      </c>
      <c r="Y7359">
        <v>-0.4111243</v>
      </c>
      <c r="Z7359">
        <v>8.3277299999999999E-2</v>
      </c>
      <c r="AA7359">
        <v>0.9077674</v>
      </c>
      <c r="AB7359">
        <v>22</v>
      </c>
      <c r="AC7359">
        <v>8.5539999999999701</v>
      </c>
      <c r="AD7359">
        <v>-1.12908005679399</v>
      </c>
      <c r="AE7359">
        <v>-0.58664999999999801</v>
      </c>
      <c r="AF7359">
        <v>-3.5623632507957002</v>
      </c>
      <c r="AG7359">
        <v>-1.12908005679399</v>
      </c>
      <c r="AH7359">
        <v>7.6380506539877997</v>
      </c>
      <c r="AI7359">
        <v>97.630403523522205</v>
      </c>
      <c r="AJ7359">
        <v>115.004200430808</v>
      </c>
      <c r="AK7359">
        <v>8.5032388828112495</v>
      </c>
      <c r="AL7359">
        <v>97.030957182423904</v>
      </c>
      <c r="AM7359">
        <v>111.547214044829</v>
      </c>
      <c r="AN7359">
        <v>0.99999997548208397</v>
      </c>
    </row>
    <row r="7360" spans="1:40" x14ac:dyDescent="0.25">
      <c r="A7360" t="str">
        <f>"20190303154955901"</f>
        <v>20190303154955901</v>
      </c>
      <c r="B7360" t="str">
        <f>"1551599395898646"</f>
        <v>1551599395898646</v>
      </c>
      <c r="C7360" t="s">
        <v>40</v>
      </c>
      <c r="D7360">
        <v>6.0986669999999998</v>
      </c>
      <c r="E7360">
        <v>0.47940549999999998</v>
      </c>
      <c r="F7360" t="s">
        <v>64</v>
      </c>
      <c r="G7360">
        <v>-284.14389999999997</v>
      </c>
      <c r="H7360" s="1">
        <v>-6.0821499999999999E-6</v>
      </c>
      <c r="I7360">
        <v>-62.333150000000003</v>
      </c>
      <c r="J7360">
        <v>-292.64420000000001</v>
      </c>
      <c r="K7360">
        <v>1.1290800000000001</v>
      </c>
      <c r="L7360">
        <v>-61.788510000000002</v>
      </c>
      <c r="M7360">
        <v>0.87907469999999999</v>
      </c>
      <c r="N7360">
        <v>-1.242235E-2</v>
      </c>
      <c r="O7360">
        <v>-0.47652220000000001</v>
      </c>
      <c r="P7360">
        <v>0.98479430000000001</v>
      </c>
      <c r="Q7360">
        <v>-0.12696640000000001</v>
      </c>
      <c r="R7360">
        <v>-0.1185739</v>
      </c>
      <c r="S7360">
        <v>2.9722599999999999</v>
      </c>
      <c r="T7360">
        <v>-0.3896638</v>
      </c>
      <c r="U7360">
        <v>-0.20596310000000001</v>
      </c>
      <c r="V7360">
        <v>-0.36253449999999998</v>
      </c>
      <c r="W7360">
        <v>-0.1232268</v>
      </c>
      <c r="X7360">
        <v>0.92378780000000005</v>
      </c>
      <c r="Y7360">
        <v>-0.40785529999999998</v>
      </c>
      <c r="Z7360">
        <v>8.2908480000000007E-2</v>
      </c>
      <c r="AA7360">
        <v>0.90927460000000004</v>
      </c>
      <c r="AB7360">
        <v>22</v>
      </c>
      <c r="AC7360">
        <v>8.5003000000000295</v>
      </c>
      <c r="AD7360">
        <v>-1.1290860821499999</v>
      </c>
      <c r="AE7360">
        <v>-0.54464000000000801</v>
      </c>
      <c r="AF7360">
        <v>-3.5103953905641201</v>
      </c>
      <c r="AG7360">
        <v>-1.1290860821499999</v>
      </c>
      <c r="AH7360">
        <v>7.5990030664798001</v>
      </c>
      <c r="AI7360">
        <v>97.682053392750106</v>
      </c>
      <c r="AJ7360">
        <v>114.794799393068</v>
      </c>
      <c r="AK7360">
        <v>8.4464524377615504</v>
      </c>
      <c r="AL7360">
        <v>97.078367200730099</v>
      </c>
      <c r="AM7360">
        <v>111.427201235304</v>
      </c>
      <c r="AN7360">
        <v>1.00000000367866</v>
      </c>
    </row>
    <row r="7361" spans="1:40" x14ac:dyDescent="0.25">
      <c r="A7361" t="str">
        <f>"20190303154955912"</f>
        <v>20190303154955912</v>
      </c>
      <c r="B7361" t="str">
        <f>"1551599395908406"</f>
        <v>1551599395908406</v>
      </c>
      <c r="C7361" t="s">
        <v>40</v>
      </c>
      <c r="D7361">
        <v>5.995323</v>
      </c>
      <c r="E7361">
        <v>0.50759979999999905</v>
      </c>
      <c r="F7361" t="s">
        <v>64</v>
      </c>
      <c r="G7361">
        <v>-284.09890000000001</v>
      </c>
      <c r="H7361" s="1">
        <v>-6.1017289999999997E-6</v>
      </c>
      <c r="I7361">
        <v>-62.340870000000002</v>
      </c>
      <c r="J7361">
        <v>-292.54129999999998</v>
      </c>
      <c r="K7361">
        <v>1.129089</v>
      </c>
      <c r="L7361">
        <v>-61.834870000000002</v>
      </c>
      <c r="M7361">
        <v>0.88259859999999901</v>
      </c>
      <c r="N7361">
        <v>-1.242936E-2</v>
      </c>
      <c r="O7361">
        <v>-0.46996329999999997</v>
      </c>
      <c r="P7361">
        <v>0.98531939999999996</v>
      </c>
      <c r="Q7361">
        <v>-0.12726750000000001</v>
      </c>
      <c r="R7361">
        <v>-0.1137942</v>
      </c>
      <c r="S7361">
        <v>2.972534</v>
      </c>
      <c r="T7361">
        <v>-0.39275840000000001</v>
      </c>
      <c r="U7361">
        <v>-0.1921387</v>
      </c>
      <c r="V7361">
        <v>-0.36011530000000003</v>
      </c>
      <c r="W7361">
        <v>-0.123463</v>
      </c>
      <c r="X7361">
        <v>0.92470200000000002</v>
      </c>
      <c r="Y7361">
        <v>-0.40523680000000001</v>
      </c>
      <c r="Z7361">
        <v>8.2746E-2</v>
      </c>
      <c r="AA7361">
        <v>0.91045929999999997</v>
      </c>
      <c r="AB7361">
        <v>22</v>
      </c>
      <c r="AC7361">
        <v>8.4423999999999602</v>
      </c>
      <c r="AD7361">
        <v>-1.1290951017290001</v>
      </c>
      <c r="AE7361">
        <v>-0.50600000000000001</v>
      </c>
      <c r="AF7361">
        <v>-3.4596349806279401</v>
      </c>
      <c r="AG7361">
        <v>-1.1290951017290001</v>
      </c>
      <c r="AH7361">
        <v>7.5549948671928799</v>
      </c>
      <c r="AI7361">
        <v>97.738003987269096</v>
      </c>
      <c r="AJ7361">
        <v>114.60431504658099</v>
      </c>
      <c r="AK7361">
        <v>8.3858140565626496</v>
      </c>
      <c r="AL7361">
        <v>97.092004874950504</v>
      </c>
      <c r="AM7361">
        <v>111.277893838919</v>
      </c>
      <c r="AN7361">
        <v>0.99999996523354395</v>
      </c>
    </row>
    <row r="7362" spans="1:40" x14ac:dyDescent="0.25">
      <c r="A7362" t="str">
        <f>"20190303154955924"</f>
        <v>20190303154955924</v>
      </c>
      <c r="B7362" t="str">
        <f>"1551599395918165"</f>
        <v>1551599395918165</v>
      </c>
      <c r="C7362" t="s">
        <v>40</v>
      </c>
      <c r="D7362">
        <v>6.0007299999999999</v>
      </c>
      <c r="E7362">
        <v>0.50748720000000003</v>
      </c>
      <c r="F7362" t="s">
        <v>64</v>
      </c>
      <c r="G7362">
        <v>-283.3526</v>
      </c>
      <c r="H7362" s="1">
        <v>-6.2832479999999999E-6</v>
      </c>
      <c r="I7362">
        <v>-63.087589999999999</v>
      </c>
      <c r="J7362">
        <v>-292.44459999999998</v>
      </c>
      <c r="K7362">
        <v>1.1290899999999999</v>
      </c>
      <c r="L7362">
        <v>-61.878050000000002</v>
      </c>
      <c r="M7362">
        <v>0.8858568</v>
      </c>
      <c r="N7362">
        <v>-1.2435710000000001E-2</v>
      </c>
      <c r="O7362">
        <v>-0.46379229999999999</v>
      </c>
      <c r="P7362">
        <v>0.98591510000000004</v>
      </c>
      <c r="Q7362">
        <v>-0.12675739999999999</v>
      </c>
      <c r="R7362">
        <v>-0.1091049</v>
      </c>
      <c r="S7362">
        <v>2.951416</v>
      </c>
      <c r="T7362">
        <v>-0.36266670000000001</v>
      </c>
      <c r="U7362">
        <v>-0.40237430000000002</v>
      </c>
      <c r="V7362">
        <v>-0.3581048</v>
      </c>
      <c r="W7362">
        <v>-0.1228974</v>
      </c>
      <c r="X7362">
        <v>0.92555779999999999</v>
      </c>
      <c r="Y7362">
        <v>-0.33472020000000002</v>
      </c>
      <c r="Z7362">
        <v>7.0921579999999998E-2</v>
      </c>
      <c r="AA7362">
        <v>0.93964490000000001</v>
      </c>
      <c r="AB7362">
        <v>22</v>
      </c>
      <c r="AC7362">
        <v>9.0919999999999792</v>
      </c>
      <c r="AD7362">
        <v>-1.1290962832479901</v>
      </c>
      <c r="AE7362">
        <v>-1.2095400000000001</v>
      </c>
      <c r="AF7362">
        <v>-3.09860729118419</v>
      </c>
      <c r="AG7362">
        <v>-1.1290962832479901</v>
      </c>
      <c r="AH7362">
        <v>8.4872360040033694</v>
      </c>
      <c r="AI7362">
        <v>97.123132803934098</v>
      </c>
      <c r="AJ7362">
        <v>110.056646099774</v>
      </c>
      <c r="AK7362">
        <v>9.1054599306940691</v>
      </c>
      <c r="AL7362">
        <v>97.059349229997494</v>
      </c>
      <c r="AM7362">
        <v>111.151803365826</v>
      </c>
      <c r="AN7362">
        <v>1.00000002992531</v>
      </c>
    </row>
    <row r="7363" spans="1:40" x14ac:dyDescent="0.25">
      <c r="A7363" t="str">
        <f>"20190303154955933"</f>
        <v>20190303154955933</v>
      </c>
      <c r="B7363" t="str">
        <f>"1551599395927925"</f>
        <v>1551599395927925</v>
      </c>
      <c r="C7363" t="s">
        <v>40</v>
      </c>
      <c r="D7363">
        <v>6.033741</v>
      </c>
      <c r="E7363">
        <v>0.50760899999999998</v>
      </c>
      <c r="F7363" t="s">
        <v>64</v>
      </c>
      <c r="G7363">
        <v>-283.28280000000001</v>
      </c>
      <c r="H7363" s="1">
        <v>-6.3075080000000004E-6</v>
      </c>
      <c r="I7363">
        <v>-63.079540000000001</v>
      </c>
      <c r="J7363">
        <v>-292.34440000000001</v>
      </c>
      <c r="K7363">
        <v>1.1290979999999999</v>
      </c>
      <c r="L7363">
        <v>-61.92163</v>
      </c>
      <c r="M7363">
        <v>0.88917639999999998</v>
      </c>
      <c r="N7363">
        <v>-1.2441799999999999E-2</v>
      </c>
      <c r="O7363">
        <v>-0.45739590000000002</v>
      </c>
      <c r="P7363">
        <v>0.98657329999999999</v>
      </c>
      <c r="Q7363">
        <v>-0.12590029999999999</v>
      </c>
      <c r="R7363">
        <v>-0.10403279999999999</v>
      </c>
      <c r="S7363">
        <v>2.9532780000000001</v>
      </c>
      <c r="T7363">
        <v>-0.36396040000000002</v>
      </c>
      <c r="U7363">
        <v>-0.38729859999999999</v>
      </c>
      <c r="V7363">
        <v>-0.35626459999999999</v>
      </c>
      <c r="W7363">
        <v>-0.12198879999999999</v>
      </c>
      <c r="X7363">
        <v>0.92638779999999998</v>
      </c>
      <c r="Y7363">
        <v>-0.3327388</v>
      </c>
      <c r="Z7363">
        <v>7.0437840000000002E-2</v>
      </c>
      <c r="AA7363">
        <v>0.94038469999999996</v>
      </c>
      <c r="AB7363">
        <v>22</v>
      </c>
      <c r="AC7363">
        <v>9.0616000000000003</v>
      </c>
      <c r="AD7363">
        <v>-1.1291043075079901</v>
      </c>
      <c r="AE7363">
        <v>-1.15790999999999</v>
      </c>
      <c r="AF7363">
        <v>-3.0685165892386399</v>
      </c>
      <c r="AG7363">
        <v>-1.1291043075079901</v>
      </c>
      <c r="AH7363">
        <v>8.4584314296110801</v>
      </c>
      <c r="AI7363">
        <v>97.152452299539505</v>
      </c>
      <c r="AJ7363">
        <v>109.939560399732</v>
      </c>
      <c r="AK7363">
        <v>9.0683919657841408</v>
      </c>
      <c r="AL7363">
        <v>97.006895497921306</v>
      </c>
      <c r="AM7363">
        <v>111.0354420657</v>
      </c>
      <c r="AN7363">
        <v>1.00000004426371</v>
      </c>
    </row>
    <row r="7364" spans="1:40" x14ac:dyDescent="0.25">
      <c r="A7364" t="str">
        <f>"20190303154955945"</f>
        <v>20190303154955945</v>
      </c>
      <c r="B7364" t="str">
        <f>"1551599395938662"</f>
        <v>1551599395938662</v>
      </c>
      <c r="C7364" t="s">
        <v>40</v>
      </c>
      <c r="D7364">
        <v>6.0534249999999998</v>
      </c>
      <c r="E7364">
        <v>0.50791560000000002</v>
      </c>
      <c r="F7364" t="s">
        <v>64</v>
      </c>
      <c r="G7364">
        <v>-283.0403</v>
      </c>
      <c r="H7364" s="1">
        <v>-6.3867750000000004E-6</v>
      </c>
      <c r="I7364">
        <v>-63.09639</v>
      </c>
      <c r="J7364">
        <v>-292.24889999999999</v>
      </c>
      <c r="K7364">
        <v>1.129108</v>
      </c>
      <c r="L7364">
        <v>-61.962519999999998</v>
      </c>
      <c r="M7364">
        <v>0.892285199999999</v>
      </c>
      <c r="N7364">
        <v>-1.2447990000000001E-2</v>
      </c>
      <c r="O7364">
        <v>-0.4513008</v>
      </c>
      <c r="P7364">
        <v>0.98713580000000001</v>
      </c>
      <c r="Q7364">
        <v>-0.12510189999999999</v>
      </c>
      <c r="R7364">
        <v>-9.9561990000000003E-2</v>
      </c>
      <c r="S7364">
        <v>2.9557190000000002</v>
      </c>
      <c r="T7364">
        <v>-0.35869529999999999</v>
      </c>
      <c r="U7364">
        <v>-0.37319950000000002</v>
      </c>
      <c r="V7364">
        <v>-0.3541879</v>
      </c>
      <c r="W7364">
        <v>-0.12113260000000001</v>
      </c>
      <c r="X7364">
        <v>0.92729600000000001</v>
      </c>
      <c r="Y7364">
        <v>-0.33100689999999999</v>
      </c>
      <c r="Z7364">
        <v>6.8659120000000004E-2</v>
      </c>
      <c r="AA7364">
        <v>0.94112720000000005</v>
      </c>
      <c r="AB7364">
        <v>22</v>
      </c>
      <c r="AC7364">
        <v>9.2085999999999899</v>
      </c>
      <c r="AD7364">
        <v>-1.129114386775</v>
      </c>
      <c r="AE7364">
        <v>-1.1338699999999999</v>
      </c>
      <c r="AF7364">
        <v>-3.0984682111117801</v>
      </c>
      <c r="AG7364">
        <v>-1.129114386775</v>
      </c>
      <c r="AH7364">
        <v>8.6016984772179192</v>
      </c>
      <c r="AI7364">
        <v>97.040291753379705</v>
      </c>
      <c r="AJ7364">
        <v>109.80982447237901</v>
      </c>
      <c r="AK7364">
        <v>9.2121995878652996</v>
      </c>
      <c r="AL7364">
        <v>96.957472475390603</v>
      </c>
      <c r="AM7364">
        <v>110.904744715249</v>
      </c>
      <c r="AN7364">
        <v>1.0000000234525801</v>
      </c>
    </row>
    <row r="7365" spans="1:40" x14ac:dyDescent="0.25">
      <c r="A7365" t="str">
        <f>"20190303154955956"</f>
        <v>20190303154955956</v>
      </c>
      <c r="B7365" t="str">
        <f>"1551599395948421"</f>
        <v>1551599395948421</v>
      </c>
      <c r="C7365" t="s">
        <v>40</v>
      </c>
      <c r="D7365">
        <v>6.0558059999999996</v>
      </c>
      <c r="E7365">
        <v>0.50824749999999996</v>
      </c>
      <c r="F7365" t="s">
        <v>64</v>
      </c>
      <c r="G7365">
        <v>-282.8938</v>
      </c>
      <c r="H7365" s="1">
        <v>-6.434461E-6</v>
      </c>
      <c r="I7365">
        <v>-63.108510000000003</v>
      </c>
      <c r="J7365">
        <v>-292.1422</v>
      </c>
      <c r="K7365">
        <v>1.1291199999999999</v>
      </c>
      <c r="L7365">
        <v>-62.007319999999901</v>
      </c>
      <c r="M7365">
        <v>0.89570110000000003</v>
      </c>
      <c r="N7365">
        <v>-1.2455559999999999E-2</v>
      </c>
      <c r="O7365">
        <v>-0.4444825</v>
      </c>
      <c r="P7365">
        <v>0.98773789999999995</v>
      </c>
      <c r="Q7365">
        <v>-0.12457799999999999</v>
      </c>
      <c r="R7365">
        <v>-9.4097269999999997E-2</v>
      </c>
      <c r="S7365">
        <v>2.9573670000000001</v>
      </c>
      <c r="T7365">
        <v>-0.35693900000000001</v>
      </c>
      <c r="U7365">
        <v>-0.36227419999999999</v>
      </c>
      <c r="V7365">
        <v>-0.35228999999999999</v>
      </c>
      <c r="W7365">
        <v>-0.120555</v>
      </c>
      <c r="X7365">
        <v>0.92809390000000003</v>
      </c>
      <c r="Y7365">
        <v>-0.327418599999999</v>
      </c>
      <c r="Z7365">
        <v>6.7415569999999994E-2</v>
      </c>
      <c r="AA7365">
        <v>0.94247130000000001</v>
      </c>
      <c r="AB7365">
        <v>22</v>
      </c>
      <c r="AC7365">
        <v>9.2484000000000002</v>
      </c>
      <c r="AD7365">
        <v>-1.1291264344609999</v>
      </c>
      <c r="AE7365">
        <v>-1.1011899999999999</v>
      </c>
      <c r="AF7365">
        <v>-3.0793978997851799</v>
      </c>
      <c r="AG7365">
        <v>-1.1291264344609999</v>
      </c>
      <c r="AH7365">
        <v>8.6468554882561897</v>
      </c>
      <c r="AI7365">
        <v>97.012966506896504</v>
      </c>
      <c r="AJ7365">
        <v>109.60230020636401</v>
      </c>
      <c r="AK7365">
        <v>9.2480120980125307</v>
      </c>
      <c r="AL7365">
        <v>96.924134140737394</v>
      </c>
      <c r="AM7365">
        <v>110.785982446901</v>
      </c>
      <c r="AN7365">
        <v>1.0000000196711001</v>
      </c>
    </row>
    <row r="7366" spans="1:40" x14ac:dyDescent="0.25">
      <c r="A7366" t="str">
        <f>"20190303154955967"</f>
        <v>20190303154955967</v>
      </c>
      <c r="B7366" t="str">
        <f>"1551599395958182"</f>
        <v>1551599395958182</v>
      </c>
      <c r="C7366" t="s">
        <v>40</v>
      </c>
      <c r="D7366">
        <v>6.0436329999999998</v>
      </c>
      <c r="E7366">
        <v>0.50890619999999998</v>
      </c>
      <c r="F7366" t="s">
        <v>64</v>
      </c>
      <c r="G7366">
        <v>-282.71420000000001</v>
      </c>
      <c r="H7366" s="1">
        <v>-6.4935389999999998E-6</v>
      </c>
      <c r="I7366">
        <v>-63.117829999999998</v>
      </c>
      <c r="J7366">
        <v>-292.04680000000002</v>
      </c>
      <c r="K7366">
        <v>1.1291230000000001</v>
      </c>
      <c r="L7366">
        <v>-62.046480000000003</v>
      </c>
      <c r="M7366">
        <v>0.89870110000000003</v>
      </c>
      <c r="N7366">
        <v>-1.246323E-2</v>
      </c>
      <c r="O7366">
        <v>-0.43838490000000002</v>
      </c>
      <c r="P7366">
        <v>0.98820410000000003</v>
      </c>
      <c r="Q7366">
        <v>-0.1241617</v>
      </c>
      <c r="R7366">
        <v>-8.964743E-2</v>
      </c>
      <c r="S7366">
        <v>2.95932</v>
      </c>
      <c r="T7366">
        <v>-0.3544157</v>
      </c>
      <c r="U7366">
        <v>-0.34857179999999999</v>
      </c>
      <c r="V7366">
        <v>-0.35019660000000002</v>
      </c>
      <c r="W7366">
        <v>-0.1200789</v>
      </c>
      <c r="X7366">
        <v>0.92894739999999998</v>
      </c>
      <c r="Y7366">
        <v>-0.32549790000000001</v>
      </c>
      <c r="Z7366">
        <v>6.6204429999999995E-2</v>
      </c>
      <c r="AA7366">
        <v>0.94322220000000001</v>
      </c>
      <c r="AB7366">
        <v>22</v>
      </c>
      <c r="AC7366">
        <v>9.33260000000001</v>
      </c>
      <c r="AD7366">
        <v>-1.1291294935389999</v>
      </c>
      <c r="AE7366">
        <v>-1.07135</v>
      </c>
      <c r="AF7366">
        <v>-3.08413163103772</v>
      </c>
      <c r="AG7366">
        <v>-1.1291294935389999</v>
      </c>
      <c r="AH7366">
        <v>8.7314198452005893</v>
      </c>
      <c r="AI7366">
        <v>96.952032545869599</v>
      </c>
      <c r="AJ7366">
        <v>109.45435325547</v>
      </c>
      <c r="AK7366">
        <v>9.3286919685403706</v>
      </c>
      <c r="AL7366">
        <v>96.896656583216895</v>
      </c>
      <c r="AM7366">
        <v>110.65554811338301</v>
      </c>
      <c r="AN7366">
        <v>0.99999993642176199</v>
      </c>
    </row>
    <row r="7367" spans="1:40" x14ac:dyDescent="0.25">
      <c r="A7367" t="str">
        <f>"20190303154955978"</f>
        <v>20190303154955978</v>
      </c>
      <c r="B7367" t="str">
        <f>"1551599395967942"</f>
        <v>1551599395967942</v>
      </c>
      <c r="C7367" t="s">
        <v>40</v>
      </c>
      <c r="D7367">
        <v>6.0419530000000004</v>
      </c>
      <c r="E7367">
        <v>0.50939679999999998</v>
      </c>
      <c r="F7367" t="s">
        <v>64</v>
      </c>
      <c r="G7367">
        <v>-282.55970000000002</v>
      </c>
      <c r="H7367" s="1">
        <v>-6.5430620000000003E-6</v>
      </c>
      <c r="I7367">
        <v>-63.137419999999999</v>
      </c>
      <c r="J7367">
        <v>-291.93799999999999</v>
      </c>
      <c r="K7367">
        <v>1.1291260000000001</v>
      </c>
      <c r="L7367">
        <v>-62.090479999999999</v>
      </c>
      <c r="M7367">
        <v>0.90206010000000003</v>
      </c>
      <c r="N7367">
        <v>-1.2472499999999999E-2</v>
      </c>
      <c r="O7367">
        <v>-0.43143019999999999</v>
      </c>
      <c r="P7367">
        <v>0.98865650000000005</v>
      </c>
      <c r="Q7367">
        <v>-0.1242053</v>
      </c>
      <c r="R7367">
        <v>-8.4447919999999996E-2</v>
      </c>
      <c r="S7367">
        <v>2.9606629999999998</v>
      </c>
      <c r="T7367">
        <v>-0.35237099999999999</v>
      </c>
      <c r="U7367">
        <v>-0.34045409999999998</v>
      </c>
      <c r="V7367">
        <v>-0.34790779999999999</v>
      </c>
      <c r="W7367">
        <v>-0.1200571</v>
      </c>
      <c r="X7367">
        <v>0.92980989999999997</v>
      </c>
      <c r="Y7367">
        <v>-0.32092680000000001</v>
      </c>
      <c r="Z7367">
        <v>6.4841850000000006E-2</v>
      </c>
      <c r="AA7367">
        <v>0.94488179999999999</v>
      </c>
      <c r="AB7367">
        <v>23</v>
      </c>
      <c r="AC7367">
        <v>9.3782999999999603</v>
      </c>
      <c r="AD7367">
        <v>-1.1291325430620001</v>
      </c>
      <c r="AE7367">
        <v>-1.04693999999999</v>
      </c>
      <c r="AF7367">
        <v>-3.0581359019134302</v>
      </c>
      <c r="AG7367">
        <v>-1.1291325430620001</v>
      </c>
      <c r="AH7367">
        <v>8.7863674397506202</v>
      </c>
      <c r="AI7367">
        <v>96.920045421063094</v>
      </c>
      <c r="AJ7367">
        <v>109.190688704761</v>
      </c>
      <c r="AK7367">
        <v>9.3716267681061307</v>
      </c>
      <c r="AL7367">
        <v>96.895398011108895</v>
      </c>
      <c r="AM7367">
        <v>110.514386205364</v>
      </c>
      <c r="AN7367">
        <v>0.99999999734962997</v>
      </c>
    </row>
    <row r="7368" spans="1:40" x14ac:dyDescent="0.25">
      <c r="A7368" t="str">
        <f>"20190303154955991"</f>
        <v>20190303154955991</v>
      </c>
      <c r="B7368" t="str">
        <f>"1551599395988438"</f>
        <v>1551599395988438</v>
      </c>
      <c r="C7368" t="s">
        <v>40</v>
      </c>
      <c r="D7368">
        <v>6.1136400000000002</v>
      </c>
      <c r="E7368">
        <v>0.50976299999999997</v>
      </c>
      <c r="F7368" t="s">
        <v>64</v>
      </c>
      <c r="G7368">
        <v>-282.42270000000002</v>
      </c>
      <c r="H7368" s="1">
        <v>-6.5878720000000001E-6</v>
      </c>
      <c r="I7368">
        <v>-63.146769999999997</v>
      </c>
      <c r="J7368">
        <v>-291.83120000000002</v>
      </c>
      <c r="K7368">
        <v>1.1291249999999999</v>
      </c>
      <c r="L7368">
        <v>-62.132289999999998</v>
      </c>
      <c r="M7368">
        <v>0.90528960000000003</v>
      </c>
      <c r="N7368">
        <v>-1.248379E-2</v>
      </c>
      <c r="O7368">
        <v>-0.42461179999999898</v>
      </c>
      <c r="P7368">
        <v>0.98902310000000004</v>
      </c>
      <c r="Q7368">
        <v>-0.1247838</v>
      </c>
      <c r="R7368">
        <v>-7.9136330000000005E-2</v>
      </c>
      <c r="S7368">
        <v>2.962189</v>
      </c>
      <c r="T7368">
        <v>-0.35150609999999999</v>
      </c>
      <c r="U7368">
        <v>-0.32882689999999998</v>
      </c>
      <c r="V7368">
        <v>-0.34584609999999999</v>
      </c>
      <c r="W7368">
        <v>-0.12057370000000001</v>
      </c>
      <c r="X7368">
        <v>0.93051200000000001</v>
      </c>
      <c r="Y7368">
        <v>-0.3175867</v>
      </c>
      <c r="Z7368">
        <v>6.3807649999999994E-2</v>
      </c>
      <c r="AA7368">
        <v>0.94607989999999997</v>
      </c>
      <c r="AB7368">
        <v>23</v>
      </c>
      <c r="AC7368">
        <v>9.4085000000000001</v>
      </c>
      <c r="AD7368">
        <v>-1.1291315878720001</v>
      </c>
      <c r="AE7368">
        <v>-1.0144799999999901</v>
      </c>
      <c r="AF7368">
        <v>-3.03361076919844</v>
      </c>
      <c r="AG7368">
        <v>-1.1291315878720001</v>
      </c>
      <c r="AH7368">
        <v>8.8232539799698007</v>
      </c>
      <c r="AI7368">
        <v>96.900323802872407</v>
      </c>
      <c r="AJ7368">
        <v>108.973992191885</v>
      </c>
      <c r="AK7368">
        <v>9.3982734178560694</v>
      </c>
      <c r="AL7368">
        <v>96.925213149628703</v>
      </c>
      <c r="AM7368">
        <v>110.38873642663501</v>
      </c>
      <c r="AN7368">
        <v>1.0000000620804399</v>
      </c>
    </row>
    <row r="7369" spans="1:40" x14ac:dyDescent="0.25">
      <c r="A7369" t="str">
        <f>"20190303154956003"</f>
        <v>20190303154956003</v>
      </c>
      <c r="B7369" t="str">
        <f>"1551599395998198"</f>
        <v>1551599395998198</v>
      </c>
      <c r="C7369" t="s">
        <v>40</v>
      </c>
      <c r="D7369">
        <v>6.1184510000000003</v>
      </c>
      <c r="E7369">
        <v>0.50732929999999998</v>
      </c>
      <c r="F7369" t="s">
        <v>64</v>
      </c>
      <c r="G7369">
        <v>-282.34390000000002</v>
      </c>
      <c r="H7369" s="1">
        <v>-6.6146400000000004E-6</v>
      </c>
      <c r="I7369">
        <v>-63.143149999999999</v>
      </c>
      <c r="J7369">
        <v>-291.72089999999997</v>
      </c>
      <c r="K7369">
        <v>1.1291230000000001</v>
      </c>
      <c r="L7369">
        <v>-62.174959999999999</v>
      </c>
      <c r="M7369">
        <v>0.90856349999999997</v>
      </c>
      <c r="N7369">
        <v>-1.249605E-2</v>
      </c>
      <c r="O7369">
        <v>-0.41756009999999999</v>
      </c>
      <c r="P7369">
        <v>0.98933899999999997</v>
      </c>
      <c r="Q7369">
        <v>-0.12547159999999999</v>
      </c>
      <c r="R7369">
        <v>-7.3927370000000006E-2</v>
      </c>
      <c r="S7369">
        <v>2.963562</v>
      </c>
      <c r="T7369">
        <v>-0.35271000000000002</v>
      </c>
      <c r="U7369">
        <v>-0.31576539999999997</v>
      </c>
      <c r="V7369">
        <v>-0.34346290000000002</v>
      </c>
      <c r="W7369">
        <v>-0.1211899</v>
      </c>
      <c r="X7369">
        <v>0.93131419999999998</v>
      </c>
      <c r="Y7369">
        <v>-0.31441580000000002</v>
      </c>
      <c r="Z7369">
        <v>6.315751E-2</v>
      </c>
      <c r="AA7369">
        <v>0.94718210000000003</v>
      </c>
      <c r="AB7369">
        <v>23</v>
      </c>
      <c r="AC7369">
        <v>9.3769999999999492</v>
      </c>
      <c r="AD7369">
        <v>-1.1291296146399901</v>
      </c>
      <c r="AE7369">
        <v>-0.96819</v>
      </c>
      <c r="AF7369">
        <v>-2.99309442139071</v>
      </c>
      <c r="AG7369">
        <v>-1.1291296146399901</v>
      </c>
      <c r="AH7369">
        <v>8.7983453942958008</v>
      </c>
      <c r="AI7369">
        <v>96.927281800389295</v>
      </c>
      <c r="AJ7369">
        <v>108.787705023996</v>
      </c>
      <c r="AK7369">
        <v>9.3618603695709606</v>
      </c>
      <c r="AL7369">
        <v>96.9607804222303</v>
      </c>
      <c r="AM7369">
        <v>110.24366145162</v>
      </c>
      <c r="AN7369">
        <v>0.99999994733002795</v>
      </c>
    </row>
    <row r="7370" spans="1:40" x14ac:dyDescent="0.25">
      <c r="A7370" t="str">
        <f>"20190303154956013"</f>
        <v>20190303154956013</v>
      </c>
      <c r="B7370" t="str">
        <f>"1551599396007958"</f>
        <v>1551599396007958</v>
      </c>
      <c r="C7370" t="s">
        <v>40</v>
      </c>
      <c r="D7370">
        <v>6.1277080000000002</v>
      </c>
      <c r="E7370">
        <v>0.50794229999999996</v>
      </c>
      <c r="F7370" t="s">
        <v>64</v>
      </c>
      <c r="G7370">
        <v>-283.80849999999998</v>
      </c>
      <c r="H7370" s="1">
        <v>-6.1339260000000001E-6</v>
      </c>
      <c r="I7370">
        <v>-62.920020000000001</v>
      </c>
      <c r="J7370">
        <v>-291.61410000000001</v>
      </c>
      <c r="K7370">
        <v>1.1291199999999999</v>
      </c>
      <c r="L7370">
        <v>-62.215029999999999</v>
      </c>
      <c r="M7370">
        <v>0.91166530000000001</v>
      </c>
      <c r="N7370">
        <v>-1.2509259999999999E-2</v>
      </c>
      <c r="O7370">
        <v>-0.41074290000000002</v>
      </c>
      <c r="P7370">
        <v>0.98950159999999998</v>
      </c>
      <c r="Q7370">
        <v>-0.1267596</v>
      </c>
      <c r="R7370">
        <v>-6.941804E-2</v>
      </c>
      <c r="S7370">
        <v>2.9579770000000001</v>
      </c>
      <c r="T7370">
        <v>-0.42211310000000002</v>
      </c>
      <c r="U7370">
        <v>-0.2785339</v>
      </c>
      <c r="V7370">
        <v>-0.34064139999999998</v>
      </c>
      <c r="W7370">
        <v>-0.12239319999999999</v>
      </c>
      <c r="X7370">
        <v>0.93219269999999999</v>
      </c>
      <c r="Y7370">
        <v>-0.31686520000000001</v>
      </c>
      <c r="Z7370">
        <v>7.5763230000000001E-2</v>
      </c>
      <c r="AA7370">
        <v>0.94543980000000005</v>
      </c>
      <c r="AB7370">
        <v>23</v>
      </c>
      <c r="AC7370">
        <v>7.8056000000000196</v>
      </c>
      <c r="AD7370">
        <v>-1.1291261339259999</v>
      </c>
      <c r="AE7370">
        <v>-0.70498999999998702</v>
      </c>
      <c r="AF7370">
        <v>-2.51145290714644</v>
      </c>
      <c r="AG7370">
        <v>-1.1291261339259999</v>
      </c>
      <c r="AH7370">
        <v>7.2556461216961496</v>
      </c>
      <c r="AI7370">
        <v>98.365940256262604</v>
      </c>
      <c r="AJ7370">
        <v>109.092667616265</v>
      </c>
      <c r="AK7370">
        <v>7.7605877467118001</v>
      </c>
      <c r="AL7370">
        <v>97.030241552061796</v>
      </c>
      <c r="AM7370">
        <v>110.07328969531601</v>
      </c>
      <c r="AN7370">
        <v>0.999999944366743</v>
      </c>
    </row>
    <row r="7371" spans="1:40" x14ac:dyDescent="0.25">
      <c r="A7371" t="str">
        <f>"20190303154956025"</f>
        <v>20190303154956025</v>
      </c>
      <c r="B7371" t="str">
        <f>"1551599396018694"</f>
        <v>1551599396018694</v>
      </c>
      <c r="C7371" t="s">
        <v>40</v>
      </c>
      <c r="D7371">
        <v>6.1318159999999997</v>
      </c>
      <c r="E7371">
        <v>0.50828260000000003</v>
      </c>
      <c r="F7371" t="s">
        <v>64</v>
      </c>
      <c r="G7371">
        <v>-283.78609999999998</v>
      </c>
      <c r="H7371" s="1">
        <v>-6.1426960000000004E-6</v>
      </c>
      <c r="I7371">
        <v>-62.929290000000002</v>
      </c>
      <c r="J7371">
        <v>-291.51589999999999</v>
      </c>
      <c r="K7371">
        <v>1.1291169999999999</v>
      </c>
      <c r="L7371">
        <v>-62.251220000000004</v>
      </c>
      <c r="M7371">
        <v>0.91446439999999996</v>
      </c>
      <c r="N7371">
        <v>-1.2521539999999999E-2</v>
      </c>
      <c r="O7371">
        <v>-0.40447290000000002</v>
      </c>
      <c r="P7371">
        <v>0.98963369999999995</v>
      </c>
      <c r="Q7371">
        <v>-0.12774530000000001</v>
      </c>
      <c r="R7371">
        <v>-6.5623230000000005E-2</v>
      </c>
      <c r="S7371">
        <v>2.9582519999999999</v>
      </c>
      <c r="T7371">
        <v>-0.42670459999999899</v>
      </c>
      <c r="U7371">
        <v>-0.269928</v>
      </c>
      <c r="V7371">
        <v>-0.33774729999999997</v>
      </c>
      <c r="W7371">
        <v>-0.123292</v>
      </c>
      <c r="X7371">
        <v>0.93312689999999998</v>
      </c>
      <c r="Y7371">
        <v>-0.313034599999999</v>
      </c>
      <c r="Z7371">
        <v>7.5584470000000001E-2</v>
      </c>
      <c r="AA7371">
        <v>0.9467293</v>
      </c>
      <c r="AB7371">
        <v>23</v>
      </c>
      <c r="AC7371">
        <v>7.7298000000000098</v>
      </c>
      <c r="AD7371">
        <v>-1.129123142696</v>
      </c>
      <c r="AE7371">
        <v>-0.67807000000000495</v>
      </c>
      <c r="AF7371">
        <v>-2.4546436333022101</v>
      </c>
      <c r="AG7371">
        <v>-1.129123142696</v>
      </c>
      <c r="AH7371">
        <v>7.19119141580701</v>
      </c>
      <c r="AI7371">
        <v>98.452103295032401</v>
      </c>
      <c r="AJ7371">
        <v>108.846842578221</v>
      </c>
      <c r="AK7371">
        <v>7.6820198136075701</v>
      </c>
      <c r="AL7371">
        <v>97.082131733079706</v>
      </c>
      <c r="AM7371">
        <v>109.897832672663</v>
      </c>
      <c r="AN7371">
        <v>0.99999998371244903</v>
      </c>
    </row>
    <row r="7372" spans="1:40" x14ac:dyDescent="0.25">
      <c r="A7372" t="str">
        <f>"20190303154956036"</f>
        <v>20190303154956036</v>
      </c>
      <c r="B7372" t="str">
        <f>"1551599396028454"</f>
        <v>1551599396028454</v>
      </c>
      <c r="C7372" t="s">
        <v>40</v>
      </c>
      <c r="D7372">
        <v>6.0611449999999998</v>
      </c>
      <c r="E7372">
        <v>0.50828260000000003</v>
      </c>
      <c r="F7372" t="s">
        <v>64</v>
      </c>
      <c r="G7372">
        <v>-283.7371</v>
      </c>
      <c r="H7372" s="1">
        <v>-6.1639369999999999E-6</v>
      </c>
      <c r="I7372">
        <v>-62.938279999999999</v>
      </c>
      <c r="J7372">
        <v>-291.41059999999999</v>
      </c>
      <c r="K7372">
        <v>1.129114</v>
      </c>
      <c r="L7372">
        <v>-62.289180000000002</v>
      </c>
      <c r="M7372">
        <v>0.91740569999999999</v>
      </c>
      <c r="N7372">
        <v>-1.2534899999999899E-2</v>
      </c>
      <c r="O7372">
        <v>-0.3977559</v>
      </c>
      <c r="P7372">
        <v>0.98974280000000003</v>
      </c>
      <c r="Q7372">
        <v>-0.12885179999999999</v>
      </c>
      <c r="R7372">
        <v>-6.1695739999999999E-2</v>
      </c>
      <c r="S7372">
        <v>2.9586489999999999</v>
      </c>
      <c r="T7372">
        <v>-0.42945670000000002</v>
      </c>
      <c r="U7372">
        <v>-0.261322</v>
      </c>
      <c r="V7372">
        <v>-0.33453179999999999</v>
      </c>
      <c r="W7372">
        <v>-0.1243013</v>
      </c>
      <c r="X7372">
        <v>0.93415079999999995</v>
      </c>
      <c r="Y7372">
        <v>-0.3088301</v>
      </c>
      <c r="Z7372">
        <v>7.4960979999999997E-2</v>
      </c>
      <c r="AA7372">
        <v>0.94815870000000002</v>
      </c>
      <c r="AB7372">
        <v>23</v>
      </c>
      <c r="AC7372">
        <v>7.67349999999999</v>
      </c>
      <c r="AD7372">
        <v>-1.1291201639370001</v>
      </c>
      <c r="AE7372">
        <v>-0.64910000000000401</v>
      </c>
      <c r="AF7372">
        <v>-2.4051783847101902</v>
      </c>
      <c r="AG7372">
        <v>-1.1291201639370001</v>
      </c>
      <c r="AH7372">
        <v>7.1448690787304603</v>
      </c>
      <c r="AI7372">
        <v>98.518091249599905</v>
      </c>
      <c r="AJ7372">
        <v>108.60478491461799</v>
      </c>
      <c r="AK7372">
        <v>7.6229226389282498</v>
      </c>
      <c r="AL7372">
        <v>97.140408339621303</v>
      </c>
      <c r="AM7372">
        <v>109.70311992584</v>
      </c>
      <c r="AN7372">
        <v>1.00000002776678</v>
      </c>
    </row>
    <row r="7373" spans="1:40" x14ac:dyDescent="0.25">
      <c r="A7373" t="str">
        <f>"20190303154956046"</f>
        <v>20190303154956046</v>
      </c>
      <c r="B7373" t="str">
        <f>"1551599396038214"</f>
        <v>1551599396038214</v>
      </c>
      <c r="C7373" t="s">
        <v>40</v>
      </c>
      <c r="D7373">
        <v>6.0765630000000002</v>
      </c>
      <c r="E7373">
        <v>0.51581659999999996</v>
      </c>
      <c r="F7373" t="s">
        <v>64</v>
      </c>
      <c r="G7373">
        <v>-283.6902</v>
      </c>
      <c r="H7373" s="1">
        <v>-6.1854080000000003E-6</v>
      </c>
      <c r="I7373">
        <v>-62.940150000000003</v>
      </c>
      <c r="J7373">
        <v>-291.31760000000003</v>
      </c>
      <c r="K7373">
        <v>1.1291059999999999</v>
      </c>
      <c r="L7373">
        <v>-62.321930000000002</v>
      </c>
      <c r="M7373">
        <v>0.91995249999999995</v>
      </c>
      <c r="N7373">
        <v>-1.2546949999999999E-2</v>
      </c>
      <c r="O7373">
        <v>-0.39182919999999999</v>
      </c>
      <c r="P7373">
        <v>0.98986430000000003</v>
      </c>
      <c r="Q7373">
        <v>-0.12943199999999999</v>
      </c>
      <c r="R7373">
        <v>-5.844713E-2</v>
      </c>
      <c r="S7373">
        <v>2.9591669999999999</v>
      </c>
      <c r="T7373">
        <v>-0.43278440000000001</v>
      </c>
      <c r="U7373">
        <v>-0.2495117</v>
      </c>
      <c r="V7373">
        <v>-0.33153589999999999</v>
      </c>
      <c r="W7373">
        <v>-0.1247886</v>
      </c>
      <c r="X7373">
        <v>0.93515340000000002</v>
      </c>
      <c r="Y7373">
        <v>-0.30643939999999997</v>
      </c>
      <c r="Z7373">
        <v>7.4663090000000001E-2</v>
      </c>
      <c r="AA7373">
        <v>0.94895750000000001</v>
      </c>
      <c r="AB7373">
        <v>23</v>
      </c>
      <c r="AC7373">
        <v>7.6274000000000202</v>
      </c>
      <c r="AD7373">
        <v>-1.129112185408</v>
      </c>
      <c r="AE7373">
        <v>-0.61821999999999999</v>
      </c>
      <c r="AF7373">
        <v>-2.3685301731930801</v>
      </c>
      <c r="AG7373">
        <v>-1.129112185408</v>
      </c>
      <c r="AH7373">
        <v>7.1049712811638601</v>
      </c>
      <c r="AI7373">
        <v>98.573466239112506</v>
      </c>
      <c r="AJ7373">
        <v>108.436446905197</v>
      </c>
      <c r="AK7373">
        <v>7.5739980469185602</v>
      </c>
      <c r="AL7373">
        <v>97.1685474007582</v>
      </c>
      <c r="AM7373">
        <v>109.520724058794</v>
      </c>
      <c r="AN7373">
        <v>1.0000000646051601</v>
      </c>
    </row>
    <row r="7374" spans="1:40" x14ac:dyDescent="0.25">
      <c r="A7374" t="str">
        <f>"20190303154956058"</f>
        <v>20190303154956058</v>
      </c>
      <c r="B7374" t="str">
        <f>"1551599396047974"</f>
        <v>1551599396047974</v>
      </c>
      <c r="C7374" t="s">
        <v>40</v>
      </c>
      <c r="D7374">
        <v>6.0903640000000001</v>
      </c>
      <c r="E7374">
        <v>0.5164012</v>
      </c>
      <c r="F7374" t="s">
        <v>64</v>
      </c>
      <c r="G7374">
        <v>-281.91090000000003</v>
      </c>
      <c r="H7374" s="1">
        <v>-6.7441140000000003E-6</v>
      </c>
      <c r="I7374">
        <v>-63.28069</v>
      </c>
      <c r="J7374">
        <v>-291.20920000000001</v>
      </c>
      <c r="K7374">
        <v>1.129097</v>
      </c>
      <c r="L7374">
        <v>-62.359439999999999</v>
      </c>
      <c r="M7374">
        <v>0.92286199999999996</v>
      </c>
      <c r="N7374">
        <v>-1.2561289999999999E-2</v>
      </c>
      <c r="O7374">
        <v>-0.38492609999999999</v>
      </c>
      <c r="P7374">
        <v>0.99007489999999998</v>
      </c>
      <c r="Q7374">
        <v>-0.12977</v>
      </c>
      <c r="R7374">
        <v>-5.3953870000000001E-2</v>
      </c>
      <c r="S7374">
        <v>2.9663089999999999</v>
      </c>
      <c r="T7374">
        <v>-0.3560565</v>
      </c>
      <c r="U7374">
        <v>-0.30233759999999998</v>
      </c>
      <c r="V7374">
        <v>-0.32875729999999997</v>
      </c>
      <c r="W7374">
        <v>-0.12503439999999999</v>
      </c>
      <c r="X7374">
        <v>0.93610099999999996</v>
      </c>
      <c r="Y7374">
        <v>-0.28511809999999999</v>
      </c>
      <c r="Z7374">
        <v>5.8658299999999997E-2</v>
      </c>
      <c r="AA7374">
        <v>0.95669579999999999</v>
      </c>
      <c r="AB7374">
        <v>23</v>
      </c>
      <c r="AC7374">
        <v>9.2982999999999798</v>
      </c>
      <c r="AD7374">
        <v>-1.1291037441139999</v>
      </c>
      <c r="AE7374">
        <v>-0.92125000000000001</v>
      </c>
      <c r="AF7374">
        <v>-2.6899082716266101</v>
      </c>
      <c r="AG7374">
        <v>-1.1291037441139999</v>
      </c>
      <c r="AH7374">
        <v>8.8077526941322901</v>
      </c>
      <c r="AI7374">
        <v>96.989812254639006</v>
      </c>
      <c r="AJ7374">
        <v>106.98279389603201</v>
      </c>
      <c r="AK7374">
        <v>9.2783074585687295</v>
      </c>
      <c r="AL7374">
        <v>97.182742176737605</v>
      </c>
      <c r="AM7374">
        <v>109.35120018730601</v>
      </c>
      <c r="AN7374">
        <v>1.0000000228438199</v>
      </c>
    </row>
    <row r="7375" spans="1:40" x14ac:dyDescent="0.25">
      <c r="A7375" t="str">
        <f>"20190303154956071"</f>
        <v>20190303154956071</v>
      </c>
      <c r="B7375" t="str">
        <f>"1551599396068470"</f>
        <v>1551599396068470</v>
      </c>
      <c r="C7375" t="s">
        <v>40</v>
      </c>
      <c r="D7375">
        <v>6.0705640000000001</v>
      </c>
      <c r="E7375">
        <v>0.51675309999999997</v>
      </c>
      <c r="F7375" t="s">
        <v>64</v>
      </c>
      <c r="G7375">
        <v>-281.80930000000001</v>
      </c>
      <c r="H7375" s="1">
        <v>-6.7771690000000003E-6</v>
      </c>
      <c r="I7375">
        <v>-63.289340000000003</v>
      </c>
      <c r="J7375">
        <v>-291.09219999999999</v>
      </c>
      <c r="K7375">
        <v>1.1290800000000001</v>
      </c>
      <c r="L7375">
        <v>-62.398589999999999</v>
      </c>
      <c r="M7375">
        <v>0.92592430000000003</v>
      </c>
      <c r="N7375">
        <v>-1.257667E-2</v>
      </c>
      <c r="O7375">
        <v>-0.3774999</v>
      </c>
      <c r="P7375">
        <v>0.99039480000000002</v>
      </c>
      <c r="Q7375">
        <v>-0.12951219999999999</v>
      </c>
      <c r="R7375">
        <v>-4.8425459999999997E-2</v>
      </c>
      <c r="S7375">
        <v>2.967346</v>
      </c>
      <c r="T7375">
        <v>-0.35643150000000001</v>
      </c>
      <c r="U7375">
        <v>-0.29354859999999999</v>
      </c>
      <c r="V7375">
        <v>-0.32649050000000002</v>
      </c>
      <c r="W7375">
        <v>-0.1246901</v>
      </c>
      <c r="X7375">
        <v>0.93693990000000005</v>
      </c>
      <c r="Y7375">
        <v>-0.280327299999999</v>
      </c>
      <c r="Z7375">
        <v>5.7672809999999998E-2</v>
      </c>
      <c r="AA7375">
        <v>0.95817039999999998</v>
      </c>
      <c r="AB7375">
        <v>23</v>
      </c>
      <c r="AC7375">
        <v>9.2828999999999802</v>
      </c>
      <c r="AD7375">
        <v>-1.1290867771690001</v>
      </c>
      <c r="AE7375">
        <v>-0.89074999999999704</v>
      </c>
      <c r="AF7375">
        <v>-2.6410234980273999</v>
      </c>
      <c r="AG7375">
        <v>-1.1290867771690001</v>
      </c>
      <c r="AH7375">
        <v>8.8031799207114201</v>
      </c>
      <c r="AI7375">
        <v>97.003667954230295</v>
      </c>
      <c r="AJ7375">
        <v>106.699659356908</v>
      </c>
      <c r="AK7375">
        <v>9.2599038215268497</v>
      </c>
      <c r="AL7375">
        <v>97.162859647859094</v>
      </c>
      <c r="AM7375">
        <v>109.21164342759501</v>
      </c>
      <c r="AN7375">
        <v>1.0000000219201299</v>
      </c>
    </row>
    <row r="7376" spans="1:40" x14ac:dyDescent="0.25">
      <c r="A7376" t="str">
        <f>"20190303154956085"</f>
        <v>20190303154956085</v>
      </c>
      <c r="B7376" t="str">
        <f>"1551599396078230"</f>
        <v>1551599396078230</v>
      </c>
      <c r="C7376" t="s">
        <v>40</v>
      </c>
      <c r="D7376">
        <v>6.0548449999999896</v>
      </c>
      <c r="E7376">
        <v>0.51953289999999996</v>
      </c>
      <c r="F7376" t="s">
        <v>64</v>
      </c>
      <c r="G7376">
        <v>-281.68700000000001</v>
      </c>
      <c r="H7376" s="1">
        <v>-6.8186079999999996E-6</v>
      </c>
      <c r="I7376">
        <v>-63.284750000000003</v>
      </c>
      <c r="J7376">
        <v>-290.96469999999999</v>
      </c>
      <c r="K7376">
        <v>1.1290579999999999</v>
      </c>
      <c r="L7376">
        <v>-62.440429999999999</v>
      </c>
      <c r="M7376">
        <v>0.9291779</v>
      </c>
      <c r="N7376">
        <v>-1.259307E-2</v>
      </c>
      <c r="O7376">
        <v>-0.36941859999999999</v>
      </c>
      <c r="P7376">
        <v>0.99069839999999998</v>
      </c>
      <c r="Q7376">
        <v>-0.12927620000000001</v>
      </c>
      <c r="R7376">
        <v>-4.2477439999999998E-2</v>
      </c>
      <c r="S7376">
        <v>2.968842</v>
      </c>
      <c r="T7376">
        <v>-0.35640690000000003</v>
      </c>
      <c r="U7376">
        <v>-0.27972409999999998</v>
      </c>
      <c r="V7376">
        <v>-0.32398059999999901</v>
      </c>
      <c r="W7376">
        <v>-0.12435640000000001</v>
      </c>
      <c r="X7376">
        <v>0.93785510000000005</v>
      </c>
      <c r="Y7376">
        <v>-0.27650989999999998</v>
      </c>
      <c r="Z7376">
        <v>5.6614280000000003E-2</v>
      </c>
      <c r="AA7376">
        <v>0.95934200000000003</v>
      </c>
      <c r="AB7376">
        <v>23</v>
      </c>
      <c r="AC7376">
        <v>9.2776999999999799</v>
      </c>
      <c r="AD7376">
        <v>-1.1290648186079999</v>
      </c>
      <c r="AE7376">
        <v>-0.84431999999999596</v>
      </c>
      <c r="AF7376">
        <v>-2.6047805899615599</v>
      </c>
      <c r="AG7376">
        <v>-1.1290648186079999</v>
      </c>
      <c r="AH7376">
        <v>8.8039326695178204</v>
      </c>
      <c r="AI7376">
        <v>97.010803758313401</v>
      </c>
      <c r="AJ7376">
        <v>106.48167184778499</v>
      </c>
      <c r="AK7376">
        <v>9.2503459251998805</v>
      </c>
      <c r="AL7376">
        <v>97.143589748929799</v>
      </c>
      <c r="AM7376">
        <v>109.057393012492</v>
      </c>
      <c r="AN7376">
        <v>1.0000000659966599</v>
      </c>
    </row>
    <row r="7377" spans="1:40" x14ac:dyDescent="0.25">
      <c r="A7377" t="str">
        <f>"20190303154956096"</f>
        <v>20190303154956096</v>
      </c>
      <c r="B7377" t="str">
        <f>"1551599396087989"</f>
        <v>1551599396087989</v>
      </c>
      <c r="C7377" t="s">
        <v>40</v>
      </c>
      <c r="D7377">
        <v>6.0930070000000001</v>
      </c>
      <c r="E7377">
        <v>0.51962739999999996</v>
      </c>
      <c r="F7377" t="s">
        <v>64</v>
      </c>
      <c r="G7377">
        <v>-281.41849999999999</v>
      </c>
      <c r="H7377" s="1">
        <v>-6.9007239999999997E-6</v>
      </c>
      <c r="I7377">
        <v>-63.35369</v>
      </c>
      <c r="J7377">
        <v>-290.84789999999998</v>
      </c>
      <c r="K7377">
        <v>1.1290230000000001</v>
      </c>
      <c r="L7377">
        <v>-62.477629999999998</v>
      </c>
      <c r="M7377">
        <v>0.93207669999999998</v>
      </c>
      <c r="N7377">
        <v>-1.260696E-2</v>
      </c>
      <c r="O7377">
        <v>-0.36204130000000001</v>
      </c>
      <c r="P7377">
        <v>0.99084139999999998</v>
      </c>
      <c r="Q7377">
        <v>-0.12969520000000001</v>
      </c>
      <c r="R7377">
        <v>-3.7578359999999998E-2</v>
      </c>
      <c r="S7377">
        <v>2.9701840000000002</v>
      </c>
      <c r="T7377">
        <v>-0.35129569999999999</v>
      </c>
      <c r="U7377">
        <v>-0.28414919999999999</v>
      </c>
      <c r="V7377">
        <v>-0.3211678</v>
      </c>
      <c r="W7377">
        <v>-0.1246705</v>
      </c>
      <c r="X7377">
        <v>0.93878030000000001</v>
      </c>
      <c r="Y7377">
        <v>-0.26773970000000002</v>
      </c>
      <c r="Z7377">
        <v>5.4444949999999999E-2</v>
      </c>
      <c r="AA7377">
        <v>0.96195169999999997</v>
      </c>
      <c r="AB7377">
        <v>23</v>
      </c>
      <c r="AC7377">
        <v>9.4293999999999798</v>
      </c>
      <c r="AD7377">
        <v>-1.1290299007239999</v>
      </c>
      <c r="AE7377">
        <v>-0.87605999999999495</v>
      </c>
      <c r="AF7377">
        <v>-2.5610810991048698</v>
      </c>
      <c r="AG7377">
        <v>-1.1290299007239999</v>
      </c>
      <c r="AH7377">
        <v>8.9791901231819793</v>
      </c>
      <c r="AI7377">
        <v>96.894518383173903</v>
      </c>
      <c r="AJ7377">
        <v>105.919424730282</v>
      </c>
      <c r="AK7377">
        <v>9.4053017060150594</v>
      </c>
      <c r="AL7377">
        <v>97.161728189112097</v>
      </c>
      <c r="AM7377">
        <v>108.886421664789</v>
      </c>
      <c r="AN7377">
        <v>0.99999997049758904</v>
      </c>
    </row>
    <row r="7378" spans="1:40" x14ac:dyDescent="0.25">
      <c r="A7378" t="str">
        <f>"20190303154956110"</f>
        <v>20190303154956110</v>
      </c>
      <c r="B7378" t="str">
        <f>"1551599396097749"</f>
        <v>1551599396097749</v>
      </c>
      <c r="C7378" t="s">
        <v>40</v>
      </c>
      <c r="D7378">
        <v>6.1171259999999998</v>
      </c>
      <c r="E7378">
        <v>0.51910900000000004</v>
      </c>
      <c r="F7378" t="s">
        <v>64</v>
      </c>
      <c r="G7378">
        <v>-281.33159999999998</v>
      </c>
      <c r="H7378" s="1">
        <v>-6.931031E-6</v>
      </c>
      <c r="I7378">
        <v>-63.343110000000003</v>
      </c>
      <c r="J7378">
        <v>-290.72789999999998</v>
      </c>
      <c r="K7378">
        <v>1.128981</v>
      </c>
      <c r="L7378">
        <v>-62.514710000000001</v>
      </c>
      <c r="M7378">
        <v>0.93497450000000004</v>
      </c>
      <c r="N7378">
        <v>-1.2620620000000001E-2</v>
      </c>
      <c r="O7378">
        <v>-0.35449049999999999</v>
      </c>
      <c r="P7378">
        <v>0.99080699999999999</v>
      </c>
      <c r="Q7378">
        <v>-0.13037260000000001</v>
      </c>
      <c r="R7378">
        <v>-3.6122469999999997E-2</v>
      </c>
      <c r="S7378">
        <v>2.9713440000000002</v>
      </c>
      <c r="T7378">
        <v>-0.35252270000000002</v>
      </c>
      <c r="U7378">
        <v>-0.27023320000000001</v>
      </c>
      <c r="V7378">
        <v>-0.31492320000000001</v>
      </c>
      <c r="W7378">
        <v>-0.1251533</v>
      </c>
      <c r="X7378">
        <v>0.94082949999999999</v>
      </c>
      <c r="Y7378">
        <v>-0.26448769999999999</v>
      </c>
      <c r="Z7378">
        <v>5.3692209999999997E-2</v>
      </c>
      <c r="AA7378">
        <v>0.9628932</v>
      </c>
      <c r="AB7378">
        <v>23</v>
      </c>
      <c r="AC7378">
        <v>9.3962999999999894</v>
      </c>
      <c r="AD7378">
        <v>-1.128987931031</v>
      </c>
      <c r="AE7378">
        <v>-0.82839999999999403</v>
      </c>
      <c r="AF7378">
        <v>-2.52046340559883</v>
      </c>
      <c r="AG7378">
        <v>-1.128987931031</v>
      </c>
      <c r="AH7378">
        <v>8.9514516486126308</v>
      </c>
      <c r="AI7378">
        <v>96.921988818755096</v>
      </c>
      <c r="AJ7378">
        <v>105.725645842698</v>
      </c>
      <c r="AK7378">
        <v>9.3678085027836797</v>
      </c>
      <c r="AL7378">
        <v>97.189608317951397</v>
      </c>
      <c r="AM7378">
        <v>108.506903352249</v>
      </c>
      <c r="AN7378">
        <v>1.00000005923468</v>
      </c>
    </row>
    <row r="7379" spans="1:40" x14ac:dyDescent="0.25">
      <c r="A7379" t="str">
        <f>"20190303154956121"</f>
        <v>20190303154956121</v>
      </c>
      <c r="B7379" t="str">
        <f>"1551599396118246"</f>
        <v>1551599396118246</v>
      </c>
      <c r="C7379" t="s">
        <v>40</v>
      </c>
      <c r="D7379">
        <v>6.09687</v>
      </c>
      <c r="E7379">
        <v>0.51930310000000002</v>
      </c>
      <c r="F7379" t="s">
        <v>64</v>
      </c>
      <c r="G7379">
        <v>-281.53930000000003</v>
      </c>
      <c r="H7379" s="1">
        <v>-6.863707E-6</v>
      </c>
      <c r="I7379">
        <v>-63.323399999999999</v>
      </c>
      <c r="J7379">
        <v>-290.62110000000001</v>
      </c>
      <c r="K7379">
        <v>1.1289439999999999</v>
      </c>
      <c r="L7379">
        <v>-62.547269999999997</v>
      </c>
      <c r="M7379">
        <v>0.93749389999999999</v>
      </c>
      <c r="N7379">
        <v>-1.2632849999999999E-2</v>
      </c>
      <c r="O7379">
        <v>-0.34777229999999998</v>
      </c>
      <c r="P7379">
        <v>0.99085040000000002</v>
      </c>
      <c r="Q7379">
        <v>-0.13092290000000001</v>
      </c>
      <c r="R7379">
        <v>-3.2783479999999997E-2</v>
      </c>
      <c r="S7379">
        <v>2.9702760000000001</v>
      </c>
      <c r="T7379">
        <v>-0.36495300000000003</v>
      </c>
      <c r="U7379">
        <v>-0.26141360000000002</v>
      </c>
      <c r="V7379">
        <v>-0.31132009999999899</v>
      </c>
      <c r="W7379">
        <v>-0.12557939999999901</v>
      </c>
      <c r="X7379">
        <v>0.94197109999999995</v>
      </c>
      <c r="Y7379">
        <v>-0.26015450000000001</v>
      </c>
      <c r="Z7379">
        <v>5.4729369999999999E-2</v>
      </c>
      <c r="AA7379">
        <v>0.9640147</v>
      </c>
      <c r="AB7379">
        <v>23</v>
      </c>
      <c r="AC7379">
        <v>9.0817999999999799</v>
      </c>
      <c r="AD7379">
        <v>-1.128950863707</v>
      </c>
      <c r="AE7379">
        <v>-0.77613000000000198</v>
      </c>
      <c r="AF7379">
        <v>-2.3942458810554701</v>
      </c>
      <c r="AG7379">
        <v>-1.128950863707</v>
      </c>
      <c r="AH7379">
        <v>8.6520214419310992</v>
      </c>
      <c r="AI7379">
        <v>97.167760368386993</v>
      </c>
      <c r="AJ7379">
        <v>105.468190771666</v>
      </c>
      <c r="AK7379">
        <v>9.0478958008617294</v>
      </c>
      <c r="AL7379">
        <v>97.214216825841305</v>
      </c>
      <c r="AM7379">
        <v>108.28864665969201</v>
      </c>
      <c r="AN7379">
        <v>0.99999997180178901</v>
      </c>
    </row>
    <row r="7380" spans="1:40" x14ac:dyDescent="0.25">
      <c r="A7380" t="str">
        <f>"20190303154956132"</f>
        <v>20190303154956132</v>
      </c>
      <c r="B7380" t="str">
        <f>"1551599396128006"</f>
        <v>1551599396128006</v>
      </c>
      <c r="C7380" t="s">
        <v>40</v>
      </c>
      <c r="D7380">
        <v>6.0840120000000004</v>
      </c>
      <c r="E7380">
        <v>0.51964129999999997</v>
      </c>
      <c r="F7380" t="s">
        <v>64</v>
      </c>
      <c r="G7380">
        <v>-281.54579999999999</v>
      </c>
      <c r="H7380" s="1">
        <v>-6.86192E-6</v>
      </c>
      <c r="I7380">
        <v>-63.319920000000003</v>
      </c>
      <c r="J7380">
        <v>-290.51029999999997</v>
      </c>
      <c r="K7380">
        <v>1.1289009999999999</v>
      </c>
      <c r="L7380">
        <v>-62.579590000000003</v>
      </c>
      <c r="M7380">
        <v>0.9400307</v>
      </c>
      <c r="N7380">
        <v>-1.2644570000000001E-2</v>
      </c>
      <c r="O7380">
        <v>-0.34085579999999999</v>
      </c>
      <c r="P7380">
        <v>0.9908226</v>
      </c>
      <c r="Q7380">
        <v>-0.13204649999999901</v>
      </c>
      <c r="R7380">
        <v>-2.8892169999999998E-2</v>
      </c>
      <c r="S7380">
        <v>2.97052</v>
      </c>
      <c r="T7380">
        <v>-0.3695271</v>
      </c>
      <c r="U7380">
        <v>-0.25289919999999999</v>
      </c>
      <c r="V7380">
        <v>-0.30802030000000002</v>
      </c>
      <c r="W7380">
        <v>-0.12658330000000001</v>
      </c>
      <c r="X7380">
        <v>0.94292109999999996</v>
      </c>
      <c r="Y7380">
        <v>-0.25576090000000001</v>
      </c>
      <c r="Z7380">
        <v>5.4435570000000003E-2</v>
      </c>
      <c r="AA7380">
        <v>0.96520629999999996</v>
      </c>
      <c r="AB7380">
        <v>23</v>
      </c>
      <c r="AC7380">
        <v>8.9644999999999797</v>
      </c>
      <c r="AD7380">
        <v>-1.1289078619199999</v>
      </c>
      <c r="AE7380">
        <v>-0.74032999999999205</v>
      </c>
      <c r="AF7380">
        <v>-2.3232631021859498</v>
      </c>
      <c r="AG7380">
        <v>-1.1289078619199999</v>
      </c>
      <c r="AH7380">
        <v>8.5453444948236505</v>
      </c>
      <c r="AI7380">
        <v>97.264909638314194</v>
      </c>
      <c r="AJ7380">
        <v>105.20964271223001</v>
      </c>
      <c r="AK7380">
        <v>8.9271998374572306</v>
      </c>
      <c r="AL7380">
        <v>97.272198419820199</v>
      </c>
      <c r="AM7380">
        <v>108.090456828239</v>
      </c>
      <c r="AN7380">
        <v>1.00000001893809</v>
      </c>
    </row>
    <row r="7381" spans="1:40" x14ac:dyDescent="0.25">
      <c r="A7381" t="str">
        <f>"20190303154956143"</f>
        <v>20190303154956143</v>
      </c>
      <c r="B7381" t="str">
        <f>"1551599396137766"</f>
        <v>1551599396137766</v>
      </c>
      <c r="C7381" t="s">
        <v>40</v>
      </c>
      <c r="D7381">
        <v>6.1293790000000001</v>
      </c>
      <c r="E7381">
        <v>0.51991239999999905</v>
      </c>
      <c r="F7381" t="s">
        <v>64</v>
      </c>
      <c r="G7381">
        <v>-281.4939</v>
      </c>
      <c r="H7381" s="1">
        <v>-6.8793060000000001E-6</v>
      </c>
      <c r="I7381">
        <v>-63.31973</v>
      </c>
      <c r="J7381">
        <v>-290.40660000000003</v>
      </c>
      <c r="K7381">
        <v>1.128857</v>
      </c>
      <c r="L7381">
        <v>-62.609470000000002</v>
      </c>
      <c r="M7381">
        <v>0.94234879999999999</v>
      </c>
      <c r="N7381">
        <v>-1.2655949999999999E-2</v>
      </c>
      <c r="O7381">
        <v>-0.33439269999999999</v>
      </c>
      <c r="P7381">
        <v>0.99065320000000001</v>
      </c>
      <c r="Q7381">
        <v>-0.13390729999999901</v>
      </c>
      <c r="R7381">
        <v>-2.598344E-2</v>
      </c>
      <c r="S7381">
        <v>2.97113</v>
      </c>
      <c r="T7381">
        <v>-0.37200699999999998</v>
      </c>
      <c r="U7381">
        <v>-0.24389649999999999</v>
      </c>
      <c r="V7381">
        <v>-0.30420740000000002</v>
      </c>
      <c r="W7381">
        <v>-0.1283154</v>
      </c>
      <c r="X7381">
        <v>0.94392419999999999</v>
      </c>
      <c r="Y7381">
        <v>-0.252057899999999</v>
      </c>
      <c r="Z7381">
        <v>5.38854E-2</v>
      </c>
      <c r="AA7381">
        <v>0.96621069999999998</v>
      </c>
      <c r="AB7381">
        <v>23</v>
      </c>
      <c r="AC7381">
        <v>8.9127000000000294</v>
      </c>
      <c r="AD7381">
        <v>-1.128863879306</v>
      </c>
      <c r="AE7381">
        <v>-0.71026000000001199</v>
      </c>
      <c r="AF7381">
        <v>-2.27494942176155</v>
      </c>
      <c r="AG7381">
        <v>-1.128863879306</v>
      </c>
      <c r="AH7381">
        <v>8.5015469652339206</v>
      </c>
      <c r="AI7381">
        <v>97.309433211301595</v>
      </c>
      <c r="AJ7381">
        <v>104.98092541275901</v>
      </c>
      <c r="AK7381">
        <v>8.8727689777009893</v>
      </c>
      <c r="AL7381">
        <v>97.372257003038399</v>
      </c>
      <c r="AM7381">
        <v>107.86306605210299</v>
      </c>
      <c r="AN7381">
        <v>0.99999993971877799</v>
      </c>
    </row>
    <row r="7382" spans="1:40" x14ac:dyDescent="0.25">
      <c r="A7382" t="str">
        <f>"20190303154956154"</f>
        <v>20190303154956154</v>
      </c>
      <c r="B7382" t="str">
        <f>"1551599396148502"</f>
        <v>1551599396148502</v>
      </c>
      <c r="C7382" t="s">
        <v>40</v>
      </c>
      <c r="D7382">
        <v>6.075609</v>
      </c>
      <c r="E7382">
        <v>0.52025329999999903</v>
      </c>
      <c r="F7382" t="s">
        <v>64</v>
      </c>
      <c r="G7382">
        <v>-281.53339999999997</v>
      </c>
      <c r="H7382" s="1">
        <v>-6.866269E-6</v>
      </c>
      <c r="I7382">
        <v>-63.318119999999901</v>
      </c>
      <c r="J7382">
        <v>-290.29790000000003</v>
      </c>
      <c r="K7382">
        <v>1.1288260000000001</v>
      </c>
      <c r="L7382">
        <v>-62.639740000000003</v>
      </c>
      <c r="M7382">
        <v>0.94471380000000005</v>
      </c>
      <c r="N7382">
        <v>-1.26681E-2</v>
      </c>
      <c r="O7382">
        <v>-0.32765119999999998</v>
      </c>
      <c r="P7382">
        <v>0.99065959999999997</v>
      </c>
      <c r="Q7382">
        <v>-0.13494800000000001</v>
      </c>
      <c r="R7382">
        <v>-1.955612E-2</v>
      </c>
      <c r="S7382">
        <v>2.9709780000000001</v>
      </c>
      <c r="T7382">
        <v>-0.37797360000000002</v>
      </c>
      <c r="U7382">
        <v>-0.23727419999999999</v>
      </c>
      <c r="V7382">
        <v>-0.30353269999999999</v>
      </c>
      <c r="W7382">
        <v>-0.12930059999999999</v>
      </c>
      <c r="X7382">
        <v>0.94400700000000004</v>
      </c>
      <c r="Y7382">
        <v>-0.24722450000000001</v>
      </c>
      <c r="Z7382">
        <v>5.3739559999999999E-2</v>
      </c>
      <c r="AA7382">
        <v>0.96746690000000002</v>
      </c>
      <c r="AB7382">
        <v>23</v>
      </c>
      <c r="AC7382">
        <v>8.7645000000000497</v>
      </c>
      <c r="AD7382">
        <v>-1.1288328662689999</v>
      </c>
      <c r="AE7382">
        <v>-0.67837999999998999</v>
      </c>
      <c r="AF7382">
        <v>-2.19481143852488</v>
      </c>
      <c r="AG7382">
        <v>-1.1288328662689999</v>
      </c>
      <c r="AH7382">
        <v>8.3649634571752998</v>
      </c>
      <c r="AI7382">
        <v>97.436739855611904</v>
      </c>
      <c r="AJ7382">
        <v>104.70195043324399</v>
      </c>
      <c r="AK7382">
        <v>8.7214720391988205</v>
      </c>
      <c r="AL7382">
        <v>97.429178691309104</v>
      </c>
      <c r="AM7382">
        <v>107.824493152435</v>
      </c>
      <c r="AN7382">
        <v>0.99999998058932404</v>
      </c>
    </row>
    <row r="7383" spans="1:40" x14ac:dyDescent="0.25">
      <c r="A7383" t="str">
        <f>"20190303154956167"</f>
        <v>20190303154956167</v>
      </c>
      <c r="B7383" t="str">
        <f>"1551599396158262"</f>
        <v>1551599396158262</v>
      </c>
      <c r="C7383" t="s">
        <v>40</v>
      </c>
      <c r="D7383">
        <v>6.0753570000000003</v>
      </c>
      <c r="E7383">
        <v>0.52049849999999998</v>
      </c>
      <c r="F7383" t="s">
        <v>64</v>
      </c>
      <c r="G7383">
        <v>-281.54059999999998</v>
      </c>
      <c r="H7383" s="1">
        <v>-6.8670149999999998E-6</v>
      </c>
      <c r="I7383">
        <v>-63.290030000000002</v>
      </c>
      <c r="J7383">
        <v>-290.18619999999999</v>
      </c>
      <c r="K7383">
        <v>1.128782</v>
      </c>
      <c r="L7383">
        <v>-62.670140000000004</v>
      </c>
      <c r="M7383">
        <v>0.94707830000000004</v>
      </c>
      <c r="N7383">
        <v>-1.268184E-2</v>
      </c>
      <c r="O7383">
        <v>-0.32075209999999998</v>
      </c>
      <c r="P7383">
        <v>0.99051900000000004</v>
      </c>
      <c r="Q7383">
        <v>-0.13639770000000001</v>
      </c>
      <c r="R7383">
        <v>-1.6363550000000001E-2</v>
      </c>
      <c r="S7383">
        <v>2.9717099999999999</v>
      </c>
      <c r="T7383">
        <v>-0.3830614</v>
      </c>
      <c r="U7383">
        <v>-0.2206726</v>
      </c>
      <c r="V7383">
        <v>-0.29961459999999901</v>
      </c>
      <c r="W7383">
        <v>-0.13061249999999999</v>
      </c>
      <c r="X7383">
        <v>0.94507750000000001</v>
      </c>
      <c r="Y7383">
        <v>-0.2454942</v>
      </c>
      <c r="Z7383">
        <v>5.362575E-2</v>
      </c>
      <c r="AA7383">
        <v>0.96791369999999999</v>
      </c>
      <c r="AB7383">
        <v>23</v>
      </c>
      <c r="AC7383">
        <v>8.6456</v>
      </c>
      <c r="AD7383">
        <v>-1.1287888670149999</v>
      </c>
      <c r="AE7383">
        <v>-0.61988999999999705</v>
      </c>
      <c r="AF7383">
        <v>-2.1497278434546199</v>
      </c>
      <c r="AG7383">
        <v>-1.1287888670149999</v>
      </c>
      <c r="AH7383">
        <v>8.2476903415487701</v>
      </c>
      <c r="AI7383">
        <v>97.544150048281594</v>
      </c>
      <c r="AJ7383">
        <v>104.608882416245</v>
      </c>
      <c r="AK7383">
        <v>8.5976677114958306</v>
      </c>
      <c r="AL7383">
        <v>97.504987715482599</v>
      </c>
      <c r="AM7383">
        <v>107.589994106329</v>
      </c>
      <c r="AN7383">
        <v>1.0000000073478299</v>
      </c>
    </row>
    <row r="7384" spans="1:40" x14ac:dyDescent="0.25">
      <c r="A7384" t="str">
        <f>"20190303154956179"</f>
        <v>20190303154956179</v>
      </c>
      <c r="B7384" t="str">
        <f>"1551599396168022"</f>
        <v>1551599396168022</v>
      </c>
      <c r="C7384" t="s">
        <v>40</v>
      </c>
      <c r="D7384">
        <v>6.0967719999999996</v>
      </c>
      <c r="E7384">
        <v>0.52067549999999996</v>
      </c>
      <c r="F7384" t="s">
        <v>64</v>
      </c>
      <c r="G7384">
        <v>-281.54489999999998</v>
      </c>
      <c r="H7384" s="1">
        <v>-6.8656519999999997E-6</v>
      </c>
      <c r="I7384">
        <v>-63.289540000000002</v>
      </c>
      <c r="J7384">
        <v>-290.06389999999999</v>
      </c>
      <c r="K7384">
        <v>1.128736</v>
      </c>
      <c r="L7384">
        <v>-62.702640000000002</v>
      </c>
      <c r="M7384">
        <v>0.949596</v>
      </c>
      <c r="N7384">
        <v>-1.2698279999999999E-2</v>
      </c>
      <c r="O7384">
        <v>-0.31321969999999999</v>
      </c>
      <c r="P7384">
        <v>0.99041509999999999</v>
      </c>
      <c r="Q7384">
        <v>-0.13754749999999999</v>
      </c>
      <c r="R7384">
        <v>-1.2610710000000001E-2</v>
      </c>
      <c r="S7384">
        <v>2.9717709999999999</v>
      </c>
      <c r="T7384">
        <v>-0.38819229999999999</v>
      </c>
      <c r="U7384">
        <v>-0.2130127</v>
      </c>
      <c r="V7384">
        <v>-0.29563600000000001</v>
      </c>
      <c r="W7384">
        <v>-0.13161719999999999</v>
      </c>
      <c r="X7384">
        <v>0.94619039999999999</v>
      </c>
      <c r="Y7384">
        <v>-0.2402572</v>
      </c>
      <c r="Z7384">
        <v>5.3170759999999997E-2</v>
      </c>
      <c r="AA7384">
        <v>0.96925190000000006</v>
      </c>
      <c r="AB7384">
        <v>23</v>
      </c>
      <c r="AC7384">
        <v>8.5190000000000001</v>
      </c>
      <c r="AD7384">
        <v>-1.128742865652</v>
      </c>
      <c r="AE7384">
        <v>-0.58689999999999998</v>
      </c>
      <c r="AF7384">
        <v>-2.0749164455538902</v>
      </c>
      <c r="AG7384">
        <v>-1.128742865652</v>
      </c>
      <c r="AH7384">
        <v>8.1320153813546199</v>
      </c>
      <c r="AI7384">
        <v>97.6599381760944</v>
      </c>
      <c r="AJ7384">
        <v>104.313837646435</v>
      </c>
      <c r="AK7384">
        <v>8.4681174339624192</v>
      </c>
      <c r="AL7384">
        <v>97.563054100662697</v>
      </c>
      <c r="AM7384">
        <v>107.35134900774101</v>
      </c>
      <c r="AN7384">
        <v>1.0000000024419999</v>
      </c>
    </row>
    <row r="7385" spans="1:40" x14ac:dyDescent="0.25">
      <c r="A7385" t="str">
        <f>"20190303154956192"</f>
        <v>20190303154956192</v>
      </c>
      <c r="B7385" t="str">
        <f>"1551599396188518"</f>
        <v>1551599396188518</v>
      </c>
      <c r="C7385" t="s">
        <v>40</v>
      </c>
      <c r="D7385">
        <v>6.1113039999999996</v>
      </c>
      <c r="E7385">
        <v>0.52083489999999999</v>
      </c>
      <c r="F7385" t="s">
        <v>64</v>
      </c>
      <c r="G7385">
        <v>-281.50479999999999</v>
      </c>
      <c r="H7385" s="1">
        <v>-6.8792649999999996E-6</v>
      </c>
      <c r="I7385">
        <v>-63.287790000000001</v>
      </c>
      <c r="J7385">
        <v>-289.94279999999998</v>
      </c>
      <c r="K7385">
        <v>1.1286959999999999</v>
      </c>
      <c r="L7385">
        <v>-62.733429999999998</v>
      </c>
      <c r="M7385">
        <v>0.95200189999999996</v>
      </c>
      <c r="N7385">
        <v>-1.271569E-2</v>
      </c>
      <c r="O7385">
        <v>-0.30582779999999998</v>
      </c>
      <c r="P7385">
        <v>0.9903691</v>
      </c>
      <c r="Q7385">
        <v>-0.13815959999999999</v>
      </c>
      <c r="R7385">
        <v>-9.0009990000000008E-3</v>
      </c>
      <c r="S7385">
        <v>2.9720149999999999</v>
      </c>
      <c r="T7385">
        <v>-0.39193939999999999</v>
      </c>
      <c r="U7385">
        <v>-0.20318600000000001</v>
      </c>
      <c r="V7385">
        <v>-0.2917111</v>
      </c>
      <c r="W7385">
        <v>-0.13208490000000001</v>
      </c>
      <c r="X7385">
        <v>0.94734269999999998</v>
      </c>
      <c r="Y7385">
        <v>-0.23591190000000001</v>
      </c>
      <c r="Z7385">
        <v>5.2565870000000001E-2</v>
      </c>
      <c r="AA7385">
        <v>0.97035170000000004</v>
      </c>
      <c r="AB7385">
        <v>23</v>
      </c>
      <c r="AC7385">
        <v>8.4379999999999793</v>
      </c>
      <c r="AD7385">
        <v>-1.128702879265</v>
      </c>
      <c r="AE7385">
        <v>-0.55435999999999497</v>
      </c>
      <c r="AF7385">
        <v>-2.0170534481856599</v>
      </c>
      <c r="AG7385">
        <v>-1.128702879265</v>
      </c>
      <c r="AH7385">
        <v>8.0596043880065604</v>
      </c>
      <c r="AI7385">
        <v>97.736527147638199</v>
      </c>
      <c r="AJ7385">
        <v>104.05064357776899</v>
      </c>
      <c r="AK7385">
        <v>8.3844914988133503</v>
      </c>
      <c r="AL7385">
        <v>97.590087452592599</v>
      </c>
      <c r="AM7385">
        <v>107.114940492757</v>
      </c>
      <c r="AN7385">
        <v>0.99999998895725395</v>
      </c>
    </row>
    <row r="7386" spans="1:40" x14ac:dyDescent="0.25">
      <c r="A7386" t="str">
        <f>"20190303154956212"</f>
        <v>20190303154956212</v>
      </c>
      <c r="B7386" t="str">
        <f>"1551599396208038"</f>
        <v>1551599396208038</v>
      </c>
      <c r="C7386" t="s">
        <v>40</v>
      </c>
      <c r="D7386">
        <v>6.1308439999999997</v>
      </c>
      <c r="E7386">
        <v>0.52098159999999905</v>
      </c>
      <c r="F7386" t="s">
        <v>64</v>
      </c>
      <c r="G7386">
        <v>-281.43970000000002</v>
      </c>
      <c r="H7386" s="1">
        <v>-6.9011340000000004E-6</v>
      </c>
      <c r="I7386">
        <v>-63.287190000000002</v>
      </c>
      <c r="J7386">
        <v>-289.75069999999999</v>
      </c>
      <c r="K7386">
        <v>1.128638</v>
      </c>
      <c r="L7386">
        <v>-62.780729999999998</v>
      </c>
      <c r="M7386">
        <v>0.95567480000000005</v>
      </c>
      <c r="N7386">
        <v>-1.274555E-2</v>
      </c>
      <c r="O7386">
        <v>-0.29414849999999998</v>
      </c>
      <c r="P7386">
        <v>0.99033530000000003</v>
      </c>
      <c r="Q7386">
        <v>-0.13857</v>
      </c>
      <c r="R7386">
        <v>-5.8755559999999997E-3</v>
      </c>
      <c r="S7386">
        <v>2.9723820000000001</v>
      </c>
      <c r="T7386">
        <v>-0.39455089999999998</v>
      </c>
      <c r="U7386">
        <v>-0.193573</v>
      </c>
      <c r="V7386">
        <v>-0.28310540000000001</v>
      </c>
      <c r="W7386">
        <v>-0.13220860000000001</v>
      </c>
      <c r="X7386">
        <v>0.94993280000000002</v>
      </c>
      <c r="Y7386">
        <v>-0.2272467</v>
      </c>
      <c r="Z7386">
        <v>5.0976349999999997E-2</v>
      </c>
      <c r="AA7386">
        <v>0.97250210000000004</v>
      </c>
      <c r="AB7386">
        <v>23</v>
      </c>
      <c r="AC7386">
        <v>8.3109999999999697</v>
      </c>
      <c r="AD7386">
        <v>-1.1286449011340001</v>
      </c>
      <c r="AE7386">
        <v>-0.50645999999999702</v>
      </c>
      <c r="AF7386">
        <v>-1.9254387154271999</v>
      </c>
      <c r="AG7386">
        <v>-1.1286449011340001</v>
      </c>
      <c r="AH7386">
        <v>7.94624213338553</v>
      </c>
      <c r="AI7386">
        <v>97.859465170443002</v>
      </c>
      <c r="AJ7386">
        <v>103.62070879021501</v>
      </c>
      <c r="AK7386">
        <v>8.2537214395758003</v>
      </c>
      <c r="AL7386">
        <v>97.597237157451303</v>
      </c>
      <c r="AM7386">
        <v>106.595465051497</v>
      </c>
      <c r="AN7386">
        <v>1.0000000529694699</v>
      </c>
    </row>
    <row r="7387" spans="1:40" x14ac:dyDescent="0.25">
      <c r="A7387" t="str">
        <f>"20190303154956224"</f>
        <v>20190303154956224</v>
      </c>
      <c r="B7387" t="str">
        <f>"1551599396217799"</f>
        <v>1551599396217799</v>
      </c>
      <c r="C7387" t="s">
        <v>40</v>
      </c>
      <c r="D7387">
        <v>6.1464449999999999</v>
      </c>
      <c r="E7387">
        <v>0.52103980000000005</v>
      </c>
      <c r="F7387" t="s">
        <v>64</v>
      </c>
      <c r="G7387">
        <v>-281.25650000000002</v>
      </c>
      <c r="H7387" s="1">
        <v>-6.9598050000000002E-6</v>
      </c>
      <c r="I7387">
        <v>-63.310609999999997</v>
      </c>
      <c r="J7387">
        <v>-289.63150000000002</v>
      </c>
      <c r="K7387">
        <v>1.1286020000000001</v>
      </c>
      <c r="L7387">
        <v>-62.808990000000001</v>
      </c>
      <c r="M7387">
        <v>0.95786289999999996</v>
      </c>
      <c r="N7387">
        <v>-1.276585E-2</v>
      </c>
      <c r="O7387">
        <v>-0.28694259999999999</v>
      </c>
      <c r="P7387">
        <v>0.99036279999999999</v>
      </c>
      <c r="Q7387">
        <v>-0.138465</v>
      </c>
      <c r="R7387">
        <v>-3.0113919999999999E-3</v>
      </c>
      <c r="S7387">
        <v>2.9729000000000001</v>
      </c>
      <c r="T7387">
        <v>-0.39501890000000001</v>
      </c>
      <c r="U7387">
        <v>-0.18545529999999999</v>
      </c>
      <c r="V7387">
        <v>-0.27872469999999999</v>
      </c>
      <c r="W7387">
        <v>-0.13194939999999999</v>
      </c>
      <c r="X7387">
        <v>0.95126330000000003</v>
      </c>
      <c r="Y7387">
        <v>-0.2226532</v>
      </c>
      <c r="Z7387">
        <v>4.9881019999999998E-2</v>
      </c>
      <c r="AA7387">
        <v>0.97362079999999995</v>
      </c>
      <c r="AB7387">
        <v>23</v>
      </c>
      <c r="AC7387">
        <v>8.375</v>
      </c>
      <c r="AD7387">
        <v>-1.128608959805</v>
      </c>
      <c r="AE7387">
        <v>-0.50161999999999496</v>
      </c>
      <c r="AF7387">
        <v>-1.8886421665331501</v>
      </c>
      <c r="AG7387">
        <v>-1.128608959805</v>
      </c>
      <c r="AH7387">
        <v>8.0215507975329707</v>
      </c>
      <c r="AI7387">
        <v>97.798277667735405</v>
      </c>
      <c r="AJ7387">
        <v>103.24876613884</v>
      </c>
      <c r="AK7387">
        <v>8.3178124897572108</v>
      </c>
      <c r="AL7387">
        <v>97.582255359119699</v>
      </c>
      <c r="AM7387">
        <v>106.33083705945801</v>
      </c>
      <c r="AN7387">
        <v>0.99999998423866898</v>
      </c>
    </row>
    <row r="7388" spans="1:40" x14ac:dyDescent="0.25">
      <c r="A7388" t="str">
        <f>"20190303154956237"</f>
        <v>20190303154956237</v>
      </c>
      <c r="B7388" t="str">
        <f>"1551599396228534"</f>
        <v>1551599396228534</v>
      </c>
      <c r="C7388" t="s">
        <v>40</v>
      </c>
      <c r="D7388">
        <v>6.1375820000000001</v>
      </c>
      <c r="E7388">
        <v>0.52117219999999997</v>
      </c>
      <c r="F7388" t="s">
        <v>64</v>
      </c>
      <c r="G7388">
        <v>-281.1234</v>
      </c>
      <c r="H7388" s="1">
        <v>-7.003741E-6</v>
      </c>
      <c r="I7388">
        <v>-63.316229999999997</v>
      </c>
      <c r="J7388">
        <v>-289.51119999999997</v>
      </c>
      <c r="K7388">
        <v>1.1285689999999999</v>
      </c>
      <c r="L7388">
        <v>-62.836489999999998</v>
      </c>
      <c r="M7388">
        <v>0.95999939999999995</v>
      </c>
      <c r="N7388">
        <v>-1.2788219999999999E-2</v>
      </c>
      <c r="O7388">
        <v>-0.27971000000000001</v>
      </c>
      <c r="P7388">
        <v>0.99039359999999999</v>
      </c>
      <c r="Q7388">
        <v>-0.13827719999999999</v>
      </c>
      <c r="R7388">
        <v>-2.7180089999999997E-4</v>
      </c>
      <c r="S7388">
        <v>2.9735109999999998</v>
      </c>
      <c r="T7388">
        <v>-0.39444010000000002</v>
      </c>
      <c r="U7388">
        <v>-0.17727660000000001</v>
      </c>
      <c r="V7388">
        <v>-0.27421230000000002</v>
      </c>
      <c r="W7388">
        <v>-0.13160479999999899</v>
      </c>
      <c r="X7388">
        <v>0.95262150000000001</v>
      </c>
      <c r="Y7388">
        <v>-0.21808859999999999</v>
      </c>
      <c r="Z7388">
        <v>4.8644E-2</v>
      </c>
      <c r="AA7388">
        <v>0.97471589999999997</v>
      </c>
      <c r="AB7388">
        <v>23</v>
      </c>
      <c r="AC7388">
        <v>8.3877999999999702</v>
      </c>
      <c r="AD7388">
        <v>-1.128576003741</v>
      </c>
      <c r="AE7388">
        <v>-0.479739999999999</v>
      </c>
      <c r="AF7388">
        <v>-1.8523310013615799</v>
      </c>
      <c r="AG7388">
        <v>-1.128576003741</v>
      </c>
      <c r="AH7388">
        <v>8.0420251577778092</v>
      </c>
      <c r="AI7388">
        <v>97.787128462501499</v>
      </c>
      <c r="AJ7388">
        <v>102.97079763393501</v>
      </c>
      <c r="AK7388">
        <v>8.3294046950041096</v>
      </c>
      <c r="AL7388">
        <v>97.562337679281697</v>
      </c>
      <c r="AM7388">
        <v>106.058475281437</v>
      </c>
      <c r="AN7388">
        <v>0.99999996555828896</v>
      </c>
    </row>
    <row r="7389" spans="1:40" x14ac:dyDescent="0.25">
      <c r="A7389" t="str">
        <f>"20190303154956250"</f>
        <v>20190303154956250</v>
      </c>
      <c r="B7389" t="str">
        <f>"1551599396238294"</f>
        <v>1551599396238294</v>
      </c>
      <c r="C7389" t="s">
        <v>40</v>
      </c>
      <c r="D7389">
        <v>6.1488319999999996</v>
      </c>
      <c r="E7389">
        <v>0.52128549999999996</v>
      </c>
      <c r="F7389" t="s">
        <v>64</v>
      </c>
      <c r="G7389">
        <v>-280.98590000000002</v>
      </c>
      <c r="H7389" s="1">
        <v>-7.0488909999999999E-6</v>
      </c>
      <c r="I7389">
        <v>-63.324100000000001</v>
      </c>
      <c r="J7389">
        <v>-289.3879</v>
      </c>
      <c r="K7389">
        <v>1.12853799999999</v>
      </c>
      <c r="L7389">
        <v>-62.863619999999997</v>
      </c>
      <c r="M7389">
        <v>0.962117</v>
      </c>
      <c r="N7389">
        <v>-1.2812749999999999E-2</v>
      </c>
      <c r="O7389">
        <v>-0.27233580000000002</v>
      </c>
      <c r="P7389">
        <v>0.99037839999999999</v>
      </c>
      <c r="Q7389">
        <v>-0.1383624</v>
      </c>
      <c r="R7389">
        <v>2.5796170000000002E-3</v>
      </c>
      <c r="S7389">
        <v>2.974091</v>
      </c>
      <c r="T7389">
        <v>-0.39370729999999998</v>
      </c>
      <c r="U7389">
        <v>-0.17010500000000001</v>
      </c>
      <c r="V7389">
        <v>-0.26965980000000001</v>
      </c>
      <c r="W7389">
        <v>-0.1315335</v>
      </c>
      <c r="X7389">
        <v>0.9539301</v>
      </c>
      <c r="Y7389">
        <v>-0.2130696</v>
      </c>
      <c r="Z7389">
        <v>4.7339659999999999E-2</v>
      </c>
      <c r="AA7389">
        <v>0.97588949999999997</v>
      </c>
      <c r="AB7389">
        <v>23</v>
      </c>
      <c r="AC7389">
        <v>8.4019999999999797</v>
      </c>
      <c r="AD7389">
        <v>-1.1285450488909901</v>
      </c>
      <c r="AE7389">
        <v>-0.460480000000003</v>
      </c>
      <c r="AF7389">
        <v>-1.8126757207914299</v>
      </c>
      <c r="AG7389">
        <v>-1.1285450488909901</v>
      </c>
      <c r="AH7389">
        <v>8.0647219374928891</v>
      </c>
      <c r="AI7389">
        <v>97.774511263425396</v>
      </c>
      <c r="AJ7389">
        <v>102.667624581309</v>
      </c>
      <c r="AK7389">
        <v>8.3426103304182995</v>
      </c>
      <c r="AL7389">
        <v>97.558216004939695</v>
      </c>
      <c r="AM7389">
        <v>105.784694434876</v>
      </c>
      <c r="AN7389">
        <v>1.00000005252214</v>
      </c>
    </row>
    <row r="7390" spans="1:40" x14ac:dyDescent="0.25">
      <c r="A7390" t="str">
        <f>"20190303154956262"</f>
        <v>20190303154956262</v>
      </c>
      <c r="B7390" t="str">
        <f>"1551599396257814"</f>
        <v>1551599396257814</v>
      </c>
      <c r="C7390" t="s">
        <v>40</v>
      </c>
      <c r="D7390">
        <v>6.1217350000000001</v>
      </c>
      <c r="E7390">
        <v>0.52163970000000004</v>
      </c>
      <c r="F7390" t="s">
        <v>64</v>
      </c>
      <c r="G7390">
        <v>-280.84539999999998</v>
      </c>
      <c r="H7390" s="1">
        <v>-7.0952409999999999E-6</v>
      </c>
      <c r="I7390">
        <v>-63.330109999999998</v>
      </c>
      <c r="J7390">
        <v>-289.2672</v>
      </c>
      <c r="K7390">
        <v>1.1285080000000001</v>
      </c>
      <c r="L7390">
        <v>-62.889560000000003</v>
      </c>
      <c r="M7390">
        <v>0.96412759999999997</v>
      </c>
      <c r="N7390">
        <v>-1.2837640000000001E-2</v>
      </c>
      <c r="O7390">
        <v>-0.26512869999999999</v>
      </c>
      <c r="P7390">
        <v>0.99032169999999997</v>
      </c>
      <c r="Q7390">
        <v>-0.13869790000000001</v>
      </c>
      <c r="R7390">
        <v>5.0970640000000001E-3</v>
      </c>
      <c r="S7390">
        <v>2.9747309999999998</v>
      </c>
      <c r="T7390">
        <v>-0.39298729999999998</v>
      </c>
      <c r="U7390">
        <v>-0.16244510000000001</v>
      </c>
      <c r="V7390">
        <v>-0.26494590000000001</v>
      </c>
      <c r="W7390">
        <v>-0.13171169999999999</v>
      </c>
      <c r="X7390">
        <v>0.95522549999999995</v>
      </c>
      <c r="Y7390">
        <v>-0.20838590000000001</v>
      </c>
      <c r="Z7390">
        <v>4.6082350000000001E-2</v>
      </c>
      <c r="AA7390">
        <v>0.97696050000000001</v>
      </c>
      <c r="AB7390">
        <v>23</v>
      </c>
      <c r="AC7390">
        <v>8.4218000000000099</v>
      </c>
      <c r="AD7390">
        <v>-1.1285150952409999</v>
      </c>
      <c r="AE7390">
        <v>-0.440550000000001</v>
      </c>
      <c r="AF7390">
        <v>-1.7764528320683499</v>
      </c>
      <c r="AG7390">
        <v>-1.1285150952409999</v>
      </c>
      <c r="AH7390">
        <v>8.0922642072545905</v>
      </c>
      <c r="AI7390">
        <v>97.756666422174803</v>
      </c>
      <c r="AJ7390">
        <v>102.381446949205</v>
      </c>
      <c r="AK7390">
        <v>8.3614634475529606</v>
      </c>
      <c r="AL7390">
        <v>97.568515901114793</v>
      </c>
      <c r="AM7390">
        <v>105.50214009411501</v>
      </c>
      <c r="AN7390">
        <v>1.0000000288469699</v>
      </c>
    </row>
    <row r="7391" spans="1:40" x14ac:dyDescent="0.25">
      <c r="A7391" t="str">
        <f>"20190303154956276"</f>
        <v>20190303154956276</v>
      </c>
      <c r="B7391" t="str">
        <f>"1551599396268550"</f>
        <v>1551599396268550</v>
      </c>
      <c r="C7391" t="s">
        <v>40</v>
      </c>
      <c r="D7391">
        <v>6.1446519999999998</v>
      </c>
      <c r="E7391">
        <v>0.52182280000000003</v>
      </c>
      <c r="F7391" t="s">
        <v>64</v>
      </c>
      <c r="G7391">
        <v>-280.70519999999999</v>
      </c>
      <c r="H7391" s="1">
        <v>-7.1406879999999998E-6</v>
      </c>
      <c r="I7391">
        <v>-63.343330000000002</v>
      </c>
      <c r="J7391">
        <v>-289.13400000000001</v>
      </c>
      <c r="K7391">
        <v>1.1284799999999999</v>
      </c>
      <c r="L7391">
        <v>-62.916780000000003</v>
      </c>
      <c r="M7391">
        <v>0.96626480000000003</v>
      </c>
      <c r="N7391">
        <v>-1.286503E-2</v>
      </c>
      <c r="O7391">
        <v>-0.25722990000000001</v>
      </c>
      <c r="P7391">
        <v>0.99026550000000002</v>
      </c>
      <c r="Q7391">
        <v>-0.13897579999999901</v>
      </c>
      <c r="R7391">
        <v>7.7503549999999996E-3</v>
      </c>
      <c r="S7391">
        <v>2.9752200000000002</v>
      </c>
      <c r="T7391">
        <v>-0.39214969999999999</v>
      </c>
      <c r="U7391">
        <v>-0.157684299999999</v>
      </c>
      <c r="V7391">
        <v>-0.25969100000000001</v>
      </c>
      <c r="W7391">
        <v>-0.13181799999999999</v>
      </c>
      <c r="X7391">
        <v>0.95665279999999997</v>
      </c>
      <c r="Y7391">
        <v>-0.2020798</v>
      </c>
      <c r="Z7391">
        <v>4.4617900000000002E-2</v>
      </c>
      <c r="AA7391">
        <v>0.97835220000000001</v>
      </c>
      <c r="AB7391">
        <v>23</v>
      </c>
      <c r="AC7391">
        <v>8.4288000000000203</v>
      </c>
      <c r="AD7391">
        <v>-1.1284871406879999</v>
      </c>
      <c r="AE7391">
        <v>-0.42654999999999799</v>
      </c>
      <c r="AF7391">
        <v>-1.7252773370647401</v>
      </c>
      <c r="AG7391">
        <v>-1.1284871406879999</v>
      </c>
      <c r="AH7391">
        <v>8.1098569827907401</v>
      </c>
      <c r="AI7391">
        <v>97.750576259269707</v>
      </c>
      <c r="AJ7391">
        <v>102.009963361494</v>
      </c>
      <c r="AK7391">
        <v>8.3677861706551209</v>
      </c>
      <c r="AL7391">
        <v>97.574660307435494</v>
      </c>
      <c r="AM7391">
        <v>105.18740457254</v>
      </c>
      <c r="AN7391">
        <v>0.99999999017641905</v>
      </c>
    </row>
    <row r="7392" spans="1:40" x14ac:dyDescent="0.25">
      <c r="A7392" t="str">
        <f>"20190303154956290"</f>
        <v>20190303154956290</v>
      </c>
      <c r="B7392" t="str">
        <f>"1551599396278310"</f>
        <v>1551599396278310</v>
      </c>
      <c r="C7392" t="s">
        <v>40</v>
      </c>
      <c r="D7392">
        <v>6.1412659999999999</v>
      </c>
      <c r="E7392">
        <v>0.52182280000000003</v>
      </c>
      <c r="F7392" t="s">
        <v>64</v>
      </c>
      <c r="G7392">
        <v>-280.56760000000003</v>
      </c>
      <c r="H7392" s="1">
        <v>-7.1857550000000001E-6</v>
      </c>
      <c r="I7392">
        <v>-63.3521</v>
      </c>
      <c r="J7392">
        <v>-288.99669999999998</v>
      </c>
      <c r="K7392">
        <v>1.1284529999999999</v>
      </c>
      <c r="L7392">
        <v>-62.943759999999997</v>
      </c>
      <c r="M7392">
        <v>0.96838670000000004</v>
      </c>
      <c r="N7392">
        <v>-1.289364E-2</v>
      </c>
      <c r="O7392">
        <v>-0.2491206</v>
      </c>
      <c r="P7392">
        <v>0.99020010000000003</v>
      </c>
      <c r="Q7392">
        <v>-0.13957729999999999</v>
      </c>
      <c r="R7392">
        <v>4.7063399999999998E-3</v>
      </c>
      <c r="S7392">
        <v>2.9756770000000001</v>
      </c>
      <c r="T7392">
        <v>-0.39199919999999999</v>
      </c>
      <c r="U7392">
        <v>-0.1512146</v>
      </c>
      <c r="V7392">
        <v>-0.2487154</v>
      </c>
      <c r="W7392">
        <v>-0.1321177</v>
      </c>
      <c r="X7392">
        <v>0.95952360000000003</v>
      </c>
      <c r="Y7392">
        <v>-0.19611410000000001</v>
      </c>
      <c r="Z7392">
        <v>4.3238350000000002E-2</v>
      </c>
      <c r="AA7392">
        <v>0.97962729999999998</v>
      </c>
      <c r="AB7392">
        <v>23</v>
      </c>
      <c r="AC7392">
        <v>8.4290999999999396</v>
      </c>
      <c r="AD7392">
        <v>-1.1284601857550001</v>
      </c>
      <c r="AE7392">
        <v>-0.40834000000000198</v>
      </c>
      <c r="AF7392">
        <v>-1.6746289597819199</v>
      </c>
      <c r="AG7392">
        <v>-1.1284601857550001</v>
      </c>
      <c r="AH7392">
        <v>8.1198496719605799</v>
      </c>
      <c r="AI7392">
        <v>97.750951471117105</v>
      </c>
      <c r="AJ7392">
        <v>101.653231196403</v>
      </c>
      <c r="AK7392">
        <v>8.3671837101268896</v>
      </c>
      <c r="AL7392">
        <v>97.591983377624302</v>
      </c>
      <c r="AM7392">
        <v>104.531658693121</v>
      </c>
      <c r="AN7392">
        <v>0.99999998790370404</v>
      </c>
    </row>
    <row r="7393" spans="1:40" x14ac:dyDescent="0.25">
      <c r="A7393" t="str">
        <f>"20190303154956304"</f>
        <v>20190303154956304</v>
      </c>
      <c r="B7393" t="str">
        <f>"1551599396297830"</f>
        <v>1551599396297830</v>
      </c>
      <c r="C7393" t="s">
        <v>40</v>
      </c>
      <c r="D7393">
        <v>6.1334629999999999</v>
      </c>
      <c r="E7393">
        <v>0.52542409999999995</v>
      </c>
      <c r="F7393" t="s">
        <v>64</v>
      </c>
      <c r="G7393">
        <v>-280.4726</v>
      </c>
      <c r="H7393" s="1">
        <v>-7.2118059999999999E-6</v>
      </c>
      <c r="I7393">
        <v>-63.403080000000003</v>
      </c>
      <c r="J7393">
        <v>-288.8657</v>
      </c>
      <c r="K7393">
        <v>1.1284270000000001</v>
      </c>
      <c r="L7393">
        <v>-62.968629999999997</v>
      </c>
      <c r="M7393">
        <v>0.97033769999999997</v>
      </c>
      <c r="N7393">
        <v>-1.2921119999999999E-2</v>
      </c>
      <c r="O7393">
        <v>-0.24140790000000001</v>
      </c>
      <c r="P7393">
        <v>0.99021009999999998</v>
      </c>
      <c r="Q7393">
        <v>-0.13944400000000001</v>
      </c>
      <c r="R7393">
        <v>6.2751179999999997E-3</v>
      </c>
      <c r="S7393">
        <v>2.974945</v>
      </c>
      <c r="T7393">
        <v>-0.39383980000000002</v>
      </c>
      <c r="U7393">
        <v>-0.1603088</v>
      </c>
      <c r="V7393">
        <v>-0.24262729999999999</v>
      </c>
      <c r="W7393">
        <v>-0.1317982</v>
      </c>
      <c r="X7393">
        <v>0.96112500000000001</v>
      </c>
      <c r="Y7393">
        <v>-0.18542510000000001</v>
      </c>
      <c r="Z7393">
        <v>4.1789350000000003E-2</v>
      </c>
      <c r="AA7393">
        <v>0.98176940000000001</v>
      </c>
      <c r="AB7393">
        <v>23</v>
      </c>
      <c r="AC7393">
        <v>8.3931000000000004</v>
      </c>
      <c r="AD7393">
        <v>-1.128434211806</v>
      </c>
      <c r="AE7393">
        <v>-0.434449999999998</v>
      </c>
      <c r="AF7393">
        <v>-1.5763137539666701</v>
      </c>
      <c r="AG7393">
        <v>-1.128434211806</v>
      </c>
      <c r="AH7393">
        <v>8.1036184035495697</v>
      </c>
      <c r="AI7393">
        <v>97.7834478674325</v>
      </c>
      <c r="AJ7393">
        <v>101.00769780370101</v>
      </c>
      <c r="AK7393">
        <v>8.3322722022066795</v>
      </c>
      <c r="AL7393">
        <v>97.573515647008406</v>
      </c>
      <c r="AM7393">
        <v>104.16779652947901</v>
      </c>
      <c r="AN7393">
        <v>1.0000000189267599</v>
      </c>
    </row>
    <row r="7394" spans="1:40" x14ac:dyDescent="0.25">
      <c r="A7394" t="str">
        <f>"20190303154956318"</f>
        <v>20190303154956318</v>
      </c>
      <c r="B7394" t="str">
        <f>"1551599396308567"</f>
        <v>1551599396308567</v>
      </c>
      <c r="C7394" t="s">
        <v>40</v>
      </c>
      <c r="D7394">
        <v>6.1423709999999998</v>
      </c>
      <c r="E7394">
        <v>0.5255088</v>
      </c>
      <c r="F7394" t="s">
        <v>41</v>
      </c>
      <c r="G7394">
        <v>-279.78410000000002</v>
      </c>
      <c r="H7394" s="1">
        <v>-3.7878279999999999E-6</v>
      </c>
      <c r="I7394">
        <v>-63.53181</v>
      </c>
      <c r="J7394">
        <v>-288.726</v>
      </c>
      <c r="K7394">
        <v>1.1283939999999999</v>
      </c>
      <c r="L7394">
        <v>-62.993870000000001</v>
      </c>
      <c r="M7394">
        <v>0.97233460000000005</v>
      </c>
      <c r="N7394">
        <v>-1.294999E-2</v>
      </c>
      <c r="O7394">
        <v>-0.23323369999999999</v>
      </c>
      <c r="P7394">
        <v>0.99023320000000004</v>
      </c>
      <c r="Q7394">
        <v>-0.1391694</v>
      </c>
      <c r="R7394">
        <v>8.3738909999999996E-3</v>
      </c>
      <c r="S7394">
        <v>2.978729</v>
      </c>
      <c r="T7394">
        <v>-0.37012</v>
      </c>
      <c r="U7394">
        <v>-0.1847229</v>
      </c>
      <c r="V7394">
        <v>-0.23661009999999999</v>
      </c>
      <c r="W7394">
        <v>-0.13133689999999901</v>
      </c>
      <c r="X7394">
        <v>0.96268699999999996</v>
      </c>
      <c r="Y7394">
        <v>-0.16978480000000001</v>
      </c>
      <c r="Z7394">
        <v>3.7156960000000003E-2</v>
      </c>
      <c r="AA7394">
        <v>0.9847804</v>
      </c>
      <c r="AB7394">
        <v>23</v>
      </c>
      <c r="AC7394">
        <v>8.9418999999999702</v>
      </c>
      <c r="AD7394">
        <v>-1.128397787828</v>
      </c>
      <c r="AE7394">
        <v>-0.53794000000000597</v>
      </c>
      <c r="AF7394">
        <v>-1.53821862185588</v>
      </c>
      <c r="AG7394">
        <v>-1.128397787828</v>
      </c>
      <c r="AH7394">
        <v>8.68295040358276</v>
      </c>
      <c r="AI7394">
        <v>97.292117190161093</v>
      </c>
      <c r="AJ7394">
        <v>100.045944431015</v>
      </c>
      <c r="AK7394">
        <v>8.8900520699980898</v>
      </c>
      <c r="AL7394">
        <v>97.546853551174905</v>
      </c>
      <c r="AM7394">
        <v>103.80850303355</v>
      </c>
      <c r="AN7394">
        <v>0.99999999034630904</v>
      </c>
    </row>
    <row r="7395" spans="1:40" x14ac:dyDescent="0.25">
      <c r="A7395" t="str">
        <f>"20190303154956331"</f>
        <v>20190303154956331</v>
      </c>
      <c r="B7395" t="str">
        <f>"1551599396328086"</f>
        <v>1551599396328086</v>
      </c>
      <c r="C7395" t="s">
        <v>40</v>
      </c>
      <c r="D7395">
        <v>6.1219169999999998</v>
      </c>
      <c r="E7395">
        <v>0.52531949999999905</v>
      </c>
      <c r="F7395" t="s">
        <v>41</v>
      </c>
      <c r="G7395">
        <v>-279.6576</v>
      </c>
      <c r="H7395" s="1">
        <v>-3.7457340000000001E-6</v>
      </c>
      <c r="I7395">
        <v>-63.538910000000001</v>
      </c>
      <c r="J7395">
        <v>-288.5967</v>
      </c>
      <c r="K7395">
        <v>1.128366</v>
      </c>
      <c r="L7395">
        <v>-63.016019999999997</v>
      </c>
      <c r="M7395">
        <v>0.97411009999999998</v>
      </c>
      <c r="N7395">
        <v>-1.297508E-2</v>
      </c>
      <c r="O7395">
        <v>-0.22570180000000001</v>
      </c>
      <c r="P7395">
        <v>0.99027659999999995</v>
      </c>
      <c r="Q7395">
        <v>-0.13878499999999999</v>
      </c>
      <c r="R7395">
        <v>9.5385330000000001E-3</v>
      </c>
      <c r="S7395">
        <v>2.9789729999999999</v>
      </c>
      <c r="T7395">
        <v>-0.3706759</v>
      </c>
      <c r="U7395">
        <v>-0.1790466</v>
      </c>
      <c r="V7395">
        <v>-0.23033190000000001</v>
      </c>
      <c r="W7395">
        <v>-0.13076479999999999</v>
      </c>
      <c r="X7395">
        <v>0.96428610000000003</v>
      </c>
      <c r="Y7395">
        <v>-0.1641164</v>
      </c>
      <c r="Z7395">
        <v>3.601356E-2</v>
      </c>
      <c r="AA7395">
        <v>0.98578330000000003</v>
      </c>
      <c r="AB7395">
        <v>23</v>
      </c>
      <c r="AC7395">
        <v>8.9390999999999892</v>
      </c>
      <c r="AD7395">
        <v>-1.1283697457340001</v>
      </c>
      <c r="AE7395">
        <v>-0.52288999999999597</v>
      </c>
      <c r="AF7395">
        <v>-1.4847682891255101</v>
      </c>
      <c r="AG7395">
        <v>-1.1283697457340001</v>
      </c>
      <c r="AH7395">
        <v>8.6884603736613393</v>
      </c>
      <c r="AI7395">
        <v>97.2949947966883</v>
      </c>
      <c r="AJ7395">
        <v>99.6975816233643</v>
      </c>
      <c r="AK7395">
        <v>8.8863433886027501</v>
      </c>
      <c r="AL7395">
        <v>97.513789784627406</v>
      </c>
      <c r="AM7395">
        <v>103.43409927267599</v>
      </c>
      <c r="AN7395">
        <v>0.99999994986492802</v>
      </c>
    </row>
    <row r="7396" spans="1:40" x14ac:dyDescent="0.25">
      <c r="A7396" t="str">
        <f>"20190303154956346"</f>
        <v>20190303154956346</v>
      </c>
      <c r="B7396" t="str">
        <f>"1551599396337846"</f>
        <v>1551599396337846</v>
      </c>
      <c r="C7396" t="s">
        <v>40</v>
      </c>
      <c r="D7396">
        <v>6.138439</v>
      </c>
      <c r="E7396">
        <v>0.52528180000000002</v>
      </c>
      <c r="F7396" t="s">
        <v>41</v>
      </c>
      <c r="G7396">
        <v>-279.54430000000002</v>
      </c>
      <c r="H7396" s="1">
        <v>-3.7079929999999999E-6</v>
      </c>
      <c r="I7396">
        <v>-63.544780000000003</v>
      </c>
      <c r="J7396">
        <v>-288.45429999999999</v>
      </c>
      <c r="K7396">
        <v>1.1283240000000001</v>
      </c>
      <c r="L7396">
        <v>-63.039549999999998</v>
      </c>
      <c r="M7396">
        <v>0.97598669999999998</v>
      </c>
      <c r="N7396">
        <v>-1.3000879999999999E-2</v>
      </c>
      <c r="O7396">
        <v>-0.21744230000000001</v>
      </c>
      <c r="P7396">
        <v>0.99035289999999998</v>
      </c>
      <c r="Q7396">
        <v>-0.13850509999999999</v>
      </c>
      <c r="R7396">
        <v>4.2241989999999997E-3</v>
      </c>
      <c r="S7396">
        <v>2.979095</v>
      </c>
      <c r="T7396">
        <v>-0.37134210000000001</v>
      </c>
      <c r="U7396">
        <v>-0.1740112</v>
      </c>
      <c r="V7396">
        <v>-0.21702260000000001</v>
      </c>
      <c r="W7396">
        <v>-0.13013720000000001</v>
      </c>
      <c r="X7396">
        <v>0.96745309999999995</v>
      </c>
      <c r="Y7396">
        <v>-0.1575174</v>
      </c>
      <c r="Z7396">
        <v>3.4734229999999998E-2</v>
      </c>
      <c r="AA7396">
        <v>0.98690520000000004</v>
      </c>
      <c r="AB7396">
        <v>23</v>
      </c>
      <c r="AC7396">
        <v>8.9099999999999593</v>
      </c>
      <c r="AD7396">
        <v>-1.1283277079930001</v>
      </c>
      <c r="AE7396">
        <v>-0.50523000000000395</v>
      </c>
      <c r="AF7396">
        <v>-1.42170860676966</v>
      </c>
      <c r="AG7396">
        <v>-1.1283277079930001</v>
      </c>
      <c r="AH7396">
        <v>8.6680812862754308</v>
      </c>
      <c r="AI7396">
        <v>97.319792274368695</v>
      </c>
      <c r="AJ7396">
        <v>99.314521151423904</v>
      </c>
      <c r="AK7396">
        <v>8.8560720392658308</v>
      </c>
      <c r="AL7396">
        <v>97.477520646944598</v>
      </c>
      <c r="AM7396">
        <v>102.643492844156</v>
      </c>
      <c r="AN7396">
        <v>1.0000000002170999</v>
      </c>
    </row>
    <row r="7397" spans="1:40" x14ac:dyDescent="0.25">
      <c r="A7397" t="str">
        <f>"20190303154956358"</f>
        <v>20190303154956358</v>
      </c>
      <c r="B7397" t="str">
        <f>"1551599396348583"</f>
        <v>1551599396348583</v>
      </c>
      <c r="C7397" t="s">
        <v>40</v>
      </c>
      <c r="D7397">
        <v>6.1195449999999996</v>
      </c>
      <c r="E7397">
        <v>0.52519259999999901</v>
      </c>
      <c r="F7397" t="s">
        <v>41</v>
      </c>
      <c r="G7397">
        <v>-279.41550000000001</v>
      </c>
      <c r="H7397" s="1">
        <v>-3.6735399999999999E-6</v>
      </c>
      <c r="I7397">
        <v>-63.615130000000001</v>
      </c>
      <c r="J7397">
        <v>-288.33690000000001</v>
      </c>
      <c r="K7397">
        <v>1.128279</v>
      </c>
      <c r="L7397">
        <v>-63.058039999999998</v>
      </c>
      <c r="M7397">
        <v>0.97746900000000003</v>
      </c>
      <c r="N7397">
        <v>-1.3019950000000001E-2</v>
      </c>
      <c r="O7397">
        <v>-0.2106768</v>
      </c>
      <c r="P7397">
        <v>0.99031069999999999</v>
      </c>
      <c r="Q7397">
        <v>-0.138818</v>
      </c>
      <c r="R7397">
        <v>3.7916809999999999E-3</v>
      </c>
      <c r="S7397">
        <v>2.978027</v>
      </c>
      <c r="T7397">
        <v>-0.37175269999999999</v>
      </c>
      <c r="U7397">
        <v>-0.1896362</v>
      </c>
      <c r="V7397">
        <v>-0.20990600000000001</v>
      </c>
      <c r="W7397">
        <v>-0.13025249999999999</v>
      </c>
      <c r="X7397">
        <v>0.96900660000000005</v>
      </c>
      <c r="Y7397">
        <v>-0.14562359999999999</v>
      </c>
      <c r="Z7397">
        <v>3.3225770000000002E-2</v>
      </c>
      <c r="AA7397">
        <v>0.98878200000000005</v>
      </c>
      <c r="AB7397">
        <v>23</v>
      </c>
      <c r="AC7397">
        <v>8.9214000000000002</v>
      </c>
      <c r="AD7397">
        <v>-1.12828267354</v>
      </c>
      <c r="AE7397">
        <v>-0.55709000000000197</v>
      </c>
      <c r="AF7397">
        <v>-1.31416925051995</v>
      </c>
      <c r="AG7397">
        <v>-1.12828267354</v>
      </c>
      <c r="AH7397">
        <v>8.6998978255296695</v>
      </c>
      <c r="AI7397">
        <v>97.307410856540699</v>
      </c>
      <c r="AJ7397">
        <v>98.5899131789092</v>
      </c>
      <c r="AK7397">
        <v>8.8706417346818096</v>
      </c>
      <c r="AL7397">
        <v>97.484183438011897</v>
      </c>
      <c r="AM7397">
        <v>102.222556896944</v>
      </c>
      <c r="AN7397">
        <v>1.0000000167179</v>
      </c>
    </row>
    <row r="7398" spans="1:40" x14ac:dyDescent="0.25">
      <c r="A7398" t="str">
        <f>"20190303154956371"</f>
        <v>20190303154956371</v>
      </c>
      <c r="B7398" t="str">
        <f>"1551599396368103"</f>
        <v>1551599396368103</v>
      </c>
      <c r="C7398" t="s">
        <v>40</v>
      </c>
      <c r="D7398">
        <v>6.1260700000000003</v>
      </c>
      <c r="E7398">
        <v>0.52479790000000004</v>
      </c>
      <c r="F7398" t="s">
        <v>41</v>
      </c>
      <c r="G7398">
        <v>-279.33640000000003</v>
      </c>
      <c r="H7398" s="1">
        <v>-3.6490000000000001E-6</v>
      </c>
      <c r="I7398">
        <v>-63.632899999999999</v>
      </c>
      <c r="J7398">
        <v>-288.21030000000002</v>
      </c>
      <c r="K7398">
        <v>1.1282219999999901</v>
      </c>
      <c r="L7398">
        <v>-63.0768699999999</v>
      </c>
      <c r="M7398">
        <v>0.9790006</v>
      </c>
      <c r="N7398">
        <v>-1.303644E-2</v>
      </c>
      <c r="O7398">
        <v>-0.20344039999999999</v>
      </c>
      <c r="P7398">
        <v>0.9902318</v>
      </c>
      <c r="Q7398">
        <v>-0.13939219999999999</v>
      </c>
      <c r="R7398">
        <v>3.290613E-3</v>
      </c>
      <c r="S7398">
        <v>2.977722</v>
      </c>
      <c r="T7398">
        <v>-0.37328050000000002</v>
      </c>
      <c r="U7398">
        <v>-0.19018550000000001</v>
      </c>
      <c r="V7398">
        <v>-0.20224690000000001</v>
      </c>
      <c r="W7398">
        <v>-0.1306167</v>
      </c>
      <c r="X7398">
        <v>0.97058509999999998</v>
      </c>
      <c r="Y7398">
        <v>-0.1382004</v>
      </c>
      <c r="Z7398">
        <v>3.2069210000000001E-2</v>
      </c>
      <c r="AA7398">
        <v>0.98988500000000001</v>
      </c>
      <c r="AB7398">
        <v>23</v>
      </c>
      <c r="AC7398">
        <v>8.8738999999999901</v>
      </c>
      <c r="AD7398">
        <v>-1.12822564899999</v>
      </c>
      <c r="AE7398">
        <v>-0.55603000000000602</v>
      </c>
      <c r="AF7398">
        <v>-1.24108013767303</v>
      </c>
      <c r="AG7398">
        <v>-1.12822564899999</v>
      </c>
      <c r="AH7398">
        <v>8.6619510631603003</v>
      </c>
      <c r="AI7398">
        <v>97.346843512185799</v>
      </c>
      <c r="AJ7398">
        <v>98.1538170265557</v>
      </c>
      <c r="AK7398">
        <v>8.8228436030438502</v>
      </c>
      <c r="AL7398">
        <v>97.505230616279903</v>
      </c>
      <c r="AM7398">
        <v>101.77064650685</v>
      </c>
      <c r="AN7398">
        <v>0.999999983610254</v>
      </c>
    </row>
    <row r="7399" spans="1:40" x14ac:dyDescent="0.25">
      <c r="A7399" t="str">
        <f>"20190303154956383"</f>
        <v>20190303154956383</v>
      </c>
      <c r="B7399" t="str">
        <f>"1551599396377862"</f>
        <v>1551599396377862</v>
      </c>
      <c r="C7399" t="s">
        <v>40</v>
      </c>
      <c r="D7399">
        <v>6.1037109999999997</v>
      </c>
      <c r="E7399">
        <v>0.5245727</v>
      </c>
      <c r="F7399" t="s">
        <v>41</v>
      </c>
      <c r="G7399">
        <v>-279.35329999999999</v>
      </c>
      <c r="H7399" s="1">
        <v>-3.6553680000000002E-6</v>
      </c>
      <c r="I7399">
        <v>-63.637569999999997</v>
      </c>
      <c r="J7399">
        <v>-288.08519999999999</v>
      </c>
      <c r="K7399">
        <v>1.1281570000000001</v>
      </c>
      <c r="L7399">
        <v>-63.094880000000003</v>
      </c>
      <c r="M7399">
        <v>0.98045269999999995</v>
      </c>
      <c r="N7399">
        <v>-1.3050630000000001E-2</v>
      </c>
      <c r="O7399">
        <v>-0.19632140000000001</v>
      </c>
      <c r="P7399">
        <v>0.99016389999999999</v>
      </c>
      <c r="Q7399">
        <v>-0.13988499999999901</v>
      </c>
      <c r="R7399">
        <v>2.7634790000000001E-3</v>
      </c>
      <c r="S7399">
        <v>2.976807</v>
      </c>
      <c r="T7399">
        <v>-0.37919000000000003</v>
      </c>
      <c r="U7399">
        <v>-0.188446</v>
      </c>
      <c r="V7399">
        <v>-0.1946831</v>
      </c>
      <c r="W7399">
        <v>-0.13090370000000001</v>
      </c>
      <c r="X7399">
        <v>0.97209190000000001</v>
      </c>
      <c r="Y7399">
        <v>-0.13158039999999999</v>
      </c>
      <c r="Z7399">
        <v>3.1356189999999999E-2</v>
      </c>
      <c r="AA7399">
        <v>0.99080939999999995</v>
      </c>
      <c r="AB7399">
        <v>23</v>
      </c>
      <c r="AC7399">
        <v>8.7318999999999907</v>
      </c>
      <c r="AD7399">
        <v>-1.1281606553679999</v>
      </c>
      <c r="AE7399">
        <v>-0.54268999999999301</v>
      </c>
      <c r="AF7399">
        <v>-1.16293988461121</v>
      </c>
      <c r="AG7399">
        <v>-1.1281606553679999</v>
      </c>
      <c r="AH7399">
        <v>8.5267098058173492</v>
      </c>
      <c r="AI7399">
        <v>97.468619244195807</v>
      </c>
      <c r="AJ7399">
        <v>97.766529785366899</v>
      </c>
      <c r="AK7399">
        <v>8.6792831358448996</v>
      </c>
      <c r="AL7399">
        <v>97.521816979461605</v>
      </c>
      <c r="AM7399">
        <v>101.324934363785</v>
      </c>
      <c r="AN7399">
        <v>0.99999997507245397</v>
      </c>
    </row>
    <row r="7400" spans="1:40" x14ac:dyDescent="0.25">
      <c r="A7400" t="str">
        <f>"20190303154956396"</f>
        <v>20190303154956396</v>
      </c>
      <c r="B7400" t="str">
        <f>"1551599396388598"</f>
        <v>1551599396388598</v>
      </c>
      <c r="C7400" t="s">
        <v>40</v>
      </c>
      <c r="D7400">
        <v>6.1142310000000002</v>
      </c>
      <c r="E7400">
        <v>0.52447460000000001</v>
      </c>
      <c r="F7400" t="s">
        <v>41</v>
      </c>
      <c r="G7400">
        <v>-279.30930000000001</v>
      </c>
      <c r="H7400" s="1">
        <v>-3.642007E-6</v>
      </c>
      <c r="I7400">
        <v>-63.649639999999998</v>
      </c>
      <c r="J7400">
        <v>-287.96170000000001</v>
      </c>
      <c r="K7400">
        <v>1.128077</v>
      </c>
      <c r="L7400">
        <v>-63.111660000000001</v>
      </c>
      <c r="M7400">
        <v>0.98181859999999999</v>
      </c>
      <c r="N7400">
        <v>-1.3059899999999999E-2</v>
      </c>
      <c r="O7400">
        <v>-0.1893716</v>
      </c>
      <c r="P7400">
        <v>0.99003140000000001</v>
      </c>
      <c r="Q7400">
        <v>-0.1408326</v>
      </c>
      <c r="R7400">
        <v>2.0006590000000001E-3</v>
      </c>
      <c r="S7400">
        <v>2.9762569999999999</v>
      </c>
      <c r="T7400">
        <v>-0.38260070000000002</v>
      </c>
      <c r="U7400">
        <v>-0.1881409</v>
      </c>
      <c r="V7400">
        <v>-0.1870387</v>
      </c>
      <c r="W7400">
        <v>-0.13164619999999999</v>
      </c>
      <c r="X7400">
        <v>0.97349149999999995</v>
      </c>
      <c r="Y7400">
        <v>-0.1247071</v>
      </c>
      <c r="Z7400">
        <v>3.0390339999999998E-2</v>
      </c>
      <c r="AA7400">
        <v>0.9917281</v>
      </c>
      <c r="AB7400">
        <v>23</v>
      </c>
      <c r="AC7400">
        <v>8.6524000000000001</v>
      </c>
      <c r="AD7400">
        <v>-1.128080642007</v>
      </c>
      <c r="AE7400">
        <v>-0.53798000000000401</v>
      </c>
      <c r="AF7400">
        <v>-1.0919253384283401</v>
      </c>
      <c r="AG7400">
        <v>-1.128080642007</v>
      </c>
      <c r="AH7400">
        <v>8.45453907121124</v>
      </c>
      <c r="AI7400">
        <v>97.538147787177394</v>
      </c>
      <c r="AJ7400">
        <v>97.3591589936605</v>
      </c>
      <c r="AK7400">
        <v>8.5990754029843295</v>
      </c>
      <c r="AL7400">
        <v>97.564730670302794</v>
      </c>
      <c r="AM7400">
        <v>100.875809727518</v>
      </c>
      <c r="AN7400">
        <v>0.99999994892218802</v>
      </c>
    </row>
    <row r="7401" spans="1:40" x14ac:dyDescent="0.25">
      <c r="A7401" t="str">
        <f>"20190303154956409"</f>
        <v>20190303154956409</v>
      </c>
      <c r="B7401" t="str">
        <f>"1551599396398358"</f>
        <v>1551599396398358</v>
      </c>
      <c r="C7401" t="s">
        <v>40</v>
      </c>
      <c r="D7401">
        <v>6.1166989999999997</v>
      </c>
      <c r="E7401">
        <v>0.52448240000000002</v>
      </c>
      <c r="F7401" t="s">
        <v>41</v>
      </c>
      <c r="G7401">
        <v>-279.27640000000002</v>
      </c>
      <c r="H7401" s="1">
        <v>-3.6328990000000002E-6</v>
      </c>
      <c r="I7401">
        <v>-63.6652699999999</v>
      </c>
      <c r="J7401">
        <v>-287.84050000000002</v>
      </c>
      <c r="K7401">
        <v>1.1279870000000001</v>
      </c>
      <c r="L7401">
        <v>-63.127290000000002</v>
      </c>
      <c r="M7401">
        <v>0.98309690000000005</v>
      </c>
      <c r="N7401">
        <v>-1.30665E-2</v>
      </c>
      <c r="O7401">
        <v>-0.1826198</v>
      </c>
      <c r="P7401">
        <v>0.98991689999999999</v>
      </c>
      <c r="Q7401">
        <v>-0.1416471</v>
      </c>
      <c r="R7401">
        <v>8.8461399999999895E-4</v>
      </c>
      <c r="S7401">
        <v>2.9756469999999999</v>
      </c>
      <c r="T7401">
        <v>-0.38648519999999997</v>
      </c>
      <c r="U7401">
        <v>-0.18966669999999999</v>
      </c>
      <c r="V7401">
        <v>-0.17925079999999999</v>
      </c>
      <c r="W7401">
        <v>-0.1322546</v>
      </c>
      <c r="X7401">
        <v>0.9748732</v>
      </c>
      <c r="Y7401">
        <v>-0.1174277</v>
      </c>
      <c r="Z7401">
        <v>2.9431229999999999E-2</v>
      </c>
      <c r="AA7401">
        <v>0.99264520000000001</v>
      </c>
      <c r="AB7401">
        <v>23</v>
      </c>
      <c r="AC7401">
        <v>8.5640999999999892</v>
      </c>
      <c r="AD7401">
        <v>-1.1279906328989999</v>
      </c>
      <c r="AE7401">
        <v>-0.53797999999999002</v>
      </c>
      <c r="AF7401">
        <v>-1.0175922813062299</v>
      </c>
      <c r="AG7401">
        <v>-1.1279906328989999</v>
      </c>
      <c r="AH7401">
        <v>8.3736182317867591</v>
      </c>
      <c r="AI7401">
        <v>97.616627856729394</v>
      </c>
      <c r="AJ7401">
        <v>96.928814803068306</v>
      </c>
      <c r="AK7401">
        <v>8.5103078211421703</v>
      </c>
      <c r="AL7401">
        <v>97.599896957894799</v>
      </c>
      <c r="AM7401">
        <v>100.418652984174</v>
      </c>
      <c r="AN7401">
        <v>0.99999994230001799</v>
      </c>
    </row>
    <row r="7402" spans="1:40" x14ac:dyDescent="0.25">
      <c r="A7402" t="str">
        <f>"20190303154956423"</f>
        <v>20190303154956423</v>
      </c>
      <c r="B7402" t="str">
        <f>"1551599396417879"</f>
        <v>1551599396417879</v>
      </c>
      <c r="C7402" t="s">
        <v>40</v>
      </c>
      <c r="D7402">
        <v>6.1243179999999997</v>
      </c>
      <c r="E7402">
        <v>0.52554140000000005</v>
      </c>
      <c r="F7402" t="s">
        <v>41</v>
      </c>
      <c r="G7402">
        <v>-279.20679999999999</v>
      </c>
      <c r="H7402" s="1">
        <v>-3.6122100000000002E-6</v>
      </c>
      <c r="I7402">
        <v>-63.687530000000002</v>
      </c>
      <c r="J7402">
        <v>-287.69029999999998</v>
      </c>
      <c r="K7402">
        <v>1.1278629999999901</v>
      </c>
      <c r="L7402">
        <v>-63.145870000000002</v>
      </c>
      <c r="M7402">
        <v>0.98459940000000001</v>
      </c>
      <c r="N7402">
        <v>-1.307241E-2</v>
      </c>
      <c r="O7402">
        <v>-0.17433670000000001</v>
      </c>
      <c r="P7402">
        <v>0.98967890000000003</v>
      </c>
      <c r="Q7402">
        <v>-0.143179799999999</v>
      </c>
      <c r="R7402">
        <v>-5.9576119999999897E-3</v>
      </c>
      <c r="S7402">
        <v>2.975098</v>
      </c>
      <c r="T7402">
        <v>-0.38869559999999997</v>
      </c>
      <c r="U7402">
        <v>-0.19305420000000001</v>
      </c>
      <c r="V7402">
        <v>-0.16428480000000001</v>
      </c>
      <c r="W7402">
        <v>-0.1334265</v>
      </c>
      <c r="X7402">
        <v>0.97734739999999998</v>
      </c>
      <c r="Y7402">
        <v>-0.1080406</v>
      </c>
      <c r="Z7402">
        <v>2.7988320000000001E-2</v>
      </c>
      <c r="AA7402">
        <v>0.99375239999999998</v>
      </c>
      <c r="AB7402">
        <v>23</v>
      </c>
      <c r="AC7402">
        <v>8.4834999999999905</v>
      </c>
      <c r="AD7402">
        <v>-1.1278666122099901</v>
      </c>
      <c r="AE7402">
        <v>-0.54166000000000702</v>
      </c>
      <c r="AF7402">
        <v>-0.92938756999724403</v>
      </c>
      <c r="AG7402">
        <v>-1.1278666122099901</v>
      </c>
      <c r="AH7402">
        <v>8.3018598406870208</v>
      </c>
      <c r="AI7402">
        <v>97.689218431030397</v>
      </c>
      <c r="AJ7402">
        <v>96.387627563416501</v>
      </c>
      <c r="AK7402">
        <v>8.4295148831125104</v>
      </c>
      <c r="AL7402">
        <v>97.667641585944693</v>
      </c>
      <c r="AM7402">
        <v>99.541791896711601</v>
      </c>
      <c r="AN7402">
        <v>1.0000000333500201</v>
      </c>
    </row>
    <row r="7403" spans="1:40" x14ac:dyDescent="0.25">
      <c r="A7403" t="str">
        <f>"20190303154956434"</f>
        <v>20190303154956434</v>
      </c>
      <c r="B7403" t="str">
        <f>"1551599396427639"</f>
        <v>1551599396427639</v>
      </c>
      <c r="C7403" t="s">
        <v>40</v>
      </c>
      <c r="D7403">
        <v>6.1346109999999996</v>
      </c>
      <c r="E7403">
        <v>0.52607760000000003</v>
      </c>
      <c r="F7403" t="s">
        <v>41</v>
      </c>
      <c r="G7403">
        <v>-279.0779</v>
      </c>
      <c r="H7403" s="1">
        <v>-3.5819080000000002E-6</v>
      </c>
      <c r="I7403">
        <v>-63.789059999999999</v>
      </c>
      <c r="J7403">
        <v>-287.58069999999998</v>
      </c>
      <c r="K7403">
        <v>1.127764</v>
      </c>
      <c r="L7403">
        <v>-63.15851</v>
      </c>
      <c r="M7403">
        <v>0.98563230000000002</v>
      </c>
      <c r="N7403">
        <v>-1.307378E-2</v>
      </c>
      <c r="O7403">
        <v>-0.1683992</v>
      </c>
      <c r="P7403">
        <v>0.98959109999999995</v>
      </c>
      <c r="Q7403">
        <v>-0.14369689999999999</v>
      </c>
      <c r="R7403">
        <v>-7.8024599999999998E-3</v>
      </c>
      <c r="S7403">
        <v>2.973633</v>
      </c>
      <c r="T7403">
        <v>-0.38942310000000002</v>
      </c>
      <c r="U7403">
        <v>-0.22207640000000001</v>
      </c>
      <c r="V7403">
        <v>-0.1565927</v>
      </c>
      <c r="W7403">
        <v>-0.13374820000000001</v>
      </c>
      <c r="X7403">
        <v>0.97856529999999997</v>
      </c>
      <c r="Y7403">
        <v>-9.2529070000000005E-2</v>
      </c>
      <c r="Z7403">
        <v>2.6247690000000001E-2</v>
      </c>
      <c r="AA7403">
        <v>0.99536400000000003</v>
      </c>
      <c r="AB7403">
        <v>23</v>
      </c>
      <c r="AC7403">
        <v>8.5027999999999793</v>
      </c>
      <c r="AD7403">
        <v>-1.127767581908</v>
      </c>
      <c r="AE7403">
        <v>-0.63054999999999894</v>
      </c>
      <c r="AF7403">
        <v>-0.79650790439529695</v>
      </c>
      <c r="AG7403">
        <v>-1.127767581908</v>
      </c>
      <c r="AH7403">
        <v>8.3415999364612698</v>
      </c>
      <c r="AI7403">
        <v>97.665141345262995</v>
      </c>
      <c r="AJ7403">
        <v>95.454420806475994</v>
      </c>
      <c r="AK7403">
        <v>8.4550916056857393</v>
      </c>
      <c r="AL7403">
        <v>97.686240977908895</v>
      </c>
      <c r="AM7403">
        <v>99.091547267684504</v>
      </c>
      <c r="AN7403">
        <v>0.99999995053030799</v>
      </c>
    </row>
    <row r="7404" spans="1:40" x14ac:dyDescent="0.25">
      <c r="A7404" t="str">
        <f>"20190303154956446"</f>
        <v>20190303154956446</v>
      </c>
      <c r="B7404" t="str">
        <f>"1551599396438375"</f>
        <v>1551599396438375</v>
      </c>
      <c r="C7404" t="s">
        <v>40</v>
      </c>
      <c r="D7404">
        <v>6.1176940000000002</v>
      </c>
      <c r="E7404">
        <v>0.52648779999999995</v>
      </c>
      <c r="F7404" t="s">
        <v>41</v>
      </c>
      <c r="G7404">
        <v>-278.91289999999998</v>
      </c>
      <c r="H7404" s="1">
        <v>-3.5318490000000001E-6</v>
      </c>
      <c r="I7404">
        <v>-63.834679999999999</v>
      </c>
      <c r="J7404">
        <v>-287.47399999999999</v>
      </c>
      <c r="K7404">
        <v>1.1276600000000001</v>
      </c>
      <c r="L7404">
        <v>-63.170349999999999</v>
      </c>
      <c r="M7404">
        <v>0.98659189999999997</v>
      </c>
      <c r="N7404">
        <v>-1.307439E-2</v>
      </c>
      <c r="O7404">
        <v>-0.16268189999999999</v>
      </c>
      <c r="P7404">
        <v>0.98954390000000003</v>
      </c>
      <c r="Q7404">
        <v>-0.143923</v>
      </c>
      <c r="R7404">
        <v>-9.4329099999999992E-3</v>
      </c>
      <c r="S7404">
        <v>2.973541</v>
      </c>
      <c r="T7404">
        <v>-0.38688800000000001</v>
      </c>
      <c r="U7404">
        <v>-0.23196410000000001</v>
      </c>
      <c r="V7404">
        <v>-0.149342</v>
      </c>
      <c r="W7404">
        <v>-0.13379089999999999</v>
      </c>
      <c r="X7404">
        <v>0.97969229999999996</v>
      </c>
      <c r="Y7404">
        <v>-8.3607669999999995E-2</v>
      </c>
      <c r="Z7404">
        <v>2.4773980000000001E-2</v>
      </c>
      <c r="AA7404">
        <v>0.99619069999999998</v>
      </c>
      <c r="AB7404">
        <v>23</v>
      </c>
      <c r="AC7404">
        <v>8.5611000000000104</v>
      </c>
      <c r="AD7404">
        <v>-1.127663531849</v>
      </c>
      <c r="AE7404">
        <v>-0.66433000000000597</v>
      </c>
      <c r="AF7404">
        <v>-0.72487515410241898</v>
      </c>
      <c r="AG7404">
        <v>-1.127663531849</v>
      </c>
      <c r="AH7404">
        <v>8.4100763696369203</v>
      </c>
      <c r="AI7404">
        <v>97.609064850512993</v>
      </c>
      <c r="AJ7404">
        <v>94.926221154896496</v>
      </c>
      <c r="AK7404">
        <v>8.5162464485959095</v>
      </c>
      <c r="AL7404">
        <v>97.688709155949994</v>
      </c>
      <c r="AM7404">
        <v>98.667310682464901</v>
      </c>
      <c r="AN7404">
        <v>1.0000000202830499</v>
      </c>
    </row>
    <row r="7405" spans="1:40" x14ac:dyDescent="0.25">
      <c r="A7405" t="str">
        <f>"20190303154956468"</f>
        <v>20190303154956468</v>
      </c>
      <c r="B7405" t="str">
        <f>"1551599396457896"</f>
        <v>1551599396457896</v>
      </c>
      <c r="C7405" t="s">
        <v>40</v>
      </c>
      <c r="D7405">
        <v>6.0821949999999996</v>
      </c>
      <c r="E7405">
        <v>0.52703169999999899</v>
      </c>
      <c r="F7405" t="s">
        <v>41</v>
      </c>
      <c r="G7405">
        <v>-278.75639999999999</v>
      </c>
      <c r="H7405" s="1">
        <v>-3.4839140000000002E-6</v>
      </c>
      <c r="I7405">
        <v>-63.874299999999998</v>
      </c>
      <c r="J7405">
        <v>-287.25659999999999</v>
      </c>
      <c r="K7405">
        <v>1.127421</v>
      </c>
      <c r="L7405">
        <v>-63.192779999999999</v>
      </c>
      <c r="M7405">
        <v>0.98840300000000003</v>
      </c>
      <c r="N7405">
        <v>-1.307581E-2</v>
      </c>
      <c r="O7405">
        <v>-0.15128989999999901</v>
      </c>
      <c r="P7405">
        <v>0.98935919999999999</v>
      </c>
      <c r="Q7405">
        <v>-0.1449898</v>
      </c>
      <c r="R7405">
        <v>-1.210286E-2</v>
      </c>
      <c r="S7405">
        <v>2.9734799999999999</v>
      </c>
      <c r="T7405">
        <v>-0.38463599999999998</v>
      </c>
      <c r="U7405">
        <v>-0.2401123</v>
      </c>
      <c r="V7405">
        <v>-0.13544349999999999</v>
      </c>
      <c r="W7405">
        <v>-0.13450699999999999</v>
      </c>
      <c r="X7405">
        <v>0.98161240000000005</v>
      </c>
      <c r="Y7405">
        <v>-6.9615129999999997E-2</v>
      </c>
      <c r="Z7405">
        <v>2.232984E-2</v>
      </c>
      <c r="AA7405">
        <v>0.99732399999999999</v>
      </c>
      <c r="AB7405">
        <v>23</v>
      </c>
      <c r="AC7405">
        <v>8.5001999999999995</v>
      </c>
      <c r="AD7405">
        <v>-1.127424483914</v>
      </c>
      <c r="AE7405">
        <v>-0.68151999999999102</v>
      </c>
      <c r="AF7405">
        <v>-0.60190913605473295</v>
      </c>
      <c r="AG7405">
        <v>-1.127424483914</v>
      </c>
      <c r="AH7405">
        <v>8.3593383325902302</v>
      </c>
      <c r="AI7405">
        <v>97.661537084568195</v>
      </c>
      <c r="AJ7405">
        <v>94.118440471225497</v>
      </c>
      <c r="AK7405">
        <v>8.4564719554733596</v>
      </c>
      <c r="AL7405">
        <v>97.730113145872394</v>
      </c>
      <c r="AM7405">
        <v>97.856101995544904</v>
      </c>
      <c r="AN7405">
        <v>0.999999989287505</v>
      </c>
    </row>
    <row r="7406" spans="1:40" x14ac:dyDescent="0.25">
      <c r="A7406" t="str">
        <f>"20190303154956481"</f>
        <v>20190303154956481</v>
      </c>
      <c r="B7406" t="str">
        <f>"1551599396478390"</f>
        <v>1551599396478390</v>
      </c>
      <c r="C7406" t="s">
        <v>40</v>
      </c>
      <c r="D7406">
        <v>6.0796299999999999</v>
      </c>
      <c r="E7406">
        <v>0.52744869999999899</v>
      </c>
      <c r="F7406" t="s">
        <v>42</v>
      </c>
      <c r="G7406">
        <v>-286.41320000000002</v>
      </c>
      <c r="H7406">
        <v>1.0193749999999999</v>
      </c>
      <c r="I7406">
        <v>-63.264400000000002</v>
      </c>
      <c r="J7406">
        <v>-287.12880000000001</v>
      </c>
      <c r="K7406">
        <v>1.127273</v>
      </c>
      <c r="L7406">
        <v>-63.205170000000003</v>
      </c>
      <c r="M7406">
        <v>0.98938519999999996</v>
      </c>
      <c r="N7406">
        <v>-1.308016E-2</v>
      </c>
      <c r="O7406">
        <v>-0.1447271</v>
      </c>
      <c r="P7406">
        <v>0.98922200000000005</v>
      </c>
      <c r="Q7406">
        <v>-0.14592639999999901</v>
      </c>
      <c r="R7406">
        <v>-1.205959E-2</v>
      </c>
      <c r="S7406">
        <v>2.9732970000000001</v>
      </c>
      <c r="T7406">
        <v>-0.38115840000000001</v>
      </c>
      <c r="U7406">
        <v>-0.25231930000000002</v>
      </c>
      <c r="V7406">
        <v>-0.12899579999999999</v>
      </c>
      <c r="W7406">
        <v>-0.13527110000000001</v>
      </c>
      <c r="X7406">
        <v>0.98237560000000002</v>
      </c>
      <c r="Y7406">
        <v>-5.9087210000000001E-2</v>
      </c>
      <c r="Z7406">
        <v>2.0631E-2</v>
      </c>
      <c r="AA7406">
        <v>0.99803960000000003</v>
      </c>
      <c r="AB7406">
        <v>23</v>
      </c>
      <c r="AC7406">
        <v>0.71559999999999402</v>
      </c>
      <c r="AD7406">
        <v>-0.10789799999999999</v>
      </c>
      <c r="AE7406">
        <v>-5.92300000000065E-2</v>
      </c>
      <c r="AF7406">
        <v>-4.39762942359396E-2</v>
      </c>
      <c r="AG7406">
        <v>-0.10789799999999999</v>
      </c>
      <c r="AH7406">
        <v>0.70081325167615305</v>
      </c>
      <c r="AI7406">
        <v>98.735681325875902</v>
      </c>
      <c r="AJ7406">
        <v>93.590623754866201</v>
      </c>
      <c r="AK7406">
        <v>0.71043304159056997</v>
      </c>
      <c r="AL7406">
        <v>97.774296549829003</v>
      </c>
      <c r="AM7406">
        <v>97.480713247637993</v>
      </c>
      <c r="AN7406">
        <v>1.0000000031941001</v>
      </c>
    </row>
    <row r="7407" spans="1:40" x14ac:dyDescent="0.25">
      <c r="A7407" t="str">
        <f>"20190303154956493"</f>
        <v>20190303154956493</v>
      </c>
      <c r="B7407" t="str">
        <f>"1551599396488150"</f>
        <v>1551599396488150</v>
      </c>
      <c r="C7407" t="s">
        <v>40</v>
      </c>
      <c r="D7407">
        <v>6.0711529999999998</v>
      </c>
      <c r="E7407">
        <v>0.52750019999999997</v>
      </c>
      <c r="F7407" t="s">
        <v>42</v>
      </c>
      <c r="G7407">
        <v>-286.22399999999999</v>
      </c>
      <c r="H7407">
        <v>1.0125150000000001</v>
      </c>
      <c r="I7407">
        <v>-63.282969999999999</v>
      </c>
      <c r="J7407">
        <v>-287.00920000000002</v>
      </c>
      <c r="K7407">
        <v>1.1271249999999999</v>
      </c>
      <c r="L7407">
        <v>-63.215760000000003</v>
      </c>
      <c r="M7407">
        <v>0.99023740000000005</v>
      </c>
      <c r="N7407">
        <v>-1.308759E-2</v>
      </c>
      <c r="O7407">
        <v>-0.1387755</v>
      </c>
      <c r="P7407">
        <v>0.98902939999999995</v>
      </c>
      <c r="Q7407">
        <v>-0.1472137</v>
      </c>
      <c r="R7407">
        <v>-1.2209950000000001E-2</v>
      </c>
      <c r="S7407">
        <v>2.9738769999999999</v>
      </c>
      <c r="T7407">
        <v>-0.37738630000000001</v>
      </c>
      <c r="U7407">
        <v>-0.25552370000000002</v>
      </c>
      <c r="V7407">
        <v>-0.1229512</v>
      </c>
      <c r="W7407">
        <v>-0.1363964</v>
      </c>
      <c r="X7407">
        <v>0.9829949</v>
      </c>
      <c r="Y7407">
        <v>-5.2161800000000001E-2</v>
      </c>
      <c r="Z7407">
        <v>1.926019E-2</v>
      </c>
      <c r="AA7407">
        <v>0.99845289999999998</v>
      </c>
      <c r="AB7407">
        <v>23</v>
      </c>
      <c r="AC7407">
        <v>0.78520000000003098</v>
      </c>
      <c r="AD7407">
        <v>-0.114609999999999</v>
      </c>
      <c r="AE7407">
        <v>-6.7210000000002795E-2</v>
      </c>
      <c r="AF7407">
        <v>-4.1537767702669301E-2</v>
      </c>
      <c r="AG7407">
        <v>-0.114609999999999</v>
      </c>
      <c r="AH7407">
        <v>0.77062992921988305</v>
      </c>
      <c r="AI7407">
        <v>98.447082255042005</v>
      </c>
      <c r="AJ7407">
        <v>93.085317437095</v>
      </c>
      <c r="AK7407">
        <v>0.78021235958882595</v>
      </c>
      <c r="AL7407">
        <v>97.839374887598197</v>
      </c>
      <c r="AM7407">
        <v>97.129426028469098</v>
      </c>
      <c r="AN7407">
        <v>0.99999997447020395</v>
      </c>
    </row>
    <row r="7408" spans="1:40" x14ac:dyDescent="0.25">
      <c r="A7408" t="str">
        <f>"20190303154956505"</f>
        <v>20190303154956505</v>
      </c>
      <c r="B7408" t="str">
        <f>"1551599396497911"</f>
        <v>1551599396497911</v>
      </c>
      <c r="C7408" t="s">
        <v>40</v>
      </c>
      <c r="D7408">
        <v>6.0698410000000003</v>
      </c>
      <c r="E7408">
        <v>0.52761829999999998</v>
      </c>
      <c r="F7408" t="s">
        <v>42</v>
      </c>
      <c r="G7408">
        <v>-286.21390000000002</v>
      </c>
      <c r="H7408">
        <v>1.02593</v>
      </c>
      <c r="I7408">
        <v>-63.28434</v>
      </c>
      <c r="J7408">
        <v>-286.8877</v>
      </c>
      <c r="K7408">
        <v>1.1269769999999999</v>
      </c>
      <c r="L7408">
        <v>-63.226170000000003</v>
      </c>
      <c r="M7408">
        <v>0.99105529999999997</v>
      </c>
      <c r="N7408">
        <v>-1.3097900000000001E-2</v>
      </c>
      <c r="O7408">
        <v>-0.13280819999999999</v>
      </c>
      <c r="P7408">
        <v>0.98880489999999999</v>
      </c>
      <c r="Q7408">
        <v>-0.14871980000000001</v>
      </c>
      <c r="R7408">
        <v>-1.2133730000000001E-2</v>
      </c>
      <c r="S7408">
        <v>2.9737239999999998</v>
      </c>
      <c r="T7408">
        <v>-0.37860769999999999</v>
      </c>
      <c r="U7408">
        <v>-0.25625609999999999</v>
      </c>
      <c r="V7408">
        <v>-0.11711240000000001</v>
      </c>
      <c r="W7408">
        <v>-0.13774529999999999</v>
      </c>
      <c r="X7408">
        <v>0.9835197</v>
      </c>
      <c r="Y7408">
        <v>-4.5980140000000003E-2</v>
      </c>
      <c r="Z7408">
        <v>1.8225189999999999E-2</v>
      </c>
      <c r="AA7408">
        <v>0.99877609999999994</v>
      </c>
      <c r="AB7408">
        <v>23</v>
      </c>
      <c r="AC7408">
        <v>0.67379999999997098</v>
      </c>
      <c r="AD7408">
        <v>-0.101047</v>
      </c>
      <c r="AE7408">
        <v>-5.8170000000004003E-2</v>
      </c>
      <c r="AF7408">
        <v>-3.11439679732083E-2</v>
      </c>
      <c r="AG7408">
        <v>-0.101047</v>
      </c>
      <c r="AH7408">
        <v>0.66080500025519195</v>
      </c>
      <c r="AI7408">
        <v>98.684544844310494</v>
      </c>
      <c r="AJ7408">
        <v>92.698373128541405</v>
      </c>
      <c r="AK7408">
        <v>0.66921124565594403</v>
      </c>
      <c r="AL7408">
        <v>97.917397079299704</v>
      </c>
      <c r="AM7408">
        <v>96.790509495681803</v>
      </c>
      <c r="AN7408">
        <v>1.0000000410969601</v>
      </c>
    </row>
    <row r="7409" spans="1:40" x14ac:dyDescent="0.25">
      <c r="A7409" t="str">
        <f>"20190303154956517"</f>
        <v>20190303154956517</v>
      </c>
      <c r="B7409" t="str">
        <f>"1551599396508646"</f>
        <v>1551599396508646</v>
      </c>
      <c r="C7409" t="s">
        <v>40</v>
      </c>
      <c r="D7409">
        <v>6.063866</v>
      </c>
      <c r="E7409">
        <v>0.5276265</v>
      </c>
      <c r="F7409" t="s">
        <v>42</v>
      </c>
      <c r="G7409">
        <v>-286.0249</v>
      </c>
      <c r="H7409">
        <v>1.0166249999999999</v>
      </c>
      <c r="I7409">
        <v>-63.300800000000002</v>
      </c>
      <c r="J7409">
        <v>-286.76929999999999</v>
      </c>
      <c r="K7409">
        <v>1.12683</v>
      </c>
      <c r="L7409">
        <v>-63.235689999999998</v>
      </c>
      <c r="M7409">
        <v>0.99180009999999996</v>
      </c>
      <c r="N7409">
        <v>-1.3110999999999999E-2</v>
      </c>
      <c r="O7409">
        <v>-0.12712490000000001</v>
      </c>
      <c r="P7409">
        <v>0.98864439999999998</v>
      </c>
      <c r="Q7409">
        <v>-0.1497762</v>
      </c>
      <c r="R7409">
        <v>-1.2226829999999999E-2</v>
      </c>
      <c r="S7409">
        <v>2.9735719999999999</v>
      </c>
      <c r="T7409">
        <v>-0.38048710000000002</v>
      </c>
      <c r="U7409">
        <v>-0.257019</v>
      </c>
      <c r="V7409">
        <v>-0.11140659999999999</v>
      </c>
      <c r="W7409">
        <v>-0.13864789999999999</v>
      </c>
      <c r="X7409">
        <v>0.98405549999999997</v>
      </c>
      <c r="Y7409">
        <v>-4.0070269999999998E-2</v>
      </c>
      <c r="Z7409">
        <v>1.7265039999999999E-2</v>
      </c>
      <c r="AA7409">
        <v>0.99904769999999998</v>
      </c>
      <c r="AB7409">
        <v>23</v>
      </c>
      <c r="AC7409">
        <v>0.74439999999998396</v>
      </c>
      <c r="AD7409">
        <v>-0.110205</v>
      </c>
      <c r="AE7409">
        <v>-6.5109999999997101E-2</v>
      </c>
      <c r="AF7409">
        <v>-2.9418373313535098E-2</v>
      </c>
      <c r="AG7409">
        <v>-0.110205</v>
      </c>
      <c r="AH7409">
        <v>0.73074282813839997</v>
      </c>
      <c r="AI7409">
        <v>98.569438552287096</v>
      </c>
      <c r="AJ7409">
        <v>92.3053786495189</v>
      </c>
      <c r="AK7409">
        <v>0.73959155186435199</v>
      </c>
      <c r="AL7409">
        <v>97.969614013240005</v>
      </c>
      <c r="AM7409">
        <v>96.459051534529195</v>
      </c>
      <c r="AN7409">
        <v>0.99999994888910804</v>
      </c>
    </row>
    <row r="7410" spans="1:40" x14ac:dyDescent="0.25">
      <c r="A7410" t="str">
        <f>"20190303154956528"</f>
        <v>20190303154956528</v>
      </c>
      <c r="B7410" t="str">
        <f>"1551599396518406"</f>
        <v>1551599396518406</v>
      </c>
      <c r="C7410" t="s">
        <v>40</v>
      </c>
      <c r="D7410">
        <v>6.0553900000000001</v>
      </c>
      <c r="E7410">
        <v>0.52766610000000003</v>
      </c>
      <c r="F7410" t="s">
        <v>42</v>
      </c>
      <c r="G7410">
        <v>-286.01479999999998</v>
      </c>
      <c r="H7410">
        <v>1.030146</v>
      </c>
      <c r="I7410">
        <v>-63.30104</v>
      </c>
      <c r="J7410">
        <v>-286.66140000000001</v>
      </c>
      <c r="K7410">
        <v>1.1266929999999999</v>
      </c>
      <c r="L7410">
        <v>-63.243839999999999</v>
      </c>
      <c r="M7410">
        <v>0.99243239999999999</v>
      </c>
      <c r="N7410">
        <v>-1.312638E-2</v>
      </c>
      <c r="O7410">
        <v>-0.1220894</v>
      </c>
      <c r="P7410">
        <v>0.98854629999999999</v>
      </c>
      <c r="Q7410">
        <v>-0.1503601</v>
      </c>
      <c r="R7410">
        <v>-1.2978969999999999E-2</v>
      </c>
      <c r="S7410">
        <v>2.9735109999999998</v>
      </c>
      <c r="T7410">
        <v>-0.38124839999999999</v>
      </c>
      <c r="U7410">
        <v>-0.25735469999999999</v>
      </c>
      <c r="V7410">
        <v>-0.1057032</v>
      </c>
      <c r="W7410">
        <v>-0.1390815</v>
      </c>
      <c r="X7410">
        <v>0.98462340000000004</v>
      </c>
      <c r="Y7410">
        <v>-3.49579E-2</v>
      </c>
      <c r="Z7410">
        <v>1.6371170000000001E-2</v>
      </c>
      <c r="AA7410">
        <v>0.99925469999999905</v>
      </c>
      <c r="AB7410">
        <v>23</v>
      </c>
      <c r="AC7410">
        <v>0.64660000000003404</v>
      </c>
      <c r="AD7410">
        <v>-9.6546999999999897E-2</v>
      </c>
      <c r="AE7410">
        <v>-5.7199999999994498E-2</v>
      </c>
      <c r="AF7410">
        <v>-2.1697786919800999E-2</v>
      </c>
      <c r="AG7410">
        <v>-9.6546999999999897E-2</v>
      </c>
      <c r="AH7410">
        <v>0.63470530044259899</v>
      </c>
      <c r="AI7410">
        <v>98.644163887935903</v>
      </c>
      <c r="AJ7410">
        <v>91.957928610331507</v>
      </c>
      <c r="AK7410">
        <v>0.64237289449053403</v>
      </c>
      <c r="AL7410">
        <v>97.994699826022298</v>
      </c>
      <c r="AM7410">
        <v>96.127460114424196</v>
      </c>
      <c r="AN7410">
        <v>1.00000003498002</v>
      </c>
    </row>
    <row r="7411" spans="1:40" x14ac:dyDescent="0.25">
      <c r="A7411" t="str">
        <f>"20190303154956538"</f>
        <v>20190303154956538</v>
      </c>
      <c r="B7411" t="str">
        <f>"1551599396528166"</f>
        <v>1551599396528166</v>
      </c>
      <c r="C7411" t="s">
        <v>40</v>
      </c>
      <c r="D7411">
        <v>6.1060509999999999</v>
      </c>
      <c r="E7411">
        <v>0.5274044</v>
      </c>
      <c r="F7411" t="s">
        <v>42</v>
      </c>
      <c r="G7411">
        <v>-285.82589999999999</v>
      </c>
      <c r="H7411">
        <v>1.0199049999999901</v>
      </c>
      <c r="I7411">
        <v>-63.316899999999997</v>
      </c>
      <c r="J7411">
        <v>-286.5514</v>
      </c>
      <c r="K7411">
        <v>1.126552</v>
      </c>
      <c r="L7411">
        <v>-63.251890000000003</v>
      </c>
      <c r="M7411">
        <v>0.99304190000000003</v>
      </c>
      <c r="N7411">
        <v>-1.3144660000000001E-2</v>
      </c>
      <c r="O7411">
        <v>-0.1170272</v>
      </c>
      <c r="P7411">
        <v>0.98856719999999998</v>
      </c>
      <c r="Q7411">
        <v>-0.15010799999999999</v>
      </c>
      <c r="R7411">
        <v>-1.4240589999999999E-2</v>
      </c>
      <c r="S7411">
        <v>2.9735719999999999</v>
      </c>
      <c r="T7411">
        <v>-0.38007390000000002</v>
      </c>
      <c r="U7411">
        <v>-0.26000980000000001</v>
      </c>
      <c r="V7411">
        <v>-9.9496829999999994E-2</v>
      </c>
      <c r="W7411">
        <v>-0.1386694</v>
      </c>
      <c r="X7411">
        <v>0.98532799999999998</v>
      </c>
      <c r="Y7411">
        <v>-2.9069890000000001E-2</v>
      </c>
      <c r="Z7411">
        <v>1.5329489999999999E-2</v>
      </c>
      <c r="AA7411">
        <v>0.99945980000000001</v>
      </c>
      <c r="AB7411">
        <v>23</v>
      </c>
      <c r="AC7411">
        <v>0.72550000000001003</v>
      </c>
      <c r="AD7411">
        <v>-0.10664700000000001</v>
      </c>
      <c r="AE7411">
        <v>-6.5009999999993795E-2</v>
      </c>
      <c r="AF7411">
        <v>-1.99203165922767E-2</v>
      </c>
      <c r="AG7411">
        <v>-0.10664700000000001</v>
      </c>
      <c r="AH7411">
        <v>0.71284193780738003</v>
      </c>
      <c r="AI7411">
        <v>98.5055380774658</v>
      </c>
      <c r="AJ7411">
        <v>91.600709842199393</v>
      </c>
      <c r="AK7411">
        <v>0.72105064310290801</v>
      </c>
      <c r="AL7411">
        <v>97.970857120003899</v>
      </c>
      <c r="AM7411">
        <v>95.766090044537506</v>
      </c>
      <c r="AN7411">
        <v>1.0000000446302</v>
      </c>
    </row>
    <row r="7412" spans="1:40" x14ac:dyDescent="0.25">
      <c r="A7412" t="str">
        <f>"20190303154956551"</f>
        <v>20190303154956551</v>
      </c>
      <c r="B7412" t="str">
        <f>"1551599396547687"</f>
        <v>1551599396547687</v>
      </c>
      <c r="C7412" t="s">
        <v>40</v>
      </c>
      <c r="D7412">
        <v>6.0716330000000003</v>
      </c>
      <c r="E7412">
        <v>0.52676610000000001</v>
      </c>
      <c r="F7412" t="s">
        <v>42</v>
      </c>
      <c r="G7412">
        <v>-285.81659999999999</v>
      </c>
      <c r="H7412">
        <v>1.032848</v>
      </c>
      <c r="I7412">
        <v>-63.316580000000002</v>
      </c>
      <c r="J7412">
        <v>-286.4366</v>
      </c>
      <c r="K7412">
        <v>1.1263920000000001</v>
      </c>
      <c r="L7412">
        <v>-63.259549999999997</v>
      </c>
      <c r="M7412">
        <v>0.99362530000000004</v>
      </c>
      <c r="N7412">
        <v>-1.317025E-2</v>
      </c>
      <c r="O7412">
        <v>-0.1119613</v>
      </c>
      <c r="P7412">
        <v>0.98867039999999995</v>
      </c>
      <c r="Q7412">
        <v>-0.14925959999999999</v>
      </c>
      <c r="R7412">
        <v>-1.5893440000000002E-2</v>
      </c>
      <c r="S7412">
        <v>2.973328</v>
      </c>
      <c r="T7412">
        <v>-0.37914930000000002</v>
      </c>
      <c r="U7412">
        <v>-0.26174930000000002</v>
      </c>
      <c r="V7412">
        <v>-9.2920390000000005E-2</v>
      </c>
      <c r="W7412">
        <v>-0.13764760000000001</v>
      </c>
      <c r="X7412">
        <v>0.98611300000000002</v>
      </c>
      <c r="Y7412">
        <v>-2.347163E-2</v>
      </c>
      <c r="Z7412">
        <v>1.4325030000000001E-2</v>
      </c>
      <c r="AA7412">
        <v>0.99962189999999995</v>
      </c>
      <c r="AB7412">
        <v>23</v>
      </c>
      <c r="AC7412">
        <v>0.62000000000000399</v>
      </c>
      <c r="AD7412">
        <v>-9.3544000000000002E-2</v>
      </c>
      <c r="AE7412">
        <v>-5.7030000000004501E-2</v>
      </c>
      <c r="AF7412">
        <v>-1.2469193697217201E-2</v>
      </c>
      <c r="AG7412">
        <v>-9.3544000000000002E-2</v>
      </c>
      <c r="AH7412">
        <v>0.60874560299623004</v>
      </c>
      <c r="AI7412">
        <v>98.734320523025701</v>
      </c>
      <c r="AJ7412">
        <v>91.173449592345804</v>
      </c>
      <c r="AK7412">
        <v>0.61601718311643106</v>
      </c>
      <c r="AL7412">
        <v>97.911746134915006</v>
      </c>
      <c r="AM7412">
        <v>95.383026409103806</v>
      </c>
      <c r="AN7412">
        <v>0.99999995471625502</v>
      </c>
    </row>
    <row r="7413" spans="1:40" x14ac:dyDescent="0.25">
      <c r="A7413" t="str">
        <f>"20190303154956562"</f>
        <v>20190303154956562</v>
      </c>
      <c r="B7413" t="str">
        <f>"1551599396558423"</f>
        <v>1551599396558423</v>
      </c>
      <c r="C7413" t="s">
        <v>40</v>
      </c>
      <c r="D7413">
        <v>6.1395629999999999</v>
      </c>
      <c r="E7413">
        <v>0.52660620000000002</v>
      </c>
      <c r="F7413" t="s">
        <v>42</v>
      </c>
      <c r="G7413">
        <v>-285.62619999999998</v>
      </c>
      <c r="H7413">
        <v>1.024276</v>
      </c>
      <c r="I7413">
        <v>-63.331069999999997</v>
      </c>
      <c r="J7413">
        <v>-286.33030000000002</v>
      </c>
      <c r="K7413">
        <v>1.1262479999999999</v>
      </c>
      <c r="L7413">
        <v>-63.266539999999999</v>
      </c>
      <c r="M7413">
        <v>0.99413689999999999</v>
      </c>
      <c r="N7413">
        <v>-1.3196899999999999E-2</v>
      </c>
      <c r="O7413">
        <v>-0.1073215</v>
      </c>
      <c r="P7413">
        <v>0.98881200000000002</v>
      </c>
      <c r="Q7413">
        <v>-0.14808479999999999</v>
      </c>
      <c r="R7413">
        <v>-1.794515E-2</v>
      </c>
      <c r="S7413">
        <v>2.9735109999999998</v>
      </c>
      <c r="T7413">
        <v>-0.37525609999999998</v>
      </c>
      <c r="U7413">
        <v>-0.26168819999999998</v>
      </c>
      <c r="V7413">
        <v>-8.6371760000000006E-2</v>
      </c>
      <c r="W7413">
        <v>-0.13630639999999999</v>
      </c>
      <c r="X7413">
        <v>0.98689439999999995</v>
      </c>
      <c r="Y7413">
        <v>-1.8919209999999999E-2</v>
      </c>
      <c r="Z7413">
        <v>1.332944E-2</v>
      </c>
      <c r="AA7413">
        <v>0.99973210000000001</v>
      </c>
      <c r="AB7413">
        <v>23</v>
      </c>
      <c r="AC7413">
        <v>0.70410000000003903</v>
      </c>
      <c r="AD7413">
        <v>-0.10197199999999899</v>
      </c>
      <c r="AE7413">
        <v>-6.45299999999977E-2</v>
      </c>
      <c r="AF7413">
        <v>-1.1181826136768699E-2</v>
      </c>
      <c r="AG7413">
        <v>-0.10197199999999899</v>
      </c>
      <c r="AH7413">
        <v>0.69255370260097704</v>
      </c>
      <c r="AI7413">
        <v>98.375002503752199</v>
      </c>
      <c r="AJ7413">
        <v>90.925005208575399</v>
      </c>
      <c r="AK7413">
        <v>0.70010995779668495</v>
      </c>
      <c r="AL7413">
        <v>97.834169166730007</v>
      </c>
      <c r="AM7413">
        <v>95.001710483087805</v>
      </c>
      <c r="AN7413">
        <v>1.0000000361789001</v>
      </c>
    </row>
    <row r="7414" spans="1:40" x14ac:dyDescent="0.25">
      <c r="A7414" t="str">
        <f>"20190303154956572"</f>
        <v>20190303154956572</v>
      </c>
      <c r="B7414" t="str">
        <f>"1551599396568182"</f>
        <v>1551599396568182</v>
      </c>
      <c r="C7414" t="s">
        <v>40</v>
      </c>
      <c r="D7414">
        <v>6.0945179999999999</v>
      </c>
      <c r="E7414">
        <v>0.5264124</v>
      </c>
      <c r="F7414" t="s">
        <v>42</v>
      </c>
      <c r="G7414">
        <v>-285.43369999999999</v>
      </c>
      <c r="H7414">
        <v>1.0141929999999999</v>
      </c>
      <c r="I7414">
        <v>-63.346989999999998</v>
      </c>
      <c r="J7414">
        <v>-286.22840000000002</v>
      </c>
      <c r="K7414">
        <v>1.126104</v>
      </c>
      <c r="L7414">
        <v>-63.272640000000003</v>
      </c>
      <c r="M7414">
        <v>0.99458440000000004</v>
      </c>
      <c r="N7414">
        <v>-1.3229289999999999E-2</v>
      </c>
      <c r="O7414">
        <v>-0.1030869</v>
      </c>
      <c r="P7414">
        <v>0.98894020000000005</v>
      </c>
      <c r="Q7414">
        <v>-0.14688519999999999</v>
      </c>
      <c r="R7414">
        <v>-2.053669E-2</v>
      </c>
      <c r="S7414">
        <v>2.9734500000000001</v>
      </c>
      <c r="T7414">
        <v>-0.37172329999999998</v>
      </c>
      <c r="U7414">
        <v>-0.26660159999999899</v>
      </c>
      <c r="V7414">
        <v>-7.9683240000000002E-2</v>
      </c>
      <c r="W7414">
        <v>-0.13493769999999999</v>
      </c>
      <c r="X7414">
        <v>0.98764490000000005</v>
      </c>
      <c r="Y7414">
        <v>-1.311301E-2</v>
      </c>
      <c r="Z7414">
        <v>1.232245E-2</v>
      </c>
      <c r="AA7414">
        <v>0.99983809999999995</v>
      </c>
      <c r="AB7414">
        <v>23</v>
      </c>
      <c r="AC7414">
        <v>0.79470000000003405</v>
      </c>
      <c r="AD7414">
        <v>-0.111910999999999</v>
      </c>
      <c r="AE7414">
        <v>-7.4350000000002497E-2</v>
      </c>
      <c r="AF7414">
        <v>-7.8227227307129804E-3</v>
      </c>
      <c r="AG7414">
        <v>-0.111910999999999</v>
      </c>
      <c r="AH7414">
        <v>0.78274286846255003</v>
      </c>
      <c r="AI7414">
        <v>98.136199845335298</v>
      </c>
      <c r="AJ7414">
        <v>90.572594262282706</v>
      </c>
      <c r="AK7414">
        <v>0.79074121243356399</v>
      </c>
      <c r="AL7414">
        <v>97.755017202652596</v>
      </c>
      <c r="AM7414">
        <v>94.612635377249703</v>
      </c>
      <c r="AN7414">
        <v>1.00000002505709</v>
      </c>
    </row>
    <row r="7415" spans="1:40" x14ac:dyDescent="0.25">
      <c r="A7415" t="str">
        <f>"20190303154956581"</f>
        <v>20190303154956581</v>
      </c>
      <c r="B7415" t="str">
        <f>"1551599396577943"</f>
        <v>1551599396577943</v>
      </c>
      <c r="C7415" t="s">
        <v>40</v>
      </c>
      <c r="D7415">
        <v>6.0460510000000003</v>
      </c>
      <c r="E7415">
        <v>0.52596489999999996</v>
      </c>
      <c r="F7415" t="s">
        <v>42</v>
      </c>
      <c r="G7415">
        <v>-285.4273</v>
      </c>
      <c r="H7415">
        <v>1.026967</v>
      </c>
      <c r="I7415">
        <v>-63.346170000000001</v>
      </c>
      <c r="J7415">
        <v>-286.13099999999997</v>
      </c>
      <c r="K7415">
        <v>1.125966</v>
      </c>
      <c r="L7415">
        <v>-63.278410000000001</v>
      </c>
      <c r="M7415">
        <v>0.99499320000000002</v>
      </c>
      <c r="N7415">
        <v>-1.3262410000000001E-2</v>
      </c>
      <c r="O7415">
        <v>-9.9058519999999997E-2</v>
      </c>
      <c r="P7415">
        <v>0.98907599999999996</v>
      </c>
      <c r="Q7415">
        <v>-0.14564299999999999</v>
      </c>
      <c r="R7415">
        <v>-2.2734730000000002E-2</v>
      </c>
      <c r="S7415">
        <v>2.9732059999999998</v>
      </c>
      <c r="T7415">
        <v>-0.3680851</v>
      </c>
      <c r="U7415">
        <v>-0.27270509999999998</v>
      </c>
      <c r="V7415">
        <v>-7.3586230000000002E-2</v>
      </c>
      <c r="W7415">
        <v>-0.1335414</v>
      </c>
      <c r="X7415">
        <v>0.98830750000000001</v>
      </c>
      <c r="Y7415">
        <v>-7.1110790000000002E-3</v>
      </c>
      <c r="Z7415">
        <v>1.133808E-2</v>
      </c>
      <c r="AA7415">
        <v>0.99991039999999998</v>
      </c>
      <c r="AB7415">
        <v>23</v>
      </c>
      <c r="AC7415">
        <v>0.70369999999996902</v>
      </c>
      <c r="AD7415">
        <v>-9.8999000000000004E-2</v>
      </c>
      <c r="AE7415">
        <v>-6.7759999999992701E-2</v>
      </c>
      <c r="AF7415">
        <v>-2.24295800648235E-3</v>
      </c>
      <c r="AG7415">
        <v>-9.8999000000000004E-2</v>
      </c>
      <c r="AH7415">
        <v>0.69335441166853096</v>
      </c>
      <c r="AI7415">
        <v>98.125879193211404</v>
      </c>
      <c r="AJ7415">
        <v>90.185347604272096</v>
      </c>
      <c r="AK7415">
        <v>0.70039001495012299</v>
      </c>
      <c r="AL7415">
        <v>97.6742847544471</v>
      </c>
      <c r="AM7415">
        <v>94.258204028737396</v>
      </c>
      <c r="AN7415">
        <v>0.99999997665791096</v>
      </c>
    </row>
    <row r="7416" spans="1:40" x14ac:dyDescent="0.25">
      <c r="A7416" t="str">
        <f>"20190303154956590"</f>
        <v>20190303154956590</v>
      </c>
      <c r="B7416" t="str">
        <f>"1551599396587703"</f>
        <v>1551599396587703</v>
      </c>
      <c r="C7416" t="s">
        <v>40</v>
      </c>
      <c r="D7416">
        <v>5.9977199999999904</v>
      </c>
      <c r="E7416">
        <v>0.52591369999999904</v>
      </c>
      <c r="F7416" t="s">
        <v>42</v>
      </c>
      <c r="G7416">
        <v>-285.23500000000001</v>
      </c>
      <c r="H7416">
        <v>1.016551</v>
      </c>
      <c r="I7416">
        <v>-63.361640000000001</v>
      </c>
      <c r="J7416">
        <v>-286.0378</v>
      </c>
      <c r="K7416">
        <v>1.1258429999999999</v>
      </c>
      <c r="L7416">
        <v>-63.283450000000002</v>
      </c>
      <c r="M7416">
        <v>0.99535240000000003</v>
      </c>
      <c r="N7416">
        <v>-1.3300330000000001E-2</v>
      </c>
      <c r="O7416">
        <v>-9.5376719999999998E-2</v>
      </c>
      <c r="P7416">
        <v>0.98924259999999997</v>
      </c>
      <c r="Q7416">
        <v>-0.14425260000000001</v>
      </c>
      <c r="R7416">
        <v>-2.4298899999999998E-2</v>
      </c>
      <c r="S7416">
        <v>2.973236</v>
      </c>
      <c r="T7416">
        <v>-0.3634442</v>
      </c>
      <c r="U7416">
        <v>-0.27569579999999999</v>
      </c>
      <c r="V7416">
        <v>-6.8462170000000003E-2</v>
      </c>
      <c r="W7416">
        <v>-0.13201189999999999</v>
      </c>
      <c r="X7416">
        <v>0.98888109999999996</v>
      </c>
      <c r="Y7416">
        <v>-2.4926660000000002E-3</v>
      </c>
      <c r="Z7416">
        <v>1.0468470000000001E-2</v>
      </c>
      <c r="AA7416">
        <v>0.99994209999999994</v>
      </c>
      <c r="AB7416">
        <v>23</v>
      </c>
      <c r="AC7416">
        <v>0.80279999999998997</v>
      </c>
      <c r="AD7416">
        <v>-0.109291999999999</v>
      </c>
      <c r="AE7416">
        <v>-7.8189999999999302E-2</v>
      </c>
      <c r="AF7416">
        <v>1.2355995943843501E-3</v>
      </c>
      <c r="AG7416">
        <v>-0.109291999999999</v>
      </c>
      <c r="AH7416">
        <v>0.79205597226507996</v>
      </c>
      <c r="AI7416">
        <v>97.856349230432002</v>
      </c>
      <c r="AJ7416">
        <v>89.910619215083898</v>
      </c>
      <c r="AK7416">
        <v>0.79956171192168701</v>
      </c>
      <c r="AL7416">
        <v>97.585867672857702</v>
      </c>
      <c r="AM7416">
        <v>93.960379341259696</v>
      </c>
      <c r="AN7416">
        <v>1.0000000201999599</v>
      </c>
    </row>
    <row r="7417" spans="1:40" x14ac:dyDescent="0.25">
      <c r="A7417" t="str">
        <f>"20190303154956602"</f>
        <v>20190303154956602</v>
      </c>
      <c r="B7417" t="str">
        <f>"1551599396598439"</f>
        <v>1551599396598439</v>
      </c>
      <c r="C7417" t="s">
        <v>40</v>
      </c>
      <c r="D7417">
        <v>6.039434</v>
      </c>
      <c r="E7417">
        <v>0.52584129999999996</v>
      </c>
      <c r="F7417" t="s">
        <v>42</v>
      </c>
      <c r="G7417">
        <v>-285.2287</v>
      </c>
      <c r="H7417">
        <v>1.028815</v>
      </c>
      <c r="I7417">
        <v>-63.359740000000002</v>
      </c>
      <c r="J7417">
        <v>-285.92520000000002</v>
      </c>
      <c r="K7417">
        <v>1.1256870000000001</v>
      </c>
      <c r="L7417">
        <v>-63.289400000000001</v>
      </c>
      <c r="M7417">
        <v>0.99576419999999999</v>
      </c>
      <c r="N7417">
        <v>-1.334917E-2</v>
      </c>
      <c r="O7417">
        <v>-9.0969359999999999E-2</v>
      </c>
      <c r="P7417">
        <v>0.98939589999999999</v>
      </c>
      <c r="Q7417">
        <v>-0.14312939999999999</v>
      </c>
      <c r="R7417">
        <v>-2.469503E-2</v>
      </c>
      <c r="S7417">
        <v>2.9736940000000001</v>
      </c>
      <c r="T7417">
        <v>-0.35707100000000003</v>
      </c>
      <c r="U7417">
        <v>-0.27990720000000002</v>
      </c>
      <c r="V7417">
        <v>-6.3784229999999997E-2</v>
      </c>
      <c r="W7417">
        <v>-0.13074469999999999</v>
      </c>
      <c r="X7417">
        <v>0.98936210000000002</v>
      </c>
      <c r="Y7417">
        <v>3.2312690000000002E-3</v>
      </c>
      <c r="Z7417">
        <v>9.4125440000000001E-3</v>
      </c>
      <c r="AA7417">
        <v>0.99995049999999996</v>
      </c>
      <c r="AB7417">
        <v>23</v>
      </c>
      <c r="AC7417">
        <v>0.696500000000014</v>
      </c>
      <c r="AD7417">
        <v>-9.6872E-2</v>
      </c>
      <c r="AE7417">
        <v>-7.0340000000001596E-2</v>
      </c>
      <c r="AF7417">
        <v>6.5569311133332796E-3</v>
      </c>
      <c r="AG7417">
        <v>-9.6872E-2</v>
      </c>
      <c r="AH7417">
        <v>0.686858250354622</v>
      </c>
      <c r="AI7417">
        <v>98.027479710131701</v>
      </c>
      <c r="AJ7417">
        <v>89.453055899682596</v>
      </c>
      <c r="AK7417">
        <v>0.69368684131230096</v>
      </c>
      <c r="AL7417">
        <v>97.512627903055204</v>
      </c>
      <c r="AM7417">
        <v>93.688757131012594</v>
      </c>
      <c r="AN7417">
        <v>0.99999998474559604</v>
      </c>
    </row>
    <row r="7418" spans="1:40" x14ac:dyDescent="0.25">
      <c r="A7418" t="str">
        <f>"20190303154956613"</f>
        <v>20190303154956613</v>
      </c>
      <c r="B7418" t="str">
        <f>"1551599396608198"</f>
        <v>1551599396608198</v>
      </c>
      <c r="C7418" t="s">
        <v>40</v>
      </c>
      <c r="D7418">
        <v>6.063593</v>
      </c>
      <c r="E7418">
        <v>0.52560289999999998</v>
      </c>
      <c r="F7418" t="s">
        <v>42</v>
      </c>
      <c r="G7418">
        <v>-285.03530000000001</v>
      </c>
      <c r="H7418">
        <v>1.0204850000000001</v>
      </c>
      <c r="I7418">
        <v>-63.373429999999999</v>
      </c>
      <c r="J7418">
        <v>-285.82029999999997</v>
      </c>
      <c r="K7418">
        <v>1.1255459999999999</v>
      </c>
      <c r="L7418">
        <v>-63.294460000000001</v>
      </c>
      <c r="M7418">
        <v>0.9961141</v>
      </c>
      <c r="N7418">
        <v>-1.340276E-2</v>
      </c>
      <c r="O7418">
        <v>-8.7046750000000006E-2</v>
      </c>
      <c r="P7418">
        <v>0.98946599999999996</v>
      </c>
      <c r="Q7418">
        <v>-0.14246449999999999</v>
      </c>
      <c r="R7418">
        <v>-2.5707230000000001E-2</v>
      </c>
      <c r="S7418">
        <v>2.9742739999999999</v>
      </c>
      <c r="T7418">
        <v>-0.35183579999999998</v>
      </c>
      <c r="U7418">
        <v>-0.28051759999999998</v>
      </c>
      <c r="V7418">
        <v>-5.8952789999999998E-2</v>
      </c>
      <c r="W7418">
        <v>-0.12993669999999999</v>
      </c>
      <c r="X7418">
        <v>0.98976810000000004</v>
      </c>
      <c r="Y7418">
        <v>7.2861030000000004E-3</v>
      </c>
      <c r="Z7418">
        <v>8.5780619999999991E-3</v>
      </c>
      <c r="AA7418">
        <v>0.99993659999999995</v>
      </c>
      <c r="AB7418">
        <v>23</v>
      </c>
      <c r="AC7418">
        <v>0.78499999999996795</v>
      </c>
      <c r="AD7418">
        <v>-0.105060999999999</v>
      </c>
      <c r="AE7418">
        <v>-7.89700000000053E-2</v>
      </c>
      <c r="AF7418">
        <v>1.01523328647416E-2</v>
      </c>
      <c r="AG7418">
        <v>-0.105060999999999</v>
      </c>
      <c r="AH7418">
        <v>0.77514912565049698</v>
      </c>
      <c r="AI7418">
        <v>97.717980692740696</v>
      </c>
      <c r="AJ7418">
        <v>89.249624944329199</v>
      </c>
      <c r="AK7418">
        <v>0.78230240353735703</v>
      </c>
      <c r="AL7418">
        <v>97.465934959157593</v>
      </c>
      <c r="AM7418">
        <v>93.408637008121204</v>
      </c>
      <c r="AN7418">
        <v>0.99999993461663905</v>
      </c>
    </row>
    <row r="7419" spans="1:40" x14ac:dyDescent="0.25">
      <c r="A7419" t="str">
        <f>"20190303154956624"</f>
        <v>20190303154956624</v>
      </c>
      <c r="B7419" t="str">
        <f>"1551599396617958"</f>
        <v>1551599396617958</v>
      </c>
      <c r="C7419" t="s">
        <v>40</v>
      </c>
      <c r="D7419">
        <v>5.961506</v>
      </c>
      <c r="E7419">
        <v>0.52528940000000002</v>
      </c>
      <c r="F7419" t="s">
        <v>42</v>
      </c>
      <c r="G7419">
        <v>-285.029</v>
      </c>
      <c r="H7419">
        <v>1.032529</v>
      </c>
      <c r="I7419">
        <v>-63.369500000000002</v>
      </c>
      <c r="J7419">
        <v>-285.70699999999999</v>
      </c>
      <c r="K7419">
        <v>1.125391</v>
      </c>
      <c r="L7419">
        <v>-63.29974</v>
      </c>
      <c r="M7419">
        <v>0.99646809999999997</v>
      </c>
      <c r="N7419">
        <v>-1.346402E-2</v>
      </c>
      <c r="O7419">
        <v>-8.288682E-2</v>
      </c>
      <c r="P7419">
        <v>0.98951040000000001</v>
      </c>
      <c r="Q7419">
        <v>-0.14214089999999999</v>
      </c>
      <c r="R7419">
        <v>-2.579184E-2</v>
      </c>
      <c r="S7419">
        <v>2.9741819999999999</v>
      </c>
      <c r="T7419">
        <v>-0.3498272</v>
      </c>
      <c r="U7419">
        <v>-0.28161619999999998</v>
      </c>
      <c r="V7419">
        <v>-5.4806649999999998E-2</v>
      </c>
      <c r="W7419">
        <v>-0.12947429999999999</v>
      </c>
      <c r="X7419">
        <v>0.99006700000000003</v>
      </c>
      <c r="Y7419">
        <v>1.176812E-2</v>
      </c>
      <c r="Z7419">
        <v>7.7963549999999996E-3</v>
      </c>
      <c r="AA7419">
        <v>0.99990029999999996</v>
      </c>
      <c r="AB7419">
        <v>23</v>
      </c>
      <c r="AC7419">
        <v>0.67799999999999705</v>
      </c>
      <c r="AD7419">
        <v>-9.2862E-2</v>
      </c>
      <c r="AE7419">
        <v>-6.9760000000002195E-2</v>
      </c>
      <c r="AF7419">
        <v>1.30748509906319E-2</v>
      </c>
      <c r="AG7419">
        <v>-9.2862E-2</v>
      </c>
      <c r="AH7419">
        <v>0.66903019976742295</v>
      </c>
      <c r="AI7419">
        <v>97.9007276208321</v>
      </c>
      <c r="AJ7419">
        <v>88.880411631953706</v>
      </c>
      <c r="AK7419">
        <v>0.67557065579646403</v>
      </c>
      <c r="AL7419">
        <v>97.439215086341903</v>
      </c>
      <c r="AM7419">
        <v>93.168460396650303</v>
      </c>
      <c r="AN7419">
        <v>1.0000000138668499</v>
      </c>
    </row>
    <row r="7420" spans="1:40" x14ac:dyDescent="0.25">
      <c r="A7420" t="str">
        <f>"20190303154956635"</f>
        <v>20190303154956635</v>
      </c>
      <c r="B7420" t="str">
        <f>"1551599396627719"</f>
        <v>1551599396627719</v>
      </c>
      <c r="C7420" t="s">
        <v>40</v>
      </c>
      <c r="D7420">
        <v>5.9696480000000003</v>
      </c>
      <c r="E7420">
        <v>0.52512029999999998</v>
      </c>
      <c r="F7420" t="s">
        <v>42</v>
      </c>
      <c r="G7420">
        <v>-284.8356</v>
      </c>
      <c r="H7420">
        <v>1.0241389999999999</v>
      </c>
      <c r="I7420">
        <v>-63.381729999999997</v>
      </c>
      <c r="J7420">
        <v>-285.5958</v>
      </c>
      <c r="K7420">
        <v>1.125246</v>
      </c>
      <c r="L7420">
        <v>-63.30453</v>
      </c>
      <c r="M7420">
        <v>0.9967859</v>
      </c>
      <c r="N7420">
        <v>-1.352883E-2</v>
      </c>
      <c r="O7420">
        <v>-7.8960669999999997E-2</v>
      </c>
      <c r="P7420">
        <v>0.98948290000000005</v>
      </c>
      <c r="Q7420">
        <v>-0.14232600000000001</v>
      </c>
      <c r="R7420">
        <v>-2.5824690000000001E-2</v>
      </c>
      <c r="S7420">
        <v>2.9748230000000002</v>
      </c>
      <c r="T7420">
        <v>-0.34608830000000002</v>
      </c>
      <c r="U7420">
        <v>-0.27926640000000003</v>
      </c>
      <c r="V7420">
        <v>-5.0929479999999999E-2</v>
      </c>
      <c r="W7420">
        <v>-0.1295259</v>
      </c>
      <c r="X7420">
        <v>0.99026729999999996</v>
      </c>
      <c r="Y7420">
        <v>1.485126E-2</v>
      </c>
      <c r="Z7420">
        <v>7.0950869999999999E-3</v>
      </c>
      <c r="AA7420">
        <v>0.99986450000000004</v>
      </c>
      <c r="AB7420">
        <v>22</v>
      </c>
      <c r="AC7420">
        <v>0.76019999999999699</v>
      </c>
      <c r="AD7420">
        <v>-0.101107</v>
      </c>
      <c r="AE7420">
        <v>-7.7199999999997701E-2</v>
      </c>
      <c r="AF7420">
        <v>1.6636242848584198E-2</v>
      </c>
      <c r="AG7420">
        <v>-0.101107</v>
      </c>
      <c r="AH7420">
        <v>0.75077729659487902</v>
      </c>
      <c r="AI7420">
        <v>97.668004502388996</v>
      </c>
      <c r="AJ7420">
        <v>88.730608204105593</v>
      </c>
      <c r="AK7420">
        <v>0.75773738135810098</v>
      </c>
      <c r="AL7420">
        <v>97.442196399057707</v>
      </c>
      <c r="AM7420">
        <v>92.944129875693406</v>
      </c>
      <c r="AN7420">
        <v>1.0000000480765801</v>
      </c>
    </row>
    <row r="7421" spans="1:40" x14ac:dyDescent="0.25">
      <c r="A7421" t="str">
        <f>"20190303154956646"</f>
        <v>20190303154956646</v>
      </c>
      <c r="B7421" t="str">
        <f>"1551599396638454"</f>
        <v>1551599396638454</v>
      </c>
      <c r="C7421" t="s">
        <v>40</v>
      </c>
      <c r="D7421">
        <v>5.9950099999999997</v>
      </c>
      <c r="E7421">
        <v>0.52491659999999996</v>
      </c>
      <c r="F7421" t="s">
        <v>42</v>
      </c>
      <c r="G7421">
        <v>-284.82909999999998</v>
      </c>
      <c r="H7421">
        <v>1.0363340000000001</v>
      </c>
      <c r="I7421">
        <v>-63.376379999999997</v>
      </c>
      <c r="J7421">
        <v>-285.48750000000001</v>
      </c>
      <c r="K7421">
        <v>1.125105</v>
      </c>
      <c r="L7421">
        <v>-63.308929999999997</v>
      </c>
      <c r="M7421">
        <v>0.99707060000000003</v>
      </c>
      <c r="N7421">
        <v>-1.359231E-2</v>
      </c>
      <c r="O7421">
        <v>-7.5269610000000001E-2</v>
      </c>
      <c r="P7421">
        <v>0.98942940000000001</v>
      </c>
      <c r="Q7421">
        <v>-0.14257120000000001</v>
      </c>
      <c r="R7421">
        <v>-2.6514159999999998E-2</v>
      </c>
      <c r="S7421">
        <v>2.9749150000000002</v>
      </c>
      <c r="T7421">
        <v>-0.34545120000000001</v>
      </c>
      <c r="U7421">
        <v>-0.2780762</v>
      </c>
      <c r="V7421">
        <v>-4.662707E-2</v>
      </c>
      <c r="W7421">
        <v>-0.12963830000000001</v>
      </c>
      <c r="X7421">
        <v>0.99046440000000002</v>
      </c>
      <c r="Y7421">
        <v>1.8108639999999999E-2</v>
      </c>
      <c r="Z7421">
        <v>6.489646E-3</v>
      </c>
      <c r="AA7421">
        <v>0.99981500000000001</v>
      </c>
      <c r="AB7421">
        <v>22</v>
      </c>
      <c r="AC7421">
        <v>0.65840000000002796</v>
      </c>
      <c r="AD7421">
        <v>-8.8770999999999906E-2</v>
      </c>
      <c r="AE7421">
        <v>-6.7450000000000898E-2</v>
      </c>
      <c r="AF7421">
        <v>1.7383802523769001E-2</v>
      </c>
      <c r="AG7421">
        <v>-8.8770999999999906E-2</v>
      </c>
      <c r="AH7421">
        <v>0.64991738302577495</v>
      </c>
      <c r="AI7421">
        <v>97.775046601232503</v>
      </c>
      <c r="AJ7421">
        <v>88.467834352636302</v>
      </c>
      <c r="AK7421">
        <v>0.65618220929118198</v>
      </c>
      <c r="AL7421">
        <v>97.448691938157594</v>
      </c>
      <c r="AM7421">
        <v>92.695264401270705</v>
      </c>
      <c r="AN7421">
        <v>0.99999995007551601</v>
      </c>
    </row>
    <row r="7422" spans="1:40" x14ac:dyDescent="0.25">
      <c r="A7422" t="str">
        <f>"20190303154956657"</f>
        <v>20190303154956657</v>
      </c>
      <c r="B7422" t="str">
        <f>"1551599396648216"</f>
        <v>1551599396648216</v>
      </c>
      <c r="C7422" t="s">
        <v>40</v>
      </c>
      <c r="D7422">
        <v>5.9720430000000002</v>
      </c>
      <c r="E7422">
        <v>0.52472659999999904</v>
      </c>
      <c r="F7422" t="s">
        <v>42</v>
      </c>
      <c r="G7422">
        <v>-284.63670000000002</v>
      </c>
      <c r="H7422">
        <v>1.026432</v>
      </c>
      <c r="I7422">
        <v>-63.3885199999999</v>
      </c>
      <c r="J7422">
        <v>-285.37950000000001</v>
      </c>
      <c r="K7422">
        <v>1.124965</v>
      </c>
      <c r="L7422">
        <v>-63.313049999999997</v>
      </c>
      <c r="M7422">
        <v>0.99733320000000003</v>
      </c>
      <c r="N7422">
        <v>-1.3656110000000001E-2</v>
      </c>
      <c r="O7422">
        <v>-7.1693950000000006E-2</v>
      </c>
      <c r="P7422">
        <v>0.98942949999999996</v>
      </c>
      <c r="Q7422">
        <v>-0.14247770000000001</v>
      </c>
      <c r="R7422">
        <v>-2.7001310000000001E-2</v>
      </c>
      <c r="S7422">
        <v>2.9749150000000002</v>
      </c>
      <c r="T7422">
        <v>-0.34484609999999999</v>
      </c>
      <c r="U7422">
        <v>-0.2785339</v>
      </c>
      <c r="V7422">
        <v>-4.2647480000000001E-2</v>
      </c>
      <c r="W7422">
        <v>-0.12941829999999999</v>
      </c>
      <c r="X7422">
        <v>0.99067249999999996</v>
      </c>
      <c r="Y7422">
        <v>2.179874E-2</v>
      </c>
      <c r="Z7422">
        <v>5.8709829999999998E-3</v>
      </c>
      <c r="AA7422">
        <v>0.99974510000000005</v>
      </c>
      <c r="AB7422">
        <v>22</v>
      </c>
      <c r="AC7422">
        <v>0.74279999999998803</v>
      </c>
      <c r="AD7422">
        <v>-9.8532999999999898E-2</v>
      </c>
      <c r="AE7422">
        <v>-7.5469999999995693E-2</v>
      </c>
      <c r="AF7422">
        <v>2.1639637845326298E-2</v>
      </c>
      <c r="AG7422">
        <v>-9.8532999999999898E-2</v>
      </c>
      <c r="AH7422">
        <v>0.73352404853675002</v>
      </c>
      <c r="AI7422">
        <v>97.647357086319701</v>
      </c>
      <c r="AJ7422">
        <v>88.310211609754603</v>
      </c>
      <c r="AK7422">
        <v>0.74042862977927904</v>
      </c>
      <c r="AL7422">
        <v>97.435979752700405</v>
      </c>
      <c r="AM7422">
        <v>92.465005163855295</v>
      </c>
      <c r="AN7422">
        <v>0.99999995309074396</v>
      </c>
    </row>
    <row r="7423" spans="1:40" x14ac:dyDescent="0.25">
      <c r="A7423" t="str">
        <f>"20190303154956668"</f>
        <v>20190303154956668</v>
      </c>
      <c r="B7423" t="str">
        <f>"1551599396657975"</f>
        <v>1551599396657975</v>
      </c>
      <c r="C7423" t="s">
        <v>40</v>
      </c>
      <c r="D7423">
        <v>5.9537370000000003</v>
      </c>
      <c r="E7423">
        <v>0.52457290000000001</v>
      </c>
      <c r="F7423" t="s">
        <v>42</v>
      </c>
      <c r="G7423">
        <v>-284.63029999999998</v>
      </c>
      <c r="H7423">
        <v>1.0384990000000001</v>
      </c>
      <c r="I7423">
        <v>-63.383090000000003</v>
      </c>
      <c r="J7423">
        <v>-285.27249999999998</v>
      </c>
      <c r="K7423">
        <v>1.124822</v>
      </c>
      <c r="L7423">
        <v>-63.316830000000003</v>
      </c>
      <c r="M7423">
        <v>0.99756900000000004</v>
      </c>
      <c r="N7423">
        <v>-1.3715400000000001E-2</v>
      </c>
      <c r="O7423">
        <v>-6.8325360000000002E-2</v>
      </c>
      <c r="P7423">
        <v>0.98935600000000001</v>
      </c>
      <c r="Q7423">
        <v>-0.1428577</v>
      </c>
      <c r="R7423">
        <v>-2.7690090000000001E-2</v>
      </c>
      <c r="S7423">
        <v>2.9750369999999999</v>
      </c>
      <c r="T7423">
        <v>-0.34317419999999998</v>
      </c>
      <c r="U7423">
        <v>-0.27841189999999999</v>
      </c>
      <c r="V7423">
        <v>-3.8663570000000001E-2</v>
      </c>
      <c r="W7423">
        <v>-0.12968009999999999</v>
      </c>
      <c r="X7423">
        <v>0.99080179999999995</v>
      </c>
      <c r="Y7423">
        <v>2.5086190000000001E-2</v>
      </c>
      <c r="Z7423">
        <v>5.2818789999999997E-3</v>
      </c>
      <c r="AA7423">
        <v>0.99967130000000004</v>
      </c>
      <c r="AB7423">
        <v>22</v>
      </c>
      <c r="AC7423">
        <v>0.64220000000000199</v>
      </c>
      <c r="AD7423">
        <v>-8.63229999999999E-2</v>
      </c>
      <c r="AE7423">
        <v>-6.6259999999999694E-2</v>
      </c>
      <c r="AF7423">
        <v>2.1832151371206199E-2</v>
      </c>
      <c r="AG7423">
        <v>-8.63229999999999E-2</v>
      </c>
      <c r="AH7423">
        <v>0.63389400009514996</v>
      </c>
      <c r="AI7423">
        <v>97.750236047956705</v>
      </c>
      <c r="AJ7423">
        <v>88.027436955210604</v>
      </c>
      <c r="AK7423">
        <v>0.64011710375455899</v>
      </c>
      <c r="AL7423">
        <v>97.4511068909557</v>
      </c>
      <c r="AM7423">
        <v>92.234691110709093</v>
      </c>
      <c r="AN7423">
        <v>1.0000000034321901</v>
      </c>
    </row>
    <row r="7424" spans="1:40" x14ac:dyDescent="0.25">
      <c r="A7424" t="str">
        <f>"20190303154956681"</f>
        <v>20190303154956681</v>
      </c>
      <c r="B7424" t="str">
        <f>"1551599396678470"</f>
        <v>1551599396678470</v>
      </c>
      <c r="C7424" t="s">
        <v>40</v>
      </c>
      <c r="D7424">
        <v>5.9347719999999997</v>
      </c>
      <c r="E7424">
        <v>0.52432900000000005</v>
      </c>
      <c r="F7424" t="s">
        <v>42</v>
      </c>
      <c r="G7424">
        <v>-284.43790000000001</v>
      </c>
      <c r="H7424">
        <v>1.0288219999999999</v>
      </c>
      <c r="I7424">
        <v>-63.395319999999998</v>
      </c>
      <c r="J7424">
        <v>-285.1497</v>
      </c>
      <c r="K7424">
        <v>1.124654</v>
      </c>
      <c r="L7424">
        <v>-63.321010000000001</v>
      </c>
      <c r="M7424">
        <v>0.99781960000000003</v>
      </c>
      <c r="N7424">
        <v>-1.37823999999999E-2</v>
      </c>
      <c r="O7424">
        <v>-6.454588E-2</v>
      </c>
      <c r="P7424">
        <v>0.98929730000000005</v>
      </c>
      <c r="Q7424">
        <v>-0.14324729999999999</v>
      </c>
      <c r="R7424">
        <v>-2.777135E-2</v>
      </c>
      <c r="S7424">
        <v>2.975006</v>
      </c>
      <c r="T7424">
        <v>-0.34250219999999998</v>
      </c>
      <c r="U7424">
        <v>-0.27920529999999999</v>
      </c>
      <c r="V7424">
        <v>-3.4888139999999998E-2</v>
      </c>
      <c r="W7424">
        <v>-0.12994729999999999</v>
      </c>
      <c r="X7424">
        <v>0.99090690000000003</v>
      </c>
      <c r="Y7424">
        <v>2.90884E-2</v>
      </c>
      <c r="Z7424">
        <v>4.6277840000000002E-3</v>
      </c>
      <c r="AA7424">
        <v>0.99956610000000001</v>
      </c>
      <c r="AB7424">
        <v>22</v>
      </c>
      <c r="AC7424">
        <v>0.711799999999982</v>
      </c>
      <c r="AD7424">
        <v>-9.5832000000000098E-2</v>
      </c>
      <c r="AE7424">
        <v>-7.4309999999996906E-2</v>
      </c>
      <c r="AF7424">
        <v>2.7710034554842999E-2</v>
      </c>
      <c r="AG7424">
        <v>-9.5832000000000098E-2</v>
      </c>
      <c r="AH7424">
        <v>0.70251568573323797</v>
      </c>
      <c r="AI7424">
        <v>97.761958763520596</v>
      </c>
      <c r="AJ7424">
        <v>87.741195748730703</v>
      </c>
      <c r="AK7424">
        <v>0.70956318037245403</v>
      </c>
      <c r="AL7424">
        <v>97.466547118561493</v>
      </c>
      <c r="AM7424">
        <v>92.016453626107094</v>
      </c>
      <c r="AN7424">
        <v>0.99999998377877897</v>
      </c>
    </row>
    <row r="7425" spans="1:40" x14ac:dyDescent="0.25">
      <c r="A7425" t="str">
        <f>"20190303154956693"</f>
        <v>20190303154956693</v>
      </c>
      <c r="B7425" t="str">
        <f>"1551599396688231"</f>
        <v>1551599396688231</v>
      </c>
      <c r="C7425" t="s">
        <v>40</v>
      </c>
      <c r="D7425">
        <v>5.9303869999999996</v>
      </c>
      <c r="E7425">
        <v>0.52419689999999997</v>
      </c>
      <c r="F7425" t="s">
        <v>42</v>
      </c>
      <c r="G7425">
        <v>-284.24450000000002</v>
      </c>
      <c r="H7425">
        <v>1.0209280000000001</v>
      </c>
      <c r="I7425">
        <v>-63.405560000000001</v>
      </c>
      <c r="J7425">
        <v>-285.0342</v>
      </c>
      <c r="K7425">
        <v>1.124484</v>
      </c>
      <c r="L7425">
        <v>-63.3245199999999</v>
      </c>
      <c r="M7425">
        <v>0.99802650000000004</v>
      </c>
      <c r="N7425">
        <v>-1.3836869999999999E-2</v>
      </c>
      <c r="O7425">
        <v>-6.1251930000000003E-2</v>
      </c>
      <c r="P7425">
        <v>0.98931829999999998</v>
      </c>
      <c r="Q7425">
        <v>-0.143090299999999</v>
      </c>
      <c r="R7425">
        <v>-2.7838539999999998E-2</v>
      </c>
      <c r="S7425">
        <v>2.97525</v>
      </c>
      <c r="T7425">
        <v>-0.34115469999999998</v>
      </c>
      <c r="U7425">
        <v>-0.2774353</v>
      </c>
      <c r="V7425">
        <v>-3.1618849999999997E-2</v>
      </c>
      <c r="W7425">
        <v>-0.12968769999999999</v>
      </c>
      <c r="X7425">
        <v>0.9910506</v>
      </c>
      <c r="Y7425">
        <v>3.1752910000000002E-2</v>
      </c>
      <c r="Z7425">
        <v>4.1012949999999996E-3</v>
      </c>
      <c r="AA7425">
        <v>0.99948729999999997</v>
      </c>
      <c r="AB7425">
        <v>22</v>
      </c>
      <c r="AC7425">
        <v>0.78969999999998197</v>
      </c>
      <c r="AD7425">
        <v>-0.103555999999999</v>
      </c>
      <c r="AE7425">
        <v>-8.10400000000015E-2</v>
      </c>
      <c r="AF7425">
        <v>3.1968528130714498E-2</v>
      </c>
      <c r="AG7425">
        <v>-0.103555999999999</v>
      </c>
      <c r="AH7425">
        <v>0.77990973013696097</v>
      </c>
      <c r="AI7425">
        <v>97.557188711049804</v>
      </c>
      <c r="AJ7425">
        <v>87.652757929580403</v>
      </c>
      <c r="AK7425">
        <v>0.78740397451952904</v>
      </c>
      <c r="AL7425">
        <v>97.451546286803094</v>
      </c>
      <c r="AM7425">
        <v>91.827366185762003</v>
      </c>
      <c r="AN7425">
        <v>0.99999997148348496</v>
      </c>
    </row>
    <row r="7426" spans="1:40" x14ac:dyDescent="0.25">
      <c r="A7426" t="str">
        <f>"20190303154956703"</f>
        <v>20190303154956703</v>
      </c>
      <c r="B7426" t="str">
        <f>"1551599396697990"</f>
        <v>1551599396697990</v>
      </c>
      <c r="C7426" t="s">
        <v>40</v>
      </c>
      <c r="D7426">
        <v>5.9354250000000004</v>
      </c>
      <c r="E7426">
        <v>0.52406709999999901</v>
      </c>
      <c r="F7426" t="s">
        <v>42</v>
      </c>
      <c r="G7426">
        <v>-284.23779999999999</v>
      </c>
      <c r="H7426">
        <v>1.0336339999999999</v>
      </c>
      <c r="I7426">
        <v>-63.398690000000002</v>
      </c>
      <c r="J7426">
        <v>-284.93049999999999</v>
      </c>
      <c r="K7426">
        <v>1.1243339999999999</v>
      </c>
      <c r="L7426">
        <v>-63.32761</v>
      </c>
      <c r="M7426">
        <v>0.99819990000000003</v>
      </c>
      <c r="N7426">
        <v>-1.3885079999999999E-2</v>
      </c>
      <c r="O7426">
        <v>-5.8345330000000001E-2</v>
      </c>
      <c r="P7426">
        <v>0.98945470000000002</v>
      </c>
      <c r="Q7426">
        <v>-0.14207400000000001</v>
      </c>
      <c r="R7426">
        <v>-2.8185700000000001E-2</v>
      </c>
      <c r="S7426">
        <v>2.9754939999999999</v>
      </c>
      <c r="T7426">
        <v>-0.33964709999999998</v>
      </c>
      <c r="U7426">
        <v>-0.27658080000000002</v>
      </c>
      <c r="V7426">
        <v>-2.846135E-2</v>
      </c>
      <c r="W7426">
        <v>-0.128579</v>
      </c>
      <c r="X7426">
        <v>0.99129069999999997</v>
      </c>
      <c r="Y7426">
        <v>3.4336690000000003E-2</v>
      </c>
      <c r="Z7426">
        <v>3.6209860000000001E-3</v>
      </c>
      <c r="AA7426">
        <v>0.99940379999999995</v>
      </c>
      <c r="AB7426">
        <v>22</v>
      </c>
      <c r="AC7426">
        <v>0.69270000000000198</v>
      </c>
      <c r="AD7426">
        <v>-9.0700000000000003E-2</v>
      </c>
      <c r="AE7426">
        <v>-7.1080000000002003E-2</v>
      </c>
      <c r="AF7426">
        <v>3.0029703652118201E-2</v>
      </c>
      <c r="AG7426">
        <v>-9.0700000000000003E-2</v>
      </c>
      <c r="AH7426">
        <v>0.68406163927915098</v>
      </c>
      <c r="AI7426">
        <v>97.545632001737005</v>
      </c>
      <c r="AJ7426">
        <v>87.486379592369204</v>
      </c>
      <c r="AK7426">
        <v>0.69070152702503396</v>
      </c>
      <c r="AL7426">
        <v>97.387486399602196</v>
      </c>
      <c r="AM7426">
        <v>91.644590598070906</v>
      </c>
      <c r="AN7426">
        <v>0.999999929795653</v>
      </c>
    </row>
    <row r="7427" spans="1:40" x14ac:dyDescent="0.25">
      <c r="A7427" t="str">
        <f>"20190303154956715"</f>
        <v>20190303154956715</v>
      </c>
      <c r="B7427" t="str">
        <f>"1551599396707751"</f>
        <v>1551599396707751</v>
      </c>
      <c r="C7427" t="s">
        <v>40</v>
      </c>
      <c r="D7427">
        <v>5.9196849999999896</v>
      </c>
      <c r="E7427">
        <v>0.52396390000000004</v>
      </c>
      <c r="F7427" t="s">
        <v>42</v>
      </c>
      <c r="G7427">
        <v>-284.0453</v>
      </c>
      <c r="H7427">
        <v>1.0246109999999999</v>
      </c>
      <c r="I7427">
        <v>-63.410139999999998</v>
      </c>
      <c r="J7427">
        <v>-284.81459999999998</v>
      </c>
      <c r="K7427">
        <v>1.124166</v>
      </c>
      <c r="L7427">
        <v>-63.330750000000002</v>
      </c>
      <c r="M7427">
        <v>0.99837390000000004</v>
      </c>
      <c r="N7427">
        <v>-1.393341E-2</v>
      </c>
      <c r="O7427">
        <v>-5.527601E-2</v>
      </c>
      <c r="P7427">
        <v>0.98970309999999995</v>
      </c>
      <c r="Q7427">
        <v>-0.1404156</v>
      </c>
      <c r="R7427">
        <v>-2.777845E-2</v>
      </c>
      <c r="S7427">
        <v>2.9758909999999998</v>
      </c>
      <c r="T7427">
        <v>-0.33557009999999998</v>
      </c>
      <c r="U7427">
        <v>-0.27658080000000002</v>
      </c>
      <c r="V7427">
        <v>-2.591274E-2</v>
      </c>
      <c r="W7427">
        <v>-0.12683359999999999</v>
      </c>
      <c r="X7427">
        <v>0.99158550000000001</v>
      </c>
      <c r="Y7427">
        <v>3.7358269999999999E-2</v>
      </c>
      <c r="Z7427">
        <v>3.0696439999999998E-3</v>
      </c>
      <c r="AA7427">
        <v>0.9992972</v>
      </c>
      <c r="AB7427">
        <v>22</v>
      </c>
      <c r="AC7427">
        <v>0.76929999999998699</v>
      </c>
      <c r="AD7427">
        <v>-9.9554999999999796E-2</v>
      </c>
      <c r="AE7427">
        <v>-7.9390000000003597E-2</v>
      </c>
      <c r="AF7427">
        <v>3.6141750949237002E-2</v>
      </c>
      <c r="AG7427">
        <v>-9.9554999999999796E-2</v>
      </c>
      <c r="AH7427">
        <v>0.75992017608405404</v>
      </c>
      <c r="AI7427">
        <v>97.455320925231604</v>
      </c>
      <c r="AJ7427">
        <v>87.277068499511401</v>
      </c>
      <c r="AK7427">
        <v>0.76726533755037796</v>
      </c>
      <c r="AL7427">
        <v>97.286656088811895</v>
      </c>
      <c r="AM7427">
        <v>91.496948880128201</v>
      </c>
      <c r="AN7427">
        <v>1.0000000179967501</v>
      </c>
    </row>
    <row r="7428" spans="1:40" x14ac:dyDescent="0.25">
      <c r="A7428" t="str">
        <f>"20190303154956727"</f>
        <v>20190303154956727</v>
      </c>
      <c r="B7428" t="str">
        <f>"1551599396718486"</f>
        <v>1551599396718486</v>
      </c>
      <c r="C7428" t="s">
        <v>40</v>
      </c>
      <c r="D7428">
        <v>5.908588</v>
      </c>
      <c r="E7428">
        <v>0.52383670000000004</v>
      </c>
      <c r="F7428" t="s">
        <v>42</v>
      </c>
      <c r="G7428">
        <v>-284.03809999999999</v>
      </c>
      <c r="H7428">
        <v>1.038233</v>
      </c>
      <c r="I7428">
        <v>-63.402619999999999</v>
      </c>
      <c r="J7428">
        <v>-284.7013</v>
      </c>
      <c r="K7428">
        <v>1.1239980000000001</v>
      </c>
      <c r="L7428">
        <v>-63.333649999999999</v>
      </c>
      <c r="M7428">
        <v>0.99852859999999999</v>
      </c>
      <c r="N7428">
        <v>-1.3977959999999999E-2</v>
      </c>
      <c r="O7428">
        <v>-5.2395860000000002E-2</v>
      </c>
      <c r="P7428">
        <v>0.990012</v>
      </c>
      <c r="Q7428">
        <v>-0.1383664</v>
      </c>
      <c r="R7428">
        <v>-2.7034780000000001E-2</v>
      </c>
      <c r="S7428">
        <v>2.9766539999999999</v>
      </c>
      <c r="T7428">
        <v>-0.32980320000000002</v>
      </c>
      <c r="U7428">
        <v>-0.27453610000000001</v>
      </c>
      <c r="V7428">
        <v>-2.388887E-2</v>
      </c>
      <c r="W7428">
        <v>-0.1247077</v>
      </c>
      <c r="X7428">
        <v>0.99190590000000001</v>
      </c>
      <c r="Y7428">
        <v>3.9506409999999999E-2</v>
      </c>
      <c r="Z7428">
        <v>2.585361E-3</v>
      </c>
      <c r="AA7428">
        <v>0.99921599999999999</v>
      </c>
      <c r="AB7428">
        <v>22</v>
      </c>
      <c r="AC7428">
        <v>0.663200000000017</v>
      </c>
      <c r="AD7428">
        <v>-8.5764999999999994E-2</v>
      </c>
      <c r="AE7428">
        <v>-6.8970000000000198E-2</v>
      </c>
      <c r="AF7428">
        <v>3.3567549896149497E-2</v>
      </c>
      <c r="AG7428">
        <v>-8.5764999999999994E-2</v>
      </c>
      <c r="AH7428">
        <v>0.65506507338267495</v>
      </c>
      <c r="AI7428">
        <v>97.449411678962093</v>
      </c>
      <c r="AJ7428">
        <v>87.066553771331797</v>
      </c>
      <c r="AK7428">
        <v>0.66150787296666402</v>
      </c>
      <c r="AL7428">
        <v>97.163876133494696</v>
      </c>
      <c r="AM7428">
        <v>91.379633779186904</v>
      </c>
      <c r="AN7428">
        <v>1.0000000015019801</v>
      </c>
    </row>
    <row r="7429" spans="1:40" x14ac:dyDescent="0.25">
      <c r="A7429" t="str">
        <f>"20190303154956739"</f>
        <v>20190303154956739</v>
      </c>
      <c r="B7429" t="str">
        <f>"1551599396728246"</f>
        <v>1551599396728246</v>
      </c>
      <c r="C7429" t="s">
        <v>40</v>
      </c>
      <c r="D7429">
        <v>5.8604659999999997</v>
      </c>
      <c r="E7429">
        <v>0.52383670000000004</v>
      </c>
      <c r="F7429" t="s">
        <v>42</v>
      </c>
      <c r="G7429">
        <v>-283.84469999999999</v>
      </c>
      <c r="H7429">
        <v>1.0311030000000001</v>
      </c>
      <c r="I7429">
        <v>-63.411659999999998</v>
      </c>
      <c r="J7429">
        <v>-284.56490000000002</v>
      </c>
      <c r="K7429">
        <v>1.1237980000000001</v>
      </c>
      <c r="L7429">
        <v>-63.337009999999999</v>
      </c>
      <c r="M7429">
        <v>0.99869680000000005</v>
      </c>
      <c r="N7429">
        <v>-1.402845E-2</v>
      </c>
      <c r="O7429">
        <v>-4.9072110000000002E-2</v>
      </c>
      <c r="P7429">
        <v>0.99029730000000005</v>
      </c>
      <c r="Q7429">
        <v>-0.13652149999999999</v>
      </c>
      <c r="R7429">
        <v>-2.5949920000000001E-2</v>
      </c>
      <c r="S7429">
        <v>2.977722</v>
      </c>
      <c r="T7429">
        <v>-0.32290170000000001</v>
      </c>
      <c r="U7429">
        <v>-0.27133180000000001</v>
      </c>
      <c r="V7429">
        <v>-2.177231E-2</v>
      </c>
      <c r="W7429">
        <v>-0.122779399999999</v>
      </c>
      <c r="X7429">
        <v>0.9921951</v>
      </c>
      <c r="Y7429">
        <v>4.1702669999999997E-2</v>
      </c>
      <c r="Z7429">
        <v>2.0605369999999999E-3</v>
      </c>
      <c r="AA7429">
        <v>0.99912789999999996</v>
      </c>
      <c r="AB7429">
        <v>22</v>
      </c>
      <c r="AC7429">
        <v>0.72020000000003304</v>
      </c>
      <c r="AD7429">
        <v>-9.2694999999999694E-2</v>
      </c>
      <c r="AE7429">
        <v>-7.4649999999998301E-2</v>
      </c>
      <c r="AF7429">
        <v>3.8582490876780499E-2</v>
      </c>
      <c r="AG7429">
        <v>-9.2694999999999694E-2</v>
      </c>
      <c r="AH7429">
        <v>0.71133730004009299</v>
      </c>
      <c r="AI7429">
        <v>97.413652696823902</v>
      </c>
      <c r="AJ7429">
        <v>86.895354848157993</v>
      </c>
      <c r="AK7429">
        <v>0.718388283629116</v>
      </c>
      <c r="AL7429">
        <v>97.052537191685502</v>
      </c>
      <c r="AM7429">
        <v>91.257072631128693</v>
      </c>
      <c r="AN7429">
        <v>0.99999996550555204</v>
      </c>
    </row>
    <row r="7430" spans="1:40" x14ac:dyDescent="0.25">
      <c r="A7430" t="str">
        <f>"20190303154956753"</f>
        <v>20190303154956753</v>
      </c>
      <c r="B7430" t="str">
        <f>"1551599396747767"</f>
        <v>1551599396747767</v>
      </c>
      <c r="C7430" t="s">
        <v>40</v>
      </c>
      <c r="D7430">
        <v>5.8095540000000003</v>
      </c>
      <c r="E7430">
        <v>0.49737389999999998</v>
      </c>
      <c r="F7430" t="s">
        <v>42</v>
      </c>
      <c r="G7430">
        <v>-283.83510000000001</v>
      </c>
      <c r="H7430">
        <v>1.0460179999999999</v>
      </c>
      <c r="I7430">
        <v>-63.402639999999998</v>
      </c>
      <c r="J7430">
        <v>-284.44490000000002</v>
      </c>
      <c r="K7430">
        <v>1.1236159999999999</v>
      </c>
      <c r="L7430">
        <v>-63.33963</v>
      </c>
      <c r="M7430">
        <v>0.99882389999999999</v>
      </c>
      <c r="N7430">
        <v>-1.4066560000000001E-2</v>
      </c>
      <c r="O7430">
        <v>-4.6403809999999997E-2</v>
      </c>
      <c r="P7430">
        <v>0.9905986</v>
      </c>
      <c r="Q7430">
        <v>-0.1344844</v>
      </c>
      <c r="R7430">
        <v>-2.5076520000000001E-2</v>
      </c>
      <c r="S7430">
        <v>2.9786380000000001</v>
      </c>
      <c r="T7430">
        <v>-0.31740390000000002</v>
      </c>
      <c r="U7430">
        <v>-0.26803589999999999</v>
      </c>
      <c r="V7430">
        <v>-2.008563E-2</v>
      </c>
      <c r="W7430">
        <v>-0.1206777</v>
      </c>
      <c r="X7430">
        <v>0.9924885</v>
      </c>
      <c r="Y7430">
        <v>4.3226729999999998E-2</v>
      </c>
      <c r="Z7430">
        <v>1.6690590000000001E-3</v>
      </c>
      <c r="AA7430">
        <v>0.9990639</v>
      </c>
      <c r="AB7430">
        <v>22</v>
      </c>
      <c r="AC7430">
        <v>0.609800000000007</v>
      </c>
      <c r="AD7430">
        <v>-7.7597999999999806E-2</v>
      </c>
      <c r="AE7430">
        <v>-6.3009999999998401E-2</v>
      </c>
      <c r="AF7430">
        <v>3.4095989380266097E-2</v>
      </c>
      <c r="AG7430">
        <v>-7.7597999999999806E-2</v>
      </c>
      <c r="AH7430">
        <v>0.60241532860797398</v>
      </c>
      <c r="AI7430">
        <v>97.328334876231295</v>
      </c>
      <c r="AJ7430">
        <v>86.760583315650393</v>
      </c>
      <c r="AK7430">
        <v>0.60834876036503305</v>
      </c>
      <c r="AL7430">
        <v>96.931216304084302</v>
      </c>
      <c r="AM7430">
        <v>91.159373388596705</v>
      </c>
      <c r="AN7430">
        <v>0.99999998122101796</v>
      </c>
    </row>
    <row r="7431" spans="1:40" x14ac:dyDescent="0.25">
      <c r="A7431" t="str">
        <f>"20190303154956764"</f>
        <v>20190303154956764</v>
      </c>
      <c r="B7431" t="str">
        <f>"1551599396758503"</f>
        <v>1551599396758503</v>
      </c>
      <c r="C7431" t="s">
        <v>40</v>
      </c>
      <c r="D7431">
        <v>5.8586159999999996</v>
      </c>
      <c r="E7431">
        <v>0.49658780000000002</v>
      </c>
      <c r="F7431" t="s">
        <v>41</v>
      </c>
      <c r="G7431">
        <v>-270.8569</v>
      </c>
      <c r="H7431" s="1">
        <v>-2.3440729999999999E-7</v>
      </c>
      <c r="I7431">
        <v>-63.587859999999999</v>
      </c>
      <c r="J7431">
        <v>-284.334</v>
      </c>
      <c r="K7431">
        <v>1.1234459999999999</v>
      </c>
      <c r="L7431">
        <v>-63.342039999999997</v>
      </c>
      <c r="M7431">
        <v>0.99893120000000002</v>
      </c>
      <c r="N7431">
        <v>-1.410059E-2</v>
      </c>
      <c r="O7431">
        <v>-4.4019349999999999E-2</v>
      </c>
      <c r="P7431">
        <v>0.9907956</v>
      </c>
      <c r="Q7431">
        <v>-0.1331571</v>
      </c>
      <c r="R7431">
        <v>-2.436342E-2</v>
      </c>
      <c r="S7431">
        <v>2.9935</v>
      </c>
      <c r="T7431">
        <v>-0.24753890000000001</v>
      </c>
      <c r="U7431">
        <v>-5.46875E-2</v>
      </c>
      <c r="V7431">
        <v>-1.8503789999999999E-2</v>
      </c>
      <c r="W7431">
        <v>-0.11929430000000001</v>
      </c>
      <c r="X7431">
        <v>0.99268650000000003</v>
      </c>
      <c r="Y7431">
        <v>-2.556303E-2</v>
      </c>
      <c r="Z7431">
        <v>4.2479450000000004E-3</v>
      </c>
      <c r="AA7431">
        <v>0.9996642</v>
      </c>
      <c r="AB7431">
        <v>22</v>
      </c>
      <c r="AC7431">
        <v>13.4771</v>
      </c>
      <c r="AD7431">
        <v>-1.1234462344073</v>
      </c>
      <c r="AE7431">
        <v>-0.24581999999999399</v>
      </c>
      <c r="AF7431">
        <v>-0.34533161988815902</v>
      </c>
      <c r="AG7431">
        <v>-1.1234462344073</v>
      </c>
      <c r="AH7431">
        <v>13.381898064807601</v>
      </c>
      <c r="AI7431">
        <v>94.7972915813165</v>
      </c>
      <c r="AJ7431">
        <v>91.478239774536902</v>
      </c>
      <c r="AK7431">
        <v>13.4334128644287</v>
      </c>
      <c r="AL7431">
        <v>96.851376363434099</v>
      </c>
      <c r="AM7431">
        <v>91.067876221402102</v>
      </c>
      <c r="AN7431">
        <v>1.00000000376955</v>
      </c>
    </row>
    <row r="7432" spans="1:40" x14ac:dyDescent="0.25">
      <c r="A7432" t="str">
        <f>"20190303154956776"</f>
        <v>20190303154956776</v>
      </c>
      <c r="B7432" t="str">
        <f>"1551599396768263"</f>
        <v>1551599396768263</v>
      </c>
      <c r="C7432" t="s">
        <v>40</v>
      </c>
      <c r="D7432">
        <v>5.8002750000000001</v>
      </c>
      <c r="E7432">
        <v>0.4956605</v>
      </c>
      <c r="F7432" t="s">
        <v>41</v>
      </c>
      <c r="G7432">
        <v>-270.12979999999999</v>
      </c>
      <c r="H7432" s="1">
        <v>8.3268109999999898E-8</v>
      </c>
      <c r="I7432">
        <v>-63.562040000000003</v>
      </c>
      <c r="J7432">
        <v>-284.21519999999998</v>
      </c>
      <c r="K7432">
        <v>1.123256</v>
      </c>
      <c r="L7432">
        <v>-63.344450000000002</v>
      </c>
      <c r="M7432">
        <v>0.99903169999999997</v>
      </c>
      <c r="N7432">
        <v>-1.4132489999999999E-2</v>
      </c>
      <c r="O7432">
        <v>-4.1664970000000003E-2</v>
      </c>
      <c r="P7432">
        <v>0.99092119999999995</v>
      </c>
      <c r="Q7432">
        <v>-0.13233809999999999</v>
      </c>
      <c r="R7432">
        <v>-2.369634E-2</v>
      </c>
      <c r="S7432">
        <v>2.994904</v>
      </c>
      <c r="T7432">
        <v>-0.2368739</v>
      </c>
      <c r="U7432">
        <v>-4.6386719999999999E-2</v>
      </c>
      <c r="V7432">
        <v>-1.690231E-2</v>
      </c>
      <c r="W7432">
        <v>-0.11842279999999999</v>
      </c>
      <c r="X7432">
        <v>0.99281940000000002</v>
      </c>
      <c r="Y7432">
        <v>-2.6007479999999999E-2</v>
      </c>
      <c r="Z7432">
        <v>3.9117830000000003E-3</v>
      </c>
      <c r="AA7432">
        <v>0.99965409999999999</v>
      </c>
      <c r="AB7432">
        <v>22</v>
      </c>
      <c r="AC7432">
        <v>14.0853999999999</v>
      </c>
      <c r="AD7432">
        <v>-1.1232559167318801</v>
      </c>
      <c r="AE7432">
        <v>-0.217590000000001</v>
      </c>
      <c r="AF7432">
        <v>-0.36719078676872102</v>
      </c>
      <c r="AG7432">
        <v>-1.1232559167318801</v>
      </c>
      <c r="AH7432">
        <v>13.993264981521801</v>
      </c>
      <c r="AI7432">
        <v>94.587787209051498</v>
      </c>
      <c r="AJ7432">
        <v>91.503127081970803</v>
      </c>
      <c r="AK7432">
        <v>14.043076506643599</v>
      </c>
      <c r="AL7432">
        <v>96.801086592023296</v>
      </c>
      <c r="AM7432">
        <v>90.975341015076694</v>
      </c>
      <c r="AN7432">
        <v>1.0000000043297601</v>
      </c>
    </row>
    <row r="7433" spans="1:40" x14ac:dyDescent="0.25">
      <c r="A7433" t="str">
        <f>"20190303154956787"</f>
        <v>20190303154956787</v>
      </c>
      <c r="B7433" t="str">
        <f>"1551599396778023"</f>
        <v>1551599396778023</v>
      </c>
      <c r="C7433" t="s">
        <v>40</v>
      </c>
      <c r="D7433">
        <v>5.8449099999999996</v>
      </c>
      <c r="E7433">
        <v>0.49554120000000002</v>
      </c>
      <c r="F7433" t="s">
        <v>70</v>
      </c>
      <c r="G7433">
        <v>-269.55149999999998</v>
      </c>
      <c r="H7433" s="1">
        <v>-3.696128E-6</v>
      </c>
      <c r="I7433">
        <v>-63.5252699999999</v>
      </c>
      <c r="J7433">
        <v>-284.1087</v>
      </c>
      <c r="K7433">
        <v>1.1230850000000001</v>
      </c>
      <c r="L7433">
        <v>-63.346559999999997</v>
      </c>
      <c r="M7433">
        <v>0.999112</v>
      </c>
      <c r="N7433">
        <v>-1.4158570000000001E-2</v>
      </c>
      <c r="O7433">
        <v>-3.9682729999999999E-2</v>
      </c>
      <c r="P7433">
        <v>0.99094400000000005</v>
      </c>
      <c r="Q7433">
        <v>-0.13230310000000001</v>
      </c>
      <c r="R7433">
        <v>-2.2939520000000001E-2</v>
      </c>
      <c r="S7433">
        <v>2.9959410000000002</v>
      </c>
      <c r="T7433">
        <v>-0.22949330000000001</v>
      </c>
      <c r="U7433">
        <v>-3.6956790000000003E-2</v>
      </c>
      <c r="V7433">
        <v>-1.5744000000000001E-2</v>
      </c>
      <c r="W7433">
        <v>-0.1183476</v>
      </c>
      <c r="X7433">
        <v>0.99284740000000005</v>
      </c>
      <c r="Y7433">
        <v>-2.718717E-2</v>
      </c>
      <c r="Z7433">
        <v>3.7056160000000001E-3</v>
      </c>
      <c r="AA7433">
        <v>0.9996235</v>
      </c>
      <c r="AB7433">
        <v>22</v>
      </c>
      <c r="AC7433">
        <v>14.5572</v>
      </c>
      <c r="AD7433">
        <v>-1.123088696128</v>
      </c>
      <c r="AE7433">
        <v>-0.17870999999999501</v>
      </c>
      <c r="AF7433">
        <v>-0.396796717934843</v>
      </c>
      <c r="AG7433">
        <v>-1.123088696128</v>
      </c>
      <c r="AH7433">
        <v>14.4667289680207</v>
      </c>
      <c r="AI7433">
        <v>94.437450239322899</v>
      </c>
      <c r="AJ7433">
        <v>91.571127702927697</v>
      </c>
      <c r="AK7433">
        <v>14.5156819643069</v>
      </c>
      <c r="AL7433">
        <v>96.796747507109799</v>
      </c>
      <c r="AM7433">
        <v>90.908487199186595</v>
      </c>
      <c r="AN7433">
        <v>0.99999999382425997</v>
      </c>
    </row>
    <row r="7434" spans="1:40" x14ac:dyDescent="0.25">
      <c r="A7434" t="str">
        <f>"20190303154956799"</f>
        <v>20190303154956799</v>
      </c>
      <c r="B7434" t="str">
        <f>"1551599396787783"</f>
        <v>1551599396787783</v>
      </c>
      <c r="C7434" t="s">
        <v>40</v>
      </c>
      <c r="D7434">
        <v>5.9191890000000003</v>
      </c>
      <c r="E7434">
        <v>0.49476829999999999</v>
      </c>
      <c r="F7434" t="s">
        <v>70</v>
      </c>
      <c r="G7434">
        <v>-269.49529999999999</v>
      </c>
      <c r="H7434" s="1">
        <v>-3.6744349999999998E-6</v>
      </c>
      <c r="I7434">
        <v>-63.510829999999999</v>
      </c>
      <c r="J7434">
        <v>-283.9907</v>
      </c>
      <c r="K7434">
        <v>1.122895</v>
      </c>
      <c r="L7434">
        <v>-63.348790000000001</v>
      </c>
      <c r="M7434">
        <v>0.99919239999999998</v>
      </c>
      <c r="N7434">
        <v>-1.4185379999999999E-2</v>
      </c>
      <c r="O7434">
        <v>-3.7597539999999999E-2</v>
      </c>
      <c r="P7434">
        <v>0.99091110000000004</v>
      </c>
      <c r="Q7434">
        <v>-0.13270000000000001</v>
      </c>
      <c r="R7434">
        <v>-2.2046340000000001E-2</v>
      </c>
      <c r="S7434">
        <v>2.995911</v>
      </c>
      <c r="T7434">
        <v>-0.23024559999999999</v>
      </c>
      <c r="U7434">
        <v>-3.3691409999999998E-2</v>
      </c>
      <c r="V7434">
        <v>-1.461897E-2</v>
      </c>
      <c r="W7434">
        <v>-0.11870509999999999</v>
      </c>
      <c r="X7434">
        <v>0.99282190000000003</v>
      </c>
      <c r="Y7434">
        <v>-2.619662E-2</v>
      </c>
      <c r="Z7434">
        <v>3.5429369999999999E-3</v>
      </c>
      <c r="AA7434">
        <v>0.9996505</v>
      </c>
      <c r="AB7434">
        <v>22</v>
      </c>
      <c r="AC7434">
        <v>14.4954</v>
      </c>
      <c r="AD7434">
        <v>-1.122898674435</v>
      </c>
      <c r="AE7434">
        <v>-0.16204000000000399</v>
      </c>
      <c r="AF7434">
        <v>-0.38083565122778801</v>
      </c>
      <c r="AG7434">
        <v>-1.122898674435</v>
      </c>
      <c r="AH7434">
        <v>14.4048101776</v>
      </c>
      <c r="AI7434">
        <v>94.455815143326603</v>
      </c>
      <c r="AJ7434">
        <v>91.514438124562403</v>
      </c>
      <c r="AK7434">
        <v>14.453528755255</v>
      </c>
      <c r="AL7434">
        <v>96.817376324437603</v>
      </c>
      <c r="AM7434">
        <v>90.843600200961902</v>
      </c>
      <c r="AN7434">
        <v>0.99999997008473995</v>
      </c>
    </row>
    <row r="7435" spans="1:40" x14ac:dyDescent="0.25">
      <c r="A7435" t="str">
        <f>"20190303154956816"</f>
        <v>20190303154956816</v>
      </c>
      <c r="B7435" t="str">
        <f>"1551599396808279"</f>
        <v>1551599396808279</v>
      </c>
      <c r="C7435" t="s">
        <v>40</v>
      </c>
      <c r="D7435">
        <v>5.7700909999999999</v>
      </c>
      <c r="E7435">
        <v>0.49509619999999999</v>
      </c>
      <c r="F7435" t="s">
        <v>70</v>
      </c>
      <c r="G7435">
        <v>-269.9547</v>
      </c>
      <c r="H7435" s="1">
        <v>-3.8225529999999901E-6</v>
      </c>
      <c r="I7435">
        <v>-63.464419999999997</v>
      </c>
      <c r="J7435">
        <v>-283.83069999999998</v>
      </c>
      <c r="K7435">
        <v>1.122647</v>
      </c>
      <c r="L7435">
        <v>-63.351680000000002</v>
      </c>
      <c r="M7435">
        <v>0.99928410000000001</v>
      </c>
      <c r="N7435">
        <v>-1.421648E-2</v>
      </c>
      <c r="O7435">
        <v>-3.5056039999999997E-2</v>
      </c>
      <c r="P7435">
        <v>0.99066560000000004</v>
      </c>
      <c r="Q7435">
        <v>-0.13462460000000001</v>
      </c>
      <c r="R7435">
        <v>-2.1400329999999999E-2</v>
      </c>
      <c r="S7435">
        <v>2.9948730000000001</v>
      </c>
      <c r="T7435">
        <v>-0.23959520000000001</v>
      </c>
      <c r="U7435">
        <v>-2.4688720000000001E-2</v>
      </c>
      <c r="V7435">
        <v>-1.2795279999999999E-2</v>
      </c>
      <c r="W7435">
        <v>-0.12058480000000001</v>
      </c>
      <c r="X7435">
        <v>0.99262059999999996</v>
      </c>
      <c r="Y7435">
        <v>-2.6644109999999999E-2</v>
      </c>
      <c r="Z7435">
        <v>3.5554940000000002E-3</v>
      </c>
      <c r="AA7435">
        <v>0.99963869999999999</v>
      </c>
      <c r="AB7435">
        <v>22</v>
      </c>
      <c r="AC7435">
        <v>13.8759999999999</v>
      </c>
      <c r="AD7435">
        <v>-1.1226508225530001</v>
      </c>
      <c r="AE7435">
        <v>-0.112739999999995</v>
      </c>
      <c r="AF7435">
        <v>-0.37138530379810297</v>
      </c>
      <c r="AG7435">
        <v>-1.1226508225530001</v>
      </c>
      <c r="AH7435">
        <v>13.7812192295033</v>
      </c>
      <c r="AI7435">
        <v>94.655483763213795</v>
      </c>
      <c r="AJ7435">
        <v>91.543670503085906</v>
      </c>
      <c r="AK7435">
        <v>13.8318572637549</v>
      </c>
      <c r="AL7435">
        <v>96.925854000076697</v>
      </c>
      <c r="AM7435">
        <v>90.738524810283593</v>
      </c>
      <c r="AN7435">
        <v>1.0000000343628299</v>
      </c>
    </row>
    <row r="7436" spans="1:40" x14ac:dyDescent="0.25">
      <c r="A7436" t="str">
        <f>"20190303154956827"</f>
        <v>20190303154956827</v>
      </c>
      <c r="B7436" t="str">
        <f>"1551599396818039"</f>
        <v>1551599396818039</v>
      </c>
      <c r="C7436" t="s">
        <v>40</v>
      </c>
      <c r="D7436">
        <v>5.797631</v>
      </c>
      <c r="E7436">
        <v>0.49520629999999999</v>
      </c>
      <c r="F7436" t="s">
        <v>41</v>
      </c>
      <c r="G7436">
        <v>-269.97140000000002</v>
      </c>
      <c r="H7436" s="1">
        <v>1.72119299999999E-7</v>
      </c>
      <c r="I7436">
        <v>-63.468060000000001</v>
      </c>
      <c r="J7436">
        <v>-283.71280000000002</v>
      </c>
      <c r="K7436">
        <v>1.1224769999999999</v>
      </c>
      <c r="L7436">
        <v>-63.353760000000001</v>
      </c>
      <c r="M7436">
        <v>0.99934310000000004</v>
      </c>
      <c r="N7436">
        <v>-1.42373E-2</v>
      </c>
      <c r="O7436">
        <v>-3.3329879999999999E-2</v>
      </c>
      <c r="P7436">
        <v>0.99050459999999996</v>
      </c>
      <c r="Q7436">
        <v>-0.1359032</v>
      </c>
      <c r="R7436">
        <v>-2.0763739999999999E-2</v>
      </c>
      <c r="S7436">
        <v>2.9947509999999999</v>
      </c>
      <c r="T7436">
        <v>-0.24258350000000001</v>
      </c>
      <c r="U7436">
        <v>-2.5146479999999999E-2</v>
      </c>
      <c r="V7436">
        <v>-1.1758309999999999E-2</v>
      </c>
      <c r="W7436">
        <v>-0.12183529999999999</v>
      </c>
      <c r="X7436">
        <v>0.99248069999999999</v>
      </c>
      <c r="Y7436">
        <v>-2.477064E-2</v>
      </c>
      <c r="Z7436">
        <v>3.3991730000000001E-3</v>
      </c>
      <c r="AA7436">
        <v>0.9996874</v>
      </c>
      <c r="AB7436">
        <v>22</v>
      </c>
      <c r="AC7436">
        <v>13.741400000000001</v>
      </c>
      <c r="AD7436">
        <v>-1.1224768278807</v>
      </c>
      <c r="AE7436">
        <v>-0.11429999999999201</v>
      </c>
      <c r="AF7436">
        <v>-0.34153038103672301</v>
      </c>
      <c r="AG7436">
        <v>-1.1224768278807</v>
      </c>
      <c r="AH7436">
        <v>13.646522785078</v>
      </c>
      <c r="AI7436">
        <v>94.700738404381198</v>
      </c>
      <c r="AJ7436">
        <v>91.433637399796893</v>
      </c>
      <c r="AK7436">
        <v>13.6968675745205</v>
      </c>
      <c r="AL7436">
        <v>96.998034678648807</v>
      </c>
      <c r="AM7436">
        <v>90.678773924211995</v>
      </c>
      <c r="AN7436">
        <v>1.0000000190263101</v>
      </c>
    </row>
    <row r="7437" spans="1:40" x14ac:dyDescent="0.25">
      <c r="A7437" t="str">
        <f>"20190303154956840"</f>
        <v>20190303154956840</v>
      </c>
      <c r="B7437" t="str">
        <f>"1551599396827799"</f>
        <v>1551599396827799</v>
      </c>
      <c r="C7437" t="s">
        <v>40</v>
      </c>
      <c r="D7437">
        <v>5.7918209999999997</v>
      </c>
      <c r="E7437">
        <v>0.49528280000000002</v>
      </c>
      <c r="F7437" t="s">
        <v>41</v>
      </c>
      <c r="G7437">
        <v>-270.07389999999998</v>
      </c>
      <c r="H7437" s="1">
        <v>1.2931869999999999E-7</v>
      </c>
      <c r="I7437">
        <v>-63.462730000000001</v>
      </c>
      <c r="J7437">
        <v>-283.58909999999997</v>
      </c>
      <c r="K7437">
        <v>1.1223080000000001</v>
      </c>
      <c r="L7437">
        <v>-63.355899999999998</v>
      </c>
      <c r="M7437">
        <v>0.99939800000000001</v>
      </c>
      <c r="N7437">
        <v>-1.425768E-2</v>
      </c>
      <c r="O7437">
        <v>-3.1628259999999998E-2</v>
      </c>
      <c r="P7437">
        <v>0.99040729999999999</v>
      </c>
      <c r="Q7437">
        <v>-0.13675580000000001</v>
      </c>
      <c r="R7437">
        <v>-1.977365E-2</v>
      </c>
      <c r="S7437">
        <v>2.9944459999999999</v>
      </c>
      <c r="T7437">
        <v>-0.24644269999999999</v>
      </c>
      <c r="U7437">
        <v>-2.3925780000000001E-2</v>
      </c>
      <c r="V7437">
        <v>-1.1104559999999999E-2</v>
      </c>
      <c r="W7437">
        <v>-0.1226617</v>
      </c>
      <c r="X7437">
        <v>0.9923864</v>
      </c>
      <c r="Y7437">
        <v>-2.3478450000000001E-2</v>
      </c>
      <c r="Z7437">
        <v>3.2799679999999999E-3</v>
      </c>
      <c r="AA7437">
        <v>0.99971900000000002</v>
      </c>
      <c r="AB7437">
        <v>22</v>
      </c>
      <c r="AC7437">
        <v>13.515199999999901</v>
      </c>
      <c r="AD7437">
        <v>-1.1223078706812999</v>
      </c>
      <c r="AE7437">
        <v>-0.106830000000009</v>
      </c>
      <c r="AF7437">
        <v>-0.31853280054251099</v>
      </c>
      <c r="AG7437">
        <v>-1.1223078706812999</v>
      </c>
      <c r="AH7437">
        <v>13.419286437825299</v>
      </c>
      <c r="AI7437">
        <v>94.779406257407302</v>
      </c>
      <c r="AJ7437">
        <v>91.359771149756696</v>
      </c>
      <c r="AK7437">
        <v>13.4699029915592</v>
      </c>
      <c r="AL7437">
        <v>97.045741975129204</v>
      </c>
      <c r="AM7437">
        <v>90.641098939380498</v>
      </c>
      <c r="AN7437">
        <v>0.99999998540232105</v>
      </c>
    </row>
    <row r="7438" spans="1:40" x14ac:dyDescent="0.25">
      <c r="A7438" t="str">
        <f>"20190303154956853"</f>
        <v>20190303154956853</v>
      </c>
      <c r="B7438" t="str">
        <f>"1551599396848295"</f>
        <v>1551599396848295</v>
      </c>
      <c r="C7438" t="s">
        <v>40</v>
      </c>
      <c r="D7438">
        <v>5.7402309999999996</v>
      </c>
      <c r="E7438">
        <v>0.49544820000000001</v>
      </c>
      <c r="F7438" t="s">
        <v>41</v>
      </c>
      <c r="G7438">
        <v>-270.1764</v>
      </c>
      <c r="H7438" s="1">
        <v>8.7734689999999998E-8</v>
      </c>
      <c r="I7438">
        <v>-63.45214</v>
      </c>
      <c r="J7438">
        <v>-283.46730000000002</v>
      </c>
      <c r="K7438">
        <v>1.122163</v>
      </c>
      <c r="L7438">
        <v>-63.357880000000002</v>
      </c>
      <c r="M7438">
        <v>0.99944350000000004</v>
      </c>
      <c r="N7438">
        <v>-1.427488E-2</v>
      </c>
      <c r="O7438">
        <v>-3.0148620000000001E-2</v>
      </c>
      <c r="P7438">
        <v>0.99033119999999997</v>
      </c>
      <c r="Q7438">
        <v>-0.13739989999999999</v>
      </c>
      <c r="R7438">
        <v>-1.9117599999999998E-2</v>
      </c>
      <c r="S7438">
        <v>2.994049</v>
      </c>
      <c r="T7438">
        <v>-0.25052740000000001</v>
      </c>
      <c r="U7438">
        <v>-2.1484380000000001E-2</v>
      </c>
      <c r="V7438">
        <v>-1.033243E-2</v>
      </c>
      <c r="W7438">
        <v>-0.12328310000000001</v>
      </c>
      <c r="X7438">
        <v>0.99231769999999997</v>
      </c>
      <c r="Y7438">
        <v>-2.2812869999999999E-2</v>
      </c>
      <c r="Z7438">
        <v>3.2040060000000001E-3</v>
      </c>
      <c r="AA7438">
        <v>0.99973460000000003</v>
      </c>
      <c r="AB7438">
        <v>22</v>
      </c>
      <c r="AC7438">
        <v>13.290900000000001</v>
      </c>
      <c r="AD7438">
        <v>-1.1221629122653101</v>
      </c>
      <c r="AE7438">
        <v>-9.4259999999998401E-2</v>
      </c>
      <c r="AF7438">
        <v>-0.30435645802342598</v>
      </c>
      <c r="AG7438">
        <v>-1.1221629122653101</v>
      </c>
      <c r="AH7438">
        <v>13.1936519074578</v>
      </c>
      <c r="AI7438">
        <v>94.860204940069494</v>
      </c>
      <c r="AJ7438">
        <v>91.321487662722504</v>
      </c>
      <c r="AK7438">
        <v>13.2447851288864</v>
      </c>
      <c r="AL7438">
        <v>97.081618121872296</v>
      </c>
      <c r="AM7438">
        <v>90.596566238565501</v>
      </c>
      <c r="AN7438">
        <v>0.99999994979430096</v>
      </c>
    </row>
    <row r="7439" spans="1:40" x14ac:dyDescent="0.25">
      <c r="A7439" t="str">
        <f>"20190303154956863"</f>
        <v>20190303154956863</v>
      </c>
      <c r="B7439" t="str">
        <f>"1551599396858055"</f>
        <v>1551599396858055</v>
      </c>
      <c r="C7439" t="s">
        <v>40</v>
      </c>
      <c r="D7439">
        <v>5.7739799999999999</v>
      </c>
      <c r="E7439">
        <v>0.4957954</v>
      </c>
      <c r="F7439" t="s">
        <v>41</v>
      </c>
      <c r="G7439">
        <v>-270.21749999999997</v>
      </c>
      <c r="H7439" s="1">
        <v>7.0576159999999994E-8</v>
      </c>
      <c r="I7439">
        <v>-63.44999</v>
      </c>
      <c r="J7439">
        <v>-283.3578</v>
      </c>
      <c r="K7439">
        <v>1.1220410000000001</v>
      </c>
      <c r="L7439">
        <v>-63.359679999999997</v>
      </c>
      <c r="M7439">
        <v>0.99948099999999995</v>
      </c>
      <c r="N7439">
        <v>-1.428986E-2</v>
      </c>
      <c r="O7439">
        <v>-2.8875109999999999E-2</v>
      </c>
      <c r="P7439">
        <v>0.99023680000000003</v>
      </c>
      <c r="Q7439">
        <v>-0.13815920000000001</v>
      </c>
      <c r="R7439">
        <v>-1.8528759999999998E-2</v>
      </c>
      <c r="S7439">
        <v>2.993744</v>
      </c>
      <c r="T7439">
        <v>-0.25354840000000001</v>
      </c>
      <c r="U7439">
        <v>-2.081299E-2</v>
      </c>
      <c r="V7439">
        <v>-9.6908470000000007E-3</v>
      </c>
      <c r="W7439">
        <v>-0.1240236</v>
      </c>
      <c r="X7439">
        <v>0.992232</v>
      </c>
      <c r="Y7439">
        <v>-2.1765759999999999E-2</v>
      </c>
      <c r="Z7439">
        <v>3.1046110000000002E-3</v>
      </c>
      <c r="AA7439">
        <v>0.99975829999999999</v>
      </c>
      <c r="AB7439">
        <v>22</v>
      </c>
      <c r="AC7439">
        <v>13.1403</v>
      </c>
      <c r="AD7439">
        <v>-1.12204092942384</v>
      </c>
      <c r="AE7439">
        <v>-9.03099999999952E-2</v>
      </c>
      <c r="AF7439">
        <v>-0.28710072448319701</v>
      </c>
      <c r="AG7439">
        <v>-1.12204092942384</v>
      </c>
      <c r="AH7439">
        <v>13.042336206090001</v>
      </c>
      <c r="AI7439">
        <v>94.915902203893694</v>
      </c>
      <c r="AJ7439">
        <v>91.261047354455897</v>
      </c>
      <c r="AK7439">
        <v>13.093660160015901</v>
      </c>
      <c r="AL7439">
        <v>97.124373033976994</v>
      </c>
      <c r="AM7439">
        <v>90.559573748201998</v>
      </c>
      <c r="AN7439">
        <v>1.0000000538482601</v>
      </c>
    </row>
    <row r="7440" spans="1:40" x14ac:dyDescent="0.25">
      <c r="A7440" t="str">
        <f>"20190303154956876"</f>
        <v>20190303154956876</v>
      </c>
      <c r="B7440" t="str">
        <f>"1551599396867814"</f>
        <v>1551599396867814</v>
      </c>
      <c r="C7440" t="s">
        <v>40</v>
      </c>
      <c r="D7440">
        <v>5.8122309999999997</v>
      </c>
      <c r="E7440">
        <v>0.4959287</v>
      </c>
      <c r="F7440" t="s">
        <v>41</v>
      </c>
      <c r="G7440">
        <v>-270.2079</v>
      </c>
      <c r="H7440" s="1">
        <v>7.342067E-8</v>
      </c>
      <c r="I7440">
        <v>-63.455660000000002</v>
      </c>
      <c r="J7440">
        <v>-283.23160000000001</v>
      </c>
      <c r="K7440">
        <v>1.1219140000000001</v>
      </c>
      <c r="L7440">
        <v>-63.361719999999998</v>
      </c>
      <c r="M7440">
        <v>0.99951769999999995</v>
      </c>
      <c r="N7440">
        <v>-1.430507E-2</v>
      </c>
      <c r="O7440">
        <v>-2.7565030000000001E-2</v>
      </c>
      <c r="P7440">
        <v>0.99022480000000002</v>
      </c>
      <c r="Q7440">
        <v>-0.13834270000000001</v>
      </c>
      <c r="R7440">
        <v>-1.7784109999999999E-2</v>
      </c>
      <c r="S7440">
        <v>2.9935299999999998</v>
      </c>
      <c r="T7440">
        <v>-0.25542969999999998</v>
      </c>
      <c r="U7440">
        <v>-2.185059E-2</v>
      </c>
      <c r="V7440">
        <v>-9.1758870000000006E-3</v>
      </c>
      <c r="W7440">
        <v>-0.1241877</v>
      </c>
      <c r="X7440">
        <v>0.99221630000000005</v>
      </c>
      <c r="Y7440">
        <v>-2.0116060000000002E-2</v>
      </c>
      <c r="Z7440">
        <v>2.954534E-3</v>
      </c>
      <c r="AA7440">
        <v>0.9997933</v>
      </c>
      <c r="AB7440">
        <v>22</v>
      </c>
      <c r="AC7440">
        <v>13.0237</v>
      </c>
      <c r="AD7440">
        <v>-1.1219139265793301</v>
      </c>
      <c r="AE7440">
        <v>-9.3939999999996304E-2</v>
      </c>
      <c r="AF7440">
        <v>-0.26317821493316101</v>
      </c>
      <c r="AG7440">
        <v>-1.1219139265793301</v>
      </c>
      <c r="AH7440">
        <v>12.925427932589001</v>
      </c>
      <c r="AI7440">
        <v>94.959758844353004</v>
      </c>
      <c r="AJ7440">
        <v>91.166454042905599</v>
      </c>
      <c r="AK7440">
        <v>12.976696069185699</v>
      </c>
      <c r="AL7440">
        <v>97.133849027712202</v>
      </c>
      <c r="AM7440">
        <v>90.529848795602803</v>
      </c>
      <c r="AN7440">
        <v>0.99999998385960798</v>
      </c>
    </row>
    <row r="7441" spans="1:40" x14ac:dyDescent="0.25">
      <c r="A7441" t="str">
        <f>"20190303154956892"</f>
        <v>20190303154956892</v>
      </c>
      <c r="B7441" t="str">
        <f>"1551599396888311"</f>
        <v>1551599396888311</v>
      </c>
      <c r="C7441" t="s">
        <v>40</v>
      </c>
      <c r="D7441">
        <v>5.7370140000000003</v>
      </c>
      <c r="E7441">
        <v>0.49642720000000001</v>
      </c>
      <c r="F7441" t="s">
        <v>41</v>
      </c>
      <c r="G7441">
        <v>-270.08929999999998</v>
      </c>
      <c r="H7441" s="1">
        <v>1.2502480000000001E-7</v>
      </c>
      <c r="I7441">
        <v>-63.45243</v>
      </c>
      <c r="J7441">
        <v>-283.08670000000001</v>
      </c>
      <c r="K7441">
        <v>1.1217839999999999</v>
      </c>
      <c r="L7441">
        <v>-63.36401</v>
      </c>
      <c r="M7441">
        <v>0.99955419999999995</v>
      </c>
      <c r="N7441">
        <v>-1.432077E-2</v>
      </c>
      <c r="O7441">
        <v>-2.6201789999999999E-2</v>
      </c>
      <c r="P7441">
        <v>0.99018680000000003</v>
      </c>
      <c r="Q7441">
        <v>-0.13871259999999999</v>
      </c>
      <c r="R7441">
        <v>-1.7011660000000001E-2</v>
      </c>
      <c r="S7441">
        <v>2.9935610000000001</v>
      </c>
      <c r="T7441">
        <v>-0.25554959999999999</v>
      </c>
      <c r="U7441">
        <v>-2.0660399999999999E-2</v>
      </c>
      <c r="V7441">
        <v>-8.636141E-3</v>
      </c>
      <c r="W7441">
        <v>-0.1245381</v>
      </c>
      <c r="X7441">
        <v>0.99217719999999998</v>
      </c>
      <c r="Y7441">
        <v>-1.915739E-2</v>
      </c>
      <c r="Z7441">
        <v>2.8113830000000002E-3</v>
      </c>
      <c r="AA7441">
        <v>0.99981249999999999</v>
      </c>
      <c r="AB7441">
        <v>22</v>
      </c>
      <c r="AC7441">
        <v>12.997400000000001</v>
      </c>
      <c r="AD7441">
        <v>-1.1217838749752</v>
      </c>
      <c r="AE7441">
        <v>-8.8420000000006299E-2</v>
      </c>
      <c r="AF7441">
        <v>-0.25033570183197001</v>
      </c>
      <c r="AG7441">
        <v>-1.1217838749752</v>
      </c>
      <c r="AH7441">
        <v>12.8991706200165</v>
      </c>
      <c r="AI7441">
        <v>94.969324884381095</v>
      </c>
      <c r="AJ7441">
        <v>91.111806276988702</v>
      </c>
      <c r="AK7441">
        <v>12.950276819823699</v>
      </c>
      <c r="AL7441">
        <v>97.154082726760805</v>
      </c>
      <c r="AM7441">
        <v>90.498703190145804</v>
      </c>
      <c r="AN7441">
        <v>0.99999995874141001</v>
      </c>
    </row>
    <row r="7442" spans="1:40" x14ac:dyDescent="0.25">
      <c r="A7442" t="str">
        <f>"20190303154956905"</f>
        <v>20190303154956905</v>
      </c>
      <c r="B7442" t="str">
        <f>"1551599396898070"</f>
        <v>1551599396898070</v>
      </c>
      <c r="C7442" t="s">
        <v>40</v>
      </c>
      <c r="D7442">
        <v>5.7420720000000003</v>
      </c>
      <c r="E7442">
        <v>0.49668800000000002</v>
      </c>
      <c r="F7442" t="s">
        <v>41</v>
      </c>
      <c r="G7442">
        <v>-269.98649999999998</v>
      </c>
      <c r="H7442" s="1">
        <v>1.671275E-7</v>
      </c>
      <c r="I7442">
        <v>-63.461509999999997</v>
      </c>
      <c r="J7442">
        <v>-282.95159999999998</v>
      </c>
      <c r="K7442">
        <v>1.1216729999999999</v>
      </c>
      <c r="L7442">
        <v>-63.366120000000002</v>
      </c>
      <c r="M7442">
        <v>0.99958380000000002</v>
      </c>
      <c r="N7442">
        <v>-1.4334100000000001E-2</v>
      </c>
      <c r="O7442">
        <v>-2.5038689999999999E-2</v>
      </c>
      <c r="P7442">
        <v>0.99017319999999998</v>
      </c>
      <c r="Q7442">
        <v>-0.13882800000000001</v>
      </c>
      <c r="R7442">
        <v>-1.6854589999999999E-2</v>
      </c>
      <c r="S7442">
        <v>2.9934690000000002</v>
      </c>
      <c r="T7442">
        <v>-0.25633289999999997</v>
      </c>
      <c r="U7442">
        <v>-2.2277829999999998E-2</v>
      </c>
      <c r="V7442">
        <v>-7.6751609999999998E-3</v>
      </c>
      <c r="W7442">
        <v>-0.12463589999999999</v>
      </c>
      <c r="X7442">
        <v>0.99217279999999997</v>
      </c>
      <c r="Y7442">
        <v>-1.746282E-2</v>
      </c>
      <c r="Z7442">
        <v>2.6532389999999999E-3</v>
      </c>
      <c r="AA7442">
        <v>0.99984399999999996</v>
      </c>
      <c r="AB7442">
        <v>22</v>
      </c>
      <c r="AC7442">
        <v>12.9651</v>
      </c>
      <c r="AD7442">
        <v>-1.1216728328725001</v>
      </c>
      <c r="AE7442">
        <v>-9.5390000000001807E-2</v>
      </c>
      <c r="AF7442">
        <v>-0.22759891710366401</v>
      </c>
      <c r="AG7442">
        <v>-1.1216728328725001</v>
      </c>
      <c r="AH7442">
        <v>12.8671203583498</v>
      </c>
      <c r="AI7442">
        <v>94.981307893978894</v>
      </c>
      <c r="AJ7442">
        <v>91.013365635169293</v>
      </c>
      <c r="AK7442">
        <v>12.917923111991801</v>
      </c>
      <c r="AL7442">
        <v>97.1597303881763</v>
      </c>
      <c r="AM7442">
        <v>90.443214690916804</v>
      </c>
      <c r="AN7442">
        <v>0.99999994036251105</v>
      </c>
    </row>
    <row r="7443" spans="1:40" x14ac:dyDescent="0.25">
      <c r="A7443" t="str">
        <f>"20190303154956917"</f>
        <v>20190303154956917</v>
      </c>
      <c r="B7443" t="str">
        <f>"1551599396907830"</f>
        <v>1551599396907830</v>
      </c>
      <c r="C7443" t="s">
        <v>40</v>
      </c>
      <c r="D7443">
        <v>5.7627110000000004</v>
      </c>
      <c r="E7443">
        <v>0.49692039999999998</v>
      </c>
      <c r="F7443" t="s">
        <v>70</v>
      </c>
      <c r="G7443">
        <v>-269.8689</v>
      </c>
      <c r="H7443" s="1">
        <v>-3.794297E-6</v>
      </c>
      <c r="I7443">
        <v>-63.469819999999999</v>
      </c>
      <c r="J7443">
        <v>-282.82940000000002</v>
      </c>
      <c r="K7443">
        <v>1.12158</v>
      </c>
      <c r="L7443">
        <v>-63.368009999999998</v>
      </c>
      <c r="M7443">
        <v>0.99960689999999996</v>
      </c>
      <c r="N7443">
        <v>-1.4344839999999999E-2</v>
      </c>
      <c r="O7443">
        <v>-2.4091560000000001E-2</v>
      </c>
      <c r="P7443">
        <v>0.99017409999999995</v>
      </c>
      <c r="Q7443">
        <v>-0.13888979999999901</v>
      </c>
      <c r="R7443">
        <v>-1.6283160000000001E-2</v>
      </c>
      <c r="S7443">
        <v>2.9934080000000001</v>
      </c>
      <c r="T7443">
        <v>-0.25664629999999999</v>
      </c>
      <c r="U7443">
        <v>-2.3742679999999999E-2</v>
      </c>
      <c r="V7443">
        <v>-7.3373179999999998E-3</v>
      </c>
      <c r="W7443">
        <v>-0.12468460000000001</v>
      </c>
      <c r="X7443">
        <v>0.99216930000000003</v>
      </c>
      <c r="Y7443">
        <v>-1.603423E-2</v>
      </c>
      <c r="Z7443">
        <v>2.517774E-3</v>
      </c>
      <c r="AA7443">
        <v>0.99986830000000004</v>
      </c>
      <c r="AB7443">
        <v>22</v>
      </c>
      <c r="AC7443">
        <v>12.9605</v>
      </c>
      <c r="AD7443">
        <v>-1.1215837942969999</v>
      </c>
      <c r="AE7443">
        <v>-0.10181</v>
      </c>
      <c r="AF7443">
        <v>-0.20892579414557799</v>
      </c>
      <c r="AG7443">
        <v>-1.1215837942969999</v>
      </c>
      <c r="AH7443">
        <v>12.862867329720601</v>
      </c>
      <c r="AI7443">
        <v>94.982674657752199</v>
      </c>
      <c r="AJ7443">
        <v>90.930547863251803</v>
      </c>
      <c r="AK7443">
        <v>12.9133634711133</v>
      </c>
      <c r="AL7443">
        <v>97.162542180269</v>
      </c>
      <c r="AM7443">
        <v>90.423707618082801</v>
      </c>
      <c r="AN7443">
        <v>1.00000000278754</v>
      </c>
    </row>
    <row r="7444" spans="1:40" x14ac:dyDescent="0.25">
      <c r="A7444" t="str">
        <f>"20190303154956930"</f>
        <v>20190303154956930</v>
      </c>
      <c r="B7444" t="str">
        <f>"1551599396918567"</f>
        <v>1551599396918567</v>
      </c>
      <c r="C7444" t="s">
        <v>40</v>
      </c>
      <c r="D7444">
        <v>5.7798470000000002</v>
      </c>
      <c r="E7444">
        <v>0.49724259999999898</v>
      </c>
      <c r="F7444" t="s">
        <v>70</v>
      </c>
      <c r="G7444">
        <v>-269.76650000000001</v>
      </c>
      <c r="H7444" s="1">
        <v>-3.7598520000000001E-6</v>
      </c>
      <c r="I7444">
        <v>-63.47195</v>
      </c>
      <c r="J7444">
        <v>-282.71179999999998</v>
      </c>
      <c r="K7444">
        <v>1.121499</v>
      </c>
      <c r="L7444">
        <v>-63.369779999999999</v>
      </c>
      <c r="M7444">
        <v>0.99962620000000002</v>
      </c>
      <c r="N7444">
        <v>-1.435411E-2</v>
      </c>
      <c r="O7444">
        <v>-2.327326E-2</v>
      </c>
      <c r="P7444">
        <v>0.99018790000000001</v>
      </c>
      <c r="Q7444">
        <v>-0.13882030000000001</v>
      </c>
      <c r="R7444">
        <v>-1.6041239999999998E-2</v>
      </c>
      <c r="S7444">
        <v>2.993347</v>
      </c>
      <c r="T7444">
        <v>-0.25701069999999998</v>
      </c>
      <c r="U7444">
        <v>-2.3834230000000001E-2</v>
      </c>
      <c r="V7444">
        <v>-6.7947379999999998E-3</v>
      </c>
      <c r="W7444">
        <v>-0.12460309999999999</v>
      </c>
      <c r="X7444">
        <v>0.99218340000000005</v>
      </c>
      <c r="Y7444">
        <v>-1.51903E-2</v>
      </c>
      <c r="Z7444">
        <v>2.4209560000000001E-3</v>
      </c>
      <c r="AA7444">
        <v>0.99988169999999998</v>
      </c>
      <c r="AB7444">
        <v>22</v>
      </c>
      <c r="AC7444">
        <v>12.9452999999999</v>
      </c>
      <c r="AD7444">
        <v>-1.121502759852</v>
      </c>
      <c r="AE7444">
        <v>-0.102169999999993</v>
      </c>
      <c r="AF7444">
        <v>-0.19768440379489299</v>
      </c>
      <c r="AG7444">
        <v>-1.121502759852</v>
      </c>
      <c r="AH7444">
        <v>12.847748932312999</v>
      </c>
      <c r="AI7444">
        <v>94.988216933707804</v>
      </c>
      <c r="AJ7444">
        <v>90.881523164087895</v>
      </c>
      <c r="AK7444">
        <v>12.898120025476899</v>
      </c>
      <c r="AL7444">
        <v>97.157835891562101</v>
      </c>
      <c r="AM7444">
        <v>90.392370729461007</v>
      </c>
      <c r="AN7444">
        <v>1.0000000001148199</v>
      </c>
    </row>
    <row r="7445" spans="1:40" x14ac:dyDescent="0.25">
      <c r="A7445" t="str">
        <f>"20190303154956942"</f>
        <v>20190303154956942</v>
      </c>
      <c r="B7445" t="str">
        <f>"1551599396938087"</f>
        <v>1551599396938087</v>
      </c>
      <c r="C7445" t="s">
        <v>40</v>
      </c>
      <c r="D7445">
        <v>5.7152260000000004</v>
      </c>
      <c r="E7445">
        <v>0.49777830000000001</v>
      </c>
      <c r="F7445" t="s">
        <v>70</v>
      </c>
      <c r="G7445">
        <v>-269.64100000000002</v>
      </c>
      <c r="H7445" s="1">
        <v>-3.7189629999999999E-6</v>
      </c>
      <c r="I7445">
        <v>-63.482320000000001</v>
      </c>
      <c r="J7445">
        <v>-282.584</v>
      </c>
      <c r="K7445">
        <v>1.1214170000000001</v>
      </c>
      <c r="L7445">
        <v>-63.371699999999997</v>
      </c>
      <c r="M7445">
        <v>0.99964500000000001</v>
      </c>
      <c r="N7445">
        <v>-1.4363620000000001E-2</v>
      </c>
      <c r="O7445">
        <v>-2.243976E-2</v>
      </c>
      <c r="P7445">
        <v>0.99019449999999998</v>
      </c>
      <c r="Q7445">
        <v>-0.13876440000000001</v>
      </c>
      <c r="R7445">
        <v>-1.6113079999999998E-2</v>
      </c>
      <c r="S7445">
        <v>2.9932859999999999</v>
      </c>
      <c r="T7445">
        <v>-0.25683129999999998</v>
      </c>
      <c r="U7445">
        <v>-2.5787350000000001E-2</v>
      </c>
      <c r="V7445">
        <v>-5.9237909999999899E-3</v>
      </c>
      <c r="W7445">
        <v>-0.1245348</v>
      </c>
      <c r="X7445">
        <v>0.99219760000000001</v>
      </c>
      <c r="Y7445">
        <v>-1.37127E-2</v>
      </c>
      <c r="Z7445">
        <v>2.2856920000000002E-3</v>
      </c>
      <c r="AA7445">
        <v>0.9999034</v>
      </c>
      <c r="AB7445">
        <v>22</v>
      </c>
      <c r="AC7445">
        <v>12.943</v>
      </c>
      <c r="AD7445">
        <v>-1.1214207189630001</v>
      </c>
      <c r="AE7445">
        <v>-0.110619999999997</v>
      </c>
      <c r="AF7445">
        <v>-0.17853547125130101</v>
      </c>
      <c r="AG7445">
        <v>-1.1214207189630001</v>
      </c>
      <c r="AH7445">
        <v>12.845796248107201</v>
      </c>
      <c r="AI7445">
        <v>94.988716395404694</v>
      </c>
      <c r="AJ7445">
        <v>90.796265971188305</v>
      </c>
      <c r="AK7445">
        <v>12.8958885149996</v>
      </c>
      <c r="AL7445">
        <v>97.153891564284194</v>
      </c>
      <c r="AM7445">
        <v>90.342073182122903</v>
      </c>
      <c r="AN7445">
        <v>1.0000000425783</v>
      </c>
    </row>
    <row r="7446" spans="1:40" x14ac:dyDescent="0.25">
      <c r="A7446" t="str">
        <f>"20190303154956954"</f>
        <v>20190303154956954</v>
      </c>
      <c r="B7446" t="str">
        <f>"1551599396947847"</f>
        <v>1551599396947847</v>
      </c>
      <c r="C7446" t="s">
        <v>40</v>
      </c>
      <c r="D7446">
        <v>5.7959440000000004</v>
      </c>
      <c r="E7446">
        <v>0.49775599999999998</v>
      </c>
      <c r="F7446" t="s">
        <v>41</v>
      </c>
      <c r="G7446">
        <v>-269.46640000000002</v>
      </c>
      <c r="H7446" s="1">
        <v>-3.6634130000000001E-6</v>
      </c>
      <c r="I7446">
        <v>-63.504170000000002</v>
      </c>
      <c r="J7446">
        <v>-282.46499999999997</v>
      </c>
      <c r="K7446">
        <v>1.121343</v>
      </c>
      <c r="L7446">
        <v>-63.373539999999998</v>
      </c>
      <c r="M7446">
        <v>0.99965979999999999</v>
      </c>
      <c r="N7446">
        <v>-1.437137E-2</v>
      </c>
      <c r="O7446">
        <v>-2.1766089999999998E-2</v>
      </c>
      <c r="P7446">
        <v>0.99022069999999995</v>
      </c>
      <c r="Q7446">
        <v>-0.13857549999999999</v>
      </c>
      <c r="R7446">
        <v>-1.6121529999999999E-2</v>
      </c>
      <c r="S7446">
        <v>2.993347</v>
      </c>
      <c r="T7446">
        <v>-0.25590000000000002</v>
      </c>
      <c r="U7446">
        <v>-3.024292E-2</v>
      </c>
      <c r="V7446">
        <v>-5.2719669999999998E-3</v>
      </c>
      <c r="W7446">
        <v>-0.1243358</v>
      </c>
      <c r="X7446">
        <v>0.99222619999999895</v>
      </c>
      <c r="Y7446">
        <v>-1.156255E-2</v>
      </c>
      <c r="Z7446">
        <v>2.121403E-3</v>
      </c>
      <c r="AA7446">
        <v>0.99993089999999996</v>
      </c>
      <c r="AB7446">
        <v>22</v>
      </c>
      <c r="AC7446">
        <v>12.9985999999999</v>
      </c>
      <c r="AD7446">
        <v>-1.121346663413</v>
      </c>
      <c r="AE7446">
        <v>-0.130629999999989</v>
      </c>
      <c r="AF7446">
        <v>-0.151233513024574</v>
      </c>
      <c r="AG7446">
        <v>-1.121346663413</v>
      </c>
      <c r="AH7446">
        <v>12.9023545161568</v>
      </c>
      <c r="AI7446">
        <v>94.966769111062206</v>
      </c>
      <c r="AJ7446">
        <v>90.671555351103294</v>
      </c>
      <c r="AK7446">
        <v>12.951874071948099</v>
      </c>
      <c r="AL7446">
        <v>97.142400637587599</v>
      </c>
      <c r="AM7446">
        <v>90.304425156679201</v>
      </c>
      <c r="AN7446">
        <v>1.0000000083820599</v>
      </c>
    </row>
    <row r="7447" spans="1:40" x14ac:dyDescent="0.25">
      <c r="A7447" t="str">
        <f>"20190303154956971"</f>
        <v>20190303154956971</v>
      </c>
      <c r="B7447" t="str">
        <f>"1551599396968343"</f>
        <v>1551599396968343</v>
      </c>
      <c r="C7447" t="s">
        <v>40</v>
      </c>
      <c r="D7447">
        <v>5.7181389999999999</v>
      </c>
      <c r="E7447">
        <v>0.49813469999999999</v>
      </c>
      <c r="F7447" t="s">
        <v>70</v>
      </c>
      <c r="G7447">
        <v>-269.45350000000002</v>
      </c>
      <c r="H7447" s="1">
        <v>-3.6591039999999999E-6</v>
      </c>
      <c r="I7447">
        <v>-63.504539999999999</v>
      </c>
      <c r="J7447">
        <v>-282.30650000000003</v>
      </c>
      <c r="K7447">
        <v>1.1212549999999999</v>
      </c>
      <c r="L7447">
        <v>-63.375950000000003</v>
      </c>
      <c r="M7447">
        <v>0.99967700000000004</v>
      </c>
      <c r="N7447">
        <v>-1.4380759999999999E-2</v>
      </c>
      <c r="O7447">
        <v>-2.0959599999999998E-2</v>
      </c>
      <c r="P7447">
        <v>0.99018660000000003</v>
      </c>
      <c r="Q7447">
        <v>-0.13878260000000001</v>
      </c>
      <c r="R7447">
        <v>-1.6424589999999999E-2</v>
      </c>
      <c r="S7447">
        <v>2.9930729999999999</v>
      </c>
      <c r="T7447">
        <v>-0.25794709999999998</v>
      </c>
      <c r="U7447">
        <v>-3.015137E-2</v>
      </c>
      <c r="V7447">
        <v>-4.1983289999999998E-3</v>
      </c>
      <c r="W7447">
        <v>-0.1245315</v>
      </c>
      <c r="X7447">
        <v>0.99220680000000006</v>
      </c>
      <c r="Y7447">
        <v>-1.0789119999999999E-2</v>
      </c>
      <c r="Z7447">
        <v>2.0436009999999999E-3</v>
      </c>
      <c r="AA7447">
        <v>0.99993969999999999</v>
      </c>
      <c r="AB7447">
        <v>22</v>
      </c>
      <c r="AC7447">
        <v>12.853</v>
      </c>
      <c r="AD7447">
        <v>-1.1212586591039999</v>
      </c>
      <c r="AE7447">
        <v>-0.12859000000000201</v>
      </c>
      <c r="AF7447">
        <v>-0.13979603895107401</v>
      </c>
      <c r="AG7447">
        <v>-1.1212586591039999</v>
      </c>
      <c r="AH7447">
        <v>12.755805411991901</v>
      </c>
      <c r="AI7447">
        <v>95.023192009146499</v>
      </c>
      <c r="AJ7447">
        <v>90.627902520475402</v>
      </c>
      <c r="AK7447">
        <v>12.8057540044202</v>
      </c>
      <c r="AL7447">
        <v>97.153701115297295</v>
      </c>
      <c r="AM7447">
        <v>90.242434437202107</v>
      </c>
      <c r="AN7447">
        <v>1.0000000272124401</v>
      </c>
    </row>
    <row r="7448" spans="1:40" x14ac:dyDescent="0.25">
      <c r="A7448" t="str">
        <f>"20190303154956983"</f>
        <v>20190303154956983</v>
      </c>
      <c r="B7448" t="str">
        <f>"1551599396978102"</f>
        <v>1551599396978102</v>
      </c>
      <c r="C7448" t="s">
        <v>40</v>
      </c>
      <c r="D7448">
        <v>5.6684919999999996</v>
      </c>
      <c r="E7448">
        <v>0.49820110000000001</v>
      </c>
      <c r="F7448" t="s">
        <v>41</v>
      </c>
      <c r="G7448">
        <v>-269.24930000000001</v>
      </c>
      <c r="H7448" s="1">
        <v>-3.59316999999999E-6</v>
      </c>
      <c r="I7448">
        <v>-63.52458</v>
      </c>
      <c r="J7448">
        <v>-282.19060000000002</v>
      </c>
      <c r="K7448">
        <v>1.121192</v>
      </c>
      <c r="L7448">
        <v>-63.377690000000001</v>
      </c>
      <c r="M7448">
        <v>0.99968800000000002</v>
      </c>
      <c r="N7448">
        <v>-1.438708E-2</v>
      </c>
      <c r="O7448">
        <v>-2.0425260000000001E-2</v>
      </c>
      <c r="P7448">
        <v>0.99020569999999997</v>
      </c>
      <c r="Q7448">
        <v>-0.13866429999999999</v>
      </c>
      <c r="R7448">
        <v>-1.6289250000000002E-2</v>
      </c>
      <c r="S7448">
        <v>2.9931640000000002</v>
      </c>
      <c r="T7448">
        <v>-0.25703120000000002</v>
      </c>
      <c r="U7448">
        <v>-3.4088130000000001E-2</v>
      </c>
      <c r="V7448">
        <v>-3.8246230000000001E-3</v>
      </c>
      <c r="W7448">
        <v>-0.12440560000000001</v>
      </c>
      <c r="X7448">
        <v>0.99222410000000005</v>
      </c>
      <c r="Y7448">
        <v>-8.9499539999999995E-3</v>
      </c>
      <c r="Z7448">
        <v>1.9051980000000001E-3</v>
      </c>
      <c r="AA7448">
        <v>0.99995820000000002</v>
      </c>
      <c r="AB7448">
        <v>22</v>
      </c>
      <c r="AC7448">
        <v>12.9413</v>
      </c>
      <c r="AD7448">
        <v>-1.1211955931699999</v>
      </c>
      <c r="AE7448">
        <v>-0.14689000000000599</v>
      </c>
      <c r="AF7448">
        <v>-0.11662214177329901</v>
      </c>
      <c r="AG7448">
        <v>-1.1211955931699999</v>
      </c>
      <c r="AH7448">
        <v>12.845196966219801</v>
      </c>
      <c r="AI7448">
        <v>94.988226231821599</v>
      </c>
      <c r="AJ7448">
        <v>90.520176759622998</v>
      </c>
      <c r="AK7448">
        <v>12.894563404128</v>
      </c>
      <c r="AL7448">
        <v>97.146431072945404</v>
      </c>
      <c r="AM7448">
        <v>90.220850986025695</v>
      </c>
      <c r="AN7448">
        <v>1.0000000228366299</v>
      </c>
    </row>
    <row r="7449" spans="1:40" x14ac:dyDescent="0.25">
      <c r="A7449" t="str">
        <f>"20190303154956995"</f>
        <v>20190303154956995</v>
      </c>
      <c r="B7449" t="str">
        <f>"1551599396987862"</f>
        <v>1551599396987862</v>
      </c>
      <c r="C7449" t="s">
        <v>40</v>
      </c>
      <c r="D7449">
        <v>5.6999620000000002</v>
      </c>
      <c r="E7449">
        <v>0.49836799999999998</v>
      </c>
      <c r="F7449" t="s">
        <v>41</v>
      </c>
      <c r="G7449">
        <v>-269.0351</v>
      </c>
      <c r="H7449" s="1">
        <v>-3.5208370000000002E-6</v>
      </c>
      <c r="I7449">
        <v>-63.527839999999998</v>
      </c>
      <c r="J7449">
        <v>-282.06630000000001</v>
      </c>
      <c r="K7449">
        <v>1.121132</v>
      </c>
      <c r="L7449">
        <v>-63.37961</v>
      </c>
      <c r="M7449">
        <v>0.99969790000000003</v>
      </c>
      <c r="N7449">
        <v>-1.4393019999999999E-2</v>
      </c>
      <c r="O7449">
        <v>-1.9930360000000001E-2</v>
      </c>
      <c r="P7449">
        <v>0.9901702</v>
      </c>
      <c r="Q7449">
        <v>-0.13894139999999999</v>
      </c>
      <c r="R7449">
        <v>-1.6073710000000001E-2</v>
      </c>
      <c r="S7449">
        <v>2.993347</v>
      </c>
      <c r="T7449">
        <v>-0.25511159999999999</v>
      </c>
      <c r="U7449">
        <v>-3.4179689999999999E-2</v>
      </c>
      <c r="V7449">
        <v>-3.569011E-3</v>
      </c>
      <c r="W7449">
        <v>-0.1246765</v>
      </c>
      <c r="X7449">
        <v>0.99219100000000005</v>
      </c>
      <c r="Y7449">
        <v>-8.4299649999999993E-3</v>
      </c>
      <c r="Z7449">
        <v>1.828238E-3</v>
      </c>
      <c r="AA7449">
        <v>0.99996280000000004</v>
      </c>
      <c r="AB7449">
        <v>22</v>
      </c>
      <c r="AC7449">
        <v>13.0312</v>
      </c>
      <c r="AD7449">
        <v>-1.121135520837</v>
      </c>
      <c r="AE7449">
        <v>-0.148230000000005</v>
      </c>
      <c r="AF7449">
        <v>-0.11072336150376801</v>
      </c>
      <c r="AG7449">
        <v>-1.121135520837</v>
      </c>
      <c r="AH7449">
        <v>12.9358274310281</v>
      </c>
      <c r="AI7449">
        <v>94.953210920572999</v>
      </c>
      <c r="AJ7449">
        <v>90.490407468714906</v>
      </c>
      <c r="AK7449">
        <v>12.9847924836789</v>
      </c>
      <c r="AL7449">
        <v>97.162074641964196</v>
      </c>
      <c r="AM7449">
        <v>90.206097803115796</v>
      </c>
      <c r="AN7449">
        <v>0.99999997398638296</v>
      </c>
    </row>
    <row r="7450" spans="1:40" x14ac:dyDescent="0.25">
      <c r="A7450" t="str">
        <f>"20190303154957048"</f>
        <v>20190303154957048</v>
      </c>
      <c r="B7450" t="str">
        <f>"1551599397038615"</f>
        <v>1551599397038615</v>
      </c>
      <c r="C7450" t="s">
        <v>40</v>
      </c>
      <c r="D7450">
        <v>5.169727</v>
      </c>
      <c r="E7450">
        <v>0.49921739999999998</v>
      </c>
      <c r="F7450" t="s">
        <v>70</v>
      </c>
      <c r="G7450">
        <v>-268.9812</v>
      </c>
      <c r="H7450" s="1">
        <v>-3.503139E-6</v>
      </c>
      <c r="I7450">
        <v>-63.531359999999999</v>
      </c>
      <c r="J7450">
        <v>-281.56270000000001</v>
      </c>
      <c r="K7450">
        <v>1.1209499999999999</v>
      </c>
      <c r="L7450">
        <v>-63.387419999999999</v>
      </c>
      <c r="M7450">
        <v>0.99972640000000002</v>
      </c>
      <c r="N7450">
        <v>-1.441162E-2</v>
      </c>
      <c r="O7450">
        <v>-1.8430749999999999E-2</v>
      </c>
      <c r="P7450">
        <v>0.99010969999999998</v>
      </c>
      <c r="Q7450">
        <v>-0.1396838</v>
      </c>
      <c r="R7450">
        <v>-1.309891E-2</v>
      </c>
      <c r="S7450">
        <v>2.9932249999999998</v>
      </c>
      <c r="T7450">
        <v>-0.25646140000000001</v>
      </c>
      <c r="U7450">
        <v>-3.4729000000000003E-2</v>
      </c>
      <c r="V7450">
        <v>-5.1156159999999999E-3</v>
      </c>
      <c r="W7450">
        <v>-0.12540080000000001</v>
      </c>
      <c r="X7450">
        <v>0.992093</v>
      </c>
      <c r="Y7450">
        <v>-6.756003E-3</v>
      </c>
      <c r="Z7450">
        <v>1.6485530000000001E-3</v>
      </c>
      <c r="AA7450">
        <v>0.99997579999999997</v>
      </c>
      <c r="AB7450">
        <v>22</v>
      </c>
      <c r="AC7450">
        <v>12.5815</v>
      </c>
      <c r="AD7450">
        <v>-1.1209535031390001</v>
      </c>
      <c r="AE7450">
        <v>-0.14394000000000001</v>
      </c>
      <c r="AF7450">
        <v>-8.7302078077745399E-2</v>
      </c>
      <c r="AG7450">
        <v>-1.1209535031390001</v>
      </c>
      <c r="AH7450">
        <v>12.482939217041499</v>
      </c>
      <c r="AI7450">
        <v>95.131206713425101</v>
      </c>
      <c r="AJ7450">
        <v>90.400703630669398</v>
      </c>
      <c r="AK7450">
        <v>12.533472380206099</v>
      </c>
      <c r="AL7450">
        <v>97.203901873134498</v>
      </c>
      <c r="AM7450">
        <v>90.295436626145403</v>
      </c>
      <c r="AN7450">
        <v>1.0000000254083401</v>
      </c>
    </row>
    <row r="7451" spans="1:40" x14ac:dyDescent="0.25">
      <c r="A7451" t="str">
        <f>"20190303154957083"</f>
        <v>20190303154957083</v>
      </c>
      <c r="B7451" t="str">
        <f>"1551599397078631"</f>
        <v>1551599397078631</v>
      </c>
      <c r="C7451" t="s">
        <v>40</v>
      </c>
      <c r="D7451">
        <v>4.9059720000000002</v>
      </c>
      <c r="E7451">
        <v>0.56144229999999995</v>
      </c>
      <c r="F7451" t="s">
        <v>70</v>
      </c>
      <c r="G7451">
        <v>-268.35829999999999</v>
      </c>
      <c r="H7451" s="1">
        <v>-3.2910720000000002E-6</v>
      </c>
      <c r="I7451">
        <v>-63.530839999999998</v>
      </c>
      <c r="J7451">
        <v>-281.23410000000001</v>
      </c>
      <c r="K7451">
        <v>1.1208910000000001</v>
      </c>
      <c r="L7451">
        <v>-63.392609999999998</v>
      </c>
      <c r="M7451">
        <v>0.99973860000000003</v>
      </c>
      <c r="N7451">
        <v>-1.4419589999999999E-2</v>
      </c>
      <c r="O7451">
        <v>-1.7751010000000001E-2</v>
      </c>
      <c r="P7451">
        <v>0.99021599999999999</v>
      </c>
      <c r="Q7451">
        <v>-0.1391474</v>
      </c>
      <c r="R7451">
        <v>-1.051567E-2</v>
      </c>
      <c r="S7451">
        <v>2.993652</v>
      </c>
      <c r="T7451">
        <v>-0.25413930000000001</v>
      </c>
      <c r="U7451">
        <v>-3.2531740000000003E-2</v>
      </c>
      <c r="V7451">
        <v>-7.0424219999999996E-3</v>
      </c>
      <c r="W7451">
        <v>-0.1248553</v>
      </c>
      <c r="X7451">
        <v>0.99214990000000003</v>
      </c>
      <c r="Y7451">
        <v>-6.8145810000000001E-3</v>
      </c>
      <c r="Z7451">
        <v>1.586449E-3</v>
      </c>
      <c r="AA7451">
        <v>0.99997550000000002</v>
      </c>
      <c r="AB7451">
        <v>22</v>
      </c>
      <c r="AC7451">
        <v>12.8758</v>
      </c>
      <c r="AD7451">
        <v>-1.1208942910719999</v>
      </c>
      <c r="AE7451">
        <v>-0.13823000000000699</v>
      </c>
      <c r="AF7451">
        <v>-8.9694304471089906E-2</v>
      </c>
      <c r="AG7451">
        <v>-1.1208942910719999</v>
      </c>
      <c r="AH7451">
        <v>12.7793879252763</v>
      </c>
      <c r="AI7451">
        <v>95.012525312972201</v>
      </c>
      <c r="AJ7451">
        <v>90.402133555850597</v>
      </c>
      <c r="AK7451">
        <v>12.8287647427455</v>
      </c>
      <c r="AL7451">
        <v>97.172400102859797</v>
      </c>
      <c r="AM7451">
        <v>90.406686813895803</v>
      </c>
      <c r="AN7451">
        <v>0.99999993285786004</v>
      </c>
    </row>
    <row r="7452" spans="1:40" x14ac:dyDescent="0.25">
      <c r="A7452" t="str">
        <f>"20190303154957095"</f>
        <v>20190303154957095</v>
      </c>
      <c r="B7452" t="str">
        <f>"1551599397088390"</f>
        <v>1551599397088390</v>
      </c>
      <c r="C7452" t="s">
        <v>40</v>
      </c>
      <c r="D7452">
        <v>5.3229889999999997</v>
      </c>
      <c r="E7452">
        <v>0.56900669999999898</v>
      </c>
      <c r="F7452" t="s">
        <v>62</v>
      </c>
      <c r="G7452">
        <v>0</v>
      </c>
      <c r="H7452">
        <v>0</v>
      </c>
      <c r="I7452">
        <v>0</v>
      </c>
      <c r="J7452">
        <v>-281.11320000000001</v>
      </c>
      <c r="K7452">
        <v>1.1208959999999999</v>
      </c>
      <c r="L7452">
        <v>-63.394500000000001</v>
      </c>
      <c r="M7452">
        <v>0.99974229999999997</v>
      </c>
      <c r="N7452">
        <v>-1.4421740000000001E-2</v>
      </c>
      <c r="O7452">
        <v>-1.7527959999999999E-2</v>
      </c>
      <c r="P7452">
        <v>0.99020339999999996</v>
      </c>
      <c r="Q7452">
        <v>-0.13930399999999901</v>
      </c>
      <c r="R7452">
        <v>-9.5747390000000005E-3</v>
      </c>
      <c r="S7452">
        <v>3.2315369999999999</v>
      </c>
      <c r="T7452">
        <v>1.4758800000000001</v>
      </c>
      <c r="U7452">
        <v>-0.51757810000000004</v>
      </c>
      <c r="V7452">
        <v>-7.76137099999999E-3</v>
      </c>
      <c r="W7452">
        <v>-0.12501029999999999</v>
      </c>
      <c r="X7452">
        <v>0.99212509999999998</v>
      </c>
      <c r="Y7452">
        <v>0.13042880000000001</v>
      </c>
      <c r="Z7452">
        <v>1.9409269999999999E-2</v>
      </c>
      <c r="AA7452">
        <v>0.99126769999999997</v>
      </c>
      <c r="AB7452">
        <v>22</v>
      </c>
      <c r="AC7452">
        <v>3.2315369999999999</v>
      </c>
      <c r="AD7452">
        <v>1.4758800000000001</v>
      </c>
      <c r="AE7452">
        <v>-0.51757810000000004</v>
      </c>
      <c r="AF7452">
        <v>0.38296702852713199</v>
      </c>
      <c r="AG7452">
        <v>1.4758800000000001</v>
      </c>
      <c r="AH7452">
        <v>2.69253659578197</v>
      </c>
      <c r="AI7452">
        <v>61.512392921099597</v>
      </c>
      <c r="AJ7452">
        <v>81.904957276249306</v>
      </c>
      <c r="AK7452">
        <v>3.0942913306545701</v>
      </c>
      <c r="AL7452">
        <v>97.181350492440501</v>
      </c>
      <c r="AM7452">
        <v>90.448214373640496</v>
      </c>
      <c r="AN7452">
        <v>1.0000000140179399</v>
      </c>
    </row>
    <row r="7453" spans="1:40" x14ac:dyDescent="0.25">
      <c r="A7453" t="str">
        <f>"20190303154957132"</f>
        <v>20190303154957132</v>
      </c>
      <c r="B7453" t="str">
        <f>"1551599397128407"</f>
        <v>1551599397128407</v>
      </c>
      <c r="C7453" t="s">
        <v>40</v>
      </c>
      <c r="D7453">
        <v>3.9318849999999999</v>
      </c>
      <c r="E7453">
        <v>0.56900669999999898</v>
      </c>
      <c r="F7453" t="s">
        <v>58</v>
      </c>
      <c r="G7453">
        <v>-177.92099999999999</v>
      </c>
      <c r="H7453">
        <v>51.854889999999997</v>
      </c>
      <c r="I7453">
        <v>-81.671430000000001</v>
      </c>
      <c r="J7453">
        <v>-280.76459999999997</v>
      </c>
      <c r="K7453">
        <v>1.1209359999999999</v>
      </c>
      <c r="L7453">
        <v>-63.399810000000002</v>
      </c>
      <c r="M7453">
        <v>0.99975369999999997</v>
      </c>
      <c r="N7453">
        <v>-1.442655E-2</v>
      </c>
      <c r="O7453">
        <v>-1.6864279999999999E-2</v>
      </c>
      <c r="P7453">
        <v>0.98993240000000005</v>
      </c>
      <c r="Q7453">
        <v>-0.14133399999999999</v>
      </c>
      <c r="R7453">
        <v>-7.6563029999999997E-3</v>
      </c>
      <c r="S7453">
        <v>3.2487789999999999</v>
      </c>
      <c r="T7453">
        <v>1.597248</v>
      </c>
      <c r="U7453">
        <v>-0.5754089</v>
      </c>
      <c r="V7453">
        <v>-9.0022829999999998E-3</v>
      </c>
      <c r="W7453">
        <v>-0.12704089999999901</v>
      </c>
      <c r="X7453">
        <v>0.99185659999999998</v>
      </c>
      <c r="Y7453">
        <v>0.14427870000000001</v>
      </c>
      <c r="Z7453">
        <v>2.4210389999999998E-2</v>
      </c>
      <c r="AA7453">
        <v>0.98924089999999998</v>
      </c>
      <c r="AB7453">
        <v>21</v>
      </c>
      <c r="AC7453">
        <v>102.843599999999</v>
      </c>
      <c r="AD7453">
        <v>50.733953999999997</v>
      </c>
      <c r="AE7453">
        <v>-18.271619999999999</v>
      </c>
      <c r="AF7453">
        <v>13.3783660138138</v>
      </c>
      <c r="AG7453">
        <v>50.733953999999997</v>
      </c>
      <c r="AH7453">
        <v>83.450360961339896</v>
      </c>
      <c r="AI7453">
        <v>59.024085937276602</v>
      </c>
      <c r="AJ7453">
        <v>80.892111951999198</v>
      </c>
      <c r="AK7453">
        <v>98.574223356066099</v>
      </c>
      <c r="AL7453">
        <v>97.298630695617305</v>
      </c>
      <c r="AM7453">
        <v>90.520013335976003</v>
      </c>
      <c r="AN7453">
        <v>0.99999997316778999</v>
      </c>
    </row>
    <row r="7454" spans="1:40" x14ac:dyDescent="0.25">
      <c r="A7454" t="str">
        <f>"20190303154957160"</f>
        <v>20190303154957160</v>
      </c>
      <c r="B7454" t="str">
        <f>"1551599397157687"</f>
        <v>1551599397157687</v>
      </c>
      <c r="C7454" t="s">
        <v>40</v>
      </c>
      <c r="D7454">
        <v>5.6893630000000002</v>
      </c>
      <c r="E7454">
        <v>0.5240977</v>
      </c>
      <c r="F7454" t="s">
        <v>58</v>
      </c>
      <c r="G7454">
        <v>-177.92099999999999</v>
      </c>
      <c r="H7454">
        <v>51.392270000000003</v>
      </c>
      <c r="I7454">
        <v>-81.434280000000001</v>
      </c>
      <c r="J7454">
        <v>-280.48410000000001</v>
      </c>
      <c r="K7454">
        <v>1.1210150000000001</v>
      </c>
      <c r="L7454">
        <v>-63.40381</v>
      </c>
      <c r="M7454">
        <v>0.99976419999999999</v>
      </c>
      <c r="N7454">
        <v>-1.442889E-2</v>
      </c>
      <c r="O7454">
        <v>-1.6231249999999999E-2</v>
      </c>
      <c r="P7454">
        <v>0.9897224</v>
      </c>
      <c r="Q7454">
        <v>-0.1428777</v>
      </c>
      <c r="R7454">
        <v>-5.9790080000000001E-3</v>
      </c>
      <c r="S7454">
        <v>3.2531430000000001</v>
      </c>
      <c r="T7454">
        <v>1.5901799999999999</v>
      </c>
      <c r="U7454">
        <v>-0.57046509999999995</v>
      </c>
      <c r="V7454">
        <v>-1.0023260000000001E-2</v>
      </c>
      <c r="W7454">
        <v>-0.1285878</v>
      </c>
      <c r="X7454">
        <v>0.99164750000000002</v>
      </c>
      <c r="Y7454">
        <v>0.1433844</v>
      </c>
      <c r="Z7454">
        <v>2.418211E-2</v>
      </c>
      <c r="AA7454">
        <v>0.98937160000000002</v>
      </c>
      <c r="AB7454">
        <v>21</v>
      </c>
      <c r="AC7454">
        <v>102.56310000000001</v>
      </c>
      <c r="AD7454">
        <v>50.271254999999996</v>
      </c>
      <c r="AE7454">
        <v>-18.030470000000001</v>
      </c>
      <c r="AF7454">
        <v>13.270564596901901</v>
      </c>
      <c r="AG7454">
        <v>50.271254999999996</v>
      </c>
      <c r="AH7454">
        <v>83.4051749775101</v>
      </c>
      <c r="AI7454">
        <v>59.236864591830702</v>
      </c>
      <c r="AJ7454">
        <v>80.959472344275994</v>
      </c>
      <c r="AK7454">
        <v>98.283926341109506</v>
      </c>
      <c r="AL7454">
        <v>97.387994107214396</v>
      </c>
      <c r="AM7454">
        <v>90.579107937693294</v>
      </c>
      <c r="AN7454">
        <v>1.0000000261530499</v>
      </c>
    </row>
    <row r="7455" spans="1:40" x14ac:dyDescent="0.25">
      <c r="A7455" t="str">
        <f>"20190303154957172"</f>
        <v>20190303154957172</v>
      </c>
      <c r="B7455" t="str">
        <f>"1551599397168422"</f>
        <v>1551599397168422</v>
      </c>
      <c r="C7455" t="s">
        <v>40</v>
      </c>
      <c r="D7455">
        <v>5.599774</v>
      </c>
      <c r="E7455">
        <v>0.52093540000000005</v>
      </c>
      <c r="F7455" t="s">
        <v>64</v>
      </c>
      <c r="G7455">
        <v>-206.4383</v>
      </c>
      <c r="H7455" s="1">
        <v>-3.5142799999999998E-6</v>
      </c>
      <c r="I7455">
        <v>-68.545299999999997</v>
      </c>
      <c r="J7455">
        <v>-280.3759</v>
      </c>
      <c r="K7455">
        <v>1.1210560000000001</v>
      </c>
      <c r="L7455">
        <v>-63.405239999999999</v>
      </c>
      <c r="M7455">
        <v>0.99976900000000002</v>
      </c>
      <c r="N7455">
        <v>-1.442948E-2</v>
      </c>
      <c r="O7455">
        <v>-1.5931730000000002E-2</v>
      </c>
      <c r="P7455">
        <v>0.9897359</v>
      </c>
      <c r="Q7455">
        <v>-0.142809299999999</v>
      </c>
      <c r="R7455">
        <v>-5.3423389999999998E-3</v>
      </c>
      <c r="S7455">
        <v>3.0233150000000002</v>
      </c>
      <c r="T7455">
        <v>-4.5771600000000003E-2</v>
      </c>
      <c r="U7455">
        <v>-0.20993039999999999</v>
      </c>
      <c r="V7455">
        <v>-1.0351519999999999E-2</v>
      </c>
      <c r="W7455">
        <v>-0.12851989999999999</v>
      </c>
      <c r="X7455">
        <v>0.99165289999999995</v>
      </c>
      <c r="Y7455">
        <v>5.3354550000000001E-2</v>
      </c>
      <c r="Z7455">
        <v>-7.7764419999999895E-4</v>
      </c>
      <c r="AA7455">
        <v>0.99857530000000005</v>
      </c>
      <c r="AB7455">
        <v>21</v>
      </c>
      <c r="AC7455">
        <v>73.937600000000003</v>
      </c>
      <c r="AD7455">
        <v>-1.1210595142799999</v>
      </c>
      <c r="AE7455">
        <v>-5.1400599999999903</v>
      </c>
      <c r="AF7455">
        <v>3.96042491997623</v>
      </c>
      <c r="AG7455">
        <v>-1.1210595142799999</v>
      </c>
      <c r="AH7455">
        <v>73.993183865059507</v>
      </c>
      <c r="AI7455">
        <v>90.866772754406895</v>
      </c>
      <c r="AJ7455">
        <v>86.936213571945203</v>
      </c>
      <c r="AK7455">
        <v>74.107577200107102</v>
      </c>
      <c r="AL7455">
        <v>97.384071394605499</v>
      </c>
      <c r="AM7455">
        <v>90.598069008358493</v>
      </c>
      <c r="AN7455">
        <v>0.99999999637036496</v>
      </c>
    </row>
    <row r="7456" spans="1:40" x14ac:dyDescent="0.25">
      <c r="A7456" t="str">
        <f>"20190303154957185"</f>
        <v>20190303154957185</v>
      </c>
      <c r="B7456" t="str">
        <f>"1551599397178183"</f>
        <v>1551599397178183</v>
      </c>
      <c r="C7456" t="s">
        <v>40</v>
      </c>
      <c r="D7456">
        <v>5.6613379999999998</v>
      </c>
      <c r="E7456">
        <v>0.52301390000000003</v>
      </c>
      <c r="F7456" t="s">
        <v>71</v>
      </c>
      <c r="G7456">
        <v>-157.9383</v>
      </c>
      <c r="H7456">
        <v>1.311178</v>
      </c>
      <c r="I7456">
        <v>-70.796080000000003</v>
      </c>
      <c r="J7456">
        <v>-280.25700000000001</v>
      </c>
      <c r="K7456">
        <v>1.1211040000000001</v>
      </c>
      <c r="L7456">
        <v>-63.406799999999997</v>
      </c>
      <c r="M7456">
        <v>0.99977439999999995</v>
      </c>
      <c r="N7456">
        <v>-1.443005E-2</v>
      </c>
      <c r="O7456">
        <v>-1.5586010000000001E-2</v>
      </c>
      <c r="P7456">
        <v>0.98975139999999995</v>
      </c>
      <c r="Q7456">
        <v>-0.14272399999999999</v>
      </c>
      <c r="R7456">
        <v>-4.6798300000000003E-3</v>
      </c>
      <c r="S7456">
        <v>3.0308229999999998</v>
      </c>
      <c r="T7456">
        <v>4.7057870000000003E-3</v>
      </c>
      <c r="U7456">
        <v>-0.1829529</v>
      </c>
      <c r="V7456">
        <v>-1.0657099999999999E-2</v>
      </c>
      <c r="W7456">
        <v>-0.1284353</v>
      </c>
      <c r="X7456">
        <v>0.99166069999999995</v>
      </c>
      <c r="Y7456">
        <v>4.4690229999999997E-2</v>
      </c>
      <c r="Z7456">
        <v>-5.3700690000000001E-4</v>
      </c>
      <c r="AA7456">
        <v>0.99900069999999996</v>
      </c>
      <c r="AB7456">
        <v>21</v>
      </c>
      <c r="AC7456">
        <v>122.31870000000001</v>
      </c>
      <c r="AD7456">
        <v>0.19007399999999899</v>
      </c>
      <c r="AE7456">
        <v>-7.3892800000000003</v>
      </c>
      <c r="AF7456">
        <v>5.4817100553066602</v>
      </c>
      <c r="AG7456">
        <v>0.19007399999999899</v>
      </c>
      <c r="AH7456">
        <v>122.418725804052</v>
      </c>
      <c r="AI7456">
        <v>89.911128568179805</v>
      </c>
      <c r="AJ7456">
        <v>87.436101537637498</v>
      </c>
      <c r="AK7456">
        <v>122.54154275486999</v>
      </c>
      <c r="AL7456">
        <v>97.379183102980704</v>
      </c>
      <c r="AM7456">
        <v>90.615718003893306</v>
      </c>
      <c r="AN7456">
        <v>1.00000007199549</v>
      </c>
    </row>
    <row r="7457" spans="1:40" x14ac:dyDescent="0.25">
      <c r="A7457" t="str">
        <f>"20190303154957194"</f>
        <v>20190303154957194</v>
      </c>
      <c r="B7457" t="str">
        <f>"1551599397187942"</f>
        <v>1551599397187942</v>
      </c>
      <c r="C7457" t="s">
        <v>40</v>
      </c>
      <c r="D7457">
        <v>5.6960259999999998</v>
      </c>
      <c r="E7457">
        <v>0.52032009999999995</v>
      </c>
      <c r="F7457" t="s">
        <v>72</v>
      </c>
      <c r="G7457">
        <v>56.119929999999997</v>
      </c>
      <c r="H7457">
        <v>-0.1</v>
      </c>
      <c r="I7457">
        <v>-85.377960000000002</v>
      </c>
      <c r="J7457">
        <v>-280.15750000000003</v>
      </c>
      <c r="K7457">
        <v>1.1211450000000001</v>
      </c>
      <c r="L7457">
        <v>-63.408019999999901</v>
      </c>
      <c r="M7457">
        <v>0.99977939999999998</v>
      </c>
      <c r="N7457">
        <v>-1.4430419999999999E-2</v>
      </c>
      <c r="O7457">
        <v>-1.526721E-2</v>
      </c>
      <c r="P7457">
        <v>0.98986830000000003</v>
      </c>
      <c r="Q7457">
        <v>-0.14192550000000001</v>
      </c>
      <c r="R7457">
        <v>-4.3048050000000001E-3</v>
      </c>
      <c r="S7457">
        <v>3.0285340000000001</v>
      </c>
      <c r="T7457">
        <v>-1.099408E-2</v>
      </c>
      <c r="U7457">
        <v>-0.19781489999999999</v>
      </c>
      <c r="V7457">
        <v>-1.070692E-2</v>
      </c>
      <c r="W7457">
        <v>-0.1276359</v>
      </c>
      <c r="X7457">
        <v>0.99176330000000001</v>
      </c>
      <c r="Y7457">
        <v>4.9933489999999997E-2</v>
      </c>
      <c r="Z7457">
        <v>-6.1599579999999999E-4</v>
      </c>
      <c r="AA7457">
        <v>0.99875239999999998</v>
      </c>
      <c r="AB7457">
        <v>21</v>
      </c>
      <c r="AC7457">
        <v>336.27742999999998</v>
      </c>
      <c r="AD7457">
        <v>-1.2211449999999999</v>
      </c>
      <c r="AE7457">
        <v>-21.969940000000001</v>
      </c>
      <c r="AF7457">
        <v>16.8326055052068</v>
      </c>
      <c r="AG7457">
        <v>-1.2211449999999999</v>
      </c>
      <c r="AH7457">
        <v>336.569263676042</v>
      </c>
      <c r="AI7457">
        <v>90.207620894209398</v>
      </c>
      <c r="AJ7457">
        <v>87.136891365853302</v>
      </c>
      <c r="AK7457">
        <v>336.99213203669598</v>
      </c>
      <c r="AL7457">
        <v>97.333001273330296</v>
      </c>
      <c r="AM7457">
        <v>90.618532160078701</v>
      </c>
      <c r="AN7457">
        <v>1.00000000216579</v>
      </c>
    </row>
    <row r="7458" spans="1:40" x14ac:dyDescent="0.25">
      <c r="A7458" t="str">
        <f>"20190303154957207"</f>
        <v>20190303154957207</v>
      </c>
      <c r="B7458" t="str">
        <f>"1551599397197702"</f>
        <v>1551599397197702</v>
      </c>
      <c r="C7458" t="s">
        <v>40</v>
      </c>
      <c r="D7458">
        <v>5.6771419999999999</v>
      </c>
      <c r="E7458">
        <v>0.5186615</v>
      </c>
      <c r="F7458" t="s">
        <v>64</v>
      </c>
      <c r="G7458">
        <v>-194.57990000000001</v>
      </c>
      <c r="H7458" s="1">
        <v>-8.4788249999999992E-6</v>
      </c>
      <c r="I7458">
        <v>-68.374340000000004</v>
      </c>
      <c r="J7458">
        <v>-280.05040000000002</v>
      </c>
      <c r="K7458">
        <v>1.121191</v>
      </c>
      <c r="L7458">
        <v>-63.4092699999999</v>
      </c>
      <c r="M7458">
        <v>0.99978500000000003</v>
      </c>
      <c r="N7458">
        <v>-1.4430729999999999E-2</v>
      </c>
      <c r="O7458">
        <v>-1.4893989999999999E-2</v>
      </c>
      <c r="P7458">
        <v>0.9899135</v>
      </c>
      <c r="Q7458">
        <v>-0.141617299999999</v>
      </c>
      <c r="R7458">
        <v>-4.0166890000000004E-3</v>
      </c>
      <c r="S7458">
        <v>3.0242610000000001</v>
      </c>
      <c r="T7458">
        <v>-3.9620879999999997E-2</v>
      </c>
      <c r="U7458">
        <v>-0.17550660000000001</v>
      </c>
      <c r="V7458">
        <v>-1.061323E-2</v>
      </c>
      <c r="W7458">
        <v>-0.12732779999999999</v>
      </c>
      <c r="X7458">
        <v>0.99180389999999996</v>
      </c>
      <c r="Y7458">
        <v>4.3050720000000001E-2</v>
      </c>
      <c r="Z7458">
        <v>-6.1255089999999999E-4</v>
      </c>
      <c r="AA7458">
        <v>0.99907270000000004</v>
      </c>
      <c r="AB7458">
        <v>21</v>
      </c>
      <c r="AC7458">
        <v>85.470500000000001</v>
      </c>
      <c r="AD7458">
        <v>-1.1211994788249999</v>
      </c>
      <c r="AE7458">
        <v>-4.9650700000000096</v>
      </c>
      <c r="AF7458">
        <v>3.6907569152514101</v>
      </c>
      <c r="AG7458">
        <v>-1.1211994788249999</v>
      </c>
      <c r="AH7458">
        <v>85.520307961547203</v>
      </c>
      <c r="AI7458">
        <v>90.750425135622905</v>
      </c>
      <c r="AJ7458">
        <v>87.5288482608251</v>
      </c>
      <c r="AK7458">
        <v>85.607253481913901</v>
      </c>
      <c r="AL7458">
        <v>97.315203297428496</v>
      </c>
      <c r="AM7458">
        <v>90.613095065132697</v>
      </c>
      <c r="AN7458">
        <v>0.99999999267954098</v>
      </c>
    </row>
    <row r="7459" spans="1:40" x14ac:dyDescent="0.25">
      <c r="A7459" t="str">
        <f>"20190303154957220"</f>
        <v>20190303154957220</v>
      </c>
      <c r="B7459" t="str">
        <f>"1551599397208439"</f>
        <v>1551599397208439</v>
      </c>
      <c r="C7459" t="s">
        <v>40</v>
      </c>
      <c r="D7459">
        <v>5.779191</v>
      </c>
      <c r="E7459">
        <v>0.51770879999999997</v>
      </c>
      <c r="F7459" t="s">
        <v>73</v>
      </c>
      <c r="G7459">
        <v>-219.3134</v>
      </c>
      <c r="H7459" s="1">
        <v>-4.1425200000000003E-6</v>
      </c>
      <c r="I7459">
        <v>-66.660679999999999</v>
      </c>
      <c r="J7459">
        <v>-279.9246</v>
      </c>
      <c r="K7459">
        <v>1.121245</v>
      </c>
      <c r="L7459">
        <v>-63.410679999999999</v>
      </c>
      <c r="M7459">
        <v>0.99979189999999996</v>
      </c>
      <c r="N7459">
        <v>-1.443096E-2</v>
      </c>
      <c r="O7459">
        <v>-1.4422040000000001E-2</v>
      </c>
      <c r="P7459">
        <v>0.98995310000000003</v>
      </c>
      <c r="Q7459">
        <v>-0.141351</v>
      </c>
      <c r="R7459">
        <v>-3.5967870000000002E-3</v>
      </c>
      <c r="S7459">
        <v>3.0219119999999999</v>
      </c>
      <c r="T7459">
        <v>-5.5783989999999999E-2</v>
      </c>
      <c r="U7459">
        <v>-0.16177369999999999</v>
      </c>
      <c r="V7459">
        <v>-1.0550220000000001E-2</v>
      </c>
      <c r="W7459">
        <v>-0.12706210000000001</v>
      </c>
      <c r="X7459">
        <v>0.99183860000000001</v>
      </c>
      <c r="Y7459">
        <v>3.9036830000000002E-2</v>
      </c>
      <c r="Z7459">
        <v>-5.8397129999999996E-4</v>
      </c>
      <c r="AA7459">
        <v>0.99923759999999995</v>
      </c>
      <c r="AB7459">
        <v>21</v>
      </c>
      <c r="AC7459">
        <v>60.611199999999997</v>
      </c>
      <c r="AD7459">
        <v>-1.12124914252</v>
      </c>
      <c r="AE7459">
        <v>-3.2499999999999898</v>
      </c>
      <c r="AF7459">
        <v>2.3746234729096201</v>
      </c>
      <c r="AG7459">
        <v>-1.12124914252</v>
      </c>
      <c r="AH7459">
        <v>60.631082094360998</v>
      </c>
      <c r="AI7459">
        <v>91.058637280214299</v>
      </c>
      <c r="AJ7459">
        <v>87.757150350751601</v>
      </c>
      <c r="AK7459">
        <v>60.687924270079002</v>
      </c>
      <c r="AL7459">
        <v>97.299855486428498</v>
      </c>
      <c r="AM7459">
        <v>90.609434117714301</v>
      </c>
      <c r="AN7459">
        <v>0.99999994642420698</v>
      </c>
    </row>
    <row r="7460" spans="1:40" x14ac:dyDescent="0.25">
      <c r="A7460" t="str">
        <f>"20190303154957230"</f>
        <v>20190303154957230</v>
      </c>
      <c r="B7460" t="str">
        <f>"1551599397218200"</f>
        <v>1551599397218200</v>
      </c>
      <c r="C7460" t="s">
        <v>40</v>
      </c>
      <c r="D7460">
        <v>5.7451530000000002</v>
      </c>
      <c r="E7460">
        <v>0.51687170000000004</v>
      </c>
      <c r="F7460" t="s">
        <v>74</v>
      </c>
      <c r="G7460">
        <v>-225.8466</v>
      </c>
      <c r="H7460" s="1">
        <v>-2.769405E-6</v>
      </c>
      <c r="I7460">
        <v>-66.152019999999993</v>
      </c>
      <c r="J7460">
        <v>-279.82100000000003</v>
      </c>
      <c r="K7460">
        <v>1.121289</v>
      </c>
      <c r="L7460">
        <v>-63.411679999999997</v>
      </c>
      <c r="M7460">
        <v>0.99979830000000003</v>
      </c>
      <c r="N7460">
        <v>-1.4431090000000001E-2</v>
      </c>
      <c r="O7460">
        <v>-1.397439E-2</v>
      </c>
      <c r="P7460">
        <v>0.98995849999999996</v>
      </c>
      <c r="Q7460">
        <v>-0.1413191</v>
      </c>
      <c r="R7460">
        <v>-3.337605E-3</v>
      </c>
      <c r="S7460">
        <v>3.020905</v>
      </c>
      <c r="T7460">
        <v>-6.2635179999999999E-2</v>
      </c>
      <c r="U7460">
        <v>-0.1531372</v>
      </c>
      <c r="V7460">
        <v>-1.0351630000000001E-2</v>
      </c>
      <c r="W7460">
        <v>-0.1270309</v>
      </c>
      <c r="X7460">
        <v>0.99184470000000002</v>
      </c>
      <c r="Y7460">
        <v>3.6651570000000001E-2</v>
      </c>
      <c r="Z7460">
        <v>-5.5644240000000001E-4</v>
      </c>
      <c r="AA7460">
        <v>0.99932799999999999</v>
      </c>
      <c r="AB7460">
        <v>21</v>
      </c>
      <c r="AC7460">
        <v>53.974399999999903</v>
      </c>
      <c r="AD7460">
        <v>-1.121291769405</v>
      </c>
      <c r="AE7460">
        <v>-2.7403399999999798</v>
      </c>
      <c r="AF7460">
        <v>1.9848801274449399</v>
      </c>
      <c r="AG7460">
        <v>-1.121291769405</v>
      </c>
      <c r="AH7460">
        <v>53.984188442967003</v>
      </c>
      <c r="AI7460">
        <v>91.189101628444803</v>
      </c>
      <c r="AJ7460">
        <v>87.894308469974305</v>
      </c>
      <c r="AK7460">
        <v>54.032301877656799</v>
      </c>
      <c r="AL7460">
        <v>97.298053173861305</v>
      </c>
      <c r="AM7460">
        <v>90.597959717602905</v>
      </c>
      <c r="AN7460">
        <v>0.99999995735827696</v>
      </c>
    </row>
    <row r="7461" spans="1:40" x14ac:dyDescent="0.25">
      <c r="A7461" t="str">
        <f>"20190303154957243"</f>
        <v>20190303154957243</v>
      </c>
      <c r="B7461" t="str">
        <f>"1551599397237719"</f>
        <v>1551599397237719</v>
      </c>
      <c r="C7461" t="s">
        <v>40</v>
      </c>
      <c r="D7461">
        <v>5.8397170000000003</v>
      </c>
      <c r="E7461">
        <v>0.51481149999999998</v>
      </c>
      <c r="F7461" t="s">
        <v>74</v>
      </c>
      <c r="G7461">
        <v>-229.69390000000001</v>
      </c>
      <c r="H7461" s="1">
        <v>-4.0363130000000004E-6</v>
      </c>
      <c r="I7461">
        <v>-65.835250000000002</v>
      </c>
      <c r="J7461">
        <v>-279.7045</v>
      </c>
      <c r="K7461">
        <v>1.1213439999999999</v>
      </c>
      <c r="L7461">
        <v>-63.412779999999998</v>
      </c>
      <c r="M7461">
        <v>0.99980559999999996</v>
      </c>
      <c r="N7461">
        <v>-1.443118E-2</v>
      </c>
      <c r="O7461">
        <v>-1.344914E-2</v>
      </c>
      <c r="P7461">
        <v>0.98990270000000002</v>
      </c>
      <c r="Q7461">
        <v>-0.1417118</v>
      </c>
      <c r="R7461">
        <v>-3.249512E-3</v>
      </c>
      <c r="S7461">
        <v>3.0202939999999998</v>
      </c>
      <c r="T7461">
        <v>-6.7561029999999994E-2</v>
      </c>
      <c r="U7461">
        <v>-0.14602660000000001</v>
      </c>
      <c r="V7461">
        <v>-9.9018179999999997E-3</v>
      </c>
      <c r="W7461">
        <v>-0.12742510000000001</v>
      </c>
      <c r="X7461">
        <v>0.99179879999999998</v>
      </c>
      <c r="Y7461">
        <v>3.483895E-2</v>
      </c>
      <c r="Z7461">
        <v>-5.3437120000000002E-4</v>
      </c>
      <c r="AA7461">
        <v>0.99939279999999997</v>
      </c>
      <c r="AB7461">
        <v>21</v>
      </c>
      <c r="AC7461">
        <v>50.010599999999897</v>
      </c>
      <c r="AD7461">
        <v>-1.121348036313</v>
      </c>
      <c r="AE7461">
        <v>-2.4224699999999899</v>
      </c>
      <c r="AF7461">
        <v>1.7487042619168101</v>
      </c>
      <c r="AG7461">
        <v>-1.121348036313</v>
      </c>
      <c r="AH7461">
        <v>50.013573704047801</v>
      </c>
      <c r="AI7461">
        <v>91.283622136231202</v>
      </c>
      <c r="AJ7461">
        <v>87.997492145247506</v>
      </c>
      <c r="AK7461">
        <v>50.056697280827599</v>
      </c>
      <c r="AL7461">
        <v>97.320823678931802</v>
      </c>
      <c r="AM7461">
        <v>90.572004657162694</v>
      </c>
      <c r="AN7461">
        <v>1.0000000308955701</v>
      </c>
    </row>
    <row r="7462" spans="1:40" x14ac:dyDescent="0.25">
      <c r="A7462" t="str">
        <f>"20190303154957254"</f>
        <v>20190303154957254</v>
      </c>
      <c r="B7462" t="str">
        <f>"1551599397248455"</f>
        <v>1551599397248455</v>
      </c>
      <c r="C7462" t="s">
        <v>40</v>
      </c>
      <c r="D7462">
        <v>5.7452649999999998</v>
      </c>
      <c r="E7462">
        <v>0.51438279999999903</v>
      </c>
      <c r="F7462" t="s">
        <v>75</v>
      </c>
      <c r="G7462">
        <v>-241.3768</v>
      </c>
      <c r="H7462" s="1">
        <v>-8.2113519999999996E-7</v>
      </c>
      <c r="I7462">
        <v>-65.056629999999998</v>
      </c>
      <c r="J7462">
        <v>-279.59070000000003</v>
      </c>
      <c r="K7462">
        <v>1.121402</v>
      </c>
      <c r="L7462">
        <v>-63.413730000000001</v>
      </c>
      <c r="M7462">
        <v>0.99981310000000001</v>
      </c>
      <c r="N7462">
        <v>-1.443123E-2</v>
      </c>
      <c r="O7462">
        <v>-1.2870329999999999E-2</v>
      </c>
      <c r="P7462">
        <v>0.9898709</v>
      </c>
      <c r="Q7462">
        <v>-0.1419443</v>
      </c>
      <c r="R7462">
        <v>-2.8441989999999999E-3</v>
      </c>
      <c r="S7462">
        <v>3.0175480000000001</v>
      </c>
      <c r="T7462">
        <v>-8.8283539999999994E-2</v>
      </c>
      <c r="U7462">
        <v>-0.12942500000000001</v>
      </c>
      <c r="V7462">
        <v>-9.7151909999999998E-3</v>
      </c>
      <c r="W7462">
        <v>-0.1276591</v>
      </c>
      <c r="X7462">
        <v>0.9917705</v>
      </c>
      <c r="Y7462">
        <v>2.9970299999999998E-2</v>
      </c>
      <c r="Z7462">
        <v>-4.639542E-4</v>
      </c>
      <c r="AA7462">
        <v>0.99955070000000001</v>
      </c>
      <c r="AB7462">
        <v>21</v>
      </c>
      <c r="AC7462">
        <v>38.213900000000002</v>
      </c>
      <c r="AD7462">
        <v>-1.1214028211352001</v>
      </c>
      <c r="AE7462">
        <v>-1.64289999999999</v>
      </c>
      <c r="AF7462">
        <v>1.14989879332996</v>
      </c>
      <c r="AG7462">
        <v>-1.1214028211352001</v>
      </c>
      <c r="AH7462">
        <v>38.1990465446477</v>
      </c>
      <c r="AI7462">
        <v>91.680778430979998</v>
      </c>
      <c r="AJ7462">
        <v>88.275756504859203</v>
      </c>
      <c r="AK7462">
        <v>38.232799641699202</v>
      </c>
      <c r="AL7462">
        <v>97.334341679352505</v>
      </c>
      <c r="AM7462">
        <v>90.561240365442501</v>
      </c>
      <c r="AN7462">
        <v>0.99999997770961302</v>
      </c>
    </row>
    <row r="7463" spans="1:40" x14ac:dyDescent="0.25">
      <c r="A7463" t="str">
        <f>"20190303154957265"</f>
        <v>20190303154957265</v>
      </c>
      <c r="B7463" t="str">
        <f>"1551599397258216"</f>
        <v>1551599397258216</v>
      </c>
      <c r="C7463" t="s">
        <v>40</v>
      </c>
      <c r="D7463">
        <v>5.7634840000000001</v>
      </c>
      <c r="E7463">
        <v>0.51402409999999998</v>
      </c>
      <c r="F7463" t="s">
        <v>75</v>
      </c>
      <c r="G7463">
        <v>-242.63229999999999</v>
      </c>
      <c r="H7463" s="1">
        <v>-1.3301169999999901E-6</v>
      </c>
      <c r="I7463">
        <v>-64.945160000000001</v>
      </c>
      <c r="J7463">
        <v>-279.50189999999998</v>
      </c>
      <c r="K7463">
        <v>1.121445</v>
      </c>
      <c r="L7463">
        <v>-63.414400000000001</v>
      </c>
      <c r="M7463">
        <v>0.99981900000000001</v>
      </c>
      <c r="N7463">
        <v>-1.4431299999999999E-2</v>
      </c>
      <c r="O7463">
        <v>-1.239639E-2</v>
      </c>
      <c r="P7463">
        <v>0.98980769999999996</v>
      </c>
      <c r="Q7463">
        <v>-0.1423856</v>
      </c>
      <c r="R7463">
        <v>-2.662743E-3</v>
      </c>
      <c r="S7463">
        <v>3.017242</v>
      </c>
      <c r="T7463">
        <v>-9.1550229999999996E-2</v>
      </c>
      <c r="U7463">
        <v>-0.12503049999999999</v>
      </c>
      <c r="V7463">
        <v>-9.411984E-3</v>
      </c>
      <c r="W7463">
        <v>-0.12810179999999999</v>
      </c>
      <c r="X7463">
        <v>0.99171640000000005</v>
      </c>
      <c r="Y7463">
        <v>2.8994809999999999E-2</v>
      </c>
      <c r="Z7463">
        <v>-4.5194910000000003E-4</v>
      </c>
      <c r="AA7463">
        <v>0.99957949999999995</v>
      </c>
      <c r="AB7463">
        <v>21</v>
      </c>
      <c r="AC7463">
        <v>36.869599999999899</v>
      </c>
      <c r="AD7463">
        <v>-1.1214463301169999</v>
      </c>
      <c r="AE7463">
        <v>-1.5307599999999999</v>
      </c>
      <c r="AF7463">
        <v>1.07255422122212</v>
      </c>
      <c r="AG7463">
        <v>-1.1214463301169999</v>
      </c>
      <c r="AH7463">
        <v>36.851708974362303</v>
      </c>
      <c r="AI7463">
        <v>91.742311232107497</v>
      </c>
      <c r="AJ7463">
        <v>88.332899913613204</v>
      </c>
      <c r="AK7463">
        <v>36.884366183518601</v>
      </c>
      <c r="AL7463">
        <v>97.359916060380499</v>
      </c>
      <c r="AM7463">
        <v>90.543755019135702</v>
      </c>
      <c r="AN7463">
        <v>1.0000000373175</v>
      </c>
    </row>
    <row r="7464" spans="1:40" x14ac:dyDescent="0.25">
      <c r="A7464" t="str">
        <f>"20190303154957273"</f>
        <v>20190303154957273</v>
      </c>
      <c r="B7464" t="str">
        <f>"1551599397267975"</f>
        <v>1551599397267975</v>
      </c>
      <c r="C7464" t="s">
        <v>40</v>
      </c>
      <c r="D7464">
        <v>5.7549720000000004</v>
      </c>
      <c r="E7464">
        <v>0.51366199999999995</v>
      </c>
      <c r="F7464" t="s">
        <v>75</v>
      </c>
      <c r="G7464">
        <v>-244.15039999999999</v>
      </c>
      <c r="H7464" s="1">
        <v>-1.9538010000000001E-6</v>
      </c>
      <c r="I7464">
        <v>-64.841569999999905</v>
      </c>
      <c r="J7464">
        <v>-279.40780000000001</v>
      </c>
      <c r="K7464">
        <v>1.1214919999999999</v>
      </c>
      <c r="L7464">
        <v>-63.415010000000002</v>
      </c>
      <c r="M7464">
        <v>0.99982570000000004</v>
      </c>
      <c r="N7464">
        <v>-1.443147E-2</v>
      </c>
      <c r="O7464">
        <v>-1.1857309999999999E-2</v>
      </c>
      <c r="P7464">
        <v>0.98977090000000001</v>
      </c>
      <c r="Q7464">
        <v>-0.14264160000000001</v>
      </c>
      <c r="R7464">
        <v>-2.7047799999999999E-3</v>
      </c>
      <c r="S7464">
        <v>3.016785</v>
      </c>
      <c r="T7464">
        <v>-9.5700740000000006E-2</v>
      </c>
      <c r="U7464">
        <v>-0.12179570000000001</v>
      </c>
      <c r="V7464">
        <v>-8.8205790000000003E-3</v>
      </c>
      <c r="W7464">
        <v>-0.12835819999999901</v>
      </c>
      <c r="X7464">
        <v>0.99168869999999998</v>
      </c>
      <c r="Y7464">
        <v>2.8469040000000001E-2</v>
      </c>
      <c r="Z7464">
        <v>-4.520328E-4</v>
      </c>
      <c r="AA7464">
        <v>0.9995946</v>
      </c>
      <c r="AB7464">
        <v>21</v>
      </c>
      <c r="AC7464">
        <v>35.257399999999997</v>
      </c>
      <c r="AD7464">
        <v>-1.121493953801</v>
      </c>
      <c r="AE7464">
        <v>-1.4265599999999901</v>
      </c>
      <c r="AF7464">
        <v>1.0073407322305099</v>
      </c>
      <c r="AG7464">
        <v>-1.121493953801</v>
      </c>
      <c r="AH7464">
        <v>35.236244150835901</v>
      </c>
      <c r="AI7464">
        <v>91.822242180010406</v>
      </c>
      <c r="AJ7464">
        <v>88.362462912600293</v>
      </c>
      <c r="AK7464">
        <v>35.268475809092401</v>
      </c>
      <c r="AL7464">
        <v>97.374728863410198</v>
      </c>
      <c r="AM7464">
        <v>90.509604095420002</v>
      </c>
      <c r="AN7464">
        <v>1.00000005391441</v>
      </c>
    </row>
    <row r="7465" spans="1:40" x14ac:dyDescent="0.25">
      <c r="A7465" t="str">
        <f>"20190303154957284"</f>
        <v>20190303154957284</v>
      </c>
      <c r="B7465" t="str">
        <f>"1551599397278543"</f>
        <v>1551599397278543</v>
      </c>
      <c r="C7465" t="s">
        <v>40</v>
      </c>
      <c r="D7465">
        <v>5.8457299999999996</v>
      </c>
      <c r="E7465">
        <v>0.51298199999999905</v>
      </c>
      <c r="F7465" t="s">
        <v>75</v>
      </c>
      <c r="G7465">
        <v>-245.09950000000001</v>
      </c>
      <c r="H7465" s="1">
        <v>-2.3421840000000002E-6</v>
      </c>
      <c r="I7465">
        <v>-64.771050000000002</v>
      </c>
      <c r="J7465">
        <v>-279.31580000000002</v>
      </c>
      <c r="K7465">
        <v>1.121537</v>
      </c>
      <c r="L7465">
        <v>-63.415529999999997</v>
      </c>
      <c r="M7465">
        <v>0.99983200000000005</v>
      </c>
      <c r="N7465">
        <v>-1.4431619999999999E-2</v>
      </c>
      <c r="O7465">
        <v>-1.130956E-2</v>
      </c>
      <c r="P7465">
        <v>0.98974960000000001</v>
      </c>
      <c r="Q7465">
        <v>-0.14279259999999999</v>
      </c>
      <c r="R7465">
        <v>-2.5100449999999998E-3</v>
      </c>
      <c r="S7465">
        <v>3.0164789999999999</v>
      </c>
      <c r="T7465">
        <v>-9.8604800000000006E-2</v>
      </c>
      <c r="U7465">
        <v>-0.119232199999999</v>
      </c>
      <c r="V7465">
        <v>-8.457717E-3</v>
      </c>
      <c r="W7465">
        <v>-0.1285097</v>
      </c>
      <c r="X7465">
        <v>0.9916722</v>
      </c>
      <c r="Y7465">
        <v>2.817186E-2</v>
      </c>
      <c r="Z7465">
        <v>-4.5732120000000002E-4</v>
      </c>
      <c r="AA7465">
        <v>0.99960300000000002</v>
      </c>
      <c r="AB7465">
        <v>21</v>
      </c>
      <c r="AC7465">
        <v>34.216299999999997</v>
      </c>
      <c r="AD7465">
        <v>-1.1215393421840001</v>
      </c>
      <c r="AE7465">
        <v>-1.3555199999999901</v>
      </c>
      <c r="AF7465">
        <v>0.96738400629358301</v>
      </c>
      <c r="AG7465">
        <v>-1.1215393421840001</v>
      </c>
      <c r="AH7465">
        <v>34.192764285632897</v>
      </c>
      <c r="AI7465">
        <v>91.877905082054099</v>
      </c>
      <c r="AJ7465">
        <v>88.379416221628006</v>
      </c>
      <c r="AK7465">
        <v>34.2248274181851</v>
      </c>
      <c r="AL7465">
        <v>97.383481959180898</v>
      </c>
      <c r="AM7465">
        <v>90.488649111358697</v>
      </c>
      <c r="AN7465">
        <v>1.0000000141118901</v>
      </c>
    </row>
    <row r="7466" spans="1:40" x14ac:dyDescent="0.25">
      <c r="A7466" t="str">
        <f>"20190303154957296"</f>
        <v>20190303154957296</v>
      </c>
      <c r="B7466" t="str">
        <f>"1551599397288303"</f>
        <v>1551599397288303</v>
      </c>
      <c r="C7466" t="s">
        <v>40</v>
      </c>
      <c r="D7466">
        <v>5.6493729999999998</v>
      </c>
      <c r="E7466">
        <v>0.51243809999999901</v>
      </c>
      <c r="F7466" t="s">
        <v>75</v>
      </c>
      <c r="G7466">
        <v>-247.91290000000001</v>
      </c>
      <c r="H7466" s="1">
        <v>-3.3141679999999999E-6</v>
      </c>
      <c r="I7466">
        <v>-64.596530000000001</v>
      </c>
      <c r="J7466">
        <v>-279.2054</v>
      </c>
      <c r="K7466">
        <v>1.1215900000000001</v>
      </c>
      <c r="L7466">
        <v>-63.416020000000003</v>
      </c>
      <c r="M7466">
        <v>0.9998397</v>
      </c>
      <c r="N7466">
        <v>-1.443182E-2</v>
      </c>
      <c r="O7466">
        <v>-1.060529E-2</v>
      </c>
      <c r="P7466">
        <v>0.98972020000000005</v>
      </c>
      <c r="Q7466">
        <v>-0.14300289999999999</v>
      </c>
      <c r="R7466">
        <v>-2.100251E-3</v>
      </c>
      <c r="S7466">
        <v>3.015228</v>
      </c>
      <c r="T7466">
        <v>-0.10768750000000001</v>
      </c>
      <c r="U7466">
        <v>-0.1134033</v>
      </c>
      <c r="V7466">
        <v>-8.1520189999999999E-3</v>
      </c>
      <c r="W7466">
        <v>-0.1287208</v>
      </c>
      <c r="X7466">
        <v>0.99164739999999996</v>
      </c>
      <c r="Y7466">
        <v>2.6960899999999999E-2</v>
      </c>
      <c r="Z7466">
        <v>-4.5034170000000001E-4</v>
      </c>
      <c r="AA7466">
        <v>0.99963639999999998</v>
      </c>
      <c r="AB7466">
        <v>21</v>
      </c>
      <c r="AC7466">
        <v>31.292499999999901</v>
      </c>
      <c r="AD7466">
        <v>-1.1215933141679999</v>
      </c>
      <c r="AE7466">
        <v>-1.1805099999999999</v>
      </c>
      <c r="AF7466">
        <v>0.84745587260244204</v>
      </c>
      <c r="AG7466">
        <v>-1.1215933141679999</v>
      </c>
      <c r="AH7466">
        <v>31.263155128558498</v>
      </c>
      <c r="AI7466">
        <v>92.053901699844204</v>
      </c>
      <c r="AJ7466">
        <v>88.447253420700093</v>
      </c>
      <c r="AK7466">
        <v>31.294744312914801</v>
      </c>
      <c r="AL7466">
        <v>97.395678255414495</v>
      </c>
      <c r="AM7466">
        <v>90.470999835246701</v>
      </c>
      <c r="AN7466">
        <v>1.0000000328465799</v>
      </c>
    </row>
    <row r="7467" spans="1:40" x14ac:dyDescent="0.25">
      <c r="A7467" t="str">
        <f>"20190303154957307"</f>
        <v>20190303154957307</v>
      </c>
      <c r="B7467" t="str">
        <f>"1551599397298064"</f>
        <v>1551599397298064</v>
      </c>
      <c r="C7467" t="s">
        <v>40</v>
      </c>
      <c r="D7467">
        <v>5.7611019999999904</v>
      </c>
      <c r="E7467">
        <v>0.51229020000000003</v>
      </c>
      <c r="F7467" t="s">
        <v>75</v>
      </c>
      <c r="G7467">
        <v>-248.20859999999999</v>
      </c>
      <c r="H7467" s="1">
        <v>-3.4026420000000001E-6</v>
      </c>
      <c r="I7467">
        <v>-64.528109999999998</v>
      </c>
      <c r="J7467">
        <v>-279.0992</v>
      </c>
      <c r="K7467">
        <v>1.121642</v>
      </c>
      <c r="L7467">
        <v>-63.416379999999997</v>
      </c>
      <c r="M7467">
        <v>0.99984689999999998</v>
      </c>
      <c r="N7467">
        <v>-1.443202E-2</v>
      </c>
      <c r="O7467">
        <v>-9.8888039999999993E-3</v>
      </c>
      <c r="P7467">
        <v>0.98963369999999995</v>
      </c>
      <c r="Q7467">
        <v>-0.14360400000000001</v>
      </c>
      <c r="R7467">
        <v>-1.7579080000000001E-3</v>
      </c>
      <c r="S7467">
        <v>3.0151979999999998</v>
      </c>
      <c r="T7467">
        <v>-0.10910250000000001</v>
      </c>
      <c r="U7467">
        <v>-0.1081848</v>
      </c>
      <c r="V7467">
        <v>-7.7669740000000003E-3</v>
      </c>
      <c r="W7467">
        <v>-0.1293231</v>
      </c>
      <c r="X7467">
        <v>0.99157209999999996</v>
      </c>
      <c r="Y7467">
        <v>2.595014E-2</v>
      </c>
      <c r="Z7467">
        <v>-4.4169100000000002E-4</v>
      </c>
      <c r="AA7467">
        <v>0.99966310000000003</v>
      </c>
      <c r="AB7467">
        <v>21</v>
      </c>
      <c r="AC7467">
        <v>30.890599999999999</v>
      </c>
      <c r="AD7467">
        <v>-1.121645402642</v>
      </c>
      <c r="AE7467">
        <v>-1.1117299999999899</v>
      </c>
      <c r="AF7467">
        <v>0.80511259315603001</v>
      </c>
      <c r="AG7467">
        <v>-1.121645402642</v>
      </c>
      <c r="AH7467">
        <v>30.859450575467399</v>
      </c>
      <c r="AI7467">
        <v>92.080900233591606</v>
      </c>
      <c r="AJ7467">
        <v>88.505511579351193</v>
      </c>
      <c r="AK7467">
        <v>30.890321858417799</v>
      </c>
      <c r="AL7467">
        <v>97.430478543607506</v>
      </c>
      <c r="AM7467">
        <v>90.448788069692597</v>
      </c>
      <c r="AN7467">
        <v>1.00000000978856</v>
      </c>
    </row>
    <row r="7468" spans="1:40" x14ac:dyDescent="0.25">
      <c r="A7468" t="str">
        <f>"20190303154957319"</f>
        <v>20190303154957319</v>
      </c>
      <c r="B7468" t="str">
        <f>"1551599397307823"</f>
        <v>1551599397307823</v>
      </c>
      <c r="C7468" t="s">
        <v>40</v>
      </c>
      <c r="D7468">
        <v>5.8226839999999997</v>
      </c>
      <c r="E7468">
        <v>0.51184580000000002</v>
      </c>
      <c r="F7468" t="s">
        <v>75</v>
      </c>
      <c r="G7468">
        <v>-248.80680000000001</v>
      </c>
      <c r="H7468" s="1">
        <v>-3.5981619999999999E-6</v>
      </c>
      <c r="I7468">
        <v>-64.482730000000004</v>
      </c>
      <c r="J7468">
        <v>-278.983</v>
      </c>
      <c r="K7468">
        <v>1.1216969999999999</v>
      </c>
      <c r="L7468">
        <v>-63.41666</v>
      </c>
      <c r="M7468">
        <v>0.99985480000000004</v>
      </c>
      <c r="N7468">
        <v>-1.4432209999999999E-2</v>
      </c>
      <c r="O7468">
        <v>-9.0726190000000005E-3</v>
      </c>
      <c r="P7468">
        <v>0.98960250000000005</v>
      </c>
      <c r="Q7468">
        <v>-0.14382710000000001</v>
      </c>
      <c r="R7468">
        <v>-1.0637839999999999E-3</v>
      </c>
      <c r="S7468">
        <v>3.015015</v>
      </c>
      <c r="T7468">
        <v>-0.1116376</v>
      </c>
      <c r="U7468">
        <v>-0.1061401</v>
      </c>
      <c r="V7468">
        <v>-7.6348329999999997E-3</v>
      </c>
      <c r="W7468">
        <v>-0.1295472</v>
      </c>
      <c r="X7468">
        <v>0.99154390000000003</v>
      </c>
      <c r="Y7468">
        <v>2.6090149999999999E-2</v>
      </c>
      <c r="Z7468">
        <v>-4.6632029999999999E-4</v>
      </c>
      <c r="AA7468">
        <v>0.99965950000000003</v>
      </c>
      <c r="AB7468">
        <v>21</v>
      </c>
      <c r="AC7468">
        <v>30.176199999999898</v>
      </c>
      <c r="AD7468">
        <v>-1.1217005981620001</v>
      </c>
      <c r="AE7468">
        <v>-1.0660700000000001</v>
      </c>
      <c r="AF7468">
        <v>0.79112869501724203</v>
      </c>
      <c r="AG7468">
        <v>-1.1217005981620001</v>
      </c>
      <c r="AH7468">
        <v>30.143033060520501</v>
      </c>
      <c r="AI7468">
        <v>92.130408548262395</v>
      </c>
      <c r="AJ7468">
        <v>88.496570287193705</v>
      </c>
      <c r="AK7468">
        <v>30.174269484639201</v>
      </c>
      <c r="AL7468">
        <v>97.4434272541924</v>
      </c>
      <c r="AM7468">
        <v>90.4411656037352</v>
      </c>
      <c r="AN7468">
        <v>1.0000000366649899</v>
      </c>
    </row>
    <row r="7469" spans="1:40" x14ac:dyDescent="0.25">
      <c r="A7469" t="str">
        <f>"20190303154957332"</f>
        <v>20190303154957332</v>
      </c>
      <c r="B7469" t="str">
        <f>"1551599397328320"</f>
        <v>1551599397328320</v>
      </c>
      <c r="C7469" t="s">
        <v>40</v>
      </c>
      <c r="D7469">
        <v>5.8448699999999896</v>
      </c>
      <c r="E7469">
        <v>0.5112312</v>
      </c>
      <c r="F7469" t="s">
        <v>76</v>
      </c>
      <c r="G7469">
        <v>-250.29669999999999</v>
      </c>
      <c r="H7469" s="1">
        <v>-1.50688299999999E-7</v>
      </c>
      <c r="I7469">
        <v>-64.373630000000006</v>
      </c>
      <c r="J7469">
        <v>-278.8707</v>
      </c>
      <c r="K7469">
        <v>1.121745</v>
      </c>
      <c r="L7469">
        <v>-63.41675</v>
      </c>
      <c r="M7469">
        <v>0.99986220000000003</v>
      </c>
      <c r="N7469">
        <v>-1.443229E-2</v>
      </c>
      <c r="O7469">
        <v>-8.2175549999999997E-3</v>
      </c>
      <c r="P7469">
        <v>0.98962119999999998</v>
      </c>
      <c r="Q7469">
        <v>-0.1437002</v>
      </c>
      <c r="R7469">
        <v>-6.5138469999999999E-4</v>
      </c>
      <c r="S7469">
        <v>3.0142519999999999</v>
      </c>
      <c r="T7469">
        <v>-0.11786389999999999</v>
      </c>
      <c r="U7469">
        <v>-0.1005554</v>
      </c>
      <c r="V7469">
        <v>-7.1862609999999898E-3</v>
      </c>
      <c r="W7469">
        <v>-0.12941989999999901</v>
      </c>
      <c r="X7469">
        <v>0.99156390000000005</v>
      </c>
      <c r="Y7469">
        <v>2.510273E-2</v>
      </c>
      <c r="Z7469">
        <v>-4.6921080000000002E-4</v>
      </c>
      <c r="AA7469">
        <v>0.99968480000000004</v>
      </c>
      <c r="AB7469">
        <v>21</v>
      </c>
      <c r="AC7469">
        <v>28.574000000000002</v>
      </c>
      <c r="AD7469">
        <v>-1.1217451506883001</v>
      </c>
      <c r="AE7469">
        <v>-0.95688000000000495</v>
      </c>
      <c r="AF7469">
        <v>0.72090505598808097</v>
      </c>
      <c r="AG7469">
        <v>-1.1217451506883001</v>
      </c>
      <c r="AH7469">
        <v>28.536968413074501</v>
      </c>
      <c r="AI7469">
        <v>92.250334468364002</v>
      </c>
      <c r="AJ7469">
        <v>88.552893449585198</v>
      </c>
      <c r="AK7469">
        <v>28.568104285928001</v>
      </c>
      <c r="AL7469">
        <v>97.436071401568796</v>
      </c>
      <c r="AM7469">
        <v>90.415238208155699</v>
      </c>
      <c r="AN7469">
        <v>1.00000006032318</v>
      </c>
    </row>
    <row r="7470" spans="1:40" x14ac:dyDescent="0.25">
      <c r="A7470" t="str">
        <f>"20190303154957343"</f>
        <v>20190303154957343</v>
      </c>
      <c r="B7470" t="str">
        <f>"1551599397338080"</f>
        <v>1551599397338080</v>
      </c>
      <c r="C7470" t="s">
        <v>40</v>
      </c>
      <c r="D7470">
        <v>5.8752170000000001</v>
      </c>
      <c r="E7470">
        <v>0.51059189999999999</v>
      </c>
      <c r="F7470" t="s">
        <v>76</v>
      </c>
      <c r="G7470">
        <v>-252.2749</v>
      </c>
      <c r="H7470" s="1">
        <v>-9.7192700000000007E-7</v>
      </c>
      <c r="I7470">
        <v>-64.250500000000002</v>
      </c>
      <c r="J7470">
        <v>-278.76170000000002</v>
      </c>
      <c r="K7470">
        <v>1.121793</v>
      </c>
      <c r="L7470">
        <v>-63.41675</v>
      </c>
      <c r="M7470">
        <v>0.9998688</v>
      </c>
      <c r="N7470">
        <v>-1.4432270000000001E-2</v>
      </c>
      <c r="O7470">
        <v>-7.3668350000000004E-3</v>
      </c>
      <c r="P7470">
        <v>0.98964010000000002</v>
      </c>
      <c r="Q7470">
        <v>-0.1435708</v>
      </c>
      <c r="R7470" s="1">
        <v>5.3675850000000002E-5</v>
      </c>
      <c r="S7470">
        <v>3.0129389999999998</v>
      </c>
      <c r="T7470">
        <v>-0.12707830000000001</v>
      </c>
      <c r="U7470">
        <v>-9.4451900000000005E-2</v>
      </c>
      <c r="V7470">
        <v>-7.0346069999999896E-3</v>
      </c>
      <c r="W7470">
        <v>-0.12929069999999901</v>
      </c>
      <c r="X7470">
        <v>0.99158179999999996</v>
      </c>
      <c r="Y7470">
        <v>2.3942809999999998E-2</v>
      </c>
      <c r="Z7470">
        <v>-4.7328780000000003E-4</v>
      </c>
      <c r="AA7470">
        <v>0.99971319999999997</v>
      </c>
      <c r="AB7470">
        <v>21</v>
      </c>
      <c r="AC7470">
        <v>26.486799999999999</v>
      </c>
      <c r="AD7470">
        <v>-1.121793971927</v>
      </c>
      <c r="AE7470">
        <v>-0.83375000000000199</v>
      </c>
      <c r="AF7470">
        <v>0.63744088705259405</v>
      </c>
      <c r="AG7470">
        <v>-1.121793971927</v>
      </c>
      <c r="AH7470">
        <v>26.444834809844401</v>
      </c>
      <c r="AI7470">
        <v>92.428334989704496</v>
      </c>
      <c r="AJ7470">
        <v>88.619178313556802</v>
      </c>
      <c r="AK7470">
        <v>26.476292050056699</v>
      </c>
      <c r="AL7470">
        <v>97.4286063786993</v>
      </c>
      <c r="AM7470">
        <v>90.406468261130101</v>
      </c>
      <c r="AN7470">
        <v>1.00000001844668</v>
      </c>
    </row>
    <row r="7471" spans="1:40" x14ac:dyDescent="0.25">
      <c r="A7471" t="str">
        <f>"20190303154957354"</f>
        <v>20190303154957354</v>
      </c>
      <c r="B7471" t="str">
        <f>"1551599397347840"</f>
        <v>1551599397347840</v>
      </c>
      <c r="C7471" t="s">
        <v>40</v>
      </c>
      <c r="D7471">
        <v>5.8681830000000001</v>
      </c>
      <c r="E7471">
        <v>0.51004050000000001</v>
      </c>
      <c r="F7471" t="s">
        <v>76</v>
      </c>
      <c r="G7471">
        <v>-253.57230000000001</v>
      </c>
      <c r="H7471" s="1">
        <v>-1.5052940000000001E-6</v>
      </c>
      <c r="I7471">
        <v>-64.146159999999995</v>
      </c>
      <c r="J7471">
        <v>-278.64949999999999</v>
      </c>
      <c r="K7471">
        <v>1.1218379999999999</v>
      </c>
      <c r="L7471">
        <v>-63.416530000000002</v>
      </c>
      <c r="M7471">
        <v>0.99987519999999996</v>
      </c>
      <c r="N7471">
        <v>-1.4432199999999999E-2</v>
      </c>
      <c r="O7471">
        <v>-6.4408390000000003E-3</v>
      </c>
      <c r="P7471">
        <v>0.9897165</v>
      </c>
      <c r="Q7471">
        <v>-0.1430418</v>
      </c>
      <c r="R7471">
        <v>5.9424990000000002E-4</v>
      </c>
      <c r="S7471">
        <v>3.0119929999999999</v>
      </c>
      <c r="T7471">
        <v>-0.13413729999999999</v>
      </c>
      <c r="U7471">
        <v>-8.7219240000000003E-2</v>
      </c>
      <c r="V7471">
        <v>-6.64688E-3</v>
      </c>
      <c r="W7471">
        <v>-0.1287606</v>
      </c>
      <c r="X7471">
        <v>0.99165340000000002</v>
      </c>
      <c r="Y7471">
        <v>2.2479200000000001E-2</v>
      </c>
      <c r="Z7471">
        <v>-4.6884079999999999E-4</v>
      </c>
      <c r="AA7471">
        <v>0.99974719999999995</v>
      </c>
      <c r="AB7471">
        <v>21</v>
      </c>
      <c r="AC7471">
        <v>25.077199999999898</v>
      </c>
      <c r="AD7471">
        <v>-1.12183950529399</v>
      </c>
      <c r="AE7471">
        <v>-0.72962999999999301</v>
      </c>
      <c r="AF7471">
        <v>0.56694619949363201</v>
      </c>
      <c r="AG7471">
        <v>-1.12183950529399</v>
      </c>
      <c r="AH7471">
        <v>25.031327840569201</v>
      </c>
      <c r="AI7471">
        <v>92.565474680648805</v>
      </c>
      <c r="AJ7471">
        <v>88.702503052309893</v>
      </c>
      <c r="AK7471">
        <v>25.0628674602651</v>
      </c>
      <c r="AL7471">
        <v>97.397978234986496</v>
      </c>
      <c r="AM7471">
        <v>90.384037878221505</v>
      </c>
      <c r="AN7471">
        <v>0.99999996942882596</v>
      </c>
    </row>
    <row r="7472" spans="1:40" x14ac:dyDescent="0.25">
      <c r="A7472" t="str">
        <f>"20190303154957365"</f>
        <v>20190303154957365</v>
      </c>
      <c r="B7472" t="str">
        <f>"1551599397358575"</f>
        <v>1551599397358575</v>
      </c>
      <c r="C7472" t="s">
        <v>40</v>
      </c>
      <c r="D7472">
        <v>5.8955349999999997</v>
      </c>
      <c r="E7472">
        <v>0.50950989999999996</v>
      </c>
      <c r="F7472" t="s">
        <v>76</v>
      </c>
      <c r="G7472">
        <v>-254.32259999999999</v>
      </c>
      <c r="H7472" s="1">
        <v>-1.8107549999999999E-6</v>
      </c>
      <c r="I7472">
        <v>-64.072360000000003</v>
      </c>
      <c r="J7472">
        <v>-278.55930000000001</v>
      </c>
      <c r="K7472">
        <v>1.1218709999999901</v>
      </c>
      <c r="L7472">
        <v>-63.416289999999996</v>
      </c>
      <c r="M7472">
        <v>0.99987999999999999</v>
      </c>
      <c r="N7472">
        <v>-1.443211E-2</v>
      </c>
      <c r="O7472">
        <v>-5.6772510000000003E-3</v>
      </c>
      <c r="P7472">
        <v>0.98977009999999999</v>
      </c>
      <c r="Q7472">
        <v>-0.14266809999999999</v>
      </c>
      <c r="R7472">
        <v>1.193583E-3</v>
      </c>
      <c r="S7472">
        <v>3.011139</v>
      </c>
      <c r="T7472">
        <v>-0.13885890000000001</v>
      </c>
      <c r="U7472">
        <v>-8.1176760000000001E-2</v>
      </c>
      <c r="V7472">
        <v>-6.4821699999999998E-3</v>
      </c>
      <c r="W7472">
        <v>-0.12838620000000001</v>
      </c>
      <c r="X7472">
        <v>0.991703</v>
      </c>
      <c r="Y7472">
        <v>2.1246029999999999E-2</v>
      </c>
      <c r="Z7472">
        <v>-4.6326910000000002E-4</v>
      </c>
      <c r="AA7472">
        <v>0.99977419999999995</v>
      </c>
      <c r="AB7472">
        <v>21</v>
      </c>
      <c r="AC7472">
        <v>24.236699999999999</v>
      </c>
      <c r="AD7472">
        <v>-1.12187281075499</v>
      </c>
      <c r="AE7472">
        <v>-0.65606999999999904</v>
      </c>
      <c r="AF7472">
        <v>0.517339661720295</v>
      </c>
      <c r="AG7472">
        <v>-1.12187281075499</v>
      </c>
      <c r="AH7472">
        <v>24.188246696842601</v>
      </c>
      <c r="AI7472">
        <v>92.654920802147501</v>
      </c>
      <c r="AJ7472">
        <v>88.774741261921605</v>
      </c>
      <c r="AK7472">
        <v>24.219775333318399</v>
      </c>
      <c r="AL7472">
        <v>97.376347392786798</v>
      </c>
      <c r="AM7472">
        <v>90.374502944840899</v>
      </c>
      <c r="AN7472">
        <v>0.999999937543672</v>
      </c>
    </row>
    <row r="7473" spans="1:40" x14ac:dyDescent="0.25">
      <c r="A7473" t="str">
        <f>"20190303154957375"</f>
        <v>20190303154957375</v>
      </c>
      <c r="B7473" t="str">
        <f>"1551599397368336"</f>
        <v>1551599397368336</v>
      </c>
      <c r="C7473" t="s">
        <v>40</v>
      </c>
      <c r="D7473">
        <v>5.8225119999999997</v>
      </c>
      <c r="E7473">
        <v>0.50886149999999997</v>
      </c>
      <c r="F7473" t="s">
        <v>76</v>
      </c>
      <c r="G7473">
        <v>-255.00110000000001</v>
      </c>
      <c r="H7473" s="1">
        <v>-2.086683E-6</v>
      </c>
      <c r="I7473">
        <v>-64.004249999999999</v>
      </c>
      <c r="J7473">
        <v>-278.45800000000003</v>
      </c>
      <c r="K7473">
        <v>1.1219049999999999</v>
      </c>
      <c r="L7473">
        <v>-63.4159199999999</v>
      </c>
      <c r="M7473">
        <v>0.99988440000000001</v>
      </c>
      <c r="N7473">
        <v>-1.443199E-2</v>
      </c>
      <c r="O7473">
        <v>-4.7931629999999996E-3</v>
      </c>
      <c r="P7473">
        <v>0.98975060000000004</v>
      </c>
      <c r="Q7473">
        <v>-0.1427948</v>
      </c>
      <c r="R7473">
        <v>2.0056219999999999E-3</v>
      </c>
      <c r="S7473">
        <v>3.0104679999999999</v>
      </c>
      <c r="T7473">
        <v>-0.143362299999999</v>
      </c>
      <c r="U7473">
        <v>-7.5134279999999998E-2</v>
      </c>
      <c r="V7473">
        <v>-6.4092400000000001E-3</v>
      </c>
      <c r="W7473">
        <v>-0.12851360000000001</v>
      </c>
      <c r="X7473">
        <v>0.99168710000000004</v>
      </c>
      <c r="Y7473">
        <v>2.0130370000000002E-2</v>
      </c>
      <c r="Z7473">
        <v>-4.6542289999999999E-4</v>
      </c>
      <c r="AA7473">
        <v>0.9997973</v>
      </c>
      <c r="AB7473">
        <v>21</v>
      </c>
      <c r="AC7473">
        <v>23.456899999999901</v>
      </c>
      <c r="AD7473">
        <v>-1.1219070866830001</v>
      </c>
      <c r="AE7473">
        <v>-0.58833000000000601</v>
      </c>
      <c r="AF7473">
        <v>0.47479335274302398</v>
      </c>
      <c r="AG7473">
        <v>-1.1219070866830001</v>
      </c>
      <c r="AH7473">
        <v>23.4059419009055</v>
      </c>
      <c r="AI7473">
        <v>92.743670358708698</v>
      </c>
      <c r="AJ7473">
        <v>88.837905136881801</v>
      </c>
      <c r="AK7473">
        <v>23.437624037165602</v>
      </c>
      <c r="AL7473">
        <v>97.383706910494297</v>
      </c>
      <c r="AM7473">
        <v>90.370295518680507</v>
      </c>
      <c r="AN7473">
        <v>1.00000006402437</v>
      </c>
    </row>
    <row r="7474" spans="1:40" x14ac:dyDescent="0.25">
      <c r="A7474" t="str">
        <f>"20190303154957385"</f>
        <v>20190303154957385</v>
      </c>
      <c r="B7474" t="str">
        <f>"1551599397378602"</f>
        <v>1551599397378602</v>
      </c>
      <c r="C7474" t="s">
        <v>40</v>
      </c>
      <c r="D7474">
        <v>5.9287429999999999</v>
      </c>
      <c r="E7474">
        <v>0.50852909999999996</v>
      </c>
      <c r="F7474" t="s">
        <v>76</v>
      </c>
      <c r="G7474">
        <v>-255.8535</v>
      </c>
      <c r="H7474" s="1">
        <v>-2.4344189999999998E-6</v>
      </c>
      <c r="I7474">
        <v>-63.923389999999998</v>
      </c>
      <c r="J7474">
        <v>-278.36840000000001</v>
      </c>
      <c r="K7474">
        <v>1.121928</v>
      </c>
      <c r="L7474">
        <v>-63.4154699999999</v>
      </c>
      <c r="M7474">
        <v>0.99988790000000005</v>
      </c>
      <c r="N7474">
        <v>-1.443175E-2</v>
      </c>
      <c r="O7474">
        <v>-3.996688E-3</v>
      </c>
      <c r="P7474">
        <v>0.98973120000000003</v>
      </c>
      <c r="Q7474">
        <v>-0.14291690000000001</v>
      </c>
      <c r="R7474">
        <v>2.6268060000000002E-3</v>
      </c>
      <c r="S7474">
        <v>3.009674</v>
      </c>
      <c r="T7474">
        <v>-0.1493767</v>
      </c>
      <c r="U7474">
        <v>-6.7565920000000002E-2</v>
      </c>
      <c r="V7474">
        <v>-6.2346499999999996E-3</v>
      </c>
      <c r="W7474">
        <v>-0.1286361</v>
      </c>
      <c r="X7474">
        <v>0.99167229999999995</v>
      </c>
      <c r="Y7474">
        <v>1.8420860000000001E-2</v>
      </c>
      <c r="Z7474">
        <v>-4.4928280000000001E-4</v>
      </c>
      <c r="AA7474">
        <v>0.9998302</v>
      </c>
      <c r="AB7474">
        <v>21</v>
      </c>
      <c r="AC7474">
        <v>22.514900000000001</v>
      </c>
      <c r="AD7474">
        <v>-1.121930434419</v>
      </c>
      <c r="AE7474">
        <v>-0.50792000000001203</v>
      </c>
      <c r="AF7474">
        <v>0.41688690271639001</v>
      </c>
      <c r="AG7474">
        <v>-1.121930434419</v>
      </c>
      <c r="AH7474">
        <v>22.4610061028337</v>
      </c>
      <c r="AI7474">
        <v>92.859064063206802</v>
      </c>
      <c r="AJ7474">
        <v>88.9366853072043</v>
      </c>
      <c r="AK7474">
        <v>22.4928725986892</v>
      </c>
      <c r="AL7474">
        <v>97.3907846118192</v>
      </c>
      <c r="AM7474">
        <v>90.360214180952994</v>
      </c>
      <c r="AN7474">
        <v>1.0000000338355599</v>
      </c>
    </row>
    <row r="7475" spans="1:40" x14ac:dyDescent="0.25">
      <c r="A7475" t="str">
        <f>"20190303154957395"</f>
        <v>20190303154957395</v>
      </c>
      <c r="B7475" t="str">
        <f>"1551599397388363"</f>
        <v>1551599397388363</v>
      </c>
      <c r="C7475" t="s">
        <v>40</v>
      </c>
      <c r="D7475">
        <v>5.9007199999999997</v>
      </c>
      <c r="E7475">
        <v>0.50812599999999997</v>
      </c>
      <c r="F7475" t="s">
        <v>76</v>
      </c>
      <c r="G7475">
        <v>-256.55560000000003</v>
      </c>
      <c r="H7475" s="1">
        <v>-2.7203649999999999E-6</v>
      </c>
      <c r="I7475">
        <v>-63.87276</v>
      </c>
      <c r="J7475">
        <v>-278.27089999999998</v>
      </c>
      <c r="K7475">
        <v>1.12195</v>
      </c>
      <c r="L7475">
        <v>-63.41489</v>
      </c>
      <c r="M7475">
        <v>0.99989110000000003</v>
      </c>
      <c r="N7475">
        <v>-1.4431350000000001E-2</v>
      </c>
      <c r="O7475">
        <v>-3.1141939999999998E-3</v>
      </c>
      <c r="P7475">
        <v>0.9896606</v>
      </c>
      <c r="Q7475">
        <v>-0.14338290000000001</v>
      </c>
      <c r="R7475">
        <v>3.6890120000000002E-3</v>
      </c>
      <c r="S7475">
        <v>3.0089109999999999</v>
      </c>
      <c r="T7475">
        <v>-0.1547617</v>
      </c>
      <c r="U7475">
        <v>-6.3079830000000003E-2</v>
      </c>
      <c r="V7475">
        <v>-6.4163090000000002E-3</v>
      </c>
      <c r="W7475">
        <v>-0.1291042</v>
      </c>
      <c r="X7475">
        <v>0.99161029999999994</v>
      </c>
      <c r="Y7475">
        <v>1.781777E-2</v>
      </c>
      <c r="Z7475">
        <v>-4.7143400000000001E-4</v>
      </c>
      <c r="AA7475">
        <v>0.99984119999999999</v>
      </c>
      <c r="AB7475">
        <v>21</v>
      </c>
      <c r="AC7475">
        <v>21.7152999999999</v>
      </c>
      <c r="AD7475">
        <v>-1.1219527203649999</v>
      </c>
      <c r="AE7475">
        <v>-0.457869999999999</v>
      </c>
      <c r="AF7475">
        <v>0.38919661627319302</v>
      </c>
      <c r="AG7475">
        <v>-1.1219527203649999</v>
      </c>
      <c r="AH7475">
        <v>21.6588298306384</v>
      </c>
      <c r="AI7475">
        <v>92.964860153520505</v>
      </c>
      <c r="AJ7475">
        <v>88.970538851753901</v>
      </c>
      <c r="AK7475">
        <v>21.691361449789301</v>
      </c>
      <c r="AL7475">
        <v>97.417830350412899</v>
      </c>
      <c r="AM7475">
        <v>90.370732630750496</v>
      </c>
      <c r="AN7475">
        <v>1.0000000252724499</v>
      </c>
    </row>
    <row r="7476" spans="1:40" x14ac:dyDescent="0.25">
      <c r="A7476" t="str">
        <f>"20190303154957406"</f>
        <v>20190303154957406</v>
      </c>
      <c r="B7476" t="str">
        <f>"1551599397398123"</f>
        <v>1551599397398123</v>
      </c>
      <c r="C7476" t="s">
        <v>40</v>
      </c>
      <c r="D7476">
        <v>5.8927639999999997</v>
      </c>
      <c r="E7476">
        <v>0.50779200000000002</v>
      </c>
      <c r="F7476" t="s">
        <v>76</v>
      </c>
      <c r="G7476">
        <v>-257.30470000000003</v>
      </c>
      <c r="H7476" s="1">
        <v>-2.966851E-6</v>
      </c>
      <c r="I7476">
        <v>-63.809649999999998</v>
      </c>
      <c r="J7476">
        <v>-278.17239999999998</v>
      </c>
      <c r="K7476">
        <v>1.1219629999999901</v>
      </c>
      <c r="L7476">
        <v>-63.414180000000002</v>
      </c>
      <c r="M7476">
        <v>0.99989349999999999</v>
      </c>
      <c r="N7476">
        <v>-1.442825E-2</v>
      </c>
      <c r="O7476">
        <v>-2.210549E-3</v>
      </c>
      <c r="P7476">
        <v>0.98956160000000004</v>
      </c>
      <c r="Q7476">
        <v>-0.14402400000000001</v>
      </c>
      <c r="R7476">
        <v>5.0228729999999997E-3</v>
      </c>
      <c r="S7476">
        <v>3.0082399999999998</v>
      </c>
      <c r="T7476">
        <v>-0.16097779999999901</v>
      </c>
      <c r="U7476">
        <v>-5.6640629999999997E-2</v>
      </c>
      <c r="V7476">
        <v>-6.8493169999999997E-3</v>
      </c>
      <c r="W7476">
        <v>-0.12975110000000001</v>
      </c>
      <c r="X7476">
        <v>0.99152289999999998</v>
      </c>
      <c r="Y7476">
        <v>1.6586279999999998E-2</v>
      </c>
      <c r="Z7476">
        <v>-4.7689040000000002E-4</v>
      </c>
      <c r="AA7476">
        <v>0.99986229999999998</v>
      </c>
      <c r="AB7476">
        <v>21</v>
      </c>
      <c r="AC7476">
        <v>20.8676999999999</v>
      </c>
      <c r="AD7476">
        <v>-1.12196596685099</v>
      </c>
      <c r="AE7476">
        <v>-0.39546999999999599</v>
      </c>
      <c r="AF7476">
        <v>0.34832859108089498</v>
      </c>
      <c r="AG7476">
        <v>-1.12196596685099</v>
      </c>
      <c r="AH7476">
        <v>20.808393081007299</v>
      </c>
      <c r="AI7476">
        <v>93.085906130506103</v>
      </c>
      <c r="AJ7476">
        <v>89.040968988235903</v>
      </c>
      <c r="AK7476">
        <v>20.841529767554199</v>
      </c>
      <c r="AL7476">
        <v>97.455209870640005</v>
      </c>
      <c r="AM7476">
        <v>90.395785830691196</v>
      </c>
      <c r="AN7476">
        <v>0.99999996115949197</v>
      </c>
    </row>
    <row r="7477" spans="1:40" x14ac:dyDescent="0.25">
      <c r="A7477" t="str">
        <f>"20190303154957416"</f>
        <v>20190303154957416</v>
      </c>
      <c r="B7477" t="str">
        <f>"1551599397407883"</f>
        <v>1551599397407883</v>
      </c>
      <c r="C7477" t="s">
        <v>40</v>
      </c>
      <c r="D7477">
        <v>5.9119830000000002</v>
      </c>
      <c r="E7477">
        <v>0.50725109999999995</v>
      </c>
      <c r="F7477" t="s">
        <v>76</v>
      </c>
      <c r="G7477">
        <v>-257.9803</v>
      </c>
      <c r="H7477" s="1">
        <v>-3.1886569999999999E-6</v>
      </c>
      <c r="I7477">
        <v>-63.7489699999999</v>
      </c>
      <c r="J7477">
        <v>-278.07639999999998</v>
      </c>
      <c r="K7477">
        <v>1.121969</v>
      </c>
      <c r="L7477">
        <v>-63.413420000000002</v>
      </c>
      <c r="M7477">
        <v>0.99989519999999998</v>
      </c>
      <c r="N7477">
        <v>-1.4423119999999999E-2</v>
      </c>
      <c r="O7477">
        <v>-1.320671E-3</v>
      </c>
      <c r="P7477">
        <v>0.98943599999999998</v>
      </c>
      <c r="Q7477">
        <v>-0.14482110000000001</v>
      </c>
      <c r="R7477">
        <v>6.6191039999999998E-3</v>
      </c>
      <c r="S7477">
        <v>3.007568</v>
      </c>
      <c r="T7477">
        <v>-0.16711400000000001</v>
      </c>
      <c r="U7477">
        <v>-4.9865720000000002E-2</v>
      </c>
      <c r="V7477">
        <v>-7.560064E-3</v>
      </c>
      <c r="W7477">
        <v>-0.13055710000000001</v>
      </c>
      <c r="X7477">
        <v>0.99141199999999996</v>
      </c>
      <c r="Y7477">
        <v>1.522868E-2</v>
      </c>
      <c r="Z7477">
        <v>-4.7839099999999999E-4</v>
      </c>
      <c r="AA7477">
        <v>0.99988390000000005</v>
      </c>
      <c r="AB7477">
        <v>21</v>
      </c>
      <c r="AC7477">
        <v>20.0960999999999</v>
      </c>
      <c r="AD7477">
        <v>-1.121972188657</v>
      </c>
      <c r="AE7477">
        <v>-0.33554999999999702</v>
      </c>
      <c r="AF7477">
        <v>0.30804668991946599</v>
      </c>
      <c r="AG7477">
        <v>-1.121972188657</v>
      </c>
      <c r="AH7477">
        <v>20.034096246727799</v>
      </c>
      <c r="AI7477">
        <v>93.205016907877607</v>
      </c>
      <c r="AJ7477">
        <v>89.119082575258801</v>
      </c>
      <c r="AK7477">
        <v>20.0678530684885</v>
      </c>
      <c r="AL7477">
        <v>97.501785925936801</v>
      </c>
      <c r="AM7477">
        <v>90.436903491584999</v>
      </c>
      <c r="AN7477">
        <v>1.0000000323360401</v>
      </c>
    </row>
    <row r="7478" spans="1:40" x14ac:dyDescent="0.25">
      <c r="A7478" t="str">
        <f>"20190303154957428"</f>
        <v>20190303154957428</v>
      </c>
      <c r="B7478" t="str">
        <f>"1551599397417644"</f>
        <v>1551599397417644</v>
      </c>
      <c r="C7478" t="s">
        <v>40</v>
      </c>
      <c r="D7478">
        <v>5.9126089999999998</v>
      </c>
      <c r="E7478">
        <v>0.5065712</v>
      </c>
      <c r="F7478" t="s">
        <v>76</v>
      </c>
      <c r="G7478">
        <v>-258.65129999999999</v>
      </c>
      <c r="H7478" s="1">
        <v>-3.4071890000000001E-6</v>
      </c>
      <c r="I7478">
        <v>-63.675629999999998</v>
      </c>
      <c r="J7478">
        <v>-277.97000000000003</v>
      </c>
      <c r="K7478">
        <v>1.1219629999999901</v>
      </c>
      <c r="L7478">
        <v>-63.41245</v>
      </c>
      <c r="M7478">
        <v>0.99989629999999996</v>
      </c>
      <c r="N7478">
        <v>-1.440052E-2</v>
      </c>
      <c r="O7478">
        <v>-3.2550740000000003E-4</v>
      </c>
      <c r="P7478">
        <v>0.98932339999999996</v>
      </c>
      <c r="Q7478">
        <v>-0.1454985</v>
      </c>
      <c r="R7478">
        <v>8.3232730000000008E-3</v>
      </c>
      <c r="S7478">
        <v>3.0068969999999999</v>
      </c>
      <c r="T7478">
        <v>-0.17367489999999999</v>
      </c>
      <c r="U7478">
        <v>-4.058838E-2</v>
      </c>
      <c r="V7478">
        <v>-8.2759640000000002E-3</v>
      </c>
      <c r="W7478">
        <v>-0.1312605</v>
      </c>
      <c r="X7478">
        <v>0.99131329999999995</v>
      </c>
      <c r="Y7478">
        <v>1.3144619999999999E-2</v>
      </c>
      <c r="Z7478">
        <v>-4.5992819999999998E-4</v>
      </c>
      <c r="AA7478">
        <v>0.99991350000000001</v>
      </c>
      <c r="AB7478">
        <v>21</v>
      </c>
      <c r="AC7478">
        <v>19.3187</v>
      </c>
      <c r="AD7478">
        <v>-1.1219664071890001</v>
      </c>
      <c r="AE7478">
        <v>-0.26318000000000502</v>
      </c>
      <c r="AF7478">
        <v>0.25602755840482899</v>
      </c>
      <c r="AG7478">
        <v>-1.1219664071890001</v>
      </c>
      <c r="AH7478">
        <v>19.253855307153302</v>
      </c>
      <c r="AI7478">
        <v>93.334691216460797</v>
      </c>
      <c r="AJ7478">
        <v>89.238156007111996</v>
      </c>
      <c r="AK7478">
        <v>19.288216685798599</v>
      </c>
      <c r="AL7478">
        <v>97.542438349784703</v>
      </c>
      <c r="AM7478">
        <v>90.478321831024203</v>
      </c>
      <c r="AN7478">
        <v>0.99999993459863201</v>
      </c>
    </row>
    <row r="7479" spans="1:40" x14ac:dyDescent="0.25">
      <c r="A7479" t="str">
        <f>"20190303154957439"</f>
        <v>20190303154957439</v>
      </c>
      <c r="B7479" t="str">
        <f>"1551599397428379"</f>
        <v>1551599397428379</v>
      </c>
      <c r="C7479" t="s">
        <v>40</v>
      </c>
      <c r="D7479">
        <v>5.9101689999999998</v>
      </c>
      <c r="E7479">
        <v>0.5065712</v>
      </c>
      <c r="F7479" t="s">
        <v>76</v>
      </c>
      <c r="G7479">
        <v>-258.56079999999997</v>
      </c>
      <c r="H7479" s="1">
        <v>-3.3670269999999998E-6</v>
      </c>
      <c r="I7479">
        <v>-63.60548</v>
      </c>
      <c r="J7479">
        <v>-277.86810000000003</v>
      </c>
      <c r="K7479">
        <v>1.1219539999999999</v>
      </c>
      <c r="L7479">
        <v>-63.411409999999997</v>
      </c>
      <c r="M7479">
        <v>0.99989660000000002</v>
      </c>
      <c r="N7479">
        <v>-1.437097E-2</v>
      </c>
      <c r="O7479">
        <v>6.3192719999999997E-4</v>
      </c>
      <c r="P7479">
        <v>0.98922560000000004</v>
      </c>
      <c r="Q7479">
        <v>-0.14604339999999999</v>
      </c>
      <c r="R7479">
        <v>1.022672E-2</v>
      </c>
      <c r="S7479">
        <v>3.00705</v>
      </c>
      <c r="T7479">
        <v>-0.17382510000000001</v>
      </c>
      <c r="U7479">
        <v>-2.990723E-2</v>
      </c>
      <c r="V7479">
        <v>-9.2310369999999992E-3</v>
      </c>
      <c r="W7479">
        <v>-0.1318386</v>
      </c>
      <c r="X7479">
        <v>0.9912282</v>
      </c>
      <c r="Y7479">
        <v>1.0554569999999999E-2</v>
      </c>
      <c r="Z7479">
        <v>-4.081426E-4</v>
      </c>
      <c r="AA7479">
        <v>0.99994419999999995</v>
      </c>
      <c r="AB7479">
        <v>21</v>
      </c>
      <c r="AC7479">
        <v>19.307300000000001</v>
      </c>
      <c r="AD7479">
        <v>-1.121957367027</v>
      </c>
      <c r="AE7479">
        <v>-0.19407000000001001</v>
      </c>
      <c r="AF7479">
        <v>0.205577896377869</v>
      </c>
      <c r="AG7479">
        <v>-1.121957367027</v>
      </c>
      <c r="AH7479">
        <v>19.242202348492601</v>
      </c>
      <c r="AI7479">
        <v>93.336783622604798</v>
      </c>
      <c r="AJ7479">
        <v>89.387892430741402</v>
      </c>
      <c r="AK7479">
        <v>19.275979918676999</v>
      </c>
      <c r="AL7479">
        <v>97.575851020260302</v>
      </c>
      <c r="AM7479">
        <v>90.533564492508006</v>
      </c>
      <c r="AN7479">
        <v>0.99999998648464705</v>
      </c>
    </row>
    <row r="7480" spans="1:40" x14ac:dyDescent="0.25">
      <c r="A7480" t="str">
        <f>"20190303154957451"</f>
        <v>20190303154957451</v>
      </c>
      <c r="B7480" t="str">
        <f>"1551599397447899"</f>
        <v>1551599397447899</v>
      </c>
      <c r="C7480" t="s">
        <v>40</v>
      </c>
      <c r="D7480">
        <v>5.8111490000000003</v>
      </c>
      <c r="E7480">
        <v>0.46349360000000001</v>
      </c>
      <c r="F7480" t="s">
        <v>76</v>
      </c>
      <c r="G7480">
        <v>-258.642</v>
      </c>
      <c r="H7480" s="1">
        <v>-3.3893420000000002E-6</v>
      </c>
      <c r="I7480">
        <v>-63.565750000000001</v>
      </c>
      <c r="J7480">
        <v>-277.75940000000003</v>
      </c>
      <c r="K7480">
        <v>1.1219319999999999</v>
      </c>
      <c r="L7480">
        <v>-63.410130000000002</v>
      </c>
      <c r="M7480">
        <v>0.99989640000000002</v>
      </c>
      <c r="N7480">
        <v>-1.4295250000000001E-2</v>
      </c>
      <c r="O7480">
        <v>1.6603220000000001E-3</v>
      </c>
      <c r="P7480">
        <v>0.98914709999999995</v>
      </c>
      <c r="Q7480">
        <v>-0.14642669999999999</v>
      </c>
      <c r="R7480">
        <v>1.212479E-2</v>
      </c>
      <c r="S7480">
        <v>3.0070190000000001</v>
      </c>
      <c r="T7480">
        <v>-0.17547699999999999</v>
      </c>
      <c r="U7480">
        <v>-2.4139399999999998E-2</v>
      </c>
      <c r="V7480">
        <v>-1.011191E-2</v>
      </c>
      <c r="W7480">
        <v>-0.13230020000000001</v>
      </c>
      <c r="X7480">
        <v>0.99115810000000004</v>
      </c>
      <c r="Y7480">
        <v>9.6657649999999998E-3</v>
      </c>
      <c r="Z7480">
        <v>-4.2403299999999998E-4</v>
      </c>
      <c r="AA7480">
        <v>0.99995319999999999</v>
      </c>
      <c r="AB7480">
        <v>21</v>
      </c>
      <c r="AC7480">
        <v>19.1174</v>
      </c>
      <c r="AD7480">
        <v>-1.1219353893420001</v>
      </c>
      <c r="AE7480">
        <v>-0.15561999999999801</v>
      </c>
      <c r="AF7480">
        <v>0.18672102355755801</v>
      </c>
      <c r="AG7480">
        <v>-1.1219353893420001</v>
      </c>
      <c r="AH7480">
        <v>19.051503955947599</v>
      </c>
      <c r="AI7480">
        <v>93.370071504998606</v>
      </c>
      <c r="AJ7480">
        <v>89.438470364762495</v>
      </c>
      <c r="AK7480">
        <v>19.085423934038801</v>
      </c>
      <c r="AL7480">
        <v>97.602532470094502</v>
      </c>
      <c r="AM7480">
        <v>90.584517915144104</v>
      </c>
      <c r="AN7480">
        <v>0.99999998641974897</v>
      </c>
    </row>
    <row r="7481" spans="1:40" x14ac:dyDescent="0.25">
      <c r="A7481" t="str">
        <f>"20190303154957462"</f>
        <v>20190303154957462</v>
      </c>
      <c r="B7481" t="str">
        <f>"1551599397458636"</f>
        <v>1551599397458636</v>
      </c>
      <c r="C7481" t="s">
        <v>40</v>
      </c>
      <c r="D7481">
        <v>5.8136859999999997</v>
      </c>
      <c r="E7481">
        <v>0.46230349999999998</v>
      </c>
      <c r="F7481" t="s">
        <v>76</v>
      </c>
      <c r="G7481">
        <v>-258.9699</v>
      </c>
      <c r="H7481" s="1">
        <v>-3.2048720000000001E-6</v>
      </c>
      <c r="I7481">
        <v>-61.375970000000002</v>
      </c>
      <c r="J7481">
        <v>-277.6601</v>
      </c>
      <c r="K7481">
        <v>1.121915</v>
      </c>
      <c r="L7481">
        <v>-63.408969999999997</v>
      </c>
      <c r="M7481">
        <v>0.9998956</v>
      </c>
      <c r="N7481">
        <v>-1.421533E-2</v>
      </c>
      <c r="O7481">
        <v>2.5981979999999999E-3</v>
      </c>
      <c r="P7481">
        <v>0.98908700000000005</v>
      </c>
      <c r="Q7481">
        <v>-0.14671039999999999</v>
      </c>
      <c r="R7481">
        <v>1.3529579999999999E-2</v>
      </c>
      <c r="S7481">
        <v>3.0024109999999999</v>
      </c>
      <c r="T7481">
        <v>-0.17927660000000001</v>
      </c>
      <c r="U7481">
        <v>0.32504270000000002</v>
      </c>
      <c r="V7481">
        <v>-1.0588729999999999E-2</v>
      </c>
      <c r="W7481">
        <v>-0.13266500000000001</v>
      </c>
      <c r="X7481">
        <v>0.9911044</v>
      </c>
      <c r="Y7481">
        <v>-0.1048216</v>
      </c>
      <c r="Z7481">
        <v>3.747944E-3</v>
      </c>
      <c r="AA7481">
        <v>0.99448389999999998</v>
      </c>
      <c r="AB7481">
        <v>21</v>
      </c>
      <c r="AC7481">
        <v>18.690200000000001</v>
      </c>
      <c r="AD7481">
        <v>-1.121918204872</v>
      </c>
      <c r="AE7481">
        <v>2.0329999999999999</v>
      </c>
      <c r="AF7481">
        <v>-1.9773856886588199</v>
      </c>
      <c r="AG7481">
        <v>-1.121918204872</v>
      </c>
      <c r="AH7481">
        <v>18.6290792454508</v>
      </c>
      <c r="AI7481">
        <v>93.427213567845996</v>
      </c>
      <c r="AJ7481">
        <v>96.058979782611502</v>
      </c>
      <c r="AK7481">
        <v>18.7672946413015</v>
      </c>
      <c r="AL7481">
        <v>97.623619533607098</v>
      </c>
      <c r="AM7481">
        <v>90.612111557451598</v>
      </c>
      <c r="AN7481">
        <v>1.00000002756368</v>
      </c>
    </row>
    <row r="7482" spans="1:40" x14ac:dyDescent="0.25">
      <c r="A7482" t="str">
        <f>"20190303154957473"</f>
        <v>20190303154957473</v>
      </c>
      <c r="B7482" t="str">
        <f>"1551599397468396"</f>
        <v>1551599397468396</v>
      </c>
      <c r="C7482" t="s">
        <v>40</v>
      </c>
      <c r="D7482">
        <v>5.7884589999999996</v>
      </c>
      <c r="E7482">
        <v>0.46273439999999999</v>
      </c>
      <c r="F7482" t="s">
        <v>41</v>
      </c>
      <c r="G7482">
        <v>-260.8288</v>
      </c>
      <c r="H7482" s="1">
        <v>3.4010980000000001E-7</v>
      </c>
      <c r="I7482">
        <v>-61.507649999999998</v>
      </c>
      <c r="J7482">
        <v>-277.54680000000002</v>
      </c>
      <c r="K7482">
        <v>1.121869</v>
      </c>
      <c r="L7482">
        <v>-63.407409999999999</v>
      </c>
      <c r="M7482">
        <v>0.99989439999999996</v>
      </c>
      <c r="N7482">
        <v>-1.4067929999999999E-2</v>
      </c>
      <c r="O7482">
        <v>3.664006E-3</v>
      </c>
      <c r="P7482">
        <v>0.98909309999999995</v>
      </c>
      <c r="Q7482">
        <v>-0.14652570000000001</v>
      </c>
      <c r="R7482">
        <v>1.501006E-2</v>
      </c>
      <c r="S7482">
        <v>2.99884</v>
      </c>
      <c r="T7482">
        <v>-0.1998916</v>
      </c>
      <c r="U7482">
        <v>0.33874510000000002</v>
      </c>
      <c r="V7482">
        <v>-1.101837E-2</v>
      </c>
      <c r="W7482">
        <v>-0.13262699999999999</v>
      </c>
      <c r="X7482">
        <v>0.99110480000000001</v>
      </c>
      <c r="Y7482">
        <v>-0.108319899999999</v>
      </c>
      <c r="Z7482">
        <v>4.1682589999999997E-3</v>
      </c>
      <c r="AA7482">
        <v>0.99410739999999997</v>
      </c>
      <c r="AB7482">
        <v>21</v>
      </c>
      <c r="AC7482">
        <v>16.718</v>
      </c>
      <c r="AD7482">
        <v>-1.1218686598901999</v>
      </c>
      <c r="AE7482">
        <v>1.8997599999999999</v>
      </c>
      <c r="AF7482">
        <v>-1.8303490946412899</v>
      </c>
      <c r="AG7482">
        <v>-1.1218686598901999</v>
      </c>
      <c r="AH7482">
        <v>16.6508240867377</v>
      </c>
      <c r="AI7482">
        <v>93.831533786900806</v>
      </c>
      <c r="AJ7482">
        <v>96.273077318829607</v>
      </c>
      <c r="AK7482">
        <v>16.788648244149499</v>
      </c>
      <c r="AL7482">
        <v>97.621422902224793</v>
      </c>
      <c r="AM7482">
        <v>90.636945852349598</v>
      </c>
      <c r="AN7482">
        <v>1.0000000250947401</v>
      </c>
    </row>
    <row r="7483" spans="1:40" x14ac:dyDescent="0.25">
      <c r="A7483" t="str">
        <f>"20190303154957485"</f>
        <v>20190303154957485</v>
      </c>
      <c r="B7483" t="str">
        <f>"1551599397477688"</f>
        <v>1551599397477688</v>
      </c>
      <c r="C7483" t="s">
        <v>40</v>
      </c>
      <c r="D7483">
        <v>5.79068</v>
      </c>
      <c r="E7483">
        <v>0.46304119999999999</v>
      </c>
      <c r="F7483" t="s">
        <v>41</v>
      </c>
      <c r="G7483">
        <v>-260.53769999999997</v>
      </c>
      <c r="H7483" s="1">
        <v>4.7225860000000003E-7</v>
      </c>
      <c r="I7483">
        <v>-61.480339999999998</v>
      </c>
      <c r="J7483">
        <v>-277.44459999999998</v>
      </c>
      <c r="K7483">
        <v>1.121821</v>
      </c>
      <c r="L7483">
        <v>-63.40598</v>
      </c>
      <c r="M7483">
        <v>0.99989249999999996</v>
      </c>
      <c r="N7483">
        <v>-1.391651E-2</v>
      </c>
      <c r="O7483">
        <v>4.6233079999999996E-3</v>
      </c>
      <c r="P7483">
        <v>0.98907290000000003</v>
      </c>
      <c r="Q7483">
        <v>-0.14651729999999999</v>
      </c>
      <c r="R7483">
        <v>1.6364960000000001E-2</v>
      </c>
      <c r="S7483">
        <v>2.9986269999999999</v>
      </c>
      <c r="T7483">
        <v>-0.1977797</v>
      </c>
      <c r="U7483">
        <v>0.33972170000000002</v>
      </c>
      <c r="V7483">
        <v>-1.1426479999999999E-2</v>
      </c>
      <c r="W7483">
        <v>-0.13276969999999999</v>
      </c>
      <c r="X7483">
        <v>0.99108110000000005</v>
      </c>
      <c r="Y7483">
        <v>-0.10770250000000001</v>
      </c>
      <c r="Z7483">
        <v>4.0500149999999997E-3</v>
      </c>
      <c r="AA7483">
        <v>0.99417489999999997</v>
      </c>
      <c r="AB7483">
        <v>21</v>
      </c>
      <c r="AC7483">
        <v>16.9069</v>
      </c>
      <c r="AD7483">
        <v>-1.1218205277414</v>
      </c>
      <c r="AE7483">
        <v>1.92564</v>
      </c>
      <c r="AF7483">
        <v>-1.8394512078699801</v>
      </c>
      <c r="AG7483">
        <v>-1.1218205277414</v>
      </c>
      <c r="AH7483">
        <v>16.842420502064101</v>
      </c>
      <c r="AI7483">
        <v>93.788202888746596</v>
      </c>
      <c r="AJ7483">
        <v>96.232876257667101</v>
      </c>
      <c r="AK7483">
        <v>16.979669914664001</v>
      </c>
      <c r="AL7483">
        <v>97.629671752287805</v>
      </c>
      <c r="AM7483">
        <v>90.660551465294503</v>
      </c>
      <c r="AN7483">
        <v>1.0000000522302399</v>
      </c>
    </row>
    <row r="7484" spans="1:40" x14ac:dyDescent="0.25">
      <c r="A7484" t="str">
        <f>"20190303154957496"</f>
        <v>20190303154957496</v>
      </c>
      <c r="B7484" t="str">
        <f>"1551599397488424"</f>
        <v>1551599397488424</v>
      </c>
      <c r="C7484" t="s">
        <v>40</v>
      </c>
      <c r="D7484">
        <v>5.7715899999999998</v>
      </c>
      <c r="E7484">
        <v>0.46345330000000001</v>
      </c>
      <c r="F7484" t="s">
        <v>70</v>
      </c>
      <c r="G7484">
        <v>-260.2747</v>
      </c>
      <c r="H7484" s="1">
        <v>5.9245049999999995E-7</v>
      </c>
      <c r="I7484">
        <v>-61.452559999999998</v>
      </c>
      <c r="J7484">
        <v>-277.33890000000002</v>
      </c>
      <c r="K7484">
        <v>1.121766</v>
      </c>
      <c r="L7484">
        <v>-63.404389999999999</v>
      </c>
      <c r="M7484">
        <v>0.9998899</v>
      </c>
      <c r="N7484">
        <v>-1.3731299999999899E-2</v>
      </c>
      <c r="O7484">
        <v>5.6095090000000004E-3</v>
      </c>
      <c r="P7484">
        <v>0.9889907</v>
      </c>
      <c r="Q7484">
        <v>-0.14690739999999999</v>
      </c>
      <c r="R7484">
        <v>1.77664999999999E-2</v>
      </c>
      <c r="S7484">
        <v>2.9984739999999999</v>
      </c>
      <c r="T7484">
        <v>-0.19591049999999999</v>
      </c>
      <c r="U7484">
        <v>0.34112550000000003</v>
      </c>
      <c r="V7484">
        <v>-1.185607E-2</v>
      </c>
      <c r="W7484">
        <v>-0.13334499999999999</v>
      </c>
      <c r="X7484">
        <v>0.99099870000000001</v>
      </c>
      <c r="Y7484">
        <v>-0.1071951</v>
      </c>
      <c r="Z7484">
        <v>3.9380630000000003E-3</v>
      </c>
      <c r="AA7484">
        <v>0.99423019999999995</v>
      </c>
      <c r="AB7484">
        <v>21</v>
      </c>
      <c r="AC7484">
        <v>17.0642</v>
      </c>
      <c r="AD7484">
        <v>-1.1217654075495</v>
      </c>
      <c r="AE7484">
        <v>1.95183</v>
      </c>
      <c r="AF7484">
        <v>-1.8481847242095699</v>
      </c>
      <c r="AG7484">
        <v>-1.1217654075495</v>
      </c>
      <c r="AH7484">
        <v>17.002354897586699</v>
      </c>
      <c r="AI7484">
        <v>93.752694187562696</v>
      </c>
      <c r="AJ7484">
        <v>96.203789846769396</v>
      </c>
      <c r="AK7484">
        <v>17.139259507571101</v>
      </c>
      <c r="AL7484">
        <v>97.662930601337195</v>
      </c>
      <c r="AM7484">
        <v>90.685440218550198</v>
      </c>
      <c r="AN7484">
        <v>0.99999993941126497</v>
      </c>
    </row>
    <row r="7485" spans="1:40" x14ac:dyDescent="0.25">
      <c r="A7485" t="str">
        <f>"20190303154957508"</f>
        <v>20190303154957508</v>
      </c>
      <c r="B7485" t="str">
        <f>"1551599397498184"</f>
        <v>1551599397498184</v>
      </c>
      <c r="C7485" t="s">
        <v>40</v>
      </c>
      <c r="D7485">
        <v>5.7701399999999996</v>
      </c>
      <c r="E7485">
        <v>0.46377190000000001</v>
      </c>
      <c r="F7485" t="s">
        <v>70</v>
      </c>
      <c r="G7485">
        <v>-260.08319999999998</v>
      </c>
      <c r="H7485" s="1">
        <v>6.7897889999999999E-7</v>
      </c>
      <c r="I7485">
        <v>-61.436169999999997</v>
      </c>
      <c r="J7485">
        <v>-277.23</v>
      </c>
      <c r="K7485">
        <v>1.1217029999999999</v>
      </c>
      <c r="L7485">
        <v>-63.402619999999999</v>
      </c>
      <c r="M7485">
        <v>0.99988679999999996</v>
      </c>
      <c r="N7485">
        <v>-1.3517970000000001E-2</v>
      </c>
      <c r="O7485">
        <v>6.6175160000000004E-3</v>
      </c>
      <c r="P7485">
        <v>0.9888557</v>
      </c>
      <c r="Q7485">
        <v>-0.14767820000000001</v>
      </c>
      <c r="R7485">
        <v>1.8857260000000001E-2</v>
      </c>
      <c r="S7485">
        <v>2.998291</v>
      </c>
      <c r="T7485">
        <v>-0.19491459999999999</v>
      </c>
      <c r="U7485">
        <v>0.34198000000000001</v>
      </c>
      <c r="V7485">
        <v>-1.1952290000000001E-2</v>
      </c>
      <c r="W7485">
        <v>-0.13432849999999999</v>
      </c>
      <c r="X7485">
        <v>0.99086479999999999</v>
      </c>
      <c r="Y7485">
        <v>-0.1064857</v>
      </c>
      <c r="Z7485">
        <v>3.8302449999999999E-3</v>
      </c>
      <c r="AA7485">
        <v>0.99430689999999999</v>
      </c>
      <c r="AB7485">
        <v>21</v>
      </c>
      <c r="AC7485">
        <v>17.146799999999999</v>
      </c>
      <c r="AD7485">
        <v>-1.1217023210210999</v>
      </c>
      <c r="AE7485">
        <v>1.96645</v>
      </c>
      <c r="AF7485">
        <v>-1.84513367712918</v>
      </c>
      <c r="AG7485">
        <v>-1.1217023210210999</v>
      </c>
      <c r="AH7485">
        <v>17.087263672233099</v>
      </c>
      <c r="AI7485">
        <v>93.734176628476305</v>
      </c>
      <c r="AJ7485">
        <v>96.163088595566606</v>
      </c>
      <c r="AK7485">
        <v>17.223162142530001</v>
      </c>
      <c r="AL7485">
        <v>97.719791886938197</v>
      </c>
      <c r="AM7485">
        <v>90.691095859951503</v>
      </c>
      <c r="AN7485">
        <v>1.0000000275137599</v>
      </c>
    </row>
    <row r="7486" spans="1:40" x14ac:dyDescent="0.25">
      <c r="A7486" t="str">
        <f>"20190303154957519"</f>
        <v>20190303154957519</v>
      </c>
      <c r="B7486" t="str">
        <f>"1551599397507944"</f>
        <v>1551599397507944</v>
      </c>
      <c r="C7486" t="s">
        <v>40</v>
      </c>
      <c r="D7486">
        <v>5.7227560000000004</v>
      </c>
      <c r="E7486">
        <v>0.4636652</v>
      </c>
      <c r="F7486" t="s">
        <v>70</v>
      </c>
      <c r="G7486">
        <v>-260.1447</v>
      </c>
      <c r="H7486" s="1">
        <v>6.4903529999999999E-7</v>
      </c>
      <c r="I7486">
        <v>-61.449570000000001</v>
      </c>
      <c r="J7486">
        <v>-277.12470000000002</v>
      </c>
      <c r="K7486">
        <v>1.121637</v>
      </c>
      <c r="L7486">
        <v>-63.400849999999998</v>
      </c>
      <c r="M7486">
        <v>0.99988290000000002</v>
      </c>
      <c r="N7486">
        <v>-1.3298900000000001E-2</v>
      </c>
      <c r="O7486">
        <v>7.5895310000000001E-3</v>
      </c>
      <c r="P7486">
        <v>0.98880460000000003</v>
      </c>
      <c r="Q7486">
        <v>-0.1478727</v>
      </c>
      <c r="R7486">
        <v>1.9983460000000001E-2</v>
      </c>
      <c r="S7486">
        <v>2.9978940000000001</v>
      </c>
      <c r="T7486">
        <v>-0.19682050000000001</v>
      </c>
      <c r="U7486">
        <v>0.34268189999999998</v>
      </c>
      <c r="V7486">
        <v>-1.2121699999999999E-2</v>
      </c>
      <c r="W7486">
        <v>-0.13474040000000001</v>
      </c>
      <c r="X7486">
        <v>0.99080679999999999</v>
      </c>
      <c r="Y7486">
        <v>-0.1057631</v>
      </c>
      <c r="Z7486">
        <v>3.7678170000000001E-3</v>
      </c>
      <c r="AA7486">
        <v>0.99438419999999905</v>
      </c>
      <c r="AB7486">
        <v>21</v>
      </c>
      <c r="AC7486">
        <v>16.98</v>
      </c>
      <c r="AD7486">
        <v>-1.1216363509647</v>
      </c>
      <c r="AE7486">
        <v>1.9512799999999999</v>
      </c>
      <c r="AF7486">
        <v>-1.81452779126297</v>
      </c>
      <c r="AG7486">
        <v>-1.1216363509647</v>
      </c>
      <c r="AH7486">
        <v>16.921448145914098</v>
      </c>
      <c r="AI7486">
        <v>93.770742332204094</v>
      </c>
      <c r="AJ7486">
        <v>96.120576707014195</v>
      </c>
      <c r="AK7486">
        <v>17.055379988846099</v>
      </c>
      <c r="AL7486">
        <v>97.743608650535805</v>
      </c>
      <c r="AM7486">
        <v>90.700931405371307</v>
      </c>
      <c r="AN7486">
        <v>1.00000001296464</v>
      </c>
    </row>
    <row r="7487" spans="1:40" x14ac:dyDescent="0.25">
      <c r="A7487" t="str">
        <f>"20190303154957530"</f>
        <v>20190303154957530</v>
      </c>
      <c r="B7487" t="str">
        <f>"1551599397517705"</f>
        <v>1551599397517705</v>
      </c>
      <c r="C7487" t="s">
        <v>40</v>
      </c>
      <c r="D7487">
        <v>5.7342979999999999</v>
      </c>
      <c r="E7487">
        <v>0.46362940000000002</v>
      </c>
      <c r="F7487" t="s">
        <v>76</v>
      </c>
      <c r="G7487">
        <v>-259.88029999999998</v>
      </c>
      <c r="H7487" s="1">
        <v>-3.522057E-6</v>
      </c>
      <c r="I7487">
        <v>-61.405929999999998</v>
      </c>
      <c r="J7487">
        <v>-277.024</v>
      </c>
      <c r="K7487">
        <v>1.121567</v>
      </c>
      <c r="L7487">
        <v>-63.399079999999998</v>
      </c>
      <c r="M7487">
        <v>0.99987839999999995</v>
      </c>
      <c r="N7487">
        <v>-1.306997E-2</v>
      </c>
      <c r="O7487">
        <v>8.5045980000000004E-3</v>
      </c>
      <c r="P7487">
        <v>0.9886395</v>
      </c>
      <c r="Q7487">
        <v>-0.14887040000000001</v>
      </c>
      <c r="R7487">
        <v>2.072705E-2</v>
      </c>
      <c r="S7487">
        <v>2.9978030000000002</v>
      </c>
      <c r="T7487">
        <v>-0.1949892</v>
      </c>
      <c r="U7487">
        <v>0.34680179999999999</v>
      </c>
      <c r="V7487">
        <v>-1.196377E-2</v>
      </c>
      <c r="W7487">
        <v>-0.135966</v>
      </c>
      <c r="X7487">
        <v>0.99064129999999995</v>
      </c>
      <c r="Y7487">
        <v>-0.1062106</v>
      </c>
      <c r="Z7487">
        <v>3.6964229999999999E-3</v>
      </c>
      <c r="AA7487">
        <v>0.99433680000000002</v>
      </c>
      <c r="AB7487">
        <v>21</v>
      </c>
      <c r="AC7487">
        <v>17.143699999999999</v>
      </c>
      <c r="AD7487">
        <v>-1.121570522057</v>
      </c>
      <c r="AE7487">
        <v>1.99315</v>
      </c>
      <c r="AF7487">
        <v>-1.8394971177221699</v>
      </c>
      <c r="AG7487">
        <v>-1.121570522057</v>
      </c>
      <c r="AH7487">
        <v>17.0878715215838</v>
      </c>
      <c r="AI7487">
        <v>93.733739077854196</v>
      </c>
      <c r="AJ7487">
        <v>96.144188778559396</v>
      </c>
      <c r="AK7487">
        <v>17.2231536955405</v>
      </c>
      <c r="AL7487">
        <v>97.814482411229605</v>
      </c>
      <c r="AM7487">
        <v>90.691915636656105</v>
      </c>
      <c r="AN7487">
        <v>1.0000000351071501</v>
      </c>
    </row>
    <row r="7488" spans="1:40" x14ac:dyDescent="0.25">
      <c r="A7488" t="str">
        <f>"20190303154957542"</f>
        <v>20190303154957542</v>
      </c>
      <c r="B7488" t="str">
        <f>"1551599397538201"</f>
        <v>1551599397538201</v>
      </c>
      <c r="C7488" t="s">
        <v>40</v>
      </c>
      <c r="D7488">
        <v>5.8166789999999997</v>
      </c>
      <c r="E7488">
        <v>0.46398260000000002</v>
      </c>
      <c r="F7488" t="s">
        <v>41</v>
      </c>
      <c r="G7488">
        <v>-259.96679999999998</v>
      </c>
      <c r="H7488" s="1">
        <v>7.3526199999999998E-7</v>
      </c>
      <c r="I7488">
        <v>-61.412320000000001</v>
      </c>
      <c r="J7488">
        <v>-276.91860000000003</v>
      </c>
      <c r="K7488">
        <v>1.1214959999999901</v>
      </c>
      <c r="L7488">
        <v>-63.397129999999997</v>
      </c>
      <c r="M7488">
        <v>0.99987300000000001</v>
      </c>
      <c r="N7488">
        <v>-1.282646E-2</v>
      </c>
      <c r="O7488">
        <v>9.460062E-3</v>
      </c>
      <c r="P7488">
        <v>0.98845039999999995</v>
      </c>
      <c r="Q7488">
        <v>-0.1500485</v>
      </c>
      <c r="R7488">
        <v>2.1247499999999999E-2</v>
      </c>
      <c r="S7488">
        <v>2.9974669999999999</v>
      </c>
      <c r="T7488">
        <v>-0.19709270000000001</v>
      </c>
      <c r="U7488">
        <v>0.34912110000000002</v>
      </c>
      <c r="V7488">
        <v>-1.1543899999999999E-2</v>
      </c>
      <c r="W7488">
        <v>-0.1373858</v>
      </c>
      <c r="X7488">
        <v>0.99045030000000001</v>
      </c>
      <c r="Y7488">
        <v>-0.1060301</v>
      </c>
      <c r="Z7488">
        <v>3.6553000000000002E-3</v>
      </c>
      <c r="AA7488">
        <v>0.99435620000000002</v>
      </c>
      <c r="AB7488">
        <v>21</v>
      </c>
      <c r="AC7488">
        <v>16.951799999999999</v>
      </c>
      <c r="AD7488">
        <v>-1.1214952647380001</v>
      </c>
      <c r="AE7488">
        <v>1.98481000000001</v>
      </c>
      <c r="AF7488">
        <v>-1.8164998445662901</v>
      </c>
      <c r="AG7488">
        <v>-1.1214952647380001</v>
      </c>
      <c r="AH7488">
        <v>16.896864130218201</v>
      </c>
      <c r="AI7488">
        <v>93.775630088323496</v>
      </c>
      <c r="AJ7488">
        <v>96.136024813412803</v>
      </c>
      <c r="AK7488">
        <v>17.031190232899</v>
      </c>
      <c r="AL7488">
        <v>97.8966021957485</v>
      </c>
      <c r="AM7488">
        <v>90.6677637452173</v>
      </c>
      <c r="AN7488">
        <v>0.99999995821946897</v>
      </c>
    </row>
    <row r="7489" spans="1:40" x14ac:dyDescent="0.25">
      <c r="A7489" t="str">
        <f>"20190303154957552"</f>
        <v>20190303154957552</v>
      </c>
      <c r="B7489" t="str">
        <f>"1551599397547961"</f>
        <v>1551599397547961</v>
      </c>
      <c r="C7489" t="s">
        <v>40</v>
      </c>
      <c r="D7489">
        <v>5.8434900000000001</v>
      </c>
      <c r="E7489">
        <v>0.46398020000000001</v>
      </c>
      <c r="F7489" t="s">
        <v>41</v>
      </c>
      <c r="G7489">
        <v>-260.7405</v>
      </c>
      <c r="H7489" s="1">
        <v>3.7488809999999998E-7</v>
      </c>
      <c r="I7489">
        <v>-61.519289999999998</v>
      </c>
      <c r="J7489">
        <v>-276.81349999999998</v>
      </c>
      <c r="K7489">
        <v>1.121429</v>
      </c>
      <c r="L7489">
        <v>-63.39508</v>
      </c>
      <c r="M7489">
        <v>0.99986710000000001</v>
      </c>
      <c r="N7489">
        <v>-1.257262E-2</v>
      </c>
      <c r="O7489">
        <v>1.0389560000000001E-2</v>
      </c>
      <c r="P7489">
        <v>0.98820410000000003</v>
      </c>
      <c r="Q7489">
        <v>-0.15160960000000001</v>
      </c>
      <c r="R7489">
        <v>2.1619900000000001E-2</v>
      </c>
      <c r="S7489">
        <v>2.9960629999999999</v>
      </c>
      <c r="T7489">
        <v>-0.20769209999999999</v>
      </c>
      <c r="U7489">
        <v>0.3477478</v>
      </c>
      <c r="V7489">
        <v>-1.100127E-2</v>
      </c>
      <c r="W7489">
        <v>-0.1391992</v>
      </c>
      <c r="X7489">
        <v>0.99020330000000001</v>
      </c>
      <c r="Y7489">
        <v>-0.10469000000000001</v>
      </c>
      <c r="Z7489">
        <v>3.6867200000000001E-3</v>
      </c>
      <c r="AA7489">
        <v>0.99449810000000005</v>
      </c>
      <c r="AB7489">
        <v>21</v>
      </c>
      <c r="AC7489">
        <v>16.072999999999901</v>
      </c>
      <c r="AD7489">
        <v>-1.1214286251118999</v>
      </c>
      <c r="AE7489">
        <v>1.8757900000000001</v>
      </c>
      <c r="AF7489">
        <v>-1.7005173001511</v>
      </c>
      <c r="AG7489">
        <v>-1.1214286251118999</v>
      </c>
      <c r="AH7489">
        <v>16.014710661482798</v>
      </c>
      <c r="AI7489">
        <v>93.983272602401897</v>
      </c>
      <c r="AJ7489">
        <v>96.061222958649907</v>
      </c>
      <c r="AK7489">
        <v>16.143739307246801</v>
      </c>
      <c r="AL7489">
        <v>98.001509980673902</v>
      </c>
      <c r="AM7489">
        <v>90.6365363633019</v>
      </c>
      <c r="AN7489">
        <v>1.00000001027657</v>
      </c>
    </row>
    <row r="7490" spans="1:40" x14ac:dyDescent="0.25">
      <c r="A7490" t="str">
        <f>"20190303154957563"</f>
        <v>20190303154957563</v>
      </c>
      <c r="B7490" t="str">
        <f>"1551599397558696"</f>
        <v>1551599397558696</v>
      </c>
      <c r="C7490" t="s">
        <v>40</v>
      </c>
      <c r="D7490">
        <v>5.8238019999999997</v>
      </c>
      <c r="E7490">
        <v>0.46405960000000002</v>
      </c>
      <c r="F7490" t="s">
        <v>41</v>
      </c>
      <c r="G7490">
        <v>-261.39069999999998</v>
      </c>
      <c r="H7490" s="1">
        <v>7.4941109999999998E-8</v>
      </c>
      <c r="I7490">
        <v>-61.598329999999997</v>
      </c>
      <c r="J7490">
        <v>-276.71910000000003</v>
      </c>
      <c r="K7490">
        <v>1.1213630000000001</v>
      </c>
      <c r="L7490">
        <v>-63.393189999999997</v>
      </c>
      <c r="M7490">
        <v>0.99986090000000005</v>
      </c>
      <c r="N7490">
        <v>-1.2344870000000001E-2</v>
      </c>
      <c r="O7490">
        <v>1.121928E-2</v>
      </c>
      <c r="P7490">
        <v>0.98794219999999999</v>
      </c>
      <c r="Q7490">
        <v>-0.153279</v>
      </c>
      <c r="R7490">
        <v>2.181433E-2</v>
      </c>
      <c r="S7490">
        <v>2.9947810000000001</v>
      </c>
      <c r="T7490">
        <v>-0.21775710000000001</v>
      </c>
      <c r="U7490">
        <v>0.34887699999999999</v>
      </c>
      <c r="V7490">
        <v>-1.037944E-2</v>
      </c>
      <c r="W7490">
        <v>-0.1410951</v>
      </c>
      <c r="X7490">
        <v>0.98994170000000004</v>
      </c>
      <c r="Y7490">
        <v>-0.1042623</v>
      </c>
      <c r="Z7490">
        <v>3.745684E-3</v>
      </c>
      <c r="AA7490">
        <v>0.99454279999999995</v>
      </c>
      <c r="AB7490">
        <v>21</v>
      </c>
      <c r="AC7490">
        <v>15.3284</v>
      </c>
      <c r="AD7490">
        <v>-1.1213629250588899</v>
      </c>
      <c r="AE7490">
        <v>1.7948599999999999</v>
      </c>
      <c r="AF7490">
        <v>-1.61423809891559</v>
      </c>
      <c r="AG7490">
        <v>-1.1213629250588899</v>
      </c>
      <c r="AH7490">
        <v>15.266973219020199</v>
      </c>
      <c r="AI7490">
        <v>94.1776411531321</v>
      </c>
      <c r="AJ7490">
        <v>96.035686095890298</v>
      </c>
      <c r="AK7490">
        <v>15.392975369303</v>
      </c>
      <c r="AL7490">
        <v>98.111219381882506</v>
      </c>
      <c r="AM7490">
        <v>90.600718521913393</v>
      </c>
      <c r="AN7490">
        <v>1.0000000647088001</v>
      </c>
    </row>
    <row r="7491" spans="1:40" x14ac:dyDescent="0.25">
      <c r="A7491" t="str">
        <f>"20190303154957573"</f>
        <v>20190303154957573</v>
      </c>
      <c r="B7491" t="str">
        <f>"1551599397568457"</f>
        <v>1551599397568457</v>
      </c>
      <c r="C7491" t="s">
        <v>40</v>
      </c>
      <c r="D7491">
        <v>5.832738</v>
      </c>
      <c r="E7491">
        <v>0.4640765</v>
      </c>
      <c r="F7491" t="s">
        <v>70</v>
      </c>
      <c r="G7491">
        <v>-261.92860000000002</v>
      </c>
      <c r="H7491" s="1">
        <v>-1.7484509999999999E-7</v>
      </c>
      <c r="I7491">
        <v>-61.6697699999999</v>
      </c>
      <c r="J7491">
        <v>-276.60820000000001</v>
      </c>
      <c r="K7491">
        <v>1.121297</v>
      </c>
      <c r="L7491">
        <v>-63.3908699999999</v>
      </c>
      <c r="M7491">
        <v>0.99985310000000005</v>
      </c>
      <c r="N7491">
        <v>-1.207832E-2</v>
      </c>
      <c r="O7491">
        <v>1.2169589999999999E-2</v>
      </c>
      <c r="P7491">
        <v>0.98768040000000001</v>
      </c>
      <c r="Q7491">
        <v>-0.15497379999999999</v>
      </c>
      <c r="R7491">
        <v>2.1699050000000001E-2</v>
      </c>
      <c r="S7491">
        <v>2.9936829999999999</v>
      </c>
      <c r="T7491">
        <v>-0.2269708</v>
      </c>
      <c r="U7491">
        <v>0.34881590000000001</v>
      </c>
      <c r="V7491">
        <v>-9.3307470000000003E-3</v>
      </c>
      <c r="W7491">
        <v>-0.14305370000000001</v>
      </c>
      <c r="X7491">
        <v>0.98967090000000002</v>
      </c>
      <c r="Y7491">
        <v>-0.1033217</v>
      </c>
      <c r="Z7491">
        <v>3.7534259999999998E-3</v>
      </c>
      <c r="AA7491">
        <v>0.99464090000000005</v>
      </c>
      <c r="AB7491">
        <v>21</v>
      </c>
      <c r="AC7491">
        <v>14.679599999999899</v>
      </c>
      <c r="AD7491">
        <v>-1.1212971748450999</v>
      </c>
      <c r="AE7491">
        <v>1.7211000000000001</v>
      </c>
      <c r="AF7491">
        <v>-1.53348879398763</v>
      </c>
      <c r="AG7491">
        <v>-1.1212971748450999</v>
      </c>
      <c r="AH7491">
        <v>14.6153406633288</v>
      </c>
      <c r="AI7491">
        <v>94.3633116790418</v>
      </c>
      <c r="AJ7491">
        <v>95.989742453916804</v>
      </c>
      <c r="AK7491">
        <v>14.738286126302301</v>
      </c>
      <c r="AL7491">
        <v>98.224589821461194</v>
      </c>
      <c r="AM7491">
        <v>90.540176116266807</v>
      </c>
      <c r="AN7491">
        <v>0.99999995711503797</v>
      </c>
    </row>
    <row r="7492" spans="1:40" x14ac:dyDescent="0.25">
      <c r="A7492" t="str">
        <f>"20190303154957584"</f>
        <v>20190303154957584</v>
      </c>
      <c r="B7492" t="str">
        <f>"1551599397577748"</f>
        <v>1551599397577748</v>
      </c>
      <c r="C7492" t="s">
        <v>40</v>
      </c>
      <c r="D7492">
        <v>5.8101459999999996</v>
      </c>
      <c r="E7492">
        <v>0.464144</v>
      </c>
      <c r="F7492" t="s">
        <v>70</v>
      </c>
      <c r="G7492">
        <v>-262.38</v>
      </c>
      <c r="H7492" s="1">
        <v>-3.856441E-7</v>
      </c>
      <c r="I7492">
        <v>-61.734209999999997</v>
      </c>
      <c r="J7492">
        <v>-276.5086</v>
      </c>
      <c r="K7492">
        <v>1.1212439999999999</v>
      </c>
      <c r="L7492">
        <v>-63.388730000000002</v>
      </c>
      <c r="M7492">
        <v>0.99984510000000004</v>
      </c>
      <c r="N7492">
        <v>-1.1843390000000001E-2</v>
      </c>
      <c r="O7492">
        <v>1.30084E-2</v>
      </c>
      <c r="P7492">
        <v>0.98748150000000001</v>
      </c>
      <c r="Q7492">
        <v>-0.15620229999999999</v>
      </c>
      <c r="R7492">
        <v>2.1935280000000001E-2</v>
      </c>
      <c r="S7492">
        <v>2.9927670000000002</v>
      </c>
      <c r="T7492">
        <v>-0.2358555</v>
      </c>
      <c r="U7492">
        <v>0.34844969999999997</v>
      </c>
      <c r="V7492">
        <v>-8.7436969999999999E-3</v>
      </c>
      <c r="W7492">
        <v>-0.144515</v>
      </c>
      <c r="X7492">
        <v>0.98946400000000001</v>
      </c>
      <c r="Y7492">
        <v>-0.1023854</v>
      </c>
      <c r="Z7492">
        <v>3.7575450000000002E-3</v>
      </c>
      <c r="AA7492">
        <v>0.99473769999999995</v>
      </c>
      <c r="AB7492">
        <v>21</v>
      </c>
      <c r="AC7492">
        <v>14.1286</v>
      </c>
      <c r="AD7492">
        <v>-1.1212443856440999</v>
      </c>
      <c r="AE7492">
        <v>1.65452</v>
      </c>
      <c r="AF7492">
        <v>-1.46149660798952</v>
      </c>
      <c r="AG7492">
        <v>-1.1212443856440999</v>
      </c>
      <c r="AH7492">
        <v>14.061566892749701</v>
      </c>
      <c r="AI7492">
        <v>94.534692994648907</v>
      </c>
      <c r="AJ7492">
        <v>95.933762549287806</v>
      </c>
      <c r="AK7492">
        <v>14.181707400266699</v>
      </c>
      <c r="AL7492">
        <v>98.3091947413361</v>
      </c>
      <c r="AM7492">
        <v>90.506298254185296</v>
      </c>
      <c r="AN7492">
        <v>1.0000000223791099</v>
      </c>
    </row>
    <row r="7493" spans="1:40" x14ac:dyDescent="0.25">
      <c r="A7493" t="str">
        <f>"20190303154957595"</f>
        <v>20190303154957595</v>
      </c>
      <c r="B7493" t="str">
        <f>"1551599397588484"</f>
        <v>1551599397588484</v>
      </c>
      <c r="C7493" t="s">
        <v>40</v>
      </c>
      <c r="D7493">
        <v>5.8228839999999904</v>
      </c>
      <c r="E7493">
        <v>0.46420850000000002</v>
      </c>
      <c r="F7493" t="s">
        <v>41</v>
      </c>
      <c r="G7493">
        <v>-262.66149999999999</v>
      </c>
      <c r="H7493" s="1">
        <v>-5.1724020000000003E-7</v>
      </c>
      <c r="I7493">
        <v>-61.774909999999998</v>
      </c>
      <c r="J7493">
        <v>-276.4074</v>
      </c>
      <c r="K7493">
        <v>1.1211880000000001</v>
      </c>
      <c r="L7493">
        <v>-63.386510000000001</v>
      </c>
      <c r="M7493">
        <v>0.99983670000000002</v>
      </c>
      <c r="N7493">
        <v>-1.161068E-2</v>
      </c>
      <c r="O7493">
        <v>1.3840140000000001E-2</v>
      </c>
      <c r="P7493">
        <v>0.98732419999999999</v>
      </c>
      <c r="Q7493">
        <v>-0.15721949999999901</v>
      </c>
      <c r="R7493">
        <v>2.1750249999999999E-2</v>
      </c>
      <c r="S7493">
        <v>2.9920040000000001</v>
      </c>
      <c r="T7493">
        <v>-0.2422733</v>
      </c>
      <c r="U7493">
        <v>0.3486938</v>
      </c>
      <c r="V7493">
        <v>-7.7434330000000001E-3</v>
      </c>
      <c r="W7493">
        <v>-0.14576140000000001</v>
      </c>
      <c r="X7493">
        <v>0.98928950000000004</v>
      </c>
      <c r="Y7493">
        <v>-0.1016562</v>
      </c>
      <c r="Z7493">
        <v>3.7335900000000002E-3</v>
      </c>
      <c r="AA7493">
        <v>0.99481260000000005</v>
      </c>
      <c r="AB7493">
        <v>21</v>
      </c>
      <c r="AC7493">
        <v>13.745900000000001</v>
      </c>
      <c r="AD7493">
        <v>-1.1211885172402001</v>
      </c>
      <c r="AE7493">
        <v>1.6115999999999899</v>
      </c>
      <c r="AF7493">
        <v>-1.4119215921600199</v>
      </c>
      <c r="AG7493">
        <v>-1.1211885172402001</v>
      </c>
      <c r="AH7493">
        <v>13.6771307577215</v>
      </c>
      <c r="AI7493">
        <v>94.6617030488393</v>
      </c>
      <c r="AJ7493">
        <v>95.893897058022603</v>
      </c>
      <c r="AK7493">
        <v>13.795451860573801</v>
      </c>
      <c r="AL7493">
        <v>98.381372396139099</v>
      </c>
      <c r="AM7493">
        <v>90.448460202611798</v>
      </c>
      <c r="AN7493">
        <v>1.0000000306474099</v>
      </c>
    </row>
    <row r="7494" spans="1:40" x14ac:dyDescent="0.25">
      <c r="A7494" t="str">
        <f>"20190303154957607"</f>
        <v>20190303154957607</v>
      </c>
      <c r="B7494" t="str">
        <f>"1551599397598243"</f>
        <v>1551599397598243</v>
      </c>
      <c r="C7494" t="s">
        <v>40</v>
      </c>
      <c r="D7494">
        <v>5.7877619999999999</v>
      </c>
      <c r="E7494">
        <v>0.46416980000000002</v>
      </c>
      <c r="F7494" t="s">
        <v>41</v>
      </c>
      <c r="G7494">
        <v>-262.83260000000001</v>
      </c>
      <c r="H7494" s="1">
        <v>-5.9975329999999996E-7</v>
      </c>
      <c r="I7494">
        <v>-61.809269999999998</v>
      </c>
      <c r="J7494">
        <v>-276.30200000000002</v>
      </c>
      <c r="K7494">
        <v>1.1211329999999999</v>
      </c>
      <c r="L7494">
        <v>-63.38409</v>
      </c>
      <c r="M7494">
        <v>0.99982760000000004</v>
      </c>
      <c r="N7494">
        <v>-1.137759E-2</v>
      </c>
      <c r="O7494">
        <v>1.4681E-2</v>
      </c>
      <c r="P7494">
        <v>0.98720209999999997</v>
      </c>
      <c r="Q7494">
        <v>-0.15797539999999999</v>
      </c>
      <c r="R7494">
        <v>2.1821489999999999E-2</v>
      </c>
      <c r="S7494">
        <v>2.9915159999999998</v>
      </c>
      <c r="T7494">
        <v>-0.2470791</v>
      </c>
      <c r="U7494">
        <v>0.3475647</v>
      </c>
      <c r="V7494">
        <v>-6.9923519999999899E-3</v>
      </c>
      <c r="W7494">
        <v>-0.14674699999999999</v>
      </c>
      <c r="X7494">
        <v>0.98914930000000001</v>
      </c>
      <c r="Y7494">
        <v>-0.100463</v>
      </c>
      <c r="Z7494">
        <v>3.6625719999999998E-3</v>
      </c>
      <c r="AA7494">
        <v>0.99493410000000004</v>
      </c>
      <c r="AB7494">
        <v>21</v>
      </c>
      <c r="AC7494">
        <v>13.4694</v>
      </c>
      <c r="AD7494">
        <v>-1.1211335997532901</v>
      </c>
      <c r="AE7494">
        <v>1.5748200000000001</v>
      </c>
      <c r="AF7494">
        <v>-1.36754639898736</v>
      </c>
      <c r="AG7494">
        <v>-1.1211335997532901</v>
      </c>
      <c r="AH7494">
        <v>13.399487670590799</v>
      </c>
      <c r="AI7494">
        <v>94.758188721072301</v>
      </c>
      <c r="AJ7494">
        <v>95.827407361631501</v>
      </c>
      <c r="AK7494">
        <v>13.5156721451874</v>
      </c>
      <c r="AL7494">
        <v>98.438457576523504</v>
      </c>
      <c r="AM7494">
        <v>90.405020339461601</v>
      </c>
      <c r="AN7494">
        <v>0.99999995634298999</v>
      </c>
    </row>
    <row r="7495" spans="1:40" x14ac:dyDescent="0.25">
      <c r="A7495" t="str">
        <f>"20190303154957617"</f>
        <v>20190303154957617</v>
      </c>
      <c r="B7495" t="str">
        <f>"1551599397608004"</f>
        <v>1551599397608004</v>
      </c>
      <c r="C7495" t="s">
        <v>40</v>
      </c>
      <c r="D7495">
        <v>5.7684139999999999</v>
      </c>
      <c r="E7495">
        <v>0.46416849999999998</v>
      </c>
      <c r="F7495" t="s">
        <v>70</v>
      </c>
      <c r="G7495">
        <v>-262.91269999999997</v>
      </c>
      <c r="H7495" s="1">
        <v>-6.3843150000000002E-7</v>
      </c>
      <c r="I7495">
        <v>-61.825490000000002</v>
      </c>
      <c r="J7495">
        <v>-276.19920000000002</v>
      </c>
      <c r="K7495">
        <v>1.121084</v>
      </c>
      <c r="L7495">
        <v>-63.381680000000003</v>
      </c>
      <c r="M7495">
        <v>0.99981799999999998</v>
      </c>
      <c r="N7495">
        <v>-1.115735E-2</v>
      </c>
      <c r="O7495">
        <v>1.5481490000000001E-2</v>
      </c>
      <c r="P7495">
        <v>0.98720719999999995</v>
      </c>
      <c r="Q7495">
        <v>-0.15795819999999999</v>
      </c>
      <c r="R7495">
        <v>2.1716450000000002E-2</v>
      </c>
      <c r="S7495">
        <v>2.9911500000000002</v>
      </c>
      <c r="T7495">
        <v>-0.2504593</v>
      </c>
      <c r="U7495">
        <v>0.34817500000000001</v>
      </c>
      <c r="V7495">
        <v>-6.1049679999999997E-3</v>
      </c>
      <c r="W7495">
        <v>-0.1469452</v>
      </c>
      <c r="X7495">
        <v>0.98912580000000005</v>
      </c>
      <c r="Y7495">
        <v>-9.987741E-2</v>
      </c>
      <c r="Z7495">
        <v>3.6029790000000001E-3</v>
      </c>
      <c r="AA7495">
        <v>0.99499320000000002</v>
      </c>
      <c r="AB7495">
        <v>21</v>
      </c>
      <c r="AC7495">
        <v>13.2865</v>
      </c>
      <c r="AD7495">
        <v>-1.1210846384315001</v>
      </c>
      <c r="AE7495">
        <v>1.55619</v>
      </c>
      <c r="AF7495">
        <v>-1.3408785449234499</v>
      </c>
      <c r="AG7495">
        <v>-1.1210846384315001</v>
      </c>
      <c r="AH7495">
        <v>13.2161805398143</v>
      </c>
      <c r="AI7495">
        <v>94.823956568518796</v>
      </c>
      <c r="AJ7495">
        <v>95.793253953304699</v>
      </c>
      <c r="AK7495">
        <v>13.331249532573</v>
      </c>
      <c r="AL7495">
        <v>98.449937639418096</v>
      </c>
      <c r="AM7495">
        <v>90.353629901142398</v>
      </c>
      <c r="AN7495">
        <v>1.0000000053314799</v>
      </c>
    </row>
    <row r="7496" spans="1:40" x14ac:dyDescent="0.25">
      <c r="A7496" t="str">
        <f>"20190303154957629"</f>
        <v>20190303154957629</v>
      </c>
      <c r="B7496" t="str">
        <f>"1551599397617765"</f>
        <v>1551599397617765</v>
      </c>
      <c r="C7496" t="s">
        <v>40</v>
      </c>
      <c r="D7496">
        <v>5.7349509999999997</v>
      </c>
      <c r="E7496">
        <v>0.46413959999999999</v>
      </c>
      <c r="F7496" t="s">
        <v>41</v>
      </c>
      <c r="G7496">
        <v>-262.83049999999997</v>
      </c>
      <c r="H7496" s="1">
        <v>-6.0353319999999997E-7</v>
      </c>
      <c r="I7496">
        <v>-61.826819999999998</v>
      </c>
      <c r="J7496">
        <v>-276.08870000000002</v>
      </c>
      <c r="K7496">
        <v>1.1210290000000001</v>
      </c>
      <c r="L7496">
        <v>-63.37903</v>
      </c>
      <c r="M7496">
        <v>0.99980740000000001</v>
      </c>
      <c r="N7496">
        <v>-1.0935469999999999E-2</v>
      </c>
      <c r="O7496">
        <v>1.6303600000000001E-2</v>
      </c>
      <c r="P7496">
        <v>0.98722529999999997</v>
      </c>
      <c r="Q7496">
        <v>-0.15780549999999999</v>
      </c>
      <c r="R7496">
        <v>2.2004059999999999E-2</v>
      </c>
      <c r="S7496">
        <v>2.9911189999999999</v>
      </c>
      <c r="T7496">
        <v>-0.25083090000000002</v>
      </c>
      <c r="U7496">
        <v>0.34786990000000001</v>
      </c>
      <c r="V7496">
        <v>-5.5912829999999998E-3</v>
      </c>
      <c r="W7496">
        <v>-0.14701</v>
      </c>
      <c r="X7496">
        <v>0.98911919999999998</v>
      </c>
      <c r="Y7496">
        <v>-9.8966239999999997E-2</v>
      </c>
      <c r="Z7496">
        <v>3.4900869999999998E-3</v>
      </c>
      <c r="AA7496">
        <v>0.99508459999999999</v>
      </c>
      <c r="AB7496">
        <v>21</v>
      </c>
      <c r="AC7496">
        <v>13.2582</v>
      </c>
      <c r="AD7496">
        <v>-1.1210296035331999</v>
      </c>
      <c r="AE7496">
        <v>1.5522100000000001</v>
      </c>
      <c r="AF7496">
        <v>-1.3264791749289</v>
      </c>
      <c r="AG7496">
        <v>-1.1210296035331999</v>
      </c>
      <c r="AH7496">
        <v>13.1887301475937</v>
      </c>
      <c r="AI7496">
        <v>94.834136871072701</v>
      </c>
      <c r="AJ7496">
        <v>95.743307532851702</v>
      </c>
      <c r="AK7496">
        <v>13.3025883676661</v>
      </c>
      <c r="AL7496">
        <v>98.453691239364105</v>
      </c>
      <c r="AM7496">
        <v>90.323877552671902</v>
      </c>
      <c r="AN7496">
        <v>0.99999999717711296</v>
      </c>
    </row>
    <row r="7497" spans="1:40" x14ac:dyDescent="0.25">
      <c r="A7497" t="str">
        <f>"20190303154957641"</f>
        <v>20190303154957641</v>
      </c>
      <c r="B7497" t="str">
        <f>"1551599397628499"</f>
        <v>1551599397628499</v>
      </c>
      <c r="C7497" t="s">
        <v>40</v>
      </c>
      <c r="D7497">
        <v>5.7819580000000004</v>
      </c>
      <c r="E7497">
        <v>0.4640668</v>
      </c>
      <c r="F7497" t="s">
        <v>41</v>
      </c>
      <c r="G7497">
        <v>-262.71530000000001</v>
      </c>
      <c r="H7497" s="1">
        <v>-5.5166409999999995E-7</v>
      </c>
      <c r="I7497">
        <v>-61.817680000000003</v>
      </c>
      <c r="J7497">
        <v>-275.97930000000002</v>
      </c>
      <c r="K7497">
        <v>1.120976</v>
      </c>
      <c r="L7497">
        <v>-63.376370000000001</v>
      </c>
      <c r="M7497">
        <v>0.99979640000000003</v>
      </c>
      <c r="N7497">
        <v>-1.072155E-2</v>
      </c>
      <c r="O7497">
        <v>1.710211E-2</v>
      </c>
      <c r="P7497">
        <v>0.98723970000000005</v>
      </c>
      <c r="Q7497">
        <v>-0.15769540000000001</v>
      </c>
      <c r="R7497">
        <v>2.2144790000000001E-2</v>
      </c>
      <c r="S7497">
        <v>2.9909669999999999</v>
      </c>
      <c r="T7497">
        <v>-0.25071880000000002</v>
      </c>
      <c r="U7497">
        <v>0.3491821</v>
      </c>
      <c r="V7497">
        <v>-4.9549540000000001E-3</v>
      </c>
      <c r="W7497">
        <v>-0.14710960000000001</v>
      </c>
      <c r="X7497">
        <v>0.98910779999999998</v>
      </c>
      <c r="Y7497">
        <v>-9.8613010000000001E-2</v>
      </c>
      <c r="Z7497">
        <v>3.4001529999999999E-3</v>
      </c>
      <c r="AA7497">
        <v>0.99512</v>
      </c>
      <c r="AB7497">
        <v>21</v>
      </c>
      <c r="AC7497">
        <v>13.263999999999999</v>
      </c>
      <c r="AD7497">
        <v>-1.1209765516640999</v>
      </c>
      <c r="AE7497">
        <v>1.5586899999999899</v>
      </c>
      <c r="AF7497">
        <v>-1.32229093276952</v>
      </c>
      <c r="AG7497">
        <v>-1.1209765516640999</v>
      </c>
      <c r="AH7497">
        <v>13.1957527811057</v>
      </c>
      <c r="AI7497">
        <v>94.831526080894804</v>
      </c>
      <c r="AJ7497">
        <v>95.722267489242199</v>
      </c>
      <c r="AK7497">
        <v>13.3091296935721</v>
      </c>
      <c r="AL7497">
        <v>98.459460491241501</v>
      </c>
      <c r="AM7497">
        <v>90.287021876770694</v>
      </c>
      <c r="AN7497">
        <v>1.00000001300107</v>
      </c>
    </row>
    <row r="7498" spans="1:40" x14ac:dyDescent="0.25">
      <c r="A7498" t="str">
        <f>"20190303154957652"</f>
        <v>20190303154957652</v>
      </c>
      <c r="B7498" t="str">
        <f>"1551599397648020"</f>
        <v>1551599397648020</v>
      </c>
      <c r="C7498" t="s">
        <v>40</v>
      </c>
      <c r="D7498">
        <v>5.7632700000000003</v>
      </c>
      <c r="E7498">
        <v>0.46402660000000001</v>
      </c>
      <c r="F7498" t="s">
        <v>70</v>
      </c>
      <c r="G7498">
        <v>-262.5992</v>
      </c>
      <c r="H7498" s="1">
        <v>-4.9948079999999996E-7</v>
      </c>
      <c r="I7498">
        <v>-61.80874</v>
      </c>
      <c r="J7498">
        <v>-275.86489999999998</v>
      </c>
      <c r="K7498">
        <v>1.1209169999999999</v>
      </c>
      <c r="L7498">
        <v>-63.373539999999998</v>
      </c>
      <c r="M7498">
        <v>0.99978480000000003</v>
      </c>
      <c r="N7498">
        <v>-1.051905E-2</v>
      </c>
      <c r="O7498">
        <v>1.7881910000000001E-2</v>
      </c>
      <c r="P7498">
        <v>0.98730379999999995</v>
      </c>
      <c r="Q7498">
        <v>-0.15724479999999999</v>
      </c>
      <c r="R7498">
        <v>2.2483889999999999E-2</v>
      </c>
      <c r="S7498">
        <v>2.9909059999999998</v>
      </c>
      <c r="T7498">
        <v>-0.25057570000000001</v>
      </c>
      <c r="U7498">
        <v>0.35040280000000001</v>
      </c>
      <c r="V7498">
        <v>-4.536778E-3</v>
      </c>
      <c r="W7498">
        <v>-0.1468573</v>
      </c>
      <c r="X7498">
        <v>0.98914729999999995</v>
      </c>
      <c r="Y7498">
        <v>-9.8244849999999995E-2</v>
      </c>
      <c r="Z7498">
        <v>3.311058E-3</v>
      </c>
      <c r="AA7498">
        <v>0.99515679999999995</v>
      </c>
      <c r="AB7498">
        <v>21</v>
      </c>
      <c r="AC7498">
        <v>13.265699999999899</v>
      </c>
      <c r="AD7498">
        <v>-1.1209174994808</v>
      </c>
      <c r="AE7498">
        <v>1.5648</v>
      </c>
      <c r="AF7498">
        <v>-1.3180391857175799</v>
      </c>
      <c r="AG7498">
        <v>-1.1209174994808</v>
      </c>
      <c r="AH7498">
        <v>13.1986193359231</v>
      </c>
      <c r="AI7498">
        <v>94.830392190331395</v>
      </c>
      <c r="AJ7498">
        <v>95.702758745620599</v>
      </c>
      <c r="AK7498">
        <v>13.311545203707</v>
      </c>
      <c r="AL7498">
        <v>98.444846020866294</v>
      </c>
      <c r="AM7498">
        <v>90.262788372654001</v>
      </c>
      <c r="AN7498">
        <v>1.0000000150076001</v>
      </c>
    </row>
    <row r="7499" spans="1:40" x14ac:dyDescent="0.25">
      <c r="A7499" t="str">
        <f>"20190303154957663"</f>
        <v>20190303154957663</v>
      </c>
      <c r="B7499" t="str">
        <f>"1551599397658756"</f>
        <v>1551599397658756</v>
      </c>
      <c r="C7499" t="s">
        <v>40</v>
      </c>
      <c r="D7499">
        <v>5.7116360000000004</v>
      </c>
      <c r="E7499">
        <v>0.46396539999999997</v>
      </c>
      <c r="F7499" t="s">
        <v>41</v>
      </c>
      <c r="G7499">
        <v>-262.38850000000002</v>
      </c>
      <c r="H7499" s="1">
        <v>-4.0340259999999998E-7</v>
      </c>
      <c r="I7499">
        <v>-61.787239999999997</v>
      </c>
      <c r="J7499">
        <v>-275.76620000000003</v>
      </c>
      <c r="K7499">
        <v>1.1208629999999999</v>
      </c>
      <c r="L7499">
        <v>-63.371029999999998</v>
      </c>
      <c r="M7499">
        <v>0.99977459999999996</v>
      </c>
      <c r="N7499">
        <v>-1.034855E-2</v>
      </c>
      <c r="O7499">
        <v>1.8543299999999999E-2</v>
      </c>
      <c r="P7499">
        <v>0.98727759999999998</v>
      </c>
      <c r="Q7499">
        <v>-0.15737229999999999</v>
      </c>
      <c r="R7499">
        <v>2.274609E-2</v>
      </c>
      <c r="S7499">
        <v>2.9909669999999999</v>
      </c>
      <c r="T7499">
        <v>-0.2487782</v>
      </c>
      <c r="U7499">
        <v>0.3520508</v>
      </c>
      <c r="V7499">
        <v>-4.157376E-3</v>
      </c>
      <c r="W7499">
        <v>-0.14715239999999999</v>
      </c>
      <c r="X7499">
        <v>0.98910509999999996</v>
      </c>
      <c r="Y7499">
        <v>-9.8132549999999999E-2</v>
      </c>
      <c r="Z7499">
        <v>3.227742E-3</v>
      </c>
      <c r="AA7499">
        <v>0.9951681</v>
      </c>
      <c r="AB7499">
        <v>21</v>
      </c>
      <c r="AC7499">
        <v>13.377700000000001</v>
      </c>
      <c r="AD7499">
        <v>-1.1208634034025999</v>
      </c>
      <c r="AE7499">
        <v>1.58379</v>
      </c>
      <c r="AF7499">
        <v>-1.3262559491431201</v>
      </c>
      <c r="AG7499">
        <v>-1.1208634034025999</v>
      </c>
      <c r="AH7499">
        <v>13.312605976785401</v>
      </c>
      <c r="AI7499">
        <v>94.789107994609296</v>
      </c>
      <c r="AJ7499">
        <v>95.689266228829197</v>
      </c>
      <c r="AK7499">
        <v>13.4253777416081</v>
      </c>
      <c r="AL7499">
        <v>98.461939794148293</v>
      </c>
      <c r="AM7499">
        <v>90.2408224322499</v>
      </c>
      <c r="AN7499">
        <v>1.0000000057234799</v>
      </c>
    </row>
    <row r="7500" spans="1:40" x14ac:dyDescent="0.25">
      <c r="A7500" t="str">
        <f>"20190303154957674"</f>
        <v>20190303154957674</v>
      </c>
      <c r="B7500" t="str">
        <f>"1551599397668515"</f>
        <v>1551599397668515</v>
      </c>
      <c r="C7500" t="s">
        <v>40</v>
      </c>
      <c r="D7500">
        <v>5.7226850000000002</v>
      </c>
      <c r="E7500">
        <v>0.46397470000000002</v>
      </c>
      <c r="F7500" t="s">
        <v>41</v>
      </c>
      <c r="G7500">
        <v>-262.26990000000001</v>
      </c>
      <c r="H7500" s="1">
        <v>-3.494513E-7</v>
      </c>
      <c r="I7500">
        <v>-61.775759999999998</v>
      </c>
      <c r="J7500">
        <v>-275.65120000000002</v>
      </c>
      <c r="K7500">
        <v>1.1208070000000001</v>
      </c>
      <c r="L7500">
        <v>-63.368040000000001</v>
      </c>
      <c r="M7500">
        <v>0.99976259999999995</v>
      </c>
      <c r="N7500">
        <v>-1.0164579999999999E-2</v>
      </c>
      <c r="O7500">
        <v>1.9275090000000002E-2</v>
      </c>
      <c r="P7500">
        <v>0.98719539999999995</v>
      </c>
      <c r="Q7500">
        <v>-0.15785739999999901</v>
      </c>
      <c r="R7500">
        <v>2.2942779999999999E-2</v>
      </c>
      <c r="S7500">
        <v>2.990936</v>
      </c>
      <c r="T7500">
        <v>-0.24839539999999999</v>
      </c>
      <c r="U7500">
        <v>0.35351559999999999</v>
      </c>
      <c r="V7500">
        <v>-3.6452780000000001E-3</v>
      </c>
      <c r="W7500">
        <v>-0.14781900000000001</v>
      </c>
      <c r="X7500">
        <v>0.98900770000000005</v>
      </c>
      <c r="Y7500">
        <v>-9.7890850000000001E-2</v>
      </c>
      <c r="Z7500">
        <v>3.1471250000000002E-3</v>
      </c>
      <c r="AA7500">
        <v>0.99519219999999997</v>
      </c>
      <c r="AB7500">
        <v>21</v>
      </c>
      <c r="AC7500">
        <v>13.3813</v>
      </c>
      <c r="AD7500">
        <v>-1.12080734945129</v>
      </c>
      <c r="AE7500">
        <v>1.5922799999999999</v>
      </c>
      <c r="AF7500">
        <v>-1.3248800111729999</v>
      </c>
      <c r="AG7500">
        <v>-1.12080734945129</v>
      </c>
      <c r="AH7500">
        <v>13.317381563098101</v>
      </c>
      <c r="AI7500">
        <v>94.787225621589698</v>
      </c>
      <c r="AJ7500">
        <v>95.681377780748704</v>
      </c>
      <c r="AK7500">
        <v>13.4299727421814</v>
      </c>
      <c r="AL7500">
        <v>98.500555608955295</v>
      </c>
      <c r="AM7500">
        <v>90.211179446602003</v>
      </c>
      <c r="AN7500">
        <v>0.99999998773599297</v>
      </c>
    </row>
    <row r="7501" spans="1:40" x14ac:dyDescent="0.25">
      <c r="A7501" t="str">
        <f>"20190303154957686"</f>
        <v>20190303154957686</v>
      </c>
      <c r="B7501" t="str">
        <f>"1551599397678784"</f>
        <v>1551599397678784</v>
      </c>
      <c r="C7501" t="s">
        <v>40</v>
      </c>
      <c r="D7501">
        <v>5.7011120000000002</v>
      </c>
      <c r="E7501">
        <v>0.46397670000000002</v>
      </c>
      <c r="F7501" t="s">
        <v>70</v>
      </c>
      <c r="G7501">
        <v>-262.20699999999999</v>
      </c>
      <c r="H7501" s="1">
        <v>-3.223524E-7</v>
      </c>
      <c r="I7501">
        <v>-61.775300000000001</v>
      </c>
      <c r="J7501">
        <v>-275.54660000000001</v>
      </c>
      <c r="K7501">
        <v>1.1207560000000001</v>
      </c>
      <c r="L7501">
        <v>-63.365299999999998</v>
      </c>
      <c r="M7501">
        <v>0.99975170000000002</v>
      </c>
      <c r="N7501">
        <v>-1.0004519999999999E-2</v>
      </c>
      <c r="O7501">
        <v>1.9915390000000002E-2</v>
      </c>
      <c r="P7501">
        <v>0.98711170000000004</v>
      </c>
      <c r="Q7501">
        <v>-0.15839159999999999</v>
      </c>
      <c r="R7501">
        <v>2.286169E-2</v>
      </c>
      <c r="S7501">
        <v>2.9908139999999999</v>
      </c>
      <c r="T7501">
        <v>-0.24933659999999999</v>
      </c>
      <c r="U7501">
        <v>0.35430909999999999</v>
      </c>
      <c r="V7501">
        <v>-2.9446490000000001E-3</v>
      </c>
      <c r="W7501">
        <v>-0.1485107</v>
      </c>
      <c r="X7501">
        <v>0.98890639999999996</v>
      </c>
      <c r="Y7501">
        <v>-9.7520380000000004E-2</v>
      </c>
      <c r="Z7501">
        <v>3.0815920000000002E-3</v>
      </c>
      <c r="AA7501">
        <v>0.99522880000000002</v>
      </c>
      <c r="AB7501">
        <v>21</v>
      </c>
      <c r="AC7501">
        <v>13.339600000000001</v>
      </c>
      <c r="AD7501">
        <v>-1.1207563223524</v>
      </c>
      <c r="AE7501">
        <v>1.5899999999999901</v>
      </c>
      <c r="AF7501">
        <v>-1.3148565929324501</v>
      </c>
      <c r="AG7501">
        <v>-1.1207563223524</v>
      </c>
      <c r="AH7501">
        <v>13.276218469551299</v>
      </c>
      <c r="AI7501">
        <v>94.801991353989706</v>
      </c>
      <c r="AJ7501">
        <v>95.656042787052598</v>
      </c>
      <c r="AK7501">
        <v>13.388163408224701</v>
      </c>
      <c r="AL7501">
        <v>98.540629445193801</v>
      </c>
      <c r="AM7501">
        <v>90.170608119438697</v>
      </c>
      <c r="AN7501">
        <v>0.99999998346659102</v>
      </c>
    </row>
    <row r="7502" spans="1:40" x14ac:dyDescent="0.25">
      <c r="A7502" t="str">
        <f>"20190303154957697"</f>
        <v>20190303154957697</v>
      </c>
      <c r="B7502" t="str">
        <f>"1551599397688542"</f>
        <v>1551599397688542</v>
      </c>
      <c r="C7502" t="s">
        <v>40</v>
      </c>
      <c r="D7502">
        <v>5.6993910000000003</v>
      </c>
      <c r="E7502">
        <v>0.46396959999999998</v>
      </c>
      <c r="F7502" t="s">
        <v>41</v>
      </c>
      <c r="G7502">
        <v>-262.15370000000001</v>
      </c>
      <c r="H7502" s="1">
        <v>-3.005287E-7</v>
      </c>
      <c r="I7502">
        <v>-61.779310000000002</v>
      </c>
      <c r="J7502">
        <v>-275.43529999999998</v>
      </c>
      <c r="K7502">
        <v>1.1206989999999999</v>
      </c>
      <c r="L7502">
        <v>-63.362369999999999</v>
      </c>
      <c r="M7502">
        <v>0.99974010000000002</v>
      </c>
      <c r="N7502">
        <v>-9.8419519999999993E-3</v>
      </c>
      <c r="O7502">
        <v>2.0569859999999999E-2</v>
      </c>
      <c r="P7502">
        <v>0.98702440000000002</v>
      </c>
      <c r="Q7502">
        <v>-0.1589267</v>
      </c>
      <c r="R7502">
        <v>2.2923809999999999E-2</v>
      </c>
      <c r="S7502">
        <v>2.9908139999999999</v>
      </c>
      <c r="T7502">
        <v>-0.25027949999999999</v>
      </c>
      <c r="U7502">
        <v>0.35415649999999999</v>
      </c>
      <c r="V7502">
        <v>-2.374297E-3</v>
      </c>
      <c r="W7502">
        <v>-0.14920620000000001</v>
      </c>
      <c r="X7502">
        <v>0.98880330000000005</v>
      </c>
      <c r="Y7502">
        <v>-9.6821939999999995E-2</v>
      </c>
      <c r="Z7502">
        <v>2.9988699999999998E-3</v>
      </c>
      <c r="AA7502">
        <v>0.99529719999999999</v>
      </c>
      <c r="AB7502">
        <v>22</v>
      </c>
      <c r="AC7502">
        <v>13.2815999999999</v>
      </c>
      <c r="AD7502">
        <v>-1.12069930052869</v>
      </c>
      <c r="AE7502">
        <v>1.5830599999999999</v>
      </c>
      <c r="AF7502">
        <v>-1.3003821964411699</v>
      </c>
      <c r="AG7502">
        <v>-1.12069930052869</v>
      </c>
      <c r="AH7502">
        <v>13.2185572543869</v>
      </c>
      <c r="AI7502">
        <v>94.822906596577994</v>
      </c>
      <c r="AJ7502">
        <v>95.6184230268764</v>
      </c>
      <c r="AK7502">
        <v>13.3295617582324</v>
      </c>
      <c r="AL7502">
        <v>98.580927096073296</v>
      </c>
      <c r="AM7502">
        <v>90.137577348257807</v>
      </c>
      <c r="AN7502">
        <v>1.0000000467477801</v>
      </c>
    </row>
    <row r="7503" spans="1:40" x14ac:dyDescent="0.25">
      <c r="A7503" t="str">
        <f>"20190303154957709"</f>
        <v>20190303154957709</v>
      </c>
      <c r="B7503" t="str">
        <f>"1551599397698303"</f>
        <v>1551599397698303</v>
      </c>
      <c r="C7503" t="s">
        <v>40</v>
      </c>
      <c r="D7503">
        <v>5.7088669999999997</v>
      </c>
      <c r="E7503">
        <v>0.46397509999999997</v>
      </c>
      <c r="F7503" t="s">
        <v>70</v>
      </c>
      <c r="G7503">
        <v>-262.1103</v>
      </c>
      <c r="H7503" s="1">
        <v>-2.82936099999999E-7</v>
      </c>
      <c r="I7503">
        <v>-61.783140000000003</v>
      </c>
      <c r="J7503">
        <v>-275.32749999999999</v>
      </c>
      <c r="K7503">
        <v>1.1206449999999999</v>
      </c>
      <c r="L7503">
        <v>-63.359470000000002</v>
      </c>
      <c r="M7503">
        <v>0.99972899999999998</v>
      </c>
      <c r="N7503">
        <v>-9.6920389999999995E-3</v>
      </c>
      <c r="O7503">
        <v>2.116266E-2</v>
      </c>
      <c r="P7503">
        <v>0.98692429999999998</v>
      </c>
      <c r="Q7503">
        <v>-0.1595828</v>
      </c>
      <c r="R7503">
        <v>2.2675279999999999E-2</v>
      </c>
      <c r="S7503">
        <v>2.990723</v>
      </c>
      <c r="T7503">
        <v>-0.25153389999999998</v>
      </c>
      <c r="U7503">
        <v>0.3544312</v>
      </c>
      <c r="V7503">
        <v>-1.554169E-3</v>
      </c>
      <c r="W7503">
        <v>-0.15001</v>
      </c>
      <c r="X7503">
        <v>0.98868330000000004</v>
      </c>
      <c r="Y7503">
        <v>-9.6326960000000003E-2</v>
      </c>
      <c r="Z7503">
        <v>2.93319E-3</v>
      </c>
      <c r="AA7503">
        <v>0.99534540000000005</v>
      </c>
      <c r="AB7503">
        <v>22</v>
      </c>
      <c r="AC7503">
        <v>13.217199999999901</v>
      </c>
      <c r="AD7503">
        <v>-1.1206452829361</v>
      </c>
      <c r="AE7503">
        <v>1.57632999999999</v>
      </c>
      <c r="AF7503">
        <v>-1.28712950244777</v>
      </c>
      <c r="AG7503">
        <v>-1.1206452829361</v>
      </c>
      <c r="AH7503">
        <v>13.1543624777799</v>
      </c>
      <c r="AI7503">
        <v>94.846345801905201</v>
      </c>
      <c r="AJ7503">
        <v>95.588493809460601</v>
      </c>
      <c r="AK7503">
        <v>13.2646070579969</v>
      </c>
      <c r="AL7503">
        <v>98.627505711730294</v>
      </c>
      <c r="AM7503">
        <v>90.090066506638905</v>
      </c>
      <c r="AN7503">
        <v>1.00000004162008</v>
      </c>
    </row>
    <row r="7504" spans="1:40" x14ac:dyDescent="0.25">
      <c r="A7504" t="str">
        <f>"20190303154957719"</f>
        <v>20190303154957719</v>
      </c>
      <c r="B7504" t="str">
        <f>"1551599397708064"</f>
        <v>1551599397708064</v>
      </c>
      <c r="C7504" t="s">
        <v>40</v>
      </c>
      <c r="D7504">
        <v>5.7215769999999999</v>
      </c>
      <c r="E7504">
        <v>0.4639124</v>
      </c>
      <c r="F7504" t="s">
        <v>41</v>
      </c>
      <c r="G7504">
        <v>-262.05549999999999</v>
      </c>
      <c r="H7504" s="1">
        <v>-2.61288299999999E-7</v>
      </c>
      <c r="I7504">
        <v>-61.790080000000003</v>
      </c>
      <c r="J7504">
        <v>-275.22050000000002</v>
      </c>
      <c r="K7504">
        <v>1.1205959999999999</v>
      </c>
      <c r="L7504">
        <v>-63.356569999999998</v>
      </c>
      <c r="M7504">
        <v>0.99971810000000005</v>
      </c>
      <c r="N7504">
        <v>-9.5458790000000002E-3</v>
      </c>
      <c r="O7504">
        <v>2.1736249999999999E-2</v>
      </c>
      <c r="P7504">
        <v>0.98673469999999996</v>
      </c>
      <c r="Q7504">
        <v>-0.16076550000000001</v>
      </c>
      <c r="R7504">
        <v>2.2562680000000002E-2</v>
      </c>
      <c r="S7504">
        <v>2.9907840000000001</v>
      </c>
      <c r="T7504">
        <v>-0.25253179999999997</v>
      </c>
      <c r="U7504">
        <v>0.3536377</v>
      </c>
      <c r="V7504">
        <v>-8.8925530000000003E-4</v>
      </c>
      <c r="W7504">
        <v>-0.1513379</v>
      </c>
      <c r="X7504">
        <v>0.98848170000000002</v>
      </c>
      <c r="Y7504">
        <v>-9.5496429999999993E-2</v>
      </c>
      <c r="Z7504">
        <v>2.8503970000000002E-3</v>
      </c>
      <c r="AA7504">
        <v>0.99542569999999997</v>
      </c>
      <c r="AB7504">
        <v>22</v>
      </c>
      <c r="AC7504">
        <v>13.164999999999999</v>
      </c>
      <c r="AD7504">
        <v>-1.1205962612883</v>
      </c>
      <c r="AE7504">
        <v>1.5664899999999899</v>
      </c>
      <c r="AF7504">
        <v>-1.2708697881340101</v>
      </c>
      <c r="AG7504">
        <v>-1.1205962612883</v>
      </c>
      <c r="AH7504">
        <v>13.102335416224401</v>
      </c>
      <c r="AI7504">
        <v>94.865684110474803</v>
      </c>
      <c r="AJ7504">
        <v>95.540111750071404</v>
      </c>
      <c r="AK7504">
        <v>13.2114359309824</v>
      </c>
      <c r="AL7504">
        <v>98.704467681195894</v>
      </c>
      <c r="AM7504">
        <v>90.051544264152398</v>
      </c>
      <c r="AN7504">
        <v>1.00000001099314</v>
      </c>
    </row>
    <row r="7505" spans="1:40" x14ac:dyDescent="0.25">
      <c r="A7505" t="str">
        <f>"20190303154957731"</f>
        <v>20190303154957731</v>
      </c>
      <c r="B7505" t="str">
        <f>"1551599397728559"</f>
        <v>1551599397728559</v>
      </c>
      <c r="C7505" t="s">
        <v>40</v>
      </c>
      <c r="D7505">
        <v>5.7688379999999997</v>
      </c>
      <c r="E7505">
        <v>0.4639547</v>
      </c>
      <c r="F7505" t="s">
        <v>70</v>
      </c>
      <c r="G7505">
        <v>-262.07650000000001</v>
      </c>
      <c r="H7505" s="1">
        <v>-2.7336390000000002E-7</v>
      </c>
      <c r="I7505">
        <v>-61.801609999999997</v>
      </c>
      <c r="J7505">
        <v>-275.11070000000001</v>
      </c>
      <c r="K7505">
        <v>1.1205430000000001</v>
      </c>
      <c r="L7505">
        <v>-63.353580000000001</v>
      </c>
      <c r="M7505">
        <v>0.99970789999999998</v>
      </c>
      <c r="N7505">
        <v>-9.4002970000000002E-3</v>
      </c>
      <c r="O7505">
        <v>2.2265469999999999E-2</v>
      </c>
      <c r="P7505">
        <v>0.98657169999999905</v>
      </c>
      <c r="Q7505">
        <v>-0.1618744</v>
      </c>
      <c r="R7505">
        <v>2.1749210000000001E-2</v>
      </c>
      <c r="S7505">
        <v>2.9906920000000001</v>
      </c>
      <c r="T7505">
        <v>-0.25497320000000001</v>
      </c>
      <c r="U7505">
        <v>0.3537903</v>
      </c>
      <c r="V7505">
        <v>4.3094370000000001E-4</v>
      </c>
      <c r="W7505">
        <v>-0.15259039999999999</v>
      </c>
      <c r="X7505">
        <v>0.98828939999999998</v>
      </c>
      <c r="Y7505">
        <v>-9.5021809999999998E-2</v>
      </c>
      <c r="Z7505">
        <v>2.7991219999999998E-3</v>
      </c>
      <c r="AA7505">
        <v>0.9954712</v>
      </c>
      <c r="AB7505">
        <v>22</v>
      </c>
      <c r="AC7505">
        <v>13.034199999999901</v>
      </c>
      <c r="AD7505">
        <v>-1.12054327336389</v>
      </c>
      <c r="AE7505">
        <v>1.5519700000000101</v>
      </c>
      <c r="AF7505">
        <v>-1.2522342380648199</v>
      </c>
      <c r="AG7505">
        <v>-1.12054327336389</v>
      </c>
      <c r="AH7505">
        <v>12.9710000323466</v>
      </c>
      <c r="AI7505">
        <v>94.914692442391797</v>
      </c>
      <c r="AJ7505">
        <v>95.514306861470601</v>
      </c>
      <c r="AK7505">
        <v>13.0793940858741</v>
      </c>
      <c r="AL7505">
        <v>98.777074198074601</v>
      </c>
      <c r="AM7505">
        <v>89.975016170715904</v>
      </c>
      <c r="AN7505">
        <v>0.99999997701849597</v>
      </c>
    </row>
    <row r="7506" spans="1:40" x14ac:dyDescent="0.25">
      <c r="A7506" t="str">
        <f>"20190303154957748"</f>
        <v>20190303154957748</v>
      </c>
      <c r="B7506" t="str">
        <f>"1551599397738319"</f>
        <v>1551599397738319</v>
      </c>
      <c r="C7506" t="s">
        <v>40</v>
      </c>
      <c r="D7506">
        <v>5.7944969999999998</v>
      </c>
      <c r="E7506">
        <v>0.49460009999999999</v>
      </c>
      <c r="F7506" t="s">
        <v>70</v>
      </c>
      <c r="G7506">
        <v>-262.09429999999998</v>
      </c>
      <c r="H7506" s="1">
        <v>-2.8744230000000002E-7</v>
      </c>
      <c r="I7506">
        <v>-61.825890000000001</v>
      </c>
      <c r="J7506">
        <v>-274.95119999999997</v>
      </c>
      <c r="K7506">
        <v>1.120466</v>
      </c>
      <c r="L7506">
        <v>-63.349150000000002</v>
      </c>
      <c r="M7506">
        <v>0.99969359999999996</v>
      </c>
      <c r="N7506">
        <v>-9.1904010000000008E-3</v>
      </c>
      <c r="O7506">
        <v>2.298646E-2</v>
      </c>
      <c r="P7506">
        <v>0.98643720000000001</v>
      </c>
      <c r="Q7506">
        <v>-0.16273389999999999</v>
      </c>
      <c r="R7506">
        <v>2.1443070000000002E-2</v>
      </c>
      <c r="S7506">
        <v>2.990875</v>
      </c>
      <c r="T7506">
        <v>-0.25747540000000002</v>
      </c>
      <c r="U7506">
        <v>0.35101320000000003</v>
      </c>
      <c r="V7506">
        <v>1.4263030000000001E-3</v>
      </c>
      <c r="W7506">
        <v>-0.153657399999999</v>
      </c>
      <c r="X7506">
        <v>0.98812319999999998</v>
      </c>
      <c r="Y7506">
        <v>-9.3389269999999996E-2</v>
      </c>
      <c r="Z7506">
        <v>2.672822E-3</v>
      </c>
      <c r="AA7506">
        <v>0.99562609999999996</v>
      </c>
      <c r="AB7506">
        <v>22</v>
      </c>
      <c r="AC7506">
        <v>12.8568999999999</v>
      </c>
      <c r="AD7506">
        <v>-1.1204662874422999</v>
      </c>
      <c r="AE7506">
        <v>1.5232600000000001</v>
      </c>
      <c r="AF7506">
        <v>-1.2181864115113601</v>
      </c>
      <c r="AG7506">
        <v>-1.1204662874422999</v>
      </c>
      <c r="AH7506">
        <v>12.792703434472401</v>
      </c>
      <c r="AI7506">
        <v>94.983127054937</v>
      </c>
      <c r="AJ7506">
        <v>95.439593918423697</v>
      </c>
      <c r="AK7506">
        <v>12.899328819626501</v>
      </c>
      <c r="AL7506">
        <v>98.838937761106294</v>
      </c>
      <c r="AM7506">
        <v>89.917296663563206</v>
      </c>
      <c r="AN7506">
        <v>1.00000004464662</v>
      </c>
    </row>
    <row r="7507" spans="1:40" x14ac:dyDescent="0.25">
      <c r="A7507" t="str">
        <f>"20190303154957761"</f>
        <v>20190303154957761</v>
      </c>
      <c r="B7507" t="str">
        <f>"1551599397758816"</f>
        <v>1551599397758816</v>
      </c>
      <c r="C7507" t="s">
        <v>40</v>
      </c>
      <c r="D7507">
        <v>5.7174649999999998</v>
      </c>
      <c r="E7507">
        <v>0.50232169999999998</v>
      </c>
      <c r="F7507" t="s">
        <v>76</v>
      </c>
      <c r="G7507">
        <v>-257.6825</v>
      </c>
      <c r="H7507" s="1">
        <v>-2.9531020000000002E-6</v>
      </c>
      <c r="I7507">
        <v>-62.744819999999997</v>
      </c>
      <c r="J7507">
        <v>-274.81740000000002</v>
      </c>
      <c r="K7507">
        <v>1.1204000000000001</v>
      </c>
      <c r="L7507">
        <v>-63.34543</v>
      </c>
      <c r="M7507">
        <v>0.99968219999999997</v>
      </c>
      <c r="N7507">
        <v>-9.0155510000000001E-3</v>
      </c>
      <c r="O7507">
        <v>2.354119E-2</v>
      </c>
      <c r="P7507">
        <v>0.9863516</v>
      </c>
      <c r="Q7507">
        <v>-0.163302799999999</v>
      </c>
      <c r="R7507">
        <v>2.1044630000000002E-2</v>
      </c>
      <c r="S7507">
        <v>3.0067750000000002</v>
      </c>
      <c r="T7507">
        <v>-0.19509299999999999</v>
      </c>
      <c r="U7507">
        <v>0.1052246</v>
      </c>
      <c r="V7507">
        <v>2.352804E-3</v>
      </c>
      <c r="W7507">
        <v>-0.15439919999999999</v>
      </c>
      <c r="X7507">
        <v>0.98800580000000005</v>
      </c>
      <c r="Y7507">
        <v>-1.144624E-2</v>
      </c>
      <c r="Z7507">
        <v>-8.9059049999999998E-4</v>
      </c>
      <c r="AA7507">
        <v>0.99993410000000005</v>
      </c>
      <c r="AB7507">
        <v>22</v>
      </c>
      <c r="AC7507">
        <v>17.134899999999998</v>
      </c>
      <c r="AD7507">
        <v>-1.1204029531020001</v>
      </c>
      <c r="AE7507">
        <v>0.60061000000000997</v>
      </c>
      <c r="AF7507">
        <v>-0.19621332343702899</v>
      </c>
      <c r="AG7507">
        <v>-1.1204029531020001</v>
      </c>
      <c r="AH7507">
        <v>17.071391724426299</v>
      </c>
      <c r="AI7507">
        <v>93.754714799321803</v>
      </c>
      <c r="AJ7507">
        <v>90.658511062715306</v>
      </c>
      <c r="AK7507">
        <v>17.109243637707301</v>
      </c>
      <c r="AL7507">
        <v>98.8819530053281</v>
      </c>
      <c r="AM7507">
        <v>89.863558003000804</v>
      </c>
      <c r="AN7507">
        <v>1.0000000547404599</v>
      </c>
    </row>
    <row r="7508" spans="1:40" x14ac:dyDescent="0.25">
      <c r="A7508" t="str">
        <f>"20190303154957787"</f>
        <v>20190303154957787</v>
      </c>
      <c r="B7508" t="str">
        <f>"1551599397778845"</f>
        <v>1551599397778845</v>
      </c>
      <c r="C7508" t="s">
        <v>40</v>
      </c>
      <c r="D7508">
        <v>5.7859220000000002</v>
      </c>
      <c r="E7508">
        <v>0.50380720000000001</v>
      </c>
      <c r="F7508" t="s">
        <v>42</v>
      </c>
      <c r="G7508">
        <v>-273.90030000000002</v>
      </c>
      <c r="H7508">
        <v>1.04403</v>
      </c>
      <c r="I7508">
        <v>-63.332540000000002</v>
      </c>
      <c r="J7508">
        <v>-274.56970000000001</v>
      </c>
      <c r="K7508">
        <v>1.120287</v>
      </c>
      <c r="L7508">
        <v>-63.338560000000001</v>
      </c>
      <c r="M7508">
        <v>0.99966410000000006</v>
      </c>
      <c r="N7508">
        <v>-8.70491199999999E-3</v>
      </c>
      <c r="O7508">
        <v>2.4408269999999999E-2</v>
      </c>
      <c r="P7508">
        <v>0.98641690000000004</v>
      </c>
      <c r="Q7508">
        <v>-0.16309650000000001</v>
      </c>
      <c r="R7508">
        <v>1.9527650000000001E-2</v>
      </c>
      <c r="S7508">
        <v>2.9992679999999998</v>
      </c>
      <c r="T7508">
        <v>-0.24974669999999999</v>
      </c>
      <c r="U7508">
        <v>4.2724610000000003E-2</v>
      </c>
      <c r="V7508">
        <v>4.6924860000000001E-3</v>
      </c>
      <c r="W7508">
        <v>-0.154498</v>
      </c>
      <c r="X7508">
        <v>0.98798200000000003</v>
      </c>
      <c r="Y7508">
        <v>1.0061230000000001E-2</v>
      </c>
      <c r="Z7508">
        <v>-2.2784720000000001E-3</v>
      </c>
      <c r="AA7508">
        <v>0.99994680000000002</v>
      </c>
      <c r="AB7508">
        <v>22</v>
      </c>
      <c r="AC7508">
        <v>0.669399999999996</v>
      </c>
      <c r="AD7508">
        <v>-7.6257000000000005E-2</v>
      </c>
      <c r="AE7508">
        <v>6.0199999999994702E-3</v>
      </c>
      <c r="AF7508">
        <v>1.0189092543405699E-2</v>
      </c>
      <c r="AG7508">
        <v>-7.6257000000000005E-2</v>
      </c>
      <c r="AH7508">
        <v>0.66077306707710504</v>
      </c>
      <c r="AI7508">
        <v>96.582363046168496</v>
      </c>
      <c r="AJ7508">
        <v>89.116571535535002</v>
      </c>
      <c r="AK7508">
        <v>0.66523679530701096</v>
      </c>
      <c r="AL7508">
        <v>98.887682693434499</v>
      </c>
      <c r="AM7508">
        <v>89.727871943444001</v>
      </c>
      <c r="AN7508">
        <v>1.0000000418764201</v>
      </c>
    </row>
    <row r="7509" spans="1:40" x14ac:dyDescent="0.25">
      <c r="A7509" t="str">
        <f>"20190303154957809"</f>
        <v>20190303154957809</v>
      </c>
      <c r="B7509" t="str">
        <f>"1551599397798362"</f>
        <v>1551599397798362</v>
      </c>
      <c r="C7509" t="s">
        <v>40</v>
      </c>
      <c r="D7509">
        <v>5.7341410000000002</v>
      </c>
      <c r="E7509">
        <v>0.50597890000000001</v>
      </c>
      <c r="F7509" t="s">
        <v>42</v>
      </c>
      <c r="G7509">
        <v>-273.70240000000001</v>
      </c>
      <c r="H7509">
        <v>1.0466299999999999</v>
      </c>
      <c r="I7509">
        <v>-63.331189999999999</v>
      </c>
      <c r="J7509">
        <v>-274.35399999999998</v>
      </c>
      <c r="K7509">
        <v>1.1201859999999999</v>
      </c>
      <c r="L7509">
        <v>-63.332520000000002</v>
      </c>
      <c r="M7509">
        <v>0.99965099999999996</v>
      </c>
      <c r="N7509">
        <v>-8.4470580000000003E-3</v>
      </c>
      <c r="O7509">
        <v>2.503242E-2</v>
      </c>
      <c r="P7509">
        <v>0.98656109999999997</v>
      </c>
      <c r="Q7509">
        <v>-0.1622963</v>
      </c>
      <c r="R7509">
        <v>1.890238E-2</v>
      </c>
      <c r="S7509">
        <v>2.998688</v>
      </c>
      <c r="T7509">
        <v>-0.25460700000000003</v>
      </c>
      <c r="U7509">
        <v>2.630615E-2</v>
      </c>
      <c r="V7509">
        <v>5.9068030000000004E-3</v>
      </c>
      <c r="W7509">
        <v>-0.15395149999999999</v>
      </c>
      <c r="X7509">
        <v>0.98806070000000001</v>
      </c>
      <c r="Y7509">
        <v>1.6126060000000001E-2</v>
      </c>
      <c r="Z7509">
        <v>-2.661797E-3</v>
      </c>
      <c r="AA7509">
        <v>0.99986640000000004</v>
      </c>
      <c r="AB7509">
        <v>22</v>
      </c>
      <c r="AC7509">
        <v>0.65160000000003004</v>
      </c>
      <c r="AD7509">
        <v>-7.3556000000000094E-2</v>
      </c>
      <c r="AE7509">
        <v>1.32999999999583E-3</v>
      </c>
      <c r="AF7509">
        <v>1.47936076483895E-2</v>
      </c>
      <c r="AG7509">
        <v>-7.3556000000000094E-2</v>
      </c>
      <c r="AH7509">
        <v>0.64323237350594697</v>
      </c>
      <c r="AI7509">
        <v>96.521936843389597</v>
      </c>
      <c r="AJ7509">
        <v>88.682494978315404</v>
      </c>
      <c r="AK7509">
        <v>0.64759340815773303</v>
      </c>
      <c r="AL7509">
        <v>98.855992202739699</v>
      </c>
      <c r="AM7509">
        <v>89.657479696672098</v>
      </c>
      <c r="AN7509">
        <v>0.999999950779209</v>
      </c>
    </row>
    <row r="7510" spans="1:40" x14ac:dyDescent="0.25">
      <c r="A7510" t="str">
        <f>"20190303154957821"</f>
        <v>20190303154957821</v>
      </c>
      <c r="B7510" t="str">
        <f>"1551599397817883"</f>
        <v>1551599397817883</v>
      </c>
      <c r="C7510" t="s">
        <v>40</v>
      </c>
      <c r="D7510">
        <v>5.699802</v>
      </c>
      <c r="E7510">
        <v>0.50695409999999996</v>
      </c>
      <c r="F7510" t="s">
        <v>42</v>
      </c>
      <c r="G7510">
        <v>-273.50490000000002</v>
      </c>
      <c r="H7510">
        <v>1.0475559999999999</v>
      </c>
      <c r="I7510">
        <v>-63.330460000000002</v>
      </c>
      <c r="J7510">
        <v>-274.23140000000001</v>
      </c>
      <c r="K7510">
        <v>1.120125</v>
      </c>
      <c r="L7510">
        <v>-63.329099999999997</v>
      </c>
      <c r="M7510">
        <v>0.99964450000000005</v>
      </c>
      <c r="N7510">
        <v>-8.3050019999999902E-3</v>
      </c>
      <c r="O7510">
        <v>2.5340100000000001E-2</v>
      </c>
      <c r="P7510">
        <v>0.98660239999999999</v>
      </c>
      <c r="Q7510">
        <v>-0.16204830000000001</v>
      </c>
      <c r="R7510">
        <v>1.8872630000000001E-2</v>
      </c>
      <c r="S7510">
        <v>2.9985050000000002</v>
      </c>
      <c r="T7510">
        <v>-0.2564939</v>
      </c>
      <c r="U7510">
        <v>7.385254E-3</v>
      </c>
      <c r="V7510">
        <v>6.2241689999999999E-3</v>
      </c>
      <c r="W7510">
        <v>-0.15384410000000001</v>
      </c>
      <c r="X7510">
        <v>0.98807560000000005</v>
      </c>
      <c r="Y7510">
        <v>2.271227E-2</v>
      </c>
      <c r="Z7510">
        <v>-3.0174799999999999E-3</v>
      </c>
      <c r="AA7510">
        <v>0.99973749999999995</v>
      </c>
      <c r="AB7510">
        <v>22</v>
      </c>
      <c r="AC7510">
        <v>0.72649999999998705</v>
      </c>
      <c r="AD7510">
        <v>-7.2569000000000106E-2</v>
      </c>
      <c r="AE7510">
        <v>-1.35999999999825E-3</v>
      </c>
      <c r="AF7510">
        <v>1.95744710130791E-2</v>
      </c>
      <c r="AG7510">
        <v>-7.2569000000000106E-2</v>
      </c>
      <c r="AH7510">
        <v>0.71905770564162097</v>
      </c>
      <c r="AI7510">
        <v>95.760792604281704</v>
      </c>
      <c r="AJ7510">
        <v>88.440656920014504</v>
      </c>
      <c r="AK7510">
        <v>0.72297538251245796</v>
      </c>
      <c r="AL7510">
        <v>98.849763385230602</v>
      </c>
      <c r="AM7510">
        <v>89.639082376089107</v>
      </c>
      <c r="AN7510">
        <v>1.00000006934995</v>
      </c>
    </row>
    <row r="7511" spans="1:40" x14ac:dyDescent="0.25">
      <c r="A7511" t="str">
        <f>"20190303154957833"</f>
        <v>20190303154957833</v>
      </c>
      <c r="B7511" t="str">
        <f>"1551599397828619"</f>
        <v>1551599397828619</v>
      </c>
      <c r="C7511" t="s">
        <v>40</v>
      </c>
      <c r="D7511">
        <v>5.7040410000000001</v>
      </c>
      <c r="E7511">
        <v>0.5074111</v>
      </c>
      <c r="F7511" t="s">
        <v>42</v>
      </c>
      <c r="G7511">
        <v>-273.31220000000002</v>
      </c>
      <c r="H7511">
        <v>1.0416000000000001</v>
      </c>
      <c r="I7511">
        <v>-63.329549999999998</v>
      </c>
      <c r="J7511">
        <v>-274.10680000000002</v>
      </c>
      <c r="K7511">
        <v>1.1200650000000001</v>
      </c>
      <c r="L7511">
        <v>-63.325620000000001</v>
      </c>
      <c r="M7511">
        <v>0.99963930000000001</v>
      </c>
      <c r="N7511">
        <v>-8.1689039999999994E-3</v>
      </c>
      <c r="O7511">
        <v>2.5586020000000001E-2</v>
      </c>
      <c r="P7511">
        <v>0.98671589999999998</v>
      </c>
      <c r="Q7511">
        <v>-0.16140579999999999</v>
      </c>
      <c r="R7511">
        <v>1.8448559999999999E-2</v>
      </c>
      <c r="S7511">
        <v>2.998688</v>
      </c>
      <c r="T7511">
        <v>-0.25610080000000002</v>
      </c>
      <c r="U7511">
        <v>-5.4931640000000002E-4</v>
      </c>
      <c r="V7511">
        <v>6.8762270000000004E-3</v>
      </c>
      <c r="W7511">
        <v>-0.15333550000000001</v>
      </c>
      <c r="X7511">
        <v>0.98815019999999998</v>
      </c>
      <c r="Y7511">
        <v>2.5591740000000002E-2</v>
      </c>
      <c r="Z7511">
        <v>-3.1678959999999999E-3</v>
      </c>
      <c r="AA7511">
        <v>0.99966750000000004</v>
      </c>
      <c r="AB7511">
        <v>22</v>
      </c>
      <c r="AC7511">
        <v>0.79460000000000197</v>
      </c>
      <c r="AD7511">
        <v>-7.8464999999999702E-2</v>
      </c>
      <c r="AE7511">
        <v>-3.9300000000039798E-3</v>
      </c>
      <c r="AF7511">
        <v>2.4025769510928299E-2</v>
      </c>
      <c r="AG7511">
        <v>-7.8464999999999702E-2</v>
      </c>
      <c r="AH7511">
        <v>0.78656954115046795</v>
      </c>
      <c r="AI7511">
        <v>95.694110592348594</v>
      </c>
      <c r="AJ7511">
        <v>88.250444180189206</v>
      </c>
      <c r="AK7511">
        <v>0.79083856563223498</v>
      </c>
      <c r="AL7511">
        <v>98.820274007730106</v>
      </c>
      <c r="AM7511">
        <v>89.6013030944018</v>
      </c>
      <c r="AN7511">
        <v>0.99999993790901998</v>
      </c>
    </row>
    <row r="7512" spans="1:40" x14ac:dyDescent="0.25">
      <c r="A7512" t="str">
        <f>"20190303154957844"</f>
        <v>20190303154957844</v>
      </c>
      <c r="B7512" t="str">
        <f>"1551599397838378"</f>
        <v>1551599397838378</v>
      </c>
      <c r="C7512" t="s">
        <v>40</v>
      </c>
      <c r="D7512">
        <v>5.7098829999999996</v>
      </c>
      <c r="E7512">
        <v>0.50761559999999994</v>
      </c>
      <c r="F7512" t="s">
        <v>42</v>
      </c>
      <c r="G7512">
        <v>-273.30079999999998</v>
      </c>
      <c r="H7512">
        <v>1.051569</v>
      </c>
      <c r="I7512">
        <v>-63.327370000000002</v>
      </c>
      <c r="J7512">
        <v>-274.00420000000003</v>
      </c>
      <c r="K7512">
        <v>1.120017</v>
      </c>
      <c r="L7512">
        <v>-63.322780000000002</v>
      </c>
      <c r="M7512">
        <v>0.99963550000000001</v>
      </c>
      <c r="N7512">
        <v>-8.0595919999999904E-3</v>
      </c>
      <c r="O7512">
        <v>2.5770640000000001E-2</v>
      </c>
      <c r="P7512">
        <v>0.98678540000000003</v>
      </c>
      <c r="Q7512">
        <v>-0.1609854</v>
      </c>
      <c r="R7512">
        <v>1.8402930000000001E-2</v>
      </c>
      <c r="S7512">
        <v>2.9988100000000002</v>
      </c>
      <c r="T7512">
        <v>-0.25474380000000002</v>
      </c>
      <c r="U7512">
        <v>-5.493164E-3</v>
      </c>
      <c r="V7512">
        <v>7.0920769999999996E-3</v>
      </c>
      <c r="W7512">
        <v>-0.1530232</v>
      </c>
      <c r="X7512">
        <v>0.98819710000000005</v>
      </c>
      <c r="Y7512">
        <v>2.7418430000000001E-2</v>
      </c>
      <c r="Z7512">
        <v>-3.2508749999999999E-3</v>
      </c>
      <c r="AA7512">
        <v>0.99961880000000003</v>
      </c>
      <c r="AB7512">
        <v>22</v>
      </c>
      <c r="AC7512">
        <v>0.70340000000004399</v>
      </c>
      <c r="AD7512">
        <v>-6.8447999999999995E-2</v>
      </c>
      <c r="AE7512">
        <v>-4.5899999999932098E-3</v>
      </c>
      <c r="AF7512">
        <v>2.2503051920835002E-2</v>
      </c>
      <c r="AG7512">
        <v>-6.8447999999999995E-2</v>
      </c>
      <c r="AH7512">
        <v>0.69645345243920598</v>
      </c>
      <c r="AI7512">
        <v>95.610139773901196</v>
      </c>
      <c r="AJ7512">
        <v>88.149364479908698</v>
      </c>
      <c r="AK7512">
        <v>0.70017064167547105</v>
      </c>
      <c r="AL7512">
        <v>98.802166708367906</v>
      </c>
      <c r="AM7512">
        <v>89.588807633774294</v>
      </c>
      <c r="AN7512">
        <v>0.99999995287141097</v>
      </c>
    </row>
    <row r="7513" spans="1:40" x14ac:dyDescent="0.25">
      <c r="A7513" t="str">
        <f>"20190303154957855"</f>
        <v>20190303154957855</v>
      </c>
      <c r="B7513" t="str">
        <f>"1551599397848139"</f>
        <v>1551599397848139</v>
      </c>
      <c r="C7513" t="s">
        <v>40</v>
      </c>
      <c r="D7513">
        <v>5.6725680000000001</v>
      </c>
      <c r="E7513">
        <v>0.5078859</v>
      </c>
      <c r="F7513" t="s">
        <v>42</v>
      </c>
      <c r="G7513">
        <v>-273.11149999999998</v>
      </c>
      <c r="H7513">
        <v>1.0440309999999999</v>
      </c>
      <c r="I7513">
        <v>-63.324969999999901</v>
      </c>
      <c r="J7513">
        <v>-273.88560000000001</v>
      </c>
      <c r="K7513">
        <v>1.11996299999999</v>
      </c>
      <c r="L7513">
        <v>-63.319519999999997</v>
      </c>
      <c r="M7513">
        <v>0.99963190000000002</v>
      </c>
      <c r="N7513">
        <v>-7.9403389999999994E-3</v>
      </c>
      <c r="O7513">
        <v>2.594047E-2</v>
      </c>
      <c r="P7513">
        <v>0.98691839999999997</v>
      </c>
      <c r="Q7513">
        <v>-0.16017120000000001</v>
      </c>
      <c r="R7513">
        <v>1.8365200000000002E-2</v>
      </c>
      <c r="S7513">
        <v>2.9986570000000001</v>
      </c>
      <c r="T7513">
        <v>-0.25521450000000001</v>
      </c>
      <c r="U7513">
        <v>-7.3547359999999997E-3</v>
      </c>
      <c r="V7513">
        <v>7.2851779999999998E-3</v>
      </c>
      <c r="W7513">
        <v>-0.15232660000000001</v>
      </c>
      <c r="X7513">
        <v>0.98830340000000005</v>
      </c>
      <c r="Y7513">
        <v>2.8204460000000001E-2</v>
      </c>
      <c r="Z7513">
        <v>-3.308236E-3</v>
      </c>
      <c r="AA7513">
        <v>0.9995967</v>
      </c>
      <c r="AB7513">
        <v>22</v>
      </c>
      <c r="AC7513">
        <v>0.77410000000003198</v>
      </c>
      <c r="AD7513">
        <v>-7.5931999999999805E-2</v>
      </c>
      <c r="AE7513">
        <v>-5.4499999999961697E-3</v>
      </c>
      <c r="AF7513">
        <v>2.52860332090423E-2</v>
      </c>
      <c r="AG7513">
        <v>-7.5931999999999805E-2</v>
      </c>
      <c r="AH7513">
        <v>0.76632506290779001</v>
      </c>
      <c r="AI7513">
        <v>95.655674258505897</v>
      </c>
      <c r="AJ7513">
        <v>88.110126367209304</v>
      </c>
      <c r="AK7513">
        <v>0.77049279953811101</v>
      </c>
      <c r="AL7513">
        <v>98.761780244731398</v>
      </c>
      <c r="AM7513">
        <v>89.577657638020298</v>
      </c>
      <c r="AN7513">
        <v>1.0000000386687999</v>
      </c>
    </row>
    <row r="7514" spans="1:40" x14ac:dyDescent="0.25">
      <c r="A7514" t="str">
        <f>"20190303154957866"</f>
        <v>20190303154957866</v>
      </c>
      <c r="B7514" t="str">
        <f>"1551599397857900"</f>
        <v>1551599397857900</v>
      </c>
      <c r="C7514" t="s">
        <v>40</v>
      </c>
      <c r="D7514">
        <v>5.6881180000000002</v>
      </c>
      <c r="E7514">
        <v>0.50787280000000001</v>
      </c>
      <c r="F7514" t="s">
        <v>70</v>
      </c>
      <c r="G7514">
        <v>-260.66840000000002</v>
      </c>
      <c r="H7514" s="1">
        <v>-8.4404630000000002E-8</v>
      </c>
      <c r="I7514">
        <v>-63.361690000000003</v>
      </c>
      <c r="J7514">
        <v>-273.78190000000001</v>
      </c>
      <c r="K7514">
        <v>1.119918</v>
      </c>
      <c r="L7514">
        <v>-63.316679999999998</v>
      </c>
      <c r="M7514">
        <v>0.99962980000000001</v>
      </c>
      <c r="N7514">
        <v>-7.8408980000000007E-3</v>
      </c>
      <c r="O7514">
        <v>2.6058000000000001E-2</v>
      </c>
      <c r="P7514">
        <v>0.98707069999999997</v>
      </c>
      <c r="Q7514">
        <v>-0.1592083</v>
      </c>
      <c r="R7514">
        <v>1.8560190000000001E-2</v>
      </c>
      <c r="S7514">
        <v>2.9987180000000002</v>
      </c>
      <c r="T7514">
        <v>-0.25409720000000002</v>
      </c>
      <c r="U7514">
        <v>-9.5825200000000006E-3</v>
      </c>
      <c r="V7514">
        <v>7.1965459999999998E-3</v>
      </c>
      <c r="W7514">
        <v>-0.15146129999999999</v>
      </c>
      <c r="X7514">
        <v>0.98843700000000001</v>
      </c>
      <c r="Y7514">
        <v>2.9062399999999999E-2</v>
      </c>
      <c r="Z7514">
        <v>-3.3431699999999999E-3</v>
      </c>
      <c r="AA7514">
        <v>0.99957200000000002</v>
      </c>
      <c r="AB7514">
        <v>22</v>
      </c>
      <c r="AC7514">
        <v>13.113499999999901</v>
      </c>
      <c r="AD7514">
        <v>-1.1199180844046299</v>
      </c>
      <c r="AE7514">
        <v>-4.5009999999997698E-2</v>
      </c>
      <c r="AF7514">
        <v>0.38391670354813201</v>
      </c>
      <c r="AG7514">
        <v>-1.1199180844046299</v>
      </c>
      <c r="AH7514">
        <v>13.0129651173547</v>
      </c>
      <c r="AI7514">
        <v>94.916724058057099</v>
      </c>
      <c r="AJ7514">
        <v>88.3101139605496</v>
      </c>
      <c r="AK7514">
        <v>13.066708449205199</v>
      </c>
      <c r="AL7514">
        <v>98.711620447334894</v>
      </c>
      <c r="AM7514">
        <v>89.582852091403595</v>
      </c>
      <c r="AN7514">
        <v>1.0000000093205099</v>
      </c>
    </row>
    <row r="7515" spans="1:40" x14ac:dyDescent="0.25">
      <c r="A7515" t="str">
        <f>"20190303154957878"</f>
        <v>20190303154957878</v>
      </c>
      <c r="B7515" t="str">
        <f>"1551599397868634"</f>
        <v>1551599397868634</v>
      </c>
      <c r="C7515" t="s">
        <v>40</v>
      </c>
      <c r="D7515">
        <v>5.6846579999999998</v>
      </c>
      <c r="E7515">
        <v>0.50796920000000001</v>
      </c>
      <c r="F7515" t="s">
        <v>42</v>
      </c>
      <c r="G7515">
        <v>-272.90940000000001</v>
      </c>
      <c r="H7515">
        <v>1.046489</v>
      </c>
      <c r="I7515">
        <v>-63.319420000000001</v>
      </c>
      <c r="J7515">
        <v>-273.65879999999999</v>
      </c>
      <c r="K7515">
        <v>1.1198619999999999</v>
      </c>
      <c r="L7515">
        <v>-63.313319999999997</v>
      </c>
      <c r="M7515">
        <v>0.99962779999999996</v>
      </c>
      <c r="N7515">
        <v>-7.7278869999999897E-3</v>
      </c>
      <c r="O7515">
        <v>2.6167300000000001E-2</v>
      </c>
      <c r="P7515">
        <v>0.98721250000000005</v>
      </c>
      <c r="Q7515">
        <v>-0.1582654</v>
      </c>
      <c r="R7515">
        <v>1.906853E-2</v>
      </c>
      <c r="S7515">
        <v>2.9987789999999999</v>
      </c>
      <c r="T7515">
        <v>-0.25239899999999998</v>
      </c>
      <c r="U7515">
        <v>-8.7585449999999995E-3</v>
      </c>
      <c r="V7515">
        <v>6.7844019999999897E-3</v>
      </c>
      <c r="W7515">
        <v>-0.15062979999999901</v>
      </c>
      <c r="X7515">
        <v>0.98856690000000003</v>
      </c>
      <c r="Y7515">
        <v>2.8899770000000002E-2</v>
      </c>
      <c r="Z7515">
        <v>-3.322401E-3</v>
      </c>
      <c r="AA7515">
        <v>0.99957680000000004</v>
      </c>
      <c r="AB7515">
        <v>22</v>
      </c>
      <c r="AC7515">
        <v>0.74939999999997997</v>
      </c>
      <c r="AD7515">
        <v>-7.3373000000000105E-2</v>
      </c>
      <c r="AE7515">
        <v>-6.0999999999964399E-3</v>
      </c>
      <c r="AF7515">
        <v>2.5464181638842801E-2</v>
      </c>
      <c r="AG7515">
        <v>-7.3373000000000105E-2</v>
      </c>
      <c r="AH7515">
        <v>0.74187250251771697</v>
      </c>
      <c r="AI7515">
        <v>95.645020543837603</v>
      </c>
      <c r="AJ7515">
        <v>88.034139874110295</v>
      </c>
      <c r="AK7515">
        <v>0.74592682728766102</v>
      </c>
      <c r="AL7515">
        <v>98.663426664822893</v>
      </c>
      <c r="AM7515">
        <v>89.606792925632803</v>
      </c>
      <c r="AN7515">
        <v>0.99999994026707195</v>
      </c>
    </row>
    <row r="7516" spans="1:40" x14ac:dyDescent="0.25">
      <c r="A7516" t="str">
        <f>"20190303154957891"</f>
        <v>20190303154957891</v>
      </c>
      <c r="B7516" t="str">
        <f>"1551599397877926"</f>
        <v>1551599397877926</v>
      </c>
      <c r="C7516" t="s">
        <v>40</v>
      </c>
      <c r="D7516">
        <v>5.6783149999999996</v>
      </c>
      <c r="E7516">
        <v>0.50811679999999904</v>
      </c>
      <c r="F7516" t="s">
        <v>70</v>
      </c>
      <c r="G7516">
        <v>-260.20269999999999</v>
      </c>
      <c r="H7516" s="1">
        <v>1.186909E-7</v>
      </c>
      <c r="I7516">
        <v>-63.349269999999997</v>
      </c>
      <c r="J7516">
        <v>-273.54160000000002</v>
      </c>
      <c r="K7516">
        <v>1.119812</v>
      </c>
      <c r="L7516">
        <v>-63.31015</v>
      </c>
      <c r="M7516">
        <v>0.99962689999999998</v>
      </c>
      <c r="N7516">
        <v>-7.6283050000000002E-3</v>
      </c>
      <c r="O7516">
        <v>2.6227609999999998E-2</v>
      </c>
      <c r="P7516">
        <v>0.98731420000000003</v>
      </c>
      <c r="Q7516">
        <v>-0.15756439999999999</v>
      </c>
      <c r="R7516">
        <v>1.9602080000000001E-2</v>
      </c>
      <c r="S7516">
        <v>2.9990230000000002</v>
      </c>
      <c r="T7516">
        <v>-0.249588</v>
      </c>
      <c r="U7516">
        <v>-8.0261229999999996E-3</v>
      </c>
      <c r="V7516">
        <v>6.2997039999999997E-3</v>
      </c>
      <c r="W7516">
        <v>-0.15002699999999999</v>
      </c>
      <c r="X7516">
        <v>0.98866180000000004</v>
      </c>
      <c r="Y7516">
        <v>2.872038E-2</v>
      </c>
      <c r="Z7516">
        <v>-3.281815E-3</v>
      </c>
      <c r="AA7516">
        <v>0.99958210000000003</v>
      </c>
      <c r="AB7516">
        <v>22</v>
      </c>
      <c r="AC7516">
        <v>13.338900000000001</v>
      </c>
      <c r="AD7516">
        <v>-1.1198118813091</v>
      </c>
      <c r="AE7516">
        <v>-3.91199999999969E-2</v>
      </c>
      <c r="AF7516">
        <v>0.38624207341251798</v>
      </c>
      <c r="AG7516">
        <v>-1.1198118813091</v>
      </c>
      <c r="AH7516">
        <v>13.239973916725701</v>
      </c>
      <c r="AI7516">
        <v>94.832416473919494</v>
      </c>
      <c r="AJ7516">
        <v>88.3290173951208</v>
      </c>
      <c r="AK7516">
        <v>13.292857890776199</v>
      </c>
      <c r="AL7516">
        <v>98.628491503960106</v>
      </c>
      <c r="AM7516">
        <v>89.634919072951703</v>
      </c>
      <c r="AN7516">
        <v>0.99999997088936299</v>
      </c>
    </row>
    <row r="7517" spans="1:40" x14ac:dyDescent="0.25">
      <c r="A7517" t="str">
        <f>"20190303154957907"</f>
        <v>20190303154957907</v>
      </c>
      <c r="B7517" t="str">
        <f>"1551599397898423"</f>
        <v>1551599397898423</v>
      </c>
      <c r="C7517" t="s">
        <v>40</v>
      </c>
      <c r="D7517">
        <v>5.6556470000000001</v>
      </c>
      <c r="E7517">
        <v>0.50834499999999905</v>
      </c>
      <c r="F7517" t="s">
        <v>42</v>
      </c>
      <c r="G7517">
        <v>-272.70490000000001</v>
      </c>
      <c r="H7517">
        <v>1.050619</v>
      </c>
      <c r="I7517">
        <v>-63.312429999999999</v>
      </c>
      <c r="J7517">
        <v>-273.38069999999999</v>
      </c>
      <c r="K7517">
        <v>1.119753</v>
      </c>
      <c r="L7517">
        <v>-63.30585</v>
      </c>
      <c r="M7517">
        <v>0.99962660000000003</v>
      </c>
      <c r="N7517">
        <v>-7.4987150000000004E-3</v>
      </c>
      <c r="O7517">
        <v>2.6278900000000001E-2</v>
      </c>
      <c r="P7517">
        <v>0.98738409999999999</v>
      </c>
      <c r="Q7517">
        <v>-0.15701679999999901</v>
      </c>
      <c r="R7517">
        <v>2.0462109999999999E-2</v>
      </c>
      <c r="S7517">
        <v>2.9991150000000002</v>
      </c>
      <c r="T7517">
        <v>-0.24799940000000001</v>
      </c>
      <c r="U7517">
        <v>-7.6599119999999996E-3</v>
      </c>
      <c r="V7517">
        <v>5.4760310000000001E-3</v>
      </c>
      <c r="W7517">
        <v>-0.149607399999999</v>
      </c>
      <c r="X7517">
        <v>0.98873029999999995</v>
      </c>
      <c r="Y7517">
        <v>2.8651880000000001E-2</v>
      </c>
      <c r="Z7517">
        <v>-3.2626109999999999E-3</v>
      </c>
      <c r="AA7517">
        <v>0.99958409999999998</v>
      </c>
      <c r="AB7517">
        <v>22</v>
      </c>
      <c r="AC7517">
        <v>0.67579999999998097</v>
      </c>
      <c r="AD7517">
        <v>-6.9134000000000001E-2</v>
      </c>
      <c r="AE7517">
        <v>-6.5800000000066899E-3</v>
      </c>
      <c r="AF7517">
        <v>2.40854710146979E-2</v>
      </c>
      <c r="AG7517">
        <v>-6.9134000000000001E-2</v>
      </c>
      <c r="AH7517">
        <v>0.66839941754637699</v>
      </c>
      <c r="AI7517">
        <v>95.901424734569105</v>
      </c>
      <c r="AJ7517">
        <v>87.936265408890904</v>
      </c>
      <c r="AK7517">
        <v>0.67239675880118199</v>
      </c>
      <c r="AL7517">
        <v>98.604175649357202</v>
      </c>
      <c r="AM7517">
        <v>89.682673569551596</v>
      </c>
      <c r="AN7517">
        <v>0.99999998359418096</v>
      </c>
    </row>
    <row r="7518" spans="1:40" x14ac:dyDescent="0.25">
      <c r="A7518" t="str">
        <f>"20190303154957920"</f>
        <v>20190303154957920</v>
      </c>
      <c r="B7518" t="str">
        <f>"1551599397908182"</f>
        <v>1551599397908182</v>
      </c>
      <c r="C7518" t="s">
        <v>40</v>
      </c>
      <c r="D7518">
        <v>5.6734530000000003</v>
      </c>
      <c r="E7518">
        <v>0.50853859999999995</v>
      </c>
      <c r="F7518" t="s">
        <v>42</v>
      </c>
      <c r="G7518">
        <v>-272.50599999999997</v>
      </c>
      <c r="H7518">
        <v>1.0475570000000001</v>
      </c>
      <c r="I7518">
        <v>-63.307929999999999</v>
      </c>
      <c r="J7518">
        <v>-273.23390000000001</v>
      </c>
      <c r="K7518">
        <v>1.1196999999999999</v>
      </c>
      <c r="L7518">
        <v>-63.301940000000002</v>
      </c>
      <c r="M7518">
        <v>0.99962709999999999</v>
      </c>
      <c r="N7518">
        <v>-7.388581E-3</v>
      </c>
      <c r="O7518">
        <v>2.6293199999999999E-2</v>
      </c>
      <c r="P7518">
        <v>0.98736170000000001</v>
      </c>
      <c r="Q7518">
        <v>-0.15692110000000001</v>
      </c>
      <c r="R7518">
        <v>2.219351E-2</v>
      </c>
      <c r="S7518">
        <v>2.9991150000000002</v>
      </c>
      <c r="T7518">
        <v>-0.24749350000000001</v>
      </c>
      <c r="U7518">
        <v>-6.8969729999999998E-3</v>
      </c>
      <c r="V7518">
        <v>3.7464809999999999E-3</v>
      </c>
      <c r="W7518">
        <v>-0.14962049999999999</v>
      </c>
      <c r="X7518">
        <v>0.98873639999999996</v>
      </c>
      <c r="Y7518">
        <v>2.8413379999999998E-2</v>
      </c>
      <c r="Z7518">
        <v>-3.2474689999999998E-3</v>
      </c>
      <c r="AA7518">
        <v>0.99959100000000001</v>
      </c>
      <c r="AB7518">
        <v>22</v>
      </c>
      <c r="AC7518">
        <v>0.72790000000003297</v>
      </c>
      <c r="AD7518">
        <v>-7.2142999999999805E-2</v>
      </c>
      <c r="AE7518">
        <v>-5.9900000000041604E-3</v>
      </c>
      <c r="AF7518">
        <v>2.4882860933043E-2</v>
      </c>
      <c r="AG7518">
        <v>-7.2142999999999805E-2</v>
      </c>
      <c r="AH7518">
        <v>0.72041466454923497</v>
      </c>
      <c r="AI7518">
        <v>95.715202724102696</v>
      </c>
      <c r="AJ7518">
        <v>88.021810980392701</v>
      </c>
      <c r="AK7518">
        <v>0.724445345153656</v>
      </c>
      <c r="AL7518">
        <v>98.604934631204401</v>
      </c>
      <c r="AM7518">
        <v>89.782898129367396</v>
      </c>
      <c r="AN7518">
        <v>0.99999999941254603</v>
      </c>
    </row>
    <row r="7519" spans="1:40" x14ac:dyDescent="0.25">
      <c r="A7519" t="str">
        <f>"20190303154957944"</f>
        <v>20190303154957944</v>
      </c>
      <c r="B7519" t="str">
        <f>"1551599397938439"</f>
        <v>1551599397938439</v>
      </c>
      <c r="C7519" t="s">
        <v>40</v>
      </c>
      <c r="D7519">
        <v>5.5365169999999999</v>
      </c>
      <c r="E7519">
        <v>0.50893559999999904</v>
      </c>
      <c r="F7519" t="s">
        <v>42</v>
      </c>
      <c r="G7519">
        <v>-272.30720000000002</v>
      </c>
      <c r="H7519">
        <v>1.0433570000000001</v>
      </c>
      <c r="I7519">
        <v>-63.303170000000001</v>
      </c>
      <c r="J7519">
        <v>-272.99579999999997</v>
      </c>
      <c r="K7519">
        <v>1.119648</v>
      </c>
      <c r="L7519">
        <v>-63.295749999999998</v>
      </c>
      <c r="M7519">
        <v>0.9996292</v>
      </c>
      <c r="N7519">
        <v>-7.2329680000000002E-3</v>
      </c>
      <c r="O7519">
        <v>2.6253869999999999E-2</v>
      </c>
      <c r="P7519">
        <v>0.98717719999999998</v>
      </c>
      <c r="Q7519">
        <v>-0.15785199999999999</v>
      </c>
      <c r="R7519">
        <v>2.374938E-2</v>
      </c>
      <c r="S7519">
        <v>2.9991759999999998</v>
      </c>
      <c r="T7519">
        <v>-0.24701110000000001</v>
      </c>
      <c r="U7519">
        <v>-3.4179689999999999E-3</v>
      </c>
      <c r="V7519">
        <v>2.1353190000000001E-3</v>
      </c>
      <c r="W7519">
        <v>-0.15070620000000001</v>
      </c>
      <c r="X7519">
        <v>0.98857629999999996</v>
      </c>
      <c r="Y7519">
        <v>2.7219549999999999E-2</v>
      </c>
      <c r="Z7519">
        <v>-3.1864300000000001E-3</v>
      </c>
      <c r="AA7519">
        <v>0.99962439999999997</v>
      </c>
      <c r="AB7519">
        <v>23</v>
      </c>
      <c r="AC7519">
        <v>0.68859999999995103</v>
      </c>
      <c r="AD7519">
        <v>-7.6291000000000095E-2</v>
      </c>
      <c r="AE7519">
        <v>-7.4199999999961996E-3</v>
      </c>
      <c r="AF7519">
        <v>2.5187198353801701E-2</v>
      </c>
      <c r="AG7519">
        <v>-7.6291000000000095E-2</v>
      </c>
      <c r="AH7519">
        <v>0.67982412285302996</v>
      </c>
      <c r="AI7519">
        <v>96.398684862154894</v>
      </c>
      <c r="AJ7519">
        <v>87.878185918502993</v>
      </c>
      <c r="AK7519">
        <v>0.68455500119041301</v>
      </c>
      <c r="AL7519">
        <v>98.667854004500796</v>
      </c>
      <c r="AM7519">
        <v>89.876241645338695</v>
      </c>
      <c r="AN7519">
        <v>1.0000000096136801</v>
      </c>
    </row>
    <row r="7520" spans="1:40" x14ac:dyDescent="0.25">
      <c r="A7520" t="str">
        <f>"20190303154957976"</f>
        <v>20190303154957976</v>
      </c>
      <c r="B7520" t="str">
        <f>"1551599397968694"</f>
        <v>1551599397968694</v>
      </c>
      <c r="C7520" t="s">
        <v>40</v>
      </c>
      <c r="D7520">
        <v>5.5173680000000003</v>
      </c>
      <c r="E7520">
        <v>0.50923809999999903</v>
      </c>
      <c r="F7520" t="s">
        <v>42</v>
      </c>
      <c r="G7520">
        <v>-272.10149999999999</v>
      </c>
      <c r="H7520">
        <v>1.0458080000000001</v>
      </c>
      <c r="I7520">
        <v>-63.29665</v>
      </c>
      <c r="J7520">
        <v>-272.67500000000001</v>
      </c>
      <c r="K7520">
        <v>1.1196250000000001</v>
      </c>
      <c r="L7520">
        <v>-63.28745</v>
      </c>
      <c r="M7520">
        <v>0.99963360000000001</v>
      </c>
      <c r="N7520">
        <v>-7.0570909999999997E-3</v>
      </c>
      <c r="O7520">
        <v>2.6135140000000001E-2</v>
      </c>
      <c r="P7520">
        <v>0.98724429999999996</v>
      </c>
      <c r="Q7520">
        <v>-0.15734279999999901</v>
      </c>
      <c r="R7520">
        <v>2.4335320000000001E-2</v>
      </c>
      <c r="S7520">
        <v>2.9994200000000002</v>
      </c>
      <c r="T7520">
        <v>-0.24758930000000001</v>
      </c>
      <c r="U7520">
        <v>-2.2277830000000001E-3</v>
      </c>
      <c r="V7520">
        <v>1.4288580000000001E-3</v>
      </c>
      <c r="W7520">
        <v>-0.15037020000000001</v>
      </c>
      <c r="X7520">
        <v>0.98862870000000003</v>
      </c>
      <c r="Y7520">
        <v>2.6705329999999999E-2</v>
      </c>
      <c r="Z7520">
        <v>-3.1640729999999999E-3</v>
      </c>
      <c r="AA7520">
        <v>0.99963829999999998</v>
      </c>
      <c r="AB7520">
        <v>23</v>
      </c>
      <c r="AC7520">
        <v>0.57350000000002399</v>
      </c>
      <c r="AD7520">
        <v>-7.3816999999999994E-2</v>
      </c>
      <c r="AE7520">
        <v>-9.1999999999998697E-3</v>
      </c>
      <c r="AF7520">
        <v>2.37916748237102E-2</v>
      </c>
      <c r="AG7520">
        <v>-7.3816999999999994E-2</v>
      </c>
      <c r="AH7520">
        <v>0.56372674168015702</v>
      </c>
      <c r="AI7520">
        <v>97.453570061706699</v>
      </c>
      <c r="AJ7520">
        <v>87.583307721782901</v>
      </c>
      <c r="AK7520">
        <v>0.56903675853607605</v>
      </c>
      <c r="AL7520">
        <v>98.648381031547103</v>
      </c>
      <c r="AM7520">
        <v>89.917190876696097</v>
      </c>
      <c r="AN7520">
        <v>0.99999997257345596</v>
      </c>
    </row>
    <row r="7521" spans="1:40" x14ac:dyDescent="0.25">
      <c r="A7521" t="str">
        <f>"20190303154957987"</f>
        <v>20190303154957987</v>
      </c>
      <c r="B7521" t="str">
        <f>"1551599397977986"</f>
        <v>1551599397977986</v>
      </c>
      <c r="C7521" t="s">
        <v>40</v>
      </c>
      <c r="D7521">
        <v>5.6395479999999996</v>
      </c>
      <c r="E7521">
        <v>0.5093377</v>
      </c>
      <c r="F7521" t="s">
        <v>76</v>
      </c>
      <c r="G7521">
        <v>-258.99259999999998</v>
      </c>
      <c r="H7521" s="1">
        <v>-3.4736309999999999E-6</v>
      </c>
      <c r="I7521">
        <v>-63.303730000000002</v>
      </c>
      <c r="J7521">
        <v>-272.5598</v>
      </c>
      <c r="K7521">
        <v>1.119623</v>
      </c>
      <c r="L7521">
        <v>-63.284480000000002</v>
      </c>
      <c r="M7521">
        <v>0.99963519999999995</v>
      </c>
      <c r="N7521">
        <v>-7.0031210000000002E-3</v>
      </c>
      <c r="O7521">
        <v>2.6081110000000001E-2</v>
      </c>
      <c r="P7521">
        <v>0.98745210000000005</v>
      </c>
      <c r="Q7521">
        <v>-0.1560983</v>
      </c>
      <c r="R7521">
        <v>2.3905699999999998E-2</v>
      </c>
      <c r="S7521">
        <v>2.9997560000000001</v>
      </c>
      <c r="T7521">
        <v>-0.24546999999999999</v>
      </c>
      <c r="U7521">
        <v>-3.5705569999999998E-3</v>
      </c>
      <c r="V7521">
        <v>1.81091E-3</v>
      </c>
      <c r="W7521">
        <v>-0.149177799999999</v>
      </c>
      <c r="X7521">
        <v>0.98880880000000004</v>
      </c>
      <c r="Y7521">
        <v>2.7100369999999999E-2</v>
      </c>
      <c r="Z7521">
        <v>-3.1501239999999998E-3</v>
      </c>
      <c r="AA7521">
        <v>0.99962779999999996</v>
      </c>
      <c r="AB7521">
        <v>23</v>
      </c>
      <c r="AC7521">
        <v>13.5672</v>
      </c>
      <c r="AD7521">
        <v>-1.119626473631</v>
      </c>
      <c r="AE7521">
        <v>-1.92499999999995E-2</v>
      </c>
      <c r="AF7521">
        <v>0.37057607257367398</v>
      </c>
      <c r="AG7521">
        <v>-1.119626473631</v>
      </c>
      <c r="AH7521">
        <v>13.4703457139885</v>
      </c>
      <c r="AI7521">
        <v>94.7495928498697</v>
      </c>
      <c r="AJ7521">
        <v>88.424161384455005</v>
      </c>
      <c r="AK7521">
        <v>13.5218750075716</v>
      </c>
      <c r="AL7521">
        <v>98.579281284741</v>
      </c>
      <c r="AM7521">
        <v>89.895068304331602</v>
      </c>
      <c r="AN7521">
        <v>1.0000000691826501</v>
      </c>
    </row>
    <row r="7522" spans="1:40" x14ac:dyDescent="0.25">
      <c r="A7522" t="str">
        <f>"20190303154957999"</f>
        <v>20190303154957999</v>
      </c>
      <c r="B7522" t="str">
        <f>"1551599397988723"</f>
        <v>1551599397988723</v>
      </c>
      <c r="C7522" t="s">
        <v>40</v>
      </c>
      <c r="D7522">
        <v>5.6467280000000004</v>
      </c>
      <c r="E7522">
        <v>0.50938830000000002</v>
      </c>
      <c r="F7522" t="s">
        <v>42</v>
      </c>
      <c r="G7522">
        <v>-271.6893</v>
      </c>
      <c r="H7522">
        <v>1.0490459999999999</v>
      </c>
      <c r="I7522">
        <v>-63.286459999999998</v>
      </c>
      <c r="J7522">
        <v>-272.42869999999999</v>
      </c>
      <c r="K7522">
        <v>1.119623</v>
      </c>
      <c r="L7522">
        <v>-63.28116</v>
      </c>
      <c r="M7522">
        <v>0.99963740000000001</v>
      </c>
      <c r="N7522">
        <v>-6.9454620000000003E-3</v>
      </c>
      <c r="O7522">
        <v>2.6015960000000001E-2</v>
      </c>
      <c r="P7522">
        <v>0.98773029999999995</v>
      </c>
      <c r="Q7522">
        <v>-0.15444349999999901</v>
      </c>
      <c r="R7522">
        <v>2.3153429999999999E-2</v>
      </c>
      <c r="S7522">
        <v>2.9998170000000002</v>
      </c>
      <c r="T7522">
        <v>-0.2431816</v>
      </c>
      <c r="U7522">
        <v>-5.9814450000000002E-3</v>
      </c>
      <c r="V7522">
        <v>2.5071680000000002E-3</v>
      </c>
      <c r="W7522">
        <v>-0.1475785</v>
      </c>
      <c r="X7522">
        <v>0.98904720000000002</v>
      </c>
      <c r="Y7522">
        <v>2.7839289999999999E-2</v>
      </c>
      <c r="Z7522">
        <v>-3.1483420000000002E-3</v>
      </c>
      <c r="AA7522">
        <v>0.99960740000000003</v>
      </c>
      <c r="AB7522">
        <v>23</v>
      </c>
      <c r="AC7522">
        <v>0.73939999999998895</v>
      </c>
      <c r="AD7522">
        <v>-7.0577000000000098E-2</v>
      </c>
      <c r="AE7522">
        <v>-5.2999999999983E-3</v>
      </c>
      <c r="AF7522">
        <v>2.4313362409102E-2</v>
      </c>
      <c r="AG7522">
        <v>-7.0577000000000098E-2</v>
      </c>
      <c r="AH7522">
        <v>0.73233980611656302</v>
      </c>
      <c r="AI7522">
        <v>95.501692509994399</v>
      </c>
      <c r="AJ7522">
        <v>88.098503501292996</v>
      </c>
      <c r="AK7522">
        <v>0.73613439271880399</v>
      </c>
      <c r="AL7522">
        <v>98.486622792494103</v>
      </c>
      <c r="AM7522">
        <v>89.854759371202405</v>
      </c>
      <c r="AN7522">
        <v>1.00000003169073</v>
      </c>
    </row>
    <row r="7523" spans="1:40" x14ac:dyDescent="0.25">
      <c r="A7523" t="str">
        <f>"20190303154958012"</f>
        <v>20190303154958012</v>
      </c>
      <c r="B7523" t="str">
        <f>"1551599398008242"</f>
        <v>1551599398008242</v>
      </c>
      <c r="C7523" t="s">
        <v>40</v>
      </c>
      <c r="D7523">
        <v>5.572889</v>
      </c>
      <c r="E7523">
        <v>0.51067989999999996</v>
      </c>
      <c r="F7523" t="s">
        <v>76</v>
      </c>
      <c r="G7523">
        <v>-258.44380000000001</v>
      </c>
      <c r="H7523" s="1">
        <v>-3.2893539999999998E-6</v>
      </c>
      <c r="I7523">
        <v>-63.322420000000001</v>
      </c>
      <c r="J7523">
        <v>-272.3116</v>
      </c>
      <c r="K7523">
        <v>1.119626</v>
      </c>
      <c r="L7523">
        <v>-63.278170000000003</v>
      </c>
      <c r="M7523">
        <v>0.99963919999999995</v>
      </c>
      <c r="N7523">
        <v>-6.900766E-3</v>
      </c>
      <c r="O7523">
        <v>2.5956799999999999E-2</v>
      </c>
      <c r="P7523">
        <v>0.98797520000000005</v>
      </c>
      <c r="Q7523">
        <v>-0.15301149999999999</v>
      </c>
      <c r="R7523">
        <v>2.2193770000000002E-2</v>
      </c>
      <c r="S7523">
        <v>2.9998779999999998</v>
      </c>
      <c r="T7523">
        <v>-0.2401681</v>
      </c>
      <c r="U7523">
        <v>-8.8500980000000007E-3</v>
      </c>
      <c r="V7523">
        <v>3.4161320000000001E-3</v>
      </c>
      <c r="W7523">
        <v>-0.1461894</v>
      </c>
      <c r="X7523">
        <v>0.98925070000000004</v>
      </c>
      <c r="Y7523">
        <v>2.8737209999999999E-2</v>
      </c>
      <c r="Z7523">
        <v>-3.143556E-3</v>
      </c>
      <c r="AA7523">
        <v>0.99958210000000003</v>
      </c>
      <c r="AB7523">
        <v>23</v>
      </c>
      <c r="AC7523">
        <v>13.8677999999999</v>
      </c>
      <c r="AD7523">
        <v>-1.1196292893539901</v>
      </c>
      <c r="AE7523">
        <v>-4.4249999999998103E-2</v>
      </c>
      <c r="AF7523">
        <v>0.40158973917637902</v>
      </c>
      <c r="AG7523">
        <v>-1.1196292893539901</v>
      </c>
      <c r="AH7523">
        <v>13.7722083522769</v>
      </c>
      <c r="AI7523">
        <v>94.645746597797299</v>
      </c>
      <c r="AJ7523">
        <v>88.329761032564406</v>
      </c>
      <c r="AK7523">
        <v>13.823478829973199</v>
      </c>
      <c r="AL7523">
        <v>98.406160951024901</v>
      </c>
      <c r="AM7523">
        <v>89.802144018860005</v>
      </c>
      <c r="AN7523">
        <v>0.99999997904034499</v>
      </c>
    </row>
    <row r="7524" spans="1:40" x14ac:dyDescent="0.25">
      <c r="A7524" t="str">
        <f>"20190303154958155"</f>
        <v>20190303154958155</v>
      </c>
      <c r="B7524" t="str">
        <f>"1551599398148317"</f>
        <v>1551599398148317</v>
      </c>
      <c r="C7524" t="s">
        <v>40</v>
      </c>
      <c r="D7524">
        <v>3.4385669999999999</v>
      </c>
      <c r="E7524">
        <v>0.51067989999999996</v>
      </c>
      <c r="F7524" t="s">
        <v>76</v>
      </c>
      <c r="G7524">
        <v>-257.62119999999999</v>
      </c>
      <c r="H7524" s="1">
        <v>-3.0181139999999999E-6</v>
      </c>
      <c r="I7524">
        <v>-63.387349999999998</v>
      </c>
      <c r="J7524">
        <v>-270.81220000000002</v>
      </c>
      <c r="K7524">
        <v>1.119613</v>
      </c>
      <c r="L7524">
        <v>-63.240569999999998</v>
      </c>
      <c r="M7524">
        <v>0.99965910000000002</v>
      </c>
      <c r="N7524">
        <v>-6.5808109999999998E-3</v>
      </c>
      <c r="O7524">
        <v>2.5265800000000001E-2</v>
      </c>
      <c r="P7524">
        <v>0.98883129999999997</v>
      </c>
      <c r="Q7524">
        <v>-0.1490348</v>
      </c>
      <c r="R7524">
        <v>1.1867689999999901E-3</v>
      </c>
      <c r="S7524">
        <v>3.001617</v>
      </c>
      <c r="T7524">
        <v>-0.22876740000000001</v>
      </c>
      <c r="U7524">
        <v>-2.2308350000000001E-2</v>
      </c>
      <c r="V7524">
        <v>2.376207E-2</v>
      </c>
      <c r="W7524">
        <v>-0.14253209999999999</v>
      </c>
      <c r="X7524">
        <v>0.98950490000000002</v>
      </c>
      <c r="Y7524">
        <v>3.253151E-2</v>
      </c>
      <c r="Z7524">
        <v>-3.101735E-3</v>
      </c>
      <c r="AA7524">
        <v>0.99946590000000002</v>
      </c>
      <c r="AB7524">
        <v>24</v>
      </c>
      <c r="AC7524">
        <v>13.191000000000001</v>
      </c>
      <c r="AD7524">
        <v>-1.119616018114</v>
      </c>
      <c r="AE7524">
        <v>-0.14677999999999899</v>
      </c>
      <c r="AF7524">
        <v>0.47658853822366398</v>
      </c>
      <c r="AG7524">
        <v>-1.119616018114</v>
      </c>
      <c r="AH7524">
        <v>13.0887982469379</v>
      </c>
      <c r="AI7524">
        <v>94.885958029776305</v>
      </c>
      <c r="AJ7524">
        <v>87.9146707776179</v>
      </c>
      <c r="AK7524">
        <v>13.145239298385899</v>
      </c>
      <c r="AL7524">
        <v>98.194394639492799</v>
      </c>
      <c r="AM7524">
        <v>88.624357792234804</v>
      </c>
      <c r="AN7524">
        <v>0.99999999131255202</v>
      </c>
    </row>
    <row r="7525" spans="1:40" x14ac:dyDescent="0.25">
      <c r="A7525" t="str">
        <f>"20190303154958211"</f>
        <v>20190303154958211</v>
      </c>
      <c r="B7525" t="str">
        <f>"1551599398208296"</f>
        <v>1551599398208296</v>
      </c>
      <c r="C7525" t="s">
        <v>40</v>
      </c>
      <c r="D7525">
        <v>5.7543499999999996</v>
      </c>
      <c r="E7525">
        <v>0.51096239999999904</v>
      </c>
      <c r="F7525" t="s">
        <v>76</v>
      </c>
      <c r="G7525">
        <v>-255.32900000000001</v>
      </c>
      <c r="H7525" s="1">
        <v>-2.1573410000000002E-6</v>
      </c>
      <c r="I7525">
        <v>-63.689259999999997</v>
      </c>
      <c r="J7525">
        <v>-270.2167</v>
      </c>
      <c r="K7525">
        <v>1.1196159999999999</v>
      </c>
      <c r="L7525">
        <v>-63.225830000000002</v>
      </c>
      <c r="M7525">
        <v>0.99966429999999995</v>
      </c>
      <c r="N7525">
        <v>-6.5436369999999997E-3</v>
      </c>
      <c r="O7525">
        <v>2.506852E-2</v>
      </c>
      <c r="P7525">
        <v>0.98863829999999997</v>
      </c>
      <c r="Q7525">
        <v>-0.15028859999999999</v>
      </c>
      <c r="R7525">
        <v>-2.799972E-3</v>
      </c>
      <c r="S7525">
        <v>3.0012819999999998</v>
      </c>
      <c r="T7525">
        <v>-0.21702740000000001</v>
      </c>
      <c r="U7525">
        <v>-8.69751E-2</v>
      </c>
      <c r="V7525">
        <v>2.7560069999999999E-2</v>
      </c>
      <c r="W7525">
        <v>-0.14382300000000001</v>
      </c>
      <c r="X7525">
        <v>0.98921959999999998</v>
      </c>
      <c r="Y7525">
        <v>5.3809330000000002E-2</v>
      </c>
      <c r="Z7525">
        <v>-3.7651329999999999E-3</v>
      </c>
      <c r="AA7525">
        <v>0.99854419999999999</v>
      </c>
      <c r="AB7525">
        <v>24</v>
      </c>
      <c r="AC7525">
        <v>14.887699999999899</v>
      </c>
      <c r="AD7525">
        <v>-1.119618157341</v>
      </c>
      <c r="AE7525">
        <v>-0.46342999999999501</v>
      </c>
      <c r="AF7525">
        <v>0.83180508943583897</v>
      </c>
      <c r="AG7525">
        <v>-1.119618157341</v>
      </c>
      <c r="AH7525">
        <v>14.787849022255401</v>
      </c>
      <c r="AI7525">
        <v>94.322912198260397</v>
      </c>
      <c r="AJ7525">
        <v>86.780549203110397</v>
      </c>
      <c r="AK7525">
        <v>14.853481855446599</v>
      </c>
      <c r="AL7525">
        <v>98.269127544769503</v>
      </c>
      <c r="AM7525">
        <v>88.404128544095101</v>
      </c>
      <c r="AN7525">
        <v>1.0000000149057799</v>
      </c>
    </row>
    <row r="7526" spans="1:40" x14ac:dyDescent="0.25">
      <c r="A7526" t="str">
        <f>"20190303154958221"</f>
        <v>20190303154958221</v>
      </c>
      <c r="B7526" t="str">
        <f>"1551599398218056"</f>
        <v>1551599398218056</v>
      </c>
      <c r="C7526" t="s">
        <v>40</v>
      </c>
      <c r="D7526">
        <v>5.5696700000000003</v>
      </c>
      <c r="E7526">
        <v>0.51678740000000001</v>
      </c>
      <c r="F7526" t="s">
        <v>76</v>
      </c>
      <c r="G7526">
        <v>-254.72470000000001</v>
      </c>
      <c r="H7526" s="1">
        <v>-1.9112870000000001E-6</v>
      </c>
      <c r="I7526">
        <v>-63.748669999999997</v>
      </c>
      <c r="J7526">
        <v>-270.0976</v>
      </c>
      <c r="K7526">
        <v>1.119624</v>
      </c>
      <c r="L7526">
        <v>-63.222900000000003</v>
      </c>
      <c r="M7526">
        <v>0.99966500000000003</v>
      </c>
      <c r="N7526">
        <v>-6.5396219999999897E-3</v>
      </c>
      <c r="O7526">
        <v>2.504377E-2</v>
      </c>
      <c r="P7526">
        <v>0.98859019999999997</v>
      </c>
      <c r="Q7526">
        <v>-0.15061069999999999</v>
      </c>
      <c r="R7526">
        <v>-2.3947090000000001E-3</v>
      </c>
      <c r="S7526">
        <v>3.0011899999999998</v>
      </c>
      <c r="T7526">
        <v>-0.21689800000000001</v>
      </c>
      <c r="U7526">
        <v>-0.1012878</v>
      </c>
      <c r="V7526">
        <v>2.71332E-2</v>
      </c>
      <c r="W7526">
        <v>-0.14414849999999901</v>
      </c>
      <c r="X7526">
        <v>0.98918399999999995</v>
      </c>
      <c r="Y7526">
        <v>5.8529159999999997E-2</v>
      </c>
      <c r="Z7526">
        <v>-3.9468990000000002E-3</v>
      </c>
      <c r="AA7526">
        <v>0.99827790000000005</v>
      </c>
      <c r="AB7526">
        <v>24</v>
      </c>
      <c r="AC7526">
        <v>15.3728999999999</v>
      </c>
      <c r="AD7526">
        <v>-1.119625911287</v>
      </c>
      <c r="AE7526">
        <v>-0.52576999999999396</v>
      </c>
      <c r="AF7526">
        <v>0.90580953889873495</v>
      </c>
      <c r="AG7526">
        <v>-1.119625911287</v>
      </c>
      <c r="AH7526">
        <v>15.2739863225204</v>
      </c>
      <c r="AI7526">
        <v>94.185115697999905</v>
      </c>
      <c r="AJ7526">
        <v>86.6061021618073</v>
      </c>
      <c r="AK7526">
        <v>15.3417310393099</v>
      </c>
      <c r="AL7526">
        <v>98.287973883219493</v>
      </c>
      <c r="AM7526">
        <v>88.428777534537502</v>
      </c>
      <c r="AN7526">
        <v>0.99999999322524402</v>
      </c>
    </row>
    <row r="7527" spans="1:40" x14ac:dyDescent="0.25">
      <c r="A7527" t="str">
        <f>"20190303154958232"</f>
        <v>20190303154958232</v>
      </c>
      <c r="B7527" t="str">
        <f>"1551599398228792"</f>
        <v>1551599398228792</v>
      </c>
      <c r="C7527" t="s">
        <v>40</v>
      </c>
      <c r="D7527">
        <v>5.5886639999999996</v>
      </c>
      <c r="E7527">
        <v>0.51571230000000001</v>
      </c>
      <c r="F7527" t="s">
        <v>71</v>
      </c>
      <c r="G7527">
        <v>-168.45060000000001</v>
      </c>
      <c r="H7527">
        <v>6.3617709999999994E-2</v>
      </c>
      <c r="I7527">
        <v>-68.281239999999997</v>
      </c>
      <c r="J7527">
        <v>-269.98320000000001</v>
      </c>
      <c r="K7527">
        <v>1.1196269999999999</v>
      </c>
      <c r="L7527">
        <v>-63.220030000000001</v>
      </c>
      <c r="M7527">
        <v>0.99966540000000004</v>
      </c>
      <c r="N7527">
        <v>-6.5373890000000002E-3</v>
      </c>
      <c r="O7527">
        <v>2.5026090000000001E-2</v>
      </c>
      <c r="P7527">
        <v>0.98857169999999905</v>
      </c>
      <c r="Q7527">
        <v>-0.15073499999999901</v>
      </c>
      <c r="R7527">
        <v>-2.1864660000000002E-3</v>
      </c>
      <c r="S7527">
        <v>3.0294490000000001</v>
      </c>
      <c r="T7527">
        <v>-3.1473399999999999E-2</v>
      </c>
      <c r="U7527">
        <v>-0.1507568</v>
      </c>
      <c r="V7527">
        <v>2.6910469999999999E-2</v>
      </c>
      <c r="W7527">
        <v>-0.1442745</v>
      </c>
      <c r="X7527">
        <v>0.98917169999999999</v>
      </c>
      <c r="Y7527">
        <v>7.4675660000000005E-2</v>
      </c>
      <c r="Z7527">
        <v>-7.2827459999999999E-4</v>
      </c>
      <c r="AA7527">
        <v>0.99720759999999997</v>
      </c>
      <c r="AB7527">
        <v>24</v>
      </c>
      <c r="AC7527">
        <v>101.5326</v>
      </c>
      <c r="AD7527">
        <v>-1.05600929</v>
      </c>
      <c r="AE7527">
        <v>-5.0612099999999902</v>
      </c>
      <c r="AF7527">
        <v>7.5998230265409603</v>
      </c>
      <c r="AG7527">
        <v>-1.05600929</v>
      </c>
      <c r="AH7527">
        <v>101.36319573244</v>
      </c>
      <c r="AI7527">
        <v>90.595219560177796</v>
      </c>
      <c r="AJ7527">
        <v>85.712205051607697</v>
      </c>
      <c r="AK7527">
        <v>101.653184479131</v>
      </c>
      <c r="AL7527">
        <v>98.295269536212999</v>
      </c>
      <c r="AM7527">
        <v>88.441649573199697</v>
      </c>
      <c r="AN7527">
        <v>0.99999997841337995</v>
      </c>
    </row>
    <row r="7528" spans="1:40" x14ac:dyDescent="0.25">
      <c r="A7528" t="str">
        <f>"20190303154958244"</f>
        <v>20190303154958244</v>
      </c>
      <c r="B7528" t="str">
        <f>"1551599398238552"</f>
        <v>1551599398238552</v>
      </c>
      <c r="C7528" t="s">
        <v>40</v>
      </c>
      <c r="D7528">
        <v>5.6702690000000002</v>
      </c>
      <c r="E7528">
        <v>0.51288409999999995</v>
      </c>
      <c r="F7528" t="s">
        <v>64</v>
      </c>
      <c r="G7528">
        <v>-192.68129999999999</v>
      </c>
      <c r="H7528" s="1">
        <v>-9.1723580000000006E-6</v>
      </c>
      <c r="I7528">
        <v>-66.822119999999998</v>
      </c>
      <c r="J7528">
        <v>-269.8571</v>
      </c>
      <c r="K7528">
        <v>1.119631</v>
      </c>
      <c r="L7528">
        <v>-63.216920000000002</v>
      </c>
      <c r="M7528">
        <v>0.99966600000000005</v>
      </c>
      <c r="N7528">
        <v>-6.5354489999999996E-3</v>
      </c>
      <c r="O7528">
        <v>2.5008180000000001E-2</v>
      </c>
      <c r="P7528">
        <v>0.98852070000000003</v>
      </c>
      <c r="Q7528">
        <v>-0.15107789999999999</v>
      </c>
      <c r="R7528">
        <v>-1.513782E-3</v>
      </c>
      <c r="S7528">
        <v>3.027679</v>
      </c>
      <c r="T7528">
        <v>-4.385269E-2</v>
      </c>
      <c r="U7528">
        <v>-0.14108280000000001</v>
      </c>
      <c r="V7528">
        <v>2.6222499999999999E-2</v>
      </c>
      <c r="W7528">
        <v>-0.14461879999999999</v>
      </c>
      <c r="X7528">
        <v>0.98913989999999996</v>
      </c>
      <c r="Y7528">
        <v>7.1502540000000003E-2</v>
      </c>
      <c r="Z7528">
        <v>-9.4999699999999995E-4</v>
      </c>
      <c r="AA7528">
        <v>0.99743999999999999</v>
      </c>
      <c r="AB7528">
        <v>24</v>
      </c>
      <c r="AC7528">
        <v>77.175799999999995</v>
      </c>
      <c r="AD7528">
        <v>-1.1196401723580001</v>
      </c>
      <c r="AE7528">
        <v>-3.6052</v>
      </c>
      <c r="AF7528">
        <v>5.53297770384152</v>
      </c>
      <c r="AG7528">
        <v>-1.1196401723580001</v>
      </c>
      <c r="AH7528">
        <v>77.045319986180999</v>
      </c>
      <c r="AI7528">
        <v>90.830438367376701</v>
      </c>
      <c r="AJ7528">
        <v>85.892379128129306</v>
      </c>
      <c r="AK7528">
        <v>77.251852846127804</v>
      </c>
      <c r="AL7528">
        <v>98.315205543413697</v>
      </c>
      <c r="AM7528">
        <v>88.481421329233299</v>
      </c>
      <c r="AN7528">
        <v>0.99999997929584905</v>
      </c>
    </row>
    <row r="7529" spans="1:40" x14ac:dyDescent="0.25">
      <c r="A7529" t="str">
        <f>"20190303154958255"</f>
        <v>20190303154958255</v>
      </c>
      <c r="B7529" t="str">
        <f>"1551599398248312"</f>
        <v>1551599398248312</v>
      </c>
      <c r="C7529" t="s">
        <v>40</v>
      </c>
      <c r="D7529">
        <v>5.7179929999999999</v>
      </c>
      <c r="E7529">
        <v>0.50990829999999998</v>
      </c>
      <c r="F7529" t="s">
        <v>74</v>
      </c>
      <c r="G7529">
        <v>-223.4777</v>
      </c>
      <c r="H7529" s="1">
        <v>-1.634507E-6</v>
      </c>
      <c r="I7529">
        <v>-64.991129999999998</v>
      </c>
      <c r="J7529">
        <v>-269.7373</v>
      </c>
      <c r="K7529">
        <v>1.11964</v>
      </c>
      <c r="L7529">
        <v>-63.21396</v>
      </c>
      <c r="M7529">
        <v>0.99966630000000001</v>
      </c>
      <c r="N7529">
        <v>-6.5347620000000004E-3</v>
      </c>
      <c r="O7529">
        <v>2.4995239999999998E-2</v>
      </c>
      <c r="P7529">
        <v>0.98844449999999995</v>
      </c>
      <c r="Q7529">
        <v>-0.151582299999999</v>
      </c>
      <c r="R7529">
        <v>-7.872237E-4</v>
      </c>
      <c r="S7529">
        <v>3.0234990000000002</v>
      </c>
      <c r="T7529">
        <v>-7.2989460000000006E-2</v>
      </c>
      <c r="U7529">
        <v>-0.1156616</v>
      </c>
      <c r="V7529">
        <v>2.5483720000000001E-2</v>
      </c>
      <c r="W7529">
        <v>-0.14512369999999999</v>
      </c>
      <c r="X7529">
        <v>0.98908529999999995</v>
      </c>
      <c r="Y7529">
        <v>6.3164609999999996E-2</v>
      </c>
      <c r="Z7529">
        <v>-1.408393E-3</v>
      </c>
      <c r="AA7529">
        <v>0.9980021</v>
      </c>
      <c r="AB7529">
        <v>24</v>
      </c>
      <c r="AC7529">
        <v>46.259599999999999</v>
      </c>
      <c r="AD7529">
        <v>-1.1196416345069999</v>
      </c>
      <c r="AE7529">
        <v>-1.7771699999999899</v>
      </c>
      <c r="AF7529">
        <v>2.9311945438371798</v>
      </c>
      <c r="AG7529">
        <v>-1.1196416345069999</v>
      </c>
      <c r="AH7529">
        <v>46.173715762018503</v>
      </c>
      <c r="AI7529">
        <v>91.386272972502198</v>
      </c>
      <c r="AJ7529">
        <v>86.367630067161301</v>
      </c>
      <c r="AK7529">
        <v>46.280206634318503</v>
      </c>
      <c r="AL7529">
        <v>98.344442281825096</v>
      </c>
      <c r="AM7529">
        <v>88.524104400519604</v>
      </c>
      <c r="AN7529">
        <v>1.0000000194814</v>
      </c>
    </row>
    <row r="7530" spans="1:40" x14ac:dyDescent="0.25">
      <c r="A7530" t="str">
        <f>"20190303154958266"</f>
        <v>20190303154958266</v>
      </c>
      <c r="B7530" t="str">
        <f>"1551599398258072"</f>
        <v>1551599398258072</v>
      </c>
      <c r="C7530" t="s">
        <v>40</v>
      </c>
      <c r="D7530">
        <v>5.735347</v>
      </c>
      <c r="E7530">
        <v>0.5085016</v>
      </c>
      <c r="F7530" t="s">
        <v>77</v>
      </c>
      <c r="G7530">
        <v>-236.25309999999999</v>
      </c>
      <c r="H7530" s="1">
        <v>-2.6794780000000002E-6</v>
      </c>
      <c r="I7530">
        <v>-64.202759999999998</v>
      </c>
      <c r="J7530">
        <v>-269.61669999999998</v>
      </c>
      <c r="K7530">
        <v>1.1196410000000001</v>
      </c>
      <c r="L7530">
        <v>-63.210940000000001</v>
      </c>
      <c r="M7530">
        <v>0.99966659999999996</v>
      </c>
      <c r="N7530">
        <v>-6.5348119999999897E-3</v>
      </c>
      <c r="O7530">
        <v>2.4984320000000001E-2</v>
      </c>
      <c r="P7530">
        <v>0.98838700000000002</v>
      </c>
      <c r="Q7530">
        <v>-0.1519586</v>
      </c>
      <c r="R7530" s="1">
        <v>2.8196719999999999E-5</v>
      </c>
      <c r="S7530">
        <v>3.019501</v>
      </c>
      <c r="T7530">
        <v>-0.1009659</v>
      </c>
      <c r="U7530">
        <v>-8.9172360000000006E-2</v>
      </c>
      <c r="V7530">
        <v>2.4658050000000001E-2</v>
      </c>
      <c r="W7530">
        <v>-0.14549989999999999</v>
      </c>
      <c r="X7530">
        <v>0.98905089999999996</v>
      </c>
      <c r="Y7530">
        <v>5.4438649999999998E-2</v>
      </c>
      <c r="Z7530">
        <v>-1.7595039999999901E-3</v>
      </c>
      <c r="AA7530">
        <v>0.9985155</v>
      </c>
      <c r="AB7530">
        <v>24</v>
      </c>
      <c r="AC7530">
        <v>33.363599999999899</v>
      </c>
      <c r="AD7530">
        <v>-1.11964367947799</v>
      </c>
      <c r="AE7530">
        <v>-0.99181999999999704</v>
      </c>
      <c r="AF7530">
        <v>1.8230436535538499</v>
      </c>
      <c r="AG7530">
        <v>-1.11964367947799</v>
      </c>
      <c r="AH7530">
        <v>33.290945392037401</v>
      </c>
      <c r="AI7530">
        <v>91.9233705496368</v>
      </c>
      <c r="AJ7530">
        <v>86.865559572678904</v>
      </c>
      <c r="AK7530">
        <v>33.359618331560299</v>
      </c>
      <c r="AL7530">
        <v>98.366228679425902</v>
      </c>
      <c r="AM7530">
        <v>88.571853487719196</v>
      </c>
      <c r="AN7530">
        <v>0.99999996156031001</v>
      </c>
    </row>
    <row r="7531" spans="1:40" x14ac:dyDescent="0.25">
      <c r="A7531" t="str">
        <f>"20190303154958276"</f>
        <v>20190303154958276</v>
      </c>
      <c r="B7531" t="str">
        <f>"1551599398268808"</f>
        <v>1551599398268808</v>
      </c>
      <c r="C7531" t="s">
        <v>40</v>
      </c>
      <c r="D7531">
        <v>5.7244900000000003</v>
      </c>
      <c r="E7531">
        <v>0.50728569999999995</v>
      </c>
      <c r="F7531" t="s">
        <v>75</v>
      </c>
      <c r="G7531">
        <v>-240.0574</v>
      </c>
      <c r="H7531" s="1">
        <v>3.9588939999999999E-8</v>
      </c>
      <c r="I7531">
        <v>-63.948950000000004</v>
      </c>
      <c r="J7531">
        <v>-269.50450000000001</v>
      </c>
      <c r="K7531">
        <v>1.11964</v>
      </c>
      <c r="L7531">
        <v>-63.208129999999997</v>
      </c>
      <c r="M7531">
        <v>0.99966690000000002</v>
      </c>
      <c r="N7531">
        <v>-6.5354990000000002E-3</v>
      </c>
      <c r="O7531">
        <v>2.4975819999999999E-2</v>
      </c>
      <c r="P7531">
        <v>0.98834379999999999</v>
      </c>
      <c r="Q7531">
        <v>-0.1522367</v>
      </c>
      <c r="R7531">
        <v>8.494733E-4</v>
      </c>
      <c r="S7531">
        <v>3.017639</v>
      </c>
      <c r="T7531">
        <v>-0.114301399999999</v>
      </c>
      <c r="U7531">
        <v>-7.5347899999999995E-2</v>
      </c>
      <c r="V7531">
        <v>2.382892E-2</v>
      </c>
      <c r="W7531">
        <v>-0.1457772</v>
      </c>
      <c r="X7531">
        <v>0.98903039999999998</v>
      </c>
      <c r="Y7531">
        <v>4.9867979999999999E-2</v>
      </c>
      <c r="Z7531">
        <v>-1.8893950000000001E-3</v>
      </c>
      <c r="AA7531">
        <v>0.99875400000000003</v>
      </c>
      <c r="AB7531">
        <v>24</v>
      </c>
      <c r="AC7531">
        <v>29.447099999999999</v>
      </c>
      <c r="AD7531">
        <v>-1.1196399604110601</v>
      </c>
      <c r="AE7531">
        <v>-0.74081999999999903</v>
      </c>
      <c r="AF7531">
        <v>1.47394042312906</v>
      </c>
      <c r="AG7531">
        <v>-1.1196399604110601</v>
      </c>
      <c r="AH7531">
        <v>29.376967985531099</v>
      </c>
      <c r="AI7531">
        <v>92.179909564078002</v>
      </c>
      <c r="AJ7531">
        <v>87.127688326174606</v>
      </c>
      <c r="AK7531">
        <v>29.435222812725598</v>
      </c>
      <c r="AL7531">
        <v>98.382287948704601</v>
      </c>
      <c r="AM7531">
        <v>88.619827599613004</v>
      </c>
      <c r="AN7531">
        <v>0.99999997079618197</v>
      </c>
    </row>
    <row r="7532" spans="1:40" x14ac:dyDescent="0.25">
      <c r="A7532" t="str">
        <f>"20190303154958288"</f>
        <v>20190303154958288</v>
      </c>
      <c r="B7532" t="str">
        <f>"1551599398278099"</f>
        <v>1551599398278099</v>
      </c>
      <c r="C7532" t="s">
        <v>40</v>
      </c>
      <c r="D7532">
        <v>5.7280249999999997</v>
      </c>
      <c r="E7532">
        <v>0.50642929999999997</v>
      </c>
      <c r="F7532" t="s">
        <v>75</v>
      </c>
      <c r="G7532">
        <v>-243.36420000000001</v>
      </c>
      <c r="H7532" s="1">
        <v>-1.327646E-6</v>
      </c>
      <c r="I7532">
        <v>-63.755949999999999</v>
      </c>
      <c r="J7532">
        <v>-269.38220000000001</v>
      </c>
      <c r="K7532">
        <v>1.1196379999999999</v>
      </c>
      <c r="L7532">
        <v>-63.205080000000002</v>
      </c>
      <c r="M7532">
        <v>0.99966699999999997</v>
      </c>
      <c r="N7532">
        <v>-6.537083E-3</v>
      </c>
      <c r="O7532">
        <v>2.4968850000000001E-2</v>
      </c>
      <c r="P7532">
        <v>0.98828559999999999</v>
      </c>
      <c r="Q7532">
        <v>-0.15260750000000001</v>
      </c>
      <c r="R7532">
        <v>1.7248299999999999E-3</v>
      </c>
      <c r="S7532">
        <v>3.0155029999999998</v>
      </c>
      <c r="T7532">
        <v>-0.12916</v>
      </c>
      <c r="U7532">
        <v>-6.3201900000000005E-2</v>
      </c>
      <c r="V7532">
        <v>2.2945719999999999E-2</v>
      </c>
      <c r="W7532">
        <v>-0.14614649999999901</v>
      </c>
      <c r="X7532">
        <v>0.98899680000000001</v>
      </c>
      <c r="Y7532">
        <v>4.5846890000000001E-2</v>
      </c>
      <c r="Z7532">
        <v>-2.0369479999999998E-3</v>
      </c>
      <c r="AA7532">
        <v>0.99894640000000001</v>
      </c>
      <c r="AB7532">
        <v>24</v>
      </c>
      <c r="AC7532">
        <v>26.018000000000001</v>
      </c>
      <c r="AD7532">
        <v>-1.1196393276459999</v>
      </c>
      <c r="AE7532">
        <v>-0.55086999999999597</v>
      </c>
      <c r="AF7532">
        <v>1.1981337912201999</v>
      </c>
      <c r="AG7532">
        <v>-1.1196393276459999</v>
      </c>
      <c r="AH7532">
        <v>25.9481023757508</v>
      </c>
      <c r="AI7532">
        <v>92.468106838952295</v>
      </c>
      <c r="AJ7532">
        <v>87.356288963820305</v>
      </c>
      <c r="AK7532">
        <v>25.999867955589998</v>
      </c>
      <c r="AL7532">
        <v>98.403676200518603</v>
      </c>
      <c r="AM7532">
        <v>88.670918757101504</v>
      </c>
      <c r="AN7532">
        <v>0.99999998796940404</v>
      </c>
    </row>
    <row r="7533" spans="1:40" x14ac:dyDescent="0.25">
      <c r="A7533" t="str">
        <f>"20190303154958299"</f>
        <v>20190303154958299</v>
      </c>
      <c r="B7533" t="str">
        <f>"1551599398288836"</f>
        <v>1551599398288836</v>
      </c>
      <c r="C7533" t="s">
        <v>40</v>
      </c>
      <c r="D7533">
        <v>5.7944889999999996</v>
      </c>
      <c r="E7533">
        <v>0.50538909999999904</v>
      </c>
      <c r="F7533" t="s">
        <v>75</v>
      </c>
      <c r="G7533">
        <v>-244.892</v>
      </c>
      <c r="H7533" s="1">
        <v>-1.9527119999999999E-6</v>
      </c>
      <c r="I7533">
        <v>-63.641889999999997</v>
      </c>
      <c r="J7533">
        <v>-269.25830000000002</v>
      </c>
      <c r="K7533">
        <v>1.119637</v>
      </c>
      <c r="L7533">
        <v>-63.201999999999998</v>
      </c>
      <c r="M7533">
        <v>0.99966719999999998</v>
      </c>
      <c r="N7533">
        <v>-6.5391290000000003E-3</v>
      </c>
      <c r="O7533">
        <v>2.4962519999999998E-2</v>
      </c>
      <c r="P7533">
        <v>0.98831550000000001</v>
      </c>
      <c r="Q7533">
        <v>-0.15240479999999901</v>
      </c>
      <c r="R7533">
        <v>2.4382259999999999E-3</v>
      </c>
      <c r="S7533">
        <v>3.0143740000000001</v>
      </c>
      <c r="T7533">
        <v>-0.13781019999999999</v>
      </c>
      <c r="U7533">
        <v>-5.3771970000000002E-2</v>
      </c>
      <c r="V7533">
        <v>2.2227070000000002E-2</v>
      </c>
      <c r="W7533">
        <v>-0.1459414</v>
      </c>
      <c r="X7533">
        <v>0.98904349999999996</v>
      </c>
      <c r="Y7533">
        <v>4.2719069999999998E-2</v>
      </c>
      <c r="Z7533">
        <v>-2.0930549999999999E-3</v>
      </c>
      <c r="AA7533">
        <v>0.99908490000000005</v>
      </c>
      <c r="AB7533">
        <v>24</v>
      </c>
      <c r="AC7533">
        <v>24.366299999999999</v>
      </c>
      <c r="AD7533">
        <v>-1.1196389527120001</v>
      </c>
      <c r="AE7533">
        <v>-0.439890000000005</v>
      </c>
      <c r="AF7533">
        <v>1.04580263342489</v>
      </c>
      <c r="AG7533">
        <v>-1.1196389527120001</v>
      </c>
      <c r="AH7533">
        <v>24.296442306035299</v>
      </c>
      <c r="AI7533">
        <v>92.636024429197093</v>
      </c>
      <c r="AJ7533">
        <v>87.535313523735397</v>
      </c>
      <c r="AK7533">
        <v>24.344699695478099</v>
      </c>
      <c r="AL7533">
        <v>98.391797457304804</v>
      </c>
      <c r="AM7533">
        <v>88.712591538584405</v>
      </c>
      <c r="AN7533">
        <v>0.99999998988349703</v>
      </c>
    </row>
    <row r="7534" spans="1:40" x14ac:dyDescent="0.25">
      <c r="A7534" t="str">
        <f>"20190303154958311"</f>
        <v>20190303154958311</v>
      </c>
      <c r="B7534" t="str">
        <f>"1551599398308355"</f>
        <v>1551599398308355</v>
      </c>
      <c r="C7534" t="s">
        <v>40</v>
      </c>
      <c r="D7534">
        <v>5.760205</v>
      </c>
      <c r="E7534">
        <v>0.50392040000000005</v>
      </c>
      <c r="F7534" t="s">
        <v>75</v>
      </c>
      <c r="G7534">
        <v>-244.804</v>
      </c>
      <c r="H7534" s="1">
        <v>-1.891935E-6</v>
      </c>
      <c r="I7534">
        <v>-63.555239999999998</v>
      </c>
      <c r="J7534">
        <v>-269.13029999999998</v>
      </c>
      <c r="K7534">
        <v>1.119632</v>
      </c>
      <c r="L7534">
        <v>-63.198819999999998</v>
      </c>
      <c r="M7534">
        <v>0.99966730000000004</v>
      </c>
      <c r="N7534">
        <v>-6.5422719999999896E-3</v>
      </c>
      <c r="O7534">
        <v>2.495731E-2</v>
      </c>
      <c r="P7534">
        <v>0.98842540000000001</v>
      </c>
      <c r="Q7534">
        <v>-0.15167439999999999</v>
      </c>
      <c r="R7534">
        <v>3.2783259999999998E-3</v>
      </c>
      <c r="S7534">
        <v>3.0142519999999999</v>
      </c>
      <c r="T7534">
        <v>-0.138007399999999</v>
      </c>
      <c r="U7534">
        <v>-4.3548580000000003E-2</v>
      </c>
      <c r="V7534">
        <v>2.138427E-2</v>
      </c>
      <c r="W7534">
        <v>-0.14520710000000001</v>
      </c>
      <c r="X7534">
        <v>0.98917010000000005</v>
      </c>
      <c r="Y7534">
        <v>3.9330499999999997E-2</v>
      </c>
      <c r="Z7534">
        <v>-2.007366E-3</v>
      </c>
      <c r="AA7534">
        <v>0.99922420000000001</v>
      </c>
      <c r="AB7534">
        <v>24</v>
      </c>
      <c r="AC7534">
        <v>24.3262999999999</v>
      </c>
      <c r="AD7534">
        <v>-1.119633891935</v>
      </c>
      <c r="AE7534">
        <v>-0.35642000000000701</v>
      </c>
      <c r="AF7534">
        <v>0.96140470003281198</v>
      </c>
      <c r="AG7534">
        <v>-1.119633891935</v>
      </c>
      <c r="AH7534">
        <v>24.2584498735573</v>
      </c>
      <c r="AI7534">
        <v>92.640506298273394</v>
      </c>
      <c r="AJ7534">
        <v>87.730456017011093</v>
      </c>
      <c r="AK7534">
        <v>24.303297498839601</v>
      </c>
      <c r="AL7534">
        <v>98.349272594764898</v>
      </c>
      <c r="AM7534">
        <v>88.761550111288003</v>
      </c>
      <c r="AN7534">
        <v>0.99999993781392404</v>
      </c>
    </row>
    <row r="7535" spans="1:40" x14ac:dyDescent="0.25">
      <c r="A7535" t="str">
        <f>"20190303154958322"</f>
        <v>20190303154958322</v>
      </c>
      <c r="B7535" t="str">
        <f>"1551599398318115"</f>
        <v>1551599398318115</v>
      </c>
      <c r="C7535" t="s">
        <v>40</v>
      </c>
      <c r="D7535">
        <v>5.7750149999999998</v>
      </c>
      <c r="E7535">
        <v>0.50346170000000001</v>
      </c>
      <c r="F7535" t="s">
        <v>75</v>
      </c>
      <c r="G7535">
        <v>-247.18340000000001</v>
      </c>
      <c r="H7535" s="1">
        <v>-2.8554849999999998E-6</v>
      </c>
      <c r="I7535">
        <v>-63.410260000000001</v>
      </c>
      <c r="J7535">
        <v>-269.00439999999998</v>
      </c>
      <c r="K7535">
        <v>1.119631</v>
      </c>
      <c r="L7535">
        <v>-63.195680000000003</v>
      </c>
      <c r="M7535">
        <v>0.99966719999999998</v>
      </c>
      <c r="N7535">
        <v>-6.5456630000000002E-3</v>
      </c>
      <c r="O7535">
        <v>2.4952459999999999E-2</v>
      </c>
      <c r="P7535">
        <v>0.98855320000000002</v>
      </c>
      <c r="Q7535">
        <v>-0.1508245</v>
      </c>
      <c r="R7535">
        <v>3.8470459999999998E-3</v>
      </c>
      <c r="S7535">
        <v>3.0116580000000002</v>
      </c>
      <c r="T7535">
        <v>-0.15364159999999999</v>
      </c>
      <c r="U7535">
        <v>-2.9022220000000001E-2</v>
      </c>
      <c r="V7535">
        <v>2.0813559999999998E-2</v>
      </c>
      <c r="W7535">
        <v>-0.14435300000000001</v>
      </c>
      <c r="X7535">
        <v>0.9893073</v>
      </c>
      <c r="Y7535">
        <v>3.4509720000000001E-2</v>
      </c>
      <c r="Z7535">
        <v>-2.10151E-3</v>
      </c>
      <c r="AA7535">
        <v>0.99940220000000002</v>
      </c>
      <c r="AB7535">
        <v>24</v>
      </c>
      <c r="AC7535">
        <v>21.820999999999898</v>
      </c>
      <c r="AD7535">
        <v>-1.1196338554850001</v>
      </c>
      <c r="AE7535">
        <v>-0.21457999999999799</v>
      </c>
      <c r="AF7535">
        <v>0.75701966549558597</v>
      </c>
      <c r="AG7535">
        <v>-1.1196338554850001</v>
      </c>
      <c r="AH7535">
        <v>21.7515910268962</v>
      </c>
      <c r="AI7535">
        <v>92.944842748601303</v>
      </c>
      <c r="AJ7535">
        <v>88.006742021777498</v>
      </c>
      <c r="AK7535">
        <v>21.793539660772101</v>
      </c>
      <c r="AL7535">
        <v>98.299814961094398</v>
      </c>
      <c r="AM7535">
        <v>88.794759478782296</v>
      </c>
      <c r="AN7535">
        <v>0.99999996336108099</v>
      </c>
    </row>
    <row r="7536" spans="1:40" x14ac:dyDescent="0.25">
      <c r="A7536" t="str">
        <f>"20190303154958334"</f>
        <v>20190303154958334</v>
      </c>
      <c r="B7536" t="str">
        <f>"1551599398328851"</f>
        <v>1551599398328851</v>
      </c>
      <c r="C7536" t="s">
        <v>40</v>
      </c>
      <c r="D7536">
        <v>5.7988059999999999</v>
      </c>
      <c r="E7536">
        <v>0.50306679999999904</v>
      </c>
      <c r="F7536" t="s">
        <v>75</v>
      </c>
      <c r="G7536">
        <v>-247.78630000000001</v>
      </c>
      <c r="H7536" s="1">
        <v>-3.0520799999999998E-6</v>
      </c>
      <c r="I7536">
        <v>-63.361879999999999</v>
      </c>
      <c r="J7536">
        <v>-268.87759999999997</v>
      </c>
      <c r="K7536">
        <v>1.119629</v>
      </c>
      <c r="L7536">
        <v>-63.192540000000001</v>
      </c>
      <c r="M7536">
        <v>0.99966739999999998</v>
      </c>
      <c r="N7536">
        <v>-6.5499010000000003E-3</v>
      </c>
      <c r="O7536">
        <v>2.494712E-2</v>
      </c>
      <c r="P7536">
        <v>0.98865289999999995</v>
      </c>
      <c r="Q7536">
        <v>-0.15014859999999999</v>
      </c>
      <c r="R7536">
        <v>4.603055E-3</v>
      </c>
      <c r="S7536">
        <v>3.0105590000000002</v>
      </c>
      <c r="T7536">
        <v>-0.158861</v>
      </c>
      <c r="U7536">
        <v>-2.3590090000000001E-2</v>
      </c>
      <c r="V7536">
        <v>2.0054140000000002E-2</v>
      </c>
      <c r="W7536">
        <v>-0.1436723</v>
      </c>
      <c r="X7536">
        <v>0.98942209999999997</v>
      </c>
      <c r="Y7536">
        <v>3.2702219999999997E-2</v>
      </c>
      <c r="Z7536">
        <v>-2.1214789999999999E-3</v>
      </c>
      <c r="AA7536">
        <v>0.99946290000000004</v>
      </c>
      <c r="AB7536">
        <v>24</v>
      </c>
      <c r="AC7536">
        <v>21.091299999999901</v>
      </c>
      <c r="AD7536">
        <v>-1.1196320520799901</v>
      </c>
      <c r="AE7536">
        <v>-0.16934000000000499</v>
      </c>
      <c r="AF7536">
        <v>0.69351152574008601</v>
      </c>
      <c r="AG7536">
        <v>-1.1196320520799901</v>
      </c>
      <c r="AH7536">
        <v>21.021276342561102</v>
      </c>
      <c r="AI7536">
        <v>93.047143700891695</v>
      </c>
      <c r="AJ7536">
        <v>88.110444092684105</v>
      </c>
      <c r="AK7536">
        <v>21.062492569463299</v>
      </c>
      <c r="AL7536">
        <v>98.260402619807394</v>
      </c>
      <c r="AM7536">
        <v>88.838857269815904</v>
      </c>
      <c r="AN7536">
        <v>0.99999999514341897</v>
      </c>
    </row>
    <row r="7537" spans="1:40" x14ac:dyDescent="0.25">
      <c r="A7537" t="str">
        <f>"20190303154958345"</f>
        <v>20190303154958345</v>
      </c>
      <c r="B7537" t="str">
        <f>"1551599398338612"</f>
        <v>1551599398338612</v>
      </c>
      <c r="C7537" t="s">
        <v>40</v>
      </c>
      <c r="D7537">
        <v>5.7779499999999997</v>
      </c>
      <c r="E7537">
        <v>0.50279410000000002</v>
      </c>
      <c r="F7537" t="s">
        <v>75</v>
      </c>
      <c r="G7537">
        <v>-248.15710000000001</v>
      </c>
      <c r="H7537" s="1">
        <v>-3.1703299999999999E-6</v>
      </c>
      <c r="I7537">
        <v>-63.317269999999901</v>
      </c>
      <c r="J7537">
        <v>-268.75810000000001</v>
      </c>
      <c r="K7537">
        <v>1.119623</v>
      </c>
      <c r="L7537">
        <v>-63.189540000000001</v>
      </c>
      <c r="M7537">
        <v>0.99966750000000004</v>
      </c>
      <c r="N7537">
        <v>-6.5549060000000001E-3</v>
      </c>
      <c r="O7537">
        <v>2.4941419999999999E-2</v>
      </c>
      <c r="P7537">
        <v>0.98878219999999994</v>
      </c>
      <c r="Q7537">
        <v>-0.14927699999999999</v>
      </c>
      <c r="R7537">
        <v>5.1235179999999996E-3</v>
      </c>
      <c r="S7537">
        <v>3.009827</v>
      </c>
      <c r="T7537">
        <v>-0.1626359</v>
      </c>
      <c r="U7537">
        <v>-1.8127440000000002E-2</v>
      </c>
      <c r="V7537">
        <v>1.953092E-2</v>
      </c>
      <c r="W7537">
        <v>-0.142794899999999</v>
      </c>
      <c r="X7537">
        <v>0.98955959999999998</v>
      </c>
      <c r="Y7537">
        <v>3.088366E-2</v>
      </c>
      <c r="Z7537">
        <v>-2.118329E-3</v>
      </c>
      <c r="AA7537">
        <v>0.99952070000000004</v>
      </c>
      <c r="AB7537">
        <v>24</v>
      </c>
      <c r="AC7537">
        <v>20.600999999999999</v>
      </c>
      <c r="AD7537">
        <v>-1.1196261703299999</v>
      </c>
      <c r="AE7537">
        <v>-0.12772999999999199</v>
      </c>
      <c r="AF7537">
        <v>0.63963023999500002</v>
      </c>
      <c r="AG7537">
        <v>-1.1196261703299999</v>
      </c>
      <c r="AH7537">
        <v>20.530765392482898</v>
      </c>
      <c r="AI7537">
        <v>93.119969249019903</v>
      </c>
      <c r="AJ7537">
        <v>88.215543243895993</v>
      </c>
      <c r="AK7537">
        <v>20.571218175071198</v>
      </c>
      <c r="AL7537">
        <v>98.209607333450805</v>
      </c>
      <c r="AM7537">
        <v>88.869301037264904</v>
      </c>
      <c r="AN7537">
        <v>1.0000000211271001</v>
      </c>
    </row>
    <row r="7538" spans="1:40" x14ac:dyDescent="0.25">
      <c r="A7538" t="str">
        <f>"20190303154958357"</f>
        <v>20190303154958357</v>
      </c>
      <c r="B7538" t="str">
        <f>"1551599398348372"</f>
        <v>1551599398348372</v>
      </c>
      <c r="C7538" t="s">
        <v>40</v>
      </c>
      <c r="D7538">
        <v>5.8507490000000004</v>
      </c>
      <c r="E7538">
        <v>0.50219159999999996</v>
      </c>
      <c r="F7538" t="s">
        <v>75</v>
      </c>
      <c r="G7538">
        <v>-248.39169999999999</v>
      </c>
      <c r="H7538" s="1">
        <v>-3.2446459999999998E-6</v>
      </c>
      <c r="I7538">
        <v>-63.286149999999999</v>
      </c>
      <c r="J7538">
        <v>-268.62630000000001</v>
      </c>
      <c r="K7538">
        <v>1.119621</v>
      </c>
      <c r="L7538">
        <v>-63.186279999999996</v>
      </c>
      <c r="M7538">
        <v>0.99966770000000005</v>
      </c>
      <c r="N7538">
        <v>-6.5619509999999999E-3</v>
      </c>
      <c r="O7538">
        <v>2.4934049999999999E-2</v>
      </c>
      <c r="P7538">
        <v>0.988761</v>
      </c>
      <c r="Q7538">
        <v>-0.14939169999999999</v>
      </c>
      <c r="R7538">
        <v>5.8549159999999999E-3</v>
      </c>
      <c r="S7538">
        <v>3.0091549999999998</v>
      </c>
      <c r="T7538">
        <v>-0.16542599999999999</v>
      </c>
      <c r="U7538">
        <v>-1.428223E-2</v>
      </c>
      <c r="V7538">
        <v>1.8791080000000002E-2</v>
      </c>
      <c r="W7538">
        <v>-0.14290269999999999</v>
      </c>
      <c r="X7538">
        <v>0.9895583</v>
      </c>
      <c r="Y7538">
        <v>2.9599810000000001E-2</v>
      </c>
      <c r="Z7538">
        <v>-2.116279E-3</v>
      </c>
      <c r="AA7538">
        <v>0.99955959999999999</v>
      </c>
      <c r="AB7538">
        <v>24</v>
      </c>
      <c r="AC7538">
        <v>20.2346</v>
      </c>
      <c r="AD7538">
        <v>-1.1196242446460001</v>
      </c>
      <c r="AE7538">
        <v>-9.9869999999995601E-2</v>
      </c>
      <c r="AF7538">
        <v>0.60253556276905196</v>
      </c>
      <c r="AG7538">
        <v>-1.1196242446460001</v>
      </c>
      <c r="AH7538">
        <v>20.164084703739999</v>
      </c>
      <c r="AI7538">
        <v>93.176707838794897</v>
      </c>
      <c r="AJ7538">
        <v>88.288418467215607</v>
      </c>
      <c r="AK7538">
        <v>20.2041312481681</v>
      </c>
      <c r="AL7538">
        <v>98.215848341980902</v>
      </c>
      <c r="AM7538">
        <v>88.912120495883002</v>
      </c>
      <c r="AN7538">
        <v>0.999999957726872</v>
      </c>
    </row>
    <row r="7539" spans="1:40" x14ac:dyDescent="0.25">
      <c r="A7539" t="str">
        <f>"20190303154958366"</f>
        <v>20190303154958366</v>
      </c>
      <c r="B7539" t="str">
        <f>"1551599398358132"</f>
        <v>1551599398358132</v>
      </c>
      <c r="C7539" t="s">
        <v>40</v>
      </c>
      <c r="D7539">
        <v>5.8767490000000002</v>
      </c>
      <c r="E7539">
        <v>0.50161750000000005</v>
      </c>
      <c r="F7539" t="s">
        <v>75</v>
      </c>
      <c r="G7539">
        <v>-249.25</v>
      </c>
      <c r="H7539" s="1">
        <v>-3.5269789999999999E-6</v>
      </c>
      <c r="I7539">
        <v>-63.23124</v>
      </c>
      <c r="J7539">
        <v>-268.52330000000001</v>
      </c>
      <c r="K7539">
        <v>1.119618</v>
      </c>
      <c r="L7539">
        <v>-63.183720000000001</v>
      </c>
      <c r="M7539">
        <v>0.99966759999999999</v>
      </c>
      <c r="N7539">
        <v>-6.5697999999999998E-3</v>
      </c>
      <c r="O7539">
        <v>2.492722E-2</v>
      </c>
      <c r="P7539">
        <v>0.98874980000000001</v>
      </c>
      <c r="Q7539">
        <v>-0.14943899999999999</v>
      </c>
      <c r="R7539">
        <v>6.4599109999999996E-3</v>
      </c>
      <c r="S7539">
        <v>3.0079349999999998</v>
      </c>
      <c r="T7539">
        <v>-0.17380709999999999</v>
      </c>
      <c r="U7539">
        <v>-6.9885249999999998E-3</v>
      </c>
      <c r="V7539">
        <v>1.8178920000000001E-2</v>
      </c>
      <c r="W7539">
        <v>-0.14294219999999999</v>
      </c>
      <c r="X7539">
        <v>0.98956409999999995</v>
      </c>
      <c r="Y7539">
        <v>2.7167199999999999E-2</v>
      </c>
      <c r="Z7539">
        <v>-2.1489740000000001E-3</v>
      </c>
      <c r="AA7539">
        <v>0.99962859999999998</v>
      </c>
      <c r="AB7539">
        <v>24</v>
      </c>
      <c r="AC7539">
        <v>19.273299999999999</v>
      </c>
      <c r="AD7539">
        <v>-1.119621526979</v>
      </c>
      <c r="AE7539">
        <v>-4.7520000000005697E-2</v>
      </c>
      <c r="AF7539">
        <v>0.52616979528185204</v>
      </c>
      <c r="AG7539">
        <v>-1.119621526979</v>
      </c>
      <c r="AH7539">
        <v>19.201328747436001</v>
      </c>
      <c r="AI7539">
        <v>93.335865118765099</v>
      </c>
      <c r="AJ7539">
        <v>88.430329151921001</v>
      </c>
      <c r="AK7539">
        <v>19.2411390693029</v>
      </c>
      <c r="AL7539">
        <v>98.218134428539898</v>
      </c>
      <c r="AM7539">
        <v>88.947558581127197</v>
      </c>
      <c r="AN7539">
        <v>1.0000000268410001</v>
      </c>
    </row>
    <row r="7540" spans="1:40" x14ac:dyDescent="0.25">
      <c r="A7540" t="str">
        <f>"20190303154958377"</f>
        <v>20190303154958377</v>
      </c>
      <c r="B7540" t="str">
        <f>"1551599398367892"</f>
        <v>1551599398367892</v>
      </c>
      <c r="C7540" t="s">
        <v>40</v>
      </c>
      <c r="D7540">
        <v>5.875572</v>
      </c>
      <c r="E7540">
        <v>0.50122800000000001</v>
      </c>
      <c r="F7540" t="s">
        <v>75</v>
      </c>
      <c r="G7540">
        <v>-249.92750000000001</v>
      </c>
      <c r="H7540" s="1">
        <v>-3.7493869999999999E-6</v>
      </c>
      <c r="I7540">
        <v>-63.1851699999999</v>
      </c>
      <c r="J7540">
        <v>-268.40589999999997</v>
      </c>
      <c r="K7540">
        <v>1.1196170000000001</v>
      </c>
      <c r="L7540">
        <v>-63.180790000000002</v>
      </c>
      <c r="M7540">
        <v>0.99966790000000005</v>
      </c>
      <c r="N7540">
        <v>-6.5802639999999997E-3</v>
      </c>
      <c r="O7540">
        <v>2.4918470000000002E-2</v>
      </c>
      <c r="P7540">
        <v>0.98870930000000001</v>
      </c>
      <c r="Q7540">
        <v>-0.14968679999999901</v>
      </c>
      <c r="R7540">
        <v>6.9245579999999999E-3</v>
      </c>
      <c r="S7540">
        <v>3.0068049999999999</v>
      </c>
      <c r="T7540">
        <v>-0.1810349</v>
      </c>
      <c r="U7540">
        <v>-2.4414059999999999E-4</v>
      </c>
      <c r="V7540">
        <v>1.770445E-2</v>
      </c>
      <c r="W7540">
        <v>-0.143179799999999</v>
      </c>
      <c r="X7540">
        <v>0.98953829999999998</v>
      </c>
      <c r="Y7540">
        <v>2.491434E-2</v>
      </c>
      <c r="Z7540">
        <v>-2.1663780000000001E-3</v>
      </c>
      <c r="AA7540">
        <v>0.99968729999999995</v>
      </c>
      <c r="AB7540">
        <v>25</v>
      </c>
      <c r="AC7540">
        <v>18.478399999999901</v>
      </c>
      <c r="AD7540">
        <v>-1.1196207493870001</v>
      </c>
      <c r="AE7540">
        <v>-4.3799999999905E-3</v>
      </c>
      <c r="AF7540">
        <v>0.463141726951879</v>
      </c>
      <c r="AG7540">
        <v>-1.1196207493870001</v>
      </c>
      <c r="AH7540">
        <v>18.404983652100501</v>
      </c>
      <c r="AI7540">
        <v>93.480055381580399</v>
      </c>
      <c r="AJ7540">
        <v>88.558517203092507</v>
      </c>
      <c r="AK7540">
        <v>18.444822420283401</v>
      </c>
      <c r="AL7540">
        <v>98.2318898210562</v>
      </c>
      <c r="AM7540">
        <v>88.9749946561369</v>
      </c>
      <c r="AN7540">
        <v>0.99999997492236503</v>
      </c>
    </row>
    <row r="7541" spans="1:40" x14ac:dyDescent="0.25">
      <c r="A7541" t="str">
        <f>"20190303154958390"</f>
        <v>20190303154958390</v>
      </c>
      <c r="B7541" t="str">
        <f>"1551599398378158"</f>
        <v>1551599398378158</v>
      </c>
      <c r="C7541" t="s">
        <v>40</v>
      </c>
      <c r="D7541">
        <v>5.8441710000000002</v>
      </c>
      <c r="E7541">
        <v>0.50096490000000005</v>
      </c>
      <c r="F7541" t="s">
        <v>76</v>
      </c>
      <c r="G7541">
        <v>-250.5025</v>
      </c>
      <c r="H7541" s="1">
        <v>3.2182979999999998E-8</v>
      </c>
      <c r="I7541">
        <v>-63.154249999999998</v>
      </c>
      <c r="J7541">
        <v>-268.28339999999997</v>
      </c>
      <c r="K7541">
        <v>1.1196200000000001</v>
      </c>
      <c r="L7541">
        <v>-63.177759999999999</v>
      </c>
      <c r="M7541">
        <v>0.99966790000000005</v>
      </c>
      <c r="N7541">
        <v>-6.5938689999999996E-3</v>
      </c>
      <c r="O7541">
        <v>2.490829E-2</v>
      </c>
      <c r="P7541">
        <v>0.98865309999999995</v>
      </c>
      <c r="Q7541">
        <v>-0.15002499999999999</v>
      </c>
      <c r="R7541">
        <v>7.5767359999999997E-3</v>
      </c>
      <c r="S7541">
        <v>3.0057680000000002</v>
      </c>
      <c r="T7541">
        <v>-0.1879699</v>
      </c>
      <c r="U7541">
        <v>4.4555659999999898E-3</v>
      </c>
      <c r="V7541">
        <v>1.7040670000000001E-2</v>
      </c>
      <c r="W7541">
        <v>-0.14350479999999999</v>
      </c>
      <c r="X7541">
        <v>0.98950289999999996</v>
      </c>
      <c r="Y7541">
        <v>2.33376E-2</v>
      </c>
      <c r="Z7541">
        <v>-2.1979510000000001E-3</v>
      </c>
      <c r="AA7541">
        <v>0.99972519999999998</v>
      </c>
      <c r="AB7541">
        <v>25</v>
      </c>
      <c r="AC7541">
        <v>17.7808999999999</v>
      </c>
      <c r="AD7541">
        <v>-1.11961996781702</v>
      </c>
      <c r="AE7541">
        <v>2.3510000000001599E-2</v>
      </c>
      <c r="AF7541">
        <v>0.417742468192695</v>
      </c>
      <c r="AG7541">
        <v>-1.11961996781702</v>
      </c>
      <c r="AH7541">
        <v>17.705766947352</v>
      </c>
      <c r="AI7541">
        <v>93.617263457244505</v>
      </c>
      <c r="AJ7541">
        <v>88.648438063663406</v>
      </c>
      <c r="AK7541">
        <v>17.746048597814902</v>
      </c>
      <c r="AL7541">
        <v>98.250705040531003</v>
      </c>
      <c r="AM7541">
        <v>89.013381399849706</v>
      </c>
      <c r="AN7541">
        <v>1.0000000005827401</v>
      </c>
    </row>
    <row r="7542" spans="1:40" x14ac:dyDescent="0.25">
      <c r="A7542" t="str">
        <f>"20190303154958400"</f>
        <v>20190303154958400</v>
      </c>
      <c r="B7542" t="str">
        <f>"1551599398387918"</f>
        <v>1551599398387918</v>
      </c>
      <c r="C7542" t="s">
        <v>40</v>
      </c>
      <c r="D7542">
        <v>5.8858550000000003</v>
      </c>
      <c r="E7542">
        <v>0.50056089999999998</v>
      </c>
      <c r="F7542" t="s">
        <v>76</v>
      </c>
      <c r="G7542">
        <v>-251.04480000000001</v>
      </c>
      <c r="H7542" s="1">
        <v>-1.9447509999999999E-7</v>
      </c>
      <c r="I7542">
        <v>-63.127339999999997</v>
      </c>
      <c r="J7542">
        <v>-268.14769999999999</v>
      </c>
      <c r="K7542">
        <v>1.1196219999999999</v>
      </c>
      <c r="L7542">
        <v>-63.174410000000002</v>
      </c>
      <c r="M7542">
        <v>0.99966840000000001</v>
      </c>
      <c r="N7542">
        <v>-6.6102560000000001E-3</v>
      </c>
      <c r="O7542">
        <v>2.4895770000000001E-2</v>
      </c>
      <c r="P7542">
        <v>0.98862119999999998</v>
      </c>
      <c r="Q7542">
        <v>-0.15021590000000001</v>
      </c>
      <c r="R7542">
        <v>7.9656750000000002E-3</v>
      </c>
      <c r="S7542">
        <v>3.0047299999999999</v>
      </c>
      <c r="T7542">
        <v>-0.19515189999999999</v>
      </c>
      <c r="U7542">
        <v>8.7890629999999997E-3</v>
      </c>
      <c r="V7542">
        <v>1.66386E-2</v>
      </c>
      <c r="W7542">
        <v>-0.14367959999999999</v>
      </c>
      <c r="X7542">
        <v>0.98948440000000004</v>
      </c>
      <c r="Y7542">
        <v>2.1878950000000001E-2</v>
      </c>
      <c r="Z7542">
        <v>-2.2328109999999999E-3</v>
      </c>
      <c r="AA7542">
        <v>0.99975809999999998</v>
      </c>
      <c r="AB7542">
        <v>25</v>
      </c>
      <c r="AC7542">
        <v>17.102899999999899</v>
      </c>
      <c r="AD7542">
        <v>-1.1196221944750999</v>
      </c>
      <c r="AE7542">
        <v>4.70699999999908E-2</v>
      </c>
      <c r="AF7542">
        <v>0.37712749623581998</v>
      </c>
      <c r="AG7542">
        <v>-1.1196221944750999</v>
      </c>
      <c r="AH7542">
        <v>17.025806759130699</v>
      </c>
      <c r="AI7542">
        <v>93.761450659052699</v>
      </c>
      <c r="AJ7542">
        <v>88.731086206473506</v>
      </c>
      <c r="AK7542">
        <v>17.0667476340994</v>
      </c>
      <c r="AL7542">
        <v>98.260825022691193</v>
      </c>
      <c r="AM7542">
        <v>89.036637951046401</v>
      </c>
      <c r="AN7542">
        <v>1.00000002415473</v>
      </c>
    </row>
    <row r="7543" spans="1:40" x14ac:dyDescent="0.25">
      <c r="A7543" t="str">
        <f>"20190303154958411"</f>
        <v>20190303154958411</v>
      </c>
      <c r="B7543" t="str">
        <f>"1551599398408415"</f>
        <v>1551599398408415</v>
      </c>
      <c r="C7543" t="s">
        <v>40</v>
      </c>
      <c r="D7543">
        <v>5.832954</v>
      </c>
      <c r="E7543">
        <v>0.50007330000000005</v>
      </c>
      <c r="F7543" t="s">
        <v>76</v>
      </c>
      <c r="G7543">
        <v>-251.40459999999999</v>
      </c>
      <c r="H7543" s="1">
        <v>-3.4264219999999999E-7</v>
      </c>
      <c r="I7543">
        <v>-63.099559999999997</v>
      </c>
      <c r="J7543">
        <v>-268.02859999999998</v>
      </c>
      <c r="K7543">
        <v>1.119624</v>
      </c>
      <c r="L7543">
        <v>-63.17145</v>
      </c>
      <c r="M7543">
        <v>0.99966840000000001</v>
      </c>
      <c r="N7543">
        <v>-6.6283180000000002E-3</v>
      </c>
      <c r="O7543">
        <v>2.4883849999999999E-2</v>
      </c>
      <c r="P7543">
        <v>0.98863449999999997</v>
      </c>
      <c r="Q7543">
        <v>-0.1501065</v>
      </c>
      <c r="R7543">
        <v>8.3703470000000002E-3</v>
      </c>
      <c r="S7543">
        <v>3.003876</v>
      </c>
      <c r="T7543">
        <v>-0.20087089999999999</v>
      </c>
      <c r="U7543">
        <v>1.3427730000000001E-2</v>
      </c>
      <c r="V7543">
        <v>1.6222420000000001E-2</v>
      </c>
      <c r="W7543">
        <v>-0.14355219999999999</v>
      </c>
      <c r="X7543">
        <v>0.98950979999999999</v>
      </c>
      <c r="Y7543">
        <v>2.032047E-2</v>
      </c>
      <c r="Z7543">
        <v>-2.2432810000000002E-3</v>
      </c>
      <c r="AA7543">
        <v>0.99979099999999999</v>
      </c>
      <c r="AB7543">
        <v>25</v>
      </c>
      <c r="AC7543">
        <v>16.623999999999899</v>
      </c>
      <c r="AD7543">
        <v>-1.1196243426421999</v>
      </c>
      <c r="AE7543">
        <v>7.1890000000003298E-2</v>
      </c>
      <c r="AF7543">
        <v>0.34026703682102299</v>
      </c>
      <c r="AG7543">
        <v>-1.1196243426421999</v>
      </c>
      <c r="AH7543">
        <v>16.545591579745999</v>
      </c>
      <c r="AI7543">
        <v>93.870432903681802</v>
      </c>
      <c r="AJ7543">
        <v>88.821854315918301</v>
      </c>
      <c r="AK7543">
        <v>16.586920782615</v>
      </c>
      <c r="AL7543">
        <v>98.253449090231996</v>
      </c>
      <c r="AM7543">
        <v>89.060754184375696</v>
      </c>
      <c r="AN7543">
        <v>1.0000000226657599</v>
      </c>
    </row>
    <row r="7544" spans="1:40" x14ac:dyDescent="0.25">
      <c r="A7544" t="str">
        <f>"20190303154958423"</f>
        <v>20190303154958423</v>
      </c>
      <c r="B7544" t="str">
        <f>"1551599398418174"</f>
        <v>1551599398418174</v>
      </c>
      <c r="C7544" t="s">
        <v>40</v>
      </c>
      <c r="D7544">
        <v>5.8787140000000004</v>
      </c>
      <c r="E7544">
        <v>0.49987120000000002</v>
      </c>
      <c r="F7544" t="s">
        <v>76</v>
      </c>
      <c r="G7544">
        <v>-252.0581</v>
      </c>
      <c r="H7544" s="1">
        <v>-6.1666919999999898E-7</v>
      </c>
      <c r="I7544">
        <v>-63.071129999999997</v>
      </c>
      <c r="J7544">
        <v>-267.90519999999998</v>
      </c>
      <c r="K7544">
        <v>1.119631</v>
      </c>
      <c r="L7544">
        <v>-63.168399999999998</v>
      </c>
      <c r="M7544">
        <v>0.99966869999999997</v>
      </c>
      <c r="N7544">
        <v>-6.6477719999999997E-3</v>
      </c>
      <c r="O7544">
        <v>2.4871150000000002E-2</v>
      </c>
      <c r="P7544">
        <v>0.98869010000000002</v>
      </c>
      <c r="Q7544">
        <v>-0.1497309</v>
      </c>
      <c r="R7544">
        <v>8.5325519999999901E-3</v>
      </c>
      <c r="S7544">
        <v>3.0023499999999999</v>
      </c>
      <c r="T7544">
        <v>-0.21048239999999999</v>
      </c>
      <c r="U7544">
        <v>1.8859859999999999E-2</v>
      </c>
      <c r="V7544">
        <v>1.60491E-2</v>
      </c>
      <c r="W7544">
        <v>-0.1431569</v>
      </c>
      <c r="X7544">
        <v>0.9895699</v>
      </c>
      <c r="Y7544">
        <v>1.8491870000000001E-2</v>
      </c>
      <c r="Z7544">
        <v>-2.285062E-3</v>
      </c>
      <c r="AA7544">
        <v>0.9998264</v>
      </c>
      <c r="AB7544">
        <v>25</v>
      </c>
      <c r="AC7544">
        <v>15.8470999999999</v>
      </c>
      <c r="AD7544">
        <v>-1.1196316166692</v>
      </c>
      <c r="AE7544">
        <v>9.7269999999994597E-2</v>
      </c>
      <c r="AF7544">
        <v>0.29542969778293998</v>
      </c>
      <c r="AG7544">
        <v>-1.1196316166692</v>
      </c>
      <c r="AH7544">
        <v>15.765920806711399</v>
      </c>
      <c r="AI7544">
        <v>94.061383221214996</v>
      </c>
      <c r="AJ7544">
        <v>88.926488705287298</v>
      </c>
      <c r="AK7544">
        <v>15.8083874113356</v>
      </c>
      <c r="AL7544">
        <v>98.230563639736303</v>
      </c>
      <c r="AM7544">
        <v>89.070843722689105</v>
      </c>
      <c r="AN7544">
        <v>1.00000002930721</v>
      </c>
    </row>
    <row r="7545" spans="1:40" x14ac:dyDescent="0.25">
      <c r="A7545" t="str">
        <f>"20190303154958433"</f>
        <v>20190303154958433</v>
      </c>
      <c r="B7545" t="str">
        <f>"1551599398427933"</f>
        <v>1551599398427933</v>
      </c>
      <c r="C7545" t="s">
        <v>40</v>
      </c>
      <c r="D7545">
        <v>5.8773999999999997</v>
      </c>
      <c r="E7545">
        <v>0.49970560000000003</v>
      </c>
      <c r="F7545" t="s">
        <v>76</v>
      </c>
      <c r="G7545">
        <v>-252.18</v>
      </c>
      <c r="H7545" s="1">
        <v>-6.6610720000000003E-7</v>
      </c>
      <c r="I7545">
        <v>-63.058239999999998</v>
      </c>
      <c r="J7545">
        <v>-267.77589999999998</v>
      </c>
      <c r="K7545">
        <v>1.119637</v>
      </c>
      <c r="L7545">
        <v>-63.165190000000003</v>
      </c>
      <c r="M7545">
        <v>0.99966880000000002</v>
      </c>
      <c r="N7545">
        <v>-6.6720599999999996E-3</v>
      </c>
      <c r="O7545">
        <v>2.4857600000000001E-2</v>
      </c>
      <c r="P7545">
        <v>0.98874320000000004</v>
      </c>
      <c r="Q7545">
        <v>-0.14937320000000001</v>
      </c>
      <c r="R7545">
        <v>8.6495319999999997E-3</v>
      </c>
      <c r="S7545">
        <v>3.0017399999999999</v>
      </c>
      <c r="T7545">
        <v>-0.213724</v>
      </c>
      <c r="U7545">
        <v>2.1026610000000001E-2</v>
      </c>
      <c r="V7545">
        <v>1.59201E-2</v>
      </c>
      <c r="W7545">
        <v>-0.14277479999999901</v>
      </c>
      <c r="X7545">
        <v>0.98962720000000004</v>
      </c>
      <c r="Y7545">
        <v>1.7754229999999999E-2</v>
      </c>
      <c r="Z7545">
        <v>-2.2923069999999999E-3</v>
      </c>
      <c r="AA7545">
        <v>0.99983979999999995</v>
      </c>
      <c r="AB7545">
        <v>25</v>
      </c>
      <c r="AC7545">
        <v>15.595899999999901</v>
      </c>
      <c r="AD7545">
        <v>-1.1196376661071901</v>
      </c>
      <c r="AE7545">
        <v>0.10694999999999701</v>
      </c>
      <c r="AF7545">
        <v>0.27932873891697202</v>
      </c>
      <c r="AG7545">
        <v>-1.1196376661071901</v>
      </c>
      <c r="AH7545">
        <v>15.5137868635433</v>
      </c>
      <c r="AI7545">
        <v>94.127241176109393</v>
      </c>
      <c r="AJ7545">
        <v>88.968489844196895</v>
      </c>
      <c r="AK7545">
        <v>15.5566447505624</v>
      </c>
      <c r="AL7545">
        <v>98.208443576734098</v>
      </c>
      <c r="AM7545">
        <v>89.078364190073202</v>
      </c>
      <c r="AN7545">
        <v>1.0000000440394401</v>
      </c>
    </row>
    <row r="7546" spans="1:40" x14ac:dyDescent="0.25">
      <c r="A7546" t="str">
        <f>"20190303154958444"</f>
        <v>20190303154958444</v>
      </c>
      <c r="B7546" t="str">
        <f>"1551599398438670"</f>
        <v>1551599398438670</v>
      </c>
      <c r="C7546" t="s">
        <v>40</v>
      </c>
      <c r="D7546">
        <v>5.8868919999999996</v>
      </c>
      <c r="E7546">
        <v>0.49963800000000003</v>
      </c>
      <c r="F7546" t="s">
        <v>76</v>
      </c>
      <c r="G7546">
        <v>-252.23320000000001</v>
      </c>
      <c r="H7546" s="1">
        <v>-6.8656329999999998E-7</v>
      </c>
      <c r="I7546">
        <v>-63.047609999999999</v>
      </c>
      <c r="J7546">
        <v>-267.65559999999999</v>
      </c>
      <c r="K7546">
        <v>1.119642</v>
      </c>
      <c r="L7546">
        <v>-63.162230000000001</v>
      </c>
      <c r="M7546">
        <v>0.99966900000000003</v>
      </c>
      <c r="N7546">
        <v>-6.6959380000000002E-3</v>
      </c>
      <c r="O7546">
        <v>2.484482E-2</v>
      </c>
      <c r="P7546">
        <v>0.98887119999999995</v>
      </c>
      <c r="Q7546">
        <v>-0.14852199999999999</v>
      </c>
      <c r="R7546">
        <v>8.6757350000000004E-3</v>
      </c>
      <c r="S7546">
        <v>3.0012509999999999</v>
      </c>
      <c r="T7546">
        <v>-0.21619820000000001</v>
      </c>
      <c r="U7546">
        <v>2.2705079999999999E-2</v>
      </c>
      <c r="V7546">
        <v>1.5884869999999999E-2</v>
      </c>
      <c r="W7546">
        <v>-0.1418991</v>
      </c>
      <c r="X7546">
        <v>0.98975369999999996</v>
      </c>
      <c r="Y7546">
        <v>1.7180399999999998E-2</v>
      </c>
      <c r="Z7546">
        <v>-2.2966169999999999E-3</v>
      </c>
      <c r="AA7546">
        <v>0.99984980000000001</v>
      </c>
      <c r="AB7546">
        <v>25</v>
      </c>
      <c r="AC7546">
        <v>15.4223999999999</v>
      </c>
      <c r="AD7546">
        <v>-1.1196426865633</v>
      </c>
      <c r="AE7546">
        <v>0.11462000000000901</v>
      </c>
      <c r="AF7546">
        <v>0.26718256607631402</v>
      </c>
      <c r="AG7546">
        <v>-1.1196426865633</v>
      </c>
      <c r="AH7546">
        <v>15.339643263954301</v>
      </c>
      <c r="AI7546">
        <v>94.173993000550396</v>
      </c>
      <c r="AJ7546">
        <v>89.0021354911879</v>
      </c>
      <c r="AK7546">
        <v>15.3827709381167</v>
      </c>
      <c r="AL7546">
        <v>98.157753623439106</v>
      </c>
      <c r="AM7546">
        <v>89.080520864185701</v>
      </c>
      <c r="AN7546">
        <v>1.0000000351697</v>
      </c>
    </row>
    <row r="7547" spans="1:40" x14ac:dyDescent="0.25">
      <c r="A7547" t="str">
        <f>"20190303154958456"</f>
        <v>20190303154958456</v>
      </c>
      <c r="B7547" t="str">
        <f>"1551599398448431"</f>
        <v>1551599398448431</v>
      </c>
      <c r="C7547" t="s">
        <v>40</v>
      </c>
      <c r="D7547">
        <v>5.8977180000000002</v>
      </c>
      <c r="E7547">
        <v>0.49956929999999999</v>
      </c>
      <c r="F7547" t="s">
        <v>76</v>
      </c>
      <c r="G7547">
        <v>-252.20570000000001</v>
      </c>
      <c r="H7547" s="1">
        <v>-6.7358809999999897E-7</v>
      </c>
      <c r="I7547">
        <v>-63.042189999999998</v>
      </c>
      <c r="J7547">
        <v>-267.52859999999998</v>
      </c>
      <c r="K7547">
        <v>1.119651</v>
      </c>
      <c r="L7547">
        <v>-63.159089999999999</v>
      </c>
      <c r="M7547">
        <v>0.99966909999999998</v>
      </c>
      <c r="N7547">
        <v>-6.723255E-3</v>
      </c>
      <c r="O7547">
        <v>2.4831249999999999E-2</v>
      </c>
      <c r="P7547">
        <v>0.98892199999999997</v>
      </c>
      <c r="Q7547">
        <v>-0.14818539999999999</v>
      </c>
      <c r="R7547">
        <v>8.6433629999999994E-3</v>
      </c>
      <c r="S7547">
        <v>3.0008849999999998</v>
      </c>
      <c r="T7547">
        <v>-0.2174721</v>
      </c>
      <c r="U7547">
        <v>2.3315430000000002E-2</v>
      </c>
      <c r="V7547">
        <v>1.5904930000000001E-2</v>
      </c>
      <c r="W7547">
        <v>-0.1415351</v>
      </c>
      <c r="X7547">
        <v>0.9898055</v>
      </c>
      <c r="Y7547">
        <v>1.6961980000000002E-2</v>
      </c>
      <c r="Z7547">
        <v>-2.3010740000000002E-3</v>
      </c>
      <c r="AA7547">
        <v>0.99985349999999995</v>
      </c>
      <c r="AB7547">
        <v>25</v>
      </c>
      <c r="AC7547">
        <v>15.322899999999899</v>
      </c>
      <c r="AD7547">
        <v>-1.1196516735880999</v>
      </c>
      <c r="AE7547">
        <v>0.11689999999999399</v>
      </c>
      <c r="AF7547">
        <v>0.26223133868812498</v>
      </c>
      <c r="AG7547">
        <v>-1.1196516735880999</v>
      </c>
      <c r="AH7547">
        <v>15.239713323648401</v>
      </c>
      <c r="AI7547">
        <v>94.201313915514902</v>
      </c>
      <c r="AJ7547">
        <v>89.014202823740106</v>
      </c>
      <c r="AK7547">
        <v>15.2830378960515</v>
      </c>
      <c r="AL7547">
        <v>98.136685286027202</v>
      </c>
      <c r="AM7547">
        <v>89.079408083769195</v>
      </c>
      <c r="AN7547">
        <v>1.0000000395802799</v>
      </c>
    </row>
    <row r="7548" spans="1:40" x14ac:dyDescent="0.25">
      <c r="A7548" t="str">
        <f>"20190303154958466"</f>
        <v>20190303154958466</v>
      </c>
      <c r="B7548" t="str">
        <f>"1551599398458191"</f>
        <v>1551599398458191</v>
      </c>
      <c r="C7548" t="s">
        <v>40</v>
      </c>
      <c r="D7548">
        <v>5.882371</v>
      </c>
      <c r="E7548">
        <v>0.49956499999999998</v>
      </c>
      <c r="F7548" t="s">
        <v>76</v>
      </c>
      <c r="G7548">
        <v>-252.24180000000001</v>
      </c>
      <c r="H7548" s="1">
        <v>-6.880889E-7</v>
      </c>
      <c r="I7548">
        <v>-63.03781</v>
      </c>
      <c r="J7548">
        <v>-267.40719999999999</v>
      </c>
      <c r="K7548">
        <v>1.1196549999999901</v>
      </c>
      <c r="L7548">
        <v>-63.1560699999999</v>
      </c>
      <c r="M7548">
        <v>0.99966929999999998</v>
      </c>
      <c r="N7548">
        <v>-6.7501069999999896E-3</v>
      </c>
      <c r="O7548">
        <v>2.481852E-2</v>
      </c>
      <c r="P7548">
        <v>0.98898980000000003</v>
      </c>
      <c r="Q7548">
        <v>-0.14774599999999999</v>
      </c>
      <c r="R7548">
        <v>8.388431E-3</v>
      </c>
      <c r="S7548">
        <v>3.0004580000000001</v>
      </c>
      <c r="T7548">
        <v>-0.21976319999999999</v>
      </c>
      <c r="U7548">
        <v>2.3803709999999999E-2</v>
      </c>
      <c r="V7548">
        <v>1.614908E-2</v>
      </c>
      <c r="W7548">
        <v>-0.14106869999999999</v>
      </c>
      <c r="X7548">
        <v>0.98986810000000003</v>
      </c>
      <c r="Y7548">
        <v>1.6783760000000002E-2</v>
      </c>
      <c r="Z7548">
        <v>-2.3183499999999998E-3</v>
      </c>
      <c r="AA7548">
        <v>0.99985650000000004</v>
      </c>
      <c r="AB7548">
        <v>25</v>
      </c>
      <c r="AC7548">
        <v>15.165399999999901</v>
      </c>
      <c r="AD7548">
        <v>-1.1196556880888999</v>
      </c>
      <c r="AE7548">
        <v>0.118259999999992</v>
      </c>
      <c r="AF7548">
        <v>0.25676823305984198</v>
      </c>
      <c r="AG7548">
        <v>-1.1196556880888999</v>
      </c>
      <c r="AH7548">
        <v>15.0814623170894</v>
      </c>
      <c r="AI7548">
        <v>94.245266622108005</v>
      </c>
      <c r="AJ7548">
        <v>89.024609515104302</v>
      </c>
      <c r="AK7548">
        <v>15.1251467565497</v>
      </c>
      <c r="AL7548">
        <v>98.109691912263997</v>
      </c>
      <c r="AM7548">
        <v>89.065338048413096</v>
      </c>
      <c r="AN7548">
        <v>1.00000001315107</v>
      </c>
    </row>
    <row r="7549" spans="1:40" x14ac:dyDescent="0.25">
      <c r="A7549" t="str">
        <f>"20190303154958476"</f>
        <v>20190303154958476</v>
      </c>
      <c r="B7549" t="str">
        <f>"1551599398467951"</f>
        <v>1551599398467951</v>
      </c>
      <c r="C7549" t="s">
        <v>40</v>
      </c>
      <c r="D7549">
        <v>5.8997549999999999</v>
      </c>
      <c r="E7549">
        <v>0.49958000000000002</v>
      </c>
      <c r="F7549" t="s">
        <v>76</v>
      </c>
      <c r="G7549">
        <v>-252.2097</v>
      </c>
      <c r="H7549" s="1">
        <v>-6.7453630000000003E-7</v>
      </c>
      <c r="I7549">
        <v>-63.038890000000002</v>
      </c>
      <c r="J7549">
        <v>-267.29289999999997</v>
      </c>
      <c r="K7549">
        <v>1.119658</v>
      </c>
      <c r="L7549">
        <v>-63.153260000000003</v>
      </c>
      <c r="M7549">
        <v>0.99966940000000004</v>
      </c>
      <c r="N7549">
        <v>-6.7758640000000004E-3</v>
      </c>
      <c r="O7549">
        <v>2.480663E-2</v>
      </c>
      <c r="P7549">
        <v>0.9890023</v>
      </c>
      <c r="Q7549">
        <v>-0.14766949999999901</v>
      </c>
      <c r="R7549">
        <v>8.2611649999999991E-3</v>
      </c>
      <c r="S7549">
        <v>3.0002140000000002</v>
      </c>
      <c r="T7549">
        <v>-0.22103639999999999</v>
      </c>
      <c r="U7549">
        <v>2.3132320000000001E-2</v>
      </c>
      <c r="V7549">
        <v>1.6264770000000001E-2</v>
      </c>
      <c r="W7549">
        <v>-0.1409667</v>
      </c>
      <c r="X7549">
        <v>0.98988069999999895</v>
      </c>
      <c r="Y7549">
        <v>1.699312E-2</v>
      </c>
      <c r="Z7549">
        <v>-2.3397859999999999E-3</v>
      </c>
      <c r="AA7549">
        <v>0.99985290000000004</v>
      </c>
      <c r="AB7549">
        <v>25</v>
      </c>
      <c r="AC7549">
        <v>15.0831999999999</v>
      </c>
      <c r="AD7549">
        <v>-1.1196586745363</v>
      </c>
      <c r="AE7549">
        <v>0.11436999999999301</v>
      </c>
      <c r="AF7549">
        <v>0.25841323020861001</v>
      </c>
      <c r="AG7549">
        <v>-1.1196586745363</v>
      </c>
      <c r="AH7549">
        <v>14.998750814789201</v>
      </c>
      <c r="AI7549">
        <v>94.268587623558105</v>
      </c>
      <c r="AJ7549">
        <v>89.012949617446907</v>
      </c>
      <c r="AK7549">
        <v>15.042703844361</v>
      </c>
      <c r="AL7549">
        <v>98.103789050033399</v>
      </c>
      <c r="AM7549">
        <v>89.058655427279206</v>
      </c>
      <c r="AN7549">
        <v>0.99999997674226604</v>
      </c>
    </row>
    <row r="7550" spans="1:40" x14ac:dyDescent="0.25">
      <c r="A7550" t="str">
        <f>"20190303154958490"</f>
        <v>20190303154958490</v>
      </c>
      <c r="B7550" t="str">
        <f>"1551599398478686"</f>
        <v>1551599398478686</v>
      </c>
      <c r="C7550" t="s">
        <v>40</v>
      </c>
      <c r="D7550">
        <v>5.9213370000000003</v>
      </c>
      <c r="E7550">
        <v>0.49954999999999999</v>
      </c>
      <c r="F7550" t="s">
        <v>76</v>
      </c>
      <c r="G7550">
        <v>-252.26480000000001</v>
      </c>
      <c r="H7550" s="1">
        <v>-6.9827099999999999E-7</v>
      </c>
      <c r="I7550">
        <v>-63.039209999999997</v>
      </c>
      <c r="J7550">
        <v>-267.15390000000002</v>
      </c>
      <c r="K7550">
        <v>1.1196600000000001</v>
      </c>
      <c r="L7550">
        <v>-63.149839999999998</v>
      </c>
      <c r="M7550">
        <v>0.99966949999999999</v>
      </c>
      <c r="N7550">
        <v>-6.8072469999999998E-3</v>
      </c>
      <c r="O7550">
        <v>2.4792330000000001E-2</v>
      </c>
      <c r="P7550">
        <v>0.98899970000000004</v>
      </c>
      <c r="Q7550">
        <v>-0.14770610000000001</v>
      </c>
      <c r="R7550">
        <v>7.9161800000000001E-3</v>
      </c>
      <c r="S7550">
        <v>2.9997859999999998</v>
      </c>
      <c r="T7550">
        <v>-0.22349759999999999</v>
      </c>
      <c r="U7550">
        <v>2.2766109999999999E-2</v>
      </c>
      <c r="V7550">
        <v>1.6595370000000002E-2</v>
      </c>
      <c r="W7550">
        <v>-0.1409724</v>
      </c>
      <c r="X7550">
        <v>0.98987440000000004</v>
      </c>
      <c r="Y7550">
        <v>1.7097060000000001E-2</v>
      </c>
      <c r="Z7550">
        <v>-2.3700959999999999E-3</v>
      </c>
      <c r="AA7550">
        <v>0.99985100000000005</v>
      </c>
      <c r="AB7550">
        <v>25</v>
      </c>
      <c r="AC7550">
        <v>14.889099999999999</v>
      </c>
      <c r="AD7550">
        <v>-1.119660698271</v>
      </c>
      <c r="AE7550">
        <v>0.110630000000007</v>
      </c>
      <c r="AF7550">
        <v>0.25709422154593298</v>
      </c>
      <c r="AG7550">
        <v>-1.119660698271</v>
      </c>
      <c r="AH7550">
        <v>14.803555923645</v>
      </c>
      <c r="AI7550">
        <v>94.324657187833097</v>
      </c>
      <c r="AJ7550">
        <v>89.005040869516606</v>
      </c>
      <c r="AK7550">
        <v>14.8480640321387</v>
      </c>
      <c r="AL7550">
        <v>98.104118937703902</v>
      </c>
      <c r="AM7550">
        <v>89.039518962197405</v>
      </c>
      <c r="AN7550">
        <v>0.99999997582127798</v>
      </c>
    </row>
    <row r="7551" spans="1:40" x14ac:dyDescent="0.25">
      <c r="A7551" t="str">
        <f>"20190303154958500"</f>
        <v>20190303154958500</v>
      </c>
      <c r="B7551" t="str">
        <f>"1551599398488446"</f>
        <v>1551599398488446</v>
      </c>
      <c r="C7551" t="s">
        <v>40</v>
      </c>
      <c r="D7551">
        <v>5.9127839999999896</v>
      </c>
      <c r="E7551">
        <v>0.49956630000000002</v>
      </c>
      <c r="F7551" t="s">
        <v>76</v>
      </c>
      <c r="G7551">
        <v>-252.30529999999999</v>
      </c>
      <c r="H7551" s="1">
        <v>-7.1617840000000002E-7</v>
      </c>
      <c r="I7551">
        <v>-63.041670000000003</v>
      </c>
      <c r="J7551">
        <v>-267.03100000000001</v>
      </c>
      <c r="K7551">
        <v>1.1196619999999999</v>
      </c>
      <c r="L7551">
        <v>-63.146790000000003</v>
      </c>
      <c r="M7551">
        <v>0.99966969999999999</v>
      </c>
      <c r="N7551">
        <v>-6.8349959999999899E-3</v>
      </c>
      <c r="O7551">
        <v>2.4779599999999999E-2</v>
      </c>
      <c r="P7551">
        <v>0.98900030000000005</v>
      </c>
      <c r="Q7551">
        <v>-0.1477204</v>
      </c>
      <c r="R7551">
        <v>7.5788619999999996E-3</v>
      </c>
      <c r="S7551">
        <v>2.9994200000000002</v>
      </c>
      <c r="T7551">
        <v>-0.22617229999999999</v>
      </c>
      <c r="U7551">
        <v>2.185059E-2</v>
      </c>
      <c r="V7551">
        <v>1.6920020000000001E-2</v>
      </c>
      <c r="W7551">
        <v>-0.14095920000000001</v>
      </c>
      <c r="X7551">
        <v>0.98987080000000005</v>
      </c>
      <c r="Y7551">
        <v>1.7385020000000001E-2</v>
      </c>
      <c r="Z7551">
        <v>-2.4105189999999999E-3</v>
      </c>
      <c r="AA7551">
        <v>0.99984600000000001</v>
      </c>
      <c r="AB7551">
        <v>25</v>
      </c>
      <c r="AC7551">
        <v>14.7257</v>
      </c>
      <c r="AD7551">
        <v>-1.1196627161783901</v>
      </c>
      <c r="AE7551">
        <v>0.105120000000006</v>
      </c>
      <c r="AF7551">
        <v>0.25832434854923902</v>
      </c>
      <c r="AG7551">
        <v>-1.1196627161783901</v>
      </c>
      <c r="AH7551">
        <v>14.6391545345659</v>
      </c>
      <c r="AI7551">
        <v>94.373023398548298</v>
      </c>
      <c r="AJ7551">
        <v>88.989056444010998</v>
      </c>
      <c r="AK7551">
        <v>14.684182699556599</v>
      </c>
      <c r="AL7551">
        <v>98.103354873814695</v>
      </c>
      <c r="AM7551">
        <v>89.0207294370867</v>
      </c>
      <c r="AN7551">
        <v>0.99999999191704003</v>
      </c>
    </row>
    <row r="7552" spans="1:40" x14ac:dyDescent="0.25">
      <c r="A7552" t="str">
        <f>"20190303154958512"</f>
        <v>20190303154958512</v>
      </c>
      <c r="B7552" t="str">
        <f>"1551599398507966"</f>
        <v>1551599398507966</v>
      </c>
      <c r="C7552" t="s">
        <v>40</v>
      </c>
      <c r="D7552">
        <v>5.9157780000000004</v>
      </c>
      <c r="E7552">
        <v>0.49969069999999999</v>
      </c>
      <c r="F7552" t="s">
        <v>76</v>
      </c>
      <c r="G7552">
        <v>-252.36959999999999</v>
      </c>
      <c r="H7552" s="1">
        <v>-7.4452600000000001E-7</v>
      </c>
      <c r="I7552">
        <v>-63.045189999999998</v>
      </c>
      <c r="J7552">
        <v>-266.90210000000002</v>
      </c>
      <c r="K7552">
        <v>1.1196660000000001</v>
      </c>
      <c r="L7552">
        <v>-63.143619999999999</v>
      </c>
      <c r="M7552">
        <v>0.99966969999999999</v>
      </c>
      <c r="N7552">
        <v>-6.8631400000000002E-3</v>
      </c>
      <c r="O7552">
        <v>2.4766860000000002E-2</v>
      </c>
      <c r="P7552">
        <v>0.98897559999999995</v>
      </c>
      <c r="Q7552">
        <v>-0.1479087</v>
      </c>
      <c r="R7552">
        <v>7.0894209999999899E-3</v>
      </c>
      <c r="S7552">
        <v>2.998993</v>
      </c>
      <c r="T7552">
        <v>-0.2290266</v>
      </c>
      <c r="U7552">
        <v>2.0782470000000001E-2</v>
      </c>
      <c r="V7552">
        <v>1.739607E-2</v>
      </c>
      <c r="W7552">
        <v>-0.14111989999999999</v>
      </c>
      <c r="X7552">
        <v>0.98983969999999999</v>
      </c>
      <c r="Y7552">
        <v>1.7723349999999999E-2</v>
      </c>
      <c r="Z7552">
        <v>-2.4553349999999999E-3</v>
      </c>
      <c r="AA7552">
        <v>0.9998399</v>
      </c>
      <c r="AB7552">
        <v>25</v>
      </c>
      <c r="AC7552">
        <v>14.532500000000001</v>
      </c>
      <c r="AD7552">
        <v>-1.119666744526</v>
      </c>
      <c r="AE7552">
        <v>9.8429999999993301E-2</v>
      </c>
      <c r="AF7552">
        <v>0.25998982324458397</v>
      </c>
      <c r="AG7552">
        <v>-1.119666744526</v>
      </c>
      <c r="AH7552">
        <v>14.444739235548701</v>
      </c>
      <c r="AI7552">
        <v>94.431636214091199</v>
      </c>
      <c r="AJ7552">
        <v>88.968848724295498</v>
      </c>
      <c r="AK7552">
        <v>14.4904016476421</v>
      </c>
      <c r="AL7552">
        <v>98.112654875511694</v>
      </c>
      <c r="AM7552">
        <v>88.993151323628794</v>
      </c>
      <c r="AN7552">
        <v>1.0000000405617699</v>
      </c>
    </row>
    <row r="7553" spans="1:40" x14ac:dyDescent="0.25">
      <c r="A7553" t="str">
        <f>"20190303154958525"</f>
        <v>20190303154958525</v>
      </c>
      <c r="B7553" t="str">
        <f>"1551599398518702"</f>
        <v>1551599398518702</v>
      </c>
      <c r="C7553" t="s">
        <v>40</v>
      </c>
      <c r="D7553">
        <v>5.9443140000000003</v>
      </c>
      <c r="E7553">
        <v>0.4996913</v>
      </c>
      <c r="F7553" t="s">
        <v>76</v>
      </c>
      <c r="G7553">
        <v>-252.60059999999999</v>
      </c>
      <c r="H7553" s="1">
        <v>-8.4608809999999996E-7</v>
      </c>
      <c r="I7553">
        <v>-63.056280000000001</v>
      </c>
      <c r="J7553">
        <v>-266.75709999999998</v>
      </c>
      <c r="K7553">
        <v>1.1196660000000001</v>
      </c>
      <c r="L7553">
        <v>-63.140050000000002</v>
      </c>
      <c r="M7553">
        <v>0.99966980000000005</v>
      </c>
      <c r="N7553">
        <v>-6.8943390000000002E-3</v>
      </c>
      <c r="O7553">
        <v>2.4752260000000002E-2</v>
      </c>
      <c r="P7553">
        <v>0.98896320000000004</v>
      </c>
      <c r="Q7553">
        <v>-0.148003</v>
      </c>
      <c r="R7553">
        <v>6.8636069999999999E-3</v>
      </c>
      <c r="S7553">
        <v>2.9982600000000001</v>
      </c>
      <c r="T7553">
        <v>-0.2347341</v>
      </c>
      <c r="U7553">
        <v>1.8310549999999998E-2</v>
      </c>
      <c r="V7553">
        <v>1.7606699999999999E-2</v>
      </c>
      <c r="W7553">
        <v>-0.14118349999999999</v>
      </c>
      <c r="X7553">
        <v>0.98982689999999995</v>
      </c>
      <c r="Y7553">
        <v>1.852266E-2</v>
      </c>
      <c r="Z7553">
        <v>-2.552178E-3</v>
      </c>
      <c r="AA7553">
        <v>0.99982519999999997</v>
      </c>
      <c r="AB7553">
        <v>25</v>
      </c>
      <c r="AC7553">
        <v>14.1564999999999</v>
      </c>
      <c r="AD7553">
        <v>-1.1196668460881001</v>
      </c>
      <c r="AE7553">
        <v>8.3769999999994099E-2</v>
      </c>
      <c r="AF7553">
        <v>0.26501164169473701</v>
      </c>
      <c r="AG7553">
        <v>-1.1196668460881001</v>
      </c>
      <c r="AH7553">
        <v>14.0662469117811</v>
      </c>
      <c r="AI7553">
        <v>94.550317916400104</v>
      </c>
      <c r="AJ7553">
        <v>88.920660747902105</v>
      </c>
      <c r="AK7553">
        <v>14.1132273842539</v>
      </c>
      <c r="AL7553">
        <v>98.116335791320395</v>
      </c>
      <c r="AM7553">
        <v>88.980949873723205</v>
      </c>
      <c r="AN7553">
        <v>1.0000000342603701</v>
      </c>
    </row>
    <row r="7554" spans="1:40" x14ac:dyDescent="0.25">
      <c r="A7554" t="str">
        <f>"20190303154958537"</f>
        <v>20190303154958537</v>
      </c>
      <c r="B7554" t="str">
        <f>"1551599398528462"</f>
        <v>1551599398528462</v>
      </c>
      <c r="C7554" t="s">
        <v>40</v>
      </c>
      <c r="D7554">
        <v>5.9753379999999998</v>
      </c>
      <c r="E7554">
        <v>0.49966660000000002</v>
      </c>
      <c r="F7554" t="s">
        <v>42</v>
      </c>
      <c r="G7554">
        <v>-265.84800000000001</v>
      </c>
      <c r="H7554">
        <v>1.0476719999999999</v>
      </c>
      <c r="I7554">
        <v>-63.13476</v>
      </c>
      <c r="J7554">
        <v>-266.61849999999998</v>
      </c>
      <c r="K7554">
        <v>1.1196680000000001</v>
      </c>
      <c r="L7554">
        <v>-63.136629999999997</v>
      </c>
      <c r="M7554">
        <v>0.99967010000000001</v>
      </c>
      <c r="N7554">
        <v>-6.92335E-3</v>
      </c>
      <c r="O7554">
        <v>2.4738329999999999E-2</v>
      </c>
      <c r="P7554">
        <v>0.98895650000000002</v>
      </c>
      <c r="Q7554">
        <v>-0.14807300000000001</v>
      </c>
      <c r="R7554">
        <v>6.3347409999999996E-3</v>
      </c>
      <c r="S7554">
        <v>2.997833</v>
      </c>
      <c r="T7554">
        <v>-0.23739560000000001</v>
      </c>
      <c r="U7554">
        <v>1.7608639999999998E-2</v>
      </c>
      <c r="V7554">
        <v>1.8121459999999999E-2</v>
      </c>
      <c r="W7554">
        <v>-0.14122509999999999</v>
      </c>
      <c r="X7554">
        <v>0.98981169999999996</v>
      </c>
      <c r="Y7554">
        <v>1.8738330000000001E-2</v>
      </c>
      <c r="Z7554">
        <v>-2.5904439999999999E-3</v>
      </c>
      <c r="AA7554">
        <v>0.99982110000000002</v>
      </c>
      <c r="AB7554">
        <v>25</v>
      </c>
      <c r="AC7554">
        <v>0.77049999999996899</v>
      </c>
      <c r="AD7554">
        <v>-7.1996000000000102E-2</v>
      </c>
      <c r="AE7554">
        <v>1.87000000000381E-3</v>
      </c>
      <c r="AF7554">
        <v>1.7043105231100201E-2</v>
      </c>
      <c r="AG7554">
        <v>-7.1996000000000102E-2</v>
      </c>
      <c r="AH7554">
        <v>0.763643004871291</v>
      </c>
      <c r="AI7554">
        <v>95.384573251355107</v>
      </c>
      <c r="AJ7554">
        <v>88.721475990124304</v>
      </c>
      <c r="AK7554">
        <v>0.76721869785659702</v>
      </c>
      <c r="AL7554">
        <v>98.118743218208095</v>
      </c>
      <c r="AM7554">
        <v>88.951146773481298</v>
      </c>
      <c r="AN7554">
        <v>1.00000005881971</v>
      </c>
    </row>
    <row r="7555" spans="1:40" x14ac:dyDescent="0.25">
      <c r="A7555" t="str">
        <f>"20190303154958548"</f>
        <v>20190303154958548</v>
      </c>
      <c r="B7555" t="str">
        <f>"1551599398538223"</f>
        <v>1551599398538223</v>
      </c>
      <c r="C7555" t="s">
        <v>40</v>
      </c>
      <c r="D7555">
        <v>5.9740289999999998</v>
      </c>
      <c r="E7555">
        <v>0.4996236</v>
      </c>
      <c r="F7555" t="s">
        <v>76</v>
      </c>
      <c r="G7555">
        <v>-252.6208</v>
      </c>
      <c r="H7555" s="1">
        <v>-8.5579650000000004E-7</v>
      </c>
      <c r="I7555">
        <v>-63.060960000000001</v>
      </c>
      <c r="J7555">
        <v>-266.49270000000001</v>
      </c>
      <c r="K7555">
        <v>1.119669</v>
      </c>
      <c r="L7555">
        <v>-63.133540000000004</v>
      </c>
      <c r="M7555">
        <v>0.99967010000000001</v>
      </c>
      <c r="N7555">
        <v>-6.9485789999999999E-3</v>
      </c>
      <c r="O7555">
        <v>2.4725899999999999E-2</v>
      </c>
      <c r="P7555">
        <v>0.98897020000000002</v>
      </c>
      <c r="Q7555">
        <v>-0.14799660000000001</v>
      </c>
      <c r="R7555">
        <v>5.9131339999999996E-3</v>
      </c>
      <c r="S7555">
        <v>2.9975589999999999</v>
      </c>
      <c r="T7555">
        <v>-0.23977319999999999</v>
      </c>
      <c r="U7555">
        <v>1.620483E-2</v>
      </c>
      <c r="V7555">
        <v>1.8530990000000001E-2</v>
      </c>
      <c r="W7555">
        <v>-0.14112379999999999</v>
      </c>
      <c r="X7555">
        <v>0.98981850000000005</v>
      </c>
      <c r="Y7555">
        <v>1.9189399999999999E-2</v>
      </c>
      <c r="Z7555">
        <v>-2.6359159999999999E-3</v>
      </c>
      <c r="AA7555">
        <v>0.99981240000000005</v>
      </c>
      <c r="AB7555">
        <v>25</v>
      </c>
      <c r="AC7555">
        <v>13.8719</v>
      </c>
      <c r="AD7555">
        <v>-1.1196698557964999</v>
      </c>
      <c r="AE7555">
        <v>7.2580000000009096E-2</v>
      </c>
      <c r="AF7555">
        <v>0.26869521471670099</v>
      </c>
      <c r="AG7555">
        <v>-1.1196698557964999</v>
      </c>
      <c r="AH7555">
        <v>13.77968250118</v>
      </c>
      <c r="AI7555">
        <v>94.644491241998296</v>
      </c>
      <c r="AJ7555">
        <v>88.8829096012919</v>
      </c>
      <c r="AK7555">
        <v>13.8277079640017</v>
      </c>
      <c r="AL7555">
        <v>98.112880970423603</v>
      </c>
      <c r="AM7555">
        <v>88.927456401022795</v>
      </c>
      <c r="AN7555">
        <v>0.99999999372953496</v>
      </c>
    </row>
    <row r="7556" spans="1:40" x14ac:dyDescent="0.25">
      <c r="A7556" t="str">
        <f>"20190303154958584"</f>
        <v>20190303154958584</v>
      </c>
      <c r="B7556" t="str">
        <f>"1551599398578238"</f>
        <v>1551599398578238</v>
      </c>
      <c r="C7556" t="s">
        <v>40</v>
      </c>
      <c r="D7556">
        <v>5.9565910000000004</v>
      </c>
      <c r="E7556">
        <v>0.49955539999999998</v>
      </c>
      <c r="F7556" t="s">
        <v>42</v>
      </c>
      <c r="G7556">
        <v>-265.6198</v>
      </c>
      <c r="H7556">
        <v>1.0493170000000001</v>
      </c>
      <c r="I7556">
        <v>-63.129300000000001</v>
      </c>
      <c r="J7556">
        <v>-266.0881</v>
      </c>
      <c r="K7556">
        <v>1.1196740000000001</v>
      </c>
      <c r="L7556">
        <v>-63.123570000000001</v>
      </c>
      <c r="M7556">
        <v>0.99967059999999996</v>
      </c>
      <c r="N7556">
        <v>-7.0251360000000004E-3</v>
      </c>
      <c r="O7556">
        <v>2.4685499999999999E-2</v>
      </c>
      <c r="P7556">
        <v>0.98921159999999997</v>
      </c>
      <c r="Q7556">
        <v>-0.1464056</v>
      </c>
      <c r="R7556">
        <v>5.0966409999999998E-3</v>
      </c>
      <c r="S7556">
        <v>2.9972530000000002</v>
      </c>
      <c r="T7556">
        <v>-0.2415476</v>
      </c>
      <c r="U7556">
        <v>1.525879E-2</v>
      </c>
      <c r="V7556">
        <v>1.9313239999999999E-2</v>
      </c>
      <c r="W7556">
        <v>-0.13945550000000001</v>
      </c>
      <c r="X7556">
        <v>0.99004000000000003</v>
      </c>
      <c r="Y7556">
        <v>1.946121E-2</v>
      </c>
      <c r="Z7556">
        <v>-2.664193E-3</v>
      </c>
      <c r="AA7556">
        <v>0.99980709999999995</v>
      </c>
      <c r="AB7556">
        <v>25</v>
      </c>
      <c r="AC7556">
        <v>0.46829999999999899</v>
      </c>
      <c r="AD7556">
        <v>-7.0357000000000003E-2</v>
      </c>
      <c r="AE7556">
        <v>-5.7300000000068902E-3</v>
      </c>
      <c r="AF7556">
        <v>1.69071898290124E-2</v>
      </c>
      <c r="AG7556">
        <v>-7.0357000000000003E-2</v>
      </c>
      <c r="AH7556">
        <v>0.45768656886631198</v>
      </c>
      <c r="AI7556">
        <v>98.733410047315203</v>
      </c>
      <c r="AJ7556">
        <v>87.884424819131198</v>
      </c>
      <c r="AK7556">
        <v>0.463371293713294</v>
      </c>
      <c r="AL7556">
        <v>98.016339454961198</v>
      </c>
      <c r="AM7556">
        <v>88.8824423185293</v>
      </c>
      <c r="AN7556">
        <v>1.00000001965977</v>
      </c>
    </row>
    <row r="7557" spans="1:40" x14ac:dyDescent="0.25">
      <c r="A7557" t="str">
        <f>"20190303154958593"</f>
        <v>20190303154958593</v>
      </c>
      <c r="B7557" t="str">
        <f>"1551599398587998"</f>
        <v>1551599398587998</v>
      </c>
      <c r="C7557" t="s">
        <v>40</v>
      </c>
      <c r="D7557">
        <v>5.9649369999999999</v>
      </c>
      <c r="E7557">
        <v>0.49946819999999997</v>
      </c>
      <c r="F7557" t="s">
        <v>42</v>
      </c>
      <c r="G7557">
        <v>-265.16750000000002</v>
      </c>
      <c r="H7557">
        <v>1.0458320000000001</v>
      </c>
      <c r="I7557">
        <v>-63.119660000000003</v>
      </c>
      <c r="J7557">
        <v>-265.96519999999998</v>
      </c>
      <c r="K7557">
        <v>1.1196729999999999</v>
      </c>
      <c r="L7557">
        <v>-63.120539999999998</v>
      </c>
      <c r="M7557">
        <v>0.99967079999999997</v>
      </c>
      <c r="N7557">
        <v>-7.0466319999999997E-3</v>
      </c>
      <c r="O7557">
        <v>2.4673270000000001E-2</v>
      </c>
      <c r="P7557">
        <v>0.98939460000000001</v>
      </c>
      <c r="Q7557">
        <v>-0.14516389999999901</v>
      </c>
      <c r="R7557">
        <v>5.0913989999999999E-3</v>
      </c>
      <c r="S7557">
        <v>2.9970699999999999</v>
      </c>
      <c r="T7557">
        <v>-0.2403691</v>
      </c>
      <c r="U7557">
        <v>1.3153079999999999E-2</v>
      </c>
      <c r="V7557">
        <v>1.931099E-2</v>
      </c>
      <c r="W7557">
        <v>-0.13819110000000001</v>
      </c>
      <c r="X7557">
        <v>0.99021729999999997</v>
      </c>
      <c r="Y7557">
        <v>2.0150080000000001E-2</v>
      </c>
      <c r="Z7557">
        <v>-2.679697E-3</v>
      </c>
      <c r="AA7557">
        <v>0.99979340000000005</v>
      </c>
      <c r="AB7557">
        <v>25</v>
      </c>
      <c r="AC7557">
        <v>0.79769999999996299</v>
      </c>
      <c r="AD7557">
        <v>-7.3841000000000004E-2</v>
      </c>
      <c r="AE7557">
        <v>8.8000000000931701E-4</v>
      </c>
      <c r="AF7557">
        <v>1.8642877343840399E-2</v>
      </c>
      <c r="AG7557">
        <v>-7.3841000000000004E-2</v>
      </c>
      <c r="AH7557">
        <v>0.79070354690348699</v>
      </c>
      <c r="AI7557">
        <v>95.333702392719999</v>
      </c>
      <c r="AJ7557">
        <v>88.649354325768897</v>
      </c>
      <c r="AK7557">
        <v>0.79436273152912495</v>
      </c>
      <c r="AL7557">
        <v>97.943186512642001</v>
      </c>
      <c r="AM7557">
        <v>88.882772507899602</v>
      </c>
      <c r="AN7557">
        <v>0.99999999783663995</v>
      </c>
    </row>
    <row r="7558" spans="1:40" x14ac:dyDescent="0.25">
      <c r="A7558" t="str">
        <f>"20190303154958604"</f>
        <v>20190303154958604</v>
      </c>
      <c r="B7558" t="str">
        <f>"1551599398597758"</f>
        <v>1551599398597758</v>
      </c>
      <c r="C7558" t="s">
        <v>40</v>
      </c>
      <c r="D7558">
        <v>5.9676439999999999</v>
      </c>
      <c r="E7558">
        <v>0.49946819999999997</v>
      </c>
      <c r="F7558" t="s">
        <v>76</v>
      </c>
      <c r="G7558">
        <v>-251.9092</v>
      </c>
      <c r="H7558" s="1">
        <v>-5.4948459999999897E-7</v>
      </c>
      <c r="I7558">
        <v>-63.056139999999999</v>
      </c>
      <c r="J7558">
        <v>-265.8553</v>
      </c>
      <c r="K7558">
        <v>1.1196820000000001</v>
      </c>
      <c r="L7558">
        <v>-63.11786</v>
      </c>
      <c r="M7558">
        <v>0.99967090000000003</v>
      </c>
      <c r="N7558">
        <v>-7.0653900000000004E-3</v>
      </c>
      <c r="O7558">
        <v>2.466235E-2</v>
      </c>
      <c r="P7558">
        <v>0.98954489999999995</v>
      </c>
      <c r="Q7558">
        <v>-0.144126799999999</v>
      </c>
      <c r="R7558">
        <v>5.3537869999999996E-3</v>
      </c>
      <c r="S7558">
        <v>2.9971009999999998</v>
      </c>
      <c r="T7558">
        <v>-0.23874429999999999</v>
      </c>
      <c r="U7558">
        <v>1.3732909999999999E-2</v>
      </c>
      <c r="V7558">
        <v>1.9041519999999999E-2</v>
      </c>
      <c r="W7558">
        <v>-0.13713439999999999</v>
      </c>
      <c r="X7558">
        <v>0.99036939999999996</v>
      </c>
      <c r="Y7558">
        <v>1.994841E-2</v>
      </c>
      <c r="Z7558">
        <v>-2.6511180000000001E-3</v>
      </c>
      <c r="AA7558">
        <v>0.99979750000000001</v>
      </c>
      <c r="AB7558">
        <v>25</v>
      </c>
      <c r="AC7558">
        <v>13.946099999999999</v>
      </c>
      <c r="AD7558">
        <v>-1.1196825494846001</v>
      </c>
      <c r="AE7558">
        <v>6.17200000000011E-2</v>
      </c>
      <c r="AF7558">
        <v>0.280443271202924</v>
      </c>
      <c r="AG7558">
        <v>-1.1196825494846001</v>
      </c>
      <c r="AH7558">
        <v>13.8540797043858</v>
      </c>
      <c r="AI7558">
        <v>94.619642537868202</v>
      </c>
      <c r="AJ7558">
        <v>88.840340030872795</v>
      </c>
      <c r="AK7558">
        <v>13.9020812073393</v>
      </c>
      <c r="AL7558">
        <v>97.882060179804796</v>
      </c>
      <c r="AM7558">
        <v>88.8985278356771</v>
      </c>
      <c r="AN7558">
        <v>0.99999998580181504</v>
      </c>
    </row>
    <row r="7559" spans="1:40" x14ac:dyDescent="0.25">
      <c r="A7559" t="str">
        <f>"20190303154958615"</f>
        <v>20190303154958615</v>
      </c>
      <c r="B7559" t="str">
        <f>"1551599398608495"</f>
        <v>1551599398608495</v>
      </c>
      <c r="C7559" t="s">
        <v>40</v>
      </c>
      <c r="D7559">
        <v>5.8677859999999997</v>
      </c>
      <c r="E7559">
        <v>0.49913160000000001</v>
      </c>
      <c r="F7559" t="s">
        <v>42</v>
      </c>
      <c r="G7559">
        <v>-264.93720000000002</v>
      </c>
      <c r="H7559">
        <v>1.0475030000000001</v>
      </c>
      <c r="I7559">
        <v>-63.113480000000003</v>
      </c>
      <c r="J7559">
        <v>-265.73020000000002</v>
      </c>
      <c r="K7559">
        <v>1.1196889999999999</v>
      </c>
      <c r="L7559">
        <v>-63.114780000000003</v>
      </c>
      <c r="M7559">
        <v>0.99967119999999998</v>
      </c>
      <c r="N7559">
        <v>-7.0859159999999899E-3</v>
      </c>
      <c r="O7559">
        <v>2.464964E-2</v>
      </c>
      <c r="P7559">
        <v>0.98971659999999995</v>
      </c>
      <c r="Q7559">
        <v>-0.1429319</v>
      </c>
      <c r="R7559">
        <v>5.6424539999999999E-3</v>
      </c>
      <c r="S7559">
        <v>2.9973139999999998</v>
      </c>
      <c r="T7559">
        <v>-0.23558499999999999</v>
      </c>
      <c r="U7559">
        <v>1.4495849999999999E-2</v>
      </c>
      <c r="V7559">
        <v>1.874485E-2</v>
      </c>
      <c r="W7559">
        <v>-0.13591789999999901</v>
      </c>
      <c r="X7559">
        <v>0.99054279999999995</v>
      </c>
      <c r="Y7559">
        <v>1.968609E-2</v>
      </c>
      <c r="Z7559">
        <v>-2.6021410000000001E-3</v>
      </c>
      <c r="AA7559">
        <v>0.99980279999999999</v>
      </c>
      <c r="AB7559">
        <v>26</v>
      </c>
      <c r="AC7559">
        <v>0.79300000000000603</v>
      </c>
      <c r="AD7559">
        <v>-7.2185999999999806E-2</v>
      </c>
      <c r="AE7559">
        <v>1.3000000000005199E-3</v>
      </c>
      <c r="AF7559">
        <v>1.8098081775582999E-2</v>
      </c>
      <c r="AG7559">
        <v>-7.2185999999999806E-2</v>
      </c>
      <c r="AH7559">
        <v>0.78627579787865598</v>
      </c>
      <c r="AI7559">
        <v>95.244095534668006</v>
      </c>
      <c r="AJ7559">
        <v>88.681428783192601</v>
      </c>
      <c r="AK7559">
        <v>0.789789838811359</v>
      </c>
      <c r="AL7559">
        <v>97.811700608293705</v>
      </c>
      <c r="AM7559">
        <v>88.9158745928233</v>
      </c>
      <c r="AN7559">
        <v>1.00000004178688</v>
      </c>
    </row>
    <row r="7560" spans="1:40" x14ac:dyDescent="0.25">
      <c r="A7560" t="str">
        <f>"20190303154958626"</f>
        <v>20190303154958626</v>
      </c>
      <c r="B7560" t="str">
        <f>"1551599398618254"</f>
        <v>1551599398618254</v>
      </c>
      <c r="C7560" t="s">
        <v>40</v>
      </c>
      <c r="D7560">
        <v>5.8250570000000002</v>
      </c>
      <c r="E7560">
        <v>0.49877169999999998</v>
      </c>
      <c r="F7560" t="s">
        <v>76</v>
      </c>
      <c r="G7560">
        <v>-251.3186</v>
      </c>
      <c r="H7560" s="1">
        <v>-2.8993019999999999E-7</v>
      </c>
      <c r="I7560">
        <v>-63.028350000000003</v>
      </c>
      <c r="J7560">
        <v>-265.61169999999998</v>
      </c>
      <c r="K7560">
        <v>1.119705</v>
      </c>
      <c r="L7560">
        <v>-63.111879999999999</v>
      </c>
      <c r="M7560">
        <v>0.99967119999999998</v>
      </c>
      <c r="N7560">
        <v>-7.1040620000000004E-3</v>
      </c>
      <c r="O7560">
        <v>2.463723E-2</v>
      </c>
      <c r="P7560">
        <v>0.98988410000000004</v>
      </c>
      <c r="Q7560">
        <v>-0.141740899999999</v>
      </c>
      <c r="R7560">
        <v>6.2396109999999999E-3</v>
      </c>
      <c r="S7560">
        <v>2.9974059999999998</v>
      </c>
      <c r="T7560">
        <v>-0.232879</v>
      </c>
      <c r="U7560">
        <v>1.7974850000000001E-2</v>
      </c>
      <c r="V7560">
        <v>1.813969E-2</v>
      </c>
      <c r="W7560">
        <v>-0.13470770000000001</v>
      </c>
      <c r="X7560">
        <v>0.99071929999999997</v>
      </c>
      <c r="Y7560">
        <v>1.8520330000000002E-2</v>
      </c>
      <c r="Z7560">
        <v>-2.5205340000000001E-3</v>
      </c>
      <c r="AA7560">
        <v>0.99982530000000003</v>
      </c>
      <c r="AB7560">
        <v>26</v>
      </c>
      <c r="AC7560">
        <v>14.2930999999999</v>
      </c>
      <c r="AD7560">
        <v>-1.1197052899302</v>
      </c>
      <c r="AE7560">
        <v>8.3530000000003199E-2</v>
      </c>
      <c r="AF7560">
        <v>0.26700807320888198</v>
      </c>
      <c r="AG7560">
        <v>-1.1197052899302</v>
      </c>
      <c r="AH7560">
        <v>14.2036546704968</v>
      </c>
      <c r="AI7560">
        <v>94.506637444576498</v>
      </c>
      <c r="AJ7560">
        <v>88.923049430129794</v>
      </c>
      <c r="AK7560">
        <v>14.250222427954601</v>
      </c>
      <c r="AL7560">
        <v>97.741718158710498</v>
      </c>
      <c r="AM7560">
        <v>88.951053482130504</v>
      </c>
      <c r="AN7560">
        <v>0.99999997209253699</v>
      </c>
    </row>
    <row r="7561" spans="1:40" x14ac:dyDescent="0.25">
      <c r="A7561" t="str">
        <f>"20190303154958635"</f>
        <v>20190303154958635</v>
      </c>
      <c r="B7561" t="str">
        <f>"1551599398628014"</f>
        <v>1551599398628014</v>
      </c>
      <c r="C7561" t="s">
        <v>40</v>
      </c>
      <c r="D7561">
        <v>5.8186629999999999</v>
      </c>
      <c r="E7561">
        <v>0.49830210000000003</v>
      </c>
      <c r="F7561" t="s">
        <v>42</v>
      </c>
      <c r="G7561">
        <v>-264.69569999999999</v>
      </c>
      <c r="H7561">
        <v>1.0503129999999901</v>
      </c>
      <c r="I7561">
        <v>-63.105130000000003</v>
      </c>
      <c r="J7561">
        <v>-265.49029999999999</v>
      </c>
      <c r="K7561">
        <v>1.1197109999999999</v>
      </c>
      <c r="L7561">
        <v>-63.108890000000002</v>
      </c>
      <c r="M7561">
        <v>0.99967150000000005</v>
      </c>
      <c r="N7561">
        <v>-7.1211909999999998E-3</v>
      </c>
      <c r="O7561">
        <v>2.462369E-2</v>
      </c>
      <c r="P7561">
        <v>0.99010869999999995</v>
      </c>
      <c r="Q7561">
        <v>-0.14012239999999901</v>
      </c>
      <c r="R7561">
        <v>7.111745E-3</v>
      </c>
      <c r="S7561">
        <v>2.9980159999999998</v>
      </c>
      <c r="T7561">
        <v>-0.22707530000000001</v>
      </c>
      <c r="U7561">
        <v>2.2460939999999999E-2</v>
      </c>
      <c r="V7561">
        <v>1.7259969999999999E-2</v>
      </c>
      <c r="W7561">
        <v>-0.13307049999999901</v>
      </c>
      <c r="X7561">
        <v>0.99095630000000001</v>
      </c>
      <c r="Y7561">
        <v>1.702294E-2</v>
      </c>
      <c r="Z7561">
        <v>-2.3914790000000002E-3</v>
      </c>
      <c r="AA7561">
        <v>0.99985219999999997</v>
      </c>
      <c r="AB7561">
        <v>26</v>
      </c>
      <c r="AC7561">
        <v>0.79460000000000197</v>
      </c>
      <c r="AD7561">
        <v>-6.9398000000000196E-2</v>
      </c>
      <c r="AE7561">
        <v>3.7599999999997601E-3</v>
      </c>
      <c r="AF7561">
        <v>1.56879576702612E-2</v>
      </c>
      <c r="AG7561">
        <v>-6.9398000000000196E-2</v>
      </c>
      <c r="AH7561">
        <v>0.78843776913671004</v>
      </c>
      <c r="AI7561">
        <v>95.029199248089697</v>
      </c>
      <c r="AJ7561">
        <v>88.860106396605104</v>
      </c>
      <c r="AK7561">
        <v>0.79164152886337202</v>
      </c>
      <c r="AL7561">
        <v>97.647060815325105</v>
      </c>
      <c r="AM7561">
        <v>89.0021523140352</v>
      </c>
      <c r="AN7561">
        <v>1.00000002652217</v>
      </c>
    </row>
    <row r="7562" spans="1:40" x14ac:dyDescent="0.25">
      <c r="A7562" t="str">
        <f>"20190303154958647"</f>
        <v>20190303154958647</v>
      </c>
      <c r="B7562" t="str">
        <f>"1551599398637774"</f>
        <v>1551599398637774</v>
      </c>
      <c r="C7562" t="s">
        <v>40</v>
      </c>
      <c r="D7562">
        <v>5.8107540000000002</v>
      </c>
      <c r="E7562">
        <v>0.49788329999999997</v>
      </c>
      <c r="F7562" t="s">
        <v>76</v>
      </c>
      <c r="G7562">
        <v>-250.22620000000001</v>
      </c>
      <c r="H7562" s="1">
        <v>1.9329130000000001E-7</v>
      </c>
      <c r="I7562">
        <v>-62.962859999999999</v>
      </c>
      <c r="J7562">
        <v>-265.37430000000001</v>
      </c>
      <c r="K7562">
        <v>1.1197170000000001</v>
      </c>
      <c r="L7562">
        <v>-63.106050000000003</v>
      </c>
      <c r="M7562">
        <v>0.99967169999999905</v>
      </c>
      <c r="N7562">
        <v>-7.1359209999999999E-3</v>
      </c>
      <c r="O7562">
        <v>2.4609679999999998E-2</v>
      </c>
      <c r="P7562">
        <v>0.99024749999999995</v>
      </c>
      <c r="Q7562">
        <v>-0.13907649999999999</v>
      </c>
      <c r="R7562">
        <v>8.2258219999999903E-3</v>
      </c>
      <c r="S7562">
        <v>2.9986269999999999</v>
      </c>
      <c r="T7562">
        <v>-0.21996669999999999</v>
      </c>
      <c r="U7562">
        <v>2.868652E-2</v>
      </c>
      <c r="V7562">
        <v>1.6135480000000001E-2</v>
      </c>
      <c r="W7562">
        <v>-0.13200880000000001</v>
      </c>
      <c r="X7562">
        <v>0.99111720000000003</v>
      </c>
      <c r="Y7562">
        <v>1.4948019999999999E-2</v>
      </c>
      <c r="Z7562">
        <v>-2.2281219999999999E-3</v>
      </c>
      <c r="AA7562">
        <v>0.99988580000000005</v>
      </c>
      <c r="AB7562">
        <v>26</v>
      </c>
      <c r="AC7562">
        <v>15.148099999999999</v>
      </c>
      <c r="AD7562">
        <v>-1.1197168067087</v>
      </c>
      <c r="AE7562">
        <v>0.14319000000000401</v>
      </c>
      <c r="AF7562">
        <v>0.22840488031667899</v>
      </c>
      <c r="AG7562">
        <v>-1.1197168067087</v>
      </c>
      <c r="AH7562">
        <v>15.0647315759268</v>
      </c>
      <c r="AI7562">
        <v>94.250322240710204</v>
      </c>
      <c r="AJ7562">
        <v>89.131372970043699</v>
      </c>
      <c r="AK7562">
        <v>15.108013501824299</v>
      </c>
      <c r="AL7562">
        <v>97.585688713909207</v>
      </c>
      <c r="AM7562">
        <v>89.067301787394499</v>
      </c>
      <c r="AN7562">
        <v>0.99999999056405497</v>
      </c>
    </row>
    <row r="7563" spans="1:40" x14ac:dyDescent="0.25">
      <c r="A7563" t="str">
        <f>"20190303154958657"</f>
        <v>20190303154958657</v>
      </c>
      <c r="B7563" t="str">
        <f>"1551599398648510"</f>
        <v>1551599398648510</v>
      </c>
      <c r="C7563" t="s">
        <v>40</v>
      </c>
      <c r="D7563">
        <v>5.7962189999999998</v>
      </c>
      <c r="E7563">
        <v>0.49743219999999999</v>
      </c>
      <c r="F7563" t="s">
        <v>75</v>
      </c>
      <c r="G7563">
        <v>-249.744</v>
      </c>
      <c r="H7563" s="1">
        <v>-3.6403519999999999E-6</v>
      </c>
      <c r="I7563">
        <v>-62.922600000000003</v>
      </c>
      <c r="J7563">
        <v>-265.24720000000002</v>
      </c>
      <c r="K7563">
        <v>1.119718</v>
      </c>
      <c r="L7563">
        <v>-63.102939999999997</v>
      </c>
      <c r="M7563">
        <v>0.99967209999999995</v>
      </c>
      <c r="N7563">
        <v>-7.1506640000000002E-3</v>
      </c>
      <c r="O7563">
        <v>2.45931E-2</v>
      </c>
      <c r="P7563">
        <v>0.99038490000000001</v>
      </c>
      <c r="Q7563">
        <v>-0.1380439</v>
      </c>
      <c r="R7563">
        <v>9.0676019999999993E-3</v>
      </c>
      <c r="S7563">
        <v>2.9990839999999999</v>
      </c>
      <c r="T7563">
        <v>-0.21484719999999999</v>
      </c>
      <c r="U7563">
        <v>3.5186769999999999E-2</v>
      </c>
      <c r="V7563">
        <v>1.528033E-2</v>
      </c>
      <c r="W7563">
        <v>-0.1309604</v>
      </c>
      <c r="X7563">
        <v>0.99126979999999998</v>
      </c>
      <c r="Y7563">
        <v>1.2776829999999999E-2</v>
      </c>
      <c r="Z7563">
        <v>-2.0864059999999999E-3</v>
      </c>
      <c r="AA7563">
        <v>0.99991620000000003</v>
      </c>
      <c r="AB7563">
        <v>26</v>
      </c>
      <c r="AC7563">
        <v>15.5031999999999</v>
      </c>
      <c r="AD7563">
        <v>-1.1197216403520001</v>
      </c>
      <c r="AE7563">
        <v>0.180340000000001</v>
      </c>
      <c r="AF7563">
        <v>0.19995308409877699</v>
      </c>
      <c r="AG7563">
        <v>-1.1197216403520001</v>
      </c>
      <c r="AH7563">
        <v>15.4225056689649</v>
      </c>
      <c r="AI7563">
        <v>94.152217049172606</v>
      </c>
      <c r="AJ7563">
        <v>89.257200728751499</v>
      </c>
      <c r="AK7563">
        <v>15.464392613257299</v>
      </c>
      <c r="AL7563">
        <v>97.525093931299097</v>
      </c>
      <c r="AM7563">
        <v>89.116860935999199</v>
      </c>
      <c r="AN7563">
        <v>0.999999965622553</v>
      </c>
    </row>
    <row r="7564" spans="1:40" x14ac:dyDescent="0.25">
      <c r="A7564" t="str">
        <f>"20190303154958669"</f>
        <v>20190303154958669</v>
      </c>
      <c r="B7564" t="str">
        <f>"1551599398658271"</f>
        <v>1551599398658271</v>
      </c>
      <c r="C7564" t="s">
        <v>40</v>
      </c>
      <c r="D7564">
        <v>5.7877280000000004</v>
      </c>
      <c r="E7564">
        <v>0.4970289</v>
      </c>
      <c r="F7564" t="s">
        <v>75</v>
      </c>
      <c r="G7564">
        <v>-249.2602</v>
      </c>
      <c r="H7564" s="1">
        <v>-3.4687189999999998E-6</v>
      </c>
      <c r="I7564">
        <v>-62.883130000000001</v>
      </c>
      <c r="J7564">
        <v>-265.11189999999999</v>
      </c>
      <c r="K7564">
        <v>1.1197189999999999</v>
      </c>
      <c r="L7564">
        <v>-63.099609999999998</v>
      </c>
      <c r="M7564">
        <v>0.99967240000000002</v>
      </c>
      <c r="N7564">
        <v>-7.1647739999999996E-3</v>
      </c>
      <c r="O7564">
        <v>2.457204E-2</v>
      </c>
      <c r="P7564">
        <v>0.99052640000000003</v>
      </c>
      <c r="Q7564">
        <v>-0.13693649999999999</v>
      </c>
      <c r="R7564">
        <v>1.0300780000000001E-2</v>
      </c>
      <c r="S7564">
        <v>2.9994809999999998</v>
      </c>
      <c r="T7564">
        <v>-0.2100822</v>
      </c>
      <c r="U7564">
        <v>4.1229250000000002E-2</v>
      </c>
      <c r="V7564">
        <v>1.40293E-2</v>
      </c>
      <c r="W7564">
        <v>-0.1298378</v>
      </c>
      <c r="X7564">
        <v>0.99143599999999998</v>
      </c>
      <c r="Y7564">
        <v>1.075282E-2</v>
      </c>
      <c r="Z7564">
        <v>-1.9574079999999999E-3</v>
      </c>
      <c r="AA7564">
        <v>0.9999403</v>
      </c>
      <c r="AB7564">
        <v>26</v>
      </c>
      <c r="AC7564">
        <v>15.8516999999999</v>
      </c>
      <c r="AD7564">
        <v>-1.1197224687189999</v>
      </c>
      <c r="AE7564">
        <v>0.21647999999999701</v>
      </c>
      <c r="AF7564">
        <v>0.17224468764433501</v>
      </c>
      <c r="AG7564">
        <v>-1.1197224687189999</v>
      </c>
      <c r="AH7564">
        <v>15.7735434065929</v>
      </c>
      <c r="AI7564">
        <v>94.060224458623694</v>
      </c>
      <c r="AJ7564">
        <v>89.374363695364195</v>
      </c>
      <c r="AK7564">
        <v>15.8141745987277</v>
      </c>
      <c r="AL7564">
        <v>97.460219436586002</v>
      </c>
      <c r="AM7564">
        <v>89.189291053888795</v>
      </c>
      <c r="AN7564">
        <v>1.0000000088316601</v>
      </c>
    </row>
    <row r="7565" spans="1:40" x14ac:dyDescent="0.25">
      <c r="A7565" t="str">
        <f>"20190303154958679"</f>
        <v>20190303154958679</v>
      </c>
      <c r="B7565" t="str">
        <f>"1551599398668030"</f>
        <v>1551599398668030</v>
      </c>
      <c r="C7565" t="s">
        <v>40</v>
      </c>
      <c r="D7565">
        <v>5.7510250000000003</v>
      </c>
      <c r="E7565">
        <v>0.49662420000000002</v>
      </c>
      <c r="F7565" t="s">
        <v>75</v>
      </c>
      <c r="G7565">
        <v>-248.7638</v>
      </c>
      <c r="H7565" s="1">
        <v>-3.2917089999999998E-6</v>
      </c>
      <c r="I7565">
        <v>-62.837600000000002</v>
      </c>
      <c r="J7565">
        <v>-264.983</v>
      </c>
      <c r="K7565">
        <v>1.11972</v>
      </c>
      <c r="L7565">
        <v>-63.096469999999997</v>
      </c>
      <c r="M7565">
        <v>0.99967289999999998</v>
      </c>
      <c r="N7565">
        <v>-7.1776260000000003E-3</v>
      </c>
      <c r="O7565">
        <v>2.455069E-2</v>
      </c>
      <c r="P7565">
        <v>0.99058069999999998</v>
      </c>
      <c r="Q7565">
        <v>-0.1364561</v>
      </c>
      <c r="R7565">
        <v>1.139448E-2</v>
      </c>
      <c r="S7565">
        <v>2.9997560000000001</v>
      </c>
      <c r="T7565">
        <v>-0.20546030000000001</v>
      </c>
      <c r="U7565">
        <v>4.8065190000000001E-2</v>
      </c>
      <c r="V7565">
        <v>1.29152E-2</v>
      </c>
      <c r="W7565">
        <v>-0.12934409999999999</v>
      </c>
      <c r="X7565">
        <v>0.99151560000000005</v>
      </c>
      <c r="Y7565">
        <v>8.4640440000000004E-3</v>
      </c>
      <c r="Z7565">
        <v>-1.8231269999999999E-3</v>
      </c>
      <c r="AA7565">
        <v>0.99996249999999998</v>
      </c>
      <c r="AB7565">
        <v>26</v>
      </c>
      <c r="AC7565">
        <v>16.219200000000001</v>
      </c>
      <c r="AD7565">
        <v>-1.1197232917090001</v>
      </c>
      <c r="AE7565">
        <v>0.25886999999999399</v>
      </c>
      <c r="AF7565">
        <v>0.138749681953688</v>
      </c>
      <c r="AG7565">
        <v>-1.1197232917090001</v>
      </c>
      <c r="AH7565">
        <v>16.143743664023798</v>
      </c>
      <c r="AI7565">
        <v>93.967510850015799</v>
      </c>
      <c r="AJ7565">
        <v>89.507575466095901</v>
      </c>
      <c r="AK7565">
        <v>16.1831236544107</v>
      </c>
      <c r="AL7565">
        <v>97.431692454140503</v>
      </c>
      <c r="AM7565">
        <v>89.253723688419498</v>
      </c>
      <c r="AN7565">
        <v>0.99999994181960306</v>
      </c>
    </row>
    <row r="7566" spans="1:40" x14ac:dyDescent="0.25">
      <c r="A7566" t="str">
        <f>"20190303154958692"</f>
        <v>20190303154958692</v>
      </c>
      <c r="B7566" t="str">
        <f>"1551599398688526"</f>
        <v>1551599398688526</v>
      </c>
      <c r="C7566" t="s">
        <v>40</v>
      </c>
      <c r="D7566">
        <v>5.7420849999999897</v>
      </c>
      <c r="E7566">
        <v>0.49587999999999999</v>
      </c>
      <c r="F7566" t="s">
        <v>75</v>
      </c>
      <c r="G7566">
        <v>-248.4271</v>
      </c>
      <c r="H7566" s="1">
        <v>-3.1696979999999999E-6</v>
      </c>
      <c r="I7566">
        <v>-62.795610000000003</v>
      </c>
      <c r="J7566">
        <v>-264.84589999999997</v>
      </c>
      <c r="K7566">
        <v>1.11972</v>
      </c>
      <c r="L7566">
        <v>-63.093110000000003</v>
      </c>
      <c r="M7566">
        <v>0.99967349999999999</v>
      </c>
      <c r="N7566">
        <v>-7.1899199999999998E-3</v>
      </c>
      <c r="O7566">
        <v>2.452145E-2</v>
      </c>
      <c r="P7566">
        <v>0.99064479999999999</v>
      </c>
      <c r="Q7566">
        <v>-0.135904</v>
      </c>
      <c r="R7566">
        <v>1.238647E-2</v>
      </c>
      <c r="S7566">
        <v>2.9999690000000001</v>
      </c>
      <c r="T7566">
        <v>-0.20289660000000001</v>
      </c>
      <c r="U7566">
        <v>5.450439E-2</v>
      </c>
      <c r="V7566">
        <v>1.1894500000000001E-2</v>
      </c>
      <c r="W7566">
        <v>-0.12877919999999901</v>
      </c>
      <c r="X7566">
        <v>0.99160190000000004</v>
      </c>
      <c r="Y7566">
        <v>6.2975510000000002E-3</v>
      </c>
      <c r="Z7566">
        <v>-1.7154430000000001E-3</v>
      </c>
      <c r="AA7566">
        <v>0.9999787</v>
      </c>
      <c r="AB7566">
        <v>26</v>
      </c>
      <c r="AC7566">
        <v>16.418799999999901</v>
      </c>
      <c r="AD7566">
        <v>-1.1197231696979999</v>
      </c>
      <c r="AE7566">
        <v>0.29749999999999899</v>
      </c>
      <c r="AF7566">
        <v>0.10472572042599999</v>
      </c>
      <c r="AG7566">
        <v>-1.1197231696979999</v>
      </c>
      <c r="AH7566">
        <v>16.3451629667743</v>
      </c>
      <c r="AI7566">
        <v>93.918836680416405</v>
      </c>
      <c r="AJ7566">
        <v>89.632903037211904</v>
      </c>
      <c r="AK7566">
        <v>16.3838060249652</v>
      </c>
      <c r="AL7566">
        <v>97.399053066879802</v>
      </c>
      <c r="AM7566">
        <v>89.312756494336497</v>
      </c>
      <c r="AN7566">
        <v>0.99999994478324805</v>
      </c>
    </row>
    <row r="7567" spans="1:40" x14ac:dyDescent="0.25">
      <c r="A7567" t="str">
        <f>"20190303154958703"</f>
        <v>20190303154958703</v>
      </c>
      <c r="B7567" t="str">
        <f>"1551599398698287"</f>
        <v>1551599398698287</v>
      </c>
      <c r="C7567" t="s">
        <v>40</v>
      </c>
      <c r="D7567">
        <v>5.7584210000000002</v>
      </c>
      <c r="E7567">
        <v>0.49554120000000002</v>
      </c>
      <c r="F7567" t="s">
        <v>75</v>
      </c>
      <c r="G7567">
        <v>-247.9753</v>
      </c>
      <c r="H7567" s="1">
        <v>-3.0055319999999999E-6</v>
      </c>
      <c r="I7567">
        <v>-62.7369699999999</v>
      </c>
      <c r="J7567">
        <v>-264.72879999999998</v>
      </c>
      <c r="K7567">
        <v>1.119721</v>
      </c>
      <c r="L7567">
        <v>-63.090269999999997</v>
      </c>
      <c r="M7567">
        <v>0.99967410000000001</v>
      </c>
      <c r="N7567">
        <v>-7.2002769999999997E-3</v>
      </c>
      <c r="O7567">
        <v>2.4495019999999999E-2</v>
      </c>
      <c r="P7567">
        <v>0.99070100000000005</v>
      </c>
      <c r="Q7567">
        <v>-0.13540729999999901</v>
      </c>
      <c r="R7567">
        <v>1.328244E-2</v>
      </c>
      <c r="S7567">
        <v>3.0001829999999998</v>
      </c>
      <c r="T7567">
        <v>-0.19912530000000001</v>
      </c>
      <c r="U7567">
        <v>6.3323969999999993E-2</v>
      </c>
      <c r="V7567">
        <v>1.097271E-2</v>
      </c>
      <c r="W7567">
        <v>-0.12827169999999999</v>
      </c>
      <c r="X7567">
        <v>0.99167839999999996</v>
      </c>
      <c r="Y7567">
        <v>3.3435769999999999E-3</v>
      </c>
      <c r="Z7567">
        <v>-1.570239E-3</v>
      </c>
      <c r="AA7567">
        <v>0.99999320000000003</v>
      </c>
      <c r="AB7567">
        <v>26</v>
      </c>
      <c r="AC7567">
        <v>16.753499999999899</v>
      </c>
      <c r="AD7567">
        <v>-1.1197240055319999</v>
      </c>
      <c r="AE7567">
        <v>0.353300000000004</v>
      </c>
      <c r="AF7567">
        <v>5.69397025535857E-2</v>
      </c>
      <c r="AG7567">
        <v>-1.1197240055319999</v>
      </c>
      <c r="AH7567">
        <v>16.682639843646999</v>
      </c>
      <c r="AI7567">
        <v>93.839860376463506</v>
      </c>
      <c r="AJ7567">
        <v>89.8044439006391</v>
      </c>
      <c r="AK7567">
        <v>16.720272011278102</v>
      </c>
      <c r="AL7567">
        <v>97.369731576623494</v>
      </c>
      <c r="AM7567">
        <v>89.366060289332296</v>
      </c>
      <c r="AN7567">
        <v>1.0000000392060899</v>
      </c>
    </row>
    <row r="7568" spans="1:40" x14ac:dyDescent="0.25">
      <c r="A7568" t="str">
        <f>"20190303154958714"</f>
        <v>20190303154958714</v>
      </c>
      <c r="B7568" t="str">
        <f>"1551599398708047"</f>
        <v>1551599398708047</v>
      </c>
      <c r="C7568" t="s">
        <v>40</v>
      </c>
      <c r="D7568">
        <v>5.6977200000000003</v>
      </c>
      <c r="E7568">
        <v>0.4952202</v>
      </c>
      <c r="F7568" t="s">
        <v>75</v>
      </c>
      <c r="G7568">
        <v>-247.6506</v>
      </c>
      <c r="H7568" s="1">
        <v>-2.8852790000000002E-6</v>
      </c>
      <c r="I7568">
        <v>-62.699010000000001</v>
      </c>
      <c r="J7568">
        <v>-264.58100000000002</v>
      </c>
      <c r="K7568">
        <v>1.119713</v>
      </c>
      <c r="L7568">
        <v>-63.086669999999998</v>
      </c>
      <c r="M7568">
        <v>0.99967499999999998</v>
      </c>
      <c r="N7568">
        <v>-7.2125660000000001E-3</v>
      </c>
      <c r="O7568">
        <v>2.445276E-2</v>
      </c>
      <c r="P7568">
        <v>0.99072720000000003</v>
      </c>
      <c r="Q7568">
        <v>-0.1351493</v>
      </c>
      <c r="R7568">
        <v>1.3945320000000001E-2</v>
      </c>
      <c r="S7568">
        <v>3.000305</v>
      </c>
      <c r="T7568">
        <v>-0.19671379999999999</v>
      </c>
      <c r="U7568">
        <v>6.8725590000000003E-2</v>
      </c>
      <c r="V7568">
        <v>1.026619E-2</v>
      </c>
      <c r="W7568">
        <v>-0.12800129999999901</v>
      </c>
      <c r="X7568">
        <v>0.99172090000000002</v>
      </c>
      <c r="Y7568">
        <v>1.508499E-3</v>
      </c>
      <c r="Z7568">
        <v>-1.479712E-3</v>
      </c>
      <c r="AA7568">
        <v>0.99999780000000005</v>
      </c>
      <c r="AB7568">
        <v>26</v>
      </c>
      <c r="AC7568">
        <v>16.930399999999899</v>
      </c>
      <c r="AD7568">
        <v>-1.1197158852789999</v>
      </c>
      <c r="AE7568">
        <v>0.387660000000003</v>
      </c>
      <c r="AF7568">
        <v>2.6346504967470898E-2</v>
      </c>
      <c r="AG7568">
        <v>-1.1197158852789999</v>
      </c>
      <c r="AH7568">
        <v>16.8611046791702</v>
      </c>
      <c r="AI7568">
        <v>93.799327360064893</v>
      </c>
      <c r="AJ7568">
        <v>89.910471921044504</v>
      </c>
      <c r="AK7568">
        <v>16.8982634848674</v>
      </c>
      <c r="AL7568">
        <v>97.354110050347401</v>
      </c>
      <c r="AM7568">
        <v>89.406901327928693</v>
      </c>
      <c r="AN7568">
        <v>1.0000000354778</v>
      </c>
    </row>
    <row r="7569" spans="1:40" x14ac:dyDescent="0.25">
      <c r="A7569" t="str">
        <f>"20190303154958728"</f>
        <v>20190303154958728</v>
      </c>
      <c r="B7569" t="str">
        <f>"1551599398717806"</f>
        <v>1551599398717806</v>
      </c>
      <c r="C7569" t="s">
        <v>40</v>
      </c>
      <c r="D7569">
        <v>5.819782</v>
      </c>
      <c r="E7569">
        <v>0.49480020000000002</v>
      </c>
      <c r="F7569" t="s">
        <v>75</v>
      </c>
      <c r="G7569">
        <v>-247.3869</v>
      </c>
      <c r="H7569" s="1">
        <v>-2.763605E-6</v>
      </c>
      <c r="I7569">
        <v>-62.666890000000002</v>
      </c>
      <c r="J7569">
        <v>-264.4316</v>
      </c>
      <c r="K7569">
        <v>1.1197010000000001</v>
      </c>
      <c r="L7569">
        <v>-63.0830699999999</v>
      </c>
      <c r="M7569">
        <v>0.99967609999999996</v>
      </c>
      <c r="N7569">
        <v>-7.2246690000000004E-3</v>
      </c>
      <c r="O7569">
        <v>2.4403879999999999E-2</v>
      </c>
      <c r="P7569">
        <v>0.99071969999999998</v>
      </c>
      <c r="Q7569">
        <v>-0.13514379999999901</v>
      </c>
      <c r="R7569">
        <v>1.451596E-2</v>
      </c>
      <c r="S7569">
        <v>3.000397</v>
      </c>
      <c r="T7569">
        <v>-0.1953915</v>
      </c>
      <c r="U7569">
        <v>7.3242189999999999E-2</v>
      </c>
      <c r="V7569">
        <v>9.6443669999999992E-3</v>
      </c>
      <c r="W7569">
        <v>-0.12798389999999901</v>
      </c>
      <c r="X7569">
        <v>0.99172930000000004</v>
      </c>
      <c r="Y7569" s="1">
        <v>-3.9772869999999998E-5</v>
      </c>
      <c r="Z7569">
        <v>-1.40949E-3</v>
      </c>
      <c r="AA7569">
        <v>0.99999899999999997</v>
      </c>
      <c r="AB7569">
        <v>26</v>
      </c>
      <c r="AC7569">
        <v>17.044699999999999</v>
      </c>
      <c r="AD7569">
        <v>-1.119703763605</v>
      </c>
      <c r="AE7569">
        <v>0.41617999999999</v>
      </c>
      <c r="AF7569" s="1">
        <v>-8.8008594878397005E-5</v>
      </c>
      <c r="AG7569">
        <v>-1.119703763605</v>
      </c>
      <c r="AH7569">
        <v>16.976562071000298</v>
      </c>
      <c r="AI7569">
        <v>93.773526952098095</v>
      </c>
      <c r="AJ7569">
        <v>90.000297028398705</v>
      </c>
      <c r="AK7569">
        <v>17.013447512967598</v>
      </c>
      <c r="AL7569">
        <v>97.353105479322707</v>
      </c>
      <c r="AM7569">
        <v>89.442827688321799</v>
      </c>
      <c r="AN7569">
        <v>0.99999994847626394</v>
      </c>
    </row>
    <row r="7570" spans="1:40" x14ac:dyDescent="0.25">
      <c r="A7570" t="str">
        <f>"20190303154958739"</f>
        <v>20190303154958739</v>
      </c>
      <c r="B7570" t="str">
        <f>"1551599398728543"</f>
        <v>1551599398728543</v>
      </c>
      <c r="C7570" t="s">
        <v>40</v>
      </c>
      <c r="D7570">
        <v>5.7840249999999997</v>
      </c>
      <c r="E7570">
        <v>0.49440879999999998</v>
      </c>
      <c r="F7570" t="s">
        <v>75</v>
      </c>
      <c r="G7570">
        <v>-247.30539999999999</v>
      </c>
      <c r="H7570" s="1">
        <v>-2.720316E-6</v>
      </c>
      <c r="I7570">
        <v>-62.635649999999998</v>
      </c>
      <c r="J7570">
        <v>-264.29230000000001</v>
      </c>
      <c r="K7570">
        <v>1.119691</v>
      </c>
      <c r="L7570">
        <v>-63.079680000000003</v>
      </c>
      <c r="M7570">
        <v>0.99967720000000004</v>
      </c>
      <c r="N7570">
        <v>-7.2357089999999999E-3</v>
      </c>
      <c r="O7570">
        <v>2.435381E-2</v>
      </c>
      <c r="P7570">
        <v>0.99073310000000003</v>
      </c>
      <c r="Q7570">
        <v>-0.13499340000000001</v>
      </c>
      <c r="R7570">
        <v>1.4985969999999999E-2</v>
      </c>
      <c r="S7570">
        <v>3.0001829999999998</v>
      </c>
      <c r="T7570">
        <v>-0.1961504</v>
      </c>
      <c r="U7570">
        <v>7.8369140000000004E-2</v>
      </c>
      <c r="V7570">
        <v>9.1224549999999998E-3</v>
      </c>
      <c r="W7570">
        <v>-0.12782249999999901</v>
      </c>
      <c r="X7570">
        <v>0.9917551</v>
      </c>
      <c r="Y7570">
        <v>-1.7954799999999999E-3</v>
      </c>
      <c r="Z7570">
        <v>-1.348852E-3</v>
      </c>
      <c r="AA7570">
        <v>0.99999749999999998</v>
      </c>
      <c r="AB7570">
        <v>26</v>
      </c>
      <c r="AC7570">
        <v>16.986899999999999</v>
      </c>
      <c r="AD7570">
        <v>-1.119693720316</v>
      </c>
      <c r="AE7570">
        <v>0.44403000000000498</v>
      </c>
      <c r="AF7570">
        <v>-3.00612020158901E-2</v>
      </c>
      <c r="AG7570">
        <v>-1.119693720316</v>
      </c>
      <c r="AH7570">
        <v>16.919215075215298</v>
      </c>
      <c r="AI7570">
        <v>93.786240206491399</v>
      </c>
      <c r="AJ7570">
        <v>90.101800123854602</v>
      </c>
      <c r="AK7570">
        <v>16.956251250337601</v>
      </c>
      <c r="AL7570">
        <v>97.343781017698007</v>
      </c>
      <c r="AM7570">
        <v>89.472991437078207</v>
      </c>
      <c r="AN7570">
        <v>0.999999994533743</v>
      </c>
    </row>
    <row r="7571" spans="1:40" x14ac:dyDescent="0.25">
      <c r="A7571" t="str">
        <f>"20190303154958752"</f>
        <v>20190303154958752</v>
      </c>
      <c r="B7571" t="str">
        <f>"1551599398748063"</f>
        <v>1551599398748063</v>
      </c>
      <c r="C7571" t="s">
        <v>40</v>
      </c>
      <c r="D7571">
        <v>5.6847029999999998</v>
      </c>
      <c r="E7571">
        <v>0.49378139999999998</v>
      </c>
      <c r="F7571" t="s">
        <v>75</v>
      </c>
      <c r="G7571">
        <v>-247.2064</v>
      </c>
      <c r="H7571" s="1">
        <v>-2.670135E-6</v>
      </c>
      <c r="I7571">
        <v>-62.606529999999999</v>
      </c>
      <c r="J7571">
        <v>-264.15069999999997</v>
      </c>
      <c r="K7571">
        <v>1.11968</v>
      </c>
      <c r="L7571">
        <v>-63.07629</v>
      </c>
      <c r="M7571">
        <v>0.99967870000000003</v>
      </c>
      <c r="N7571">
        <v>-7.246565E-3</v>
      </c>
      <c r="O7571">
        <v>2.4291210000000001E-2</v>
      </c>
      <c r="P7571">
        <v>0.99068020000000001</v>
      </c>
      <c r="Q7571">
        <v>-0.13536239999999999</v>
      </c>
      <c r="R7571">
        <v>1.517024E-2</v>
      </c>
      <c r="S7571">
        <v>3.0000309999999999</v>
      </c>
      <c r="T7571">
        <v>-0.1966021</v>
      </c>
      <c r="U7571">
        <v>8.306885E-2</v>
      </c>
      <c r="V7571">
        <v>8.8714620000000001E-3</v>
      </c>
      <c r="W7571">
        <v>-0.1281812</v>
      </c>
      <c r="X7571">
        <v>0.99171109999999896</v>
      </c>
      <c r="Y7571">
        <v>-3.421042E-3</v>
      </c>
      <c r="Z7571">
        <v>-1.2894009999999999E-3</v>
      </c>
      <c r="AA7571">
        <v>0.99999329999999997</v>
      </c>
      <c r="AB7571">
        <v>26</v>
      </c>
      <c r="AC7571">
        <v>16.944299999999899</v>
      </c>
      <c r="AD7571">
        <v>-1.119682670135</v>
      </c>
      <c r="AE7571">
        <v>0.46975999999999302</v>
      </c>
      <c r="AF7571">
        <v>-5.7761012367479901E-2</v>
      </c>
      <c r="AG7571">
        <v>-1.119682670135</v>
      </c>
      <c r="AH7571">
        <v>16.877072540404999</v>
      </c>
      <c r="AI7571">
        <v>93.795613413887096</v>
      </c>
      <c r="AJ7571">
        <v>90.196091431127499</v>
      </c>
      <c r="AK7571">
        <v>16.9142721732401</v>
      </c>
      <c r="AL7571">
        <v>97.364503331598897</v>
      </c>
      <c r="AM7571">
        <v>89.487467899969602</v>
      </c>
      <c r="AN7571">
        <v>1.00000001436733</v>
      </c>
    </row>
    <row r="7572" spans="1:40" x14ac:dyDescent="0.25">
      <c r="A7572" t="str">
        <f>"20190303154958766"</f>
        <v>20190303154958766</v>
      </c>
      <c r="B7572" t="str">
        <f>"1551599398757822"</f>
        <v>1551599398757822</v>
      </c>
      <c r="C7572" t="s">
        <v>40</v>
      </c>
      <c r="D7572">
        <v>5.7131319999999999</v>
      </c>
      <c r="E7572">
        <v>0.49346790000000001</v>
      </c>
      <c r="F7572" t="s">
        <v>75</v>
      </c>
      <c r="G7572">
        <v>-247.2525</v>
      </c>
      <c r="H7572" s="1">
        <v>-2.6818380000000001E-6</v>
      </c>
      <c r="I7572">
        <v>-62.576309999999999</v>
      </c>
      <c r="J7572">
        <v>-263.99349999999998</v>
      </c>
      <c r="K7572">
        <v>1.119667</v>
      </c>
      <c r="L7572">
        <v>-63.072569999999899</v>
      </c>
      <c r="M7572">
        <v>0.99968040000000002</v>
      </c>
      <c r="N7572">
        <v>-7.2584850000000003E-3</v>
      </c>
      <c r="O7572">
        <v>2.421512E-2</v>
      </c>
      <c r="P7572">
        <v>0.99062620000000001</v>
      </c>
      <c r="Q7572">
        <v>-0.13575660000000001</v>
      </c>
      <c r="R7572">
        <v>1.516316E-2</v>
      </c>
      <c r="S7572">
        <v>2.999695</v>
      </c>
      <c r="T7572">
        <v>-0.1987611</v>
      </c>
      <c r="U7572">
        <v>8.8745119999999997E-2</v>
      </c>
      <c r="V7572">
        <v>8.7982849999999994E-3</v>
      </c>
      <c r="W7572">
        <v>-0.12856419999999999</v>
      </c>
      <c r="X7572">
        <v>0.99166209999999999</v>
      </c>
      <c r="Y7572">
        <v>-5.3868839999999998E-3</v>
      </c>
      <c r="Z7572">
        <v>-1.2287380000000001E-3</v>
      </c>
      <c r="AA7572">
        <v>0.99998469999999995</v>
      </c>
      <c r="AB7572">
        <v>26</v>
      </c>
      <c r="AC7572">
        <v>16.7409999999999</v>
      </c>
      <c r="AD7572">
        <v>-1.1196696818380001</v>
      </c>
      <c r="AE7572">
        <v>0.49625999999999199</v>
      </c>
      <c r="AF7572">
        <v>-9.0314822627764399E-2</v>
      </c>
      <c r="AG7572">
        <v>-1.1196696818380001</v>
      </c>
      <c r="AH7572">
        <v>16.6735895061321</v>
      </c>
      <c r="AI7572">
        <v>93.841718678942001</v>
      </c>
      <c r="AJ7572">
        <v>90.310347544234702</v>
      </c>
      <c r="AK7572">
        <v>16.711385459698199</v>
      </c>
      <c r="AL7572">
        <v>97.386631234738502</v>
      </c>
      <c r="AM7572">
        <v>89.491670226305104</v>
      </c>
      <c r="AN7572">
        <v>0.99999994195849295</v>
      </c>
    </row>
    <row r="7573" spans="1:40" x14ac:dyDescent="0.25">
      <c r="A7573" t="str">
        <f>"20190303154958785"</f>
        <v>20190303154958785</v>
      </c>
      <c r="B7573" t="str">
        <f>"1551599398778319"</f>
        <v>1551599398778319</v>
      </c>
      <c r="C7573" t="s">
        <v>40</v>
      </c>
      <c r="D7573">
        <v>5.6980050000000002</v>
      </c>
      <c r="E7573">
        <v>0.49292530000000001</v>
      </c>
      <c r="F7573" t="s">
        <v>75</v>
      </c>
      <c r="G7573">
        <v>-247.2482</v>
      </c>
      <c r="H7573" s="1">
        <v>-2.6764439999999998E-6</v>
      </c>
      <c r="I7573">
        <v>-62.562930000000001</v>
      </c>
      <c r="J7573">
        <v>-263.76639999999998</v>
      </c>
      <c r="K7573">
        <v>1.1196459999999999</v>
      </c>
      <c r="L7573">
        <v>-63.0672</v>
      </c>
      <c r="M7573">
        <v>0.9996834</v>
      </c>
      <c r="N7573">
        <v>-7.2748369999999897E-3</v>
      </c>
      <c r="O7573">
        <v>2.408484E-2</v>
      </c>
      <c r="P7573">
        <v>0.99046690000000004</v>
      </c>
      <c r="Q7573">
        <v>-0.13696839999999999</v>
      </c>
      <c r="R7573">
        <v>1.465867E-2</v>
      </c>
      <c r="S7573">
        <v>2.9995120000000002</v>
      </c>
      <c r="T7573">
        <v>-0.2005613</v>
      </c>
      <c r="U7573">
        <v>9.1278079999999998E-2</v>
      </c>
      <c r="V7573">
        <v>9.1636909999999999E-3</v>
      </c>
      <c r="W7573">
        <v>-0.1297616</v>
      </c>
      <c r="X7573">
        <v>0.99150289999999996</v>
      </c>
      <c r="Y7573">
        <v>-6.3606649999999997E-3</v>
      </c>
      <c r="Z7573">
        <v>-1.197427E-3</v>
      </c>
      <c r="AA7573">
        <v>0.99997910000000001</v>
      </c>
      <c r="AB7573">
        <v>26</v>
      </c>
      <c r="AC7573">
        <v>16.518199999999901</v>
      </c>
      <c r="AD7573">
        <v>-1.1196486764439999</v>
      </c>
      <c r="AE7573">
        <v>0.504269999999998</v>
      </c>
      <c r="AF7573">
        <v>-0.105789364925248</v>
      </c>
      <c r="AG7573">
        <v>-1.1196486764439999</v>
      </c>
      <c r="AH7573">
        <v>16.450044370633599</v>
      </c>
      <c r="AI7573">
        <v>93.893669406854698</v>
      </c>
      <c r="AJ7573">
        <v>90.368461046918199</v>
      </c>
      <c r="AK7573">
        <v>16.488443357218699</v>
      </c>
      <c r="AL7573">
        <v>97.455816139142499</v>
      </c>
      <c r="AM7573">
        <v>89.470474700179295</v>
      </c>
      <c r="AN7573">
        <v>1.0000000233878501</v>
      </c>
    </row>
    <row r="7574" spans="1:40" x14ac:dyDescent="0.25">
      <c r="A7574" t="str">
        <f>"20190303154958795"</f>
        <v>20190303154958795</v>
      </c>
      <c r="B7574" t="str">
        <f>"1551599398788079"</f>
        <v>1551599398788079</v>
      </c>
      <c r="C7574" t="s">
        <v>40</v>
      </c>
      <c r="D7574">
        <v>5.6816649999999997</v>
      </c>
      <c r="E7574">
        <v>0.49265229999999999</v>
      </c>
      <c r="F7574" t="s">
        <v>75</v>
      </c>
      <c r="G7574">
        <v>-247.38480000000001</v>
      </c>
      <c r="H7574" s="1">
        <v>-2.7321640000000001E-6</v>
      </c>
      <c r="I7574">
        <v>-62.552069999999901</v>
      </c>
      <c r="J7574">
        <v>-263.63099999999997</v>
      </c>
      <c r="K7574">
        <v>1.1196269999999999</v>
      </c>
      <c r="L7574">
        <v>-63.064030000000002</v>
      </c>
      <c r="M7574">
        <v>0.9996855</v>
      </c>
      <c r="N7574">
        <v>-7.2831500000000004E-3</v>
      </c>
      <c r="O7574">
        <v>2.3995949999999999E-2</v>
      </c>
      <c r="P7574">
        <v>0.99035910000000005</v>
      </c>
      <c r="Q7574">
        <v>-0.137782399999999</v>
      </c>
      <c r="R7574">
        <v>1.431848E-2</v>
      </c>
      <c r="S7574">
        <v>2.9991460000000001</v>
      </c>
      <c r="T7574">
        <v>-0.204986</v>
      </c>
      <c r="U7574">
        <v>9.4299320000000006E-2</v>
      </c>
      <c r="V7574">
        <v>9.4092099999999994E-3</v>
      </c>
      <c r="W7574">
        <v>-0.1305684</v>
      </c>
      <c r="X7574">
        <v>0.99139460000000001</v>
      </c>
      <c r="Y7574">
        <v>-7.458129E-3</v>
      </c>
      <c r="Z7574">
        <v>-1.181203E-3</v>
      </c>
      <c r="AA7574">
        <v>0.99997150000000001</v>
      </c>
      <c r="AB7574">
        <v>26</v>
      </c>
      <c r="AC7574">
        <v>16.246199999999899</v>
      </c>
      <c r="AD7574">
        <v>-1.1196297321640001</v>
      </c>
      <c r="AE7574">
        <v>0.51196000000000896</v>
      </c>
      <c r="AF7574">
        <v>-0.12138328897230199</v>
      </c>
      <c r="AG7574">
        <v>-1.1196297321640001</v>
      </c>
      <c r="AH7574">
        <v>16.177050830097802</v>
      </c>
      <c r="AI7574">
        <v>93.959072975531001</v>
      </c>
      <c r="AJ7574">
        <v>90.429906521175198</v>
      </c>
      <c r="AK7574">
        <v>16.216204185923299</v>
      </c>
      <c r="AL7574">
        <v>97.502439605002195</v>
      </c>
      <c r="AM7574">
        <v>89.456228795905204</v>
      </c>
      <c r="AN7574">
        <v>0.99999994661027003</v>
      </c>
    </row>
    <row r="7575" spans="1:40" x14ac:dyDescent="0.25">
      <c r="A7575" t="str">
        <f>"20190303154958808"</f>
        <v>20190303154958808</v>
      </c>
      <c r="B7575" t="str">
        <f>"1551599398797839"</f>
        <v>1551599398797839</v>
      </c>
      <c r="C7575" t="s">
        <v>40</v>
      </c>
      <c r="D7575">
        <v>5.7374000000000001</v>
      </c>
      <c r="E7575">
        <v>0.49239329999999998</v>
      </c>
      <c r="F7575" t="s">
        <v>75</v>
      </c>
      <c r="G7575">
        <v>-247.4837</v>
      </c>
      <c r="H7575" s="1">
        <v>-2.773754E-6</v>
      </c>
      <c r="I7575">
        <v>-62.548990000000003</v>
      </c>
      <c r="J7575">
        <v>-263.49400000000003</v>
      </c>
      <c r="K7575">
        <v>1.1196120000000001</v>
      </c>
      <c r="L7575">
        <v>-63.060850000000002</v>
      </c>
      <c r="M7575">
        <v>0.99968789999999996</v>
      </c>
      <c r="N7575">
        <v>-7.2902919999999899E-3</v>
      </c>
      <c r="O7575">
        <v>2.3898010000000001E-2</v>
      </c>
      <c r="P7575">
        <v>0.99030580000000001</v>
      </c>
      <c r="Q7575">
        <v>-0.13822970000000001</v>
      </c>
      <c r="R7575">
        <v>1.368665E-2</v>
      </c>
      <c r="S7575">
        <v>2.998901</v>
      </c>
      <c r="T7575">
        <v>-0.20793900000000001</v>
      </c>
      <c r="U7575">
        <v>9.5642089999999999E-2</v>
      </c>
      <c r="V7575">
        <v>9.9388879999999999E-3</v>
      </c>
      <c r="W7575">
        <v>-0.1310095</v>
      </c>
      <c r="X7575">
        <v>0.99133130000000003</v>
      </c>
      <c r="Y7575">
        <v>-8.005224E-3</v>
      </c>
      <c r="Z7575">
        <v>-1.1739859999999999E-3</v>
      </c>
      <c r="AA7575">
        <v>0.9999673</v>
      </c>
      <c r="AB7575">
        <v>26</v>
      </c>
      <c r="AC7575">
        <v>16.010300000000001</v>
      </c>
      <c r="AD7575">
        <v>-1.1196147737540001</v>
      </c>
      <c r="AE7575">
        <v>0.51185999999999798</v>
      </c>
      <c r="AF7575">
        <v>-0.12846177988327401</v>
      </c>
      <c r="AG7575">
        <v>-1.1196147737540001</v>
      </c>
      <c r="AH7575">
        <v>15.940087288137301</v>
      </c>
      <c r="AI7575">
        <v>94.017665953890898</v>
      </c>
      <c r="AJ7575">
        <v>90.461738906631098</v>
      </c>
      <c r="AK7575">
        <v>15.979875544694799</v>
      </c>
      <c r="AL7575">
        <v>97.527931278095807</v>
      </c>
      <c r="AM7575">
        <v>89.425583297270705</v>
      </c>
      <c r="AN7575">
        <v>1.0000000084723</v>
      </c>
    </row>
    <row r="7576" spans="1:40" x14ac:dyDescent="0.25">
      <c r="A7576" t="str">
        <f>"20190303154958820"</f>
        <v>20190303154958820</v>
      </c>
      <c r="B7576" t="str">
        <f>"1551599398808575"</f>
        <v>1551599398808575</v>
      </c>
      <c r="C7576" t="s">
        <v>40</v>
      </c>
      <c r="D7576">
        <v>5.6923209999999997</v>
      </c>
      <c r="E7576">
        <v>0.49215720000000002</v>
      </c>
      <c r="F7576" t="s">
        <v>75</v>
      </c>
      <c r="G7576">
        <v>-247.48820000000001</v>
      </c>
      <c r="H7576" s="1">
        <v>-2.7755439999999999E-6</v>
      </c>
      <c r="I7576">
        <v>-62.548349999999999</v>
      </c>
      <c r="J7576">
        <v>-263.34309999999999</v>
      </c>
      <c r="K7576">
        <v>1.119597</v>
      </c>
      <c r="L7576">
        <v>-63.057310000000001</v>
      </c>
      <c r="M7576">
        <v>0.99969059999999998</v>
      </c>
      <c r="N7576">
        <v>-7.297291E-3</v>
      </c>
      <c r="O7576">
        <v>2.378481E-2</v>
      </c>
      <c r="P7576">
        <v>0.99019650000000003</v>
      </c>
      <c r="Q7576">
        <v>-0.13904430000000001</v>
      </c>
      <c r="R7576">
        <v>1.33373E-2</v>
      </c>
      <c r="S7576">
        <v>2.9987789999999999</v>
      </c>
      <c r="T7576">
        <v>-0.20976690000000001</v>
      </c>
      <c r="U7576">
        <v>9.6008300000000005E-2</v>
      </c>
      <c r="V7576">
        <v>1.0169249999999999E-2</v>
      </c>
      <c r="W7576">
        <v>-0.1318184</v>
      </c>
      <c r="X7576">
        <v>0.99122169999999998</v>
      </c>
      <c r="Y7576">
        <v>-8.2414340000000006E-3</v>
      </c>
      <c r="Z7576">
        <v>-1.1697330000000001E-3</v>
      </c>
      <c r="AA7576">
        <v>0.9999654</v>
      </c>
      <c r="AB7576">
        <v>26</v>
      </c>
      <c r="AC7576">
        <v>15.854899999999899</v>
      </c>
      <c r="AD7576">
        <v>-1.1195997755439999</v>
      </c>
      <c r="AE7576">
        <v>0.50896000000000097</v>
      </c>
      <c r="AF7576">
        <v>-0.13104743346542799</v>
      </c>
      <c r="AG7576">
        <v>-1.1195997755439999</v>
      </c>
      <c r="AH7576">
        <v>15.783894402255299</v>
      </c>
      <c r="AI7576">
        <v>94.057229266669296</v>
      </c>
      <c r="AJ7576">
        <v>90.475693269466106</v>
      </c>
      <c r="AK7576">
        <v>15.824095537779201</v>
      </c>
      <c r="AL7576">
        <v>97.574683494459094</v>
      </c>
      <c r="AM7576">
        <v>89.412205498572703</v>
      </c>
      <c r="AN7576">
        <v>0.99999998138750601</v>
      </c>
    </row>
    <row r="7577" spans="1:40" x14ac:dyDescent="0.25">
      <c r="A7577" t="str">
        <f>"20190303154958831"</f>
        <v>20190303154958831</v>
      </c>
      <c r="B7577" t="str">
        <f>"1551599398828095"</f>
        <v>1551599398828095</v>
      </c>
      <c r="C7577" t="s">
        <v>40</v>
      </c>
      <c r="D7577">
        <v>5.6427740000000002</v>
      </c>
      <c r="E7577">
        <v>0.49179010000000001</v>
      </c>
      <c r="F7577" t="s">
        <v>75</v>
      </c>
      <c r="G7577">
        <v>-247.54740000000001</v>
      </c>
      <c r="H7577" s="1">
        <v>-2.800519E-6</v>
      </c>
      <c r="I7577">
        <v>-62.546840000000003</v>
      </c>
      <c r="J7577">
        <v>-263.21019999999999</v>
      </c>
      <c r="K7577">
        <v>1.1195839999999999</v>
      </c>
      <c r="L7577">
        <v>-63.054290000000002</v>
      </c>
      <c r="M7577">
        <v>0.99969330000000001</v>
      </c>
      <c r="N7577">
        <v>-7.3023080000000004E-3</v>
      </c>
      <c r="O7577">
        <v>2.3672100000000001E-2</v>
      </c>
      <c r="P7577">
        <v>0.99009499999999995</v>
      </c>
      <c r="Q7577">
        <v>-0.13979430000000001</v>
      </c>
      <c r="R7577">
        <v>1.302565E-2</v>
      </c>
      <c r="S7577">
        <v>2.9985659999999998</v>
      </c>
      <c r="T7577">
        <v>-0.21253849999999999</v>
      </c>
      <c r="U7577">
        <v>9.6893309999999996E-2</v>
      </c>
      <c r="V7577">
        <v>1.0363259999999999E-2</v>
      </c>
      <c r="W7577">
        <v>-0.1325645</v>
      </c>
      <c r="X7577">
        <v>0.99112020000000001</v>
      </c>
      <c r="Y7577">
        <v>-8.6507349999999997E-3</v>
      </c>
      <c r="Z7577">
        <v>-1.164656E-3</v>
      </c>
      <c r="AA7577">
        <v>0.99996189999999996</v>
      </c>
      <c r="AB7577">
        <v>26</v>
      </c>
      <c r="AC7577">
        <v>15.662799999999899</v>
      </c>
      <c r="AD7577">
        <v>-1.1195868005189999</v>
      </c>
      <c r="AE7577">
        <v>0.50744999999999796</v>
      </c>
      <c r="AF7577">
        <v>-0.13583330110275199</v>
      </c>
      <c r="AG7577">
        <v>-1.1195868005189999</v>
      </c>
      <c r="AH7577">
        <v>15.590845817971299</v>
      </c>
      <c r="AI7577">
        <v>94.1072339996485</v>
      </c>
      <c r="AJ7577">
        <v>90.499169708587004</v>
      </c>
      <c r="AK7577">
        <v>15.6315833685951</v>
      </c>
      <c r="AL7577">
        <v>97.6178102277661</v>
      </c>
      <c r="AM7577">
        <v>89.400930964397304</v>
      </c>
      <c r="AN7577">
        <v>0.999999997333058</v>
      </c>
    </row>
    <row r="7578" spans="1:40" x14ac:dyDescent="0.25">
      <c r="A7578" t="str">
        <f>"20190303154958847"</f>
        <v>20190303154958847</v>
      </c>
      <c r="B7578" t="str">
        <f>"1551599398837855"</f>
        <v>1551599398837855</v>
      </c>
      <c r="C7578" t="s">
        <v>40</v>
      </c>
      <c r="D7578">
        <v>5.6507740000000002</v>
      </c>
      <c r="E7578">
        <v>0.4915871</v>
      </c>
      <c r="F7578" t="s">
        <v>75</v>
      </c>
      <c r="G7578">
        <v>-247.57060000000001</v>
      </c>
      <c r="H7578" s="1">
        <v>-2.808083E-6</v>
      </c>
      <c r="I7578">
        <v>-62.537849999999999</v>
      </c>
      <c r="J7578">
        <v>-263.03050000000002</v>
      </c>
      <c r="K7578">
        <v>1.1195710000000001</v>
      </c>
      <c r="L7578">
        <v>-63.050199999999997</v>
      </c>
      <c r="M7578">
        <v>0.99969680000000005</v>
      </c>
      <c r="N7578">
        <v>-7.3088880000000004E-3</v>
      </c>
      <c r="O7578">
        <v>2.3513160000000002E-2</v>
      </c>
      <c r="P7578">
        <v>0.99004009999999998</v>
      </c>
      <c r="Q7578">
        <v>-0.14027700000000001</v>
      </c>
      <c r="R7578">
        <v>1.1956369999999999E-2</v>
      </c>
      <c r="S7578">
        <v>2.9984130000000002</v>
      </c>
      <c r="T7578">
        <v>-0.21464569999999999</v>
      </c>
      <c r="U7578">
        <v>9.8999019999999993E-2</v>
      </c>
      <c r="V7578">
        <v>1.126885E-2</v>
      </c>
      <c r="W7578">
        <v>-0.13304199999999999</v>
      </c>
      <c r="X7578">
        <v>0.99104630000000005</v>
      </c>
      <c r="Y7578">
        <v>-9.5106940000000001E-3</v>
      </c>
      <c r="Z7578">
        <v>-1.133989E-3</v>
      </c>
      <c r="AA7578">
        <v>0.99995409999999996</v>
      </c>
      <c r="AB7578">
        <v>26</v>
      </c>
      <c r="AC7578">
        <v>15.459899999999999</v>
      </c>
      <c r="AD7578">
        <v>-1.11957380808299</v>
      </c>
      <c r="AE7578">
        <v>0.51234999999999697</v>
      </c>
      <c r="AF7578">
        <v>-0.147912670572584</v>
      </c>
      <c r="AG7578">
        <v>-1.11957380808299</v>
      </c>
      <c r="AH7578">
        <v>15.3870661127616</v>
      </c>
      <c r="AI7578">
        <v>94.161356262558598</v>
      </c>
      <c r="AJ7578">
        <v>90.5507554639331</v>
      </c>
      <c r="AK7578">
        <v>15.4284518740007</v>
      </c>
      <c r="AL7578">
        <v>97.645413711325801</v>
      </c>
      <c r="AM7578">
        <v>89.348537277190601</v>
      </c>
      <c r="AN7578">
        <v>0.99999996474400499</v>
      </c>
    </row>
    <row r="7579" spans="1:40" x14ac:dyDescent="0.25">
      <c r="A7579" t="str">
        <f>"20190303154958858"</f>
        <v>20190303154958858</v>
      </c>
      <c r="B7579" t="str">
        <f>"1551599398848591"</f>
        <v>1551599398848591</v>
      </c>
      <c r="C7579" t="s">
        <v>40</v>
      </c>
      <c r="D7579">
        <v>5.6445089999999896</v>
      </c>
      <c r="E7579">
        <v>0.4914152</v>
      </c>
      <c r="F7579" t="s">
        <v>75</v>
      </c>
      <c r="G7579">
        <v>-247.5078</v>
      </c>
      <c r="H7579" s="1">
        <v>-2.7834209999999998E-6</v>
      </c>
      <c r="I7579">
        <v>-62.546460000000003</v>
      </c>
      <c r="J7579">
        <v>-262.89729999999997</v>
      </c>
      <c r="K7579">
        <v>1.1195550000000001</v>
      </c>
      <c r="L7579">
        <v>-63.047150000000002</v>
      </c>
      <c r="M7579">
        <v>0.99969980000000003</v>
      </c>
      <c r="N7579">
        <v>-7.3135589999999999E-3</v>
      </c>
      <c r="O7579">
        <v>2.3388300000000001E-2</v>
      </c>
      <c r="P7579">
        <v>0.99001609999999995</v>
      </c>
      <c r="Q7579">
        <v>-0.14049890000000001</v>
      </c>
      <c r="R7579">
        <v>1.13353E-2</v>
      </c>
      <c r="S7579">
        <v>2.9983520000000001</v>
      </c>
      <c r="T7579">
        <v>-0.216256</v>
      </c>
      <c r="U7579">
        <v>9.7290039999999994E-2</v>
      </c>
      <c r="V7579">
        <v>1.176231E-2</v>
      </c>
      <c r="W7579">
        <v>-0.13325999999999999</v>
      </c>
      <c r="X7579">
        <v>0.99101130000000004</v>
      </c>
      <c r="Y7579">
        <v>-9.0683450000000002E-3</v>
      </c>
      <c r="Z7579">
        <v>-1.1534029999999999E-3</v>
      </c>
      <c r="AA7579">
        <v>0.99995820000000002</v>
      </c>
      <c r="AB7579">
        <v>26</v>
      </c>
      <c r="AC7579">
        <v>15.3894999999999</v>
      </c>
      <c r="AD7579">
        <v>-1.11955778342099</v>
      </c>
      <c r="AE7579">
        <v>0.50069000000000496</v>
      </c>
      <c r="AF7579">
        <v>-0.13986974790644699</v>
      </c>
      <c r="AG7579">
        <v>-1.11955778342099</v>
      </c>
      <c r="AH7579">
        <v>15.3160294433247</v>
      </c>
      <c r="AI7579">
        <v>94.180547746232605</v>
      </c>
      <c r="AJ7579">
        <v>90.523224605649901</v>
      </c>
      <c r="AK7579">
        <v>15.357530110196301</v>
      </c>
      <c r="AL7579">
        <v>97.658016228963504</v>
      </c>
      <c r="AM7579">
        <v>89.319988503899395</v>
      </c>
      <c r="AN7579">
        <v>0.99999998813211299</v>
      </c>
    </row>
    <row r="7580" spans="1:40" x14ac:dyDescent="0.25">
      <c r="A7580" t="str">
        <f>"20190303154958870"</f>
        <v>20190303154958870</v>
      </c>
      <c r="B7580" t="str">
        <f>"1551599398858351"</f>
        <v>1551599398858351</v>
      </c>
      <c r="C7580" t="s">
        <v>40</v>
      </c>
      <c r="D7580">
        <v>5.6331939999999996</v>
      </c>
      <c r="E7580">
        <v>0.49124329999999999</v>
      </c>
      <c r="F7580" t="s">
        <v>75</v>
      </c>
      <c r="G7580">
        <v>-247.42500000000001</v>
      </c>
      <c r="H7580" s="1">
        <v>-2.7482900000000002E-6</v>
      </c>
      <c r="I7580">
        <v>-62.547879999999999</v>
      </c>
      <c r="J7580">
        <v>-262.76819999999998</v>
      </c>
      <c r="K7580">
        <v>1.1195489999999999</v>
      </c>
      <c r="L7580">
        <v>-63.044280000000001</v>
      </c>
      <c r="M7580">
        <v>0.9997028</v>
      </c>
      <c r="N7580">
        <v>-7.3181209999999899E-3</v>
      </c>
      <c r="O7580">
        <v>2.3259760000000001E-2</v>
      </c>
      <c r="P7580">
        <v>0.98996850000000003</v>
      </c>
      <c r="Q7580">
        <v>-0.14086850000000001</v>
      </c>
      <c r="R7580">
        <v>1.0901879999999999E-2</v>
      </c>
      <c r="S7580">
        <v>2.9983219999999999</v>
      </c>
      <c r="T7580">
        <v>-0.21695539999999999</v>
      </c>
      <c r="U7580">
        <v>9.6740720000000002E-2</v>
      </c>
      <c r="V7580">
        <v>1.2064139999999999E-2</v>
      </c>
      <c r="W7580">
        <v>-0.13362589999999999</v>
      </c>
      <c r="X7580">
        <v>0.99095840000000002</v>
      </c>
      <c r="Y7580">
        <v>-9.0143129999999995E-3</v>
      </c>
      <c r="Z7580">
        <v>-1.151481E-3</v>
      </c>
      <c r="AA7580">
        <v>0.99995869999999998</v>
      </c>
      <c r="AB7580">
        <v>26</v>
      </c>
      <c r="AC7580">
        <v>15.3431999999999</v>
      </c>
      <c r="AD7580">
        <v>-1.1195517482899999</v>
      </c>
      <c r="AE7580">
        <v>0.49640000000000101</v>
      </c>
      <c r="AF7580">
        <v>-0.138639657413821</v>
      </c>
      <c r="AG7580">
        <v>-1.1195517482899999</v>
      </c>
      <c r="AH7580">
        <v>15.2693825769366</v>
      </c>
      <c r="AI7580">
        <v>94.193253012481804</v>
      </c>
      <c r="AJ7580">
        <v>90.520207606971098</v>
      </c>
      <c r="AK7580">
        <v>15.310998052137601</v>
      </c>
      <c r="AL7580">
        <v>97.679169947670303</v>
      </c>
      <c r="AM7580">
        <v>89.302503354972202</v>
      </c>
      <c r="AN7580">
        <v>0.99999998757765396</v>
      </c>
    </row>
    <row r="7581" spans="1:40" x14ac:dyDescent="0.25">
      <c r="A7581" t="str">
        <f>"20190303154958879"</f>
        <v>20190303154958879</v>
      </c>
      <c r="B7581" t="str">
        <f>"1551599398868111"</f>
        <v>1551599398868111</v>
      </c>
      <c r="C7581" t="s">
        <v>40</v>
      </c>
      <c r="D7581">
        <v>5.5875760000000003</v>
      </c>
      <c r="E7581">
        <v>0.49103790000000003</v>
      </c>
      <c r="F7581" t="s">
        <v>75</v>
      </c>
      <c r="G7581">
        <v>-247.38200000000001</v>
      </c>
      <c r="H7581" s="1">
        <v>-2.7298429999999998E-6</v>
      </c>
      <c r="I7581">
        <v>-62.547930000000001</v>
      </c>
      <c r="J7581">
        <v>-262.63709999999998</v>
      </c>
      <c r="K7581">
        <v>1.1195389999999901</v>
      </c>
      <c r="L7581">
        <v>-63.041379999999997</v>
      </c>
      <c r="M7581">
        <v>0.99970590000000004</v>
      </c>
      <c r="N7581">
        <v>-7.3227730000000003E-3</v>
      </c>
      <c r="O7581">
        <v>2.3127040000000001E-2</v>
      </c>
      <c r="P7581">
        <v>0.98995109999999997</v>
      </c>
      <c r="Q7581">
        <v>-0.1410431</v>
      </c>
      <c r="R7581">
        <v>1.019251E-2</v>
      </c>
      <c r="S7581">
        <v>2.998291</v>
      </c>
      <c r="T7581">
        <v>-0.21816440000000001</v>
      </c>
      <c r="U7581">
        <v>9.6710210000000005E-2</v>
      </c>
      <c r="V7581">
        <v>1.263891E-2</v>
      </c>
      <c r="W7581">
        <v>-0.13379669999999999</v>
      </c>
      <c r="X7581">
        <v>0.99092820000000004</v>
      </c>
      <c r="Y7581">
        <v>-9.1369069999999997E-3</v>
      </c>
      <c r="Z7581">
        <v>-1.1453259999999999E-3</v>
      </c>
      <c r="AA7581">
        <v>0.9999576</v>
      </c>
      <c r="AB7581">
        <v>27</v>
      </c>
      <c r="AC7581">
        <v>15.255099999999899</v>
      </c>
      <c r="AD7581">
        <v>-1.1195417298429999</v>
      </c>
      <c r="AE7581">
        <v>0.493449999999995</v>
      </c>
      <c r="AF7581">
        <v>-0.13975142273279501</v>
      </c>
      <c r="AG7581">
        <v>-1.1195417298429999</v>
      </c>
      <c r="AH7581">
        <v>15.180756800450901</v>
      </c>
      <c r="AI7581">
        <v>94.217602827114703</v>
      </c>
      <c r="AJ7581">
        <v>90.527440141829601</v>
      </c>
      <c r="AK7581">
        <v>15.2226239912655</v>
      </c>
      <c r="AL7581">
        <v>97.689044656668798</v>
      </c>
      <c r="AM7581">
        <v>89.269253881524705</v>
      </c>
      <c r="AN7581">
        <v>0.99999999826605901</v>
      </c>
    </row>
    <row r="7582" spans="1:40" x14ac:dyDescent="0.25">
      <c r="A7582" t="str">
        <f>"20190303154958892"</f>
        <v>20190303154958892</v>
      </c>
      <c r="B7582" t="str">
        <f>"1551599398888606"</f>
        <v>1551599398888606</v>
      </c>
      <c r="C7582" t="s">
        <v>40</v>
      </c>
      <c r="D7582">
        <v>5.5798449999999997</v>
      </c>
      <c r="E7582">
        <v>0.49063230000000002</v>
      </c>
      <c r="F7582" t="s">
        <v>75</v>
      </c>
      <c r="G7582">
        <v>-247.25200000000001</v>
      </c>
      <c r="H7582" s="1">
        <v>-2.6739879999999998E-6</v>
      </c>
      <c r="I7582">
        <v>-62.54759</v>
      </c>
      <c r="J7582">
        <v>-262.50069999999999</v>
      </c>
      <c r="K7582">
        <v>1.1195349999999999</v>
      </c>
      <c r="L7582">
        <v>-63.038359999999997</v>
      </c>
      <c r="M7582">
        <v>0.99970899999999996</v>
      </c>
      <c r="N7582">
        <v>-7.327816E-3</v>
      </c>
      <c r="O7582">
        <v>2.2982289999999999E-2</v>
      </c>
      <c r="P7582">
        <v>0.98996200000000001</v>
      </c>
      <c r="Q7582">
        <v>-0.14101279999999999</v>
      </c>
      <c r="R7582">
        <v>9.5357389999999997E-3</v>
      </c>
      <c r="S7582">
        <v>2.998383</v>
      </c>
      <c r="T7582">
        <v>-0.2181864</v>
      </c>
      <c r="U7582">
        <v>9.6221920000000002E-2</v>
      </c>
      <c r="V7582">
        <v>1.314999E-2</v>
      </c>
      <c r="W7582">
        <v>-0.13376179999999999</v>
      </c>
      <c r="X7582">
        <v>0.99092630000000004</v>
      </c>
      <c r="Y7582">
        <v>-9.1177680000000001E-3</v>
      </c>
      <c r="Z7582">
        <v>-1.1365979999999999E-3</v>
      </c>
      <c r="AA7582">
        <v>0.99995780000000001</v>
      </c>
      <c r="AB7582">
        <v>27</v>
      </c>
      <c r="AC7582">
        <v>15.2486999999999</v>
      </c>
      <c r="AD7582">
        <v>-1.1195376739880001</v>
      </c>
      <c r="AE7582">
        <v>0.49076999999999699</v>
      </c>
      <c r="AF7582">
        <v>-0.13943011592815899</v>
      </c>
      <c r="AG7582">
        <v>-1.1195376739880001</v>
      </c>
      <c r="AH7582">
        <v>15.1742426345635</v>
      </c>
      <c r="AI7582">
        <v>94.219392303545305</v>
      </c>
      <c r="AJ7582">
        <v>90.526453448254998</v>
      </c>
      <c r="AK7582">
        <v>15.2161245030826</v>
      </c>
      <c r="AL7582">
        <v>97.687026599372004</v>
      </c>
      <c r="AM7582">
        <v>89.239706621417895</v>
      </c>
      <c r="AN7582">
        <v>1.0000000367039601</v>
      </c>
    </row>
    <row r="7583" spans="1:40" x14ac:dyDescent="0.25">
      <c r="A7583" t="str">
        <f>"20190303154958903"</f>
        <v>20190303154958903</v>
      </c>
      <c r="B7583" t="str">
        <f>"1551599398898366"</f>
        <v>1551599398898366</v>
      </c>
      <c r="C7583" t="s">
        <v>40</v>
      </c>
      <c r="D7583">
        <v>5.5970440000000004</v>
      </c>
      <c r="E7583">
        <v>0.49048789999999998</v>
      </c>
      <c r="F7583" t="s">
        <v>75</v>
      </c>
      <c r="G7583">
        <v>-247.07</v>
      </c>
      <c r="H7583" s="1">
        <v>-2.5930290000000002E-6</v>
      </c>
      <c r="I7583">
        <v>-62.53669</v>
      </c>
      <c r="J7583">
        <v>-262.36329999999998</v>
      </c>
      <c r="K7583">
        <v>1.1195310000000001</v>
      </c>
      <c r="L7583">
        <v>-63.035339999999998</v>
      </c>
      <c r="M7583">
        <v>0.9997123</v>
      </c>
      <c r="N7583">
        <v>-7.3329780000000004E-3</v>
      </c>
      <c r="O7583">
        <v>2.2835049999999999E-2</v>
      </c>
      <c r="P7583">
        <v>0.98997000000000002</v>
      </c>
      <c r="Q7583">
        <v>-0.14099900000000001</v>
      </c>
      <c r="R7583">
        <v>8.8959369999999996E-3</v>
      </c>
      <c r="S7583">
        <v>2.9985050000000002</v>
      </c>
      <c r="T7583">
        <v>-0.21754970000000001</v>
      </c>
      <c r="U7583">
        <v>9.747314E-2</v>
      </c>
      <c r="V7583">
        <v>1.364193E-2</v>
      </c>
      <c r="W7583">
        <v>-0.13374339999999901</v>
      </c>
      <c r="X7583">
        <v>0.99092210000000003</v>
      </c>
      <c r="Y7583">
        <v>-9.6784539999999995E-3</v>
      </c>
      <c r="Z7583">
        <v>-1.1005450000000001E-3</v>
      </c>
      <c r="AA7583">
        <v>0.99995259999999997</v>
      </c>
      <c r="AB7583">
        <v>27</v>
      </c>
      <c r="AC7583">
        <v>15.293299999999901</v>
      </c>
      <c r="AD7583">
        <v>-1.119533593029</v>
      </c>
      <c r="AE7583">
        <v>0.49865000000000398</v>
      </c>
      <c r="AF7583">
        <v>-0.14849238613714499</v>
      </c>
      <c r="AG7583">
        <v>-1.119533593029</v>
      </c>
      <c r="AH7583">
        <v>15.2192280134302</v>
      </c>
      <c r="AI7583">
        <v>94.206927516856595</v>
      </c>
      <c r="AJ7583">
        <v>90.559011077644797</v>
      </c>
      <c r="AK7583">
        <v>15.261071613076201</v>
      </c>
      <c r="AL7583">
        <v>97.685963053113596</v>
      </c>
      <c r="AM7583">
        <v>89.211264296987906</v>
      </c>
      <c r="AN7583">
        <v>1.0000000037830401</v>
      </c>
    </row>
    <row r="7584" spans="1:40" x14ac:dyDescent="0.25">
      <c r="A7584" t="str">
        <f>"20190303154958913"</f>
        <v>20190303154958913</v>
      </c>
      <c r="B7584" t="str">
        <f>"1551599398908126"</f>
        <v>1551599398908126</v>
      </c>
      <c r="C7584" t="s">
        <v>40</v>
      </c>
      <c r="D7584">
        <v>5.61266</v>
      </c>
      <c r="E7584">
        <v>0.4906006</v>
      </c>
      <c r="F7584" t="s">
        <v>75</v>
      </c>
      <c r="G7584">
        <v>-246.8914</v>
      </c>
      <c r="H7584" s="1">
        <v>-2.5163680000000001E-6</v>
      </c>
      <c r="I7584">
        <v>-62.5366</v>
      </c>
      <c r="J7584">
        <v>-262.22919999999999</v>
      </c>
      <c r="K7584">
        <v>1.1195269999999999</v>
      </c>
      <c r="L7584">
        <v>-63.032440000000001</v>
      </c>
      <c r="M7584">
        <v>0.99971569999999998</v>
      </c>
      <c r="N7584">
        <v>-7.3382759999999899E-3</v>
      </c>
      <c r="O7584">
        <v>2.2687519999999999E-2</v>
      </c>
      <c r="P7584">
        <v>0.99004650000000005</v>
      </c>
      <c r="Q7584">
        <v>-0.1404965</v>
      </c>
      <c r="R7584">
        <v>8.2983980000000002E-3</v>
      </c>
      <c r="S7584">
        <v>2.9986570000000001</v>
      </c>
      <c r="T7584">
        <v>-0.21697939999999999</v>
      </c>
      <c r="U7584">
        <v>9.6649170000000006E-2</v>
      </c>
      <c r="V7584">
        <v>1.409378E-2</v>
      </c>
      <c r="W7584">
        <v>-0.13323560000000001</v>
      </c>
      <c r="X7584">
        <v>0.99098419999999998</v>
      </c>
      <c r="Y7584">
        <v>-9.5497870000000006E-3</v>
      </c>
      <c r="Z7584">
        <v>-1.0924789999999999E-3</v>
      </c>
      <c r="AA7584">
        <v>0.9999538</v>
      </c>
      <c r="AB7584">
        <v>27</v>
      </c>
      <c r="AC7584">
        <v>15.3377999999999</v>
      </c>
      <c r="AD7584">
        <v>-1.1195295163679999</v>
      </c>
      <c r="AE7584">
        <v>0.495840000000001</v>
      </c>
      <c r="AF7584">
        <v>-0.146944294854958</v>
      </c>
      <c r="AG7584">
        <v>-1.1195295163679999</v>
      </c>
      <c r="AH7584">
        <v>15.2638642374556</v>
      </c>
      <c r="AI7584">
        <v>94.194659189304303</v>
      </c>
      <c r="AJ7584">
        <v>90.551565953945797</v>
      </c>
      <c r="AK7584">
        <v>15.305570568367701</v>
      </c>
      <c r="AL7584">
        <v>97.656605370920602</v>
      </c>
      <c r="AM7584">
        <v>89.185194199920005</v>
      </c>
      <c r="AN7584">
        <v>1.0000000221958401</v>
      </c>
    </row>
    <row r="7585" spans="1:40" x14ac:dyDescent="0.25">
      <c r="A7585" t="str">
        <f>"20190303154958926"</f>
        <v>20190303154958926</v>
      </c>
      <c r="B7585" t="str">
        <f>"1551599398917888"</f>
        <v>1551599398917888</v>
      </c>
      <c r="C7585" t="s">
        <v>40</v>
      </c>
      <c r="D7585">
        <v>5.5459870000000002</v>
      </c>
      <c r="E7585">
        <v>0.4906006</v>
      </c>
      <c r="F7585" t="s">
        <v>75</v>
      </c>
      <c r="G7585">
        <v>-246.57149999999999</v>
      </c>
      <c r="H7585" s="1">
        <v>-2.3806999999999999E-6</v>
      </c>
      <c r="I7585">
        <v>-62.542430000000003</v>
      </c>
      <c r="J7585">
        <v>-262.09399999999999</v>
      </c>
      <c r="K7585">
        <v>1.119526</v>
      </c>
      <c r="L7585">
        <v>-63.029510000000002</v>
      </c>
      <c r="M7585">
        <v>0.99971909999999997</v>
      </c>
      <c r="N7585">
        <v>-7.3438030000000003E-3</v>
      </c>
      <c r="O7585">
        <v>2.2537439999999999E-2</v>
      </c>
      <c r="P7585">
        <v>0.99009349999999996</v>
      </c>
      <c r="Q7585">
        <v>-0.140207</v>
      </c>
      <c r="R7585">
        <v>7.5682500000000003E-3</v>
      </c>
      <c r="S7585">
        <v>2.9989620000000001</v>
      </c>
      <c r="T7585">
        <v>-0.21442649999999999</v>
      </c>
      <c r="U7585">
        <v>9.3841549999999996E-2</v>
      </c>
      <c r="V7585">
        <v>1.4675199999999999E-2</v>
      </c>
      <c r="W7585">
        <v>-0.1329409</v>
      </c>
      <c r="X7585">
        <v>0.99101530000000004</v>
      </c>
      <c r="Y7585">
        <v>-8.7626800000000001E-3</v>
      </c>
      <c r="Z7585">
        <v>-1.0984129999999999E-3</v>
      </c>
      <c r="AA7585">
        <v>0.99996099999999999</v>
      </c>
      <c r="AB7585">
        <v>27</v>
      </c>
      <c r="AC7585">
        <v>15.522500000000001</v>
      </c>
      <c r="AD7585">
        <v>-1.1195283806999901</v>
      </c>
      <c r="AE7585">
        <v>0.48707999999999102</v>
      </c>
      <c r="AF7585">
        <v>-0.136400634262652</v>
      </c>
      <c r="AG7585">
        <v>-1.1195283806999901</v>
      </c>
      <c r="AH7585">
        <v>15.449251287018001</v>
      </c>
      <c r="AI7585">
        <v>94.144527032821799</v>
      </c>
      <c r="AJ7585">
        <v>90.505848307156597</v>
      </c>
      <c r="AK7585">
        <v>15.4903619795551</v>
      </c>
      <c r="AL7585">
        <v>97.639569039341296</v>
      </c>
      <c r="AM7585">
        <v>89.151611916013096</v>
      </c>
      <c r="AN7585">
        <v>0.99999998461096995</v>
      </c>
    </row>
    <row r="7586" spans="1:40" x14ac:dyDescent="0.25">
      <c r="A7586" t="str">
        <f>"20190303154958937"</f>
        <v>20190303154958937</v>
      </c>
      <c r="B7586" t="str">
        <f>"1551599398928622"</f>
        <v>1551599398928622</v>
      </c>
      <c r="C7586" t="s">
        <v>40</v>
      </c>
      <c r="D7586">
        <v>5.6292039999999997</v>
      </c>
      <c r="E7586">
        <v>0.50912270000000004</v>
      </c>
      <c r="F7586" t="s">
        <v>75</v>
      </c>
      <c r="G7586">
        <v>-246.36680000000001</v>
      </c>
      <c r="H7586" s="1">
        <v>-2.2948789999999999E-6</v>
      </c>
      <c r="I7586">
        <v>-62.549979999999998</v>
      </c>
      <c r="J7586">
        <v>-261.94709999999998</v>
      </c>
      <c r="K7586">
        <v>1.1195250000000001</v>
      </c>
      <c r="L7586">
        <v>-63.026400000000002</v>
      </c>
      <c r="M7586">
        <v>0.99972269999999996</v>
      </c>
      <c r="N7586">
        <v>-7.3500569999999897E-3</v>
      </c>
      <c r="O7586">
        <v>2.2373239999999999E-2</v>
      </c>
      <c r="P7586">
        <v>0.99016400000000004</v>
      </c>
      <c r="Q7586">
        <v>-0.13972709999999999</v>
      </c>
      <c r="R7586">
        <v>7.1900380000000002E-3</v>
      </c>
      <c r="S7586">
        <v>2.9990540000000001</v>
      </c>
      <c r="T7586">
        <v>-0.21348549999999999</v>
      </c>
      <c r="U7586">
        <v>9.1430659999999997E-2</v>
      </c>
      <c r="V7586">
        <v>1.489132E-2</v>
      </c>
      <c r="W7586">
        <v>-0.13245460000000001</v>
      </c>
      <c r="X7586">
        <v>0.99107719999999999</v>
      </c>
      <c r="Y7586">
        <v>-8.12406699999999E-3</v>
      </c>
      <c r="Z7586">
        <v>-1.107135E-3</v>
      </c>
      <c r="AA7586">
        <v>0.99996640000000003</v>
      </c>
      <c r="AB7586">
        <v>27</v>
      </c>
      <c r="AC7586">
        <v>15.5802999999999</v>
      </c>
      <c r="AD7586">
        <v>-1.119527294879</v>
      </c>
      <c r="AE7586">
        <v>0.47641999999999701</v>
      </c>
      <c r="AF7586">
        <v>-0.12705415193098399</v>
      </c>
      <c r="AG7586">
        <v>-1.119527294879</v>
      </c>
      <c r="AH7586">
        <v>15.5070681188779</v>
      </c>
      <c r="AI7586">
        <v>94.129146319659</v>
      </c>
      <c r="AJ7586">
        <v>90.469431341289507</v>
      </c>
      <c r="AK7586">
        <v>15.547946673597201</v>
      </c>
      <c r="AL7586">
        <v>97.611457422956704</v>
      </c>
      <c r="AM7586">
        <v>89.139173428124593</v>
      </c>
      <c r="AN7586">
        <v>0.99999999441617105</v>
      </c>
    </row>
    <row r="7587" spans="1:40" x14ac:dyDescent="0.25">
      <c r="A7587" t="str">
        <f>"20190303154958950"</f>
        <v>20190303154958950</v>
      </c>
      <c r="B7587" t="str">
        <f>"1551599398938382"</f>
        <v>1551599398938382</v>
      </c>
      <c r="C7587" t="s">
        <v>40</v>
      </c>
      <c r="D7587">
        <v>5.6485750000000001</v>
      </c>
      <c r="E7587">
        <v>0.50842749999999903</v>
      </c>
      <c r="F7587" t="s">
        <v>77</v>
      </c>
      <c r="G7587">
        <v>-239.33600000000001</v>
      </c>
      <c r="H7587" s="1">
        <v>-3.5993169999999998E-6</v>
      </c>
      <c r="I7587">
        <v>-63.473950000000002</v>
      </c>
      <c r="J7587">
        <v>-261.80290000000002</v>
      </c>
      <c r="K7587">
        <v>1.1195250000000001</v>
      </c>
      <c r="L7587">
        <v>-63.023319999999998</v>
      </c>
      <c r="M7587">
        <v>0.99972620000000001</v>
      </c>
      <c r="N7587">
        <v>-7.3564980000000004E-3</v>
      </c>
      <c r="O7587">
        <v>2.2210480000000001E-2</v>
      </c>
      <c r="P7587">
        <v>0.99022310000000002</v>
      </c>
      <c r="Q7587">
        <v>-0.1393568</v>
      </c>
      <c r="R7587">
        <v>6.1757829999999998E-3</v>
      </c>
      <c r="S7587">
        <v>3.0092159999999999</v>
      </c>
      <c r="T7587">
        <v>-0.14899299999999999</v>
      </c>
      <c r="U7587">
        <v>-5.9570310000000001E-2</v>
      </c>
      <c r="V7587">
        <v>1.5745269999999999E-2</v>
      </c>
      <c r="W7587">
        <v>-0.1320781</v>
      </c>
      <c r="X7587">
        <v>0.9911143</v>
      </c>
      <c r="Y7587">
        <v>4.1915250000000001E-2</v>
      </c>
      <c r="Z7587">
        <v>-2.126831E-3</v>
      </c>
      <c r="AA7587">
        <v>0.99911890000000003</v>
      </c>
      <c r="AB7587">
        <v>27</v>
      </c>
      <c r="AC7587">
        <v>22.466899999999999</v>
      </c>
      <c r="AD7587">
        <v>-1.1195285993170001</v>
      </c>
      <c r="AE7587">
        <v>-0.45063000000000297</v>
      </c>
      <c r="AF7587">
        <v>0.94718204553543295</v>
      </c>
      <c r="AG7587">
        <v>-1.1195285993170001</v>
      </c>
      <c r="AH7587">
        <v>22.3957612593512</v>
      </c>
      <c r="AI7587">
        <v>92.859191371836403</v>
      </c>
      <c r="AJ7587">
        <v>87.578237660408504</v>
      </c>
      <c r="AK7587">
        <v>22.443721182057399</v>
      </c>
      <c r="AL7587">
        <v>97.589693955734603</v>
      </c>
      <c r="AM7587">
        <v>89.089851053157304</v>
      </c>
      <c r="AN7587">
        <v>1.00000004684573</v>
      </c>
    </row>
    <row r="7588" spans="1:40" x14ac:dyDescent="0.25">
      <c r="A7588" t="str">
        <f>"20190303154958962"</f>
        <v>20190303154958962</v>
      </c>
      <c r="B7588" t="str">
        <f>"1551599398958878"</f>
        <v>1551599398958878</v>
      </c>
      <c r="C7588" t="s">
        <v>40</v>
      </c>
      <c r="D7588">
        <v>5.5829839999999997</v>
      </c>
      <c r="E7588">
        <v>0.50828989999999996</v>
      </c>
      <c r="F7588" t="s">
        <v>75</v>
      </c>
      <c r="G7588">
        <v>-240.97069999999999</v>
      </c>
      <c r="H7588" s="1">
        <v>-2.105529E-7</v>
      </c>
      <c r="I7588">
        <v>-63.416469999999997</v>
      </c>
      <c r="J7588">
        <v>-261.65620000000001</v>
      </c>
      <c r="K7588">
        <v>1.119524</v>
      </c>
      <c r="L7588">
        <v>-63.020229999999998</v>
      </c>
      <c r="M7588">
        <v>0.99973000000000001</v>
      </c>
      <c r="N7588">
        <v>-7.3632080000000004E-3</v>
      </c>
      <c r="O7588">
        <v>2.2044379999999999E-2</v>
      </c>
      <c r="P7588">
        <v>0.99027220000000005</v>
      </c>
      <c r="Q7588">
        <v>-0.13902719999999999</v>
      </c>
      <c r="R7588">
        <v>5.7213419999999999E-3</v>
      </c>
      <c r="S7588">
        <v>3.0072329999999998</v>
      </c>
      <c r="T7588">
        <v>-0.16160910000000001</v>
      </c>
      <c r="U7588">
        <v>-5.6762699999999902E-2</v>
      </c>
      <c r="V7588">
        <v>1.603599E-2</v>
      </c>
      <c r="W7588">
        <v>-0.13174179999999999</v>
      </c>
      <c r="X7588">
        <v>0.99115439999999999</v>
      </c>
      <c r="Y7588">
        <v>4.0817859999999997E-2</v>
      </c>
      <c r="Z7588">
        <v>-2.2677959999999999E-3</v>
      </c>
      <c r="AA7588">
        <v>0.99916400000000005</v>
      </c>
      <c r="AB7588">
        <v>27</v>
      </c>
      <c r="AC7588">
        <v>20.685500000000001</v>
      </c>
      <c r="AD7588">
        <v>-1.11952421055289</v>
      </c>
      <c r="AE7588">
        <v>-0.39623999999999099</v>
      </c>
      <c r="AF7588">
        <v>0.84966718294208898</v>
      </c>
      <c r="AG7588">
        <v>-1.11952421055289</v>
      </c>
      <c r="AH7588">
        <v>20.611387137459602</v>
      </c>
      <c r="AI7588">
        <v>93.1063786087484</v>
      </c>
      <c r="AJ7588">
        <v>87.639421588075294</v>
      </c>
      <c r="AK7588">
        <v>20.6592484981912</v>
      </c>
      <c r="AL7588">
        <v>97.570255505109898</v>
      </c>
      <c r="AM7588">
        <v>89.073086502997</v>
      </c>
      <c r="AN7588">
        <v>1.00000004974093</v>
      </c>
    </row>
    <row r="7589" spans="1:40" x14ac:dyDescent="0.25">
      <c r="A7589" t="str">
        <f>"20190303154958972"</f>
        <v>20190303154958972</v>
      </c>
      <c r="B7589" t="str">
        <f>"1551599398968639"</f>
        <v>1551599398968639</v>
      </c>
      <c r="C7589" t="s">
        <v>40</v>
      </c>
      <c r="D7589">
        <v>5.602411</v>
      </c>
      <c r="E7589">
        <v>0.50819919999999996</v>
      </c>
      <c r="F7589" t="s">
        <v>75</v>
      </c>
      <c r="G7589">
        <v>-241.41409999999999</v>
      </c>
      <c r="H7589" s="1">
        <v>-3.9733529999999998E-7</v>
      </c>
      <c r="I7589">
        <v>-63.403579999999998</v>
      </c>
      <c r="J7589">
        <v>-261.52730000000003</v>
      </c>
      <c r="K7589">
        <v>1.119529</v>
      </c>
      <c r="L7589">
        <v>-63.01755</v>
      </c>
      <c r="M7589">
        <v>0.99973319999999999</v>
      </c>
      <c r="N7589">
        <v>-7.3695369999999998E-3</v>
      </c>
      <c r="O7589">
        <v>2.1898319999999999E-2</v>
      </c>
      <c r="P7589">
        <v>0.99034949999999999</v>
      </c>
      <c r="Q7589">
        <v>-0.13849649999999999</v>
      </c>
      <c r="R7589">
        <v>5.2092010000000001E-3</v>
      </c>
      <c r="S7589">
        <v>3.0064700000000002</v>
      </c>
      <c r="T7589">
        <v>-0.16627839999999999</v>
      </c>
      <c r="U7589">
        <v>-5.6945799999999998E-2</v>
      </c>
      <c r="V7589">
        <v>1.6405010000000001E-2</v>
      </c>
      <c r="W7589">
        <v>-0.1312046</v>
      </c>
      <c r="X7589">
        <v>0.99121959999999998</v>
      </c>
      <c r="Y7589">
        <v>4.0732450000000003E-2</v>
      </c>
      <c r="Z7589">
        <v>-2.324488E-3</v>
      </c>
      <c r="AA7589">
        <v>0.99916740000000004</v>
      </c>
      <c r="AB7589">
        <v>27</v>
      </c>
      <c r="AC7589">
        <v>20.113199999999999</v>
      </c>
      <c r="AD7589">
        <v>-1.1195293973353</v>
      </c>
      <c r="AE7589">
        <v>-0.38603000000000498</v>
      </c>
      <c r="AF7589">
        <v>0.82384312060135401</v>
      </c>
      <c r="AG7589">
        <v>-1.1195293973353</v>
      </c>
      <c r="AH7589">
        <v>20.037864679363999</v>
      </c>
      <c r="AI7589">
        <v>93.195136557684194</v>
      </c>
      <c r="AJ7589">
        <v>87.645649148465196</v>
      </c>
      <c r="AK7589">
        <v>20.0860171379835</v>
      </c>
      <c r="AL7589">
        <v>97.539206825137995</v>
      </c>
      <c r="AM7589">
        <v>89.051822593644104</v>
      </c>
      <c r="AN7589">
        <v>1.0000000334192001</v>
      </c>
    </row>
    <row r="7590" spans="1:40" x14ac:dyDescent="0.25">
      <c r="A7590" t="str">
        <f>"20190303154958983"</f>
        <v>20190303154958983</v>
      </c>
      <c r="B7590" t="str">
        <f>"1551599398978399"</f>
        <v>1551599398978399</v>
      </c>
      <c r="C7590" t="s">
        <v>40</v>
      </c>
      <c r="D7590">
        <v>5.5824299999999996</v>
      </c>
      <c r="E7590">
        <v>0.50827219999999995</v>
      </c>
      <c r="F7590" t="s">
        <v>75</v>
      </c>
      <c r="G7590">
        <v>-241.15020000000001</v>
      </c>
      <c r="H7590" s="1">
        <v>-2.854575E-7</v>
      </c>
      <c r="I7590">
        <v>-63.4086199999999</v>
      </c>
      <c r="J7590">
        <v>-261.41329999999999</v>
      </c>
      <c r="K7590">
        <v>1.119532</v>
      </c>
      <c r="L7590">
        <v>-63.015169999999998</v>
      </c>
      <c r="M7590">
        <v>0.99973579999999995</v>
      </c>
      <c r="N7590">
        <v>-7.3751939999999998E-3</v>
      </c>
      <c r="O7590">
        <v>2.176925E-2</v>
      </c>
      <c r="P7590">
        <v>0.9904444</v>
      </c>
      <c r="Q7590">
        <v>-0.13782449999999999</v>
      </c>
      <c r="R7590">
        <v>4.9316689999999996E-3</v>
      </c>
      <c r="S7590">
        <v>3.0064389999999999</v>
      </c>
      <c r="T7590">
        <v>-0.16517519999999999</v>
      </c>
      <c r="U7590">
        <v>-5.7708740000000001E-2</v>
      </c>
      <c r="V7590">
        <v>1.6557200000000001E-2</v>
      </c>
      <c r="W7590">
        <v>-0.13052639999999999</v>
      </c>
      <c r="X7590">
        <v>0.99130660000000004</v>
      </c>
      <c r="Y7590">
        <v>4.0858310000000002E-2</v>
      </c>
      <c r="Z7590">
        <v>-2.3068099999999999E-3</v>
      </c>
      <c r="AA7590">
        <v>0.99916229999999995</v>
      </c>
      <c r="AB7590">
        <v>27</v>
      </c>
      <c r="AC7590">
        <v>20.263099999999898</v>
      </c>
      <c r="AD7590">
        <v>-1.1195322854575001</v>
      </c>
      <c r="AE7590">
        <v>-0.39344999999999403</v>
      </c>
      <c r="AF7590">
        <v>0.83194266909007197</v>
      </c>
      <c r="AG7590">
        <v>-1.1195322854575001</v>
      </c>
      <c r="AH7590">
        <v>20.188130615102502</v>
      </c>
      <c r="AI7590">
        <v>93.171398771347995</v>
      </c>
      <c r="AJ7590">
        <v>87.640205071060706</v>
      </c>
      <c r="AK7590">
        <v>20.236257037191301</v>
      </c>
      <c r="AL7590">
        <v>97.500011792011605</v>
      </c>
      <c r="AM7590">
        <v>89.043111909494201</v>
      </c>
      <c r="AN7590">
        <v>1.0000000285861701</v>
      </c>
    </row>
    <row r="7591" spans="1:40" x14ac:dyDescent="0.25">
      <c r="A7591" t="str">
        <f>"20190303154958992"</f>
        <v>20190303154958992</v>
      </c>
      <c r="B7591" t="str">
        <f>"1551599398988159"</f>
        <v>1551599398988159</v>
      </c>
      <c r="C7591" t="s">
        <v>40</v>
      </c>
      <c r="D7591">
        <v>5.5824089999999904</v>
      </c>
      <c r="E7591">
        <v>0.5083413</v>
      </c>
      <c r="F7591" t="s">
        <v>75</v>
      </c>
      <c r="G7591">
        <v>-240.84039999999999</v>
      </c>
      <c r="H7591" s="1">
        <v>-1.5542279999999999E-7</v>
      </c>
      <c r="I7591">
        <v>-63.419400000000003</v>
      </c>
      <c r="J7591">
        <v>-261.28809999999999</v>
      </c>
      <c r="K7591">
        <v>1.1195389999999901</v>
      </c>
      <c r="L7591">
        <v>-63.012599999999999</v>
      </c>
      <c r="M7591">
        <v>0.99973889999999999</v>
      </c>
      <c r="N7591">
        <v>-7.3817319999999898E-3</v>
      </c>
      <c r="O7591">
        <v>2.1627480000000001E-2</v>
      </c>
      <c r="P7591">
        <v>0.99054249999999999</v>
      </c>
      <c r="Q7591">
        <v>-0.1371213</v>
      </c>
      <c r="R7591">
        <v>4.8139740000000004E-3</v>
      </c>
      <c r="S7591">
        <v>3.0064700000000002</v>
      </c>
      <c r="T7591">
        <v>-0.16360549999999999</v>
      </c>
      <c r="U7591">
        <v>-5.9082030000000001E-2</v>
      </c>
      <c r="V7591">
        <v>1.653696E-2</v>
      </c>
      <c r="W7591">
        <v>-0.12981609999999999</v>
      </c>
      <c r="X7591">
        <v>0.99140019999999995</v>
      </c>
      <c r="Y7591">
        <v>4.117407E-2</v>
      </c>
      <c r="Z7591">
        <v>-2.2878740000000001E-3</v>
      </c>
      <c r="AA7591">
        <v>0.99914939999999997</v>
      </c>
      <c r="AB7591">
        <v>27</v>
      </c>
      <c r="AC7591">
        <v>20.447700000000001</v>
      </c>
      <c r="AD7591">
        <v>-1.11953915542279</v>
      </c>
      <c r="AE7591">
        <v>-0.40680000000000399</v>
      </c>
      <c r="AF7591">
        <v>0.84641279581573103</v>
      </c>
      <c r="AG7591">
        <v>-1.11953915542279</v>
      </c>
      <c r="AH7591">
        <v>20.3730703003042</v>
      </c>
      <c r="AI7591">
        <v>93.1426435740605</v>
      </c>
      <c r="AJ7591">
        <v>87.620976755637201</v>
      </c>
      <c r="AK7591">
        <v>20.4213558806115</v>
      </c>
      <c r="AL7591">
        <v>97.458965394120099</v>
      </c>
      <c r="AM7591">
        <v>89.044371634563404</v>
      </c>
      <c r="AN7591">
        <v>1.0000000237126401</v>
      </c>
    </row>
    <row r="7592" spans="1:40" x14ac:dyDescent="0.25">
      <c r="A7592" t="str">
        <f>"20190303154959004"</f>
        <v>20190303154959004</v>
      </c>
      <c r="B7592" t="str">
        <f>"1551599398997918"</f>
        <v>1551599398997918</v>
      </c>
      <c r="C7592" t="s">
        <v>40</v>
      </c>
      <c r="D7592">
        <v>5.5695560000000004</v>
      </c>
      <c r="E7592">
        <v>0.50829340000000001</v>
      </c>
      <c r="F7592" t="s">
        <v>75</v>
      </c>
      <c r="G7592">
        <v>-240.7449</v>
      </c>
      <c r="H7592" s="1">
        <v>-1.149891E-7</v>
      </c>
      <c r="I7592">
        <v>-63.421489999999999</v>
      </c>
      <c r="J7592">
        <v>-261.15320000000003</v>
      </c>
      <c r="K7592">
        <v>1.1195469999999901</v>
      </c>
      <c r="L7592">
        <v>-63.009799999999998</v>
      </c>
      <c r="M7592">
        <v>0.99974220000000003</v>
      </c>
      <c r="N7592">
        <v>-7.3888809999999999E-3</v>
      </c>
      <c r="O7592">
        <v>2.1475049999999999E-2</v>
      </c>
      <c r="P7592">
        <v>0.99066569999999998</v>
      </c>
      <c r="Q7592">
        <v>-0.13624520000000001</v>
      </c>
      <c r="R7592">
        <v>4.3912140000000001E-3</v>
      </c>
      <c r="S7592">
        <v>3.006256</v>
      </c>
      <c r="T7592">
        <v>-0.16383149999999999</v>
      </c>
      <c r="U7592">
        <v>-5.9844969999999997E-2</v>
      </c>
      <c r="V7592">
        <v>1.6811309999999999E-2</v>
      </c>
      <c r="W7592">
        <v>-0.12893209999999999</v>
      </c>
      <c r="X7592">
        <v>0.99151089999999997</v>
      </c>
      <c r="Y7592">
        <v>4.1276319999999998E-2</v>
      </c>
      <c r="Z7592">
        <v>-2.2871800000000002E-3</v>
      </c>
      <c r="AA7592">
        <v>0.99914519999999996</v>
      </c>
      <c r="AB7592">
        <v>27</v>
      </c>
      <c r="AC7592">
        <v>20.408300000000001</v>
      </c>
      <c r="AD7592">
        <v>-1.1195471149891001</v>
      </c>
      <c r="AE7592">
        <v>-0.41169000000000699</v>
      </c>
      <c r="AF7592">
        <v>0.84732736944244802</v>
      </c>
      <c r="AG7592">
        <v>-1.1195471149891001</v>
      </c>
      <c r="AH7592">
        <v>20.3335862104482</v>
      </c>
      <c r="AI7592">
        <v>93.148739683816402</v>
      </c>
      <c r="AJ7592">
        <v>87.613789838668296</v>
      </c>
      <c r="AK7592">
        <v>20.3820037678197</v>
      </c>
      <c r="AL7592">
        <v>97.407886934668795</v>
      </c>
      <c r="AM7592">
        <v>89.028629110366396</v>
      </c>
      <c r="AN7592">
        <v>0.999999985686568</v>
      </c>
    </row>
    <row r="7593" spans="1:40" x14ac:dyDescent="0.25">
      <c r="A7593" t="str">
        <f>"20190303154959013"</f>
        <v>20190303154959013</v>
      </c>
      <c r="B7593" t="str">
        <f>"1551599399008655"</f>
        <v>1551599399008655</v>
      </c>
      <c r="C7593" t="s">
        <v>40</v>
      </c>
      <c r="D7593">
        <v>5.5901050000000003</v>
      </c>
      <c r="E7593">
        <v>0.5082911</v>
      </c>
      <c r="F7593" t="s">
        <v>75</v>
      </c>
      <c r="G7593">
        <v>-240.25649999999999</v>
      </c>
      <c r="H7593" s="1">
        <v>9.1776199999999998E-8</v>
      </c>
      <c r="I7593">
        <v>-63.431849999999997</v>
      </c>
      <c r="J7593">
        <v>-261.02659999999997</v>
      </c>
      <c r="K7593">
        <v>1.1195520000000001</v>
      </c>
      <c r="L7593">
        <v>-63.007260000000002</v>
      </c>
      <c r="M7593">
        <v>0.9997452</v>
      </c>
      <c r="N7593">
        <v>-7.3958590000000003E-3</v>
      </c>
      <c r="O7593">
        <v>2.1332739999999999E-2</v>
      </c>
      <c r="P7593">
        <v>0.9907572</v>
      </c>
      <c r="Q7593">
        <v>-0.13558599999999901</v>
      </c>
      <c r="R7593">
        <v>4.098427E-3</v>
      </c>
      <c r="S7593">
        <v>3.0063780000000002</v>
      </c>
      <c r="T7593">
        <v>-0.1610675</v>
      </c>
      <c r="U7593">
        <v>-6.0729980000000003E-2</v>
      </c>
      <c r="V7593">
        <v>1.6965460000000002E-2</v>
      </c>
      <c r="W7593">
        <v>-0.1282655</v>
      </c>
      <c r="X7593">
        <v>0.99159470000000005</v>
      </c>
      <c r="Y7593">
        <v>4.1430300000000003E-2</v>
      </c>
      <c r="Z7593">
        <v>-2.2465649999999998E-3</v>
      </c>
      <c r="AA7593">
        <v>0.99913890000000005</v>
      </c>
      <c r="AB7593">
        <v>27</v>
      </c>
      <c r="AC7593">
        <v>20.7700999999999</v>
      </c>
      <c r="AD7593">
        <v>-1.1195519082237999</v>
      </c>
      <c r="AE7593">
        <v>-0.42459000000000202</v>
      </c>
      <c r="AF7593">
        <v>0.86507620411308705</v>
      </c>
      <c r="AG7593">
        <v>-1.1195519082237999</v>
      </c>
      <c r="AH7593">
        <v>20.696208811768201</v>
      </c>
      <c r="AI7593">
        <v>93.093674900672497</v>
      </c>
      <c r="AJ7593">
        <v>87.606499800380206</v>
      </c>
      <c r="AK7593">
        <v>20.7445128285637</v>
      </c>
      <c r="AL7593">
        <v>97.369373991661803</v>
      </c>
      <c r="AM7593">
        <v>89.019806757966094</v>
      </c>
      <c r="AN7593">
        <v>0.99999995719567503</v>
      </c>
    </row>
    <row r="7594" spans="1:40" x14ac:dyDescent="0.25">
      <c r="A7594" t="str">
        <f>"20190303154959025"</f>
        <v>20190303154959025</v>
      </c>
      <c r="B7594" t="str">
        <f>"1551599399018415"</f>
        <v>1551599399018415</v>
      </c>
      <c r="C7594" t="s">
        <v>40</v>
      </c>
      <c r="D7594">
        <v>5.5684639999999996</v>
      </c>
      <c r="E7594">
        <v>0.50824190000000002</v>
      </c>
      <c r="F7594" t="s">
        <v>75</v>
      </c>
      <c r="G7594">
        <v>-240.25970000000001</v>
      </c>
      <c r="H7594" s="1">
        <v>9.0118990000000005E-8</v>
      </c>
      <c r="I7594">
        <v>-63.432859999999998</v>
      </c>
      <c r="J7594">
        <v>-260.88659999999999</v>
      </c>
      <c r="K7594">
        <v>1.1195600000000001</v>
      </c>
      <c r="L7594">
        <v>-63.004390000000001</v>
      </c>
      <c r="M7594">
        <v>0.99974830000000003</v>
      </c>
      <c r="N7594">
        <v>-7.403705E-3</v>
      </c>
      <c r="O7594">
        <v>2.117577E-2</v>
      </c>
      <c r="P7594">
        <v>0.9909114</v>
      </c>
      <c r="Q7594">
        <v>-0.13446429999999901</v>
      </c>
      <c r="R7594">
        <v>3.787604E-3</v>
      </c>
      <c r="S7594">
        <v>3.0060730000000002</v>
      </c>
      <c r="T7594">
        <v>-0.1620588</v>
      </c>
      <c r="U7594">
        <v>-6.1614990000000001E-2</v>
      </c>
      <c r="V7594">
        <v>1.712456E-2</v>
      </c>
      <c r="W7594">
        <v>-0.1271351</v>
      </c>
      <c r="X7594">
        <v>0.9917376</v>
      </c>
      <c r="Y7594">
        <v>4.1568330000000001E-2</v>
      </c>
      <c r="Z7594">
        <v>-2.2575579999999998E-3</v>
      </c>
      <c r="AA7594">
        <v>0.9991331</v>
      </c>
      <c r="AB7594">
        <v>27</v>
      </c>
      <c r="AC7594">
        <v>20.6268999999999</v>
      </c>
      <c r="AD7594">
        <v>-1.1195599098810101</v>
      </c>
      <c r="AE7594">
        <v>-0.42846999999999702</v>
      </c>
      <c r="AF7594">
        <v>0.86263620872478697</v>
      </c>
      <c r="AG7594">
        <v>-1.1195599098810101</v>
      </c>
      <c r="AH7594">
        <v>20.552679863450901</v>
      </c>
      <c r="AI7594">
        <v>93.115236777008803</v>
      </c>
      <c r="AJ7594">
        <v>87.596594622512498</v>
      </c>
      <c r="AK7594">
        <v>20.601218536531199</v>
      </c>
      <c r="AL7594">
        <v>97.304071693941495</v>
      </c>
      <c r="AM7594">
        <v>89.010758977315405</v>
      </c>
      <c r="AN7594">
        <v>1.00000002573048</v>
      </c>
    </row>
    <row r="7595" spans="1:40" x14ac:dyDescent="0.25">
      <c r="A7595" t="str">
        <f>"20190303154959035"</f>
        <v>20190303154959035</v>
      </c>
      <c r="B7595" t="str">
        <f>"1551599399028177"</f>
        <v>1551599399028177</v>
      </c>
      <c r="C7595" t="s">
        <v>40</v>
      </c>
      <c r="D7595">
        <v>5.6276519999999897</v>
      </c>
      <c r="E7595">
        <v>0.50819190000000003</v>
      </c>
      <c r="F7595" t="s">
        <v>77</v>
      </c>
      <c r="G7595">
        <v>-239.93459999999999</v>
      </c>
      <c r="H7595" s="1">
        <v>-3.7966000000000002E-6</v>
      </c>
      <c r="I7595">
        <v>-63.437840000000001</v>
      </c>
      <c r="J7595">
        <v>-260.75470000000001</v>
      </c>
      <c r="K7595">
        <v>1.119567</v>
      </c>
      <c r="L7595">
        <v>-63.001769999999901</v>
      </c>
      <c r="M7595">
        <v>0.99975139999999996</v>
      </c>
      <c r="N7595">
        <v>-7.4112559999999997E-3</v>
      </c>
      <c r="O7595">
        <v>2.1028459999999999E-2</v>
      </c>
      <c r="P7595">
        <v>0.99102330000000005</v>
      </c>
      <c r="Q7595">
        <v>-0.1336417</v>
      </c>
      <c r="R7595">
        <v>3.6163720000000001E-3</v>
      </c>
      <c r="S7595">
        <v>3.0059809999999998</v>
      </c>
      <c r="T7595">
        <v>-0.1606233</v>
      </c>
      <c r="U7595">
        <v>-6.2194819999999998E-2</v>
      </c>
      <c r="V7595">
        <v>1.7152540000000001E-2</v>
      </c>
      <c r="W7595">
        <v>-0.12630420000000001</v>
      </c>
      <c r="X7595">
        <v>0.99184329999999998</v>
      </c>
      <c r="Y7595">
        <v>4.161604E-2</v>
      </c>
      <c r="Z7595">
        <v>-2.2323009999999999E-3</v>
      </c>
      <c r="AA7595">
        <v>0.9991312</v>
      </c>
      <c r="AB7595">
        <v>27</v>
      </c>
      <c r="AC7595">
        <v>20.8201</v>
      </c>
      <c r="AD7595">
        <v>-1.1195707965999999</v>
      </c>
      <c r="AE7595">
        <v>-0.43607000000000801</v>
      </c>
      <c r="AF7595">
        <v>0.87128194755944699</v>
      </c>
      <c r="AG7595">
        <v>-1.1195707965999999</v>
      </c>
      <c r="AH7595">
        <v>20.746362044860199</v>
      </c>
      <c r="AI7595">
        <v>93.086237029553899</v>
      </c>
      <c r="AJ7595">
        <v>87.595170649609898</v>
      </c>
      <c r="AK7595">
        <v>20.794809667250099</v>
      </c>
      <c r="AL7595">
        <v>97.256077581602497</v>
      </c>
      <c r="AM7595">
        <v>89.009248541758595</v>
      </c>
      <c r="AN7595">
        <v>1.0000000461604801</v>
      </c>
    </row>
    <row r="7596" spans="1:40" x14ac:dyDescent="0.25">
      <c r="A7596" t="str">
        <f>"20190303154959047"</f>
        <v>20190303154959047</v>
      </c>
      <c r="B7596" t="str">
        <f>"1551599399037935"</f>
        <v>1551599399037935</v>
      </c>
      <c r="C7596" t="s">
        <v>40</v>
      </c>
      <c r="D7596">
        <v>5.5968039999999997</v>
      </c>
      <c r="E7596">
        <v>0.508135</v>
      </c>
      <c r="F7596" t="s">
        <v>75</v>
      </c>
      <c r="G7596">
        <v>-240.30510000000001</v>
      </c>
      <c r="H7596" s="1">
        <v>7.2944489999999999E-8</v>
      </c>
      <c r="I7596">
        <v>-63.424300000000002</v>
      </c>
      <c r="J7596">
        <v>-260.62400000000002</v>
      </c>
      <c r="K7596">
        <v>1.119575</v>
      </c>
      <c r="L7596">
        <v>-62.99915</v>
      </c>
      <c r="M7596">
        <v>0.99975440000000004</v>
      </c>
      <c r="N7596">
        <v>-7.4189690000000001E-3</v>
      </c>
      <c r="O7596">
        <v>2.088311E-2</v>
      </c>
      <c r="P7596">
        <v>0.99110989999999999</v>
      </c>
      <c r="Q7596">
        <v>-0.1330026</v>
      </c>
      <c r="R7596">
        <v>3.4280460000000001E-3</v>
      </c>
      <c r="S7596">
        <v>3.0052490000000001</v>
      </c>
      <c r="T7596">
        <v>-0.16452999999999901</v>
      </c>
      <c r="U7596">
        <v>-6.2103270000000002E-2</v>
      </c>
      <c r="V7596">
        <v>1.7198620000000001E-2</v>
      </c>
      <c r="W7596">
        <v>-0.12565689999999999</v>
      </c>
      <c r="X7596">
        <v>0.99192460000000005</v>
      </c>
      <c r="Y7596">
        <v>4.1441430000000001E-2</v>
      </c>
      <c r="Z7596">
        <v>-2.274819E-3</v>
      </c>
      <c r="AA7596">
        <v>0.99913839999999998</v>
      </c>
      <c r="AB7596">
        <v>27</v>
      </c>
      <c r="AC7596">
        <v>20.318899999999999</v>
      </c>
      <c r="AD7596">
        <v>-1.11957492705551</v>
      </c>
      <c r="AE7596">
        <v>-0.42515000000000203</v>
      </c>
      <c r="AF7596">
        <v>0.846820932576551</v>
      </c>
      <c r="AG7596">
        <v>-1.11957492705551</v>
      </c>
      <c r="AH7596">
        <v>20.2441550459572</v>
      </c>
      <c r="AI7596">
        <v>93.162678953698304</v>
      </c>
      <c r="AJ7596">
        <v>87.604691545295495</v>
      </c>
      <c r="AK7596">
        <v>20.292766377058999</v>
      </c>
      <c r="AL7596">
        <v>97.218693003055506</v>
      </c>
      <c r="AM7596">
        <v>89.006668843537497</v>
      </c>
      <c r="AN7596">
        <v>0.99999993056633396</v>
      </c>
    </row>
    <row r="7597" spans="1:40" x14ac:dyDescent="0.25">
      <c r="A7597" t="str">
        <f>"20190303154959058"</f>
        <v>20190303154959058</v>
      </c>
      <c r="B7597" t="str">
        <f>"1551599399048671"</f>
        <v>1551599399048671</v>
      </c>
      <c r="C7597" t="s">
        <v>40</v>
      </c>
      <c r="D7597">
        <v>5.6225649999999998</v>
      </c>
      <c r="E7597">
        <v>0.50823490000000004</v>
      </c>
      <c r="F7597" t="s">
        <v>75</v>
      </c>
      <c r="G7597">
        <v>-240.21340000000001</v>
      </c>
      <c r="H7597" s="1">
        <v>1.13009E-7</v>
      </c>
      <c r="I7597">
        <v>-63.421520000000001</v>
      </c>
      <c r="J7597">
        <v>-260.4871</v>
      </c>
      <c r="K7597">
        <v>1.1195759999999999</v>
      </c>
      <c r="L7597">
        <v>-62.996459999999999</v>
      </c>
      <c r="M7597">
        <v>0.99975749999999997</v>
      </c>
      <c r="N7597">
        <v>-7.4272100000000001E-3</v>
      </c>
      <c r="O7597">
        <v>2.073096E-2</v>
      </c>
      <c r="P7597">
        <v>0.99122489999999996</v>
      </c>
      <c r="Q7597">
        <v>-0.13214600000000001</v>
      </c>
      <c r="R7597">
        <v>3.2341570000000001E-3</v>
      </c>
      <c r="S7597">
        <v>3.0050349999999999</v>
      </c>
      <c r="T7597">
        <v>-0.1648337</v>
      </c>
      <c r="U7597">
        <v>-6.2194819999999998E-2</v>
      </c>
      <c r="V7597">
        <v>1.724467E-2</v>
      </c>
      <c r="W7597">
        <v>-0.12479129999999999</v>
      </c>
      <c r="X7597">
        <v>0.9920331</v>
      </c>
      <c r="Y7597">
        <v>4.132127E-2</v>
      </c>
      <c r="Z7597">
        <v>-2.268225E-3</v>
      </c>
      <c r="AA7597">
        <v>0.99914340000000001</v>
      </c>
      <c r="AB7597">
        <v>27</v>
      </c>
      <c r="AC7597">
        <v>20.273699999999899</v>
      </c>
      <c r="AD7597">
        <v>-1.119575886991</v>
      </c>
      <c r="AE7597">
        <v>-0.425059999999994</v>
      </c>
      <c r="AF7597">
        <v>0.84270473095600795</v>
      </c>
      <c r="AG7597">
        <v>-1.119575886991</v>
      </c>
      <c r="AH7597">
        <v>20.198959185162298</v>
      </c>
      <c r="AI7597">
        <v>93.1697583894004</v>
      </c>
      <c r="AJ7597">
        <v>87.610993735507293</v>
      </c>
      <c r="AK7597">
        <v>20.247507342736299</v>
      </c>
      <c r="AL7597">
        <v>97.168704076654507</v>
      </c>
      <c r="AM7597">
        <v>89.004118605146999</v>
      </c>
      <c r="AN7597">
        <v>0.99999995934735297</v>
      </c>
    </row>
    <row r="7598" spans="1:40" x14ac:dyDescent="0.25">
      <c r="A7598" t="str">
        <f>"20190303154959071"</f>
        <v>20190303154959071</v>
      </c>
      <c r="B7598" t="str">
        <f>"1551599399068190"</f>
        <v>1551599399068190</v>
      </c>
      <c r="C7598" t="s">
        <v>40</v>
      </c>
      <c r="D7598">
        <v>5.5966050000000003</v>
      </c>
      <c r="E7598">
        <v>0.50828300000000004</v>
      </c>
      <c r="F7598" t="s">
        <v>77</v>
      </c>
      <c r="G7598">
        <v>-239.92410000000001</v>
      </c>
      <c r="H7598" s="1">
        <v>-3.7919099999999999E-6</v>
      </c>
      <c r="I7598">
        <v>-63.431399999999996</v>
      </c>
      <c r="J7598">
        <v>-260.3417</v>
      </c>
      <c r="K7598">
        <v>1.11958</v>
      </c>
      <c r="L7598">
        <v>-62.993589999999998</v>
      </c>
      <c r="M7598">
        <v>0.99976080000000001</v>
      </c>
      <c r="N7598">
        <v>-7.4363299999999997E-3</v>
      </c>
      <c r="O7598">
        <v>2.056993E-2</v>
      </c>
      <c r="P7598">
        <v>0.99134549999999999</v>
      </c>
      <c r="Q7598">
        <v>-0.13124069999999999</v>
      </c>
      <c r="R7598">
        <v>3.2070699999999998E-3</v>
      </c>
      <c r="S7598">
        <v>3.0049440000000001</v>
      </c>
      <c r="T7598">
        <v>-0.16360820000000001</v>
      </c>
      <c r="U7598">
        <v>-6.3568120000000006E-2</v>
      </c>
      <c r="V7598">
        <v>1.711478E-2</v>
      </c>
      <c r="W7598">
        <v>-0.123876</v>
      </c>
      <c r="X7598">
        <v>0.99215010000000003</v>
      </c>
      <c r="Y7598">
        <v>4.1618450000000001E-2</v>
      </c>
      <c r="Z7598">
        <v>-2.253068E-3</v>
      </c>
      <c r="AA7598">
        <v>0.99913099999999999</v>
      </c>
      <c r="AB7598">
        <v>27</v>
      </c>
      <c r="AC7598">
        <v>20.4176</v>
      </c>
      <c r="AD7598">
        <v>-1.11958379191</v>
      </c>
      <c r="AE7598">
        <v>-0.43780999999999098</v>
      </c>
      <c r="AF7598">
        <v>0.85514748933790896</v>
      </c>
      <c r="AG7598">
        <v>-1.11958379191</v>
      </c>
      <c r="AH7598">
        <v>20.3431342433142</v>
      </c>
      <c r="AI7598">
        <v>93.147319815044696</v>
      </c>
      <c r="AJ7598">
        <v>87.592921893015202</v>
      </c>
      <c r="AK7598">
        <v>20.391857589173501</v>
      </c>
      <c r="AL7598">
        <v>97.115850840581004</v>
      </c>
      <c r="AM7598">
        <v>89.011734804276102</v>
      </c>
      <c r="AN7598">
        <v>1.00000000000022</v>
      </c>
    </row>
    <row r="7599" spans="1:40" x14ac:dyDescent="0.25">
      <c r="A7599" t="str">
        <f>"20190303154959080"</f>
        <v>20190303154959080</v>
      </c>
      <c r="B7599" t="str">
        <f>"1551599399068190"</f>
        <v>1551599399068190</v>
      </c>
      <c r="C7599" t="s">
        <v>40</v>
      </c>
      <c r="D7599">
        <v>5.5966050000000003</v>
      </c>
      <c r="E7599">
        <v>0.50828300000000004</v>
      </c>
      <c r="F7599" t="s">
        <v>77</v>
      </c>
      <c r="G7599">
        <v>-239.81049999999999</v>
      </c>
      <c r="H7599" s="1">
        <v>-3.7530689999999999E-6</v>
      </c>
      <c r="I7599">
        <v>-63.430399999999999</v>
      </c>
      <c r="J7599">
        <v>-260.21409999999997</v>
      </c>
      <c r="K7599">
        <v>1.1195839999999999</v>
      </c>
      <c r="L7599">
        <v>-62.991120000000002</v>
      </c>
      <c r="M7599">
        <v>0.99976359999999997</v>
      </c>
      <c r="N7599">
        <v>-7.4444130000000004E-3</v>
      </c>
      <c r="O7599">
        <v>2.042857E-2</v>
      </c>
      <c r="P7599">
        <v>0.99141509999999999</v>
      </c>
      <c r="Q7599">
        <v>-0.13071079999999999</v>
      </c>
      <c r="R7599">
        <v>3.2474679999999999E-3</v>
      </c>
      <c r="S7599">
        <v>3.0047000000000001</v>
      </c>
      <c r="T7599">
        <v>-0.16384860000000001</v>
      </c>
      <c r="U7599">
        <v>-6.3934329999999998E-2</v>
      </c>
      <c r="V7599">
        <v>1.693598E-2</v>
      </c>
      <c r="W7599">
        <v>-0.1233375</v>
      </c>
      <c r="X7599">
        <v>0.9922202</v>
      </c>
      <c r="Y7599">
        <v>4.160051E-2</v>
      </c>
      <c r="Z7599">
        <v>-2.2493499999999998E-3</v>
      </c>
      <c r="AA7599">
        <v>0.99913180000000001</v>
      </c>
      <c r="AB7599">
        <v>27</v>
      </c>
      <c r="AC7599">
        <v>20.403599999999901</v>
      </c>
      <c r="AD7599">
        <v>-1.1195877530689999</v>
      </c>
      <c r="AE7599">
        <v>-0.439280000000003</v>
      </c>
      <c r="AF7599">
        <v>0.85344775176194398</v>
      </c>
      <c r="AG7599">
        <v>-1.1195877530689999</v>
      </c>
      <c r="AH7599">
        <v>20.329186046078799</v>
      </c>
      <c r="AI7599">
        <v>93.1494932380037</v>
      </c>
      <c r="AJ7599">
        <v>87.596054396296296</v>
      </c>
      <c r="AK7599">
        <v>20.3778717018705</v>
      </c>
      <c r="AL7599">
        <v>97.084759011376704</v>
      </c>
      <c r="AM7599">
        <v>89.022126382311797</v>
      </c>
      <c r="AN7599">
        <v>0.99999994580642304</v>
      </c>
    </row>
    <row r="7600" spans="1:40" x14ac:dyDescent="0.25">
      <c r="A7600" t="str">
        <f>"20190303154959092"</f>
        <v>20190303154959092</v>
      </c>
      <c r="B7600" t="str">
        <f>"1551599399088687"</f>
        <v>1551599399088687</v>
      </c>
      <c r="C7600" t="s">
        <v>40</v>
      </c>
      <c r="D7600">
        <v>5.6379929999999998</v>
      </c>
      <c r="E7600">
        <v>0.50825569999999998</v>
      </c>
      <c r="F7600" t="s">
        <v>77</v>
      </c>
      <c r="G7600">
        <v>-239.48179999999999</v>
      </c>
      <c r="H7600" s="1">
        <v>-3.641478E-6</v>
      </c>
      <c r="I7600">
        <v>-63.431980000000003</v>
      </c>
      <c r="J7600">
        <v>-260.06540000000001</v>
      </c>
      <c r="K7600">
        <v>1.1195839999999999</v>
      </c>
      <c r="L7600">
        <v>-62.988250000000001</v>
      </c>
      <c r="M7600">
        <v>0.99976679999999996</v>
      </c>
      <c r="N7600">
        <v>-7.453945E-3</v>
      </c>
      <c r="O7600">
        <v>2.0264310000000001E-2</v>
      </c>
      <c r="P7600">
        <v>0.99148060000000005</v>
      </c>
      <c r="Q7600">
        <v>-0.13020950000000001</v>
      </c>
      <c r="R7600">
        <v>3.459415E-3</v>
      </c>
      <c r="S7600">
        <v>3.0047609999999998</v>
      </c>
      <c r="T7600">
        <v>-0.1622635</v>
      </c>
      <c r="U7600">
        <v>-6.3903810000000005E-2</v>
      </c>
      <c r="V7600">
        <v>1.656239E-2</v>
      </c>
      <c r="W7600">
        <v>-0.122826</v>
      </c>
      <c r="X7600">
        <v>0.99229000000000001</v>
      </c>
      <c r="Y7600">
        <v>4.1428029999999998E-2</v>
      </c>
      <c r="Z7600">
        <v>-2.2146689999999998E-3</v>
      </c>
      <c r="AA7600">
        <v>0.999139</v>
      </c>
      <c r="AB7600">
        <v>27</v>
      </c>
      <c r="AC7600">
        <v>20.583600000000001</v>
      </c>
      <c r="AD7600">
        <v>-1.1195876414779999</v>
      </c>
      <c r="AE7600">
        <v>-0.44373000000000201</v>
      </c>
      <c r="AF7600">
        <v>0.85822505668992699</v>
      </c>
      <c r="AG7600">
        <v>-1.1195876414779999</v>
      </c>
      <c r="AH7600">
        <v>20.509730824180899</v>
      </c>
      <c r="AI7600">
        <v>93.121841196489001</v>
      </c>
      <c r="AJ7600">
        <v>87.603868917165002</v>
      </c>
      <c r="AK7600">
        <v>20.558187790154001</v>
      </c>
      <c r="AL7600">
        <v>97.055227353235097</v>
      </c>
      <c r="AM7600">
        <v>89.043760456533207</v>
      </c>
      <c r="AN7600">
        <v>0.99999999156925601</v>
      </c>
    </row>
    <row r="7601" spans="1:40" x14ac:dyDescent="0.25">
      <c r="A7601" t="str">
        <f>"20190303154959105"</f>
        <v>20190303154959105</v>
      </c>
      <c r="B7601" t="str">
        <f>"1551599399098447"</f>
        <v>1551599399098447</v>
      </c>
      <c r="C7601" t="s">
        <v>40</v>
      </c>
      <c r="D7601">
        <v>5.5291540000000001</v>
      </c>
      <c r="E7601">
        <v>0.50825569999999998</v>
      </c>
      <c r="F7601" t="s">
        <v>77</v>
      </c>
      <c r="G7601">
        <v>-239.95750000000001</v>
      </c>
      <c r="H7601" s="1">
        <v>-3.7993740000000001E-6</v>
      </c>
      <c r="I7601">
        <v>-63.409399999999998</v>
      </c>
      <c r="J7601">
        <v>-259.92230000000001</v>
      </c>
      <c r="K7601">
        <v>1.1195900000000001</v>
      </c>
      <c r="L7601">
        <v>-62.985500000000002</v>
      </c>
      <c r="M7601">
        <v>0.99977009999999999</v>
      </c>
      <c r="N7601">
        <v>-7.4632569999999896E-3</v>
      </c>
      <c r="O7601">
        <v>2.0106079999999998E-2</v>
      </c>
      <c r="P7601">
        <v>0.99149940000000003</v>
      </c>
      <c r="Q7601">
        <v>-0.1300598</v>
      </c>
      <c r="R7601">
        <v>3.6928030000000001E-3</v>
      </c>
      <c r="S7601">
        <v>3.0040279999999999</v>
      </c>
      <c r="T7601">
        <v>-0.16726170000000001</v>
      </c>
      <c r="U7601">
        <v>-6.2927250000000004E-2</v>
      </c>
      <c r="V7601">
        <v>1.617269E-2</v>
      </c>
      <c r="W7601">
        <v>-0.1226667</v>
      </c>
      <c r="X7601">
        <v>0.99231610000000003</v>
      </c>
      <c r="Y7601">
        <v>4.0945780000000001E-2</v>
      </c>
      <c r="Z7601">
        <v>-2.260415E-3</v>
      </c>
      <c r="AA7601">
        <v>0.99915880000000001</v>
      </c>
      <c r="AB7601">
        <v>27</v>
      </c>
      <c r="AC7601">
        <v>19.9648</v>
      </c>
      <c r="AD7601">
        <v>-1.1195937993739999</v>
      </c>
      <c r="AE7601">
        <v>-0.423899999999996</v>
      </c>
      <c r="AF7601">
        <v>0.82265340624737704</v>
      </c>
      <c r="AG7601">
        <v>-1.1195937993739999</v>
      </c>
      <c r="AH7601">
        <v>19.8897200148661</v>
      </c>
      <c r="AI7601">
        <v>93.219037237975201</v>
      </c>
      <c r="AJ7601">
        <v>87.631554499706198</v>
      </c>
      <c r="AK7601">
        <v>19.938184751179602</v>
      </c>
      <c r="AL7601">
        <v>97.046030822625397</v>
      </c>
      <c r="AM7601">
        <v>89.066280543862803</v>
      </c>
      <c r="AN7601">
        <v>0.99999995875496706</v>
      </c>
    </row>
    <row r="7602" spans="1:40" x14ac:dyDescent="0.25">
      <c r="A7602" t="str">
        <f>"20190303154959116"</f>
        <v>20190303154959116</v>
      </c>
      <c r="B7602" t="str">
        <f>"1551599399108206"</f>
        <v>1551599399108206</v>
      </c>
      <c r="C7602" t="s">
        <v>40</v>
      </c>
      <c r="D7602">
        <v>5.5654300000000001</v>
      </c>
      <c r="E7602">
        <v>0.51647169999999998</v>
      </c>
      <c r="F7602" t="s">
        <v>77</v>
      </c>
      <c r="G7602">
        <v>-239.75890000000001</v>
      </c>
      <c r="H7602" s="1">
        <v>-3.7306750000000001E-6</v>
      </c>
      <c r="I7602">
        <v>-63.403100000000002</v>
      </c>
      <c r="J7602">
        <v>-259.77069999999998</v>
      </c>
      <c r="K7602">
        <v>1.119591</v>
      </c>
      <c r="L7602">
        <v>-62.982640000000004</v>
      </c>
      <c r="M7602">
        <v>0.99977329999999998</v>
      </c>
      <c r="N7602">
        <v>-7.4733990000000004E-3</v>
      </c>
      <c r="O7602">
        <v>1.9938790000000001E-2</v>
      </c>
      <c r="P7602">
        <v>0.99156029999999995</v>
      </c>
      <c r="Q7602">
        <v>-0.12959229999999999</v>
      </c>
      <c r="R7602">
        <v>3.7721930000000001E-3</v>
      </c>
      <c r="S7602">
        <v>3.004089</v>
      </c>
      <c r="T7602">
        <v>-0.1668057</v>
      </c>
      <c r="U7602">
        <v>-6.2225339999999997E-2</v>
      </c>
      <c r="V7602">
        <v>1.592882E-2</v>
      </c>
      <c r="W7602">
        <v>-0.12218859999999999</v>
      </c>
      <c r="X7602">
        <v>0.99237909999999996</v>
      </c>
      <c r="Y7602">
        <v>4.0546209999999999E-2</v>
      </c>
      <c r="Z7602">
        <v>-2.2336220000000002E-3</v>
      </c>
      <c r="AA7602">
        <v>0.99917520000000004</v>
      </c>
      <c r="AB7602">
        <v>27</v>
      </c>
      <c r="AC7602">
        <v>20.011799999999901</v>
      </c>
      <c r="AD7602">
        <v>-1.119594730675</v>
      </c>
      <c r="AE7602">
        <v>-0.420459999999998</v>
      </c>
      <c r="AF7602">
        <v>0.81684299809349203</v>
      </c>
      <c r="AG7602">
        <v>-1.119594730675</v>
      </c>
      <c r="AH7602">
        <v>19.937061593789199</v>
      </c>
      <c r="AI7602">
        <v>93.211463469671102</v>
      </c>
      <c r="AJ7602">
        <v>87.653842072427494</v>
      </c>
      <c r="AK7602">
        <v>19.985173250163101</v>
      </c>
      <c r="AL7602">
        <v>97.018429580397296</v>
      </c>
      <c r="AM7602">
        <v>89.080416151213996</v>
      </c>
      <c r="AN7602">
        <v>1.00000002969668</v>
      </c>
    </row>
    <row r="7603" spans="1:40" x14ac:dyDescent="0.25">
      <c r="A7603" t="str">
        <f>"20190303154959129"</f>
        <v>20190303154959129</v>
      </c>
      <c r="B7603" t="str">
        <f>"1551599399117967"</f>
        <v>1551599399117967</v>
      </c>
      <c r="C7603" t="s">
        <v>40</v>
      </c>
      <c r="D7603">
        <v>5.4932220000000003</v>
      </c>
      <c r="E7603">
        <v>0.51647169999999998</v>
      </c>
      <c r="F7603" t="s">
        <v>77</v>
      </c>
      <c r="G7603">
        <v>-237.40860000000001</v>
      </c>
      <c r="H7603" s="1">
        <v>-3.0252089999999999E-6</v>
      </c>
      <c r="I7603">
        <v>-63.93506</v>
      </c>
      <c r="J7603">
        <v>-259.6293</v>
      </c>
      <c r="K7603">
        <v>1.11959599999999</v>
      </c>
      <c r="L7603">
        <v>-62.979950000000002</v>
      </c>
      <c r="M7603">
        <v>0.99977640000000001</v>
      </c>
      <c r="N7603">
        <v>-7.4829340000000001E-3</v>
      </c>
      <c r="O7603">
        <v>1.97827E-2</v>
      </c>
      <c r="P7603">
        <v>0.99155400000000005</v>
      </c>
      <c r="Q7603">
        <v>-0.1296263</v>
      </c>
      <c r="R7603">
        <v>4.2495909999999996E-3</v>
      </c>
      <c r="S7603">
        <v>3.006348</v>
      </c>
      <c r="T7603">
        <v>-0.1505176</v>
      </c>
      <c r="U7603">
        <v>-0.12805179999999999</v>
      </c>
      <c r="V7603">
        <v>1.5296250000000001E-2</v>
      </c>
      <c r="W7603">
        <v>-0.1222126</v>
      </c>
      <c r="X7603">
        <v>0.99238599999999999</v>
      </c>
      <c r="Y7603">
        <v>6.2204879999999997E-2</v>
      </c>
      <c r="Z7603">
        <v>-2.630088E-3</v>
      </c>
      <c r="AA7603">
        <v>0.9980599</v>
      </c>
      <c r="AB7603">
        <v>27</v>
      </c>
      <c r="AC7603">
        <v>22.220699999999901</v>
      </c>
      <c r="AD7603">
        <v>-1.11959902520899</v>
      </c>
      <c r="AE7603">
        <v>-0.95510999999999702</v>
      </c>
      <c r="AF7603">
        <v>1.39099598886736</v>
      </c>
      <c r="AG7603">
        <v>-1.11959902520899</v>
      </c>
      <c r="AH7603">
        <v>22.141349707347601</v>
      </c>
      <c r="AI7603">
        <v>92.889065681826196</v>
      </c>
      <c r="AJ7603">
        <v>86.405205755211995</v>
      </c>
      <c r="AK7603">
        <v>22.213233413471301</v>
      </c>
      <c r="AL7603">
        <v>97.019815738321398</v>
      </c>
      <c r="AM7603">
        <v>89.116935172821002</v>
      </c>
      <c r="AN7603">
        <v>0.999999933929409</v>
      </c>
    </row>
    <row r="7604" spans="1:40" x14ac:dyDescent="0.25">
      <c r="A7604" t="str">
        <f>"20190303154959143"</f>
        <v>20190303154959143</v>
      </c>
      <c r="B7604" t="str">
        <f>"1551599399128702"</f>
        <v>1551599399128702</v>
      </c>
      <c r="C7604" t="s">
        <v>40</v>
      </c>
      <c r="D7604">
        <v>3.7925939999999998</v>
      </c>
      <c r="E7604">
        <v>0.51569419999999999</v>
      </c>
      <c r="F7604" t="s">
        <v>77</v>
      </c>
      <c r="G7604">
        <v>-237.28210000000001</v>
      </c>
      <c r="H7604" s="1">
        <v>-2.9796709999999999E-6</v>
      </c>
      <c r="I7604">
        <v>-63.921059999999997</v>
      </c>
      <c r="J7604">
        <v>-259.46260000000001</v>
      </c>
      <c r="K7604">
        <v>1.1195949999999999</v>
      </c>
      <c r="L7604">
        <v>-62.976869999999998</v>
      </c>
      <c r="M7604">
        <v>0.9997798</v>
      </c>
      <c r="N7604">
        <v>-7.4942250000000002E-3</v>
      </c>
      <c r="O7604">
        <v>1.9598890000000001E-2</v>
      </c>
      <c r="P7604">
        <v>0.99161969999999999</v>
      </c>
      <c r="Q7604">
        <v>-0.12911819999999999</v>
      </c>
      <c r="R7604">
        <v>4.365575E-3</v>
      </c>
      <c r="S7604">
        <v>3.0064090000000001</v>
      </c>
      <c r="T7604">
        <v>-0.1506217</v>
      </c>
      <c r="U7604">
        <v>-0.12661739999999999</v>
      </c>
      <c r="V7604">
        <v>1.499939E-2</v>
      </c>
      <c r="W7604">
        <v>-0.1216927</v>
      </c>
      <c r="X7604">
        <v>0.99245450000000002</v>
      </c>
      <c r="Y7604">
        <v>6.1546169999999997E-2</v>
      </c>
      <c r="Z7604">
        <v>-2.605165E-3</v>
      </c>
      <c r="AA7604">
        <v>0.99810080000000001</v>
      </c>
      <c r="AB7604">
        <v>27</v>
      </c>
      <c r="AC7604">
        <v>22.180499999999899</v>
      </c>
      <c r="AD7604">
        <v>-1.1195979796710001</v>
      </c>
      <c r="AE7604">
        <v>-0.94418999999999897</v>
      </c>
      <c r="AF7604">
        <v>1.37523641590768</v>
      </c>
      <c r="AG7604">
        <v>-1.1195979796710001</v>
      </c>
      <c r="AH7604">
        <v>22.1015233011465</v>
      </c>
      <c r="AI7604">
        <v>92.894368109299194</v>
      </c>
      <c r="AJ7604">
        <v>86.439440646301904</v>
      </c>
      <c r="AK7604">
        <v>22.172553011929899</v>
      </c>
      <c r="AL7604">
        <v>96.989803079778895</v>
      </c>
      <c r="AM7604">
        <v>89.134130262278802</v>
      </c>
      <c r="AN7604">
        <v>1.0000000147519501</v>
      </c>
    </row>
    <row r="7605" spans="1:40" x14ac:dyDescent="0.25">
      <c r="A7605" t="str">
        <f>"20190303154959159"</f>
        <v>20190303154959159</v>
      </c>
      <c r="B7605" t="str">
        <f>"1551599399148222"</f>
        <v>1551599399148222</v>
      </c>
      <c r="C7605" t="s">
        <v>40</v>
      </c>
      <c r="D7605">
        <v>5.0801999999999996</v>
      </c>
      <c r="E7605">
        <v>0.51569419999999999</v>
      </c>
      <c r="F7605" t="s">
        <v>42</v>
      </c>
      <c r="G7605">
        <v>-258.5059</v>
      </c>
      <c r="H7605">
        <v>1.0428109999999999</v>
      </c>
      <c r="I7605">
        <v>-63.014380000000003</v>
      </c>
      <c r="J7605">
        <v>-259.23719999999997</v>
      </c>
      <c r="K7605">
        <v>1.119588</v>
      </c>
      <c r="L7605">
        <v>-62.97269</v>
      </c>
      <c r="M7605">
        <v>0.99978460000000002</v>
      </c>
      <c r="N7605">
        <v>-7.5096679999999997E-3</v>
      </c>
      <c r="O7605">
        <v>1.9349910000000001E-2</v>
      </c>
      <c r="P7605">
        <v>0.99167340000000004</v>
      </c>
      <c r="Q7605">
        <v>-0.12869810000000001</v>
      </c>
      <c r="R7605">
        <v>4.5530809999999996E-3</v>
      </c>
      <c r="S7605">
        <v>2.9945680000000001</v>
      </c>
      <c r="T7605">
        <v>-0.24028649999999999</v>
      </c>
      <c r="U7605">
        <v>-0.117004399999999</v>
      </c>
      <c r="V7605">
        <v>1.456622E-2</v>
      </c>
      <c r="W7605">
        <v>-0.12125660000000001</v>
      </c>
      <c r="X7605">
        <v>0.99251429999999996</v>
      </c>
      <c r="Y7605">
        <v>5.8115720000000003E-2</v>
      </c>
      <c r="Z7605">
        <v>-3.9502900000000004E-3</v>
      </c>
      <c r="AA7605">
        <v>0.99830200000000002</v>
      </c>
      <c r="AB7605">
        <v>28</v>
      </c>
      <c r="AC7605">
        <v>0.73129999999997597</v>
      </c>
      <c r="AD7605">
        <v>-7.6776999999999804E-2</v>
      </c>
      <c r="AE7605">
        <v>-4.16900000000026E-2</v>
      </c>
      <c r="AF7605">
        <v>5.5226432959997102E-2</v>
      </c>
      <c r="AG7605">
        <v>-7.6776999999999804E-2</v>
      </c>
      <c r="AH7605">
        <v>0.72241944329156704</v>
      </c>
      <c r="AI7605">
        <v>96.048967676778005</v>
      </c>
      <c r="AJ7605">
        <v>85.628441251138099</v>
      </c>
      <c r="AK7605">
        <v>0.72858391326749905</v>
      </c>
      <c r="AL7605">
        <v>96.964630167852505</v>
      </c>
      <c r="AM7605">
        <v>89.159182877599406</v>
      </c>
      <c r="AN7605">
        <v>0.99999998675656898</v>
      </c>
    </row>
    <row r="7606" spans="1:40" x14ac:dyDescent="0.25">
      <c r="A7606" t="str">
        <f>"20190303154959272"</f>
        <v>20190303154959272</v>
      </c>
      <c r="B7606" t="str">
        <f>"1551599399268271"</f>
        <v>1551599399268271</v>
      </c>
      <c r="C7606" t="s">
        <v>40</v>
      </c>
      <c r="D7606">
        <v>5.6846589999999999</v>
      </c>
      <c r="E7606">
        <v>0.51679620000000004</v>
      </c>
      <c r="F7606" t="s">
        <v>75</v>
      </c>
      <c r="G7606">
        <v>-245.21539999999999</v>
      </c>
      <c r="H7606" s="1">
        <v>-2.0585080000000001E-6</v>
      </c>
      <c r="I7606">
        <v>-63.518039999999999</v>
      </c>
      <c r="J7606">
        <v>-257.84719999999999</v>
      </c>
      <c r="K7606">
        <v>1.1196010000000001</v>
      </c>
      <c r="L7606">
        <v>-62.948300000000003</v>
      </c>
      <c r="M7606">
        <v>0.99981240000000005</v>
      </c>
      <c r="N7606">
        <v>-7.6074230000000003E-3</v>
      </c>
      <c r="O7606">
        <v>1.7817449999999999E-2</v>
      </c>
      <c r="P7606">
        <v>0.99191379999999996</v>
      </c>
      <c r="Q7606">
        <v>-0.12691330000000001</v>
      </c>
      <c r="R7606">
        <v>-1.647172E-4</v>
      </c>
      <c r="S7606">
        <v>2.994659</v>
      </c>
      <c r="T7606">
        <v>-0.2391115</v>
      </c>
      <c r="U7606">
        <v>-0.11648559999999999</v>
      </c>
      <c r="V7606">
        <v>1.7767209999999999E-2</v>
      </c>
      <c r="W7606">
        <v>-0.1193757</v>
      </c>
      <c r="X7606">
        <v>0.99269010000000002</v>
      </c>
      <c r="Y7606">
        <v>5.6423880000000003E-2</v>
      </c>
      <c r="Z7606">
        <v>-3.747893E-3</v>
      </c>
      <c r="AA7606">
        <v>0.99839990000000001</v>
      </c>
      <c r="AB7606">
        <v>28</v>
      </c>
      <c r="AC7606">
        <v>12.631799999999901</v>
      </c>
      <c r="AD7606">
        <v>-1.1196030585079999</v>
      </c>
      <c r="AE7606">
        <v>-0.56973999999999503</v>
      </c>
      <c r="AF7606">
        <v>0.78854036875164202</v>
      </c>
      <c r="AG7606">
        <v>-1.1196030585079999</v>
      </c>
      <c r="AH7606">
        <v>12.521474924736401</v>
      </c>
      <c r="AI7606">
        <v>95.099444722558303</v>
      </c>
      <c r="AJ7606">
        <v>86.396554618119595</v>
      </c>
      <c r="AK7606">
        <v>12.5961359635634</v>
      </c>
      <c r="AL7606">
        <v>96.8560742946365</v>
      </c>
      <c r="AM7606">
        <v>88.974627160006705</v>
      </c>
      <c r="AN7606">
        <v>0.99999993306983903</v>
      </c>
    </row>
    <row r="7607" spans="1:40" x14ac:dyDescent="0.25">
      <c r="A7607" t="str">
        <f>"20190303154959303"</f>
        <v>20190303154959303</v>
      </c>
      <c r="B7607" t="str">
        <f>"1551599399298527"</f>
        <v>1551599399298527</v>
      </c>
      <c r="C7607" t="s">
        <v>40</v>
      </c>
      <c r="D7607">
        <v>5.6248760000000004</v>
      </c>
      <c r="E7607">
        <v>0.51938149999999905</v>
      </c>
      <c r="F7607" t="s">
        <v>75</v>
      </c>
      <c r="G7607">
        <v>-241.39</v>
      </c>
      <c r="H7607" s="1">
        <v>-4.7169109999999998E-7</v>
      </c>
      <c r="I7607">
        <v>-63.721939999999996</v>
      </c>
      <c r="J7607">
        <v>-257.46030000000002</v>
      </c>
      <c r="K7607">
        <v>1.1196090000000001</v>
      </c>
      <c r="L7607">
        <v>-62.941859999999998</v>
      </c>
      <c r="M7607">
        <v>0.99981960000000003</v>
      </c>
      <c r="N7607">
        <v>-7.6353840000000003E-3</v>
      </c>
      <c r="O7607">
        <v>1.7391750000000001E-2</v>
      </c>
      <c r="P7607">
        <v>0.99203019999999997</v>
      </c>
      <c r="Q7607">
        <v>-0.12599289999999999</v>
      </c>
      <c r="R7607">
        <v>-1.415113E-3</v>
      </c>
      <c r="S7607">
        <v>2.9983369999999998</v>
      </c>
      <c r="T7607">
        <v>-0.20398060000000001</v>
      </c>
      <c r="U7607">
        <v>-0.14096069999999999</v>
      </c>
      <c r="V7607">
        <v>1.859713E-2</v>
      </c>
      <c r="W7607">
        <v>-0.1184273</v>
      </c>
      <c r="X7607">
        <v>0.99278860000000002</v>
      </c>
      <c r="Y7607">
        <v>6.4130839999999995E-2</v>
      </c>
      <c r="Z7607">
        <v>-3.4716830000000001E-3</v>
      </c>
      <c r="AA7607">
        <v>0.99793549999999998</v>
      </c>
      <c r="AB7607">
        <v>28</v>
      </c>
      <c r="AC7607">
        <v>16.0703</v>
      </c>
      <c r="AD7607">
        <v>-1.1196094716911</v>
      </c>
      <c r="AE7607">
        <v>-0.78008000000000499</v>
      </c>
      <c r="AF7607">
        <v>1.0543551570762499</v>
      </c>
      <c r="AG7607">
        <v>-1.1196094716911</v>
      </c>
      <c r="AH7607">
        <v>15.9769347750343</v>
      </c>
      <c r="AI7607">
        <v>93.999869205646107</v>
      </c>
      <c r="AJ7607">
        <v>86.224392550073006</v>
      </c>
      <c r="AK7607">
        <v>16.050783001836798</v>
      </c>
      <c r="AL7607">
        <v>96.8013459965198</v>
      </c>
      <c r="AM7607">
        <v>88.926848620715404</v>
      </c>
      <c r="AN7607">
        <v>1.0000000414597401</v>
      </c>
    </row>
    <row r="7608" spans="1:40" x14ac:dyDescent="0.25">
      <c r="A7608" t="str">
        <f>"20190303154959316"</f>
        <v>20190303154959316</v>
      </c>
      <c r="B7608" t="str">
        <f>"1551599399308287"</f>
        <v>1551599399308287</v>
      </c>
      <c r="C7608" t="s">
        <v>40</v>
      </c>
      <c r="D7608">
        <v>5.8542019999999999</v>
      </c>
      <c r="E7608">
        <v>0.51838899999999999</v>
      </c>
      <c r="F7608" t="s">
        <v>73</v>
      </c>
      <c r="G7608">
        <v>-219.3263</v>
      </c>
      <c r="H7608" s="1">
        <v>-3.8681040000000004E-6</v>
      </c>
      <c r="I7608">
        <v>-65.088809999999995</v>
      </c>
      <c r="J7608">
        <v>-257.28879999999998</v>
      </c>
      <c r="K7608">
        <v>1.1196109999999999</v>
      </c>
      <c r="L7608">
        <v>-62.93909</v>
      </c>
      <c r="M7608">
        <v>0.99982289999999996</v>
      </c>
      <c r="N7608">
        <v>-7.6477259999999997E-3</v>
      </c>
      <c r="O7608">
        <v>1.720286E-2</v>
      </c>
      <c r="P7608">
        <v>0.99210109999999996</v>
      </c>
      <c r="Q7608">
        <v>-0.12542410000000001</v>
      </c>
      <c r="R7608">
        <v>-2.0437570000000002E-3</v>
      </c>
      <c r="S7608">
        <v>3.0126339999999998</v>
      </c>
      <c r="T7608">
        <v>-8.8450790000000001E-2</v>
      </c>
      <c r="U7608">
        <v>-0.16961670000000001</v>
      </c>
      <c r="V7608">
        <v>1.9039710000000001E-2</v>
      </c>
      <c r="W7608">
        <v>-0.1178461</v>
      </c>
      <c r="X7608">
        <v>0.99284930000000005</v>
      </c>
      <c r="Y7608">
        <v>7.3336819999999997E-2</v>
      </c>
      <c r="Z7608">
        <v>-1.729413E-3</v>
      </c>
      <c r="AA7608">
        <v>0.99730580000000002</v>
      </c>
      <c r="AB7608">
        <v>28</v>
      </c>
      <c r="AC7608">
        <v>37.962499999999899</v>
      </c>
      <c r="AD7608">
        <v>-1.1196148681039999</v>
      </c>
      <c r="AE7608">
        <v>-2.1497199999999901</v>
      </c>
      <c r="AF7608">
        <v>2.8000567023244098</v>
      </c>
      <c r="AG7608">
        <v>-1.1196148681039999</v>
      </c>
      <c r="AH7608">
        <v>37.887050118854802</v>
      </c>
      <c r="AI7608">
        <v>91.6880759338448</v>
      </c>
      <c r="AJ7608">
        <v>85.773218235358499</v>
      </c>
      <c r="AK7608">
        <v>38.006873348089599</v>
      </c>
      <c r="AL7608">
        <v>96.767811319518103</v>
      </c>
      <c r="AM7608">
        <v>88.901382788203307</v>
      </c>
      <c r="AN7608">
        <v>0.99999997317629097</v>
      </c>
    </row>
    <row r="7609" spans="1:40" x14ac:dyDescent="0.25">
      <c r="A7609" t="str">
        <f>"20190303154959329"</f>
        <v>20190303154959329</v>
      </c>
      <c r="B7609" t="str">
        <f>"1551599399318554"</f>
        <v>1551599399318554</v>
      </c>
      <c r="C7609" t="s">
        <v>40</v>
      </c>
      <c r="D7609">
        <v>5.6621969999999999</v>
      </c>
      <c r="E7609">
        <v>0.51659759999999999</v>
      </c>
      <c r="F7609" t="s">
        <v>73</v>
      </c>
      <c r="G7609">
        <v>-215.32579999999999</v>
      </c>
      <c r="H7609" s="1">
        <v>-2.5302470000000002E-6</v>
      </c>
      <c r="I7609">
        <v>-65.22157</v>
      </c>
      <c r="J7609">
        <v>-257.1309</v>
      </c>
      <c r="K7609">
        <v>1.1196159999999999</v>
      </c>
      <c r="L7609">
        <v>-62.936549999999997</v>
      </c>
      <c r="M7609">
        <v>0.99982579999999999</v>
      </c>
      <c r="N7609">
        <v>-7.6591649999999999E-3</v>
      </c>
      <c r="O7609">
        <v>1.7029010000000001E-2</v>
      </c>
      <c r="P7609">
        <v>0.99222359999999998</v>
      </c>
      <c r="Q7609">
        <v>-0.1244372</v>
      </c>
      <c r="R7609">
        <v>-2.8623860000000002E-3</v>
      </c>
      <c r="S7609">
        <v>3.013382</v>
      </c>
      <c r="T7609">
        <v>-8.0399990000000005E-2</v>
      </c>
      <c r="U7609">
        <v>-0.1639099</v>
      </c>
      <c r="V7609">
        <v>1.9688250000000001E-2</v>
      </c>
      <c r="W7609">
        <v>-0.1168473</v>
      </c>
      <c r="X7609">
        <v>0.99295469999999997</v>
      </c>
      <c r="Y7609">
        <v>7.1274560000000001E-2</v>
      </c>
      <c r="Z7609">
        <v>-1.54685E-3</v>
      </c>
      <c r="AA7609">
        <v>0.99745550000000005</v>
      </c>
      <c r="AB7609">
        <v>28</v>
      </c>
      <c r="AC7609">
        <v>41.805100000000003</v>
      </c>
      <c r="AD7609">
        <v>-1.1196185302470001</v>
      </c>
      <c r="AE7609">
        <v>-2.2850199999999998</v>
      </c>
      <c r="AF7609">
        <v>2.9944674527072399</v>
      </c>
      <c r="AG7609">
        <v>-1.1196185302470001</v>
      </c>
      <c r="AH7609">
        <v>41.730282320724797</v>
      </c>
      <c r="AI7609">
        <v>91.532930579715696</v>
      </c>
      <c r="AJ7609">
        <v>85.895623928120798</v>
      </c>
      <c r="AK7609">
        <v>41.852560776444598</v>
      </c>
      <c r="AL7609">
        <v>96.710186130149296</v>
      </c>
      <c r="AM7609">
        <v>88.864091347343305</v>
      </c>
      <c r="AN7609">
        <v>0.99999997747872005</v>
      </c>
    </row>
    <row r="7610" spans="1:40" x14ac:dyDescent="0.25">
      <c r="A7610" t="str">
        <f>"20190303154959343"</f>
        <v>20190303154959343</v>
      </c>
      <c r="B7610" t="str">
        <f>"1551599399338115"</f>
        <v>1551599399338115</v>
      </c>
      <c r="C7610" t="s">
        <v>40</v>
      </c>
      <c r="D7610">
        <v>5.6396350000000002</v>
      </c>
      <c r="E7610">
        <v>0.51357969999999997</v>
      </c>
      <c r="F7610" t="s">
        <v>73</v>
      </c>
      <c r="G7610">
        <v>-216.1268</v>
      </c>
      <c r="H7610" s="1">
        <v>-2.7642539999999999E-6</v>
      </c>
      <c r="I7610">
        <v>-65.004099999999994</v>
      </c>
      <c r="J7610">
        <v>-256.94310000000002</v>
      </c>
      <c r="K7610">
        <v>1.119618</v>
      </c>
      <c r="L7610">
        <v>-62.93356</v>
      </c>
      <c r="M7610">
        <v>0.99982910000000003</v>
      </c>
      <c r="N7610">
        <v>-7.6728350000000002E-3</v>
      </c>
      <c r="O7610">
        <v>1.6822469999999999E-2</v>
      </c>
      <c r="P7610">
        <v>0.99224409999999996</v>
      </c>
      <c r="Q7610">
        <v>-0.12425799999999999</v>
      </c>
      <c r="R7610">
        <v>-3.4496510000000002E-3</v>
      </c>
      <c r="S7610">
        <v>3.012756</v>
      </c>
      <c r="T7610">
        <v>-8.2263470000000005E-2</v>
      </c>
      <c r="U7610">
        <v>-0.15191650000000001</v>
      </c>
      <c r="V7610">
        <v>2.0070729999999998E-2</v>
      </c>
      <c r="W7610">
        <v>-0.1166548</v>
      </c>
      <c r="X7610">
        <v>0.99296969999999996</v>
      </c>
      <c r="Y7610">
        <v>6.7119719999999994E-2</v>
      </c>
      <c r="Z7610">
        <v>-1.5033539999999999E-3</v>
      </c>
      <c r="AA7610">
        <v>0.99774379999999996</v>
      </c>
      <c r="AB7610">
        <v>28</v>
      </c>
      <c r="AC7610">
        <v>40.816299999999998</v>
      </c>
      <c r="AD7610">
        <v>-1.1196207642539999</v>
      </c>
      <c r="AE7610">
        <v>-2.0705399999999901</v>
      </c>
      <c r="AF7610">
        <v>2.7548306095743098</v>
      </c>
      <c r="AG7610">
        <v>-1.1196207642539999</v>
      </c>
      <c r="AH7610">
        <v>40.745111463594199</v>
      </c>
      <c r="AI7610">
        <v>91.570431181114699</v>
      </c>
      <c r="AJ7610">
        <v>86.132043624385901</v>
      </c>
      <c r="AK7610">
        <v>40.853479050429897</v>
      </c>
      <c r="AL7610">
        <v>96.699080587715102</v>
      </c>
      <c r="AM7610">
        <v>88.842047698593504</v>
      </c>
      <c r="AN7610">
        <v>1.0000000008419301</v>
      </c>
    </row>
    <row r="7611" spans="1:40" x14ac:dyDescent="0.25">
      <c r="A7611" t="str">
        <f>"20190303154959356"</f>
        <v>20190303154959356</v>
      </c>
      <c r="B7611" t="str">
        <f>"1551599399347874"</f>
        <v>1551599399347874</v>
      </c>
      <c r="C7611" t="s">
        <v>40</v>
      </c>
      <c r="D7611">
        <v>5.6829859999999996</v>
      </c>
      <c r="E7611">
        <v>0.51257529999999996</v>
      </c>
      <c r="F7611" t="s">
        <v>74</v>
      </c>
      <c r="G7611">
        <v>-221.61799999999999</v>
      </c>
      <c r="H7611" s="1">
        <v>-7.1582920000000003E-7</v>
      </c>
      <c r="I7611">
        <v>-64.447680000000005</v>
      </c>
      <c r="J7611">
        <v>-256.78179999999998</v>
      </c>
      <c r="K7611">
        <v>1.1196189999999999</v>
      </c>
      <c r="L7611">
        <v>-62.930999999999997</v>
      </c>
      <c r="M7611">
        <v>0.99983200000000005</v>
      </c>
      <c r="N7611">
        <v>-7.6846219999999899E-3</v>
      </c>
      <c r="O7611">
        <v>1.6645030000000002E-2</v>
      </c>
      <c r="P7611">
        <v>0.99227100000000001</v>
      </c>
      <c r="Q7611">
        <v>-0.12402639999999999</v>
      </c>
      <c r="R7611">
        <v>-3.955971E-3</v>
      </c>
      <c r="S7611">
        <v>3.0110169999999998</v>
      </c>
      <c r="T7611">
        <v>-9.5433119999999996E-2</v>
      </c>
      <c r="U7611">
        <v>-0.1290588</v>
      </c>
      <c r="V7611">
        <v>2.0401389999999998E-2</v>
      </c>
      <c r="W7611">
        <v>-0.1164116</v>
      </c>
      <c r="X7611">
        <v>0.99299150000000003</v>
      </c>
      <c r="Y7611">
        <v>5.940542E-2</v>
      </c>
      <c r="Z7611">
        <v>-1.568573E-3</v>
      </c>
      <c r="AA7611">
        <v>0.99823269999999997</v>
      </c>
      <c r="AB7611">
        <v>28</v>
      </c>
      <c r="AC7611">
        <v>35.163799999999902</v>
      </c>
      <c r="AD7611">
        <v>-1.1196197158292001</v>
      </c>
      <c r="AE7611">
        <v>-1.51668</v>
      </c>
      <c r="AF7611">
        <v>2.0996649439195099</v>
      </c>
      <c r="AG7611">
        <v>-1.1196197158292001</v>
      </c>
      <c r="AH7611">
        <v>35.098166041536999</v>
      </c>
      <c r="AI7611">
        <v>91.8238381526007</v>
      </c>
      <c r="AJ7611">
        <v>86.576495285124196</v>
      </c>
      <c r="AK7611">
        <v>35.1787350634456</v>
      </c>
      <c r="AL7611">
        <v>96.685050683140801</v>
      </c>
      <c r="AM7611">
        <v>88.823001895035603</v>
      </c>
      <c r="AN7611">
        <v>0.999999998200371</v>
      </c>
    </row>
    <row r="7612" spans="1:40" x14ac:dyDescent="0.25">
      <c r="A7612" t="str">
        <f>"20190303154959369"</f>
        <v>20190303154959369</v>
      </c>
      <c r="B7612" t="str">
        <f>"1551599399358611"</f>
        <v>1551599399358611</v>
      </c>
      <c r="C7612" t="s">
        <v>40</v>
      </c>
      <c r="D7612">
        <v>5.743862</v>
      </c>
      <c r="E7612">
        <v>0.5122911</v>
      </c>
      <c r="F7612" t="s">
        <v>74</v>
      </c>
      <c r="G7612">
        <v>-222.3871</v>
      </c>
      <c r="H7612" s="1">
        <v>-1.0196580000000001E-6</v>
      </c>
      <c r="I7612">
        <v>-64.330109999999905</v>
      </c>
      <c r="J7612">
        <v>-256.62729999999999</v>
      </c>
      <c r="K7612">
        <v>1.1196189999999999</v>
      </c>
      <c r="L7612">
        <v>-62.928620000000002</v>
      </c>
      <c r="M7612">
        <v>0.99983480000000002</v>
      </c>
      <c r="N7612">
        <v>-7.6959380000000003E-3</v>
      </c>
      <c r="O7612">
        <v>1.6474989999999998E-2</v>
      </c>
      <c r="P7612">
        <v>0.99228349999999998</v>
      </c>
      <c r="Q7612">
        <v>-0.12391679999999999</v>
      </c>
      <c r="R7612">
        <v>-4.2984629999999998E-3</v>
      </c>
      <c r="S7612">
        <v>3.0106350000000002</v>
      </c>
      <c r="T7612">
        <v>-9.8002549999999994E-2</v>
      </c>
      <c r="U7612">
        <v>-0.12246700000000001</v>
      </c>
      <c r="V7612">
        <v>2.0575030000000001E-2</v>
      </c>
      <c r="W7612">
        <v>-0.1162908</v>
      </c>
      <c r="X7612">
        <v>0.9930021</v>
      </c>
      <c r="Y7612">
        <v>5.7058459999999998E-2</v>
      </c>
      <c r="Z7612">
        <v>-1.557033E-3</v>
      </c>
      <c r="AA7612">
        <v>0.99836959999999997</v>
      </c>
      <c r="AB7612">
        <v>28</v>
      </c>
      <c r="AC7612">
        <v>34.240199999999902</v>
      </c>
      <c r="AD7612">
        <v>-1.119620019658</v>
      </c>
      <c r="AE7612">
        <v>-1.4014899999999899</v>
      </c>
      <c r="AF7612">
        <v>1.9633276295542299</v>
      </c>
      <c r="AG7612">
        <v>-1.119620019658</v>
      </c>
      <c r="AH7612">
        <v>34.175981704196403</v>
      </c>
      <c r="AI7612">
        <v>91.873277207224206</v>
      </c>
      <c r="AJ7612">
        <v>86.712109558592104</v>
      </c>
      <c r="AK7612">
        <v>34.250634006029102</v>
      </c>
      <c r="AL7612">
        <v>96.678081834152096</v>
      </c>
      <c r="AM7612">
        <v>88.812999768151002</v>
      </c>
      <c r="AN7612">
        <v>1.0000000263142701</v>
      </c>
    </row>
    <row r="7613" spans="1:40" x14ac:dyDescent="0.25">
      <c r="A7613" t="str">
        <f>"20190303154959383"</f>
        <v>20190303154959383</v>
      </c>
      <c r="B7613" t="str">
        <f>"1551599399378130"</f>
        <v>1551599399378130</v>
      </c>
      <c r="C7613" t="s">
        <v>40</v>
      </c>
      <c r="D7613">
        <v>5.7664780000000002</v>
      </c>
      <c r="E7613">
        <v>0.51122469999999998</v>
      </c>
      <c r="F7613" t="s">
        <v>74</v>
      </c>
      <c r="G7613">
        <v>-224.1138</v>
      </c>
      <c r="H7613" s="1">
        <v>-1.739321E-6</v>
      </c>
      <c r="I7613">
        <v>-64.235399999999998</v>
      </c>
      <c r="J7613">
        <v>-256.43310000000002</v>
      </c>
      <c r="K7613">
        <v>1.119618</v>
      </c>
      <c r="L7613">
        <v>-62.925600000000003</v>
      </c>
      <c r="M7613">
        <v>0.99983809999999995</v>
      </c>
      <c r="N7613">
        <v>-7.7101819999999899E-3</v>
      </c>
      <c r="O7613">
        <v>1.6261600000000001E-2</v>
      </c>
      <c r="P7613">
        <v>0.99229029999999996</v>
      </c>
      <c r="Q7613">
        <v>-0.1238553</v>
      </c>
      <c r="R7613">
        <v>-4.4863689999999996E-3</v>
      </c>
      <c r="S7613">
        <v>3.0098569999999998</v>
      </c>
      <c r="T7613">
        <v>-0.103646</v>
      </c>
      <c r="U7613">
        <v>-0.1209717</v>
      </c>
      <c r="V7613">
        <v>2.0551139999999999E-2</v>
      </c>
      <c r="W7613">
        <v>-0.116215</v>
      </c>
      <c r="X7613">
        <v>0.99301139999999999</v>
      </c>
      <c r="Y7613">
        <v>5.6356429999999999E-2</v>
      </c>
      <c r="Z7613">
        <v>-1.62139799999999E-3</v>
      </c>
      <c r="AA7613">
        <v>0.9984094</v>
      </c>
      <c r="AB7613">
        <v>28</v>
      </c>
      <c r="AC7613">
        <v>32.319299999999998</v>
      </c>
      <c r="AD7613">
        <v>-1.1196197393209999</v>
      </c>
      <c r="AE7613">
        <v>-1.3097999999999901</v>
      </c>
      <c r="AF7613">
        <v>1.83300973154666</v>
      </c>
      <c r="AG7613">
        <v>-1.1196197393209999</v>
      </c>
      <c r="AH7613">
        <v>32.255080308268703</v>
      </c>
      <c r="AI7613">
        <v>91.9848200341644</v>
      </c>
      <c r="AJ7613">
        <v>86.747461749496395</v>
      </c>
      <c r="AK7613">
        <v>32.326516650104502</v>
      </c>
      <c r="AL7613">
        <v>96.673709623550096</v>
      </c>
      <c r="AM7613">
        <v>88.814388720392699</v>
      </c>
      <c r="AN7613">
        <v>0.99999995805512898</v>
      </c>
    </row>
    <row r="7614" spans="1:40" x14ac:dyDescent="0.25">
      <c r="A7614" t="str">
        <f>"20190303154959394"</f>
        <v>20190303154959394</v>
      </c>
      <c r="B7614" t="str">
        <f>"1551599399387890"</f>
        <v>1551599399387890</v>
      </c>
      <c r="C7614" t="s">
        <v>40</v>
      </c>
      <c r="D7614">
        <v>5.7600800000000003</v>
      </c>
      <c r="E7614">
        <v>0.51074960000000003</v>
      </c>
      <c r="F7614" t="s">
        <v>74</v>
      </c>
      <c r="G7614">
        <v>-226.75819999999999</v>
      </c>
      <c r="H7614" s="1">
        <v>-2.7967369999999998E-6</v>
      </c>
      <c r="I7614">
        <v>-64.035690000000002</v>
      </c>
      <c r="J7614">
        <v>-256.29500000000002</v>
      </c>
      <c r="K7614">
        <v>1.1196060000000001</v>
      </c>
      <c r="L7614">
        <v>-62.923520000000003</v>
      </c>
      <c r="M7614">
        <v>0.99984039999999996</v>
      </c>
      <c r="N7614">
        <v>-7.7203339999999997E-3</v>
      </c>
      <c r="O7614">
        <v>1.610986E-2</v>
      </c>
      <c r="P7614">
        <v>0.99231559999999996</v>
      </c>
      <c r="Q7614">
        <v>-0.123644</v>
      </c>
      <c r="R7614">
        <v>-4.6938420000000002E-3</v>
      </c>
      <c r="S7614">
        <v>3.0086360000000001</v>
      </c>
      <c r="T7614">
        <v>-0.1135145</v>
      </c>
      <c r="U7614">
        <v>-0.1125488</v>
      </c>
      <c r="V7614">
        <v>2.060851E-2</v>
      </c>
      <c r="W7614">
        <v>-0.1159936</v>
      </c>
      <c r="X7614">
        <v>0.99303620000000004</v>
      </c>
      <c r="Y7614">
        <v>5.3423680000000001E-2</v>
      </c>
      <c r="Z7614">
        <v>-1.6966279999999999E-3</v>
      </c>
      <c r="AA7614">
        <v>0.99857050000000003</v>
      </c>
      <c r="AB7614">
        <v>28</v>
      </c>
      <c r="AC7614">
        <v>29.536799999999999</v>
      </c>
      <c r="AD7614">
        <v>-1.1196087967370001</v>
      </c>
      <c r="AE7614">
        <v>-1.1121700000000001</v>
      </c>
      <c r="AF7614">
        <v>1.5855985553207801</v>
      </c>
      <c r="AG7614">
        <v>-1.1196087967370001</v>
      </c>
      <c r="AH7614">
        <v>29.472761852382799</v>
      </c>
      <c r="AI7614">
        <v>92.172362720899798</v>
      </c>
      <c r="AJ7614">
        <v>86.920525803105804</v>
      </c>
      <c r="AK7614">
        <v>29.536610127833601</v>
      </c>
      <c r="AL7614">
        <v>96.660937279419699</v>
      </c>
      <c r="AM7614">
        <v>88.811109632531497</v>
      </c>
      <c r="AN7614">
        <v>1.0000000602179</v>
      </c>
    </row>
    <row r="7615" spans="1:40" x14ac:dyDescent="0.25">
      <c r="A7615" t="str">
        <f>"20190303154959406"</f>
        <v>20190303154959406</v>
      </c>
      <c r="B7615" t="str">
        <f>"1551599399398627"</f>
        <v>1551599399398627</v>
      </c>
      <c r="C7615" t="s">
        <v>40</v>
      </c>
      <c r="D7615">
        <v>5.752033</v>
      </c>
      <c r="E7615">
        <v>0.51036979999999998</v>
      </c>
      <c r="F7615" t="s">
        <v>74</v>
      </c>
      <c r="G7615">
        <v>-227.41290000000001</v>
      </c>
      <c r="H7615" s="1">
        <v>-3.0110719999999999E-6</v>
      </c>
      <c r="I7615">
        <v>-63.972479999999997</v>
      </c>
      <c r="J7615">
        <v>-256.1542</v>
      </c>
      <c r="K7615">
        <v>1.1196060000000001</v>
      </c>
      <c r="L7615">
        <v>-62.921419999999998</v>
      </c>
      <c r="M7615">
        <v>0.99984289999999998</v>
      </c>
      <c r="N7615">
        <v>-7.7306769999999896E-3</v>
      </c>
      <c r="O7615">
        <v>1.595514E-2</v>
      </c>
      <c r="P7615">
        <v>0.99228530000000004</v>
      </c>
      <c r="Q7615">
        <v>-0.123888</v>
      </c>
      <c r="R7615">
        <v>-4.6665359999999998E-3</v>
      </c>
      <c r="S7615">
        <v>3.0081790000000002</v>
      </c>
      <c r="T7615">
        <v>-0.1166114</v>
      </c>
      <c r="U7615">
        <v>-0.1092529</v>
      </c>
      <c r="V7615">
        <v>2.042677E-2</v>
      </c>
      <c r="W7615">
        <v>-0.11622739999999999</v>
      </c>
      <c r="X7615">
        <v>0.99301249999999996</v>
      </c>
      <c r="Y7615">
        <v>5.2180549999999999E-2</v>
      </c>
      <c r="Z7615">
        <v>-1.7073500000000001E-3</v>
      </c>
      <c r="AA7615">
        <v>0.99863619999999997</v>
      </c>
      <c r="AB7615">
        <v>28</v>
      </c>
      <c r="AC7615">
        <v>28.741299999999899</v>
      </c>
      <c r="AD7615">
        <v>-1.1196090110719901</v>
      </c>
      <c r="AE7615">
        <v>-1.0510600000000001</v>
      </c>
      <c r="AF7615">
        <v>1.5072272179220501</v>
      </c>
      <c r="AG7615">
        <v>-1.1196090110719901</v>
      </c>
      <c r="AH7615">
        <v>28.677411976877998</v>
      </c>
      <c r="AI7615">
        <v>92.232698860012505</v>
      </c>
      <c r="AJ7615">
        <v>86.9914170294348</v>
      </c>
      <c r="AK7615">
        <v>28.738810273142999</v>
      </c>
      <c r="AL7615">
        <v>96.674425037614199</v>
      </c>
      <c r="AM7615">
        <v>88.821562998167806</v>
      </c>
      <c r="AN7615">
        <v>0.99999994329981901</v>
      </c>
    </row>
    <row r="7616" spans="1:40" x14ac:dyDescent="0.25">
      <c r="A7616" t="str">
        <f>"20190303154959416"</f>
        <v>20190303154959416</v>
      </c>
      <c r="B7616" t="str">
        <f>"1551599399408387"</f>
        <v>1551599399408387</v>
      </c>
      <c r="C7616" t="s">
        <v>40</v>
      </c>
      <c r="D7616">
        <v>5.7635110000000003</v>
      </c>
      <c r="E7616">
        <v>0.51001439999999998</v>
      </c>
      <c r="F7616" t="s">
        <v>74</v>
      </c>
      <c r="G7616">
        <v>-228.23140000000001</v>
      </c>
      <c r="H7616" s="1">
        <v>-3.2806680000000002E-6</v>
      </c>
      <c r="I7616">
        <v>-63.905639999999998</v>
      </c>
      <c r="J7616">
        <v>-256.01900000000001</v>
      </c>
      <c r="K7616">
        <v>1.1196060000000001</v>
      </c>
      <c r="L7616">
        <v>-62.919400000000003</v>
      </c>
      <c r="M7616">
        <v>0.99984510000000004</v>
      </c>
      <c r="N7616">
        <v>-7.7405929999999996E-3</v>
      </c>
      <c r="O7616">
        <v>1.5806379999999998E-2</v>
      </c>
      <c r="P7616">
        <v>0.99230410000000002</v>
      </c>
      <c r="Q7616">
        <v>-0.1237347</v>
      </c>
      <c r="R7616">
        <v>-4.7321519999999999E-3</v>
      </c>
      <c r="S7616">
        <v>3.0077669999999999</v>
      </c>
      <c r="T7616">
        <v>-0.1206011</v>
      </c>
      <c r="U7616">
        <v>-0.1060181</v>
      </c>
      <c r="V7616">
        <v>2.0345209999999999E-2</v>
      </c>
      <c r="W7616">
        <v>-0.1160641</v>
      </c>
      <c r="X7616">
        <v>0.99303330000000001</v>
      </c>
      <c r="Y7616">
        <v>5.0961800000000002E-2</v>
      </c>
      <c r="Z7616">
        <v>-1.7294490000000001E-3</v>
      </c>
      <c r="AA7616">
        <v>0.99869909999999995</v>
      </c>
      <c r="AB7616">
        <v>28</v>
      </c>
      <c r="AC7616">
        <v>27.787600000000001</v>
      </c>
      <c r="AD7616">
        <v>-1.11960928066799</v>
      </c>
      <c r="AE7616">
        <v>-0.986240000000002</v>
      </c>
      <c r="AF7616">
        <v>1.42304401900217</v>
      </c>
      <c r="AG7616">
        <v>-1.11960928066799</v>
      </c>
      <c r="AH7616">
        <v>27.723588568075801</v>
      </c>
      <c r="AI7616">
        <v>92.309579885544593</v>
      </c>
      <c r="AJ7616">
        <v>87.061602548100097</v>
      </c>
      <c r="AK7616">
        <v>27.782655422283199</v>
      </c>
      <c r="AL7616">
        <v>96.665004711004599</v>
      </c>
      <c r="AM7616">
        <v>88.826291520135001</v>
      </c>
      <c r="AN7616">
        <v>0.99999996889382103</v>
      </c>
    </row>
    <row r="7617" spans="1:40" x14ac:dyDescent="0.25">
      <c r="A7617" t="str">
        <f>"20190303154959426"</f>
        <v>20190303154959426</v>
      </c>
      <c r="B7617" t="str">
        <f>"1551599399418146"</f>
        <v>1551599399418146</v>
      </c>
      <c r="C7617" t="s">
        <v>40</v>
      </c>
      <c r="D7617">
        <v>5.7618470000000004</v>
      </c>
      <c r="E7617">
        <v>0.50989220000000002</v>
      </c>
      <c r="F7617" t="s">
        <v>74</v>
      </c>
      <c r="G7617">
        <v>-228.58699999999999</v>
      </c>
      <c r="H7617" s="1">
        <v>-3.3958149999999999E-6</v>
      </c>
      <c r="I7617">
        <v>-63.861649999999997</v>
      </c>
      <c r="J7617">
        <v>-255.88339999999999</v>
      </c>
      <c r="K7617">
        <v>1.1196060000000001</v>
      </c>
      <c r="L7617">
        <v>-62.917389999999997</v>
      </c>
      <c r="M7617">
        <v>0.9998475</v>
      </c>
      <c r="N7617">
        <v>-7.7505279999999996E-3</v>
      </c>
      <c r="O7617">
        <v>1.5657499999999901E-2</v>
      </c>
      <c r="P7617">
        <v>0.9922588</v>
      </c>
      <c r="Q7617">
        <v>-0.1240885</v>
      </c>
      <c r="R7617">
        <v>-4.9615320000000003E-3</v>
      </c>
      <c r="S7617">
        <v>3.0074619999999999</v>
      </c>
      <c r="T7617">
        <v>-0.1227467</v>
      </c>
      <c r="U7617">
        <v>-0.103302</v>
      </c>
      <c r="V7617">
        <v>2.0425749999999999E-2</v>
      </c>
      <c r="W7617">
        <v>-0.1164085</v>
      </c>
      <c r="X7617">
        <v>0.99299139999999997</v>
      </c>
      <c r="Y7617">
        <v>4.991491E-2</v>
      </c>
      <c r="Z7617">
        <v>-1.7288220000000001E-3</v>
      </c>
      <c r="AA7617">
        <v>0.99875199999999997</v>
      </c>
      <c r="AB7617">
        <v>28</v>
      </c>
      <c r="AC7617">
        <v>27.296399999999899</v>
      </c>
      <c r="AD7617">
        <v>-1.119609395815</v>
      </c>
      <c r="AE7617">
        <v>-0.94425999999999199</v>
      </c>
      <c r="AF7617">
        <v>1.3692495713014901</v>
      </c>
      <c r="AG7617">
        <v>-1.119609395815</v>
      </c>
      <c r="AH7617">
        <v>27.232507966067001</v>
      </c>
      <c r="AI7617">
        <v>92.351307116543694</v>
      </c>
      <c r="AJ7617">
        <v>87.121594136672698</v>
      </c>
      <c r="AK7617">
        <v>27.2898856668475</v>
      </c>
      <c r="AL7617">
        <v>96.6848716012138</v>
      </c>
      <c r="AM7617">
        <v>88.821596793996903</v>
      </c>
      <c r="AN7617">
        <v>1.0000000353046301</v>
      </c>
    </row>
    <row r="7618" spans="1:40" x14ac:dyDescent="0.25">
      <c r="A7618" t="str">
        <f>"20190303154959437"</f>
        <v>20190303154959437</v>
      </c>
      <c r="B7618" t="str">
        <f>"1551599399427907"</f>
        <v>1551599399427907</v>
      </c>
      <c r="C7618" t="s">
        <v>40</v>
      </c>
      <c r="D7618">
        <v>5.8019939999999997</v>
      </c>
      <c r="E7618">
        <v>0.50962450000000004</v>
      </c>
      <c r="F7618" t="s">
        <v>74</v>
      </c>
      <c r="G7618">
        <v>-229.35390000000001</v>
      </c>
      <c r="H7618" s="1">
        <v>-3.6519640000000002E-6</v>
      </c>
      <c r="I7618">
        <v>-63.825539999999997</v>
      </c>
      <c r="J7618">
        <v>-255.7363</v>
      </c>
      <c r="K7618">
        <v>1.1196060000000001</v>
      </c>
      <c r="L7618">
        <v>-62.91525</v>
      </c>
      <c r="M7618">
        <v>0.99985000000000002</v>
      </c>
      <c r="N7618">
        <v>-7.7613119999999898E-3</v>
      </c>
      <c r="O7618">
        <v>1.549586E-2</v>
      </c>
      <c r="P7618">
        <v>0.99226420000000004</v>
      </c>
      <c r="Q7618">
        <v>-0.1240402</v>
      </c>
      <c r="R7618">
        <v>-5.122049E-3</v>
      </c>
      <c r="S7618">
        <v>3.0070190000000001</v>
      </c>
      <c r="T7618">
        <v>-0.1269034</v>
      </c>
      <c r="U7618">
        <v>-0.10293579999999999</v>
      </c>
      <c r="V7618">
        <v>2.0425749999999999E-2</v>
      </c>
      <c r="W7618">
        <v>-0.11634940000000001</v>
      </c>
      <c r="X7618">
        <v>0.9929983</v>
      </c>
      <c r="Y7618">
        <v>4.9633509999999999E-2</v>
      </c>
      <c r="Z7618">
        <v>-1.772643E-3</v>
      </c>
      <c r="AA7618">
        <v>0.99876589999999998</v>
      </c>
      <c r="AB7618">
        <v>29</v>
      </c>
      <c r="AC7618">
        <v>26.382399999999901</v>
      </c>
      <c r="AD7618">
        <v>-1.119609651964</v>
      </c>
      <c r="AE7618">
        <v>-0.91029000000000304</v>
      </c>
      <c r="AF7618">
        <v>1.3166425050342601</v>
      </c>
      <c r="AG7618">
        <v>-1.119609651964</v>
      </c>
      <c r="AH7618">
        <v>26.317784994749399</v>
      </c>
      <c r="AI7618">
        <v>92.432965672325693</v>
      </c>
      <c r="AJ7618">
        <v>87.135958972807799</v>
      </c>
      <c r="AK7618">
        <v>26.374474028664299</v>
      </c>
      <c r="AL7618">
        <v>96.681462430586294</v>
      </c>
      <c r="AM7618">
        <v>88.821604980002206</v>
      </c>
      <c r="AN7618">
        <v>1.00000000897315</v>
      </c>
    </row>
    <row r="7619" spans="1:40" x14ac:dyDescent="0.25">
      <c r="A7619" t="str">
        <f>"20190303154959450"</f>
        <v>20190303154959450</v>
      </c>
      <c r="B7619" t="str">
        <f>"1551599399438643"</f>
        <v>1551599399438643</v>
      </c>
      <c r="C7619" t="s">
        <v>40</v>
      </c>
      <c r="D7619">
        <v>5.7720079999999996</v>
      </c>
      <c r="E7619">
        <v>0.5093394</v>
      </c>
      <c r="F7619" t="s">
        <v>74</v>
      </c>
      <c r="G7619">
        <v>-229.6755</v>
      </c>
      <c r="H7619" s="1">
        <v>-3.7570370000000002E-6</v>
      </c>
      <c r="I7619">
        <v>-63.792900000000003</v>
      </c>
      <c r="J7619">
        <v>-255.589</v>
      </c>
      <c r="K7619">
        <v>1.1196029999999999</v>
      </c>
      <c r="L7619">
        <v>-62.9131199999999</v>
      </c>
      <c r="M7619">
        <v>0.99985219999999997</v>
      </c>
      <c r="N7619">
        <v>-7.7721429999999996E-3</v>
      </c>
      <c r="O7619">
        <v>1.533441E-2</v>
      </c>
      <c r="P7619">
        <v>0.99228070000000002</v>
      </c>
      <c r="Q7619">
        <v>-0.1239111</v>
      </c>
      <c r="R7619">
        <v>-5.0088340000000002E-3</v>
      </c>
      <c r="S7619">
        <v>3.0067140000000001</v>
      </c>
      <c r="T7619">
        <v>-0.129172699999999</v>
      </c>
      <c r="U7619">
        <v>-0.10125729999999999</v>
      </c>
      <c r="V7619">
        <v>2.0152610000000001E-2</v>
      </c>
      <c r="W7619">
        <v>-0.1162093</v>
      </c>
      <c r="X7619">
        <v>0.99302029999999997</v>
      </c>
      <c r="Y7619">
        <v>4.8917490000000001E-2</v>
      </c>
      <c r="Z7619">
        <v>-1.779479E-3</v>
      </c>
      <c r="AA7619">
        <v>0.99880119999999895</v>
      </c>
      <c r="AB7619">
        <v>29</v>
      </c>
      <c r="AC7619">
        <v>25.913499999999999</v>
      </c>
      <c r="AD7619">
        <v>-1.1196067570370001</v>
      </c>
      <c r="AE7619">
        <v>-0.87978000000001</v>
      </c>
      <c r="AF7619">
        <v>1.2746800619282099</v>
      </c>
      <c r="AG7619">
        <v>-1.1196067570370001</v>
      </c>
      <c r="AH7619">
        <v>25.848764800030001</v>
      </c>
      <c r="AI7619">
        <v>92.477138132230394</v>
      </c>
      <c r="AJ7619">
        <v>87.176860323069107</v>
      </c>
      <c r="AK7619">
        <v>25.904381294251198</v>
      </c>
      <c r="AL7619">
        <v>96.673380376632096</v>
      </c>
      <c r="AM7619">
        <v>88.837384270822298</v>
      </c>
      <c r="AN7619">
        <v>1.0000000226541901</v>
      </c>
    </row>
    <row r="7620" spans="1:40" x14ac:dyDescent="0.25">
      <c r="A7620" t="str">
        <f>"20190303154959461"</f>
        <v>20190303154959461</v>
      </c>
      <c r="B7620" t="str">
        <f>"1551599399448403"</f>
        <v>1551599399448403</v>
      </c>
      <c r="C7620" t="s">
        <v>40</v>
      </c>
      <c r="D7620">
        <v>5.7914680000000001</v>
      </c>
      <c r="E7620">
        <v>0.50903710000000002</v>
      </c>
      <c r="F7620" t="s">
        <v>74</v>
      </c>
      <c r="G7620">
        <v>-229.87569999999999</v>
      </c>
      <c r="H7620" s="1">
        <v>-3.8201260000000004E-6</v>
      </c>
      <c r="I7620">
        <v>-63.755119999999998</v>
      </c>
      <c r="J7620">
        <v>-255.44929999999999</v>
      </c>
      <c r="K7620">
        <v>1.119605</v>
      </c>
      <c r="L7620">
        <v>-62.911099999999998</v>
      </c>
      <c r="M7620">
        <v>0.99985460000000004</v>
      </c>
      <c r="N7620">
        <v>-7.7824219999999998E-3</v>
      </c>
      <c r="O7620">
        <v>1.518094E-2</v>
      </c>
      <c r="P7620">
        <v>0.99224909999999999</v>
      </c>
      <c r="Q7620">
        <v>-0.1241628</v>
      </c>
      <c r="R7620">
        <v>-5.0842509999999997E-3</v>
      </c>
      <c r="S7620">
        <v>3.0064850000000001</v>
      </c>
      <c r="T7620">
        <v>-0.1309081</v>
      </c>
      <c r="U7620">
        <v>-9.8449709999999996E-2</v>
      </c>
      <c r="V7620">
        <v>2.0074890000000001E-2</v>
      </c>
      <c r="W7620">
        <v>-0.116451</v>
      </c>
      <c r="X7620">
        <v>0.99299349999999997</v>
      </c>
      <c r="Y7620">
        <v>4.7834660000000001E-2</v>
      </c>
      <c r="Z7620">
        <v>-1.7694010000000001E-3</v>
      </c>
      <c r="AA7620">
        <v>0.99885369999999996</v>
      </c>
      <c r="AB7620">
        <v>29</v>
      </c>
      <c r="AC7620">
        <v>25.573599999999999</v>
      </c>
      <c r="AD7620">
        <v>-1.1196088201259999</v>
      </c>
      <c r="AE7620">
        <v>-0.84401999999999999</v>
      </c>
      <c r="AF7620">
        <v>1.22981114228578</v>
      </c>
      <c r="AG7620">
        <v>-1.1196088201259999</v>
      </c>
      <c r="AH7620">
        <v>25.5090000799043</v>
      </c>
      <c r="AI7620">
        <v>92.510229244574404</v>
      </c>
      <c r="AJ7620">
        <v>87.239857629074095</v>
      </c>
      <c r="AK7620">
        <v>25.5631579510896</v>
      </c>
      <c r="AL7620">
        <v>96.687323826431296</v>
      </c>
      <c r="AM7620">
        <v>88.841835510572594</v>
      </c>
      <c r="AN7620">
        <v>0.99999996382587997</v>
      </c>
    </row>
    <row r="7621" spans="1:40" x14ac:dyDescent="0.25">
      <c r="A7621" t="str">
        <f>"20190303154959472"</f>
        <v>20190303154959472</v>
      </c>
      <c r="B7621" t="str">
        <f>"1551599399467923"</f>
        <v>1551599399467923</v>
      </c>
      <c r="C7621" t="s">
        <v>40</v>
      </c>
      <c r="D7621">
        <v>5.8034980000000003</v>
      </c>
      <c r="E7621">
        <v>0.50859880000000002</v>
      </c>
      <c r="F7621" t="s">
        <v>77</v>
      </c>
      <c r="G7621">
        <v>-230.29759999999999</v>
      </c>
      <c r="H7621" s="1">
        <v>-1.2157669999999999E-9</v>
      </c>
      <c r="I7621">
        <v>-63.715069999999997</v>
      </c>
      <c r="J7621">
        <v>-255.29939999999999</v>
      </c>
      <c r="K7621">
        <v>1.119607</v>
      </c>
      <c r="L7621">
        <v>-62.909030000000001</v>
      </c>
      <c r="M7621">
        <v>0.99985690000000005</v>
      </c>
      <c r="N7621">
        <v>-7.793426E-3</v>
      </c>
      <c r="O7621">
        <v>1.5016440000000001E-2</v>
      </c>
      <c r="P7621">
        <v>0.99221130000000002</v>
      </c>
      <c r="Q7621">
        <v>-0.1244671</v>
      </c>
      <c r="R7621">
        <v>-4.9897370000000002E-3</v>
      </c>
      <c r="S7621">
        <v>3.0062099999999998</v>
      </c>
      <c r="T7621">
        <v>-0.13381850000000001</v>
      </c>
      <c r="U7621">
        <v>-9.6099850000000001E-2</v>
      </c>
      <c r="V7621">
        <v>1.9816150000000001E-2</v>
      </c>
      <c r="W7621">
        <v>-0.1167444</v>
      </c>
      <c r="X7621">
        <v>0.99296430000000002</v>
      </c>
      <c r="Y7621">
        <v>4.6891769999999999E-2</v>
      </c>
      <c r="Z7621">
        <v>-1.7767799999999999E-3</v>
      </c>
      <c r="AA7621">
        <v>0.99889839999999996</v>
      </c>
      <c r="AB7621">
        <v>29</v>
      </c>
      <c r="AC7621">
        <v>25.001799999999999</v>
      </c>
      <c r="AD7621">
        <v>-1.11960700121576</v>
      </c>
      <c r="AE7621">
        <v>-0.80603999999999498</v>
      </c>
      <c r="AF7621">
        <v>1.1790366151520799</v>
      </c>
      <c r="AG7621">
        <v>-1.11960700121576</v>
      </c>
      <c r="AH7621">
        <v>24.936921422209299</v>
      </c>
      <c r="AI7621">
        <v>92.567849730570401</v>
      </c>
      <c r="AJ7621">
        <v>87.293027875475801</v>
      </c>
      <c r="AK7621">
        <v>24.989871892318401</v>
      </c>
      <c r="AL7621">
        <v>96.704249493228403</v>
      </c>
      <c r="AM7621">
        <v>88.856725191535602</v>
      </c>
      <c r="AN7621">
        <v>1.0000000179033299</v>
      </c>
    </row>
    <row r="7622" spans="1:40" x14ac:dyDescent="0.25">
      <c r="A7622" t="str">
        <f>"20190303154959484"</f>
        <v>20190303154959484</v>
      </c>
      <c r="B7622" t="str">
        <f>"1551599399478658"</f>
        <v>1551599399478658</v>
      </c>
      <c r="C7622" t="s">
        <v>40</v>
      </c>
      <c r="D7622">
        <v>5.818695</v>
      </c>
      <c r="E7622">
        <v>0.50840600000000002</v>
      </c>
      <c r="F7622" t="s">
        <v>77</v>
      </c>
      <c r="G7622">
        <v>-231.01410000000001</v>
      </c>
      <c r="H7622" s="1">
        <v>-2.921038E-7</v>
      </c>
      <c r="I7622">
        <v>-63.653129999999997</v>
      </c>
      <c r="J7622">
        <v>-255.15690000000001</v>
      </c>
      <c r="K7622">
        <v>1.1196060000000001</v>
      </c>
      <c r="L7622">
        <v>-62.90701</v>
      </c>
      <c r="M7622">
        <v>0.99985930000000001</v>
      </c>
      <c r="N7622">
        <v>-7.8038830000000002E-3</v>
      </c>
      <c r="O7622">
        <v>1.485993E-2</v>
      </c>
      <c r="P7622">
        <v>0.99218850000000003</v>
      </c>
      <c r="Q7622">
        <v>-0.12464939999999999</v>
      </c>
      <c r="R7622">
        <v>-4.9821880000000002E-3</v>
      </c>
      <c r="S7622">
        <v>3.0057070000000001</v>
      </c>
      <c r="T7622">
        <v>-0.13856969999999999</v>
      </c>
      <c r="U7622">
        <v>-9.2102050000000005E-2</v>
      </c>
      <c r="V7622">
        <v>1.9652630000000001E-2</v>
      </c>
      <c r="W7622">
        <v>-0.11691650000000001</v>
      </c>
      <c r="X7622">
        <v>0.99294729999999998</v>
      </c>
      <c r="Y7622">
        <v>4.5410800000000001E-2</v>
      </c>
      <c r="Z7622">
        <v>-1.7919989999999901E-3</v>
      </c>
      <c r="AA7622">
        <v>0.99896680000000004</v>
      </c>
      <c r="AB7622">
        <v>29</v>
      </c>
      <c r="AC7622">
        <v>24.142799999999902</v>
      </c>
      <c r="AD7622">
        <v>-1.1196062921037999</v>
      </c>
      <c r="AE7622">
        <v>-0.746120000000004</v>
      </c>
      <c r="AF7622">
        <v>1.10244017214372</v>
      </c>
      <c r="AG7622">
        <v>-1.1196062921037999</v>
      </c>
      <c r="AH7622">
        <v>24.077315727295499</v>
      </c>
      <c r="AI7622">
        <v>92.659579924890195</v>
      </c>
      <c r="AJ7622">
        <v>87.378400343402106</v>
      </c>
      <c r="AK7622">
        <v>24.128531352205201</v>
      </c>
      <c r="AL7622">
        <v>96.714178093677504</v>
      </c>
      <c r="AM7622">
        <v>88.866137449420293</v>
      </c>
      <c r="AN7622">
        <v>1.0000000172077199</v>
      </c>
    </row>
    <row r="7623" spans="1:40" x14ac:dyDescent="0.25">
      <c r="A7623" t="str">
        <f>"20190303154959495"</f>
        <v>20190303154959495</v>
      </c>
      <c r="B7623" t="str">
        <f>"1551599399488418"</f>
        <v>1551599399488418</v>
      </c>
      <c r="C7623" t="s">
        <v>40</v>
      </c>
      <c r="D7623">
        <v>5.7963019999999998</v>
      </c>
      <c r="E7623">
        <v>0.50830039999999999</v>
      </c>
      <c r="F7623" t="s">
        <v>77</v>
      </c>
      <c r="G7623">
        <v>-231.22829999999999</v>
      </c>
      <c r="H7623" s="1">
        <v>-3.7720099999999999E-7</v>
      </c>
      <c r="I7623">
        <v>-63.627600000000001</v>
      </c>
      <c r="J7623">
        <v>-254.9991</v>
      </c>
      <c r="K7623">
        <v>1.1196060000000001</v>
      </c>
      <c r="L7623">
        <v>-62.904879999999999</v>
      </c>
      <c r="M7623">
        <v>0.99986160000000002</v>
      </c>
      <c r="N7623">
        <v>-7.8154650000000006E-3</v>
      </c>
      <c r="O7623">
        <v>1.468684E-2</v>
      </c>
      <c r="P7623">
        <v>0.99217339999999998</v>
      </c>
      <c r="Q7623">
        <v>-0.12477580000000001</v>
      </c>
      <c r="R7623">
        <v>-4.823946E-3</v>
      </c>
      <c r="S7623">
        <v>3.005493</v>
      </c>
      <c r="T7623">
        <v>-0.14062520000000001</v>
      </c>
      <c r="U7623">
        <v>-9.0515139999999994E-2</v>
      </c>
      <c r="V7623">
        <v>1.9322240000000001E-2</v>
      </c>
      <c r="W7623">
        <v>-0.1170313</v>
      </c>
      <c r="X7623">
        <v>0.99294020000000005</v>
      </c>
      <c r="Y7623">
        <v>4.4712109999999999E-2</v>
      </c>
      <c r="Z7623">
        <v>-1.7920670000000001E-3</v>
      </c>
      <c r="AA7623">
        <v>0.99899830000000001</v>
      </c>
      <c r="AB7623">
        <v>29</v>
      </c>
      <c r="AC7623">
        <v>23.770800000000001</v>
      </c>
      <c r="AD7623">
        <v>-1.1196063772010001</v>
      </c>
      <c r="AE7623">
        <v>-0.72271999999999503</v>
      </c>
      <c r="AF7623">
        <v>1.06940045799947</v>
      </c>
      <c r="AG7623">
        <v>-1.1196063772010001</v>
      </c>
      <c r="AH7623">
        <v>23.705082004305801</v>
      </c>
      <c r="AI7623">
        <v>92.701363881697304</v>
      </c>
      <c r="AJ7623">
        <v>87.416983522859297</v>
      </c>
      <c r="AK7623">
        <v>23.755589839242099</v>
      </c>
      <c r="AL7623">
        <v>96.720801519599405</v>
      </c>
      <c r="AM7623">
        <v>88.885186547718703</v>
      </c>
      <c r="AN7623">
        <v>0.99999995745717296</v>
      </c>
    </row>
    <row r="7624" spans="1:40" x14ac:dyDescent="0.25">
      <c r="A7624" t="str">
        <f>"20190303154959506"</f>
        <v>20190303154959506</v>
      </c>
      <c r="B7624" t="str">
        <f>"1551599399498179"</f>
        <v>1551599399498179</v>
      </c>
      <c r="C7624" t="s">
        <v>40</v>
      </c>
      <c r="D7624">
        <v>5.8209809999999997</v>
      </c>
      <c r="E7624">
        <v>0.50816119999999998</v>
      </c>
      <c r="F7624" t="s">
        <v>77</v>
      </c>
      <c r="G7624">
        <v>-231.5642</v>
      </c>
      <c r="H7624" s="1">
        <v>-5.1404229999999999E-7</v>
      </c>
      <c r="I7624">
        <v>-63.600200000000001</v>
      </c>
      <c r="J7624">
        <v>-254.86269999999999</v>
      </c>
      <c r="K7624">
        <v>1.1196079999999999</v>
      </c>
      <c r="L7624">
        <v>-62.902979999999999</v>
      </c>
      <c r="M7624">
        <v>0.99986379999999997</v>
      </c>
      <c r="N7624">
        <v>-7.8254919999999999E-3</v>
      </c>
      <c r="O7624">
        <v>1.453719E-2</v>
      </c>
      <c r="P7624">
        <v>0.99215379999999997</v>
      </c>
      <c r="Q7624">
        <v>-0.12492399999999999</v>
      </c>
      <c r="R7624">
        <v>-5.0371410000000002E-3</v>
      </c>
      <c r="S7624">
        <v>3.0051730000000001</v>
      </c>
      <c r="T7624">
        <v>-0.14357320000000001</v>
      </c>
      <c r="U7624">
        <v>-8.9172360000000006E-2</v>
      </c>
      <c r="V7624">
        <v>1.9386359999999998E-2</v>
      </c>
      <c r="W7624">
        <v>-0.1171696</v>
      </c>
      <c r="X7624">
        <v>0.99292270000000005</v>
      </c>
      <c r="Y7624">
        <v>4.411789E-2</v>
      </c>
      <c r="Z7624">
        <v>-1.8061290000000001E-3</v>
      </c>
      <c r="AA7624">
        <v>0.99902469999999999</v>
      </c>
      <c r="AB7624">
        <v>29</v>
      </c>
      <c r="AC7624">
        <v>23.298499999999901</v>
      </c>
      <c r="AD7624">
        <v>-1.1196085140423</v>
      </c>
      <c r="AE7624">
        <v>-0.69721999999999396</v>
      </c>
      <c r="AF7624">
        <v>1.0334669520105999</v>
      </c>
      <c r="AG7624">
        <v>-1.1196085140423</v>
      </c>
      <c r="AH7624">
        <v>23.2323000886541</v>
      </c>
      <c r="AI7624">
        <v>92.756335845815798</v>
      </c>
      <c r="AJ7624">
        <v>87.452930489378005</v>
      </c>
      <c r="AK7624">
        <v>23.282210903926</v>
      </c>
      <c r="AL7624">
        <v>96.728780016994506</v>
      </c>
      <c r="AM7624">
        <v>88.881468318325503</v>
      </c>
      <c r="AN7624">
        <v>1.00000001714674</v>
      </c>
    </row>
    <row r="7625" spans="1:40" x14ac:dyDescent="0.25">
      <c r="A7625" t="str">
        <f>"20190303154959517"</f>
        <v>20190303154959517</v>
      </c>
      <c r="B7625" t="str">
        <f>"1551599399507939"</f>
        <v>1551599399507939</v>
      </c>
      <c r="C7625" t="s">
        <v>40</v>
      </c>
      <c r="D7625">
        <v>5.8347910000000001</v>
      </c>
      <c r="E7625">
        <v>0.50798310000000002</v>
      </c>
      <c r="F7625" t="s">
        <v>77</v>
      </c>
      <c r="G7625">
        <v>-231.73500000000001</v>
      </c>
      <c r="H7625" s="1">
        <v>-5.8362339999999998E-7</v>
      </c>
      <c r="I7625">
        <v>-63.58643</v>
      </c>
      <c r="J7625">
        <v>-254.71969999999999</v>
      </c>
      <c r="K7625">
        <v>1.1196060000000001</v>
      </c>
      <c r="L7625">
        <v>-62.901060000000001</v>
      </c>
      <c r="M7625">
        <v>0.99986600000000003</v>
      </c>
      <c r="N7625">
        <v>-7.8360210000000003E-3</v>
      </c>
      <c r="O7625">
        <v>1.438032E-2</v>
      </c>
      <c r="P7625">
        <v>0.99217100000000003</v>
      </c>
      <c r="Q7625">
        <v>-0.1247911</v>
      </c>
      <c r="R7625">
        <v>-4.9165449999999996E-3</v>
      </c>
      <c r="S7625">
        <v>3.0049440000000001</v>
      </c>
      <c r="T7625">
        <v>-0.14546899999999999</v>
      </c>
      <c r="U7625">
        <v>-8.880615E-2</v>
      </c>
      <c r="V7625">
        <v>1.9110530000000001E-2</v>
      </c>
      <c r="W7625">
        <v>-0.11702609999999999</v>
      </c>
      <c r="X7625">
        <v>0.99294499999999997</v>
      </c>
      <c r="Y7625">
        <v>4.3840440000000001E-2</v>
      </c>
      <c r="Z7625">
        <v>-1.8152330000000001E-3</v>
      </c>
      <c r="AA7625">
        <v>0.99903690000000001</v>
      </c>
      <c r="AB7625">
        <v>29</v>
      </c>
      <c r="AC7625">
        <v>22.984699999999901</v>
      </c>
      <c r="AD7625">
        <v>-1.1196065836233999</v>
      </c>
      <c r="AE7625">
        <v>-0.68537000000000503</v>
      </c>
      <c r="AF7625">
        <v>1.0134340843839</v>
      </c>
      <c r="AG7625">
        <v>-1.1196065836233999</v>
      </c>
      <c r="AH7625">
        <v>22.91813619261</v>
      </c>
      <c r="AI7625">
        <v>92.794088306721704</v>
      </c>
      <c r="AJ7625">
        <v>87.468044831782194</v>
      </c>
      <c r="AK7625">
        <v>22.967836948404699</v>
      </c>
      <c r="AL7625">
        <v>96.720500917361306</v>
      </c>
      <c r="AM7625">
        <v>88.897403637024496</v>
      </c>
      <c r="AN7625">
        <v>1.00000004673154</v>
      </c>
    </row>
    <row r="7626" spans="1:40" x14ac:dyDescent="0.25">
      <c r="A7626" t="str">
        <f>"20190303154959529"</f>
        <v>20190303154959529</v>
      </c>
      <c r="B7626" t="str">
        <f>"1551599399518675"</f>
        <v>1551599399518675</v>
      </c>
      <c r="C7626" t="s">
        <v>40</v>
      </c>
      <c r="D7626">
        <v>5.8333440000000003</v>
      </c>
      <c r="E7626">
        <v>0.50791260000000005</v>
      </c>
      <c r="F7626" t="s">
        <v>77</v>
      </c>
      <c r="G7626">
        <v>-231.6634</v>
      </c>
      <c r="H7626" s="1">
        <v>-5.4867119999999996E-7</v>
      </c>
      <c r="I7626">
        <v>-63.570469999999901</v>
      </c>
      <c r="J7626">
        <v>-254.5718</v>
      </c>
      <c r="K7626">
        <v>1.1196029999999999</v>
      </c>
      <c r="L7626">
        <v>-62.89911</v>
      </c>
      <c r="M7626">
        <v>0.99986819999999998</v>
      </c>
      <c r="N7626">
        <v>-7.8468610000000001E-3</v>
      </c>
      <c r="O7626">
        <v>1.421826E-2</v>
      </c>
      <c r="P7626">
        <v>0.99212750000000005</v>
      </c>
      <c r="Q7626">
        <v>-0.12514130000000001</v>
      </c>
      <c r="R7626">
        <v>-4.7833779999999996E-3</v>
      </c>
      <c r="S7626">
        <v>3.0048680000000001</v>
      </c>
      <c r="T7626">
        <v>-0.1459155</v>
      </c>
      <c r="U7626">
        <v>-8.7249759999999996E-2</v>
      </c>
      <c r="V7626">
        <v>1.8815410000000001E-2</v>
      </c>
      <c r="W7626">
        <v>-0.1173656</v>
      </c>
      <c r="X7626">
        <v>0.99291050000000003</v>
      </c>
      <c r="Y7626">
        <v>4.3162859999999997E-2</v>
      </c>
      <c r="Z7626">
        <v>-1.7950640000000001E-3</v>
      </c>
      <c r="AA7626">
        <v>0.99906640000000002</v>
      </c>
      <c r="AB7626">
        <v>29</v>
      </c>
      <c r="AC7626">
        <v>22.9084</v>
      </c>
      <c r="AD7626">
        <v>-1.1196035486711999</v>
      </c>
      <c r="AE7626">
        <v>-0.67135999999999196</v>
      </c>
      <c r="AF7626">
        <v>0.99464597439895197</v>
      </c>
      <c r="AG7626">
        <v>-1.1196035486711999</v>
      </c>
      <c r="AH7626">
        <v>22.842025219496701</v>
      </c>
      <c r="AI7626">
        <v>92.803458728257198</v>
      </c>
      <c r="AJ7626">
        <v>87.506655503939399</v>
      </c>
      <c r="AK7626">
        <v>22.8910670098339</v>
      </c>
      <c r="AL7626">
        <v>96.740088246304097</v>
      </c>
      <c r="AM7626">
        <v>88.914388989506406</v>
      </c>
      <c r="AN7626">
        <v>0.99999998236353804</v>
      </c>
    </row>
    <row r="7627" spans="1:40" x14ac:dyDescent="0.25">
      <c r="A7627" t="str">
        <f>"20190303154959542"</f>
        <v>20190303154959542</v>
      </c>
      <c r="B7627" t="str">
        <f>"1551599399538195"</f>
        <v>1551599399538195</v>
      </c>
      <c r="C7627" t="s">
        <v>40</v>
      </c>
      <c r="D7627">
        <v>5.8319660000000004</v>
      </c>
      <c r="E7627">
        <v>0.50769010000000003</v>
      </c>
      <c r="F7627" t="s">
        <v>77</v>
      </c>
      <c r="G7627">
        <v>-231.86320000000001</v>
      </c>
      <c r="H7627" s="1">
        <v>-6.2916709999999897E-7</v>
      </c>
      <c r="I7627">
        <v>-63.550849999999997</v>
      </c>
      <c r="J7627">
        <v>-254.4109</v>
      </c>
      <c r="K7627">
        <v>1.1196010000000001</v>
      </c>
      <c r="L7627">
        <v>-62.896970000000003</v>
      </c>
      <c r="M7627">
        <v>0.99987060000000005</v>
      </c>
      <c r="N7627">
        <v>-7.8586360000000004E-3</v>
      </c>
      <c r="O7627">
        <v>1.4041959999999999E-2</v>
      </c>
      <c r="P7627">
        <v>0.99206689999999997</v>
      </c>
      <c r="Q7627">
        <v>-0.12561510000000001</v>
      </c>
      <c r="R7627">
        <v>-4.9373209999999997E-3</v>
      </c>
      <c r="S7627">
        <v>3.0047000000000001</v>
      </c>
      <c r="T7627">
        <v>-0.14814099999999999</v>
      </c>
      <c r="U7627">
        <v>-8.6242680000000002E-2</v>
      </c>
      <c r="V7627">
        <v>1.8793190000000001E-2</v>
      </c>
      <c r="W7627">
        <v>-0.11782819999999999</v>
      </c>
      <c r="X7627">
        <v>0.99285610000000002</v>
      </c>
      <c r="Y7627">
        <v>4.265248E-2</v>
      </c>
      <c r="Z7627">
        <v>-1.799843E-3</v>
      </c>
      <c r="AA7627">
        <v>0.99908830000000004</v>
      </c>
      <c r="AB7627">
        <v>29</v>
      </c>
      <c r="AC7627">
        <v>22.547699999999899</v>
      </c>
      <c r="AD7627">
        <v>-1.1196016291671</v>
      </c>
      <c r="AE7627">
        <v>-0.65388000000000002</v>
      </c>
      <c r="AF7627">
        <v>0.96805435382722105</v>
      </c>
      <c r="AG7627">
        <v>-1.1196016291671</v>
      </c>
      <c r="AH7627">
        <v>22.480912421734701</v>
      </c>
      <c r="AI7627">
        <v>92.848471885473103</v>
      </c>
      <c r="AJ7627">
        <v>87.534300061110599</v>
      </c>
      <c r="AK7627">
        <v>22.5295818947823</v>
      </c>
      <c r="AL7627">
        <v>96.766778673441493</v>
      </c>
      <c r="AM7627">
        <v>88.915611334420305</v>
      </c>
      <c r="AN7627">
        <v>0.99999995200641101</v>
      </c>
    </row>
    <row r="7628" spans="1:40" x14ac:dyDescent="0.25">
      <c r="A7628" t="str">
        <f>"20190303154959553"</f>
        <v>20190303154959553</v>
      </c>
      <c r="B7628" t="str">
        <f>"1551599399547954"</f>
        <v>1551599399547954</v>
      </c>
      <c r="C7628" t="s">
        <v>40</v>
      </c>
      <c r="D7628">
        <v>5.8561100000000001</v>
      </c>
      <c r="E7628">
        <v>0.50760260000000001</v>
      </c>
      <c r="F7628" t="s">
        <v>77</v>
      </c>
      <c r="G7628">
        <v>-232.3048</v>
      </c>
      <c r="H7628" s="1">
        <v>-8.1059340000000001E-7</v>
      </c>
      <c r="I7628">
        <v>-63.520719999999997</v>
      </c>
      <c r="J7628">
        <v>-254.25630000000001</v>
      </c>
      <c r="K7628">
        <v>1.119599</v>
      </c>
      <c r="L7628">
        <v>-62.89499</v>
      </c>
      <c r="M7628">
        <v>0.99987300000000001</v>
      </c>
      <c r="N7628">
        <v>-7.8699349999999998E-3</v>
      </c>
      <c r="O7628">
        <v>1.387233E-2</v>
      </c>
      <c r="P7628">
        <v>0.99199159999999997</v>
      </c>
      <c r="Q7628">
        <v>-0.12621489999999999</v>
      </c>
      <c r="R7628">
        <v>-4.7570030000000001E-3</v>
      </c>
      <c r="S7628">
        <v>3.0043030000000002</v>
      </c>
      <c r="T7628">
        <v>-0.152158399999999</v>
      </c>
      <c r="U7628">
        <v>-8.4777829999999998E-2</v>
      </c>
      <c r="V7628">
        <v>1.8443049999999999E-2</v>
      </c>
      <c r="W7628">
        <v>-0.1184171</v>
      </c>
      <c r="X7628">
        <v>0.99279269999999997</v>
      </c>
      <c r="Y7628">
        <v>4.1997260000000002E-2</v>
      </c>
      <c r="Z7628">
        <v>-1.820962E-3</v>
      </c>
      <c r="AA7628">
        <v>0.99911609999999995</v>
      </c>
      <c r="AB7628">
        <v>29</v>
      </c>
      <c r="AC7628">
        <v>21.951499999999999</v>
      </c>
      <c r="AD7628">
        <v>-1.11959981059339</v>
      </c>
      <c r="AE7628">
        <v>-0.62572999999999701</v>
      </c>
      <c r="AF7628">
        <v>0.92778607980672201</v>
      </c>
      <c r="AG7628">
        <v>-1.11959981059339</v>
      </c>
      <c r="AH7628">
        <v>21.8838259101306</v>
      </c>
      <c r="AI7628">
        <v>92.926135516211005</v>
      </c>
      <c r="AJ7628">
        <v>87.572343520146106</v>
      </c>
      <c r="AK7628">
        <v>21.932079865135201</v>
      </c>
      <c r="AL7628">
        <v>96.800757376883396</v>
      </c>
      <c r="AM7628">
        <v>88.935742180802805</v>
      </c>
      <c r="AN7628">
        <v>1.0000000504194999</v>
      </c>
    </row>
    <row r="7629" spans="1:40" x14ac:dyDescent="0.25">
      <c r="A7629" t="str">
        <f>"20190303154959566"</f>
        <v>20190303154959566</v>
      </c>
      <c r="B7629" t="str">
        <f>"1551599399558692"</f>
        <v>1551599399558692</v>
      </c>
      <c r="C7629" t="s">
        <v>40</v>
      </c>
      <c r="D7629">
        <v>5.8848370000000001</v>
      </c>
      <c r="E7629">
        <v>0.50752629999999999</v>
      </c>
      <c r="F7629" t="s">
        <v>77</v>
      </c>
      <c r="G7629">
        <v>-232.59280000000001</v>
      </c>
      <c r="H7629" s="1">
        <v>-9.2757070000000004E-7</v>
      </c>
      <c r="I7629">
        <v>-63.495950000000001</v>
      </c>
      <c r="J7629">
        <v>-254.0976</v>
      </c>
      <c r="K7629">
        <v>1.119588</v>
      </c>
      <c r="L7629">
        <v>-62.892940000000003</v>
      </c>
      <c r="M7629">
        <v>0.99987519999999996</v>
      </c>
      <c r="N7629">
        <v>-7.8815380000000004E-3</v>
      </c>
      <c r="O7629">
        <v>1.369829E-2</v>
      </c>
      <c r="P7629">
        <v>0.99192329999999995</v>
      </c>
      <c r="Q7629">
        <v>-0.1267498</v>
      </c>
      <c r="R7629">
        <v>-4.7984580000000002E-3</v>
      </c>
      <c r="S7629">
        <v>3.004089</v>
      </c>
      <c r="T7629">
        <v>-0.1552557</v>
      </c>
      <c r="U7629">
        <v>-8.3343509999999996E-2</v>
      </c>
      <c r="V7629">
        <v>1.831035E-2</v>
      </c>
      <c r="W7629">
        <v>-0.1189409</v>
      </c>
      <c r="X7629">
        <v>0.99273250000000002</v>
      </c>
      <c r="Y7629">
        <v>4.1346830000000001E-2</v>
      </c>
      <c r="Z7629">
        <v>-1.830087E-3</v>
      </c>
      <c r="AA7629">
        <v>0.99914320000000001</v>
      </c>
      <c r="AB7629">
        <v>29</v>
      </c>
      <c r="AC7629">
        <v>21.5047999999999</v>
      </c>
      <c r="AD7629">
        <v>-1.1195889275706901</v>
      </c>
      <c r="AE7629">
        <v>-0.60300999999999705</v>
      </c>
      <c r="AF7629">
        <v>0.89511723688532896</v>
      </c>
      <c r="AG7629">
        <v>-1.1195889275706901</v>
      </c>
      <c r="AH7629">
        <v>21.436464224149699</v>
      </c>
      <c r="AI7629">
        <v>92.9871432049232</v>
      </c>
      <c r="AJ7629">
        <v>87.608903114062997</v>
      </c>
      <c r="AK7629">
        <v>21.4843364493241</v>
      </c>
      <c r="AL7629">
        <v>96.830982782488604</v>
      </c>
      <c r="AM7629">
        <v>88.943333845123803</v>
      </c>
      <c r="AN7629">
        <v>1.00000001158309</v>
      </c>
    </row>
    <row r="7630" spans="1:40" x14ac:dyDescent="0.25">
      <c r="A7630" t="str">
        <f>"20190303154959577"</f>
        <v>20190303154959577</v>
      </c>
      <c r="B7630" t="str">
        <f>"1551599399568450"</f>
        <v>1551599399568450</v>
      </c>
      <c r="C7630" t="s">
        <v>40</v>
      </c>
      <c r="D7630">
        <v>5.8165089999999999</v>
      </c>
      <c r="E7630">
        <v>0.5074419</v>
      </c>
      <c r="F7630" t="s">
        <v>77</v>
      </c>
      <c r="G7630">
        <v>-232.8914</v>
      </c>
      <c r="H7630" s="1">
        <v>-1.0506829999999999E-6</v>
      </c>
      <c r="I7630">
        <v>-63.477179999999997</v>
      </c>
      <c r="J7630">
        <v>-253.93940000000001</v>
      </c>
      <c r="K7630">
        <v>1.1195850000000001</v>
      </c>
      <c r="L7630">
        <v>-62.89096</v>
      </c>
      <c r="M7630">
        <v>0.99987749999999997</v>
      </c>
      <c r="N7630">
        <v>-7.8931149999999992E-3</v>
      </c>
      <c r="O7630">
        <v>1.352479E-2</v>
      </c>
      <c r="P7630">
        <v>0.99187239999999999</v>
      </c>
      <c r="Q7630">
        <v>-0.12715070000000001</v>
      </c>
      <c r="R7630">
        <v>-4.6734339999999997E-3</v>
      </c>
      <c r="S7630">
        <v>3.0037690000000001</v>
      </c>
      <c r="T7630">
        <v>-0.15858520000000001</v>
      </c>
      <c r="U7630">
        <v>-8.2763669999999998E-2</v>
      </c>
      <c r="V7630">
        <v>1.8012179999999999E-2</v>
      </c>
      <c r="W7630">
        <v>-0.11933050000000001</v>
      </c>
      <c r="X7630">
        <v>0.9926912</v>
      </c>
      <c r="Y7630">
        <v>4.0981179999999999E-2</v>
      </c>
      <c r="Z7630">
        <v>-1.849512E-3</v>
      </c>
      <c r="AA7630">
        <v>0.9991582</v>
      </c>
      <c r="AB7630">
        <v>29</v>
      </c>
      <c r="AC7630">
        <v>21.047999999999998</v>
      </c>
      <c r="AD7630">
        <v>-1.119586050683</v>
      </c>
      <c r="AE7630">
        <v>-0.58622000000000396</v>
      </c>
      <c r="AF7630">
        <v>0.86838988104113901</v>
      </c>
      <c r="AG7630">
        <v>-1.119586050683</v>
      </c>
      <c r="AH7630">
        <v>20.978834633360599</v>
      </c>
      <c r="AI7630">
        <v>93.052220554086006</v>
      </c>
      <c r="AJ7630">
        <v>87.629673530659801</v>
      </c>
      <c r="AK7630">
        <v>21.026627796303099</v>
      </c>
      <c r="AL7630">
        <v>96.853465331525896</v>
      </c>
      <c r="AM7630">
        <v>88.960493799662402</v>
      </c>
      <c r="AN7630">
        <v>1.00000001270802</v>
      </c>
    </row>
    <row r="7631" spans="1:40" x14ac:dyDescent="0.25">
      <c r="A7631" t="str">
        <f>"20190303154959588"</f>
        <v>20190303154959588</v>
      </c>
      <c r="B7631" t="str">
        <f>"1551599399578210"</f>
        <v>1551599399578210</v>
      </c>
      <c r="C7631" t="s">
        <v>40</v>
      </c>
      <c r="D7631">
        <v>5.8560559999999997</v>
      </c>
      <c r="E7631">
        <v>0.50739939999999994</v>
      </c>
      <c r="F7631" t="s">
        <v>77</v>
      </c>
      <c r="G7631">
        <v>-232.97380000000001</v>
      </c>
      <c r="H7631" s="1">
        <v>-1.081619E-6</v>
      </c>
      <c r="I7631">
        <v>-63.460720000000002</v>
      </c>
      <c r="J7631">
        <v>-253.80119999999999</v>
      </c>
      <c r="K7631">
        <v>1.1195809999999999</v>
      </c>
      <c r="L7631">
        <v>-62.889220000000002</v>
      </c>
      <c r="M7631">
        <v>0.99987930000000003</v>
      </c>
      <c r="N7631">
        <v>-7.9031469999999993E-3</v>
      </c>
      <c r="O7631">
        <v>1.337352E-2</v>
      </c>
      <c r="P7631">
        <v>0.99186070000000004</v>
      </c>
      <c r="Q7631">
        <v>-0.12723400000000001</v>
      </c>
      <c r="R7631">
        <v>-4.8901229999999997E-3</v>
      </c>
      <c r="S7631">
        <v>3.0036160000000001</v>
      </c>
      <c r="T7631">
        <v>-0.16039629999999999</v>
      </c>
      <c r="U7631">
        <v>-8.1634520000000002E-2</v>
      </c>
      <c r="V7631">
        <v>1.8078319999999998E-2</v>
      </c>
      <c r="W7631">
        <v>-0.119404</v>
      </c>
      <c r="X7631">
        <v>0.99268109999999998</v>
      </c>
      <c r="Y7631">
        <v>4.0455320000000003E-2</v>
      </c>
      <c r="Z7631">
        <v>-1.8471640000000001E-3</v>
      </c>
      <c r="AA7631">
        <v>0.9991797</v>
      </c>
      <c r="AB7631">
        <v>29</v>
      </c>
      <c r="AC7631">
        <v>20.827399999999901</v>
      </c>
      <c r="AD7631">
        <v>-1.1195820816190001</v>
      </c>
      <c r="AE7631">
        <v>-0.57150000000000001</v>
      </c>
      <c r="AF7631">
        <v>0.84754599869458802</v>
      </c>
      <c r="AG7631">
        <v>-1.1195820816190001</v>
      </c>
      <c r="AH7631">
        <v>20.757956474990401</v>
      </c>
      <c r="AI7631">
        <v>93.084696086951496</v>
      </c>
      <c r="AJ7631">
        <v>87.6619157713493</v>
      </c>
      <c r="AK7631">
        <v>20.805397263089699</v>
      </c>
      <c r="AL7631">
        <v>96.857707305150299</v>
      </c>
      <c r="AM7631">
        <v>88.956667004005496</v>
      </c>
      <c r="AN7631">
        <v>0.99999995358361504</v>
      </c>
    </row>
    <row r="7632" spans="1:40" x14ac:dyDescent="0.25">
      <c r="A7632" t="str">
        <f>"20190303154959599"</f>
        <v>20190303154959599</v>
      </c>
      <c r="B7632" t="str">
        <f>"1551599399587971"</f>
        <v>1551599399587971</v>
      </c>
      <c r="C7632" t="s">
        <v>40</v>
      </c>
      <c r="D7632">
        <v>5.8472419999999996</v>
      </c>
      <c r="E7632">
        <v>0.50733320000000004</v>
      </c>
      <c r="F7632" t="s">
        <v>77</v>
      </c>
      <c r="G7632">
        <v>-233.00389999999999</v>
      </c>
      <c r="H7632" s="1">
        <v>-1.093425E-6</v>
      </c>
      <c r="I7632">
        <v>-63.456539999999997</v>
      </c>
      <c r="J7632">
        <v>-253.65379999999999</v>
      </c>
      <c r="K7632">
        <v>1.119578</v>
      </c>
      <c r="L7632">
        <v>-62.887390000000003</v>
      </c>
      <c r="M7632">
        <v>0.99988140000000003</v>
      </c>
      <c r="N7632">
        <v>-7.9138160000000006E-3</v>
      </c>
      <c r="O7632">
        <v>1.3212059999999999E-2</v>
      </c>
      <c r="P7632">
        <v>0.99181859999999999</v>
      </c>
      <c r="Q7632">
        <v>-0.1275577</v>
      </c>
      <c r="R7632">
        <v>-4.968732E-3</v>
      </c>
      <c r="S7632">
        <v>3.003479</v>
      </c>
      <c r="T7632">
        <v>-0.1616862</v>
      </c>
      <c r="U7632">
        <v>-8.1939699999999893E-2</v>
      </c>
      <c r="V7632">
        <v>1.7996120000000001E-2</v>
      </c>
      <c r="W7632">
        <v>-0.1197174</v>
      </c>
      <c r="X7632">
        <v>0.99264490000000005</v>
      </c>
      <c r="Y7632">
        <v>4.039566E-2</v>
      </c>
      <c r="Z7632">
        <v>-1.852469E-3</v>
      </c>
      <c r="AA7632">
        <v>0.99918200000000001</v>
      </c>
      <c r="AB7632">
        <v>29</v>
      </c>
      <c r="AC7632">
        <v>20.649899999999999</v>
      </c>
      <c r="AD7632">
        <v>-1.1195790934250001</v>
      </c>
      <c r="AE7632">
        <v>-0.56915000000000004</v>
      </c>
      <c r="AF7632">
        <v>0.83947082871507495</v>
      </c>
      <c r="AG7632">
        <v>-1.1195790934250001</v>
      </c>
      <c r="AH7632">
        <v>20.580128228376001</v>
      </c>
      <c r="AI7632">
        <v>93.111294825876399</v>
      </c>
      <c r="AJ7632">
        <v>87.664179469962903</v>
      </c>
      <c r="AK7632">
        <v>20.627647624367999</v>
      </c>
      <c r="AL7632">
        <v>96.875793169863897</v>
      </c>
      <c r="AM7632">
        <v>88.961372008006293</v>
      </c>
      <c r="AN7632">
        <v>1.0000000068469099</v>
      </c>
    </row>
    <row r="7633" spans="1:40" x14ac:dyDescent="0.25">
      <c r="A7633" t="str">
        <f>"20190303154959610"</f>
        <v>20190303154959610</v>
      </c>
      <c r="B7633" t="str">
        <f>"1551599399598707"</f>
        <v>1551599399598707</v>
      </c>
      <c r="C7633" t="s">
        <v>40</v>
      </c>
      <c r="D7633">
        <v>5.7625000000000002</v>
      </c>
      <c r="E7633">
        <v>0.507409</v>
      </c>
      <c r="F7633" t="s">
        <v>77</v>
      </c>
      <c r="G7633">
        <v>-233.08459999999999</v>
      </c>
      <c r="H7633" s="1">
        <v>-1.1254010000000001E-6</v>
      </c>
      <c r="I7633">
        <v>-63.446640000000002</v>
      </c>
      <c r="J7633">
        <v>-253.52549999999999</v>
      </c>
      <c r="K7633">
        <v>1.1195740000000001</v>
      </c>
      <c r="L7633">
        <v>-62.885860000000001</v>
      </c>
      <c r="M7633">
        <v>0.99988319999999997</v>
      </c>
      <c r="N7633">
        <v>-7.9231149999999997E-3</v>
      </c>
      <c r="O7633">
        <v>1.3071650000000001E-2</v>
      </c>
      <c r="P7633">
        <v>0.99180469999999998</v>
      </c>
      <c r="Q7633">
        <v>-0.12766279999999999</v>
      </c>
      <c r="R7633">
        <v>-5.0419189999999997E-3</v>
      </c>
      <c r="S7633">
        <v>3.0032960000000002</v>
      </c>
      <c r="T7633">
        <v>-0.1634688</v>
      </c>
      <c r="U7633">
        <v>-8.1665039999999994E-2</v>
      </c>
      <c r="V7633">
        <v>1.792962E-2</v>
      </c>
      <c r="W7633">
        <v>-0.1198134</v>
      </c>
      <c r="X7633">
        <v>0.99263449999999998</v>
      </c>
      <c r="Y7633">
        <v>4.0164470000000001E-2</v>
      </c>
      <c r="Z7633">
        <v>-1.858707E-3</v>
      </c>
      <c r="AA7633">
        <v>0.9991913</v>
      </c>
      <c r="AB7633">
        <v>29</v>
      </c>
      <c r="AC7633">
        <v>20.440899999999999</v>
      </c>
      <c r="AD7633">
        <v>-1.119575125401</v>
      </c>
      <c r="AE7633">
        <v>-0.56078000000000106</v>
      </c>
      <c r="AF7633">
        <v>0.82546231499022005</v>
      </c>
      <c r="AG7633">
        <v>-1.119575125401</v>
      </c>
      <c r="AH7633">
        <v>20.3707586835875</v>
      </c>
      <c r="AI7633">
        <v>93.1432318094961</v>
      </c>
      <c r="AJ7633">
        <v>87.679534366718499</v>
      </c>
      <c r="AK7633">
        <v>20.4181939906506</v>
      </c>
      <c r="AL7633">
        <v>96.881333584107395</v>
      </c>
      <c r="AM7633">
        <v>88.965198313318297</v>
      </c>
      <c r="AN7633">
        <v>0.99999998634157705</v>
      </c>
    </row>
    <row r="7634" spans="1:40" x14ac:dyDescent="0.25">
      <c r="A7634" t="str">
        <f>"20190303154959621"</f>
        <v>20190303154959621</v>
      </c>
      <c r="B7634" t="str">
        <f>"1551599399618227"</f>
        <v>1551599399618227</v>
      </c>
      <c r="C7634" t="s">
        <v>40</v>
      </c>
      <c r="D7634">
        <v>5.7860589999999998</v>
      </c>
      <c r="E7634">
        <v>0.50740160000000001</v>
      </c>
      <c r="F7634" t="s">
        <v>77</v>
      </c>
      <c r="G7634">
        <v>-233.1644</v>
      </c>
      <c r="H7634" s="1">
        <v>-1.1589710000000001E-6</v>
      </c>
      <c r="I7634">
        <v>-63.444049999999997</v>
      </c>
      <c r="J7634">
        <v>-253.37110000000001</v>
      </c>
      <c r="K7634">
        <v>1.1195710000000001</v>
      </c>
      <c r="L7634">
        <v>-62.883969999999998</v>
      </c>
      <c r="M7634">
        <v>0.99988540000000004</v>
      </c>
      <c r="N7634">
        <v>-7.9343199999999999E-3</v>
      </c>
      <c r="O7634">
        <v>1.2902439999999999E-2</v>
      </c>
      <c r="P7634">
        <v>0.99179030000000001</v>
      </c>
      <c r="Q7634">
        <v>-0.12777749999999999</v>
      </c>
      <c r="R7634">
        <v>-5.0130579999999999E-3</v>
      </c>
      <c r="S7634">
        <v>3.0031129999999999</v>
      </c>
      <c r="T7634">
        <v>-0.1651289</v>
      </c>
      <c r="U7634">
        <v>-8.2336430000000002E-2</v>
      </c>
      <c r="V7634">
        <v>1.7732399999999999E-2</v>
      </c>
      <c r="W7634">
        <v>-0.11991690000000001</v>
      </c>
      <c r="X7634">
        <v>0.99262550000000005</v>
      </c>
      <c r="Y7634">
        <v>4.0218700000000003E-2</v>
      </c>
      <c r="Z7634">
        <v>-1.8709289999999999E-3</v>
      </c>
      <c r="AA7634">
        <v>0.99918910000000005</v>
      </c>
      <c r="AB7634">
        <v>29</v>
      </c>
      <c r="AC7634">
        <v>20.206700000000001</v>
      </c>
      <c r="AD7634">
        <v>-1.1195721589709999</v>
      </c>
      <c r="AE7634">
        <v>-0.56007999999999902</v>
      </c>
      <c r="AF7634">
        <v>0.81824733949625705</v>
      </c>
      <c r="AG7634">
        <v>-1.1195721589709999</v>
      </c>
      <c r="AH7634">
        <v>20.136024677847502</v>
      </c>
      <c r="AI7634">
        <v>93.179775935896004</v>
      </c>
      <c r="AJ7634">
        <v>87.673009434148796</v>
      </c>
      <c r="AK7634">
        <v>20.1837177039965</v>
      </c>
      <c r="AL7634">
        <v>96.887307069203402</v>
      </c>
      <c r="AM7634">
        <v>88.976569084335196</v>
      </c>
      <c r="AN7634">
        <v>0.99999994208280796</v>
      </c>
    </row>
    <row r="7635" spans="1:40" x14ac:dyDescent="0.25">
      <c r="A7635" t="str">
        <f>"20190303154959630"</f>
        <v>20190303154959630</v>
      </c>
      <c r="B7635" t="str">
        <f>"1551599399618227"</f>
        <v>1551599399618227</v>
      </c>
      <c r="C7635" t="s">
        <v>40</v>
      </c>
      <c r="D7635">
        <v>5.7860589999999998</v>
      </c>
      <c r="E7635">
        <v>0.50740160000000001</v>
      </c>
      <c r="F7635" t="s">
        <v>77</v>
      </c>
      <c r="G7635">
        <v>-233.30350000000001</v>
      </c>
      <c r="H7635" s="1">
        <v>-1.2154020000000001E-6</v>
      </c>
      <c r="I7635">
        <v>-63.431910000000002</v>
      </c>
      <c r="J7635">
        <v>-253.2432</v>
      </c>
      <c r="K7635">
        <v>1.119572</v>
      </c>
      <c r="L7635">
        <v>-62.882480000000001</v>
      </c>
      <c r="M7635">
        <v>0.99988699999999997</v>
      </c>
      <c r="N7635">
        <v>-7.9435859999999903E-3</v>
      </c>
      <c r="O7635">
        <v>1.2762559999999999E-2</v>
      </c>
      <c r="P7635">
        <v>0.99175199999999997</v>
      </c>
      <c r="Q7635">
        <v>-0.12807550000000001</v>
      </c>
      <c r="R7635">
        <v>-5.0020120000000001E-3</v>
      </c>
      <c r="S7635">
        <v>3.002853</v>
      </c>
      <c r="T7635">
        <v>-0.16752909999999999</v>
      </c>
      <c r="U7635">
        <v>-8.2000729999999994E-2</v>
      </c>
      <c r="V7635">
        <v>1.7581590000000001E-2</v>
      </c>
      <c r="W7635">
        <v>-0.1202058</v>
      </c>
      <c r="X7635">
        <v>0.99259330000000001</v>
      </c>
      <c r="Y7635">
        <v>3.9967849999999999E-2</v>
      </c>
      <c r="Z7635">
        <v>-1.882807E-3</v>
      </c>
      <c r="AA7635">
        <v>0.99919919999999995</v>
      </c>
      <c r="AB7635">
        <v>29</v>
      </c>
      <c r="AC7635">
        <v>19.939699999999899</v>
      </c>
      <c r="AD7635">
        <v>-1.1195732154019999</v>
      </c>
      <c r="AE7635">
        <v>-0.54942999999998599</v>
      </c>
      <c r="AF7635">
        <v>0.80135048202896297</v>
      </c>
      <c r="AG7635">
        <v>-1.1195732154019999</v>
      </c>
      <c r="AH7635">
        <v>19.868473889313201</v>
      </c>
      <c r="AI7635">
        <v>93.222547906231696</v>
      </c>
      <c r="AJ7635">
        <v>87.690354655891298</v>
      </c>
      <c r="AK7635">
        <v>19.9161206430874</v>
      </c>
      <c r="AL7635">
        <v>96.9039800059589</v>
      </c>
      <c r="AM7635">
        <v>88.985238390894395</v>
      </c>
      <c r="AN7635">
        <v>1.0000000029327201</v>
      </c>
    </row>
    <row r="7636" spans="1:40" x14ac:dyDescent="0.25">
      <c r="A7636" t="str">
        <f>"20190303154959639"</f>
        <v>20190303154959639</v>
      </c>
      <c r="B7636" t="str">
        <f>"1551599399627987"</f>
        <v>1551599399627987</v>
      </c>
      <c r="C7636" t="s">
        <v>40</v>
      </c>
      <c r="D7636">
        <v>5.8369920000000004</v>
      </c>
      <c r="E7636">
        <v>0.50733260000000002</v>
      </c>
      <c r="F7636" t="s">
        <v>77</v>
      </c>
      <c r="G7636">
        <v>-233.28210000000001</v>
      </c>
      <c r="H7636" s="1">
        <v>-1.2049999999999999E-6</v>
      </c>
      <c r="I7636">
        <v>-63.427309999999999</v>
      </c>
      <c r="J7636">
        <v>-253.12899999999999</v>
      </c>
      <c r="K7636">
        <v>1.1195710000000001</v>
      </c>
      <c r="L7636">
        <v>-62.881129999999999</v>
      </c>
      <c r="M7636">
        <v>0.99988849999999996</v>
      </c>
      <c r="N7636">
        <v>-7.9518569999999997E-3</v>
      </c>
      <c r="O7636">
        <v>1.2637529999999999E-2</v>
      </c>
      <c r="P7636">
        <v>0.99175489999999999</v>
      </c>
      <c r="Q7636">
        <v>-0.1280587</v>
      </c>
      <c r="R7636">
        <v>-4.8248220000000003E-3</v>
      </c>
      <c r="S7636">
        <v>3.0027919999999999</v>
      </c>
      <c r="T7636">
        <v>-0.16841979999999901</v>
      </c>
      <c r="U7636">
        <v>-8.1970210000000002E-2</v>
      </c>
      <c r="V7636">
        <v>1.7280449999999999E-2</v>
      </c>
      <c r="W7636">
        <v>-0.1201807</v>
      </c>
      <c r="X7636">
        <v>0.99260159999999997</v>
      </c>
      <c r="Y7636">
        <v>3.9832810000000003E-2</v>
      </c>
      <c r="Z7636">
        <v>-1.882262E-3</v>
      </c>
      <c r="AA7636">
        <v>0.9992046</v>
      </c>
      <c r="AB7636">
        <v>29</v>
      </c>
      <c r="AC7636">
        <v>19.846900000000002</v>
      </c>
      <c r="AD7636">
        <v>-1.1195722050000001</v>
      </c>
      <c r="AE7636">
        <v>-0.54617999999999201</v>
      </c>
      <c r="AF7636">
        <v>0.794434026757045</v>
      </c>
      <c r="AG7636">
        <v>-1.1195722050000001</v>
      </c>
      <c r="AH7636">
        <v>19.775531579686302</v>
      </c>
      <c r="AI7636">
        <v>93.237679180575</v>
      </c>
      <c r="AJ7636">
        <v>87.6995179980931</v>
      </c>
      <c r="AK7636">
        <v>19.823123280760999</v>
      </c>
      <c r="AL7636">
        <v>96.902531570633201</v>
      </c>
      <c r="AM7636">
        <v>89.002624170235293</v>
      </c>
      <c r="AN7636">
        <v>0.99999997546362496</v>
      </c>
    </row>
    <row r="7637" spans="1:40" x14ac:dyDescent="0.25">
      <c r="A7637" t="str">
        <f>"20190303154959651"</f>
        <v>20190303154959651</v>
      </c>
      <c r="B7637" t="str">
        <f>"1551599399648484"</f>
        <v>1551599399648484</v>
      </c>
      <c r="C7637" t="s">
        <v>40</v>
      </c>
      <c r="D7637">
        <v>5.7928940000000004</v>
      </c>
      <c r="E7637">
        <v>0.50729799999999903</v>
      </c>
      <c r="F7637" t="s">
        <v>77</v>
      </c>
      <c r="G7637">
        <v>-233.24979999999999</v>
      </c>
      <c r="H7637" s="1">
        <v>-1.1880530000000001E-6</v>
      </c>
      <c r="I7637">
        <v>-63.415669999999999</v>
      </c>
      <c r="J7637">
        <v>-252.976</v>
      </c>
      <c r="K7637">
        <v>1.11957</v>
      </c>
      <c r="L7637">
        <v>-62.879359999999998</v>
      </c>
      <c r="M7637">
        <v>0.99989059999999996</v>
      </c>
      <c r="N7637">
        <v>-7.9629399999999999E-3</v>
      </c>
      <c r="O7637">
        <v>1.247029E-2</v>
      </c>
      <c r="P7637">
        <v>0.9917608</v>
      </c>
      <c r="Q7637">
        <v>-0.12801070000000001</v>
      </c>
      <c r="R7637">
        <v>-4.9002519999999999E-3</v>
      </c>
      <c r="S7637">
        <v>3.0027159999999999</v>
      </c>
      <c r="T7637">
        <v>-0.1691097</v>
      </c>
      <c r="U7637">
        <v>-8.0749509999999997E-2</v>
      </c>
      <c r="V7637">
        <v>1.7190150000000001E-2</v>
      </c>
      <c r="W7637">
        <v>-0.1201216</v>
      </c>
      <c r="X7637">
        <v>0.99261029999999995</v>
      </c>
      <c r="Y7637">
        <v>3.9260980000000001E-2</v>
      </c>
      <c r="Z7637">
        <v>-1.8634140000000001E-3</v>
      </c>
      <c r="AA7637">
        <v>0.99922719999999998</v>
      </c>
      <c r="AB7637">
        <v>29</v>
      </c>
      <c r="AC7637">
        <v>19.726199999999999</v>
      </c>
      <c r="AD7637">
        <v>-1.1195711880529999</v>
      </c>
      <c r="AE7637">
        <v>-0.53630999999999995</v>
      </c>
      <c r="AF7637">
        <v>0.77975762009622596</v>
      </c>
      <c r="AG7637">
        <v>-1.1195711880529999</v>
      </c>
      <c r="AH7637">
        <v>19.654713064372299</v>
      </c>
      <c r="AI7637">
        <v>93.257600427368999</v>
      </c>
      <c r="AJ7637">
        <v>87.728107084560094</v>
      </c>
      <c r="AK7637">
        <v>19.702010233324501</v>
      </c>
      <c r="AL7637">
        <v>96.899120829964602</v>
      </c>
      <c r="AM7637">
        <v>89.0078436656364</v>
      </c>
      <c r="AN7637">
        <v>0.99999995385483498</v>
      </c>
    </row>
    <row r="7638" spans="1:40" x14ac:dyDescent="0.25">
      <c r="A7638" t="str">
        <f>"20190303154959662"</f>
        <v>20190303154959662</v>
      </c>
      <c r="B7638" t="str">
        <f>"1551599399658243"</f>
        <v>1551599399658243</v>
      </c>
      <c r="C7638" t="s">
        <v>40</v>
      </c>
      <c r="D7638">
        <v>5.7753860000000001</v>
      </c>
      <c r="E7638">
        <v>0.5073088</v>
      </c>
      <c r="F7638" t="s">
        <v>77</v>
      </c>
      <c r="G7638">
        <v>-233.2056</v>
      </c>
      <c r="H7638" s="1">
        <v>-1.1676189999999999E-6</v>
      </c>
      <c r="I7638">
        <v>-63.41019</v>
      </c>
      <c r="J7638">
        <v>-252.83420000000001</v>
      </c>
      <c r="K7638">
        <v>1.119569</v>
      </c>
      <c r="L7638">
        <v>-62.877749999999999</v>
      </c>
      <c r="M7638">
        <v>0.99989240000000001</v>
      </c>
      <c r="N7638">
        <v>-7.9732150000000005E-3</v>
      </c>
      <c r="O7638">
        <v>1.231527E-2</v>
      </c>
      <c r="P7638">
        <v>0.9917146</v>
      </c>
      <c r="Q7638">
        <v>-0.1283753</v>
      </c>
      <c r="R7638">
        <v>-4.7370909999999997E-3</v>
      </c>
      <c r="S7638">
        <v>3.0025789999999999</v>
      </c>
      <c r="T7638">
        <v>-0.170031399999999</v>
      </c>
      <c r="U7638">
        <v>-8.0627439999999995E-2</v>
      </c>
      <c r="V7638">
        <v>1.687197E-2</v>
      </c>
      <c r="W7638">
        <v>-0.120476</v>
      </c>
      <c r="X7638">
        <v>0.99257280000000003</v>
      </c>
      <c r="Y7638">
        <v>3.9066320000000002E-2</v>
      </c>
      <c r="Z7638">
        <v>-1.8595840000000001E-3</v>
      </c>
      <c r="AA7638">
        <v>0.99923490000000004</v>
      </c>
      <c r="AB7638">
        <v>29</v>
      </c>
      <c r="AC7638">
        <v>19.628599999999999</v>
      </c>
      <c r="AD7638">
        <v>-1.119570167619</v>
      </c>
      <c r="AE7638">
        <v>-0.53244000000000102</v>
      </c>
      <c r="AF7638">
        <v>0.77163030782601205</v>
      </c>
      <c r="AG7638">
        <v>-1.119570167619</v>
      </c>
      <c r="AH7638">
        <v>19.556976093284302</v>
      </c>
      <c r="AI7638">
        <v>93.273870189195094</v>
      </c>
      <c r="AJ7638">
        <v>87.740538237302104</v>
      </c>
      <c r="AK7638">
        <v>19.6041874252791</v>
      </c>
      <c r="AL7638">
        <v>96.919575049285299</v>
      </c>
      <c r="AM7638">
        <v>89.026167567768297</v>
      </c>
      <c r="AN7638">
        <v>0.99999994662375902</v>
      </c>
    </row>
    <row r="7639" spans="1:40" x14ac:dyDescent="0.25">
      <c r="A7639" t="str">
        <f>"20190303154959673"</f>
        <v>20190303154959673</v>
      </c>
      <c r="B7639" t="str">
        <f>"1551599399668002"</f>
        <v>1551599399668002</v>
      </c>
      <c r="C7639" t="s">
        <v>40</v>
      </c>
      <c r="D7639">
        <v>5.7994349999999999</v>
      </c>
      <c r="E7639">
        <v>0.50728569999999995</v>
      </c>
      <c r="F7639" t="s">
        <v>77</v>
      </c>
      <c r="G7639">
        <v>-233.28700000000001</v>
      </c>
      <c r="H7639" s="1">
        <v>-1.1999580000000001E-6</v>
      </c>
      <c r="I7639">
        <v>-63.40043</v>
      </c>
      <c r="J7639">
        <v>-252.68379999999999</v>
      </c>
      <c r="K7639">
        <v>1.1195660000000001</v>
      </c>
      <c r="L7639">
        <v>-62.876069999999999</v>
      </c>
      <c r="M7639">
        <v>0.99989439999999996</v>
      </c>
      <c r="N7639">
        <v>-7.9840689999999999E-3</v>
      </c>
      <c r="O7639">
        <v>1.215071E-2</v>
      </c>
      <c r="P7639">
        <v>0.99169510000000005</v>
      </c>
      <c r="Q7639">
        <v>-0.12853100000000001</v>
      </c>
      <c r="R7639">
        <v>-4.5694309999999997E-3</v>
      </c>
      <c r="S7639">
        <v>3.0023960000000001</v>
      </c>
      <c r="T7639">
        <v>-0.17196330000000001</v>
      </c>
      <c r="U7639">
        <v>-8.0291749999999995E-2</v>
      </c>
      <c r="V7639">
        <v>1.6540860000000001E-2</v>
      </c>
      <c r="W7639">
        <v>-0.1206209</v>
      </c>
      <c r="X7639">
        <v>0.99256080000000002</v>
      </c>
      <c r="Y7639">
        <v>3.8790650000000003E-2</v>
      </c>
      <c r="Z7639">
        <v>-1.8631279999999999E-3</v>
      </c>
      <c r="AA7639">
        <v>0.99924559999999996</v>
      </c>
      <c r="AB7639">
        <v>29</v>
      </c>
      <c r="AC7639">
        <v>19.396799999999899</v>
      </c>
      <c r="AD7639">
        <v>-1.1195671999579999</v>
      </c>
      <c r="AE7639">
        <v>-0.52436000000000804</v>
      </c>
      <c r="AF7639">
        <v>0.75749192535523702</v>
      </c>
      <c r="AG7639">
        <v>-1.1195671999579999</v>
      </c>
      <c r="AH7639">
        <v>19.324663286629001</v>
      </c>
      <c r="AI7639">
        <v>93.313164732225701</v>
      </c>
      <c r="AJ7639">
        <v>87.755258055757295</v>
      </c>
      <c r="AK7639">
        <v>19.371882610468901</v>
      </c>
      <c r="AL7639">
        <v>96.927938022807396</v>
      </c>
      <c r="AM7639">
        <v>89.045263776835995</v>
      </c>
      <c r="AN7639">
        <v>0.99999997163149401</v>
      </c>
    </row>
    <row r="7640" spans="1:40" x14ac:dyDescent="0.25">
      <c r="A7640" t="str">
        <f>"20190303154959684"</f>
        <v>20190303154959684</v>
      </c>
      <c r="B7640" t="str">
        <f>"1551599399677763"</f>
        <v>1551599399677763</v>
      </c>
      <c r="C7640" t="s">
        <v>40</v>
      </c>
      <c r="D7640">
        <v>5.8251470000000003</v>
      </c>
      <c r="E7640">
        <v>0.5070114</v>
      </c>
      <c r="F7640" t="s">
        <v>77</v>
      </c>
      <c r="G7640">
        <v>-233.2483</v>
      </c>
      <c r="H7640" s="1">
        <v>-1.1808359999999999E-6</v>
      </c>
      <c r="I7640">
        <v>-63.391030000000001</v>
      </c>
      <c r="J7640">
        <v>-252.53700000000001</v>
      </c>
      <c r="K7640">
        <v>1.119569</v>
      </c>
      <c r="L7640">
        <v>-62.874419999999901</v>
      </c>
      <c r="M7640">
        <v>0.99989620000000001</v>
      </c>
      <c r="N7640">
        <v>-7.9946740000000002E-3</v>
      </c>
      <c r="O7640">
        <v>1.199009E-2</v>
      </c>
      <c r="P7640">
        <v>0.99172969999999905</v>
      </c>
      <c r="Q7640">
        <v>-0.128272</v>
      </c>
      <c r="R7640">
        <v>-4.2893590000000004E-3</v>
      </c>
      <c r="S7640">
        <v>3.0023499999999999</v>
      </c>
      <c r="T7640">
        <v>-0.17294779999999901</v>
      </c>
      <c r="U7640">
        <v>-7.9559329999999998E-2</v>
      </c>
      <c r="V7640">
        <v>1.6102040000000001E-2</v>
      </c>
      <c r="W7640">
        <v>-0.1203509</v>
      </c>
      <c r="X7640">
        <v>0.99260079999999995</v>
      </c>
      <c r="Y7640">
        <v>3.8386910000000003E-2</v>
      </c>
      <c r="Z7640">
        <v>-1.852362E-3</v>
      </c>
      <c r="AA7640">
        <v>0.99926130000000002</v>
      </c>
      <c r="AB7640">
        <v>29</v>
      </c>
      <c r="AC7640">
        <v>19.288699999999999</v>
      </c>
      <c r="AD7640">
        <v>-1.1195701808359999</v>
      </c>
      <c r="AE7640">
        <v>-0.516610000000014</v>
      </c>
      <c r="AF7640">
        <v>0.74534425178886399</v>
      </c>
      <c r="AG7640">
        <v>-1.1195701808359999</v>
      </c>
      <c r="AH7640">
        <v>19.216425876021901</v>
      </c>
      <c r="AI7640">
        <v>93.331846455346493</v>
      </c>
      <c r="AJ7640">
        <v>87.778791744948904</v>
      </c>
      <c r="AK7640">
        <v>19.263436840089899</v>
      </c>
      <c r="AL7640">
        <v>96.912354568992896</v>
      </c>
      <c r="AM7640">
        <v>89.070625352039002</v>
      </c>
      <c r="AN7640">
        <v>0.99999998149180502</v>
      </c>
    </row>
    <row r="7641" spans="1:40" x14ac:dyDescent="0.25">
      <c r="A7641" t="str">
        <f>"20190303154959695"</f>
        <v>20190303154959695</v>
      </c>
      <c r="B7641" t="str">
        <f>"1551599399688499"</f>
        <v>1551599399688499</v>
      </c>
      <c r="C7641" t="s">
        <v>40</v>
      </c>
      <c r="D7641">
        <v>5.8002379999999896</v>
      </c>
      <c r="E7641">
        <v>0.5070114</v>
      </c>
      <c r="F7641" t="s">
        <v>77</v>
      </c>
      <c r="G7641">
        <v>-233.13229999999999</v>
      </c>
      <c r="H7641" s="1">
        <v>-1.125166E-6</v>
      </c>
      <c r="I7641">
        <v>-63.368850000000002</v>
      </c>
      <c r="J7641">
        <v>-252.3955</v>
      </c>
      <c r="K7641">
        <v>1.1195679999999999</v>
      </c>
      <c r="L7641">
        <v>-62.872860000000003</v>
      </c>
      <c r="M7641">
        <v>0.99989790000000001</v>
      </c>
      <c r="N7641">
        <v>-8.0048979999999999E-3</v>
      </c>
      <c r="O7641">
        <v>1.183554E-2</v>
      </c>
      <c r="P7641">
        <v>0.99166639999999995</v>
      </c>
      <c r="Q7641">
        <v>-0.12876960000000001</v>
      </c>
      <c r="R7641">
        <v>-4.0252669999999999E-3</v>
      </c>
      <c r="S7641">
        <v>3.0022739999999999</v>
      </c>
      <c r="T7641">
        <v>-0.1732185</v>
      </c>
      <c r="U7641">
        <v>-7.6507569999999997E-2</v>
      </c>
      <c r="V7641">
        <v>1.568344E-2</v>
      </c>
      <c r="W7641">
        <v>-0.1208385</v>
      </c>
      <c r="X7641">
        <v>0.99254830000000005</v>
      </c>
      <c r="Y7641">
        <v>3.7220179999999999E-2</v>
      </c>
      <c r="Z7641">
        <v>-1.809335E-3</v>
      </c>
      <c r="AA7641">
        <v>0.99930540000000001</v>
      </c>
      <c r="AB7641">
        <v>29</v>
      </c>
      <c r="AC7641">
        <v>19.263200000000001</v>
      </c>
      <c r="AD7641">
        <v>-1.119569125166</v>
      </c>
      <c r="AE7641">
        <v>-0.49599000000000598</v>
      </c>
      <c r="AF7641">
        <v>0.72151735158487695</v>
      </c>
      <c r="AG7641">
        <v>-1.119569125166</v>
      </c>
      <c r="AH7641">
        <v>19.191197449707801</v>
      </c>
      <c r="AI7641">
        <v>93.336364555379205</v>
      </c>
      <c r="AJ7641">
        <v>87.8469067390768</v>
      </c>
      <c r="AK7641">
        <v>19.237361614013899</v>
      </c>
      <c r="AL7641">
        <v>96.940497110228193</v>
      </c>
      <c r="AM7641">
        <v>89.094734084833703</v>
      </c>
      <c r="AN7641">
        <v>1.00000002060268</v>
      </c>
    </row>
    <row r="7642" spans="1:40" x14ac:dyDescent="0.25">
      <c r="A7642" t="str">
        <f>"20190303154959707"</f>
        <v>20190303154959707</v>
      </c>
      <c r="B7642" t="str">
        <f>"1551599399698258"</f>
        <v>1551599399698258</v>
      </c>
      <c r="C7642" t="s">
        <v>40</v>
      </c>
      <c r="D7642">
        <v>5.8027369999999996</v>
      </c>
      <c r="E7642">
        <v>0.48373139999999998</v>
      </c>
      <c r="F7642" t="s">
        <v>77</v>
      </c>
      <c r="G7642">
        <v>-233.15780000000001</v>
      </c>
      <c r="H7642" s="1">
        <v>-1.1331199999999999E-6</v>
      </c>
      <c r="I7642">
        <v>-63.357570000000003</v>
      </c>
      <c r="J7642">
        <v>-252.25219999999999</v>
      </c>
      <c r="K7642">
        <v>1.119569</v>
      </c>
      <c r="L7642">
        <v>-62.871339999999996</v>
      </c>
      <c r="M7642">
        <v>0.99989969999999995</v>
      </c>
      <c r="N7642">
        <v>-8.0152279999999992E-3</v>
      </c>
      <c r="O7642">
        <v>1.167879E-2</v>
      </c>
      <c r="P7642">
        <v>0.99166600000000005</v>
      </c>
      <c r="Q7642">
        <v>-0.12876879999999999</v>
      </c>
      <c r="R7642">
        <v>-4.1690649999999996E-3</v>
      </c>
      <c r="S7642">
        <v>3.0022280000000001</v>
      </c>
      <c r="T7642">
        <v>-0.1747195</v>
      </c>
      <c r="U7642">
        <v>-7.5653079999999998E-2</v>
      </c>
      <c r="V7642">
        <v>1.5671540000000001E-2</v>
      </c>
      <c r="W7642">
        <v>-0.1208275</v>
      </c>
      <c r="X7642">
        <v>0.99254980000000004</v>
      </c>
      <c r="Y7642">
        <v>3.6779270000000003E-2</v>
      </c>
      <c r="Z7642">
        <v>-1.802178E-3</v>
      </c>
      <c r="AA7642">
        <v>0.99932180000000004</v>
      </c>
      <c r="AB7642">
        <v>29</v>
      </c>
      <c r="AC7642">
        <v>19.094399999999901</v>
      </c>
      <c r="AD7642">
        <v>-1.1195701331200001</v>
      </c>
      <c r="AE7642">
        <v>-0.486229999999992</v>
      </c>
      <c r="AF7642">
        <v>0.70677525005749098</v>
      </c>
      <c r="AG7642">
        <v>-1.1195701331200001</v>
      </c>
      <c r="AH7642">
        <v>19.022065748616502</v>
      </c>
      <c r="AI7642">
        <v>93.366019672945995</v>
      </c>
      <c r="AJ7642">
        <v>87.872122837688707</v>
      </c>
      <c r="AK7642">
        <v>19.0680873157681</v>
      </c>
      <c r="AL7642">
        <v>96.939862392229202</v>
      </c>
      <c r="AM7642">
        <v>89.095422218956699</v>
      </c>
      <c r="AN7642">
        <v>0.99999999370113002</v>
      </c>
    </row>
    <row r="7643" spans="1:40" x14ac:dyDescent="0.25">
      <c r="A7643" t="str">
        <f>"20190303154959717"</f>
        <v>20190303154959717</v>
      </c>
      <c r="B7643" t="str">
        <f>"1551599399708019"</f>
        <v>1551599399708019</v>
      </c>
      <c r="C7643" t="s">
        <v>40</v>
      </c>
      <c r="D7643">
        <v>5.7489249999999998</v>
      </c>
      <c r="E7643">
        <v>0.4830371</v>
      </c>
      <c r="F7643" t="s">
        <v>77</v>
      </c>
      <c r="G7643">
        <v>-237.43170000000001</v>
      </c>
      <c r="H7643" s="1">
        <v>-2.6903579999999998E-6</v>
      </c>
      <c r="I7643">
        <v>-62.319400000000002</v>
      </c>
      <c r="J7643">
        <v>-252.10470000000001</v>
      </c>
      <c r="K7643">
        <v>1.119569</v>
      </c>
      <c r="L7643">
        <v>-62.869750000000003</v>
      </c>
      <c r="M7643">
        <v>0.9999015</v>
      </c>
      <c r="N7643">
        <v>-8.0258320000000001E-3</v>
      </c>
      <c r="O7643">
        <v>1.151751E-2</v>
      </c>
      <c r="P7643">
        <v>0.99168540000000005</v>
      </c>
      <c r="Q7643">
        <v>-0.12862799999999999</v>
      </c>
      <c r="R7643">
        <v>-3.9050500000000002E-3</v>
      </c>
      <c r="S7643">
        <v>2.9962770000000001</v>
      </c>
      <c r="T7643">
        <v>-0.22634489999999999</v>
      </c>
      <c r="U7643">
        <v>0.1115723</v>
      </c>
      <c r="V7643">
        <v>1.5247749999999999E-2</v>
      </c>
      <c r="W7643">
        <v>-0.12067559999999999</v>
      </c>
      <c r="X7643">
        <v>0.99257490000000004</v>
      </c>
      <c r="Y7643">
        <v>-2.5644239999999999E-2</v>
      </c>
      <c r="Z7643">
        <v>2.9384300000000001E-4</v>
      </c>
      <c r="AA7643">
        <v>0.99967110000000003</v>
      </c>
      <c r="AB7643">
        <v>29</v>
      </c>
      <c r="AC7643">
        <v>14.673</v>
      </c>
      <c r="AD7643">
        <v>-1.119571690358</v>
      </c>
      <c r="AE7643">
        <v>0.55035000000000101</v>
      </c>
      <c r="AF7643">
        <v>-0.37910760061114601</v>
      </c>
      <c r="AG7643">
        <v>-1.119571690358</v>
      </c>
      <c r="AH7643">
        <v>14.5935226486835</v>
      </c>
      <c r="AI7643">
        <v>94.385495157648407</v>
      </c>
      <c r="AJ7643">
        <v>91.488083571496702</v>
      </c>
      <c r="AK7643">
        <v>14.641313692436499</v>
      </c>
      <c r="AL7643">
        <v>96.931094874323307</v>
      </c>
      <c r="AM7643">
        <v>89.119902175256399</v>
      </c>
      <c r="AN7643">
        <v>1.00000001321271</v>
      </c>
    </row>
    <row r="7644" spans="1:40" x14ac:dyDescent="0.25">
      <c r="A7644" t="str">
        <f>"20190303154959728"</f>
        <v>20190303154959728</v>
      </c>
      <c r="B7644" t="str">
        <f>"1551599399717779"</f>
        <v>1551599399717779</v>
      </c>
      <c r="C7644" t="s">
        <v>40</v>
      </c>
      <c r="D7644">
        <v>5.8095990000000004</v>
      </c>
      <c r="E7644">
        <v>0.48157319999999998</v>
      </c>
      <c r="F7644" t="s">
        <v>77</v>
      </c>
      <c r="G7644">
        <v>-237.0565</v>
      </c>
      <c r="H7644" s="1">
        <v>-2.5183550000000001E-6</v>
      </c>
      <c r="I7644">
        <v>-62.277839999999998</v>
      </c>
      <c r="J7644">
        <v>-251.9615</v>
      </c>
      <c r="K7644">
        <v>1.119569</v>
      </c>
      <c r="L7644">
        <v>-62.868259999999999</v>
      </c>
      <c r="M7644">
        <v>0.99990330000000005</v>
      </c>
      <c r="N7644">
        <v>-8.0360659999999997E-3</v>
      </c>
      <c r="O7644">
        <v>1.136094E-2</v>
      </c>
      <c r="P7644">
        <v>0.99167479999999997</v>
      </c>
      <c r="Q7644">
        <v>-0.128707399999999</v>
      </c>
      <c r="R7644">
        <v>-3.9628129999999999E-3</v>
      </c>
      <c r="S7644">
        <v>2.9966889999999999</v>
      </c>
      <c r="T7644">
        <v>-0.22295110000000001</v>
      </c>
      <c r="U7644">
        <v>0.1178589</v>
      </c>
      <c r="V7644">
        <v>1.5149859999999999E-2</v>
      </c>
      <c r="W7644">
        <v>-0.1207449</v>
      </c>
      <c r="X7644">
        <v>0.99256800000000001</v>
      </c>
      <c r="Y7644">
        <v>-2.7883910000000001E-2</v>
      </c>
      <c r="Z7644">
        <v>3.9515969999999998E-4</v>
      </c>
      <c r="AA7644">
        <v>0.99961109999999997</v>
      </c>
      <c r="AB7644">
        <v>29</v>
      </c>
      <c r="AC7644">
        <v>14.904999999999999</v>
      </c>
      <c r="AD7644">
        <v>-1.1195715183549999</v>
      </c>
      <c r="AE7644">
        <v>0.59041999999999395</v>
      </c>
      <c r="AF7644">
        <v>-0.41868309127464198</v>
      </c>
      <c r="AG7644">
        <v>-1.1195715183549999</v>
      </c>
      <c r="AH7644">
        <v>14.827220552167899</v>
      </c>
      <c r="AI7644">
        <v>94.316373039126603</v>
      </c>
      <c r="AJ7644">
        <v>91.617457648037004</v>
      </c>
      <c r="AK7644">
        <v>14.875322020657601</v>
      </c>
      <c r="AL7644">
        <v>96.935094519745107</v>
      </c>
      <c r="AM7644">
        <v>89.125545413139207</v>
      </c>
      <c r="AN7644">
        <v>1.00000004187901</v>
      </c>
    </row>
    <row r="7645" spans="1:40" x14ac:dyDescent="0.25">
      <c r="A7645" t="str">
        <f>"20190303154959741"</f>
        <v>20190303154959741</v>
      </c>
      <c r="B7645" t="str">
        <f>"1551599399728515"</f>
        <v>1551599399728515</v>
      </c>
      <c r="C7645" t="s">
        <v>40</v>
      </c>
      <c r="D7645">
        <v>5.7265189999999997</v>
      </c>
      <c r="E7645">
        <v>0.48150110000000002</v>
      </c>
      <c r="F7645" t="s">
        <v>77</v>
      </c>
      <c r="G7645">
        <v>-238.1935</v>
      </c>
      <c r="H7645" s="1">
        <v>-2.9969949999999999E-6</v>
      </c>
      <c r="I7645">
        <v>-62.270240000000001</v>
      </c>
      <c r="J7645">
        <v>-251.79820000000001</v>
      </c>
      <c r="K7645">
        <v>1.11957</v>
      </c>
      <c r="L7645">
        <v>-62.866579999999999</v>
      </c>
      <c r="M7645">
        <v>0.99990520000000005</v>
      </c>
      <c r="N7645">
        <v>-8.047706E-3</v>
      </c>
      <c r="O7645">
        <v>1.1182849999999999E-2</v>
      </c>
      <c r="P7645">
        <v>0.99167430000000001</v>
      </c>
      <c r="Q7645">
        <v>-0.12871379999999999</v>
      </c>
      <c r="R7645">
        <v>-3.9110020000000002E-3</v>
      </c>
      <c r="S7645">
        <v>2.9941249999999999</v>
      </c>
      <c r="T7645">
        <v>-0.2434733</v>
      </c>
      <c r="U7645">
        <v>0.1300354</v>
      </c>
      <c r="V7645">
        <v>1.4921200000000001E-2</v>
      </c>
      <c r="W7645">
        <v>-0.1207396</v>
      </c>
      <c r="X7645">
        <v>0.99257209999999996</v>
      </c>
      <c r="Y7645">
        <v>-3.2127429999999998E-2</v>
      </c>
      <c r="Z7645">
        <v>6.1552830000000005E-4</v>
      </c>
      <c r="AA7645">
        <v>0.99948360000000003</v>
      </c>
      <c r="AB7645">
        <v>30</v>
      </c>
      <c r="AC7645">
        <v>13.604699999999999</v>
      </c>
      <c r="AD7645">
        <v>-1.1195729969949999</v>
      </c>
      <c r="AE7645">
        <v>0.59634000000000498</v>
      </c>
      <c r="AF7645">
        <v>-0.44117649353744298</v>
      </c>
      <c r="AG7645">
        <v>-1.1195729969949999</v>
      </c>
      <c r="AH7645">
        <v>13.5191400970955</v>
      </c>
      <c r="AI7645">
        <v>94.731578201545304</v>
      </c>
      <c r="AJ7645">
        <v>91.869096968640093</v>
      </c>
      <c r="AK7645">
        <v>13.5725911070416</v>
      </c>
      <c r="AL7645">
        <v>96.934788672772498</v>
      </c>
      <c r="AM7645">
        <v>89.138745292548293</v>
      </c>
      <c r="AN7645">
        <v>1.0000000334579999</v>
      </c>
    </row>
    <row r="7646" spans="1:40" x14ac:dyDescent="0.25">
      <c r="A7646" t="str">
        <f>"20190303154959751"</f>
        <v>20190303154959751</v>
      </c>
      <c r="B7646" t="str">
        <f>"1551599399738274"</f>
        <v>1551599399738274</v>
      </c>
      <c r="C7646" t="s">
        <v>40</v>
      </c>
      <c r="D7646">
        <v>5.7359780000000002</v>
      </c>
      <c r="E7646">
        <v>0.48159489999999999</v>
      </c>
      <c r="F7646" t="s">
        <v>77</v>
      </c>
      <c r="G7646">
        <v>-238.0377</v>
      </c>
      <c r="H7646" s="1">
        <v>-2.936071E-6</v>
      </c>
      <c r="I7646">
        <v>-62.265799999999999</v>
      </c>
      <c r="J7646">
        <v>-251.6481</v>
      </c>
      <c r="K7646">
        <v>1.11957</v>
      </c>
      <c r="L7646">
        <v>-62.865049999999997</v>
      </c>
      <c r="M7646">
        <v>0.99990679999999998</v>
      </c>
      <c r="N7646">
        <v>-8.0584049999999994E-3</v>
      </c>
      <c r="O7646">
        <v>1.101918E-2</v>
      </c>
      <c r="P7646">
        <v>0.9916663</v>
      </c>
      <c r="Q7646">
        <v>-0.12876960000000001</v>
      </c>
      <c r="R7646">
        <v>-4.0198179999999997E-3</v>
      </c>
      <c r="S7646">
        <v>2.9940799999999999</v>
      </c>
      <c r="T7646">
        <v>-0.24360200000000001</v>
      </c>
      <c r="U7646">
        <v>0.13070680000000001</v>
      </c>
      <c r="V7646">
        <v>1.4867689999999999E-2</v>
      </c>
      <c r="W7646">
        <v>-0.1207848</v>
      </c>
      <c r="X7646">
        <v>0.99256739999999999</v>
      </c>
      <c r="Y7646">
        <v>-3.2513449999999999E-2</v>
      </c>
      <c r="Z7646">
        <v>6.452316E-4</v>
      </c>
      <c r="AA7646">
        <v>0.99947109999999995</v>
      </c>
      <c r="AB7646">
        <v>30</v>
      </c>
      <c r="AC7646">
        <v>13.610399999999901</v>
      </c>
      <c r="AD7646">
        <v>-1.1195729360710001</v>
      </c>
      <c r="AE7646">
        <v>0.59924999999999695</v>
      </c>
      <c r="AF7646">
        <v>-0.44621979880653101</v>
      </c>
      <c r="AG7646">
        <v>-1.1195729360710001</v>
      </c>
      <c r="AH7646">
        <v>13.524838547113401</v>
      </c>
      <c r="AI7646">
        <v>94.729538001410603</v>
      </c>
      <c r="AJ7646">
        <v>91.889652189269498</v>
      </c>
      <c r="AK7646">
        <v>13.578431919537501</v>
      </c>
      <c r="AL7646">
        <v>96.937397560261502</v>
      </c>
      <c r="AM7646">
        <v>89.1418293749513</v>
      </c>
      <c r="AN7646">
        <v>1.0000000298298599</v>
      </c>
    </row>
    <row r="7647" spans="1:40" x14ac:dyDescent="0.25">
      <c r="A7647" t="str">
        <f>"20190303154959764"</f>
        <v>20190303154959764</v>
      </c>
      <c r="B7647" t="str">
        <f>"1551599399757795"</f>
        <v>1551599399757795</v>
      </c>
      <c r="C7647" t="s">
        <v>40</v>
      </c>
      <c r="D7647">
        <v>5.6859849999999996</v>
      </c>
      <c r="E7647">
        <v>0.48191630000000002</v>
      </c>
      <c r="F7647" t="s">
        <v>77</v>
      </c>
      <c r="G7647">
        <v>-237.73310000000001</v>
      </c>
      <c r="H7647" s="1">
        <v>-2.8047180000000001E-6</v>
      </c>
      <c r="I7647">
        <v>-62.263129999999997</v>
      </c>
      <c r="J7647">
        <v>-251.49189999999999</v>
      </c>
      <c r="K7647">
        <v>1.1195740000000001</v>
      </c>
      <c r="L7647">
        <v>-62.863489999999999</v>
      </c>
      <c r="M7647">
        <v>0.99990860000000004</v>
      </c>
      <c r="N7647">
        <v>-8.0695309999999996E-3</v>
      </c>
      <c r="O7647">
        <v>1.0848780000000001E-2</v>
      </c>
      <c r="P7647">
        <v>0.99167190000000005</v>
      </c>
      <c r="Q7647">
        <v>-0.1287286</v>
      </c>
      <c r="R7647">
        <v>-3.9523930000000002E-3</v>
      </c>
      <c r="S7647">
        <v>2.9944459999999999</v>
      </c>
      <c r="T7647">
        <v>-0.24092720000000001</v>
      </c>
      <c r="U7647">
        <v>0.12951660000000001</v>
      </c>
      <c r="V7647">
        <v>1.4631140000000001E-2</v>
      </c>
      <c r="W7647">
        <v>-0.1207326</v>
      </c>
      <c r="X7647">
        <v>0.9925773</v>
      </c>
      <c r="Y7647">
        <v>-3.228404E-2</v>
      </c>
      <c r="Z7647">
        <v>6.4299949999999995E-4</v>
      </c>
      <c r="AA7647">
        <v>0.99947850000000005</v>
      </c>
      <c r="AB7647">
        <v>30</v>
      </c>
      <c r="AC7647">
        <v>13.7587999999999</v>
      </c>
      <c r="AD7647">
        <v>-1.1195768047179999</v>
      </c>
      <c r="AE7647">
        <v>0.600360000000002</v>
      </c>
      <c r="AF7647">
        <v>-0.44809227557098302</v>
      </c>
      <c r="AG7647">
        <v>-1.1195768047179999</v>
      </c>
      <c r="AH7647">
        <v>13.6741344362137</v>
      </c>
      <c r="AI7647">
        <v>94.6781810170027</v>
      </c>
      <c r="AJ7647">
        <v>91.876872901980093</v>
      </c>
      <c r="AK7647">
        <v>13.727206252137901</v>
      </c>
      <c r="AL7647">
        <v>96.934384435869404</v>
      </c>
      <c r="AM7647">
        <v>89.155489589764102</v>
      </c>
      <c r="AN7647">
        <v>1.0000000637178701</v>
      </c>
    </row>
    <row r="7648" spans="1:40" x14ac:dyDescent="0.25">
      <c r="A7648" t="str">
        <f>"20190303154959776"</f>
        <v>20190303154959776</v>
      </c>
      <c r="B7648" t="str">
        <f>"1551599399768531"</f>
        <v>1551599399768531</v>
      </c>
      <c r="C7648" t="s">
        <v>40</v>
      </c>
      <c r="D7648">
        <v>5.6605309999999998</v>
      </c>
      <c r="E7648">
        <v>0.48196860000000002</v>
      </c>
      <c r="F7648" t="s">
        <v>77</v>
      </c>
      <c r="G7648">
        <v>-237.268</v>
      </c>
      <c r="H7648" s="1">
        <v>-2.6044169999999998E-6</v>
      </c>
      <c r="I7648">
        <v>-62.26023</v>
      </c>
      <c r="J7648">
        <v>-251.3244</v>
      </c>
      <c r="K7648">
        <v>1.1195759999999999</v>
      </c>
      <c r="L7648">
        <v>-62.861879999999999</v>
      </c>
      <c r="M7648">
        <v>0.99991050000000004</v>
      </c>
      <c r="N7648">
        <v>-8.0814259999999992E-3</v>
      </c>
      <c r="O7648">
        <v>1.0667299999999999E-2</v>
      </c>
      <c r="P7648">
        <v>0.99168860000000003</v>
      </c>
      <c r="Q7648">
        <v>-0.1285984</v>
      </c>
      <c r="R7648">
        <v>-4.0489360000000004E-3</v>
      </c>
      <c r="S7648">
        <v>2.9951020000000002</v>
      </c>
      <c r="T7648">
        <v>-0.23574819999999999</v>
      </c>
      <c r="U7648">
        <v>0.12701419999999999</v>
      </c>
      <c r="V7648">
        <v>1.4547859999999999E-2</v>
      </c>
      <c r="W7648">
        <v>-0.1205904</v>
      </c>
      <c r="X7648">
        <v>0.99259569999999997</v>
      </c>
      <c r="Y7648">
        <v>-3.1627540000000003E-2</v>
      </c>
      <c r="Z7648">
        <v>6.1846939999999999E-4</v>
      </c>
      <c r="AA7648">
        <v>0.99949960000000004</v>
      </c>
      <c r="AB7648">
        <v>30</v>
      </c>
      <c r="AC7648">
        <v>14.056399999999901</v>
      </c>
      <c r="AD7648">
        <v>-1.119578604417</v>
      </c>
      <c r="AE7648">
        <v>0.60164999999999902</v>
      </c>
      <c r="AF7648">
        <v>-0.44882491749042802</v>
      </c>
      <c r="AG7648">
        <v>-1.119578604417</v>
      </c>
      <c r="AH7648">
        <v>13.973532836642001</v>
      </c>
      <c r="AI7648">
        <v>94.578479910664498</v>
      </c>
      <c r="AJ7648">
        <v>91.839687634612204</v>
      </c>
      <c r="AK7648">
        <v>14.0254953564835</v>
      </c>
      <c r="AL7648">
        <v>96.9261777727598</v>
      </c>
      <c r="AM7648">
        <v>89.160311390442402</v>
      </c>
      <c r="AN7648">
        <v>0.99999995423061305</v>
      </c>
    </row>
    <row r="7649" spans="1:40" x14ac:dyDescent="0.25">
      <c r="A7649" t="str">
        <f>"20190303154959788"</f>
        <v>20190303154959788</v>
      </c>
      <c r="B7649" t="str">
        <f>"1551599399778291"</f>
        <v>1551599399778291</v>
      </c>
      <c r="C7649" t="s">
        <v>40</v>
      </c>
      <c r="D7649">
        <v>5.6647069999999999</v>
      </c>
      <c r="E7649">
        <v>0.48199239999999999</v>
      </c>
      <c r="F7649" t="s">
        <v>77</v>
      </c>
      <c r="G7649">
        <v>-236.9128</v>
      </c>
      <c r="H7649" s="1">
        <v>-2.4504549999999999E-6</v>
      </c>
      <c r="I7649">
        <v>-62.254260000000002</v>
      </c>
      <c r="J7649">
        <v>-251.1662</v>
      </c>
      <c r="K7649">
        <v>1.119577</v>
      </c>
      <c r="L7649">
        <v>-62.860349999999997</v>
      </c>
      <c r="M7649">
        <v>0.99991220000000003</v>
      </c>
      <c r="N7649">
        <v>-8.0925360000000009E-3</v>
      </c>
      <c r="O7649">
        <v>1.04969E-2</v>
      </c>
      <c r="P7649">
        <v>0.99168400000000001</v>
      </c>
      <c r="Q7649">
        <v>-0.12863039999999901</v>
      </c>
      <c r="R7649">
        <v>-4.1628230000000004E-3</v>
      </c>
      <c r="S7649">
        <v>2.9954990000000001</v>
      </c>
      <c r="T7649">
        <v>-0.2327092</v>
      </c>
      <c r="U7649">
        <v>0.1262817</v>
      </c>
      <c r="V7649">
        <v>1.449274E-2</v>
      </c>
      <c r="W7649">
        <v>-0.1206113</v>
      </c>
      <c r="X7649">
        <v>0.99259399999999998</v>
      </c>
      <c r="Y7649">
        <v>-3.1550019999999998E-2</v>
      </c>
      <c r="Z7649">
        <v>6.2202690000000001E-4</v>
      </c>
      <c r="AA7649">
        <v>0.999502</v>
      </c>
      <c r="AB7649">
        <v>30</v>
      </c>
      <c r="AC7649">
        <v>14.253399999999999</v>
      </c>
      <c r="AD7649">
        <v>-1.1195794504549901</v>
      </c>
      <c r="AE7649">
        <v>0.60609000000000102</v>
      </c>
      <c r="AF7649">
        <v>-0.45364136180179498</v>
      </c>
      <c r="AG7649">
        <v>-1.1195794504549901</v>
      </c>
      <c r="AH7649">
        <v>14.1716978563593</v>
      </c>
      <c r="AI7649">
        <v>94.514743999278593</v>
      </c>
      <c r="AJ7649">
        <v>91.833433337464399</v>
      </c>
      <c r="AK7649">
        <v>14.2230892833786</v>
      </c>
      <c r="AL7649">
        <v>96.927383830949594</v>
      </c>
      <c r="AM7649">
        <v>89.163490978885093</v>
      </c>
      <c r="AN7649">
        <v>0.99999998701819803</v>
      </c>
    </row>
    <row r="7650" spans="1:40" x14ac:dyDescent="0.25">
      <c r="A7650" t="str">
        <f>"20190303154959814"</f>
        <v>20190303154959814</v>
      </c>
      <c r="B7650" t="str">
        <f>"1551599399808079"</f>
        <v>1551599399808079</v>
      </c>
      <c r="C7650" t="s">
        <v>40</v>
      </c>
      <c r="D7650">
        <v>5.6355040000000001</v>
      </c>
      <c r="E7650">
        <v>0.48243960000000002</v>
      </c>
      <c r="F7650" t="s">
        <v>77</v>
      </c>
      <c r="G7650">
        <v>-236.6396</v>
      </c>
      <c r="H7650" s="1">
        <v>-2.3322849999999999E-6</v>
      </c>
      <c r="I7650">
        <v>-62.250599999999999</v>
      </c>
      <c r="J7650">
        <v>-250.8245</v>
      </c>
      <c r="K7650">
        <v>1.1195740000000001</v>
      </c>
      <c r="L7650">
        <v>-62.857120000000002</v>
      </c>
      <c r="M7650">
        <v>0.99991580000000002</v>
      </c>
      <c r="N7650">
        <v>-8.1164849999999997E-3</v>
      </c>
      <c r="O7650">
        <v>1.013234E-2</v>
      </c>
      <c r="P7650">
        <v>0.99169130000000005</v>
      </c>
      <c r="Q7650">
        <v>-0.12857189999999999</v>
      </c>
      <c r="R7650">
        <v>-4.2117760000000004E-3</v>
      </c>
      <c r="S7650">
        <v>2.995743</v>
      </c>
      <c r="T7650">
        <v>-0.23088529999999999</v>
      </c>
      <c r="U7650">
        <v>0.12573239999999999</v>
      </c>
      <c r="V7650">
        <v>1.4181060000000001E-2</v>
      </c>
      <c r="W7650">
        <v>-0.1205287</v>
      </c>
      <c r="X7650">
        <v>0.9926085</v>
      </c>
      <c r="Y7650">
        <v>-3.1727690000000003E-2</v>
      </c>
      <c r="Z7650">
        <v>6.520664E-4</v>
      </c>
      <c r="AA7650">
        <v>0.9994963</v>
      </c>
      <c r="AB7650">
        <v>30</v>
      </c>
      <c r="AC7650">
        <v>14.184900000000001</v>
      </c>
      <c r="AD7650">
        <v>-1.1195763322849901</v>
      </c>
      <c r="AE7650">
        <v>0.60651999999999595</v>
      </c>
      <c r="AF7650">
        <v>-0.45989819131500598</v>
      </c>
      <c r="AG7650">
        <v>-1.1195763322849901</v>
      </c>
      <c r="AH7650">
        <v>14.10262514371</v>
      </c>
      <c r="AI7650">
        <v>94.536664366014904</v>
      </c>
      <c r="AJ7650">
        <v>91.867800512448596</v>
      </c>
      <c r="AK7650">
        <v>14.1544690276318</v>
      </c>
      <c r="AL7650">
        <v>96.922616663121602</v>
      </c>
      <c r="AM7650">
        <v>89.181490372738097</v>
      </c>
      <c r="AN7650">
        <v>0.99999995212933002</v>
      </c>
    </row>
    <row r="7651" spans="1:40" x14ac:dyDescent="0.25">
      <c r="A7651" t="str">
        <f>"20190303154959842"</f>
        <v>20190303154959842</v>
      </c>
      <c r="B7651" t="str">
        <f>"1551599399828574"</f>
        <v>1551599399828574</v>
      </c>
      <c r="C7651" t="s">
        <v>40</v>
      </c>
      <c r="D7651">
        <v>5.5983429999999998</v>
      </c>
      <c r="E7651">
        <v>0.48253259999999998</v>
      </c>
      <c r="F7651" t="s">
        <v>77</v>
      </c>
      <c r="G7651">
        <v>-235.93440000000001</v>
      </c>
      <c r="H7651" s="1">
        <v>-2.0299510000000002E-6</v>
      </c>
      <c r="I7651">
        <v>-62.251370000000001</v>
      </c>
      <c r="J7651">
        <v>-250.45339999999999</v>
      </c>
      <c r="K7651">
        <v>1.1195820000000001</v>
      </c>
      <c r="L7651">
        <v>-62.853789999999996</v>
      </c>
      <c r="M7651">
        <v>0.99991949999999996</v>
      </c>
      <c r="N7651">
        <v>-8.1427029999999994E-3</v>
      </c>
      <c r="O7651">
        <v>9.7441239999999998E-3</v>
      </c>
      <c r="P7651">
        <v>0.99164940000000001</v>
      </c>
      <c r="Q7651">
        <v>-0.12889829999999999</v>
      </c>
      <c r="R7651">
        <v>-4.1249520000000003E-3</v>
      </c>
      <c r="S7651">
        <v>2.9964599999999999</v>
      </c>
      <c r="T7651">
        <v>-0.2253028</v>
      </c>
      <c r="U7651">
        <v>0.1218872</v>
      </c>
      <c r="V7651">
        <v>1.370974E-2</v>
      </c>
      <c r="W7651">
        <v>-0.1208289</v>
      </c>
      <c r="X7651">
        <v>0.99257870000000004</v>
      </c>
      <c r="Y7651">
        <v>-3.0830639999999999E-2</v>
      </c>
      <c r="Z7651">
        <v>6.3067370000000002E-4</v>
      </c>
      <c r="AA7651">
        <v>0.99952439999999998</v>
      </c>
      <c r="AB7651">
        <v>30</v>
      </c>
      <c r="AC7651">
        <v>14.518999999999901</v>
      </c>
      <c r="AD7651">
        <v>-1.119584029951</v>
      </c>
      <c r="AE7651">
        <v>0.60242000000000895</v>
      </c>
      <c r="AF7651">
        <v>-0.45819196803726298</v>
      </c>
      <c r="AG7651">
        <v>-1.119584029951</v>
      </c>
      <c r="AH7651">
        <v>14.438474314365701</v>
      </c>
      <c r="AI7651">
        <v>94.431718380555196</v>
      </c>
      <c r="AJ7651">
        <v>91.817619935682899</v>
      </c>
      <c r="AK7651">
        <v>14.4890630755164</v>
      </c>
      <c r="AL7651">
        <v>96.939942960056797</v>
      </c>
      <c r="AM7651">
        <v>89.208666987091206</v>
      </c>
      <c r="AN7651">
        <v>1.00000002786988</v>
      </c>
    </row>
    <row r="7652" spans="1:40" x14ac:dyDescent="0.25">
      <c r="A7652" t="str">
        <f>"20190303154959852"</f>
        <v>20190303154959852</v>
      </c>
      <c r="B7652" t="str">
        <f>"1551599399848095"</f>
        <v>1551599399848095</v>
      </c>
      <c r="C7652" t="s">
        <v>40</v>
      </c>
      <c r="D7652">
        <v>5.5641699999999998</v>
      </c>
      <c r="E7652">
        <v>0.48263050000000002</v>
      </c>
      <c r="F7652" t="s">
        <v>77</v>
      </c>
      <c r="G7652">
        <v>-235.50049999999999</v>
      </c>
      <c r="H7652" s="1">
        <v>-1.843078E-6</v>
      </c>
      <c r="I7652">
        <v>-62.248710000000003</v>
      </c>
      <c r="J7652">
        <v>-250.3038</v>
      </c>
      <c r="K7652">
        <v>1.1195790000000001</v>
      </c>
      <c r="L7652">
        <v>-62.85248</v>
      </c>
      <c r="M7652">
        <v>0.9999207</v>
      </c>
      <c r="N7652">
        <v>-8.153347E-3</v>
      </c>
      <c r="O7652">
        <v>9.5924110000000003E-3</v>
      </c>
      <c r="P7652">
        <v>0.99161849999999996</v>
      </c>
      <c r="Q7652">
        <v>-0.1291351</v>
      </c>
      <c r="R7652">
        <v>-4.1433490000000002E-3</v>
      </c>
      <c r="S7652">
        <v>2.996597</v>
      </c>
      <c r="T7652">
        <v>-0.22436739999999999</v>
      </c>
      <c r="U7652">
        <v>0.1212463</v>
      </c>
      <c r="V7652">
        <v>1.3577840000000001E-2</v>
      </c>
      <c r="W7652">
        <v>-0.1210553</v>
      </c>
      <c r="X7652">
        <v>0.99255289999999996</v>
      </c>
      <c r="Y7652">
        <v>-3.076742E-2</v>
      </c>
      <c r="Z7652">
        <v>6.3664210000000001E-4</v>
      </c>
      <c r="AA7652">
        <v>0.99952640000000004</v>
      </c>
      <c r="AB7652">
        <v>30</v>
      </c>
      <c r="AC7652">
        <v>14.8033</v>
      </c>
      <c r="AD7652">
        <v>-1.1195808430779901</v>
      </c>
      <c r="AE7652">
        <v>0.60377000000001102</v>
      </c>
      <c r="AF7652">
        <v>-0.45911638354603901</v>
      </c>
      <c r="AG7652">
        <v>-1.1195808430779901</v>
      </c>
      <c r="AH7652">
        <v>14.724327826636699</v>
      </c>
      <c r="AI7652">
        <v>94.346078209327402</v>
      </c>
      <c r="AJ7652">
        <v>91.785949842685</v>
      </c>
      <c r="AK7652">
        <v>14.7739662604223</v>
      </c>
      <c r="AL7652">
        <v>96.953010832047994</v>
      </c>
      <c r="AM7652">
        <v>89.216258997325298</v>
      </c>
      <c r="AN7652">
        <v>1.0000000013477801</v>
      </c>
    </row>
    <row r="7653" spans="1:40" x14ac:dyDescent="0.25">
      <c r="A7653" t="str">
        <f>"20190303154959863"</f>
        <v>20190303154959863</v>
      </c>
      <c r="B7653" t="str">
        <f>"1551599399857854"</f>
        <v>1551599399857854</v>
      </c>
      <c r="C7653" t="s">
        <v>40</v>
      </c>
      <c r="D7653">
        <v>5.697711</v>
      </c>
      <c r="E7653">
        <v>0.48274060000000002</v>
      </c>
      <c r="F7653" t="s">
        <v>77</v>
      </c>
      <c r="G7653">
        <v>-235.2217</v>
      </c>
      <c r="H7653" s="1">
        <v>-1.7229850000000001E-6</v>
      </c>
      <c r="I7653">
        <v>-62.246839999999999</v>
      </c>
      <c r="J7653">
        <v>-250.1583</v>
      </c>
      <c r="K7653">
        <v>1.1195809999999999</v>
      </c>
      <c r="L7653">
        <v>-62.851230000000001</v>
      </c>
      <c r="M7653">
        <v>0.99992210000000004</v>
      </c>
      <c r="N7653">
        <v>-8.1636699999999996E-3</v>
      </c>
      <c r="O7653">
        <v>9.4463059999999998E-3</v>
      </c>
      <c r="P7653">
        <v>0.99161869999999996</v>
      </c>
      <c r="Q7653">
        <v>-0.1291302</v>
      </c>
      <c r="R7653">
        <v>-4.229844E-3</v>
      </c>
      <c r="S7653">
        <v>2.9968720000000002</v>
      </c>
      <c r="T7653">
        <v>-0.22246550000000001</v>
      </c>
      <c r="U7653">
        <v>0.1203308</v>
      </c>
      <c r="V7653">
        <v>1.352021E-2</v>
      </c>
      <c r="W7653">
        <v>-0.12103990000000001</v>
      </c>
      <c r="X7653">
        <v>0.99255559999999998</v>
      </c>
      <c r="Y7653">
        <v>-3.06062E-2</v>
      </c>
      <c r="Z7653">
        <v>6.3620379999999995E-4</v>
      </c>
      <c r="AA7653">
        <v>0.99953130000000001</v>
      </c>
      <c r="AB7653">
        <v>30</v>
      </c>
      <c r="AC7653">
        <v>14.9366</v>
      </c>
      <c r="AD7653">
        <v>-1.1195827229849999</v>
      </c>
      <c r="AE7653">
        <v>0.60439000000000898</v>
      </c>
      <c r="AF7653">
        <v>-0.46067861837587998</v>
      </c>
      <c r="AG7653">
        <v>-1.1195827229849999</v>
      </c>
      <c r="AH7653">
        <v>14.858300277495699</v>
      </c>
      <c r="AI7653">
        <v>94.307069829135898</v>
      </c>
      <c r="AJ7653">
        <v>91.775875243432097</v>
      </c>
      <c r="AK7653">
        <v>14.907540957490699</v>
      </c>
      <c r="AL7653">
        <v>96.952121696705504</v>
      </c>
      <c r="AM7653">
        <v>89.219587230461002</v>
      </c>
      <c r="AN7653">
        <v>1.0000000362809001</v>
      </c>
    </row>
    <row r="7654" spans="1:40" x14ac:dyDescent="0.25">
      <c r="A7654" t="str">
        <f>"20190303154959875"</f>
        <v>20190303154959875</v>
      </c>
      <c r="B7654" t="str">
        <f>"1551599399868590"</f>
        <v>1551599399868590</v>
      </c>
      <c r="C7654" t="s">
        <v>40</v>
      </c>
      <c r="D7654">
        <v>5.5447839999999999</v>
      </c>
      <c r="E7654">
        <v>0.4828113</v>
      </c>
      <c r="F7654" t="s">
        <v>77</v>
      </c>
      <c r="G7654">
        <v>-234.89320000000001</v>
      </c>
      <c r="H7654" s="1">
        <v>-1.581513E-6</v>
      </c>
      <c r="I7654">
        <v>-62.244840000000003</v>
      </c>
      <c r="J7654">
        <v>-249.9957</v>
      </c>
      <c r="K7654">
        <v>1.119586</v>
      </c>
      <c r="L7654">
        <v>-62.849850000000004</v>
      </c>
      <c r="M7654">
        <v>0.99992349999999997</v>
      </c>
      <c r="N7654">
        <v>-8.1751269999999904E-3</v>
      </c>
      <c r="O7654">
        <v>9.2866770000000001E-3</v>
      </c>
      <c r="P7654">
        <v>0.99164969999999997</v>
      </c>
      <c r="Q7654">
        <v>-0.1288859</v>
      </c>
      <c r="R7654">
        <v>-4.3953079999999997E-3</v>
      </c>
      <c r="S7654">
        <v>2.997223</v>
      </c>
      <c r="T7654">
        <v>-0.21982380000000001</v>
      </c>
      <c r="U7654">
        <v>0.1190491</v>
      </c>
      <c r="V7654">
        <v>1.3528989999999999E-2</v>
      </c>
      <c r="W7654">
        <v>-0.1207839</v>
      </c>
      <c r="X7654">
        <v>0.99258659999999999</v>
      </c>
      <c r="Y7654">
        <v>-3.0336330000000002E-2</v>
      </c>
      <c r="Z7654">
        <v>6.3069629999999905E-4</v>
      </c>
      <c r="AA7654">
        <v>0.99953959999999997</v>
      </c>
      <c r="AB7654">
        <v>30</v>
      </c>
      <c r="AC7654">
        <v>15.1024999999999</v>
      </c>
      <c r="AD7654">
        <v>-1.1195875815130001</v>
      </c>
      <c r="AE7654">
        <v>0.60501000000000005</v>
      </c>
      <c r="AF7654">
        <v>-0.46219122045177702</v>
      </c>
      <c r="AG7654">
        <v>-1.1195875815130001</v>
      </c>
      <c r="AH7654">
        <v>15.0250275495348</v>
      </c>
      <c r="AI7654">
        <v>94.259503003748193</v>
      </c>
      <c r="AJ7654">
        <v>91.761944065555795</v>
      </c>
      <c r="AK7654">
        <v>15.073770262984</v>
      </c>
      <c r="AL7654">
        <v>96.937346021894399</v>
      </c>
      <c r="AM7654">
        <v>89.219104880849002</v>
      </c>
      <c r="AN7654">
        <v>0.99999997128459395</v>
      </c>
    </row>
    <row r="7655" spans="1:40" x14ac:dyDescent="0.25">
      <c r="A7655" t="str">
        <f>"20190303154959887"</f>
        <v>20190303154959887</v>
      </c>
      <c r="B7655" t="str">
        <f>"1551599399878351"</f>
        <v>1551599399878351</v>
      </c>
      <c r="C7655" t="s">
        <v>40</v>
      </c>
      <c r="D7655">
        <v>5.5533659999999996</v>
      </c>
      <c r="E7655">
        <v>0.48288370000000003</v>
      </c>
      <c r="F7655" t="s">
        <v>77</v>
      </c>
      <c r="G7655">
        <v>-234.6224</v>
      </c>
      <c r="H7655" s="1">
        <v>-1.4654829999999999E-6</v>
      </c>
      <c r="I7655">
        <v>-62.245310000000003</v>
      </c>
      <c r="J7655">
        <v>-249.8501</v>
      </c>
      <c r="K7655">
        <v>1.1195949999999999</v>
      </c>
      <c r="L7655">
        <v>-62.848599999999998</v>
      </c>
      <c r="M7655">
        <v>0.9999247</v>
      </c>
      <c r="N7655">
        <v>-8.1853719999999998E-3</v>
      </c>
      <c r="O7655">
        <v>9.1480980000000003E-3</v>
      </c>
      <c r="P7655">
        <v>0.9916701</v>
      </c>
      <c r="Q7655">
        <v>-0.12872600000000001</v>
      </c>
      <c r="R7655">
        <v>-4.5160060000000004E-3</v>
      </c>
      <c r="S7655">
        <v>2.9974059999999998</v>
      </c>
      <c r="T7655">
        <v>-0.21829180000000001</v>
      </c>
      <c r="U7655">
        <v>0.1178589</v>
      </c>
      <c r="V7655">
        <v>1.351367E-2</v>
      </c>
      <c r="W7655">
        <v>-0.1206135</v>
      </c>
      <c r="X7655">
        <v>0.99260749999999998</v>
      </c>
      <c r="Y7655">
        <v>-3.0077509999999998E-2</v>
      </c>
      <c r="Z7655">
        <v>6.2640039999999997E-4</v>
      </c>
      <c r="AA7655">
        <v>0.99954739999999997</v>
      </c>
      <c r="AB7655">
        <v>30</v>
      </c>
      <c r="AC7655">
        <v>15.2277</v>
      </c>
      <c r="AD7655">
        <v>-1.119596465483</v>
      </c>
      <c r="AE7655">
        <v>0.60329000000000099</v>
      </c>
      <c r="AF7655">
        <v>-0.46146495541681998</v>
      </c>
      <c r="AG7655">
        <v>-1.119596465483</v>
      </c>
      <c r="AH7655">
        <v>15.1508090533342</v>
      </c>
      <c r="AI7655">
        <v>94.224341734175297</v>
      </c>
      <c r="AJ7655">
        <v>91.744581606100397</v>
      </c>
      <c r="AK7655">
        <v>15.199126985494701</v>
      </c>
      <c r="AL7655">
        <v>96.927511119547006</v>
      </c>
      <c r="AM7655">
        <v>89.2200054656021</v>
      </c>
      <c r="AN7655">
        <v>0.99999994235768197</v>
      </c>
    </row>
    <row r="7656" spans="1:40" x14ac:dyDescent="0.25">
      <c r="A7656" t="str">
        <f>"20190303154959896"</f>
        <v>20190303154959896</v>
      </c>
      <c r="B7656" t="str">
        <f>"1551599399888111"</f>
        <v>1551599399888111</v>
      </c>
      <c r="C7656" t="s">
        <v>40</v>
      </c>
      <c r="D7656">
        <v>5.603078</v>
      </c>
      <c r="E7656">
        <v>0.48269849999999997</v>
      </c>
      <c r="F7656" t="s">
        <v>77</v>
      </c>
      <c r="G7656">
        <v>-234.37970000000001</v>
      </c>
      <c r="H7656" s="1">
        <v>-1.361431E-6</v>
      </c>
      <c r="I7656">
        <v>-62.245629999999998</v>
      </c>
      <c r="J7656">
        <v>-249.70769999999999</v>
      </c>
      <c r="K7656">
        <v>1.1195999999999999</v>
      </c>
      <c r="L7656">
        <v>-62.847439999999999</v>
      </c>
      <c r="M7656">
        <v>0.99992590000000003</v>
      </c>
      <c r="N7656">
        <v>-8.1953930000000005E-3</v>
      </c>
      <c r="O7656">
        <v>9.0157239999999993E-3</v>
      </c>
      <c r="P7656">
        <v>0.99171339999999997</v>
      </c>
      <c r="Q7656">
        <v>-0.12838559999999999</v>
      </c>
      <c r="R7656">
        <v>-4.6993440000000003E-3</v>
      </c>
      <c r="S7656">
        <v>2.9975890000000001</v>
      </c>
      <c r="T7656">
        <v>-0.21693519999999999</v>
      </c>
      <c r="U7656">
        <v>0.1168213</v>
      </c>
      <c r="V7656">
        <v>1.356774E-2</v>
      </c>
      <c r="W7656">
        <v>-0.1202627</v>
      </c>
      <c r="X7656">
        <v>0.99264940000000002</v>
      </c>
      <c r="Y7656">
        <v>-2.9863089999999998E-2</v>
      </c>
      <c r="Z7656">
        <v>6.2381699999999895E-4</v>
      </c>
      <c r="AA7656">
        <v>0.99955380000000005</v>
      </c>
      <c r="AB7656">
        <v>30</v>
      </c>
      <c r="AC7656">
        <v>15.3279999999999</v>
      </c>
      <c r="AD7656">
        <v>-1.1196013614310001</v>
      </c>
      <c r="AE7656">
        <v>0.60180999999999296</v>
      </c>
      <c r="AF7656">
        <v>-0.46113142741784502</v>
      </c>
      <c r="AG7656">
        <v>-1.1196013614310001</v>
      </c>
      <c r="AH7656">
        <v>15.2515570947381</v>
      </c>
      <c r="AI7656">
        <v>94.196583357745396</v>
      </c>
      <c r="AJ7656">
        <v>91.731812554615502</v>
      </c>
      <c r="AK7656">
        <v>15.299547157217599</v>
      </c>
      <c r="AL7656">
        <v>96.907263868727796</v>
      </c>
      <c r="AM7656">
        <v>89.216918042479307</v>
      </c>
      <c r="AN7656">
        <v>1.0000000159501701</v>
      </c>
    </row>
    <row r="7657" spans="1:40" x14ac:dyDescent="0.25">
      <c r="A7657" t="str">
        <f>"20190303154959907"</f>
        <v>20190303154959907</v>
      </c>
      <c r="B7657" t="str">
        <f>"1551599399898847"</f>
        <v>1551599399898847</v>
      </c>
      <c r="C7657" t="s">
        <v>40</v>
      </c>
      <c r="D7657">
        <v>5.6302770000000004</v>
      </c>
      <c r="E7657">
        <v>0.48245830000000001</v>
      </c>
      <c r="F7657" t="s">
        <v>77</v>
      </c>
      <c r="G7657">
        <v>-234.37979999999999</v>
      </c>
      <c r="H7657" s="1">
        <v>-1.361377E-6</v>
      </c>
      <c r="I7657">
        <v>-62.245119999999901</v>
      </c>
      <c r="J7657">
        <v>-249.57380000000001</v>
      </c>
      <c r="K7657">
        <v>1.1196060000000001</v>
      </c>
      <c r="L7657">
        <v>-62.846339999999998</v>
      </c>
      <c r="M7657">
        <v>0.9999268</v>
      </c>
      <c r="N7657">
        <v>-8.2066320000000002E-3</v>
      </c>
      <c r="O7657">
        <v>8.8972430000000009E-3</v>
      </c>
      <c r="P7657">
        <v>0.99172979999999999</v>
      </c>
      <c r="Q7657">
        <v>-0.1282479</v>
      </c>
      <c r="R7657">
        <v>-4.9861890000000002E-3</v>
      </c>
      <c r="S7657">
        <v>2.9972690000000002</v>
      </c>
      <c r="T7657">
        <v>-0.21893109999999999</v>
      </c>
      <c r="U7657">
        <v>0.11776730000000001</v>
      </c>
      <c r="V7657">
        <v>1.373889E-2</v>
      </c>
      <c r="W7657">
        <v>-0.1201136</v>
      </c>
      <c r="X7657">
        <v>0.99266509999999997</v>
      </c>
      <c r="Y7657">
        <v>-3.029799E-2</v>
      </c>
      <c r="Z7657">
        <v>6.5336539999999996E-4</v>
      </c>
      <c r="AA7657">
        <v>0.99954069999999995</v>
      </c>
      <c r="AB7657">
        <v>30</v>
      </c>
      <c r="AC7657">
        <v>15.194000000000001</v>
      </c>
      <c r="AD7657">
        <v>-1.1196073613769999</v>
      </c>
      <c r="AE7657">
        <v>0.60122000000001197</v>
      </c>
      <c r="AF7657">
        <v>-0.46349418039012802</v>
      </c>
      <c r="AG7657">
        <v>-1.1196073613769999</v>
      </c>
      <c r="AH7657">
        <v>15.116794445480901</v>
      </c>
      <c r="AI7657">
        <v>94.233827424924797</v>
      </c>
      <c r="AJ7657">
        <v>91.756188681322897</v>
      </c>
      <c r="AK7657">
        <v>15.165283439679801</v>
      </c>
      <c r="AL7657">
        <v>96.898658680406797</v>
      </c>
      <c r="AM7657">
        <v>89.207053663221899</v>
      </c>
      <c r="AN7657">
        <v>1.0000000173807</v>
      </c>
    </row>
    <row r="7658" spans="1:40" x14ac:dyDescent="0.25">
      <c r="A7658" t="str">
        <f>"20190303154959918"</f>
        <v>20190303154959918</v>
      </c>
      <c r="B7658" t="str">
        <f>"1551599399908607"</f>
        <v>1551599399908607</v>
      </c>
      <c r="C7658" t="s">
        <v>40</v>
      </c>
      <c r="D7658">
        <v>5.6179220000000001</v>
      </c>
      <c r="E7658">
        <v>0.48233540000000003</v>
      </c>
      <c r="F7658" t="s">
        <v>77</v>
      </c>
      <c r="G7658">
        <v>-234.4075</v>
      </c>
      <c r="H7658" s="1">
        <v>-1.3731569999999999E-6</v>
      </c>
      <c r="I7658">
        <v>-62.244759999999999</v>
      </c>
      <c r="J7658">
        <v>-249.422</v>
      </c>
      <c r="K7658">
        <v>1.1196159999999999</v>
      </c>
      <c r="L7658">
        <v>-62.845120000000001</v>
      </c>
      <c r="M7658">
        <v>0.99992789999999998</v>
      </c>
      <c r="N7658">
        <v>-8.2204469999999901E-3</v>
      </c>
      <c r="O7658">
        <v>8.7664879999999994E-3</v>
      </c>
      <c r="P7658">
        <v>0.9917456</v>
      </c>
      <c r="Q7658">
        <v>-0.12812219999999999</v>
      </c>
      <c r="R7658">
        <v>-5.0395700000000002E-3</v>
      </c>
      <c r="S7658">
        <v>2.9969939999999999</v>
      </c>
      <c r="T7658">
        <v>-0.22124479999999999</v>
      </c>
      <c r="U7658">
        <v>0.118866</v>
      </c>
      <c r="V7658">
        <v>1.366535E-2</v>
      </c>
      <c r="W7658">
        <v>-0.11997380000000001</v>
      </c>
      <c r="X7658">
        <v>0.99268299999999998</v>
      </c>
      <c r="Y7658">
        <v>-3.0794950000000001E-2</v>
      </c>
      <c r="Z7658">
        <v>6.8746360000000002E-4</v>
      </c>
      <c r="AA7658">
        <v>0.99952549999999996</v>
      </c>
      <c r="AB7658">
        <v>30</v>
      </c>
      <c r="AC7658">
        <v>15.0144999999999</v>
      </c>
      <c r="AD7658">
        <v>-1.1196173731570001</v>
      </c>
      <c r="AE7658">
        <v>0.60035999999999401</v>
      </c>
      <c r="AF7658">
        <v>-0.46612031593014402</v>
      </c>
      <c r="AG7658">
        <v>-1.1196173731570001</v>
      </c>
      <c r="AH7658">
        <v>14.9362650085114</v>
      </c>
      <c r="AI7658">
        <v>94.284776860451103</v>
      </c>
      <c r="AJ7658">
        <v>91.787465745156794</v>
      </c>
      <c r="AK7658">
        <v>14.985420368333999</v>
      </c>
      <c r="AL7658">
        <v>96.890590530262301</v>
      </c>
      <c r="AM7658">
        <v>89.211311740489293</v>
      </c>
      <c r="AN7658">
        <v>0.99999999648303095</v>
      </c>
    </row>
    <row r="7659" spans="1:40" x14ac:dyDescent="0.25">
      <c r="A7659" t="str">
        <f>"20190303154959930"</f>
        <v>20190303154959930</v>
      </c>
      <c r="B7659" t="str">
        <f>"1551599399918367"</f>
        <v>1551599399918367</v>
      </c>
      <c r="C7659" t="s">
        <v>40</v>
      </c>
      <c r="D7659">
        <v>5.6157529999999998</v>
      </c>
      <c r="E7659">
        <v>0.48218939999999999</v>
      </c>
      <c r="F7659" t="s">
        <v>77</v>
      </c>
      <c r="G7659">
        <v>-234.40649999999999</v>
      </c>
      <c r="H7659" s="1">
        <v>-1.3727589999999999E-6</v>
      </c>
      <c r="I7659">
        <v>-62.244880000000002</v>
      </c>
      <c r="J7659">
        <v>-249.2731</v>
      </c>
      <c r="K7659">
        <v>1.1196280000000001</v>
      </c>
      <c r="L7659">
        <v>-62.843960000000003</v>
      </c>
      <c r="M7659">
        <v>0.9999287</v>
      </c>
      <c r="N7659">
        <v>-8.2378629999999998E-3</v>
      </c>
      <c r="O7659">
        <v>8.6481930000000002E-3</v>
      </c>
      <c r="P7659">
        <v>0.99173299999999998</v>
      </c>
      <c r="Q7659">
        <v>-0.12821850000000001</v>
      </c>
      <c r="R7659">
        <v>-5.065483E-3</v>
      </c>
      <c r="S7659">
        <v>2.9967190000000001</v>
      </c>
      <c r="T7659">
        <v>-0.2234479</v>
      </c>
      <c r="U7659">
        <v>0.1197815</v>
      </c>
      <c r="V7659">
        <v>1.3576349999999999E-2</v>
      </c>
      <c r="W7659">
        <v>-0.12005250000000001</v>
      </c>
      <c r="X7659">
        <v>0.99267470000000002</v>
      </c>
      <c r="Y7659">
        <v>-3.121875E-2</v>
      </c>
      <c r="Z7659">
        <v>7.1813379999999998E-4</v>
      </c>
      <c r="AA7659">
        <v>0.99951230000000002</v>
      </c>
      <c r="AB7659">
        <v>30</v>
      </c>
      <c r="AC7659">
        <v>14.8666</v>
      </c>
      <c r="AD7659">
        <v>-1.1196293727590001</v>
      </c>
      <c r="AE7659">
        <v>0.59907999999999295</v>
      </c>
      <c r="AF7659">
        <v>-0.46783481989443898</v>
      </c>
      <c r="AG7659">
        <v>-1.1196293727590001</v>
      </c>
      <c r="AH7659">
        <v>14.787488599934001</v>
      </c>
      <c r="AI7659">
        <v>94.327710907232102</v>
      </c>
      <c r="AJ7659">
        <v>91.812073952409804</v>
      </c>
      <c r="AK7659">
        <v>14.837191730385699</v>
      </c>
      <c r="AL7659">
        <v>96.895132581100896</v>
      </c>
      <c r="AM7659">
        <v>89.216441134024606</v>
      </c>
      <c r="AN7659">
        <v>0.99999999002783102</v>
      </c>
    </row>
    <row r="7660" spans="1:40" x14ac:dyDescent="0.25">
      <c r="A7660" t="str">
        <f>"20190303154959943"</f>
        <v>20190303154959943</v>
      </c>
      <c r="B7660" t="str">
        <f>"1551599399937887"</f>
        <v>1551599399937887</v>
      </c>
      <c r="C7660" t="s">
        <v>40</v>
      </c>
      <c r="D7660">
        <v>5.5397800000000004</v>
      </c>
      <c r="E7660">
        <v>0.48201189999999999</v>
      </c>
      <c r="F7660" t="s">
        <v>77</v>
      </c>
      <c r="G7660">
        <v>-234.48560000000001</v>
      </c>
      <c r="H7660" s="1">
        <v>-1.4072700000000001E-6</v>
      </c>
      <c r="I7660">
        <v>-62.2470199999999</v>
      </c>
      <c r="J7660">
        <v>-249.1183</v>
      </c>
      <c r="K7660">
        <v>1.1196410000000001</v>
      </c>
      <c r="L7660">
        <v>-62.842739999999999</v>
      </c>
      <c r="M7660">
        <v>0.99992970000000003</v>
      </c>
      <c r="N7660">
        <v>-8.2571550000000004E-3</v>
      </c>
      <c r="O7660">
        <v>8.5276910000000004E-3</v>
      </c>
      <c r="P7660">
        <v>0.99173560000000005</v>
      </c>
      <c r="Q7660">
        <v>-0.12818969999999999</v>
      </c>
      <c r="R7660">
        <v>-5.3019249999999999E-3</v>
      </c>
      <c r="S7660">
        <v>2.996292</v>
      </c>
      <c r="T7660">
        <v>-0.22686310000000001</v>
      </c>
      <c r="U7660">
        <v>0.1209412</v>
      </c>
      <c r="V7660">
        <v>1.369593E-2</v>
      </c>
      <c r="W7660">
        <v>-0.12000429999999999</v>
      </c>
      <c r="X7660">
        <v>0.99267890000000003</v>
      </c>
      <c r="Y7660">
        <v>-3.1727020000000002E-2</v>
      </c>
      <c r="Z7660">
        <v>7.5599550000000004E-4</v>
      </c>
      <c r="AA7660">
        <v>0.9994963</v>
      </c>
      <c r="AB7660">
        <v>30</v>
      </c>
      <c r="AC7660">
        <v>14.6327</v>
      </c>
      <c r="AD7660">
        <v>-1.11964240727</v>
      </c>
      <c r="AE7660">
        <v>0.59572000000000702</v>
      </c>
      <c r="AF7660">
        <v>-0.46817444079193099</v>
      </c>
      <c r="AG7660">
        <v>-1.11964240727</v>
      </c>
      <c r="AH7660">
        <v>14.552189462484201</v>
      </c>
      <c r="AI7660">
        <v>94.397391106286605</v>
      </c>
      <c r="AJ7660">
        <v>91.842689756716098</v>
      </c>
      <c r="AK7660">
        <v>14.602705385619601</v>
      </c>
      <c r="AL7660">
        <v>96.892350713288096</v>
      </c>
      <c r="AM7660">
        <v>89.209543791724201</v>
      </c>
      <c r="AN7660">
        <v>1.0000000045111299</v>
      </c>
    </row>
    <row r="7661" spans="1:40" x14ac:dyDescent="0.25">
      <c r="A7661" t="str">
        <f>"20190303154959954"</f>
        <v>20190303154959954</v>
      </c>
      <c r="B7661" t="str">
        <f>"1551599399948623"</f>
        <v>1551599399948623</v>
      </c>
      <c r="C7661" t="s">
        <v>40</v>
      </c>
      <c r="D7661">
        <v>5.5595489999999996</v>
      </c>
      <c r="E7661">
        <v>0.48201470000000002</v>
      </c>
      <c r="F7661" t="s">
        <v>77</v>
      </c>
      <c r="G7661">
        <v>-234.5222</v>
      </c>
      <c r="H7661" s="1">
        <v>-1.423622E-6</v>
      </c>
      <c r="I7661">
        <v>-62.249450000000003</v>
      </c>
      <c r="J7661">
        <v>-248.93969999999999</v>
      </c>
      <c r="K7661">
        <v>1.1196539999999999</v>
      </c>
      <c r="L7661">
        <v>-62.841340000000002</v>
      </c>
      <c r="M7661">
        <v>0.99993030000000005</v>
      </c>
      <c r="N7661">
        <v>-8.2870949999999995E-3</v>
      </c>
      <c r="O7661">
        <v>8.4046169999999996E-3</v>
      </c>
      <c r="P7661">
        <v>0.9917125</v>
      </c>
      <c r="Q7661">
        <v>-0.12836810000000001</v>
      </c>
      <c r="R7661">
        <v>-5.2753929999999997E-3</v>
      </c>
      <c r="S7661">
        <v>2.9959560000000001</v>
      </c>
      <c r="T7661">
        <v>-0.22981579999999999</v>
      </c>
      <c r="U7661">
        <v>0.1217651</v>
      </c>
      <c r="V7661">
        <v>1.3550980000000001E-2</v>
      </c>
      <c r="W7661">
        <v>-0.1201527</v>
      </c>
      <c r="X7661">
        <v>0.99266290000000001</v>
      </c>
      <c r="Y7661">
        <v>-3.2125399999999998E-2</v>
      </c>
      <c r="Z7661">
        <v>7.8929309999999997E-4</v>
      </c>
      <c r="AA7661">
        <v>0.99948349999999997</v>
      </c>
      <c r="AB7661">
        <v>30</v>
      </c>
      <c r="AC7661">
        <v>14.417499999999899</v>
      </c>
      <c r="AD7661">
        <v>-1.119655423622</v>
      </c>
      <c r="AE7661">
        <v>0.59188999999999903</v>
      </c>
      <c r="AF7661">
        <v>-0.46787436229196999</v>
      </c>
      <c r="AG7661">
        <v>-1.119655423622</v>
      </c>
      <c r="AH7661">
        <v>14.3356527704565</v>
      </c>
      <c r="AI7661">
        <v>94.463531006219895</v>
      </c>
      <c r="AJ7661">
        <v>91.869305473812403</v>
      </c>
      <c r="AK7661">
        <v>14.3869202764745</v>
      </c>
      <c r="AL7661">
        <v>96.900915639577903</v>
      </c>
      <c r="AM7661">
        <v>89.217895885426302</v>
      </c>
      <c r="AN7661">
        <v>0.99999996670632896</v>
      </c>
    </row>
    <row r="7662" spans="1:40" x14ac:dyDescent="0.25">
      <c r="A7662" t="str">
        <f>"20190303154959966"</f>
        <v>20190303154959966</v>
      </c>
      <c r="B7662" t="str">
        <f>"1551599399958382"</f>
        <v>1551599399958382</v>
      </c>
      <c r="C7662" t="s">
        <v>40</v>
      </c>
      <c r="D7662">
        <v>5.5816879999999998</v>
      </c>
      <c r="E7662">
        <v>0.48185430000000001</v>
      </c>
      <c r="F7662" t="s">
        <v>77</v>
      </c>
      <c r="G7662">
        <v>-234.3475</v>
      </c>
      <c r="H7662" s="1">
        <v>-1.348228E-6</v>
      </c>
      <c r="I7662">
        <v>-62.24776</v>
      </c>
      <c r="J7662">
        <v>-248.78210000000001</v>
      </c>
      <c r="K7662">
        <v>1.1196699999999999</v>
      </c>
      <c r="L7662">
        <v>-62.840119999999999</v>
      </c>
      <c r="M7662">
        <v>0.99993100000000001</v>
      </c>
      <c r="N7662">
        <v>-8.3180459999999904E-3</v>
      </c>
      <c r="O7662">
        <v>8.3013710000000001E-3</v>
      </c>
      <c r="P7662">
        <v>0.99169260000000004</v>
      </c>
      <c r="Q7662">
        <v>-0.12851689999999999</v>
      </c>
      <c r="R7662">
        <v>-5.4182669999999896E-3</v>
      </c>
      <c r="S7662">
        <v>2.9959720000000001</v>
      </c>
      <c r="T7662">
        <v>-0.22988120000000001</v>
      </c>
      <c r="U7662">
        <v>0.1218567</v>
      </c>
      <c r="V7662">
        <v>1.359466E-2</v>
      </c>
      <c r="W7662">
        <v>-0.12027060000000001</v>
      </c>
      <c r="X7662">
        <v>0.99264810000000003</v>
      </c>
      <c r="Y7662">
        <v>-3.225811E-2</v>
      </c>
      <c r="Z7662">
        <v>8.0289809999999995E-4</v>
      </c>
      <c r="AA7662">
        <v>0.99947920000000001</v>
      </c>
      <c r="AB7662">
        <v>30</v>
      </c>
      <c r="AC7662">
        <v>14.4346</v>
      </c>
      <c r="AD7662">
        <v>-1.1196713482279901</v>
      </c>
      <c r="AE7662">
        <v>0.592359999999999</v>
      </c>
      <c r="AF7662">
        <v>-0.469687176767903</v>
      </c>
      <c r="AG7662">
        <v>-1.1196713482279901</v>
      </c>
      <c r="AH7662">
        <v>14.352806187223701</v>
      </c>
      <c r="AI7662">
        <v>94.458268539198599</v>
      </c>
      <c r="AJ7662">
        <v>91.874301964908199</v>
      </c>
      <c r="AK7662">
        <v>14.4040728761025</v>
      </c>
      <c r="AL7662">
        <v>96.907719639404206</v>
      </c>
      <c r="AM7662">
        <v>89.215363481911496</v>
      </c>
      <c r="AN7662">
        <v>1.00000004121924</v>
      </c>
    </row>
    <row r="7663" spans="1:40" x14ac:dyDescent="0.25">
      <c r="A7663" t="str">
        <f>"20190303154959977"</f>
        <v>20190303154959977</v>
      </c>
      <c r="B7663" t="str">
        <f>"1551599399968143"</f>
        <v>1551599399968143</v>
      </c>
      <c r="C7663" t="s">
        <v>40</v>
      </c>
      <c r="D7663">
        <v>5.5773080000000004</v>
      </c>
      <c r="E7663">
        <v>0.4817169</v>
      </c>
      <c r="F7663" t="s">
        <v>77</v>
      </c>
      <c r="G7663">
        <v>-234.36510000000001</v>
      </c>
      <c r="H7663" s="1">
        <v>-1.3560950000000001E-6</v>
      </c>
      <c r="I7663">
        <v>-62.249049999999997</v>
      </c>
      <c r="J7663">
        <v>-248.61070000000001</v>
      </c>
      <c r="K7663">
        <v>1.119691</v>
      </c>
      <c r="L7663">
        <v>-62.838810000000002</v>
      </c>
      <c r="M7663">
        <v>0.99993149999999997</v>
      </c>
      <c r="N7663">
        <v>-8.357916E-3</v>
      </c>
      <c r="O7663">
        <v>8.1972629999999998E-3</v>
      </c>
      <c r="P7663">
        <v>0.99167839999999996</v>
      </c>
      <c r="Q7663">
        <v>-0.12863060000000001</v>
      </c>
      <c r="R7663">
        <v>-5.3374929999999996E-3</v>
      </c>
      <c r="S7663">
        <v>2.9956510000000001</v>
      </c>
      <c r="T7663">
        <v>-0.23265240000000001</v>
      </c>
      <c r="U7663">
        <v>0.1228027</v>
      </c>
      <c r="V7663">
        <v>1.3413949999999999E-2</v>
      </c>
      <c r="W7663">
        <v>-0.1203443</v>
      </c>
      <c r="X7663">
        <v>0.99264160000000001</v>
      </c>
      <c r="Y7663">
        <v>-3.2677989999999997E-2</v>
      </c>
      <c r="Z7663">
        <v>8.3637519999999995E-4</v>
      </c>
      <c r="AA7663">
        <v>0.99946559999999995</v>
      </c>
      <c r="AB7663">
        <v>30</v>
      </c>
      <c r="AC7663">
        <v>14.2455999999999</v>
      </c>
      <c r="AD7663">
        <v>-1.1196923560950001</v>
      </c>
      <c r="AE7663">
        <v>0.58975999999999795</v>
      </c>
      <c r="AF7663">
        <v>-0.47006218281992701</v>
      </c>
      <c r="AG7663">
        <v>-1.1196923560950001</v>
      </c>
      <c r="AH7663">
        <v>14.1626114265667</v>
      </c>
      <c r="AI7663">
        <v>94.517909382400305</v>
      </c>
      <c r="AJ7663">
        <v>91.900969761960198</v>
      </c>
      <c r="AK7663">
        <v>14.214578145268</v>
      </c>
      <c r="AL7663">
        <v>96.911973413251204</v>
      </c>
      <c r="AM7663">
        <v>89.225787087811597</v>
      </c>
      <c r="AN7663">
        <v>1.00000001532382</v>
      </c>
    </row>
    <row r="7664" spans="1:40" x14ac:dyDescent="0.25">
      <c r="A7664" t="str">
        <f>"20190303154959990"</f>
        <v>20190303154959990</v>
      </c>
      <c r="B7664" t="str">
        <f>"1551599399978878"</f>
        <v>1551599399978878</v>
      </c>
      <c r="C7664" t="s">
        <v>40</v>
      </c>
      <c r="D7664">
        <v>5.6023239999999896</v>
      </c>
      <c r="E7664">
        <v>0.48160930000000002</v>
      </c>
      <c r="F7664" t="s">
        <v>77</v>
      </c>
      <c r="G7664">
        <v>-234.32810000000001</v>
      </c>
      <c r="H7664" s="1">
        <v>-1.3394879999999999E-6</v>
      </c>
      <c r="I7664">
        <v>-62.246220000000001</v>
      </c>
      <c r="J7664">
        <v>-248.45439999999999</v>
      </c>
      <c r="K7664">
        <v>1.119707</v>
      </c>
      <c r="L7664">
        <v>-62.837589999999999</v>
      </c>
      <c r="M7664">
        <v>0.99993180000000004</v>
      </c>
      <c r="N7664">
        <v>-8.4124390000000007E-3</v>
      </c>
      <c r="O7664">
        <v>8.1128650000000004E-3</v>
      </c>
      <c r="P7664">
        <v>0.99166949999999998</v>
      </c>
      <c r="Q7664">
        <v>-0.12869910000000001</v>
      </c>
      <c r="R7664">
        <v>-5.3180739999999999E-3</v>
      </c>
      <c r="S7664">
        <v>2.9953919999999998</v>
      </c>
      <c r="T7664">
        <v>-0.23482629999999999</v>
      </c>
      <c r="U7664">
        <v>0.12426760000000001</v>
      </c>
      <c r="V7664">
        <v>1.331445E-2</v>
      </c>
      <c r="W7664">
        <v>-0.1203583</v>
      </c>
      <c r="X7664">
        <v>0.9926412</v>
      </c>
      <c r="Y7664">
        <v>-3.3250040000000002E-2</v>
      </c>
      <c r="Z7664">
        <v>8.7433009999999904E-4</v>
      </c>
      <c r="AA7664">
        <v>0.99944670000000002</v>
      </c>
      <c r="AB7664">
        <v>30</v>
      </c>
      <c r="AC7664">
        <v>14.126299999999899</v>
      </c>
      <c r="AD7664">
        <v>-1.1197083394880001</v>
      </c>
      <c r="AE7664">
        <v>0.59137000000001105</v>
      </c>
      <c r="AF7664">
        <v>-0.47377033240865501</v>
      </c>
      <c r="AG7664">
        <v>-1.1197083394880001</v>
      </c>
      <c r="AH7664">
        <v>14.042560747269301</v>
      </c>
      <c r="AI7664">
        <v>94.556352991694098</v>
      </c>
      <c r="AJ7664">
        <v>91.932321932758697</v>
      </c>
      <c r="AK7664">
        <v>14.0950955099332</v>
      </c>
      <c r="AL7664">
        <v>96.912781718204897</v>
      </c>
      <c r="AM7664">
        <v>89.231528928113505</v>
      </c>
      <c r="AN7664">
        <v>0.99999997344756497</v>
      </c>
    </row>
    <row r="7665" spans="1:40" x14ac:dyDescent="0.25">
      <c r="A7665" t="str">
        <f>"20190303155000002"</f>
        <v>20190303155000002</v>
      </c>
      <c r="B7665" t="str">
        <f>"1551599399998399"</f>
        <v>1551599399998399</v>
      </c>
      <c r="C7665" t="s">
        <v>40</v>
      </c>
      <c r="D7665">
        <v>5.5942819999999998</v>
      </c>
      <c r="E7665">
        <v>0.4815316</v>
      </c>
      <c r="F7665" t="s">
        <v>77</v>
      </c>
      <c r="G7665">
        <v>-234.3015</v>
      </c>
      <c r="H7665" s="1">
        <v>-1.327846E-6</v>
      </c>
      <c r="I7665">
        <v>-62.24541</v>
      </c>
      <c r="J7665">
        <v>-248.29849999999999</v>
      </c>
      <c r="K7665">
        <v>1.119731</v>
      </c>
      <c r="L7665">
        <v>-62.83643</v>
      </c>
      <c r="M7665">
        <v>0.99993200000000004</v>
      </c>
      <c r="N7665">
        <v>-8.4742849999999998E-3</v>
      </c>
      <c r="O7665">
        <v>8.0322459999999998E-3</v>
      </c>
      <c r="P7665">
        <v>0.99167289999999997</v>
      </c>
      <c r="Q7665">
        <v>-0.12867300000000001</v>
      </c>
      <c r="R7665">
        <v>-5.3361290000000002E-3</v>
      </c>
      <c r="S7665">
        <v>2.995117</v>
      </c>
      <c r="T7665">
        <v>-0.23695849999999999</v>
      </c>
      <c r="U7665">
        <v>0.12530519999999901</v>
      </c>
      <c r="V7665">
        <v>1.325578E-2</v>
      </c>
      <c r="W7665">
        <v>-0.1202703</v>
      </c>
      <c r="X7665">
        <v>0.99265270000000005</v>
      </c>
      <c r="Y7665">
        <v>-3.3676690000000002E-2</v>
      </c>
      <c r="Z7665">
        <v>9.0628819999999995E-4</v>
      </c>
      <c r="AA7665">
        <v>0.9994324</v>
      </c>
      <c r="AB7665">
        <v>30</v>
      </c>
      <c r="AC7665">
        <v>13.9969999999999</v>
      </c>
      <c r="AD7665">
        <v>-1.1197323278460001</v>
      </c>
      <c r="AE7665">
        <v>0.59102000000000698</v>
      </c>
      <c r="AF7665">
        <v>-0.47553173096916102</v>
      </c>
      <c r="AG7665">
        <v>-1.1197323278460001</v>
      </c>
      <c r="AH7665">
        <v>13.912419204755899</v>
      </c>
      <c r="AI7665">
        <v>94.598822118317599</v>
      </c>
      <c r="AJ7665">
        <v>91.9576292067525</v>
      </c>
      <c r="AK7665">
        <v>13.965505327128101</v>
      </c>
      <c r="AL7665">
        <v>96.907702459844401</v>
      </c>
      <c r="AM7665">
        <v>89.234923647878006</v>
      </c>
      <c r="AN7665">
        <v>1.00000002179139</v>
      </c>
    </row>
    <row r="7666" spans="1:40" x14ac:dyDescent="0.25">
      <c r="A7666" t="str">
        <f>"20190303155000013"</f>
        <v>20190303155000013</v>
      </c>
      <c r="B7666" t="str">
        <f>"1551599400008159"</f>
        <v>1551599400008159</v>
      </c>
      <c r="C7666" t="s">
        <v>40</v>
      </c>
      <c r="D7666">
        <v>5.517315</v>
      </c>
      <c r="E7666">
        <v>0.4815758</v>
      </c>
      <c r="F7666" t="s">
        <v>77</v>
      </c>
      <c r="G7666">
        <v>-234.1968</v>
      </c>
      <c r="H7666" s="1">
        <v>-1.282424E-6</v>
      </c>
      <c r="I7666">
        <v>-62.243499999999997</v>
      </c>
      <c r="J7666">
        <v>-248.1343</v>
      </c>
      <c r="K7666">
        <v>1.1197680000000001</v>
      </c>
      <c r="L7666">
        <v>-62.835140000000003</v>
      </c>
      <c r="M7666">
        <v>0.99993149999999997</v>
      </c>
      <c r="N7666">
        <v>-8.5830319999999904E-3</v>
      </c>
      <c r="O7666">
        <v>7.9610759999999992E-3</v>
      </c>
      <c r="P7666">
        <v>0.99164319999999895</v>
      </c>
      <c r="Q7666">
        <v>-0.1289042</v>
      </c>
      <c r="R7666">
        <v>-5.2562559999999999E-3</v>
      </c>
      <c r="S7666">
        <v>2.99498</v>
      </c>
      <c r="T7666">
        <v>-0.2378142</v>
      </c>
      <c r="U7666">
        <v>0.12591550000000001</v>
      </c>
      <c r="V7666">
        <v>1.310854E-2</v>
      </c>
      <c r="W7666">
        <v>-0.1203934</v>
      </c>
      <c r="X7666">
        <v>0.99263970000000001</v>
      </c>
      <c r="Y7666">
        <v>-3.3951059999999998E-2</v>
      </c>
      <c r="Z7666">
        <v>9.2860969999999997E-4</v>
      </c>
      <c r="AA7666">
        <v>0.99942310000000001</v>
      </c>
      <c r="AB7666">
        <v>30</v>
      </c>
      <c r="AC7666">
        <v>13.9375</v>
      </c>
      <c r="AD7666">
        <v>-1.119769282424</v>
      </c>
      <c r="AE7666">
        <v>0.59164000000000505</v>
      </c>
      <c r="AF7666">
        <v>-0.47758248177607099</v>
      </c>
      <c r="AG7666">
        <v>-1.119769282424</v>
      </c>
      <c r="AH7666">
        <v>13.8525132499081</v>
      </c>
      <c r="AI7666">
        <v>94.618729236773902</v>
      </c>
      <c r="AJ7666">
        <v>91.974560594633601</v>
      </c>
      <c r="AK7666">
        <v>13.905901323238201</v>
      </c>
      <c r="AL7666">
        <v>96.914807420888707</v>
      </c>
      <c r="AM7666">
        <v>89.243410914943198</v>
      </c>
      <c r="AN7666">
        <v>0.99999998930028999</v>
      </c>
    </row>
    <row r="7667" spans="1:40" x14ac:dyDescent="0.25">
      <c r="A7667" t="str">
        <f>"20190303155000025"</f>
        <v>20190303155000025</v>
      </c>
      <c r="B7667" t="str">
        <f>"1551599400018894"</f>
        <v>1551599400018894</v>
      </c>
      <c r="C7667" t="s">
        <v>40</v>
      </c>
      <c r="D7667">
        <v>5.5631599999999999</v>
      </c>
      <c r="E7667">
        <v>0.4815007</v>
      </c>
      <c r="F7667" t="s">
        <v>77</v>
      </c>
      <c r="G7667">
        <v>-234.0394</v>
      </c>
      <c r="H7667" s="1">
        <v>-1.2148100000000001E-6</v>
      </c>
      <c r="I7667">
        <v>-62.243090000000002</v>
      </c>
      <c r="J7667">
        <v>-247.97620000000001</v>
      </c>
      <c r="K7667">
        <v>1.119807</v>
      </c>
      <c r="L7667">
        <v>-62.833950000000002</v>
      </c>
      <c r="M7667">
        <v>0.99993100000000001</v>
      </c>
      <c r="N7667">
        <v>-8.7084139999999994E-3</v>
      </c>
      <c r="O7667">
        <v>7.8981639999999992E-3</v>
      </c>
      <c r="P7667">
        <v>0.99162410000000001</v>
      </c>
      <c r="Q7667">
        <v>-0.1290607</v>
      </c>
      <c r="R7667">
        <v>-5.0160430000000004E-3</v>
      </c>
      <c r="S7667">
        <v>2.9950410000000001</v>
      </c>
      <c r="T7667">
        <v>-0.23794129999999999</v>
      </c>
      <c r="U7667">
        <v>0.1257935</v>
      </c>
      <c r="V7667">
        <v>1.2809020000000001E-2</v>
      </c>
      <c r="W7667">
        <v>-0.12042509999999999</v>
      </c>
      <c r="X7667">
        <v>0.99263979999999996</v>
      </c>
      <c r="Y7667">
        <v>-3.3971849999999998E-2</v>
      </c>
      <c r="Z7667">
        <v>9.3746219999999998E-4</v>
      </c>
      <c r="AA7667">
        <v>0.99942240000000004</v>
      </c>
      <c r="AB7667">
        <v>30</v>
      </c>
      <c r="AC7667">
        <v>13.9368</v>
      </c>
      <c r="AD7667">
        <v>-1.1198082148099999</v>
      </c>
      <c r="AE7667">
        <v>0.59085999999999905</v>
      </c>
      <c r="AF7667">
        <v>-0.47768389776759901</v>
      </c>
      <c r="AG7667">
        <v>-1.1198082148099999</v>
      </c>
      <c r="AH7667">
        <v>13.8517660803876</v>
      </c>
      <c r="AI7667">
        <v>94.619135739238601</v>
      </c>
      <c r="AJ7667">
        <v>91.975086012916606</v>
      </c>
      <c r="AK7667">
        <v>13.905163641249199</v>
      </c>
      <c r="AL7667">
        <v>96.916636766541799</v>
      </c>
      <c r="AM7667">
        <v>89.260696523597403</v>
      </c>
      <c r="AN7667">
        <v>1.0000000241236999</v>
      </c>
    </row>
    <row r="7668" spans="1:40" x14ac:dyDescent="0.25">
      <c r="A7668" t="str">
        <f>"20190303155000038"</f>
        <v>20190303155000038</v>
      </c>
      <c r="B7668" t="str">
        <f>"1551599400028654"</f>
        <v>1551599400028654</v>
      </c>
      <c r="C7668" t="s">
        <v>40</v>
      </c>
      <c r="D7668">
        <v>5.5561089999999904</v>
      </c>
      <c r="E7668">
        <v>0.48137780000000002</v>
      </c>
      <c r="F7668" t="s">
        <v>77</v>
      </c>
      <c r="G7668">
        <v>-233.98560000000001</v>
      </c>
      <c r="H7668" s="1">
        <v>-1.190841E-6</v>
      </c>
      <c r="I7668">
        <v>-62.239809999999999</v>
      </c>
      <c r="J7668">
        <v>-247.80160000000001</v>
      </c>
      <c r="K7668">
        <v>1.1198629999999901</v>
      </c>
      <c r="L7668">
        <v>-62.832669999999901</v>
      </c>
      <c r="M7668">
        <v>0.99992979999999998</v>
      </c>
      <c r="N7668">
        <v>-8.8821200000000003E-3</v>
      </c>
      <c r="O7668">
        <v>7.8387279999999997E-3</v>
      </c>
      <c r="P7668">
        <v>0.99163409999999996</v>
      </c>
      <c r="Q7668">
        <v>-0.1289863</v>
      </c>
      <c r="R7668">
        <v>-4.9256209999999998E-3</v>
      </c>
      <c r="S7668">
        <v>2.9947659999999998</v>
      </c>
      <c r="T7668">
        <v>-0.2397021</v>
      </c>
      <c r="U7668">
        <v>0.12716669999999999</v>
      </c>
      <c r="V7668">
        <v>1.266311E-2</v>
      </c>
      <c r="W7668">
        <v>-0.1201778</v>
      </c>
      <c r="X7668">
        <v>0.99267159999999999</v>
      </c>
      <c r="Y7668">
        <v>-3.4488890000000001E-2</v>
      </c>
      <c r="Z7668">
        <v>9.7433890000000003E-4</v>
      </c>
      <c r="AA7668">
        <v>0.99940459999999998</v>
      </c>
      <c r="AB7668">
        <v>30</v>
      </c>
      <c r="AC7668">
        <v>13.816000000000001</v>
      </c>
      <c r="AD7668">
        <v>-1.1198641908410001</v>
      </c>
      <c r="AE7668">
        <v>0.59285999999999395</v>
      </c>
      <c r="AF7668">
        <v>-0.48138077868479501</v>
      </c>
      <c r="AG7668">
        <v>-1.1198641908410001</v>
      </c>
      <c r="AH7668">
        <v>13.7301813086175</v>
      </c>
      <c r="AI7668">
        <v>94.659999502101002</v>
      </c>
      <c r="AJ7668">
        <v>92.007970158010295</v>
      </c>
      <c r="AK7668">
        <v>13.784183038088401</v>
      </c>
      <c r="AL7668">
        <v>96.902364156494897</v>
      </c>
      <c r="AM7668">
        <v>89.269140563386102</v>
      </c>
      <c r="AN7668">
        <v>0.999999981707135</v>
      </c>
    </row>
    <row r="7669" spans="1:40" x14ac:dyDescent="0.25">
      <c r="A7669" t="str">
        <f>"20190303155000055"</f>
        <v>20190303155000055</v>
      </c>
      <c r="B7669" t="str">
        <f>"1551599400048175"</f>
        <v>1551599400048175</v>
      </c>
      <c r="C7669" t="s">
        <v>40</v>
      </c>
      <c r="D7669">
        <v>5.4111539999999998</v>
      </c>
      <c r="E7669">
        <v>0.48132999999999998</v>
      </c>
      <c r="F7669" t="s">
        <v>77</v>
      </c>
      <c r="G7669">
        <v>-233.87289999999999</v>
      </c>
      <c r="H7669" s="1">
        <v>-1.141171E-6</v>
      </c>
      <c r="I7669">
        <v>-62.234879999999997</v>
      </c>
      <c r="J7669">
        <v>-247.5849</v>
      </c>
      <c r="K7669">
        <v>1.1199330000000001</v>
      </c>
      <c r="L7669">
        <v>-62.83099</v>
      </c>
      <c r="M7669">
        <v>0.99992760000000003</v>
      </c>
      <c r="N7669">
        <v>-9.1760000000000001E-3</v>
      </c>
      <c r="O7669">
        <v>7.7813739999999998E-3</v>
      </c>
      <c r="P7669">
        <v>0.9916547</v>
      </c>
      <c r="Q7669">
        <v>-0.12885099999999999</v>
      </c>
      <c r="R7669">
        <v>-4.3157760000000003E-3</v>
      </c>
      <c r="S7669">
        <v>2.9946139999999999</v>
      </c>
      <c r="T7669">
        <v>-0.24076600000000001</v>
      </c>
      <c r="U7669">
        <v>0.1285095</v>
      </c>
      <c r="V7669">
        <v>1.1999589999999999E-2</v>
      </c>
      <c r="W7669">
        <v>-0.11975</v>
      </c>
      <c r="X7669">
        <v>0.99273160000000005</v>
      </c>
      <c r="Y7669">
        <v>-3.4992299999999997E-2</v>
      </c>
      <c r="Z7669">
        <v>1.0116630000000001E-3</v>
      </c>
      <c r="AA7669">
        <v>0.99938709999999997</v>
      </c>
      <c r="AB7669">
        <v>30</v>
      </c>
      <c r="AC7669">
        <v>13.712</v>
      </c>
      <c r="AD7669">
        <v>-1.119934141171</v>
      </c>
      <c r="AE7669">
        <v>0.59610999999999503</v>
      </c>
      <c r="AF7669">
        <v>-0.48615230832119699</v>
      </c>
      <c r="AG7669">
        <v>-1.119934141171</v>
      </c>
      <c r="AH7669">
        <v>13.6255009114653</v>
      </c>
      <c r="AI7669">
        <v>94.695830992367405</v>
      </c>
      <c r="AJ7669">
        <v>92.043423194281004</v>
      </c>
      <c r="AK7669">
        <v>13.680090337267099</v>
      </c>
      <c r="AL7669">
        <v>96.877674309745203</v>
      </c>
      <c r="AM7669">
        <v>89.307474062621495</v>
      </c>
      <c r="AN7669">
        <v>1.0000000411493599</v>
      </c>
    </row>
    <row r="7670" spans="1:40" x14ac:dyDescent="0.25">
      <c r="A7670" t="str">
        <f>"20190303155000069"</f>
        <v>20190303155000069</v>
      </c>
      <c r="B7670" t="str">
        <f>"1551599400058911"</f>
        <v>1551599400058911</v>
      </c>
      <c r="C7670" t="s">
        <v>40</v>
      </c>
      <c r="D7670">
        <v>5.5566389999999997</v>
      </c>
      <c r="E7670">
        <v>0.48128379999999998</v>
      </c>
      <c r="F7670" t="s">
        <v>77</v>
      </c>
      <c r="G7670">
        <v>-233.6541</v>
      </c>
      <c r="H7670" s="1">
        <v>-1.0440770000000001E-6</v>
      </c>
      <c r="I7670">
        <v>-62.222729999999999</v>
      </c>
      <c r="J7670">
        <v>-247.3845</v>
      </c>
      <c r="K7670">
        <v>1.1200060000000001</v>
      </c>
      <c r="L7670">
        <v>-62.829529999999998</v>
      </c>
      <c r="M7670">
        <v>0.99992499999999995</v>
      </c>
      <c r="N7670">
        <v>-9.4970000000000002E-3</v>
      </c>
      <c r="O7670">
        <v>7.7343869999999997E-3</v>
      </c>
      <c r="P7670">
        <v>0.99163999999999997</v>
      </c>
      <c r="Q7670">
        <v>-0.12897419999999901</v>
      </c>
      <c r="R7670">
        <v>-3.9755190000000003E-3</v>
      </c>
      <c r="S7670">
        <v>2.9945369999999998</v>
      </c>
      <c r="T7670">
        <v>-0.2407387</v>
      </c>
      <c r="U7670">
        <v>0.1307373</v>
      </c>
      <c r="V7670">
        <v>1.161538E-2</v>
      </c>
      <c r="W7670">
        <v>-0.1195543</v>
      </c>
      <c r="X7670">
        <v>0.99275970000000002</v>
      </c>
      <c r="Y7670">
        <v>-3.5778869999999997E-2</v>
      </c>
      <c r="Z7670">
        <v>1.058327E-3</v>
      </c>
      <c r="AA7670">
        <v>0.9993592</v>
      </c>
      <c r="AB7670">
        <v>30</v>
      </c>
      <c r="AC7670">
        <v>13.730399999999999</v>
      </c>
      <c r="AD7670">
        <v>-1.120007044077</v>
      </c>
      <c r="AE7670">
        <v>0.60679999999999901</v>
      </c>
      <c r="AF7670">
        <v>-0.49727845033574197</v>
      </c>
      <c r="AG7670">
        <v>-1.120007044077</v>
      </c>
      <c r="AH7670">
        <v>13.6440736187953</v>
      </c>
      <c r="AI7670">
        <v>94.689642368043394</v>
      </c>
      <c r="AJ7670">
        <v>92.087305563116999</v>
      </c>
      <c r="AK7670">
        <v>13.6989943627646</v>
      </c>
      <c r="AL7670">
        <v>96.866380777838003</v>
      </c>
      <c r="AM7670">
        <v>89.329664685087195</v>
      </c>
      <c r="AN7670">
        <v>0.99999998482256203</v>
      </c>
    </row>
    <row r="7671" spans="1:40" x14ac:dyDescent="0.25">
      <c r="A7671" t="str">
        <f>"20190303155000081"</f>
        <v>20190303155000081</v>
      </c>
      <c r="B7671" t="str">
        <f>"1551599400068671"</f>
        <v>1551599400068671</v>
      </c>
      <c r="C7671" t="s">
        <v>40</v>
      </c>
      <c r="D7671">
        <v>5.4873099999999999</v>
      </c>
      <c r="E7671">
        <v>0.48134870000000002</v>
      </c>
      <c r="F7671" t="s">
        <v>77</v>
      </c>
      <c r="G7671">
        <v>-233.5318</v>
      </c>
      <c r="H7671" s="1">
        <v>-9.9033310000000008E-7</v>
      </c>
      <c r="I7671">
        <v>-62.217860000000002</v>
      </c>
      <c r="J7671">
        <v>-247.21719999999999</v>
      </c>
      <c r="K7671">
        <v>1.120069</v>
      </c>
      <c r="L7671">
        <v>-62.828279999999999</v>
      </c>
      <c r="M7671">
        <v>0.99992250000000005</v>
      </c>
      <c r="N7671">
        <v>-9.7899179999999999E-3</v>
      </c>
      <c r="O7671">
        <v>7.6972589999999997E-3</v>
      </c>
      <c r="P7671">
        <v>0.99164799999999997</v>
      </c>
      <c r="Q7671">
        <v>-0.12891830000000001</v>
      </c>
      <c r="R7671">
        <v>-3.83461E-3</v>
      </c>
      <c r="S7671">
        <v>2.994354</v>
      </c>
      <c r="T7671">
        <v>-0.24209710000000001</v>
      </c>
      <c r="U7671">
        <v>0.13220209999999999</v>
      </c>
      <c r="V7671">
        <v>1.143987E-2</v>
      </c>
      <c r="W7671">
        <v>-0.1192072</v>
      </c>
      <c r="X7671">
        <v>0.99280349999999995</v>
      </c>
      <c r="Y7671">
        <v>-3.630282E-2</v>
      </c>
      <c r="Z7671">
        <v>1.096809E-3</v>
      </c>
      <c r="AA7671">
        <v>0.99934020000000001</v>
      </c>
      <c r="AB7671">
        <v>30</v>
      </c>
      <c r="AC7671">
        <v>13.6853999999999</v>
      </c>
      <c r="AD7671">
        <v>-1.1200699903331</v>
      </c>
      <c r="AE7671">
        <v>0.61042000000001195</v>
      </c>
      <c r="AF7671">
        <v>-0.50170283684190797</v>
      </c>
      <c r="AG7671">
        <v>-1.1200699903331</v>
      </c>
      <c r="AH7671">
        <v>13.5987832095394</v>
      </c>
      <c r="AI7671">
        <v>94.705377713489895</v>
      </c>
      <c r="AJ7671">
        <v>92.112867262911806</v>
      </c>
      <c r="AK7671">
        <v>13.6540531454872</v>
      </c>
      <c r="AL7671">
        <v>96.846350002270796</v>
      </c>
      <c r="AM7671">
        <v>89.3398217651973</v>
      </c>
      <c r="AN7671">
        <v>1.0000000083848499</v>
      </c>
    </row>
    <row r="7672" spans="1:40" x14ac:dyDescent="0.25">
      <c r="A7672" t="str">
        <f>"20190303155000094"</f>
        <v>20190303155000094</v>
      </c>
      <c r="B7672" t="str">
        <f>"1551599400088190"</f>
        <v>1551599400088190</v>
      </c>
      <c r="C7672" t="s">
        <v>40</v>
      </c>
      <c r="D7672">
        <v>5.517042</v>
      </c>
      <c r="E7672">
        <v>0.4814329</v>
      </c>
      <c r="F7672" t="s">
        <v>77</v>
      </c>
      <c r="G7672">
        <v>-233.2912</v>
      </c>
      <c r="H7672" s="1">
        <v>-8.8609350000000001E-7</v>
      </c>
      <c r="I7672">
        <v>-62.214109999999998</v>
      </c>
      <c r="J7672">
        <v>-247.0489</v>
      </c>
      <c r="K7672">
        <v>1.1201289999999999</v>
      </c>
      <c r="L7672">
        <v>-62.826999999999998</v>
      </c>
      <c r="M7672">
        <v>0.99991960000000002</v>
      </c>
      <c r="N7672">
        <v>-1.010643E-2</v>
      </c>
      <c r="O7672">
        <v>7.6616309999999899E-3</v>
      </c>
      <c r="P7672">
        <v>0.99161339999999998</v>
      </c>
      <c r="Q7672">
        <v>-0.1291873</v>
      </c>
      <c r="R7672">
        <v>-3.6579799999999999E-3</v>
      </c>
      <c r="S7672">
        <v>2.9944609999999998</v>
      </c>
      <c r="T7672">
        <v>-0.24084520000000001</v>
      </c>
      <c r="U7672">
        <v>0.13204959999999999</v>
      </c>
      <c r="V7672">
        <v>1.1229950000000001E-2</v>
      </c>
      <c r="W7672">
        <v>-0.119162</v>
      </c>
      <c r="X7672">
        <v>0.99281129999999995</v>
      </c>
      <c r="Y7672">
        <v>-3.628642E-2</v>
      </c>
      <c r="Z7672">
        <v>1.1023809999999999E-3</v>
      </c>
      <c r="AA7672">
        <v>0.99934080000000003</v>
      </c>
      <c r="AB7672">
        <v>30</v>
      </c>
      <c r="AC7672">
        <v>13.7577</v>
      </c>
      <c r="AD7672">
        <v>-1.1201298860935001</v>
      </c>
      <c r="AE7672">
        <v>0.61289000000000005</v>
      </c>
      <c r="AF7672">
        <v>-0.50412500441169095</v>
      </c>
      <c r="AG7672">
        <v>-1.1201298860935001</v>
      </c>
      <c r="AH7672">
        <v>13.671543588191501</v>
      </c>
      <c r="AI7672">
        <v>94.680699567469006</v>
      </c>
      <c r="AJ7672">
        <v>92.111769921006797</v>
      </c>
      <c r="AK7672">
        <v>13.7266141879785</v>
      </c>
      <c r="AL7672">
        <v>96.843741796844895</v>
      </c>
      <c r="AM7672">
        <v>89.351939990857005</v>
      </c>
      <c r="AN7672">
        <v>0.99999998571434601</v>
      </c>
    </row>
    <row r="7673" spans="1:40" x14ac:dyDescent="0.25">
      <c r="A7673" t="str">
        <f>"20190303155000106"</f>
        <v>20190303155000106</v>
      </c>
      <c r="B7673" t="str">
        <f>"1551599400098927"</f>
        <v>1551599400098927</v>
      </c>
      <c r="C7673" t="s">
        <v>40</v>
      </c>
      <c r="D7673">
        <v>5.5235709999999996</v>
      </c>
      <c r="E7673">
        <v>0.48146650000000002</v>
      </c>
      <c r="F7673" t="s">
        <v>77</v>
      </c>
      <c r="G7673">
        <v>-233.0438</v>
      </c>
      <c r="H7673" s="1">
        <v>-7.7892929999999995E-7</v>
      </c>
      <c r="I7673">
        <v>-62.210239999999999</v>
      </c>
      <c r="J7673">
        <v>-246.8768</v>
      </c>
      <c r="K7673">
        <v>1.120188</v>
      </c>
      <c r="L7673">
        <v>-62.825740000000003</v>
      </c>
      <c r="M7673">
        <v>0.99991660000000004</v>
      </c>
      <c r="N7673">
        <v>-1.042993E-2</v>
      </c>
      <c r="O7673">
        <v>7.6255559999999899E-3</v>
      </c>
      <c r="P7673">
        <v>0.99157759999999995</v>
      </c>
      <c r="Q7673">
        <v>-0.12946750000000001</v>
      </c>
      <c r="R7673">
        <v>-3.490599E-3</v>
      </c>
      <c r="S7673">
        <v>2.994675</v>
      </c>
      <c r="T7673">
        <v>-0.2395148</v>
      </c>
      <c r="U7673">
        <v>0.1318665</v>
      </c>
      <c r="V7673">
        <v>1.102849E-2</v>
      </c>
      <c r="W7673">
        <v>-0.11912109999999999</v>
      </c>
      <c r="X7673">
        <v>0.99281850000000005</v>
      </c>
      <c r="Y7673">
        <v>-3.6258840000000001E-2</v>
      </c>
      <c r="Z7673">
        <v>1.1073050000000001E-3</v>
      </c>
      <c r="AA7673">
        <v>0.99934179999999995</v>
      </c>
      <c r="AB7673">
        <v>30</v>
      </c>
      <c r="AC7673">
        <v>13.832999999999901</v>
      </c>
      <c r="AD7673">
        <v>-1.1201887789292999</v>
      </c>
      <c r="AE7673">
        <v>0.61550000000000404</v>
      </c>
      <c r="AF7673">
        <v>-0.506676005831597</v>
      </c>
      <c r="AG7673">
        <v>-1.1201887789292999</v>
      </c>
      <c r="AH7673">
        <v>13.747319265944601</v>
      </c>
      <c r="AI7673">
        <v>94.6552597815935</v>
      </c>
      <c r="AJ7673">
        <v>92.110757885569001</v>
      </c>
      <c r="AK7673">
        <v>13.8021857136881</v>
      </c>
      <c r="AL7673">
        <v>96.841381359516404</v>
      </c>
      <c r="AM7673">
        <v>89.363569531475605</v>
      </c>
      <c r="AN7673">
        <v>1.0000000189995699</v>
      </c>
    </row>
    <row r="7674" spans="1:40" x14ac:dyDescent="0.25">
      <c r="A7674" t="str">
        <f>"20190303155000120"</f>
        <v>20190303155000120</v>
      </c>
      <c r="B7674" t="str">
        <f>"1551599400108686"</f>
        <v>1551599400108686</v>
      </c>
      <c r="C7674" t="s">
        <v>40</v>
      </c>
      <c r="D7674">
        <v>5.5787430000000002</v>
      </c>
      <c r="E7674">
        <v>0.4813788</v>
      </c>
      <c r="F7674" t="s">
        <v>77</v>
      </c>
      <c r="G7674">
        <v>-232.85210000000001</v>
      </c>
      <c r="H7674" s="1">
        <v>-6.9589859999999998E-7</v>
      </c>
      <c r="I7674">
        <v>-62.207270000000001</v>
      </c>
      <c r="J7674">
        <v>-246.69</v>
      </c>
      <c r="K7674">
        <v>1.120252</v>
      </c>
      <c r="L7674">
        <v>-62.824370000000002</v>
      </c>
      <c r="M7674">
        <v>0.99991319999999995</v>
      </c>
      <c r="N7674">
        <v>-1.07814E-2</v>
      </c>
      <c r="O7674">
        <v>7.5871269999999999E-3</v>
      </c>
      <c r="P7674">
        <v>0.99151610000000001</v>
      </c>
      <c r="Q7674">
        <v>-0.12994729999999999</v>
      </c>
      <c r="R7674">
        <v>-3.1241749999999999E-3</v>
      </c>
      <c r="S7674">
        <v>2.9947050000000002</v>
      </c>
      <c r="T7674">
        <v>-0.23919370000000001</v>
      </c>
      <c r="U7674">
        <v>0.13204959999999999</v>
      </c>
      <c r="V7674">
        <v>1.0625259999999999E-2</v>
      </c>
      <c r="W7674">
        <v>-0.11925230000000001</v>
      </c>
      <c r="X7674">
        <v>0.99280710000000005</v>
      </c>
      <c r="Y7674">
        <v>-3.6356880000000001E-2</v>
      </c>
      <c r="Z7674">
        <v>1.122325E-3</v>
      </c>
      <c r="AA7674">
        <v>0.99933830000000001</v>
      </c>
      <c r="AB7674">
        <v>30</v>
      </c>
      <c r="AC7674">
        <v>13.8378999999999</v>
      </c>
      <c r="AD7674">
        <v>-1.1202526958986001</v>
      </c>
      <c r="AE7674">
        <v>0.61709999999999998</v>
      </c>
      <c r="AF7674">
        <v>-0.50875856790277496</v>
      </c>
      <c r="AG7674">
        <v>-1.1202526958986001</v>
      </c>
      <c r="AH7674">
        <v>13.7522337693706</v>
      </c>
      <c r="AI7674">
        <v>94.653844224872003</v>
      </c>
      <c r="AJ7674">
        <v>92.118669011486602</v>
      </c>
      <c r="AK7674">
        <v>13.807162453976501</v>
      </c>
      <c r="AL7674">
        <v>96.848952853985395</v>
      </c>
      <c r="AM7674">
        <v>89.386830218150493</v>
      </c>
      <c r="AN7674">
        <v>0.99999997250788297</v>
      </c>
    </row>
    <row r="7675" spans="1:40" x14ac:dyDescent="0.25">
      <c r="A7675" t="str">
        <f>"20190303155000132"</f>
        <v>20190303155000132</v>
      </c>
      <c r="B7675" t="str">
        <f>"1551599400128207"</f>
        <v>1551599400128207</v>
      </c>
      <c r="C7675" t="s">
        <v>40</v>
      </c>
      <c r="D7675">
        <v>5.4895779999999998</v>
      </c>
      <c r="E7675">
        <v>0.48142160000000001</v>
      </c>
      <c r="F7675" t="s">
        <v>77</v>
      </c>
      <c r="G7675">
        <v>-232.78989999999999</v>
      </c>
      <c r="H7675" s="1">
        <v>-6.680467E-7</v>
      </c>
      <c r="I7675">
        <v>-62.202840000000002</v>
      </c>
      <c r="J7675">
        <v>-246.54310000000001</v>
      </c>
      <c r="K7675">
        <v>1.1202909999999999</v>
      </c>
      <c r="L7675">
        <v>-62.823270000000001</v>
      </c>
      <c r="M7675">
        <v>0.99991050000000004</v>
      </c>
      <c r="N7675">
        <v>-1.1047009999999999E-2</v>
      </c>
      <c r="O7675">
        <v>7.5585030000000003E-3</v>
      </c>
      <c r="P7675">
        <v>0.99148829999999999</v>
      </c>
      <c r="Q7675">
        <v>-0.130161</v>
      </c>
      <c r="R7675">
        <v>-3.085647E-3</v>
      </c>
      <c r="S7675">
        <v>2.9944459999999999</v>
      </c>
      <c r="T7675">
        <v>-0.24133160000000001</v>
      </c>
      <c r="U7675">
        <v>0.13388059999999999</v>
      </c>
      <c r="V7675">
        <v>1.055875E-2</v>
      </c>
      <c r="W7675">
        <v>-0.1192025</v>
      </c>
      <c r="X7675">
        <v>0.99281379999999997</v>
      </c>
      <c r="Y7675">
        <v>-3.6994350000000002E-2</v>
      </c>
      <c r="Z7675">
        <v>1.1679170000000001E-3</v>
      </c>
      <c r="AA7675">
        <v>0.99931479999999995</v>
      </c>
      <c r="AB7675">
        <v>30</v>
      </c>
      <c r="AC7675">
        <v>13.7532</v>
      </c>
      <c r="AD7675">
        <v>-1.1202916680467001</v>
      </c>
      <c r="AE7675">
        <v>0.62042999999999104</v>
      </c>
      <c r="AF7675">
        <v>-0.51305502248017099</v>
      </c>
      <c r="AG7675">
        <v>-1.1202916680467001</v>
      </c>
      <c r="AH7675">
        <v>13.666997655030301</v>
      </c>
      <c r="AI7675">
        <v>94.682807496102896</v>
      </c>
      <c r="AJ7675">
        <v>92.149857001286307</v>
      </c>
      <c r="AK7675">
        <v>13.7224306804659</v>
      </c>
      <c r="AL7675">
        <v>96.846078957359794</v>
      </c>
      <c r="AM7675">
        <v>89.390672244244698</v>
      </c>
      <c r="AN7675">
        <v>0.99999998233912601</v>
      </c>
    </row>
    <row r="7676" spans="1:40" x14ac:dyDescent="0.25">
      <c r="A7676" t="str">
        <f>"20190303155000142"</f>
        <v>20190303155000142</v>
      </c>
      <c r="B7676" t="str">
        <f>"1551599400137967"</f>
        <v>1551599400137967</v>
      </c>
      <c r="C7676" t="s">
        <v>40</v>
      </c>
      <c r="D7676">
        <v>5.5008029999999897</v>
      </c>
      <c r="E7676">
        <v>0.4814522</v>
      </c>
      <c r="F7676" t="s">
        <v>77</v>
      </c>
      <c r="G7676">
        <v>-232.56059999999999</v>
      </c>
      <c r="H7676" s="1">
        <v>-5.6870600000000001E-7</v>
      </c>
      <c r="I7676">
        <v>-62.199249999999999</v>
      </c>
      <c r="J7676">
        <v>-246.39359999999999</v>
      </c>
      <c r="K7676">
        <v>1.120328</v>
      </c>
      <c r="L7676">
        <v>-62.822139999999997</v>
      </c>
      <c r="M7676">
        <v>0.99990760000000001</v>
      </c>
      <c r="N7676">
        <v>-1.1314070000000001E-2</v>
      </c>
      <c r="O7676">
        <v>7.5299529999999998E-3</v>
      </c>
      <c r="P7676">
        <v>0.99147479999999999</v>
      </c>
      <c r="Q7676">
        <v>-0.1302576</v>
      </c>
      <c r="R7676">
        <v>-3.2679380000000002E-3</v>
      </c>
      <c r="S7676">
        <v>2.994675</v>
      </c>
      <c r="T7676">
        <v>-0.23993639999999999</v>
      </c>
      <c r="U7676">
        <v>0.13363649999999999</v>
      </c>
      <c r="V7676">
        <v>1.0713540000000001E-2</v>
      </c>
      <c r="W7676">
        <v>-0.1190341</v>
      </c>
      <c r="X7676">
        <v>0.99283239999999995</v>
      </c>
      <c r="Y7676">
        <v>-3.6938989999999998E-2</v>
      </c>
      <c r="Z7676">
        <v>1.1691799999999999E-3</v>
      </c>
      <c r="AA7676">
        <v>0.99931680000000001</v>
      </c>
      <c r="AB7676">
        <v>30</v>
      </c>
      <c r="AC7676">
        <v>13.832999999999901</v>
      </c>
      <c r="AD7676">
        <v>-1.1203285687060001</v>
      </c>
      <c r="AE7676">
        <v>0.62289000000000505</v>
      </c>
      <c r="AF7676">
        <v>-0.51533045534753996</v>
      </c>
      <c r="AG7676">
        <v>-1.1203285687060001</v>
      </c>
      <c r="AH7676">
        <v>13.747308041236501</v>
      </c>
      <c r="AI7676">
        <v>94.655733623426002</v>
      </c>
      <c r="AJ7676">
        <v>92.146779694232904</v>
      </c>
      <c r="AK7676">
        <v>13.802506292725001</v>
      </c>
      <c r="AL7676">
        <v>96.836360791331401</v>
      </c>
      <c r="AM7676">
        <v>89.381751843055397</v>
      </c>
      <c r="AN7676">
        <v>1.00000003569595</v>
      </c>
    </row>
    <row r="7677" spans="1:40" x14ac:dyDescent="0.25">
      <c r="A7677" t="str">
        <f>"20190303155000155"</f>
        <v>20190303155000155</v>
      </c>
      <c r="B7677" t="str">
        <f>"1551599400148704"</f>
        <v>1551599400148704</v>
      </c>
      <c r="C7677" t="s">
        <v>40</v>
      </c>
      <c r="D7677">
        <v>5.4913720000000001</v>
      </c>
      <c r="E7677">
        <v>0.48143330000000001</v>
      </c>
      <c r="F7677" t="s">
        <v>77</v>
      </c>
      <c r="G7677">
        <v>-232.38300000000001</v>
      </c>
      <c r="H7677" s="1">
        <v>-4.9291750000000003E-7</v>
      </c>
      <c r="I7677">
        <v>-62.200740000000003</v>
      </c>
      <c r="J7677">
        <v>-246.2133</v>
      </c>
      <c r="K7677">
        <v>1.120371</v>
      </c>
      <c r="L7677">
        <v>-62.820830000000001</v>
      </c>
      <c r="M7677">
        <v>0.99990449999999997</v>
      </c>
      <c r="N7677">
        <v>-1.1618969999999999E-2</v>
      </c>
      <c r="O7677">
        <v>7.4966009999999899E-3</v>
      </c>
      <c r="P7677">
        <v>0.99142209999999997</v>
      </c>
      <c r="Q7677">
        <v>-0.13066320000000001</v>
      </c>
      <c r="R7677">
        <v>-3.110561E-3</v>
      </c>
      <c r="S7677">
        <v>2.9947810000000001</v>
      </c>
      <c r="T7677">
        <v>-0.23947080000000001</v>
      </c>
      <c r="U7677">
        <v>0.1328125</v>
      </c>
      <c r="V7677">
        <v>1.0523329999999999E-2</v>
      </c>
      <c r="W7677">
        <v>-0.1191374</v>
      </c>
      <c r="X7677">
        <v>0.99282199999999998</v>
      </c>
      <c r="Y7677">
        <v>-3.6696920000000001E-2</v>
      </c>
      <c r="Z7677">
        <v>1.1666059999999999E-3</v>
      </c>
      <c r="AA7677">
        <v>0.99932580000000004</v>
      </c>
      <c r="AB7677">
        <v>30</v>
      </c>
      <c r="AC7677">
        <v>13.830299999999999</v>
      </c>
      <c r="AD7677">
        <v>-1.1203714929174999</v>
      </c>
      <c r="AE7677">
        <v>0.62009000000000403</v>
      </c>
      <c r="AF7677">
        <v>-0.51302543408123003</v>
      </c>
      <c r="AG7677">
        <v>-1.1203714929174999</v>
      </c>
      <c r="AH7677">
        <v>13.7445443270539</v>
      </c>
      <c r="AI7677">
        <v>94.656871037613001</v>
      </c>
      <c r="AJ7677">
        <v>92.137615629826001</v>
      </c>
      <c r="AK7677">
        <v>13.799671232913701</v>
      </c>
      <c r="AL7677">
        <v>96.842322163895204</v>
      </c>
      <c r="AM7677">
        <v>89.392721135061805</v>
      </c>
      <c r="AN7677">
        <v>0.99999999211852397</v>
      </c>
    </row>
    <row r="7678" spans="1:40" x14ac:dyDescent="0.25">
      <c r="A7678" t="str">
        <f>"20190303155000167"</f>
        <v>20190303155000167</v>
      </c>
      <c r="B7678" t="str">
        <f>"1551599400158462"</f>
        <v>1551599400158462</v>
      </c>
      <c r="C7678" t="s">
        <v>40</v>
      </c>
      <c r="D7678">
        <v>5.5286109999999997</v>
      </c>
      <c r="E7678">
        <v>0.48165989999999997</v>
      </c>
      <c r="F7678" t="s">
        <v>77</v>
      </c>
      <c r="G7678">
        <v>-232.2336</v>
      </c>
      <c r="H7678" s="1">
        <v>-4.280753E-7</v>
      </c>
      <c r="I7678">
        <v>-62.197940000000003</v>
      </c>
      <c r="J7678">
        <v>-246.06219999999999</v>
      </c>
      <c r="K7678">
        <v>1.120398</v>
      </c>
      <c r="L7678">
        <v>-62.819760000000002</v>
      </c>
      <c r="M7678">
        <v>0.9999017</v>
      </c>
      <c r="N7678">
        <v>-1.186281E-2</v>
      </c>
      <c r="O7678">
        <v>7.469463E-3</v>
      </c>
      <c r="P7678">
        <v>0.99138099999999996</v>
      </c>
      <c r="Q7678">
        <v>-0.13097139999999999</v>
      </c>
      <c r="R7678">
        <v>-3.2172469999999999E-3</v>
      </c>
      <c r="S7678">
        <v>2.9947360000000001</v>
      </c>
      <c r="T7678">
        <v>-0.240006</v>
      </c>
      <c r="U7678">
        <v>0.13342290000000001</v>
      </c>
      <c r="V7678">
        <v>1.0603059999999999E-2</v>
      </c>
      <c r="W7678">
        <v>-0.119204</v>
      </c>
      <c r="X7678">
        <v>0.99281319999999995</v>
      </c>
      <c r="Y7678">
        <v>-3.6926109999999998E-2</v>
      </c>
      <c r="Z7678">
        <v>1.187233E-3</v>
      </c>
      <c r="AA7678">
        <v>0.99931729999999996</v>
      </c>
      <c r="AB7678">
        <v>30</v>
      </c>
      <c r="AC7678">
        <v>13.8285999999999</v>
      </c>
      <c r="AD7678">
        <v>-1.1203984280753001</v>
      </c>
      <c r="AE7678">
        <v>0.62181999999999205</v>
      </c>
      <c r="AF7678">
        <v>-0.51512852647465801</v>
      </c>
      <c r="AG7678">
        <v>-1.1203984280753001</v>
      </c>
      <c r="AH7678">
        <v>13.742829116890899</v>
      </c>
      <c r="AI7678">
        <v>94.657533859581406</v>
      </c>
      <c r="AJ7678">
        <v>92.146638007956497</v>
      </c>
      <c r="AK7678">
        <v>13.798043418270799</v>
      </c>
      <c r="AL7678">
        <v>96.846165160813996</v>
      </c>
      <c r="AM7678">
        <v>89.388115012701405</v>
      </c>
      <c r="AN7678">
        <v>1.0000000342958</v>
      </c>
    </row>
    <row r="7679" spans="1:40" x14ac:dyDescent="0.25">
      <c r="A7679" t="str">
        <f>"20190303155000181"</f>
        <v>20190303155000181</v>
      </c>
      <c r="B7679" t="str">
        <f>"1551599400168223"</f>
        <v>1551599400168223</v>
      </c>
      <c r="C7679" t="s">
        <v>40</v>
      </c>
      <c r="D7679">
        <v>5.5689250000000001</v>
      </c>
      <c r="E7679">
        <v>0.48165989999999997</v>
      </c>
      <c r="F7679" t="s">
        <v>77</v>
      </c>
      <c r="G7679">
        <v>-232.13679999999999</v>
      </c>
      <c r="H7679" s="1">
        <v>-3.8958109999999999E-7</v>
      </c>
      <c r="I7679">
        <v>-62.209209999999999</v>
      </c>
      <c r="J7679">
        <v>-245.8802</v>
      </c>
      <c r="K7679">
        <v>1.1204259999999999</v>
      </c>
      <c r="L7679">
        <v>-62.818420000000003</v>
      </c>
      <c r="M7679">
        <v>0.99989859999999997</v>
      </c>
      <c r="N7679">
        <v>-1.2146179999999999E-2</v>
      </c>
      <c r="O7679">
        <v>7.4370399999999998E-3</v>
      </c>
      <c r="P7679">
        <v>0.99136950000000001</v>
      </c>
      <c r="Q7679">
        <v>-0.1310566</v>
      </c>
      <c r="R7679">
        <v>-3.2870400000000002E-3</v>
      </c>
      <c r="S7679">
        <v>2.9946899999999999</v>
      </c>
      <c r="T7679">
        <v>-0.24094499999999999</v>
      </c>
      <c r="U7679">
        <v>0.1312866</v>
      </c>
      <c r="V7679">
        <v>1.064089E-2</v>
      </c>
      <c r="W7679">
        <v>-0.119008</v>
      </c>
      <c r="X7679">
        <v>0.9928363</v>
      </c>
      <c r="Y7679">
        <v>-3.6248719999999998E-2</v>
      </c>
      <c r="Z7679">
        <v>1.1689409999999999E-3</v>
      </c>
      <c r="AA7679">
        <v>0.99934210000000001</v>
      </c>
      <c r="AB7679">
        <v>30</v>
      </c>
      <c r="AC7679">
        <v>13.743399999999999</v>
      </c>
      <c r="AD7679">
        <v>-1.1204263895811</v>
      </c>
      <c r="AE7679">
        <v>0.60920999999999703</v>
      </c>
      <c r="AF7679">
        <v>-0.50363466630962395</v>
      </c>
      <c r="AG7679">
        <v>-1.1204263895811</v>
      </c>
      <c r="AH7679">
        <v>13.656961009523901</v>
      </c>
      <c r="AI7679">
        <v>94.686909463073206</v>
      </c>
      <c r="AJ7679">
        <v>92.111968428782504</v>
      </c>
      <c r="AK7679">
        <v>13.7120963819262</v>
      </c>
      <c r="AL7679">
        <v>96.834854734921294</v>
      </c>
      <c r="AM7679">
        <v>89.385946359313394</v>
      </c>
      <c r="AN7679">
        <v>1.0000000256008399</v>
      </c>
    </row>
    <row r="7680" spans="1:40" x14ac:dyDescent="0.25">
      <c r="A7680" t="str">
        <f>"20190303155000194"</f>
        <v>20190303155000194</v>
      </c>
      <c r="B7680" t="str">
        <f>"1551599400188719"</f>
        <v>1551599400188719</v>
      </c>
      <c r="C7680" t="s">
        <v>40</v>
      </c>
      <c r="D7680">
        <v>5.4881799999999998</v>
      </c>
      <c r="E7680">
        <v>0.48306290000000002</v>
      </c>
      <c r="F7680" t="s">
        <v>77</v>
      </c>
      <c r="G7680">
        <v>-231.96639999999999</v>
      </c>
      <c r="H7680" s="1">
        <v>-3.1662490000000003E-7</v>
      </c>
      <c r="I7680">
        <v>-62.209800000000001</v>
      </c>
      <c r="J7680">
        <v>-245.69970000000001</v>
      </c>
      <c r="K7680">
        <v>1.120447</v>
      </c>
      <c r="L7680">
        <v>-62.81711</v>
      </c>
      <c r="M7680">
        <v>0.99989570000000005</v>
      </c>
      <c r="N7680">
        <v>-1.2401479999999999E-2</v>
      </c>
      <c r="O7680">
        <v>7.4051669999999998E-3</v>
      </c>
      <c r="P7680">
        <v>0.99135830000000003</v>
      </c>
      <c r="Q7680">
        <v>-0.1311377</v>
      </c>
      <c r="R7680">
        <v>-3.4363380000000002E-3</v>
      </c>
      <c r="S7680">
        <v>2.994675</v>
      </c>
      <c r="T7680">
        <v>-0.2411509</v>
      </c>
      <c r="U7680">
        <v>0.1309814</v>
      </c>
      <c r="V7680">
        <v>1.075859E-2</v>
      </c>
      <c r="W7680">
        <v>-0.1188357</v>
      </c>
      <c r="X7680">
        <v>0.99285570000000001</v>
      </c>
      <c r="Y7680">
        <v>-3.6178639999999998E-2</v>
      </c>
      <c r="Z7680">
        <v>1.175129E-3</v>
      </c>
      <c r="AA7680">
        <v>0.99934460000000003</v>
      </c>
      <c r="AB7680">
        <v>30</v>
      </c>
      <c r="AC7680">
        <v>13.7333</v>
      </c>
      <c r="AD7680">
        <v>-1.1204473166249</v>
      </c>
      <c r="AE7680">
        <v>0.60730999999999802</v>
      </c>
      <c r="AF7680">
        <v>-0.50225153353070295</v>
      </c>
      <c r="AG7680">
        <v>-1.1204473166249</v>
      </c>
      <c r="AH7680">
        <v>13.6467612872658</v>
      </c>
      <c r="AI7680">
        <v>94.690496773110198</v>
      </c>
      <c r="AJ7680">
        <v>92.107746312243805</v>
      </c>
      <c r="AK7680">
        <v>13.7018886444126</v>
      </c>
      <c r="AL7680">
        <v>96.824911907692993</v>
      </c>
      <c r="AM7680">
        <v>89.379166906466295</v>
      </c>
      <c r="AN7680">
        <v>1.0000000559378801</v>
      </c>
    </row>
    <row r="7681" spans="1:40" x14ac:dyDescent="0.25">
      <c r="A7681" t="str">
        <f>"20190303155000208"</f>
        <v>20190303155000208</v>
      </c>
      <c r="B7681" t="str">
        <f>"1551599400198479"</f>
        <v>1551599400198479</v>
      </c>
      <c r="C7681" t="s">
        <v>40</v>
      </c>
      <c r="D7681">
        <v>5.5060690000000001</v>
      </c>
      <c r="E7681">
        <v>0.53376049999999997</v>
      </c>
      <c r="F7681" t="s">
        <v>77</v>
      </c>
      <c r="G7681">
        <v>-232.2732</v>
      </c>
      <c r="H7681" s="1">
        <v>-4.6717610000000002E-7</v>
      </c>
      <c r="I7681">
        <v>-62.280900000000003</v>
      </c>
      <c r="J7681">
        <v>-245.52090000000001</v>
      </c>
      <c r="K7681">
        <v>1.120466</v>
      </c>
      <c r="L7681">
        <v>-62.815829999999998</v>
      </c>
      <c r="M7681">
        <v>0.99989289999999997</v>
      </c>
      <c r="N7681">
        <v>-1.264127E-2</v>
      </c>
      <c r="O7681">
        <v>7.3732429999999998E-3</v>
      </c>
      <c r="P7681">
        <v>0.99132039999999999</v>
      </c>
      <c r="Q7681">
        <v>-0.1314274</v>
      </c>
      <c r="R7681">
        <v>-3.3163720000000002E-3</v>
      </c>
      <c r="S7681">
        <v>2.9935149999999999</v>
      </c>
      <c r="T7681">
        <v>-0.24981129999999999</v>
      </c>
      <c r="U7681">
        <v>0.1195374</v>
      </c>
      <c r="V7681">
        <v>1.060681E-2</v>
      </c>
      <c r="W7681">
        <v>-0.1188877</v>
      </c>
      <c r="X7681">
        <v>0.99285109999999999</v>
      </c>
      <c r="Y7681">
        <v>-3.2420039999999997E-2</v>
      </c>
      <c r="Z7681">
        <v>1.0343469999999999E-3</v>
      </c>
      <c r="AA7681">
        <v>0.99947379999999997</v>
      </c>
      <c r="AB7681">
        <v>30</v>
      </c>
      <c r="AC7681">
        <v>13.2477</v>
      </c>
      <c r="AD7681">
        <v>-1.1204664671761</v>
      </c>
      <c r="AE7681">
        <v>0.53493000000000201</v>
      </c>
      <c r="AF7681">
        <v>-0.43412866775926301</v>
      </c>
      <c r="AG7681">
        <v>-1.1204664671761</v>
      </c>
      <c r="AH7681">
        <v>13.1573170564447</v>
      </c>
      <c r="AI7681">
        <v>94.864883577874195</v>
      </c>
      <c r="AJ7681">
        <v>91.889801671341303</v>
      </c>
      <c r="AK7681">
        <v>13.212074209905399</v>
      </c>
      <c r="AL7681">
        <v>96.827912613307305</v>
      </c>
      <c r="AM7681">
        <v>89.3879219867937</v>
      </c>
      <c r="AN7681">
        <v>1.0000000482004301</v>
      </c>
    </row>
    <row r="7682" spans="1:40" x14ac:dyDescent="0.25">
      <c r="A7682" t="str">
        <f>"20190303155000225"</f>
        <v>20190303155000225</v>
      </c>
      <c r="B7682" t="str">
        <f>"1551599400218975"</f>
        <v>1551599400218975</v>
      </c>
      <c r="C7682" t="s">
        <v>40</v>
      </c>
      <c r="D7682">
        <v>5.5027660000000003</v>
      </c>
      <c r="E7682">
        <v>0.53637999999999997</v>
      </c>
      <c r="F7682" t="s">
        <v>42</v>
      </c>
      <c r="G7682">
        <v>-244.67959999999999</v>
      </c>
      <c r="H7682">
        <v>0.92058419999999996</v>
      </c>
      <c r="I7682">
        <v>-62.892829999999996</v>
      </c>
      <c r="J7682">
        <v>-245.28829999999999</v>
      </c>
      <c r="K7682">
        <v>1.120487</v>
      </c>
      <c r="L7682">
        <v>-62.814149999999998</v>
      </c>
      <c r="M7682">
        <v>0.99988960000000005</v>
      </c>
      <c r="N7682">
        <v>-1.292944E-2</v>
      </c>
      <c r="O7682">
        <v>7.3310800000000002E-3</v>
      </c>
      <c r="P7682">
        <v>0.99127759999999998</v>
      </c>
      <c r="Q7682">
        <v>-0.1317429</v>
      </c>
      <c r="R7682">
        <v>-3.5453160000000002E-3</v>
      </c>
      <c r="S7682">
        <v>2.9329990000000001</v>
      </c>
      <c r="T7682">
        <v>-0.69684209999999902</v>
      </c>
      <c r="U7682">
        <v>-0.26797490000000002</v>
      </c>
      <c r="V7682">
        <v>1.07937E-2</v>
      </c>
      <c r="W7682">
        <v>-0.1189177</v>
      </c>
      <c r="X7682">
        <v>0.99284550000000005</v>
      </c>
      <c r="Y7682">
        <v>9.532388E-2</v>
      </c>
      <c r="Z7682">
        <v>-1.3393739999999999E-2</v>
      </c>
      <c r="AA7682">
        <v>0.99535620000000002</v>
      </c>
      <c r="AB7682">
        <v>30</v>
      </c>
      <c r="AC7682">
        <v>0.60869999999999802</v>
      </c>
      <c r="AD7682">
        <v>-0.19990279999999999</v>
      </c>
      <c r="AE7682">
        <v>-7.8680000000005607E-2</v>
      </c>
      <c r="AF7682">
        <v>7.5166949994891402E-2</v>
      </c>
      <c r="AG7682">
        <v>-0.19990279999999999</v>
      </c>
      <c r="AH7682">
        <v>0.54978535835896702</v>
      </c>
      <c r="AI7682">
        <v>109.81156272576899</v>
      </c>
      <c r="AJ7682">
        <v>82.214759290049699</v>
      </c>
      <c r="AK7682">
        <v>0.58980940996670495</v>
      </c>
      <c r="AL7682">
        <v>96.829643720214193</v>
      </c>
      <c r="AM7682">
        <v>89.377134616582893</v>
      </c>
      <c r="AN7682">
        <v>1.0000000551016099</v>
      </c>
    </row>
    <row r="7683" spans="1:40" x14ac:dyDescent="0.25">
      <c r="A7683" t="str">
        <f>"20190303155000236"</f>
        <v>20190303155000236</v>
      </c>
      <c r="B7683" t="str">
        <f>"1551599400228735"</f>
        <v>1551599400228735</v>
      </c>
      <c r="C7683" t="s">
        <v>40</v>
      </c>
      <c r="D7683">
        <v>5.6630549999999999</v>
      </c>
      <c r="E7683">
        <v>0.53456559999999997</v>
      </c>
      <c r="F7683" t="s">
        <v>42</v>
      </c>
      <c r="G7683">
        <v>-244.4169</v>
      </c>
      <c r="H7683">
        <v>0.91222429999999999</v>
      </c>
      <c r="I7683">
        <v>-62.900480000000002</v>
      </c>
      <c r="J7683">
        <v>-245.13059999999999</v>
      </c>
      <c r="K7683">
        <v>1.1204989999999999</v>
      </c>
      <c r="L7683">
        <v>-62.813020000000002</v>
      </c>
      <c r="M7683">
        <v>0.99988739999999998</v>
      </c>
      <c r="N7683">
        <v>-1.3108949999999999E-2</v>
      </c>
      <c r="O7683">
        <v>7.301821E-3</v>
      </c>
      <c r="P7683">
        <v>0.99125870000000005</v>
      </c>
      <c r="Q7683">
        <v>-0.13188239999999901</v>
      </c>
      <c r="R7683">
        <v>-3.6913800000000002E-3</v>
      </c>
      <c r="S7683">
        <v>2.9322360000000001</v>
      </c>
      <c r="T7683">
        <v>-0.70070480000000002</v>
      </c>
      <c r="U7683">
        <v>-0.28958129999999999</v>
      </c>
      <c r="V7683">
        <v>1.091085E-2</v>
      </c>
      <c r="W7683">
        <v>-0.1188791</v>
      </c>
      <c r="X7683">
        <v>0.99284879999999998</v>
      </c>
      <c r="Y7683">
        <v>0.1023453</v>
      </c>
      <c r="Z7683">
        <v>-1.4335489999999999E-2</v>
      </c>
      <c r="AA7683">
        <v>0.99464569999999997</v>
      </c>
      <c r="AB7683">
        <v>30</v>
      </c>
      <c r="AC7683">
        <v>0.71369999999998801</v>
      </c>
      <c r="AD7683">
        <v>-0.20827469999999901</v>
      </c>
      <c r="AE7683">
        <v>-8.7460000000007199E-2</v>
      </c>
      <c r="AF7683">
        <v>8.5496191085629905E-2</v>
      </c>
      <c r="AG7683">
        <v>-0.20827469999999901</v>
      </c>
      <c r="AH7683">
        <v>0.65784804653018802</v>
      </c>
      <c r="AI7683">
        <v>107.430184106479</v>
      </c>
      <c r="AJ7683">
        <v>82.5951481480773</v>
      </c>
      <c r="AK7683">
        <v>0.695307127587388</v>
      </c>
      <c r="AL7683">
        <v>96.827416589221997</v>
      </c>
      <c r="AM7683">
        <v>89.370376947714206</v>
      </c>
      <c r="AN7683">
        <v>1.0000000133629801</v>
      </c>
    </row>
    <row r="7684" spans="1:40" x14ac:dyDescent="0.25">
      <c r="A7684" t="str">
        <f>"20190303155000249"</f>
        <v>20190303155000249</v>
      </c>
      <c r="B7684" t="str">
        <f>"1551599400238495"</f>
        <v>1551599400238495</v>
      </c>
      <c r="C7684" t="s">
        <v>40</v>
      </c>
      <c r="D7684">
        <v>5.6339370000000004</v>
      </c>
      <c r="E7684">
        <v>0.53312119999999996</v>
      </c>
      <c r="F7684" t="s">
        <v>42</v>
      </c>
      <c r="G7684">
        <v>-244.40469999999999</v>
      </c>
      <c r="H7684">
        <v>0.93894409999999895</v>
      </c>
      <c r="I7684">
        <v>-62.881360000000001</v>
      </c>
      <c r="J7684">
        <v>-244.9701</v>
      </c>
      <c r="K7684">
        <v>1.1205080000000001</v>
      </c>
      <c r="L7684">
        <v>-62.811889999999998</v>
      </c>
      <c r="M7684">
        <v>0.99988540000000004</v>
      </c>
      <c r="N7684">
        <v>-1.327746E-2</v>
      </c>
      <c r="O7684">
        <v>7.2718469999999997E-3</v>
      </c>
      <c r="P7684">
        <v>0.99126910000000001</v>
      </c>
      <c r="Q7684">
        <v>-0.13180749999999999</v>
      </c>
      <c r="R7684">
        <v>-3.5417589999999998E-3</v>
      </c>
      <c r="S7684">
        <v>2.927994</v>
      </c>
      <c r="T7684">
        <v>-0.73235539999999999</v>
      </c>
      <c r="U7684">
        <v>-0.27459719999999999</v>
      </c>
      <c r="V7684">
        <v>1.0731829999999999E-2</v>
      </c>
      <c r="W7684">
        <v>-0.1186367</v>
      </c>
      <c r="X7684">
        <v>0.99287970000000003</v>
      </c>
      <c r="Y7684">
        <v>9.7277489999999994E-2</v>
      </c>
      <c r="Z7684">
        <v>-1.430618E-2</v>
      </c>
      <c r="AA7684">
        <v>0.99515450000000005</v>
      </c>
      <c r="AB7684">
        <v>30</v>
      </c>
      <c r="AC7684">
        <v>0.565400000000011</v>
      </c>
      <c r="AD7684">
        <v>-0.1815639</v>
      </c>
      <c r="AE7684">
        <v>-6.9469999999995397E-2</v>
      </c>
      <c r="AF7684">
        <v>6.6794541908306804E-2</v>
      </c>
      <c r="AG7684">
        <v>-0.1815639</v>
      </c>
      <c r="AH7684">
        <v>0.512787104948354</v>
      </c>
      <c r="AI7684">
        <v>109.34650931797199</v>
      </c>
      <c r="AJ7684">
        <v>82.578560587761004</v>
      </c>
      <c r="AK7684">
        <v>0.54806712692266502</v>
      </c>
      <c r="AL7684">
        <v>96.813429411999607</v>
      </c>
      <c r="AM7684">
        <v>89.380725961741504</v>
      </c>
      <c r="AN7684">
        <v>0.99999996871706398</v>
      </c>
    </row>
    <row r="7685" spans="1:40" x14ac:dyDescent="0.25">
      <c r="A7685" t="str">
        <f>"20190303155000261"</f>
        <v>20190303155000261</v>
      </c>
      <c r="B7685" t="str">
        <f>"1551599400258015"</f>
        <v>1551599400258015</v>
      </c>
      <c r="C7685" t="s">
        <v>40</v>
      </c>
      <c r="D7685">
        <v>5.459638</v>
      </c>
      <c r="E7685">
        <v>0.53222029999999998</v>
      </c>
      <c r="F7685" t="s">
        <v>42</v>
      </c>
      <c r="G7685">
        <v>-244.15270000000001</v>
      </c>
      <c r="H7685">
        <v>0.91001270000000001</v>
      </c>
      <c r="I7685">
        <v>-62.885179999999998</v>
      </c>
      <c r="J7685">
        <v>-244.8058</v>
      </c>
      <c r="K7685">
        <v>1.1205160000000001</v>
      </c>
      <c r="L7685">
        <v>-62.810699999999997</v>
      </c>
      <c r="M7685">
        <v>0.99988339999999998</v>
      </c>
      <c r="N7685">
        <v>-1.344249E-2</v>
      </c>
      <c r="O7685">
        <v>7.2408100000000003E-3</v>
      </c>
      <c r="P7685">
        <v>0.99127109999999996</v>
      </c>
      <c r="Q7685">
        <v>-0.13179170000000001</v>
      </c>
      <c r="R7685">
        <v>-3.5604289999999999E-3</v>
      </c>
      <c r="S7685">
        <v>2.9252929999999999</v>
      </c>
      <c r="T7685">
        <v>-0.75340769999999901</v>
      </c>
      <c r="U7685">
        <v>-0.26193240000000001</v>
      </c>
      <c r="V7685">
        <v>1.071976E-2</v>
      </c>
      <c r="W7685">
        <v>-0.1184571</v>
      </c>
      <c r="X7685">
        <v>0.99290129999999999</v>
      </c>
      <c r="Y7685">
        <v>9.3008090000000002E-2</v>
      </c>
      <c r="Z7685">
        <v>-1.4135190000000001E-2</v>
      </c>
      <c r="AA7685">
        <v>0.99556500000000003</v>
      </c>
      <c r="AB7685">
        <v>30</v>
      </c>
      <c r="AC7685">
        <v>0.65309999999999402</v>
      </c>
      <c r="AD7685">
        <v>-0.2105033</v>
      </c>
      <c r="AE7685">
        <v>-7.4480000000008303E-2</v>
      </c>
      <c r="AF7685">
        <v>7.1840061483100501E-2</v>
      </c>
      <c r="AG7685">
        <v>-0.2105033</v>
      </c>
      <c r="AH7685">
        <v>0.591847974397952</v>
      </c>
      <c r="AI7685">
        <v>109.447089825783</v>
      </c>
      <c r="AJ7685">
        <v>83.0791453119121</v>
      </c>
      <c r="AK7685">
        <v>0.63226312445353305</v>
      </c>
      <c r="AL7685">
        <v>96.803065834282606</v>
      </c>
      <c r="AM7685">
        <v>89.381435855710905</v>
      </c>
      <c r="AN7685">
        <v>0.99999999466827805</v>
      </c>
    </row>
    <row r="7686" spans="1:40" x14ac:dyDescent="0.25">
      <c r="A7686" t="str">
        <f>"20190303155000277"</f>
        <v>20190303155000277</v>
      </c>
      <c r="B7686" t="str">
        <f>"1551599400268750"</f>
        <v>1551599400268750</v>
      </c>
      <c r="C7686" t="s">
        <v>40</v>
      </c>
      <c r="D7686">
        <v>5.4125940000000003</v>
      </c>
      <c r="E7686">
        <v>0.53323889999999996</v>
      </c>
      <c r="F7686" t="s">
        <v>42</v>
      </c>
      <c r="G7686">
        <v>-243.89840000000001</v>
      </c>
      <c r="H7686">
        <v>0.88375210000000004</v>
      </c>
      <c r="I7686">
        <v>-62.889819999999901</v>
      </c>
      <c r="J7686">
        <v>-244.59379999999999</v>
      </c>
      <c r="K7686">
        <v>1.1205229999999999</v>
      </c>
      <c r="L7686">
        <v>-62.809229999999999</v>
      </c>
      <c r="M7686">
        <v>0.99988109999999997</v>
      </c>
      <c r="N7686">
        <v>-1.3632109999999999E-2</v>
      </c>
      <c r="O7686">
        <v>7.2005300000000001E-3</v>
      </c>
      <c r="P7686">
        <v>0.99126939999999997</v>
      </c>
      <c r="Q7686">
        <v>-0.1318097</v>
      </c>
      <c r="R7686">
        <v>-3.4004999999999999E-3</v>
      </c>
      <c r="S7686">
        <v>2.924042</v>
      </c>
      <c r="T7686">
        <v>-0.76300440000000003</v>
      </c>
      <c r="U7686">
        <v>-0.25439450000000002</v>
      </c>
      <c r="V7686">
        <v>1.0520130000000001E-2</v>
      </c>
      <c r="W7686">
        <v>-0.11828669999999999</v>
      </c>
      <c r="X7686">
        <v>0.99292369999999996</v>
      </c>
      <c r="Y7686">
        <v>9.0459990000000004E-2</v>
      </c>
      <c r="Z7686">
        <v>-1.3963959999999999E-2</v>
      </c>
      <c r="AA7686">
        <v>0.99580219999999997</v>
      </c>
      <c r="AB7686">
        <v>30</v>
      </c>
      <c r="AC7686">
        <v>0.69539999999997804</v>
      </c>
      <c r="AD7686">
        <v>-0.23677089999999901</v>
      </c>
      <c r="AE7686">
        <v>-8.0589999999986603E-2</v>
      </c>
      <c r="AF7686">
        <v>7.6809302477344493E-2</v>
      </c>
      <c r="AG7686">
        <v>-0.23677089999999901</v>
      </c>
      <c r="AH7686">
        <v>0.62348079609344198</v>
      </c>
      <c r="AI7686">
        <v>110.65178559419</v>
      </c>
      <c r="AJ7686">
        <v>82.976871486877101</v>
      </c>
      <c r="AK7686">
        <v>0.67133332341779295</v>
      </c>
      <c r="AL7686">
        <v>96.793233842652697</v>
      </c>
      <c r="AM7686">
        <v>89.3929679632367</v>
      </c>
      <c r="AN7686">
        <v>0.99999994527689695</v>
      </c>
    </row>
    <row r="7687" spans="1:40" x14ac:dyDescent="0.25">
      <c r="A7687" t="str">
        <f>"20190303155000290"</f>
        <v>20190303155000290</v>
      </c>
      <c r="B7687" t="str">
        <f>"1551599400278512"</f>
        <v>1551599400278512</v>
      </c>
      <c r="C7687" t="s">
        <v>40</v>
      </c>
      <c r="D7687">
        <v>5.6397919999999999</v>
      </c>
      <c r="E7687">
        <v>0.53257690000000002</v>
      </c>
      <c r="F7687" t="s">
        <v>42</v>
      </c>
      <c r="G7687">
        <v>-243.8751</v>
      </c>
      <c r="H7687">
        <v>0.93606250000000002</v>
      </c>
      <c r="I7687">
        <v>-62.87388</v>
      </c>
      <c r="J7687">
        <v>-244.43350000000001</v>
      </c>
      <c r="K7687">
        <v>1.120525</v>
      </c>
      <c r="L7687">
        <v>-62.808140000000002</v>
      </c>
      <c r="M7687">
        <v>0.99987969999999904</v>
      </c>
      <c r="N7687">
        <v>-1.3763259999999999E-2</v>
      </c>
      <c r="O7687">
        <v>7.1698789999999997E-3</v>
      </c>
      <c r="P7687">
        <v>0.99128190000000005</v>
      </c>
      <c r="Q7687">
        <v>-0.13171429999999901</v>
      </c>
      <c r="R7687">
        <v>-3.4434499999999998E-3</v>
      </c>
      <c r="S7687">
        <v>2.9256739999999999</v>
      </c>
      <c r="T7687">
        <v>-0.75085539999999995</v>
      </c>
      <c r="U7687">
        <v>-0.26242070000000001</v>
      </c>
      <c r="V7687">
        <v>1.053289E-2</v>
      </c>
      <c r="W7687">
        <v>-0.1180609</v>
      </c>
      <c r="X7687">
        <v>0.99295049999999996</v>
      </c>
      <c r="Y7687">
        <v>9.3109090000000005E-2</v>
      </c>
      <c r="Z7687">
        <v>-1.409815E-2</v>
      </c>
      <c r="AA7687">
        <v>0.99555610000000005</v>
      </c>
      <c r="AB7687">
        <v>30</v>
      </c>
      <c r="AC7687">
        <v>0.558400000000006</v>
      </c>
      <c r="AD7687">
        <v>-0.1844625</v>
      </c>
      <c r="AE7687">
        <v>-6.5740000000005197E-2</v>
      </c>
      <c r="AF7687">
        <v>6.2965188078469805E-2</v>
      </c>
      <c r="AG7687">
        <v>-0.1844625</v>
      </c>
      <c r="AH7687">
        <v>0.50369934839953301</v>
      </c>
      <c r="AI7687">
        <v>109.970500590352</v>
      </c>
      <c r="AJ7687">
        <v>82.874673464228593</v>
      </c>
      <c r="AK7687">
        <v>0.54009634547376895</v>
      </c>
      <c r="AL7687">
        <v>96.780204743793902</v>
      </c>
      <c r="AM7687">
        <v>89.392248144122306</v>
      </c>
      <c r="AN7687">
        <v>1.0000000066654</v>
      </c>
    </row>
    <row r="7688" spans="1:40" x14ac:dyDescent="0.25">
      <c r="A7688" t="str">
        <f>"20190303155000302"</f>
        <v>20190303155000302</v>
      </c>
      <c r="B7688" t="str">
        <f>"1551599400298031"</f>
        <v>1551599400298031</v>
      </c>
      <c r="C7688" t="s">
        <v>40</v>
      </c>
      <c r="D7688">
        <v>5.6623089999999996</v>
      </c>
      <c r="E7688">
        <v>0.53064730000000004</v>
      </c>
      <c r="F7688" t="s">
        <v>42</v>
      </c>
      <c r="G7688">
        <v>-243.62299999999999</v>
      </c>
      <c r="H7688">
        <v>0.90965830000000003</v>
      </c>
      <c r="I7688">
        <v>-62.879260000000002</v>
      </c>
      <c r="J7688">
        <v>-244.2628</v>
      </c>
      <c r="K7688">
        <v>1.1205290000000001</v>
      </c>
      <c r="L7688">
        <v>-62.806919999999998</v>
      </c>
      <c r="M7688">
        <v>0.99987800000000004</v>
      </c>
      <c r="N7688">
        <v>-1.389582E-2</v>
      </c>
      <c r="O7688">
        <v>7.1374209999999997E-3</v>
      </c>
      <c r="P7688">
        <v>0.99124369999999995</v>
      </c>
      <c r="Q7688">
        <v>-0.1319989</v>
      </c>
      <c r="R7688">
        <v>-3.5259660000000002E-3</v>
      </c>
      <c r="S7688">
        <v>2.9243929999999998</v>
      </c>
      <c r="T7688">
        <v>-0.76083650000000003</v>
      </c>
      <c r="U7688">
        <v>-0.2568665</v>
      </c>
      <c r="V7688">
        <v>1.0582980000000001E-2</v>
      </c>
      <c r="W7688">
        <v>-0.1182144</v>
      </c>
      <c r="X7688">
        <v>0.99293169999999997</v>
      </c>
      <c r="Y7688">
        <v>9.1214610000000002E-2</v>
      </c>
      <c r="Z7688">
        <v>-1.402172E-2</v>
      </c>
      <c r="AA7688">
        <v>0.99573250000000002</v>
      </c>
      <c r="AB7688">
        <v>30</v>
      </c>
      <c r="AC7688">
        <v>0.63980000000000803</v>
      </c>
      <c r="AD7688">
        <v>-0.21087069999999999</v>
      </c>
      <c r="AE7688">
        <v>-7.2339999999996907E-2</v>
      </c>
      <c r="AF7688">
        <v>6.9455504850126998E-2</v>
      </c>
      <c r="AG7688">
        <v>-0.21087069999999999</v>
      </c>
      <c r="AH7688">
        <v>0.57734303247718799</v>
      </c>
      <c r="AI7688">
        <v>109.932097256837</v>
      </c>
      <c r="AJ7688">
        <v>83.1401711307266</v>
      </c>
      <c r="AK7688">
        <v>0.61855921011850701</v>
      </c>
      <c r="AL7688">
        <v>96.789061698364904</v>
      </c>
      <c r="AM7688">
        <v>89.389346589034503</v>
      </c>
      <c r="AN7688">
        <v>1.0000000023489599</v>
      </c>
    </row>
    <row r="7689" spans="1:40" x14ac:dyDescent="0.25">
      <c r="A7689" t="str">
        <f>"20190303155000314"</f>
        <v>20190303155000314</v>
      </c>
      <c r="B7689" t="str">
        <f>"1551599400308767"</f>
        <v>1551599400308767</v>
      </c>
      <c r="C7689" t="s">
        <v>40</v>
      </c>
      <c r="D7689">
        <v>5.5889610000000003</v>
      </c>
      <c r="E7689">
        <v>0.53012680000000001</v>
      </c>
      <c r="F7689" t="s">
        <v>42</v>
      </c>
      <c r="G7689">
        <v>-243.37020000000001</v>
      </c>
      <c r="H7689">
        <v>0.88218920000000001</v>
      </c>
      <c r="I7689">
        <v>-62.88073</v>
      </c>
      <c r="J7689">
        <v>-244.09690000000001</v>
      </c>
      <c r="K7689">
        <v>1.120533</v>
      </c>
      <c r="L7689">
        <v>-62.805759999999999</v>
      </c>
      <c r="M7689">
        <v>0.99987669999999995</v>
      </c>
      <c r="N7689">
        <v>-1.4010989999999999E-2</v>
      </c>
      <c r="O7689">
        <v>7.1058509999999998E-3</v>
      </c>
      <c r="P7689">
        <v>0.99121459999999995</v>
      </c>
      <c r="Q7689">
        <v>-0.13222410000000001</v>
      </c>
      <c r="R7689">
        <v>-3.3097389999999999E-3</v>
      </c>
      <c r="S7689">
        <v>2.921783</v>
      </c>
      <c r="T7689">
        <v>-0.78008719999999998</v>
      </c>
      <c r="U7689">
        <v>-0.2412415</v>
      </c>
      <c r="V7689">
        <v>1.0335230000000001E-2</v>
      </c>
      <c r="W7689">
        <v>-0.1183255</v>
      </c>
      <c r="X7689">
        <v>0.9929211</v>
      </c>
      <c r="Y7689">
        <v>8.5988949999999995E-2</v>
      </c>
      <c r="Z7689">
        <v>-1.3641500000000001E-2</v>
      </c>
      <c r="AA7689">
        <v>0.9962027</v>
      </c>
      <c r="AB7689">
        <v>30</v>
      </c>
      <c r="AC7689">
        <v>0.72669999999999302</v>
      </c>
      <c r="AD7689">
        <v>-0.23834379999999999</v>
      </c>
      <c r="AE7689">
        <v>-7.4970000000007503E-2</v>
      </c>
      <c r="AF7689">
        <v>7.2423744885496799E-2</v>
      </c>
      <c r="AG7689">
        <v>-0.23834379999999999</v>
      </c>
      <c r="AH7689">
        <v>0.65629380315966801</v>
      </c>
      <c r="AI7689">
        <v>109.84831711701</v>
      </c>
      <c r="AJ7689">
        <v>83.702739816083394</v>
      </c>
      <c r="AK7689">
        <v>0.70197900387936096</v>
      </c>
      <c r="AL7689">
        <v>96.795472091418503</v>
      </c>
      <c r="AM7689">
        <v>89.4036347152351</v>
      </c>
      <c r="AN7689">
        <v>1.0000000258773001</v>
      </c>
    </row>
    <row r="7690" spans="1:40" x14ac:dyDescent="0.25">
      <c r="A7690" t="str">
        <f>"20190303155000332"</f>
        <v>20190303155000332</v>
      </c>
      <c r="B7690" t="str">
        <f>"1551599400328287"</f>
        <v>1551599400328287</v>
      </c>
      <c r="C7690" t="s">
        <v>40</v>
      </c>
      <c r="D7690">
        <v>5.5726469999999999</v>
      </c>
      <c r="E7690">
        <v>0.52898310000000004</v>
      </c>
      <c r="F7690" t="s">
        <v>42</v>
      </c>
      <c r="G7690">
        <v>-243.35409999999999</v>
      </c>
      <c r="H7690">
        <v>0.91999339999999996</v>
      </c>
      <c r="I7690">
        <v>-62.86598</v>
      </c>
      <c r="J7690">
        <v>-243.87280000000001</v>
      </c>
      <c r="K7690">
        <v>1.1205309999999999</v>
      </c>
      <c r="L7690">
        <v>-62.804200000000002</v>
      </c>
      <c r="M7690">
        <v>0.99987490000000001</v>
      </c>
      <c r="N7690">
        <v>-1.415394E-2</v>
      </c>
      <c r="O7690">
        <v>7.0633479999999997E-3</v>
      </c>
      <c r="P7690">
        <v>0.99118689999999998</v>
      </c>
      <c r="Q7690">
        <v>-0.1324381</v>
      </c>
      <c r="R7690">
        <v>-3.0462969999999999E-3</v>
      </c>
      <c r="S7690">
        <v>2.9206240000000001</v>
      </c>
      <c r="T7690">
        <v>-0.78842129999999999</v>
      </c>
      <c r="U7690">
        <v>-0.2363586</v>
      </c>
      <c r="V7690">
        <v>1.002961E-2</v>
      </c>
      <c r="W7690">
        <v>-0.1183978</v>
      </c>
      <c r="X7690">
        <v>0.99291560000000001</v>
      </c>
      <c r="Y7690">
        <v>8.4314169999999994E-2</v>
      </c>
      <c r="Z7690">
        <v>-1.354386E-2</v>
      </c>
      <c r="AA7690">
        <v>0.99634719999999999</v>
      </c>
      <c r="AB7690">
        <v>30</v>
      </c>
      <c r="AC7690">
        <v>0.51870000000002303</v>
      </c>
      <c r="AD7690">
        <v>-0.20053759999999901</v>
      </c>
      <c r="AE7690">
        <v>-6.17800000000059E-2</v>
      </c>
      <c r="AF7690">
        <v>5.7036489744567001E-2</v>
      </c>
      <c r="AG7690">
        <v>-0.20053759999999901</v>
      </c>
      <c r="AH7690">
        <v>0.451681389897991</v>
      </c>
      <c r="AI7690">
        <v>113.77263831745201</v>
      </c>
      <c r="AJ7690">
        <v>82.803014014283207</v>
      </c>
      <c r="AK7690">
        <v>0.49747820872508802</v>
      </c>
      <c r="AL7690">
        <v>96.7996440072708</v>
      </c>
      <c r="AM7690">
        <v>89.421265231741799</v>
      </c>
      <c r="AN7690">
        <v>1.00000001042247</v>
      </c>
    </row>
    <row r="7691" spans="1:40" x14ac:dyDescent="0.25">
      <c r="A7691" t="str">
        <f>"20190303155000344"</f>
        <v>20190303155000344</v>
      </c>
      <c r="B7691" t="str">
        <f>"1551599400338046"</f>
        <v>1551599400338046</v>
      </c>
      <c r="C7691" t="s">
        <v>40</v>
      </c>
      <c r="D7691">
        <v>5.5394410000000001</v>
      </c>
      <c r="E7691">
        <v>0.52863649999999995</v>
      </c>
      <c r="F7691" t="s">
        <v>42</v>
      </c>
      <c r="G7691">
        <v>-243.09649999999999</v>
      </c>
      <c r="H7691">
        <v>0.90651630000000005</v>
      </c>
      <c r="I7691">
        <v>-62.8643199999999</v>
      </c>
      <c r="J7691">
        <v>-243.70769999999999</v>
      </c>
      <c r="K7691">
        <v>1.1205350000000001</v>
      </c>
      <c r="L7691">
        <v>-62.803069999999998</v>
      </c>
      <c r="M7691">
        <v>0.99987380000000003</v>
      </c>
      <c r="N7691">
        <v>-1.425072E-2</v>
      </c>
      <c r="O7691">
        <v>7.0320769999999899E-3</v>
      </c>
      <c r="P7691">
        <v>0.99120269999999999</v>
      </c>
      <c r="Q7691">
        <v>-0.13233239999999999</v>
      </c>
      <c r="R7691">
        <v>-2.3680289999999998E-3</v>
      </c>
      <c r="S7691">
        <v>2.9185029999999998</v>
      </c>
      <c r="T7691">
        <v>-0.80464530000000001</v>
      </c>
      <c r="U7691">
        <v>-0.2260132</v>
      </c>
      <c r="V7691">
        <v>9.3205839999999998E-3</v>
      </c>
      <c r="W7691">
        <v>-0.1181957</v>
      </c>
      <c r="X7691">
        <v>0.99294660000000001</v>
      </c>
      <c r="Y7691">
        <v>8.0825620000000001E-2</v>
      </c>
      <c r="Z7691">
        <v>-1.33127E-2</v>
      </c>
      <c r="AA7691">
        <v>0.99663939999999995</v>
      </c>
      <c r="AB7691">
        <v>30</v>
      </c>
      <c r="AC7691">
        <v>0.61119999999999597</v>
      </c>
      <c r="AD7691">
        <v>-0.21401869999999901</v>
      </c>
      <c r="AE7691">
        <v>-6.1249999999993997E-2</v>
      </c>
      <c r="AF7691">
        <v>5.8451293137291999E-2</v>
      </c>
      <c r="AG7691">
        <v>-0.21401869999999901</v>
      </c>
      <c r="AH7691">
        <v>0.54463832500039699</v>
      </c>
      <c r="AI7691">
        <v>111.341183773026</v>
      </c>
      <c r="AJ7691">
        <v>83.874388630726301</v>
      </c>
      <c r="AK7691">
        <v>0.58809137272905998</v>
      </c>
      <c r="AL7691">
        <v>96.787982557622001</v>
      </c>
      <c r="AM7691">
        <v>89.462192184527296</v>
      </c>
      <c r="AN7691">
        <v>1.0000000236180699</v>
      </c>
    </row>
    <row r="7692" spans="1:40" x14ac:dyDescent="0.25">
      <c r="A7692" t="str">
        <f>"20190303155000358"</f>
        <v>20190303155000358</v>
      </c>
      <c r="B7692" t="str">
        <f>"1551599400348782"</f>
        <v>1551599400348782</v>
      </c>
      <c r="C7692" t="s">
        <v>40</v>
      </c>
      <c r="D7692">
        <v>5.5409839999999999</v>
      </c>
      <c r="E7692">
        <v>0.52837199999999995</v>
      </c>
      <c r="F7692" t="s">
        <v>42</v>
      </c>
      <c r="G7692">
        <v>-242.84389999999999</v>
      </c>
      <c r="H7692">
        <v>0.88076559999999904</v>
      </c>
      <c r="I7692">
        <v>-62.8688</v>
      </c>
      <c r="J7692">
        <v>-243.52770000000001</v>
      </c>
      <c r="K7692">
        <v>1.1205430000000001</v>
      </c>
      <c r="L7692">
        <v>-62.8018199999999</v>
      </c>
      <c r="M7692">
        <v>0.99987269999999995</v>
      </c>
      <c r="N7692">
        <v>-1.434669E-2</v>
      </c>
      <c r="O7692">
        <v>6.9977669999999898E-3</v>
      </c>
      <c r="P7692">
        <v>0.99123170000000005</v>
      </c>
      <c r="Q7692">
        <v>-0.13211700000000001</v>
      </c>
      <c r="R7692">
        <v>-2.2646110000000001E-3</v>
      </c>
      <c r="S7692">
        <v>2.9179689999999998</v>
      </c>
      <c r="T7692">
        <v>-0.80997719999999995</v>
      </c>
      <c r="U7692">
        <v>-0.2212219</v>
      </c>
      <c r="V7692">
        <v>9.1836009999999996E-3</v>
      </c>
      <c r="W7692">
        <v>-0.1178845</v>
      </c>
      <c r="X7692">
        <v>0.9929848</v>
      </c>
      <c r="Y7692">
        <v>7.9197989999999996E-2</v>
      </c>
      <c r="Z7692">
        <v>-1.315887E-2</v>
      </c>
      <c r="AA7692">
        <v>0.99677210000000005</v>
      </c>
      <c r="AB7692">
        <v>29</v>
      </c>
      <c r="AC7692">
        <v>0.68380000000001895</v>
      </c>
      <c r="AD7692">
        <v>-0.2397774</v>
      </c>
      <c r="AE7692">
        <v>-6.6980000000008005E-2</v>
      </c>
      <c r="AF7692">
        <v>6.3972697139163398E-2</v>
      </c>
      <c r="AG7692">
        <v>-0.2397774</v>
      </c>
      <c r="AH7692">
        <v>0.60912877045834402</v>
      </c>
      <c r="AI7692">
        <v>111.37968793680599</v>
      </c>
      <c r="AJ7692">
        <v>84.0045881515113</v>
      </c>
      <c r="AK7692">
        <v>0.65774126108228403</v>
      </c>
      <c r="AL7692">
        <v>96.770027055335504</v>
      </c>
      <c r="AM7692">
        <v>89.470116182449601</v>
      </c>
      <c r="AN7692">
        <v>0.99999995344930703</v>
      </c>
    </row>
    <row r="7693" spans="1:40" x14ac:dyDescent="0.25">
      <c r="A7693" t="str">
        <f>"20190303155000371"</f>
        <v>20190303155000371</v>
      </c>
      <c r="B7693" t="str">
        <f>"1551599400358543"</f>
        <v>1551599400358543</v>
      </c>
      <c r="C7693" t="s">
        <v>40</v>
      </c>
      <c r="D7693">
        <v>5.4970270000000001</v>
      </c>
      <c r="E7693">
        <v>0.52807059999999995</v>
      </c>
      <c r="F7693" t="s">
        <v>42</v>
      </c>
      <c r="G7693">
        <v>-242.82480000000001</v>
      </c>
      <c r="H7693">
        <v>0.92441759999999995</v>
      </c>
      <c r="I7693">
        <v>-62.854730000000004</v>
      </c>
      <c r="J7693">
        <v>-243.37010000000001</v>
      </c>
      <c r="K7693">
        <v>1.120549</v>
      </c>
      <c r="L7693">
        <v>-62.800750000000001</v>
      </c>
      <c r="M7693">
        <v>0.99987179999999998</v>
      </c>
      <c r="N7693">
        <v>-1.442242E-2</v>
      </c>
      <c r="O7693">
        <v>6.9680109999999996E-3</v>
      </c>
      <c r="P7693">
        <v>0.99126610000000004</v>
      </c>
      <c r="Q7693">
        <v>-0.13185839999999999</v>
      </c>
      <c r="R7693">
        <v>-2.188073E-3</v>
      </c>
      <c r="S7693">
        <v>2.9175260000000001</v>
      </c>
      <c r="T7693">
        <v>-0.81401159999999995</v>
      </c>
      <c r="U7693">
        <v>-0.2185974</v>
      </c>
      <c r="V7693">
        <v>9.0779840000000007E-3</v>
      </c>
      <c r="W7693">
        <v>-0.11755019999999999</v>
      </c>
      <c r="X7693">
        <v>0.99302539999999995</v>
      </c>
      <c r="Y7693">
        <v>7.8290979999999996E-2</v>
      </c>
      <c r="Z7693">
        <v>-1.3086230000000001E-2</v>
      </c>
      <c r="AA7693">
        <v>0.99684459999999997</v>
      </c>
      <c r="AB7693">
        <v>29</v>
      </c>
      <c r="AC7693">
        <v>0.54529999999999701</v>
      </c>
      <c r="AD7693">
        <v>-0.19613140000000001</v>
      </c>
      <c r="AE7693">
        <v>-5.3980000000002797E-2</v>
      </c>
      <c r="AF7693">
        <v>5.1217223930540901E-2</v>
      </c>
      <c r="AG7693">
        <v>-0.19613140000000001</v>
      </c>
      <c r="AH7693">
        <v>0.48302900462999399</v>
      </c>
      <c r="AI7693">
        <v>111.987931986519</v>
      </c>
      <c r="AJ7693">
        <v>83.947347654586693</v>
      </c>
      <c r="AK7693">
        <v>0.52383943093943797</v>
      </c>
      <c r="AL7693">
        <v>96.750738976518903</v>
      </c>
      <c r="AM7693">
        <v>89.476231241352096</v>
      </c>
      <c r="AN7693">
        <v>0.99999995217935</v>
      </c>
    </row>
    <row r="7694" spans="1:40" x14ac:dyDescent="0.25">
      <c r="A7694" t="str">
        <f>"20190303155000383"</f>
        <v>20190303155000383</v>
      </c>
      <c r="B7694" t="str">
        <f>"1551599400378063"</f>
        <v>1551599400378063</v>
      </c>
      <c r="C7694" t="s">
        <v>40</v>
      </c>
      <c r="D7694">
        <v>5.4793260000000004</v>
      </c>
      <c r="E7694">
        <v>0.52781619999999996</v>
      </c>
      <c r="F7694" t="s">
        <v>42</v>
      </c>
      <c r="G7694">
        <v>-242.57429999999999</v>
      </c>
      <c r="H7694">
        <v>0.89782070000000003</v>
      </c>
      <c r="I7694">
        <v>-62.859769999999997</v>
      </c>
      <c r="J7694">
        <v>-243.1995</v>
      </c>
      <c r="K7694">
        <v>1.1205540000000001</v>
      </c>
      <c r="L7694">
        <v>-62.799619999999997</v>
      </c>
      <c r="M7694">
        <v>0.99987090000000001</v>
      </c>
      <c r="N7694">
        <v>-1.450007E-2</v>
      </c>
      <c r="O7694">
        <v>6.9356749999999997E-3</v>
      </c>
      <c r="P7694">
        <v>0.99128870000000002</v>
      </c>
      <c r="Q7694">
        <v>-0.13169339999999999</v>
      </c>
      <c r="R7694">
        <v>-1.9832859999999999E-3</v>
      </c>
      <c r="S7694">
        <v>2.917313</v>
      </c>
      <c r="T7694">
        <v>-0.81651070000000003</v>
      </c>
      <c r="U7694">
        <v>-0.2160339</v>
      </c>
      <c r="V7694">
        <v>8.8412390000000007E-3</v>
      </c>
      <c r="W7694">
        <v>-0.1173077</v>
      </c>
      <c r="X7694">
        <v>0.99305619999999994</v>
      </c>
      <c r="Y7694">
        <v>7.7408309999999994E-2</v>
      </c>
      <c r="Z7694">
        <v>-1.299144E-2</v>
      </c>
      <c r="AA7694">
        <v>0.99691479999999999</v>
      </c>
      <c r="AB7694">
        <v>29</v>
      </c>
      <c r="AC7694">
        <v>0.62520000000000597</v>
      </c>
      <c r="AD7694">
        <v>-0.2227333</v>
      </c>
      <c r="AE7694">
        <v>-6.0150000000000099E-2</v>
      </c>
      <c r="AF7694">
        <v>5.7281645159658202E-2</v>
      </c>
      <c r="AG7694">
        <v>-0.2227333</v>
      </c>
      <c r="AH7694">
        <v>0.55497583700974995</v>
      </c>
      <c r="AI7694">
        <v>111.76276791000799</v>
      </c>
      <c r="AJ7694">
        <v>84.1071023903678</v>
      </c>
      <c r="AK7694">
        <v>0.600740783920785</v>
      </c>
      <c r="AL7694">
        <v>96.736748030632299</v>
      </c>
      <c r="AM7694">
        <v>89.489905710491001</v>
      </c>
      <c r="AN7694">
        <v>0.99999994017239002</v>
      </c>
    </row>
    <row r="7695" spans="1:40" x14ac:dyDescent="0.25">
      <c r="A7695" t="str">
        <f>"20190303155000396"</f>
        <v>20190303155000396</v>
      </c>
      <c r="B7695" t="str">
        <f>"1551599400388799"</f>
        <v>1551599400388799</v>
      </c>
      <c r="C7695" t="s">
        <v>40</v>
      </c>
      <c r="D7695">
        <v>5.4783839999999904</v>
      </c>
      <c r="E7695">
        <v>0.52767339999999996</v>
      </c>
      <c r="F7695" t="s">
        <v>42</v>
      </c>
      <c r="G7695">
        <v>-242.322</v>
      </c>
      <c r="H7695">
        <v>0.87338280000000001</v>
      </c>
      <c r="I7695">
        <v>-62.864019999999996</v>
      </c>
      <c r="J7695">
        <v>-243.02199999999999</v>
      </c>
      <c r="K7695">
        <v>1.1205609999999999</v>
      </c>
      <c r="L7695">
        <v>-62.798400000000001</v>
      </c>
      <c r="M7695">
        <v>0.99987009999999998</v>
      </c>
      <c r="N7695">
        <v>-1.457223E-2</v>
      </c>
      <c r="O7695">
        <v>6.9018869999999998E-3</v>
      </c>
      <c r="P7695">
        <v>0.99131659999999999</v>
      </c>
      <c r="Q7695">
        <v>-0.13148499999999999</v>
      </c>
      <c r="R7695">
        <v>-1.8140369999999999E-3</v>
      </c>
      <c r="S7695">
        <v>2.916779</v>
      </c>
      <c r="T7695">
        <v>-0.82156180000000001</v>
      </c>
      <c r="U7695">
        <v>-0.2132568</v>
      </c>
      <c r="V7695">
        <v>8.6388490000000005E-3</v>
      </c>
      <c r="W7695">
        <v>-0.1170272</v>
      </c>
      <c r="X7695">
        <v>0.9930911</v>
      </c>
      <c r="Y7695">
        <v>7.6442300000000005E-2</v>
      </c>
      <c r="Z7695">
        <v>-1.2921810000000001E-2</v>
      </c>
      <c r="AA7695">
        <v>0.9969903</v>
      </c>
      <c r="AB7695">
        <v>29</v>
      </c>
      <c r="AC7695">
        <v>0.70000000000001705</v>
      </c>
      <c r="AD7695">
        <v>-0.24717819999999999</v>
      </c>
      <c r="AE7695">
        <v>-6.5619999999995501E-2</v>
      </c>
      <c r="AF7695">
        <v>6.2700394492869599E-2</v>
      </c>
      <c r="AG7695">
        <v>-0.24717819999999999</v>
      </c>
      <c r="AH7695">
        <v>0.62257859751035705</v>
      </c>
      <c r="AI7695">
        <v>111.55526073627099</v>
      </c>
      <c r="AJ7695">
        <v>84.249086557550598</v>
      </c>
      <c r="AK7695">
        <v>0.67277969061407095</v>
      </c>
      <c r="AL7695">
        <v>96.720564936830002</v>
      </c>
      <c r="AM7695">
        <v>89.501599497718203</v>
      </c>
      <c r="AN7695">
        <v>0.99999996407554603</v>
      </c>
    </row>
    <row r="7696" spans="1:40" x14ac:dyDescent="0.25">
      <c r="A7696" t="str">
        <f>"20190303155000411"</f>
        <v>20190303155000411</v>
      </c>
      <c r="B7696" t="str">
        <f>"1551599400408319"</f>
        <v>1551599400408319</v>
      </c>
      <c r="C7696" t="s">
        <v>40</v>
      </c>
      <c r="D7696">
        <v>5.4368499999999997</v>
      </c>
      <c r="E7696">
        <v>0.52707550000000003</v>
      </c>
      <c r="F7696" t="s">
        <v>42</v>
      </c>
      <c r="G7696">
        <v>-242.30289999999999</v>
      </c>
      <c r="H7696">
        <v>0.91770240000000003</v>
      </c>
      <c r="I7696">
        <v>-62.850819999999999</v>
      </c>
      <c r="J7696">
        <v>-242.8347</v>
      </c>
      <c r="K7696">
        <v>1.1205670000000001</v>
      </c>
      <c r="L7696">
        <v>-62.797150000000002</v>
      </c>
      <c r="M7696">
        <v>0.99986929999999996</v>
      </c>
      <c r="N7696">
        <v>-1.464127E-2</v>
      </c>
      <c r="O7696">
        <v>6.8662710000000002E-3</v>
      </c>
      <c r="P7696">
        <v>0.99143409999999998</v>
      </c>
      <c r="Q7696">
        <v>-0.13060279999999999</v>
      </c>
      <c r="R7696">
        <v>-1.1148250000000001E-3</v>
      </c>
      <c r="S7696">
        <v>2.9167480000000001</v>
      </c>
      <c r="T7696">
        <v>-0.8228337</v>
      </c>
      <c r="U7696">
        <v>-0.21166989999999999</v>
      </c>
      <c r="V7696">
        <v>7.9053960000000003E-3</v>
      </c>
      <c r="W7696">
        <v>-0.1160746</v>
      </c>
      <c r="X7696">
        <v>0.99320909999999996</v>
      </c>
      <c r="Y7696">
        <v>7.5881320000000002E-2</v>
      </c>
      <c r="Z7696">
        <v>-1.2851929999999999E-2</v>
      </c>
      <c r="AA7696">
        <v>0.99703399999999998</v>
      </c>
      <c r="AB7696">
        <v>29</v>
      </c>
      <c r="AC7696">
        <v>0.53180000000000305</v>
      </c>
      <c r="AD7696">
        <v>-0.20286460000000001</v>
      </c>
      <c r="AE7696">
        <v>-5.36699999999967E-2</v>
      </c>
      <c r="AF7696">
        <v>5.0103213541700102E-2</v>
      </c>
      <c r="AG7696">
        <v>-0.20286460000000001</v>
      </c>
      <c r="AH7696">
        <v>0.46450649572783698</v>
      </c>
      <c r="AI7696">
        <v>113.47110468228099</v>
      </c>
      <c r="AJ7696">
        <v>83.843688475832394</v>
      </c>
      <c r="AK7696">
        <v>0.50934336406172998</v>
      </c>
      <c r="AL7696">
        <v>96.665609785887796</v>
      </c>
      <c r="AM7696">
        <v>89.543966863158005</v>
      </c>
      <c r="AN7696">
        <v>1.00000006218694</v>
      </c>
    </row>
    <row r="7697" spans="1:40" x14ac:dyDescent="0.25">
      <c r="A7697" t="str">
        <f>"20190303155000423"</f>
        <v>20190303155000423</v>
      </c>
      <c r="B7697" t="str">
        <f>"1551599400418079"</f>
        <v>1551599400418079</v>
      </c>
      <c r="C7697" t="s">
        <v>40</v>
      </c>
      <c r="D7697">
        <v>5.3283990000000001</v>
      </c>
      <c r="E7697">
        <v>0.52713189999999999</v>
      </c>
      <c r="F7697" t="s">
        <v>42</v>
      </c>
      <c r="G7697">
        <v>-242.0497</v>
      </c>
      <c r="H7697">
        <v>0.89912549999999902</v>
      </c>
      <c r="I7697">
        <v>-62.852269999999997</v>
      </c>
      <c r="J7697">
        <v>-242.67359999999999</v>
      </c>
      <c r="K7697">
        <v>1.120576</v>
      </c>
      <c r="L7697">
        <v>-62.796080000000003</v>
      </c>
      <c r="M7697">
        <v>0.99986870000000005</v>
      </c>
      <c r="N7697">
        <v>-1.46967E-2</v>
      </c>
      <c r="O7697">
        <v>6.8355809999999899E-3</v>
      </c>
      <c r="P7697">
        <v>0.99142039999999998</v>
      </c>
      <c r="Q7697">
        <v>-0.13071199999999999</v>
      </c>
      <c r="R7697">
        <v>-6.9221619999999904E-4</v>
      </c>
      <c r="S7697">
        <v>2.9172820000000002</v>
      </c>
      <c r="T7697">
        <v>-0.82286780000000004</v>
      </c>
      <c r="U7697">
        <v>-0.2046509</v>
      </c>
      <c r="V7697">
        <v>7.4521409999999998E-3</v>
      </c>
      <c r="W7697">
        <v>-0.1161288</v>
      </c>
      <c r="X7697">
        <v>0.99320620000000004</v>
      </c>
      <c r="Y7697">
        <v>7.3546979999999998E-2</v>
      </c>
      <c r="Z7697">
        <v>-1.250486E-2</v>
      </c>
      <c r="AA7697">
        <v>0.99721340000000003</v>
      </c>
      <c r="AB7697">
        <v>29</v>
      </c>
      <c r="AC7697">
        <v>0.62389999999999102</v>
      </c>
      <c r="AD7697">
        <v>-0.22145049999999999</v>
      </c>
      <c r="AE7697">
        <v>-5.6189999999993703E-2</v>
      </c>
      <c r="AF7697">
        <v>5.3738077629428102E-2</v>
      </c>
      <c r="AG7697">
        <v>-0.22145049999999999</v>
      </c>
      <c r="AH7697">
        <v>0.55423685308323101</v>
      </c>
      <c r="AI7697">
        <v>111.687435412656</v>
      </c>
      <c r="AJ7697">
        <v>84.461987409291595</v>
      </c>
      <c r="AK7697">
        <v>0.59925503273077296</v>
      </c>
      <c r="AL7697">
        <v>96.668736816670602</v>
      </c>
      <c r="AM7697">
        <v>89.570111206061895</v>
      </c>
      <c r="AN7697">
        <v>0.99999999415668195</v>
      </c>
    </row>
    <row r="7698" spans="1:40" x14ac:dyDescent="0.25">
      <c r="A7698" t="str">
        <f>"20190303155000436"</f>
        <v>20190303155000436</v>
      </c>
      <c r="B7698" t="str">
        <f>"1551599400428815"</f>
        <v>1551599400428815</v>
      </c>
      <c r="C7698" t="s">
        <v>40</v>
      </c>
      <c r="D7698">
        <v>5.3941939999999997</v>
      </c>
      <c r="E7698">
        <v>0.52722449999999998</v>
      </c>
      <c r="F7698" t="s">
        <v>42</v>
      </c>
      <c r="G7698">
        <v>-241.79859999999999</v>
      </c>
      <c r="H7698">
        <v>0.87426269999999995</v>
      </c>
      <c r="I7698">
        <v>-62.8572699999999</v>
      </c>
      <c r="J7698">
        <v>-242.50360000000001</v>
      </c>
      <c r="K7698">
        <v>1.120582</v>
      </c>
      <c r="L7698">
        <v>-62.79495</v>
      </c>
      <c r="M7698">
        <v>0.99986819999999998</v>
      </c>
      <c r="N7698">
        <v>-1.474899E-2</v>
      </c>
      <c r="O7698">
        <v>6.8033049999999999E-3</v>
      </c>
      <c r="P7698">
        <v>0.99144690000000002</v>
      </c>
      <c r="Q7698">
        <v>-0.1305115</v>
      </c>
      <c r="R7698">
        <v>-4.477021E-4</v>
      </c>
      <c r="S7698">
        <v>2.9175420000000001</v>
      </c>
      <c r="T7698">
        <v>-0.82133080000000003</v>
      </c>
      <c r="U7698">
        <v>-0.20382690000000001</v>
      </c>
      <c r="V7698">
        <v>7.1758109999999998E-3</v>
      </c>
      <c r="W7698">
        <v>-0.1158759</v>
      </c>
      <c r="X7698">
        <v>0.99323779999999995</v>
      </c>
      <c r="Y7698">
        <v>7.3253180000000001E-2</v>
      </c>
      <c r="Z7698">
        <v>-1.243267E-2</v>
      </c>
      <c r="AA7698">
        <v>0.99723589999999995</v>
      </c>
      <c r="AB7698">
        <v>29</v>
      </c>
      <c r="AC7698">
        <v>0.70500000000001195</v>
      </c>
      <c r="AD7698">
        <v>-0.24631929999999899</v>
      </c>
      <c r="AE7698">
        <v>-6.2319999999992597E-2</v>
      </c>
      <c r="AF7698">
        <v>5.9864274193880899E-2</v>
      </c>
      <c r="AG7698">
        <v>-0.24631929999999899</v>
      </c>
      <c r="AH7698">
        <v>0.62843917789250003</v>
      </c>
      <c r="AI7698">
        <v>111.315120380628</v>
      </c>
      <c r="AJ7698">
        <v>84.558500268878106</v>
      </c>
      <c r="AK7698">
        <v>0.67763760904147796</v>
      </c>
      <c r="AL7698">
        <v>96.654148039949007</v>
      </c>
      <c r="AM7698">
        <v>89.586064352581005</v>
      </c>
      <c r="AN7698">
        <v>1.0000000219065699</v>
      </c>
    </row>
    <row r="7699" spans="1:40" x14ac:dyDescent="0.25">
      <c r="A7699" t="str">
        <f>"20190303155000450"</f>
        <v>20190303155000450</v>
      </c>
      <c r="B7699" t="str">
        <f>"1551599400438575"</f>
        <v>1551599400438575</v>
      </c>
      <c r="C7699" t="s">
        <v>40</v>
      </c>
      <c r="D7699">
        <v>5.2943410000000002</v>
      </c>
      <c r="E7699">
        <v>0.52746359999999903</v>
      </c>
      <c r="F7699" t="s">
        <v>42</v>
      </c>
      <c r="G7699">
        <v>-241.78030000000001</v>
      </c>
      <c r="H7699">
        <v>0.9166166</v>
      </c>
      <c r="I7699">
        <v>-62.84554</v>
      </c>
      <c r="J7699">
        <v>-242.3263</v>
      </c>
      <c r="K7699">
        <v>1.1205879999999999</v>
      </c>
      <c r="L7699">
        <v>-62.793790000000001</v>
      </c>
      <c r="M7699">
        <v>0.99986770000000003</v>
      </c>
      <c r="N7699">
        <v>-1.479862E-2</v>
      </c>
      <c r="O7699">
        <v>6.7696769999999896E-3</v>
      </c>
      <c r="P7699">
        <v>0.99150380000000005</v>
      </c>
      <c r="Q7699">
        <v>-0.1300789</v>
      </c>
      <c r="R7699" s="1">
        <v>-8.7476339999999997E-5</v>
      </c>
      <c r="S7699">
        <v>2.9175110000000002</v>
      </c>
      <c r="T7699">
        <v>-0.82269749999999997</v>
      </c>
      <c r="U7699">
        <v>-0.20379639999999999</v>
      </c>
      <c r="V7699">
        <v>6.7828539999999996E-3</v>
      </c>
      <c r="W7699">
        <v>-0.1153931</v>
      </c>
      <c r="X7699">
        <v>0.99329670000000003</v>
      </c>
      <c r="Y7699">
        <v>7.3202399999999904E-2</v>
      </c>
      <c r="Z7699">
        <v>-1.243735E-2</v>
      </c>
      <c r="AA7699">
        <v>0.99723949999999995</v>
      </c>
      <c r="AB7699">
        <v>29</v>
      </c>
      <c r="AC7699">
        <v>0.54599999999999205</v>
      </c>
      <c r="AD7699">
        <v>-0.2039714</v>
      </c>
      <c r="AE7699">
        <v>-5.1749999999998401E-2</v>
      </c>
      <c r="AF7699">
        <v>4.8708364294225599E-2</v>
      </c>
      <c r="AG7699">
        <v>-0.2039714</v>
      </c>
      <c r="AH7699">
        <v>0.47933754260380002</v>
      </c>
      <c r="AI7699">
        <v>112.945253550118</v>
      </c>
      <c r="AJ7699">
        <v>84.197748291997996</v>
      </c>
      <c r="AK7699">
        <v>0.52320294009077295</v>
      </c>
      <c r="AL7699">
        <v>96.626299269775004</v>
      </c>
      <c r="AM7699">
        <v>89.608754497208693</v>
      </c>
      <c r="AN7699">
        <v>0.99999995443344103</v>
      </c>
    </row>
    <row r="7700" spans="1:40" x14ac:dyDescent="0.25">
      <c r="A7700" t="str">
        <f>"20190303155000462"</f>
        <v>20190303155000462</v>
      </c>
      <c r="B7700" t="str">
        <f>"1551599400458095"</f>
        <v>1551599400458095</v>
      </c>
      <c r="C7700" t="s">
        <v>40</v>
      </c>
      <c r="D7700">
        <v>5.2335479999999999</v>
      </c>
      <c r="E7700">
        <v>0.52784589999999998</v>
      </c>
      <c r="F7700" t="s">
        <v>42</v>
      </c>
      <c r="G7700">
        <v>-241.52879999999999</v>
      </c>
      <c r="H7700">
        <v>0.89642909999999998</v>
      </c>
      <c r="I7700">
        <v>-62.849919999999997</v>
      </c>
      <c r="J7700">
        <v>-242.16120000000001</v>
      </c>
      <c r="K7700">
        <v>1.1206</v>
      </c>
      <c r="L7700">
        <v>-62.792659999999998</v>
      </c>
      <c r="M7700">
        <v>0.99986730000000001</v>
      </c>
      <c r="N7700">
        <v>-1.48418E-2</v>
      </c>
      <c r="O7700">
        <v>6.7381230000000004E-3</v>
      </c>
      <c r="P7700">
        <v>0.9915195</v>
      </c>
      <c r="Q7700">
        <v>-0.1299583</v>
      </c>
      <c r="R7700">
        <v>1.9845689999999999E-4</v>
      </c>
      <c r="S7700">
        <v>2.9180760000000001</v>
      </c>
      <c r="T7700">
        <v>-0.82017469999999904</v>
      </c>
      <c r="U7700">
        <v>-0.20483399999999999</v>
      </c>
      <c r="V7700">
        <v>6.4659369999999997E-3</v>
      </c>
      <c r="W7700">
        <v>-0.115229399999999</v>
      </c>
      <c r="X7700">
        <v>0.99331780000000003</v>
      </c>
      <c r="Y7700">
        <v>7.3518589999999995E-2</v>
      </c>
      <c r="Z7700">
        <v>-1.2438579999999999E-2</v>
      </c>
      <c r="AA7700">
        <v>0.99721630000000006</v>
      </c>
      <c r="AB7700">
        <v>29</v>
      </c>
      <c r="AC7700">
        <v>0.63240000000001795</v>
      </c>
      <c r="AD7700">
        <v>-0.22417090000000001</v>
      </c>
      <c r="AE7700">
        <v>-5.7259999999999402E-2</v>
      </c>
      <c r="AF7700">
        <v>5.47026664352794E-2</v>
      </c>
      <c r="AG7700">
        <v>-0.22417090000000001</v>
      </c>
      <c r="AH7700">
        <v>0.56196150565346503</v>
      </c>
      <c r="AI7700">
        <v>111.65462782888601</v>
      </c>
      <c r="AJ7700">
        <v>84.440209380100001</v>
      </c>
      <c r="AK7700">
        <v>0.60749132336046496</v>
      </c>
      <c r="AL7700">
        <v>96.616857077808007</v>
      </c>
      <c r="AM7700">
        <v>89.627042152865201</v>
      </c>
      <c r="AN7700">
        <v>0.99999993738124204</v>
      </c>
    </row>
    <row r="7701" spans="1:40" x14ac:dyDescent="0.25">
      <c r="A7701" t="str">
        <f>"20190303155000477"</f>
        <v>20190303155000477</v>
      </c>
      <c r="B7701" t="str">
        <f>"1551599400468830"</f>
        <v>1551599400468830</v>
      </c>
      <c r="C7701" t="s">
        <v>40</v>
      </c>
      <c r="D7701">
        <v>5.2259900000000004</v>
      </c>
      <c r="E7701">
        <v>0.52798669999999903</v>
      </c>
      <c r="F7701" t="s">
        <v>42</v>
      </c>
      <c r="G7701">
        <v>-241.27799999999999</v>
      </c>
      <c r="H7701">
        <v>0.87296879999999999</v>
      </c>
      <c r="I7701">
        <v>-62.855600000000003</v>
      </c>
      <c r="J7701">
        <v>-241.96379999999999</v>
      </c>
      <c r="K7701">
        <v>1.120608</v>
      </c>
      <c r="L7701">
        <v>-62.791409999999999</v>
      </c>
      <c r="M7701">
        <v>0.99986679999999994</v>
      </c>
      <c r="N7701">
        <v>-1.488738E-2</v>
      </c>
      <c r="O7701">
        <v>6.7004730000000002E-3</v>
      </c>
      <c r="P7701">
        <v>0.99159430000000004</v>
      </c>
      <c r="Q7701">
        <v>-0.1293851</v>
      </c>
      <c r="R7701">
        <v>8.2198440000000002E-4</v>
      </c>
      <c r="S7701">
        <v>2.9184420000000002</v>
      </c>
      <c r="T7701">
        <v>-0.8183243</v>
      </c>
      <c r="U7701">
        <v>-0.2071838</v>
      </c>
      <c r="V7701">
        <v>5.8055869999999897E-3</v>
      </c>
      <c r="W7701">
        <v>-0.11460969999999999</v>
      </c>
      <c r="X7701">
        <v>0.99339370000000005</v>
      </c>
      <c r="Y7701">
        <v>7.4257199999999995E-2</v>
      </c>
      <c r="Z7701">
        <v>-1.250945E-2</v>
      </c>
      <c r="AA7701">
        <v>0.99716070000000001</v>
      </c>
      <c r="AB7701">
        <v>29</v>
      </c>
      <c r="AC7701">
        <v>0.68579999999999997</v>
      </c>
      <c r="AD7701">
        <v>-0.2476392</v>
      </c>
      <c r="AE7701">
        <v>-6.4190000000003494E-2</v>
      </c>
      <c r="AF7701">
        <v>6.0911044407008397E-2</v>
      </c>
      <c r="AG7701">
        <v>-0.2476392</v>
      </c>
      <c r="AH7701">
        <v>0.60690716422692104</v>
      </c>
      <c r="AI7701">
        <v>112.09691194755599</v>
      </c>
      <c r="AJ7701">
        <v>84.268813226740505</v>
      </c>
      <c r="AK7701">
        <v>0.65830967993593703</v>
      </c>
      <c r="AL7701">
        <v>96.581113227794702</v>
      </c>
      <c r="AM7701">
        <v>89.6651560748181</v>
      </c>
      <c r="AN7701">
        <v>1.00000006568709</v>
      </c>
    </row>
    <row r="7702" spans="1:40" x14ac:dyDescent="0.25">
      <c r="A7702" t="str">
        <f>"20190303155000490"</f>
        <v>20190303155000490</v>
      </c>
      <c r="B7702" t="str">
        <f>"1551599400478592"</f>
        <v>1551599400478592</v>
      </c>
      <c r="C7702" t="s">
        <v>40</v>
      </c>
      <c r="D7702">
        <v>5.1925619999999997</v>
      </c>
      <c r="E7702">
        <v>0.52811839999999999</v>
      </c>
      <c r="F7702" t="s">
        <v>42</v>
      </c>
      <c r="G7702">
        <v>-241.25630000000001</v>
      </c>
      <c r="H7702">
        <v>0.92281210000000002</v>
      </c>
      <c r="I7702">
        <v>-62.841729999999998</v>
      </c>
      <c r="J7702">
        <v>-241.8091</v>
      </c>
      <c r="K7702">
        <v>1.120614</v>
      </c>
      <c r="L7702">
        <v>-62.790410000000001</v>
      </c>
      <c r="M7702">
        <v>0.99986649999999999</v>
      </c>
      <c r="N7702">
        <v>-1.4919429999999999E-2</v>
      </c>
      <c r="O7702">
        <v>6.67097E-3</v>
      </c>
      <c r="P7702">
        <v>0.99164560000000002</v>
      </c>
      <c r="Q7702">
        <v>-0.1289884</v>
      </c>
      <c r="R7702">
        <v>1.078922E-3</v>
      </c>
      <c r="S7702">
        <v>2.9191280000000002</v>
      </c>
      <c r="T7702">
        <v>-0.81611160000000005</v>
      </c>
      <c r="U7702">
        <v>-0.2066345</v>
      </c>
      <c r="V7702">
        <v>5.5200229999999998E-3</v>
      </c>
      <c r="W7702">
        <v>-0.1141803</v>
      </c>
      <c r="X7702">
        <v>0.99344469999999996</v>
      </c>
      <c r="Y7702">
        <v>7.4051770000000003E-2</v>
      </c>
      <c r="Z7702">
        <v>-1.243902E-2</v>
      </c>
      <c r="AA7702">
        <v>0.99717679999999997</v>
      </c>
      <c r="AB7702">
        <v>29</v>
      </c>
      <c r="AC7702">
        <v>0.55279999999998997</v>
      </c>
      <c r="AD7702">
        <v>-0.1978019</v>
      </c>
      <c r="AE7702">
        <v>-5.13200000000111E-2</v>
      </c>
      <c r="AF7702">
        <v>4.8810929769675403E-2</v>
      </c>
      <c r="AG7702">
        <v>-0.1978019</v>
      </c>
      <c r="AH7702">
        <v>0.49021721977646499</v>
      </c>
      <c r="AI7702">
        <v>111.876104185103</v>
      </c>
      <c r="AJ7702">
        <v>84.313801013783205</v>
      </c>
      <c r="AK7702">
        <v>0.53086817673878095</v>
      </c>
      <c r="AL7702">
        <v>96.5563483321273</v>
      </c>
      <c r="AM7702">
        <v>89.681642303911801</v>
      </c>
      <c r="AN7702">
        <v>0.99999999176005006</v>
      </c>
    </row>
    <row r="7703" spans="1:40" x14ac:dyDescent="0.25">
      <c r="A7703" t="str">
        <f>"20190303155000502"</f>
        <v>20190303155000502</v>
      </c>
      <c r="B7703" t="str">
        <f>"1551599400498111"</f>
        <v>1551599400498111</v>
      </c>
      <c r="C7703" t="s">
        <v>40</v>
      </c>
      <c r="D7703">
        <v>5.1187060000000004</v>
      </c>
      <c r="E7703">
        <v>0.52847619999999995</v>
      </c>
      <c r="F7703" t="s">
        <v>42</v>
      </c>
      <c r="G7703">
        <v>-241.00839999999999</v>
      </c>
      <c r="H7703">
        <v>0.89715889999999998</v>
      </c>
      <c r="I7703">
        <v>-62.847270000000002</v>
      </c>
      <c r="J7703">
        <v>-241.6474</v>
      </c>
      <c r="K7703">
        <v>1.120619</v>
      </c>
      <c r="L7703">
        <v>-62.789340000000003</v>
      </c>
      <c r="M7703">
        <v>0.99986620000000004</v>
      </c>
      <c r="N7703">
        <v>-1.495117E-2</v>
      </c>
      <c r="O7703">
        <v>6.6399769999999896E-3</v>
      </c>
      <c r="P7703">
        <v>0.99167609999999995</v>
      </c>
      <c r="Q7703">
        <v>-0.12875</v>
      </c>
      <c r="R7703">
        <v>1.4727339999999901E-3</v>
      </c>
      <c r="S7703">
        <v>2.9195250000000001</v>
      </c>
      <c r="T7703">
        <v>-0.81468699999999905</v>
      </c>
      <c r="U7703">
        <v>-0.20684810000000001</v>
      </c>
      <c r="V7703">
        <v>5.095568E-3</v>
      </c>
      <c r="W7703">
        <v>-0.11390980000000001</v>
      </c>
      <c r="X7703">
        <v>0.99347799999999997</v>
      </c>
      <c r="Y7703">
        <v>7.4094629999999995E-2</v>
      </c>
      <c r="Z7703">
        <v>-1.2416409999999999E-2</v>
      </c>
      <c r="AA7703">
        <v>0.99717389999999995</v>
      </c>
      <c r="AB7703">
        <v>29</v>
      </c>
      <c r="AC7703">
        <v>0.63900000000001</v>
      </c>
      <c r="AD7703">
        <v>-0.22346009999999999</v>
      </c>
      <c r="AE7703">
        <v>-5.7929999999991801E-2</v>
      </c>
      <c r="AF7703">
        <v>5.5446722708407198E-2</v>
      </c>
      <c r="AG7703">
        <v>-0.22346009999999999</v>
      </c>
      <c r="AH7703">
        <v>0.569521061353925</v>
      </c>
      <c r="AI7703">
        <v>111.331568728088</v>
      </c>
      <c r="AJ7703">
        <v>84.439393055128207</v>
      </c>
      <c r="AK7703">
        <v>0.61429878290357598</v>
      </c>
      <c r="AL7703">
        <v>96.540748171082498</v>
      </c>
      <c r="AM7703">
        <v>89.706131408517905</v>
      </c>
      <c r="AN7703">
        <v>0.99999997191664003</v>
      </c>
    </row>
    <row r="7704" spans="1:40" x14ac:dyDescent="0.25">
      <c r="A7704" t="str">
        <f>"20190303155000514"</f>
        <v>20190303155000514</v>
      </c>
      <c r="B7704" t="str">
        <f>"1551599400508847"</f>
        <v>1551599400508847</v>
      </c>
      <c r="C7704" t="s">
        <v>40</v>
      </c>
      <c r="D7704">
        <v>5.1222009999999996</v>
      </c>
      <c r="E7704">
        <v>0.52860620000000003</v>
      </c>
      <c r="F7704" t="s">
        <v>42</v>
      </c>
      <c r="G7704">
        <v>-240.75880000000001</v>
      </c>
      <c r="H7704">
        <v>0.87307489999999999</v>
      </c>
      <c r="I7704">
        <v>-62.852870000000003</v>
      </c>
      <c r="J7704">
        <v>-241.48060000000001</v>
      </c>
      <c r="K7704">
        <v>1.1206240000000001</v>
      </c>
      <c r="L7704">
        <v>-62.788269999999997</v>
      </c>
      <c r="M7704">
        <v>0.99986609999999998</v>
      </c>
      <c r="N7704">
        <v>-1.497981E-2</v>
      </c>
      <c r="O7704">
        <v>6.6080540000000004E-3</v>
      </c>
      <c r="P7704">
        <v>0.9916741</v>
      </c>
      <c r="Q7704">
        <v>-0.12876309999999999</v>
      </c>
      <c r="R7704">
        <v>1.6588579999999901E-3</v>
      </c>
      <c r="S7704">
        <v>2.9198759999999999</v>
      </c>
      <c r="T7704">
        <v>-0.81343849999999995</v>
      </c>
      <c r="U7704">
        <v>-0.20852660000000001</v>
      </c>
      <c r="V7704">
        <v>4.8779599999999998E-3</v>
      </c>
      <c r="W7704">
        <v>-0.1138945</v>
      </c>
      <c r="X7704">
        <v>0.9934809</v>
      </c>
      <c r="Y7704">
        <v>7.4614990000000006E-2</v>
      </c>
      <c r="Z7704">
        <v>-1.246481E-2</v>
      </c>
      <c r="AA7704">
        <v>0.99713450000000003</v>
      </c>
      <c r="AB7704">
        <v>29</v>
      </c>
      <c r="AC7704">
        <v>0.721800000000001</v>
      </c>
      <c r="AD7704">
        <v>-0.24754909999999999</v>
      </c>
      <c r="AE7704">
        <v>-6.4599999999998603E-2</v>
      </c>
      <c r="AF7704">
        <v>6.2120173129931601E-2</v>
      </c>
      <c r="AG7704">
        <v>-0.24754909999999999</v>
      </c>
      <c r="AH7704">
        <v>0.645979602000606</v>
      </c>
      <c r="AI7704">
        <v>110.879618781023</v>
      </c>
      <c r="AJ7704">
        <v>84.507082242584005</v>
      </c>
      <c r="AK7704">
        <v>0.69457117635370103</v>
      </c>
      <c r="AL7704">
        <v>96.539865453534503</v>
      </c>
      <c r="AM7704">
        <v>89.718681783684104</v>
      </c>
      <c r="AN7704">
        <v>1.0000000251444101</v>
      </c>
    </row>
    <row r="7705" spans="1:40" x14ac:dyDescent="0.25">
      <c r="A7705" t="str">
        <f>"20190303155000527"</f>
        <v>20190303155000527</v>
      </c>
      <c r="B7705" t="str">
        <f>"1551599400518608"</f>
        <v>1551599400518608</v>
      </c>
      <c r="C7705" t="s">
        <v>40</v>
      </c>
      <c r="D7705">
        <v>5.134976</v>
      </c>
      <c r="E7705">
        <v>0.52874940000000004</v>
      </c>
      <c r="F7705" t="s">
        <v>42</v>
      </c>
      <c r="G7705">
        <v>-240.74100000000001</v>
      </c>
      <c r="H7705">
        <v>0.91462710000000003</v>
      </c>
      <c r="I7705">
        <v>-62.841270000000002</v>
      </c>
      <c r="J7705">
        <v>-241.32759999999999</v>
      </c>
      <c r="K7705">
        <v>1.120628</v>
      </c>
      <c r="L7705">
        <v>-62.787289999999999</v>
      </c>
      <c r="M7705">
        <v>0.99986589999999997</v>
      </c>
      <c r="N7705">
        <v>-1.5004190000000001E-2</v>
      </c>
      <c r="O7705">
        <v>6.5789630000000002E-3</v>
      </c>
      <c r="P7705">
        <v>0.99169359999999995</v>
      </c>
      <c r="Q7705">
        <v>-0.1286069</v>
      </c>
      <c r="R7705">
        <v>1.984909E-3</v>
      </c>
      <c r="S7705">
        <v>2.919937</v>
      </c>
      <c r="T7705">
        <v>-0.81326069999999995</v>
      </c>
      <c r="U7705">
        <v>-0.20898439999999999</v>
      </c>
      <c r="V7705">
        <v>4.5234430000000003E-3</v>
      </c>
      <c r="W7705">
        <v>-0.1137137</v>
      </c>
      <c r="X7705">
        <v>0.99350329999999998</v>
      </c>
      <c r="Y7705">
        <v>7.4737429999999994E-2</v>
      </c>
      <c r="Z7705">
        <v>-1.247288E-2</v>
      </c>
      <c r="AA7705">
        <v>0.99712529999999999</v>
      </c>
      <c r="AB7705">
        <v>29</v>
      </c>
      <c r="AC7705">
        <v>0.58660000000000401</v>
      </c>
      <c r="AD7705">
        <v>-0.20600089999999999</v>
      </c>
      <c r="AE7705">
        <v>-5.3979999999988502E-2</v>
      </c>
      <c r="AF7705">
        <v>5.1536118206274399E-2</v>
      </c>
      <c r="AG7705">
        <v>-0.20600089999999999</v>
      </c>
      <c r="AH7705">
        <v>0.52235338118760199</v>
      </c>
      <c r="AI7705">
        <v>111.428281710287</v>
      </c>
      <c r="AJ7705">
        <v>84.365353394024694</v>
      </c>
      <c r="AK7705">
        <v>0.56386647100062703</v>
      </c>
      <c r="AL7705">
        <v>96.529438557543301</v>
      </c>
      <c r="AM7705">
        <v>89.739132822311404</v>
      </c>
      <c r="AN7705">
        <v>1.0000000371075699</v>
      </c>
    </row>
    <row r="7706" spans="1:40" x14ac:dyDescent="0.25">
      <c r="A7706" t="str">
        <f>"20190303155000538"</f>
        <v>20190303155000538</v>
      </c>
      <c r="B7706" t="str">
        <f>"1551599400528367"</f>
        <v>1551599400528367</v>
      </c>
      <c r="C7706" t="s">
        <v>40</v>
      </c>
      <c r="D7706">
        <v>5.084524</v>
      </c>
      <c r="E7706">
        <v>0.52886610000000001</v>
      </c>
      <c r="F7706" t="s">
        <v>42</v>
      </c>
      <c r="G7706">
        <v>-240.49369999999999</v>
      </c>
      <c r="H7706">
        <v>0.88868930000000002</v>
      </c>
      <c r="I7706">
        <v>-62.847099999999998</v>
      </c>
      <c r="J7706">
        <v>-241.17339999999999</v>
      </c>
      <c r="K7706">
        <v>1.1206320000000001</v>
      </c>
      <c r="L7706">
        <v>-62.786290000000001</v>
      </c>
      <c r="M7706">
        <v>0.99986569999999997</v>
      </c>
      <c r="N7706">
        <v>-1.5026909999999999E-2</v>
      </c>
      <c r="O7706">
        <v>6.5498850000000001E-3</v>
      </c>
      <c r="P7706">
        <v>0.99170800000000003</v>
      </c>
      <c r="Q7706">
        <v>-0.12849569999999999</v>
      </c>
      <c r="R7706">
        <v>2.1057739999999999E-3</v>
      </c>
      <c r="S7706">
        <v>2.9201969999999999</v>
      </c>
      <c r="T7706">
        <v>-0.81226750000000003</v>
      </c>
      <c r="U7706">
        <v>-0.2091064</v>
      </c>
      <c r="V7706">
        <v>4.3735969999999999E-3</v>
      </c>
      <c r="W7706">
        <v>-0.1135796</v>
      </c>
      <c r="X7706">
        <v>0.99351920000000005</v>
      </c>
      <c r="Y7706">
        <v>7.4751910000000005E-2</v>
      </c>
      <c r="Z7706">
        <v>-1.2453000000000001E-2</v>
      </c>
      <c r="AA7706">
        <v>0.99712440000000002</v>
      </c>
      <c r="AB7706">
        <v>29</v>
      </c>
      <c r="AC7706">
        <v>0.67969999999999597</v>
      </c>
      <c r="AD7706">
        <v>-0.2319427</v>
      </c>
      <c r="AE7706">
        <v>-6.0809999999996402E-2</v>
      </c>
      <c r="AF7706">
        <v>5.8502796728623602E-2</v>
      </c>
      <c r="AG7706">
        <v>-0.2319427</v>
      </c>
      <c r="AH7706">
        <v>0.60894101286948399</v>
      </c>
      <c r="AI7706">
        <v>110.76419393952899</v>
      </c>
      <c r="AJ7706">
        <v>84.512264553287906</v>
      </c>
      <c r="AK7706">
        <v>0.65423936786383796</v>
      </c>
      <c r="AL7706">
        <v>96.521705809516007</v>
      </c>
      <c r="AM7706">
        <v>89.747778371354599</v>
      </c>
      <c r="AN7706">
        <v>0.999999927327756</v>
      </c>
    </row>
    <row r="7707" spans="1:40" x14ac:dyDescent="0.25">
      <c r="A7707" t="str">
        <f>"20190303155000554"</f>
        <v>20190303155000554</v>
      </c>
      <c r="B7707" t="str">
        <f>"1551599400548863"</f>
        <v>1551599400548863</v>
      </c>
      <c r="C7707" t="s">
        <v>40</v>
      </c>
      <c r="D7707">
        <v>5.0508850000000001</v>
      </c>
      <c r="E7707">
        <v>0.52875240000000001</v>
      </c>
      <c r="F7707" t="s">
        <v>42</v>
      </c>
      <c r="G7707">
        <v>-240.47620000000001</v>
      </c>
      <c r="H7707">
        <v>0.92702589999999996</v>
      </c>
      <c r="I7707">
        <v>-62.836449999999999</v>
      </c>
      <c r="J7707">
        <v>-240.9786</v>
      </c>
      <c r="K7707">
        <v>1.1206389999999999</v>
      </c>
      <c r="L7707">
        <v>-62.785060000000001</v>
      </c>
      <c r="M7707">
        <v>0.99986549999999996</v>
      </c>
      <c r="N7707">
        <v>-1.505198E-2</v>
      </c>
      <c r="O7707">
        <v>6.5127419999999898E-3</v>
      </c>
      <c r="P7707">
        <v>0.99172590000000005</v>
      </c>
      <c r="Q7707">
        <v>-0.1283502</v>
      </c>
      <c r="R7707">
        <v>2.4204809999999999E-3</v>
      </c>
      <c r="S7707">
        <v>2.9204409999999998</v>
      </c>
      <c r="T7707">
        <v>-0.81104080000000001</v>
      </c>
      <c r="U7707">
        <v>-0.2097473</v>
      </c>
      <c r="V7707">
        <v>4.0222340000000004E-3</v>
      </c>
      <c r="W7707">
        <v>-0.11340890000000001</v>
      </c>
      <c r="X7707">
        <v>0.99354019999999998</v>
      </c>
      <c r="Y7707">
        <v>7.4930440000000001E-2</v>
      </c>
      <c r="Z7707">
        <v>-1.245139E-2</v>
      </c>
      <c r="AA7707">
        <v>0.99711099999999997</v>
      </c>
      <c r="AB7707">
        <v>29</v>
      </c>
      <c r="AC7707">
        <v>0.50239999999999396</v>
      </c>
      <c r="AD7707">
        <v>-0.19361310000000001</v>
      </c>
      <c r="AE7707">
        <v>-5.1390000000004897E-2</v>
      </c>
      <c r="AF7707">
        <v>4.76568193309918E-2</v>
      </c>
      <c r="AG7707">
        <v>-0.19361310000000001</v>
      </c>
      <c r="AH7707">
        <v>0.43771981052612802</v>
      </c>
      <c r="AI7707">
        <v>113.736219276014</v>
      </c>
      <c r="AJ7707">
        <v>83.786386712749106</v>
      </c>
      <c r="AK7707">
        <v>0.48099463349125399</v>
      </c>
      <c r="AL7707">
        <v>96.511861711312093</v>
      </c>
      <c r="AM7707">
        <v>89.768045849169596</v>
      </c>
      <c r="AN7707">
        <v>0.99999994299079797</v>
      </c>
    </row>
    <row r="7708" spans="1:40" x14ac:dyDescent="0.25">
      <c r="A7708" t="str">
        <f>"20190303155000567"</f>
        <v>20190303155000567</v>
      </c>
      <c r="B7708" t="str">
        <f>"1551599400558623"</f>
        <v>1551599400558623</v>
      </c>
      <c r="C7708" t="s">
        <v>40</v>
      </c>
      <c r="D7708">
        <v>5.0374439999999998</v>
      </c>
      <c r="E7708">
        <v>0.50316269999999996</v>
      </c>
      <c r="F7708" t="s">
        <v>42</v>
      </c>
      <c r="G7708">
        <v>-240.22499999999999</v>
      </c>
      <c r="H7708">
        <v>0.91190040000000006</v>
      </c>
      <c r="I7708">
        <v>-62.838920000000002</v>
      </c>
      <c r="J7708">
        <v>-240.80189999999999</v>
      </c>
      <c r="K7708">
        <v>1.12064599999999</v>
      </c>
      <c r="L7708">
        <v>-62.783940000000001</v>
      </c>
      <c r="M7708">
        <v>0.99986549999999996</v>
      </c>
      <c r="N7708">
        <v>-1.507259E-2</v>
      </c>
      <c r="O7708">
        <v>6.478971E-3</v>
      </c>
      <c r="P7708">
        <v>0.99174549999999995</v>
      </c>
      <c r="Q7708">
        <v>-0.128194899999999</v>
      </c>
      <c r="R7708">
        <v>2.6915770000000001E-3</v>
      </c>
      <c r="S7708">
        <v>2.9208370000000001</v>
      </c>
      <c r="T7708">
        <v>-0.80907320000000005</v>
      </c>
      <c r="U7708">
        <v>-0.20803830000000001</v>
      </c>
      <c r="V7708">
        <v>3.7178990000000002E-3</v>
      </c>
      <c r="W7708">
        <v>-0.11323279999999999</v>
      </c>
      <c r="X7708">
        <v>0.99356149999999999</v>
      </c>
      <c r="Y7708">
        <v>7.4346330000000002E-2</v>
      </c>
      <c r="Z7708">
        <v>-1.233019E-2</v>
      </c>
      <c r="AA7708">
        <v>0.9971563</v>
      </c>
      <c r="AB7708">
        <v>29</v>
      </c>
      <c r="AC7708">
        <v>0.57689999999999397</v>
      </c>
      <c r="AD7708">
        <v>-0.208745599999999</v>
      </c>
      <c r="AE7708">
        <v>-5.4979999999993298E-2</v>
      </c>
      <c r="AF7708">
        <v>5.1973441911881101E-2</v>
      </c>
      <c r="AG7708">
        <v>-0.208745599999999</v>
      </c>
      <c r="AH7708">
        <v>0.51031795408094405</v>
      </c>
      <c r="AI7708">
        <v>112.14362047762501</v>
      </c>
      <c r="AJ7708">
        <v>84.1847498122887</v>
      </c>
      <c r="AK7708">
        <v>0.55380536151330995</v>
      </c>
      <c r="AL7708">
        <v>96.501706319063999</v>
      </c>
      <c r="AM7708">
        <v>89.785600662773604</v>
      </c>
      <c r="AN7708">
        <v>0.99999997202553104</v>
      </c>
    </row>
    <row r="7709" spans="1:40" x14ac:dyDescent="0.25">
      <c r="A7709" t="str">
        <f>"20190303155000580"</f>
        <v>20190303155000580</v>
      </c>
      <c r="B7709" t="str">
        <f>"1551599400568384"</f>
        <v>1551599400568384</v>
      </c>
      <c r="C7709" t="s">
        <v>40</v>
      </c>
      <c r="D7709">
        <v>5.0306160000000002</v>
      </c>
      <c r="E7709">
        <v>0.4969652</v>
      </c>
      <c r="F7709" t="s">
        <v>42</v>
      </c>
      <c r="G7709">
        <v>-239.9383</v>
      </c>
      <c r="H7709">
        <v>0.96960840000000004</v>
      </c>
      <c r="I7709">
        <v>-62.787730000000003</v>
      </c>
      <c r="J7709">
        <v>-240.63939999999999</v>
      </c>
      <c r="K7709">
        <v>1.1206529999999999</v>
      </c>
      <c r="L7709">
        <v>-62.78293</v>
      </c>
      <c r="M7709">
        <v>0.99986549999999996</v>
      </c>
      <c r="N7709">
        <v>-1.5090009999999999E-2</v>
      </c>
      <c r="O7709">
        <v>6.4479059999999998E-3</v>
      </c>
      <c r="P7709">
        <v>0.99176339999999996</v>
      </c>
      <c r="Q7709">
        <v>-0.1280539</v>
      </c>
      <c r="R7709">
        <v>2.7848199999999999E-3</v>
      </c>
      <c r="S7709">
        <v>2.9581300000000001</v>
      </c>
      <c r="T7709">
        <v>-0.51737259999999996</v>
      </c>
      <c r="U7709">
        <v>-1.266479E-2</v>
      </c>
      <c r="V7709">
        <v>3.5940640000000001E-3</v>
      </c>
      <c r="W7709">
        <v>-0.1130742</v>
      </c>
      <c r="X7709">
        <v>0.99358000000000002</v>
      </c>
      <c r="Y7709">
        <v>1.0475150000000001E-2</v>
      </c>
      <c r="Z7709">
        <v>-2.0114210000000002E-3</v>
      </c>
      <c r="AA7709">
        <v>0.99994309999999997</v>
      </c>
      <c r="AB7709">
        <v>29</v>
      </c>
      <c r="AC7709">
        <v>0.70109999999999595</v>
      </c>
      <c r="AD7709">
        <v>-0.1510446</v>
      </c>
      <c r="AE7709">
        <v>-4.79999999999591E-3</v>
      </c>
      <c r="AF7709">
        <v>8.9076208494222493E-3</v>
      </c>
      <c r="AG7709">
        <v>-0.1510446</v>
      </c>
      <c r="AH7709">
        <v>0.669960284042182</v>
      </c>
      <c r="AI7709">
        <v>102.70400262141</v>
      </c>
      <c r="AJ7709">
        <v>89.238254831351497</v>
      </c>
      <c r="AK7709">
        <v>0.68683374923793405</v>
      </c>
      <c r="AL7709">
        <v>96.4925605853402</v>
      </c>
      <c r="AM7709">
        <v>89.792745626574401</v>
      </c>
      <c r="AN7709">
        <v>0.99999995420083698</v>
      </c>
    </row>
    <row r="7710" spans="1:40" x14ac:dyDescent="0.25">
      <c r="A7710" t="str">
        <f>"20190303155000593"</f>
        <v>20190303155000593</v>
      </c>
      <c r="B7710" t="str">
        <f>"1551599400588879"</f>
        <v>1551599400588879</v>
      </c>
      <c r="C7710" t="s">
        <v>40</v>
      </c>
      <c r="D7710">
        <v>5.0376029999999998</v>
      </c>
      <c r="E7710">
        <v>0.48976130000000001</v>
      </c>
      <c r="F7710" t="s">
        <v>42</v>
      </c>
      <c r="G7710">
        <v>-239.9162</v>
      </c>
      <c r="H7710">
        <v>1.0144390000000001</v>
      </c>
      <c r="I7710">
        <v>-62.774650000000001</v>
      </c>
      <c r="J7710">
        <v>-240.46979999999999</v>
      </c>
      <c r="K7710">
        <v>1.1206590000000001</v>
      </c>
      <c r="L7710">
        <v>-62.781860000000002</v>
      </c>
      <c r="M7710">
        <v>0.99986540000000002</v>
      </c>
      <c r="N7710">
        <v>-1.510571E-2</v>
      </c>
      <c r="O7710">
        <v>6.4155430000000001E-3</v>
      </c>
      <c r="P7710">
        <v>0.99178840000000001</v>
      </c>
      <c r="Q7710">
        <v>-0.127861999999999</v>
      </c>
      <c r="R7710">
        <v>2.7281430000000001E-3</v>
      </c>
      <c r="S7710">
        <v>2.9685359999999998</v>
      </c>
      <c r="T7710">
        <v>-0.43595889999999998</v>
      </c>
      <c r="U7710">
        <v>3.4362789999999997E-2</v>
      </c>
      <c r="V7710">
        <v>3.6188259999999999E-3</v>
      </c>
      <c r="W7710">
        <v>-0.1128663</v>
      </c>
      <c r="X7710">
        <v>0.99360360000000003</v>
      </c>
      <c r="Y7710">
        <v>-5.1531679999999996E-3</v>
      </c>
      <c r="Z7710">
        <v>-4.2514439999999999E-4</v>
      </c>
      <c r="AA7710">
        <v>0.99998659999999995</v>
      </c>
      <c r="AB7710">
        <v>29</v>
      </c>
      <c r="AC7710">
        <v>0.55359999999998799</v>
      </c>
      <c r="AD7710">
        <v>-0.10621999999999999</v>
      </c>
      <c r="AE7710">
        <v>7.2099999999934898E-3</v>
      </c>
      <c r="AF7710">
        <v>-3.5279440579270901E-3</v>
      </c>
      <c r="AG7710">
        <v>-0.10621999999999999</v>
      </c>
      <c r="AH7710">
        <v>0.53397992661100602</v>
      </c>
      <c r="AI7710">
        <v>101.250254987809</v>
      </c>
      <c r="AJ7710">
        <v>90.378541128111905</v>
      </c>
      <c r="AK7710">
        <v>0.54445357636144798</v>
      </c>
      <c r="AL7710">
        <v>96.480571710488405</v>
      </c>
      <c r="AM7710">
        <v>89.791322676576399</v>
      </c>
      <c r="AN7710">
        <v>1.0000000057551299</v>
      </c>
    </row>
    <row r="7711" spans="1:40" x14ac:dyDescent="0.25">
      <c r="A7711" t="str">
        <f>"20190303155000607"</f>
        <v>20190303155000607</v>
      </c>
      <c r="B7711" t="str">
        <f>"1551599400598639"</f>
        <v>1551599400598639</v>
      </c>
      <c r="C7711" t="s">
        <v>40</v>
      </c>
      <c r="D7711">
        <v>5.0215439999999996</v>
      </c>
      <c r="E7711">
        <v>0.48763849999999997</v>
      </c>
      <c r="F7711" t="s">
        <v>42</v>
      </c>
      <c r="G7711">
        <v>-239.64920000000001</v>
      </c>
      <c r="H7711">
        <v>1.027987</v>
      </c>
      <c r="I7711">
        <v>-62.757750000000001</v>
      </c>
      <c r="J7711">
        <v>-240.30240000000001</v>
      </c>
      <c r="K7711">
        <v>1.1206659999999999</v>
      </c>
      <c r="L7711">
        <v>-62.780790000000003</v>
      </c>
      <c r="M7711">
        <v>0.99986540000000002</v>
      </c>
      <c r="N7711">
        <v>-1.5120069999999999E-2</v>
      </c>
      <c r="O7711">
        <v>6.3834879999999997E-3</v>
      </c>
      <c r="P7711">
        <v>0.99178100000000002</v>
      </c>
      <c r="Q7711">
        <v>-0.12791520000000001</v>
      </c>
      <c r="R7711">
        <v>2.8942479999999999E-3</v>
      </c>
      <c r="S7711">
        <v>2.981201</v>
      </c>
      <c r="T7711">
        <v>-0.33666459999999998</v>
      </c>
      <c r="U7711">
        <v>8.8256840000000003E-2</v>
      </c>
      <c r="V7711">
        <v>3.4208670000000002E-3</v>
      </c>
      <c r="W7711">
        <v>-0.1129054</v>
      </c>
      <c r="X7711">
        <v>0.99359980000000003</v>
      </c>
      <c r="Y7711">
        <v>-2.307358E-2</v>
      </c>
      <c r="Z7711">
        <v>8.5136239999999996E-4</v>
      </c>
      <c r="AA7711">
        <v>0.99973339999999999</v>
      </c>
      <c r="AB7711">
        <v>29</v>
      </c>
      <c r="AC7711">
        <v>0.653199999999998</v>
      </c>
      <c r="AD7711">
        <v>-9.26789999999999E-2</v>
      </c>
      <c r="AE7711">
        <v>2.3040000000001701E-2</v>
      </c>
      <c r="AF7711">
        <v>-1.8497446129888299E-2</v>
      </c>
      <c r="AG7711">
        <v>-9.26789999999999E-2</v>
      </c>
      <c r="AH7711">
        <v>0.64045662168860695</v>
      </c>
      <c r="AI7711">
        <v>98.230598437770794</v>
      </c>
      <c r="AJ7711">
        <v>91.654336955947301</v>
      </c>
      <c r="AK7711">
        <v>0.64739187268540199</v>
      </c>
      <c r="AL7711">
        <v>96.482826769183205</v>
      </c>
      <c r="AM7711">
        <v>89.802737010471802</v>
      </c>
      <c r="AN7711">
        <v>0.99999994712011397</v>
      </c>
    </row>
    <row r="7712" spans="1:40" x14ac:dyDescent="0.25">
      <c r="A7712" t="str">
        <f>"20190303155000620"</f>
        <v>20190303155000620</v>
      </c>
      <c r="B7712" t="str">
        <f>"1551599400608399"</f>
        <v>1551599400608399</v>
      </c>
      <c r="C7712" t="s">
        <v>40</v>
      </c>
      <c r="D7712">
        <v>4.9618699999999896</v>
      </c>
      <c r="E7712">
        <v>0.48678860000000002</v>
      </c>
      <c r="F7712" t="s">
        <v>42</v>
      </c>
      <c r="G7712">
        <v>-239.39490000000001</v>
      </c>
      <c r="H7712">
        <v>1.0229889999999999</v>
      </c>
      <c r="I7712">
        <v>-62.748769999999901</v>
      </c>
      <c r="J7712">
        <v>-240.12780000000001</v>
      </c>
      <c r="K7712">
        <v>1.1206719999999999</v>
      </c>
      <c r="L7712">
        <v>-62.77975</v>
      </c>
      <c r="M7712">
        <v>0.99986540000000002</v>
      </c>
      <c r="N7712">
        <v>-1.513364E-2</v>
      </c>
      <c r="O7712">
        <v>6.3501269999999997E-3</v>
      </c>
      <c r="P7712">
        <v>0.99182979999999998</v>
      </c>
      <c r="Q7712">
        <v>-0.1275366</v>
      </c>
      <c r="R7712">
        <v>2.8704529999999998E-3</v>
      </c>
      <c r="S7712">
        <v>2.9831539999999999</v>
      </c>
      <c r="T7712">
        <v>-0.32112960000000002</v>
      </c>
      <c r="U7712">
        <v>0.1051941</v>
      </c>
      <c r="V7712">
        <v>3.4120999999999999E-3</v>
      </c>
      <c r="W7712">
        <v>-0.1125125</v>
      </c>
      <c r="X7712">
        <v>0.99364450000000004</v>
      </c>
      <c r="Y7712">
        <v>-2.8730990000000001E-2</v>
      </c>
      <c r="Z7712">
        <v>1.174146E-3</v>
      </c>
      <c r="AA7712">
        <v>0.99958650000000004</v>
      </c>
      <c r="AB7712">
        <v>29</v>
      </c>
      <c r="AC7712">
        <v>0.7329</v>
      </c>
      <c r="AD7712">
        <v>-9.7682999999999895E-2</v>
      </c>
      <c r="AE7712">
        <v>3.0980000000006599E-2</v>
      </c>
      <c r="AF7712">
        <v>-2.5866159387119999E-2</v>
      </c>
      <c r="AG7712">
        <v>-9.7682999999999895E-2</v>
      </c>
      <c r="AH7712">
        <v>0.72030899386463398</v>
      </c>
      <c r="AI7712">
        <v>97.718003421829707</v>
      </c>
      <c r="AJ7712">
        <v>92.056596878041105</v>
      </c>
      <c r="AK7712">
        <v>0.72736240852323497</v>
      </c>
      <c r="AL7712">
        <v>96.460170234622794</v>
      </c>
      <c r="AM7712">
        <v>89.803251403442999</v>
      </c>
      <c r="AN7712">
        <v>1.00000004873145</v>
      </c>
    </row>
    <row r="7713" spans="1:40" x14ac:dyDescent="0.25">
      <c r="A7713" t="str">
        <f>"20190303155000634"</f>
        <v>20190303155000634</v>
      </c>
      <c r="B7713" t="str">
        <f>"1551599400628895"</f>
        <v>1551599400628895</v>
      </c>
      <c r="C7713" t="s">
        <v>40</v>
      </c>
      <c r="D7713">
        <v>4.994256</v>
      </c>
      <c r="E7713">
        <v>0.48458780000000001</v>
      </c>
      <c r="F7713" t="s">
        <v>74</v>
      </c>
      <c r="G7713">
        <v>-228.96770000000001</v>
      </c>
      <c r="H7713" s="1">
        <v>-3.3251659999999999E-6</v>
      </c>
      <c r="I7713">
        <v>-62.364100000000001</v>
      </c>
      <c r="J7713">
        <v>-239.93860000000001</v>
      </c>
      <c r="K7713">
        <v>1.1206739999999999</v>
      </c>
      <c r="L7713">
        <v>-62.778590000000001</v>
      </c>
      <c r="M7713">
        <v>0.99986540000000002</v>
      </c>
      <c r="N7713">
        <v>-1.5146150000000001E-2</v>
      </c>
      <c r="O7713">
        <v>6.3140929999999998E-3</v>
      </c>
      <c r="P7713">
        <v>0.99188920000000003</v>
      </c>
      <c r="Q7713">
        <v>-0.12707160000000001</v>
      </c>
      <c r="R7713">
        <v>2.9543320000000001E-3</v>
      </c>
      <c r="S7713">
        <v>2.9858250000000002</v>
      </c>
      <c r="T7713">
        <v>-0.29982809999999999</v>
      </c>
      <c r="U7713">
        <v>0.1112061</v>
      </c>
      <c r="V7713">
        <v>3.292732E-3</v>
      </c>
      <c r="W7713">
        <v>-0.1120342</v>
      </c>
      <c r="X7713">
        <v>0.99369890000000005</v>
      </c>
      <c r="Y7713">
        <v>-3.0752660000000001E-2</v>
      </c>
      <c r="Z7713">
        <v>1.2364959999999999E-3</v>
      </c>
      <c r="AA7713">
        <v>0.99952629999999998</v>
      </c>
      <c r="AB7713">
        <v>29</v>
      </c>
      <c r="AC7713">
        <v>10.9709</v>
      </c>
      <c r="AD7713">
        <v>-1.120677325166</v>
      </c>
      <c r="AE7713">
        <v>0.41449000000000003</v>
      </c>
      <c r="AF7713">
        <v>-0.34164267852105801</v>
      </c>
      <c r="AG7713">
        <v>-1.120677325166</v>
      </c>
      <c r="AH7713">
        <v>10.8601387809318</v>
      </c>
      <c r="AI7713">
        <v>95.888709015782098</v>
      </c>
      <c r="AJ7713">
        <v>91.801839789177293</v>
      </c>
      <c r="AK7713">
        <v>10.9231520967177</v>
      </c>
      <c r="AL7713">
        <v>96.432591581854396</v>
      </c>
      <c r="AM7713">
        <v>89.810144746888</v>
      </c>
      <c r="AN7713">
        <v>1.0000000039574299</v>
      </c>
    </row>
    <row r="7714" spans="1:40" x14ac:dyDescent="0.25">
      <c r="A7714" t="str">
        <f>"20190303155000645"</f>
        <v>20190303155000645</v>
      </c>
      <c r="B7714" t="str">
        <f>"1551599400638656"</f>
        <v>1551599400638656</v>
      </c>
      <c r="C7714" t="s">
        <v>40</v>
      </c>
      <c r="D7714">
        <v>4.9847519999999896</v>
      </c>
      <c r="E7714">
        <v>0.48383429999999999</v>
      </c>
      <c r="F7714" t="s">
        <v>74</v>
      </c>
      <c r="G7714">
        <v>-228.08320000000001</v>
      </c>
      <c r="H7714" s="1">
        <v>-3.0048450000000002E-6</v>
      </c>
      <c r="I7714">
        <v>-62.268590000000003</v>
      </c>
      <c r="J7714">
        <v>-239.79509999999999</v>
      </c>
      <c r="K7714">
        <v>1.120679</v>
      </c>
      <c r="L7714">
        <v>-62.777679999999997</v>
      </c>
      <c r="M7714">
        <v>0.99986540000000002</v>
      </c>
      <c r="N7714">
        <v>-1.515479E-2</v>
      </c>
      <c r="O7714">
        <v>6.2867900000000004E-3</v>
      </c>
      <c r="P7714">
        <v>0.99192089999999999</v>
      </c>
      <c r="Q7714">
        <v>-0.1268223</v>
      </c>
      <c r="R7714">
        <v>3.0599939999999999E-3</v>
      </c>
      <c r="S7714">
        <v>2.9879910000000001</v>
      </c>
      <c r="T7714">
        <v>-0.28245130000000002</v>
      </c>
      <c r="U7714">
        <v>0.12853999999999999</v>
      </c>
      <c r="V7714">
        <v>3.160295E-3</v>
      </c>
      <c r="W7714">
        <v>-0.1117759</v>
      </c>
      <c r="X7714">
        <v>0.99372839999999996</v>
      </c>
      <c r="Y7714">
        <v>-3.6527560000000001E-2</v>
      </c>
      <c r="Z7714">
        <v>1.501861E-3</v>
      </c>
      <c r="AA7714">
        <v>0.99933150000000004</v>
      </c>
      <c r="AB7714">
        <v>29</v>
      </c>
      <c r="AC7714">
        <v>11.711899999999901</v>
      </c>
      <c r="AD7714">
        <v>-1.1206820048449999</v>
      </c>
      <c r="AE7714">
        <v>0.50909000000000004</v>
      </c>
      <c r="AF7714">
        <v>-0.43149784230139598</v>
      </c>
      <c r="AG7714">
        <v>-1.1206820048449999</v>
      </c>
      <c r="AH7714">
        <v>11.6087788257454</v>
      </c>
      <c r="AI7714">
        <v>95.510319995114401</v>
      </c>
      <c r="AJ7714">
        <v>92.128701839892202</v>
      </c>
      <c r="AK7714">
        <v>11.670726814083601</v>
      </c>
      <c r="AL7714">
        <v>96.417698652295499</v>
      </c>
      <c r="AM7714">
        <v>89.817786273319996</v>
      </c>
      <c r="AN7714">
        <v>0.999999986125928</v>
      </c>
    </row>
    <row r="7715" spans="1:40" x14ac:dyDescent="0.25">
      <c r="A7715" t="str">
        <f>"20190303155000656"</f>
        <v>20190303155000656</v>
      </c>
      <c r="B7715" t="str">
        <f>"1551599400648415"</f>
        <v>1551599400648415</v>
      </c>
      <c r="C7715" t="s">
        <v>40</v>
      </c>
      <c r="D7715">
        <v>4.9881880000000001</v>
      </c>
      <c r="E7715">
        <v>0.48333579999999998</v>
      </c>
      <c r="F7715" t="s">
        <v>74</v>
      </c>
      <c r="G7715">
        <v>-227.71510000000001</v>
      </c>
      <c r="H7715" s="1">
        <v>-2.8390849999999999E-6</v>
      </c>
      <c r="I7715">
        <v>-62.23319</v>
      </c>
      <c r="J7715">
        <v>-239.64789999999999</v>
      </c>
      <c r="K7715">
        <v>1.120681</v>
      </c>
      <c r="L7715">
        <v>-62.776789999999998</v>
      </c>
      <c r="M7715">
        <v>0.99986549999999996</v>
      </c>
      <c r="N7715">
        <v>-1.5162749999999999E-2</v>
      </c>
      <c r="O7715">
        <v>6.2586580000000003E-3</v>
      </c>
      <c r="P7715">
        <v>0.99192760000000002</v>
      </c>
      <c r="Q7715">
        <v>-0.1267673</v>
      </c>
      <c r="R7715">
        <v>3.079081E-3</v>
      </c>
      <c r="S7715">
        <v>2.9885410000000001</v>
      </c>
      <c r="T7715">
        <v>-0.27725359999999899</v>
      </c>
      <c r="U7715">
        <v>0.13470460000000001</v>
      </c>
      <c r="V7715">
        <v>3.113527E-3</v>
      </c>
      <c r="W7715">
        <v>-0.1117129</v>
      </c>
      <c r="X7715">
        <v>0.9937357</v>
      </c>
      <c r="Y7715">
        <v>-3.8600229999999999E-2</v>
      </c>
      <c r="Z7715">
        <v>1.5949339999999999E-3</v>
      </c>
      <c r="AA7715">
        <v>0.99925350000000002</v>
      </c>
      <c r="AB7715">
        <v>29</v>
      </c>
      <c r="AC7715">
        <v>11.932799999999901</v>
      </c>
      <c r="AD7715">
        <v>-1.120683839085</v>
      </c>
      <c r="AE7715">
        <v>0.54360000000000497</v>
      </c>
      <c r="AF7715">
        <v>-0.464806231192257</v>
      </c>
      <c r="AG7715">
        <v>-1.120683839085</v>
      </c>
      <c r="AH7715">
        <v>11.8318251587731</v>
      </c>
      <c r="AI7715">
        <v>95.406639307356997</v>
      </c>
      <c r="AJ7715">
        <v>92.249673898076594</v>
      </c>
      <c r="AK7715">
        <v>11.893866641572799</v>
      </c>
      <c r="AL7715">
        <v>96.414065832781802</v>
      </c>
      <c r="AM7715">
        <v>89.820484085691902</v>
      </c>
      <c r="AN7715">
        <v>1.0000000537656299</v>
      </c>
    </row>
    <row r="7716" spans="1:40" x14ac:dyDescent="0.25">
      <c r="A7716" t="str">
        <f>"20190303155000667"</f>
        <v>20190303155000667</v>
      </c>
      <c r="B7716" t="str">
        <f>"1551599400658611"</f>
        <v>1551599400658611</v>
      </c>
      <c r="C7716" t="s">
        <v>40</v>
      </c>
      <c r="D7716">
        <v>4.9489390000000002</v>
      </c>
      <c r="E7716">
        <v>0.48287819999999998</v>
      </c>
      <c r="F7716" t="s">
        <v>74</v>
      </c>
      <c r="G7716">
        <v>-227.39760000000001</v>
      </c>
      <c r="H7716" s="1">
        <v>-2.6973500000000001E-6</v>
      </c>
      <c r="I7716">
        <v>-62.208460000000002</v>
      </c>
      <c r="J7716">
        <v>-239.52170000000001</v>
      </c>
      <c r="K7716">
        <v>1.120684</v>
      </c>
      <c r="L7716">
        <v>-62.776029999999999</v>
      </c>
      <c r="M7716">
        <v>0.99986549999999996</v>
      </c>
      <c r="N7716">
        <v>-1.516881E-2</v>
      </c>
      <c r="O7716">
        <v>6.2347720000000004E-3</v>
      </c>
      <c r="P7716">
        <v>0.99195929999999999</v>
      </c>
      <c r="Q7716">
        <v>-0.12651799999999999</v>
      </c>
      <c r="R7716">
        <v>3.1768130000000001E-3</v>
      </c>
      <c r="S7716">
        <v>2.9890439999999998</v>
      </c>
      <c r="T7716">
        <v>-0.27344259999999998</v>
      </c>
      <c r="U7716">
        <v>0.13867189999999999</v>
      </c>
      <c r="V7716">
        <v>2.9922109999999998E-3</v>
      </c>
      <c r="W7716">
        <v>-0.1114571</v>
      </c>
      <c r="X7716">
        <v>0.9937648</v>
      </c>
      <c r="Y7716">
        <v>-3.9937760000000003E-2</v>
      </c>
      <c r="Z7716">
        <v>1.6513420000000001E-3</v>
      </c>
      <c r="AA7716">
        <v>0.9992008</v>
      </c>
      <c r="AB7716">
        <v>29</v>
      </c>
      <c r="AC7716">
        <v>12.1241</v>
      </c>
      <c r="AD7716">
        <v>-1.12068669735</v>
      </c>
      <c r="AE7716">
        <v>0.56757000000001001</v>
      </c>
      <c r="AF7716">
        <v>-0.487800535746307</v>
      </c>
      <c r="AG7716">
        <v>-1.12068669735</v>
      </c>
      <c r="AH7716">
        <v>12.0248854855859</v>
      </c>
      <c r="AI7716">
        <v>95.320080779628896</v>
      </c>
      <c r="AJ7716">
        <v>92.322982305566498</v>
      </c>
      <c r="AK7716">
        <v>12.086842390705099</v>
      </c>
      <c r="AL7716">
        <v>96.399317440217104</v>
      </c>
      <c r="AM7716">
        <v>89.827483783266601</v>
      </c>
      <c r="AN7716">
        <v>1.0000000580930499</v>
      </c>
    </row>
    <row r="7717" spans="1:40" x14ac:dyDescent="0.25">
      <c r="A7717" t="str">
        <f>"20190303155000677"</f>
        <v>20190303155000677</v>
      </c>
      <c r="B7717" t="str">
        <f>"1551599400668371"</f>
        <v>1551599400668371</v>
      </c>
      <c r="C7717" t="s">
        <v>40</v>
      </c>
      <c r="D7717">
        <v>4.9717909999999996</v>
      </c>
      <c r="E7717">
        <v>0.48197109999999899</v>
      </c>
      <c r="F7717" t="s">
        <v>74</v>
      </c>
      <c r="G7717">
        <v>-227.11109999999999</v>
      </c>
      <c r="H7717" s="1">
        <v>-2.56908E-6</v>
      </c>
      <c r="I7717">
        <v>-62.184379999999997</v>
      </c>
      <c r="J7717">
        <v>-239.38589999999999</v>
      </c>
      <c r="K7717">
        <v>1.120687</v>
      </c>
      <c r="L7717">
        <v>-62.775210000000001</v>
      </c>
      <c r="M7717">
        <v>0.99986560000000002</v>
      </c>
      <c r="N7717">
        <v>-1.517489E-2</v>
      </c>
      <c r="O7717">
        <v>6.2089789999999999E-3</v>
      </c>
      <c r="P7717">
        <v>0.99200710000000003</v>
      </c>
      <c r="Q7717">
        <v>-0.12614339999999999</v>
      </c>
      <c r="R7717">
        <v>3.1368749999999999E-3</v>
      </c>
      <c r="S7717">
        <v>2.9894259999999999</v>
      </c>
      <c r="T7717">
        <v>-0.2699473</v>
      </c>
      <c r="U7717">
        <v>0.14251710000000001</v>
      </c>
      <c r="V7717">
        <v>3.0068909999999998E-3</v>
      </c>
      <c r="W7717">
        <v>-0.1110757</v>
      </c>
      <c r="X7717">
        <v>0.99380740000000001</v>
      </c>
      <c r="Y7717">
        <v>-4.1237820000000001E-2</v>
      </c>
      <c r="Z7717">
        <v>1.7057210000000001E-3</v>
      </c>
      <c r="AA7717">
        <v>0.99914789999999998</v>
      </c>
      <c r="AB7717">
        <v>29</v>
      </c>
      <c r="AC7717">
        <v>12.274800000000001</v>
      </c>
      <c r="AD7717">
        <v>-1.1206895690799901</v>
      </c>
      <c r="AE7717">
        <v>0.59082999999998898</v>
      </c>
      <c r="AF7717">
        <v>-0.51035155676893695</v>
      </c>
      <c r="AG7717">
        <v>-1.1206895690799901</v>
      </c>
      <c r="AH7717">
        <v>12.1769633834305</v>
      </c>
      <c r="AI7717">
        <v>95.2537365831855</v>
      </c>
      <c r="AJ7717">
        <v>92.399932254918497</v>
      </c>
      <c r="AK7717">
        <v>12.2390702695568</v>
      </c>
      <c r="AL7717">
        <v>96.377328661383999</v>
      </c>
      <c r="AM7717">
        <v>89.826644842809301</v>
      </c>
      <c r="AN7717">
        <v>1.0000000004093601</v>
      </c>
    </row>
    <row r="7718" spans="1:40" x14ac:dyDescent="0.25">
      <c r="A7718" t="str">
        <f>"20190303155000689"</f>
        <v>20190303155000689</v>
      </c>
      <c r="B7718" t="str">
        <f>"1551599400678131"</f>
        <v>1551599400678131</v>
      </c>
      <c r="C7718" t="s">
        <v>40</v>
      </c>
      <c r="D7718">
        <v>4.8695919999999999</v>
      </c>
      <c r="E7718">
        <v>0.48151129999999998</v>
      </c>
      <c r="F7718" t="s">
        <v>74</v>
      </c>
      <c r="G7718">
        <v>-226.95590000000001</v>
      </c>
      <c r="H7718" s="1">
        <v>-2.4955040000000002E-6</v>
      </c>
      <c r="I7718">
        <v>-62.152799999999999</v>
      </c>
      <c r="J7718">
        <v>-239.2347</v>
      </c>
      <c r="K7718">
        <v>1.1206959999999999</v>
      </c>
      <c r="L7718">
        <v>-62.774290000000001</v>
      </c>
      <c r="M7718">
        <v>0.99986569999999997</v>
      </c>
      <c r="N7718">
        <v>-1.518071E-2</v>
      </c>
      <c r="O7718">
        <v>6.1800279999999997E-3</v>
      </c>
      <c r="P7718">
        <v>0.99202330000000005</v>
      </c>
      <c r="Q7718">
        <v>-0.1260105</v>
      </c>
      <c r="R7718">
        <v>3.3300690000000002E-3</v>
      </c>
      <c r="S7718">
        <v>2.9894099999999999</v>
      </c>
      <c r="T7718">
        <v>-0.26952530000000002</v>
      </c>
      <c r="U7718">
        <v>0.14968870000000001</v>
      </c>
      <c r="V7718">
        <v>2.785194E-3</v>
      </c>
      <c r="W7718">
        <v>-0.1109368</v>
      </c>
      <c r="X7718">
        <v>0.99382360000000003</v>
      </c>
      <c r="Y7718">
        <v>-4.3647150000000003E-2</v>
      </c>
      <c r="Z7718">
        <v>1.832633E-3</v>
      </c>
      <c r="AA7718">
        <v>0.99904530000000002</v>
      </c>
      <c r="AB7718">
        <v>29</v>
      </c>
      <c r="AC7718">
        <v>12.278799999999899</v>
      </c>
      <c r="AD7718">
        <v>-1.120698495504</v>
      </c>
      <c r="AE7718">
        <v>0.62149000000000099</v>
      </c>
      <c r="AF7718">
        <v>-0.54109008089688704</v>
      </c>
      <c r="AG7718">
        <v>-1.120698495504</v>
      </c>
      <c r="AH7718">
        <v>12.1811918596431</v>
      </c>
      <c r="AI7718">
        <v>95.251400129685194</v>
      </c>
      <c r="AJ7718">
        <v>92.543413798129095</v>
      </c>
      <c r="AK7718">
        <v>12.244597940108401</v>
      </c>
      <c r="AL7718">
        <v>96.369320537177899</v>
      </c>
      <c r="AM7718">
        <v>89.839428804522498</v>
      </c>
      <c r="AN7718">
        <v>1.0000000394084001</v>
      </c>
    </row>
    <row r="7719" spans="1:40" x14ac:dyDescent="0.25">
      <c r="A7719" t="str">
        <f>"20190303155000700"</f>
        <v>20190303155000700</v>
      </c>
      <c r="B7719" t="str">
        <f>"1551599400688866"</f>
        <v>1551599400688866</v>
      </c>
      <c r="C7719" t="s">
        <v>40</v>
      </c>
      <c r="D7719">
        <v>4.9559170000000003</v>
      </c>
      <c r="E7719">
        <v>0.48080820000000002</v>
      </c>
      <c r="F7719" t="s">
        <v>74</v>
      </c>
      <c r="G7719">
        <v>-226.51079999999999</v>
      </c>
      <c r="H7719" s="1">
        <v>-2.2972179999999999E-6</v>
      </c>
      <c r="I7719">
        <v>-62.119919999999901</v>
      </c>
      <c r="J7719">
        <v>-239.09350000000001</v>
      </c>
      <c r="K7719">
        <v>1.1207009999999999</v>
      </c>
      <c r="L7719">
        <v>-62.773470000000003</v>
      </c>
      <c r="M7719">
        <v>0.99986580000000003</v>
      </c>
      <c r="N7719">
        <v>-1.5185840000000001E-2</v>
      </c>
      <c r="O7719">
        <v>6.1531099999999998E-3</v>
      </c>
      <c r="P7719">
        <v>0.99204490000000001</v>
      </c>
      <c r="Q7719">
        <v>-0.12583419999999901</v>
      </c>
      <c r="R7719">
        <v>3.551069E-3</v>
      </c>
      <c r="S7719">
        <v>2.9901580000000001</v>
      </c>
      <c r="T7719">
        <v>-0.26336609999999899</v>
      </c>
      <c r="U7719">
        <v>0.1537781</v>
      </c>
      <c r="V7719">
        <v>2.5377360000000001E-3</v>
      </c>
      <c r="W7719">
        <v>-0.11075500000000001</v>
      </c>
      <c r="X7719">
        <v>0.99384450000000002</v>
      </c>
      <c r="Y7719">
        <v>-4.5025799999999998E-2</v>
      </c>
      <c r="Z7719">
        <v>1.8733619999999999E-3</v>
      </c>
      <c r="AA7719">
        <v>0.99898399999999998</v>
      </c>
      <c r="AB7719">
        <v>29</v>
      </c>
      <c r="AC7719">
        <v>12.582700000000001</v>
      </c>
      <c r="AD7719">
        <v>-1.120703297218</v>
      </c>
      <c r="AE7719">
        <v>0.65355000000000196</v>
      </c>
      <c r="AF7719">
        <v>-0.57158382794529805</v>
      </c>
      <c r="AG7719">
        <v>-1.120703297218</v>
      </c>
      <c r="AH7719">
        <v>12.4876861732391</v>
      </c>
      <c r="AI7719">
        <v>95.122917533788893</v>
      </c>
      <c r="AJ7719">
        <v>92.620701597475403</v>
      </c>
      <c r="AK7719">
        <v>12.5508959805294</v>
      </c>
      <c r="AL7719">
        <v>96.358839827692194</v>
      </c>
      <c r="AM7719">
        <v>89.853698192918998</v>
      </c>
      <c r="AN7719">
        <v>1.0000000001546201</v>
      </c>
    </row>
    <row r="7720" spans="1:40" x14ac:dyDescent="0.25">
      <c r="A7720" t="str">
        <f>"20190303155000712"</f>
        <v>20190303155000712</v>
      </c>
      <c r="B7720" t="str">
        <f>"1551599400708387"</f>
        <v>1551599400708387</v>
      </c>
      <c r="C7720" t="s">
        <v>40</v>
      </c>
      <c r="D7720">
        <v>4.8495749999999997</v>
      </c>
      <c r="E7720">
        <v>0.47985990000000001</v>
      </c>
      <c r="F7720" t="s">
        <v>74</v>
      </c>
      <c r="G7720">
        <v>-226.40979999999999</v>
      </c>
      <c r="H7720" s="1">
        <v>-2.2481970000000001E-6</v>
      </c>
      <c r="I7720">
        <v>-62.094200000000001</v>
      </c>
      <c r="J7720">
        <v>-238.94880000000001</v>
      </c>
      <c r="K7720">
        <v>1.1207039999999999</v>
      </c>
      <c r="L7720">
        <v>-62.772579999999998</v>
      </c>
      <c r="M7720">
        <v>0.99986589999999997</v>
      </c>
      <c r="N7720">
        <v>-1.519E-2</v>
      </c>
      <c r="O7720">
        <v>6.1255440000000001E-3</v>
      </c>
      <c r="P7720">
        <v>0.99206609999999995</v>
      </c>
      <c r="Q7720">
        <v>-0.1256649</v>
      </c>
      <c r="R7720">
        <v>3.699258E-3</v>
      </c>
      <c r="S7720">
        <v>2.9899749999999998</v>
      </c>
      <c r="T7720">
        <v>-0.26418829999999999</v>
      </c>
      <c r="U7720">
        <v>0.16012570000000001</v>
      </c>
      <c r="V7720">
        <v>2.3621810000000001E-3</v>
      </c>
      <c r="W7720">
        <v>-0.1105812</v>
      </c>
      <c r="X7720">
        <v>0.99386430000000003</v>
      </c>
      <c r="Y7720">
        <v>-4.7160500000000001E-2</v>
      </c>
      <c r="Z7720">
        <v>1.9903099999999999E-3</v>
      </c>
      <c r="AA7720">
        <v>0.99888529999999998</v>
      </c>
      <c r="AB7720">
        <v>29</v>
      </c>
      <c r="AC7720">
        <v>12.539</v>
      </c>
      <c r="AD7720">
        <v>-1.120706248197</v>
      </c>
      <c r="AE7720">
        <v>0.67838000000000398</v>
      </c>
      <c r="AF7720">
        <v>-0.59679669863264895</v>
      </c>
      <c r="AG7720">
        <v>-1.120706248197</v>
      </c>
      <c r="AH7720">
        <v>12.443805102853</v>
      </c>
      <c r="AI7720">
        <v>95.140376459273696</v>
      </c>
      <c r="AJ7720">
        <v>92.745763970715899</v>
      </c>
      <c r="AK7720">
        <v>12.5084145371041</v>
      </c>
      <c r="AL7720">
        <v>96.348820185421502</v>
      </c>
      <c r="AM7720">
        <v>89.863821703933098</v>
      </c>
      <c r="AN7720">
        <v>1.0000000142534999</v>
      </c>
    </row>
    <row r="7721" spans="1:40" x14ac:dyDescent="0.25">
      <c r="A7721" t="str">
        <f>"20190303155000723"</f>
        <v>20190303155000723</v>
      </c>
      <c r="B7721" t="str">
        <f>"1551599400718147"</f>
        <v>1551599400718147</v>
      </c>
      <c r="C7721" t="s">
        <v>40</v>
      </c>
      <c r="D7721">
        <v>4.9521249999999997</v>
      </c>
      <c r="E7721">
        <v>0.47940709999999997</v>
      </c>
      <c r="F7721" t="s">
        <v>74</v>
      </c>
      <c r="G7721">
        <v>-226.0898</v>
      </c>
      <c r="H7721" s="1">
        <v>-2.101089E-6</v>
      </c>
      <c r="I7721">
        <v>-62.05003</v>
      </c>
      <c r="J7721">
        <v>-238.80869999999999</v>
      </c>
      <c r="K7721">
        <v>1.120711</v>
      </c>
      <c r="L7721">
        <v>-62.77176</v>
      </c>
      <c r="M7721">
        <v>0.99986600000000003</v>
      </c>
      <c r="N7721">
        <v>-1.519381E-2</v>
      </c>
      <c r="O7721">
        <v>6.098755E-3</v>
      </c>
      <c r="P7721">
        <v>0.99204579999999998</v>
      </c>
      <c r="Q7721">
        <v>-0.12581580000000001</v>
      </c>
      <c r="R7721">
        <v>3.9904240000000002E-3</v>
      </c>
      <c r="S7721">
        <v>2.9903559999999998</v>
      </c>
      <c r="T7721">
        <v>-0.26062010000000002</v>
      </c>
      <c r="U7721">
        <v>0.16802979999999901</v>
      </c>
      <c r="V7721">
        <v>2.0444310000000002E-3</v>
      </c>
      <c r="W7721">
        <v>-0.11072849999999999</v>
      </c>
      <c r="X7721">
        <v>0.99384859999999997</v>
      </c>
      <c r="Y7721">
        <v>-4.9805660000000002E-2</v>
      </c>
      <c r="Z7721">
        <v>2.1064679999999998E-3</v>
      </c>
      <c r="AA7721">
        <v>0.99875670000000005</v>
      </c>
      <c r="AB7721">
        <v>29</v>
      </c>
      <c r="AC7721">
        <v>12.7188999999999</v>
      </c>
      <c r="AD7721">
        <v>-1.1207131010889999</v>
      </c>
      <c r="AE7721">
        <v>0.72172999999999299</v>
      </c>
      <c r="AF7721">
        <v>-0.63919136493516604</v>
      </c>
      <c r="AG7721">
        <v>-1.1207131010889999</v>
      </c>
      <c r="AH7721">
        <v>12.6253559616486</v>
      </c>
      <c r="AI7721">
        <v>95.066215631482393</v>
      </c>
      <c r="AJ7721">
        <v>92.898272774722301</v>
      </c>
      <c r="AK7721">
        <v>12.691106201363899</v>
      </c>
      <c r="AL7721">
        <v>96.357312029497706</v>
      </c>
      <c r="AM7721">
        <v>89.882137880377101</v>
      </c>
      <c r="AN7721">
        <v>1.0000000100661599</v>
      </c>
    </row>
    <row r="7722" spans="1:40" x14ac:dyDescent="0.25">
      <c r="A7722" t="str">
        <f>"20190303155000733"</f>
        <v>20190303155000733</v>
      </c>
      <c r="B7722" t="str">
        <f>"1551599400727906"</f>
        <v>1551599400727906</v>
      </c>
      <c r="C7722" t="s">
        <v>40</v>
      </c>
      <c r="D7722">
        <v>4.9507969999999997</v>
      </c>
      <c r="E7722">
        <v>0.47903129999999999</v>
      </c>
      <c r="F7722" t="s">
        <v>74</v>
      </c>
      <c r="G7722">
        <v>-226.04939999999999</v>
      </c>
      <c r="H7722" s="1">
        <v>-2.0804750000000002E-6</v>
      </c>
      <c r="I7722">
        <v>-62.035330000000002</v>
      </c>
      <c r="J7722">
        <v>-238.66419999999999</v>
      </c>
      <c r="K7722">
        <v>1.1207129999999901</v>
      </c>
      <c r="L7722">
        <v>-62.770899999999997</v>
      </c>
      <c r="M7722">
        <v>0.99986609999999998</v>
      </c>
      <c r="N7722">
        <v>-1.5196930000000001E-2</v>
      </c>
      <c r="O7722">
        <v>6.0711960000000001E-3</v>
      </c>
      <c r="P7722">
        <v>0.99202789999999996</v>
      </c>
      <c r="Q7722">
        <v>-0.12594639999999999</v>
      </c>
      <c r="R7722">
        <v>4.2756870000000002E-3</v>
      </c>
      <c r="S7722">
        <v>2.9900509999999998</v>
      </c>
      <c r="T7722">
        <v>-0.2626308</v>
      </c>
      <c r="U7722">
        <v>0.17257690000000001</v>
      </c>
      <c r="V7722">
        <v>1.7316779999999999E-3</v>
      </c>
      <c r="W7722">
        <v>-0.1108562</v>
      </c>
      <c r="X7722">
        <v>0.99383500000000002</v>
      </c>
      <c r="Y7722">
        <v>-5.134288E-2</v>
      </c>
      <c r="Z7722">
        <v>2.2002850000000002E-3</v>
      </c>
      <c r="AA7722">
        <v>0.99867870000000003</v>
      </c>
      <c r="AB7722">
        <v>28</v>
      </c>
      <c r="AC7722">
        <v>12.614800000000001</v>
      </c>
      <c r="AD7722">
        <v>-1.1207150804749999</v>
      </c>
      <c r="AE7722">
        <v>0.73556999999999495</v>
      </c>
      <c r="AF7722">
        <v>-0.65381772327712595</v>
      </c>
      <c r="AG7722">
        <v>-1.1207150804749999</v>
      </c>
      <c r="AH7722">
        <v>12.5205467727945</v>
      </c>
      <c r="AI7722">
        <v>95.107995428775396</v>
      </c>
      <c r="AJ7722">
        <v>92.989246539312006</v>
      </c>
      <c r="AK7722">
        <v>12.5875959339586</v>
      </c>
      <c r="AL7722">
        <v>96.3646737591842</v>
      </c>
      <c r="AM7722">
        <v>89.900166787780194</v>
      </c>
      <c r="AN7722">
        <v>1.0000000515060601</v>
      </c>
    </row>
    <row r="7723" spans="1:40" x14ac:dyDescent="0.25">
      <c r="A7723" t="str">
        <f>"20190303155000745"</f>
        <v>20190303155000745</v>
      </c>
      <c r="B7723" t="str">
        <f>"1551599400738642"</f>
        <v>1551599400738642</v>
      </c>
      <c r="C7723" t="s">
        <v>40</v>
      </c>
      <c r="D7723">
        <v>4.947152</v>
      </c>
      <c r="E7723">
        <v>0.4787033</v>
      </c>
      <c r="F7723" t="s">
        <v>74</v>
      </c>
      <c r="G7723">
        <v>-225.9674</v>
      </c>
      <c r="H7723" s="1">
        <v>-2.04218E-6</v>
      </c>
      <c r="I7723">
        <v>-62.021189999999997</v>
      </c>
      <c r="J7723">
        <v>-238.52010000000001</v>
      </c>
      <c r="K7723">
        <v>1.120714</v>
      </c>
      <c r="L7723">
        <v>-62.770049999999998</v>
      </c>
      <c r="M7723">
        <v>0.99986620000000004</v>
      </c>
      <c r="N7723">
        <v>-1.519968E-2</v>
      </c>
      <c r="O7723">
        <v>6.0436409999999998E-3</v>
      </c>
      <c r="P7723">
        <v>0.9920061</v>
      </c>
      <c r="Q7723">
        <v>-0.12610869999999999</v>
      </c>
      <c r="R7723">
        <v>4.5194060000000001E-3</v>
      </c>
      <c r="S7723">
        <v>2.9898530000000001</v>
      </c>
      <c r="T7723">
        <v>-0.26390780000000003</v>
      </c>
      <c r="U7723">
        <v>0.17654420000000001</v>
      </c>
      <c r="V7723">
        <v>1.4606E-3</v>
      </c>
      <c r="W7723">
        <v>-0.111016</v>
      </c>
      <c r="X7723">
        <v>0.99381759999999997</v>
      </c>
      <c r="Y7723">
        <v>-5.2686730000000001E-2</v>
      </c>
      <c r="Z7723">
        <v>2.2801499999999999E-3</v>
      </c>
      <c r="AA7723">
        <v>0.99860850000000001</v>
      </c>
      <c r="AB7723">
        <v>28</v>
      </c>
      <c r="AC7723">
        <v>12.5527</v>
      </c>
      <c r="AD7723">
        <v>-1.12071604218</v>
      </c>
      <c r="AE7723">
        <v>0.74885999999999298</v>
      </c>
      <c r="AF7723">
        <v>-0.66767036571428195</v>
      </c>
      <c r="AG7723">
        <v>-1.12071604218</v>
      </c>
      <c r="AH7723">
        <v>12.4580452214272</v>
      </c>
      <c r="AI7723">
        <v>95.133119739327</v>
      </c>
      <c r="AJ7723">
        <v>93.067747026823696</v>
      </c>
      <c r="AK7723">
        <v>12.5261597827737</v>
      </c>
      <c r="AL7723">
        <v>96.373886474549195</v>
      </c>
      <c r="AM7723">
        <v>89.915793244853504</v>
      </c>
      <c r="AN7723">
        <v>1.0000000538390501</v>
      </c>
    </row>
    <row r="7724" spans="1:40" x14ac:dyDescent="0.25">
      <c r="A7724" t="str">
        <f>"20190303155000756"</f>
        <v>20190303155000756</v>
      </c>
      <c r="B7724" t="str">
        <f>"1551599400748403"</f>
        <v>1551599400748403</v>
      </c>
      <c r="C7724" t="s">
        <v>40</v>
      </c>
      <c r="D7724">
        <v>4.8155539999999997</v>
      </c>
      <c r="E7724">
        <v>0.47865990000000003</v>
      </c>
      <c r="F7724" t="s">
        <v>74</v>
      </c>
      <c r="G7724">
        <v>-225.87790000000001</v>
      </c>
      <c r="H7724" s="1">
        <v>-2.0011790000000001E-6</v>
      </c>
      <c r="I7724">
        <v>-62.009439999999998</v>
      </c>
      <c r="J7724">
        <v>-238.38050000000001</v>
      </c>
      <c r="K7724">
        <v>1.1207199999999999</v>
      </c>
      <c r="L7724">
        <v>-62.76923</v>
      </c>
      <c r="M7724">
        <v>0.99986649999999999</v>
      </c>
      <c r="N7724">
        <v>-1.5201910000000001E-2</v>
      </c>
      <c r="O7724">
        <v>6.0168640000000002E-3</v>
      </c>
      <c r="P7724">
        <v>0.99202369999999995</v>
      </c>
      <c r="Q7724">
        <v>-0.12596940000000001</v>
      </c>
      <c r="R7724">
        <v>4.5984040000000004E-3</v>
      </c>
      <c r="S7724">
        <v>2.989655</v>
      </c>
      <c r="T7724">
        <v>-0.26502949999999997</v>
      </c>
      <c r="U7724">
        <v>0.17987059999999999</v>
      </c>
      <c r="V7724">
        <v>1.355045E-3</v>
      </c>
      <c r="W7724">
        <v>-0.11087420000000001</v>
      </c>
      <c r="X7724">
        <v>0.99383350000000004</v>
      </c>
      <c r="Y7724">
        <v>-5.3817509999999999E-2</v>
      </c>
      <c r="Z7724">
        <v>2.3484249999999999E-3</v>
      </c>
      <c r="AA7724">
        <v>0.99854799999999999</v>
      </c>
      <c r="AB7724">
        <v>28</v>
      </c>
      <c r="AC7724">
        <v>12.502599999999999</v>
      </c>
      <c r="AD7724">
        <v>-1.120722001179</v>
      </c>
      <c r="AE7724">
        <v>0.75979000000000196</v>
      </c>
      <c r="AF7724">
        <v>-0.67910447507502902</v>
      </c>
      <c r="AG7724">
        <v>-1.120722001179</v>
      </c>
      <c r="AH7724">
        <v>12.407615236559501</v>
      </c>
      <c r="AI7724">
        <v>95.153582701093697</v>
      </c>
      <c r="AJ7724">
        <v>93.132836997708495</v>
      </c>
      <c r="AK7724">
        <v>12.476622802284901</v>
      </c>
      <c r="AL7724">
        <v>96.365711968968299</v>
      </c>
      <c r="AM7724">
        <v>89.921879961341205</v>
      </c>
      <c r="AN7724">
        <v>0.99999997504742</v>
      </c>
    </row>
    <row r="7725" spans="1:40" x14ac:dyDescent="0.25">
      <c r="A7725" t="str">
        <f>"20190303155000768"</f>
        <v>20190303155000768</v>
      </c>
      <c r="B7725" t="str">
        <f>"1551599400758163"</f>
        <v>1551599400758163</v>
      </c>
      <c r="C7725" t="s">
        <v>40</v>
      </c>
      <c r="D7725">
        <v>4.8875120000000001</v>
      </c>
      <c r="E7725">
        <v>0.47837570000000001</v>
      </c>
      <c r="F7725" t="s">
        <v>74</v>
      </c>
      <c r="G7725">
        <v>-225.53190000000001</v>
      </c>
      <c r="H7725" s="1">
        <v>-1.849377E-6</v>
      </c>
      <c r="I7725">
        <v>-61.994370000000004</v>
      </c>
      <c r="J7725">
        <v>-238.22749999999999</v>
      </c>
      <c r="K7725">
        <v>1.1207229999999999</v>
      </c>
      <c r="L7725">
        <v>-62.768340000000002</v>
      </c>
      <c r="M7725">
        <v>0.99986649999999999</v>
      </c>
      <c r="N7725">
        <v>-1.5203879999999999E-2</v>
      </c>
      <c r="O7725">
        <v>5.9876460000000001E-3</v>
      </c>
      <c r="P7725">
        <v>0.99198509999999995</v>
      </c>
      <c r="Q7725">
        <v>-0.12625349999999999</v>
      </c>
      <c r="R7725">
        <v>5.0881779999999996E-3</v>
      </c>
      <c r="S7725">
        <v>2.990173</v>
      </c>
      <c r="T7725">
        <v>-0.26081919999999997</v>
      </c>
      <c r="U7725">
        <v>0.1803284</v>
      </c>
      <c r="V7725">
        <v>8.3609999999999999E-4</v>
      </c>
      <c r="W7725">
        <v>-0.1111568</v>
      </c>
      <c r="X7725">
        <v>0.99380250000000003</v>
      </c>
      <c r="Y7725">
        <v>-5.399441E-2</v>
      </c>
      <c r="Z7725">
        <v>2.330061E-3</v>
      </c>
      <c r="AA7725">
        <v>0.9985385</v>
      </c>
      <c r="AB7725">
        <v>28</v>
      </c>
      <c r="AC7725">
        <v>12.695599999999899</v>
      </c>
      <c r="AD7725">
        <v>-1.1207248493769999</v>
      </c>
      <c r="AE7725">
        <v>0.77397000000000504</v>
      </c>
      <c r="AF7725">
        <v>-0.69255365383987399</v>
      </c>
      <c r="AG7725">
        <v>-1.1207248493769999</v>
      </c>
      <c r="AH7725">
        <v>12.6021650926658</v>
      </c>
      <c r="AI7725">
        <v>95.074392758770401</v>
      </c>
      <c r="AJ7725">
        <v>93.145533134122402</v>
      </c>
      <c r="AK7725">
        <v>12.6708413206962</v>
      </c>
      <c r="AL7725">
        <v>96.382004491062105</v>
      </c>
      <c r="AM7725">
        <v>89.951796267418899</v>
      </c>
      <c r="AN7725">
        <v>0.999999971127849</v>
      </c>
    </row>
    <row r="7726" spans="1:40" x14ac:dyDescent="0.25">
      <c r="A7726" t="str">
        <f>"20190303155000781"</f>
        <v>20190303155000781</v>
      </c>
      <c r="B7726" t="str">
        <f>"1551599400767922"</f>
        <v>1551599400767922</v>
      </c>
      <c r="C7726" t="s">
        <v>40</v>
      </c>
      <c r="D7726">
        <v>4.7976130000000001</v>
      </c>
      <c r="E7726">
        <v>0.47831210000000002</v>
      </c>
      <c r="F7726" t="s">
        <v>74</v>
      </c>
      <c r="G7726">
        <v>-225.49629999999999</v>
      </c>
      <c r="H7726" s="1">
        <v>-1.8318139999999999E-6</v>
      </c>
      <c r="I7726">
        <v>-61.984090000000002</v>
      </c>
      <c r="J7726">
        <v>-238.0779</v>
      </c>
      <c r="K7726">
        <v>1.120725</v>
      </c>
      <c r="L7726">
        <v>-62.76746</v>
      </c>
      <c r="M7726">
        <v>0.99986660000000005</v>
      </c>
      <c r="N7726">
        <v>-1.520556E-2</v>
      </c>
      <c r="O7726">
        <v>5.9590260000000001E-3</v>
      </c>
      <c r="P7726">
        <v>0.9919943</v>
      </c>
      <c r="Q7726">
        <v>-0.12617200000000001</v>
      </c>
      <c r="R7726">
        <v>5.2874150000000002E-3</v>
      </c>
      <c r="S7726">
        <v>2.9898069999999999</v>
      </c>
      <c r="T7726">
        <v>-0.26319189999999998</v>
      </c>
      <c r="U7726">
        <v>0.18417359999999999</v>
      </c>
      <c r="V7726">
        <v>6.0854599999999996E-4</v>
      </c>
      <c r="W7726">
        <v>-0.11107350000000001</v>
      </c>
      <c r="X7726">
        <v>0.99381200000000003</v>
      </c>
      <c r="Y7726">
        <v>-5.5300019999999998E-2</v>
      </c>
      <c r="Z7726">
        <v>2.4161949999999999E-3</v>
      </c>
      <c r="AA7726">
        <v>0.99846679999999999</v>
      </c>
      <c r="AB7726">
        <v>28</v>
      </c>
      <c r="AC7726">
        <v>12.5816</v>
      </c>
      <c r="AD7726">
        <v>-1.120726831814</v>
      </c>
      <c r="AE7726">
        <v>0.78336999999999701</v>
      </c>
      <c r="AF7726">
        <v>-0.70281825349757798</v>
      </c>
      <c r="AG7726">
        <v>-1.120726831814</v>
      </c>
      <c r="AH7726">
        <v>12.487345135745899</v>
      </c>
      <c r="AI7726">
        <v>95.120438527143705</v>
      </c>
      <c r="AJ7726">
        <v>93.221347706774694</v>
      </c>
      <c r="AK7726">
        <v>12.5572198622241</v>
      </c>
      <c r="AL7726">
        <v>96.377201879431993</v>
      </c>
      <c r="AM7726">
        <v>89.964915785800798</v>
      </c>
      <c r="AN7726">
        <v>0.99999999203724199</v>
      </c>
    </row>
    <row r="7727" spans="1:40" x14ac:dyDescent="0.25">
      <c r="A7727" t="str">
        <f>"20190303155000794"</f>
        <v>20190303155000794</v>
      </c>
      <c r="B7727" t="str">
        <f>"1551599400788418"</f>
        <v>1551599400788418</v>
      </c>
      <c r="C7727" t="s">
        <v>40</v>
      </c>
      <c r="D7727">
        <v>4.7844259999999998</v>
      </c>
      <c r="E7727">
        <v>0.47811409999999999</v>
      </c>
      <c r="F7727" t="s">
        <v>74</v>
      </c>
      <c r="G7727">
        <v>-225.14320000000001</v>
      </c>
      <c r="H7727" s="1">
        <v>-1.676456E-6</v>
      </c>
      <c r="I7727">
        <v>-61.966569999999997</v>
      </c>
      <c r="J7727">
        <v>-237.91890000000001</v>
      </c>
      <c r="K7727">
        <v>1.1207180000000001</v>
      </c>
      <c r="L7727">
        <v>-62.766570000000002</v>
      </c>
      <c r="M7727">
        <v>0.9998669</v>
      </c>
      <c r="N7727">
        <v>-1.5203929999999999E-2</v>
      </c>
      <c r="O7727">
        <v>5.9286440000000003E-3</v>
      </c>
      <c r="P7727">
        <v>0.99195719999999998</v>
      </c>
      <c r="Q7727">
        <v>-0.1264525</v>
      </c>
      <c r="R7727">
        <v>5.5467850000000003E-3</v>
      </c>
      <c r="S7727">
        <v>2.990265</v>
      </c>
      <c r="T7727">
        <v>-0.25909189999999999</v>
      </c>
      <c r="U7727">
        <v>0.18515010000000001</v>
      </c>
      <c r="V7727">
        <v>3.1884650000000002E-4</v>
      </c>
      <c r="W7727">
        <v>-0.1113561</v>
      </c>
      <c r="X7727">
        <v>0.99378049999999996</v>
      </c>
      <c r="Y7727">
        <v>-5.5650860000000003E-2</v>
      </c>
      <c r="Z7727">
        <v>2.4062630000000001E-3</v>
      </c>
      <c r="AA7727">
        <v>0.99844739999999998</v>
      </c>
      <c r="AB7727">
        <v>28</v>
      </c>
      <c r="AC7727">
        <v>12.775700000000001</v>
      </c>
      <c r="AD7727">
        <v>-1.1207196764559999</v>
      </c>
      <c r="AE7727">
        <v>0.79999999999999705</v>
      </c>
      <c r="AF7727">
        <v>-0.71872541580994498</v>
      </c>
      <c r="AG7727">
        <v>-1.1207196764559999</v>
      </c>
      <c r="AH7727">
        <v>12.6830008103073</v>
      </c>
      <c r="AI7727">
        <v>95.041716832480503</v>
      </c>
      <c r="AJ7727">
        <v>93.243391514839203</v>
      </c>
      <c r="AK7727">
        <v>12.7526894563767</v>
      </c>
      <c r="AL7727">
        <v>96.393494803153104</v>
      </c>
      <c r="AM7727">
        <v>89.981617109476701</v>
      </c>
      <c r="AN7727">
        <v>0.99999998242527499</v>
      </c>
    </row>
    <row r="7728" spans="1:40" x14ac:dyDescent="0.25">
      <c r="A7728" t="str">
        <f>"20190303155000805"</f>
        <v>20190303155000805</v>
      </c>
      <c r="B7728" t="str">
        <f>"1551599400798179"</f>
        <v>1551599400798179</v>
      </c>
      <c r="C7728" t="s">
        <v>40</v>
      </c>
      <c r="D7728">
        <v>4.7985379999999997</v>
      </c>
      <c r="E7728">
        <v>0.47805930000000002</v>
      </c>
      <c r="F7728" t="s">
        <v>74</v>
      </c>
      <c r="G7728">
        <v>-224.6739</v>
      </c>
      <c r="H7728" s="1">
        <v>-1.468632E-6</v>
      </c>
      <c r="I7728">
        <v>-61.937359999999998</v>
      </c>
      <c r="J7728">
        <v>-237.77119999999999</v>
      </c>
      <c r="K7728">
        <v>1.1207180000000001</v>
      </c>
      <c r="L7728">
        <v>-62.765689999999999</v>
      </c>
      <c r="M7728">
        <v>0.99986710000000001</v>
      </c>
      <c r="N7728">
        <v>-1.519909E-2</v>
      </c>
      <c r="O7728">
        <v>5.9004309999999898E-3</v>
      </c>
      <c r="P7728">
        <v>0.99192579999999997</v>
      </c>
      <c r="Q7728">
        <v>-0.12668670000000001</v>
      </c>
      <c r="R7728">
        <v>5.830773E-3</v>
      </c>
      <c r="S7728">
        <v>2.9910429999999999</v>
      </c>
      <c r="T7728">
        <v>-0.2530867</v>
      </c>
      <c r="U7728">
        <v>0.1872559</v>
      </c>
      <c r="V7728" s="1">
        <v>6.6505750000000003E-6</v>
      </c>
      <c r="W7728">
        <v>-0.1115954</v>
      </c>
      <c r="X7728">
        <v>0.99375369999999996</v>
      </c>
      <c r="Y7728">
        <v>-5.6369740000000002E-2</v>
      </c>
      <c r="Z7728">
        <v>2.3996249999999998E-3</v>
      </c>
      <c r="AA7728">
        <v>0.99840709999999999</v>
      </c>
      <c r="AB7728">
        <v>28</v>
      </c>
      <c r="AC7728">
        <v>13.097299999999899</v>
      </c>
      <c r="AD7728">
        <v>-1.1207194686319999</v>
      </c>
      <c r="AE7728">
        <v>0.82833000000000101</v>
      </c>
      <c r="AF7728">
        <v>-0.74558947222273098</v>
      </c>
      <c r="AG7728">
        <v>-1.1207194686319999</v>
      </c>
      <c r="AH7728">
        <v>13.007101324067699</v>
      </c>
      <c r="AI7728">
        <v>94.916532504472798</v>
      </c>
      <c r="AJ7728">
        <v>93.2807027804146</v>
      </c>
      <c r="AK7728">
        <v>13.076566852313499</v>
      </c>
      <c r="AL7728">
        <v>96.407291726287895</v>
      </c>
      <c r="AM7728">
        <v>89.9996165550087</v>
      </c>
      <c r="AN7728">
        <v>0.99999997480453895</v>
      </c>
    </row>
    <row r="7729" spans="1:40" x14ac:dyDescent="0.25">
      <c r="A7729" t="str">
        <f>"20190303155000817"</f>
        <v>20190303155000817</v>
      </c>
      <c r="B7729" t="str">
        <f>"1551599400807939"</f>
        <v>1551599400807939</v>
      </c>
      <c r="C7729" t="s">
        <v>40</v>
      </c>
      <c r="D7729">
        <v>4.7856949999999996</v>
      </c>
      <c r="E7729">
        <v>0.47799469999999999</v>
      </c>
      <c r="F7729" t="s">
        <v>74</v>
      </c>
      <c r="G7729">
        <v>-224.44069999999999</v>
      </c>
      <c r="H7729" s="1">
        <v>-1.3659079999999999E-6</v>
      </c>
      <c r="I7729">
        <v>-61.925449999999998</v>
      </c>
      <c r="J7729">
        <v>-237.61240000000001</v>
      </c>
      <c r="K7729">
        <v>1.120714</v>
      </c>
      <c r="L7729">
        <v>-62.764800000000001</v>
      </c>
      <c r="M7729">
        <v>0.99986739999999996</v>
      </c>
      <c r="N7729">
        <v>-1.5187640000000001E-2</v>
      </c>
      <c r="O7729">
        <v>5.8701250000000003E-3</v>
      </c>
      <c r="P7729">
        <v>0.99197420000000003</v>
      </c>
      <c r="Q7729">
        <v>-0.1262923</v>
      </c>
      <c r="R7729">
        <v>6.110964E-3</v>
      </c>
      <c r="S7729">
        <v>2.991196</v>
      </c>
      <c r="T7729">
        <v>-0.2514749</v>
      </c>
      <c r="U7729">
        <v>0.1885376</v>
      </c>
      <c r="V7729">
        <v>-3.0358289999999998E-4</v>
      </c>
      <c r="W7729">
        <v>-0.1112117</v>
      </c>
      <c r="X7729">
        <v>0.99379669999999998</v>
      </c>
      <c r="Y7729">
        <v>-5.6823619999999998E-2</v>
      </c>
      <c r="Z7729">
        <v>2.4117420000000001E-3</v>
      </c>
      <c r="AA7729">
        <v>0.99838130000000003</v>
      </c>
      <c r="AB7729">
        <v>28</v>
      </c>
      <c r="AC7729">
        <v>13.1717</v>
      </c>
      <c r="AD7729">
        <v>-1.120715365908</v>
      </c>
      <c r="AE7729">
        <v>0.83935000000000304</v>
      </c>
      <c r="AF7729">
        <v>-0.75655219951585895</v>
      </c>
      <c r="AG7729">
        <v>-1.120715365908</v>
      </c>
      <c r="AH7729">
        <v>13.0820763431731</v>
      </c>
      <c r="AI7729">
        <v>94.8883321384384</v>
      </c>
      <c r="AJ7729">
        <v>93.309797268632096</v>
      </c>
      <c r="AK7729">
        <v>13.151771576885899</v>
      </c>
      <c r="AL7729">
        <v>96.385169419857803</v>
      </c>
      <c r="AM7729">
        <v>90.017502592191406</v>
      </c>
      <c r="AN7729">
        <v>1.0000000076551701</v>
      </c>
    </row>
    <row r="7730" spans="1:40" x14ac:dyDescent="0.25">
      <c r="A7730" t="str">
        <f>"20190303155000830"</f>
        <v>20190303155000830</v>
      </c>
      <c r="B7730" t="str">
        <f>"1551599400818674"</f>
        <v>1551599400818674</v>
      </c>
      <c r="C7730" t="s">
        <v>40</v>
      </c>
      <c r="D7730">
        <v>4.7812609999999998</v>
      </c>
      <c r="E7730">
        <v>0.4779545</v>
      </c>
      <c r="F7730" t="s">
        <v>74</v>
      </c>
      <c r="G7730">
        <v>-224.07749999999999</v>
      </c>
      <c r="H7730" s="1">
        <v>-1.205808E-6</v>
      </c>
      <c r="I7730">
        <v>-61.905999999999999</v>
      </c>
      <c r="J7730">
        <v>-237.46170000000001</v>
      </c>
      <c r="K7730">
        <v>1.1207149999999999</v>
      </c>
      <c r="L7730">
        <v>-62.763950000000001</v>
      </c>
      <c r="M7730">
        <v>0.99986790000000003</v>
      </c>
      <c r="N7730">
        <v>-1.516751E-2</v>
      </c>
      <c r="O7730">
        <v>5.8411959999999999E-3</v>
      </c>
      <c r="P7730">
        <v>0.99197769999999996</v>
      </c>
      <c r="Q7730">
        <v>-0.1262433</v>
      </c>
      <c r="R7730">
        <v>6.5674399999999999E-3</v>
      </c>
      <c r="S7730">
        <v>2.9915769999999999</v>
      </c>
      <c r="T7730">
        <v>-0.24770919999999999</v>
      </c>
      <c r="U7730">
        <v>0.1898193</v>
      </c>
      <c r="V7730">
        <v>-7.8883770000000005E-4</v>
      </c>
      <c r="W7730">
        <v>-0.1111825</v>
      </c>
      <c r="X7730">
        <v>0.99379969999999995</v>
      </c>
      <c r="Y7730">
        <v>-5.7274760000000001E-2</v>
      </c>
      <c r="Z7730">
        <v>2.4065789999999998E-3</v>
      </c>
      <c r="AA7730">
        <v>0.99835560000000001</v>
      </c>
      <c r="AB7730">
        <v>28</v>
      </c>
      <c r="AC7730">
        <v>13.3842</v>
      </c>
      <c r="AD7730">
        <v>-1.12071620580799</v>
      </c>
      <c r="AE7730">
        <v>0.85794999999999499</v>
      </c>
      <c r="AF7730">
        <v>-0.77433962105394405</v>
      </c>
      <c r="AG7730">
        <v>-1.12071620580799</v>
      </c>
      <c r="AH7730">
        <v>13.296140213257701</v>
      </c>
      <c r="AI7730">
        <v>94.809894670787997</v>
      </c>
      <c r="AJ7730">
        <v>93.333022576350501</v>
      </c>
      <c r="AK7730">
        <v>13.3657379606703</v>
      </c>
      <c r="AL7730">
        <v>96.3834859460774</v>
      </c>
      <c r="AM7730">
        <v>90.045479045162296</v>
      </c>
      <c r="AN7730">
        <v>1.0000000071456201</v>
      </c>
    </row>
    <row r="7731" spans="1:40" x14ac:dyDescent="0.25">
      <c r="A7731" t="str">
        <f>"20190303155000843"</f>
        <v>20190303155000843</v>
      </c>
      <c r="B7731" t="str">
        <f>"1551599400838194"</f>
        <v>1551599400838194</v>
      </c>
      <c r="C7731" t="s">
        <v>40</v>
      </c>
      <c r="D7731">
        <v>4.7847530000000003</v>
      </c>
      <c r="E7731">
        <v>0.47774939999999999</v>
      </c>
      <c r="F7731" t="s">
        <v>74</v>
      </c>
      <c r="G7731">
        <v>-223.7595</v>
      </c>
      <c r="H7731" s="1">
        <v>-1.06511E-6</v>
      </c>
      <c r="I7731">
        <v>-61.886780000000002</v>
      </c>
      <c r="J7731">
        <v>-237.29929999999999</v>
      </c>
      <c r="K7731">
        <v>1.120711</v>
      </c>
      <c r="L7731">
        <v>-62.762999999999998</v>
      </c>
      <c r="M7731">
        <v>0.99986850000000005</v>
      </c>
      <c r="N7731">
        <v>-1.51396E-2</v>
      </c>
      <c r="O7731">
        <v>5.8101219999999896E-3</v>
      </c>
      <c r="P7731">
        <v>0.99191189999999996</v>
      </c>
      <c r="Q7731">
        <v>-0.1267433</v>
      </c>
      <c r="R7731">
        <v>6.8577999999999998E-3</v>
      </c>
      <c r="S7731">
        <v>2.9918520000000002</v>
      </c>
      <c r="T7731">
        <v>-0.2447069</v>
      </c>
      <c r="U7731">
        <v>0.19152830000000001</v>
      </c>
      <c r="V7731">
        <v>-1.1100629999999999E-3</v>
      </c>
      <c r="W7731">
        <v>-0.1117112</v>
      </c>
      <c r="X7731">
        <v>0.99374010000000002</v>
      </c>
      <c r="Y7731">
        <v>-5.7870390000000001E-2</v>
      </c>
      <c r="Z7731">
        <v>2.4135419999999999E-3</v>
      </c>
      <c r="AA7731">
        <v>0.99832120000000002</v>
      </c>
      <c r="AB7731">
        <v>28</v>
      </c>
      <c r="AC7731">
        <v>13.5397999999999</v>
      </c>
      <c r="AD7731">
        <v>-1.12071206511</v>
      </c>
      <c r="AE7731">
        <v>0.876220000000003</v>
      </c>
      <c r="AF7731">
        <v>-0.79212397067512896</v>
      </c>
      <c r="AG7731">
        <v>-1.12071206511</v>
      </c>
      <c r="AH7731">
        <v>13.452879602107901</v>
      </c>
      <c r="AI7731">
        <v>94.753917810102394</v>
      </c>
      <c r="AJ7731">
        <v>93.3697632005657</v>
      </c>
      <c r="AK7731">
        <v>13.5227003777579</v>
      </c>
      <c r="AL7731">
        <v>96.4139681279798</v>
      </c>
      <c r="AM7731">
        <v>90.064002547989304</v>
      </c>
      <c r="AN7731">
        <v>1.00000000539665</v>
      </c>
    </row>
    <row r="7732" spans="1:40" x14ac:dyDescent="0.25">
      <c r="A7732" t="str">
        <f>"20190303155000857"</f>
        <v>20190303155000857</v>
      </c>
      <c r="B7732" t="str">
        <f>"1551599400847955"</f>
        <v>1551599400847955</v>
      </c>
      <c r="C7732" t="s">
        <v>40</v>
      </c>
      <c r="D7732">
        <v>4.787833</v>
      </c>
      <c r="E7732">
        <v>0.477686</v>
      </c>
      <c r="F7732" t="s">
        <v>74</v>
      </c>
      <c r="G7732">
        <v>-223.42439999999999</v>
      </c>
      <c r="H7732" s="1">
        <v>-9.1630640000000005E-7</v>
      </c>
      <c r="I7732">
        <v>-61.864130000000003</v>
      </c>
      <c r="J7732">
        <v>-237.10339999999999</v>
      </c>
      <c r="K7732">
        <v>1.1207020000000001</v>
      </c>
      <c r="L7732">
        <v>-62.76193</v>
      </c>
      <c r="M7732">
        <v>0.99986969999999997</v>
      </c>
      <c r="N7732">
        <v>-1.508496E-2</v>
      </c>
      <c r="O7732">
        <v>5.7723979999999998E-3</v>
      </c>
      <c r="P7732">
        <v>0.99191359999999995</v>
      </c>
      <c r="Q7732">
        <v>-0.126691</v>
      </c>
      <c r="R7732">
        <v>7.5461950000000003E-3</v>
      </c>
      <c r="S7732">
        <v>2.9922330000000001</v>
      </c>
      <c r="T7732">
        <v>-0.24168979999999901</v>
      </c>
      <c r="U7732">
        <v>0.19384770000000001</v>
      </c>
      <c r="V7732">
        <v>-1.835529E-3</v>
      </c>
      <c r="W7732">
        <v>-0.11171300000000001</v>
      </c>
      <c r="X7732">
        <v>0.99373880000000003</v>
      </c>
      <c r="Y7732">
        <v>-5.8672349999999998E-2</v>
      </c>
      <c r="Z7732">
        <v>2.429007E-3</v>
      </c>
      <c r="AA7732">
        <v>0.99827429999999995</v>
      </c>
      <c r="AB7732">
        <v>28</v>
      </c>
      <c r="AC7732">
        <v>13.679</v>
      </c>
      <c r="AD7732">
        <v>-1.1207029163064</v>
      </c>
      <c r="AE7732">
        <v>0.89780000000000304</v>
      </c>
      <c r="AF7732">
        <v>-0.81337919360397304</v>
      </c>
      <c r="AG7732">
        <v>-1.1207029163064</v>
      </c>
      <c r="AH7732">
        <v>13.5931052572819</v>
      </c>
      <c r="AI7732">
        <v>94.704794827375594</v>
      </c>
      <c r="AJ7732">
        <v>93.424360488711898</v>
      </c>
      <c r="AK7732">
        <v>13.6634575153857</v>
      </c>
      <c r="AL7732">
        <v>96.414072053732099</v>
      </c>
      <c r="AM7732">
        <v>90.105830571646706</v>
      </c>
      <c r="AN7732">
        <v>0.99999998308057403</v>
      </c>
    </row>
    <row r="7733" spans="1:40" x14ac:dyDescent="0.25">
      <c r="A7733" t="str">
        <f>"20190303155000870"</f>
        <v>20190303155000870</v>
      </c>
      <c r="B7733" t="str">
        <f>"1551599400858690"</f>
        <v>1551599400858690</v>
      </c>
      <c r="C7733" t="s">
        <v>40</v>
      </c>
      <c r="D7733">
        <v>4.7881710000000002</v>
      </c>
      <c r="E7733">
        <v>0.47765980000000002</v>
      </c>
      <c r="F7733" t="s">
        <v>74</v>
      </c>
      <c r="G7733">
        <v>-223.0789</v>
      </c>
      <c r="H7733" s="1">
        <v>-7.6322019999999996E-7</v>
      </c>
      <c r="I7733">
        <v>-61.842140000000001</v>
      </c>
      <c r="J7733">
        <v>-236.9528</v>
      </c>
      <c r="K7733">
        <v>1.1206940000000001</v>
      </c>
      <c r="L7733">
        <v>-62.761110000000002</v>
      </c>
      <c r="M7733">
        <v>0.99987060000000005</v>
      </c>
      <c r="N7733">
        <v>-1.502886E-2</v>
      </c>
      <c r="O7733">
        <v>5.7433830000000003E-3</v>
      </c>
      <c r="P7733">
        <v>0.99187590000000003</v>
      </c>
      <c r="Q7733">
        <v>-0.12696640000000001</v>
      </c>
      <c r="R7733">
        <v>7.8616769999999992E-3</v>
      </c>
      <c r="S7733">
        <v>2.992432</v>
      </c>
      <c r="T7733">
        <v>-0.23912739999999999</v>
      </c>
      <c r="U7733">
        <v>0.1962585</v>
      </c>
      <c r="V7733">
        <v>-2.1799369999999998E-3</v>
      </c>
      <c r="W7733">
        <v>-0.11204450000000001</v>
      </c>
      <c r="X7733">
        <v>0.99370080000000005</v>
      </c>
      <c r="Y7733">
        <v>-5.9498990000000002E-2</v>
      </c>
      <c r="Z7733">
        <v>2.447842E-3</v>
      </c>
      <c r="AA7733">
        <v>0.99822540000000004</v>
      </c>
      <c r="AB7733">
        <v>28</v>
      </c>
      <c r="AC7733">
        <v>13.8738999999999</v>
      </c>
      <c r="AD7733">
        <v>-1.1206947632202</v>
      </c>
      <c r="AE7733">
        <v>0.91896999999999396</v>
      </c>
      <c r="AF7733">
        <v>-0.83384568117157798</v>
      </c>
      <c r="AG7733">
        <v>-1.1206947632202</v>
      </c>
      <c r="AH7733">
        <v>13.789367731064999</v>
      </c>
      <c r="AI7733">
        <v>94.637917604330497</v>
      </c>
      <c r="AJ7733">
        <v>93.460472849953305</v>
      </c>
      <c r="AK7733">
        <v>13.8599393142559</v>
      </c>
      <c r="AL7733">
        <v>96.433185486643296</v>
      </c>
      <c r="AM7733">
        <v>90.125692753130394</v>
      </c>
      <c r="AN7733">
        <v>1.0000000010131</v>
      </c>
    </row>
    <row r="7734" spans="1:40" x14ac:dyDescent="0.25">
      <c r="A7734" t="str">
        <f>"20190303155000882"</f>
        <v>20190303155000882</v>
      </c>
      <c r="B7734" t="str">
        <f>"1551599400878211"</f>
        <v>1551599400878211</v>
      </c>
      <c r="C7734" t="s">
        <v>40</v>
      </c>
      <c r="D7734">
        <v>4.7950559999999998</v>
      </c>
      <c r="E7734">
        <v>0.47753519999999999</v>
      </c>
      <c r="F7734" t="s">
        <v>74</v>
      </c>
      <c r="G7734">
        <v>-222.8466</v>
      </c>
      <c r="H7734" s="1">
        <v>-6.6112639999999996E-7</v>
      </c>
      <c r="I7734">
        <v>-61.83126</v>
      </c>
      <c r="J7734">
        <v>-236.8073</v>
      </c>
      <c r="K7734">
        <v>1.1206830000000001</v>
      </c>
      <c r="L7734">
        <v>-62.760280000000002</v>
      </c>
      <c r="M7734">
        <v>0.99987159999999997</v>
      </c>
      <c r="N7734">
        <v>-1.4969029999999999E-2</v>
      </c>
      <c r="O7734">
        <v>5.7156480000000003E-3</v>
      </c>
      <c r="P7734">
        <v>0.9918863</v>
      </c>
      <c r="Q7734">
        <v>-0.1268801</v>
      </c>
      <c r="R7734">
        <v>7.9312319999999999E-3</v>
      </c>
      <c r="S7734">
        <v>2.9925839999999999</v>
      </c>
      <c r="T7734">
        <v>-0.23775260000000001</v>
      </c>
      <c r="U7734">
        <v>0.19726560000000001</v>
      </c>
      <c r="V7734">
        <v>-2.2775540000000002E-3</v>
      </c>
      <c r="W7734">
        <v>-0.11201750000000001</v>
      </c>
      <c r="X7734">
        <v>0.99370360000000002</v>
      </c>
      <c r="Y7734">
        <v>-5.985882E-2</v>
      </c>
      <c r="Z7734">
        <v>2.4533670000000001E-3</v>
      </c>
      <c r="AA7734">
        <v>0.99820379999999997</v>
      </c>
      <c r="AB7734">
        <v>28</v>
      </c>
      <c r="AC7734">
        <v>13.960699999999999</v>
      </c>
      <c r="AD7734">
        <v>-1.1206836611263999</v>
      </c>
      <c r="AE7734">
        <v>0.92902000000000096</v>
      </c>
      <c r="AF7734">
        <v>-0.84378808102842895</v>
      </c>
      <c r="AG7734">
        <v>-1.1206836611263999</v>
      </c>
      <c r="AH7734">
        <v>13.8767556683627</v>
      </c>
      <c r="AI7734">
        <v>94.608698328852697</v>
      </c>
      <c r="AJ7734">
        <v>93.479634965249602</v>
      </c>
      <c r="AK7734">
        <v>13.947482140997201</v>
      </c>
      <c r="AL7734">
        <v>96.431628861050498</v>
      </c>
      <c r="AM7734">
        <v>90.131320851921899</v>
      </c>
      <c r="AN7734">
        <v>0.999999976105716</v>
      </c>
    </row>
    <row r="7735" spans="1:40" x14ac:dyDescent="0.25">
      <c r="A7735" t="str">
        <f>"20190303155000893"</f>
        <v>20190303155000893</v>
      </c>
      <c r="B7735" t="str">
        <f>"1551599400887971"</f>
        <v>1551599400887971</v>
      </c>
      <c r="C7735" t="s">
        <v>40</v>
      </c>
      <c r="D7735">
        <v>4.7995299999999999</v>
      </c>
      <c r="E7735">
        <v>0.47750359999999997</v>
      </c>
      <c r="F7735" t="s">
        <v>74</v>
      </c>
      <c r="G7735">
        <v>-222.48840000000001</v>
      </c>
      <c r="H7735" s="1">
        <v>-5.0307710000000004E-7</v>
      </c>
      <c r="I7735">
        <v>-61.811579999999999</v>
      </c>
      <c r="J7735">
        <v>-236.64580000000001</v>
      </c>
      <c r="K7735">
        <v>1.1206689999999999</v>
      </c>
      <c r="L7735">
        <v>-62.759369999999997</v>
      </c>
      <c r="M7735">
        <v>0.99987329999999996</v>
      </c>
      <c r="N7735">
        <v>-1.487841E-2</v>
      </c>
      <c r="O7735">
        <v>5.6845630000000001E-3</v>
      </c>
      <c r="P7735">
        <v>0.99188690000000002</v>
      </c>
      <c r="Q7735">
        <v>-0.1268484</v>
      </c>
      <c r="R7735">
        <v>8.3830789999999999E-3</v>
      </c>
      <c r="S7735">
        <v>2.9930270000000001</v>
      </c>
      <c r="T7735">
        <v>-0.2342516</v>
      </c>
      <c r="U7735">
        <v>0.19830320000000001</v>
      </c>
      <c r="V7735">
        <v>-2.760373E-3</v>
      </c>
      <c r="W7735">
        <v>-0.1120758</v>
      </c>
      <c r="X7735">
        <v>0.99369589999999997</v>
      </c>
      <c r="Y7735">
        <v>-6.0229199999999899E-2</v>
      </c>
      <c r="Z7735">
        <v>2.4408329999999999E-3</v>
      </c>
      <c r="AA7735">
        <v>0.9981816</v>
      </c>
      <c r="AB7735">
        <v>28</v>
      </c>
      <c r="AC7735">
        <v>14.1573999999999</v>
      </c>
      <c r="AD7735">
        <v>-1.1206695030770999</v>
      </c>
      <c r="AE7735">
        <v>0.94778999999999003</v>
      </c>
      <c r="AF7735">
        <v>-0.86191054764841701</v>
      </c>
      <c r="AG7735">
        <v>-1.1206695030770999</v>
      </c>
      <c r="AH7735">
        <v>14.074761083660899</v>
      </c>
      <c r="AI7735">
        <v>94.543960021221906</v>
      </c>
      <c r="AJ7735">
        <v>93.5043041629675</v>
      </c>
      <c r="AK7735">
        <v>14.145589047099101</v>
      </c>
      <c r="AL7735">
        <v>96.4349897456338</v>
      </c>
      <c r="AM7735">
        <v>90.159160680816001</v>
      </c>
      <c r="AN7735">
        <v>1.0000000731407701</v>
      </c>
    </row>
    <row r="7736" spans="1:40" x14ac:dyDescent="0.25">
      <c r="A7736" t="str">
        <f>"20190303155000907"</f>
        <v>20190303155000907</v>
      </c>
      <c r="B7736" t="str">
        <f>"1551599400898708"</f>
        <v>1551599400898708</v>
      </c>
      <c r="C7736" t="s">
        <v>40</v>
      </c>
      <c r="D7736">
        <v>4.8084389999999999</v>
      </c>
      <c r="E7736">
        <v>0.47745559999999998</v>
      </c>
      <c r="F7736" t="s">
        <v>74</v>
      </c>
      <c r="G7736">
        <v>-222.22489999999999</v>
      </c>
      <c r="H7736" s="1">
        <v>-3.8668909999999999E-7</v>
      </c>
      <c r="I7736">
        <v>-61.796439999999997</v>
      </c>
      <c r="J7736">
        <v>-236.4913</v>
      </c>
      <c r="K7736">
        <v>1.1206510000000001</v>
      </c>
      <c r="L7736">
        <v>-62.758540000000004</v>
      </c>
      <c r="M7736">
        <v>0.99987479999999995</v>
      </c>
      <c r="N7736">
        <v>-1.4781000000000001E-2</v>
      </c>
      <c r="O7736">
        <v>5.6553649999999999E-3</v>
      </c>
      <c r="P7736">
        <v>0.99190299999999998</v>
      </c>
      <c r="Q7736">
        <v>-0.12672429999999901</v>
      </c>
      <c r="R7736">
        <v>8.3558780000000006E-3</v>
      </c>
      <c r="S7736">
        <v>2.9930880000000002</v>
      </c>
      <c r="T7736">
        <v>-0.2325981</v>
      </c>
      <c r="U7736">
        <v>0.1998596</v>
      </c>
      <c r="V7736">
        <v>-2.7618040000000001E-3</v>
      </c>
      <c r="W7736">
        <v>-0.1120482</v>
      </c>
      <c r="X7736">
        <v>0.993699</v>
      </c>
      <c r="Y7736">
        <v>-6.0774670000000003E-2</v>
      </c>
      <c r="Z7736">
        <v>2.4508569999999999E-3</v>
      </c>
      <c r="AA7736">
        <v>0.99814849999999999</v>
      </c>
      <c r="AB7736">
        <v>28</v>
      </c>
      <c r="AC7736">
        <v>14.266400000000001</v>
      </c>
      <c r="AD7736">
        <v>-1.1206513866890999</v>
      </c>
      <c r="AE7736">
        <v>0.96209999999999896</v>
      </c>
      <c r="AF7736">
        <v>-0.87601323250554597</v>
      </c>
      <c r="AG7736">
        <v>-1.1206513866890999</v>
      </c>
      <c r="AH7736">
        <v>14.184485933577999</v>
      </c>
      <c r="AI7736">
        <v>94.5087396957409</v>
      </c>
      <c r="AJ7736">
        <v>93.534015566751705</v>
      </c>
      <c r="AK7736">
        <v>14.2556269561842</v>
      </c>
      <c r="AL7736">
        <v>96.433398413335098</v>
      </c>
      <c r="AM7736">
        <v>90.159242693811706</v>
      </c>
      <c r="AN7736">
        <v>1.00000006464278</v>
      </c>
    </row>
    <row r="7737" spans="1:40" x14ac:dyDescent="0.25">
      <c r="A7737" t="str">
        <f>"20190303155000919"</f>
        <v>20190303155000919</v>
      </c>
      <c r="B7737" t="str">
        <f>"1551599400908467"</f>
        <v>1551599400908467</v>
      </c>
      <c r="C7737" t="s">
        <v>40</v>
      </c>
      <c r="D7737">
        <v>4.8004819999999997</v>
      </c>
      <c r="E7737">
        <v>0.47741860000000003</v>
      </c>
      <c r="F7737" t="s">
        <v>74</v>
      </c>
      <c r="G7737">
        <v>-221.98240000000001</v>
      </c>
      <c r="H7737" s="1">
        <v>-2.8078850000000003E-7</v>
      </c>
      <c r="I7737">
        <v>-61.788159999999998</v>
      </c>
      <c r="J7737">
        <v>-236.33709999999999</v>
      </c>
      <c r="K7737">
        <v>1.1206309999999999</v>
      </c>
      <c r="L7737">
        <v>-62.757689999999997</v>
      </c>
      <c r="M7737">
        <v>0.99987649999999995</v>
      </c>
      <c r="N7737">
        <v>-1.4672350000000001E-2</v>
      </c>
      <c r="O7737">
        <v>5.6267130000000002E-3</v>
      </c>
      <c r="P7737">
        <v>0.9919116</v>
      </c>
      <c r="Q7737">
        <v>-0.126642899999999</v>
      </c>
      <c r="R7737">
        <v>8.5437589999999997E-3</v>
      </c>
      <c r="S7737">
        <v>2.993271</v>
      </c>
      <c r="T7737">
        <v>-0.23119619999999999</v>
      </c>
      <c r="U7737">
        <v>0.20019529999999999</v>
      </c>
      <c r="V7737">
        <v>-2.9783359999999998E-3</v>
      </c>
      <c r="W7737">
        <v>-0.1120747</v>
      </c>
      <c r="X7737">
        <v>0.99369529999999995</v>
      </c>
      <c r="Y7737">
        <v>-6.0912679999999997E-2</v>
      </c>
      <c r="Z7737">
        <v>2.443401E-3</v>
      </c>
      <c r="AA7737">
        <v>0.99814009999999997</v>
      </c>
      <c r="AB7737">
        <v>28</v>
      </c>
      <c r="AC7737">
        <v>14.3546999999999</v>
      </c>
      <c r="AD7737">
        <v>-1.1206312807884999</v>
      </c>
      <c r="AE7737">
        <v>0.969530000000006</v>
      </c>
      <c r="AF7737">
        <v>-0.88337689239739803</v>
      </c>
      <c r="AG7737">
        <v>-1.1206312807884999</v>
      </c>
      <c r="AH7737">
        <v>14.273334919366301</v>
      </c>
      <c r="AI7737">
        <v>94.480672042351301</v>
      </c>
      <c r="AJ7737">
        <v>93.541519402198105</v>
      </c>
      <c r="AK7737">
        <v>14.344485313942201</v>
      </c>
      <c r="AL7737">
        <v>96.434926928687801</v>
      </c>
      <c r="AM7737">
        <v>90.171728266985298</v>
      </c>
      <c r="AN7737">
        <v>0.99999997905375404</v>
      </c>
    </row>
    <row r="7738" spans="1:40" x14ac:dyDescent="0.25">
      <c r="A7738" t="str">
        <f>"20190303155000930"</f>
        <v>20190303155000930</v>
      </c>
      <c r="B7738" t="str">
        <f>"1551599400918228"</f>
        <v>1551599400918228</v>
      </c>
      <c r="C7738" t="s">
        <v>40</v>
      </c>
      <c r="D7738">
        <v>4.8150750000000002</v>
      </c>
      <c r="E7738">
        <v>0.47735840000000002</v>
      </c>
      <c r="F7738" t="s">
        <v>74</v>
      </c>
      <c r="G7738">
        <v>-221.73910000000001</v>
      </c>
      <c r="H7738" s="1">
        <v>-1.739087E-7</v>
      </c>
      <c r="I7738">
        <v>-61.776780000000002</v>
      </c>
      <c r="J7738">
        <v>-236.1909</v>
      </c>
      <c r="K7738">
        <v>1.120611</v>
      </c>
      <c r="L7738">
        <v>-62.756900000000002</v>
      </c>
      <c r="M7738">
        <v>0.99987839999999995</v>
      </c>
      <c r="N7738">
        <v>-1.4555749999999999E-2</v>
      </c>
      <c r="O7738">
        <v>5.5988409999999898E-3</v>
      </c>
      <c r="P7738">
        <v>0.9919424</v>
      </c>
      <c r="Q7738">
        <v>-0.12640029999999999</v>
      </c>
      <c r="R7738">
        <v>8.5637370000000001E-3</v>
      </c>
      <c r="S7738">
        <v>2.9933930000000002</v>
      </c>
      <c r="T7738">
        <v>-0.22979150000000001</v>
      </c>
      <c r="U7738">
        <v>0.2011414</v>
      </c>
      <c r="V7738">
        <v>-3.0257629999999999E-3</v>
      </c>
      <c r="W7738">
        <v>-0.11194750000000001</v>
      </c>
      <c r="X7738">
        <v>0.99370950000000002</v>
      </c>
      <c r="Y7738">
        <v>-6.1253149999999999E-2</v>
      </c>
      <c r="Z7738">
        <v>2.444744E-3</v>
      </c>
      <c r="AA7738">
        <v>0.99811930000000004</v>
      </c>
      <c r="AB7738">
        <v>28</v>
      </c>
      <c r="AC7738">
        <v>14.451799999999899</v>
      </c>
      <c r="AD7738">
        <v>-1.1206111739086999</v>
      </c>
      <c r="AE7738">
        <v>0.98011999999999899</v>
      </c>
      <c r="AF7738">
        <v>-0.89383303261284297</v>
      </c>
      <c r="AG7738">
        <v>-1.1206111739086999</v>
      </c>
      <c r="AH7738">
        <v>14.371049069576999</v>
      </c>
      <c r="AI7738">
        <v>94.450165510294696</v>
      </c>
      <c r="AJ7738">
        <v>93.559028642147595</v>
      </c>
      <c r="AK7738">
        <v>14.4423598574979</v>
      </c>
      <c r="AL7738">
        <v>96.427592717888601</v>
      </c>
      <c r="AM7738">
        <v>90.174460356803394</v>
      </c>
      <c r="AN7738">
        <v>0.99999998419411595</v>
      </c>
    </row>
    <row r="7739" spans="1:40" x14ac:dyDescent="0.25">
      <c r="A7739" t="str">
        <f>"20190303155000942"</f>
        <v>20190303155000942</v>
      </c>
      <c r="B7739" t="str">
        <f>"1551599400938725"</f>
        <v>1551599400938725</v>
      </c>
      <c r="C7739" t="s">
        <v>40</v>
      </c>
      <c r="D7739">
        <v>4.8101969999999996</v>
      </c>
      <c r="E7739">
        <v>0.47727150000000002</v>
      </c>
      <c r="F7739" t="s">
        <v>74</v>
      </c>
      <c r="G7739">
        <v>-221.47649999999999</v>
      </c>
      <c r="H7739" s="1">
        <v>-5.8617960000000003E-8</v>
      </c>
      <c r="I7739">
        <v>-61.765079999999998</v>
      </c>
      <c r="J7739">
        <v>-236.04130000000001</v>
      </c>
      <c r="K7739">
        <v>1.1205909999999999</v>
      </c>
      <c r="L7739">
        <v>-62.756100000000004</v>
      </c>
      <c r="M7739">
        <v>0.9998804</v>
      </c>
      <c r="N7739">
        <v>-1.443231E-2</v>
      </c>
      <c r="O7739">
        <v>5.5698259999999999E-3</v>
      </c>
      <c r="P7739">
        <v>0.99196139999999999</v>
      </c>
      <c r="Q7739">
        <v>-0.12624340000000001</v>
      </c>
      <c r="R7739">
        <v>8.6765290000000005E-3</v>
      </c>
      <c r="S7739">
        <v>2.9935909999999999</v>
      </c>
      <c r="T7739">
        <v>-0.22798399999999999</v>
      </c>
      <c r="U7739">
        <v>0.20178219999999999</v>
      </c>
      <c r="V7739">
        <v>-3.1679270000000001E-3</v>
      </c>
      <c r="W7739">
        <v>-0.111913</v>
      </c>
      <c r="X7739">
        <v>0.99371299999999996</v>
      </c>
      <c r="Y7739">
        <v>-6.1492779999999997E-2</v>
      </c>
      <c r="Z7739">
        <v>2.437706E-3</v>
      </c>
      <c r="AA7739">
        <v>0.99810460000000001</v>
      </c>
      <c r="AB7739">
        <v>28</v>
      </c>
      <c r="AC7739">
        <v>14.5648</v>
      </c>
      <c r="AD7739">
        <v>-1.1205910586179599</v>
      </c>
      <c r="AE7739">
        <v>0.99101999999999801</v>
      </c>
      <c r="AF7739">
        <v>-0.90454300824358702</v>
      </c>
      <c r="AG7739">
        <v>-1.1205910586179599</v>
      </c>
      <c r="AH7739">
        <v>14.4847470430156</v>
      </c>
      <c r="AI7739">
        <v>94.415225105774297</v>
      </c>
      <c r="AJ7739">
        <v>93.573364705780705</v>
      </c>
      <c r="AK7739">
        <v>14.556160870042801</v>
      </c>
      <c r="AL7739">
        <v>96.425603147852996</v>
      </c>
      <c r="AM7739">
        <v>90.182656594015199</v>
      </c>
      <c r="AN7739">
        <v>1.00000004084973</v>
      </c>
    </row>
    <row r="7740" spans="1:40" x14ac:dyDescent="0.25">
      <c r="A7740" t="str">
        <f>"20190303155000957"</f>
        <v>20190303155000957</v>
      </c>
      <c r="B7740" t="str">
        <f>"1551599400948483"</f>
        <v>1551599400948483</v>
      </c>
      <c r="C7740" t="s">
        <v>40</v>
      </c>
      <c r="D7740">
        <v>4.841996</v>
      </c>
      <c r="E7740">
        <v>0.47724929999999899</v>
      </c>
      <c r="F7740" t="s">
        <v>74</v>
      </c>
      <c r="G7740">
        <v>-221.15270000000001</v>
      </c>
      <c r="H7740" s="1">
        <v>8.4149349999999994E-8</v>
      </c>
      <c r="I7740">
        <v>-61.747630000000001</v>
      </c>
      <c r="J7740">
        <v>-235.84690000000001</v>
      </c>
      <c r="K7740">
        <v>1.1205620000000001</v>
      </c>
      <c r="L7740">
        <v>-62.755070000000003</v>
      </c>
      <c r="M7740">
        <v>0.99988310000000002</v>
      </c>
      <c r="N7740">
        <v>-1.4259869999999999E-2</v>
      </c>
      <c r="O7740">
        <v>5.5315819999999898E-3</v>
      </c>
      <c r="P7740">
        <v>0.99203490000000005</v>
      </c>
      <c r="Q7740">
        <v>-0.125669</v>
      </c>
      <c r="R7740">
        <v>8.6059180000000006E-3</v>
      </c>
      <c r="S7740">
        <v>2.9938660000000001</v>
      </c>
      <c r="T7740">
        <v>-0.22533420000000001</v>
      </c>
      <c r="U7740">
        <v>0.20278930000000001</v>
      </c>
      <c r="V7740">
        <v>-3.1339530000000001E-3</v>
      </c>
      <c r="W7740">
        <v>-0.111509</v>
      </c>
      <c r="X7740">
        <v>0.99375849999999999</v>
      </c>
      <c r="Y7740">
        <v>-6.1862399999999998E-2</v>
      </c>
      <c r="Z7740">
        <v>2.4279029999999999E-3</v>
      </c>
      <c r="AA7740">
        <v>0.99808169999999996</v>
      </c>
      <c r="AB7740">
        <v>28</v>
      </c>
      <c r="AC7740">
        <v>14.694199999999899</v>
      </c>
      <c r="AD7740">
        <v>-1.1205619158506499</v>
      </c>
      <c r="AE7740">
        <v>1.0074399999999799</v>
      </c>
      <c r="AF7740">
        <v>-0.92080435680348605</v>
      </c>
      <c r="AG7740">
        <v>-1.1205619158506499</v>
      </c>
      <c r="AH7740">
        <v>14.614954233586101</v>
      </c>
      <c r="AI7740">
        <v>94.375777702931103</v>
      </c>
      <c r="AJ7740">
        <v>93.605112942169399</v>
      </c>
      <c r="AK7740">
        <v>14.686743237375</v>
      </c>
      <c r="AL7740">
        <v>96.402310004785903</v>
      </c>
      <c r="AM7740">
        <v>90.180689458074198</v>
      </c>
      <c r="AN7740">
        <v>1.00000001753232</v>
      </c>
    </row>
    <row r="7741" spans="1:40" x14ac:dyDescent="0.25">
      <c r="A7741" t="str">
        <f>"20190303155000973"</f>
        <v>20190303155000973</v>
      </c>
      <c r="B7741" t="str">
        <f>"1551599400968979"</f>
        <v>1551599400968979</v>
      </c>
      <c r="C7741" t="s">
        <v>40</v>
      </c>
      <c r="D7741">
        <v>4.8594210000000002</v>
      </c>
      <c r="E7741">
        <v>0.4771378</v>
      </c>
      <c r="F7741" t="s">
        <v>74</v>
      </c>
      <c r="G7741">
        <v>-220.80070000000001</v>
      </c>
      <c r="H7741" s="1">
        <v>2.3759209999999999E-7</v>
      </c>
      <c r="I7741">
        <v>-61.736759999999997</v>
      </c>
      <c r="J7741">
        <v>-235.6593</v>
      </c>
      <c r="K7741">
        <v>1.1205369999999999</v>
      </c>
      <c r="L7741">
        <v>-62.754060000000003</v>
      </c>
      <c r="M7741">
        <v>0.99988569999999999</v>
      </c>
      <c r="N7741">
        <v>-1.4088359999999999E-2</v>
      </c>
      <c r="O7741">
        <v>5.4939790000000004E-3</v>
      </c>
      <c r="P7741">
        <v>0.99207809999999996</v>
      </c>
      <c r="Q7741">
        <v>-0.12531829999999999</v>
      </c>
      <c r="R7741">
        <v>8.7645580000000004E-3</v>
      </c>
      <c r="S7741">
        <v>2.9940950000000002</v>
      </c>
      <c r="T7741">
        <v>-0.2229836</v>
      </c>
      <c r="U7741">
        <v>0.2026367</v>
      </c>
      <c r="V7741">
        <v>-3.3302000000000002E-3</v>
      </c>
      <c r="W7741">
        <v>-0.1113282</v>
      </c>
      <c r="X7741">
        <v>0.9937781</v>
      </c>
      <c r="Y7741">
        <v>-6.1848319999999998E-2</v>
      </c>
      <c r="Z7741">
        <v>2.403287E-3</v>
      </c>
      <c r="AA7741">
        <v>0.99808260000000004</v>
      </c>
      <c r="AB7741">
        <v>28</v>
      </c>
      <c r="AC7741">
        <v>14.8585999999999</v>
      </c>
      <c r="AD7741">
        <v>-1.1205367624078999</v>
      </c>
      <c r="AE7741">
        <v>1.0172999999999901</v>
      </c>
      <c r="AF7741">
        <v>-0.93037717914865403</v>
      </c>
      <c r="AG7741">
        <v>-1.1205367624078999</v>
      </c>
      <c r="AH7741">
        <v>14.780299354881601</v>
      </c>
      <c r="AI7741">
        <v>94.326932144074704</v>
      </c>
      <c r="AJ7741">
        <v>93.601851692332502</v>
      </c>
      <c r="AK7741">
        <v>14.8518838317333</v>
      </c>
      <c r="AL7741">
        <v>96.391886231331597</v>
      </c>
      <c r="AM7741">
        <v>90.192000297367002</v>
      </c>
      <c r="AN7741">
        <v>0.99999998519344402</v>
      </c>
    </row>
    <row r="7742" spans="1:40" x14ac:dyDescent="0.25">
      <c r="A7742" t="str">
        <f>"20190303155000987"</f>
        <v>20190303155000987</v>
      </c>
      <c r="B7742" t="str">
        <f>"1551599400978739"</f>
        <v>1551599400978739</v>
      </c>
      <c r="C7742" t="s">
        <v>40</v>
      </c>
      <c r="D7742">
        <v>4.8826910000000003</v>
      </c>
      <c r="E7742">
        <v>0.47719060000000002</v>
      </c>
      <c r="F7742" t="s">
        <v>74</v>
      </c>
      <c r="G7742">
        <v>-220.43350000000001</v>
      </c>
      <c r="H7742" s="1">
        <v>3.9955959999999999E-7</v>
      </c>
      <c r="I7742">
        <v>-61.716700000000003</v>
      </c>
      <c r="J7742">
        <v>-235.4804</v>
      </c>
      <c r="K7742">
        <v>1.1205149999999999</v>
      </c>
      <c r="L7742">
        <v>-62.75311</v>
      </c>
      <c r="M7742">
        <v>0.9998882</v>
      </c>
      <c r="N7742">
        <v>-1.392259E-2</v>
      </c>
      <c r="O7742">
        <v>5.4580459999999898E-3</v>
      </c>
      <c r="P7742">
        <v>0.99209510000000001</v>
      </c>
      <c r="Q7742">
        <v>-0.12517899999999901</v>
      </c>
      <c r="R7742">
        <v>8.8221710000000002E-3</v>
      </c>
      <c r="S7742">
        <v>2.9943390000000001</v>
      </c>
      <c r="T7742">
        <v>-0.2203677</v>
      </c>
      <c r="U7742">
        <v>0.20401</v>
      </c>
      <c r="V7742">
        <v>-3.4225950000000001E-3</v>
      </c>
      <c r="W7742">
        <v>-0.11135340000000001</v>
      </c>
      <c r="X7742">
        <v>0.99377499999999996</v>
      </c>
      <c r="Y7742">
        <v>-6.2337259999999999E-2</v>
      </c>
      <c r="Z7742">
        <v>2.3984430000000001E-3</v>
      </c>
      <c r="AA7742">
        <v>0.99805219999999994</v>
      </c>
      <c r="AB7742">
        <v>28</v>
      </c>
      <c r="AC7742">
        <v>15.0468999999999</v>
      </c>
      <c r="AD7742">
        <v>-1.1205146004404001</v>
      </c>
      <c r="AE7742">
        <v>1.0364099999999901</v>
      </c>
      <c r="AF7742">
        <v>-0.949021973693013</v>
      </c>
      <c r="AG7742">
        <v>-1.1205146004404001</v>
      </c>
      <c r="AH7742">
        <v>14.9697105549374</v>
      </c>
      <c r="AI7742">
        <v>94.272183194863402</v>
      </c>
      <c r="AJ7742">
        <v>93.627477172001207</v>
      </c>
      <c r="AK7742">
        <v>15.041556760354201</v>
      </c>
      <c r="AL7742">
        <v>96.393338880822</v>
      </c>
      <c r="AM7742">
        <v>90.197327838946194</v>
      </c>
      <c r="AN7742">
        <v>1.0000000222365399</v>
      </c>
    </row>
    <row r="7743" spans="1:40" x14ac:dyDescent="0.25">
      <c r="A7743" t="str">
        <f>"20190303155001001"</f>
        <v>20190303155001001</v>
      </c>
      <c r="B7743" t="str">
        <f>"1551599400998259"</f>
        <v>1551599400998259</v>
      </c>
      <c r="C7743" t="s">
        <v>40</v>
      </c>
      <c r="D7743">
        <v>4.9402689999999998</v>
      </c>
      <c r="E7743">
        <v>0.49356430000000001</v>
      </c>
      <c r="F7743" t="s">
        <v>74</v>
      </c>
      <c r="G7743">
        <v>-220.15629999999999</v>
      </c>
      <c r="H7743" s="1">
        <v>5.1992730000000002E-7</v>
      </c>
      <c r="I7743">
        <v>-61.710189999999997</v>
      </c>
      <c r="J7743">
        <v>-235.30459999999999</v>
      </c>
      <c r="K7743">
        <v>1.1204940000000001</v>
      </c>
      <c r="L7743">
        <v>-62.752200000000002</v>
      </c>
      <c r="M7743">
        <v>0.99989070000000002</v>
      </c>
      <c r="N7743">
        <v>-1.3758319999999999E-2</v>
      </c>
      <c r="O7743">
        <v>5.4225619999999997E-3</v>
      </c>
      <c r="P7743">
        <v>0.99214139999999995</v>
      </c>
      <c r="Q7743">
        <v>-0.1247928</v>
      </c>
      <c r="R7743">
        <v>9.0803310000000005E-3</v>
      </c>
      <c r="S7743">
        <v>2.9944609999999998</v>
      </c>
      <c r="T7743">
        <v>-0.2189585</v>
      </c>
      <c r="U7743">
        <v>0.20379639999999999</v>
      </c>
      <c r="V7743">
        <v>-3.7155389999999999E-3</v>
      </c>
      <c r="W7743">
        <v>-0.1111298</v>
      </c>
      <c r="X7743">
        <v>0.99379899999999999</v>
      </c>
      <c r="Y7743">
        <v>-6.2301750000000003E-2</v>
      </c>
      <c r="Z7743">
        <v>2.3808560000000002E-3</v>
      </c>
      <c r="AA7743">
        <v>0.99805449999999996</v>
      </c>
      <c r="AB7743">
        <v>28</v>
      </c>
      <c r="AC7743">
        <v>15.148300000000001</v>
      </c>
      <c r="AD7743">
        <v>-1.1204934800727</v>
      </c>
      <c r="AE7743">
        <v>1.0420099999999901</v>
      </c>
      <c r="AF7743">
        <v>-0.95464575070728697</v>
      </c>
      <c r="AG7743">
        <v>-1.1204934800727</v>
      </c>
      <c r="AH7743">
        <v>15.0716548772103</v>
      </c>
      <c r="AI7743">
        <v>94.243327321562006</v>
      </c>
      <c r="AJ7743">
        <v>93.624300041135797</v>
      </c>
      <c r="AK7743">
        <v>15.1433693373029</v>
      </c>
      <c r="AL7743">
        <v>96.380447387147399</v>
      </c>
      <c r="AM7743">
        <v>90.214212040282106</v>
      </c>
      <c r="AN7743">
        <v>1.0000000450395401</v>
      </c>
    </row>
    <row r="7744" spans="1:40" x14ac:dyDescent="0.25">
      <c r="A7744" t="str">
        <f>"20190303155001013"</f>
        <v>20190303155001013</v>
      </c>
      <c r="B7744" t="str">
        <f>"1551599401008018"</f>
        <v>1551599401008018</v>
      </c>
      <c r="C7744" t="s">
        <v>40</v>
      </c>
      <c r="D7744">
        <v>4.9159499999999996</v>
      </c>
      <c r="E7744">
        <v>0.49403010000000003</v>
      </c>
      <c r="F7744" t="s">
        <v>73</v>
      </c>
      <c r="G7744">
        <v>-212.87629999999999</v>
      </c>
      <c r="H7744" s="1">
        <v>-6.9007439999999996E-7</v>
      </c>
      <c r="I7744">
        <v>-62.214449999999999</v>
      </c>
      <c r="J7744">
        <v>-235.13810000000001</v>
      </c>
      <c r="K7744">
        <v>1.1204719999999999</v>
      </c>
      <c r="L7744">
        <v>-62.751309999999997</v>
      </c>
      <c r="M7744">
        <v>0.99989300000000003</v>
      </c>
      <c r="N7744">
        <v>-1.360331E-2</v>
      </c>
      <c r="O7744">
        <v>5.3894950000000002E-3</v>
      </c>
      <c r="P7744">
        <v>0.99216300000000002</v>
      </c>
      <c r="Q7744">
        <v>-0.1245701</v>
      </c>
      <c r="R7744">
        <v>9.7342190000000006E-3</v>
      </c>
      <c r="S7744">
        <v>3.0042110000000002</v>
      </c>
      <c r="T7744">
        <v>-0.1500871</v>
      </c>
      <c r="U7744">
        <v>7.2021479999999999E-2</v>
      </c>
      <c r="V7744">
        <v>-4.401276E-3</v>
      </c>
      <c r="W7744">
        <v>-0.1110608</v>
      </c>
      <c r="X7744">
        <v>0.99380389999999996</v>
      </c>
      <c r="Y7744">
        <v>-1.8551950000000001E-2</v>
      </c>
      <c r="Z7744">
        <v>3.93605E-4</v>
      </c>
      <c r="AA7744">
        <v>0.99982780000000004</v>
      </c>
      <c r="AB7744">
        <v>28</v>
      </c>
      <c r="AC7744">
        <v>22.261800000000001</v>
      </c>
      <c r="AD7744">
        <v>-1.12047269007439</v>
      </c>
      <c r="AE7744">
        <v>0.53685999999999701</v>
      </c>
      <c r="AF7744">
        <v>-0.41580850131136599</v>
      </c>
      <c r="AG7744">
        <v>-1.12047269007439</v>
      </c>
      <c r="AH7744">
        <v>22.208143702680001</v>
      </c>
      <c r="AI7744">
        <v>92.887803051648007</v>
      </c>
      <c r="AJ7744">
        <v>91.072637551063906</v>
      </c>
      <c r="AK7744">
        <v>22.240278830937601</v>
      </c>
      <c r="AL7744">
        <v>96.376469436456006</v>
      </c>
      <c r="AM7744">
        <v>90.253745120756506</v>
      </c>
      <c r="AN7744">
        <v>1.00000003209113</v>
      </c>
    </row>
    <row r="7745" spans="1:40" x14ac:dyDescent="0.25">
      <c r="A7745" t="str">
        <f>"20190303155001026"</f>
        <v>20190303155001026</v>
      </c>
      <c r="B7745" t="str">
        <f>"1551599401018754"</f>
        <v>1551599401018754</v>
      </c>
      <c r="C7745" t="s">
        <v>40</v>
      </c>
      <c r="D7745">
        <v>4.958933</v>
      </c>
      <c r="E7745">
        <v>0.49447760000000002</v>
      </c>
      <c r="F7745" t="s">
        <v>73</v>
      </c>
      <c r="G7745">
        <v>-212.52549999999999</v>
      </c>
      <c r="H7745" s="1">
        <v>-5.4144319999999897E-7</v>
      </c>
      <c r="I7745">
        <v>-62.221339999999998</v>
      </c>
      <c r="J7745">
        <v>-234.98779999999999</v>
      </c>
      <c r="K7745">
        <v>1.120457</v>
      </c>
      <c r="L7745">
        <v>-62.750520000000002</v>
      </c>
      <c r="M7745">
        <v>0.99989519999999998</v>
      </c>
      <c r="N7745">
        <v>-1.346558E-2</v>
      </c>
      <c r="O7745">
        <v>5.3598689999999997E-3</v>
      </c>
      <c r="P7745">
        <v>0.99211450000000001</v>
      </c>
      <c r="Q7745">
        <v>-0.1249344</v>
      </c>
      <c r="R7745">
        <v>1.003505E-2</v>
      </c>
      <c r="S7745">
        <v>3.0043030000000002</v>
      </c>
      <c r="T7745">
        <v>-0.14886569999999999</v>
      </c>
      <c r="U7745">
        <v>7.0404049999999996E-2</v>
      </c>
      <c r="V7745">
        <v>-4.7327280000000003E-3</v>
      </c>
      <c r="W7745">
        <v>-0.1115625</v>
      </c>
      <c r="X7745">
        <v>0.99374620000000002</v>
      </c>
      <c r="Y7745">
        <v>-1.8044089999999999E-2</v>
      </c>
      <c r="Z7745">
        <v>3.750731E-4</v>
      </c>
      <c r="AA7745">
        <v>0.99983710000000003</v>
      </c>
      <c r="AB7745">
        <v>28</v>
      </c>
      <c r="AC7745">
        <v>22.462299999999999</v>
      </c>
      <c r="AD7745">
        <v>-1.1204575414431901</v>
      </c>
      <c r="AE7745">
        <v>0.52917999999998899</v>
      </c>
      <c r="AF7745">
        <v>-0.40775252287428798</v>
      </c>
      <c r="AG7745">
        <v>-1.1204575414431901</v>
      </c>
      <c r="AH7745">
        <v>22.409086894922101</v>
      </c>
      <c r="AI7745">
        <v>92.861940427325393</v>
      </c>
      <c r="AJ7745">
        <v>91.042430729608</v>
      </c>
      <c r="AK7745">
        <v>22.4407856967232</v>
      </c>
      <c r="AL7745">
        <v>96.405394366080998</v>
      </c>
      <c r="AM7745">
        <v>90.272869762786499</v>
      </c>
      <c r="AN7745">
        <v>1.0000000500674999</v>
      </c>
    </row>
    <row r="7746" spans="1:40" x14ac:dyDescent="0.25">
      <c r="A7746" t="str">
        <f>"20190303155001039"</f>
        <v>20190303155001039</v>
      </c>
      <c r="B7746" t="str">
        <f>"1551599401028515"</f>
        <v>1551599401028515</v>
      </c>
      <c r="C7746" t="s">
        <v>40</v>
      </c>
      <c r="D7746">
        <v>4.9561019999999996</v>
      </c>
      <c r="E7746">
        <v>0.49468669999999998</v>
      </c>
      <c r="F7746" t="s">
        <v>73</v>
      </c>
      <c r="G7746">
        <v>-212.44589999999999</v>
      </c>
      <c r="H7746" s="1">
        <v>-5.1292520000000003E-7</v>
      </c>
      <c r="I7746">
        <v>-62.24259</v>
      </c>
      <c r="J7746">
        <v>-234.8287</v>
      </c>
      <c r="K7746">
        <v>1.1204379999999901</v>
      </c>
      <c r="L7746">
        <v>-62.74973</v>
      </c>
      <c r="M7746">
        <v>0.99989720000000004</v>
      </c>
      <c r="N7746">
        <v>-1.332246E-2</v>
      </c>
      <c r="O7746">
        <v>5.3288959999999996E-3</v>
      </c>
      <c r="P7746">
        <v>0.99217290000000002</v>
      </c>
      <c r="Q7746">
        <v>-0.1244218</v>
      </c>
      <c r="R7746">
        <v>1.0610039999999999E-2</v>
      </c>
      <c r="S7746">
        <v>3.0043329999999999</v>
      </c>
      <c r="T7746">
        <v>-0.14933189999999999</v>
      </c>
      <c r="U7746">
        <v>6.7687990000000003E-2</v>
      </c>
      <c r="V7746">
        <v>-5.3375890000000002E-3</v>
      </c>
      <c r="W7746">
        <v>-0.11119130000000001</v>
      </c>
      <c r="X7746">
        <v>0.99378469999999997</v>
      </c>
      <c r="Y7746">
        <v>-1.7172710000000001E-2</v>
      </c>
      <c r="Z7746">
        <v>3.47256E-4</v>
      </c>
      <c r="AA7746">
        <v>0.99985250000000003</v>
      </c>
      <c r="AB7746">
        <v>28</v>
      </c>
      <c r="AC7746">
        <v>22.3828</v>
      </c>
      <c r="AD7746">
        <v>-1.1204385129251999</v>
      </c>
      <c r="AE7746">
        <v>0.50714000000000603</v>
      </c>
      <c r="AF7746">
        <v>-0.38687767336754397</v>
      </c>
      <c r="AG7746">
        <v>-1.1204385129251999</v>
      </c>
      <c r="AH7746">
        <v>22.329260815147801</v>
      </c>
      <c r="AI7746">
        <v>92.872150218655094</v>
      </c>
      <c r="AJ7746">
        <v>90.992609670005606</v>
      </c>
      <c r="AK7746">
        <v>22.360700913573599</v>
      </c>
      <c r="AL7746">
        <v>96.383993260398</v>
      </c>
      <c r="AM7746">
        <v>90.307731022440393</v>
      </c>
      <c r="AN7746">
        <v>1.0000000125030499</v>
      </c>
    </row>
    <row r="7747" spans="1:40" x14ac:dyDescent="0.25">
      <c r="A7747" t="str">
        <f>"20190303155001050"</f>
        <v>20190303155001050</v>
      </c>
      <c r="B7747" t="str">
        <f>"1551599401038275"</f>
        <v>1551599401038275</v>
      </c>
      <c r="C7747" t="s">
        <v>40</v>
      </c>
      <c r="D7747">
        <v>4.9590529999999999</v>
      </c>
      <c r="E7747">
        <v>0.49492789999999998</v>
      </c>
      <c r="F7747" t="s">
        <v>73</v>
      </c>
      <c r="G7747">
        <v>-212.16069999999999</v>
      </c>
      <c r="H7747" s="1">
        <v>-3.8923289999999998E-7</v>
      </c>
      <c r="I7747">
        <v>-62.237569999999998</v>
      </c>
      <c r="J7747">
        <v>-234.67840000000001</v>
      </c>
      <c r="K7747">
        <v>1.120425</v>
      </c>
      <c r="L7747">
        <v>-62.748930000000001</v>
      </c>
      <c r="M7747">
        <v>0.99989899999999998</v>
      </c>
      <c r="N7747">
        <v>-1.319293E-2</v>
      </c>
      <c r="O7747">
        <v>5.3002020000000004E-3</v>
      </c>
      <c r="P7747">
        <v>0.99217350000000004</v>
      </c>
      <c r="Q7747">
        <v>-0.12440850000000001</v>
      </c>
      <c r="R7747">
        <v>1.070453E-2</v>
      </c>
      <c r="S7747">
        <v>3.004318</v>
      </c>
      <c r="T7747">
        <v>-0.14849780000000001</v>
      </c>
      <c r="U7747">
        <v>6.7871089999999995E-2</v>
      </c>
      <c r="V7747">
        <v>-5.4607249999999996E-3</v>
      </c>
      <c r="W7747">
        <v>-0.11130669999999999</v>
      </c>
      <c r="X7747">
        <v>0.99377110000000002</v>
      </c>
      <c r="Y7747">
        <v>-1.7262570000000001E-2</v>
      </c>
      <c r="Z7747">
        <v>3.4840130000000002E-4</v>
      </c>
      <c r="AA7747">
        <v>0.99985089999999999</v>
      </c>
      <c r="AB7747">
        <v>28</v>
      </c>
      <c r="AC7747">
        <v>22.517700000000001</v>
      </c>
      <c r="AD7747">
        <v>-1.1204253892328999</v>
      </c>
      <c r="AE7747">
        <v>0.51136000000000303</v>
      </c>
      <c r="AF7747">
        <v>-0.39102646959170301</v>
      </c>
      <c r="AG7747">
        <v>-1.1204253892328999</v>
      </c>
      <c r="AH7747">
        <v>22.464504960780999</v>
      </c>
      <c r="AI7747">
        <v>92.8548502050906</v>
      </c>
      <c r="AJ7747">
        <v>90.997213343459094</v>
      </c>
      <c r="AK7747">
        <v>22.495827121617801</v>
      </c>
      <c r="AL7747">
        <v>96.390646572454699</v>
      </c>
      <c r="AM7747">
        <v>90.314834418699107</v>
      </c>
      <c r="AN7747">
        <v>1.0000000000888101</v>
      </c>
    </row>
    <row r="7748" spans="1:40" x14ac:dyDescent="0.25">
      <c r="A7748" t="str">
        <f>"20190303155001063"</f>
        <v>20190303155001063</v>
      </c>
      <c r="B7748" t="str">
        <f>"1551599401058772"</f>
        <v>1551599401058772</v>
      </c>
      <c r="C7748" t="s">
        <v>40</v>
      </c>
      <c r="D7748">
        <v>4.9176409999999997</v>
      </c>
      <c r="E7748">
        <v>0.49469540000000001</v>
      </c>
      <c r="F7748" t="s">
        <v>73</v>
      </c>
      <c r="G7748">
        <v>-212.09289999999999</v>
      </c>
      <c r="H7748" s="1">
        <v>-3.6360170000000003E-7</v>
      </c>
      <c r="I7748">
        <v>-62.25056</v>
      </c>
      <c r="J7748">
        <v>-234.51920000000001</v>
      </c>
      <c r="K7748">
        <v>1.1204130000000001</v>
      </c>
      <c r="L7748">
        <v>-62.748109999999997</v>
      </c>
      <c r="M7748">
        <v>0.99990089999999998</v>
      </c>
      <c r="N7748">
        <v>-1.305862E-2</v>
      </c>
      <c r="O7748">
        <v>5.2698019999999996E-3</v>
      </c>
      <c r="P7748">
        <v>0.99218150000000005</v>
      </c>
      <c r="Q7748">
        <v>-0.1243056</v>
      </c>
      <c r="R7748">
        <v>1.1170340000000001E-2</v>
      </c>
      <c r="S7748">
        <v>3.0042719999999998</v>
      </c>
      <c r="T7748">
        <v>-0.1490359</v>
      </c>
      <c r="U7748">
        <v>6.6284179999999998E-2</v>
      </c>
      <c r="V7748">
        <v>-5.9568420000000004E-3</v>
      </c>
      <c r="W7748">
        <v>-0.11133700000000001</v>
      </c>
      <c r="X7748">
        <v>0.99376489999999995</v>
      </c>
      <c r="Y7748">
        <v>-1.6766139999999999E-2</v>
      </c>
      <c r="Z7748">
        <v>3.3268929999999999E-4</v>
      </c>
      <c r="AA7748">
        <v>0.99985939999999995</v>
      </c>
      <c r="AB7748">
        <v>28</v>
      </c>
      <c r="AC7748">
        <v>22.426300000000001</v>
      </c>
      <c r="AD7748">
        <v>-1.1204133636017</v>
      </c>
      <c r="AE7748">
        <v>0.497549999999996</v>
      </c>
      <c r="AF7748">
        <v>-0.37840682630149802</v>
      </c>
      <c r="AG7748">
        <v>-1.1204133636017</v>
      </c>
      <c r="AH7748">
        <v>22.372796154878099</v>
      </c>
      <c r="AI7748">
        <v>92.866526577477003</v>
      </c>
      <c r="AJ7748">
        <v>90.968991395970207</v>
      </c>
      <c r="AK7748">
        <v>22.404029227334501</v>
      </c>
      <c r="AL7748">
        <v>96.392393210828402</v>
      </c>
      <c r="AM7748">
        <v>90.343439195913803</v>
      </c>
      <c r="AN7748">
        <v>1.0000000440038099</v>
      </c>
    </row>
    <row r="7749" spans="1:40" x14ac:dyDescent="0.25">
      <c r="A7749" t="str">
        <f>"20190303155001076"</f>
        <v>20190303155001076</v>
      </c>
      <c r="B7749" t="str">
        <f>"1551599401068531"</f>
        <v>1551599401068531</v>
      </c>
      <c r="C7749" t="s">
        <v>40</v>
      </c>
      <c r="D7749">
        <v>4.9857360000000002</v>
      </c>
      <c r="E7749">
        <v>0.49471100000000001</v>
      </c>
      <c r="F7749" t="s">
        <v>73</v>
      </c>
      <c r="G7749">
        <v>-212.23179999999999</v>
      </c>
      <c r="H7749" s="1">
        <v>-4.1811420000000002E-7</v>
      </c>
      <c r="I7749">
        <v>-62.231349999999999</v>
      </c>
      <c r="J7749">
        <v>-234.3587</v>
      </c>
      <c r="K7749">
        <v>1.1204000000000001</v>
      </c>
      <c r="L7749">
        <v>-62.747309999999999</v>
      </c>
      <c r="M7749">
        <v>0.99990279999999998</v>
      </c>
      <c r="N7749">
        <v>-1.2929990000000001E-2</v>
      </c>
      <c r="O7749">
        <v>5.2391770000000002E-3</v>
      </c>
      <c r="P7749">
        <v>0.99220350000000002</v>
      </c>
      <c r="Q7749">
        <v>-0.1240902</v>
      </c>
      <c r="R7749">
        <v>1.1586630000000001E-2</v>
      </c>
      <c r="S7749">
        <v>3.0039220000000002</v>
      </c>
      <c r="T7749">
        <v>-0.15101110000000001</v>
      </c>
      <c r="U7749">
        <v>6.9641110000000006E-2</v>
      </c>
      <c r="V7749">
        <v>-6.4032849999999999E-3</v>
      </c>
      <c r="W7749">
        <v>-0.11124920000000001</v>
      </c>
      <c r="X7749">
        <v>0.99377190000000004</v>
      </c>
      <c r="Y7749">
        <v>-1.791386E-2</v>
      </c>
      <c r="Z7749">
        <v>3.7038940000000002E-4</v>
      </c>
      <c r="AA7749">
        <v>0.99983949999999999</v>
      </c>
      <c r="AB7749">
        <v>28</v>
      </c>
      <c r="AC7749">
        <v>22.126899999999999</v>
      </c>
      <c r="AD7749">
        <v>-1.1204004181142</v>
      </c>
      <c r="AE7749">
        <v>0.51595999999999898</v>
      </c>
      <c r="AF7749">
        <v>-0.39899405916356001</v>
      </c>
      <c r="AG7749">
        <v>-1.1204004181142</v>
      </c>
      <c r="AH7749">
        <v>22.0727376015939</v>
      </c>
      <c r="AI7749">
        <v>92.905335558329597</v>
      </c>
      <c r="AJ7749">
        <v>91.035584557069001</v>
      </c>
      <c r="AK7749">
        <v>22.1047560173139</v>
      </c>
      <c r="AL7749">
        <v>96.387331554352301</v>
      </c>
      <c r="AM7749">
        <v>90.369175389547095</v>
      </c>
      <c r="AN7749">
        <v>0.99999998789452005</v>
      </c>
    </row>
    <row r="7750" spans="1:40" x14ac:dyDescent="0.25">
      <c r="A7750" t="str">
        <f>"20190303155001087"</f>
        <v>20190303155001087</v>
      </c>
      <c r="B7750" t="str">
        <f>"1551599401078291"</f>
        <v>1551599401078291</v>
      </c>
      <c r="C7750" t="s">
        <v>40</v>
      </c>
      <c r="D7750">
        <v>4.9333</v>
      </c>
      <c r="E7750">
        <v>0.49462129999999999</v>
      </c>
      <c r="F7750" t="s">
        <v>73</v>
      </c>
      <c r="G7750">
        <v>-212.0796</v>
      </c>
      <c r="H7750" s="1">
        <v>-3.5004210000000002E-7</v>
      </c>
      <c r="I7750">
        <v>-62.22101</v>
      </c>
      <c r="J7750">
        <v>-234.22559999999999</v>
      </c>
      <c r="K7750">
        <v>1.1203909999999999</v>
      </c>
      <c r="L7750">
        <v>-62.746609999999997</v>
      </c>
      <c r="M7750">
        <v>0.99990420000000002</v>
      </c>
      <c r="N7750">
        <v>-1.282725E-2</v>
      </c>
      <c r="O7750">
        <v>5.2139780000000002E-3</v>
      </c>
      <c r="P7750">
        <v>0.99226219999999998</v>
      </c>
      <c r="Q7750">
        <v>-0.1235908</v>
      </c>
      <c r="R7750">
        <v>1.188667E-2</v>
      </c>
      <c r="S7750">
        <v>3.003876</v>
      </c>
      <c r="T7750">
        <v>-0.15106269999999999</v>
      </c>
      <c r="U7750">
        <v>7.0953370000000002E-2</v>
      </c>
      <c r="V7750">
        <v>-6.7281850000000002E-3</v>
      </c>
      <c r="W7750">
        <v>-0.11085109999999999</v>
      </c>
      <c r="X7750">
        <v>0.99381419999999998</v>
      </c>
      <c r="Y7750">
        <v>-1.8375260000000001E-2</v>
      </c>
      <c r="Z7750">
        <v>3.8449410000000002E-4</v>
      </c>
      <c r="AA7750">
        <v>0.99983109999999997</v>
      </c>
      <c r="AB7750">
        <v>28</v>
      </c>
      <c r="AC7750">
        <v>22.145999999999901</v>
      </c>
      <c r="AD7750">
        <v>-1.1203913500421001</v>
      </c>
      <c r="AE7750">
        <v>0.52559999999999696</v>
      </c>
      <c r="AF7750">
        <v>-0.40906819899519198</v>
      </c>
      <c r="AG7750">
        <v>-1.1203913500421001</v>
      </c>
      <c r="AH7750">
        <v>22.0919279679634</v>
      </c>
      <c r="AI7750">
        <v>92.902769337588097</v>
      </c>
      <c r="AJ7750">
        <v>91.060803893508094</v>
      </c>
      <c r="AK7750">
        <v>22.1241021266483</v>
      </c>
      <c r="AL7750">
        <v>96.364380390595599</v>
      </c>
      <c r="AM7750">
        <v>90.387890125598204</v>
      </c>
      <c r="AN7750">
        <v>0.99999994948311999</v>
      </c>
    </row>
    <row r="7751" spans="1:40" x14ac:dyDescent="0.25">
      <c r="A7751" t="str">
        <f>"20190303155001096"</f>
        <v>20190303155001096</v>
      </c>
      <c r="B7751" t="str">
        <f>"1551599401088052"</f>
        <v>1551599401088052</v>
      </c>
      <c r="C7751" t="s">
        <v>40</v>
      </c>
      <c r="D7751">
        <v>4.9264270000000003</v>
      </c>
      <c r="E7751">
        <v>0.49441590000000002</v>
      </c>
      <c r="F7751" t="s">
        <v>73</v>
      </c>
      <c r="G7751">
        <v>-211.93010000000001</v>
      </c>
      <c r="H7751" s="1">
        <v>-2.822504E-7</v>
      </c>
      <c r="I7751">
        <v>-62.207210000000003</v>
      </c>
      <c r="J7751">
        <v>-234.09299999999999</v>
      </c>
      <c r="K7751">
        <v>1.1203860000000001</v>
      </c>
      <c r="L7751">
        <v>-62.7459699999999</v>
      </c>
      <c r="M7751">
        <v>0.99990559999999995</v>
      </c>
      <c r="N7751">
        <v>-1.2727789999999999E-2</v>
      </c>
      <c r="O7751">
        <v>5.188575E-3</v>
      </c>
      <c r="P7751">
        <v>0.99229650000000003</v>
      </c>
      <c r="Q7751">
        <v>-0.12327390000000001</v>
      </c>
      <c r="R7751">
        <v>1.2305190000000001E-2</v>
      </c>
      <c r="S7751">
        <v>3.003708</v>
      </c>
      <c r="T7751">
        <v>-0.1509422</v>
      </c>
      <c r="U7751">
        <v>7.2662350000000001E-2</v>
      </c>
      <c r="V7751">
        <v>-7.1719180000000002E-3</v>
      </c>
      <c r="W7751">
        <v>-0.11063249999999999</v>
      </c>
      <c r="X7751">
        <v>0.99383549999999998</v>
      </c>
      <c r="Y7751">
        <v>-1.8969659999999999E-2</v>
      </c>
      <c r="Z7751">
        <v>4.0257390000000002E-4</v>
      </c>
      <c r="AA7751">
        <v>0.99982000000000004</v>
      </c>
      <c r="AB7751">
        <v>28</v>
      </c>
      <c r="AC7751">
        <v>22.162899999999901</v>
      </c>
      <c r="AD7751">
        <v>-1.1203862822503901</v>
      </c>
      <c r="AE7751">
        <v>0.53875999999999602</v>
      </c>
      <c r="AF7751">
        <v>-0.42267005810302399</v>
      </c>
      <c r="AG7751">
        <v>-1.1203862822503901</v>
      </c>
      <c r="AH7751">
        <v>22.108930395457399</v>
      </c>
      <c r="AI7751">
        <v>92.900495003896694</v>
      </c>
      <c r="AJ7751">
        <v>91.095225338409406</v>
      </c>
      <c r="AK7751">
        <v>22.141335068840199</v>
      </c>
      <c r="AL7751">
        <v>96.351777735581095</v>
      </c>
      <c r="AM7751">
        <v>90.413462287809907</v>
      </c>
      <c r="AN7751">
        <v>0.99999999376214899</v>
      </c>
    </row>
    <row r="7752" spans="1:40" x14ac:dyDescent="0.25">
      <c r="A7752" t="str">
        <f>"20190303155001107"</f>
        <v>20190303155001107</v>
      </c>
      <c r="B7752" t="str">
        <f>"1551599401098787"</f>
        <v>1551599401098787</v>
      </c>
      <c r="C7752" t="s">
        <v>40</v>
      </c>
      <c r="D7752">
        <v>4.9871259999999999</v>
      </c>
      <c r="E7752">
        <v>0.49451679999999998</v>
      </c>
      <c r="F7752" t="s">
        <v>73</v>
      </c>
      <c r="G7752">
        <v>-211.94040000000001</v>
      </c>
      <c r="H7752" s="1">
        <v>-2.8169129999999998E-7</v>
      </c>
      <c r="I7752">
        <v>-62.188600000000001</v>
      </c>
      <c r="J7752">
        <v>-233.9693</v>
      </c>
      <c r="K7752">
        <v>1.120382</v>
      </c>
      <c r="L7752">
        <v>-62.745359999999998</v>
      </c>
      <c r="M7752">
        <v>0.99990670000000004</v>
      </c>
      <c r="N7752">
        <v>-1.263947E-2</v>
      </c>
      <c r="O7752">
        <v>5.1650619999999998E-3</v>
      </c>
      <c r="P7752">
        <v>0.99230680000000004</v>
      </c>
      <c r="Q7752">
        <v>-0.12316729999999999</v>
      </c>
      <c r="R7752">
        <v>1.253628E-2</v>
      </c>
      <c r="S7752">
        <v>3.0034640000000001</v>
      </c>
      <c r="T7752">
        <v>-0.1519026</v>
      </c>
      <c r="U7752">
        <v>7.5561519999999993E-2</v>
      </c>
      <c r="V7752">
        <v>-7.425943E-3</v>
      </c>
      <c r="W7752">
        <v>-0.1106135</v>
      </c>
      <c r="X7752">
        <v>0.99383569999999999</v>
      </c>
      <c r="Y7752">
        <v>-1.9957829999999999E-2</v>
      </c>
      <c r="Z7752">
        <v>4.3477529999999998E-4</v>
      </c>
      <c r="AA7752">
        <v>0.99980069999999999</v>
      </c>
      <c r="AB7752">
        <v>28</v>
      </c>
      <c r="AC7752">
        <v>22.0289</v>
      </c>
      <c r="AD7752">
        <v>-1.1203822816913001</v>
      </c>
      <c r="AE7752">
        <v>0.55675999999999704</v>
      </c>
      <c r="AF7752">
        <v>-0.44182070916207999</v>
      </c>
      <c r="AG7752">
        <v>-1.1203822816913001</v>
      </c>
      <c r="AH7752">
        <v>21.9746763280857</v>
      </c>
      <c r="AI7752">
        <v>92.918118170502098</v>
      </c>
      <c r="AJ7752">
        <v>91.151828190069594</v>
      </c>
      <c r="AK7752">
        <v>22.0076546165261</v>
      </c>
      <c r="AL7752">
        <v>96.350682705237105</v>
      </c>
      <c r="AM7752">
        <v>90.428106250217994</v>
      </c>
      <c r="AN7752">
        <v>0.99999994480308796</v>
      </c>
    </row>
    <row r="7753" spans="1:40" x14ac:dyDescent="0.25">
      <c r="A7753" t="str">
        <f>"20190303155001117"</f>
        <v>20190303155001117</v>
      </c>
      <c r="B7753" t="str">
        <f>"1551599401108547"</f>
        <v>1551599401108547</v>
      </c>
      <c r="C7753" t="s">
        <v>40</v>
      </c>
      <c r="D7753">
        <v>4.9981499999999999</v>
      </c>
      <c r="E7753">
        <v>0.49456240000000001</v>
      </c>
      <c r="F7753" t="s">
        <v>73</v>
      </c>
      <c r="G7753">
        <v>-211.76509999999999</v>
      </c>
      <c r="H7753" s="1">
        <v>-2.0628979999999999E-7</v>
      </c>
      <c r="I7753">
        <v>-62.187820000000002</v>
      </c>
      <c r="J7753">
        <v>-233.8365</v>
      </c>
      <c r="K7753">
        <v>1.120377</v>
      </c>
      <c r="L7753">
        <v>-62.744720000000001</v>
      </c>
      <c r="M7753">
        <v>0.99990809999999997</v>
      </c>
      <c r="N7753">
        <v>-1.2546989999999999E-2</v>
      </c>
      <c r="O7753">
        <v>5.1396059999999997E-3</v>
      </c>
      <c r="P7753">
        <v>0.9923459</v>
      </c>
      <c r="Q7753">
        <v>-0.1228326</v>
      </c>
      <c r="R7753">
        <v>1.272476E-2</v>
      </c>
      <c r="S7753">
        <v>3.003479</v>
      </c>
      <c r="T7753">
        <v>-0.15154960000000001</v>
      </c>
      <c r="U7753">
        <v>7.5408939999999994E-2</v>
      </c>
      <c r="V7753">
        <v>-7.6394050000000002E-3</v>
      </c>
      <c r="W7753">
        <v>-0.1103703</v>
      </c>
      <c r="X7753">
        <v>0.9938612</v>
      </c>
      <c r="Y7753">
        <v>-1.9932600000000002E-2</v>
      </c>
      <c r="Z7753">
        <v>4.3297749999999998E-4</v>
      </c>
      <c r="AA7753">
        <v>0.99980119999999895</v>
      </c>
      <c r="AB7753">
        <v>28</v>
      </c>
      <c r="AC7753">
        <v>22.071400000000001</v>
      </c>
      <c r="AD7753">
        <v>-1.1203772062898001</v>
      </c>
      <c r="AE7753">
        <v>0.55689999999999795</v>
      </c>
      <c r="AF7753">
        <v>-0.44230643746994802</v>
      </c>
      <c r="AG7753">
        <v>-1.1203772062898001</v>
      </c>
      <c r="AH7753">
        <v>22.017274452916102</v>
      </c>
      <c r="AI7753">
        <v>92.912469857032207</v>
      </c>
      <c r="AJ7753">
        <v>91.150863784894895</v>
      </c>
      <c r="AK7753">
        <v>22.0501985116695</v>
      </c>
      <c r="AL7753">
        <v>96.336662020150996</v>
      </c>
      <c r="AM7753">
        <v>90.440400575427503</v>
      </c>
      <c r="AN7753">
        <v>1.0000000242481399</v>
      </c>
    </row>
    <row r="7754" spans="1:40" x14ac:dyDescent="0.25">
      <c r="A7754" t="str">
        <f>"20190303155001127"</f>
        <v>20190303155001127</v>
      </c>
      <c r="B7754" t="str">
        <f>"1551599401118307"</f>
        <v>1551599401118307</v>
      </c>
      <c r="C7754" t="s">
        <v>40</v>
      </c>
      <c r="D7754">
        <v>5.0128849999999998</v>
      </c>
      <c r="E7754">
        <v>0.49465890000000001</v>
      </c>
      <c r="F7754" t="s">
        <v>73</v>
      </c>
      <c r="G7754">
        <v>-211.59479999999999</v>
      </c>
      <c r="H7754" s="1">
        <v>-1.3226079999999901E-7</v>
      </c>
      <c r="I7754">
        <v>-62.184199999999997</v>
      </c>
      <c r="J7754">
        <v>-233.7201</v>
      </c>
      <c r="K7754">
        <v>1.1203650000000001</v>
      </c>
      <c r="L7754">
        <v>-62.744109999999999</v>
      </c>
      <c r="M7754">
        <v>0.99990919999999905</v>
      </c>
      <c r="N7754">
        <v>-1.2470739999999999E-2</v>
      </c>
      <c r="O7754">
        <v>5.1170829999999997E-3</v>
      </c>
      <c r="P7754">
        <v>0.99236970000000002</v>
      </c>
      <c r="Q7754">
        <v>-0.1226154</v>
      </c>
      <c r="R7754">
        <v>1.296189E-2</v>
      </c>
      <c r="S7754">
        <v>3.0034329999999998</v>
      </c>
      <c r="T7754">
        <v>-0.15129139999999999</v>
      </c>
      <c r="U7754">
        <v>7.5683589999999995E-2</v>
      </c>
      <c r="V7754">
        <v>-7.898759E-3</v>
      </c>
      <c r="W7754">
        <v>-0.11022849999999999</v>
      </c>
      <c r="X7754">
        <v>0.99387490000000001</v>
      </c>
      <c r="Y7754">
        <v>-2.0046810000000002E-2</v>
      </c>
      <c r="Z7754">
        <v>4.3585450000000001E-4</v>
      </c>
      <c r="AA7754">
        <v>0.99979899999999999</v>
      </c>
      <c r="AB7754">
        <v>28</v>
      </c>
      <c r="AC7754">
        <v>22.125299999999999</v>
      </c>
      <c r="AD7754">
        <v>-1.1203651322607999</v>
      </c>
      <c r="AE7754">
        <v>0.55991000000000202</v>
      </c>
      <c r="AF7754">
        <v>-0.44553519233175398</v>
      </c>
      <c r="AG7754">
        <v>-1.1203651322607999</v>
      </c>
      <c r="AH7754">
        <v>22.071317999437799</v>
      </c>
      <c r="AI7754">
        <v>92.905313728626098</v>
      </c>
      <c r="AJ7754">
        <v>91.156424808774503</v>
      </c>
      <c r="AK7754">
        <v>22.104225792130698</v>
      </c>
      <c r="AL7754">
        <v>96.328487662324505</v>
      </c>
      <c r="AM7754">
        <v>90.455345060200003</v>
      </c>
      <c r="AN7754">
        <v>1.0000000147279999</v>
      </c>
    </row>
    <row r="7755" spans="1:40" x14ac:dyDescent="0.25">
      <c r="A7755" t="str">
        <f>"20190303155001136"</f>
        <v>20190303155001136</v>
      </c>
      <c r="B7755" t="str">
        <f>"1551599401128067"</f>
        <v>1551599401128067</v>
      </c>
      <c r="C7755" t="s">
        <v>40</v>
      </c>
      <c r="D7755">
        <v>4.993449</v>
      </c>
      <c r="E7755">
        <v>0.49470510000000001</v>
      </c>
      <c r="F7755" t="s">
        <v>73</v>
      </c>
      <c r="G7755">
        <v>-211.3802</v>
      </c>
      <c r="H7755" s="1">
        <v>-3.9537329999999998E-8</v>
      </c>
      <c r="I7755">
        <v>-62.181579999999997</v>
      </c>
      <c r="J7755">
        <v>-233.59209999999999</v>
      </c>
      <c r="K7755">
        <v>1.12036</v>
      </c>
      <c r="L7755">
        <v>-62.743470000000002</v>
      </c>
      <c r="M7755">
        <v>0.99991039999999998</v>
      </c>
      <c r="N7755">
        <v>-1.238938E-2</v>
      </c>
      <c r="O7755">
        <v>5.092325E-3</v>
      </c>
      <c r="P7755">
        <v>0.99240660000000003</v>
      </c>
      <c r="Q7755">
        <v>-0.12227780000000001</v>
      </c>
      <c r="R7755">
        <v>1.332938E-2</v>
      </c>
      <c r="S7755">
        <v>3.003479</v>
      </c>
      <c r="T7755">
        <v>-0.15062739999999999</v>
      </c>
      <c r="U7755">
        <v>7.5622560000000005E-2</v>
      </c>
      <c r="V7755">
        <v>-8.2909239999999999E-3</v>
      </c>
      <c r="W7755">
        <v>-0.10997129999999999</v>
      </c>
      <c r="X7755">
        <v>0.99390020000000001</v>
      </c>
      <c r="Y7755">
        <v>-2.005113E-2</v>
      </c>
      <c r="Z7755">
        <v>4.3460390000000002E-4</v>
      </c>
      <c r="AA7755">
        <v>0.99979879999999999</v>
      </c>
      <c r="AB7755">
        <v>28</v>
      </c>
      <c r="AC7755">
        <v>22.211899999999901</v>
      </c>
      <c r="AD7755">
        <v>-1.1203600395373301</v>
      </c>
      <c r="AE7755">
        <v>0.56188999999999101</v>
      </c>
      <c r="AF7755">
        <v>-0.44762572957302399</v>
      </c>
      <c r="AG7755">
        <v>-1.1203600395373301</v>
      </c>
      <c r="AH7755">
        <v>22.158135792453901</v>
      </c>
      <c r="AI7755">
        <v>92.893935785253305</v>
      </c>
      <c r="AJ7755">
        <v>91.157298491540701</v>
      </c>
      <c r="AK7755">
        <v>22.1909566537541</v>
      </c>
      <c r="AL7755">
        <v>96.313661036223607</v>
      </c>
      <c r="AM7755">
        <v>90.477939269324196</v>
      </c>
      <c r="AN7755">
        <v>1.00000001690225</v>
      </c>
    </row>
    <row r="7756" spans="1:40" x14ac:dyDescent="0.25">
      <c r="A7756" t="str">
        <f>"20190303155001146"</f>
        <v>20190303155001146</v>
      </c>
      <c r="B7756" t="str">
        <f>"1551599401138803"</f>
        <v>1551599401138803</v>
      </c>
      <c r="C7756" t="s">
        <v>40</v>
      </c>
      <c r="D7756">
        <v>5.0002360000000001</v>
      </c>
      <c r="E7756">
        <v>0.49474990000000002</v>
      </c>
      <c r="F7756" t="s">
        <v>73</v>
      </c>
      <c r="G7756">
        <v>-211.14519999999999</v>
      </c>
      <c r="H7756" s="1">
        <v>6.3774220000000003E-8</v>
      </c>
      <c r="I7756">
        <v>-62.172310000000003</v>
      </c>
      <c r="J7756">
        <v>-233.4691</v>
      </c>
      <c r="K7756">
        <v>1.1203559999999999</v>
      </c>
      <c r="L7756">
        <v>-62.742890000000003</v>
      </c>
      <c r="M7756">
        <v>0.99991149999999995</v>
      </c>
      <c r="N7756">
        <v>-1.2315049999999999E-2</v>
      </c>
      <c r="O7756">
        <v>5.0684129999999999E-3</v>
      </c>
      <c r="P7756">
        <v>0.99241369999999896</v>
      </c>
      <c r="Q7756">
        <v>-0.1222073</v>
      </c>
      <c r="R7756">
        <v>1.344305E-2</v>
      </c>
      <c r="S7756">
        <v>3.003479</v>
      </c>
      <c r="T7756">
        <v>-0.14990809999999999</v>
      </c>
      <c r="U7756">
        <v>7.6416020000000001E-2</v>
      </c>
      <c r="V7756">
        <v>-8.4278859999999903E-3</v>
      </c>
      <c r="W7756">
        <v>-0.1099745</v>
      </c>
      <c r="X7756">
        <v>0.99389870000000002</v>
      </c>
      <c r="Y7756">
        <v>-2.0338809999999999E-2</v>
      </c>
      <c r="Z7756">
        <v>4.4214420000000001E-4</v>
      </c>
      <c r="AA7756">
        <v>0.99979309999999999</v>
      </c>
      <c r="AB7756">
        <v>28</v>
      </c>
      <c r="AC7756">
        <v>22.323899999999998</v>
      </c>
      <c r="AD7756">
        <v>-1.12035593622578</v>
      </c>
      <c r="AE7756">
        <v>0.57058000000000597</v>
      </c>
      <c r="AF7756">
        <v>-0.45626892212182901</v>
      </c>
      <c r="AG7756">
        <v>-1.12035593622578</v>
      </c>
      <c r="AH7756">
        <v>22.2704499947051</v>
      </c>
      <c r="AI7756">
        <v>92.879338468306599</v>
      </c>
      <c r="AJ7756">
        <v>91.1736910033123</v>
      </c>
      <c r="AK7756">
        <v>22.303280514753698</v>
      </c>
      <c r="AL7756">
        <v>96.313845463631907</v>
      </c>
      <c r="AM7756">
        <v>90.485834949571299</v>
      </c>
      <c r="AN7756">
        <v>1.0000000228871799</v>
      </c>
    </row>
    <row r="7757" spans="1:40" x14ac:dyDescent="0.25">
      <c r="A7757" t="str">
        <f>"20190303155001157"</f>
        <v>20190303155001157</v>
      </c>
      <c r="B7757" t="str">
        <f>"1551599401148563"</f>
        <v>1551599401148563</v>
      </c>
      <c r="C7757" t="s">
        <v>40</v>
      </c>
      <c r="D7757">
        <v>5.02651</v>
      </c>
      <c r="E7757">
        <v>0.49486059999999998</v>
      </c>
      <c r="F7757" t="s">
        <v>73</v>
      </c>
      <c r="G7757">
        <v>-211.10470000000001</v>
      </c>
      <c r="H7757" s="1">
        <v>8.0847600000000002E-8</v>
      </c>
      <c r="I7757">
        <v>-62.173360000000002</v>
      </c>
      <c r="J7757">
        <v>-233.32839999999999</v>
      </c>
      <c r="K7757">
        <v>1.120352</v>
      </c>
      <c r="L7757">
        <v>-62.742220000000003</v>
      </c>
      <c r="M7757">
        <v>0.99991269999999999</v>
      </c>
      <c r="N7757">
        <v>-1.2232639999999999E-2</v>
      </c>
      <c r="O7757">
        <v>5.0412119999999998E-3</v>
      </c>
      <c r="P7757">
        <v>0.99240819999999996</v>
      </c>
      <c r="Q7757">
        <v>-0.1222139</v>
      </c>
      <c r="R7757">
        <v>1.378303E-2</v>
      </c>
      <c r="S7757">
        <v>3.0033720000000002</v>
      </c>
      <c r="T7757">
        <v>-0.1504557</v>
      </c>
      <c r="U7757">
        <v>7.6477050000000005E-2</v>
      </c>
      <c r="V7757">
        <v>-8.7950939999999998E-3</v>
      </c>
      <c r="W7757">
        <v>-0.11006299999999999</v>
      </c>
      <c r="X7757">
        <v>0.99388569999999998</v>
      </c>
      <c r="Y7757">
        <v>-2.0387010000000001E-2</v>
      </c>
      <c r="Z7757">
        <v>4.4435569999999998E-4</v>
      </c>
      <c r="AA7757">
        <v>0.99979200000000001</v>
      </c>
      <c r="AB7757">
        <v>28</v>
      </c>
      <c r="AC7757">
        <v>22.223699999999901</v>
      </c>
      <c r="AD7757">
        <v>-1.1203519191523901</v>
      </c>
      <c r="AE7757">
        <v>0.56886000000000003</v>
      </c>
      <c r="AF7757">
        <v>-0.45565278360441203</v>
      </c>
      <c r="AG7757">
        <v>-1.1203519191523901</v>
      </c>
      <c r="AH7757">
        <v>22.169979215439</v>
      </c>
      <c r="AI7757">
        <v>92.892350853645098</v>
      </c>
      <c r="AJ7757">
        <v>91.177416817750199</v>
      </c>
      <c r="AK7757">
        <v>22.2029454418767</v>
      </c>
      <c r="AL7757">
        <v>96.318947247361294</v>
      </c>
      <c r="AM7757">
        <v>90.507008616260094</v>
      </c>
      <c r="AN7757">
        <v>1.00000000115597</v>
      </c>
    </row>
    <row r="7758" spans="1:40" x14ac:dyDescent="0.25">
      <c r="A7758" t="str">
        <f>"20190303155001170"</f>
        <v>20190303155001170</v>
      </c>
      <c r="B7758" t="str">
        <f>"1551599401158615"</f>
        <v>1551599401158615</v>
      </c>
      <c r="C7758" t="s">
        <v>40</v>
      </c>
      <c r="D7758">
        <v>4.9789389999999996</v>
      </c>
      <c r="E7758">
        <v>0.4948516</v>
      </c>
      <c r="F7758" t="s">
        <v>73</v>
      </c>
      <c r="G7758">
        <v>-210.98230000000001</v>
      </c>
      <c r="H7758" s="1">
        <v>1.3379059999999999E-7</v>
      </c>
      <c r="I7758">
        <v>-62.171779999999998</v>
      </c>
      <c r="J7758">
        <v>-233.1755</v>
      </c>
      <c r="K7758">
        <v>1.1203459999999901</v>
      </c>
      <c r="L7758">
        <v>-62.741459999999996</v>
      </c>
      <c r="M7758">
        <v>0.99991370000000002</v>
      </c>
      <c r="N7758">
        <v>-1.2148600000000001E-2</v>
      </c>
      <c r="O7758">
        <v>5.0116329999999997E-3</v>
      </c>
      <c r="P7758">
        <v>0.99243999999999999</v>
      </c>
      <c r="Q7758">
        <v>-0.1219142</v>
      </c>
      <c r="R7758">
        <v>1.414252E-2</v>
      </c>
      <c r="S7758">
        <v>3.0033259999999999</v>
      </c>
      <c r="T7758">
        <v>-0.1505756</v>
      </c>
      <c r="U7758">
        <v>7.6660160000000005E-2</v>
      </c>
      <c r="V7758">
        <v>-9.1839309999999993E-3</v>
      </c>
      <c r="W7758">
        <v>-0.1098465</v>
      </c>
      <c r="X7758">
        <v>0.99390610000000001</v>
      </c>
      <c r="Y7758">
        <v>-2.0477749999999999E-2</v>
      </c>
      <c r="Z7758">
        <v>4.4723089999999999E-4</v>
      </c>
      <c r="AA7758">
        <v>0.99979019999999996</v>
      </c>
      <c r="AB7758">
        <v>28</v>
      </c>
      <c r="AC7758">
        <v>22.193199999999901</v>
      </c>
      <c r="AD7758">
        <v>-1.1203458662093999</v>
      </c>
      <c r="AE7758">
        <v>0.56967999999999097</v>
      </c>
      <c r="AF7758">
        <v>-0.45727592286724</v>
      </c>
      <c r="AG7758">
        <v>-1.1203458662093999</v>
      </c>
      <c r="AH7758">
        <v>22.1393940243758</v>
      </c>
      <c r="AI7758">
        <v>92.896318109673004</v>
      </c>
      <c r="AJ7758">
        <v>91.183241768185894</v>
      </c>
      <c r="AK7758">
        <v>22.172438835097399</v>
      </c>
      <c r="AL7758">
        <v>96.306467255524893</v>
      </c>
      <c r="AM7758">
        <v>90.529411692295</v>
      </c>
      <c r="AN7758">
        <v>0.99999996688403503</v>
      </c>
    </row>
    <row r="7759" spans="1:40" x14ac:dyDescent="0.25">
      <c r="A7759" t="str">
        <f>"20190303155001192"</f>
        <v>20190303155001192</v>
      </c>
      <c r="B7759" t="str">
        <f>"1551599401188871"</f>
        <v>1551599401188871</v>
      </c>
      <c r="C7759" t="s">
        <v>40</v>
      </c>
      <c r="D7759">
        <v>5.0089629999999996</v>
      </c>
      <c r="E7759">
        <v>0.4949403</v>
      </c>
      <c r="F7759" t="s">
        <v>73</v>
      </c>
      <c r="G7759">
        <v>-210.76439999999999</v>
      </c>
      <c r="H7759" s="1">
        <v>2.3021760000000001E-7</v>
      </c>
      <c r="I7759">
        <v>-62.160699999999999</v>
      </c>
      <c r="J7759">
        <v>-232.89070000000001</v>
      </c>
      <c r="K7759">
        <v>1.1203449999999999</v>
      </c>
      <c r="L7759">
        <v>-62.740079999999999</v>
      </c>
      <c r="M7759">
        <v>0.99991569999999996</v>
      </c>
      <c r="N7759">
        <v>-1.2002489999999999E-2</v>
      </c>
      <c r="O7759">
        <v>4.9565019999999998E-3</v>
      </c>
      <c r="P7759">
        <v>0.99248999999999998</v>
      </c>
      <c r="Q7759">
        <v>-0.1214298</v>
      </c>
      <c r="R7759">
        <v>1.477386E-2</v>
      </c>
      <c r="S7759">
        <v>3.0033110000000001</v>
      </c>
      <c r="T7759">
        <v>-0.15013750000000001</v>
      </c>
      <c r="U7759">
        <v>7.7819819999999998E-2</v>
      </c>
      <c r="V7759">
        <v>-9.869605E-3</v>
      </c>
      <c r="W7759">
        <v>-0.10950650000000001</v>
      </c>
      <c r="X7759">
        <v>0.99393710000000002</v>
      </c>
      <c r="Y7759">
        <v>-2.0918320000000001E-2</v>
      </c>
      <c r="Z7759">
        <v>4.599828E-4</v>
      </c>
      <c r="AA7759">
        <v>0.99978109999999998</v>
      </c>
      <c r="AB7759">
        <v>28</v>
      </c>
      <c r="AC7759">
        <v>22.126300000000001</v>
      </c>
      <c r="AD7759">
        <v>-1.1203447697823901</v>
      </c>
      <c r="AE7759">
        <v>0.579380000000007</v>
      </c>
      <c r="AF7759">
        <v>-0.468495622866404</v>
      </c>
      <c r="AG7759">
        <v>-1.1203447697823901</v>
      </c>
      <c r="AH7759">
        <v>22.072349546954801</v>
      </c>
      <c r="AI7759">
        <v>92.905063089187905</v>
      </c>
      <c r="AJ7759">
        <v>91.215946307300399</v>
      </c>
      <c r="AK7759">
        <v>22.105729462625298</v>
      </c>
      <c r="AL7759">
        <v>96.286868117071407</v>
      </c>
      <c r="AM7759">
        <v>90.568917416595994</v>
      </c>
      <c r="AN7759">
        <v>1.00000002070075</v>
      </c>
    </row>
    <row r="7760" spans="1:40" x14ac:dyDescent="0.25">
      <c r="A7760" t="str">
        <f>"20190303155001204"</f>
        <v>20190303155001204</v>
      </c>
      <c r="B7760" t="str">
        <f>"1551599401198630"</f>
        <v>1551599401198630</v>
      </c>
      <c r="C7760" t="s">
        <v>40</v>
      </c>
      <c r="D7760">
        <v>4.9813799999999997</v>
      </c>
      <c r="E7760">
        <v>0.49498690000000001</v>
      </c>
      <c r="F7760" t="s">
        <v>73</v>
      </c>
      <c r="G7760">
        <v>-210.43510000000001</v>
      </c>
      <c r="H7760" s="1">
        <v>3.7459670000000003E-7</v>
      </c>
      <c r="I7760">
        <v>-62.149019999999901</v>
      </c>
      <c r="J7760">
        <v>-232.74160000000001</v>
      </c>
      <c r="K7760">
        <v>1.1203399999999999</v>
      </c>
      <c r="L7760">
        <v>-62.739409999999999</v>
      </c>
      <c r="M7760">
        <v>0.9999169</v>
      </c>
      <c r="N7760">
        <v>-1.1931779999999999E-2</v>
      </c>
      <c r="O7760">
        <v>4.927547E-3</v>
      </c>
      <c r="P7760">
        <v>0.9925389</v>
      </c>
      <c r="Q7760">
        <v>-0.1209832</v>
      </c>
      <c r="R7760">
        <v>1.5161310000000001E-2</v>
      </c>
      <c r="S7760">
        <v>3.0031889999999999</v>
      </c>
      <c r="T7760">
        <v>-0.14983369999999999</v>
      </c>
      <c r="U7760">
        <v>7.9040529999999998E-2</v>
      </c>
      <c r="V7760">
        <v>-1.028568E-2</v>
      </c>
      <c r="W7760">
        <v>-0.10912959999999999</v>
      </c>
      <c r="X7760">
        <v>0.99397429999999998</v>
      </c>
      <c r="Y7760">
        <v>-2.135389E-2</v>
      </c>
      <c r="Z7760">
        <v>4.7290229999999997E-4</v>
      </c>
      <c r="AA7760">
        <v>0.99977190000000005</v>
      </c>
      <c r="AB7760">
        <v>28</v>
      </c>
      <c r="AC7760">
        <v>22.3065</v>
      </c>
      <c r="AD7760">
        <v>-1.12033962540329</v>
      </c>
      <c r="AE7760">
        <v>0.59039000000000597</v>
      </c>
      <c r="AF7760">
        <v>-0.47925062582981498</v>
      </c>
      <c r="AG7760">
        <v>-1.12033962540329</v>
      </c>
      <c r="AH7760">
        <v>22.253043831863401</v>
      </c>
      <c r="AI7760">
        <v>92.881481625279804</v>
      </c>
      <c r="AJ7760">
        <v>91.233754548632206</v>
      </c>
      <c r="AK7760">
        <v>22.286381532708301</v>
      </c>
      <c r="AL7760">
        <v>96.265143348829994</v>
      </c>
      <c r="AM7760">
        <v>90.592877521487694</v>
      </c>
      <c r="AN7760">
        <v>0.99999998693485603</v>
      </c>
    </row>
    <row r="7761" spans="1:40" x14ac:dyDescent="0.25">
      <c r="A7761" t="str">
        <f>"20190303155001215"</f>
        <v>20190303155001215</v>
      </c>
      <c r="B7761" t="str">
        <f>"1551599401208390"</f>
        <v>1551599401208390</v>
      </c>
      <c r="C7761" t="s">
        <v>40</v>
      </c>
      <c r="D7761">
        <v>5.0256480000000003</v>
      </c>
      <c r="E7761">
        <v>0.49507119999999999</v>
      </c>
      <c r="F7761" t="s">
        <v>73</v>
      </c>
      <c r="G7761">
        <v>-210.24100000000001</v>
      </c>
      <c r="H7761" s="1">
        <v>4.5986079999999998E-7</v>
      </c>
      <c r="I7761">
        <v>-62.14143</v>
      </c>
      <c r="J7761">
        <v>-232.60210000000001</v>
      </c>
      <c r="K7761">
        <v>1.1203379999999901</v>
      </c>
      <c r="L7761">
        <v>-62.738709999999998</v>
      </c>
      <c r="M7761">
        <v>0.99991759999999996</v>
      </c>
      <c r="N7761">
        <v>-1.187036E-2</v>
      </c>
      <c r="O7761">
        <v>4.9006789999999998E-3</v>
      </c>
      <c r="P7761">
        <v>0.99255079999999996</v>
      </c>
      <c r="Q7761">
        <v>-0.1208456</v>
      </c>
      <c r="R7761">
        <v>1.5464520000000001E-2</v>
      </c>
      <c r="S7761">
        <v>3.0031129999999999</v>
      </c>
      <c r="T7761">
        <v>-0.14952960000000001</v>
      </c>
      <c r="U7761">
        <v>7.9803470000000001E-2</v>
      </c>
      <c r="V7761">
        <v>-1.0615650000000001E-2</v>
      </c>
      <c r="W7761">
        <v>-0.10905289999999999</v>
      </c>
      <c r="X7761">
        <v>0.99397930000000001</v>
      </c>
      <c r="Y7761">
        <v>-2.1634939999999998E-2</v>
      </c>
      <c r="Z7761">
        <v>4.8104760000000001E-4</v>
      </c>
      <c r="AA7761">
        <v>0.99976580000000004</v>
      </c>
      <c r="AB7761">
        <v>28</v>
      </c>
      <c r="AC7761">
        <v>22.3611</v>
      </c>
      <c r="AD7761">
        <v>-1.12033754013919</v>
      </c>
      <c r="AE7761">
        <v>0.59727999999999004</v>
      </c>
      <c r="AF7761">
        <v>-0.48646028834256499</v>
      </c>
      <c r="AG7761">
        <v>-1.12033754013919</v>
      </c>
      <c r="AH7761">
        <v>22.307801202827498</v>
      </c>
      <c r="AI7761">
        <v>92.8743983893945</v>
      </c>
      <c r="AJ7761">
        <v>91.249235833940503</v>
      </c>
      <c r="AK7761">
        <v>22.341212910691599</v>
      </c>
      <c r="AL7761">
        <v>96.260722056452906</v>
      </c>
      <c r="AM7761">
        <v>90.611892841348507</v>
      </c>
      <c r="AN7761">
        <v>1.00000003792591</v>
      </c>
    </row>
    <row r="7762" spans="1:40" x14ac:dyDescent="0.25">
      <c r="A7762" t="str">
        <f>"20190303155001224"</f>
        <v>20190303155001224</v>
      </c>
      <c r="B7762" t="str">
        <f>"1551599401218150"</f>
        <v>1551599401218150</v>
      </c>
      <c r="C7762" t="s">
        <v>40</v>
      </c>
      <c r="D7762">
        <v>4.9909460000000001</v>
      </c>
      <c r="E7762">
        <v>0.49506939999999999</v>
      </c>
      <c r="F7762" t="s">
        <v>73</v>
      </c>
      <c r="G7762">
        <v>-210.07300000000001</v>
      </c>
      <c r="H7762" s="1">
        <v>5.3287700000000001E-7</v>
      </c>
      <c r="I7762">
        <v>-62.137909999999998</v>
      </c>
      <c r="J7762">
        <v>-232.47319999999999</v>
      </c>
      <c r="K7762">
        <v>1.120341</v>
      </c>
      <c r="L7762">
        <v>-62.738100000000003</v>
      </c>
      <c r="M7762">
        <v>0.99991850000000004</v>
      </c>
      <c r="N7762">
        <v>-1.1818179999999999E-2</v>
      </c>
      <c r="O7762">
        <v>4.8755999999999999E-3</v>
      </c>
      <c r="P7762">
        <v>0.99258840000000004</v>
      </c>
      <c r="Q7762">
        <v>-0.1204717</v>
      </c>
      <c r="R7762">
        <v>1.5977020000000001E-2</v>
      </c>
      <c r="S7762">
        <v>3.003098</v>
      </c>
      <c r="T7762">
        <v>-0.14933959999999999</v>
      </c>
      <c r="U7762">
        <v>8.0078129999999997E-2</v>
      </c>
      <c r="V7762">
        <v>-1.115258E-2</v>
      </c>
      <c r="W7762">
        <v>-0.1087303</v>
      </c>
      <c r="X7762">
        <v>0.99400869999999997</v>
      </c>
      <c r="Y7762">
        <v>-2.175142E-2</v>
      </c>
      <c r="Z7762">
        <v>4.843871E-4</v>
      </c>
      <c r="AA7762">
        <v>0.99976330000000002</v>
      </c>
      <c r="AB7762">
        <v>28</v>
      </c>
      <c r="AC7762">
        <v>22.400200000000002</v>
      </c>
      <c r="AD7762">
        <v>-1.120340467123</v>
      </c>
      <c r="AE7762">
        <v>0.600190000000004</v>
      </c>
      <c r="AF7762">
        <v>-0.489736661431659</v>
      </c>
      <c r="AG7762">
        <v>-1.120340467123</v>
      </c>
      <c r="AH7762">
        <v>22.3469998389041</v>
      </c>
      <c r="AI7762">
        <v>92.869365572139998</v>
      </c>
      <c r="AJ7762">
        <v>91.255441587464304</v>
      </c>
      <c r="AK7762">
        <v>22.380424628675101</v>
      </c>
      <c r="AL7762">
        <v>96.242128252975604</v>
      </c>
      <c r="AM7762">
        <v>90.642820282765896</v>
      </c>
      <c r="AN7762">
        <v>0.99999997692721698</v>
      </c>
    </row>
    <row r="7763" spans="1:40" x14ac:dyDescent="0.25">
      <c r="A7763" t="str">
        <f>"20190303155001235"</f>
        <v>20190303155001235</v>
      </c>
      <c r="B7763" t="str">
        <f>"1551599401227910"</f>
        <v>1551599401227910</v>
      </c>
      <c r="C7763" t="s">
        <v>40</v>
      </c>
      <c r="D7763">
        <v>5.0200719999999999</v>
      </c>
      <c r="E7763">
        <v>0.4951448</v>
      </c>
      <c r="F7763" t="s">
        <v>64</v>
      </c>
      <c r="G7763">
        <v>-209.851</v>
      </c>
      <c r="H7763" s="1">
        <v>-5.0221599999999995E-7</v>
      </c>
      <c r="I7763">
        <v>-62.123829999999998</v>
      </c>
      <c r="J7763">
        <v>-232.33330000000001</v>
      </c>
      <c r="K7763">
        <v>1.1203399999999999</v>
      </c>
      <c r="L7763">
        <v>-62.737459999999999</v>
      </c>
      <c r="M7763">
        <v>0.99991909999999895</v>
      </c>
      <c r="N7763">
        <v>-1.1766739999999999E-2</v>
      </c>
      <c r="O7763">
        <v>4.8487879999999997E-3</v>
      </c>
      <c r="P7763">
        <v>0.99263259999999998</v>
      </c>
      <c r="Q7763">
        <v>-0.1200753</v>
      </c>
      <c r="R7763">
        <v>1.620833E-2</v>
      </c>
      <c r="S7763">
        <v>3.0030209999999999</v>
      </c>
      <c r="T7763">
        <v>-0.1487213</v>
      </c>
      <c r="U7763">
        <v>8.1542970000000006E-2</v>
      </c>
      <c r="V7763">
        <v>-1.1410379999999999E-2</v>
      </c>
      <c r="W7763">
        <v>-0.1083846</v>
      </c>
      <c r="X7763">
        <v>0.99404349999999997</v>
      </c>
      <c r="Y7763">
        <v>-2.2265679999999999E-2</v>
      </c>
      <c r="Z7763">
        <v>4.9911309999999996E-4</v>
      </c>
      <c r="AA7763">
        <v>0.99975199999999997</v>
      </c>
      <c r="AB7763">
        <v>28</v>
      </c>
      <c r="AC7763">
        <v>22.482299999999999</v>
      </c>
      <c r="AD7763">
        <v>-1.12034050221599</v>
      </c>
      <c r="AE7763">
        <v>0.61362999999999301</v>
      </c>
      <c r="AF7763">
        <v>-0.50335432221007703</v>
      </c>
      <c r="AG7763">
        <v>-1.12034050221599</v>
      </c>
      <c r="AH7763">
        <v>22.4293552435709</v>
      </c>
      <c r="AI7763">
        <v>92.858814203593695</v>
      </c>
      <c r="AJ7763">
        <v>91.2856026313885</v>
      </c>
      <c r="AK7763">
        <v>22.462958510777099</v>
      </c>
      <c r="AL7763">
        <v>96.222203522664799</v>
      </c>
      <c r="AM7763">
        <v>90.657655228462005</v>
      </c>
      <c r="AN7763">
        <v>0.99999994909057499</v>
      </c>
    </row>
    <row r="7764" spans="1:40" x14ac:dyDescent="0.25">
      <c r="A7764" t="str">
        <f>"20190303155001247"</f>
        <v>20190303155001247</v>
      </c>
      <c r="B7764" t="str">
        <f>"1551599401238647"</f>
        <v>1551599401238647</v>
      </c>
      <c r="C7764" t="s">
        <v>40</v>
      </c>
      <c r="D7764">
        <v>4.9838969999999998</v>
      </c>
      <c r="E7764">
        <v>0.49518570000000001</v>
      </c>
      <c r="F7764" t="s">
        <v>64</v>
      </c>
      <c r="G7764">
        <v>-209.59360000000001</v>
      </c>
      <c r="H7764" s="1">
        <v>-5.9926909999999996E-7</v>
      </c>
      <c r="I7764">
        <v>-62.119079999999997</v>
      </c>
      <c r="J7764">
        <v>-232.1996</v>
      </c>
      <c r="K7764">
        <v>1.120341</v>
      </c>
      <c r="L7764">
        <v>-62.736849999999997</v>
      </c>
      <c r="M7764">
        <v>0.99991980000000003</v>
      </c>
      <c r="N7764">
        <v>-1.1723529999999999E-2</v>
      </c>
      <c r="O7764">
        <v>4.8229989999999997E-3</v>
      </c>
      <c r="P7764">
        <v>0.99264699999999995</v>
      </c>
      <c r="Q7764">
        <v>-0.1199349</v>
      </c>
      <c r="R7764">
        <v>1.6362109999999999E-2</v>
      </c>
      <c r="S7764">
        <v>3.0030359999999998</v>
      </c>
      <c r="T7764">
        <v>-0.14795369999999999</v>
      </c>
      <c r="U7764">
        <v>8.1665039999999994E-2</v>
      </c>
      <c r="V7764">
        <v>-1.158968E-2</v>
      </c>
      <c r="W7764">
        <v>-0.10828690000000001</v>
      </c>
      <c r="X7764">
        <v>0.99405209999999999</v>
      </c>
      <c r="Y7764">
        <v>-2.2332109999999999E-2</v>
      </c>
      <c r="Z7764">
        <v>4.9980909999999996E-4</v>
      </c>
      <c r="AA7764">
        <v>0.99975049999999999</v>
      </c>
      <c r="AB7764">
        <v>28</v>
      </c>
      <c r="AC7764">
        <v>22.605999999999899</v>
      </c>
      <c r="AD7764">
        <v>-1.1203415992690999</v>
      </c>
      <c r="AE7764">
        <v>0.61776999999999205</v>
      </c>
      <c r="AF7764">
        <v>-0.50748110653886402</v>
      </c>
      <c r="AG7764">
        <v>-1.1203415992690999</v>
      </c>
      <c r="AH7764">
        <v>22.553363820995902</v>
      </c>
      <c r="AI7764">
        <v>92.843119995181198</v>
      </c>
      <c r="AJ7764">
        <v>91.2890148031249</v>
      </c>
      <c r="AK7764">
        <v>22.5868749944466</v>
      </c>
      <c r="AL7764">
        <v>96.216572418506999</v>
      </c>
      <c r="AM7764">
        <v>90.667982758727604</v>
      </c>
      <c r="AN7764">
        <v>0.99999997545426</v>
      </c>
    </row>
    <row r="7765" spans="1:40" x14ac:dyDescent="0.25">
      <c r="A7765" t="str">
        <f>"20190303155001258"</f>
        <v>20190303155001258</v>
      </c>
      <c r="B7765" t="str">
        <f>"1551599401248407"</f>
        <v>1551599401248407</v>
      </c>
      <c r="C7765" t="s">
        <v>40</v>
      </c>
      <c r="D7765">
        <v>4.9995339999999997</v>
      </c>
      <c r="E7765">
        <v>0.49523129999999999</v>
      </c>
      <c r="F7765" t="s">
        <v>64</v>
      </c>
      <c r="G7765">
        <v>-209.50489999999999</v>
      </c>
      <c r="H7765" s="1">
        <v>-6.3299440000000003E-7</v>
      </c>
      <c r="I7765">
        <v>-62.118519999999997</v>
      </c>
      <c r="J7765">
        <v>-232.0539</v>
      </c>
      <c r="K7765">
        <v>1.120339</v>
      </c>
      <c r="L7765">
        <v>-62.736150000000002</v>
      </c>
      <c r="M7765">
        <v>0.99992040000000004</v>
      </c>
      <c r="N7765">
        <v>-1.168042E-2</v>
      </c>
      <c r="O7765">
        <v>4.7948230000000001E-3</v>
      </c>
      <c r="P7765">
        <v>0.99266319999999997</v>
      </c>
      <c r="Q7765">
        <v>-0.11981070000000001</v>
      </c>
      <c r="R7765">
        <v>1.6287340000000001E-2</v>
      </c>
      <c r="S7765">
        <v>3.0029750000000002</v>
      </c>
      <c r="T7765">
        <v>-0.1482444</v>
      </c>
      <c r="U7765">
        <v>8.1817630000000002E-2</v>
      </c>
      <c r="V7765">
        <v>-1.154285E-2</v>
      </c>
      <c r="W7765">
        <v>-0.10820539999999899</v>
      </c>
      <c r="X7765">
        <v>0.99406150000000004</v>
      </c>
      <c r="Y7765">
        <v>-2.241139E-2</v>
      </c>
      <c r="Z7765">
        <v>5.0321820000000001E-4</v>
      </c>
      <c r="AA7765">
        <v>0.99974870000000005</v>
      </c>
      <c r="AB7765">
        <v>28</v>
      </c>
      <c r="AC7765">
        <v>22.548999999999999</v>
      </c>
      <c r="AD7765">
        <v>-1.1203396329944</v>
      </c>
      <c r="AE7765">
        <v>0.61763000000000501</v>
      </c>
      <c r="AF7765">
        <v>-0.50824337961396804</v>
      </c>
      <c r="AG7765">
        <v>-1.1203396329944</v>
      </c>
      <c r="AH7765">
        <v>22.4962106279722</v>
      </c>
      <c r="AI7765">
        <v>92.8503204104058</v>
      </c>
      <c r="AJ7765">
        <v>91.294228976534995</v>
      </c>
      <c r="AK7765">
        <v>22.529823897320401</v>
      </c>
      <c r="AL7765">
        <v>96.211875334229603</v>
      </c>
      <c r="AM7765">
        <v>90.665277617625705</v>
      </c>
      <c r="AN7765">
        <v>0.999999955878765</v>
      </c>
    </row>
    <row r="7766" spans="1:40" x14ac:dyDescent="0.25">
      <c r="A7766" t="str">
        <f>"20190303155001270"</f>
        <v>20190303155001270</v>
      </c>
      <c r="B7766" t="str">
        <f>"1551599401258674"</f>
        <v>1551599401258674</v>
      </c>
      <c r="C7766" t="s">
        <v>40</v>
      </c>
      <c r="D7766">
        <v>5.0166029999999999</v>
      </c>
      <c r="E7766">
        <v>0.49526619999999999</v>
      </c>
      <c r="F7766" t="s">
        <v>64</v>
      </c>
      <c r="G7766">
        <v>-209.33940000000001</v>
      </c>
      <c r="H7766" s="1">
        <v>-6.9702729999999999E-7</v>
      </c>
      <c r="I7766">
        <v>-62.121670000000002</v>
      </c>
      <c r="J7766">
        <v>-231.90719999999999</v>
      </c>
      <c r="K7766">
        <v>1.1203369999999999</v>
      </c>
      <c r="L7766">
        <v>-62.7354699999999</v>
      </c>
      <c r="M7766">
        <v>0.9999209</v>
      </c>
      <c r="N7766">
        <v>-1.164389E-2</v>
      </c>
      <c r="O7766">
        <v>4.7664279999999996E-3</v>
      </c>
      <c r="P7766">
        <v>0.99267950000000005</v>
      </c>
      <c r="Q7766">
        <v>-0.1196528</v>
      </c>
      <c r="R7766">
        <v>1.6454719999999999E-2</v>
      </c>
      <c r="S7766">
        <v>3.0029750000000002</v>
      </c>
      <c r="T7766">
        <v>-0.1481152</v>
      </c>
      <c r="U7766">
        <v>8.1237790000000004E-2</v>
      </c>
      <c r="V7766">
        <v>-1.17383E-2</v>
      </c>
      <c r="W7766">
        <v>-0.1080836</v>
      </c>
      <c r="X7766">
        <v>0.99407250000000003</v>
      </c>
      <c r="Y7766">
        <v>-2.224719E-2</v>
      </c>
      <c r="Z7766">
        <v>4.9842400000000002E-4</v>
      </c>
      <c r="AA7766">
        <v>0.99975239999999999</v>
      </c>
      <c r="AB7766">
        <v>28</v>
      </c>
      <c r="AC7766">
        <v>22.567799999999899</v>
      </c>
      <c r="AD7766">
        <v>-1.1203376970273</v>
      </c>
      <c r="AE7766">
        <v>0.61379999999999701</v>
      </c>
      <c r="AF7766">
        <v>-0.50497438307324005</v>
      </c>
      <c r="AG7766">
        <v>-1.1203376970273</v>
      </c>
      <c r="AH7766">
        <v>22.515023376129101</v>
      </c>
      <c r="AI7766">
        <v>92.847948289513496</v>
      </c>
      <c r="AJ7766">
        <v>91.284833265341902</v>
      </c>
      <c r="AK7766">
        <v>22.5485350590805</v>
      </c>
      <c r="AL7766">
        <v>96.204855302158904</v>
      </c>
      <c r="AM7766">
        <v>90.676533946826197</v>
      </c>
      <c r="AN7766">
        <v>0.99999999376604998</v>
      </c>
    </row>
    <row r="7767" spans="1:40" x14ac:dyDescent="0.25">
      <c r="A7767" t="str">
        <f>"20190303155001283"</f>
        <v>20190303155001283</v>
      </c>
      <c r="B7767" t="str">
        <f>"1551599401278192"</f>
        <v>1551599401278192</v>
      </c>
      <c r="C7767" t="s">
        <v>40</v>
      </c>
      <c r="D7767">
        <v>5.0051899999999998</v>
      </c>
      <c r="E7767">
        <v>0.49533779999999999</v>
      </c>
      <c r="F7767" t="s">
        <v>64</v>
      </c>
      <c r="G7767">
        <v>-209.15559999999999</v>
      </c>
      <c r="H7767" s="1">
        <v>-7.6631529999999999E-7</v>
      </c>
      <c r="I7767">
        <v>-62.118119999999998</v>
      </c>
      <c r="J7767">
        <v>-231.75450000000001</v>
      </c>
      <c r="K7767">
        <v>1.120336</v>
      </c>
      <c r="L7767">
        <v>-62.7348</v>
      </c>
      <c r="M7767">
        <v>0.99992150000000002</v>
      </c>
      <c r="N7767">
        <v>-1.1608149999999999E-2</v>
      </c>
      <c r="O7767">
        <v>4.737074E-3</v>
      </c>
      <c r="P7767">
        <v>0.99269600000000002</v>
      </c>
      <c r="Q7767">
        <v>-0.1195036</v>
      </c>
      <c r="R7767">
        <v>1.6552839999999999E-2</v>
      </c>
      <c r="S7767">
        <v>3.0029140000000001</v>
      </c>
      <c r="T7767">
        <v>-0.14786959999999999</v>
      </c>
      <c r="U7767">
        <v>8.1481929999999994E-2</v>
      </c>
      <c r="V7767">
        <v>-1.186595E-2</v>
      </c>
      <c r="W7767">
        <v>-0.1079697</v>
      </c>
      <c r="X7767">
        <v>0.9940833</v>
      </c>
      <c r="Y7767">
        <v>-2.235823E-2</v>
      </c>
      <c r="Z7767">
        <v>5.0182340000000001E-4</v>
      </c>
      <c r="AA7767">
        <v>0.99974989999999997</v>
      </c>
      <c r="AB7767">
        <v>28</v>
      </c>
      <c r="AC7767">
        <v>22.5989</v>
      </c>
      <c r="AD7767">
        <v>-1.1203367663153001</v>
      </c>
      <c r="AE7767">
        <v>0.616680000000002</v>
      </c>
      <c r="AF7767">
        <v>-0.50836475509172396</v>
      </c>
      <c r="AG7767">
        <v>-1.1203367663153001</v>
      </c>
      <c r="AH7767">
        <v>22.5461981039007</v>
      </c>
      <c r="AI7767">
        <v>92.844006912031205</v>
      </c>
      <c r="AJ7767">
        <v>91.291668787081605</v>
      </c>
      <c r="AK7767">
        <v>22.579739549749299</v>
      </c>
      <c r="AL7767">
        <v>96.198291281564195</v>
      </c>
      <c r="AM7767">
        <v>90.683882897963798</v>
      </c>
      <c r="AN7767">
        <v>0.99999993211318805</v>
      </c>
    </row>
    <row r="7768" spans="1:40" x14ac:dyDescent="0.25">
      <c r="A7768" t="str">
        <f>"20190303155001292"</f>
        <v>20190303155001292</v>
      </c>
      <c r="B7768" t="str">
        <f>"1551599401287953"</f>
        <v>1551599401287953</v>
      </c>
      <c r="C7768" t="s">
        <v>40</v>
      </c>
      <c r="D7768">
        <v>5.0207069999999998</v>
      </c>
      <c r="E7768">
        <v>0.49534600000000001</v>
      </c>
      <c r="F7768" t="s">
        <v>64</v>
      </c>
      <c r="G7768">
        <v>-209.10910000000001</v>
      </c>
      <c r="H7768" s="1">
        <v>-7.8514530000000001E-7</v>
      </c>
      <c r="I7768">
        <v>-62.122160000000001</v>
      </c>
      <c r="J7768">
        <v>-231.61490000000001</v>
      </c>
      <c r="K7768">
        <v>1.120339</v>
      </c>
      <c r="L7768">
        <v>-62.73413</v>
      </c>
      <c r="M7768">
        <v>0.99992199999999998</v>
      </c>
      <c r="N7768">
        <v>-1.1580389999999999E-2</v>
      </c>
      <c r="O7768">
        <v>4.7101770000000003E-3</v>
      </c>
      <c r="P7768">
        <v>0.99270590000000003</v>
      </c>
      <c r="Q7768">
        <v>-0.1194036</v>
      </c>
      <c r="R7768">
        <v>1.6669369999999999E-2</v>
      </c>
      <c r="S7768">
        <v>3.0028380000000001</v>
      </c>
      <c r="T7768">
        <v>-0.14855950000000001</v>
      </c>
      <c r="U7768">
        <v>8.1237790000000004E-2</v>
      </c>
      <c r="V7768">
        <v>-1.200873E-2</v>
      </c>
      <c r="W7768">
        <v>-0.1078971</v>
      </c>
      <c r="X7768">
        <v>0.99408949999999996</v>
      </c>
      <c r="Y7768">
        <v>-2.230443E-2</v>
      </c>
      <c r="Z7768">
        <v>5.0224379999999895E-4</v>
      </c>
      <c r="AA7768">
        <v>0.9997511</v>
      </c>
      <c r="AB7768">
        <v>28</v>
      </c>
      <c r="AC7768">
        <v>22.505799999999901</v>
      </c>
      <c r="AD7768">
        <v>-1.1203397851453001</v>
      </c>
      <c r="AE7768">
        <v>0.61197000000000601</v>
      </c>
      <c r="AF7768">
        <v>-0.50470006653596</v>
      </c>
      <c r="AG7768">
        <v>-1.1203397851453001</v>
      </c>
      <c r="AH7768">
        <v>22.4528347827126</v>
      </c>
      <c r="AI7768">
        <v>92.855825456560694</v>
      </c>
      <c r="AJ7768">
        <v>91.287691071094201</v>
      </c>
      <c r="AK7768">
        <v>22.486433091335901</v>
      </c>
      <c r="AL7768">
        <v>96.1941069669586</v>
      </c>
      <c r="AM7768">
        <v>90.692106777434404</v>
      </c>
      <c r="AN7768">
        <v>0.99999996389743495</v>
      </c>
    </row>
    <row r="7769" spans="1:40" x14ac:dyDescent="0.25">
      <c r="A7769" t="str">
        <f>"20190303155001304"</f>
        <v>20190303155001304</v>
      </c>
      <c r="B7769" t="str">
        <f>"1551599401298689"</f>
        <v>1551599401298689</v>
      </c>
      <c r="C7769" t="s">
        <v>40</v>
      </c>
      <c r="D7769">
        <v>5.0336540000000003</v>
      </c>
      <c r="E7769">
        <v>0.49540499999999998</v>
      </c>
      <c r="F7769" t="s">
        <v>64</v>
      </c>
      <c r="G7769">
        <v>-209.08199999999999</v>
      </c>
      <c r="H7769" s="1">
        <v>-7.9713479999999999E-7</v>
      </c>
      <c r="I7769">
        <v>-62.122</v>
      </c>
      <c r="J7769">
        <v>-231.4753</v>
      </c>
      <c r="K7769">
        <v>1.1203379999999901</v>
      </c>
      <c r="L7769">
        <v>-62.733519999999999</v>
      </c>
      <c r="M7769">
        <v>0.99992239999999999</v>
      </c>
      <c r="N7769">
        <v>-1.1554200000000001E-2</v>
      </c>
      <c r="O7769">
        <v>4.6832109999999996E-3</v>
      </c>
      <c r="P7769">
        <v>0.99271909999999997</v>
      </c>
      <c r="Q7769">
        <v>-0.1192763</v>
      </c>
      <c r="R7769">
        <v>1.679131E-2</v>
      </c>
      <c r="S7769">
        <v>3.0027159999999999</v>
      </c>
      <c r="T7769">
        <v>-0.14929539999999999</v>
      </c>
      <c r="U7769">
        <v>8.1573489999999999E-2</v>
      </c>
      <c r="V7769">
        <v>-1.215723E-2</v>
      </c>
      <c r="W7769">
        <v>-0.1077958</v>
      </c>
      <c r="X7769">
        <v>0.9940987</v>
      </c>
      <c r="Y7769">
        <v>-2.2443709999999999E-2</v>
      </c>
      <c r="Z7769">
        <v>5.0871049999999995E-4</v>
      </c>
      <c r="AA7769">
        <v>0.99974799999999997</v>
      </c>
      <c r="AB7769">
        <v>28</v>
      </c>
      <c r="AC7769">
        <v>22.3933</v>
      </c>
      <c r="AD7769">
        <v>-1.12033879713479</v>
      </c>
      <c r="AE7769">
        <v>0.61151999999999795</v>
      </c>
      <c r="AF7769">
        <v>-0.50536975283104701</v>
      </c>
      <c r="AG7769">
        <v>-1.12033879713479</v>
      </c>
      <c r="AH7769">
        <v>22.340042785668999</v>
      </c>
      <c r="AI7769">
        <v>92.870208309044202</v>
      </c>
      <c r="AJ7769">
        <v>91.295906927009</v>
      </c>
      <c r="AK7769">
        <v>22.373825539521999</v>
      </c>
      <c r="AL7769">
        <v>96.188268759777998</v>
      </c>
      <c r="AM7769">
        <v>90.700658040660201</v>
      </c>
      <c r="AN7769">
        <v>0.99999997904030102</v>
      </c>
    </row>
    <row r="7770" spans="1:40" x14ac:dyDescent="0.25">
      <c r="A7770" t="str">
        <f>"20190303155001316"</f>
        <v>20190303155001316</v>
      </c>
      <c r="B7770" t="str">
        <f>"1551599401308449"</f>
        <v>1551599401308449</v>
      </c>
      <c r="C7770" t="s">
        <v>40</v>
      </c>
      <c r="D7770">
        <v>5.0075519999999996</v>
      </c>
      <c r="E7770">
        <v>0.49541390000000002</v>
      </c>
      <c r="F7770" t="s">
        <v>64</v>
      </c>
      <c r="G7770">
        <v>-209.0179</v>
      </c>
      <c r="H7770" s="1">
        <v>-8.380935E-7</v>
      </c>
      <c r="I7770">
        <v>-62.123649999999998</v>
      </c>
      <c r="J7770">
        <v>-231.32249999999999</v>
      </c>
      <c r="K7770">
        <v>1.1203369999999999</v>
      </c>
      <c r="L7770">
        <v>-62.732849999999999</v>
      </c>
      <c r="M7770">
        <v>0.9999228</v>
      </c>
      <c r="N7770">
        <v>-1.152886E-2</v>
      </c>
      <c r="O7770">
        <v>4.6537970000000003E-3</v>
      </c>
      <c r="P7770">
        <v>0.99276359999999997</v>
      </c>
      <c r="Q7770">
        <v>-0.11889619999999999</v>
      </c>
      <c r="R7770">
        <v>1.6854009999999999E-2</v>
      </c>
      <c r="S7770">
        <v>3.00264</v>
      </c>
      <c r="T7770">
        <v>-0.14979329999999999</v>
      </c>
      <c r="U7770">
        <v>8.1542970000000006E-2</v>
      </c>
      <c r="V7770">
        <v>-1.224919E-2</v>
      </c>
      <c r="W7770">
        <v>-0.1074403</v>
      </c>
      <c r="X7770">
        <v>0.99413609999999997</v>
      </c>
      <c r="Y7770">
        <v>-2.2463440000000001E-2</v>
      </c>
      <c r="Z7770">
        <v>5.111305E-4</v>
      </c>
      <c r="AA7770">
        <v>0.99974750000000001</v>
      </c>
      <c r="AB7770">
        <v>28</v>
      </c>
      <c r="AC7770">
        <v>22.304599999999901</v>
      </c>
      <c r="AD7770">
        <v>-1.1203378380935001</v>
      </c>
      <c r="AE7770">
        <v>0.60920000000000096</v>
      </c>
      <c r="AF7770">
        <v>-0.50411452270423196</v>
      </c>
      <c r="AG7770">
        <v>-1.1203378380935001</v>
      </c>
      <c r="AH7770">
        <v>22.251097092463699</v>
      </c>
      <c r="AI7770">
        <v>92.881657594453202</v>
      </c>
      <c r="AJ7770">
        <v>91.297854848792099</v>
      </c>
      <c r="AK7770">
        <v>22.284986204656001</v>
      </c>
      <c r="AL7770">
        <v>96.167780851521897</v>
      </c>
      <c r="AM7770">
        <v>90.705930884166193</v>
      </c>
      <c r="AN7770">
        <v>1.0000000230214701</v>
      </c>
    </row>
    <row r="7771" spans="1:40" x14ac:dyDescent="0.25">
      <c r="A7771" t="str">
        <f>"20190303155001328"</f>
        <v>20190303155001328</v>
      </c>
      <c r="B7771" t="str">
        <f>"1551599401318210"</f>
        <v>1551599401318210</v>
      </c>
      <c r="C7771" t="s">
        <v>40</v>
      </c>
      <c r="D7771">
        <v>5.0338419999999999</v>
      </c>
      <c r="E7771">
        <v>0.4954288</v>
      </c>
      <c r="F7771" t="s">
        <v>64</v>
      </c>
      <c r="G7771">
        <v>-208.81229999999999</v>
      </c>
      <c r="H7771" s="1">
        <v>-9.6832889999999992E-7</v>
      </c>
      <c r="I7771">
        <v>-62.120620000000002</v>
      </c>
      <c r="J7771">
        <v>-231.17099999999999</v>
      </c>
      <c r="K7771">
        <v>1.120331</v>
      </c>
      <c r="L7771">
        <v>-62.732149999999997</v>
      </c>
      <c r="M7771">
        <v>0.99992309999999995</v>
      </c>
      <c r="N7771">
        <v>-1.1506250000000001E-2</v>
      </c>
      <c r="O7771">
        <v>4.6241249999999998E-3</v>
      </c>
      <c r="P7771">
        <v>0.99279550000000005</v>
      </c>
      <c r="Q7771">
        <v>-0.1186059</v>
      </c>
      <c r="R7771">
        <v>1.702217E-2</v>
      </c>
      <c r="S7771">
        <v>3.0025940000000002</v>
      </c>
      <c r="T7771">
        <v>-0.149440299999999</v>
      </c>
      <c r="U7771">
        <v>8.1665039999999994E-2</v>
      </c>
      <c r="V7771">
        <v>-1.2446749999999999E-2</v>
      </c>
      <c r="W7771">
        <v>-0.10717210000000001</v>
      </c>
      <c r="X7771">
        <v>0.99416260000000001</v>
      </c>
      <c r="Y7771">
        <v>-2.2534149999999999E-2</v>
      </c>
      <c r="Z7771">
        <v>5.1330370000000002E-4</v>
      </c>
      <c r="AA7771">
        <v>0.99974600000000002</v>
      </c>
      <c r="AB7771">
        <v>28</v>
      </c>
      <c r="AC7771">
        <v>22.358699999999999</v>
      </c>
      <c r="AD7771">
        <v>-1.1203319683288999</v>
      </c>
      <c r="AE7771">
        <v>0.61153000000000102</v>
      </c>
      <c r="AF7771">
        <v>-0.50685556455088798</v>
      </c>
      <c r="AG7771">
        <v>-1.1203319683288999</v>
      </c>
      <c r="AH7771">
        <v>22.305328064123401</v>
      </c>
      <c r="AI7771">
        <v>92.874643734012494</v>
      </c>
      <c r="AJ7771">
        <v>91.301737758321096</v>
      </c>
      <c r="AK7771">
        <v>22.339196635750898</v>
      </c>
      <c r="AL7771">
        <v>96.152324851045705</v>
      </c>
      <c r="AM7771">
        <v>90.717296130597205</v>
      </c>
      <c r="AN7771">
        <v>1.0000000279213599</v>
      </c>
    </row>
    <row r="7772" spans="1:40" x14ac:dyDescent="0.25">
      <c r="A7772" t="str">
        <f>"20190303155001340"</f>
        <v>20190303155001340</v>
      </c>
      <c r="B7772" t="str">
        <f>"1551599401327969"</f>
        <v>1551599401327969</v>
      </c>
      <c r="C7772" t="s">
        <v>40</v>
      </c>
      <c r="D7772">
        <v>5.006939</v>
      </c>
      <c r="E7772">
        <v>0.49542449999999999</v>
      </c>
      <c r="F7772" t="s">
        <v>64</v>
      </c>
      <c r="G7772">
        <v>-208.6337</v>
      </c>
      <c r="H7772" s="1">
        <v>-1.0812539999999999E-6</v>
      </c>
      <c r="I7772">
        <v>-62.115960000000001</v>
      </c>
      <c r="J7772">
        <v>-231.01519999999999</v>
      </c>
      <c r="K7772">
        <v>1.120331</v>
      </c>
      <c r="L7772">
        <v>-62.731479999999998</v>
      </c>
      <c r="M7772">
        <v>0.99992360000000002</v>
      </c>
      <c r="N7772">
        <v>-1.148442E-2</v>
      </c>
      <c r="O7772">
        <v>4.5929559999999996E-3</v>
      </c>
      <c r="P7772">
        <v>0.99280760000000001</v>
      </c>
      <c r="Q7772">
        <v>-0.118518899999999</v>
      </c>
      <c r="R7772">
        <v>1.6931120000000001E-2</v>
      </c>
      <c r="S7772">
        <v>3.0025179999999998</v>
      </c>
      <c r="T7772">
        <v>-0.14925550000000001</v>
      </c>
      <c r="U7772">
        <v>8.2092289999999998E-2</v>
      </c>
      <c r="V7772">
        <v>-1.238617E-2</v>
      </c>
      <c r="W7772">
        <v>-0.1071067</v>
      </c>
      <c r="X7772">
        <v>0.99417040000000001</v>
      </c>
      <c r="Y7772">
        <v>-2.2707950000000001E-2</v>
      </c>
      <c r="Z7772">
        <v>5.1906230000000003E-4</v>
      </c>
      <c r="AA7772">
        <v>0.99974200000000002</v>
      </c>
      <c r="AB7772">
        <v>28</v>
      </c>
      <c r="AC7772">
        <v>22.3814999999999</v>
      </c>
      <c r="AD7772">
        <v>-1.1203320812540001</v>
      </c>
      <c r="AE7772">
        <v>0.61552000000000295</v>
      </c>
      <c r="AF7772">
        <v>-0.51142901411925401</v>
      </c>
      <c r="AG7772">
        <v>-1.1203320812540001</v>
      </c>
      <c r="AH7772">
        <v>22.328187471795999</v>
      </c>
      <c r="AI7772">
        <v>92.871694046840204</v>
      </c>
      <c r="AJ7772">
        <v>91.312135218792704</v>
      </c>
      <c r="AK7772">
        <v>22.362125556047602</v>
      </c>
      <c r="AL7772">
        <v>96.1485560422134</v>
      </c>
      <c r="AM7772">
        <v>90.713799716579999</v>
      </c>
      <c r="AN7772">
        <v>1.0000000233141499</v>
      </c>
    </row>
    <row r="7773" spans="1:40" x14ac:dyDescent="0.25">
      <c r="A7773" t="str">
        <f>"20190303155001352"</f>
        <v>20190303155001352</v>
      </c>
      <c r="B7773" t="str">
        <f>"1551599401348465"</f>
        <v>1551599401348465</v>
      </c>
      <c r="C7773" t="s">
        <v>40</v>
      </c>
      <c r="D7773">
        <v>5.0139950000000004</v>
      </c>
      <c r="E7773">
        <v>0.49546829999999997</v>
      </c>
      <c r="F7773" t="s">
        <v>64</v>
      </c>
      <c r="G7773">
        <v>-208.51609999999999</v>
      </c>
      <c r="H7773" s="1">
        <v>-1.156184E-6</v>
      </c>
      <c r="I7773">
        <v>-62.117460000000001</v>
      </c>
      <c r="J7773">
        <v>-230.87639999999999</v>
      </c>
      <c r="K7773">
        <v>1.1203289999999999</v>
      </c>
      <c r="L7773">
        <v>-62.730870000000003</v>
      </c>
      <c r="M7773">
        <v>0.99992400000000004</v>
      </c>
      <c r="N7773">
        <v>-1.1468219999999999E-2</v>
      </c>
      <c r="O7773">
        <v>4.56449E-3</v>
      </c>
      <c r="P7773">
        <v>0.99282420000000005</v>
      </c>
      <c r="Q7773">
        <v>-0.118379399999999</v>
      </c>
      <c r="R7773">
        <v>1.6939280000000001E-2</v>
      </c>
      <c r="S7773">
        <v>3.002472</v>
      </c>
      <c r="T7773">
        <v>-0.14950669999999999</v>
      </c>
      <c r="U7773">
        <v>8.1939699999999893E-2</v>
      </c>
      <c r="V7773">
        <v>-1.2422829999999999E-2</v>
      </c>
      <c r="W7773">
        <v>-0.10698299999999999</v>
      </c>
      <c r="X7773">
        <v>0.99418320000000004</v>
      </c>
      <c r="Y7773">
        <v>-2.2686000000000001E-2</v>
      </c>
      <c r="Z7773">
        <v>5.1979130000000002E-4</v>
      </c>
      <c r="AA7773">
        <v>0.99974249999999998</v>
      </c>
      <c r="AB7773">
        <v>28</v>
      </c>
      <c r="AC7773">
        <v>22.360299999999899</v>
      </c>
      <c r="AD7773">
        <v>-1.120330156184</v>
      </c>
      <c r="AE7773">
        <v>0.61341000000000101</v>
      </c>
      <c r="AF7773">
        <v>-0.51005409051247796</v>
      </c>
      <c r="AG7773">
        <v>-1.120330156184</v>
      </c>
      <c r="AH7773">
        <v>22.306910754256201</v>
      </c>
      <c r="AI7773">
        <v>92.874426207728504</v>
      </c>
      <c r="AJ7773">
        <v>91.309856647450701</v>
      </c>
      <c r="AK7773">
        <v>22.340849630944099</v>
      </c>
      <c r="AL7773">
        <v>96.141427973294796</v>
      </c>
      <c r="AM7773">
        <v>90.715902951317602</v>
      </c>
      <c r="AN7773">
        <v>0.99999996207822295</v>
      </c>
    </row>
    <row r="7774" spans="1:40" x14ac:dyDescent="0.25">
      <c r="A7774" t="str">
        <f>"20190303155001363"</f>
        <v>20190303155001363</v>
      </c>
      <c r="B7774" t="str">
        <f>"1551599401358731"</f>
        <v>1551599401358731</v>
      </c>
      <c r="C7774" t="s">
        <v>40</v>
      </c>
      <c r="D7774">
        <v>5.0169589999999999</v>
      </c>
      <c r="E7774">
        <v>0.49549349999999998</v>
      </c>
      <c r="F7774" t="s">
        <v>64</v>
      </c>
      <c r="G7774">
        <v>-208.499</v>
      </c>
      <c r="H7774" s="1">
        <v>-1.1677550000000001E-6</v>
      </c>
      <c r="I7774">
        <v>-62.122430000000001</v>
      </c>
      <c r="J7774">
        <v>-230.7285</v>
      </c>
      <c r="K7774">
        <v>1.120331</v>
      </c>
      <c r="L7774">
        <v>-62.73019</v>
      </c>
      <c r="M7774">
        <v>0.99992429999999999</v>
      </c>
      <c r="N7774">
        <v>-1.145155E-2</v>
      </c>
      <c r="O7774">
        <v>4.5339400000000002E-3</v>
      </c>
      <c r="P7774">
        <v>0.99281909999999896</v>
      </c>
      <c r="Q7774">
        <v>-0.1183985</v>
      </c>
      <c r="R7774">
        <v>1.7095200000000001E-2</v>
      </c>
      <c r="S7774">
        <v>3.00238</v>
      </c>
      <c r="T7774">
        <v>-0.15031459999999999</v>
      </c>
      <c r="U7774">
        <v>8.1634520000000002E-2</v>
      </c>
      <c r="V7774">
        <v>-1.2609560000000001E-2</v>
      </c>
      <c r="W7774">
        <v>-0.1070188</v>
      </c>
      <c r="X7774">
        <v>0.99417699999999998</v>
      </c>
      <c r="Y7774">
        <v>-2.2615630000000001E-2</v>
      </c>
      <c r="Z7774">
        <v>5.2037280000000001E-4</v>
      </c>
      <c r="AA7774">
        <v>0.99974410000000002</v>
      </c>
      <c r="AB7774">
        <v>28</v>
      </c>
      <c r="AC7774">
        <v>22.229499999999899</v>
      </c>
      <c r="AD7774">
        <v>-1.120332167755</v>
      </c>
      <c r="AE7774">
        <v>0.60775999999999897</v>
      </c>
      <c r="AF7774">
        <v>-0.50567647876704103</v>
      </c>
      <c r="AG7774">
        <v>-1.120332167755</v>
      </c>
      <c r="AH7774">
        <v>22.175742834456301</v>
      </c>
      <c r="AI7774">
        <v>92.891408742749107</v>
      </c>
      <c r="AJ7774">
        <v>91.306297063870701</v>
      </c>
      <c r="AK7774">
        <v>22.209782149477</v>
      </c>
      <c r="AL7774">
        <v>96.143490982475996</v>
      </c>
      <c r="AM7774">
        <v>90.726667215188996</v>
      </c>
      <c r="AN7774">
        <v>0.99999996594291596</v>
      </c>
    </row>
    <row r="7775" spans="1:40" x14ac:dyDescent="0.25">
      <c r="A7775" t="str">
        <f>"20190303155001376"</f>
        <v>20190303155001376</v>
      </c>
      <c r="B7775" t="str">
        <f>"1551599401368491"</f>
        <v>1551599401368491</v>
      </c>
      <c r="C7775" t="s">
        <v>40</v>
      </c>
      <c r="D7775">
        <v>5.0192509999999997</v>
      </c>
      <c r="E7775">
        <v>0.4954963</v>
      </c>
      <c r="F7775" t="s">
        <v>64</v>
      </c>
      <c r="G7775">
        <v>-208.4408</v>
      </c>
      <c r="H7775" s="1">
        <v>-1.2046220000000001E-6</v>
      </c>
      <c r="I7775">
        <v>-62.121450000000003</v>
      </c>
      <c r="J7775">
        <v>-230.5659</v>
      </c>
      <c r="K7775">
        <v>1.1203259999999999</v>
      </c>
      <c r="L7775">
        <v>-62.729520000000001</v>
      </c>
      <c r="M7775">
        <v>0.9999247</v>
      </c>
      <c r="N7775">
        <v>-1.1435549999999999E-2</v>
      </c>
      <c r="O7775">
        <v>4.499388E-3</v>
      </c>
      <c r="P7775">
        <v>0.99284470000000002</v>
      </c>
      <c r="Q7775">
        <v>-0.1181818</v>
      </c>
      <c r="R7775">
        <v>1.7113590000000001E-2</v>
      </c>
      <c r="S7775">
        <v>3.0022739999999999</v>
      </c>
      <c r="T7775">
        <v>-0.150914299999999</v>
      </c>
      <c r="U7775">
        <v>8.2000729999999994E-2</v>
      </c>
      <c r="V7775">
        <v>-1.266246E-2</v>
      </c>
      <c r="W7775">
        <v>-0.1068176</v>
      </c>
      <c r="X7775">
        <v>0.99419800000000003</v>
      </c>
      <c r="Y7775">
        <v>-2.2772529999999999E-2</v>
      </c>
      <c r="Z7775">
        <v>5.2766019999999996E-4</v>
      </c>
      <c r="AA7775">
        <v>0.99974050000000003</v>
      </c>
      <c r="AB7775">
        <v>28</v>
      </c>
      <c r="AC7775">
        <v>22.1251</v>
      </c>
      <c r="AD7775">
        <v>-1.1203272046220001</v>
      </c>
      <c r="AE7775">
        <v>0.60806999999999001</v>
      </c>
      <c r="AF7775">
        <v>-0.50720844127699904</v>
      </c>
      <c r="AG7775">
        <v>-1.1203272046220001</v>
      </c>
      <c r="AH7775">
        <v>22.071064473990798</v>
      </c>
      <c r="AI7775">
        <v>92.905074013411493</v>
      </c>
      <c r="AJ7775">
        <v>91.316465223742995</v>
      </c>
      <c r="AK7775">
        <v>22.1052998274934</v>
      </c>
      <c r="AL7775">
        <v>96.131896398199004</v>
      </c>
      <c r="AM7775">
        <v>90.729700010293101</v>
      </c>
      <c r="AN7775">
        <v>1.0000000003834999</v>
      </c>
    </row>
    <row r="7776" spans="1:40" x14ac:dyDescent="0.25">
      <c r="A7776" t="str">
        <f>"20190303155001388"</f>
        <v>20190303155001388</v>
      </c>
      <c r="B7776" t="str">
        <f>"1551599401378251"</f>
        <v>1551599401378251</v>
      </c>
      <c r="C7776" t="s">
        <v>40</v>
      </c>
      <c r="D7776">
        <v>5.0313759999999998</v>
      </c>
      <c r="E7776">
        <v>0.49548989999999998</v>
      </c>
      <c r="F7776" t="s">
        <v>64</v>
      </c>
      <c r="G7776">
        <v>-208.26230000000001</v>
      </c>
      <c r="H7776" s="1">
        <v>-1.3179609999999999E-6</v>
      </c>
      <c r="I7776">
        <v>-62.120559999999998</v>
      </c>
      <c r="J7776">
        <v>-230.42189999999999</v>
      </c>
      <c r="K7776">
        <v>1.120325</v>
      </c>
      <c r="L7776">
        <v>-62.728879999999997</v>
      </c>
      <c r="M7776">
        <v>0.99992479999999995</v>
      </c>
      <c r="N7776">
        <v>-1.1422740000000001E-2</v>
      </c>
      <c r="O7776">
        <v>4.4686350000000003E-3</v>
      </c>
      <c r="P7776">
        <v>0.99284340000000004</v>
      </c>
      <c r="Q7776">
        <v>-0.1181545</v>
      </c>
      <c r="R7776">
        <v>1.7359739999999999E-2</v>
      </c>
      <c r="S7776">
        <v>3.002243</v>
      </c>
      <c r="T7776">
        <v>-0.15080450000000001</v>
      </c>
      <c r="U7776">
        <v>8.1970210000000002E-2</v>
      </c>
      <c r="V7776">
        <v>-1.293886E-2</v>
      </c>
      <c r="W7776">
        <v>-0.106803</v>
      </c>
      <c r="X7776">
        <v>0.99419599999999997</v>
      </c>
      <c r="Y7776">
        <v>-2.279339E-2</v>
      </c>
      <c r="Z7776">
        <v>5.290437E-4</v>
      </c>
      <c r="AA7776">
        <v>0.99974010000000002</v>
      </c>
      <c r="AB7776">
        <v>28</v>
      </c>
      <c r="AC7776">
        <v>22.159599999999902</v>
      </c>
      <c r="AD7776">
        <v>-1.1203263179609999</v>
      </c>
      <c r="AE7776">
        <v>0.60832000000000597</v>
      </c>
      <c r="AF7776">
        <v>-0.50798685336443306</v>
      </c>
      <c r="AG7776">
        <v>-1.1203263179609999</v>
      </c>
      <c r="AH7776">
        <v>22.105637226051201</v>
      </c>
      <c r="AI7776">
        <v>92.900536060182105</v>
      </c>
      <c r="AJ7776">
        <v>91.316423531990793</v>
      </c>
      <c r="AK7776">
        <v>22.139836920620901</v>
      </c>
      <c r="AL7776">
        <v>96.131055126747697</v>
      </c>
      <c r="AM7776">
        <v>90.745627843153201</v>
      </c>
      <c r="AN7776">
        <v>0.99999999066154899</v>
      </c>
    </row>
    <row r="7777" spans="1:40" x14ac:dyDescent="0.25">
      <c r="A7777" t="str">
        <f>"20190303155001400"</f>
        <v>20190303155001400</v>
      </c>
      <c r="B7777" t="str">
        <f>"1551599401388012"</f>
        <v>1551599401388012</v>
      </c>
      <c r="C7777" t="s">
        <v>40</v>
      </c>
      <c r="D7777">
        <v>5.0590210000000004</v>
      </c>
      <c r="E7777">
        <v>0.49549389999999999</v>
      </c>
      <c r="F7777" t="s">
        <v>64</v>
      </c>
      <c r="G7777">
        <v>-208.2347</v>
      </c>
      <c r="H7777" s="1">
        <v>-1.335026E-6</v>
      </c>
      <c r="I7777">
        <v>-62.117229999999999</v>
      </c>
      <c r="J7777">
        <v>-230.25659999999999</v>
      </c>
      <c r="K7777">
        <v>1.120323</v>
      </c>
      <c r="L7777">
        <v>-62.728180000000002</v>
      </c>
      <c r="M7777">
        <v>0.99992510000000001</v>
      </c>
      <c r="N7777">
        <v>-1.14091E-2</v>
      </c>
      <c r="O7777">
        <v>4.4328780000000003E-3</v>
      </c>
      <c r="P7777">
        <v>0.99288589999999999</v>
      </c>
      <c r="Q7777">
        <v>-0.11776250000000001</v>
      </c>
      <c r="R7777">
        <v>1.7597419999999999E-2</v>
      </c>
      <c r="S7777">
        <v>3.002151</v>
      </c>
      <c r="T7777">
        <v>-0.15159149999999999</v>
      </c>
      <c r="U7777">
        <v>8.2763669999999998E-2</v>
      </c>
      <c r="V7777">
        <v>-1.321247E-2</v>
      </c>
      <c r="W7777">
        <v>-0.106424</v>
      </c>
      <c r="X7777">
        <v>0.99423309999999998</v>
      </c>
      <c r="Y7777">
        <v>-2.3093220000000001E-2</v>
      </c>
      <c r="Z7777">
        <v>5.4132200000000001E-4</v>
      </c>
      <c r="AA7777">
        <v>0.99973319999999999</v>
      </c>
      <c r="AB7777">
        <v>28</v>
      </c>
      <c r="AC7777">
        <v>22.021899999999899</v>
      </c>
      <c r="AD7777">
        <v>-1.1203243350259999</v>
      </c>
      <c r="AE7777">
        <v>0.610949999999995</v>
      </c>
      <c r="AF7777">
        <v>-0.51199318641276204</v>
      </c>
      <c r="AG7777">
        <v>-1.1203243350259999</v>
      </c>
      <c r="AH7777">
        <v>21.967581874335099</v>
      </c>
      <c r="AI7777">
        <v>92.918705887323995</v>
      </c>
      <c r="AJ7777">
        <v>91.335137338722205</v>
      </c>
      <c r="AK7777">
        <v>22.002088924558901</v>
      </c>
      <c r="AL7777">
        <v>96.109215205827397</v>
      </c>
      <c r="AM7777">
        <v>90.761364924786093</v>
      </c>
      <c r="AN7777">
        <v>1.0000000471375501</v>
      </c>
    </row>
    <row r="7778" spans="1:40" x14ac:dyDescent="0.25">
      <c r="A7778" t="str">
        <f>"20190303155001413"</f>
        <v>20190303155001413</v>
      </c>
      <c r="B7778" t="str">
        <f>"1551599401408507"</f>
        <v>1551599401408507</v>
      </c>
      <c r="C7778" t="s">
        <v>40</v>
      </c>
      <c r="D7778">
        <v>5.0668089999999903</v>
      </c>
      <c r="E7778">
        <v>0.47845959999999899</v>
      </c>
      <c r="F7778" t="s">
        <v>64</v>
      </c>
      <c r="G7778">
        <v>-208.00030000000001</v>
      </c>
      <c r="H7778" s="1">
        <v>-1.482882E-6</v>
      </c>
      <c r="I7778">
        <v>-62.109180000000002</v>
      </c>
      <c r="J7778">
        <v>-230.09360000000001</v>
      </c>
      <c r="K7778">
        <v>1.120322</v>
      </c>
      <c r="L7778">
        <v>-62.727510000000002</v>
      </c>
      <c r="M7778">
        <v>0.99992539999999996</v>
      </c>
      <c r="N7778">
        <v>-1.139768E-2</v>
      </c>
      <c r="O7778">
        <v>4.3972919999999997E-3</v>
      </c>
      <c r="P7778">
        <v>0.99289079999999996</v>
      </c>
      <c r="Q7778">
        <v>-0.11772639999999999</v>
      </c>
      <c r="R7778">
        <v>1.7562040000000001E-2</v>
      </c>
      <c r="S7778">
        <v>3.002075</v>
      </c>
      <c r="T7778">
        <v>-0.1511168</v>
      </c>
      <c r="U7778">
        <v>8.3496089999999995E-2</v>
      </c>
      <c r="V7778">
        <v>-1.32125E-2</v>
      </c>
      <c r="W7778">
        <v>-0.1063993</v>
      </c>
      <c r="X7778">
        <v>0.99423569999999994</v>
      </c>
      <c r="Y7778">
        <v>-2.337295E-2</v>
      </c>
      <c r="Z7778">
        <v>5.5003929999999999E-4</v>
      </c>
      <c r="AA7778">
        <v>0.99972669999999997</v>
      </c>
      <c r="AB7778">
        <v>28</v>
      </c>
      <c r="AC7778">
        <v>22.093299999999999</v>
      </c>
      <c r="AD7778">
        <v>-1.1203234828819999</v>
      </c>
      <c r="AE7778">
        <v>0.61832999999999305</v>
      </c>
      <c r="AF7778">
        <v>-0.51983138514564997</v>
      </c>
      <c r="AG7778">
        <v>-1.1203234828819999</v>
      </c>
      <c r="AH7778">
        <v>22.0391788498831</v>
      </c>
      <c r="AI7778">
        <v>92.909219167968402</v>
      </c>
      <c r="AJ7778">
        <v>91.351167535799505</v>
      </c>
      <c r="AK7778">
        <v>22.073757128146799</v>
      </c>
      <c r="AL7778">
        <v>96.107792182348803</v>
      </c>
      <c r="AM7778">
        <v>90.761364662528393</v>
      </c>
      <c r="AN7778">
        <v>1.0000000041756101</v>
      </c>
    </row>
    <row r="7779" spans="1:40" x14ac:dyDescent="0.25">
      <c r="A7779" t="str">
        <f>"20190303155001427"</f>
        <v>20190303155001427</v>
      </c>
      <c r="B7779" t="str">
        <f>"1551599401418267"</f>
        <v>1551599401418267</v>
      </c>
      <c r="C7779" t="s">
        <v>40</v>
      </c>
      <c r="D7779">
        <v>5.1172700000000004</v>
      </c>
      <c r="E7779">
        <v>0.47415069999999998</v>
      </c>
      <c r="F7779" t="s">
        <v>73</v>
      </c>
      <c r="G7779">
        <v>-215.47110000000001</v>
      </c>
      <c r="H7779" s="1">
        <v>-1.6518790000000001E-6</v>
      </c>
      <c r="I7779">
        <v>-61.6455699999999</v>
      </c>
      <c r="J7779">
        <v>-229.91800000000001</v>
      </c>
      <c r="K7779">
        <v>1.12032</v>
      </c>
      <c r="L7779">
        <v>-62.726779999999998</v>
      </c>
      <c r="M7779">
        <v>0.99992570000000003</v>
      </c>
      <c r="N7779">
        <v>-1.1385309999999999E-2</v>
      </c>
      <c r="O7779">
        <v>4.3584950000000004E-3</v>
      </c>
      <c r="P7779">
        <v>0.99290480000000003</v>
      </c>
      <c r="Q7779">
        <v>-0.1175267</v>
      </c>
      <c r="R7779">
        <v>1.8097120000000001E-2</v>
      </c>
      <c r="S7779">
        <v>2.990402</v>
      </c>
      <c r="T7779">
        <v>-0.22911409999999999</v>
      </c>
      <c r="U7779">
        <v>0.22125239999999999</v>
      </c>
      <c r="V7779">
        <v>-1.378595E-2</v>
      </c>
      <c r="W7779">
        <v>-0.1062116</v>
      </c>
      <c r="X7779">
        <v>0.99424800000000002</v>
      </c>
      <c r="Y7779">
        <v>-6.9215520000000003E-2</v>
      </c>
      <c r="Z7779">
        <v>2.7557979999999998E-3</v>
      </c>
      <c r="AA7779">
        <v>0.99759790000000004</v>
      </c>
      <c r="AB7779">
        <v>28</v>
      </c>
      <c r="AC7779">
        <v>14.446899999999999</v>
      </c>
      <c r="AD7779">
        <v>-1.120321651879</v>
      </c>
      <c r="AE7779">
        <v>1.08121000000001</v>
      </c>
      <c r="AF7779">
        <v>-1.0121759663096399</v>
      </c>
      <c r="AG7779">
        <v>-1.120321651879</v>
      </c>
      <c r="AH7779">
        <v>14.3655675979722</v>
      </c>
      <c r="AI7779">
        <v>94.4482934105053</v>
      </c>
      <c r="AJ7779">
        <v>94.030312621667903</v>
      </c>
      <c r="AK7779">
        <v>14.444692907859</v>
      </c>
      <c r="AL7779">
        <v>96.096976374952504</v>
      </c>
      <c r="AM7779">
        <v>90.7943955003486</v>
      </c>
      <c r="AN7779">
        <v>1.00000002094798</v>
      </c>
    </row>
    <row r="7780" spans="1:40" x14ac:dyDescent="0.25">
      <c r="A7780" t="str">
        <f>"20190303155001439"</f>
        <v>20190303155001439</v>
      </c>
      <c r="B7780" t="str">
        <f>"1551599401428028"</f>
        <v>1551599401428028</v>
      </c>
      <c r="C7780" t="s">
        <v>40</v>
      </c>
      <c r="D7780">
        <v>5.0454829999999999</v>
      </c>
      <c r="E7780">
        <v>0.47299180000000002</v>
      </c>
      <c r="F7780" t="s">
        <v>73</v>
      </c>
      <c r="G7780">
        <v>-216.10589999999999</v>
      </c>
      <c r="H7780" s="1">
        <v>-1.8950930000000001E-6</v>
      </c>
      <c r="I7780">
        <v>-61.536250000000003</v>
      </c>
      <c r="J7780">
        <v>-229.76130000000001</v>
      </c>
      <c r="K7780">
        <v>1.1203160000000001</v>
      </c>
      <c r="L7780">
        <v>-62.726140000000001</v>
      </c>
      <c r="M7780">
        <v>0.99992610000000004</v>
      </c>
      <c r="N7780">
        <v>-1.137414E-2</v>
      </c>
      <c r="O7780">
        <v>4.3232089999999997E-3</v>
      </c>
      <c r="P7780">
        <v>0.9929424</v>
      </c>
      <c r="Q7780">
        <v>-0.11717229999999999</v>
      </c>
      <c r="R7780">
        <v>1.8334900000000001E-2</v>
      </c>
      <c r="S7780">
        <v>2.9880520000000002</v>
      </c>
      <c r="T7780">
        <v>-0.24236440000000001</v>
      </c>
      <c r="U7780">
        <v>0.25753779999999998</v>
      </c>
      <c r="V7780">
        <v>-1.405907E-2</v>
      </c>
      <c r="W7780">
        <v>-0.1058678</v>
      </c>
      <c r="X7780">
        <v>0.99428079999999996</v>
      </c>
      <c r="Y7780">
        <v>-8.1270540000000002E-2</v>
      </c>
      <c r="Z7780">
        <v>3.448025E-3</v>
      </c>
      <c r="AA7780">
        <v>0.99668610000000002</v>
      </c>
      <c r="AB7780">
        <v>28</v>
      </c>
      <c r="AC7780">
        <v>13.6554</v>
      </c>
      <c r="AD7780">
        <v>-1.1203178950929999</v>
      </c>
      <c r="AE7780">
        <v>1.1898899999999899</v>
      </c>
      <c r="AF7780">
        <v>-1.12333582617932</v>
      </c>
      <c r="AG7780">
        <v>-1.1203178950929999</v>
      </c>
      <c r="AH7780">
        <v>13.5697682586189</v>
      </c>
      <c r="AI7780">
        <v>94.7036100066275</v>
      </c>
      <c r="AJ7780">
        <v>94.732282758772897</v>
      </c>
      <c r="AK7780">
        <v>13.662196242078499</v>
      </c>
      <c r="AL7780">
        <v>96.077166652138004</v>
      </c>
      <c r="AM7780">
        <v>90.810104847952999</v>
      </c>
      <c r="AN7780">
        <v>0.99999997888737202</v>
      </c>
    </row>
    <row r="7781" spans="1:40" x14ac:dyDescent="0.25">
      <c r="A7781" t="str">
        <f>"20190303155001451"</f>
        <v>20190303155001451</v>
      </c>
      <c r="B7781" t="str">
        <f>"1551599401438763"</f>
        <v>1551599401438763</v>
      </c>
      <c r="C7781" t="s">
        <v>40</v>
      </c>
      <c r="D7781">
        <v>5.123926</v>
      </c>
      <c r="E7781">
        <v>0.4716246</v>
      </c>
      <c r="F7781" t="s">
        <v>73</v>
      </c>
      <c r="G7781">
        <v>-215.3271</v>
      </c>
      <c r="H7781" s="1">
        <v>-1.534205E-6</v>
      </c>
      <c r="I7781">
        <v>-61.435540000000003</v>
      </c>
      <c r="J7781">
        <v>-229.61680000000001</v>
      </c>
      <c r="K7781">
        <v>1.120314</v>
      </c>
      <c r="L7781">
        <v>-62.725560000000002</v>
      </c>
      <c r="M7781">
        <v>0.99992639999999999</v>
      </c>
      <c r="N7781">
        <v>-1.136333E-2</v>
      </c>
      <c r="O7781">
        <v>4.2903059999999998E-3</v>
      </c>
      <c r="P7781">
        <v>0.99298759999999997</v>
      </c>
      <c r="Q7781">
        <v>-0.1167345</v>
      </c>
      <c r="R7781">
        <v>1.8681050000000001E-2</v>
      </c>
      <c r="S7781">
        <v>2.9890289999999999</v>
      </c>
      <c r="T7781">
        <v>-0.2319939</v>
      </c>
      <c r="U7781">
        <v>0.26724239999999999</v>
      </c>
      <c r="V7781">
        <v>-1.44376E-2</v>
      </c>
      <c r="W7781">
        <v>-0.1054402</v>
      </c>
      <c r="X7781">
        <v>0.9943208</v>
      </c>
      <c r="Y7781">
        <v>-8.4498160000000003E-2</v>
      </c>
      <c r="Z7781">
        <v>3.4664190000000001E-3</v>
      </c>
      <c r="AA7781">
        <v>0.99641760000000001</v>
      </c>
      <c r="AB7781">
        <v>28</v>
      </c>
      <c r="AC7781">
        <v>14.2897</v>
      </c>
      <c r="AD7781">
        <v>-1.120315534205</v>
      </c>
      <c r="AE7781">
        <v>1.29001999999999</v>
      </c>
      <c r="AF7781">
        <v>-1.2212511398849499</v>
      </c>
      <c r="AG7781">
        <v>-1.120315534205</v>
      </c>
      <c r="AH7781">
        <v>14.2084756798609</v>
      </c>
      <c r="AI7781">
        <v>94.491859118089295</v>
      </c>
      <c r="AJ7781">
        <v>94.912629835117897</v>
      </c>
      <c r="AK7781">
        <v>14.3048013753442</v>
      </c>
      <c r="AL7781">
        <v>96.052529152527299</v>
      </c>
      <c r="AM7781">
        <v>90.831879831167996</v>
      </c>
      <c r="AN7781">
        <v>0.99999996669121904</v>
      </c>
    </row>
    <row r="7782" spans="1:40" x14ac:dyDescent="0.25">
      <c r="A7782" t="str">
        <f>"20190303155001462"</f>
        <v>20190303155001462</v>
      </c>
      <c r="B7782" t="str">
        <f>"1551599401458790"</f>
        <v>1551599401458790</v>
      </c>
      <c r="C7782" t="s">
        <v>40</v>
      </c>
      <c r="D7782">
        <v>5.0854619999999997</v>
      </c>
      <c r="E7782">
        <v>0.47063470000000002</v>
      </c>
      <c r="F7782" t="s">
        <v>73</v>
      </c>
      <c r="G7782">
        <v>-215.53489999999999</v>
      </c>
      <c r="H7782" s="1">
        <v>-1.6163370000000001E-6</v>
      </c>
      <c r="I7782">
        <v>-61.409080000000003</v>
      </c>
      <c r="J7782">
        <v>-229.47020000000001</v>
      </c>
      <c r="K7782">
        <v>1.120309</v>
      </c>
      <c r="L7782">
        <v>-62.72495</v>
      </c>
      <c r="M7782">
        <v>0.9999266</v>
      </c>
      <c r="N7782">
        <v>-1.1352309999999999E-2</v>
      </c>
      <c r="O7782">
        <v>4.256569E-3</v>
      </c>
      <c r="P7782">
        <v>0.99301360000000005</v>
      </c>
      <c r="Q7782">
        <v>-0.1164809</v>
      </c>
      <c r="R7782">
        <v>1.8874829999999999E-2</v>
      </c>
      <c r="S7782">
        <v>2.9880070000000001</v>
      </c>
      <c r="T7782">
        <v>-0.23771719999999999</v>
      </c>
      <c r="U7782">
        <v>0.2793274</v>
      </c>
      <c r="V7782">
        <v>-1.466461E-2</v>
      </c>
      <c r="W7782">
        <v>-0.1051971</v>
      </c>
      <c r="X7782">
        <v>0.99434330000000004</v>
      </c>
      <c r="Y7782">
        <v>-8.8530380000000006E-2</v>
      </c>
      <c r="Z7782">
        <v>3.7237630000000002E-3</v>
      </c>
      <c r="AA7782">
        <v>0.99606649999999997</v>
      </c>
      <c r="AB7782">
        <v>28</v>
      </c>
      <c r="AC7782">
        <v>13.9353</v>
      </c>
      <c r="AD7782">
        <v>-1.120310616337</v>
      </c>
      <c r="AE7782">
        <v>1.3158699999999901</v>
      </c>
      <c r="AF7782">
        <v>-1.2485395120842899</v>
      </c>
      <c r="AG7782">
        <v>-1.120310616337</v>
      </c>
      <c r="AH7782">
        <v>13.8520386024461</v>
      </c>
      <c r="AI7782">
        <v>94.605255472971706</v>
      </c>
      <c r="AJ7782">
        <v>95.1503798568652</v>
      </c>
      <c r="AK7782">
        <v>13.9532404922287</v>
      </c>
      <c r="AL7782">
        <v>96.038522210271196</v>
      </c>
      <c r="AM7782">
        <v>90.844938917889607</v>
      </c>
      <c r="AN7782">
        <v>1.00000003944487</v>
      </c>
    </row>
    <row r="7783" spans="1:40" x14ac:dyDescent="0.25">
      <c r="A7783" t="str">
        <f>"20190303155001473"</f>
        <v>20190303155001473</v>
      </c>
      <c r="B7783" t="str">
        <f>"1551599401468551"</f>
        <v>1551599401468551</v>
      </c>
      <c r="C7783" t="s">
        <v>40</v>
      </c>
      <c r="D7783">
        <v>5.1283320000000003</v>
      </c>
      <c r="E7783">
        <v>0.47033249999999999</v>
      </c>
      <c r="F7783" t="s">
        <v>73</v>
      </c>
      <c r="G7783">
        <v>-214.91579999999999</v>
      </c>
      <c r="H7783" s="1">
        <v>-1.3281579999999999E-6</v>
      </c>
      <c r="I7783">
        <v>-61.324170000000002</v>
      </c>
      <c r="J7783">
        <v>-229.32380000000001</v>
      </c>
      <c r="K7783">
        <v>1.1203069999999999</v>
      </c>
      <c r="L7783">
        <v>-62.724369999999901</v>
      </c>
      <c r="M7783">
        <v>0.9999268</v>
      </c>
      <c r="N7783">
        <v>-1.134134E-2</v>
      </c>
      <c r="O7783">
        <v>4.2214560000000002E-3</v>
      </c>
      <c r="P7783">
        <v>0.99303169999999996</v>
      </c>
      <c r="Q7783">
        <v>-0.11627369999999999</v>
      </c>
      <c r="R7783">
        <v>1.919943E-2</v>
      </c>
      <c r="S7783">
        <v>2.9886469999999998</v>
      </c>
      <c r="T7783">
        <v>-0.23004839999999999</v>
      </c>
      <c r="U7783">
        <v>0.2876282</v>
      </c>
      <c r="V7783">
        <v>-1.50248E-2</v>
      </c>
      <c r="W7783">
        <v>-0.1050006</v>
      </c>
      <c r="X7783">
        <v>0.99435870000000004</v>
      </c>
      <c r="Y7783">
        <v>-9.1296050000000004E-2</v>
      </c>
      <c r="Z7783">
        <v>3.744275E-3</v>
      </c>
      <c r="AA7783">
        <v>0.99581679999999995</v>
      </c>
      <c r="AB7783">
        <v>28</v>
      </c>
      <c r="AC7783">
        <v>14.407999999999999</v>
      </c>
      <c r="AD7783">
        <v>-1.120308328158</v>
      </c>
      <c r="AE7783">
        <v>1.4001999999999899</v>
      </c>
      <c r="AF7783">
        <v>-1.3313866293144101</v>
      </c>
      <c r="AG7783">
        <v>-1.120308328158</v>
      </c>
      <c r="AH7783">
        <v>14.3279665428028</v>
      </c>
      <c r="AI7783">
        <v>94.451778421698094</v>
      </c>
      <c r="AJ7783">
        <v>95.308807028744198</v>
      </c>
      <c r="AK7783">
        <v>14.4332361706768</v>
      </c>
      <c r="AL7783">
        <v>96.027200841694096</v>
      </c>
      <c r="AM7783">
        <v>90.865675658004093</v>
      </c>
      <c r="AN7783">
        <v>1.0000000474405399</v>
      </c>
    </row>
    <row r="7784" spans="1:40" x14ac:dyDescent="0.25">
      <c r="A7784" t="str">
        <f>"20190303155001485"</f>
        <v>20190303155001485</v>
      </c>
      <c r="B7784" t="str">
        <f>"1551599401478310"</f>
        <v>1551599401478310</v>
      </c>
      <c r="C7784" t="s">
        <v>40</v>
      </c>
      <c r="D7784">
        <v>5.0805920000000002</v>
      </c>
      <c r="E7784">
        <v>0.47006490000000001</v>
      </c>
      <c r="F7784" t="s">
        <v>73</v>
      </c>
      <c r="G7784">
        <v>-214.6885</v>
      </c>
      <c r="H7784" s="1">
        <v>-1.224068E-6</v>
      </c>
      <c r="I7784">
        <v>-61.299509999999998</v>
      </c>
      <c r="J7784">
        <v>-229.18299999999999</v>
      </c>
      <c r="K7784">
        <v>1.120304</v>
      </c>
      <c r="L7784">
        <v>-62.723790000000001</v>
      </c>
      <c r="M7784">
        <v>0.99992709999999996</v>
      </c>
      <c r="N7784">
        <v>-1.1331010000000001E-2</v>
      </c>
      <c r="O7784">
        <v>4.1869919999999996E-3</v>
      </c>
      <c r="P7784">
        <v>0.99304289999999995</v>
      </c>
      <c r="Q7784">
        <v>-0.1161161</v>
      </c>
      <c r="R7784">
        <v>1.9569320000000001E-2</v>
      </c>
      <c r="S7784">
        <v>2.9886469999999998</v>
      </c>
      <c r="T7784">
        <v>-0.2287756</v>
      </c>
      <c r="U7784">
        <v>0.29095460000000001</v>
      </c>
      <c r="V7784">
        <v>-1.542901E-2</v>
      </c>
      <c r="W7784">
        <v>-0.104853</v>
      </c>
      <c r="X7784">
        <v>0.99436800000000003</v>
      </c>
      <c r="Y7784">
        <v>-9.2427679999999998E-2</v>
      </c>
      <c r="Z7784">
        <v>3.7779039999999999E-3</v>
      </c>
      <c r="AA7784">
        <v>0.99571220000000005</v>
      </c>
      <c r="AB7784">
        <v>28</v>
      </c>
      <c r="AC7784">
        <v>14.494499999999899</v>
      </c>
      <c r="AD7784">
        <v>-1.120305224068</v>
      </c>
      <c r="AE7784">
        <v>1.42428</v>
      </c>
      <c r="AF7784">
        <v>-1.35555460868237</v>
      </c>
      <c r="AG7784">
        <v>-1.120305224068</v>
      </c>
      <c r="AH7784">
        <v>14.4150446396186</v>
      </c>
      <c r="AI7784">
        <v>94.424525643276993</v>
      </c>
      <c r="AJ7784">
        <v>95.372153028627295</v>
      </c>
      <c r="AK7784">
        <v>14.5219187456201</v>
      </c>
      <c r="AL7784">
        <v>96.018697555591302</v>
      </c>
      <c r="AM7784">
        <v>90.888952802579695</v>
      </c>
      <c r="AN7784">
        <v>0.99999996269128899</v>
      </c>
    </row>
    <row r="7785" spans="1:40" x14ac:dyDescent="0.25">
      <c r="A7785" t="str">
        <f>"20190303155001495"</f>
        <v>20190303155001495</v>
      </c>
      <c r="B7785" t="str">
        <f>"1551599401488070"</f>
        <v>1551599401488070</v>
      </c>
      <c r="C7785" t="s">
        <v>40</v>
      </c>
      <c r="D7785">
        <v>5.0856000000000003</v>
      </c>
      <c r="E7785">
        <v>0.46985320000000003</v>
      </c>
      <c r="F7785" t="s">
        <v>73</v>
      </c>
      <c r="G7785">
        <v>-214.5163</v>
      </c>
      <c r="H7785" s="1">
        <v>-1.144843E-6</v>
      </c>
      <c r="I7785">
        <v>-61.279490000000003</v>
      </c>
      <c r="J7785">
        <v>-229.03720000000001</v>
      </c>
      <c r="K7785">
        <v>1.120306</v>
      </c>
      <c r="L7785">
        <v>-62.723210000000002</v>
      </c>
      <c r="M7785">
        <v>0.99992740000000002</v>
      </c>
      <c r="N7785">
        <v>-1.1320739999999999E-2</v>
      </c>
      <c r="O7785">
        <v>4.1500189999999996E-3</v>
      </c>
      <c r="P7785">
        <v>0.99308200000000002</v>
      </c>
      <c r="Q7785">
        <v>-0.1157186</v>
      </c>
      <c r="R7785">
        <v>1.993029E-2</v>
      </c>
      <c r="S7785">
        <v>2.9885250000000001</v>
      </c>
      <c r="T7785">
        <v>-0.22827600000000001</v>
      </c>
      <c r="U7785">
        <v>0.29428100000000001</v>
      </c>
      <c r="V7785">
        <v>-1.582652E-2</v>
      </c>
      <c r="W7785">
        <v>-0.10446519999999999</v>
      </c>
      <c r="X7785">
        <v>0.99440260000000003</v>
      </c>
      <c r="Y7785">
        <v>-9.3563530000000006E-2</v>
      </c>
      <c r="Z7785">
        <v>3.8224520000000001E-3</v>
      </c>
      <c r="AA7785">
        <v>0.99560590000000004</v>
      </c>
      <c r="AB7785">
        <v>28</v>
      </c>
      <c r="AC7785">
        <v>14.520899999999999</v>
      </c>
      <c r="AD7785">
        <v>-1.120307144843</v>
      </c>
      <c r="AE7785">
        <v>1.4437199999999899</v>
      </c>
      <c r="AF7785">
        <v>-1.3753353775100701</v>
      </c>
      <c r="AG7785">
        <v>-1.120307144843</v>
      </c>
      <c r="AH7785">
        <v>14.4416467290116</v>
      </c>
      <c r="AI7785">
        <v>94.415921662937606</v>
      </c>
      <c r="AJ7785">
        <v>95.440097899643703</v>
      </c>
      <c r="AK7785">
        <v>14.5501819832257</v>
      </c>
      <c r="AL7785">
        <v>95.996355365199307</v>
      </c>
      <c r="AM7785">
        <v>90.911820068155507</v>
      </c>
      <c r="AN7785">
        <v>0.99999999381655502</v>
      </c>
    </row>
    <row r="7786" spans="1:40" x14ac:dyDescent="0.25">
      <c r="A7786" t="str">
        <f>"20190303155001508"</f>
        <v>20190303155001508</v>
      </c>
      <c r="B7786" t="str">
        <f>"1551599401498806"</f>
        <v>1551599401498806</v>
      </c>
      <c r="C7786" t="s">
        <v>40</v>
      </c>
      <c r="D7786">
        <v>5.0872950000000001</v>
      </c>
      <c r="E7786">
        <v>0.46970450000000002</v>
      </c>
      <c r="F7786" t="s">
        <v>73</v>
      </c>
      <c r="G7786">
        <v>-214.2902</v>
      </c>
      <c r="H7786" s="1">
        <v>-1.0419740000000001E-6</v>
      </c>
      <c r="I7786">
        <v>-61.257280000000002</v>
      </c>
      <c r="J7786">
        <v>-228.8818</v>
      </c>
      <c r="K7786">
        <v>1.1203019999999999</v>
      </c>
      <c r="L7786">
        <v>-62.7226</v>
      </c>
      <c r="M7786">
        <v>0.99992760000000003</v>
      </c>
      <c r="N7786">
        <v>-1.131042E-2</v>
      </c>
      <c r="O7786">
        <v>4.1093459999999998E-3</v>
      </c>
      <c r="P7786">
        <v>0.99309530000000001</v>
      </c>
      <c r="Q7786">
        <v>-0.115538</v>
      </c>
      <c r="R7786">
        <v>2.032349E-2</v>
      </c>
      <c r="S7786">
        <v>2.9884949999999999</v>
      </c>
      <c r="T7786">
        <v>-0.22703110000000001</v>
      </c>
      <c r="U7786">
        <v>0.29705809999999999</v>
      </c>
      <c r="V7786">
        <v>-1.6260199999999999E-2</v>
      </c>
      <c r="W7786">
        <v>-0.1042946</v>
      </c>
      <c r="X7786">
        <v>0.99441349999999995</v>
      </c>
      <c r="Y7786">
        <v>-9.4521079999999993E-2</v>
      </c>
      <c r="Z7786">
        <v>3.8484719999999999E-3</v>
      </c>
      <c r="AA7786">
        <v>0.99551540000000005</v>
      </c>
      <c r="AB7786">
        <v>28</v>
      </c>
      <c r="AC7786">
        <v>14.5916</v>
      </c>
      <c r="AD7786">
        <v>-1.1203030419740001</v>
      </c>
      <c r="AE7786">
        <v>1.46531999999999</v>
      </c>
      <c r="AF7786">
        <v>-1.3971880157810499</v>
      </c>
      <c r="AG7786">
        <v>-1.1203030419740001</v>
      </c>
      <c r="AH7786">
        <v>14.5128034811502</v>
      </c>
      <c r="AI7786">
        <v>94.393907822166</v>
      </c>
      <c r="AJ7786">
        <v>95.499076771396702</v>
      </c>
      <c r="AK7786">
        <v>14.622882005260999</v>
      </c>
      <c r="AL7786">
        <v>95.986527080742206</v>
      </c>
      <c r="AM7786">
        <v>90.936791199486905</v>
      </c>
      <c r="AN7786">
        <v>0.999999983337724</v>
      </c>
    </row>
    <row r="7787" spans="1:40" x14ac:dyDescent="0.25">
      <c r="A7787" t="str">
        <f>"20190303155001520"</f>
        <v>20190303155001520</v>
      </c>
      <c r="B7787" t="str">
        <f>"1551599401508566"</f>
        <v>1551599401508566</v>
      </c>
      <c r="C7787" t="s">
        <v>40</v>
      </c>
      <c r="D7787">
        <v>5.0968910000000003</v>
      </c>
      <c r="E7787">
        <v>0.46954560000000001</v>
      </c>
      <c r="F7787" t="s">
        <v>73</v>
      </c>
      <c r="G7787">
        <v>-214.08179999999999</v>
      </c>
      <c r="H7787" s="1">
        <v>-9.4783219999999997E-7</v>
      </c>
      <c r="I7787">
        <v>-61.23959</v>
      </c>
      <c r="J7787">
        <v>-228.73400000000001</v>
      </c>
      <c r="K7787">
        <v>1.1202989999999999</v>
      </c>
      <c r="L7787">
        <v>-62.722050000000003</v>
      </c>
      <c r="M7787">
        <v>0.99992789999999998</v>
      </c>
      <c r="N7787">
        <v>-1.130097E-2</v>
      </c>
      <c r="O7787">
        <v>4.0696780000000002E-3</v>
      </c>
      <c r="P7787">
        <v>0.99307179999999995</v>
      </c>
      <c r="Q7787">
        <v>-0.1156567</v>
      </c>
      <c r="R7787">
        <v>2.0785830000000002E-2</v>
      </c>
      <c r="S7787">
        <v>2.9884339999999998</v>
      </c>
      <c r="T7787">
        <v>-0.22621250000000001</v>
      </c>
      <c r="U7787">
        <v>0.2994385</v>
      </c>
      <c r="V7787">
        <v>-1.6762599999999999E-2</v>
      </c>
      <c r="W7787">
        <v>-0.10442269999999899</v>
      </c>
      <c r="X7787">
        <v>0.99439169999999999</v>
      </c>
      <c r="Y7787">
        <v>-9.5346959999999994E-2</v>
      </c>
      <c r="Z7787">
        <v>3.8745609999999999E-3</v>
      </c>
      <c r="AA7787">
        <v>0.99543649999999995</v>
      </c>
      <c r="AB7787">
        <v>28</v>
      </c>
      <c r="AC7787">
        <v>14.652200000000001</v>
      </c>
      <c r="AD7787">
        <v>-1.1202999478322</v>
      </c>
      <c r="AE7787">
        <v>1.4824600000000001</v>
      </c>
      <c r="AF7787">
        <v>-1.4146279857767601</v>
      </c>
      <c r="AG7787">
        <v>-1.1202999478322</v>
      </c>
      <c r="AH7787">
        <v>14.573776378064199</v>
      </c>
      <c r="AI7787">
        <v>94.375252965048205</v>
      </c>
      <c r="AJ7787">
        <v>95.544142037597894</v>
      </c>
      <c r="AK7787">
        <v>14.685067321230701</v>
      </c>
      <c r="AL7787">
        <v>95.993907052468401</v>
      </c>
      <c r="AM7787">
        <v>90.9657515007287</v>
      </c>
      <c r="AN7787">
        <v>0.99999996903146904</v>
      </c>
    </row>
    <row r="7788" spans="1:40" x14ac:dyDescent="0.25">
      <c r="A7788" t="str">
        <f>"20190303155001531"</f>
        <v>20190303155001531</v>
      </c>
      <c r="B7788" t="str">
        <f>"1551599401528086"</f>
        <v>1551599401528086</v>
      </c>
      <c r="C7788" t="s">
        <v>40</v>
      </c>
      <c r="D7788">
        <v>5.0978180000000002</v>
      </c>
      <c r="E7788">
        <v>0.4693407</v>
      </c>
      <c r="F7788" t="s">
        <v>73</v>
      </c>
      <c r="G7788">
        <v>-213.982</v>
      </c>
      <c r="H7788" s="1">
        <v>-9.0266710000000004E-7</v>
      </c>
      <c r="I7788">
        <v>-61.230620000000002</v>
      </c>
      <c r="J7788">
        <v>-228.58799999999999</v>
      </c>
      <c r="K7788">
        <v>1.1202939999999999</v>
      </c>
      <c r="L7788">
        <v>-62.721469999999997</v>
      </c>
      <c r="M7788">
        <v>0.99992829999999999</v>
      </c>
      <c r="N7788">
        <v>-1.1292389999999999E-2</v>
      </c>
      <c r="O7788">
        <v>4.0273139999999997E-3</v>
      </c>
      <c r="P7788">
        <v>0.99305750000000004</v>
      </c>
      <c r="Q7788">
        <v>-0.1156968</v>
      </c>
      <c r="R7788">
        <v>2.1250270000000002E-2</v>
      </c>
      <c r="S7788">
        <v>2.9881899999999999</v>
      </c>
      <c r="T7788">
        <v>-0.22692979999999999</v>
      </c>
      <c r="U7788">
        <v>0.30209350000000001</v>
      </c>
      <c r="V7788">
        <v>-1.7269860000000001E-2</v>
      </c>
      <c r="W7788">
        <v>-0.10447140000000001</v>
      </c>
      <c r="X7788">
        <v>0.99437790000000004</v>
      </c>
      <c r="Y7788">
        <v>-9.626788E-2</v>
      </c>
      <c r="Z7788">
        <v>3.9274380000000001E-3</v>
      </c>
      <c r="AA7788">
        <v>0.99534769999999995</v>
      </c>
      <c r="AB7788">
        <v>28</v>
      </c>
      <c r="AC7788">
        <v>14.6059999999999</v>
      </c>
      <c r="AD7788">
        <v>-1.1202949026671001</v>
      </c>
      <c r="AE7788">
        <v>1.49085</v>
      </c>
      <c r="AF7788">
        <v>-1.4237217644389399</v>
      </c>
      <c r="AG7788">
        <v>-1.1202949026671001</v>
      </c>
      <c r="AH7788">
        <v>14.5273025059773</v>
      </c>
      <c r="AI7788">
        <v>94.388779845374799</v>
      </c>
      <c r="AJ7788">
        <v>95.597293988298006</v>
      </c>
      <c r="AK7788">
        <v>14.639827950889799</v>
      </c>
      <c r="AL7788">
        <v>95.9967127284621</v>
      </c>
      <c r="AM7788">
        <v>90.994984524607005</v>
      </c>
      <c r="AN7788">
        <v>0.99999996474539399</v>
      </c>
    </row>
    <row r="7789" spans="1:40" x14ac:dyDescent="0.25">
      <c r="A7789" t="str">
        <f>"20190303155001543"</f>
        <v>20190303155001543</v>
      </c>
      <c r="B7789" t="str">
        <f>"1551599401538822"</f>
        <v>1551599401538822</v>
      </c>
      <c r="C7789" t="s">
        <v>40</v>
      </c>
      <c r="D7789">
        <v>5.1114540000000002</v>
      </c>
      <c r="E7789">
        <v>0.46927160000000001</v>
      </c>
      <c r="F7789" t="s">
        <v>73</v>
      </c>
      <c r="G7789">
        <v>-213.8476</v>
      </c>
      <c r="H7789" s="1">
        <v>-8.4119969999999996E-7</v>
      </c>
      <c r="I7789">
        <v>-61.216349999999998</v>
      </c>
      <c r="J7789">
        <v>-228.43709999999999</v>
      </c>
      <c r="K7789">
        <v>1.1202890000000001</v>
      </c>
      <c r="L7789">
        <v>-62.7209199999999</v>
      </c>
      <c r="M7789">
        <v>0.9999285</v>
      </c>
      <c r="N7789">
        <v>-1.128382E-2</v>
      </c>
      <c r="O7789">
        <v>3.9825620000000003E-3</v>
      </c>
      <c r="P7789">
        <v>0.99306700000000003</v>
      </c>
      <c r="Q7789">
        <v>-0.1155558</v>
      </c>
      <c r="R7789">
        <v>2.1565620000000001E-2</v>
      </c>
      <c r="S7789">
        <v>2.9879760000000002</v>
      </c>
      <c r="T7789">
        <v>-0.22709119999999999</v>
      </c>
      <c r="U7789">
        <v>0.30508420000000003</v>
      </c>
      <c r="V7789">
        <v>-1.7630469999999999E-2</v>
      </c>
      <c r="W7789">
        <v>-0.1043386</v>
      </c>
      <c r="X7789">
        <v>0.99438550000000003</v>
      </c>
      <c r="Y7789">
        <v>-9.7301689999999996E-2</v>
      </c>
      <c r="Z7789">
        <v>3.9773200000000003E-3</v>
      </c>
      <c r="AA7789">
        <v>0.99524699999999999</v>
      </c>
      <c r="AB7789">
        <v>29</v>
      </c>
      <c r="AC7789">
        <v>14.5894999999999</v>
      </c>
      <c r="AD7789">
        <v>-1.12028984119969</v>
      </c>
      <c r="AE7789">
        <v>1.50456999999999</v>
      </c>
      <c r="AF7789">
        <v>-1.4380607679766899</v>
      </c>
      <c r="AG7789">
        <v>-1.12028984119969</v>
      </c>
      <c r="AH7789">
        <v>14.510717449705201</v>
      </c>
      <c r="AI7789">
        <v>94.393286662766997</v>
      </c>
      <c r="AJ7789">
        <v>95.659723256137696</v>
      </c>
      <c r="AK7789">
        <v>14.624773126646</v>
      </c>
      <c r="AL7789">
        <v>95.989062126633996</v>
      </c>
      <c r="AM7789">
        <v>91.015748614184801</v>
      </c>
      <c r="AN7789">
        <v>0.99999994976631401</v>
      </c>
    </row>
    <row r="7790" spans="1:40" x14ac:dyDescent="0.25">
      <c r="A7790" t="str">
        <f>"20190303155001555"</f>
        <v>20190303155001555</v>
      </c>
      <c r="B7790" t="str">
        <f>"1551599401548583"</f>
        <v>1551599401548583</v>
      </c>
      <c r="C7790" t="s">
        <v>40</v>
      </c>
      <c r="D7790">
        <v>5.1008529999999999</v>
      </c>
      <c r="E7790">
        <v>0.46919149999999998</v>
      </c>
      <c r="F7790" t="s">
        <v>73</v>
      </c>
      <c r="G7790">
        <v>-213.66370000000001</v>
      </c>
      <c r="H7790" s="1">
        <v>-7.594411E-7</v>
      </c>
      <c r="I7790">
        <v>-61.20561</v>
      </c>
      <c r="J7790">
        <v>-228.28049999999999</v>
      </c>
      <c r="K7790">
        <v>1.1202840000000001</v>
      </c>
      <c r="L7790">
        <v>-62.72034</v>
      </c>
      <c r="M7790">
        <v>0.99992879999999995</v>
      </c>
      <c r="N7790">
        <v>-1.1275749999999999E-2</v>
      </c>
      <c r="O7790">
        <v>3.9322539999999996E-3</v>
      </c>
      <c r="P7790">
        <v>0.99307420000000002</v>
      </c>
      <c r="Q7790">
        <v>-0.1154435</v>
      </c>
      <c r="R7790">
        <v>2.1839799999999999E-2</v>
      </c>
      <c r="S7790">
        <v>2.98793</v>
      </c>
      <c r="T7790">
        <v>-0.2265781</v>
      </c>
      <c r="U7790">
        <v>0.30645749999999999</v>
      </c>
      <c r="V7790">
        <v>-1.795594E-2</v>
      </c>
      <c r="W7790">
        <v>-0.10423399999999999</v>
      </c>
      <c r="X7790">
        <v>0.99439069999999996</v>
      </c>
      <c r="Y7790">
        <v>-9.7805580000000003E-2</v>
      </c>
      <c r="Z7790">
        <v>3.9943720000000004E-3</v>
      </c>
      <c r="AA7790">
        <v>0.99519749999999996</v>
      </c>
      <c r="AB7790">
        <v>29</v>
      </c>
      <c r="AC7790">
        <v>14.6167999999999</v>
      </c>
      <c r="AD7790">
        <v>-1.1202847594411001</v>
      </c>
      <c r="AE7790">
        <v>1.5147299999999999</v>
      </c>
      <c r="AF7790">
        <v>-1.44881738303157</v>
      </c>
      <c r="AG7790">
        <v>-1.1202847594411001</v>
      </c>
      <c r="AH7790">
        <v>14.538150342846601</v>
      </c>
      <c r="AI7790">
        <v>94.384771617845104</v>
      </c>
      <c r="AJ7790">
        <v>95.691091422074606</v>
      </c>
      <c r="AK7790">
        <v>14.6530517348033</v>
      </c>
      <c r="AL7790">
        <v>95.983035807930705</v>
      </c>
      <c r="AM7790">
        <v>91.034490550911599</v>
      </c>
      <c r="AN7790">
        <v>1.0000000033918801</v>
      </c>
    </row>
    <row r="7791" spans="1:40" x14ac:dyDescent="0.25">
      <c r="A7791" t="str">
        <f>"20190303155001567"</f>
        <v>20190303155001567</v>
      </c>
      <c r="B7791" t="str">
        <f>"1551599401558344"</f>
        <v>1551599401558344</v>
      </c>
      <c r="C7791" t="s">
        <v>40</v>
      </c>
      <c r="D7791">
        <v>5.1421330000000003</v>
      </c>
      <c r="E7791">
        <v>0.46912530000000002</v>
      </c>
      <c r="F7791" t="s">
        <v>73</v>
      </c>
      <c r="G7791">
        <v>-213.47980000000001</v>
      </c>
      <c r="H7791" s="1">
        <v>-6.7777269999999996E-7</v>
      </c>
      <c r="I7791">
        <v>-61.19511</v>
      </c>
      <c r="J7791">
        <v>-228.14060000000001</v>
      </c>
      <c r="K7791">
        <v>1.1202810000000001</v>
      </c>
      <c r="L7791">
        <v>-62.719819999999999</v>
      </c>
      <c r="M7791">
        <v>0.99992910000000002</v>
      </c>
      <c r="N7791">
        <v>-1.1269029999999999E-2</v>
      </c>
      <c r="O7791">
        <v>3.8854580000000001E-3</v>
      </c>
      <c r="P7791">
        <v>0.99304740000000002</v>
      </c>
      <c r="Q7791">
        <v>-0.11563859999999999</v>
      </c>
      <c r="R7791">
        <v>2.2020350000000001E-2</v>
      </c>
      <c r="S7791">
        <v>2.9878689999999999</v>
      </c>
      <c r="T7791">
        <v>-0.22615660000000001</v>
      </c>
      <c r="U7791">
        <v>0.30789179999999999</v>
      </c>
      <c r="V7791">
        <v>-1.8183620000000001E-2</v>
      </c>
      <c r="W7791">
        <v>-0.1044358</v>
      </c>
      <c r="X7791">
        <v>0.99436539999999995</v>
      </c>
      <c r="Y7791">
        <v>-9.8326269999999993E-2</v>
      </c>
      <c r="Z7791">
        <v>4.0132850000000001E-3</v>
      </c>
      <c r="AA7791">
        <v>0.99514619999999998</v>
      </c>
      <c r="AB7791">
        <v>29</v>
      </c>
      <c r="AC7791">
        <v>14.660799999999901</v>
      </c>
      <c r="AD7791">
        <v>-1.1202816777726901</v>
      </c>
      <c r="AE7791">
        <v>1.52470999999999</v>
      </c>
      <c r="AF7791">
        <v>-1.45930125897614</v>
      </c>
      <c r="AG7791">
        <v>-1.1202816777726901</v>
      </c>
      <c r="AH7791">
        <v>14.582378333091301</v>
      </c>
      <c r="AI7791">
        <v>94.371332955140801</v>
      </c>
      <c r="AJ7791">
        <v>95.714730055368307</v>
      </c>
      <c r="AK7791">
        <v>14.6979709161304</v>
      </c>
      <c r="AL7791">
        <v>95.994661479876299</v>
      </c>
      <c r="AM7791">
        <v>91.047631558745607</v>
      </c>
      <c r="AN7791">
        <v>1.0000000145375501</v>
      </c>
    </row>
    <row r="7792" spans="1:40" x14ac:dyDescent="0.25">
      <c r="A7792" t="str">
        <f>"20190303155001578"</f>
        <v>20190303155001578</v>
      </c>
      <c r="B7792" t="str">
        <f>"1551599401568103"</f>
        <v>1551599401568103</v>
      </c>
      <c r="C7792" t="s">
        <v>40</v>
      </c>
      <c r="D7792">
        <v>5.1174019999999896</v>
      </c>
      <c r="E7792">
        <v>0.46906769999999998</v>
      </c>
      <c r="F7792" t="s">
        <v>73</v>
      </c>
      <c r="G7792">
        <v>-213.471</v>
      </c>
      <c r="H7792" s="1">
        <v>-6.7600709999999904E-7</v>
      </c>
      <c r="I7792">
        <v>-61.202710000000003</v>
      </c>
      <c r="J7792">
        <v>-227.9828</v>
      </c>
      <c r="K7792">
        <v>1.120276</v>
      </c>
      <c r="L7792">
        <v>-62.719299999999997</v>
      </c>
      <c r="M7792">
        <v>0.99992919999999996</v>
      </c>
      <c r="N7792">
        <v>-1.126194E-2</v>
      </c>
      <c r="O7792">
        <v>3.8307889999999998E-3</v>
      </c>
      <c r="P7792">
        <v>0.99306559999999999</v>
      </c>
      <c r="Q7792">
        <v>-0.1154438</v>
      </c>
      <c r="R7792">
        <v>2.2218109999999999E-2</v>
      </c>
      <c r="S7792">
        <v>2.9875790000000002</v>
      </c>
      <c r="T7792">
        <v>-0.22815450000000001</v>
      </c>
      <c r="U7792">
        <v>0.30896000000000001</v>
      </c>
      <c r="V7792">
        <v>-1.8436709999999999E-2</v>
      </c>
      <c r="W7792">
        <v>-0.104247699999999</v>
      </c>
      <c r="X7792">
        <v>0.9943805</v>
      </c>
      <c r="Y7792">
        <v>-9.873593E-2</v>
      </c>
      <c r="Z7792">
        <v>4.0647069999999999E-3</v>
      </c>
      <c r="AA7792">
        <v>0.99510540000000003</v>
      </c>
      <c r="AB7792">
        <v>29</v>
      </c>
      <c r="AC7792">
        <v>14.511799999999999</v>
      </c>
      <c r="AD7792">
        <v>-1.1202766760070999</v>
      </c>
      <c r="AE7792">
        <v>1.5165900000000001</v>
      </c>
      <c r="AF7792">
        <v>-1.4524215424689499</v>
      </c>
      <c r="AG7792">
        <v>-1.1202766760070999</v>
      </c>
      <c r="AH7792">
        <v>14.432423173308001</v>
      </c>
      <c r="AI7792">
        <v>94.416307270966001</v>
      </c>
      <c r="AJ7792">
        <v>95.746670985240598</v>
      </c>
      <c r="AK7792">
        <v>14.5485183720292</v>
      </c>
      <c r="AL7792">
        <v>95.983824858013804</v>
      </c>
      <c r="AM7792">
        <v>91.062193648386199</v>
      </c>
      <c r="AN7792">
        <v>1.0000000370055799</v>
      </c>
    </row>
    <row r="7793" spans="1:40" x14ac:dyDescent="0.25">
      <c r="A7793" t="str">
        <f>"20190303155001591"</f>
        <v>20190303155001591</v>
      </c>
      <c r="B7793" t="str">
        <f>"1551599401588599"</f>
        <v>1551599401588599</v>
      </c>
      <c r="C7793" t="s">
        <v>40</v>
      </c>
      <c r="D7793">
        <v>5.1260760000000003</v>
      </c>
      <c r="E7793">
        <v>0.46892200000000001</v>
      </c>
      <c r="F7793" t="s">
        <v>73</v>
      </c>
      <c r="G7793">
        <v>-213.30350000000001</v>
      </c>
      <c r="H7793" s="1">
        <v>-6.0237319999999897E-7</v>
      </c>
      <c r="I7793">
        <v>-61.196060000000003</v>
      </c>
      <c r="J7793">
        <v>-227.82650000000001</v>
      </c>
      <c r="K7793">
        <v>1.1202700000000001</v>
      </c>
      <c r="L7793">
        <v>-62.71875</v>
      </c>
      <c r="M7793">
        <v>0.99992959999999997</v>
      </c>
      <c r="N7793">
        <v>-1.125575E-2</v>
      </c>
      <c r="O7793">
        <v>3.771698E-3</v>
      </c>
      <c r="P7793">
        <v>0.99306729999999999</v>
      </c>
      <c r="Q7793">
        <v>-0.11538710000000001</v>
      </c>
      <c r="R7793">
        <v>2.2427599999999999E-2</v>
      </c>
      <c r="S7793">
        <v>2.9875340000000001</v>
      </c>
      <c r="T7793">
        <v>-0.2279977</v>
      </c>
      <c r="U7793">
        <v>0.30999759999999998</v>
      </c>
      <c r="V7793">
        <v>-1.8705179999999998E-2</v>
      </c>
      <c r="W7793">
        <v>-0.1041969</v>
      </c>
      <c r="X7793">
        <v>0.99438079999999995</v>
      </c>
      <c r="Y7793">
        <v>-9.913719E-2</v>
      </c>
      <c r="Z7793">
        <v>4.0833450000000004E-3</v>
      </c>
      <c r="AA7793">
        <v>0.99506539999999999</v>
      </c>
      <c r="AB7793">
        <v>29</v>
      </c>
      <c r="AC7793">
        <v>14.5229999999999</v>
      </c>
      <c r="AD7793">
        <v>-1.1202706023731901</v>
      </c>
      <c r="AE7793">
        <v>1.5226900000000001</v>
      </c>
      <c r="AF7793">
        <v>-1.4593105242142299</v>
      </c>
      <c r="AG7793">
        <v>-1.1202706023731901</v>
      </c>
      <c r="AH7793">
        <v>14.4436318379977</v>
      </c>
      <c r="AI7793">
        <v>94.412694806259097</v>
      </c>
      <c r="AJ7793">
        <v>95.769293951737893</v>
      </c>
      <c r="AK7793">
        <v>14.560326030012</v>
      </c>
      <c r="AL7793">
        <v>95.980898357187399</v>
      </c>
      <c r="AM7793">
        <v>91.077657056347803</v>
      </c>
      <c r="AN7793">
        <v>1.00000002656854</v>
      </c>
    </row>
    <row r="7794" spans="1:40" x14ac:dyDescent="0.25">
      <c r="A7794" t="str">
        <f>"20190303155001607"</f>
        <v>20190303155001607</v>
      </c>
      <c r="B7794" t="str">
        <f>"1551599401598358"</f>
        <v>1551599401598358</v>
      </c>
      <c r="C7794" t="s">
        <v>40</v>
      </c>
      <c r="D7794">
        <v>5.2353040000000002</v>
      </c>
      <c r="E7794">
        <v>0.4686226</v>
      </c>
      <c r="F7794" t="s">
        <v>73</v>
      </c>
      <c r="G7794">
        <v>-213.2021</v>
      </c>
      <c r="H7794" s="1">
        <v>-5.5777450000000002E-7</v>
      </c>
      <c r="I7794">
        <v>-61.191969999999998</v>
      </c>
      <c r="J7794">
        <v>-227.63319999999999</v>
      </c>
      <c r="K7794">
        <v>1.12025</v>
      </c>
      <c r="L7794">
        <v>-62.71808</v>
      </c>
      <c r="M7794">
        <v>0.99992999999999999</v>
      </c>
      <c r="N7794">
        <v>-1.1248650000000001E-2</v>
      </c>
      <c r="O7794">
        <v>3.6942339999999998E-3</v>
      </c>
      <c r="P7794">
        <v>0.99307719999999999</v>
      </c>
      <c r="Q7794">
        <v>-0.115256</v>
      </c>
      <c r="R7794">
        <v>2.2670119999999998E-2</v>
      </c>
      <c r="S7794">
        <v>2.9873050000000001</v>
      </c>
      <c r="T7794">
        <v>-0.2288347</v>
      </c>
      <c r="U7794">
        <v>0.3118591</v>
      </c>
      <c r="V7794">
        <v>-1.9026439999999999E-2</v>
      </c>
      <c r="W7794">
        <v>-0.1040724</v>
      </c>
      <c r="X7794">
        <v>0.99438769999999999</v>
      </c>
      <c r="Y7794">
        <v>-9.9830870000000002E-2</v>
      </c>
      <c r="Z7794">
        <v>4.1313010000000004E-3</v>
      </c>
      <c r="AA7794">
        <v>0.99499579999999999</v>
      </c>
      <c r="AB7794">
        <v>29</v>
      </c>
      <c r="AC7794">
        <v>14.431099999999899</v>
      </c>
      <c r="AD7794">
        <v>-1.1202505577745001</v>
      </c>
      <c r="AE7794">
        <v>1.5261100000000001</v>
      </c>
      <c r="AF7794">
        <v>-1.4640594604066499</v>
      </c>
      <c r="AG7794">
        <v>-1.1202505577745001</v>
      </c>
      <c r="AH7794">
        <v>14.3511158330844</v>
      </c>
      <c r="AI7794">
        <v>94.440512561396702</v>
      </c>
      <c r="AJ7794">
        <v>95.824998137512594</v>
      </c>
      <c r="AK7794">
        <v>14.4690344208038</v>
      </c>
      <c r="AL7794">
        <v>95.973726294320699</v>
      </c>
      <c r="AM7794">
        <v>91.096153649547404</v>
      </c>
      <c r="AN7794">
        <v>0.99999998388606104</v>
      </c>
    </row>
    <row r="7795" spans="1:40" x14ac:dyDescent="0.25">
      <c r="A7795" t="str">
        <f>"20190303155001619"</f>
        <v>20190303155001619</v>
      </c>
      <c r="B7795" t="str">
        <f>"1551599401608118"</f>
        <v>1551599401608118</v>
      </c>
      <c r="C7795" t="s">
        <v>40</v>
      </c>
      <c r="D7795">
        <v>5.1529870000000004</v>
      </c>
      <c r="E7795">
        <v>0.46848800000000002</v>
      </c>
      <c r="F7795" t="s">
        <v>73</v>
      </c>
      <c r="G7795">
        <v>-213.20689999999999</v>
      </c>
      <c r="H7795" s="1">
        <v>-5.6096090000000005E-7</v>
      </c>
      <c r="I7795">
        <v>-61.196109999999997</v>
      </c>
      <c r="J7795">
        <v>-227.4579</v>
      </c>
      <c r="K7795">
        <v>1.1202399999999999</v>
      </c>
      <c r="L7795">
        <v>-62.717500000000001</v>
      </c>
      <c r="M7795">
        <v>0.99993030000000005</v>
      </c>
      <c r="N7795">
        <v>-1.1242790000000001E-2</v>
      </c>
      <c r="O7795">
        <v>3.6193250000000001E-3</v>
      </c>
      <c r="P7795">
        <v>0.99307909999999999</v>
      </c>
      <c r="Q7795">
        <v>-0.1152545</v>
      </c>
      <c r="R7795">
        <v>2.260181E-2</v>
      </c>
      <c r="S7795">
        <v>2.9868009999999998</v>
      </c>
      <c r="T7795">
        <v>-0.23193449999999999</v>
      </c>
      <c r="U7795">
        <v>0.31509399999999999</v>
      </c>
      <c r="V7795">
        <v>-1.9034490000000001E-2</v>
      </c>
      <c r="W7795">
        <v>-0.1040764</v>
      </c>
      <c r="X7795">
        <v>0.99438709999999997</v>
      </c>
      <c r="Y7795">
        <v>-0.1009762</v>
      </c>
      <c r="Z7795">
        <v>4.2347560000000001E-3</v>
      </c>
      <c r="AA7795">
        <v>0.99487979999999998</v>
      </c>
      <c r="AB7795">
        <v>29</v>
      </c>
      <c r="AC7795">
        <v>14.250999999999999</v>
      </c>
      <c r="AD7795">
        <v>-1.1202405609609001</v>
      </c>
      <c r="AE7795">
        <v>1.52139</v>
      </c>
      <c r="AF7795">
        <v>-1.4608724814923999</v>
      </c>
      <c r="AG7795">
        <v>-1.1202405609609001</v>
      </c>
      <c r="AH7795">
        <v>14.1698418387654</v>
      </c>
      <c r="AI7795">
        <v>94.496557312653806</v>
      </c>
      <c r="AJ7795">
        <v>95.886244073622294</v>
      </c>
      <c r="AK7795">
        <v>14.2889294580536</v>
      </c>
      <c r="AL7795">
        <v>95.973956891534499</v>
      </c>
      <c r="AM7795">
        <v>91.096617975451096</v>
      </c>
      <c r="AN7795">
        <v>0.99999995674646402</v>
      </c>
    </row>
    <row r="7796" spans="1:40" x14ac:dyDescent="0.25">
      <c r="A7796" t="str">
        <f>"20190303155001633"</f>
        <v>20190303155001633</v>
      </c>
      <c r="B7796" t="str">
        <f>"1551599401628615"</f>
        <v>1551599401628615</v>
      </c>
      <c r="C7796" t="s">
        <v>40</v>
      </c>
      <c r="D7796">
        <v>5.1974999999999998</v>
      </c>
      <c r="E7796">
        <v>0.46809770000000001</v>
      </c>
      <c r="F7796" t="s">
        <v>73</v>
      </c>
      <c r="G7796">
        <v>-213.07640000000001</v>
      </c>
      <c r="H7796" s="1">
        <v>-5.0491880000000004E-7</v>
      </c>
      <c r="I7796">
        <v>-61.195929999999997</v>
      </c>
      <c r="J7796">
        <v>-227.30160000000001</v>
      </c>
      <c r="K7796">
        <v>1.1202299999999901</v>
      </c>
      <c r="L7796">
        <v>-62.717010000000002</v>
      </c>
      <c r="M7796">
        <v>0.9999306</v>
      </c>
      <c r="N7796">
        <v>-1.123832E-2</v>
      </c>
      <c r="O7796">
        <v>3.5455410000000001E-3</v>
      </c>
      <c r="P7796">
        <v>0.99307140000000005</v>
      </c>
      <c r="Q7796">
        <v>-0.11532340000000001</v>
      </c>
      <c r="R7796">
        <v>2.258139E-2</v>
      </c>
      <c r="S7796">
        <v>2.986694</v>
      </c>
      <c r="T7796">
        <v>-0.23264609999999999</v>
      </c>
      <c r="U7796">
        <v>0.31597900000000001</v>
      </c>
      <c r="V7796">
        <v>-1.9088399999999998E-2</v>
      </c>
      <c r="W7796">
        <v>-0.1041497</v>
      </c>
      <c r="X7796">
        <v>0.9943784</v>
      </c>
      <c r="Y7796">
        <v>-0.1013416</v>
      </c>
      <c r="Z7796">
        <v>4.2668109999999997E-3</v>
      </c>
      <c r="AA7796">
        <v>0.99484249999999996</v>
      </c>
      <c r="AB7796">
        <v>29</v>
      </c>
      <c r="AC7796">
        <v>14.225199999999999</v>
      </c>
      <c r="AD7796">
        <v>-1.1202305049187999</v>
      </c>
      <c r="AE7796">
        <v>1.52107999999999</v>
      </c>
      <c r="AF7796">
        <v>-1.46166912713497</v>
      </c>
      <c r="AG7796">
        <v>-1.1202305049187999</v>
      </c>
      <c r="AH7796">
        <v>14.143782590230501</v>
      </c>
      <c r="AI7796">
        <v>94.504654825752596</v>
      </c>
      <c r="AJ7796">
        <v>95.900205932150001</v>
      </c>
      <c r="AK7796">
        <v>14.263168616442799</v>
      </c>
      <c r="AL7796">
        <v>95.978179573155103</v>
      </c>
      <c r="AM7796">
        <v>91.099732704335906</v>
      </c>
      <c r="AN7796">
        <v>0.99999996470560404</v>
      </c>
    </row>
    <row r="7797" spans="1:40" x14ac:dyDescent="0.25">
      <c r="A7797" t="str">
        <f>"20190303155001644"</f>
        <v>20190303155001644</v>
      </c>
      <c r="B7797" t="str">
        <f>"1551599401638374"</f>
        <v>1551599401638374</v>
      </c>
      <c r="C7797" t="s">
        <v>40</v>
      </c>
      <c r="D7797">
        <v>5.2082129999999998</v>
      </c>
      <c r="E7797">
        <v>0.46788829999999998</v>
      </c>
      <c r="F7797" t="s">
        <v>73</v>
      </c>
      <c r="G7797">
        <v>-213.2706</v>
      </c>
      <c r="H7797" s="1">
        <v>-5.9383750000000001E-7</v>
      </c>
      <c r="I7797">
        <v>-61.21698</v>
      </c>
      <c r="J7797">
        <v>-227.149</v>
      </c>
      <c r="K7797">
        <v>1.1202219999999901</v>
      </c>
      <c r="L7797">
        <v>-62.716549999999998</v>
      </c>
      <c r="M7797">
        <v>0.99993100000000001</v>
      </c>
      <c r="N7797">
        <v>-1.12342E-2</v>
      </c>
      <c r="O7797">
        <v>3.4697790000000001E-3</v>
      </c>
      <c r="P7797">
        <v>0.99307670000000003</v>
      </c>
      <c r="Q7797">
        <v>-0.1153193</v>
      </c>
      <c r="R7797">
        <v>2.237372E-2</v>
      </c>
      <c r="S7797">
        <v>2.986008</v>
      </c>
      <c r="T7797">
        <v>-0.23840120000000001</v>
      </c>
      <c r="U7797">
        <v>0.31921389999999999</v>
      </c>
      <c r="V7797">
        <v>-1.8957999999999999E-2</v>
      </c>
      <c r="W7797">
        <v>-0.1041493</v>
      </c>
      <c r="X7797">
        <v>0.99438099999999996</v>
      </c>
      <c r="Y7797">
        <v>-0.1024863</v>
      </c>
      <c r="Z7797">
        <v>4.4145679999999998E-3</v>
      </c>
      <c r="AA7797">
        <v>0.99472459999999996</v>
      </c>
      <c r="AB7797">
        <v>29</v>
      </c>
      <c r="AC7797">
        <v>13.878399999999999</v>
      </c>
      <c r="AD7797">
        <v>-1.1202225938374999</v>
      </c>
      <c r="AE7797">
        <v>1.4995699999999901</v>
      </c>
      <c r="AF7797">
        <v>-1.44211566909182</v>
      </c>
      <c r="AG7797">
        <v>-1.1202225938374999</v>
      </c>
      <c r="AH7797">
        <v>13.7946815878856</v>
      </c>
      <c r="AI7797">
        <v>94.617567915357995</v>
      </c>
      <c r="AJ7797">
        <v>95.9681038113347</v>
      </c>
      <c r="AK7797">
        <v>13.915021968144201</v>
      </c>
      <c r="AL7797">
        <v>95.978156150913804</v>
      </c>
      <c r="AM7797">
        <v>91.092218989931595</v>
      </c>
      <c r="AN7797">
        <v>1.0000000278077401</v>
      </c>
    </row>
    <row r="7798" spans="1:40" x14ac:dyDescent="0.25">
      <c r="A7798" t="str">
        <f>"20190303155001654"</f>
        <v>20190303155001654</v>
      </c>
      <c r="B7798" t="str">
        <f>"1551599401648135"</f>
        <v>1551599401648135</v>
      </c>
      <c r="C7798" t="s">
        <v>40</v>
      </c>
      <c r="D7798">
        <v>5.2301570000000002</v>
      </c>
      <c r="E7798">
        <v>0.46767570000000003</v>
      </c>
      <c r="F7798" t="s">
        <v>73</v>
      </c>
      <c r="G7798">
        <v>-213.27090000000001</v>
      </c>
      <c r="H7798" s="1">
        <v>-5.9666739999999995E-7</v>
      </c>
      <c r="I7798">
        <v>-61.227200000000003</v>
      </c>
      <c r="J7798">
        <v>-227.00219999999999</v>
      </c>
      <c r="K7798">
        <v>1.120214</v>
      </c>
      <c r="L7798">
        <v>-62.71613</v>
      </c>
      <c r="M7798">
        <v>0.99993129999999997</v>
      </c>
      <c r="N7798">
        <v>-1.123069E-2</v>
      </c>
      <c r="O7798">
        <v>3.3890470000000001E-3</v>
      </c>
      <c r="P7798">
        <v>0.99305279999999996</v>
      </c>
      <c r="Q7798">
        <v>-0.1154892</v>
      </c>
      <c r="R7798">
        <v>2.255016E-2</v>
      </c>
      <c r="S7798">
        <v>2.9857179999999999</v>
      </c>
      <c r="T7798">
        <v>-0.24100170000000001</v>
      </c>
      <c r="U7798">
        <v>0.32040410000000002</v>
      </c>
      <c r="V7798">
        <v>-1.9216069999999998E-2</v>
      </c>
      <c r="W7798">
        <v>-0.1043226</v>
      </c>
      <c r="X7798">
        <v>0.99435790000000002</v>
      </c>
      <c r="Y7798">
        <v>-0.1029595</v>
      </c>
      <c r="Z7798">
        <v>4.4832539999999999E-3</v>
      </c>
      <c r="AA7798">
        <v>0.99467550000000005</v>
      </c>
      <c r="AB7798">
        <v>29</v>
      </c>
      <c r="AC7798">
        <v>13.7312999999999</v>
      </c>
      <c r="AD7798">
        <v>-1.12021459666739</v>
      </c>
      <c r="AE7798">
        <v>1.4889300000000001</v>
      </c>
      <c r="AF7798">
        <v>-1.4329563212304199</v>
      </c>
      <c r="AG7798">
        <v>-1.12021459666739</v>
      </c>
      <c r="AH7798">
        <v>13.6464990313711</v>
      </c>
      <c r="AI7798">
        <v>94.667231498874102</v>
      </c>
      <c r="AJ7798">
        <v>95.994399935027005</v>
      </c>
      <c r="AK7798">
        <v>13.7671776473739</v>
      </c>
      <c r="AL7798">
        <v>95.988139774838601</v>
      </c>
      <c r="AM7798">
        <v>91.107109101135094</v>
      </c>
      <c r="AN7798">
        <v>1.0000000477547</v>
      </c>
    </row>
    <row r="7799" spans="1:40" x14ac:dyDescent="0.25">
      <c r="A7799" t="str">
        <f>"20190303155001667"</f>
        <v>20190303155001667</v>
      </c>
      <c r="B7799" t="str">
        <f>"1551599401658871"</f>
        <v>1551599401658871</v>
      </c>
      <c r="C7799" t="s">
        <v>40</v>
      </c>
      <c r="D7799">
        <v>5.1998259999999998</v>
      </c>
      <c r="E7799">
        <v>0.46753719999999999</v>
      </c>
      <c r="F7799" t="s">
        <v>73</v>
      </c>
      <c r="G7799">
        <v>-213.3</v>
      </c>
      <c r="H7799" s="1">
        <v>-6.1111640000000005E-7</v>
      </c>
      <c r="I7799">
        <v>-61.234520000000003</v>
      </c>
      <c r="J7799">
        <v>-226.85980000000001</v>
      </c>
      <c r="K7799">
        <v>1.120209</v>
      </c>
      <c r="L7799">
        <v>-62.715730000000001</v>
      </c>
      <c r="M7799">
        <v>0.99993160000000003</v>
      </c>
      <c r="N7799">
        <v>-1.1227610000000001E-2</v>
      </c>
      <c r="O7799">
        <v>3.3034679999999999E-3</v>
      </c>
      <c r="P7799">
        <v>0.99313240000000003</v>
      </c>
      <c r="Q7799">
        <v>-0.11488130000000001</v>
      </c>
      <c r="R7799">
        <v>2.2151290000000001E-2</v>
      </c>
      <c r="S7799">
        <v>2.9852910000000001</v>
      </c>
      <c r="T7799">
        <v>-0.2440599</v>
      </c>
      <c r="U7799">
        <v>0.32278440000000003</v>
      </c>
      <c r="V7799">
        <v>-1.8904339999999999E-2</v>
      </c>
      <c r="W7799">
        <v>-0.10371660000000001</v>
      </c>
      <c r="X7799">
        <v>0.99442719999999996</v>
      </c>
      <c r="Y7799">
        <v>-0.1038314</v>
      </c>
      <c r="Z7799">
        <v>4.5788010000000004E-3</v>
      </c>
      <c r="AA7799">
        <v>0.99458440000000004</v>
      </c>
      <c r="AB7799">
        <v>29</v>
      </c>
      <c r="AC7799">
        <v>13.5597999999999</v>
      </c>
      <c r="AD7799">
        <v>-1.1202096111163999</v>
      </c>
      <c r="AE7799">
        <v>1.4812100000000099</v>
      </c>
      <c r="AF7799">
        <v>-1.4267820049462301</v>
      </c>
      <c r="AG7799">
        <v>-1.1202096111163999</v>
      </c>
      <c r="AH7799">
        <v>13.473747679265699</v>
      </c>
      <c r="AI7799">
        <v>94.7263454576876</v>
      </c>
      <c r="AJ7799">
        <v>96.044722519786305</v>
      </c>
      <c r="AK7799">
        <v>13.595309962887701</v>
      </c>
      <c r="AL7799">
        <v>95.953229547084902</v>
      </c>
      <c r="AM7799">
        <v>91.089077657939598</v>
      </c>
      <c r="AN7799">
        <v>0.99999998164311699</v>
      </c>
    </row>
    <row r="7800" spans="1:40" x14ac:dyDescent="0.25">
      <c r="A7800" t="str">
        <f>"20190303155001677"</f>
        <v>20190303155001677</v>
      </c>
      <c r="B7800" t="str">
        <f>"1551599401668631"</f>
        <v>1551599401668631</v>
      </c>
      <c r="C7800" t="s">
        <v>40</v>
      </c>
      <c r="D7800">
        <v>5.1624400000000001</v>
      </c>
      <c r="E7800">
        <v>0.46751219999999999</v>
      </c>
      <c r="F7800" t="s">
        <v>73</v>
      </c>
      <c r="G7800">
        <v>-213.2182</v>
      </c>
      <c r="H7800" s="1">
        <v>-5.7758530000000002E-7</v>
      </c>
      <c r="I7800">
        <v>-61.240349999999999</v>
      </c>
      <c r="J7800">
        <v>-226.71639999999999</v>
      </c>
      <c r="K7800">
        <v>1.1202030000000001</v>
      </c>
      <c r="L7800">
        <v>-62.715299999999999</v>
      </c>
      <c r="M7800">
        <v>0.99993189999999998</v>
      </c>
      <c r="N7800">
        <v>-1.122477E-2</v>
      </c>
      <c r="O7800">
        <v>3.211434E-3</v>
      </c>
      <c r="P7800">
        <v>0.99319630000000003</v>
      </c>
      <c r="Q7800">
        <v>-0.114375</v>
      </c>
      <c r="R7800">
        <v>2.18964E-2</v>
      </c>
      <c r="S7800">
        <v>2.9851990000000002</v>
      </c>
      <c r="T7800">
        <v>-0.24513599999999999</v>
      </c>
      <c r="U7800">
        <v>0.32284550000000001</v>
      </c>
      <c r="V7800">
        <v>-1.8742680000000001E-2</v>
      </c>
      <c r="W7800">
        <v>-0.1032121</v>
      </c>
      <c r="X7800">
        <v>0.9944828</v>
      </c>
      <c r="Y7800">
        <v>-0.10394249999999999</v>
      </c>
      <c r="Z7800">
        <v>4.6078129999999997E-3</v>
      </c>
      <c r="AA7800">
        <v>0.99457260000000003</v>
      </c>
      <c r="AB7800">
        <v>29</v>
      </c>
      <c r="AC7800">
        <v>13.498199999999899</v>
      </c>
      <c r="AD7800">
        <v>-1.1202035775853001</v>
      </c>
      <c r="AE7800">
        <v>1.47494999999999</v>
      </c>
      <c r="AF7800">
        <v>-1.4219136421052601</v>
      </c>
      <c r="AG7800">
        <v>-1.1202035775853001</v>
      </c>
      <c r="AH7800">
        <v>13.411589058380599</v>
      </c>
      <c r="AI7800">
        <v>94.748061960938401</v>
      </c>
      <c r="AJ7800">
        <v>96.0519629008175</v>
      </c>
      <c r="AK7800">
        <v>13.53319679646</v>
      </c>
      <c r="AL7800">
        <v>95.924167553329397</v>
      </c>
      <c r="AM7800">
        <v>91.079706297675699</v>
      </c>
      <c r="AN7800">
        <v>1.0000000325679099</v>
      </c>
    </row>
    <row r="7801" spans="1:40" x14ac:dyDescent="0.25">
      <c r="A7801" t="str">
        <f>"20190303155001689"</f>
        <v>20190303155001689</v>
      </c>
      <c r="B7801" t="str">
        <f>"1551599401678391"</f>
        <v>1551599401678391</v>
      </c>
      <c r="C7801" t="s">
        <v>40</v>
      </c>
      <c r="D7801">
        <v>5.2350500000000002</v>
      </c>
      <c r="E7801">
        <v>0.46737790000000001</v>
      </c>
      <c r="F7801" t="s">
        <v>73</v>
      </c>
      <c r="G7801">
        <v>-213.04740000000001</v>
      </c>
      <c r="H7801" s="1">
        <v>-5.0399179999999997E-7</v>
      </c>
      <c r="I7801">
        <v>-61.239240000000002</v>
      </c>
      <c r="J7801">
        <v>-226.57740000000001</v>
      </c>
      <c r="K7801">
        <v>1.1201950000000001</v>
      </c>
      <c r="L7801">
        <v>-62.714970000000001</v>
      </c>
      <c r="M7801">
        <v>0.9999323</v>
      </c>
      <c r="N7801">
        <v>-1.122241E-2</v>
      </c>
      <c r="O7801">
        <v>3.1089310000000001E-3</v>
      </c>
      <c r="P7801">
        <v>0.99328490000000003</v>
      </c>
      <c r="Q7801">
        <v>-0.11364249999999999</v>
      </c>
      <c r="R7801">
        <v>2.1695030000000001E-2</v>
      </c>
      <c r="S7801">
        <v>2.985306</v>
      </c>
      <c r="T7801">
        <v>-0.2446508</v>
      </c>
      <c r="U7801">
        <v>0.32235720000000001</v>
      </c>
      <c r="V7801">
        <v>-1.8646409999999999E-2</v>
      </c>
      <c r="W7801">
        <v>-0.1024804</v>
      </c>
      <c r="X7801">
        <v>0.99456020000000001</v>
      </c>
      <c r="Y7801">
        <v>-0.1038813</v>
      </c>
      <c r="Z7801">
        <v>4.6040810000000003E-3</v>
      </c>
      <c r="AA7801">
        <v>0.99457910000000005</v>
      </c>
      <c r="AB7801">
        <v>29</v>
      </c>
      <c r="AC7801">
        <v>13.53</v>
      </c>
      <c r="AD7801">
        <v>-1.1201955039917999</v>
      </c>
      <c r="AE7801">
        <v>1.47572999999999</v>
      </c>
      <c r="AF7801">
        <v>-1.42400990367304</v>
      </c>
      <c r="AG7801">
        <v>-1.1201955039917999</v>
      </c>
      <c r="AH7801">
        <v>13.443454613416799</v>
      </c>
      <c r="AI7801">
        <v>94.736871858667101</v>
      </c>
      <c r="AJ7801">
        <v>96.046559023100102</v>
      </c>
      <c r="AK7801">
        <v>13.5649959128604</v>
      </c>
      <c r="AL7801">
        <v>95.882021189211798</v>
      </c>
      <c r="AM7801">
        <v>91.074078216035403</v>
      </c>
      <c r="AN7801">
        <v>0.99999995620704296</v>
      </c>
    </row>
    <row r="7802" spans="1:40" x14ac:dyDescent="0.25">
      <c r="A7802" t="str">
        <f>"20190303155001699"</f>
        <v>20190303155001699</v>
      </c>
      <c r="B7802" t="str">
        <f>"1551599401688150"</f>
        <v>1551599401688150</v>
      </c>
      <c r="C7802" t="s">
        <v>40</v>
      </c>
      <c r="D7802">
        <v>5.2129719999999997</v>
      </c>
      <c r="E7802">
        <v>0.46723209999999998</v>
      </c>
      <c r="F7802" t="s">
        <v>73</v>
      </c>
      <c r="G7802">
        <v>-212.8819</v>
      </c>
      <c r="H7802" s="1">
        <v>-4.3138570000000002E-7</v>
      </c>
      <c r="I7802">
        <v>-61.2331</v>
      </c>
      <c r="J7802">
        <v>-226.4393</v>
      </c>
      <c r="K7802">
        <v>1.1201890000000001</v>
      </c>
      <c r="L7802">
        <v>-62.71463</v>
      </c>
      <c r="M7802">
        <v>0.99993259999999995</v>
      </c>
      <c r="N7802">
        <v>-1.122019E-2</v>
      </c>
      <c r="O7802">
        <v>3.0028989999999998E-3</v>
      </c>
      <c r="P7802">
        <v>0.99333499999999997</v>
      </c>
      <c r="Q7802">
        <v>-0.11320040000000001</v>
      </c>
      <c r="R7802">
        <v>2.1715089999999999E-2</v>
      </c>
      <c r="S7802">
        <v>2.9852910000000001</v>
      </c>
      <c r="T7802">
        <v>-0.24417559999999999</v>
      </c>
      <c r="U7802">
        <v>0.32299800000000001</v>
      </c>
      <c r="V7802">
        <v>-1.8774840000000001E-2</v>
      </c>
      <c r="W7802">
        <v>-0.1020393</v>
      </c>
      <c r="X7802">
        <v>0.99460320000000002</v>
      </c>
      <c r="Y7802">
        <v>-0.1041982</v>
      </c>
      <c r="Z7802">
        <v>4.6183600000000002E-3</v>
      </c>
      <c r="AA7802">
        <v>0.99454580000000004</v>
      </c>
      <c r="AB7802">
        <v>29</v>
      </c>
      <c r="AC7802">
        <v>13.557399999999999</v>
      </c>
      <c r="AD7802">
        <v>-1.1201894313856999</v>
      </c>
      <c r="AE7802">
        <v>1.48153</v>
      </c>
      <c r="AF7802">
        <v>-1.4311540621352301</v>
      </c>
      <c r="AG7802">
        <v>-1.1201894313856999</v>
      </c>
      <c r="AH7802">
        <v>13.470907373895599</v>
      </c>
      <c r="AI7802">
        <v>94.727081494388898</v>
      </c>
      <c r="AJ7802">
        <v>96.064376334819798</v>
      </c>
      <c r="AK7802">
        <v>13.592953019407901</v>
      </c>
      <c r="AL7802">
        <v>95.856614460894306</v>
      </c>
      <c r="AM7802">
        <v>91.081427598361401</v>
      </c>
      <c r="AN7802">
        <v>1.00000001940587</v>
      </c>
    </row>
    <row r="7803" spans="1:40" x14ac:dyDescent="0.25">
      <c r="A7803" t="str">
        <f>"20190303155001711"</f>
        <v>20190303155001711</v>
      </c>
      <c r="B7803" t="str">
        <f>"1551599401708648"</f>
        <v>1551599401708648</v>
      </c>
      <c r="C7803" t="s">
        <v>40</v>
      </c>
      <c r="D7803">
        <v>5.1733159999999998</v>
      </c>
      <c r="E7803">
        <v>0.46709630000000002</v>
      </c>
      <c r="F7803" t="s">
        <v>73</v>
      </c>
      <c r="G7803">
        <v>-212.80439999999999</v>
      </c>
      <c r="H7803" s="1">
        <v>-3.9818199999999999E-7</v>
      </c>
      <c r="I7803">
        <v>-61.233359999999998</v>
      </c>
      <c r="J7803">
        <v>-226.2962</v>
      </c>
      <c r="K7803">
        <v>1.12017099999999</v>
      </c>
      <c r="L7803">
        <v>-62.714320000000001</v>
      </c>
      <c r="M7803">
        <v>0.99993290000000001</v>
      </c>
      <c r="N7803">
        <v>-1.121837E-2</v>
      </c>
      <c r="O7803">
        <v>2.8701460000000001E-3</v>
      </c>
      <c r="P7803">
        <v>0.99337509999999996</v>
      </c>
      <c r="Q7803">
        <v>-0.112932199999999</v>
      </c>
      <c r="R7803">
        <v>2.126838E-2</v>
      </c>
      <c r="S7803">
        <v>2.9850919999999999</v>
      </c>
      <c r="T7803">
        <v>-0.24524260000000001</v>
      </c>
      <c r="U7803">
        <v>0.32427979999999901</v>
      </c>
      <c r="V7803">
        <v>-1.8464230000000002E-2</v>
      </c>
      <c r="W7803">
        <v>-0.1017719</v>
      </c>
      <c r="X7803">
        <v>0.99463639999999998</v>
      </c>
      <c r="Y7803">
        <v>-0.10475379999999999</v>
      </c>
      <c r="Z7803">
        <v>4.6710859999999996E-3</v>
      </c>
      <c r="AA7803">
        <v>0.99448720000000002</v>
      </c>
      <c r="AB7803">
        <v>29</v>
      </c>
      <c r="AC7803">
        <v>13.4918</v>
      </c>
      <c r="AD7803">
        <v>-1.1201713981819901</v>
      </c>
      <c r="AE7803">
        <v>1.4809599999999901</v>
      </c>
      <c r="AF7803">
        <v>-1.43247108658655</v>
      </c>
      <c r="AG7803">
        <v>-1.1201713981819901</v>
      </c>
      <c r="AH7803">
        <v>13.4046923698246</v>
      </c>
      <c r="AI7803">
        <v>94.749938708793394</v>
      </c>
      <c r="AJ7803">
        <v>96.099673460050795</v>
      </c>
      <c r="AK7803">
        <v>13.5274733377984</v>
      </c>
      <c r="AL7803">
        <v>95.841213460835107</v>
      </c>
      <c r="AM7803">
        <v>91.063505167212</v>
      </c>
      <c r="AN7803">
        <v>1.0000000078120299</v>
      </c>
    </row>
    <row r="7804" spans="1:40" x14ac:dyDescent="0.25">
      <c r="A7804" t="str">
        <f>"20190303155001723"</f>
        <v>20190303155001723</v>
      </c>
      <c r="B7804" t="str">
        <f>"1551599401718406"</f>
        <v>1551599401718406</v>
      </c>
      <c r="C7804" t="s">
        <v>40</v>
      </c>
      <c r="D7804">
        <v>5.2236589999999996</v>
      </c>
      <c r="E7804">
        <v>0.46693600000000002</v>
      </c>
      <c r="F7804" t="s">
        <v>73</v>
      </c>
      <c r="G7804">
        <v>-212.7534</v>
      </c>
      <c r="H7804" s="1">
        <v>-3.7912649999999999E-7</v>
      </c>
      <c r="I7804">
        <v>-61.243870000000001</v>
      </c>
      <c r="J7804">
        <v>-226.14940000000001</v>
      </c>
      <c r="K7804">
        <v>1.1201490000000001</v>
      </c>
      <c r="L7804">
        <v>-62.714019999999998</v>
      </c>
      <c r="M7804">
        <v>0.99993350000000003</v>
      </c>
      <c r="N7804">
        <v>-1.121661E-2</v>
      </c>
      <c r="O7804">
        <v>2.726755E-3</v>
      </c>
      <c r="P7804">
        <v>0.99331610000000004</v>
      </c>
      <c r="Q7804">
        <v>-0.11344559999999999</v>
      </c>
      <c r="R7804">
        <v>2.130046E-2</v>
      </c>
      <c r="S7804">
        <v>2.9850310000000002</v>
      </c>
      <c r="T7804">
        <v>-0.24690229999999999</v>
      </c>
      <c r="U7804">
        <v>0.32409670000000002</v>
      </c>
      <c r="V7804">
        <v>-1.864441E-2</v>
      </c>
      <c r="W7804">
        <v>-0.10228669999999999</v>
      </c>
      <c r="X7804">
        <v>0.99458020000000003</v>
      </c>
      <c r="Y7804">
        <v>-0.1048327</v>
      </c>
      <c r="Z7804">
        <v>4.7122980000000002E-3</v>
      </c>
      <c r="AA7804">
        <v>0.99447870000000005</v>
      </c>
      <c r="AB7804">
        <v>29</v>
      </c>
      <c r="AC7804">
        <v>13.396000000000001</v>
      </c>
      <c r="AD7804">
        <v>-1.1201493791265</v>
      </c>
      <c r="AE7804">
        <v>1.4701500000000001</v>
      </c>
      <c r="AF7804">
        <v>-1.42377804258246</v>
      </c>
      <c r="AG7804">
        <v>-1.1201493791265</v>
      </c>
      <c r="AH7804">
        <v>13.3080168485552</v>
      </c>
      <c r="AI7804">
        <v>94.784129267727906</v>
      </c>
      <c r="AJ7804">
        <v>96.106646055110005</v>
      </c>
      <c r="AK7804">
        <v>13.4307554138823</v>
      </c>
      <c r="AL7804">
        <v>95.870864234990293</v>
      </c>
      <c r="AM7804">
        <v>91.0739414469422</v>
      </c>
      <c r="AN7804">
        <v>0.99999997862658796</v>
      </c>
    </row>
    <row r="7805" spans="1:40" x14ac:dyDescent="0.25">
      <c r="A7805" t="str">
        <f>"20190303155001734"</f>
        <v>20190303155001734</v>
      </c>
      <c r="B7805" t="str">
        <f>"1551599401728167"</f>
        <v>1551599401728167</v>
      </c>
      <c r="C7805" t="s">
        <v>40</v>
      </c>
      <c r="D7805">
        <v>5.2280220000000002</v>
      </c>
      <c r="E7805">
        <v>0.46678989999999998</v>
      </c>
      <c r="F7805" t="s">
        <v>73</v>
      </c>
      <c r="G7805">
        <v>-212.79570000000001</v>
      </c>
      <c r="H7805" s="1">
        <v>-4.00927E-7</v>
      </c>
      <c r="I7805">
        <v>-61.257620000000003</v>
      </c>
      <c r="J7805">
        <v>-226.00049999999999</v>
      </c>
      <c r="K7805">
        <v>1.12012</v>
      </c>
      <c r="L7805">
        <v>-62.71378</v>
      </c>
      <c r="M7805">
        <v>0.99993399999999999</v>
      </c>
      <c r="N7805">
        <v>-1.121524E-2</v>
      </c>
      <c r="O7805">
        <v>2.5519819999999999E-3</v>
      </c>
      <c r="P7805">
        <v>0.9932607</v>
      </c>
      <c r="Q7805">
        <v>-0.11389829999999999</v>
      </c>
      <c r="R7805">
        <v>2.1460590000000002E-2</v>
      </c>
      <c r="S7805">
        <v>2.9846189999999999</v>
      </c>
      <c r="T7805">
        <v>-0.25036009999999997</v>
      </c>
      <c r="U7805">
        <v>0.32550050000000003</v>
      </c>
      <c r="V7805">
        <v>-1.8985459999999999E-2</v>
      </c>
      <c r="W7805">
        <v>-0.1027399</v>
      </c>
      <c r="X7805">
        <v>0.99452700000000005</v>
      </c>
      <c r="Y7805">
        <v>-0.10546999999999999</v>
      </c>
      <c r="Z7805">
        <v>4.8126599999999999E-3</v>
      </c>
      <c r="AA7805">
        <v>0.99441080000000004</v>
      </c>
      <c r="AB7805">
        <v>29</v>
      </c>
      <c r="AC7805">
        <v>13.204799999999899</v>
      </c>
      <c r="AD7805">
        <v>-1.120120400927</v>
      </c>
      <c r="AE7805">
        <v>1.4561600000000099</v>
      </c>
      <c r="AF7805">
        <v>-1.41241370143193</v>
      </c>
      <c r="AG7805">
        <v>-1.120120400927</v>
      </c>
      <c r="AH7805">
        <v>13.1152354348584</v>
      </c>
      <c r="AI7805">
        <v>94.853630866145195</v>
      </c>
      <c r="AJ7805">
        <v>96.146641774448696</v>
      </c>
      <c r="AK7805">
        <v>13.238541561982199</v>
      </c>
      <c r="AL7805">
        <v>95.896968411866695</v>
      </c>
      <c r="AM7805">
        <v>91.0936401121578</v>
      </c>
      <c r="AN7805">
        <v>0.99999994423620897</v>
      </c>
    </row>
    <row r="7806" spans="1:40" x14ac:dyDescent="0.25">
      <c r="A7806" t="str">
        <f>"20190303155001744"</f>
        <v>20190303155001744</v>
      </c>
      <c r="B7806" t="str">
        <f>"1551599401737926"</f>
        <v>1551599401737926</v>
      </c>
      <c r="C7806" t="s">
        <v>40</v>
      </c>
      <c r="D7806">
        <v>5.2382</v>
      </c>
      <c r="E7806">
        <v>0.46667399999999998</v>
      </c>
      <c r="F7806" t="s">
        <v>73</v>
      </c>
      <c r="G7806">
        <v>-212.81129999999999</v>
      </c>
      <c r="H7806" s="1">
        <v>-4.1022210000000002E-7</v>
      </c>
      <c r="I7806">
        <v>-61.267429999999997</v>
      </c>
      <c r="J7806">
        <v>-225.8656</v>
      </c>
      <c r="K7806">
        <v>1.120093</v>
      </c>
      <c r="L7806">
        <v>-62.713590000000003</v>
      </c>
      <c r="M7806">
        <v>0.9999344</v>
      </c>
      <c r="N7806">
        <v>-1.1214150000000001E-2</v>
      </c>
      <c r="O7806">
        <v>2.3820500000000001E-3</v>
      </c>
      <c r="P7806">
        <v>0.99320469999999905</v>
      </c>
      <c r="Q7806">
        <v>-0.114320699999999</v>
      </c>
      <c r="R7806">
        <v>2.18046E-2</v>
      </c>
      <c r="S7806">
        <v>2.9842070000000001</v>
      </c>
      <c r="T7806">
        <v>-0.25344060000000002</v>
      </c>
      <c r="U7806">
        <v>0.32723999999999998</v>
      </c>
      <c r="V7806">
        <v>-1.9504830000000001E-2</v>
      </c>
      <c r="W7806">
        <v>-0.10316259999999999</v>
      </c>
      <c r="X7806">
        <v>0.9944733</v>
      </c>
      <c r="Y7806">
        <v>-0.10621360000000001</v>
      </c>
      <c r="Z7806">
        <v>4.9125389999999996E-3</v>
      </c>
      <c r="AA7806">
        <v>0.99433119999999997</v>
      </c>
      <c r="AB7806">
        <v>29</v>
      </c>
      <c r="AC7806">
        <v>13.0543</v>
      </c>
      <c r="AD7806">
        <v>-1.1200934102221001</v>
      </c>
      <c r="AE7806">
        <v>1.4461599999999899</v>
      </c>
      <c r="AF7806">
        <v>-1.40484076910855</v>
      </c>
      <c r="AG7806">
        <v>-1.1200934102221001</v>
      </c>
      <c r="AH7806">
        <v>12.9634270859311</v>
      </c>
      <c r="AI7806">
        <v>94.909722137230801</v>
      </c>
      <c r="AJ7806">
        <v>96.184981190316194</v>
      </c>
      <c r="AK7806">
        <v>13.087346126943499</v>
      </c>
      <c r="AL7806">
        <v>95.921316073605098</v>
      </c>
      <c r="AM7806">
        <v>91.1236110347958</v>
      </c>
      <c r="AN7806">
        <v>1.0000000524224799</v>
      </c>
    </row>
    <row r="7807" spans="1:40" x14ac:dyDescent="0.25">
      <c r="A7807" t="str">
        <f>"20190303155001755"</f>
        <v>20190303155001755</v>
      </c>
      <c r="B7807" t="str">
        <f>"1551599401748663"</f>
        <v>1551599401748663</v>
      </c>
      <c r="C7807" t="s">
        <v>40</v>
      </c>
      <c r="D7807">
        <v>5.2268129999999999</v>
      </c>
      <c r="E7807">
        <v>0.46660390000000002</v>
      </c>
      <c r="F7807" t="s">
        <v>73</v>
      </c>
      <c r="G7807">
        <v>-212.85429999999999</v>
      </c>
      <c r="H7807" s="1">
        <v>-4.3134569999999997E-7</v>
      </c>
      <c r="I7807">
        <v>-61.277479999999997</v>
      </c>
      <c r="J7807">
        <v>-225.72</v>
      </c>
      <c r="K7807">
        <v>1.1200639999999999</v>
      </c>
      <c r="L7807">
        <v>-62.713439999999999</v>
      </c>
      <c r="M7807">
        <v>0.99993489999999996</v>
      </c>
      <c r="N7807">
        <v>-1.1213280000000001E-2</v>
      </c>
      <c r="O7807">
        <v>2.1768820000000002E-3</v>
      </c>
      <c r="P7807">
        <v>0.99315810000000004</v>
      </c>
      <c r="Q7807">
        <v>-0.11461200000000001</v>
      </c>
      <c r="R7807">
        <v>2.238886E-2</v>
      </c>
      <c r="S7807">
        <v>2.9837340000000001</v>
      </c>
      <c r="T7807">
        <v>-0.25685910000000001</v>
      </c>
      <c r="U7807">
        <v>0.32931519999999997</v>
      </c>
      <c r="V7807">
        <v>-2.030086E-2</v>
      </c>
      <c r="W7807">
        <v>-0.1034532</v>
      </c>
      <c r="X7807">
        <v>0.99442710000000001</v>
      </c>
      <c r="Y7807">
        <v>-0.1071029</v>
      </c>
      <c r="Z7807">
        <v>5.0290680000000003E-3</v>
      </c>
      <c r="AA7807">
        <v>0.99423519999999999</v>
      </c>
      <c r="AB7807">
        <v>29</v>
      </c>
      <c r="AC7807">
        <v>12.8657</v>
      </c>
      <c r="AD7807">
        <v>-1.1200644313457</v>
      </c>
      <c r="AE7807">
        <v>1.4359599999999999</v>
      </c>
      <c r="AF7807">
        <v>-1.39748632249924</v>
      </c>
      <c r="AG7807">
        <v>-1.1200644313457</v>
      </c>
      <c r="AH7807">
        <v>12.7731772245792</v>
      </c>
      <c r="AI7807">
        <v>94.981802329751304</v>
      </c>
      <c r="AJ7807">
        <v>96.243776316960293</v>
      </c>
      <c r="AK7807">
        <v>12.8981226836485</v>
      </c>
      <c r="AL7807">
        <v>95.938056264605606</v>
      </c>
      <c r="AM7807">
        <v>91.169509614851606</v>
      </c>
      <c r="AN7807">
        <v>0.99999997336069402</v>
      </c>
    </row>
    <row r="7808" spans="1:40" x14ac:dyDescent="0.25">
      <c r="A7808" t="str">
        <f>"20190303155001768"</f>
        <v>20190303155001768</v>
      </c>
      <c r="B7808" t="str">
        <f>"1551599401758423"</f>
        <v>1551599401758423</v>
      </c>
      <c r="C7808" t="s">
        <v>40</v>
      </c>
      <c r="D7808">
        <v>5.1945249999999996</v>
      </c>
      <c r="E7808">
        <v>0.46667120000000001</v>
      </c>
      <c r="F7808" t="s">
        <v>73</v>
      </c>
      <c r="G7808">
        <v>-212.8563</v>
      </c>
      <c r="H7808" s="1">
        <v>-4.3366469999999998E-7</v>
      </c>
      <c r="I7808">
        <v>-61.282980000000002</v>
      </c>
      <c r="J7808">
        <v>-225.57249999999999</v>
      </c>
      <c r="K7808">
        <v>1.120031</v>
      </c>
      <c r="L7808">
        <v>-62.713320000000003</v>
      </c>
      <c r="M7808">
        <v>0.99993529999999997</v>
      </c>
      <c r="N7808">
        <v>-1.1212639999999999E-2</v>
      </c>
      <c r="O7808">
        <v>1.9431660000000001E-3</v>
      </c>
      <c r="P7808">
        <v>0.99318519999999999</v>
      </c>
      <c r="Q7808">
        <v>-0.114235</v>
      </c>
      <c r="R7808">
        <v>2.3105290000000001E-2</v>
      </c>
      <c r="S7808">
        <v>2.983231</v>
      </c>
      <c r="T7808">
        <v>-0.25975579999999998</v>
      </c>
      <c r="U7808">
        <v>0.33172610000000002</v>
      </c>
      <c r="V7808">
        <v>-2.1257640000000001E-2</v>
      </c>
      <c r="W7808">
        <v>-0.1030742</v>
      </c>
      <c r="X7808">
        <v>0.99444650000000001</v>
      </c>
      <c r="Y7808">
        <v>-0.1081328</v>
      </c>
      <c r="Z7808">
        <v>5.1471449999999997E-3</v>
      </c>
      <c r="AA7808">
        <v>0.99412319999999998</v>
      </c>
      <c r="AB7808">
        <v>29</v>
      </c>
      <c r="AC7808">
        <v>12.716199999999899</v>
      </c>
      <c r="AD7808">
        <v>-1.1200314336646999</v>
      </c>
      <c r="AE7808">
        <v>1.43033999999999</v>
      </c>
      <c r="AF7808">
        <v>-1.3949394291953501</v>
      </c>
      <c r="AG7808">
        <v>-1.1200314336646999</v>
      </c>
      <c r="AH7808">
        <v>12.622256450498</v>
      </c>
      <c r="AI7808">
        <v>95.040312678246195</v>
      </c>
      <c r="AJ7808">
        <v>96.306409963996003</v>
      </c>
      <c r="AK7808">
        <v>12.748399284838101</v>
      </c>
      <c r="AL7808">
        <v>95.916224235347102</v>
      </c>
      <c r="AM7808">
        <v>91.224588339615295</v>
      </c>
      <c r="AN7808">
        <v>1.0000000096631201</v>
      </c>
    </row>
    <row r="7809" spans="1:40" x14ac:dyDescent="0.25">
      <c r="A7809" t="str">
        <f>"20190303155001779"</f>
        <v>20190303155001779</v>
      </c>
      <c r="B7809" t="str">
        <f>"1551599401768184"</f>
        <v>1551599401768184</v>
      </c>
      <c r="C7809" t="s">
        <v>40</v>
      </c>
      <c r="D7809">
        <v>5.1742059999999999</v>
      </c>
      <c r="E7809">
        <v>0.46667120000000001</v>
      </c>
      <c r="F7809" t="s">
        <v>73</v>
      </c>
      <c r="G7809">
        <v>-212.6396</v>
      </c>
      <c r="H7809" s="1">
        <v>-3.3663919999999999E-7</v>
      </c>
      <c r="I7809">
        <v>-61.267699999999998</v>
      </c>
      <c r="J7809">
        <v>-225.41030000000001</v>
      </c>
      <c r="K7809">
        <v>1.119999</v>
      </c>
      <c r="L7809">
        <v>-62.713259999999998</v>
      </c>
      <c r="M7809">
        <v>0.99993580000000004</v>
      </c>
      <c r="N7809">
        <v>-1.1212110000000001E-2</v>
      </c>
      <c r="O7809">
        <v>1.665372E-3</v>
      </c>
      <c r="P7809">
        <v>0.99324109999999999</v>
      </c>
      <c r="Q7809">
        <v>-0.11354160000000001</v>
      </c>
      <c r="R7809">
        <v>2.4098769999999999E-2</v>
      </c>
      <c r="S7809">
        <v>2.9831089999999998</v>
      </c>
      <c r="T7809">
        <v>-0.25834750000000001</v>
      </c>
      <c r="U7809">
        <v>0.33343509999999998</v>
      </c>
      <c r="V7809">
        <v>-2.2536239999999999E-2</v>
      </c>
      <c r="W7809">
        <v>-0.1023775</v>
      </c>
      <c r="X7809">
        <v>0.99449030000000005</v>
      </c>
      <c r="Y7809">
        <v>-0.1089762</v>
      </c>
      <c r="Z7809">
        <v>5.1846970000000003E-3</v>
      </c>
      <c r="AA7809">
        <v>0.99403079999999999</v>
      </c>
      <c r="AB7809">
        <v>29</v>
      </c>
      <c r="AC7809">
        <v>12.7707</v>
      </c>
      <c r="AD7809">
        <v>-1.1199993366392</v>
      </c>
      <c r="AE7809">
        <v>1.44556</v>
      </c>
      <c r="AF7809">
        <v>-1.41355400646788</v>
      </c>
      <c r="AG7809">
        <v>-1.1199993366392</v>
      </c>
      <c r="AH7809">
        <v>12.676820647420801</v>
      </c>
      <c r="AI7809">
        <v>95.018042359420093</v>
      </c>
      <c r="AJ7809">
        <v>96.362595872435506</v>
      </c>
      <c r="AK7809">
        <v>12.804464657694499</v>
      </c>
      <c r="AL7809">
        <v>95.8760940466844</v>
      </c>
      <c r="AM7809">
        <v>91.298162968020193</v>
      </c>
      <c r="AN7809">
        <v>0.99999999570683795</v>
      </c>
    </row>
    <row r="7810" spans="1:40" x14ac:dyDescent="0.25">
      <c r="A7810" t="str">
        <f>"20190303155001792"</f>
        <v>20190303155001792</v>
      </c>
      <c r="B7810" t="str">
        <f>"1551599401788678"</f>
        <v>1551599401788678</v>
      </c>
      <c r="C7810" t="s">
        <v>40</v>
      </c>
      <c r="D7810">
        <v>5.2236830000000003</v>
      </c>
      <c r="E7810">
        <v>0.49297220000000003</v>
      </c>
      <c r="F7810" t="s">
        <v>73</v>
      </c>
      <c r="G7810">
        <v>-212.37780000000001</v>
      </c>
      <c r="H7810" s="1">
        <v>-2.1790399999999999E-7</v>
      </c>
      <c r="I7810">
        <v>-61.243609999999997</v>
      </c>
      <c r="J7810">
        <v>-225.25389999999999</v>
      </c>
      <c r="K7810">
        <v>1.1199619999999999</v>
      </c>
      <c r="L7810">
        <v>-62.713320000000003</v>
      </c>
      <c r="M7810">
        <v>0.99993639999999995</v>
      </c>
      <c r="N7810">
        <v>-1.121204E-2</v>
      </c>
      <c r="O7810">
        <v>1.3436329999999999E-3</v>
      </c>
      <c r="P7810">
        <v>0.99331809999999998</v>
      </c>
      <c r="Q7810">
        <v>-0.112690899999999</v>
      </c>
      <c r="R7810">
        <v>2.4906589999999999E-2</v>
      </c>
      <c r="S7810">
        <v>2.9829409999999998</v>
      </c>
      <c r="T7810">
        <v>-0.2563493</v>
      </c>
      <c r="U7810">
        <v>0.33636470000000002</v>
      </c>
      <c r="V7810">
        <v>-2.3674049999999999E-2</v>
      </c>
      <c r="W7810">
        <v>-0.1015226</v>
      </c>
      <c r="X7810">
        <v>0.99455150000000003</v>
      </c>
      <c r="Y7810">
        <v>-0.11026660000000001</v>
      </c>
      <c r="Z7810">
        <v>5.235997E-3</v>
      </c>
      <c r="AA7810">
        <v>0.99388829999999995</v>
      </c>
      <c r="AB7810">
        <v>29</v>
      </c>
      <c r="AC7810">
        <v>12.8760999999999</v>
      </c>
      <c r="AD7810">
        <v>-1.1199622179040001</v>
      </c>
      <c r="AE7810">
        <v>1.4697099999999901</v>
      </c>
      <c r="AF7810">
        <v>-1.44164036563482</v>
      </c>
      <c r="AG7810">
        <v>-1.1199622179040001</v>
      </c>
      <c r="AH7810">
        <v>12.782600135753</v>
      </c>
      <c r="AI7810">
        <v>94.975863131715798</v>
      </c>
      <c r="AJ7810">
        <v>96.434711416584193</v>
      </c>
      <c r="AK7810">
        <v>12.912300668119199</v>
      </c>
      <c r="AL7810">
        <v>95.826855344034797</v>
      </c>
      <c r="AM7810">
        <v>91.363596600747499</v>
      </c>
      <c r="AN7810">
        <v>0.99999999255320604</v>
      </c>
    </row>
    <row r="7811" spans="1:40" x14ac:dyDescent="0.25">
      <c r="A7811" t="str">
        <f>"20190303155001808"</f>
        <v>20190303155001808</v>
      </c>
      <c r="B7811" t="str">
        <f>"1551599401798440"</f>
        <v>1551599401798440</v>
      </c>
      <c r="C7811" t="s">
        <v>40</v>
      </c>
      <c r="D7811">
        <v>5.2369339999999998</v>
      </c>
      <c r="E7811">
        <v>0.49493759999999998</v>
      </c>
      <c r="F7811" t="s">
        <v>64</v>
      </c>
      <c r="G7811">
        <v>-205.8706</v>
      </c>
      <c r="H7811" s="1">
        <v>-2.8058770000000001E-6</v>
      </c>
      <c r="I7811">
        <v>-61.888379999999998</v>
      </c>
      <c r="J7811">
        <v>-225.0581</v>
      </c>
      <c r="K7811">
        <v>1.1199140000000001</v>
      </c>
      <c r="L7811">
        <v>-62.713470000000001</v>
      </c>
      <c r="M7811">
        <v>0.99993679999999996</v>
      </c>
      <c r="N7811">
        <v>-1.121222E-2</v>
      </c>
      <c r="O7811">
        <v>9.0401429999999996E-4</v>
      </c>
      <c r="P7811">
        <v>0.99345349999999999</v>
      </c>
      <c r="Q7811">
        <v>-0.1110621</v>
      </c>
      <c r="R7811">
        <v>2.6749700000000001E-2</v>
      </c>
      <c r="S7811">
        <v>2.9973299999999998</v>
      </c>
      <c r="T7811">
        <v>-0.17318510000000001</v>
      </c>
      <c r="U7811">
        <v>0.1275635</v>
      </c>
      <c r="V7811">
        <v>-2.5966030000000001E-2</v>
      </c>
      <c r="W7811">
        <v>-9.9886310000000006E-2</v>
      </c>
      <c r="X7811">
        <v>0.99465999999999999</v>
      </c>
      <c r="Y7811">
        <v>-4.1535639999999999E-2</v>
      </c>
      <c r="Z7811">
        <v>1.389576E-3</v>
      </c>
      <c r="AA7811">
        <v>0.99913600000000002</v>
      </c>
      <c r="AB7811">
        <v>29</v>
      </c>
      <c r="AC7811">
        <v>19.1875</v>
      </c>
      <c r="AD7811">
        <v>-1.1199168058769999</v>
      </c>
      <c r="AE7811">
        <v>0.825089999999988</v>
      </c>
      <c r="AF7811">
        <v>-0.80500544350567904</v>
      </c>
      <c r="AG7811">
        <v>-1.1199168058769999</v>
      </c>
      <c r="AH7811">
        <v>19.123211170761699</v>
      </c>
      <c r="AI7811">
        <v>93.348638278819607</v>
      </c>
      <c r="AJ7811">
        <v>92.410484232131495</v>
      </c>
      <c r="AK7811">
        <v>19.1728832703301</v>
      </c>
      <c r="AL7811">
        <v>95.732623668971101</v>
      </c>
      <c r="AM7811">
        <v>91.495391495749999</v>
      </c>
      <c r="AN7811">
        <v>1.00000001261968</v>
      </c>
    </row>
    <row r="7812" spans="1:40" x14ac:dyDescent="0.25">
      <c r="A7812" t="str">
        <f>"20190303155001830"</f>
        <v>20190303155001830</v>
      </c>
      <c r="B7812" t="str">
        <f>"1551599401817960"</f>
        <v>1551599401817960</v>
      </c>
      <c r="C7812" t="s">
        <v>40</v>
      </c>
      <c r="D7812">
        <v>5.2134900000000002</v>
      </c>
      <c r="E7812">
        <v>0.49695610000000001</v>
      </c>
      <c r="F7812" t="s">
        <v>64</v>
      </c>
      <c r="G7812">
        <v>-204.60159999999999</v>
      </c>
      <c r="H7812" s="1">
        <v>-3.512798E-6</v>
      </c>
      <c r="I7812">
        <v>-61.910589999999999</v>
      </c>
      <c r="J7812">
        <v>-224.76349999999999</v>
      </c>
      <c r="K7812">
        <v>1.1198300000000001</v>
      </c>
      <c r="L7812">
        <v>-62.713990000000003</v>
      </c>
      <c r="M7812">
        <v>0.99993719999999997</v>
      </c>
      <c r="N7812">
        <v>-1.1213259999999999E-2</v>
      </c>
      <c r="O7812">
        <v>1.3813479999999999E-4</v>
      </c>
      <c r="P7812">
        <v>0.99358219999999997</v>
      </c>
      <c r="Q7812">
        <v>-0.1095037</v>
      </c>
      <c r="R7812">
        <v>2.834395E-2</v>
      </c>
      <c r="S7812">
        <v>2.9982449999999998</v>
      </c>
      <c r="T7812">
        <v>-0.1641427</v>
      </c>
      <c r="U7812">
        <v>0.1176758</v>
      </c>
      <c r="V7812">
        <v>-2.834186E-2</v>
      </c>
      <c r="W7812">
        <v>-9.8316700000000007E-2</v>
      </c>
      <c r="X7812">
        <v>0.99475150000000001</v>
      </c>
      <c r="Y7812">
        <v>-3.9009820000000001E-2</v>
      </c>
      <c r="Z7812">
        <v>1.279608E-3</v>
      </c>
      <c r="AA7812">
        <v>0.99923799999999996</v>
      </c>
      <c r="AB7812">
        <v>29</v>
      </c>
      <c r="AC7812">
        <v>20.161899999999999</v>
      </c>
      <c r="AD7812">
        <v>-1.1198335127979999</v>
      </c>
      <c r="AE7812">
        <v>0.803400000000003</v>
      </c>
      <c r="AF7812">
        <v>-0.79815641157583195</v>
      </c>
      <c r="AG7812">
        <v>-1.1198335127979999</v>
      </c>
      <c r="AH7812">
        <v>20.100101871399598</v>
      </c>
      <c r="AI7812">
        <v>93.186307415047196</v>
      </c>
      <c r="AJ7812">
        <v>92.273967585434704</v>
      </c>
      <c r="AK7812">
        <v>20.147088524011799</v>
      </c>
      <c r="AL7812">
        <v>95.642246860594</v>
      </c>
      <c r="AM7812">
        <v>91.631995305667701</v>
      </c>
      <c r="AN7812">
        <v>0.99999999063969902</v>
      </c>
    </row>
    <row r="7813" spans="1:40" x14ac:dyDescent="0.25">
      <c r="A7813" t="str">
        <f>"20190303155001844"</f>
        <v>20190303155001844</v>
      </c>
      <c r="B7813" t="str">
        <f>"1551599401838455"</f>
        <v>1551599401838455</v>
      </c>
      <c r="C7813" t="s">
        <v>40</v>
      </c>
      <c r="D7813">
        <v>5.2148379999999896</v>
      </c>
      <c r="E7813">
        <v>0.49819659999999899</v>
      </c>
      <c r="F7813" t="s">
        <v>64</v>
      </c>
      <c r="G7813">
        <v>-203.1652</v>
      </c>
      <c r="H7813" s="1">
        <v>-4.1806399999999997E-6</v>
      </c>
      <c r="I7813">
        <v>-61.946319999999901</v>
      </c>
      <c r="J7813">
        <v>-224.59399999999999</v>
      </c>
      <c r="K7813">
        <v>1.1197839999999999</v>
      </c>
      <c r="L7813">
        <v>-62.714449999999999</v>
      </c>
      <c r="M7813">
        <v>0.99993719999999997</v>
      </c>
      <c r="N7813">
        <v>-1.121454E-2</v>
      </c>
      <c r="O7813">
        <v>-3.4376479999999999E-4</v>
      </c>
      <c r="P7813">
        <v>0.99365599999999998</v>
      </c>
      <c r="Q7813">
        <v>-0.10867839999999999</v>
      </c>
      <c r="R7813">
        <v>2.8930709999999998E-2</v>
      </c>
      <c r="S7813">
        <v>2.999161</v>
      </c>
      <c r="T7813">
        <v>-0.1555011</v>
      </c>
      <c r="U7813">
        <v>0.1065979</v>
      </c>
      <c r="V7813">
        <v>-2.9418159999999999E-2</v>
      </c>
      <c r="W7813">
        <v>-9.7484429999999997E-2</v>
      </c>
      <c r="X7813">
        <v>0.99480219999999997</v>
      </c>
      <c r="Y7813">
        <v>-3.580498E-2</v>
      </c>
      <c r="Z7813">
        <v>1.142253E-3</v>
      </c>
      <c r="AA7813">
        <v>0.99935810000000003</v>
      </c>
      <c r="AB7813">
        <v>29</v>
      </c>
      <c r="AC7813">
        <v>21.428799999999999</v>
      </c>
      <c r="AD7813">
        <v>-1.1197881806399901</v>
      </c>
      <c r="AE7813">
        <v>0.76813000000000597</v>
      </c>
      <c r="AF7813">
        <v>-0.77338769426827403</v>
      </c>
      <c r="AG7813">
        <v>-1.1197881806399901</v>
      </c>
      <c r="AH7813">
        <v>21.3702535184838</v>
      </c>
      <c r="AI7813">
        <v>92.997561720578801</v>
      </c>
      <c r="AJ7813">
        <v>92.0726249565855</v>
      </c>
      <c r="AK7813">
        <v>21.413542199725299</v>
      </c>
      <c r="AL7813">
        <v>95.594330903658701</v>
      </c>
      <c r="AM7813">
        <v>91.693849626983194</v>
      </c>
      <c r="AN7813">
        <v>1.00000002967752</v>
      </c>
    </row>
    <row r="7814" spans="1:40" x14ac:dyDescent="0.25">
      <c r="A7814" t="str">
        <f>"20190303155001855"</f>
        <v>20190303155001855</v>
      </c>
      <c r="B7814" t="str">
        <f>"1551599401848215"</f>
        <v>1551599401848215</v>
      </c>
      <c r="C7814" t="s">
        <v>40</v>
      </c>
      <c r="D7814">
        <v>5.2367189999999999</v>
      </c>
      <c r="E7814">
        <v>0.4986235</v>
      </c>
      <c r="F7814" t="s">
        <v>64</v>
      </c>
      <c r="G7814">
        <v>-202.5813</v>
      </c>
      <c r="H7814" s="1">
        <v>-4.4807269999999998E-6</v>
      </c>
      <c r="I7814">
        <v>-61.9906199999999</v>
      </c>
      <c r="J7814">
        <v>-224.43729999999999</v>
      </c>
      <c r="K7814">
        <v>1.119748</v>
      </c>
      <c r="L7814">
        <v>-62.714970000000001</v>
      </c>
      <c r="M7814">
        <v>0.99993690000000002</v>
      </c>
      <c r="N7814">
        <v>-1.1217349999999999E-2</v>
      </c>
      <c r="O7814">
        <v>-8.2063549999999996E-4</v>
      </c>
      <c r="P7814">
        <v>0.99377020000000005</v>
      </c>
      <c r="Q7814">
        <v>-0.1073954</v>
      </c>
      <c r="R7814">
        <v>2.9792720000000002E-2</v>
      </c>
      <c r="S7814">
        <v>2.999603</v>
      </c>
      <c r="T7814">
        <v>-0.15259029999999901</v>
      </c>
      <c r="U7814">
        <v>9.8632810000000001E-2</v>
      </c>
      <c r="V7814">
        <v>-3.0761610000000002E-2</v>
      </c>
      <c r="W7814">
        <v>-9.6192509999999995E-2</v>
      </c>
      <c r="X7814">
        <v>0.99488730000000003</v>
      </c>
      <c r="Y7814">
        <v>-3.3630739999999999E-2</v>
      </c>
      <c r="Z7814">
        <v>1.0759560000000001E-3</v>
      </c>
      <c r="AA7814">
        <v>0.99943380000000004</v>
      </c>
      <c r="AB7814">
        <v>29</v>
      </c>
      <c r="AC7814">
        <v>21.855999999999899</v>
      </c>
      <c r="AD7814">
        <v>-1.1197524807269901</v>
      </c>
      <c r="AE7814">
        <v>0.72435000000000105</v>
      </c>
      <c r="AF7814">
        <v>-0.74034553549526705</v>
      </c>
      <c r="AG7814">
        <v>-1.1197524807269901</v>
      </c>
      <c r="AH7814">
        <v>21.798244066996499</v>
      </c>
      <c r="AI7814">
        <v>92.938946562537197</v>
      </c>
      <c r="AJ7814">
        <v>91.945219781097606</v>
      </c>
      <c r="AK7814">
        <v>21.839537576019499</v>
      </c>
      <c r="AL7814">
        <v>95.519959923010703</v>
      </c>
      <c r="AM7814">
        <v>91.771003687108902</v>
      </c>
      <c r="AN7814">
        <v>1.0000000076655899</v>
      </c>
    </row>
    <row r="7815" spans="1:40" x14ac:dyDescent="0.25">
      <c r="A7815" t="str">
        <f>"20190303155001867"</f>
        <v>20190303155001867</v>
      </c>
      <c r="B7815" t="str">
        <f>"1551599401857975"</f>
        <v>1551599401857975</v>
      </c>
      <c r="C7815" t="s">
        <v>40</v>
      </c>
      <c r="D7815">
        <v>5.2286130000000002</v>
      </c>
      <c r="E7815">
        <v>0.49899379999999999</v>
      </c>
      <c r="F7815" t="s">
        <v>64</v>
      </c>
      <c r="G7815">
        <v>-201.8596</v>
      </c>
      <c r="H7815" s="1">
        <v>-4.8476449999999997E-6</v>
      </c>
      <c r="I7815">
        <v>-61.977209999999999</v>
      </c>
      <c r="J7815">
        <v>-224.28489999999999</v>
      </c>
      <c r="K7815">
        <v>1.1197159999999999</v>
      </c>
      <c r="L7815">
        <v>-62.715580000000003</v>
      </c>
      <c r="M7815">
        <v>0.99993620000000005</v>
      </c>
      <c r="N7815">
        <v>-1.1221210000000001E-2</v>
      </c>
      <c r="O7815">
        <v>-1.3012130000000001E-3</v>
      </c>
      <c r="P7815">
        <v>0.99388520000000002</v>
      </c>
      <c r="Q7815">
        <v>-0.106158</v>
      </c>
      <c r="R7815">
        <v>3.0373089999999998E-2</v>
      </c>
      <c r="S7815">
        <v>2.9998019999999999</v>
      </c>
      <c r="T7815">
        <v>-0.14877689999999999</v>
      </c>
      <c r="U7815">
        <v>9.8022460000000006E-2</v>
      </c>
      <c r="V7815">
        <v>-3.1825220000000001E-2</v>
      </c>
      <c r="W7815">
        <v>-9.4946030000000001E-2</v>
      </c>
      <c r="X7815">
        <v>0.99497360000000001</v>
      </c>
      <c r="Y7815">
        <v>-3.3907430000000002E-2</v>
      </c>
      <c r="Z7815">
        <v>1.080417E-3</v>
      </c>
      <c r="AA7815">
        <v>0.99942439999999999</v>
      </c>
      <c r="AB7815">
        <v>29</v>
      </c>
      <c r="AC7815">
        <v>22.4253</v>
      </c>
      <c r="AD7815">
        <v>-1.119720847645</v>
      </c>
      <c r="AE7815">
        <v>0.73837000000000297</v>
      </c>
      <c r="AF7815">
        <v>-0.76564452806345795</v>
      </c>
      <c r="AG7815">
        <v>-1.119720847645</v>
      </c>
      <c r="AH7815">
        <v>22.368612954677499</v>
      </c>
      <c r="AI7815">
        <v>92.864027291241101</v>
      </c>
      <c r="AJ7815">
        <v>91.960384415215898</v>
      </c>
      <c r="AK7815">
        <v>22.409703965830801</v>
      </c>
      <c r="AL7815">
        <v>95.448213359967198</v>
      </c>
      <c r="AM7815">
        <v>91.832037864823405</v>
      </c>
      <c r="AN7815">
        <v>1.00000002896888</v>
      </c>
    </row>
    <row r="7816" spans="1:40" x14ac:dyDescent="0.25">
      <c r="A7816" t="str">
        <f>"20190303155001886"</f>
        <v>20190303155001886</v>
      </c>
      <c r="B7816" t="str">
        <f>"1551599401878471"</f>
        <v>1551599401878471</v>
      </c>
      <c r="C7816" t="s">
        <v>40</v>
      </c>
      <c r="D7816">
        <v>5.2161429999999998</v>
      </c>
      <c r="E7816">
        <v>0.49957659999999998</v>
      </c>
      <c r="F7816" t="s">
        <v>64</v>
      </c>
      <c r="G7816">
        <v>-201.3056</v>
      </c>
      <c r="H7816" s="1">
        <v>-5.1297490000000001E-6</v>
      </c>
      <c r="I7816">
        <v>-61.973599999999998</v>
      </c>
      <c r="J7816">
        <v>-224.05189999999999</v>
      </c>
      <c r="K7816">
        <v>1.119685</v>
      </c>
      <c r="L7816">
        <v>-62.716669999999901</v>
      </c>
      <c r="M7816">
        <v>0.99993500000000002</v>
      </c>
      <c r="N7816">
        <v>-1.1229589999999999E-2</v>
      </c>
      <c r="O7816">
        <v>-2.0619029999999999E-3</v>
      </c>
      <c r="P7816">
        <v>0.99415770000000003</v>
      </c>
      <c r="Q7816">
        <v>-0.10323830000000001</v>
      </c>
      <c r="R7816">
        <v>3.1510509999999999E-2</v>
      </c>
      <c r="S7816">
        <v>2.9998930000000001</v>
      </c>
      <c r="T7816">
        <v>-0.14617669999999999</v>
      </c>
      <c r="U7816">
        <v>9.6862790000000004E-2</v>
      </c>
      <c r="V7816">
        <v>-3.3723250000000003E-2</v>
      </c>
      <c r="W7816">
        <v>-9.2009270000000004E-2</v>
      </c>
      <c r="X7816">
        <v>0.99518689999999999</v>
      </c>
      <c r="Y7816">
        <v>-3.4281350000000002E-2</v>
      </c>
      <c r="Z7816">
        <v>1.1044339999999901E-3</v>
      </c>
      <c r="AA7816">
        <v>0.99941159999999996</v>
      </c>
      <c r="AB7816">
        <v>29</v>
      </c>
      <c r="AC7816">
        <v>22.746299999999898</v>
      </c>
      <c r="AD7816">
        <v>-1.1196901297490001</v>
      </c>
      <c r="AE7816">
        <v>0.74306999999999501</v>
      </c>
      <c r="AF7816">
        <v>-0.78806449760152397</v>
      </c>
      <c r="AG7816">
        <v>-1.1196901297490001</v>
      </c>
      <c r="AH7816">
        <v>22.6897980093486</v>
      </c>
      <c r="AI7816">
        <v>92.823425454055396</v>
      </c>
      <c r="AJ7816">
        <v>91.989203543782196</v>
      </c>
      <c r="AK7816">
        <v>22.731073123459801</v>
      </c>
      <c r="AL7816">
        <v>95.279209684728201</v>
      </c>
      <c r="AM7816">
        <v>91.940802108418893</v>
      </c>
      <c r="AN7816">
        <v>0.99999996464405205</v>
      </c>
    </row>
    <row r="7817" spans="1:40" x14ac:dyDescent="0.25">
      <c r="A7817" t="str">
        <f>"20190303155001897"</f>
        <v>20190303155001897</v>
      </c>
      <c r="B7817" t="str">
        <f>"1551599401888231"</f>
        <v>1551599401888231</v>
      </c>
      <c r="C7817" t="s">
        <v>40</v>
      </c>
      <c r="D7817">
        <v>5.2071009999999998</v>
      </c>
      <c r="E7817">
        <v>0.4998842</v>
      </c>
      <c r="F7817" t="s">
        <v>64</v>
      </c>
      <c r="G7817">
        <v>-200.0018</v>
      </c>
      <c r="H7817" s="1">
        <v>-5.7926630000000001E-6</v>
      </c>
      <c r="I7817">
        <v>-61.949480000000001</v>
      </c>
      <c r="J7817">
        <v>-223.90029999999999</v>
      </c>
      <c r="K7817">
        <v>1.1196759999999999</v>
      </c>
      <c r="L7817">
        <v>-62.717529999999996</v>
      </c>
      <c r="M7817">
        <v>0.99993359999999998</v>
      </c>
      <c r="N7817">
        <v>-1.123713E-2</v>
      </c>
      <c r="O7817">
        <v>-2.5674840000000001E-3</v>
      </c>
      <c r="P7817">
        <v>0.99426049999999999</v>
      </c>
      <c r="Q7817">
        <v>-0.10213659999999999</v>
      </c>
      <c r="R7817">
        <v>3.1850870000000003E-2</v>
      </c>
      <c r="S7817">
        <v>3.0001069999999999</v>
      </c>
      <c r="T7817">
        <v>-0.13967470000000001</v>
      </c>
      <c r="U7817">
        <v>9.5703129999999997E-2</v>
      </c>
      <c r="V7817">
        <v>-3.4567199999999999E-2</v>
      </c>
      <c r="W7817">
        <v>-9.0896539999999998E-2</v>
      </c>
      <c r="X7817">
        <v>0.99526020000000004</v>
      </c>
      <c r="Y7817">
        <v>-3.4402090000000003E-2</v>
      </c>
      <c r="Z7817">
        <v>1.0842670000000001E-3</v>
      </c>
      <c r="AA7817">
        <v>0.9994075</v>
      </c>
      <c r="AB7817">
        <v>29</v>
      </c>
      <c r="AC7817">
        <v>23.898499999999899</v>
      </c>
      <c r="AD7817">
        <v>-1.1196817926629901</v>
      </c>
      <c r="AE7817">
        <v>0.76805000000000201</v>
      </c>
      <c r="AF7817">
        <v>-0.82759560268145005</v>
      </c>
      <c r="AG7817">
        <v>-1.1196817926629901</v>
      </c>
      <c r="AH7817">
        <v>23.844163586887799</v>
      </c>
      <c r="AI7817">
        <v>92.686922805640506</v>
      </c>
      <c r="AJ7817">
        <v>91.987853659437405</v>
      </c>
      <c r="AK7817">
        <v>23.884780487931302</v>
      </c>
      <c r="AL7817">
        <v>95.215186628765807</v>
      </c>
      <c r="AM7817">
        <v>91.989187214380493</v>
      </c>
      <c r="AN7817">
        <v>0.999999969001925</v>
      </c>
    </row>
    <row r="7818" spans="1:40" x14ac:dyDescent="0.25">
      <c r="A7818" t="str">
        <f>"20190303155001909"</f>
        <v>20190303155001909</v>
      </c>
      <c r="B7818" t="str">
        <f>"1551599401897991"</f>
        <v>1551599401897991</v>
      </c>
      <c r="C7818" t="s">
        <v>40</v>
      </c>
      <c r="D7818">
        <v>5.2112489999999996</v>
      </c>
      <c r="E7818">
        <v>0.50020189999999998</v>
      </c>
      <c r="F7818" t="s">
        <v>64</v>
      </c>
      <c r="G7818">
        <v>-199.34219999999999</v>
      </c>
      <c r="H7818" s="1">
        <v>-6.0656029999999999E-6</v>
      </c>
      <c r="I7818">
        <v>-61.945659999999997</v>
      </c>
      <c r="J7818">
        <v>-223.75239999999999</v>
      </c>
      <c r="K7818">
        <v>1.1196740000000001</v>
      </c>
      <c r="L7818">
        <v>-62.718409999999999</v>
      </c>
      <c r="M7818">
        <v>0.9999323</v>
      </c>
      <c r="N7818">
        <v>-1.124733E-2</v>
      </c>
      <c r="O7818">
        <v>-3.0608940000000002E-3</v>
      </c>
      <c r="P7818">
        <v>0.99433570000000004</v>
      </c>
      <c r="Q7818">
        <v>-0.1011961</v>
      </c>
      <c r="R7818">
        <v>3.2497699999999997E-2</v>
      </c>
      <c r="S7818">
        <v>3.0002589999999998</v>
      </c>
      <c r="T7818">
        <v>-0.13679169999999999</v>
      </c>
      <c r="U7818">
        <v>9.4299320000000006E-2</v>
      </c>
      <c r="V7818">
        <v>-3.5704050000000001E-2</v>
      </c>
      <c r="W7818">
        <v>-8.9942880000000003E-2</v>
      </c>
      <c r="X7818">
        <v>0.99530669999999999</v>
      </c>
      <c r="Y7818">
        <v>-3.4427939999999997E-2</v>
      </c>
      <c r="Z7818">
        <v>1.0830760000000001E-3</v>
      </c>
      <c r="AA7818">
        <v>0.99940660000000003</v>
      </c>
      <c r="AB7818">
        <v>29</v>
      </c>
      <c r="AC7818">
        <v>24.4102</v>
      </c>
      <c r="AD7818">
        <v>-1.1196800656029999</v>
      </c>
      <c r="AE7818">
        <v>0.77275000000000205</v>
      </c>
      <c r="AF7818">
        <v>-0.84569057342087794</v>
      </c>
      <c r="AG7818">
        <v>-1.1196800656029999</v>
      </c>
      <c r="AH7818">
        <v>24.356525416800899</v>
      </c>
      <c r="AI7818">
        <v>92.630475946624401</v>
      </c>
      <c r="AJ7818">
        <v>91.988585897048196</v>
      </c>
      <c r="AK7818">
        <v>24.3969097710048</v>
      </c>
      <c r="AL7818">
        <v>95.1603212152868</v>
      </c>
      <c r="AM7818">
        <v>92.054456749729894</v>
      </c>
      <c r="AN7818">
        <v>0.99999996395699198</v>
      </c>
    </row>
    <row r="7819" spans="1:40" x14ac:dyDescent="0.25">
      <c r="A7819" t="str">
        <f>"20190303155001922"</f>
        <v>20190303155001922</v>
      </c>
      <c r="B7819" t="str">
        <f>"1551599401918487"</f>
        <v>1551599401918487</v>
      </c>
      <c r="C7819" t="s">
        <v>40</v>
      </c>
      <c r="D7819">
        <v>5.1788349999999896</v>
      </c>
      <c r="E7819">
        <v>0.50067129999999904</v>
      </c>
      <c r="F7819" t="s">
        <v>64</v>
      </c>
      <c r="G7819">
        <v>-198.7491</v>
      </c>
      <c r="H7819" s="1">
        <v>-6.3066300000000003E-6</v>
      </c>
      <c r="I7819">
        <v>-61.936140000000002</v>
      </c>
      <c r="J7819">
        <v>-223.59309999999999</v>
      </c>
      <c r="K7819">
        <v>1.119675</v>
      </c>
      <c r="L7819">
        <v>-62.7194199999999</v>
      </c>
      <c r="M7819">
        <v>0.99993010000000004</v>
      </c>
      <c r="N7819">
        <v>-1.125994E-2</v>
      </c>
      <c r="O7819">
        <v>-3.5909650000000002E-3</v>
      </c>
      <c r="P7819">
        <v>0.9943514</v>
      </c>
      <c r="Q7819">
        <v>-0.1007147</v>
      </c>
      <c r="R7819">
        <v>3.3493790000000002E-2</v>
      </c>
      <c r="S7819">
        <v>3.0003660000000001</v>
      </c>
      <c r="T7819">
        <v>-0.1343606</v>
      </c>
      <c r="U7819">
        <v>9.3872070000000002E-2</v>
      </c>
      <c r="V7819">
        <v>-3.7226290000000002E-2</v>
      </c>
      <c r="W7819">
        <v>-8.9446220000000007E-2</v>
      </c>
      <c r="X7819">
        <v>0.99529570000000001</v>
      </c>
      <c r="Y7819">
        <v>-3.4815150000000003E-2</v>
      </c>
      <c r="Z7819">
        <v>1.0954210000000001E-3</v>
      </c>
      <c r="AA7819">
        <v>0.99939319999999998</v>
      </c>
      <c r="AB7819">
        <v>29</v>
      </c>
      <c r="AC7819">
        <v>24.843999999999902</v>
      </c>
      <c r="AD7819">
        <v>-1.11968130663</v>
      </c>
      <c r="AE7819">
        <v>0.78327999999998998</v>
      </c>
      <c r="AF7819">
        <v>-0.87072770689010204</v>
      </c>
      <c r="AG7819">
        <v>-1.11968130663</v>
      </c>
      <c r="AH7819">
        <v>24.790722771265202</v>
      </c>
      <c r="AI7819">
        <v>92.584434162658297</v>
      </c>
      <c r="AJ7819">
        <v>92.011580033745005</v>
      </c>
      <c r="AK7819">
        <v>24.8312663488935</v>
      </c>
      <c r="AL7819">
        <v>95.131749463278894</v>
      </c>
      <c r="AM7819">
        <v>92.141992116155706</v>
      </c>
      <c r="AN7819">
        <v>0.99999997668897</v>
      </c>
    </row>
    <row r="7820" spans="1:40" x14ac:dyDescent="0.25">
      <c r="A7820" t="str">
        <f>"20190303155001933"</f>
        <v>20190303155001933</v>
      </c>
      <c r="B7820" t="str">
        <f>"1551599401928246"</f>
        <v>1551599401928246</v>
      </c>
      <c r="C7820" t="s">
        <v>40</v>
      </c>
      <c r="D7820">
        <v>5.1828070000000004</v>
      </c>
      <c r="E7820">
        <v>0.50085500000000005</v>
      </c>
      <c r="F7820" t="s">
        <v>64</v>
      </c>
      <c r="G7820">
        <v>-198.88229999999999</v>
      </c>
      <c r="H7820" s="1">
        <v>-6.2532039999999998E-6</v>
      </c>
      <c r="I7820">
        <v>-61.95026</v>
      </c>
      <c r="J7820">
        <v>-223.43899999999999</v>
      </c>
      <c r="K7820">
        <v>1.1196919999999999</v>
      </c>
      <c r="L7820">
        <v>-62.720489999999998</v>
      </c>
      <c r="M7820">
        <v>0.99992809999999999</v>
      </c>
      <c r="N7820">
        <v>-1.1280409999999999E-2</v>
      </c>
      <c r="O7820">
        <v>-4.081276E-3</v>
      </c>
      <c r="P7820">
        <v>0.99429889999999999</v>
      </c>
      <c r="Q7820">
        <v>-0.1007897</v>
      </c>
      <c r="R7820">
        <v>3.4801199999999997E-2</v>
      </c>
      <c r="S7820">
        <v>3.0001220000000002</v>
      </c>
      <c r="T7820">
        <v>-0.13593949999999999</v>
      </c>
      <c r="U7820">
        <v>9.3383789999999994E-2</v>
      </c>
      <c r="V7820">
        <v>-3.90181E-2</v>
      </c>
      <c r="W7820">
        <v>-8.9499930000000005E-2</v>
      </c>
      <c r="X7820">
        <v>0.9952223</v>
      </c>
      <c r="Y7820">
        <v>-3.5143529999999999E-2</v>
      </c>
      <c r="Z7820">
        <v>1.1327780000000001E-3</v>
      </c>
      <c r="AA7820">
        <v>0.99938170000000004</v>
      </c>
      <c r="AB7820">
        <v>29</v>
      </c>
      <c r="AC7820">
        <v>24.556699999999999</v>
      </c>
      <c r="AD7820">
        <v>-1.1196982532039901</v>
      </c>
      <c r="AE7820">
        <v>0.77023000000000497</v>
      </c>
      <c r="AF7820">
        <v>-0.86864844997935697</v>
      </c>
      <c r="AG7820">
        <v>-1.1196982532039901</v>
      </c>
      <c r="AH7820">
        <v>24.502460305173098</v>
      </c>
      <c r="AI7820">
        <v>92.614806432403498</v>
      </c>
      <c r="AJ7820">
        <v>92.030369798210799</v>
      </c>
      <c r="AK7820">
        <v>24.543407165967398</v>
      </c>
      <c r="AL7820">
        <v>95.134838896199099</v>
      </c>
      <c r="AM7820">
        <v>92.245154779581199</v>
      </c>
      <c r="AN7820">
        <v>1.0000000380074501</v>
      </c>
    </row>
    <row r="7821" spans="1:40" x14ac:dyDescent="0.25">
      <c r="A7821" t="str">
        <f>"20190303155001944"</f>
        <v>20190303155001944</v>
      </c>
      <c r="B7821" t="str">
        <f>"1551599401938007"</f>
        <v>1551599401938007</v>
      </c>
      <c r="C7821" t="s">
        <v>40</v>
      </c>
      <c r="D7821">
        <v>5.1938510000000004</v>
      </c>
      <c r="E7821">
        <v>0.5010983</v>
      </c>
      <c r="F7821" t="s">
        <v>64</v>
      </c>
      <c r="G7821">
        <v>-199.05189999999999</v>
      </c>
      <c r="H7821" s="1">
        <v>-6.1835049999999997E-6</v>
      </c>
      <c r="I7821">
        <v>-61.93976</v>
      </c>
      <c r="J7821">
        <v>-223.30109999999999</v>
      </c>
      <c r="K7821">
        <v>1.1197109999999999</v>
      </c>
      <c r="L7821">
        <v>-62.721469999999997</v>
      </c>
      <c r="M7821">
        <v>0.99992599999999998</v>
      </c>
      <c r="N7821">
        <v>-1.13017E-2</v>
      </c>
      <c r="O7821">
        <v>-4.5101739999999996E-3</v>
      </c>
      <c r="P7821">
        <v>0.99420489999999995</v>
      </c>
      <c r="Q7821">
        <v>-0.1011664</v>
      </c>
      <c r="R7821">
        <v>3.6362499999999999E-2</v>
      </c>
      <c r="S7821">
        <v>2.9998930000000001</v>
      </c>
      <c r="T7821">
        <v>-0.13773560000000001</v>
      </c>
      <c r="U7821">
        <v>9.6038819999999997E-2</v>
      </c>
      <c r="V7821">
        <v>-4.1002259999999999E-2</v>
      </c>
      <c r="W7821">
        <v>-8.9854779999999995E-2</v>
      </c>
      <c r="X7821">
        <v>0.99511050000000001</v>
      </c>
      <c r="Y7821">
        <v>-3.6454979999999998E-2</v>
      </c>
      <c r="Z7821">
        <v>1.198408E-3</v>
      </c>
      <c r="AA7821">
        <v>0.99933459999999996</v>
      </c>
      <c r="AB7821">
        <v>29</v>
      </c>
      <c r="AC7821">
        <v>24.249199999999998</v>
      </c>
      <c r="AD7821">
        <v>-1.1197171835049999</v>
      </c>
      <c r="AE7821">
        <v>0.78170999999999602</v>
      </c>
      <c r="AF7821">
        <v>-0.88918321915661103</v>
      </c>
      <c r="AG7821">
        <v>-1.1197171835049999</v>
      </c>
      <c r="AH7821">
        <v>24.193895509793101</v>
      </c>
      <c r="AI7821">
        <v>92.648028730380702</v>
      </c>
      <c r="AJ7821">
        <v>92.104808868031398</v>
      </c>
      <c r="AK7821">
        <v>24.236109285672399</v>
      </c>
      <c r="AL7821">
        <v>95.155252815789197</v>
      </c>
      <c r="AM7821">
        <v>92.359464923843603</v>
      </c>
      <c r="AN7821">
        <v>0.99999998701210202</v>
      </c>
    </row>
    <row r="7822" spans="1:40" x14ac:dyDescent="0.25">
      <c r="A7822" t="str">
        <f>"20190303155001956"</f>
        <v>20190303155001956</v>
      </c>
      <c r="B7822" t="str">
        <f>"1551599401948742"</f>
        <v>1551599401948742</v>
      </c>
      <c r="C7822" t="s">
        <v>40</v>
      </c>
      <c r="D7822">
        <v>5.1793380000000004</v>
      </c>
      <c r="E7822">
        <v>0.50133289999999997</v>
      </c>
      <c r="F7822" t="s">
        <v>64</v>
      </c>
      <c r="G7822">
        <v>-199.43360000000001</v>
      </c>
      <c r="H7822" s="1">
        <v>-6.0277209999999998E-6</v>
      </c>
      <c r="I7822">
        <v>-61.934460000000001</v>
      </c>
      <c r="J7822">
        <v>-223.1412</v>
      </c>
      <c r="K7822">
        <v>1.119742</v>
      </c>
      <c r="L7822">
        <v>-62.72269</v>
      </c>
      <c r="M7822">
        <v>0.99992349999999997</v>
      </c>
      <c r="N7822">
        <v>-1.133438E-2</v>
      </c>
      <c r="O7822">
        <v>-4.9796099999999998E-3</v>
      </c>
      <c r="P7822">
        <v>0.99410359999999998</v>
      </c>
      <c r="Q7822">
        <v>-0.1014804</v>
      </c>
      <c r="R7822">
        <v>3.8211519999999999E-2</v>
      </c>
      <c r="S7822">
        <v>2.9995729999999998</v>
      </c>
      <c r="T7822">
        <v>-0.14072200000000001</v>
      </c>
      <c r="U7822">
        <v>9.8907469999999997E-2</v>
      </c>
      <c r="V7822">
        <v>-4.3311410000000002E-2</v>
      </c>
      <c r="W7822">
        <v>-9.0136640000000004E-2</v>
      </c>
      <c r="X7822">
        <v>0.99498719999999996</v>
      </c>
      <c r="Y7822">
        <v>-3.7877910000000001E-2</v>
      </c>
      <c r="Z7822">
        <v>1.2796699999999999E-3</v>
      </c>
      <c r="AA7822">
        <v>0.99928150000000004</v>
      </c>
      <c r="AB7822">
        <v>29</v>
      </c>
      <c r="AC7822">
        <v>23.7075999999999</v>
      </c>
      <c r="AD7822">
        <v>-1.1197480277209999</v>
      </c>
      <c r="AE7822">
        <v>0.78823000000000498</v>
      </c>
      <c r="AF7822">
        <v>-0.90426736150934806</v>
      </c>
      <c r="AG7822">
        <v>-1.1197480277209999</v>
      </c>
      <c r="AH7822">
        <v>23.650678440634099</v>
      </c>
      <c r="AI7822">
        <v>92.708684445499003</v>
      </c>
      <c r="AJ7822">
        <v>92.189598024015694</v>
      </c>
      <c r="AK7822">
        <v>23.694432379969498</v>
      </c>
      <c r="AL7822">
        <v>95.171467883312104</v>
      </c>
      <c r="AM7822">
        <v>92.492489753338205</v>
      </c>
      <c r="AN7822">
        <v>1.00000001013525</v>
      </c>
    </row>
    <row r="7823" spans="1:40" x14ac:dyDescent="0.25">
      <c r="A7823" t="str">
        <f>"20190303155001967"</f>
        <v>20190303155001967</v>
      </c>
      <c r="B7823" t="str">
        <f>"1551599401958034"</f>
        <v>1551599401958034</v>
      </c>
      <c r="C7823" t="s">
        <v>40</v>
      </c>
      <c r="D7823">
        <v>5.1726349999999996</v>
      </c>
      <c r="E7823">
        <v>0.50149290000000002</v>
      </c>
      <c r="F7823" t="s">
        <v>64</v>
      </c>
      <c r="G7823">
        <v>-199.62029999999999</v>
      </c>
      <c r="H7823" s="1">
        <v>-5.9507189999999999E-6</v>
      </c>
      <c r="I7823">
        <v>-61.917349999999999</v>
      </c>
      <c r="J7823">
        <v>-222.99680000000001</v>
      </c>
      <c r="K7823">
        <v>1.1197809999999999</v>
      </c>
      <c r="L7823">
        <v>-62.723820000000003</v>
      </c>
      <c r="M7823">
        <v>0.9999209</v>
      </c>
      <c r="N7823">
        <v>-1.137463E-2</v>
      </c>
      <c r="O7823">
        <v>-5.3697419999999899E-3</v>
      </c>
      <c r="P7823">
        <v>0.99396799999999996</v>
      </c>
      <c r="Q7823">
        <v>-0.10191450000000001</v>
      </c>
      <c r="R7823">
        <v>4.050989E-2</v>
      </c>
      <c r="S7823">
        <v>2.9992679999999998</v>
      </c>
      <c r="T7823">
        <v>-0.1427842</v>
      </c>
      <c r="U7823">
        <v>0.1026917</v>
      </c>
      <c r="V7823">
        <v>-4.5990219999999998E-2</v>
      </c>
      <c r="W7823">
        <v>-9.0531920000000002E-2</v>
      </c>
      <c r="X7823">
        <v>0.99483109999999997</v>
      </c>
      <c r="Y7823">
        <v>-3.9526369999999998E-2</v>
      </c>
      <c r="Z7823">
        <v>1.3594600000000001E-3</v>
      </c>
      <c r="AA7823">
        <v>0.99921760000000004</v>
      </c>
      <c r="AB7823">
        <v>29</v>
      </c>
      <c r="AC7823">
        <v>23.3765</v>
      </c>
      <c r="AD7823">
        <v>-1.1197869507189999</v>
      </c>
      <c r="AE7823">
        <v>0.80646999999999702</v>
      </c>
      <c r="AF7823">
        <v>-0.92986111849278996</v>
      </c>
      <c r="AG7823">
        <v>-1.1197869507189999</v>
      </c>
      <c r="AH7823">
        <v>23.318388754345602</v>
      </c>
      <c r="AI7823">
        <v>92.747144451533003</v>
      </c>
      <c r="AJ7823">
        <v>92.283558503758599</v>
      </c>
      <c r="AK7823">
        <v>23.363771498058199</v>
      </c>
      <c r="AL7823">
        <v>95.194208666855602</v>
      </c>
      <c r="AM7823">
        <v>92.646852071251303</v>
      </c>
      <c r="AN7823">
        <v>1.0000000232008699</v>
      </c>
    </row>
    <row r="7824" spans="1:40" x14ac:dyDescent="0.25">
      <c r="A7824" t="str">
        <f>"20190303155001979"</f>
        <v>20190303155001979</v>
      </c>
      <c r="B7824" t="str">
        <f>"1551599401968770"</f>
        <v>1551599401968770</v>
      </c>
      <c r="C7824" t="s">
        <v>40</v>
      </c>
      <c r="D7824">
        <v>5.1508500000000002</v>
      </c>
      <c r="E7824">
        <v>0.50167329999999999</v>
      </c>
      <c r="F7824" t="s">
        <v>64</v>
      </c>
      <c r="G7824">
        <v>-199.82480000000001</v>
      </c>
      <c r="H7824" s="1">
        <v>-5.8656489999999899E-6</v>
      </c>
      <c r="I7824">
        <v>-61.887189999999997</v>
      </c>
      <c r="J7824">
        <v>-222.84399999999999</v>
      </c>
      <c r="K7824">
        <v>1.119831</v>
      </c>
      <c r="L7824">
        <v>-62.725070000000002</v>
      </c>
      <c r="M7824">
        <v>0.99991830000000004</v>
      </c>
      <c r="N7824">
        <v>-1.142453E-2</v>
      </c>
      <c r="O7824">
        <v>-5.7601789999999998E-3</v>
      </c>
      <c r="P7824">
        <v>0.99382170000000003</v>
      </c>
      <c r="Q7824">
        <v>-0.1021334</v>
      </c>
      <c r="R7824">
        <v>4.3443040000000002E-2</v>
      </c>
      <c r="S7824">
        <v>2.9989319999999999</v>
      </c>
      <c r="T7824">
        <v>-0.14492339999999901</v>
      </c>
      <c r="U7824">
        <v>0.10827639999999999</v>
      </c>
      <c r="V7824">
        <v>-4.9302209999999999E-2</v>
      </c>
      <c r="W7824">
        <v>-9.0702740000000004E-2</v>
      </c>
      <c r="X7824">
        <v>0.99465689999999995</v>
      </c>
      <c r="Y7824">
        <v>-4.1773530000000003E-2</v>
      </c>
      <c r="Z7824">
        <v>1.459672E-3</v>
      </c>
      <c r="AA7824">
        <v>0.99912599999999996</v>
      </c>
      <c r="AB7824">
        <v>29</v>
      </c>
      <c r="AC7824">
        <v>23.019200000000001</v>
      </c>
      <c r="AD7824">
        <v>-1.1198368656489901</v>
      </c>
      <c r="AE7824">
        <v>0.83787999999999097</v>
      </c>
      <c r="AF7824">
        <v>-0.96818115591430798</v>
      </c>
      <c r="AG7824">
        <v>-1.1198368656489901</v>
      </c>
      <c r="AH7824">
        <v>22.959726290504602</v>
      </c>
      <c r="AI7824">
        <v>92.789854040801998</v>
      </c>
      <c r="AJ7824">
        <v>92.414656338496698</v>
      </c>
      <c r="AK7824">
        <v>23.007399694255401</v>
      </c>
      <c r="AL7824">
        <v>95.204036372067094</v>
      </c>
      <c r="AM7824">
        <v>92.837660444413203</v>
      </c>
      <c r="AN7824">
        <v>1.0000000218359999</v>
      </c>
    </row>
    <row r="7825" spans="1:40" x14ac:dyDescent="0.25">
      <c r="A7825" t="str">
        <f>"20190303155001993"</f>
        <v>20190303155001993</v>
      </c>
      <c r="B7825" t="str">
        <f>"1551599401988290"</f>
        <v>1551599401988290</v>
      </c>
      <c r="C7825" t="s">
        <v>40</v>
      </c>
      <c r="D7825">
        <v>5.117445</v>
      </c>
      <c r="E7825">
        <v>0.50207590000000002</v>
      </c>
      <c r="F7825" t="s">
        <v>64</v>
      </c>
      <c r="G7825">
        <v>-199.93799999999999</v>
      </c>
      <c r="H7825" s="1">
        <v>-5.8170270000000001E-6</v>
      </c>
      <c r="I7825">
        <v>-61.843609999999998</v>
      </c>
      <c r="J7825">
        <v>-222.67590000000001</v>
      </c>
      <c r="K7825">
        <v>1.119902</v>
      </c>
      <c r="L7825">
        <v>-62.726439999999997</v>
      </c>
      <c r="M7825">
        <v>0.99991509999999995</v>
      </c>
      <c r="N7825">
        <v>-1.151459E-2</v>
      </c>
      <c r="O7825">
        <v>-6.1239390000000001E-3</v>
      </c>
      <c r="P7825">
        <v>0.99368509999999999</v>
      </c>
      <c r="Q7825">
        <v>-0.1021775</v>
      </c>
      <c r="R7825">
        <v>4.6368399999999997E-2</v>
      </c>
      <c r="S7825">
        <v>2.9985200000000001</v>
      </c>
      <c r="T7825">
        <v>-0.14659249999999999</v>
      </c>
      <c r="U7825">
        <v>0.115387</v>
      </c>
      <c r="V7825">
        <v>-5.257568E-2</v>
      </c>
      <c r="W7825">
        <v>-9.0661530000000004E-2</v>
      </c>
      <c r="X7825">
        <v>0.99449299999999996</v>
      </c>
      <c r="Y7825">
        <v>-4.4502060000000003E-2</v>
      </c>
      <c r="Z7825">
        <v>1.5719179999999901E-3</v>
      </c>
      <c r="AA7825">
        <v>0.99900809999999995</v>
      </c>
      <c r="AB7825">
        <v>29</v>
      </c>
      <c r="AC7825">
        <v>22.7379</v>
      </c>
      <c r="AD7825">
        <v>-1.119907817027</v>
      </c>
      <c r="AE7825">
        <v>0.882830000000005</v>
      </c>
      <c r="AF7825">
        <v>-1.01959849786021</v>
      </c>
      <c r="AG7825">
        <v>-1.119907817027</v>
      </c>
      <c r="AH7825">
        <v>22.6771382995131</v>
      </c>
      <c r="AI7825">
        <v>92.824399674586999</v>
      </c>
      <c r="AJ7825">
        <v>92.574371264761098</v>
      </c>
      <c r="AK7825">
        <v>22.727656633949799</v>
      </c>
      <c r="AL7825">
        <v>95.201665448400405</v>
      </c>
      <c r="AM7825">
        <v>93.026228285375396</v>
      </c>
      <c r="AN7825">
        <v>1.0000000210991999</v>
      </c>
    </row>
    <row r="7826" spans="1:40" x14ac:dyDescent="0.25">
      <c r="A7826" t="str">
        <f>"20190303155002007"</f>
        <v>20190303155002007</v>
      </c>
      <c r="B7826" t="str">
        <f>"1551599401998050"</f>
        <v>1551599401998050</v>
      </c>
      <c r="C7826" t="s">
        <v>40</v>
      </c>
      <c r="D7826">
        <v>5.1422999999999996</v>
      </c>
      <c r="E7826">
        <v>0.50207590000000002</v>
      </c>
      <c r="F7826" t="s">
        <v>64</v>
      </c>
      <c r="G7826">
        <v>-200.2997</v>
      </c>
      <c r="H7826" s="1">
        <v>-5.6337040000000001E-6</v>
      </c>
      <c r="I7826">
        <v>-61.825819999999901</v>
      </c>
      <c r="J7826">
        <v>-222.4871</v>
      </c>
      <c r="K7826">
        <v>1.1199969999999999</v>
      </c>
      <c r="L7826">
        <v>-62.728000000000002</v>
      </c>
      <c r="M7826">
        <v>0.99991140000000001</v>
      </c>
      <c r="N7826">
        <v>-1.1644649999999999E-2</v>
      </c>
      <c r="O7826">
        <v>-6.4850150000000002E-3</v>
      </c>
      <c r="P7826">
        <v>0.99357090000000003</v>
      </c>
      <c r="Q7826">
        <v>-0.1019132</v>
      </c>
      <c r="R7826">
        <v>4.930582E-2</v>
      </c>
      <c r="S7826">
        <v>2.9980159999999998</v>
      </c>
      <c r="T7826">
        <v>-0.15004799999999999</v>
      </c>
      <c r="U7826">
        <v>0.1206665</v>
      </c>
      <c r="V7826">
        <v>-5.5855589999999997E-2</v>
      </c>
      <c r="W7826">
        <v>-9.0274419999999994E-2</v>
      </c>
      <c r="X7826">
        <v>0.99434940000000005</v>
      </c>
      <c r="Y7826">
        <v>-4.6618960000000001E-2</v>
      </c>
      <c r="Z7826">
        <v>1.6859710000000001E-3</v>
      </c>
      <c r="AA7826">
        <v>0.99891129999999995</v>
      </c>
      <c r="AB7826">
        <v>29</v>
      </c>
      <c r="AC7826">
        <v>22.1874</v>
      </c>
      <c r="AD7826">
        <v>-1.1200026337040001</v>
      </c>
      <c r="AE7826">
        <v>0.90218000000000798</v>
      </c>
      <c r="AF7826">
        <v>-1.04340201353438</v>
      </c>
      <c r="AG7826">
        <v>-1.1200026337040001</v>
      </c>
      <c r="AH7826">
        <v>22.124798055638699</v>
      </c>
      <c r="AI7826">
        <v>92.894744318759805</v>
      </c>
      <c r="AJ7826">
        <v>92.700059490353695</v>
      </c>
      <c r="AK7826">
        <v>22.177686594055402</v>
      </c>
      <c r="AL7826">
        <v>95.179394341112697</v>
      </c>
      <c r="AM7826">
        <v>93.215097084228802</v>
      </c>
      <c r="AN7826">
        <v>1.00000002356047</v>
      </c>
    </row>
    <row r="7827" spans="1:40" x14ac:dyDescent="0.25">
      <c r="A7827" t="str">
        <f>"20190303155002020"</f>
        <v>20190303155002020</v>
      </c>
      <c r="B7827" t="str">
        <f>"1551599402008785"</f>
        <v>1551599402008785</v>
      </c>
      <c r="C7827" t="s">
        <v>40</v>
      </c>
      <c r="D7827">
        <v>5.078633</v>
      </c>
      <c r="E7827">
        <v>0.50885150000000001</v>
      </c>
      <c r="F7827" t="s">
        <v>64</v>
      </c>
      <c r="G7827">
        <v>-199.99870000000001</v>
      </c>
      <c r="H7827" s="1">
        <v>-5.7831939999999901E-6</v>
      </c>
      <c r="I7827">
        <v>-61.758659999999999</v>
      </c>
      <c r="J7827">
        <v>-222.31819999999999</v>
      </c>
      <c r="K7827">
        <v>1.1200939999999999</v>
      </c>
      <c r="L7827">
        <v>-62.729399999999998</v>
      </c>
      <c r="M7827">
        <v>0.99990780000000001</v>
      </c>
      <c r="N7827">
        <v>-1.1789010000000001E-2</v>
      </c>
      <c r="O7827">
        <v>-6.7631280000000002E-3</v>
      </c>
      <c r="P7827">
        <v>0.99328139999999998</v>
      </c>
      <c r="Q7827">
        <v>-0.1006089</v>
      </c>
      <c r="R7827">
        <v>5.7186309999999997E-2</v>
      </c>
      <c r="S7827">
        <v>2.997681</v>
      </c>
      <c r="T7827">
        <v>-0.14929509999999999</v>
      </c>
      <c r="U7827">
        <v>0.1292114</v>
      </c>
      <c r="V7827">
        <v>-6.3993990000000001E-2</v>
      </c>
      <c r="W7827">
        <v>-8.8831579999999993E-2</v>
      </c>
      <c r="X7827">
        <v>0.99398880000000001</v>
      </c>
      <c r="Y7827">
        <v>-4.9739129999999999E-2</v>
      </c>
      <c r="Z7827">
        <v>1.787627E-3</v>
      </c>
      <c r="AA7827">
        <v>0.9987606</v>
      </c>
      <c r="AB7827">
        <v>29</v>
      </c>
      <c r="AC7827">
        <v>22.319499999999898</v>
      </c>
      <c r="AD7827">
        <v>-1.1200997831940001</v>
      </c>
      <c r="AE7827">
        <v>0.97073999999999905</v>
      </c>
      <c r="AF7827">
        <v>-1.1188653385191301</v>
      </c>
      <c r="AG7827">
        <v>-1.1200997831940001</v>
      </c>
      <c r="AH7827">
        <v>22.256476350869601</v>
      </c>
      <c r="AI7827">
        <v>92.877461459201598</v>
      </c>
      <c r="AJ7827">
        <v>92.877919170865994</v>
      </c>
      <c r="AK7827">
        <v>22.312714373801999</v>
      </c>
      <c r="AL7827">
        <v>95.096392277721904</v>
      </c>
      <c r="AM7827">
        <v>93.683675520495996</v>
      </c>
      <c r="AN7827">
        <v>1.0000000074434201</v>
      </c>
    </row>
    <row r="7828" spans="1:40" x14ac:dyDescent="0.25">
      <c r="A7828" t="str">
        <f>"20190303155002033"</f>
        <v>20190303155002033</v>
      </c>
      <c r="B7828" t="str">
        <f>"1551599402028305"</f>
        <v>1551599402028305</v>
      </c>
      <c r="C7828" t="s">
        <v>40</v>
      </c>
      <c r="D7828">
        <v>5.1557199999999996</v>
      </c>
      <c r="E7828">
        <v>0.50858879999999995</v>
      </c>
      <c r="F7828" t="s">
        <v>64</v>
      </c>
      <c r="G7828">
        <v>-203.0788</v>
      </c>
      <c r="H7828" s="1">
        <v>-4.2333179999999998E-6</v>
      </c>
      <c r="I7828">
        <v>-62.09581</v>
      </c>
      <c r="J7828">
        <v>-222.15899999999999</v>
      </c>
      <c r="K7828">
        <v>1.1201950000000001</v>
      </c>
      <c r="L7828">
        <v>-62.73068</v>
      </c>
      <c r="M7828">
        <v>0.99990429999999997</v>
      </c>
      <c r="N7828">
        <v>-1.1956629999999999E-2</v>
      </c>
      <c r="O7828">
        <v>-6.9549740000000001E-3</v>
      </c>
      <c r="P7828">
        <v>0.99309199999999997</v>
      </c>
      <c r="Q7828">
        <v>-0.1002002</v>
      </c>
      <c r="R7828">
        <v>6.1058969999999997E-2</v>
      </c>
      <c r="S7828">
        <v>2.9969329999999998</v>
      </c>
      <c r="T7828">
        <v>-0.17447879999999999</v>
      </c>
      <c r="U7828">
        <v>9.869385E-2</v>
      </c>
      <c r="V7828">
        <v>-6.8040779999999995E-2</v>
      </c>
      <c r="W7828">
        <v>-8.8265720000000006E-2</v>
      </c>
      <c r="X7828">
        <v>0.99377040000000005</v>
      </c>
      <c r="Y7828">
        <v>-3.9776110000000003E-2</v>
      </c>
      <c r="Z7828">
        <v>1.716071E-3</v>
      </c>
      <c r="AA7828">
        <v>0.99920710000000001</v>
      </c>
      <c r="AB7828">
        <v>29</v>
      </c>
      <c r="AC7828">
        <v>19.080200000000001</v>
      </c>
      <c r="AD7828">
        <v>-1.120199233318</v>
      </c>
      <c r="AE7828">
        <v>0.63487000000000604</v>
      </c>
      <c r="AF7828">
        <v>-0.76493272167679205</v>
      </c>
      <c r="AG7828">
        <v>-1.120199233318</v>
      </c>
      <c r="AH7828">
        <v>19.009870581242101</v>
      </c>
      <c r="AI7828">
        <v>93.369661791682901</v>
      </c>
      <c r="AJ7828">
        <v>92.304265296506699</v>
      </c>
      <c r="AK7828">
        <v>19.058204215156099</v>
      </c>
      <c r="AL7828">
        <v>95.063843085091193</v>
      </c>
      <c r="AM7828">
        <v>93.916774865697604</v>
      </c>
      <c r="AN7828">
        <v>0.99999999649314297</v>
      </c>
    </row>
    <row r="7829" spans="1:40" x14ac:dyDescent="0.25">
      <c r="A7829" t="str">
        <f>"20190303155002044"</f>
        <v>20190303155002044</v>
      </c>
      <c r="B7829" t="str">
        <f>"1551599402038066"</f>
        <v>1551599402038066</v>
      </c>
      <c r="C7829" t="s">
        <v>40</v>
      </c>
      <c r="D7829">
        <v>5.098617</v>
      </c>
      <c r="E7829">
        <v>0.509154</v>
      </c>
      <c r="F7829" t="s">
        <v>64</v>
      </c>
      <c r="G7829">
        <v>-203.88239999999999</v>
      </c>
      <c r="H7829" s="1">
        <v>-3.8209649999999996E-6</v>
      </c>
      <c r="I7829">
        <v>-62.045459999999999</v>
      </c>
      <c r="J7829">
        <v>-222.0051</v>
      </c>
      <c r="K7829">
        <v>1.120293</v>
      </c>
      <c r="L7829">
        <v>-62.731929999999998</v>
      </c>
      <c r="M7829">
        <v>0.99990129999999999</v>
      </c>
      <c r="N7829">
        <v>-1.212361E-2</v>
      </c>
      <c r="O7829">
        <v>-7.1164740000000002E-3</v>
      </c>
      <c r="P7829">
        <v>0.99281419999999998</v>
      </c>
      <c r="Q7829">
        <v>-0.10007000000000001</v>
      </c>
      <c r="R7829">
        <v>6.561989E-2</v>
      </c>
      <c r="S7829">
        <v>2.995422</v>
      </c>
      <c r="T7829">
        <v>-0.1835938</v>
      </c>
      <c r="U7829">
        <v>0.11230469999999999</v>
      </c>
      <c r="V7829">
        <v>-7.2746409999999997E-2</v>
      </c>
      <c r="W7829">
        <v>-8.7980420000000004E-2</v>
      </c>
      <c r="X7829">
        <v>0.99346230000000002</v>
      </c>
      <c r="Y7829">
        <v>-4.4468380000000002E-2</v>
      </c>
      <c r="Z7829">
        <v>1.9804229999999998E-3</v>
      </c>
      <c r="AA7829">
        <v>0.99900880000000003</v>
      </c>
      <c r="AB7829">
        <v>29</v>
      </c>
      <c r="AC7829">
        <v>18.122699999999998</v>
      </c>
      <c r="AD7829">
        <v>-1.1202968209649999</v>
      </c>
      <c r="AE7829">
        <v>0.68647000000000702</v>
      </c>
      <c r="AF7829">
        <v>-0.81233201869178095</v>
      </c>
      <c r="AG7829">
        <v>-1.1202968209649999</v>
      </c>
      <c r="AH7829">
        <v>18.048484091080699</v>
      </c>
      <c r="AI7829">
        <v>93.548296120750393</v>
      </c>
      <c r="AJ7829">
        <v>92.5770477931964</v>
      </c>
      <c r="AK7829">
        <v>18.101456467965502</v>
      </c>
      <c r="AL7829">
        <v>95.0474329004591</v>
      </c>
      <c r="AM7829">
        <v>94.188016532704097</v>
      </c>
      <c r="AN7829">
        <v>0.999999967996276</v>
      </c>
    </row>
    <row r="7830" spans="1:40" x14ac:dyDescent="0.25">
      <c r="A7830" t="str">
        <f>"20190303155002057"</f>
        <v>20190303155002057</v>
      </c>
      <c r="B7830" t="str">
        <f>"1551599402048802"</f>
        <v>1551599402048802</v>
      </c>
      <c r="C7830" t="s">
        <v>40</v>
      </c>
      <c r="D7830">
        <v>5.1005820000000002</v>
      </c>
      <c r="E7830">
        <v>0.50975630000000005</v>
      </c>
      <c r="F7830" t="s">
        <v>64</v>
      </c>
      <c r="G7830">
        <v>-203.36949999999999</v>
      </c>
      <c r="H7830" s="1">
        <v>-4.0784130000000004E-6</v>
      </c>
      <c r="I7830">
        <v>-61.9786</v>
      </c>
      <c r="J7830">
        <v>-221.8409</v>
      </c>
      <c r="K7830">
        <v>1.1203890000000001</v>
      </c>
      <c r="L7830">
        <v>-62.733249999999998</v>
      </c>
      <c r="M7830">
        <v>0.99989799999999995</v>
      </c>
      <c r="N7830">
        <v>-1.231004E-2</v>
      </c>
      <c r="O7830">
        <v>-7.2429130000000001E-3</v>
      </c>
      <c r="P7830">
        <v>0.9925273</v>
      </c>
      <c r="Q7830">
        <v>-9.9926249999999994E-2</v>
      </c>
      <c r="R7830">
        <v>7.0032140000000007E-2</v>
      </c>
      <c r="S7830">
        <v>2.9955599999999998</v>
      </c>
      <c r="T7830">
        <v>-0.18008109999999999</v>
      </c>
      <c r="U7830">
        <v>0.1210938</v>
      </c>
      <c r="V7830">
        <v>-7.7268989999999996E-2</v>
      </c>
      <c r="W7830">
        <v>-8.7664110000000003E-2</v>
      </c>
      <c r="X7830">
        <v>0.99314880000000005</v>
      </c>
      <c r="Y7830">
        <v>-4.7516419999999997E-2</v>
      </c>
      <c r="Z7830">
        <v>2.0650899999999999E-3</v>
      </c>
      <c r="AA7830">
        <v>0.99886830000000004</v>
      </c>
      <c r="AB7830">
        <v>29</v>
      </c>
      <c r="AC7830">
        <v>18.471399999999999</v>
      </c>
      <c r="AD7830">
        <v>-1.1203930784129901</v>
      </c>
      <c r="AE7830">
        <v>0.75464999999999705</v>
      </c>
      <c r="AF7830">
        <v>-0.88517586212494304</v>
      </c>
      <c r="AG7830">
        <v>-1.1203930784129901</v>
      </c>
      <c r="AH7830">
        <v>18.397874370597201</v>
      </c>
      <c r="AI7830">
        <v>93.480875935311502</v>
      </c>
      <c r="AJ7830">
        <v>92.754544368679802</v>
      </c>
      <c r="AK7830">
        <v>18.453200218751299</v>
      </c>
      <c r="AL7830">
        <v>95.029239133021093</v>
      </c>
      <c r="AM7830">
        <v>94.448765885435705</v>
      </c>
      <c r="AN7830">
        <v>1.0000000159695701</v>
      </c>
    </row>
    <row r="7831" spans="1:40" x14ac:dyDescent="0.25">
      <c r="A7831" t="str">
        <f>"20190303155002069"</f>
        <v>20190303155002069</v>
      </c>
      <c r="B7831" t="str">
        <f>"1551599402058095"</f>
        <v>1551599402058095</v>
      </c>
      <c r="C7831" t="s">
        <v>40</v>
      </c>
      <c r="D7831">
        <v>5.1123900000000004</v>
      </c>
      <c r="E7831">
        <v>0.51037310000000002</v>
      </c>
      <c r="F7831" t="s">
        <v>64</v>
      </c>
      <c r="G7831">
        <v>-202.8169</v>
      </c>
      <c r="H7831" s="1">
        <v>-4.3561459999999997E-6</v>
      </c>
      <c r="I7831">
        <v>-61.9129</v>
      </c>
      <c r="J7831">
        <v>-221.68440000000001</v>
      </c>
      <c r="K7831">
        <v>1.1204719999999999</v>
      </c>
      <c r="L7831">
        <v>-62.734470000000002</v>
      </c>
      <c r="M7831">
        <v>0.99989530000000004</v>
      </c>
      <c r="N7831">
        <v>-1.248664E-2</v>
      </c>
      <c r="O7831">
        <v>-7.318186E-3</v>
      </c>
      <c r="P7831">
        <v>0.99219970000000002</v>
      </c>
      <c r="Q7831">
        <v>-9.9927810000000006E-2</v>
      </c>
      <c r="R7831">
        <v>7.4527800000000005E-2</v>
      </c>
      <c r="S7831">
        <v>2.9957280000000002</v>
      </c>
      <c r="T7831">
        <v>-0.17642929999999901</v>
      </c>
      <c r="U7831">
        <v>0.12918089999999999</v>
      </c>
      <c r="V7831">
        <v>-8.1825060000000005E-2</v>
      </c>
      <c r="W7831">
        <v>-8.7502919999999998E-2</v>
      </c>
      <c r="X7831">
        <v>0.99279799999999996</v>
      </c>
      <c r="Y7831">
        <v>-5.0279160000000003E-2</v>
      </c>
      <c r="Z7831">
        <v>2.1321510000000001E-3</v>
      </c>
      <c r="AA7831">
        <v>0.99873290000000003</v>
      </c>
      <c r="AB7831">
        <v>29</v>
      </c>
      <c r="AC7831">
        <v>18.8675</v>
      </c>
      <c r="AD7831">
        <v>-1.1204763561459901</v>
      </c>
      <c r="AE7831">
        <v>0.82156999999999403</v>
      </c>
      <c r="AF7831">
        <v>-0.95626847751162602</v>
      </c>
      <c r="AG7831">
        <v>-1.1204763561459901</v>
      </c>
      <c r="AH7831">
        <v>18.794822311238299</v>
      </c>
      <c r="AI7831">
        <v>93.4073230204596</v>
      </c>
      <c r="AJ7831">
        <v>92.9126608196853</v>
      </c>
      <c r="AK7831">
        <v>18.8524603799288</v>
      </c>
      <c r="AL7831">
        <v>95.019968154383804</v>
      </c>
      <c r="AM7831">
        <v>94.711591077554701</v>
      </c>
      <c r="AN7831">
        <v>0.99999998512826405</v>
      </c>
    </row>
    <row r="7832" spans="1:40" x14ac:dyDescent="0.25">
      <c r="A7832" t="str">
        <f>"20190303155002079"</f>
        <v>20190303155002079</v>
      </c>
      <c r="B7832" t="str">
        <f>"1551599402067854"</f>
        <v>1551599402067854</v>
      </c>
      <c r="C7832" t="s">
        <v>40</v>
      </c>
      <c r="D7832">
        <v>5.0818760000000003</v>
      </c>
      <c r="E7832">
        <v>0.5111367</v>
      </c>
      <c r="F7832" t="s">
        <v>64</v>
      </c>
      <c r="G7832">
        <v>-202.37440000000001</v>
      </c>
      <c r="H7832" s="1">
        <v>-4.5778730000000001E-6</v>
      </c>
      <c r="I7832">
        <v>-61.848489999999998</v>
      </c>
      <c r="J7832">
        <v>-221.55260000000001</v>
      </c>
      <c r="K7832">
        <v>1.1205400000000001</v>
      </c>
      <c r="L7832">
        <v>-62.7354699999999</v>
      </c>
      <c r="M7832">
        <v>0.99989320000000004</v>
      </c>
      <c r="N7832">
        <v>-1.263502E-2</v>
      </c>
      <c r="O7832">
        <v>-7.3688859999999998E-3</v>
      </c>
      <c r="P7832">
        <v>0.99184039999999996</v>
      </c>
      <c r="Q7832">
        <v>-0.10006619999999999</v>
      </c>
      <c r="R7832">
        <v>7.8991080000000005E-2</v>
      </c>
      <c r="S7832">
        <v>2.9957579999999999</v>
      </c>
      <c r="T7832">
        <v>-0.17383090000000001</v>
      </c>
      <c r="U7832">
        <v>0.1374512</v>
      </c>
      <c r="V7832">
        <v>-8.6326739999999999E-2</v>
      </c>
      <c r="W7832">
        <v>-8.7506050000000002E-2</v>
      </c>
      <c r="X7832">
        <v>0.99241639999999998</v>
      </c>
      <c r="Y7832">
        <v>-5.3078069999999998E-2</v>
      </c>
      <c r="Z7832">
        <v>2.207718E-3</v>
      </c>
      <c r="AA7832">
        <v>0.99858789999999997</v>
      </c>
      <c r="AB7832">
        <v>29</v>
      </c>
      <c r="AC7832">
        <v>19.1782</v>
      </c>
      <c r="AD7832">
        <v>-1.1205445778730001</v>
      </c>
      <c r="AE7832">
        <v>0.886979999999987</v>
      </c>
      <c r="AF7832">
        <v>-1.02479811553684</v>
      </c>
      <c r="AG7832">
        <v>-1.1205445778730001</v>
      </c>
      <c r="AH7832">
        <v>19.106056925447302</v>
      </c>
      <c r="AI7832">
        <v>93.351668809559001</v>
      </c>
      <c r="AJ7832">
        <v>93.070251259609506</v>
      </c>
      <c r="AK7832">
        <v>19.166304875145901</v>
      </c>
      <c r="AL7832">
        <v>95.020148292573694</v>
      </c>
      <c r="AM7832">
        <v>94.971440351321803</v>
      </c>
      <c r="AN7832">
        <v>0.99999996290729398</v>
      </c>
    </row>
    <row r="7833" spans="1:40" x14ac:dyDescent="0.25">
      <c r="A7833" t="str">
        <f>"20190303155002090"</f>
        <v>20190303155002090</v>
      </c>
      <c r="B7833" t="str">
        <f>"1551599402078592"</f>
        <v>1551599402078592</v>
      </c>
      <c r="C7833" t="s">
        <v>40</v>
      </c>
      <c r="D7833">
        <v>5.1114439999999997</v>
      </c>
      <c r="E7833">
        <v>0.51172720000000005</v>
      </c>
      <c r="F7833" t="s">
        <v>64</v>
      </c>
      <c r="G7833">
        <v>-202.15860000000001</v>
      </c>
      <c r="H7833" s="1">
        <v>-4.6850589999999998E-6</v>
      </c>
      <c r="I7833">
        <v>-61.800170000000001</v>
      </c>
      <c r="J7833">
        <v>-221.4265</v>
      </c>
      <c r="K7833">
        <v>1.120598</v>
      </c>
      <c r="L7833">
        <v>-62.736420000000003</v>
      </c>
      <c r="M7833">
        <v>0.99989130000000004</v>
      </c>
      <c r="N7833">
        <v>-1.277066E-2</v>
      </c>
      <c r="O7833">
        <v>-7.3706249999999996E-3</v>
      </c>
      <c r="P7833">
        <v>0.99147770000000002</v>
      </c>
      <c r="Q7833">
        <v>-9.9922940000000002E-2</v>
      </c>
      <c r="R7833">
        <v>8.3593089999999995E-2</v>
      </c>
      <c r="S7833">
        <v>2.995682</v>
      </c>
      <c r="T7833">
        <v>-0.17308370000000001</v>
      </c>
      <c r="U7833">
        <v>0.14447019999999999</v>
      </c>
      <c r="V7833">
        <v>-9.091958E-2</v>
      </c>
      <c r="W7833">
        <v>-8.7239720000000007E-2</v>
      </c>
      <c r="X7833">
        <v>0.99202970000000001</v>
      </c>
      <c r="Y7833">
        <v>-5.5411420000000003E-2</v>
      </c>
      <c r="Z7833">
        <v>2.2841720000000001E-3</v>
      </c>
      <c r="AA7833">
        <v>0.99846100000000004</v>
      </c>
      <c r="AB7833">
        <v>29</v>
      </c>
      <c r="AC7833">
        <v>19.267900000000001</v>
      </c>
      <c r="AD7833">
        <v>-1.1206026850589901</v>
      </c>
      <c r="AE7833">
        <v>0.93625000000000103</v>
      </c>
      <c r="AF7833">
        <v>-1.0746262757126599</v>
      </c>
      <c r="AG7833">
        <v>-1.1206026850589901</v>
      </c>
      <c r="AH7833">
        <v>19.195699199093099</v>
      </c>
      <c r="AI7833">
        <v>93.335798258027694</v>
      </c>
      <c r="AJ7833">
        <v>93.204225449741699</v>
      </c>
      <c r="AK7833">
        <v>19.258386218795099</v>
      </c>
      <c r="AL7833">
        <v>95.004829777555003</v>
      </c>
      <c r="AM7833">
        <v>95.236532414583095</v>
      </c>
      <c r="AN7833">
        <v>1.0000000322275699</v>
      </c>
    </row>
    <row r="7834" spans="1:40" x14ac:dyDescent="0.25">
      <c r="A7834" t="str">
        <f>"20190303155002101"</f>
        <v>20190303155002101</v>
      </c>
      <c r="B7834" t="str">
        <f>"1551599402098110"</f>
        <v>1551599402098110</v>
      </c>
      <c r="C7834" t="s">
        <v>40</v>
      </c>
      <c r="D7834">
        <v>5.0865369999999999</v>
      </c>
      <c r="E7834">
        <v>0.51292529999999903</v>
      </c>
      <c r="F7834" t="s">
        <v>64</v>
      </c>
      <c r="G7834">
        <v>-202.06620000000001</v>
      </c>
      <c r="H7834" s="1">
        <v>-4.7289429999999999E-6</v>
      </c>
      <c r="I7834">
        <v>-61.745249999999999</v>
      </c>
      <c r="J7834">
        <v>-221.29130000000001</v>
      </c>
      <c r="K7834">
        <v>1.1206609999999999</v>
      </c>
      <c r="L7834">
        <v>-62.737400000000001</v>
      </c>
      <c r="M7834">
        <v>0.99988960000000005</v>
      </c>
      <c r="N7834">
        <v>-1.2915690000000001E-2</v>
      </c>
      <c r="O7834">
        <v>-7.3700060000000001E-3</v>
      </c>
      <c r="P7834">
        <v>0.99112239999999996</v>
      </c>
      <c r="Q7834">
        <v>-9.9467319999999998E-2</v>
      </c>
      <c r="R7834">
        <v>8.8220599999999996E-2</v>
      </c>
      <c r="S7834">
        <v>2.995377</v>
      </c>
      <c r="T7834">
        <v>-0.17337629999999901</v>
      </c>
      <c r="U7834">
        <v>0.15335079999999901</v>
      </c>
      <c r="V7834">
        <v>-9.5536060000000006E-2</v>
      </c>
      <c r="W7834">
        <v>-8.6653019999999997E-2</v>
      </c>
      <c r="X7834">
        <v>0.99164719999999995</v>
      </c>
      <c r="Y7834">
        <v>-5.8361789999999997E-2</v>
      </c>
      <c r="Z7834">
        <v>2.3949560000000002E-3</v>
      </c>
      <c r="AA7834">
        <v>0.99829259999999997</v>
      </c>
      <c r="AB7834">
        <v>29</v>
      </c>
      <c r="AC7834">
        <v>19.225100000000001</v>
      </c>
      <c r="AD7834">
        <v>-1.120665728943</v>
      </c>
      <c r="AE7834">
        <v>0.99215000000000197</v>
      </c>
      <c r="AF7834">
        <v>-1.12999449915327</v>
      </c>
      <c r="AG7834">
        <v>-1.120665728943</v>
      </c>
      <c r="AH7834">
        <v>19.152359425612602</v>
      </c>
      <c r="AI7834">
        <v>93.342940595285498</v>
      </c>
      <c r="AJ7834">
        <v>93.376552493039</v>
      </c>
      <c r="AK7834">
        <v>19.218367537644699</v>
      </c>
      <c r="AL7834">
        <v>94.971086584818195</v>
      </c>
      <c r="AM7834">
        <v>95.502936499868696</v>
      </c>
      <c r="AN7834">
        <v>1.00000002695164</v>
      </c>
    </row>
    <row r="7835" spans="1:40" x14ac:dyDescent="0.25">
      <c r="A7835" t="str">
        <f>"20190303155002111"</f>
        <v>20190303155002111</v>
      </c>
      <c r="B7835" t="str">
        <f>"1551599402107870"</f>
        <v>1551599402107870</v>
      </c>
      <c r="C7835" t="s">
        <v>40</v>
      </c>
      <c r="D7835">
        <v>5.0946220000000002</v>
      </c>
      <c r="E7835">
        <v>0.51362699999999994</v>
      </c>
      <c r="F7835" t="s">
        <v>64</v>
      </c>
      <c r="G7835">
        <v>-201.39</v>
      </c>
      <c r="H7835" s="1">
        <v>-5.0703959999999997E-6</v>
      </c>
      <c r="I7835">
        <v>-61.692169999999997</v>
      </c>
      <c r="J7835">
        <v>-221.15199999999999</v>
      </c>
      <c r="K7835">
        <v>1.120717</v>
      </c>
      <c r="L7835">
        <v>-62.738370000000003</v>
      </c>
      <c r="M7835">
        <v>0.99988809999999995</v>
      </c>
      <c r="N7835">
        <v>-1.3055280000000001E-2</v>
      </c>
      <c r="O7835">
        <v>-7.3209999999999898E-3</v>
      </c>
      <c r="P7835">
        <v>0.99073710000000004</v>
      </c>
      <c r="Q7835">
        <v>-9.8944290000000004E-2</v>
      </c>
      <c r="R7835">
        <v>9.3005989999999997E-2</v>
      </c>
      <c r="S7835">
        <v>2.9959410000000002</v>
      </c>
      <c r="T7835">
        <v>-0.16870489999999999</v>
      </c>
      <c r="U7835">
        <v>0.15734860000000001</v>
      </c>
      <c r="V7835">
        <v>-0.10026210000000001</v>
      </c>
      <c r="W7835">
        <v>-8.6004979999999995E-2</v>
      </c>
      <c r="X7835">
        <v>0.99123689999999998</v>
      </c>
      <c r="Y7835">
        <v>-5.9635479999999998E-2</v>
      </c>
      <c r="Z7835">
        <v>2.382739E-3</v>
      </c>
      <c r="AA7835">
        <v>0.99821740000000003</v>
      </c>
      <c r="AB7835">
        <v>28</v>
      </c>
      <c r="AC7835">
        <v>19.762</v>
      </c>
      <c r="AD7835">
        <v>-1.1207220703959999</v>
      </c>
      <c r="AE7835">
        <v>1.04619999999999</v>
      </c>
      <c r="AF7835">
        <v>-1.1870548163152901</v>
      </c>
      <c r="AG7835">
        <v>-1.1207220703959999</v>
      </c>
      <c r="AH7835">
        <v>19.690659628610501</v>
      </c>
      <c r="AI7835">
        <v>93.251666011703307</v>
      </c>
      <c r="AJ7835">
        <v>93.449910666576599</v>
      </c>
      <c r="AK7835">
        <v>19.758218383897901</v>
      </c>
      <c r="AL7835">
        <v>94.933817779464405</v>
      </c>
      <c r="AM7835">
        <v>95.775736913993498</v>
      </c>
      <c r="AN7835">
        <v>0.99999996860140905</v>
      </c>
    </row>
    <row r="7836" spans="1:40" x14ac:dyDescent="0.25">
      <c r="A7836" t="str">
        <f>"20190303155002122"</f>
        <v>20190303155002122</v>
      </c>
      <c r="B7836" t="str">
        <f>"1551599402118605"</f>
        <v>1551599402118605</v>
      </c>
      <c r="C7836" t="s">
        <v>40</v>
      </c>
      <c r="D7836">
        <v>5.1082859999999997</v>
      </c>
      <c r="E7836">
        <v>0.51362699999999994</v>
      </c>
      <c r="F7836" t="s">
        <v>64</v>
      </c>
      <c r="G7836">
        <v>-200.91040000000001</v>
      </c>
      <c r="H7836" s="1">
        <v>-5.310439E-6</v>
      </c>
      <c r="I7836">
        <v>-61.6173199999999</v>
      </c>
      <c r="J7836">
        <v>-221.0291</v>
      </c>
      <c r="K7836">
        <v>1.12077</v>
      </c>
      <c r="L7836">
        <v>-62.739260000000002</v>
      </c>
      <c r="M7836">
        <v>0.99988679999999996</v>
      </c>
      <c r="N7836">
        <v>-1.3177619999999999E-2</v>
      </c>
      <c r="O7836">
        <v>-7.2751730000000002E-3</v>
      </c>
      <c r="P7836">
        <v>0.9903786</v>
      </c>
      <c r="Q7836">
        <v>-9.7747470000000003E-2</v>
      </c>
      <c r="R7836">
        <v>9.7958359999999994E-2</v>
      </c>
      <c r="S7836">
        <v>2.995911</v>
      </c>
      <c r="T7836">
        <v>-0.16587560000000001</v>
      </c>
      <c r="U7836">
        <v>0.16592409999999999</v>
      </c>
      <c r="V7836">
        <v>-0.1051604</v>
      </c>
      <c r="W7836">
        <v>-8.4699730000000001E-2</v>
      </c>
      <c r="X7836">
        <v>0.99084170000000005</v>
      </c>
      <c r="Y7836">
        <v>-6.2437390000000002E-2</v>
      </c>
      <c r="Z7836">
        <v>2.4444319999999999E-3</v>
      </c>
      <c r="AA7836">
        <v>0.99804590000000004</v>
      </c>
      <c r="AB7836">
        <v>28</v>
      </c>
      <c r="AC7836">
        <v>20.118699999999901</v>
      </c>
      <c r="AD7836">
        <v>-1.1207753104389999</v>
      </c>
      <c r="AE7836">
        <v>1.1219399999999999</v>
      </c>
      <c r="AF7836">
        <v>-1.2643783198029199</v>
      </c>
      <c r="AG7836">
        <v>-1.1207753104389999</v>
      </c>
      <c r="AH7836">
        <v>20.047980512715998</v>
      </c>
      <c r="AI7836">
        <v>93.193438246647403</v>
      </c>
      <c r="AJ7836">
        <v>93.608728635552495</v>
      </c>
      <c r="AK7836">
        <v>20.1190534685486</v>
      </c>
      <c r="AL7836">
        <v>94.858758329300898</v>
      </c>
      <c r="AM7836">
        <v>96.058259158953803</v>
      </c>
      <c r="AN7836">
        <v>1.00000001422456</v>
      </c>
    </row>
    <row r="7837" spans="1:40" x14ac:dyDescent="0.25">
      <c r="A7837" t="str">
        <f>"20190303155002131"</f>
        <v>20190303155002131</v>
      </c>
      <c r="B7837" t="str">
        <f>"1551599402118605"</f>
        <v>1551599402118605</v>
      </c>
      <c r="C7837" t="s">
        <v>40</v>
      </c>
      <c r="D7837">
        <v>5.1082859999999997</v>
      </c>
      <c r="E7837">
        <v>0.51362699999999994</v>
      </c>
      <c r="F7837" t="s">
        <v>64</v>
      </c>
      <c r="G7837">
        <v>-200.3648</v>
      </c>
      <c r="H7837" s="1">
        <v>-5.5812089999999996E-6</v>
      </c>
      <c r="I7837">
        <v>-61.492840000000001</v>
      </c>
      <c r="J7837">
        <v>-220.9049</v>
      </c>
      <c r="K7837">
        <v>1.1208180000000001</v>
      </c>
      <c r="L7837">
        <v>-62.740079999999999</v>
      </c>
      <c r="M7837">
        <v>0.99988580000000005</v>
      </c>
      <c r="N7837">
        <v>-1.329194E-2</v>
      </c>
      <c r="O7837">
        <v>-7.1997780000000004E-3</v>
      </c>
      <c r="P7837">
        <v>0.98995239999999995</v>
      </c>
      <c r="Q7837">
        <v>-9.6502790000000005E-2</v>
      </c>
      <c r="R7837">
        <v>0.103351</v>
      </c>
      <c r="S7837">
        <v>2.9952239999999999</v>
      </c>
      <c r="T7837">
        <v>-0.16245290000000001</v>
      </c>
      <c r="U7837">
        <v>0.18066409999999999</v>
      </c>
      <c r="V7837">
        <v>-0.1104692</v>
      </c>
      <c r="W7837">
        <v>-8.335555E-2</v>
      </c>
      <c r="X7837">
        <v>0.99037790000000003</v>
      </c>
      <c r="Y7837">
        <v>-6.7264980000000002E-2</v>
      </c>
      <c r="Z7837">
        <v>2.5633359999999998E-3</v>
      </c>
      <c r="AA7837">
        <v>0.9977319</v>
      </c>
      <c r="AB7837">
        <v>28</v>
      </c>
      <c r="AC7837">
        <v>20.540099999999899</v>
      </c>
      <c r="AD7837">
        <v>-1.1208235812089999</v>
      </c>
      <c r="AE7837">
        <v>1.2472399999999999</v>
      </c>
      <c r="AF7837">
        <v>-1.3909782931107599</v>
      </c>
      <c r="AG7837">
        <v>-1.1208235812089999</v>
      </c>
      <c r="AH7837">
        <v>20.4698593203887</v>
      </c>
      <c r="AI7837">
        <v>93.126894218590294</v>
      </c>
      <c r="AJ7837">
        <v>93.887415867289704</v>
      </c>
      <c r="AK7837">
        <v>20.547656963960701</v>
      </c>
      <c r="AL7837">
        <v>94.781469268543205</v>
      </c>
      <c r="AM7837">
        <v>96.3646043894868</v>
      </c>
      <c r="AN7837">
        <v>0.999999988336426</v>
      </c>
    </row>
    <row r="7838" spans="1:40" x14ac:dyDescent="0.25">
      <c r="A7838" t="str">
        <f>"20190303155002142"</f>
        <v>20190303155002142</v>
      </c>
      <c r="B7838" t="str">
        <f>"1551599402138126"</f>
        <v>1551599402138126</v>
      </c>
      <c r="C7838" t="s">
        <v>40</v>
      </c>
      <c r="D7838">
        <v>5.2110969999999996</v>
      </c>
      <c r="E7838">
        <v>0.52374100000000001</v>
      </c>
      <c r="F7838" t="s">
        <v>64</v>
      </c>
      <c r="G7838">
        <v>-199.78210000000001</v>
      </c>
      <c r="H7838" s="1">
        <v>-5.8520159999999996E-6</v>
      </c>
      <c r="I7838">
        <v>-61.352220000000003</v>
      </c>
      <c r="J7838">
        <v>-220.7739</v>
      </c>
      <c r="K7838">
        <v>1.1208659999999999</v>
      </c>
      <c r="L7838">
        <v>-62.740940000000002</v>
      </c>
      <c r="M7838">
        <v>0.99988469999999996</v>
      </c>
      <c r="N7838">
        <v>-1.3411620000000001E-2</v>
      </c>
      <c r="O7838">
        <v>-7.1179640000000001E-3</v>
      </c>
      <c r="P7838">
        <v>0.98949860000000001</v>
      </c>
      <c r="Q7838">
        <v>-9.4969910000000005E-2</v>
      </c>
      <c r="R7838">
        <v>0.1089651</v>
      </c>
      <c r="S7838">
        <v>2.9944310000000001</v>
      </c>
      <c r="T7838">
        <v>-0.158891</v>
      </c>
      <c r="U7838">
        <v>0.1967468</v>
      </c>
      <c r="V7838">
        <v>-0.1159935</v>
      </c>
      <c r="W7838">
        <v>-8.1719479999999997E-2</v>
      </c>
      <c r="X7838">
        <v>0.9898825</v>
      </c>
      <c r="Y7838">
        <v>-7.2531529999999997E-2</v>
      </c>
      <c r="Z7838">
        <v>2.6900090000000001E-3</v>
      </c>
      <c r="AA7838">
        <v>0.99736250000000004</v>
      </c>
      <c r="AB7838">
        <v>28</v>
      </c>
      <c r="AC7838">
        <v>20.991799999999898</v>
      </c>
      <c r="AD7838">
        <v>-1.1208718520159999</v>
      </c>
      <c r="AE7838">
        <v>1.38872</v>
      </c>
      <c r="AF7838">
        <v>-1.5337632746740499</v>
      </c>
      <c r="AG7838">
        <v>-1.1208718520159999</v>
      </c>
      <c r="AH7838">
        <v>20.921991589574699</v>
      </c>
      <c r="AI7838">
        <v>93.058432825002797</v>
      </c>
      <c r="AJ7838">
        <v>94.192776960444604</v>
      </c>
      <c r="AK7838">
        <v>21.008058348300899</v>
      </c>
      <c r="AL7838">
        <v>94.687408522513294</v>
      </c>
      <c r="AM7838">
        <v>96.683387033007506</v>
      </c>
      <c r="AN7838">
        <v>0.99999996462998397</v>
      </c>
    </row>
    <row r="7839" spans="1:40" x14ac:dyDescent="0.25">
      <c r="A7839" t="str">
        <f>"20190303155002152"</f>
        <v>20190303155002152</v>
      </c>
      <c r="B7839" t="str">
        <f>"1551599402148862"</f>
        <v>1551599402148862</v>
      </c>
      <c r="C7839" t="s">
        <v>40</v>
      </c>
      <c r="D7839">
        <v>5.2515419999999997</v>
      </c>
      <c r="E7839">
        <v>0.51968990000000004</v>
      </c>
      <c r="F7839" t="s">
        <v>64</v>
      </c>
      <c r="G7839">
        <v>-197.9462</v>
      </c>
      <c r="H7839" s="1">
        <v>-6.6216699999999899E-6</v>
      </c>
      <c r="I7839">
        <v>-61.729970000000002</v>
      </c>
      <c r="J7839">
        <v>-220.6309</v>
      </c>
      <c r="K7839">
        <v>1.1209089999999999</v>
      </c>
      <c r="L7839">
        <v>-62.741819999999997</v>
      </c>
      <c r="M7839">
        <v>0.99988379999999999</v>
      </c>
      <c r="N7839">
        <v>-1.353115E-2</v>
      </c>
      <c r="O7839">
        <v>-7.0059019999999996E-3</v>
      </c>
      <c r="P7839">
        <v>0.9889597</v>
      </c>
      <c r="Q7839">
        <v>-9.3395450000000005E-2</v>
      </c>
      <c r="R7839">
        <v>0.11504730000000001</v>
      </c>
      <c r="S7839">
        <v>3.0030519999999998</v>
      </c>
      <c r="T7839">
        <v>-0.14745440000000001</v>
      </c>
      <c r="U7839">
        <v>0.13299559999999999</v>
      </c>
      <c r="V7839">
        <v>-0.1219558</v>
      </c>
      <c r="W7839">
        <v>-8.0043550000000005E-2</v>
      </c>
      <c r="X7839">
        <v>0.98930269999999998</v>
      </c>
      <c r="Y7839">
        <v>-5.1159110000000001E-2</v>
      </c>
      <c r="Z7839">
        <v>1.8501209999999999E-3</v>
      </c>
      <c r="AA7839">
        <v>0.99868880000000004</v>
      </c>
      <c r="AB7839">
        <v>28</v>
      </c>
      <c r="AC7839">
        <v>22.6846999999999</v>
      </c>
      <c r="AD7839">
        <v>-1.12091562167</v>
      </c>
      <c r="AE7839">
        <v>1.0118499999999999</v>
      </c>
      <c r="AF7839">
        <v>-1.1679205491203</v>
      </c>
      <c r="AG7839">
        <v>-1.12091562167</v>
      </c>
      <c r="AH7839">
        <v>22.621928913874399</v>
      </c>
      <c r="AI7839">
        <v>92.832916631318298</v>
      </c>
      <c r="AJ7839">
        <v>92.955431400216398</v>
      </c>
      <c r="AK7839">
        <v>22.679774205762001</v>
      </c>
      <c r="AL7839">
        <v>94.591068950298094</v>
      </c>
      <c r="AM7839">
        <v>97.027653126435595</v>
      </c>
      <c r="AN7839">
        <v>1.00000000963876</v>
      </c>
    </row>
    <row r="7840" spans="1:40" x14ac:dyDescent="0.25">
      <c r="A7840" t="str">
        <f>"20190303155002164"</f>
        <v>20190303155002164</v>
      </c>
      <c r="B7840" t="str">
        <f>"1551599402158622"</f>
        <v>1551599402158622</v>
      </c>
      <c r="C7840" t="s">
        <v>40</v>
      </c>
      <c r="D7840">
        <v>5.2296199999999997</v>
      </c>
      <c r="E7840">
        <v>0.51988420000000002</v>
      </c>
      <c r="F7840" t="s">
        <v>64</v>
      </c>
      <c r="G7840">
        <v>-206.4846</v>
      </c>
      <c r="H7840" s="1">
        <v>-2.4109800000000002E-6</v>
      </c>
      <c r="I7840">
        <v>-61.855539999999998</v>
      </c>
      <c r="J7840">
        <v>-220.4846</v>
      </c>
      <c r="K7840">
        <v>1.1209480000000001</v>
      </c>
      <c r="L7840">
        <v>-62.742739999999998</v>
      </c>
      <c r="M7840">
        <v>0.99988310000000002</v>
      </c>
      <c r="N7840">
        <v>-1.364932E-2</v>
      </c>
      <c r="O7840">
        <v>-6.8859890000000003E-3</v>
      </c>
      <c r="P7840">
        <v>0.98829120000000004</v>
      </c>
      <c r="Q7840">
        <v>-9.2411049999999995E-2</v>
      </c>
      <c r="R7840">
        <v>0.1214114</v>
      </c>
      <c r="S7840">
        <v>2.9893339999999999</v>
      </c>
      <c r="T7840">
        <v>-0.2368672</v>
      </c>
      <c r="U7840">
        <v>0.18728639999999999</v>
      </c>
      <c r="V7840">
        <v>-0.12819179999999999</v>
      </c>
      <c r="W7840">
        <v>-7.8961260000000005E-2</v>
      </c>
      <c r="X7840">
        <v>0.98860099999999995</v>
      </c>
      <c r="Y7840">
        <v>-6.9132589999999994E-2</v>
      </c>
      <c r="Z7840">
        <v>3.6556399999999999E-3</v>
      </c>
      <c r="AA7840">
        <v>0.99760079999999995</v>
      </c>
      <c r="AB7840">
        <v>28</v>
      </c>
      <c r="AC7840">
        <v>14</v>
      </c>
      <c r="AD7840">
        <v>-1.1209504109799999</v>
      </c>
      <c r="AE7840">
        <v>0.88719999999999999</v>
      </c>
      <c r="AF7840">
        <v>-0.97735118629934403</v>
      </c>
      <c r="AG7840">
        <v>-1.1209504109799999</v>
      </c>
      <c r="AH7840">
        <v>13.9047731094777</v>
      </c>
      <c r="AI7840">
        <v>94.597707734387498</v>
      </c>
      <c r="AJ7840">
        <v>94.020644563189194</v>
      </c>
      <c r="AK7840">
        <v>13.9840788181164</v>
      </c>
      <c r="AL7840">
        <v>94.5288615364111</v>
      </c>
      <c r="AM7840">
        <v>97.388312740572701</v>
      </c>
      <c r="AN7840">
        <v>0.99999997768451299</v>
      </c>
    </row>
    <row r="7841" spans="1:40" x14ac:dyDescent="0.25">
      <c r="A7841" t="str">
        <f>"20190303155002174"</f>
        <v>20190303155002174</v>
      </c>
      <c r="B7841" t="str">
        <f>"1551599402168383"</f>
        <v>1551599402168383</v>
      </c>
      <c r="C7841" t="s">
        <v>40</v>
      </c>
      <c r="D7841">
        <v>5.1612629999999999</v>
      </c>
      <c r="E7841">
        <v>0.51988420000000002</v>
      </c>
      <c r="F7841" t="s">
        <v>64</v>
      </c>
      <c r="G7841">
        <v>-206.2174</v>
      </c>
      <c r="H7841" s="1">
        <v>-2.5680849999999998E-6</v>
      </c>
      <c r="I7841">
        <v>-61.764099999999999</v>
      </c>
      <c r="J7841">
        <v>-220.34899999999999</v>
      </c>
      <c r="K7841">
        <v>1.120978</v>
      </c>
      <c r="L7841">
        <v>-62.743499999999997</v>
      </c>
      <c r="M7841">
        <v>0.99988259999999995</v>
      </c>
      <c r="N7841">
        <v>-1.375113E-2</v>
      </c>
      <c r="O7841">
        <v>-6.7641589999999996E-3</v>
      </c>
      <c r="P7841">
        <v>0.98748979999999997</v>
      </c>
      <c r="Q7841">
        <v>-9.2140990000000006E-2</v>
      </c>
      <c r="R7841">
        <v>0.12796070000000001</v>
      </c>
      <c r="S7841">
        <v>2.9884029999999999</v>
      </c>
      <c r="T7841">
        <v>-0.2347938</v>
      </c>
      <c r="U7841">
        <v>0.20498659999999999</v>
      </c>
      <c r="V7841">
        <v>-0.13461139999999999</v>
      </c>
      <c r="W7841">
        <v>-7.8610349999999996E-2</v>
      </c>
      <c r="X7841">
        <v>0.98777539999999997</v>
      </c>
      <c r="Y7841">
        <v>-7.4896219999999999E-2</v>
      </c>
      <c r="Z7841">
        <v>3.888037E-3</v>
      </c>
      <c r="AA7841">
        <v>0.99718370000000001</v>
      </c>
      <c r="AB7841">
        <v>28</v>
      </c>
      <c r="AC7841">
        <v>14.131600000000001</v>
      </c>
      <c r="AD7841">
        <v>-1.120980568085</v>
      </c>
      <c r="AE7841">
        <v>0.97939999999999805</v>
      </c>
      <c r="AF7841">
        <v>-1.0682851150224799</v>
      </c>
      <c r="AG7841">
        <v>-1.120980568085</v>
      </c>
      <c r="AH7841">
        <v>14.036749156205801</v>
      </c>
      <c r="AI7841">
        <v>94.552863371128694</v>
      </c>
      <c r="AJ7841">
        <v>94.352180165465597</v>
      </c>
      <c r="AK7841">
        <v>14.1219034621841</v>
      </c>
      <c r="AL7841">
        <v>94.508692952346706</v>
      </c>
      <c r="AM7841">
        <v>97.760311578666204</v>
      </c>
      <c r="AN7841">
        <v>1.0000000284911199</v>
      </c>
    </row>
    <row r="7842" spans="1:40" x14ac:dyDescent="0.25">
      <c r="A7842" t="str">
        <f>"20190303155002186"</f>
        <v>20190303155002186</v>
      </c>
      <c r="B7842" t="str">
        <f>"1551599402178142"</f>
        <v>1551599402178142</v>
      </c>
      <c r="C7842" t="s">
        <v>40</v>
      </c>
      <c r="D7842">
        <v>5.3624239999999999</v>
      </c>
      <c r="E7842">
        <v>0.50486900000000001</v>
      </c>
      <c r="F7842" t="s">
        <v>64</v>
      </c>
      <c r="G7842">
        <v>-206.03389999999999</v>
      </c>
      <c r="H7842" s="1">
        <v>-2.671094E-6</v>
      </c>
      <c r="I7842">
        <v>-61.666060000000002</v>
      </c>
      <c r="J7842">
        <v>-220.2021</v>
      </c>
      <c r="K7842">
        <v>1.1210020000000001</v>
      </c>
      <c r="L7842">
        <v>-62.744320000000002</v>
      </c>
      <c r="M7842">
        <v>0.99988200000000005</v>
      </c>
      <c r="N7842">
        <v>-1.38551E-2</v>
      </c>
      <c r="O7842">
        <v>-6.6264050000000001E-3</v>
      </c>
      <c r="P7842">
        <v>0.98663840000000003</v>
      </c>
      <c r="Q7842">
        <v>-9.1833799999999993E-2</v>
      </c>
      <c r="R7842">
        <v>0.13457810000000001</v>
      </c>
      <c r="S7842">
        <v>2.9870450000000002</v>
      </c>
      <c r="T7842">
        <v>-0.23390810000000001</v>
      </c>
      <c r="U7842">
        <v>0.224823</v>
      </c>
      <c r="V7842">
        <v>-0.14108399999999999</v>
      </c>
      <c r="W7842">
        <v>-7.8220869999999998E-2</v>
      </c>
      <c r="X7842">
        <v>0.98690270000000002</v>
      </c>
      <c r="Y7842">
        <v>-8.1354899999999994E-2</v>
      </c>
      <c r="Z7842">
        <v>4.167273E-3</v>
      </c>
      <c r="AA7842">
        <v>0.99667649999999997</v>
      </c>
      <c r="AB7842">
        <v>28</v>
      </c>
      <c r="AC7842">
        <v>14.168200000000001</v>
      </c>
      <c r="AD7842">
        <v>-1.121004671094</v>
      </c>
      <c r="AE7842">
        <v>1.07826</v>
      </c>
      <c r="AF7842">
        <v>-1.16487923313686</v>
      </c>
      <c r="AG7842">
        <v>-1.121004671094</v>
      </c>
      <c r="AH7842">
        <v>14.0731503469177</v>
      </c>
      <c r="AI7842">
        <v>94.5388542474264</v>
      </c>
      <c r="AJ7842">
        <v>94.731766432997404</v>
      </c>
      <c r="AK7842">
        <v>14.1657035048514</v>
      </c>
      <c r="AL7842">
        <v>94.486308281355207</v>
      </c>
      <c r="AM7842">
        <v>98.135672300736303</v>
      </c>
      <c r="AN7842">
        <v>1.0000000694134199</v>
      </c>
    </row>
    <row r="7843" spans="1:40" x14ac:dyDescent="0.25">
      <c r="A7843" t="str">
        <f>"20190303155002198"</f>
        <v>20190303155002198</v>
      </c>
      <c r="B7843" t="str">
        <f>"1551599402187902"</f>
        <v>1551599402187902</v>
      </c>
      <c r="C7843" t="s">
        <v>40</v>
      </c>
      <c r="D7843">
        <v>5.2812669999999997</v>
      </c>
      <c r="E7843">
        <v>0.49207060000000002</v>
      </c>
      <c r="F7843" t="s">
        <v>64</v>
      </c>
      <c r="G7843">
        <v>-204.46870000000001</v>
      </c>
      <c r="H7843" s="1">
        <v>-3.4512859999999999E-6</v>
      </c>
      <c r="I7843">
        <v>-60.8232199999999</v>
      </c>
      <c r="J7843">
        <v>-220.05459999999999</v>
      </c>
      <c r="K7843">
        <v>1.121019</v>
      </c>
      <c r="L7843">
        <v>-62.745150000000002</v>
      </c>
      <c r="M7843">
        <v>0.99988169999999998</v>
      </c>
      <c r="N7843">
        <v>-1.3953739999999999E-2</v>
      </c>
      <c r="O7843">
        <v>-6.483071E-3</v>
      </c>
      <c r="P7843">
        <v>0.98565480000000005</v>
      </c>
      <c r="Q7843">
        <v>-9.2095850000000007E-2</v>
      </c>
      <c r="R7843">
        <v>0.1414318</v>
      </c>
      <c r="S7843">
        <v>2.9714510000000001</v>
      </c>
      <c r="T7843">
        <v>-0.21171570000000001</v>
      </c>
      <c r="U7843">
        <v>0.36282350000000002</v>
      </c>
      <c r="V7843">
        <v>-0.14778729999999901</v>
      </c>
      <c r="W7843">
        <v>-7.8407299999999999E-2</v>
      </c>
      <c r="X7843">
        <v>0.98590630000000001</v>
      </c>
      <c r="Y7843">
        <v>-0.12724479999999999</v>
      </c>
      <c r="Z7843">
        <v>5.7727339999999999E-3</v>
      </c>
      <c r="AA7843">
        <v>0.99185449999999997</v>
      </c>
      <c r="AB7843">
        <v>28</v>
      </c>
      <c r="AC7843">
        <v>15.585899999999899</v>
      </c>
      <c r="AD7843">
        <v>-1.1210224512860001</v>
      </c>
      <c r="AE7843">
        <v>1.9219300000000099</v>
      </c>
      <c r="AF7843">
        <v>-2.0126877141002599</v>
      </c>
      <c r="AG7843">
        <v>-1.1210224512860001</v>
      </c>
      <c r="AH7843">
        <v>15.4941563498832</v>
      </c>
      <c r="AI7843">
        <v>94.103853761715996</v>
      </c>
      <c r="AJ7843">
        <v>97.401266077720805</v>
      </c>
      <c r="AK7843">
        <v>15.6644975714322</v>
      </c>
      <c r="AL7843">
        <v>94.497023100757701</v>
      </c>
      <c r="AM7843">
        <v>98.525158938277798</v>
      </c>
      <c r="AN7843">
        <v>1.0000000115571299</v>
      </c>
    </row>
    <row r="7844" spans="1:40" x14ac:dyDescent="0.25">
      <c r="A7844" t="str">
        <f>"20190303155002210"</f>
        <v>20190303155002210</v>
      </c>
      <c r="B7844" t="str">
        <f>"1551599402198639"</f>
        <v>1551599402198639</v>
      </c>
      <c r="C7844" t="s">
        <v>40</v>
      </c>
      <c r="D7844">
        <v>5.2501600000000002</v>
      </c>
      <c r="E7844">
        <v>0.49207060000000002</v>
      </c>
      <c r="F7844" t="s">
        <v>64</v>
      </c>
      <c r="G7844">
        <v>-205.46019999999999</v>
      </c>
      <c r="H7844" s="1">
        <v>-2.8668330000000001E-6</v>
      </c>
      <c r="I7844">
        <v>-60.347389999999997</v>
      </c>
      <c r="J7844">
        <v>-219.90989999999999</v>
      </c>
      <c r="K7844">
        <v>1.1210329999999999</v>
      </c>
      <c r="L7844">
        <v>-62.745910000000002</v>
      </c>
      <c r="M7844">
        <v>0.99988129999999997</v>
      </c>
      <c r="N7844">
        <v>-1.40416E-2</v>
      </c>
      <c r="O7844">
        <v>-6.3366560000000004E-3</v>
      </c>
      <c r="P7844">
        <v>0.98455870000000001</v>
      </c>
      <c r="Q7844">
        <v>-9.2771229999999996E-2</v>
      </c>
      <c r="R7844">
        <v>0.148451799999999</v>
      </c>
      <c r="S7844">
        <v>2.9528660000000002</v>
      </c>
      <c r="T7844">
        <v>-0.22681609999999999</v>
      </c>
      <c r="U7844">
        <v>0.48513790000000001</v>
      </c>
      <c r="V7844">
        <v>-0.15465400000000001</v>
      </c>
      <c r="W7844">
        <v>-7.9017939999999995E-2</v>
      </c>
      <c r="X7844">
        <v>0.98480369999999995</v>
      </c>
      <c r="Y7844">
        <v>-0.16778699999999999</v>
      </c>
      <c r="Z7844">
        <v>7.9743939999999992E-3</v>
      </c>
      <c r="AA7844">
        <v>0.98579099999999997</v>
      </c>
      <c r="AB7844">
        <v>28</v>
      </c>
      <c r="AC7844">
        <v>14.4497</v>
      </c>
      <c r="AD7844">
        <v>-1.121035866833</v>
      </c>
      <c r="AE7844">
        <v>2.3985199999999902</v>
      </c>
      <c r="AF7844">
        <v>-2.4755429909300899</v>
      </c>
      <c r="AG7844">
        <v>-1.121035866833</v>
      </c>
      <c r="AH7844">
        <v>14.3501527904588</v>
      </c>
      <c r="AI7844">
        <v>94.402120652449995</v>
      </c>
      <c r="AJ7844">
        <v>99.787752826354193</v>
      </c>
      <c r="AK7844">
        <v>14.605201800186901</v>
      </c>
      <c r="AL7844">
        <v>94.532119088644507</v>
      </c>
      <c r="AM7844">
        <v>98.924862992604602</v>
      </c>
      <c r="AN7844">
        <v>1.0000000110457601</v>
      </c>
    </row>
    <row r="7845" spans="1:40" x14ac:dyDescent="0.25">
      <c r="A7845" t="str">
        <f>"20190303155002223"</f>
        <v>20190303155002223</v>
      </c>
      <c r="B7845" t="str">
        <f>"1551599402208398"</f>
        <v>1551599402208398</v>
      </c>
      <c r="C7845" t="s">
        <v>40</v>
      </c>
      <c r="D7845">
        <v>5.0152289999999997</v>
      </c>
      <c r="E7845">
        <v>0.42464220000000003</v>
      </c>
      <c r="F7845" t="s">
        <v>64</v>
      </c>
      <c r="G7845">
        <v>-205.46090000000001</v>
      </c>
      <c r="H7845" s="1">
        <v>-2.8880769999999999E-6</v>
      </c>
      <c r="I7845">
        <v>-60.266039999999997</v>
      </c>
      <c r="J7845">
        <v>-219.751</v>
      </c>
      <c r="K7845">
        <v>1.1210439999999999</v>
      </c>
      <c r="L7845">
        <v>-62.746699999999997</v>
      </c>
      <c r="M7845">
        <v>0.99988100000000002</v>
      </c>
      <c r="N7845">
        <v>-1.413414E-2</v>
      </c>
      <c r="O7845">
        <v>-6.1739639999999997E-3</v>
      </c>
      <c r="P7845">
        <v>0.9834138</v>
      </c>
      <c r="Q7845">
        <v>-9.3582730000000003E-2</v>
      </c>
      <c r="R7845">
        <v>0.15536939999999999</v>
      </c>
      <c r="S7845">
        <v>2.9491879999999999</v>
      </c>
      <c r="T7845">
        <v>-0.22881399999999999</v>
      </c>
      <c r="U7845">
        <v>0.50616459999999996</v>
      </c>
      <c r="V7845">
        <v>-0.16140280000000001</v>
      </c>
      <c r="W7845">
        <v>-7.9760670000000006E-2</v>
      </c>
      <c r="X7845">
        <v>0.98366019999999998</v>
      </c>
      <c r="Y7845">
        <v>-0.1746202</v>
      </c>
      <c r="Z7845">
        <v>8.3485409999999993E-3</v>
      </c>
      <c r="AA7845">
        <v>0.98460049999999999</v>
      </c>
      <c r="AB7845">
        <v>28</v>
      </c>
      <c r="AC7845">
        <v>14.290099999999899</v>
      </c>
      <c r="AD7845">
        <v>-1.1210468880769999</v>
      </c>
      <c r="AE7845">
        <v>2.4806599999999901</v>
      </c>
      <c r="AF7845">
        <v>-2.5535923043867301</v>
      </c>
      <c r="AG7845">
        <v>-1.1210468880769999</v>
      </c>
      <c r="AH7845">
        <v>14.189737572556799</v>
      </c>
      <c r="AI7845">
        <v>94.446088446762104</v>
      </c>
      <c r="AJ7845">
        <v>100.201781689892</v>
      </c>
      <c r="AK7845">
        <v>14.4611974663345</v>
      </c>
      <c r="AL7845">
        <v>94.574809137347998</v>
      </c>
      <c r="AM7845">
        <v>99.318279949399994</v>
      </c>
      <c r="AN7845">
        <v>1.00000000869536</v>
      </c>
    </row>
    <row r="7846" spans="1:40" x14ac:dyDescent="0.25">
      <c r="A7846" t="str">
        <f>"20190303155002233"</f>
        <v>20190303155002233</v>
      </c>
      <c r="B7846" t="str">
        <f>"1551599402227917"</f>
        <v>1551599402227917</v>
      </c>
      <c r="C7846" t="s">
        <v>40</v>
      </c>
      <c r="D7846">
        <v>4.9511469999999997</v>
      </c>
      <c r="E7846">
        <v>0.40885460000000001</v>
      </c>
      <c r="F7846" t="s">
        <v>64</v>
      </c>
      <c r="G7846">
        <v>-204.5224</v>
      </c>
      <c r="H7846" s="1">
        <v>-4.1220069999999996E-6</v>
      </c>
      <c r="I7846">
        <v>-57.120260000000002</v>
      </c>
      <c r="J7846">
        <v>-219.6001</v>
      </c>
      <c r="K7846">
        <v>1.121054</v>
      </c>
      <c r="L7846">
        <v>-62.7474699999999</v>
      </c>
      <c r="M7846">
        <v>0.99988100000000002</v>
      </c>
      <c r="N7846">
        <v>-1.4213109999999999E-2</v>
      </c>
      <c r="O7846">
        <v>-6.0168569999999996E-3</v>
      </c>
      <c r="P7846">
        <v>0.98224040000000001</v>
      </c>
      <c r="Q7846">
        <v>-9.4360780000000005E-2</v>
      </c>
      <c r="R7846">
        <v>0.16217239999999999</v>
      </c>
      <c r="S7846">
        <v>2.863388</v>
      </c>
      <c r="T7846">
        <v>-0.21078710000000001</v>
      </c>
      <c r="U7846">
        <v>1.057922</v>
      </c>
      <c r="V7846">
        <v>-0.1680432</v>
      </c>
      <c r="W7846">
        <v>-8.0482280000000003E-2</v>
      </c>
      <c r="X7846">
        <v>0.98248880000000005</v>
      </c>
      <c r="Y7846">
        <v>-0.35118059999999901</v>
      </c>
      <c r="Z7846">
        <v>1.542221E-2</v>
      </c>
      <c r="AA7846">
        <v>0.93618069999999998</v>
      </c>
      <c r="AB7846">
        <v>28</v>
      </c>
      <c r="AC7846">
        <v>15.077699999999901</v>
      </c>
      <c r="AD7846">
        <v>-1.1210581220069999</v>
      </c>
      <c r="AE7846">
        <v>5.6272099999999901</v>
      </c>
      <c r="AF7846">
        <v>-5.6902266580438603</v>
      </c>
      <c r="AG7846">
        <v>-1.1210581220069999</v>
      </c>
      <c r="AH7846">
        <v>14.970921309869601</v>
      </c>
      <c r="AI7846">
        <v>94.0039922673039</v>
      </c>
      <c r="AJ7846">
        <v>110.811060004213</v>
      </c>
      <c r="AK7846">
        <v>16.0550283587149</v>
      </c>
      <c r="AL7846">
        <v>94.616287372511096</v>
      </c>
      <c r="AM7846">
        <v>99.705853811084694</v>
      </c>
      <c r="AN7846">
        <v>1.00000007829283</v>
      </c>
    </row>
    <row r="7847" spans="1:40" x14ac:dyDescent="0.25">
      <c r="A7847" t="str">
        <f>"20190303155002243"</f>
        <v>20190303155002243</v>
      </c>
      <c r="B7847" t="str">
        <f>"1551599402238654"</f>
        <v>1551599402238654</v>
      </c>
      <c r="C7847" t="s">
        <v>40</v>
      </c>
      <c r="D7847">
        <v>4.8890919999999998</v>
      </c>
      <c r="E7847">
        <v>0.33980349999999998</v>
      </c>
      <c r="F7847" t="s">
        <v>64</v>
      </c>
      <c r="G7847">
        <v>-204.5675</v>
      </c>
      <c r="H7847" s="1">
        <v>-4.2643510000000003E-6</v>
      </c>
      <c r="I7847">
        <v>-56.374600000000001</v>
      </c>
      <c r="J7847">
        <v>-219.49039999999999</v>
      </c>
      <c r="K7847">
        <v>1.1210519999999999</v>
      </c>
      <c r="L7847">
        <v>-62.747990000000001</v>
      </c>
      <c r="M7847">
        <v>0.99988080000000001</v>
      </c>
      <c r="N7847">
        <v>-1.426841E-2</v>
      </c>
      <c r="O7847">
        <v>-5.9024100000000003E-3</v>
      </c>
      <c r="P7847">
        <v>0.98106000000000004</v>
      </c>
      <c r="Q7847">
        <v>-9.4780089999999997E-2</v>
      </c>
      <c r="R7847">
        <v>0.16893279999999999</v>
      </c>
      <c r="S7847">
        <v>2.835464</v>
      </c>
      <c r="T7847">
        <v>-0.21145510000000001</v>
      </c>
      <c r="U7847">
        <v>1.2020569999999999</v>
      </c>
      <c r="V7847">
        <v>-0.17468399999999901</v>
      </c>
      <c r="W7847">
        <v>-8.0868209999999996E-2</v>
      </c>
      <c r="X7847">
        <v>0.981298</v>
      </c>
      <c r="Y7847">
        <v>-0.39459719999999998</v>
      </c>
      <c r="Z7847">
        <v>1.7365249999999999E-2</v>
      </c>
      <c r="AA7847">
        <v>0.91869009999999995</v>
      </c>
      <c r="AB7847">
        <v>28</v>
      </c>
      <c r="AC7847">
        <v>14.922899999999901</v>
      </c>
      <c r="AD7847">
        <v>-1.121056264351</v>
      </c>
      <c r="AE7847">
        <v>6.3733899999999997</v>
      </c>
      <c r="AF7847">
        <v>-6.4306760155136198</v>
      </c>
      <c r="AG7847">
        <v>-1.121056264351</v>
      </c>
      <c r="AH7847">
        <v>14.814310568703601</v>
      </c>
      <c r="AI7847">
        <v>93.970869926900306</v>
      </c>
      <c r="AJ7847">
        <v>113.464961171401</v>
      </c>
      <c r="AK7847">
        <v>16.188704666845499</v>
      </c>
      <c r="AL7847">
        <v>94.638472364602407</v>
      </c>
      <c r="AM7847">
        <v>100.093673069997</v>
      </c>
      <c r="AN7847">
        <v>0.99999996602430097</v>
      </c>
    </row>
    <row r="7848" spans="1:40" x14ac:dyDescent="0.25">
      <c r="A7848" t="str">
        <f>"20190303155002252"</f>
        <v>20190303155002252</v>
      </c>
      <c r="B7848" t="str">
        <f>"1551599402248414"</f>
        <v>1551599402248414</v>
      </c>
      <c r="C7848" t="s">
        <v>40</v>
      </c>
      <c r="D7848">
        <v>4.9480899999999997</v>
      </c>
      <c r="E7848">
        <v>0.33498620000000001</v>
      </c>
      <c r="F7848" t="s">
        <v>42</v>
      </c>
      <c r="G7848">
        <v>-218.5797</v>
      </c>
      <c r="H7848">
        <v>1.0126679999999999</v>
      </c>
      <c r="I7848">
        <v>-62.156109999999998</v>
      </c>
      <c r="J7848">
        <v>-219.36879999999999</v>
      </c>
      <c r="K7848">
        <v>1.1210519999999999</v>
      </c>
      <c r="L7848">
        <v>-62.748539999999998</v>
      </c>
      <c r="M7848">
        <v>0.99988089999999996</v>
      </c>
      <c r="N7848">
        <v>-1.4324369999999999E-2</v>
      </c>
      <c r="O7848">
        <v>-5.7757140000000004E-3</v>
      </c>
      <c r="P7848">
        <v>0.97990189999999999</v>
      </c>
      <c r="Q7848">
        <v>-9.555429E-2</v>
      </c>
      <c r="R7848">
        <v>0.17510609999999999</v>
      </c>
      <c r="S7848">
        <v>2.722</v>
      </c>
      <c r="T7848">
        <v>-0.3239437</v>
      </c>
      <c r="U7848">
        <v>1.7689509999999999</v>
      </c>
      <c r="V7848">
        <v>-0.180725</v>
      </c>
      <c r="W7848">
        <v>-8.1607299999999994E-2</v>
      </c>
      <c r="X7848">
        <v>0.98014219999999996</v>
      </c>
      <c r="Y7848">
        <v>-0.54657670000000003</v>
      </c>
      <c r="Z7848">
        <v>3.4407220000000002E-2</v>
      </c>
      <c r="AA7848">
        <v>0.8367019</v>
      </c>
      <c r="AB7848">
        <v>28</v>
      </c>
      <c r="AC7848">
        <v>0.78909999999999003</v>
      </c>
      <c r="AD7848">
        <v>-0.108383999999999</v>
      </c>
      <c r="AE7848">
        <v>0.59243000000000701</v>
      </c>
      <c r="AF7848">
        <v>-0.58986153276270803</v>
      </c>
      <c r="AG7848">
        <v>-0.108383999999999</v>
      </c>
      <c r="AH7848">
        <v>0.77629875127965597</v>
      </c>
      <c r="AI7848">
        <v>96.343293738557904</v>
      </c>
      <c r="AJ7848">
        <v>127.228961287039</v>
      </c>
      <c r="AK7848">
        <v>0.98098087164201397</v>
      </c>
      <c r="AL7848">
        <v>94.680959354276098</v>
      </c>
      <c r="AM7848">
        <v>100.44722726608801</v>
      </c>
      <c r="AN7848">
        <v>1.0000000046295601</v>
      </c>
    </row>
    <row r="7849" spans="1:40" x14ac:dyDescent="0.25">
      <c r="A7849" t="str">
        <f>"20190303155002264"</f>
        <v>20190303155002264</v>
      </c>
      <c r="B7849" t="str">
        <f>"1551599402258174"</f>
        <v>1551599402258174</v>
      </c>
      <c r="C7849" t="s">
        <v>40</v>
      </c>
      <c r="D7849">
        <v>4.9983789999999999</v>
      </c>
      <c r="E7849">
        <v>0.33331159999999999</v>
      </c>
      <c r="F7849" t="s">
        <v>42</v>
      </c>
      <c r="G7849">
        <v>-218.56870000000001</v>
      </c>
      <c r="H7849">
        <v>1.0216499999999999</v>
      </c>
      <c r="I7849">
        <v>-62.20843</v>
      </c>
      <c r="J7849">
        <v>-219.2287</v>
      </c>
      <c r="K7849">
        <v>1.121051</v>
      </c>
      <c r="L7849">
        <v>-62.74915</v>
      </c>
      <c r="M7849">
        <v>0.99988089999999996</v>
      </c>
      <c r="N7849">
        <v>-1.4386380000000001E-2</v>
      </c>
      <c r="O7849">
        <v>-5.6299929999999998E-3</v>
      </c>
      <c r="P7849">
        <v>0.97874490000000003</v>
      </c>
      <c r="Q7849">
        <v>-9.6102649999999998E-2</v>
      </c>
      <c r="R7849">
        <v>0.18117150000000001</v>
      </c>
      <c r="S7849">
        <v>2.7027890000000001</v>
      </c>
      <c r="T7849">
        <v>-0.33576250000000002</v>
      </c>
      <c r="U7849">
        <v>1.8243100000000001</v>
      </c>
      <c r="V7849">
        <v>-0.186641</v>
      </c>
      <c r="W7849">
        <v>-8.2114489999999998E-2</v>
      </c>
      <c r="X7849">
        <v>0.97899049999999999</v>
      </c>
      <c r="Y7849">
        <v>-0.5606643</v>
      </c>
      <c r="Z7849">
        <v>3.6457419999999997E-2</v>
      </c>
      <c r="AA7849">
        <v>0.82724019999999998</v>
      </c>
      <c r="AB7849">
        <v>28</v>
      </c>
      <c r="AC7849">
        <v>0.65999999999999603</v>
      </c>
      <c r="AD7849">
        <v>-9.9401000000000003E-2</v>
      </c>
      <c r="AE7849">
        <v>0.54071999999999298</v>
      </c>
      <c r="AF7849">
        <v>-0.53713725635183096</v>
      </c>
      <c r="AG7849">
        <v>-9.9401000000000003E-2</v>
      </c>
      <c r="AH7849">
        <v>0.648147918537755</v>
      </c>
      <c r="AI7849">
        <v>96.734457962468795</v>
      </c>
      <c r="AJ7849">
        <v>129.649437507909</v>
      </c>
      <c r="AK7849">
        <v>0.84763949605182898</v>
      </c>
      <c r="AL7849">
        <v>94.710116961433101</v>
      </c>
      <c r="AM7849">
        <v>100.7937076071</v>
      </c>
      <c r="AN7849">
        <v>1.0000000257196</v>
      </c>
    </row>
    <row r="7850" spans="1:40" x14ac:dyDescent="0.25">
      <c r="A7850" t="str">
        <f>"20190303155002274"</f>
        <v>20190303155002274</v>
      </c>
      <c r="B7850" t="str">
        <f>"1551599402267935"</f>
        <v>1551599402267935</v>
      </c>
      <c r="C7850" t="s">
        <v>40</v>
      </c>
      <c r="D7850">
        <v>4.9564789999999999</v>
      </c>
      <c r="E7850">
        <v>0.33254109999999998</v>
      </c>
      <c r="F7850" t="s">
        <v>73</v>
      </c>
      <c r="G7850">
        <v>-210.3955</v>
      </c>
      <c r="H7850" s="1">
        <v>-9.9259859999999998E-8</v>
      </c>
      <c r="I7850">
        <v>-56.655830000000002</v>
      </c>
      <c r="J7850">
        <v>-219.08879999999999</v>
      </c>
      <c r="K7850">
        <v>1.121054</v>
      </c>
      <c r="L7850">
        <v>-62.749760000000002</v>
      </c>
      <c r="M7850">
        <v>0.99988069999999896</v>
      </c>
      <c r="N7850">
        <v>-1.44429E-2</v>
      </c>
      <c r="O7850">
        <v>-5.4859169999999999E-3</v>
      </c>
      <c r="P7850">
        <v>0.97759770000000001</v>
      </c>
      <c r="Q7850">
        <v>-9.6343760000000001E-2</v>
      </c>
      <c r="R7850">
        <v>0.18713869999999999</v>
      </c>
      <c r="S7850">
        <v>2.6883849999999998</v>
      </c>
      <c r="T7850">
        <v>-0.34119339999999998</v>
      </c>
      <c r="U7850">
        <v>1.854492</v>
      </c>
      <c r="V7850">
        <v>-0.19246079999999999</v>
      </c>
      <c r="W7850">
        <v>-8.2319470000000006E-2</v>
      </c>
      <c r="X7850">
        <v>0.97784579999999999</v>
      </c>
      <c r="Y7850">
        <v>-0.56873119999999999</v>
      </c>
      <c r="Z7850">
        <v>3.7566549999999997E-2</v>
      </c>
      <c r="AA7850">
        <v>0.82166510000000004</v>
      </c>
      <c r="AB7850">
        <v>28</v>
      </c>
      <c r="AC7850">
        <v>8.69329999999999</v>
      </c>
      <c r="AD7850">
        <v>-1.1210540992598601</v>
      </c>
      <c r="AE7850">
        <v>6.0939299999999896</v>
      </c>
      <c r="AF7850">
        <v>-6.0738082142780199</v>
      </c>
      <c r="AG7850">
        <v>-1.1210540992598601</v>
      </c>
      <c r="AH7850">
        <v>8.5642396586212506</v>
      </c>
      <c r="AI7850">
        <v>96.094562431904805</v>
      </c>
      <c r="AJ7850">
        <v>125.344485990039</v>
      </c>
      <c r="AK7850">
        <v>10.559077111547101</v>
      </c>
      <c r="AL7850">
        <v>94.721901318662404</v>
      </c>
      <c r="AM7850">
        <v>101.134700060265</v>
      </c>
      <c r="AN7850">
        <v>1.00000003162767</v>
      </c>
    </row>
    <row r="7851" spans="1:40" x14ac:dyDescent="0.25">
      <c r="A7851" t="str">
        <f>"20190303155002286"</f>
        <v>20190303155002286</v>
      </c>
      <c r="B7851" t="str">
        <f>"1551599402278671"</f>
        <v>1551599402278671</v>
      </c>
      <c r="C7851" t="s">
        <v>40</v>
      </c>
      <c r="D7851">
        <v>4.972791</v>
      </c>
      <c r="E7851">
        <v>0.33215670000000003</v>
      </c>
      <c r="F7851" t="s">
        <v>42</v>
      </c>
      <c r="G7851">
        <v>-218.31870000000001</v>
      </c>
      <c r="H7851">
        <v>1.0216750000000001</v>
      </c>
      <c r="I7851">
        <v>-62.209650000000003</v>
      </c>
      <c r="J7851">
        <v>-218.95419999999999</v>
      </c>
      <c r="K7851">
        <v>1.121049</v>
      </c>
      <c r="L7851">
        <v>-62.750309999999999</v>
      </c>
      <c r="M7851">
        <v>0.99988069999999896</v>
      </c>
      <c r="N7851">
        <v>-1.449377E-2</v>
      </c>
      <c r="O7851">
        <v>-5.3488370000000004E-3</v>
      </c>
      <c r="P7851">
        <v>0.97649430000000004</v>
      </c>
      <c r="Q7851">
        <v>-9.6263070000000006E-2</v>
      </c>
      <c r="R7851">
        <v>0.192853</v>
      </c>
      <c r="S7851">
        <v>2.67543</v>
      </c>
      <c r="T7851">
        <v>-0.34526420000000002</v>
      </c>
      <c r="U7851">
        <v>1.8769229999999999</v>
      </c>
      <c r="V7851">
        <v>-0.19803560000000001</v>
      </c>
      <c r="W7851">
        <v>-8.2207509999999998E-2</v>
      </c>
      <c r="X7851">
        <v>0.97674139999999998</v>
      </c>
      <c r="Y7851">
        <v>-0.57496169999999902</v>
      </c>
      <c r="Z7851">
        <v>3.8443869999999998E-2</v>
      </c>
      <c r="AA7851">
        <v>0.81727669999999997</v>
      </c>
      <c r="AB7851">
        <v>28</v>
      </c>
      <c r="AC7851">
        <v>0.63549999999997897</v>
      </c>
      <c r="AD7851">
        <v>-9.9373999999999796E-2</v>
      </c>
      <c r="AE7851">
        <v>0.54065999999999503</v>
      </c>
      <c r="AF7851">
        <v>-0.53644239400698601</v>
      </c>
      <c r="AG7851">
        <v>-9.9373999999999796E-2</v>
      </c>
      <c r="AH7851">
        <v>0.62375082189512698</v>
      </c>
      <c r="AI7851">
        <v>96.887393745764996</v>
      </c>
      <c r="AJ7851">
        <v>130.69641216796501</v>
      </c>
      <c r="AK7851">
        <v>0.82868010823163496</v>
      </c>
      <c r="AL7851">
        <v>94.715464967714297</v>
      </c>
      <c r="AM7851">
        <v>101.461427490104</v>
      </c>
      <c r="AN7851">
        <v>0.999999968020859</v>
      </c>
    </row>
    <row r="7852" spans="1:40" x14ac:dyDescent="0.25">
      <c r="A7852" t="str">
        <f>"20190303155002297"</f>
        <v>20190303155002297</v>
      </c>
      <c r="B7852" t="str">
        <f>"1551599402288430"</f>
        <v>1551599402288430</v>
      </c>
      <c r="C7852" t="s">
        <v>40</v>
      </c>
      <c r="D7852">
        <v>4.8761020000000004</v>
      </c>
      <c r="E7852">
        <v>0.33191510000000002</v>
      </c>
      <c r="F7852" t="s">
        <v>73</v>
      </c>
      <c r="G7852">
        <v>-210.422</v>
      </c>
      <c r="H7852" s="1">
        <v>-1.028537E-7</v>
      </c>
      <c r="I7852">
        <v>-56.676250000000003</v>
      </c>
      <c r="J7852">
        <v>-218.81450000000001</v>
      </c>
      <c r="K7852">
        <v>1.1210519999999999</v>
      </c>
      <c r="L7852">
        <v>-62.750889999999998</v>
      </c>
      <c r="M7852">
        <v>0.99988069999999896</v>
      </c>
      <c r="N7852">
        <v>-1.454312E-2</v>
      </c>
      <c r="O7852">
        <v>-5.2079350000000003E-3</v>
      </c>
      <c r="P7852">
        <v>0.97528740000000003</v>
      </c>
      <c r="Q7852">
        <v>-9.6217999999999998E-2</v>
      </c>
      <c r="R7852">
        <v>0.1988888</v>
      </c>
      <c r="S7852">
        <v>2.6632690000000001</v>
      </c>
      <c r="T7852">
        <v>-0.34992970000000001</v>
      </c>
      <c r="U7852">
        <v>1.895966</v>
      </c>
      <c r="V7852">
        <v>-0.20392769999999999</v>
      </c>
      <c r="W7852">
        <v>-8.2134310000000002E-2</v>
      </c>
      <c r="X7852">
        <v>0.97553440000000002</v>
      </c>
      <c r="Y7852">
        <v>-0.5803353</v>
      </c>
      <c r="Z7852">
        <v>3.9333970000000003E-2</v>
      </c>
      <c r="AA7852">
        <v>0.81342720000000002</v>
      </c>
      <c r="AB7852">
        <v>28</v>
      </c>
      <c r="AC7852">
        <v>8.3925000000000107</v>
      </c>
      <c r="AD7852">
        <v>-1.1210521028536999</v>
      </c>
      <c r="AE7852">
        <v>6.0746399999999996</v>
      </c>
      <c r="AF7852">
        <v>-6.0474618510385403</v>
      </c>
      <c r="AG7852">
        <v>-1.1210521028536999</v>
      </c>
      <c r="AH7852">
        <v>8.2639858851230006</v>
      </c>
      <c r="AI7852">
        <v>96.247505199960898</v>
      </c>
      <c r="AJ7852">
        <v>126.196110307531</v>
      </c>
      <c r="AK7852">
        <v>10.3015540267763</v>
      </c>
      <c r="AL7852">
        <v>94.711256729441999</v>
      </c>
      <c r="AM7852">
        <v>101.807200163415</v>
      </c>
      <c r="AN7852">
        <v>0.99999995864491198</v>
      </c>
    </row>
    <row r="7853" spans="1:40" x14ac:dyDescent="0.25">
      <c r="A7853" t="str">
        <f>"20190303155002309"</f>
        <v>20190303155002309</v>
      </c>
      <c r="B7853" t="str">
        <f>"1551599402299168"</f>
        <v>1551599402299168</v>
      </c>
      <c r="C7853" t="s">
        <v>40</v>
      </c>
      <c r="D7853">
        <v>5.2010480000000001</v>
      </c>
      <c r="E7853">
        <v>0.33402320000000002</v>
      </c>
      <c r="F7853" t="s">
        <v>42</v>
      </c>
      <c r="G7853">
        <v>-218.06880000000001</v>
      </c>
      <c r="H7853">
        <v>1.0224719999999901</v>
      </c>
      <c r="I7853">
        <v>-62.212409999999998</v>
      </c>
      <c r="J7853">
        <v>-218.6662</v>
      </c>
      <c r="K7853">
        <v>1.121054</v>
      </c>
      <c r="L7853">
        <v>-62.751429999999999</v>
      </c>
      <c r="M7853">
        <v>0.99988069999999896</v>
      </c>
      <c r="N7853">
        <v>-1.459063E-2</v>
      </c>
      <c r="O7853">
        <v>-5.0603469999999998E-3</v>
      </c>
      <c r="P7853">
        <v>0.97404449999999998</v>
      </c>
      <c r="Q7853">
        <v>-9.5749189999999998E-2</v>
      </c>
      <c r="R7853">
        <v>0.20510800000000001</v>
      </c>
      <c r="S7853">
        <v>2.6510929999999999</v>
      </c>
      <c r="T7853">
        <v>-0.35043950000000001</v>
      </c>
      <c r="U7853">
        <v>1.9142760000000001</v>
      </c>
      <c r="V7853">
        <v>-0.20999670000000001</v>
      </c>
      <c r="W7853">
        <v>-8.1639920000000005E-2</v>
      </c>
      <c r="X7853">
        <v>0.97428760000000003</v>
      </c>
      <c r="Y7853">
        <v>-0.58561219999999903</v>
      </c>
      <c r="Z7853">
        <v>3.9814889999999999E-2</v>
      </c>
      <c r="AA7853">
        <v>0.80961289999999997</v>
      </c>
      <c r="AB7853">
        <v>28</v>
      </c>
      <c r="AC7853">
        <v>0.59739999999999305</v>
      </c>
      <c r="AD7853">
        <v>-9.85820000000001E-2</v>
      </c>
      <c r="AE7853">
        <v>0.53902000000000705</v>
      </c>
      <c r="AF7853">
        <v>-0.53402041433372205</v>
      </c>
      <c r="AG7853">
        <v>-9.85820000000001E-2</v>
      </c>
      <c r="AH7853">
        <v>0.58587007154930704</v>
      </c>
      <c r="AI7853">
        <v>97.088769063987598</v>
      </c>
      <c r="AJ7853">
        <v>132.34916351701199</v>
      </c>
      <c r="AK7853">
        <v>0.79883662559145996</v>
      </c>
      <c r="AL7853">
        <v>94.682834579207906</v>
      </c>
      <c r="AM7853">
        <v>102.16337940127001</v>
      </c>
      <c r="AN7853">
        <v>1.0000000090311201</v>
      </c>
    </row>
    <row r="7854" spans="1:40" x14ac:dyDescent="0.25">
      <c r="A7854" t="str">
        <f>"20190303155002322"</f>
        <v>20190303155002322</v>
      </c>
      <c r="B7854" t="str">
        <f>"1551599402308926"</f>
        <v>1551599402308926</v>
      </c>
      <c r="C7854" t="s">
        <v>40</v>
      </c>
      <c r="D7854">
        <v>5.1877040000000001</v>
      </c>
      <c r="E7854">
        <v>0.33597539999999998</v>
      </c>
      <c r="F7854" t="s">
        <v>73</v>
      </c>
      <c r="G7854">
        <v>-210.17330000000001</v>
      </c>
      <c r="H7854" s="1">
        <v>-3.8987539999999997E-8</v>
      </c>
      <c r="I7854">
        <v>-56.598210000000002</v>
      </c>
      <c r="J7854">
        <v>-218.49969999999999</v>
      </c>
      <c r="K7854">
        <v>1.1210629999999999</v>
      </c>
      <c r="L7854">
        <v>-62.752079999999999</v>
      </c>
      <c r="M7854">
        <v>0.99988089999999996</v>
      </c>
      <c r="N7854">
        <v>-1.464087E-2</v>
      </c>
      <c r="O7854">
        <v>-4.8960920000000003E-3</v>
      </c>
      <c r="P7854">
        <v>0.97277290000000005</v>
      </c>
      <c r="Q7854">
        <v>-9.5323669999999999E-2</v>
      </c>
      <c r="R7854">
        <v>0.2112494</v>
      </c>
      <c r="S7854">
        <v>2.6425019999999999</v>
      </c>
      <c r="T7854">
        <v>-0.34880919999999999</v>
      </c>
      <c r="U7854">
        <v>1.91452</v>
      </c>
      <c r="V7854">
        <v>-0.2159729</v>
      </c>
      <c r="W7854">
        <v>-8.1186469999999997E-2</v>
      </c>
      <c r="X7854">
        <v>0.97301819999999895</v>
      </c>
      <c r="Y7854">
        <v>-0.58678249999999998</v>
      </c>
      <c r="Z7854">
        <v>3.9822860000000002E-2</v>
      </c>
      <c r="AA7854">
        <v>0.80876479999999995</v>
      </c>
      <c r="AB7854">
        <v>28</v>
      </c>
      <c r="AC7854">
        <v>8.3263999999999694</v>
      </c>
      <c r="AD7854">
        <v>-1.12106303898754</v>
      </c>
      <c r="AE7854">
        <v>6.1538700000000102</v>
      </c>
      <c r="AF7854">
        <v>-6.1227849864263701</v>
      </c>
      <c r="AG7854">
        <v>-1.12106303898754</v>
      </c>
      <c r="AH7854">
        <v>8.2000313509445295</v>
      </c>
      <c r="AI7854">
        <v>96.2515960774289</v>
      </c>
      <c r="AJ7854">
        <v>126.747896737861</v>
      </c>
      <c r="AK7854">
        <v>10.2949401398874</v>
      </c>
      <c r="AL7854">
        <v>94.656767425461197</v>
      </c>
      <c r="AM7854">
        <v>102.51458962176</v>
      </c>
      <c r="AN7854">
        <v>0.99999997698835497</v>
      </c>
    </row>
    <row r="7855" spans="1:40" x14ac:dyDescent="0.25">
      <c r="A7855" t="str">
        <f>"20190303155002336"</f>
        <v>20190303155002336</v>
      </c>
      <c r="B7855" t="str">
        <f>"1551599402328447"</f>
        <v>1551599402328447</v>
      </c>
      <c r="C7855" t="s">
        <v>40</v>
      </c>
      <c r="D7855">
        <v>5.1672529999999997</v>
      </c>
      <c r="E7855">
        <v>0.3397251</v>
      </c>
      <c r="F7855" t="s">
        <v>43</v>
      </c>
      <c r="G7855">
        <v>-209.63339999999999</v>
      </c>
      <c r="H7855">
        <v>-0.05</v>
      </c>
      <c r="I7855">
        <v>-56.303240000000002</v>
      </c>
      <c r="J7855">
        <v>-218.32060000000001</v>
      </c>
      <c r="K7855">
        <v>1.1210690000000001</v>
      </c>
      <c r="L7855">
        <v>-62.752719999999997</v>
      </c>
      <c r="M7855">
        <v>0.99988109999999997</v>
      </c>
      <c r="N7855">
        <v>-1.468885E-2</v>
      </c>
      <c r="O7855">
        <v>-4.7215729999999997E-3</v>
      </c>
      <c r="P7855">
        <v>0.97153590000000001</v>
      </c>
      <c r="Q7855">
        <v>-9.4390180000000004E-2</v>
      </c>
      <c r="R7855">
        <v>0.21727569999999999</v>
      </c>
      <c r="S7855">
        <v>2.6338499999999998</v>
      </c>
      <c r="T7855">
        <v>-0.34787889999999999</v>
      </c>
      <c r="U7855">
        <v>1.91571</v>
      </c>
      <c r="V7855">
        <v>-0.22182399999999999</v>
      </c>
      <c r="W7855">
        <v>-8.0226710000000007E-2</v>
      </c>
      <c r="X7855">
        <v>0.97178070000000005</v>
      </c>
      <c r="Y7855">
        <v>-0.58813260000000001</v>
      </c>
      <c r="Z7855">
        <v>3.990871E-2</v>
      </c>
      <c r="AA7855">
        <v>0.80777929999999998</v>
      </c>
      <c r="AB7855">
        <v>28</v>
      </c>
      <c r="AC7855">
        <v>8.6872000000000096</v>
      </c>
      <c r="AD7855">
        <v>-1.1710689999999999</v>
      </c>
      <c r="AE7855">
        <v>6.4494799999999897</v>
      </c>
      <c r="AF7855">
        <v>-6.4152744509097399</v>
      </c>
      <c r="AG7855">
        <v>-1.1710689999999999</v>
      </c>
      <c r="AH7855">
        <v>8.5564093415431106</v>
      </c>
      <c r="AI7855">
        <v>96.249224483214206</v>
      </c>
      <c r="AJ7855">
        <v>126.861185945445</v>
      </c>
      <c r="AK7855">
        <v>10.758219634461</v>
      </c>
      <c r="AL7855">
        <v>94.601597284429801</v>
      </c>
      <c r="AM7855">
        <v>102.858341925175</v>
      </c>
      <c r="AN7855">
        <v>0.99999997043295596</v>
      </c>
    </row>
    <row r="7856" spans="1:40" x14ac:dyDescent="0.25">
      <c r="A7856" t="str">
        <f>"20190303155002348"</f>
        <v>20190303155002348</v>
      </c>
      <c r="B7856" t="str">
        <f>"1551599402338715"</f>
        <v>1551599402338715</v>
      </c>
      <c r="C7856" t="s">
        <v>40</v>
      </c>
      <c r="D7856">
        <v>5.1677150000000003</v>
      </c>
      <c r="E7856">
        <v>0.34097840000000001</v>
      </c>
      <c r="F7856" t="s">
        <v>42</v>
      </c>
      <c r="G7856">
        <v>-217.5718</v>
      </c>
      <c r="H7856">
        <v>1.022356</v>
      </c>
      <c r="I7856">
        <v>-62.210850000000001</v>
      </c>
      <c r="J7856">
        <v>-218.1823</v>
      </c>
      <c r="K7856">
        <v>1.121076</v>
      </c>
      <c r="L7856">
        <v>-62.753169999999997</v>
      </c>
      <c r="M7856">
        <v>0.99988109999999997</v>
      </c>
      <c r="N7856">
        <v>-1.4722560000000001E-2</v>
      </c>
      <c r="O7856">
        <v>-4.5873620000000002E-3</v>
      </c>
      <c r="P7856">
        <v>0.97028740000000002</v>
      </c>
      <c r="Q7856">
        <v>-9.2956159999999996E-2</v>
      </c>
      <c r="R7856">
        <v>0.22338669999999999</v>
      </c>
      <c r="S7856">
        <v>2.628647</v>
      </c>
      <c r="T7856">
        <v>-0.34657100000000002</v>
      </c>
      <c r="U7856">
        <v>1.902863</v>
      </c>
      <c r="V7856">
        <v>-0.22779969999999999</v>
      </c>
      <c r="W7856">
        <v>-7.8780870000000003E-2</v>
      </c>
      <c r="X7856">
        <v>0.97051580000000004</v>
      </c>
      <c r="Y7856">
        <v>-0.58621590000000001</v>
      </c>
      <c r="Z7856">
        <v>3.9742619999999999E-2</v>
      </c>
      <c r="AA7856">
        <v>0.80917950000000005</v>
      </c>
      <c r="AB7856">
        <v>28</v>
      </c>
      <c r="AC7856">
        <v>0.61050000000000104</v>
      </c>
      <c r="AD7856">
        <v>-9.8719999999999905E-2</v>
      </c>
      <c r="AE7856">
        <v>0.54231999999999603</v>
      </c>
      <c r="AF7856">
        <v>-0.53726304400217995</v>
      </c>
      <c r="AG7856">
        <v>-9.8719999999999905E-2</v>
      </c>
      <c r="AH7856">
        <v>0.59924744429875099</v>
      </c>
      <c r="AI7856">
        <v>96.992949700725703</v>
      </c>
      <c r="AJ7856">
        <v>131.87822545312201</v>
      </c>
      <c r="AK7856">
        <v>0.81086047896606295</v>
      </c>
      <c r="AL7856">
        <v>94.518493445627996</v>
      </c>
      <c r="AM7856">
        <v>103.209359973114</v>
      </c>
      <c r="AN7856">
        <v>1.00000002342384</v>
      </c>
    </row>
    <row r="7857" spans="1:40" x14ac:dyDescent="0.25">
      <c r="A7857" t="str">
        <f>"20190303155002360"</f>
        <v>20190303155002360</v>
      </c>
      <c r="B7857" t="str">
        <f>"1551599402348984"</f>
        <v>1551599402348984</v>
      </c>
      <c r="C7857" t="s">
        <v>40</v>
      </c>
      <c r="D7857">
        <v>5.2114949999999904</v>
      </c>
      <c r="E7857">
        <v>0.34231590000000001</v>
      </c>
      <c r="F7857" t="s">
        <v>64</v>
      </c>
      <c r="G7857">
        <v>-209.62899999999999</v>
      </c>
      <c r="H7857" s="1">
        <v>-1.2359769999999999E-6</v>
      </c>
      <c r="I7857">
        <v>-56.517890000000001</v>
      </c>
      <c r="J7857">
        <v>-218.02709999999999</v>
      </c>
      <c r="K7857">
        <v>1.1210830000000001</v>
      </c>
      <c r="L7857">
        <v>-62.753689999999999</v>
      </c>
      <c r="M7857">
        <v>0.99988129999999997</v>
      </c>
      <c r="N7857">
        <v>-1.475858E-2</v>
      </c>
      <c r="O7857">
        <v>-4.437196E-3</v>
      </c>
      <c r="P7857">
        <v>0.96906630000000005</v>
      </c>
      <c r="Q7857">
        <v>-9.1048799999999999E-2</v>
      </c>
      <c r="R7857">
        <v>0.22939190000000001</v>
      </c>
      <c r="S7857">
        <v>2.61937</v>
      </c>
      <c r="T7857">
        <v>-0.34332279999999998</v>
      </c>
      <c r="U7857">
        <v>1.9095150000000001</v>
      </c>
      <c r="V7857">
        <v>-0.2336548</v>
      </c>
      <c r="W7857">
        <v>-7.6858979999999993E-2</v>
      </c>
      <c r="X7857">
        <v>0.9692771</v>
      </c>
      <c r="Y7857">
        <v>-0.58883030000000003</v>
      </c>
      <c r="Z7857">
        <v>3.9667389999999997E-2</v>
      </c>
      <c r="AA7857">
        <v>0.80728269999999902</v>
      </c>
      <c r="AB7857">
        <v>28</v>
      </c>
      <c r="AC7857">
        <v>8.3980999999999693</v>
      </c>
      <c r="AD7857">
        <v>-1.1210842359769999</v>
      </c>
      <c r="AE7857">
        <v>6.2357999999999896</v>
      </c>
      <c r="AF7857">
        <v>-6.2017670046579099</v>
      </c>
      <c r="AG7857">
        <v>-1.1210842359769999</v>
      </c>
      <c r="AH7857">
        <v>8.2752866519652795</v>
      </c>
      <c r="AI7857">
        <v>96.187189516027502</v>
      </c>
      <c r="AJ7857">
        <v>126.84907435017701</v>
      </c>
      <c r="AK7857">
        <v>10.4018802635107</v>
      </c>
      <c r="AL7857">
        <v>94.408042475331996</v>
      </c>
      <c r="AM7857">
        <v>103.553193423008</v>
      </c>
      <c r="AN7857">
        <v>0.99999998247704502</v>
      </c>
    </row>
    <row r="7858" spans="1:40" x14ac:dyDescent="0.25">
      <c r="A7858" t="str">
        <f>"20190303155002373"</f>
        <v>20190303155002373</v>
      </c>
      <c r="B7858" t="str">
        <f>"1551599402369097"</f>
        <v>1551599402369097</v>
      </c>
      <c r="C7858" t="s">
        <v>40</v>
      </c>
      <c r="D7858">
        <v>5.2682060000000002</v>
      </c>
      <c r="E7858">
        <v>0.34506360000000003</v>
      </c>
      <c r="F7858" t="s">
        <v>64</v>
      </c>
      <c r="G7858">
        <v>-209.41749999999999</v>
      </c>
      <c r="H7858" s="1">
        <v>-1.391732E-6</v>
      </c>
      <c r="I7858">
        <v>-56.437910000000002</v>
      </c>
      <c r="J7858">
        <v>-217.85749999999999</v>
      </c>
      <c r="K7858">
        <v>1.121094</v>
      </c>
      <c r="L7858">
        <v>-62.75421</v>
      </c>
      <c r="M7858">
        <v>0.99988140000000003</v>
      </c>
      <c r="N7858">
        <v>-1.4792700000000001E-2</v>
      </c>
      <c r="O7858">
        <v>-4.2734299999999999E-3</v>
      </c>
      <c r="P7858">
        <v>0.96789590000000003</v>
      </c>
      <c r="Q7858">
        <v>-8.8697979999999996E-2</v>
      </c>
      <c r="R7858">
        <v>0.23518120000000001</v>
      </c>
      <c r="S7858">
        <v>2.610519</v>
      </c>
      <c r="T7858">
        <v>-0.33992430000000001</v>
      </c>
      <c r="U7858">
        <v>1.915009</v>
      </c>
      <c r="V7858">
        <v>-0.2392822</v>
      </c>
      <c r="W7858">
        <v>-7.4494550000000007E-2</v>
      </c>
      <c r="X7858">
        <v>0.96808810000000001</v>
      </c>
      <c r="Y7858">
        <v>-0.59114339999999999</v>
      </c>
      <c r="Z7858">
        <v>3.9550729999999999E-2</v>
      </c>
      <c r="AA7858">
        <v>0.80559619999999998</v>
      </c>
      <c r="AB7858">
        <v>28</v>
      </c>
      <c r="AC7858">
        <v>8.4399999999999906</v>
      </c>
      <c r="AD7858">
        <v>-1.1210953917319999</v>
      </c>
      <c r="AE7858">
        <v>6.3163</v>
      </c>
      <c r="AF7858">
        <v>-6.2812737587472398</v>
      </c>
      <c r="AG7858">
        <v>-1.1210953917319999</v>
      </c>
      <c r="AH7858">
        <v>8.3188428470982902</v>
      </c>
      <c r="AI7858">
        <v>96.138596326054795</v>
      </c>
      <c r="AJ7858">
        <v>127.055205868908</v>
      </c>
      <c r="AK7858">
        <v>10.4840069259996</v>
      </c>
      <c r="AL7858">
        <v>94.272180955416204</v>
      </c>
      <c r="AM7858">
        <v>103.883525580643</v>
      </c>
      <c r="AN7858">
        <v>0.99999998928907596</v>
      </c>
    </row>
    <row r="7859" spans="1:40" x14ac:dyDescent="0.25">
      <c r="A7859" t="str">
        <f>"20190303155002387"</f>
        <v>20190303155002387</v>
      </c>
      <c r="B7859" t="str">
        <f>"1551599402378857"</f>
        <v>1551599402378857</v>
      </c>
      <c r="C7859" t="s">
        <v>40</v>
      </c>
      <c r="D7859">
        <v>5.1985109999999999</v>
      </c>
      <c r="E7859">
        <v>0.34506360000000003</v>
      </c>
      <c r="F7859" t="s">
        <v>42</v>
      </c>
      <c r="G7859">
        <v>-217.08170000000001</v>
      </c>
      <c r="H7859">
        <v>1.0197309999999999</v>
      </c>
      <c r="I7859">
        <v>-62.185459999999999</v>
      </c>
      <c r="J7859">
        <v>-217.69319999999999</v>
      </c>
      <c r="K7859">
        <v>1.121122</v>
      </c>
      <c r="L7859">
        <v>-62.754669999999997</v>
      </c>
      <c r="M7859">
        <v>0.99988169999999998</v>
      </c>
      <c r="N7859">
        <v>-1.4823350000000001E-2</v>
      </c>
      <c r="O7859">
        <v>-4.1148850000000004E-3</v>
      </c>
      <c r="P7859">
        <v>0.96551529999999997</v>
      </c>
      <c r="Q7859">
        <v>-8.461842E-2</v>
      </c>
      <c r="R7859">
        <v>0.2462114</v>
      </c>
      <c r="S7859">
        <v>2.6044770000000002</v>
      </c>
      <c r="T7859">
        <v>-0.3402792</v>
      </c>
      <c r="U7859">
        <v>1.909027</v>
      </c>
      <c r="V7859">
        <v>-0.25015090000000001</v>
      </c>
      <c r="W7859">
        <v>-7.042561E-2</v>
      </c>
      <c r="X7859">
        <v>0.96564220000000001</v>
      </c>
      <c r="Y7859">
        <v>-0.59068199999999904</v>
      </c>
      <c r="Z7859">
        <v>3.9634879999999997E-2</v>
      </c>
      <c r="AA7859">
        <v>0.80593040000000005</v>
      </c>
      <c r="AB7859">
        <v>28</v>
      </c>
      <c r="AC7859">
        <v>0.61149999999997795</v>
      </c>
      <c r="AD7859">
        <v>-0.101391</v>
      </c>
      <c r="AE7859">
        <v>0.569209999999998</v>
      </c>
      <c r="AF7859">
        <v>-0.56342281933364602</v>
      </c>
      <c r="AG7859">
        <v>-0.101391</v>
      </c>
      <c r="AH7859">
        <v>0.60031011336891105</v>
      </c>
      <c r="AI7859">
        <v>97.020763864569403</v>
      </c>
      <c r="AJ7859">
        <v>133.18448132800299</v>
      </c>
      <c r="AK7859">
        <v>0.829516510046587</v>
      </c>
      <c r="AL7859">
        <v>94.038433009116304</v>
      </c>
      <c r="AM7859">
        <v>104.523291592454</v>
      </c>
      <c r="AN7859">
        <v>1.0000000488677601</v>
      </c>
    </row>
    <row r="7860" spans="1:40" x14ac:dyDescent="0.25">
      <c r="A7860" t="str">
        <f>"20190303155002402"</f>
        <v>20190303155002402</v>
      </c>
      <c r="B7860" t="str">
        <f>"1551599402398377"</f>
        <v>1551599402398377</v>
      </c>
      <c r="C7860" t="s">
        <v>40</v>
      </c>
      <c r="D7860">
        <v>5.1637740000000001</v>
      </c>
      <c r="E7860">
        <v>0.36696519999999999</v>
      </c>
      <c r="F7860" t="s">
        <v>64</v>
      </c>
      <c r="G7860">
        <v>-209.0934</v>
      </c>
      <c r="H7860" s="1">
        <v>-1.6335929999999999E-6</v>
      </c>
      <c r="I7860">
        <v>-56.303100000000001</v>
      </c>
      <c r="J7860">
        <v>-217.51419999999999</v>
      </c>
      <c r="K7860">
        <v>1.1211329999999999</v>
      </c>
      <c r="L7860">
        <v>-62.755159999999997</v>
      </c>
      <c r="M7860">
        <v>0.9998821</v>
      </c>
      <c r="N7860">
        <v>-1.485394E-2</v>
      </c>
      <c r="O7860">
        <v>-3.9417979999999998E-3</v>
      </c>
      <c r="P7860">
        <v>0.96420539999999999</v>
      </c>
      <c r="Q7860">
        <v>-8.297243E-2</v>
      </c>
      <c r="R7860">
        <v>0.25184069999999997</v>
      </c>
      <c r="S7860">
        <v>2.5834199999999998</v>
      </c>
      <c r="T7860">
        <v>-0.3367906</v>
      </c>
      <c r="U7860">
        <v>1.93808</v>
      </c>
      <c r="V7860">
        <v>-0.25560890000000003</v>
      </c>
      <c r="W7860">
        <v>-6.8771379999999993E-2</v>
      </c>
      <c r="X7860">
        <v>0.96433120000000006</v>
      </c>
      <c r="Y7860">
        <v>-0.59945630000000005</v>
      </c>
      <c r="Z7860">
        <v>3.9991640000000002E-2</v>
      </c>
      <c r="AA7860">
        <v>0.7994078</v>
      </c>
      <c r="AB7860">
        <v>28</v>
      </c>
      <c r="AC7860">
        <v>8.4207999999999803</v>
      </c>
      <c r="AD7860">
        <v>-1.1211346335929999</v>
      </c>
      <c r="AE7860">
        <v>6.4520599999999897</v>
      </c>
      <c r="AF7860">
        <v>-6.4135736741152201</v>
      </c>
      <c r="AG7860">
        <v>-1.1211346335929999</v>
      </c>
      <c r="AH7860">
        <v>8.3025680095347898</v>
      </c>
      <c r="AI7860">
        <v>96.099688143354896</v>
      </c>
      <c r="AJ7860">
        <v>127.685394230117</v>
      </c>
      <c r="AK7860">
        <v>10.5509954835027</v>
      </c>
      <c r="AL7860">
        <v>93.943422255666306</v>
      </c>
      <c r="AM7860">
        <v>104.84562083340499</v>
      </c>
      <c r="AN7860">
        <v>1.0000000378798699</v>
      </c>
    </row>
    <row r="7861" spans="1:40" x14ac:dyDescent="0.25">
      <c r="A7861" t="str">
        <f>"20190303155002415"</f>
        <v>20190303155002415</v>
      </c>
      <c r="B7861" t="str">
        <f>"1551599402409112"</f>
        <v>1551599402409112</v>
      </c>
      <c r="C7861" t="s">
        <v>40</v>
      </c>
      <c r="D7861">
        <v>5.1637190000000004</v>
      </c>
      <c r="E7861">
        <v>0.3681526</v>
      </c>
      <c r="F7861" t="s">
        <v>64</v>
      </c>
      <c r="G7861">
        <v>-208.4579</v>
      </c>
      <c r="H7861" s="1">
        <v>-1.9625319999999999E-6</v>
      </c>
      <c r="I7861">
        <v>-56.584899999999998</v>
      </c>
      <c r="J7861">
        <v>-217.3476</v>
      </c>
      <c r="K7861">
        <v>1.121146</v>
      </c>
      <c r="L7861">
        <v>-62.755619999999901</v>
      </c>
      <c r="M7861">
        <v>0.99988220000000005</v>
      </c>
      <c r="N7861">
        <v>-1.48787999999999E-2</v>
      </c>
      <c r="O7861">
        <v>-3.7791439999999999E-3</v>
      </c>
      <c r="P7861">
        <v>0.96284800000000004</v>
      </c>
      <c r="Q7861">
        <v>-8.1423239999999994E-2</v>
      </c>
      <c r="R7861">
        <v>0.25747629999999999</v>
      </c>
      <c r="S7861">
        <v>2.617661</v>
      </c>
      <c r="T7861">
        <v>-0.32405729999999999</v>
      </c>
      <c r="U7861">
        <v>1.7834779999999999</v>
      </c>
      <c r="V7861">
        <v>-0.26108330000000002</v>
      </c>
      <c r="W7861">
        <v>-6.7220810000000006E-2</v>
      </c>
      <c r="X7861">
        <v>0.96297290000000002</v>
      </c>
      <c r="Y7861">
        <v>-0.56274729999999995</v>
      </c>
      <c r="Z7861">
        <v>3.6401629999999997E-2</v>
      </c>
      <c r="AA7861">
        <v>0.82582710000000004</v>
      </c>
      <c r="AB7861">
        <v>28</v>
      </c>
      <c r="AC7861">
        <v>8.8896999999999995</v>
      </c>
      <c r="AD7861">
        <v>-1.121147962532</v>
      </c>
      <c r="AE7861">
        <v>6.1707199999999904</v>
      </c>
      <c r="AF7861">
        <v>-6.1383870941123098</v>
      </c>
      <c r="AG7861">
        <v>-1.121147962532</v>
      </c>
      <c r="AH7861">
        <v>8.7721556259555804</v>
      </c>
      <c r="AI7861">
        <v>95.977994833460301</v>
      </c>
      <c r="AJ7861">
        <v>124.982717844836</v>
      </c>
      <c r="AK7861">
        <v>10.765104885556701</v>
      </c>
      <c r="AL7861">
        <v>93.854375316733496</v>
      </c>
      <c r="AM7861">
        <v>105.16948498612901</v>
      </c>
      <c r="AN7861">
        <v>0.99999996648517697</v>
      </c>
    </row>
    <row r="7862" spans="1:40" x14ac:dyDescent="0.25">
      <c r="A7862" t="str">
        <f>"20190303155002428"</f>
        <v>20190303155002428</v>
      </c>
      <c r="B7862" t="str">
        <f>"1551599402418873"</f>
        <v>1551599402418873</v>
      </c>
      <c r="C7862" t="s">
        <v>40</v>
      </c>
      <c r="D7862">
        <v>5.0958579999999998</v>
      </c>
      <c r="E7862">
        <v>0.36767929999999999</v>
      </c>
      <c r="F7862" t="s">
        <v>42</v>
      </c>
      <c r="G7862">
        <v>-216.5789</v>
      </c>
      <c r="H7862">
        <v>1.0263139999999999</v>
      </c>
      <c r="I7862">
        <v>-62.228580000000001</v>
      </c>
      <c r="J7862">
        <v>-217.20150000000001</v>
      </c>
      <c r="K7862">
        <v>1.1211610000000001</v>
      </c>
      <c r="L7862">
        <v>-62.755949999999999</v>
      </c>
      <c r="M7862">
        <v>0.99988239999999995</v>
      </c>
      <c r="N7862">
        <v>-1.489876E-2</v>
      </c>
      <c r="O7862">
        <v>-3.6349189999999999E-3</v>
      </c>
      <c r="P7862">
        <v>0.96155740000000001</v>
      </c>
      <c r="Q7862">
        <v>-7.9986180000000004E-2</v>
      </c>
      <c r="R7862">
        <v>0.2626965</v>
      </c>
      <c r="S7862">
        <v>2.610001</v>
      </c>
      <c r="T7862">
        <v>-0.32197439999999999</v>
      </c>
      <c r="U7862">
        <v>1.7894289999999999</v>
      </c>
      <c r="V7862">
        <v>-0.26616079999999998</v>
      </c>
      <c r="W7862">
        <v>-6.5786419999999998E-2</v>
      </c>
      <c r="X7862">
        <v>0.96168109999999996</v>
      </c>
      <c r="Y7862">
        <v>-0.56505119999999998</v>
      </c>
      <c r="Z7862">
        <v>3.6399050000000002E-2</v>
      </c>
      <c r="AA7862">
        <v>0.82425249999999906</v>
      </c>
      <c r="AB7862">
        <v>28</v>
      </c>
      <c r="AC7862">
        <v>0.62260000000000504</v>
      </c>
      <c r="AD7862">
        <v>-9.4847000000000098E-2</v>
      </c>
      <c r="AE7862">
        <v>0.52736999999999001</v>
      </c>
      <c r="AF7862">
        <v>-0.52256865168612998</v>
      </c>
      <c r="AG7862">
        <v>-9.4847000000000098E-2</v>
      </c>
      <c r="AH7862">
        <v>0.61240361457289905</v>
      </c>
      <c r="AI7862">
        <v>96.719275126577301</v>
      </c>
      <c r="AJ7862">
        <v>130.474377983403</v>
      </c>
      <c r="AK7862">
        <v>0.81062453471136198</v>
      </c>
      <c r="AL7862">
        <v>93.772008412600499</v>
      </c>
      <c r="AM7862">
        <v>105.470288326531</v>
      </c>
      <c r="AN7862">
        <v>0.99999998130513201</v>
      </c>
    </row>
    <row r="7863" spans="1:40" x14ac:dyDescent="0.25">
      <c r="A7863" t="str">
        <f>"20190303155002442"</f>
        <v>20190303155002442</v>
      </c>
      <c r="B7863" t="str">
        <f>"1551599402438393"</f>
        <v>1551599402438393</v>
      </c>
      <c r="C7863" t="s">
        <v>40</v>
      </c>
      <c r="D7863">
        <v>5.104508</v>
      </c>
      <c r="E7863">
        <v>0.36761270000000001</v>
      </c>
      <c r="F7863" t="s">
        <v>42</v>
      </c>
      <c r="G7863">
        <v>-216.3467</v>
      </c>
      <c r="H7863">
        <v>1.0179469999999999</v>
      </c>
      <c r="I7863">
        <v>-62.162059999999997</v>
      </c>
      <c r="J7863">
        <v>-217.0213</v>
      </c>
      <c r="K7863">
        <v>1.1211719999999901</v>
      </c>
      <c r="L7863">
        <v>-62.75638</v>
      </c>
      <c r="M7863">
        <v>0.99988270000000001</v>
      </c>
      <c r="N7863">
        <v>-1.49214E-2</v>
      </c>
      <c r="O7863">
        <v>-3.4545750000000001E-3</v>
      </c>
      <c r="P7863">
        <v>0.96020830000000001</v>
      </c>
      <c r="Q7863">
        <v>-7.8635739999999996E-2</v>
      </c>
      <c r="R7863">
        <v>0.2679859</v>
      </c>
      <c r="S7863">
        <v>2.6001280000000002</v>
      </c>
      <c r="T7863">
        <v>-0.31398280000000001</v>
      </c>
      <c r="U7863">
        <v>1.807037</v>
      </c>
      <c r="V7863">
        <v>-0.27127240000000002</v>
      </c>
      <c r="W7863">
        <v>-6.4437700000000001E-2</v>
      </c>
      <c r="X7863">
        <v>0.96034319999999895</v>
      </c>
      <c r="Y7863">
        <v>-0.57024399999999997</v>
      </c>
      <c r="Z7863">
        <v>3.5979579999999997E-2</v>
      </c>
      <c r="AA7863">
        <v>0.820687099999999</v>
      </c>
      <c r="AB7863">
        <v>28</v>
      </c>
      <c r="AC7863">
        <v>0.67459999999999798</v>
      </c>
      <c r="AD7863">
        <v>-0.103224999999999</v>
      </c>
      <c r="AE7863">
        <v>0.59432000000000995</v>
      </c>
      <c r="AF7863">
        <v>-0.58888422628334003</v>
      </c>
      <c r="AG7863">
        <v>-0.103224999999999</v>
      </c>
      <c r="AH7863">
        <v>0.66379220831726304</v>
      </c>
      <c r="AI7863">
        <v>96.635305241942504</v>
      </c>
      <c r="AJ7863">
        <v>131.57788210983901</v>
      </c>
      <c r="AK7863">
        <v>0.89334211163083399</v>
      </c>
      <c r="AL7863">
        <v>93.694568051885895</v>
      </c>
      <c r="AM7863">
        <v>105.77362928146199</v>
      </c>
      <c r="AN7863">
        <v>0.99999999698464404</v>
      </c>
    </row>
    <row r="7864" spans="1:40" x14ac:dyDescent="0.25">
      <c r="A7864" t="str">
        <f>"20190303155002455"</f>
        <v>20190303155002455</v>
      </c>
      <c r="B7864" t="str">
        <f>"1551599402449129"</f>
        <v>1551599402449129</v>
      </c>
      <c r="C7864" t="s">
        <v>40</v>
      </c>
      <c r="D7864">
        <v>5.1091959999999998</v>
      </c>
      <c r="E7864">
        <v>0.3678303</v>
      </c>
      <c r="F7864" t="s">
        <v>64</v>
      </c>
      <c r="G7864">
        <v>-207.52350000000001</v>
      </c>
      <c r="H7864" s="1">
        <v>-2.6911200000000001E-6</v>
      </c>
      <c r="I7864">
        <v>-56.078899999999997</v>
      </c>
      <c r="J7864">
        <v>-216.8563</v>
      </c>
      <c r="K7864">
        <v>1.1211880000000001</v>
      </c>
      <c r="L7864">
        <v>-62.756709999999998</v>
      </c>
      <c r="M7864">
        <v>0.99988310000000002</v>
      </c>
      <c r="N7864">
        <v>-1.493939E-2</v>
      </c>
      <c r="O7864">
        <v>-3.2816579999999998E-3</v>
      </c>
      <c r="P7864">
        <v>0.95753719999999998</v>
      </c>
      <c r="Q7864">
        <v>-7.7164280000000002E-2</v>
      </c>
      <c r="R7864">
        <v>0.27779239999999999</v>
      </c>
      <c r="S7864">
        <v>2.590897</v>
      </c>
      <c r="T7864">
        <v>-0.30584280000000003</v>
      </c>
      <c r="U7864">
        <v>1.8215330000000001</v>
      </c>
      <c r="V7864">
        <v>-0.28090379999999998</v>
      </c>
      <c r="W7864">
        <v>-6.2996449999999996E-2</v>
      </c>
      <c r="X7864">
        <v>0.95766620000000002</v>
      </c>
      <c r="Y7864">
        <v>-0.57466809999999902</v>
      </c>
      <c r="Z7864">
        <v>3.5484099999999998E-2</v>
      </c>
      <c r="AA7864">
        <v>0.81761689999999998</v>
      </c>
      <c r="AB7864">
        <v>28</v>
      </c>
      <c r="AC7864">
        <v>9.33279999999999</v>
      </c>
      <c r="AD7864">
        <v>-1.12119069111999</v>
      </c>
      <c r="AE7864">
        <v>6.67781</v>
      </c>
      <c r="AF7864">
        <v>-6.6449758693353704</v>
      </c>
      <c r="AG7864">
        <v>-1.12119069111999</v>
      </c>
      <c r="AH7864">
        <v>9.2227981409359199</v>
      </c>
      <c r="AI7864">
        <v>95.6330294448058</v>
      </c>
      <c r="AJ7864">
        <v>125.772544681299</v>
      </c>
      <c r="AK7864">
        <v>11.422468140395599</v>
      </c>
      <c r="AL7864">
        <v>93.611822265083305</v>
      </c>
      <c r="AM7864">
        <v>106.34753149044199</v>
      </c>
      <c r="AN7864">
        <v>1.00000002409474</v>
      </c>
    </row>
    <row r="7865" spans="1:40" x14ac:dyDescent="0.25">
      <c r="A7865" t="str">
        <f>"20190303155002469"</f>
        <v>20190303155002469</v>
      </c>
      <c r="B7865" t="str">
        <f>"1551599402458888"</f>
        <v>1551599402458888</v>
      </c>
      <c r="C7865" t="s">
        <v>40</v>
      </c>
      <c r="D7865">
        <v>5.0805769999999999</v>
      </c>
      <c r="E7865">
        <v>0.36816880000000002</v>
      </c>
      <c r="F7865" t="s">
        <v>42</v>
      </c>
      <c r="G7865">
        <v>-216.09119999999999</v>
      </c>
      <c r="H7865">
        <v>1.0307230000000001</v>
      </c>
      <c r="I7865">
        <v>-62.207880000000003</v>
      </c>
      <c r="J7865">
        <v>-216.69059999999999</v>
      </c>
      <c r="K7865">
        <v>1.1212009999999999</v>
      </c>
      <c r="L7865">
        <v>-62.756990000000002</v>
      </c>
      <c r="M7865">
        <v>0.99988330000000003</v>
      </c>
      <c r="N7865">
        <v>-1.495579E-2</v>
      </c>
      <c r="O7865">
        <v>-3.1008260000000001E-3</v>
      </c>
      <c r="P7865">
        <v>0.95626149999999999</v>
      </c>
      <c r="Q7865">
        <v>-7.6325939999999995E-2</v>
      </c>
      <c r="R7865">
        <v>0.28237980000000001</v>
      </c>
      <c r="S7865">
        <v>2.5729829999999998</v>
      </c>
      <c r="T7865">
        <v>-0.3042319</v>
      </c>
      <c r="U7865">
        <v>1.8460080000000001</v>
      </c>
      <c r="V7865">
        <v>-0.2853136</v>
      </c>
      <c r="W7865">
        <v>-6.2167849999999997E-2</v>
      </c>
      <c r="X7865">
        <v>0.95641580000000004</v>
      </c>
      <c r="Y7865">
        <v>-0.58229779999999998</v>
      </c>
      <c r="Z7865">
        <v>3.5889850000000001E-2</v>
      </c>
      <c r="AA7865">
        <v>0.81218299999999999</v>
      </c>
      <c r="AB7865">
        <v>28</v>
      </c>
      <c r="AC7865">
        <v>0.59940000000000204</v>
      </c>
      <c r="AD7865">
        <v>-9.0478000000000003E-2</v>
      </c>
      <c r="AE7865">
        <v>0.54910999999999799</v>
      </c>
      <c r="AF7865">
        <v>-0.54422414681821096</v>
      </c>
      <c r="AG7865">
        <v>-9.0478000000000003E-2</v>
      </c>
      <c r="AH7865">
        <v>0.590380375866426</v>
      </c>
      <c r="AI7865">
        <v>96.429082160675605</v>
      </c>
      <c r="AJ7865">
        <v>132.67046605995901</v>
      </c>
      <c r="AK7865">
        <v>0.80803166934977999</v>
      </c>
      <c r="AL7865">
        <v>93.564254048988303</v>
      </c>
      <c r="AM7865">
        <v>106.61065443229</v>
      </c>
      <c r="AN7865">
        <v>0.99999993720410896</v>
      </c>
    </row>
    <row r="7866" spans="1:40" x14ac:dyDescent="0.25">
      <c r="A7866" t="str">
        <f>"20190303155002485"</f>
        <v>20190303155002485</v>
      </c>
      <c r="B7866" t="str">
        <f>"1551599402478408"</f>
        <v>1551599402478408</v>
      </c>
      <c r="C7866" t="s">
        <v>40</v>
      </c>
      <c r="D7866">
        <v>5.0557169999999996</v>
      </c>
      <c r="E7866">
        <v>0.36887720000000002</v>
      </c>
      <c r="F7866" t="s">
        <v>42</v>
      </c>
      <c r="G7866">
        <v>-215.85640000000001</v>
      </c>
      <c r="H7866">
        <v>1.023266</v>
      </c>
      <c r="I7866">
        <v>-62.153770000000002</v>
      </c>
      <c r="J7866">
        <v>-216.499</v>
      </c>
      <c r="K7866">
        <v>1.121218</v>
      </c>
      <c r="L7866">
        <v>-62.757350000000002</v>
      </c>
      <c r="M7866">
        <v>0.99988379999999999</v>
      </c>
      <c r="N7866">
        <v>-1.4972839999999999E-2</v>
      </c>
      <c r="O7866">
        <v>-2.882141E-3</v>
      </c>
      <c r="P7866">
        <v>0.95488320000000004</v>
      </c>
      <c r="Q7866">
        <v>-7.5267360000000005E-2</v>
      </c>
      <c r="R7866">
        <v>0.28728559999999997</v>
      </c>
      <c r="S7866">
        <v>2.5652159999999999</v>
      </c>
      <c r="T7866">
        <v>-0.30120940000000002</v>
      </c>
      <c r="U7866">
        <v>1.855621</v>
      </c>
      <c r="V7866">
        <v>-0.29000530000000002</v>
      </c>
      <c r="W7866">
        <v>-6.1122889999999999E-2</v>
      </c>
      <c r="X7866">
        <v>0.95507120000000001</v>
      </c>
      <c r="Y7866">
        <v>-0.58531610000000001</v>
      </c>
      <c r="Z7866">
        <v>3.5802170000000001E-2</v>
      </c>
      <c r="AA7866">
        <v>0.81001440000000002</v>
      </c>
      <c r="AB7866">
        <v>28</v>
      </c>
      <c r="AC7866">
        <v>0.64260000000001505</v>
      </c>
      <c r="AD7866">
        <v>-9.7951999999999997E-2</v>
      </c>
      <c r="AE7866">
        <v>0.603580000000007</v>
      </c>
      <c r="AF7866">
        <v>-0.59804723825653905</v>
      </c>
      <c r="AG7866">
        <v>-9.7951999999999997E-2</v>
      </c>
      <c r="AH7866">
        <v>0.63304300596051599</v>
      </c>
      <c r="AI7866">
        <v>96.417475011711502</v>
      </c>
      <c r="AJ7866">
        <v>133.37171160371801</v>
      </c>
      <c r="AK7866">
        <v>0.87635525951853499</v>
      </c>
      <c r="AL7866">
        <v>93.504267799925998</v>
      </c>
      <c r="AM7866">
        <v>106.890799292588</v>
      </c>
      <c r="AN7866">
        <v>1.0000000393897399</v>
      </c>
    </row>
    <row r="7867" spans="1:40" x14ac:dyDescent="0.25">
      <c r="A7867" t="str">
        <f>"20190303155002497"</f>
        <v>20190303155002497</v>
      </c>
      <c r="B7867" t="str">
        <f>"1551599402489145"</f>
        <v>1551599402489145</v>
      </c>
      <c r="C7867" t="s">
        <v>40</v>
      </c>
      <c r="D7867">
        <v>5.0827629999999999</v>
      </c>
      <c r="E7867">
        <v>0.36937589999999998</v>
      </c>
      <c r="F7867" t="s">
        <v>64</v>
      </c>
      <c r="G7867">
        <v>-206.91640000000001</v>
      </c>
      <c r="H7867" s="1">
        <v>-3.1270279999999998E-6</v>
      </c>
      <c r="I7867">
        <v>-55.775770000000001</v>
      </c>
      <c r="J7867">
        <v>-216.33330000000001</v>
      </c>
      <c r="K7867">
        <v>1.1212409999999999</v>
      </c>
      <c r="L7867">
        <v>-62.757570000000001</v>
      </c>
      <c r="M7867">
        <v>0.9998842</v>
      </c>
      <c r="N7867">
        <v>-1.4985800000000001E-2</v>
      </c>
      <c r="O7867">
        <v>-2.679243E-3</v>
      </c>
      <c r="P7867">
        <v>0.95358399999999999</v>
      </c>
      <c r="Q7867">
        <v>-7.4522149999999995E-2</v>
      </c>
      <c r="R7867">
        <v>0.29176069999999998</v>
      </c>
      <c r="S7867">
        <v>2.5575410000000001</v>
      </c>
      <c r="T7867">
        <v>-0.29924699999999999</v>
      </c>
      <c r="U7867">
        <v>1.8633420000000001</v>
      </c>
      <c r="V7867">
        <v>-0.29428219999999999</v>
      </c>
      <c r="W7867">
        <v>-6.0395650000000002E-2</v>
      </c>
      <c r="X7867">
        <v>0.95380830000000005</v>
      </c>
      <c r="Y7867">
        <v>-0.58791740000000003</v>
      </c>
      <c r="Z7867">
        <v>3.579972E-2</v>
      </c>
      <c r="AA7867">
        <v>0.80812839999999997</v>
      </c>
      <c r="AB7867">
        <v>27</v>
      </c>
      <c r="AC7867">
        <v>9.4168999999999894</v>
      </c>
      <c r="AD7867">
        <v>-1.121244127028</v>
      </c>
      <c r="AE7867">
        <v>6.9817999999999998</v>
      </c>
      <c r="AF7867">
        <v>-6.9434869974168203</v>
      </c>
      <c r="AG7867">
        <v>-1.121244127028</v>
      </c>
      <c r="AH7867">
        <v>9.3129606247937797</v>
      </c>
      <c r="AI7867">
        <v>95.513202682630407</v>
      </c>
      <c r="AJ7867">
        <v>126.707197657649</v>
      </c>
      <c r="AK7867">
        <v>11.670494234377999</v>
      </c>
      <c r="AL7867">
        <v>93.462523165716306</v>
      </c>
      <c r="AM7867">
        <v>107.146768172059</v>
      </c>
      <c r="AN7867">
        <v>0.99999996046232498</v>
      </c>
    </row>
    <row r="7868" spans="1:40" x14ac:dyDescent="0.25">
      <c r="A7868" t="str">
        <f>"20190303155002511"</f>
        <v>20190303155002511</v>
      </c>
      <c r="B7868" t="str">
        <f>"1551599402498905"</f>
        <v>1551599402498905</v>
      </c>
      <c r="C7868" t="s">
        <v>40</v>
      </c>
      <c r="D7868">
        <v>5.0237059999999998</v>
      </c>
      <c r="E7868">
        <v>0.36996649999999998</v>
      </c>
      <c r="F7868" t="s">
        <v>42</v>
      </c>
      <c r="G7868">
        <v>-215.59889999999999</v>
      </c>
      <c r="H7868">
        <v>1.0354920000000001</v>
      </c>
      <c r="I7868">
        <v>-62.218620000000001</v>
      </c>
      <c r="J7868">
        <v>-216.17310000000001</v>
      </c>
      <c r="K7868">
        <v>1.1212629999999999</v>
      </c>
      <c r="L7868">
        <v>-62.7577199999999</v>
      </c>
      <c r="M7868">
        <v>0.99988469999999996</v>
      </c>
      <c r="N7868">
        <v>-1.499667E-2</v>
      </c>
      <c r="O7868">
        <v>-2.4667460000000001E-3</v>
      </c>
      <c r="P7868">
        <v>0.9509185</v>
      </c>
      <c r="Q7868">
        <v>-7.344386E-2</v>
      </c>
      <c r="R7868">
        <v>0.30059970000000003</v>
      </c>
      <c r="S7868">
        <v>2.550125</v>
      </c>
      <c r="T7868">
        <v>-0.29772729999999997</v>
      </c>
      <c r="U7868">
        <v>1.871521</v>
      </c>
      <c r="V7868">
        <v>-0.30290990000000001</v>
      </c>
      <c r="W7868">
        <v>-5.9362690000000003E-2</v>
      </c>
      <c r="X7868">
        <v>0.95116860000000003</v>
      </c>
      <c r="Y7868">
        <v>-0.59055530000000001</v>
      </c>
      <c r="Z7868">
        <v>3.5838199999999903E-2</v>
      </c>
      <c r="AA7868">
        <v>0.80620099999999995</v>
      </c>
      <c r="AB7868">
        <v>27</v>
      </c>
      <c r="AC7868">
        <v>0.57420000000001803</v>
      </c>
      <c r="AD7868">
        <v>-8.5770999999999806E-2</v>
      </c>
      <c r="AE7868">
        <v>0.53909999999999703</v>
      </c>
      <c r="AF7868">
        <v>-0.53417998184721005</v>
      </c>
      <c r="AG7868">
        <v>-8.5770999999999806E-2</v>
      </c>
      <c r="AH7868">
        <v>0.56615415063381402</v>
      </c>
      <c r="AI7868">
        <v>96.2881321788675</v>
      </c>
      <c r="AJ7868">
        <v>133.335533282206</v>
      </c>
      <c r="AK7868">
        <v>0.78309350637531205</v>
      </c>
      <c r="AL7868">
        <v>93.403232316647603</v>
      </c>
      <c r="AM7868">
        <v>107.664637310967</v>
      </c>
      <c r="AN7868">
        <v>1.0000000210540001</v>
      </c>
    </row>
    <row r="7869" spans="1:40" x14ac:dyDescent="0.25">
      <c r="A7869" t="str">
        <f>"20190303155002525"</f>
        <v>20190303155002525</v>
      </c>
      <c r="B7869" t="str">
        <f>"1551599402518424"</f>
        <v>1551599402518424</v>
      </c>
      <c r="C7869" t="s">
        <v>40</v>
      </c>
      <c r="D7869">
        <v>4.985449</v>
      </c>
      <c r="E7869">
        <v>0.37112020000000001</v>
      </c>
      <c r="F7869" t="s">
        <v>42</v>
      </c>
      <c r="G7869">
        <v>-215.36680000000001</v>
      </c>
      <c r="H7869">
        <v>1.0273950000000001</v>
      </c>
      <c r="I7869">
        <v>-62.156289999999998</v>
      </c>
      <c r="J7869">
        <v>-216.0128</v>
      </c>
      <c r="K7869">
        <v>1.1212879999999901</v>
      </c>
      <c r="L7869">
        <v>-62.757840000000002</v>
      </c>
      <c r="M7869">
        <v>0.99988489999999997</v>
      </c>
      <c r="N7869">
        <v>-1.500668E-2</v>
      </c>
      <c r="O7869">
        <v>-2.242408E-3</v>
      </c>
      <c r="P7869">
        <v>0.94948809999999995</v>
      </c>
      <c r="Q7869">
        <v>-7.3612570000000002E-2</v>
      </c>
      <c r="R7869">
        <v>0.30504700000000001</v>
      </c>
      <c r="S7869">
        <v>2.5344540000000002</v>
      </c>
      <c r="T7869">
        <v>-0.29503740000000001</v>
      </c>
      <c r="U7869">
        <v>1.890503</v>
      </c>
      <c r="V7869">
        <v>-0.30713810000000002</v>
      </c>
      <c r="W7869">
        <v>-5.9558109999999997E-2</v>
      </c>
      <c r="X7869">
        <v>0.94979950000000002</v>
      </c>
      <c r="Y7869">
        <v>-0.59662899999999996</v>
      </c>
      <c r="Z7869">
        <v>3.601116E-2</v>
      </c>
      <c r="AA7869">
        <v>0.8017088</v>
      </c>
      <c r="AB7869">
        <v>27</v>
      </c>
      <c r="AC7869">
        <v>0.64599999999998603</v>
      </c>
      <c r="AD7869">
        <v>-9.3892999999999699E-2</v>
      </c>
      <c r="AE7869">
        <v>0.60154999999999503</v>
      </c>
      <c r="AF7869">
        <v>-0.59625105411354995</v>
      </c>
      <c r="AG7869">
        <v>-9.3892999999999699E-2</v>
      </c>
      <c r="AH7869">
        <v>0.63743711778734702</v>
      </c>
      <c r="AI7869">
        <v>96.139835158926203</v>
      </c>
      <c r="AJ7869">
        <v>133.087919149995</v>
      </c>
      <c r="AK7869">
        <v>0.87787088692675097</v>
      </c>
      <c r="AL7869">
        <v>93.414448853939106</v>
      </c>
      <c r="AM7869">
        <v>107.91972960313799</v>
      </c>
      <c r="AN7869">
        <v>1.0000000355693099</v>
      </c>
    </row>
    <row r="7870" spans="1:40" x14ac:dyDescent="0.25">
      <c r="A7870" t="str">
        <f>"20190303155002537"</f>
        <v>20190303155002537</v>
      </c>
      <c r="B7870" t="str">
        <f>"1551599402528185"</f>
        <v>1551599402528185</v>
      </c>
      <c r="C7870" t="s">
        <v>40</v>
      </c>
      <c r="D7870">
        <v>4.9988299999999999</v>
      </c>
      <c r="E7870">
        <v>0.37112020000000001</v>
      </c>
      <c r="F7870" t="s">
        <v>64</v>
      </c>
      <c r="G7870">
        <v>-206.43620000000001</v>
      </c>
      <c r="H7870" s="1">
        <v>-3.4318330000000002E-6</v>
      </c>
      <c r="I7870">
        <v>-55.58549</v>
      </c>
      <c r="J7870">
        <v>-215.8537</v>
      </c>
      <c r="K7870">
        <v>1.1213089999999999</v>
      </c>
      <c r="L7870">
        <v>-62.757899999999999</v>
      </c>
      <c r="M7870">
        <v>0.99988529999999998</v>
      </c>
      <c r="N7870">
        <v>-1.501542E-2</v>
      </c>
      <c r="O7870">
        <v>-2.0002470000000001E-3</v>
      </c>
      <c r="P7870">
        <v>0.94809940000000004</v>
      </c>
      <c r="Q7870">
        <v>-7.3680709999999996E-2</v>
      </c>
      <c r="R7870">
        <v>0.30931959999999997</v>
      </c>
      <c r="S7870">
        <v>2.5282900000000001</v>
      </c>
      <c r="T7870">
        <v>-0.2960296</v>
      </c>
      <c r="U7870">
        <v>1.8935550000000001</v>
      </c>
      <c r="V7870">
        <v>-0.31117509999999998</v>
      </c>
      <c r="W7870">
        <v>-5.965604E-2</v>
      </c>
      <c r="X7870">
        <v>0.9484783</v>
      </c>
      <c r="Y7870">
        <v>-0.5979565</v>
      </c>
      <c r="Z7870">
        <v>3.6230039999999998E-2</v>
      </c>
      <c r="AA7870">
        <v>0.80070929999999996</v>
      </c>
      <c r="AB7870">
        <v>27</v>
      </c>
      <c r="AC7870">
        <v>9.4174999999999898</v>
      </c>
      <c r="AD7870">
        <v>-1.1213124318329999</v>
      </c>
      <c r="AE7870">
        <v>7.1724099999999904</v>
      </c>
      <c r="AF7870">
        <v>-7.1272855142924501</v>
      </c>
      <c r="AG7870">
        <v>-1.1213124318329999</v>
      </c>
      <c r="AH7870">
        <v>9.3195135932677609</v>
      </c>
      <c r="AI7870">
        <v>95.459358737973503</v>
      </c>
      <c r="AJ7870">
        <v>127.407678942754</v>
      </c>
      <c r="AK7870">
        <v>11.7859608851857</v>
      </c>
      <c r="AL7870">
        <v>93.4200701657049</v>
      </c>
      <c r="AM7870">
        <v>108.16353823282</v>
      </c>
      <c r="AN7870">
        <v>0.99999993576968804</v>
      </c>
    </row>
    <row r="7871" spans="1:40" x14ac:dyDescent="0.25">
      <c r="A7871" t="str">
        <f>"20190303155002550"</f>
        <v>20190303155002550</v>
      </c>
      <c r="B7871" t="str">
        <f>"1551599402538921"</f>
        <v>1551599402538921</v>
      </c>
      <c r="C7871" t="s">
        <v>40</v>
      </c>
      <c r="D7871">
        <v>4.9634780000000003</v>
      </c>
      <c r="E7871">
        <v>0.381382</v>
      </c>
      <c r="F7871" t="s">
        <v>42</v>
      </c>
      <c r="G7871">
        <v>-215.1147</v>
      </c>
      <c r="H7871">
        <v>1.0342340000000001</v>
      </c>
      <c r="I7871">
        <v>-62.199280000000002</v>
      </c>
      <c r="J7871">
        <v>-215.7046</v>
      </c>
      <c r="K7871">
        <v>1.121332</v>
      </c>
      <c r="L7871">
        <v>-62.757899999999999</v>
      </c>
      <c r="M7871">
        <v>0.99988580000000005</v>
      </c>
      <c r="N7871">
        <v>-1.5022580000000001E-2</v>
      </c>
      <c r="O7871">
        <v>-1.752577E-3</v>
      </c>
      <c r="P7871">
        <v>0.94671459999999996</v>
      </c>
      <c r="Q7871">
        <v>-7.4298130000000004E-2</v>
      </c>
      <c r="R7871">
        <v>0.31338690000000002</v>
      </c>
      <c r="S7871">
        <v>2.5196689999999999</v>
      </c>
      <c r="T7871">
        <v>-0.29691980000000001</v>
      </c>
      <c r="U7871">
        <v>1.9048769999999999</v>
      </c>
      <c r="V7871">
        <v>-0.3150018</v>
      </c>
      <c r="W7871">
        <v>-6.030547E-2</v>
      </c>
      <c r="X7871">
        <v>0.94717320000000005</v>
      </c>
      <c r="Y7871">
        <v>-0.60131869999999998</v>
      </c>
      <c r="Z7871">
        <v>3.6562509999999999E-2</v>
      </c>
      <c r="AA7871">
        <v>0.79817229999999995</v>
      </c>
      <c r="AB7871">
        <v>27</v>
      </c>
      <c r="AC7871">
        <v>0.58989999999999998</v>
      </c>
      <c r="AD7871">
        <v>-8.7097999999999898E-2</v>
      </c>
      <c r="AE7871">
        <v>0.55861999999999701</v>
      </c>
      <c r="AF7871">
        <v>-0.55329389459064104</v>
      </c>
      <c r="AG7871">
        <v>-8.7097999999999898E-2</v>
      </c>
      <c r="AH7871">
        <v>0.58222819748226395</v>
      </c>
      <c r="AI7871">
        <v>96.188930297569797</v>
      </c>
      <c r="AJ7871">
        <v>133.54035884221099</v>
      </c>
      <c r="AK7871">
        <v>0.80790461648558898</v>
      </c>
      <c r="AL7871">
        <v>93.457346738719707</v>
      </c>
      <c r="AM7871">
        <v>108.395599882882</v>
      </c>
      <c r="AN7871">
        <v>0.99999997725669998</v>
      </c>
    </row>
    <row r="7872" spans="1:40" x14ac:dyDescent="0.25">
      <c r="A7872" t="str">
        <f>"20190303155002567"</f>
        <v>20190303155002567</v>
      </c>
      <c r="B7872" t="str">
        <f>"1551599402558440"</f>
        <v>1551599402558440</v>
      </c>
      <c r="C7872" t="s">
        <v>40</v>
      </c>
      <c r="D7872">
        <v>4.9744729999999997</v>
      </c>
      <c r="E7872">
        <v>0.38319779999999998</v>
      </c>
      <c r="F7872" t="s">
        <v>42</v>
      </c>
      <c r="G7872">
        <v>-214.87970000000001</v>
      </c>
      <c r="H7872">
        <v>1.0248790000000001</v>
      </c>
      <c r="I7872">
        <v>-62.160609999999998</v>
      </c>
      <c r="J7872">
        <v>-215.4956</v>
      </c>
      <c r="K7872">
        <v>1.121364</v>
      </c>
      <c r="L7872">
        <v>-62.757840000000002</v>
      </c>
      <c r="M7872">
        <v>0.99988600000000005</v>
      </c>
      <c r="N7872">
        <v>-1.503149E-2</v>
      </c>
      <c r="O7872">
        <v>-1.3770529999999901E-3</v>
      </c>
      <c r="P7872">
        <v>0.94421929999999998</v>
      </c>
      <c r="Q7872">
        <v>-7.5248319999999994E-2</v>
      </c>
      <c r="R7872">
        <v>0.32060529999999998</v>
      </c>
      <c r="S7872">
        <v>2.5371860000000002</v>
      </c>
      <c r="T7872">
        <v>-0.2966917</v>
      </c>
      <c r="U7872">
        <v>1.8378300000000001</v>
      </c>
      <c r="V7872">
        <v>-0.32185580000000003</v>
      </c>
      <c r="W7872">
        <v>-6.1314010000000002E-2</v>
      </c>
      <c r="X7872">
        <v>0.94480129999999996</v>
      </c>
      <c r="Y7872">
        <v>-0.58465210000000001</v>
      </c>
      <c r="Z7872">
        <v>3.5509979999999997E-2</v>
      </c>
      <c r="AA7872">
        <v>0.81050659999999997</v>
      </c>
      <c r="AB7872">
        <v>27</v>
      </c>
      <c r="AC7872">
        <v>0.61589999999998202</v>
      </c>
      <c r="AD7872">
        <v>-9.6484999999999904E-2</v>
      </c>
      <c r="AE7872">
        <v>0.59723000000000304</v>
      </c>
      <c r="AF7872">
        <v>-0.59060747754265097</v>
      </c>
      <c r="AG7872">
        <v>-9.6484999999999904E-2</v>
      </c>
      <c r="AH7872">
        <v>0.60739440065891703</v>
      </c>
      <c r="AI7872">
        <v>96.497258260731499</v>
      </c>
      <c r="AJ7872">
        <v>134.19719916978801</v>
      </c>
      <c r="AK7872">
        <v>0.85267491208906698</v>
      </c>
      <c r="AL7872">
        <v>93.515238778612698</v>
      </c>
      <c r="AM7872">
        <v>108.811911694307</v>
      </c>
      <c r="AN7872">
        <v>1.0000000301487999</v>
      </c>
    </row>
    <row r="7873" spans="1:40" x14ac:dyDescent="0.25">
      <c r="A7873" t="str">
        <f>"20190303155002579"</f>
        <v>20190303155002579</v>
      </c>
      <c r="B7873" t="str">
        <f>"1551599402568201"</f>
        <v>1551599402568201</v>
      </c>
      <c r="C7873" t="s">
        <v>40</v>
      </c>
      <c r="D7873">
        <v>4.9635939999999996</v>
      </c>
      <c r="E7873">
        <v>0.3838434</v>
      </c>
      <c r="F7873" t="s">
        <v>64</v>
      </c>
      <c r="G7873">
        <v>-206.14590000000001</v>
      </c>
      <c r="H7873" s="1">
        <v>-3.5123440000000002E-6</v>
      </c>
      <c r="I7873">
        <v>-55.938670000000002</v>
      </c>
      <c r="J7873">
        <v>-215.33779999999999</v>
      </c>
      <c r="K7873">
        <v>1.1213919999999999</v>
      </c>
      <c r="L7873">
        <v>-62.7577199999999</v>
      </c>
      <c r="M7873">
        <v>0.99988639999999995</v>
      </c>
      <c r="N7873">
        <v>-1.5037429999999999E-2</v>
      </c>
      <c r="O7873">
        <v>-1.0700270000000001E-3</v>
      </c>
      <c r="P7873">
        <v>0.94304469999999996</v>
      </c>
      <c r="Q7873">
        <v>-7.5751199999999894E-2</v>
      </c>
      <c r="R7873">
        <v>0.32392670000000001</v>
      </c>
      <c r="S7873">
        <v>2.527237</v>
      </c>
      <c r="T7873">
        <v>-0.30310679999999901</v>
      </c>
      <c r="U7873">
        <v>1.8432310000000001</v>
      </c>
      <c r="V7873">
        <v>-0.3248817</v>
      </c>
      <c r="W7873">
        <v>-6.1851839999999998E-2</v>
      </c>
      <c r="X7873">
        <v>0.94372990000000001</v>
      </c>
      <c r="Y7873">
        <v>-0.58689659999999999</v>
      </c>
      <c r="Z7873">
        <v>3.6368909999999997E-2</v>
      </c>
      <c r="AA7873">
        <v>0.80884460000000002</v>
      </c>
      <c r="AB7873">
        <v>27</v>
      </c>
      <c r="AC7873">
        <v>9.1918999999999702</v>
      </c>
      <c r="AD7873">
        <v>-1.121395512344</v>
      </c>
      <c r="AE7873">
        <v>6.8190499999999901</v>
      </c>
      <c r="AF7873">
        <v>-6.7639478870146803</v>
      </c>
      <c r="AG7873">
        <v>-1.121395512344</v>
      </c>
      <c r="AH7873">
        <v>9.0972622791950997</v>
      </c>
      <c r="AI7873">
        <v>95.649374941907098</v>
      </c>
      <c r="AJ7873">
        <v>126.63134360621299</v>
      </c>
      <c r="AK7873">
        <v>11.3916065543812</v>
      </c>
      <c r="AL7873">
        <v>93.546113063441197</v>
      </c>
      <c r="AM7873">
        <v>108.996169913462</v>
      </c>
      <c r="AN7873">
        <v>0.99999994663014102</v>
      </c>
    </row>
    <row r="7874" spans="1:40" x14ac:dyDescent="0.25">
      <c r="A7874" t="str">
        <f>"20190303155002593"</f>
        <v>20190303155002593</v>
      </c>
      <c r="B7874" t="str">
        <f>"1551599402588697"</f>
        <v>1551599402588697</v>
      </c>
      <c r="C7874" t="s">
        <v>40</v>
      </c>
      <c r="D7874">
        <v>4.9197119999999996</v>
      </c>
      <c r="E7874">
        <v>0.38491839999999999</v>
      </c>
      <c r="F7874" t="s">
        <v>42</v>
      </c>
      <c r="G7874">
        <v>-214.62129999999999</v>
      </c>
      <c r="H7874">
        <v>1.034243</v>
      </c>
      <c r="I7874">
        <v>-62.232860000000002</v>
      </c>
      <c r="J7874">
        <v>-215.18270000000001</v>
      </c>
      <c r="K7874">
        <v>1.121413</v>
      </c>
      <c r="L7874">
        <v>-62.757510000000003</v>
      </c>
      <c r="M7874">
        <v>0.99988659999999996</v>
      </c>
      <c r="N7874">
        <v>-1.504219E-2</v>
      </c>
      <c r="O7874">
        <v>-7.3352429999999896E-4</v>
      </c>
      <c r="P7874">
        <v>0.94185469999999905</v>
      </c>
      <c r="Q7874">
        <v>-7.6157870000000003E-2</v>
      </c>
      <c r="R7874">
        <v>0.32727600000000001</v>
      </c>
      <c r="S7874">
        <v>2.5220180000000001</v>
      </c>
      <c r="T7874">
        <v>-0.30674639999999997</v>
      </c>
      <c r="U7874">
        <v>1.8472900000000001</v>
      </c>
      <c r="V7874">
        <v>-0.32790799999999998</v>
      </c>
      <c r="W7874">
        <v>-6.2296329999999997E-2</v>
      </c>
      <c r="X7874">
        <v>0.94265339999999997</v>
      </c>
      <c r="Y7874">
        <v>-0.58818300000000001</v>
      </c>
      <c r="Z7874">
        <v>3.6838120000000002E-2</v>
      </c>
      <c r="AA7874">
        <v>0.80788839999999995</v>
      </c>
      <c r="AB7874">
        <v>27</v>
      </c>
      <c r="AC7874">
        <v>0.56140000000001999</v>
      </c>
      <c r="AD7874">
        <v>-8.71699999999999E-2</v>
      </c>
      <c r="AE7874">
        <v>0.52465000000000095</v>
      </c>
      <c r="AF7874">
        <v>-0.51839019455917101</v>
      </c>
      <c r="AG7874">
        <v>-8.71699999999999E-2</v>
      </c>
      <c r="AH7874">
        <v>0.55388662310195902</v>
      </c>
      <c r="AI7874">
        <v>96.554799857686007</v>
      </c>
      <c r="AJ7874">
        <v>133.103984830401</v>
      </c>
      <c r="AK7874">
        <v>0.76362123724159703</v>
      </c>
      <c r="AL7874">
        <v>93.571629622798994</v>
      </c>
      <c r="AM7874">
        <v>109.180556388859</v>
      </c>
      <c r="AN7874">
        <v>0.99999996086351295</v>
      </c>
    </row>
    <row r="7875" spans="1:40" x14ac:dyDescent="0.25">
      <c r="A7875" t="str">
        <f>"20190303155002605"</f>
        <v>20190303155002605</v>
      </c>
      <c r="B7875" t="str">
        <f>"1551599402598456"</f>
        <v>1551599402598456</v>
      </c>
      <c r="C7875" t="s">
        <v>40</v>
      </c>
      <c r="D7875">
        <v>4.928102</v>
      </c>
      <c r="E7875">
        <v>0.38555129999999999</v>
      </c>
      <c r="F7875" t="s">
        <v>42</v>
      </c>
      <c r="G7875">
        <v>-214.39089999999999</v>
      </c>
      <c r="H7875">
        <v>1.024322</v>
      </c>
      <c r="I7875">
        <v>-62.176549999999999</v>
      </c>
      <c r="J7875">
        <v>-215.0378</v>
      </c>
      <c r="K7875">
        <v>1.121442</v>
      </c>
      <c r="L7875">
        <v>-62.757260000000002</v>
      </c>
      <c r="M7875">
        <v>0.99988690000000002</v>
      </c>
      <c r="N7875">
        <v>-1.504627E-2</v>
      </c>
      <c r="O7875">
        <v>-4.0286739999999998E-4</v>
      </c>
      <c r="P7875">
        <v>0.94067290000000003</v>
      </c>
      <c r="Q7875">
        <v>-7.6371739999999994E-2</v>
      </c>
      <c r="R7875">
        <v>0.33060879999999998</v>
      </c>
      <c r="S7875">
        <v>2.518097</v>
      </c>
      <c r="T7875">
        <v>-0.30875950000000002</v>
      </c>
      <c r="U7875">
        <v>1.847961</v>
      </c>
      <c r="V7875">
        <v>-0.33092440000000001</v>
      </c>
      <c r="W7875">
        <v>-6.2548660000000006E-2</v>
      </c>
      <c r="X7875">
        <v>0.94158200000000003</v>
      </c>
      <c r="Y7875">
        <v>-0.588607199999999</v>
      </c>
      <c r="Z7875">
        <v>3.7082530000000002E-2</v>
      </c>
      <c r="AA7875">
        <v>0.80756830000000002</v>
      </c>
      <c r="AB7875">
        <v>27</v>
      </c>
      <c r="AC7875">
        <v>0.64690000000001602</v>
      </c>
      <c r="AD7875">
        <v>-9.7120000000000095E-2</v>
      </c>
      <c r="AE7875">
        <v>0.58070999999999595</v>
      </c>
      <c r="AF7875">
        <v>-0.57380862126729304</v>
      </c>
      <c r="AG7875">
        <v>-9.7120000000000095E-2</v>
      </c>
      <c r="AH7875">
        <v>0.63869412932229397</v>
      </c>
      <c r="AI7875">
        <v>96.453577616699405</v>
      </c>
      <c r="AJ7875">
        <v>131.93681266556101</v>
      </c>
      <c r="AK7875">
        <v>0.864071072928284</v>
      </c>
      <c r="AL7875">
        <v>93.586115255516404</v>
      </c>
      <c r="AM7875">
        <v>109.364317894547</v>
      </c>
      <c r="AN7875">
        <v>0.99999997805357699</v>
      </c>
    </row>
    <row r="7876" spans="1:40" x14ac:dyDescent="0.25">
      <c r="A7876" t="str">
        <f>"20190303155002618"</f>
        <v>20190303155002618</v>
      </c>
      <c r="B7876" t="str">
        <f>"1551599402608217"</f>
        <v>1551599402608217</v>
      </c>
      <c r="C7876" t="s">
        <v>40</v>
      </c>
      <c r="D7876">
        <v>4.8853530000000003</v>
      </c>
      <c r="E7876">
        <v>0.38614029999999999</v>
      </c>
      <c r="F7876" t="s">
        <v>64</v>
      </c>
      <c r="G7876">
        <v>-205.9256</v>
      </c>
      <c r="H7876" s="1">
        <v>-3.6098710000000002E-6</v>
      </c>
      <c r="I7876">
        <v>-56.042140000000003</v>
      </c>
      <c r="J7876">
        <v>-214.86799999999999</v>
      </c>
      <c r="K7876">
        <v>1.121486</v>
      </c>
      <c r="L7876">
        <v>-62.7568699999999</v>
      </c>
      <c r="M7876">
        <v>0.99988679999999996</v>
      </c>
      <c r="N7876">
        <v>-1.505037E-2</v>
      </c>
      <c r="O7876" s="1">
        <v>1.8520180000000001E-5</v>
      </c>
      <c r="P7876">
        <v>0.93948759999999998</v>
      </c>
      <c r="Q7876">
        <v>-7.6674880000000001E-2</v>
      </c>
      <c r="R7876">
        <v>0.33389219999999997</v>
      </c>
      <c r="S7876">
        <v>2.5131839999999999</v>
      </c>
      <c r="T7876">
        <v>-0.30929800000000002</v>
      </c>
      <c r="U7876">
        <v>1.8520509999999999</v>
      </c>
      <c r="V7876">
        <v>-0.33380510000000002</v>
      </c>
      <c r="W7876">
        <v>-6.2896690000000005E-2</v>
      </c>
      <c r="X7876">
        <v>0.94054139999999997</v>
      </c>
      <c r="Y7876">
        <v>-0.589848699999999</v>
      </c>
      <c r="Z7876">
        <v>3.7217529999999999E-2</v>
      </c>
      <c r="AA7876">
        <v>0.80665569999999998</v>
      </c>
      <c r="AB7876">
        <v>27</v>
      </c>
      <c r="AC7876">
        <v>8.9423999999999904</v>
      </c>
      <c r="AD7876">
        <v>-1.1214896098710001</v>
      </c>
      <c r="AE7876">
        <v>6.7147299999999799</v>
      </c>
      <c r="AF7876">
        <v>-6.6477046943423801</v>
      </c>
      <c r="AG7876">
        <v>-1.1214896098710001</v>
      </c>
      <c r="AH7876">
        <v>8.8534799882382895</v>
      </c>
      <c r="AI7876">
        <v>95.784104905344094</v>
      </c>
      <c r="AJ7876">
        <v>126.901340399367</v>
      </c>
      <c r="AK7876">
        <v>11.128064726194101</v>
      </c>
      <c r="AL7876">
        <v>93.606095233543698</v>
      </c>
      <c r="AM7876">
        <v>109.540150247688</v>
      </c>
      <c r="AN7876">
        <v>0.99999998175646199</v>
      </c>
    </row>
    <row r="7877" spans="1:40" x14ac:dyDescent="0.25">
      <c r="A7877" t="str">
        <f>"20190303155002634"</f>
        <v>20190303155002634</v>
      </c>
      <c r="B7877" t="str">
        <f>"1551599402628714"</f>
        <v>1551599402628714</v>
      </c>
      <c r="C7877" t="s">
        <v>40</v>
      </c>
      <c r="D7877">
        <v>4.8990749999999998</v>
      </c>
      <c r="E7877">
        <v>0.39208969999999999</v>
      </c>
      <c r="F7877" t="s">
        <v>42</v>
      </c>
      <c r="G7877">
        <v>-214.13990000000001</v>
      </c>
      <c r="H7877">
        <v>1.0313369999999999</v>
      </c>
      <c r="I7877">
        <v>-62.218060000000001</v>
      </c>
      <c r="J7877">
        <v>-214.68209999999999</v>
      </c>
      <c r="K7877">
        <v>1.1215349999999999</v>
      </c>
      <c r="L7877">
        <v>-62.75629</v>
      </c>
      <c r="M7877">
        <v>0.99988659999999996</v>
      </c>
      <c r="N7877">
        <v>-1.5054039999999999E-2</v>
      </c>
      <c r="O7877">
        <v>5.2810439999999997E-4</v>
      </c>
      <c r="P7877">
        <v>0.93726489999999996</v>
      </c>
      <c r="Q7877">
        <v>-7.6747419999999997E-2</v>
      </c>
      <c r="R7877">
        <v>0.34006530000000001</v>
      </c>
      <c r="S7877">
        <v>2.5081630000000001</v>
      </c>
      <c r="T7877">
        <v>-0.31054749999999998</v>
      </c>
      <c r="U7877">
        <v>1.8563540000000001</v>
      </c>
      <c r="V7877">
        <v>-0.33949390000000002</v>
      </c>
      <c r="W7877">
        <v>-6.3038810000000001E-2</v>
      </c>
      <c r="X7877">
        <v>0.93849349999999998</v>
      </c>
      <c r="Y7877">
        <v>-0.59106610000000004</v>
      </c>
      <c r="Z7877">
        <v>3.7417119999999998E-2</v>
      </c>
      <c r="AA7877">
        <v>0.80575479999999999</v>
      </c>
      <c r="AB7877">
        <v>27</v>
      </c>
      <c r="AC7877">
        <v>0.54219999999997903</v>
      </c>
      <c r="AD7877">
        <v>-9.0197999999999695E-2</v>
      </c>
      <c r="AE7877">
        <v>0.53823000000000498</v>
      </c>
      <c r="AF7877">
        <v>-0.53054835888321705</v>
      </c>
      <c r="AG7877">
        <v>-9.0197999999999695E-2</v>
      </c>
      <c r="AH7877">
        <v>0.53502658184541996</v>
      </c>
      <c r="AI7877">
        <v>96.826293937246504</v>
      </c>
      <c r="AJ7877">
        <v>134.75920814664599</v>
      </c>
      <c r="AK7877">
        <v>0.75886143899849701</v>
      </c>
      <c r="AL7877">
        <v>93.614254145910095</v>
      </c>
      <c r="AM7877">
        <v>109.887260037771</v>
      </c>
      <c r="AN7877">
        <v>1.00000002462283</v>
      </c>
    </row>
    <row r="7878" spans="1:40" x14ac:dyDescent="0.25">
      <c r="A7878" t="str">
        <f>"20190303155002648"</f>
        <v>20190303155002648</v>
      </c>
      <c r="B7878" t="str">
        <f>"1551599402638472"</f>
        <v>1551599402638472</v>
      </c>
      <c r="C7878" t="s">
        <v>40</v>
      </c>
      <c r="D7878">
        <v>4.9136490000000004</v>
      </c>
      <c r="E7878">
        <v>0.3921618</v>
      </c>
      <c r="F7878" t="s">
        <v>42</v>
      </c>
      <c r="G7878">
        <v>-213.90440000000001</v>
      </c>
      <c r="H7878">
        <v>1.025817</v>
      </c>
      <c r="I7878">
        <v>-62.190420000000003</v>
      </c>
      <c r="J7878">
        <v>-214.5181</v>
      </c>
      <c r="K7878">
        <v>1.1215809999999999</v>
      </c>
      <c r="L7878">
        <v>-62.755679999999998</v>
      </c>
      <c r="M7878">
        <v>0.99988619999999995</v>
      </c>
      <c r="N7878">
        <v>-1.50568E-2</v>
      </c>
      <c r="O7878">
        <v>1.0133950000000001E-3</v>
      </c>
      <c r="P7878">
        <v>0.93610610000000005</v>
      </c>
      <c r="Q7878">
        <v>-7.6760430000000004E-2</v>
      </c>
      <c r="R7878">
        <v>0.34323930000000002</v>
      </c>
      <c r="S7878">
        <v>2.5121769999999999</v>
      </c>
      <c r="T7878">
        <v>-0.30917499999999998</v>
      </c>
      <c r="U7878">
        <v>1.8281860000000001</v>
      </c>
      <c r="V7878">
        <v>-0.3422075</v>
      </c>
      <c r="W7878">
        <v>-6.3101760000000007E-2</v>
      </c>
      <c r="X7878">
        <v>0.93750319999999998</v>
      </c>
      <c r="Y7878">
        <v>-0.58422030000000003</v>
      </c>
      <c r="Z7878">
        <v>3.6836479999999998E-2</v>
      </c>
      <c r="AA7878">
        <v>0.81075869999999906</v>
      </c>
      <c r="AB7878">
        <v>27</v>
      </c>
      <c r="AC7878">
        <v>0.61369999999999403</v>
      </c>
      <c r="AD7878">
        <v>-9.5763999999999905E-2</v>
      </c>
      <c r="AE7878">
        <v>0.56526000000000898</v>
      </c>
      <c r="AF7878">
        <v>-0.55729613245958198</v>
      </c>
      <c r="AG7878">
        <v>-9.5763999999999905E-2</v>
      </c>
      <c r="AH7878">
        <v>0.60628562798263197</v>
      </c>
      <c r="AI7878">
        <v>96.633032984925507</v>
      </c>
      <c r="AJ7878">
        <v>132.58913839386901</v>
      </c>
      <c r="AK7878">
        <v>0.82905487493211405</v>
      </c>
      <c r="AL7878">
        <v>93.617868099475899</v>
      </c>
      <c r="AM7878">
        <v>110.053097757019</v>
      </c>
      <c r="AN7878">
        <v>1.0000000275907901</v>
      </c>
    </row>
    <row r="7879" spans="1:40" x14ac:dyDescent="0.25">
      <c r="A7879" t="str">
        <f>"20190303155002659"</f>
        <v>20190303155002659</v>
      </c>
      <c r="B7879" t="str">
        <f>"1551599402648233"</f>
        <v>1551599402648233</v>
      </c>
      <c r="C7879" t="s">
        <v>40</v>
      </c>
      <c r="D7879">
        <v>4.8902650000000003</v>
      </c>
      <c r="E7879">
        <v>0.39237919999999998</v>
      </c>
      <c r="F7879" t="s">
        <v>64</v>
      </c>
      <c r="G7879">
        <v>-205.38069999999999</v>
      </c>
      <c r="H7879" s="1">
        <v>-3.9035879999999999E-6</v>
      </c>
      <c r="I7879">
        <v>-56.061599999999999</v>
      </c>
      <c r="J7879">
        <v>-214.3674</v>
      </c>
      <c r="K7879">
        <v>1.121632</v>
      </c>
      <c r="L7879">
        <v>-62.755040000000001</v>
      </c>
      <c r="M7879">
        <v>0.99988560000000004</v>
      </c>
      <c r="N7879">
        <v>-1.505899E-2</v>
      </c>
      <c r="O7879">
        <v>1.4854340000000001E-3</v>
      </c>
      <c r="P7879">
        <v>0.93496559999999995</v>
      </c>
      <c r="Q7879">
        <v>-7.7272530000000006E-2</v>
      </c>
      <c r="R7879">
        <v>0.34622009999999998</v>
      </c>
      <c r="S7879">
        <v>2.5063019999999998</v>
      </c>
      <c r="T7879">
        <v>-0.30763970000000002</v>
      </c>
      <c r="U7879">
        <v>1.8361209999999999</v>
      </c>
      <c r="V7879">
        <v>-0.34474110000000002</v>
      </c>
      <c r="W7879">
        <v>-6.3663419999999998E-2</v>
      </c>
      <c r="X7879">
        <v>0.93653640000000005</v>
      </c>
      <c r="Y7879">
        <v>-0.58642689999999997</v>
      </c>
      <c r="Z7879">
        <v>3.6811660000000003E-2</v>
      </c>
      <c r="AA7879">
        <v>0.80916519999999903</v>
      </c>
      <c r="AB7879">
        <v>27</v>
      </c>
      <c r="AC7879">
        <v>8.9867000000000097</v>
      </c>
      <c r="AD7879">
        <v>-1.1216359035879999</v>
      </c>
      <c r="AE7879">
        <v>6.6934399999999998</v>
      </c>
      <c r="AF7879">
        <v>-6.61381538315276</v>
      </c>
      <c r="AG7879">
        <v>-1.1216359035879999</v>
      </c>
      <c r="AH7879">
        <v>8.9073870558629995</v>
      </c>
      <c r="AI7879">
        <v>95.772984667013304</v>
      </c>
      <c r="AJ7879">
        <v>126.59422015342101</v>
      </c>
      <c r="AK7879">
        <v>11.1508818120183</v>
      </c>
      <c r="AL7879">
        <v>93.650113992574006</v>
      </c>
      <c r="AM7879">
        <v>110.208771718357</v>
      </c>
      <c r="AN7879">
        <v>0.99999994280013105</v>
      </c>
    </row>
    <row r="7880" spans="1:40" x14ac:dyDescent="0.25">
      <c r="A7880" t="str">
        <f>"20190303155002672"</f>
        <v>20190303155002672</v>
      </c>
      <c r="B7880" t="str">
        <f>"1551599402668728"</f>
        <v>1551599402668728</v>
      </c>
      <c r="C7880" t="s">
        <v>40</v>
      </c>
      <c r="D7880">
        <v>4.8801680000000003</v>
      </c>
      <c r="E7880">
        <v>0.39361819999999997</v>
      </c>
      <c r="F7880" t="s">
        <v>42</v>
      </c>
      <c r="G7880">
        <v>-213.65469999999999</v>
      </c>
      <c r="H7880">
        <v>1.034616</v>
      </c>
      <c r="I7880">
        <v>-62.2299199999999</v>
      </c>
      <c r="J7880">
        <v>-214.2244</v>
      </c>
      <c r="K7880">
        <v>1.1216740000000001</v>
      </c>
      <c r="L7880">
        <v>-62.754300000000001</v>
      </c>
      <c r="M7880">
        <v>0.99988460000000001</v>
      </c>
      <c r="N7880">
        <v>-1.506062E-2</v>
      </c>
      <c r="O7880">
        <v>1.9841390000000002E-3</v>
      </c>
      <c r="P7880">
        <v>0.93379509999999999</v>
      </c>
      <c r="Q7880">
        <v>-7.7387789999999998E-2</v>
      </c>
      <c r="R7880">
        <v>0.34933920000000002</v>
      </c>
      <c r="S7880">
        <v>2.5012210000000001</v>
      </c>
      <c r="T7880">
        <v>-0.30535959999999901</v>
      </c>
      <c r="U7880">
        <v>1.8423769999999999</v>
      </c>
      <c r="V7880">
        <v>-0.34738909999999901</v>
      </c>
      <c r="W7880">
        <v>-6.3830919999999999E-2</v>
      </c>
      <c r="X7880">
        <v>0.93554599999999999</v>
      </c>
      <c r="Y7880">
        <v>-0.58815220000000001</v>
      </c>
      <c r="Z7880">
        <v>3.6672509999999998E-2</v>
      </c>
      <c r="AA7880">
        <v>0.80791840000000004</v>
      </c>
      <c r="AB7880">
        <v>27</v>
      </c>
      <c r="AC7880">
        <v>0.56970000000001098</v>
      </c>
      <c r="AD7880">
        <v>-8.7057999999999996E-2</v>
      </c>
      <c r="AE7880">
        <v>0.52438000000000695</v>
      </c>
      <c r="AF7880">
        <v>-0.51671631505150295</v>
      </c>
      <c r="AG7880">
        <v>-8.7057999999999996E-2</v>
      </c>
      <c r="AH7880">
        <v>0.56361440837932897</v>
      </c>
      <c r="AI7880">
        <v>96.495529886572598</v>
      </c>
      <c r="AJ7880">
        <v>132.51430118914701</v>
      </c>
      <c r="AK7880">
        <v>0.76956874087841298</v>
      </c>
      <c r="AL7880">
        <v>93.659730585223201</v>
      </c>
      <c r="AM7880">
        <v>110.371084710246</v>
      </c>
      <c r="AN7880">
        <v>0.99999994563142602</v>
      </c>
    </row>
    <row r="7881" spans="1:40" x14ac:dyDescent="0.25">
      <c r="A7881" t="str">
        <f>"20190303155002683"</f>
        <v>20190303155002683</v>
      </c>
      <c r="B7881" t="str">
        <f>"1551599402678489"</f>
        <v>1551599402678489</v>
      </c>
      <c r="C7881" t="s">
        <v>40</v>
      </c>
      <c r="D7881">
        <v>4.8584870000000002</v>
      </c>
      <c r="E7881">
        <v>0.39413039999999999</v>
      </c>
      <c r="F7881" t="s">
        <v>42</v>
      </c>
      <c r="G7881">
        <v>-213.42769999999999</v>
      </c>
      <c r="H7881">
        <v>1.0244500000000001</v>
      </c>
      <c r="I7881">
        <v>-62.167090000000002</v>
      </c>
      <c r="J7881">
        <v>-214.09100000000001</v>
      </c>
      <c r="K7881">
        <v>1.1217159999999999</v>
      </c>
      <c r="L7881">
        <v>-62.753540000000001</v>
      </c>
      <c r="M7881">
        <v>0.99988370000000004</v>
      </c>
      <c r="N7881">
        <v>-1.5062010000000001E-2</v>
      </c>
      <c r="O7881">
        <v>2.4643389999999999E-3</v>
      </c>
      <c r="P7881">
        <v>0.9326314</v>
      </c>
      <c r="Q7881">
        <v>-7.7651369999999997E-2</v>
      </c>
      <c r="R7881">
        <v>0.35237649999999998</v>
      </c>
      <c r="S7881">
        <v>2.4984890000000002</v>
      </c>
      <c r="T7881">
        <v>-0.30490709999999999</v>
      </c>
      <c r="U7881">
        <v>1.841553</v>
      </c>
      <c r="V7881">
        <v>-0.3499739</v>
      </c>
      <c r="W7881">
        <v>-6.4146090000000003E-2</v>
      </c>
      <c r="X7881">
        <v>0.93456070000000002</v>
      </c>
      <c r="Y7881">
        <v>-0.58801979999999998</v>
      </c>
      <c r="Z7881">
        <v>3.6603209999999997E-2</v>
      </c>
      <c r="AA7881">
        <v>0.80801789999999996</v>
      </c>
      <c r="AB7881">
        <v>27</v>
      </c>
      <c r="AC7881">
        <v>0.66329999999999201</v>
      </c>
      <c r="AD7881">
        <v>-9.7265999999999797E-2</v>
      </c>
      <c r="AE7881">
        <v>0.58644999999999903</v>
      </c>
      <c r="AF7881">
        <v>-0.577839565332952</v>
      </c>
      <c r="AG7881">
        <v>-9.7265999999999797E-2</v>
      </c>
      <c r="AH7881">
        <v>0.65681632794600597</v>
      </c>
      <c r="AI7881">
        <v>96.344333399939103</v>
      </c>
      <c r="AJ7881">
        <v>131.339969240432</v>
      </c>
      <c r="AK7881">
        <v>0.88020845637647105</v>
      </c>
      <c r="AL7881">
        <v>93.677825097405602</v>
      </c>
      <c r="AM7881">
        <v>110.52989913892</v>
      </c>
      <c r="AN7881">
        <v>1.0000000767639901</v>
      </c>
    </row>
    <row r="7882" spans="1:40" x14ac:dyDescent="0.25">
      <c r="A7882" t="str">
        <f>"20190303155002694"</f>
        <v>20190303155002694</v>
      </c>
      <c r="B7882" t="str">
        <f>"1551599402688248"</f>
        <v>1551599402688248</v>
      </c>
      <c r="C7882" t="s">
        <v>40</v>
      </c>
      <c r="D7882">
        <v>4.8660230000000002</v>
      </c>
      <c r="E7882">
        <v>0.3945553</v>
      </c>
      <c r="F7882" t="s">
        <v>64</v>
      </c>
      <c r="G7882">
        <v>-204.9084</v>
      </c>
      <c r="H7882" s="1">
        <v>-4.1831139999999998E-6</v>
      </c>
      <c r="I7882">
        <v>-55.957630000000002</v>
      </c>
      <c r="J7882">
        <v>-213.94980000000001</v>
      </c>
      <c r="K7882">
        <v>1.1217629999999901</v>
      </c>
      <c r="L7882">
        <v>-62.752619999999901</v>
      </c>
      <c r="M7882">
        <v>0.9998821</v>
      </c>
      <c r="N7882">
        <v>-1.5063190000000001E-2</v>
      </c>
      <c r="O7882">
        <v>3.0209949999999998E-3</v>
      </c>
      <c r="P7882">
        <v>0.93158839999999998</v>
      </c>
      <c r="Q7882">
        <v>-7.7883149999999998E-2</v>
      </c>
      <c r="R7882">
        <v>0.3550741</v>
      </c>
      <c r="S7882">
        <v>2.4939580000000001</v>
      </c>
      <c r="T7882">
        <v>-0.30465340000000002</v>
      </c>
      <c r="U7882">
        <v>1.845734</v>
      </c>
      <c r="V7882">
        <v>-0.3521474</v>
      </c>
      <c r="W7882">
        <v>-6.4433009999999999E-2</v>
      </c>
      <c r="X7882">
        <v>0.933724</v>
      </c>
      <c r="Y7882">
        <v>-0.58914239999999996</v>
      </c>
      <c r="Z7882">
        <v>3.6629969999999998E-2</v>
      </c>
      <c r="AA7882">
        <v>0.80719859999999999</v>
      </c>
      <c r="AB7882">
        <v>27</v>
      </c>
      <c r="AC7882">
        <v>9.0414000000000101</v>
      </c>
      <c r="AD7882">
        <v>-1.1217671831139999</v>
      </c>
      <c r="AE7882">
        <v>6.7949899999999896</v>
      </c>
      <c r="AF7882">
        <v>-6.7017158117408</v>
      </c>
      <c r="AG7882">
        <v>-1.1217671831139999</v>
      </c>
      <c r="AH7882">
        <v>8.9736135459476891</v>
      </c>
      <c r="AI7882">
        <v>95.719572508903795</v>
      </c>
      <c r="AJ7882">
        <v>126.75328227268</v>
      </c>
      <c r="AK7882">
        <v>11.2559804773491</v>
      </c>
      <c r="AL7882">
        <v>93.694298926191607</v>
      </c>
      <c r="AM7882">
        <v>110.663612511634</v>
      </c>
      <c r="AN7882">
        <v>0.99999995614020898</v>
      </c>
    </row>
    <row r="7883" spans="1:40" x14ac:dyDescent="0.25">
      <c r="A7883" t="str">
        <f>"20190303155002706"</f>
        <v>20190303155002706</v>
      </c>
      <c r="B7883" t="str">
        <f>"1551599402698986"</f>
        <v>1551599402698986</v>
      </c>
      <c r="C7883" t="s">
        <v>40</v>
      </c>
      <c r="D7883">
        <v>4.8329599999999999</v>
      </c>
      <c r="E7883">
        <v>0.3945553</v>
      </c>
      <c r="F7883" t="s">
        <v>42</v>
      </c>
      <c r="G7883">
        <v>-213.184</v>
      </c>
      <c r="H7883">
        <v>1.0274639999999999</v>
      </c>
      <c r="I7883">
        <v>-62.183540000000001</v>
      </c>
      <c r="J7883">
        <v>-213.80940000000001</v>
      </c>
      <c r="K7883">
        <v>1.1218129999999999</v>
      </c>
      <c r="L7883">
        <v>-62.751559999999998</v>
      </c>
      <c r="M7883">
        <v>0.99988030000000006</v>
      </c>
      <c r="N7883">
        <v>-1.506422E-2</v>
      </c>
      <c r="O7883">
        <v>3.605203E-3</v>
      </c>
      <c r="P7883">
        <v>0.93049249999999994</v>
      </c>
      <c r="Q7883">
        <v>-7.8119709999999995E-2</v>
      </c>
      <c r="R7883">
        <v>0.35788419999999999</v>
      </c>
      <c r="S7883">
        <v>2.4895939999999999</v>
      </c>
      <c r="T7883">
        <v>-0.30654510000000001</v>
      </c>
      <c r="U7883">
        <v>1.849915</v>
      </c>
      <c r="V7883">
        <v>-0.35440840000000001</v>
      </c>
      <c r="W7883">
        <v>-6.4727229999999997E-2</v>
      </c>
      <c r="X7883">
        <v>0.9328478</v>
      </c>
      <c r="Y7883">
        <v>-0.59017439999999999</v>
      </c>
      <c r="Z7883">
        <v>3.6868650000000003E-2</v>
      </c>
      <c r="AA7883">
        <v>0.80643339999999997</v>
      </c>
      <c r="AB7883">
        <v>27</v>
      </c>
      <c r="AC7883">
        <v>0.62539999999998397</v>
      </c>
      <c r="AD7883">
        <v>-9.4349000000000002E-2</v>
      </c>
      <c r="AE7883">
        <v>0.56801999999999697</v>
      </c>
      <c r="AF7883">
        <v>-0.55879243518994304</v>
      </c>
      <c r="AG7883">
        <v>-9.4349000000000002E-2</v>
      </c>
      <c r="AH7883">
        <v>0.61971527760706502</v>
      </c>
      <c r="AI7883">
        <v>96.450931356616707</v>
      </c>
      <c r="AJ7883">
        <v>132.040734411919</v>
      </c>
      <c r="AK7883">
        <v>0.83976052820200398</v>
      </c>
      <c r="AL7883">
        <v>93.711191691457898</v>
      </c>
      <c r="AM7883">
        <v>110.80283197304099</v>
      </c>
      <c r="AN7883">
        <v>0.999999973129436</v>
      </c>
    </row>
    <row r="7884" spans="1:40" x14ac:dyDescent="0.25">
      <c r="A7884" t="str">
        <f>"20190303155002717"</f>
        <v>20190303155002717</v>
      </c>
      <c r="B7884" t="str">
        <f>"1551599402708744"</f>
        <v>1551599402708744</v>
      </c>
      <c r="C7884" t="s">
        <v>40</v>
      </c>
      <c r="D7884">
        <v>5.1937379999999997</v>
      </c>
      <c r="E7884">
        <v>0.4221297</v>
      </c>
      <c r="F7884" t="s">
        <v>64</v>
      </c>
      <c r="G7884">
        <v>-204.7371</v>
      </c>
      <c r="H7884" s="1">
        <v>-4.2681130000000004E-6</v>
      </c>
      <c r="I7884">
        <v>-55.967799999999997</v>
      </c>
      <c r="J7884">
        <v>-213.67490000000001</v>
      </c>
      <c r="K7884">
        <v>1.1218629999999901</v>
      </c>
      <c r="L7884">
        <v>-62.750489999999999</v>
      </c>
      <c r="M7884">
        <v>0.99987780000000004</v>
      </c>
      <c r="N7884">
        <v>-1.506506E-2</v>
      </c>
      <c r="O7884">
        <v>4.1943429999999997E-3</v>
      </c>
      <c r="P7884">
        <v>0.92944749999999998</v>
      </c>
      <c r="Q7884">
        <v>-7.8227359999999996E-2</v>
      </c>
      <c r="R7884">
        <v>0.3605662</v>
      </c>
      <c r="S7884">
        <v>2.4839319999999998</v>
      </c>
      <c r="T7884">
        <v>-0.30714829999999999</v>
      </c>
      <c r="U7884">
        <v>1.857361</v>
      </c>
      <c r="V7884">
        <v>-0.35653750000000001</v>
      </c>
      <c r="W7884">
        <v>-6.4891690000000002E-2</v>
      </c>
      <c r="X7884">
        <v>0.93202470000000004</v>
      </c>
      <c r="Y7884">
        <v>-0.59210410000000002</v>
      </c>
      <c r="Z7884">
        <v>3.7034350000000001E-2</v>
      </c>
      <c r="AA7884">
        <v>0.80501</v>
      </c>
      <c r="AB7884">
        <v>27</v>
      </c>
      <c r="AC7884">
        <v>8.93780000000001</v>
      </c>
      <c r="AD7884">
        <v>-1.12186726811299</v>
      </c>
      <c r="AE7884">
        <v>6.7826899999999997</v>
      </c>
      <c r="AF7884">
        <v>-6.67837036871975</v>
      </c>
      <c r="AG7884">
        <v>-1.12186726811299</v>
      </c>
      <c r="AH7884">
        <v>8.8774208422156793</v>
      </c>
      <c r="AI7884">
        <v>95.766607451994204</v>
      </c>
      <c r="AJ7884">
        <v>126.953676867238</v>
      </c>
      <c r="AK7884">
        <v>11.1654743633606</v>
      </c>
      <c r="AL7884">
        <v>93.720634378595193</v>
      </c>
      <c r="AM7884">
        <v>110.93389319301301</v>
      </c>
      <c r="AN7884">
        <v>0.99999998087369701</v>
      </c>
    </row>
    <row r="7885" spans="1:40" x14ac:dyDescent="0.25">
      <c r="A7885" t="str">
        <f>"20190303155002730"</f>
        <v>20190303155002730</v>
      </c>
      <c r="B7885" t="str">
        <f>"1551599402718505"</f>
        <v>1551599402718505</v>
      </c>
      <c r="C7885" t="s">
        <v>40</v>
      </c>
      <c r="D7885">
        <v>5.2252809999999998</v>
      </c>
      <c r="E7885">
        <v>0.4221297</v>
      </c>
      <c r="F7885" t="s">
        <v>42</v>
      </c>
      <c r="G7885">
        <v>-212.9264</v>
      </c>
      <c r="H7885">
        <v>1.036697</v>
      </c>
      <c r="I7885">
        <v>-62.265279999999997</v>
      </c>
      <c r="J7885">
        <v>-213.5258</v>
      </c>
      <c r="K7885">
        <v>1.121918</v>
      </c>
      <c r="L7885">
        <v>-62.749110000000002</v>
      </c>
      <c r="M7885">
        <v>0.99987470000000001</v>
      </c>
      <c r="N7885">
        <v>-1.5065810000000001E-2</v>
      </c>
      <c r="O7885">
        <v>4.8995740000000003E-3</v>
      </c>
      <c r="P7885">
        <v>0.92843549999999997</v>
      </c>
      <c r="Q7885">
        <v>-7.7970810000000002E-2</v>
      </c>
      <c r="R7885">
        <v>0.36321940000000003</v>
      </c>
      <c r="S7885">
        <v>2.559326</v>
      </c>
      <c r="T7885">
        <v>-0.2912399</v>
      </c>
      <c r="U7885">
        <v>1.659729</v>
      </c>
      <c r="V7885">
        <v>-0.35853089999999999</v>
      </c>
      <c r="W7885">
        <v>-6.4697249999999998E-2</v>
      </c>
      <c r="X7885">
        <v>0.93127320000000002</v>
      </c>
      <c r="Y7885">
        <v>-0.53713639999999996</v>
      </c>
      <c r="Z7885">
        <v>3.1789199999999997E-2</v>
      </c>
      <c r="AA7885">
        <v>0.84289619999999998</v>
      </c>
      <c r="AB7885">
        <v>27</v>
      </c>
      <c r="AC7885">
        <v>0.59940000000000204</v>
      </c>
      <c r="AD7885">
        <v>-8.5220999999999894E-2</v>
      </c>
      <c r="AE7885">
        <v>0.48382999999998999</v>
      </c>
      <c r="AF7885">
        <v>-0.47507237008463299</v>
      </c>
      <c r="AG7885">
        <v>-8.5220999999999894E-2</v>
      </c>
      <c r="AH7885">
        <v>0.59448736079653097</v>
      </c>
      <c r="AI7885">
        <v>96.389743151191695</v>
      </c>
      <c r="AJ7885">
        <v>128.62938213905099</v>
      </c>
      <c r="AK7885">
        <v>0.76574904362046403</v>
      </c>
      <c r="AL7885">
        <v>93.709470416900302</v>
      </c>
      <c r="AM7885">
        <v>111.05620824136599</v>
      </c>
      <c r="AN7885">
        <v>0.99999995672530495</v>
      </c>
    </row>
    <row r="7886" spans="1:40" x14ac:dyDescent="0.25">
      <c r="A7886" t="str">
        <f>"20190303155002744"</f>
        <v>20190303155002744</v>
      </c>
      <c r="B7886" t="str">
        <f>"1551599402739001"</f>
        <v>1551599402739001</v>
      </c>
      <c r="C7886" t="s">
        <v>40</v>
      </c>
      <c r="D7886">
        <v>5.0097959999999997</v>
      </c>
      <c r="E7886">
        <v>0.48866709999999902</v>
      </c>
      <c r="F7886" t="s">
        <v>42</v>
      </c>
      <c r="G7886">
        <v>-212.6994</v>
      </c>
      <c r="H7886">
        <v>1.027917</v>
      </c>
      <c r="I7886">
        <v>-62.209769999999899</v>
      </c>
      <c r="J7886">
        <v>-213.34989999999999</v>
      </c>
      <c r="K7886">
        <v>1.1219889999999999</v>
      </c>
      <c r="L7886">
        <v>-62.747340000000001</v>
      </c>
      <c r="M7886">
        <v>0.99986989999999998</v>
      </c>
      <c r="N7886">
        <v>-1.506653E-2</v>
      </c>
      <c r="O7886">
        <v>5.7775830000000002E-3</v>
      </c>
      <c r="P7886">
        <v>0.92679489999999998</v>
      </c>
      <c r="Q7886">
        <v>-7.7568369999999998E-2</v>
      </c>
      <c r="R7886">
        <v>0.36747010000000002</v>
      </c>
      <c r="S7886">
        <v>2.5546720000000001</v>
      </c>
      <c r="T7886">
        <v>-0.29055550000000002</v>
      </c>
      <c r="U7886">
        <v>1.6670529999999999</v>
      </c>
      <c r="V7886">
        <v>-0.36196460000000003</v>
      </c>
      <c r="W7886">
        <v>-6.4379370000000005E-2</v>
      </c>
      <c r="X7886">
        <v>0.92996610000000002</v>
      </c>
      <c r="Y7886">
        <v>-0.53879709999999903</v>
      </c>
      <c r="Z7886">
        <v>3.1772120000000001E-2</v>
      </c>
      <c r="AA7886">
        <v>0.84183619999999904</v>
      </c>
      <c r="AB7886">
        <v>27</v>
      </c>
      <c r="AC7886">
        <v>0.65049999999999297</v>
      </c>
      <c r="AD7886">
        <v>-9.4071999999999906E-2</v>
      </c>
      <c r="AE7886">
        <v>0.53757000000000899</v>
      </c>
      <c r="AF7886">
        <v>-0.52725023202115795</v>
      </c>
      <c r="AG7886">
        <v>-9.4071999999999906E-2</v>
      </c>
      <c r="AH7886">
        <v>0.64557292221288198</v>
      </c>
      <c r="AI7886">
        <v>96.439210498234402</v>
      </c>
      <c r="AJ7886">
        <v>129.239089220051</v>
      </c>
      <c r="AK7886">
        <v>0.83881270033592503</v>
      </c>
      <c r="AL7886">
        <v>93.691218983246401</v>
      </c>
      <c r="AM7886">
        <v>111.267153653336</v>
      </c>
      <c r="AN7886">
        <v>1.00000001104198</v>
      </c>
    </row>
    <row r="7887" spans="1:40" x14ac:dyDescent="0.25">
      <c r="A7887" t="str">
        <f>"20190303155002756"</f>
        <v>20190303155002756</v>
      </c>
      <c r="B7887" t="str">
        <f>"1551599402748761"</f>
        <v>1551599402748761</v>
      </c>
      <c r="C7887" t="s">
        <v>40</v>
      </c>
      <c r="D7887">
        <v>5.019031</v>
      </c>
      <c r="E7887">
        <v>0.49460140000000002</v>
      </c>
      <c r="F7887" t="s">
        <v>64</v>
      </c>
      <c r="G7887">
        <v>-200.6619</v>
      </c>
      <c r="H7887" s="1">
        <v>-5.9445350000000003E-6</v>
      </c>
      <c r="I7887">
        <v>-57.266979999999997</v>
      </c>
      <c r="J7887">
        <v>-213.2088</v>
      </c>
      <c r="K7887">
        <v>1.122047</v>
      </c>
      <c r="L7887">
        <v>-62.745730000000002</v>
      </c>
      <c r="M7887">
        <v>0.99986529999999996</v>
      </c>
      <c r="N7887">
        <v>-1.5066970000000001E-2</v>
      </c>
      <c r="O7887">
        <v>6.5334700000000004E-3</v>
      </c>
      <c r="P7887">
        <v>0.92590839999999996</v>
      </c>
      <c r="Q7887">
        <v>-7.757443E-2</v>
      </c>
      <c r="R7887">
        <v>0.3696971</v>
      </c>
      <c r="S7887">
        <v>2.7463069999999998</v>
      </c>
      <c r="T7887">
        <v>-0.2428544</v>
      </c>
      <c r="U7887">
        <v>1.186218</v>
      </c>
      <c r="V7887">
        <v>-0.36348659999999999</v>
      </c>
      <c r="W7887">
        <v>-6.4446489999999995E-2</v>
      </c>
      <c r="X7887">
        <v>0.92936759999999996</v>
      </c>
      <c r="Y7887">
        <v>-0.38900269999999998</v>
      </c>
      <c r="Z7887">
        <v>1.9040319999999999E-2</v>
      </c>
      <c r="AA7887">
        <v>0.92103979999999996</v>
      </c>
      <c r="AB7887">
        <v>27</v>
      </c>
      <c r="AC7887">
        <v>12.5468999999999</v>
      </c>
      <c r="AD7887">
        <v>-1.122052944535</v>
      </c>
      <c r="AE7887">
        <v>5.47874999999999</v>
      </c>
      <c r="AF7887">
        <v>-5.3606426886055401</v>
      </c>
      <c r="AG7887">
        <v>-1.122052944535</v>
      </c>
      <c r="AH7887">
        <v>12.498481889681001</v>
      </c>
      <c r="AI7887">
        <v>94.716588244460695</v>
      </c>
      <c r="AJ7887">
        <v>113.214662754516</v>
      </c>
      <c r="AK7887">
        <v>13.6457884488924</v>
      </c>
      <c r="AL7887">
        <v>93.695072730025998</v>
      </c>
      <c r="AM7887">
        <v>111.361052528992</v>
      </c>
      <c r="AN7887">
        <v>0.99999999719131905</v>
      </c>
    </row>
    <row r="7888" spans="1:40" x14ac:dyDescent="0.25">
      <c r="A7888" t="str">
        <f>"20190303155002770"</f>
        <v>20190303155002770</v>
      </c>
      <c r="B7888" t="str">
        <f>"1551599402758521"</f>
        <v>1551599402758521</v>
      </c>
      <c r="C7888" t="s">
        <v>40</v>
      </c>
      <c r="D7888">
        <v>5.0063329999999997</v>
      </c>
      <c r="E7888">
        <v>0.49835849999999998</v>
      </c>
      <c r="F7888" t="s">
        <v>64</v>
      </c>
      <c r="G7888">
        <v>-199.75960000000001</v>
      </c>
      <c r="H7888" s="1">
        <v>-8.3995589999999995E-6</v>
      </c>
      <c r="I7888">
        <v>-57.150280000000002</v>
      </c>
      <c r="J7888">
        <v>-213.05340000000001</v>
      </c>
      <c r="K7888">
        <v>1.1221099999999999</v>
      </c>
      <c r="L7888">
        <v>-62.743769999999998</v>
      </c>
      <c r="M7888">
        <v>0.99985900000000005</v>
      </c>
      <c r="N7888">
        <v>-1.506739E-2</v>
      </c>
      <c r="O7888">
        <v>7.4205599999999997E-3</v>
      </c>
      <c r="P7888">
        <v>0.92507150000000005</v>
      </c>
      <c r="Q7888">
        <v>-7.7762910000000005E-2</v>
      </c>
      <c r="R7888">
        <v>0.37174699999999999</v>
      </c>
      <c r="S7888">
        <v>2.7619319999999998</v>
      </c>
      <c r="T7888">
        <v>-0.23042460000000001</v>
      </c>
      <c r="U7888">
        <v>1.149078</v>
      </c>
      <c r="V7888">
        <v>-0.36470829999999999</v>
      </c>
      <c r="W7888">
        <v>-6.4699359999999997E-2</v>
      </c>
      <c r="X7888">
        <v>0.92887129999999996</v>
      </c>
      <c r="Y7888">
        <v>-0.37593389999999999</v>
      </c>
      <c r="Z7888">
        <v>1.7497559999999999E-2</v>
      </c>
      <c r="AA7888">
        <v>0.92648129999999995</v>
      </c>
      <c r="AB7888">
        <v>27</v>
      </c>
      <c r="AC7888">
        <v>13.293799999999999</v>
      </c>
      <c r="AD7888">
        <v>-1.1221183995589901</v>
      </c>
      <c r="AE7888">
        <v>5.5934899999999903</v>
      </c>
      <c r="AF7888">
        <v>-5.4616168059150398</v>
      </c>
      <c r="AG7888">
        <v>-1.1221183995589901</v>
      </c>
      <c r="AH7888">
        <v>13.2547113869825</v>
      </c>
      <c r="AI7888">
        <v>94.475620314953304</v>
      </c>
      <c r="AJ7888">
        <v>112.394158049429</v>
      </c>
      <c r="AK7888">
        <v>14.3797003372632</v>
      </c>
      <c r="AL7888">
        <v>93.709591323756896</v>
      </c>
      <c r="AM7888">
        <v>111.43675839474</v>
      </c>
      <c r="AN7888">
        <v>1.0000000216184901</v>
      </c>
    </row>
    <row r="7889" spans="1:40" x14ac:dyDescent="0.25">
      <c r="A7889" t="str">
        <f>"20190303155002782"</f>
        <v>20190303155002782</v>
      </c>
      <c r="B7889" t="str">
        <f>"1551599402779018"</f>
        <v>1551599402779018</v>
      </c>
      <c r="C7889" t="s">
        <v>40</v>
      </c>
      <c r="D7889">
        <v>5.003857</v>
      </c>
      <c r="E7889">
        <v>0.50344390000000006</v>
      </c>
      <c r="F7889" t="s">
        <v>64</v>
      </c>
      <c r="G7889">
        <v>-199.31710000000001</v>
      </c>
      <c r="H7889" s="1">
        <v>-8.3485550000000002E-6</v>
      </c>
      <c r="I7889">
        <v>-57.153799999999997</v>
      </c>
      <c r="J7889">
        <v>-212.90889999999999</v>
      </c>
      <c r="K7889">
        <v>1.12217099999999</v>
      </c>
      <c r="L7889">
        <v>-62.741880000000002</v>
      </c>
      <c r="M7889">
        <v>0.99985230000000003</v>
      </c>
      <c r="N7889">
        <v>-1.506768E-2</v>
      </c>
      <c r="O7889">
        <v>8.2742609999999998E-3</v>
      </c>
      <c r="P7889">
        <v>0.92435</v>
      </c>
      <c r="Q7889">
        <v>-7.8406829999999997E-2</v>
      </c>
      <c r="R7889">
        <v>0.37340259999999997</v>
      </c>
      <c r="S7889">
        <v>2.7708439999999999</v>
      </c>
      <c r="T7889">
        <v>-0.22635069999999999</v>
      </c>
      <c r="U7889">
        <v>1.127594</v>
      </c>
      <c r="V7889">
        <v>-0.36556739999999999</v>
      </c>
      <c r="W7889">
        <v>-6.5401849999999997E-2</v>
      </c>
      <c r="X7889">
        <v>0.92848430000000004</v>
      </c>
      <c r="Y7889">
        <v>-0.36800040000000001</v>
      </c>
      <c r="Z7889">
        <v>1.6788620000000001E-2</v>
      </c>
      <c r="AA7889">
        <v>0.929674</v>
      </c>
      <c r="AB7889">
        <v>27</v>
      </c>
      <c r="AC7889">
        <v>13.5917999999999</v>
      </c>
      <c r="AD7889">
        <v>-1.12217934855499</v>
      </c>
      <c r="AE7889">
        <v>5.5880799999999997</v>
      </c>
      <c r="AF7889">
        <v>-5.4436716922853901</v>
      </c>
      <c r="AG7889">
        <v>-1.12217934855499</v>
      </c>
      <c r="AH7889">
        <v>13.5585172332891</v>
      </c>
      <c r="AI7889">
        <v>94.3920548790407</v>
      </c>
      <c r="AJ7889">
        <v>111.875194937</v>
      </c>
      <c r="AK7889">
        <v>14.6535401029618</v>
      </c>
      <c r="AL7889">
        <v>93.749926508306501</v>
      </c>
      <c r="AM7889">
        <v>111.49079556782701</v>
      </c>
      <c r="AN7889">
        <v>1.00000001063633</v>
      </c>
    </row>
    <row r="7890" spans="1:40" x14ac:dyDescent="0.25">
      <c r="A7890" t="str">
        <f>"20190303155002794"</f>
        <v>20190303155002794</v>
      </c>
      <c r="B7890" t="str">
        <f>"1551599402788777"</f>
        <v>1551599402788777</v>
      </c>
      <c r="C7890" t="s">
        <v>40</v>
      </c>
      <c r="D7890">
        <v>4.9945120000000003</v>
      </c>
      <c r="E7890">
        <v>0.50508540000000002</v>
      </c>
      <c r="F7890" t="s">
        <v>64</v>
      </c>
      <c r="G7890">
        <v>-198.57220000000001</v>
      </c>
      <c r="H7890" s="1">
        <v>-8.2821729999999996E-6</v>
      </c>
      <c r="I7890">
        <v>-57.104199999999999</v>
      </c>
      <c r="J7890">
        <v>-212.75620000000001</v>
      </c>
      <c r="K7890">
        <v>1.122239</v>
      </c>
      <c r="L7890">
        <v>-62.739559999999997</v>
      </c>
      <c r="M7890">
        <v>0.9998437</v>
      </c>
      <c r="N7890">
        <v>-1.506792E-2</v>
      </c>
      <c r="O7890">
        <v>9.2472709999999996E-3</v>
      </c>
      <c r="P7890">
        <v>0.92355189999999998</v>
      </c>
      <c r="Q7890">
        <v>-7.9159930000000003E-2</v>
      </c>
      <c r="R7890">
        <v>0.3752142</v>
      </c>
      <c r="S7890">
        <v>2.7846829999999998</v>
      </c>
      <c r="T7890">
        <v>-0.21796570000000001</v>
      </c>
      <c r="U7890">
        <v>1.095032</v>
      </c>
      <c r="V7890">
        <v>-0.36647150000000001</v>
      </c>
      <c r="W7890">
        <v>-6.6217789999999999E-2</v>
      </c>
      <c r="X7890">
        <v>0.9280699</v>
      </c>
      <c r="Y7890">
        <v>-0.35620239999999997</v>
      </c>
      <c r="Z7890">
        <v>1.5643480000000001E-2</v>
      </c>
      <c r="AA7890">
        <v>0.93427789999999999</v>
      </c>
      <c r="AB7890">
        <v>27</v>
      </c>
      <c r="AC7890">
        <v>14.1839999999999</v>
      </c>
      <c r="AD7890">
        <v>-1.1222472821730001</v>
      </c>
      <c r="AE7890">
        <v>5.6353599999999897</v>
      </c>
      <c r="AF7890">
        <v>-5.4743430241300404</v>
      </c>
      <c r="AG7890">
        <v>-1.1222472821730001</v>
      </c>
      <c r="AH7890">
        <v>14.158958668385001</v>
      </c>
      <c r="AI7890">
        <v>94.228035953045307</v>
      </c>
      <c r="AJ7890">
        <v>111.13822542742101</v>
      </c>
      <c r="AK7890">
        <v>15.221825812996901</v>
      </c>
      <c r="AL7890">
        <v>93.796778232331704</v>
      </c>
      <c r="AM7890">
        <v>111.547818876975</v>
      </c>
      <c r="AN7890">
        <v>0.99999994765537004</v>
      </c>
    </row>
    <row r="7891" spans="1:40" x14ac:dyDescent="0.25">
      <c r="A7891" t="str">
        <f>"20190303155002807"</f>
        <v>20190303155002807</v>
      </c>
      <c r="B7891" t="str">
        <f>"1551599402798537"</f>
        <v>1551599402798537</v>
      </c>
      <c r="C7891" t="s">
        <v>40</v>
      </c>
      <c r="D7891">
        <v>4.9946210000000004</v>
      </c>
      <c r="E7891">
        <v>0.50636289999999995</v>
      </c>
      <c r="F7891" t="s">
        <v>64</v>
      </c>
      <c r="G7891">
        <v>-198.4058</v>
      </c>
      <c r="H7891" s="1">
        <v>-8.2523030000000005E-6</v>
      </c>
      <c r="I7891">
        <v>-57.13599</v>
      </c>
      <c r="J7891">
        <v>-212.6165</v>
      </c>
      <c r="K7891">
        <v>1.1222989999999999</v>
      </c>
      <c r="L7891">
        <v>-62.737299999999998</v>
      </c>
      <c r="M7891">
        <v>0.99983489999999997</v>
      </c>
      <c r="N7891">
        <v>-1.5068079999999999E-2</v>
      </c>
      <c r="O7891">
        <v>1.0171070000000001E-2</v>
      </c>
      <c r="P7891">
        <v>0.92282459999999999</v>
      </c>
      <c r="Q7891">
        <v>-7.9607259999999999E-2</v>
      </c>
      <c r="R7891">
        <v>0.3769053</v>
      </c>
      <c r="S7891">
        <v>2.7874300000000001</v>
      </c>
      <c r="T7891">
        <v>-0.21798590000000001</v>
      </c>
      <c r="U7891">
        <v>1.0884400000000001</v>
      </c>
      <c r="V7891">
        <v>-0.36730279999999998</v>
      </c>
      <c r="W7891">
        <v>-6.672169E-2</v>
      </c>
      <c r="X7891">
        <v>0.92770520000000001</v>
      </c>
      <c r="Y7891">
        <v>-0.35312070000000001</v>
      </c>
      <c r="Z7891">
        <v>1.5440880000000001E-2</v>
      </c>
      <c r="AA7891">
        <v>0.93545029999999996</v>
      </c>
      <c r="AB7891">
        <v>27</v>
      </c>
      <c r="AC7891">
        <v>14.210699999999999</v>
      </c>
      <c r="AD7891">
        <v>-1.122307252303</v>
      </c>
      <c r="AE7891">
        <v>5.60130999999999</v>
      </c>
      <c r="AF7891">
        <v>-5.42716715935798</v>
      </c>
      <c r="AG7891">
        <v>-1.122307252303</v>
      </c>
      <c r="AH7891">
        <v>14.190335842051701</v>
      </c>
      <c r="AI7891">
        <v>94.224835285990395</v>
      </c>
      <c r="AJ7891">
        <v>110.929611251818</v>
      </c>
      <c r="AK7891">
        <v>15.234150723109</v>
      </c>
      <c r="AL7891">
        <v>93.825713237085793</v>
      </c>
      <c r="AM7891">
        <v>111.599910698486</v>
      </c>
      <c r="AN7891">
        <v>1.0000000344556601</v>
      </c>
    </row>
    <row r="7892" spans="1:40" x14ac:dyDescent="0.25">
      <c r="A7892" t="str">
        <f>"20190303155002825"</f>
        <v>20190303155002825</v>
      </c>
      <c r="B7892" t="str">
        <f>"1551599402819033"</f>
        <v>1551599402819033</v>
      </c>
      <c r="C7892" t="s">
        <v>40</v>
      </c>
      <c r="D7892">
        <v>5.0047259999999998</v>
      </c>
      <c r="E7892">
        <v>0.50830059999999999</v>
      </c>
      <c r="F7892" t="s">
        <v>64</v>
      </c>
      <c r="G7892">
        <v>-198.19880000000001</v>
      </c>
      <c r="H7892" s="1">
        <v>-8.2299379999999995E-6</v>
      </c>
      <c r="I7892">
        <v>-57.1333699999999</v>
      </c>
      <c r="J7892">
        <v>-212.38910000000001</v>
      </c>
      <c r="K7892">
        <v>1.122401</v>
      </c>
      <c r="L7892">
        <v>-62.733310000000003</v>
      </c>
      <c r="M7892">
        <v>0.99981739999999997</v>
      </c>
      <c r="N7892">
        <v>-1.50682E-2</v>
      </c>
      <c r="O7892">
        <v>1.17579E-2</v>
      </c>
      <c r="P7892">
        <v>0.9217727</v>
      </c>
      <c r="Q7892">
        <v>-7.9216239999999993E-2</v>
      </c>
      <c r="R7892">
        <v>0.3795521</v>
      </c>
      <c r="S7892">
        <v>2.7893370000000002</v>
      </c>
      <c r="T7892">
        <v>-0.21712790000000001</v>
      </c>
      <c r="U7892">
        <v>1.0841670000000001</v>
      </c>
      <c r="V7892">
        <v>-0.36847839999999998</v>
      </c>
      <c r="W7892">
        <v>-6.6417489999999996E-2</v>
      </c>
      <c r="X7892">
        <v>0.92726070000000005</v>
      </c>
      <c r="Y7892">
        <v>-0.35019479999999997</v>
      </c>
      <c r="Z7892">
        <v>1.515791E-2</v>
      </c>
      <c r="AA7892">
        <v>0.93655429999999995</v>
      </c>
      <c r="AB7892">
        <v>27</v>
      </c>
      <c r="AC7892">
        <v>14.190300000000001</v>
      </c>
      <c r="AD7892">
        <v>-1.122409229938</v>
      </c>
      <c r="AE7892">
        <v>5.5999400000000001</v>
      </c>
      <c r="AF7892">
        <v>-5.4034353764135599</v>
      </c>
      <c r="AG7892">
        <v>-1.122409229938</v>
      </c>
      <c r="AH7892">
        <v>14.178417952155</v>
      </c>
      <c r="AI7892">
        <v>94.230655498478797</v>
      </c>
      <c r="AJ7892">
        <v>110.861985910101</v>
      </c>
      <c r="AK7892">
        <v>15.2146131062383</v>
      </c>
      <c r="AL7892">
        <v>93.808245206685399</v>
      </c>
      <c r="AM7892">
        <v>111.672072322546</v>
      </c>
      <c r="AN7892">
        <v>1.0000000100044699</v>
      </c>
    </row>
    <row r="7893" spans="1:40" x14ac:dyDescent="0.25">
      <c r="A7893" t="str">
        <f>"20190303155002839"</f>
        <v>20190303155002839</v>
      </c>
      <c r="B7893" t="str">
        <f>"1551599402828793"</f>
        <v>1551599402828793</v>
      </c>
      <c r="C7893" t="s">
        <v>40</v>
      </c>
      <c r="D7893">
        <v>5.0153540000000003</v>
      </c>
      <c r="E7893">
        <v>0.50903180000000003</v>
      </c>
      <c r="F7893" t="s">
        <v>64</v>
      </c>
      <c r="G7893">
        <v>-197.61449999999999</v>
      </c>
      <c r="H7893" s="1">
        <v>-8.2005310000000003E-6</v>
      </c>
      <c r="I7893">
        <v>-57.02993</v>
      </c>
      <c r="J7893">
        <v>-212.2217</v>
      </c>
      <c r="K7893">
        <v>1.1224689999999999</v>
      </c>
      <c r="L7893">
        <v>-62.730040000000002</v>
      </c>
      <c r="M7893">
        <v>0.99980219999999997</v>
      </c>
      <c r="N7893">
        <v>-1.5068099999999999E-2</v>
      </c>
      <c r="O7893">
        <v>1.2982260000000001E-2</v>
      </c>
      <c r="P7893">
        <v>0.92115800000000003</v>
      </c>
      <c r="Q7893">
        <v>-7.8425439999999999E-2</v>
      </c>
      <c r="R7893">
        <v>0.38120520000000002</v>
      </c>
      <c r="S7893">
        <v>2.7924799999999999</v>
      </c>
      <c r="T7893">
        <v>-0.212142</v>
      </c>
      <c r="U7893">
        <v>1.0779719999999999</v>
      </c>
      <c r="V7893">
        <v>-0.3689981</v>
      </c>
      <c r="W7893">
        <v>-6.5684359999999997E-2</v>
      </c>
      <c r="X7893">
        <v>0.92710630000000005</v>
      </c>
      <c r="Y7893">
        <v>-0.34694140000000001</v>
      </c>
      <c r="Z7893">
        <v>1.4651829999999999E-2</v>
      </c>
      <c r="AA7893">
        <v>0.9377723</v>
      </c>
      <c r="AB7893">
        <v>27</v>
      </c>
      <c r="AC7893">
        <v>14.607200000000001</v>
      </c>
      <c r="AD7893">
        <v>-1.122477200531</v>
      </c>
      <c r="AE7893">
        <v>5.7001099999999898</v>
      </c>
      <c r="AF7893">
        <v>-5.4818807916369199</v>
      </c>
      <c r="AG7893">
        <v>-1.122477200531</v>
      </c>
      <c r="AH7893">
        <v>14.605131210995401</v>
      </c>
      <c r="AI7893">
        <v>94.1155413129447</v>
      </c>
      <c r="AJ7893">
        <v>110.57309067446199</v>
      </c>
      <c r="AK7893">
        <v>15.640359003866299</v>
      </c>
      <c r="AL7893">
        <v>93.766147824768595</v>
      </c>
      <c r="AM7893">
        <v>111.703078014182</v>
      </c>
      <c r="AN7893">
        <v>1.0000000622259499</v>
      </c>
    </row>
    <row r="7894" spans="1:40" x14ac:dyDescent="0.25">
      <c r="A7894" t="str">
        <f>"20190303155002853"</f>
        <v>20190303155002853</v>
      </c>
      <c r="B7894" t="str">
        <f>"1551599402848313"</f>
        <v>1551599402848313</v>
      </c>
      <c r="C7894" t="s">
        <v>40</v>
      </c>
      <c r="D7894">
        <v>5.0295249999999996</v>
      </c>
      <c r="E7894">
        <v>0.51009079999999996</v>
      </c>
      <c r="F7894" t="s">
        <v>64</v>
      </c>
      <c r="G7894">
        <v>-197.22120000000001</v>
      </c>
      <c r="H7894" s="1">
        <v>-8.1868370000000005E-6</v>
      </c>
      <c r="I7894">
        <v>-56.942880000000002</v>
      </c>
      <c r="J7894">
        <v>-212.06909999999999</v>
      </c>
      <c r="K7894">
        <v>1.1225270000000001</v>
      </c>
      <c r="L7894">
        <v>-62.726779999999998</v>
      </c>
      <c r="M7894">
        <v>0.99978639999999996</v>
      </c>
      <c r="N7894">
        <v>-1.5067880000000001E-2</v>
      </c>
      <c r="O7894">
        <v>1.415309E-2</v>
      </c>
      <c r="P7894">
        <v>0.92060750000000002</v>
      </c>
      <c r="Q7894">
        <v>-7.7636640000000007E-2</v>
      </c>
      <c r="R7894">
        <v>0.38269360000000002</v>
      </c>
      <c r="S7894">
        <v>2.7930299999999999</v>
      </c>
      <c r="T7894">
        <v>-0.20900070000000001</v>
      </c>
      <c r="U7894">
        <v>1.077545</v>
      </c>
      <c r="V7894">
        <v>-0.3694038</v>
      </c>
      <c r="W7894">
        <v>-6.4941429999999994E-2</v>
      </c>
      <c r="X7894">
        <v>0.92699699999999996</v>
      </c>
      <c r="Y7894">
        <v>-0.34568989999999999</v>
      </c>
      <c r="Z7894">
        <v>1.4353930000000001E-2</v>
      </c>
      <c r="AA7894">
        <v>0.93823900000000005</v>
      </c>
      <c r="AB7894">
        <v>27</v>
      </c>
      <c r="AC7894">
        <v>14.8478999999999</v>
      </c>
      <c r="AD7894">
        <v>-1.1225351868369999</v>
      </c>
      <c r="AE7894">
        <v>5.7839</v>
      </c>
      <c r="AF7894">
        <v>-5.5456320020576904</v>
      </c>
      <c r="AG7894">
        <v>-1.1225351868369999</v>
      </c>
      <c r="AH7894">
        <v>14.8545637955493</v>
      </c>
      <c r="AI7894">
        <v>94.049538321675996</v>
      </c>
      <c r="AJ7894">
        <v>110.472036405433</v>
      </c>
      <c r="AK7894">
        <v>15.895665607453401</v>
      </c>
      <c r="AL7894">
        <v>93.723490233109004</v>
      </c>
      <c r="AM7894">
        <v>111.72704155527801</v>
      </c>
      <c r="AN7894">
        <v>0.99999999739694201</v>
      </c>
    </row>
    <row r="7895" spans="1:40" x14ac:dyDescent="0.25">
      <c r="A7895" t="str">
        <f>"20190303155002867"</f>
        <v>20190303155002867</v>
      </c>
      <c r="B7895" t="str">
        <f>"1551599402858073"</f>
        <v>1551599402858073</v>
      </c>
      <c r="C7895" t="s">
        <v>40</v>
      </c>
      <c r="D7895">
        <v>4.9704389999999998</v>
      </c>
      <c r="E7895">
        <v>0.51033339999999905</v>
      </c>
      <c r="F7895" t="s">
        <v>64</v>
      </c>
      <c r="G7895">
        <v>-196.84549999999999</v>
      </c>
      <c r="H7895" s="1">
        <v>-8.1685680000000008E-6</v>
      </c>
      <c r="I7895">
        <v>-56.874540000000003</v>
      </c>
      <c r="J7895">
        <v>-211.90049999999999</v>
      </c>
      <c r="K7895">
        <v>1.122582</v>
      </c>
      <c r="L7895">
        <v>-62.722990000000003</v>
      </c>
      <c r="M7895">
        <v>0.99976679999999996</v>
      </c>
      <c r="N7895">
        <v>-1.506741E-2</v>
      </c>
      <c r="O7895">
        <v>1.547747E-2</v>
      </c>
      <c r="P7895">
        <v>0.91992739999999995</v>
      </c>
      <c r="Q7895">
        <v>-7.6950420000000005E-2</v>
      </c>
      <c r="R7895">
        <v>0.38446350000000001</v>
      </c>
      <c r="S7895">
        <v>2.794724</v>
      </c>
      <c r="T7895">
        <v>-0.2060727</v>
      </c>
      <c r="U7895">
        <v>1.074341</v>
      </c>
      <c r="V7895">
        <v>-0.36995260000000002</v>
      </c>
      <c r="W7895">
        <v>-6.4303440000000003E-2</v>
      </c>
      <c r="X7895">
        <v>0.92682260000000005</v>
      </c>
      <c r="Y7895">
        <v>-0.34335310000000002</v>
      </c>
      <c r="Z7895">
        <v>1.401297E-2</v>
      </c>
      <c r="AA7895">
        <v>0.93910190000000004</v>
      </c>
      <c r="AB7895">
        <v>27</v>
      </c>
      <c r="AC7895">
        <v>15.055</v>
      </c>
      <c r="AD7895">
        <v>-1.122590168568</v>
      </c>
      <c r="AE7895">
        <v>5.8484499999999997</v>
      </c>
      <c r="AF7895">
        <v>-5.5877151628034598</v>
      </c>
      <c r="AG7895">
        <v>-1.122590168568</v>
      </c>
      <c r="AH7895">
        <v>15.0709177440699</v>
      </c>
      <c r="AI7895">
        <v>93.995127836451999</v>
      </c>
      <c r="AJ7895">
        <v>110.342838100238</v>
      </c>
      <c r="AK7895">
        <v>16.112583004463001</v>
      </c>
      <c r="AL7895">
        <v>93.686859539907104</v>
      </c>
      <c r="AM7895">
        <v>111.76001892378601</v>
      </c>
      <c r="AN7895">
        <v>0.99999999525667604</v>
      </c>
    </row>
    <row r="7896" spans="1:40" x14ac:dyDescent="0.25">
      <c r="A7896" t="str">
        <f>"20190303155002880"</f>
        <v>20190303155002880</v>
      </c>
      <c r="B7896" t="str">
        <f>"1551599402868810"</f>
        <v>1551599402868810</v>
      </c>
      <c r="C7896" t="s">
        <v>40</v>
      </c>
      <c r="D7896">
        <v>4.9923339999999996</v>
      </c>
      <c r="E7896">
        <v>0.51066429999999996</v>
      </c>
      <c r="F7896" t="s">
        <v>64</v>
      </c>
      <c r="G7896">
        <v>-196.3322</v>
      </c>
      <c r="H7896" s="1">
        <v>-8.1664300000000007E-6</v>
      </c>
      <c r="I7896">
        <v>-56.716140000000003</v>
      </c>
      <c r="J7896">
        <v>-211.74760000000001</v>
      </c>
      <c r="K7896">
        <v>1.122628</v>
      </c>
      <c r="L7896">
        <v>-62.719360000000002</v>
      </c>
      <c r="M7896">
        <v>0.99974700000000005</v>
      </c>
      <c r="N7896">
        <v>-1.506678E-2</v>
      </c>
      <c r="O7896">
        <v>1.6706700000000001E-2</v>
      </c>
      <c r="P7896">
        <v>0.91922250000000005</v>
      </c>
      <c r="Q7896">
        <v>-7.5781730000000005E-2</v>
      </c>
      <c r="R7896">
        <v>0.38637719999999998</v>
      </c>
      <c r="S7896">
        <v>2.7937620000000001</v>
      </c>
      <c r="T7896">
        <v>-0.20145109999999999</v>
      </c>
      <c r="U7896">
        <v>1.077942</v>
      </c>
      <c r="V7896">
        <v>-0.37073669999999997</v>
      </c>
      <c r="W7896">
        <v>-6.3176889999999999E-2</v>
      </c>
      <c r="X7896">
        <v>0.92658669999999999</v>
      </c>
      <c r="Y7896">
        <v>-0.34340140000000002</v>
      </c>
      <c r="Z7896">
        <v>1.370042E-2</v>
      </c>
      <c r="AA7896">
        <v>0.93908879999999995</v>
      </c>
      <c r="AB7896">
        <v>27</v>
      </c>
      <c r="AC7896">
        <v>15.4154</v>
      </c>
      <c r="AD7896">
        <v>-1.12263616643</v>
      </c>
      <c r="AE7896">
        <v>6.00321999999999</v>
      </c>
      <c r="AF7896">
        <v>-5.7184777158446103</v>
      </c>
      <c r="AG7896">
        <v>-1.12263616643</v>
      </c>
      <c r="AH7896">
        <v>15.4424383364031</v>
      </c>
      <c r="AI7896">
        <v>93.900043578782999</v>
      </c>
      <c r="AJ7896">
        <v>110.32005711918301</v>
      </c>
      <c r="AK7896">
        <v>16.505459736778</v>
      </c>
      <c r="AL7896">
        <v>93.622181559367405</v>
      </c>
      <c r="AM7896">
        <v>111.80684758912</v>
      </c>
      <c r="AN7896">
        <v>0.99999996638692501</v>
      </c>
    </row>
    <row r="7897" spans="1:40" x14ac:dyDescent="0.25">
      <c r="A7897" t="str">
        <f>"20190303155002891"</f>
        <v>20190303155002891</v>
      </c>
      <c r="B7897" t="str">
        <f>"1551599402878568"</f>
        <v>1551599402878568</v>
      </c>
      <c r="C7897" t="s">
        <v>40</v>
      </c>
      <c r="D7897">
        <v>5.0392400000000004</v>
      </c>
      <c r="E7897">
        <v>0.51104369999999999</v>
      </c>
      <c r="F7897" t="s">
        <v>64</v>
      </c>
      <c r="G7897">
        <v>-195.93369999999999</v>
      </c>
      <c r="H7897" s="1">
        <v>-8.1637109999999995E-6</v>
      </c>
      <c r="I7897">
        <v>-56.596209999999999</v>
      </c>
      <c r="J7897">
        <v>-211.61439999999999</v>
      </c>
      <c r="K7897">
        <v>1.1226560000000001</v>
      </c>
      <c r="L7897">
        <v>-62.715940000000003</v>
      </c>
      <c r="M7897">
        <v>0.99972780000000006</v>
      </c>
      <c r="N7897">
        <v>-1.5066E-2</v>
      </c>
      <c r="O7897">
        <v>1.7811489999999999E-2</v>
      </c>
      <c r="P7897">
        <v>0.91875510000000005</v>
      </c>
      <c r="Q7897">
        <v>-7.5815190000000005E-2</v>
      </c>
      <c r="R7897">
        <v>0.38748060000000001</v>
      </c>
      <c r="S7897">
        <v>2.7927550000000001</v>
      </c>
      <c r="T7897">
        <v>-0.19825960000000001</v>
      </c>
      <c r="U7897">
        <v>1.0813600000000001</v>
      </c>
      <c r="V7897">
        <v>-0.37082140000000002</v>
      </c>
      <c r="W7897">
        <v>-6.3235830000000007E-2</v>
      </c>
      <c r="X7897">
        <v>0.92654879999999995</v>
      </c>
      <c r="Y7897">
        <v>-0.3435049</v>
      </c>
      <c r="Z7897">
        <v>1.347663E-2</v>
      </c>
      <c r="AA7897">
        <v>0.93905419999999995</v>
      </c>
      <c r="AB7897">
        <v>27</v>
      </c>
      <c r="AC7897">
        <v>15.6807</v>
      </c>
      <c r="AD7897">
        <v>-1.122664163711</v>
      </c>
      <c r="AE7897">
        <v>6.1197299999999997</v>
      </c>
      <c r="AF7897">
        <v>-5.8135698304522201</v>
      </c>
      <c r="AG7897">
        <v>-1.122664163711</v>
      </c>
      <c r="AH7897">
        <v>15.7173097090906</v>
      </c>
      <c r="AI7897">
        <v>93.832667986189193</v>
      </c>
      <c r="AJ7897">
        <v>110.29859044552801</v>
      </c>
      <c r="AK7897">
        <v>16.795588512746399</v>
      </c>
      <c r="AL7897">
        <v>93.625565289832707</v>
      </c>
      <c r="AM7897">
        <v>111.812170594793</v>
      </c>
      <c r="AN7897">
        <v>0.99999997983759403</v>
      </c>
    </row>
    <row r="7898" spans="1:40" x14ac:dyDescent="0.25">
      <c r="A7898" t="str">
        <f>"20190303155002902"</f>
        <v>20190303155002902</v>
      </c>
      <c r="B7898" t="str">
        <f>"1551599402899065"</f>
        <v>1551599402899065</v>
      </c>
      <c r="C7898" t="s">
        <v>40</v>
      </c>
      <c r="D7898">
        <v>5.0362939999999998</v>
      </c>
      <c r="E7898">
        <v>0.51162700000000005</v>
      </c>
      <c r="F7898" t="s">
        <v>64</v>
      </c>
      <c r="G7898">
        <v>-195.76150000000001</v>
      </c>
      <c r="H7898" s="1">
        <v>-8.1519120000000002E-6</v>
      </c>
      <c r="I7898">
        <v>-56.574620000000003</v>
      </c>
      <c r="J7898">
        <v>-211.47880000000001</v>
      </c>
      <c r="K7898">
        <v>1.122687</v>
      </c>
      <c r="L7898">
        <v>-62.7123699999999</v>
      </c>
      <c r="M7898">
        <v>0.99970729999999997</v>
      </c>
      <c r="N7898">
        <v>-1.506507E-2</v>
      </c>
      <c r="O7898">
        <v>1.8941940000000001E-2</v>
      </c>
      <c r="P7898">
        <v>0.91822689999999996</v>
      </c>
      <c r="Q7898">
        <v>-7.5940250000000001E-2</v>
      </c>
      <c r="R7898">
        <v>0.38870640000000001</v>
      </c>
      <c r="S7898">
        <v>2.7927089999999999</v>
      </c>
      <c r="T7898">
        <v>-0.1977727</v>
      </c>
      <c r="U7898">
        <v>1.081879</v>
      </c>
      <c r="V7898">
        <v>-0.37100569999999999</v>
      </c>
      <c r="W7898">
        <v>-6.3386189999999995E-2</v>
      </c>
      <c r="X7898">
        <v>0.92646479999999998</v>
      </c>
      <c r="Y7898">
        <v>-0.34260810000000003</v>
      </c>
      <c r="Z7898">
        <v>1.3352330000000001E-2</v>
      </c>
      <c r="AA7898">
        <v>0.93938350000000004</v>
      </c>
      <c r="AB7898">
        <v>26</v>
      </c>
      <c r="AC7898">
        <v>15.7172999999999</v>
      </c>
      <c r="AD7898">
        <v>-1.1226951519120001</v>
      </c>
      <c r="AE7898">
        <v>6.1377499999999898</v>
      </c>
      <c r="AF7898">
        <v>-5.8131627128792198</v>
      </c>
      <c r="AG7898">
        <v>-1.1226951519120001</v>
      </c>
      <c r="AH7898">
        <v>15.760976721367999</v>
      </c>
      <c r="AI7898">
        <v>93.823487497877395</v>
      </c>
      <c r="AJ7898">
        <v>110.24562070591</v>
      </c>
      <c r="AK7898">
        <v>16.836320629580602</v>
      </c>
      <c r="AL7898">
        <v>93.634197411067902</v>
      </c>
      <c r="AM7898">
        <v>111.82378585413601</v>
      </c>
      <c r="AN7898">
        <v>1.0000000320771201</v>
      </c>
    </row>
    <row r="7899" spans="1:40" x14ac:dyDescent="0.25">
      <c r="A7899" t="str">
        <f>"20190303155002914"</f>
        <v>20190303155002914</v>
      </c>
      <c r="B7899" t="str">
        <f>"1551599402908826"</f>
        <v>1551599402908826</v>
      </c>
      <c r="C7899" t="s">
        <v>40</v>
      </c>
      <c r="D7899">
        <v>5.0806139999999997</v>
      </c>
      <c r="E7899">
        <v>0.51162700000000005</v>
      </c>
      <c r="F7899" t="s">
        <v>64</v>
      </c>
      <c r="G7899">
        <v>-195.71709999999999</v>
      </c>
      <c r="H7899" s="1">
        <v>-8.1344889999999997E-6</v>
      </c>
      <c r="I7899">
        <v>-56.610039999999998</v>
      </c>
      <c r="J7899">
        <v>-211.34010000000001</v>
      </c>
      <c r="K7899">
        <v>1.1227119999999999</v>
      </c>
      <c r="L7899">
        <v>-62.708440000000003</v>
      </c>
      <c r="M7899">
        <v>0.99968420000000002</v>
      </c>
      <c r="N7899">
        <v>-1.506388E-2</v>
      </c>
      <c r="O7899">
        <v>2.0121130000000001E-2</v>
      </c>
      <c r="P7899">
        <v>0.91770819999999997</v>
      </c>
      <c r="Q7899">
        <v>-7.561727E-2</v>
      </c>
      <c r="R7899">
        <v>0.38999230000000001</v>
      </c>
      <c r="S7899">
        <v>2.7929689999999998</v>
      </c>
      <c r="T7899">
        <v>-0.1989409</v>
      </c>
      <c r="U7899">
        <v>1.081329</v>
      </c>
      <c r="V7899">
        <v>-0.3712085</v>
      </c>
      <c r="W7899">
        <v>-6.3082990000000005E-2</v>
      </c>
      <c r="X7899">
        <v>0.92640420000000001</v>
      </c>
      <c r="Y7899">
        <v>-0.34130579999999999</v>
      </c>
      <c r="Z7899">
        <v>1.329427E-2</v>
      </c>
      <c r="AA7899">
        <v>0.93985830000000004</v>
      </c>
      <c r="AB7899">
        <v>26</v>
      </c>
      <c r="AC7899">
        <v>15.622999999999999</v>
      </c>
      <c r="AD7899">
        <v>-1.1227201344890001</v>
      </c>
      <c r="AE7899">
        <v>6.0983999999999901</v>
      </c>
      <c r="AF7899">
        <v>-5.7569772581715801</v>
      </c>
      <c r="AG7899">
        <v>-1.1227201344890001</v>
      </c>
      <c r="AH7899">
        <v>15.6723217630643</v>
      </c>
      <c r="AI7899">
        <v>93.846999538859095</v>
      </c>
      <c r="AJ7899">
        <v>110.17000219936401</v>
      </c>
      <c r="AK7899">
        <v>16.733946249958802</v>
      </c>
      <c r="AL7899">
        <v>93.616790690655606</v>
      </c>
      <c r="AM7899">
        <v>111.835887557948</v>
      </c>
      <c r="AN7899">
        <v>0.99999997793861395</v>
      </c>
    </row>
    <row r="7900" spans="1:40" x14ac:dyDescent="0.25">
      <c r="A7900" t="str">
        <f>"20190303155002926"</f>
        <v>20190303155002926</v>
      </c>
      <c r="B7900" t="str">
        <f>"1551599402918584"</f>
        <v>1551599402918584</v>
      </c>
      <c r="C7900" t="s">
        <v>40</v>
      </c>
      <c r="D7900">
        <v>5.2892029999999997</v>
      </c>
      <c r="E7900">
        <v>0.53504560000000001</v>
      </c>
      <c r="F7900" t="s">
        <v>64</v>
      </c>
      <c r="G7900">
        <v>-195.5103</v>
      </c>
      <c r="H7900" s="1">
        <v>-8.1307479999999996E-6</v>
      </c>
      <c r="I7900">
        <v>-56.554419999999901</v>
      </c>
      <c r="J7900">
        <v>-211.2062</v>
      </c>
      <c r="K7900">
        <v>1.1227370000000001</v>
      </c>
      <c r="L7900">
        <v>-62.704560000000001</v>
      </c>
      <c r="M7900">
        <v>0.99966029999999995</v>
      </c>
      <c r="N7900">
        <v>-1.5062539999999999E-2</v>
      </c>
      <c r="O7900">
        <v>2.126712E-2</v>
      </c>
      <c r="P7900">
        <v>0.91718270000000002</v>
      </c>
      <c r="Q7900">
        <v>-7.5065090000000001E-2</v>
      </c>
      <c r="R7900">
        <v>0.39133250000000003</v>
      </c>
      <c r="S7900">
        <v>2.7915190000000001</v>
      </c>
      <c r="T7900">
        <v>-0.1979871</v>
      </c>
      <c r="U7900">
        <v>1.0852360000000001</v>
      </c>
      <c r="V7900">
        <v>-0.37149799999999999</v>
      </c>
      <c r="W7900">
        <v>-6.2547560000000002E-2</v>
      </c>
      <c r="X7900">
        <v>0.9263245</v>
      </c>
      <c r="Y7900">
        <v>-0.34154430000000002</v>
      </c>
      <c r="Z7900">
        <v>1.319614E-2</v>
      </c>
      <c r="AA7900">
        <v>0.93977299999999997</v>
      </c>
      <c r="AB7900">
        <v>26</v>
      </c>
      <c r="AC7900">
        <v>15.6958999999999</v>
      </c>
      <c r="AD7900">
        <v>-1.1227451307480001</v>
      </c>
      <c r="AE7900">
        <v>6.1501400000000004</v>
      </c>
      <c r="AF7900">
        <v>-5.7892250569261501</v>
      </c>
      <c r="AG7900">
        <v>-1.1227451307480001</v>
      </c>
      <c r="AH7900">
        <v>15.753283290771099</v>
      </c>
      <c r="AI7900">
        <v>93.827175707867596</v>
      </c>
      <c r="AJ7900">
        <v>110.17803864701899</v>
      </c>
      <c r="AK7900">
        <v>16.820868521798999</v>
      </c>
      <c r="AL7900">
        <v>93.586051954873298</v>
      </c>
      <c r="AM7900">
        <v>111.853016645746</v>
      </c>
      <c r="AN7900">
        <v>1.0000000202831001</v>
      </c>
    </row>
    <row r="7901" spans="1:40" x14ac:dyDescent="0.25">
      <c r="A7901" t="str">
        <f>"20190303155002937"</f>
        <v>20190303155002937</v>
      </c>
      <c r="B7901" t="str">
        <f>"1551599402928345"</f>
        <v>1551599402928345</v>
      </c>
      <c r="C7901" t="s">
        <v>40</v>
      </c>
      <c r="D7901">
        <v>5.2247979999999998</v>
      </c>
      <c r="E7901">
        <v>0.54797769999999901</v>
      </c>
      <c r="F7901" t="s">
        <v>64</v>
      </c>
      <c r="G7901">
        <v>-195.00399999999999</v>
      </c>
      <c r="H7901" s="1">
        <v>-7.7374970000000002E-6</v>
      </c>
      <c r="I7901">
        <v>-57.512549999999997</v>
      </c>
      <c r="J7901">
        <v>-211.07859999999999</v>
      </c>
      <c r="K7901">
        <v>1.122754</v>
      </c>
      <c r="L7901">
        <v>-62.700679999999998</v>
      </c>
      <c r="M7901">
        <v>0.99963650000000004</v>
      </c>
      <c r="N7901">
        <v>-1.5061099999999999E-2</v>
      </c>
      <c r="O7901">
        <v>2.2366609999999999E-2</v>
      </c>
      <c r="P7901">
        <v>0.91663119999999998</v>
      </c>
      <c r="Q7901">
        <v>-7.4244389999999993E-2</v>
      </c>
      <c r="R7901">
        <v>0.39277909999999999</v>
      </c>
      <c r="S7901">
        <v>2.8631739999999999</v>
      </c>
      <c r="T7901">
        <v>-0.19840679999999999</v>
      </c>
      <c r="U7901">
        <v>0.91751099999999997</v>
      </c>
      <c r="V7901">
        <v>-0.37194070000000001</v>
      </c>
      <c r="W7901">
        <v>-6.1740959999999998E-2</v>
      </c>
      <c r="X7901">
        <v>0.92620089999999999</v>
      </c>
      <c r="Y7901">
        <v>-0.28305799999999998</v>
      </c>
      <c r="Z7901">
        <v>1.056353E-2</v>
      </c>
      <c r="AA7901">
        <v>0.95904460000000002</v>
      </c>
      <c r="AB7901">
        <v>26</v>
      </c>
      <c r="AC7901">
        <v>16.074599999999901</v>
      </c>
      <c r="AD7901">
        <v>-1.122761737497</v>
      </c>
      <c r="AE7901">
        <v>5.1881300000000001</v>
      </c>
      <c r="AF7901">
        <v>-4.8060221358876101</v>
      </c>
      <c r="AG7901">
        <v>-1.122761737497</v>
      </c>
      <c r="AH7901">
        <v>16.115428407176498</v>
      </c>
      <c r="AI7901">
        <v>93.819642736720297</v>
      </c>
      <c r="AJ7901">
        <v>106.605891052511</v>
      </c>
      <c r="AK7901">
        <v>16.8542420605811</v>
      </c>
      <c r="AL7901">
        <v>93.539747863283196</v>
      </c>
      <c r="AM7901">
        <v>111.879244875548</v>
      </c>
      <c r="AN7901">
        <v>0.99999996880951003</v>
      </c>
    </row>
    <row r="7902" spans="1:40" x14ac:dyDescent="0.25">
      <c r="A7902" t="str">
        <f>"20190303155002948"</f>
        <v>20190303155002948</v>
      </c>
      <c r="B7902" t="str">
        <f>"1551599402938106"</f>
        <v>1551599402938106</v>
      </c>
      <c r="C7902" t="s">
        <v>40</v>
      </c>
      <c r="D7902">
        <v>5.1540330000000001</v>
      </c>
      <c r="E7902">
        <v>0.54797769999999901</v>
      </c>
      <c r="F7902" t="s">
        <v>64</v>
      </c>
      <c r="G7902">
        <v>-193.2518</v>
      </c>
      <c r="H7902" s="1">
        <v>-7.5026699999999998E-6</v>
      </c>
      <c r="I7902">
        <v>-57.620060000000002</v>
      </c>
      <c r="J7902">
        <v>-210.94409999999999</v>
      </c>
      <c r="K7902">
        <v>1.122768</v>
      </c>
      <c r="L7902">
        <v>-62.69641</v>
      </c>
      <c r="M7902">
        <v>0.99960979999999999</v>
      </c>
      <c r="N7902">
        <v>-1.5059380000000001E-2</v>
      </c>
      <c r="O7902">
        <v>2.3532460000000002E-2</v>
      </c>
      <c r="P7902">
        <v>0.91589949999999998</v>
      </c>
      <c r="Q7902">
        <v>-7.3338440000000005E-2</v>
      </c>
      <c r="R7902">
        <v>0.39465169999999999</v>
      </c>
      <c r="S7902">
        <v>2.9034580000000001</v>
      </c>
      <c r="T7902">
        <v>-0.18286469999999999</v>
      </c>
      <c r="U7902">
        <v>0.82748409999999994</v>
      </c>
      <c r="V7902">
        <v>-0.3727529</v>
      </c>
      <c r="W7902">
        <v>-6.084966E-2</v>
      </c>
      <c r="X7902">
        <v>0.92593340000000002</v>
      </c>
      <c r="Y7902">
        <v>-0.25082450000000001</v>
      </c>
      <c r="Z7902">
        <v>8.5620729999999999E-3</v>
      </c>
      <c r="AA7902">
        <v>0.96799469999999999</v>
      </c>
      <c r="AB7902">
        <v>26</v>
      </c>
      <c r="AC7902">
        <v>17.6922999999999</v>
      </c>
      <c r="AD7902">
        <v>-1.1227755026699999</v>
      </c>
      <c r="AE7902">
        <v>5.0763499999999997</v>
      </c>
      <c r="AF7902">
        <v>-4.6412832071470804</v>
      </c>
      <c r="AG7902">
        <v>-1.1227755026699999</v>
      </c>
      <c r="AH7902">
        <v>17.740858265472799</v>
      </c>
      <c r="AI7902">
        <v>93.503672610696796</v>
      </c>
      <c r="AJ7902">
        <v>104.660881518227</v>
      </c>
      <c r="AK7902">
        <v>18.372266779957702</v>
      </c>
      <c r="AL7902">
        <v>93.488583701206593</v>
      </c>
      <c r="AM7902">
        <v>111.928230875728</v>
      </c>
      <c r="AN7902">
        <v>1.0000000334080399</v>
      </c>
    </row>
    <row r="7903" spans="1:40" x14ac:dyDescent="0.25">
      <c r="A7903" t="str">
        <f>"20190303155002960"</f>
        <v>20190303155002960</v>
      </c>
      <c r="B7903" t="str">
        <f>"1551599402948841"</f>
        <v>1551599402948841</v>
      </c>
      <c r="C7903" t="s">
        <v>40</v>
      </c>
      <c r="D7903">
        <v>5.0535290000000002</v>
      </c>
      <c r="E7903">
        <v>0.59986669999999997</v>
      </c>
      <c r="F7903" t="s">
        <v>64</v>
      </c>
      <c r="G7903">
        <v>-192.81</v>
      </c>
      <c r="H7903" s="1">
        <v>-7.4995869999999996E-6</v>
      </c>
      <c r="I7903">
        <v>-57.488779999999998</v>
      </c>
      <c r="J7903">
        <v>-210.81020000000001</v>
      </c>
      <c r="K7903">
        <v>1.1227769999999999</v>
      </c>
      <c r="L7903">
        <v>-62.692050000000002</v>
      </c>
      <c r="M7903">
        <v>0.99958159999999896</v>
      </c>
      <c r="N7903">
        <v>-1.5057579999999999E-2</v>
      </c>
      <c r="O7903">
        <v>2.4695959999999999E-2</v>
      </c>
      <c r="P7903">
        <v>0.91526260000000004</v>
      </c>
      <c r="Q7903">
        <v>-7.2591600000000006E-2</v>
      </c>
      <c r="R7903">
        <v>0.39626359999999999</v>
      </c>
      <c r="S7903">
        <v>2.901993</v>
      </c>
      <c r="T7903">
        <v>-0.17967710000000001</v>
      </c>
      <c r="U7903">
        <v>0.83337399999999995</v>
      </c>
      <c r="V7903">
        <v>-0.37330550000000001</v>
      </c>
      <c r="W7903">
        <v>-6.0113439999999997E-2</v>
      </c>
      <c r="X7903">
        <v>0.92575879999999999</v>
      </c>
      <c r="Y7903">
        <v>-0.25165850000000001</v>
      </c>
      <c r="Z7903">
        <v>8.4325930000000004E-3</v>
      </c>
      <c r="AA7903">
        <v>0.96777930000000001</v>
      </c>
      <c r="AB7903">
        <v>26</v>
      </c>
      <c r="AC7903">
        <v>18.0002</v>
      </c>
      <c r="AD7903">
        <v>-1.122784499587</v>
      </c>
      <c r="AE7903">
        <v>5.2032699999999901</v>
      </c>
      <c r="AF7903">
        <v>-4.7400796196973003</v>
      </c>
      <c r="AG7903">
        <v>-1.122784499587</v>
      </c>
      <c r="AH7903">
        <v>18.058380024962101</v>
      </c>
      <c r="AI7903">
        <v>93.441510958369193</v>
      </c>
      <c r="AJ7903">
        <v>104.707576263501</v>
      </c>
      <c r="AK7903">
        <v>18.703852249190099</v>
      </c>
      <c r="AL7903">
        <v>93.446324192361203</v>
      </c>
      <c r="AM7903">
        <v>111.961397745049</v>
      </c>
      <c r="AN7903">
        <v>0.999999988888161</v>
      </c>
    </row>
    <row r="7904" spans="1:40" x14ac:dyDescent="0.25">
      <c r="A7904" t="str">
        <f>"20190303155002971"</f>
        <v>20190303155002971</v>
      </c>
      <c r="B7904" t="str">
        <f>"1551599402968361"</f>
        <v>1551599402968361</v>
      </c>
      <c r="C7904" t="s">
        <v>40</v>
      </c>
      <c r="D7904">
        <v>5.3769200000000001</v>
      </c>
      <c r="E7904">
        <v>0.58995810000000004</v>
      </c>
      <c r="F7904" t="s">
        <v>64</v>
      </c>
      <c r="G7904">
        <v>-191.2586</v>
      </c>
      <c r="H7904" s="1">
        <v>-6.5255539999999998E-6</v>
      </c>
      <c r="I7904">
        <v>-59.765070000000001</v>
      </c>
      <c r="J7904">
        <v>-210.67920000000001</v>
      </c>
      <c r="K7904">
        <v>1.122784</v>
      </c>
      <c r="L7904">
        <v>-62.687559999999998</v>
      </c>
      <c r="M7904">
        <v>0.99955289999999997</v>
      </c>
      <c r="N7904">
        <v>-1.5055600000000001E-2</v>
      </c>
      <c r="O7904">
        <v>2.5837700000000002E-2</v>
      </c>
      <c r="P7904">
        <v>0.91450100000000001</v>
      </c>
      <c r="Q7904">
        <v>-7.1679140000000002E-2</v>
      </c>
      <c r="R7904">
        <v>0.39818369999999997</v>
      </c>
      <c r="S7904">
        <v>3.0651090000000001</v>
      </c>
      <c r="T7904">
        <v>-0.176018799999999</v>
      </c>
      <c r="U7904">
        <v>0.4588623</v>
      </c>
      <c r="V7904">
        <v>-0.3741912</v>
      </c>
      <c r="W7904">
        <v>-5.9211239999999998E-2</v>
      </c>
      <c r="X7904">
        <v>0.92545929999999998</v>
      </c>
      <c r="Y7904">
        <v>-0.122223</v>
      </c>
      <c r="Z7904">
        <v>3.3266519999999998E-3</v>
      </c>
      <c r="AA7904">
        <v>0.99249710000000002</v>
      </c>
      <c r="AB7904">
        <v>26</v>
      </c>
      <c r="AC7904">
        <v>19.4206</v>
      </c>
      <c r="AD7904">
        <v>-1.1227905255540001</v>
      </c>
      <c r="AE7904">
        <v>2.9224899999999998</v>
      </c>
      <c r="AF7904">
        <v>-2.4117907439033099</v>
      </c>
      <c r="AG7904">
        <v>-1.1227905255540001</v>
      </c>
      <c r="AH7904">
        <v>19.426139815619202</v>
      </c>
      <c r="AI7904">
        <v>93.282749731548606</v>
      </c>
      <c r="AJ7904">
        <v>97.077162256628</v>
      </c>
      <c r="AK7904">
        <v>19.607455247752998</v>
      </c>
      <c r="AL7904">
        <v>93.394539752038298</v>
      </c>
      <c r="AM7904">
        <v>112.014973792723</v>
      </c>
      <c r="AN7904">
        <v>0.99999997052813305</v>
      </c>
    </row>
    <row r="7905" spans="1:40" x14ac:dyDescent="0.25">
      <c r="A7905" t="str">
        <f>"20190303155002983"</f>
        <v>20190303155002983</v>
      </c>
      <c r="B7905" t="str">
        <f>"1551599402978122"</f>
        <v>1551599402978122</v>
      </c>
      <c r="C7905" t="s">
        <v>40</v>
      </c>
      <c r="D7905">
        <v>5.3488600000000002</v>
      </c>
      <c r="E7905">
        <v>0.58822159999999901</v>
      </c>
      <c r="F7905" t="s">
        <v>64</v>
      </c>
      <c r="G7905">
        <v>-197.3871</v>
      </c>
      <c r="H7905" s="1">
        <v>-7.0149810000000003E-6</v>
      </c>
      <c r="I7905">
        <v>-60.334589999999999</v>
      </c>
      <c r="J7905">
        <v>-210.55529999999999</v>
      </c>
      <c r="K7905">
        <v>1.1227910000000001</v>
      </c>
      <c r="L7905">
        <v>-62.683230000000002</v>
      </c>
      <c r="M7905">
        <v>0.99952439999999998</v>
      </c>
      <c r="N7905">
        <v>-1.505369E-2</v>
      </c>
      <c r="O7905">
        <v>2.6917569999999998E-2</v>
      </c>
      <c r="P7905">
        <v>0.91387859999999999</v>
      </c>
      <c r="Q7905">
        <v>-7.0894280000000004E-2</v>
      </c>
      <c r="R7905">
        <v>0.3997501</v>
      </c>
      <c r="S7905">
        <v>3.0271150000000002</v>
      </c>
      <c r="T7905">
        <v>-0.25570120000000002</v>
      </c>
      <c r="U7905">
        <v>0.53585819999999995</v>
      </c>
      <c r="V7905">
        <v>-0.37477850000000001</v>
      </c>
      <c r="W7905">
        <v>-5.8433260000000001E-2</v>
      </c>
      <c r="X7905">
        <v>0.92527110000000001</v>
      </c>
      <c r="Y7905">
        <v>-0.14719949999999901</v>
      </c>
      <c r="Z7905">
        <v>5.4282080000000003E-3</v>
      </c>
      <c r="AA7905">
        <v>0.98909190000000002</v>
      </c>
      <c r="AB7905">
        <v>26</v>
      </c>
      <c r="AC7905">
        <v>13.168199999999899</v>
      </c>
      <c r="AD7905">
        <v>-1.122798014981</v>
      </c>
      <c r="AE7905">
        <v>2.3486399999999898</v>
      </c>
      <c r="AF7905">
        <v>-1.97934599831828</v>
      </c>
      <c r="AG7905">
        <v>-1.122798014981</v>
      </c>
      <c r="AH7905">
        <v>13.1341097982127</v>
      </c>
      <c r="AI7905">
        <v>94.831876554501406</v>
      </c>
      <c r="AJ7905">
        <v>98.5701381429745</v>
      </c>
      <c r="AK7905">
        <v>13.3297909269054</v>
      </c>
      <c r="AL7905">
        <v>93.349887399687702</v>
      </c>
      <c r="AM7905">
        <v>112.05027239604399</v>
      </c>
      <c r="AN7905">
        <v>0.99999998921584299</v>
      </c>
    </row>
    <row r="7906" spans="1:40" x14ac:dyDescent="0.25">
      <c r="A7906" t="str">
        <f>"20190303155002993"</f>
        <v>20190303155002993</v>
      </c>
      <c r="B7906" t="str">
        <f>"1551599402988857"</f>
        <v>1551599402988857</v>
      </c>
      <c r="C7906" t="s">
        <v>40</v>
      </c>
      <c r="D7906">
        <v>5.3349520000000004</v>
      </c>
      <c r="E7906">
        <v>0.58731909999999998</v>
      </c>
      <c r="F7906" t="s">
        <v>64</v>
      </c>
      <c r="G7906">
        <v>-198.0034</v>
      </c>
      <c r="H7906" s="1">
        <v>-7.0671130000000002E-6</v>
      </c>
      <c r="I7906">
        <v>-60.383600000000001</v>
      </c>
      <c r="J7906">
        <v>-210.41589999999999</v>
      </c>
      <c r="K7906">
        <v>1.1227959999999999</v>
      </c>
      <c r="L7906">
        <v>-62.678159999999998</v>
      </c>
      <c r="M7906">
        <v>0.99949089999999996</v>
      </c>
      <c r="N7906">
        <v>-1.505136E-2</v>
      </c>
      <c r="O7906">
        <v>2.8134920000000001E-2</v>
      </c>
      <c r="P7906">
        <v>0.91321870000000005</v>
      </c>
      <c r="Q7906">
        <v>-6.9847740000000005E-2</v>
      </c>
      <c r="R7906">
        <v>0.40143879999999998</v>
      </c>
      <c r="S7906">
        <v>3.0197750000000001</v>
      </c>
      <c r="T7906">
        <v>-0.2701267</v>
      </c>
      <c r="U7906">
        <v>0.553253199999999</v>
      </c>
      <c r="V7906">
        <v>-0.37536330000000001</v>
      </c>
      <c r="W7906">
        <v>-5.739209E-2</v>
      </c>
      <c r="X7906">
        <v>0.92509929999999996</v>
      </c>
      <c r="Y7906">
        <v>-0.15184909999999999</v>
      </c>
      <c r="Z7906">
        <v>5.807703E-3</v>
      </c>
      <c r="AA7906">
        <v>0.9883866</v>
      </c>
      <c r="AB7906">
        <v>26</v>
      </c>
      <c r="AC7906">
        <v>12.4124999999999</v>
      </c>
      <c r="AD7906">
        <v>-1.12280306711299</v>
      </c>
      <c r="AE7906">
        <v>2.2945599999999899</v>
      </c>
      <c r="AF7906">
        <v>-1.9291236775518801</v>
      </c>
      <c r="AG7906">
        <v>-1.12280306711299</v>
      </c>
      <c r="AH7906">
        <v>12.374242681040601</v>
      </c>
      <c r="AI7906">
        <v>95.123108229769002</v>
      </c>
      <c r="AJ7906">
        <v>98.860988676453204</v>
      </c>
      <c r="AK7906">
        <v>12.5739447597043</v>
      </c>
      <c r="AL7906">
        <v>93.290132138192206</v>
      </c>
      <c r="AM7906">
        <v>112.08508091141699</v>
      </c>
      <c r="AN7906">
        <v>1.00000008692097</v>
      </c>
    </row>
    <row r="7907" spans="1:40" x14ac:dyDescent="0.25">
      <c r="A7907" t="str">
        <f>"20190303155003004"</f>
        <v>20190303155003004</v>
      </c>
      <c r="B7907" t="str">
        <f>"1551599402998617"</f>
        <v>1551599402998617</v>
      </c>
      <c r="C7907" t="s">
        <v>40</v>
      </c>
      <c r="D7907">
        <v>5.3017599999999998</v>
      </c>
      <c r="E7907">
        <v>0.58667930000000001</v>
      </c>
      <c r="F7907" t="s">
        <v>64</v>
      </c>
      <c r="G7907">
        <v>-198.17449999999999</v>
      </c>
      <c r="H7907" s="1">
        <v>-7.0864270000000001E-6</v>
      </c>
      <c r="I7907">
        <v>-60.383400000000002</v>
      </c>
      <c r="J7907">
        <v>-210.29230000000001</v>
      </c>
      <c r="K7907">
        <v>1.1227990000000001</v>
      </c>
      <c r="L7907">
        <v>-62.673520000000003</v>
      </c>
      <c r="M7907">
        <v>0.99945989999999996</v>
      </c>
      <c r="N7907">
        <v>-1.504923E-2</v>
      </c>
      <c r="O7907">
        <v>2.9214650000000002E-2</v>
      </c>
      <c r="P7907">
        <v>0.91256800000000005</v>
      </c>
      <c r="Q7907">
        <v>-6.9314570000000006E-2</v>
      </c>
      <c r="R7907">
        <v>0.40300770000000002</v>
      </c>
      <c r="S7907">
        <v>3.0154570000000001</v>
      </c>
      <c r="T7907">
        <v>-0.27658470000000002</v>
      </c>
      <c r="U7907">
        <v>0.56527709999999998</v>
      </c>
      <c r="V7907">
        <v>-0.37595420000000002</v>
      </c>
      <c r="W7907">
        <v>-5.6864789999999998E-2</v>
      </c>
      <c r="X7907">
        <v>0.92489180000000004</v>
      </c>
      <c r="Y7907">
        <v>-0.15480329999999901</v>
      </c>
      <c r="Z7907">
        <v>5.9880080000000004E-3</v>
      </c>
      <c r="AA7907">
        <v>0.98792709999999995</v>
      </c>
      <c r="AB7907">
        <v>26</v>
      </c>
      <c r="AC7907">
        <v>12.117800000000001</v>
      </c>
      <c r="AD7907">
        <v>-1.122806086427</v>
      </c>
      <c r="AE7907">
        <v>2.2901199999999902</v>
      </c>
      <c r="AF7907">
        <v>-1.9191761523614099</v>
      </c>
      <c r="AG7907">
        <v>-1.122806086427</v>
      </c>
      <c r="AH7907">
        <v>12.0794085291766</v>
      </c>
      <c r="AI7907">
        <v>95.245088186123994</v>
      </c>
      <c r="AJ7907">
        <v>99.027695246066699</v>
      </c>
      <c r="AK7907">
        <v>12.282346723092299</v>
      </c>
      <c r="AL7907">
        <v>93.259870926975694</v>
      </c>
      <c r="AM7907">
        <v>112.12098095791499</v>
      </c>
      <c r="AN7907">
        <v>1.0000000032733101</v>
      </c>
    </row>
    <row r="7908" spans="1:40" x14ac:dyDescent="0.25">
      <c r="A7908" t="str">
        <f>"20190303155003016"</f>
        <v>20190303155003016</v>
      </c>
      <c r="B7908" t="str">
        <f>"1551599403008377"</f>
        <v>1551599403008377</v>
      </c>
      <c r="C7908" t="s">
        <v>40</v>
      </c>
      <c r="D7908">
        <v>5.3183879999999997</v>
      </c>
      <c r="E7908">
        <v>0.58637459999999997</v>
      </c>
      <c r="F7908" t="s">
        <v>64</v>
      </c>
      <c r="G7908">
        <v>-198.34889999999999</v>
      </c>
      <c r="H7908" s="1">
        <v>-6.3800720000000002E-6</v>
      </c>
      <c r="I7908">
        <v>-60.39331</v>
      </c>
      <c r="J7908">
        <v>-210.15710000000001</v>
      </c>
      <c r="K7908">
        <v>1.1228</v>
      </c>
      <c r="L7908">
        <v>-62.668300000000002</v>
      </c>
      <c r="M7908">
        <v>0.9994248</v>
      </c>
      <c r="N7908">
        <v>-1.5046810000000001E-2</v>
      </c>
      <c r="O7908">
        <v>3.0395700000000001E-2</v>
      </c>
      <c r="P7908">
        <v>0.91191149999999999</v>
      </c>
      <c r="Q7908">
        <v>-6.8738610000000006E-2</v>
      </c>
      <c r="R7908">
        <v>0.40458909999999998</v>
      </c>
      <c r="S7908">
        <v>3.0119630000000002</v>
      </c>
      <c r="T7908">
        <v>-0.28315829999999997</v>
      </c>
      <c r="U7908">
        <v>0.57504270000000002</v>
      </c>
      <c r="V7908">
        <v>-0.37646469999999999</v>
      </c>
      <c r="W7908">
        <v>-5.6293839999999998E-2</v>
      </c>
      <c r="X7908">
        <v>0.92471910000000002</v>
      </c>
      <c r="Y7908">
        <v>-0.15689990000000001</v>
      </c>
      <c r="Z7908">
        <v>6.116809E-3</v>
      </c>
      <c r="AA7908">
        <v>0.98759560000000002</v>
      </c>
      <c r="AB7908">
        <v>26</v>
      </c>
      <c r="AC7908">
        <v>11.808199999999999</v>
      </c>
      <c r="AD7908">
        <v>-1.1228063800720001</v>
      </c>
      <c r="AE7908">
        <v>2.2749899999999998</v>
      </c>
      <c r="AF7908">
        <v>-1.8984290966164901</v>
      </c>
      <c r="AG7908">
        <v>-1.1228063800720001</v>
      </c>
      <c r="AH7908">
        <v>11.769296419598</v>
      </c>
      <c r="AI7908">
        <v>95.380468521908995</v>
      </c>
      <c r="AJ7908">
        <v>99.163084769491405</v>
      </c>
      <c r="AK7908">
        <v>11.974183287989799</v>
      </c>
      <c r="AL7908">
        <v>93.227105294759099</v>
      </c>
      <c r="AM7908">
        <v>112.15185246524101</v>
      </c>
      <c r="AN7908">
        <v>1.00000004033642</v>
      </c>
    </row>
    <row r="7909" spans="1:40" x14ac:dyDescent="0.25">
      <c r="A7909" t="str">
        <f>"20190303155003027"</f>
        <v>20190303155003027</v>
      </c>
      <c r="B7909" t="str">
        <f>"1551599403018137"</f>
        <v>1551599403018137</v>
      </c>
      <c r="C7909" t="s">
        <v>40</v>
      </c>
      <c r="D7909">
        <v>5.3017200000000004</v>
      </c>
      <c r="E7909">
        <v>0.58585790000000004</v>
      </c>
      <c r="F7909" t="s">
        <v>64</v>
      </c>
      <c r="G7909">
        <v>-198.44380000000001</v>
      </c>
      <c r="H7909" s="1">
        <v>-6.3419339999999999E-6</v>
      </c>
      <c r="I7909">
        <v>-60.402070000000002</v>
      </c>
      <c r="J7909">
        <v>-210.02189999999999</v>
      </c>
      <c r="K7909">
        <v>1.122803</v>
      </c>
      <c r="L7909">
        <v>-62.662930000000003</v>
      </c>
      <c r="M7909">
        <v>0.99938800000000005</v>
      </c>
      <c r="N7909">
        <v>-1.504437E-2</v>
      </c>
      <c r="O7909">
        <v>3.158089E-2</v>
      </c>
      <c r="P7909">
        <v>0.91123189999999998</v>
      </c>
      <c r="Q7909">
        <v>-6.8494250000000007E-2</v>
      </c>
      <c r="R7909">
        <v>0.40615899999999999</v>
      </c>
      <c r="S7909">
        <v>3.0097049999999999</v>
      </c>
      <c r="T7909">
        <v>-0.28850399999999998</v>
      </c>
      <c r="U7909">
        <v>0.58230590000000004</v>
      </c>
      <c r="V7909">
        <v>-0.37696089999999999</v>
      </c>
      <c r="W7909">
        <v>-5.605628E-2</v>
      </c>
      <c r="X7909">
        <v>0.92453129999999994</v>
      </c>
      <c r="Y7909">
        <v>-0.1581371</v>
      </c>
      <c r="Z7909">
        <v>6.1767480000000001E-3</v>
      </c>
      <c r="AA7909">
        <v>0.98739779999999999</v>
      </c>
      <c r="AB7909">
        <v>26</v>
      </c>
      <c r="AC7909">
        <v>11.5780999999999</v>
      </c>
      <c r="AD7909">
        <v>-1.1228093419339999</v>
      </c>
      <c r="AE7909">
        <v>2.2608600000000001</v>
      </c>
      <c r="AF7909">
        <v>-1.87703964203965</v>
      </c>
      <c r="AG7909">
        <v>-1.1228093419339999</v>
      </c>
      <c r="AH7909">
        <v>11.539196738043101</v>
      </c>
      <c r="AI7909">
        <v>95.485951695195197</v>
      </c>
      <c r="AJ7909">
        <v>99.239174976702103</v>
      </c>
      <c r="AK7909">
        <v>11.7446600629983</v>
      </c>
      <c r="AL7909">
        <v>93.213472790981101</v>
      </c>
      <c r="AM7909">
        <v>112.182289247046</v>
      </c>
      <c r="AN7909">
        <v>0.99999997566796806</v>
      </c>
    </row>
    <row r="7910" spans="1:40" x14ac:dyDescent="0.25">
      <c r="A7910" t="str">
        <f>"20190303155003041"</f>
        <v>20190303155003041</v>
      </c>
      <c r="B7910" t="str">
        <f>"1551599403038633"</f>
        <v>1551599403038633</v>
      </c>
      <c r="C7910" t="s">
        <v>40</v>
      </c>
      <c r="D7910">
        <v>5.2890709999999999</v>
      </c>
      <c r="E7910">
        <v>0.58574569999999904</v>
      </c>
      <c r="F7910" t="s">
        <v>64</v>
      </c>
      <c r="G7910">
        <v>-198.7422</v>
      </c>
      <c r="H7910" s="1">
        <v>-6.222924E-6</v>
      </c>
      <c r="I7910">
        <v>-60.44538</v>
      </c>
      <c r="J7910">
        <v>-209.86519999999999</v>
      </c>
      <c r="K7910">
        <v>1.1228039999999999</v>
      </c>
      <c r="L7910">
        <v>-62.656519999999901</v>
      </c>
      <c r="M7910">
        <v>0.9993436</v>
      </c>
      <c r="N7910">
        <v>-1.5041550000000001E-2</v>
      </c>
      <c r="O7910">
        <v>3.295766E-2</v>
      </c>
      <c r="P7910">
        <v>0.91039559999999997</v>
      </c>
      <c r="Q7910">
        <v>-6.8406369999999994E-2</v>
      </c>
      <c r="R7910">
        <v>0.40804459999999998</v>
      </c>
      <c r="S7910">
        <v>3.0063170000000001</v>
      </c>
      <c r="T7910">
        <v>-0.29925740000000001</v>
      </c>
      <c r="U7910">
        <v>0.5910339</v>
      </c>
      <c r="V7910">
        <v>-0.37759989999999999</v>
      </c>
      <c r="W7910">
        <v>-5.5978710000000001E-2</v>
      </c>
      <c r="X7910">
        <v>0.92427519999999996</v>
      </c>
      <c r="Y7910">
        <v>-0.15969269999999999</v>
      </c>
      <c r="Z7910">
        <v>6.3214469999999896E-3</v>
      </c>
      <c r="AA7910">
        <v>0.98714650000000004</v>
      </c>
      <c r="AB7910">
        <v>26</v>
      </c>
      <c r="AC7910">
        <v>11.1229999999999</v>
      </c>
      <c r="AD7910">
        <v>-1.122810222924</v>
      </c>
      <c r="AE7910">
        <v>2.2111399999999799</v>
      </c>
      <c r="AF7910">
        <v>-1.8254153672065001</v>
      </c>
      <c r="AG7910">
        <v>-1.122810222924</v>
      </c>
      <c r="AH7910">
        <v>11.081214630563201</v>
      </c>
      <c r="AI7910">
        <v>95.709352076892202</v>
      </c>
      <c r="AJ7910">
        <v>99.354359226833296</v>
      </c>
      <c r="AK7910">
        <v>11.2865478224364</v>
      </c>
      <c r="AL7910">
        <v>93.209021376483904</v>
      </c>
      <c r="AM7910">
        <v>112.221793474354</v>
      </c>
      <c r="AN7910">
        <v>0.99999997289415599</v>
      </c>
    </row>
    <row r="7911" spans="1:40" x14ac:dyDescent="0.25">
      <c r="A7911" t="str">
        <f>"20190303155003054"</f>
        <v>20190303155003054</v>
      </c>
      <c r="B7911" t="str">
        <f>"1551599403048393"</f>
        <v>1551599403048393</v>
      </c>
      <c r="C7911" t="s">
        <v>40</v>
      </c>
      <c r="D7911">
        <v>5.2649100000000004</v>
      </c>
      <c r="E7911">
        <v>0.58583300000000005</v>
      </c>
      <c r="F7911" t="s">
        <v>64</v>
      </c>
      <c r="G7911">
        <v>-198.7741</v>
      </c>
      <c r="H7911" s="1">
        <v>-6.2101409999999997E-6</v>
      </c>
      <c r="I7911">
        <v>-60.449119999999901</v>
      </c>
      <c r="J7911">
        <v>-209.71379999999999</v>
      </c>
      <c r="K7911">
        <v>1.1228129999999901</v>
      </c>
      <c r="L7911">
        <v>-62.650019999999998</v>
      </c>
      <c r="M7911">
        <v>0.99929820000000003</v>
      </c>
      <c r="N7911">
        <v>-1.5038869999999999E-2</v>
      </c>
      <c r="O7911">
        <v>3.4307419999999998E-2</v>
      </c>
      <c r="P7911">
        <v>0.90951139999999997</v>
      </c>
      <c r="Q7911">
        <v>-6.8266820000000006E-2</v>
      </c>
      <c r="R7911">
        <v>0.41003489999999998</v>
      </c>
      <c r="S7911">
        <v>3.0044400000000002</v>
      </c>
      <c r="T7911">
        <v>-0.30415609999999998</v>
      </c>
      <c r="U7911">
        <v>0.59796139999999998</v>
      </c>
      <c r="V7911">
        <v>-0.37837140000000002</v>
      </c>
      <c r="W7911">
        <v>-5.5858060000000001E-2</v>
      </c>
      <c r="X7911">
        <v>0.92396690000000004</v>
      </c>
      <c r="Y7911">
        <v>-0.16064300000000001</v>
      </c>
      <c r="Z7911">
        <v>6.3385669999999998E-3</v>
      </c>
      <c r="AA7911">
        <v>0.98699219999999999</v>
      </c>
      <c r="AB7911">
        <v>26</v>
      </c>
      <c r="AC7911">
        <v>10.939699999999901</v>
      </c>
      <c r="AD7911">
        <v>-1.1228192101409999</v>
      </c>
      <c r="AE7911">
        <v>2.2008999999999999</v>
      </c>
      <c r="AF7911">
        <v>-1.8059641453271</v>
      </c>
      <c r="AG7911">
        <v>-1.1228192101409999</v>
      </c>
      <c r="AH7911">
        <v>10.898432311903401</v>
      </c>
      <c r="AI7911">
        <v>95.803597065326699</v>
      </c>
      <c r="AJ7911">
        <v>99.408905292458897</v>
      </c>
      <c r="AK7911">
        <v>11.1039657929052</v>
      </c>
      <c r="AL7911">
        <v>93.202097926545306</v>
      </c>
      <c r="AM7911">
        <v>112.269468970956</v>
      </c>
      <c r="AN7911">
        <v>0.99999993575026402</v>
      </c>
    </row>
    <row r="7912" spans="1:40" x14ac:dyDescent="0.25">
      <c r="A7912" t="str">
        <f>"20190303155003069"</f>
        <v>20190303155003069</v>
      </c>
      <c r="B7912" t="str">
        <f>"1551599403058154"</f>
        <v>1551599403058154</v>
      </c>
      <c r="C7912" t="s">
        <v>40</v>
      </c>
      <c r="D7912">
        <v>5.263801</v>
      </c>
      <c r="E7912">
        <v>0.58575299999999997</v>
      </c>
      <c r="F7912" t="s">
        <v>64</v>
      </c>
      <c r="G7912">
        <v>-198.61789999999999</v>
      </c>
      <c r="H7912" s="1">
        <v>-6.2720299999999998E-6</v>
      </c>
      <c r="I7912">
        <v>-60.41901</v>
      </c>
      <c r="J7912">
        <v>-209.5444</v>
      </c>
      <c r="K7912">
        <v>1.1228290000000001</v>
      </c>
      <c r="L7912">
        <v>-62.64255</v>
      </c>
      <c r="M7912">
        <v>0.99924460000000004</v>
      </c>
      <c r="N7912">
        <v>-1.503608E-2</v>
      </c>
      <c r="O7912">
        <v>3.5837929999999997E-2</v>
      </c>
      <c r="P7912">
        <v>0.90803909999999999</v>
      </c>
      <c r="Q7912">
        <v>-6.8677429999999998E-2</v>
      </c>
      <c r="R7912">
        <v>0.41321730000000001</v>
      </c>
      <c r="S7912">
        <v>3.0034179999999999</v>
      </c>
      <c r="T7912">
        <v>-0.30392069999999999</v>
      </c>
      <c r="U7912">
        <v>0.60388180000000002</v>
      </c>
      <c r="V7912">
        <v>-0.38018639999999998</v>
      </c>
      <c r="W7912">
        <v>-5.6305609999999999E-2</v>
      </c>
      <c r="X7912">
        <v>0.92319450000000003</v>
      </c>
      <c r="Y7912">
        <v>-0.16107060000000001</v>
      </c>
      <c r="Z7912">
        <v>6.2303019999999897E-3</v>
      </c>
      <c r="AA7912">
        <v>0.9869232</v>
      </c>
      <c r="AB7912">
        <v>26</v>
      </c>
      <c r="AC7912">
        <v>10.926500000000001</v>
      </c>
      <c r="AD7912">
        <v>-1.1228352720299899</v>
      </c>
      <c r="AE7912">
        <v>2.2235399999999998</v>
      </c>
      <c r="AF7912">
        <v>-1.8121087562995299</v>
      </c>
      <c r="AG7912">
        <v>-1.1228352720299899</v>
      </c>
      <c r="AH7912">
        <v>10.8887610500839</v>
      </c>
      <c r="AI7912">
        <v>95.808135738763397</v>
      </c>
      <c r="AJ7912">
        <v>99.448576520079698</v>
      </c>
      <c r="AK7912">
        <v>11.095477204636</v>
      </c>
      <c r="AL7912">
        <v>93.227780697591797</v>
      </c>
      <c r="AM7912">
        <v>112.38265498344001</v>
      </c>
      <c r="AN7912">
        <v>1.00000005264633</v>
      </c>
    </row>
    <row r="7913" spans="1:40" x14ac:dyDescent="0.25">
      <c r="A7913" t="str">
        <f>"20190303155003080"</f>
        <v>20190303155003080</v>
      </c>
      <c r="B7913" t="str">
        <f>"1551599403068890"</f>
        <v>1551599403068890</v>
      </c>
      <c r="C7913" t="s">
        <v>40</v>
      </c>
      <c r="D7913">
        <v>5.2700440000000004</v>
      </c>
      <c r="E7913">
        <v>0.58578809999999903</v>
      </c>
      <c r="F7913" t="s">
        <v>64</v>
      </c>
      <c r="G7913">
        <v>-198.7285</v>
      </c>
      <c r="H7913" s="1">
        <v>-6.2274050000000002E-6</v>
      </c>
      <c r="I7913">
        <v>-60.426729999999999</v>
      </c>
      <c r="J7913">
        <v>-209.4128</v>
      </c>
      <c r="K7913">
        <v>1.1228479999999901</v>
      </c>
      <c r="L7913">
        <v>-62.636600000000001</v>
      </c>
      <c r="M7913">
        <v>0.9992008</v>
      </c>
      <c r="N7913">
        <v>-1.503401E-2</v>
      </c>
      <c r="O7913">
        <v>3.7037349999999997E-2</v>
      </c>
      <c r="P7913">
        <v>0.90706189999999998</v>
      </c>
      <c r="Q7913">
        <v>-6.8563299999999994E-2</v>
      </c>
      <c r="R7913">
        <v>0.41537649999999998</v>
      </c>
      <c r="S7913">
        <v>3.0005489999999999</v>
      </c>
      <c r="T7913">
        <v>-0.31149890000000002</v>
      </c>
      <c r="U7913">
        <v>0.61471560000000003</v>
      </c>
      <c r="V7913">
        <v>-0.38127090000000002</v>
      </c>
      <c r="W7913">
        <v>-5.6219890000000002E-2</v>
      </c>
      <c r="X7913">
        <v>0.92275229999999997</v>
      </c>
      <c r="Y7913">
        <v>-0.1634446</v>
      </c>
      <c r="Z7913">
        <v>6.3789919999999896E-3</v>
      </c>
      <c r="AA7913">
        <v>0.98653190000000002</v>
      </c>
      <c r="AB7913">
        <v>26</v>
      </c>
      <c r="AC7913">
        <v>10.6843</v>
      </c>
      <c r="AD7913">
        <v>-1.12285422740499</v>
      </c>
      <c r="AE7913">
        <v>2.2098699999999898</v>
      </c>
      <c r="AF7913">
        <v>-1.79359350483868</v>
      </c>
      <c r="AG7913">
        <v>-1.12285422740499</v>
      </c>
      <c r="AH7913">
        <v>10.646065677134599</v>
      </c>
      <c r="AI7913">
        <v>95.937732313542696</v>
      </c>
      <c r="AJ7913">
        <v>99.563089539335394</v>
      </c>
      <c r="AK7913">
        <v>10.854330641659301</v>
      </c>
      <c r="AL7913">
        <v>93.222861709908798</v>
      </c>
      <c r="AM7913">
        <v>112.449865013978</v>
      </c>
      <c r="AN7913">
        <v>0.99999999118685501</v>
      </c>
    </row>
    <row r="7914" spans="1:40" x14ac:dyDescent="0.25">
      <c r="A7914" t="str">
        <f>"20190303155003093"</f>
        <v>20190303155003093</v>
      </c>
      <c r="B7914" t="str">
        <f>"1551599403088409"</f>
        <v>1551599403088409</v>
      </c>
      <c r="C7914" t="s">
        <v>40</v>
      </c>
      <c r="D7914">
        <v>5.2839510000000001</v>
      </c>
      <c r="E7914">
        <v>0.58579009999999998</v>
      </c>
      <c r="F7914" t="s">
        <v>64</v>
      </c>
      <c r="G7914">
        <v>-198.6454</v>
      </c>
      <c r="H7914" s="1">
        <v>-6.2599949999999999E-6</v>
      </c>
      <c r="I7914">
        <v>-60.404989999999998</v>
      </c>
      <c r="J7914">
        <v>-209.27789999999999</v>
      </c>
      <c r="K7914">
        <v>1.122873</v>
      </c>
      <c r="L7914">
        <v>-62.630159999999997</v>
      </c>
      <c r="M7914">
        <v>0.99915290000000001</v>
      </c>
      <c r="N7914">
        <v>-1.5032190000000001E-2</v>
      </c>
      <c r="O7914">
        <v>3.8311629999999999E-2</v>
      </c>
      <c r="P7914">
        <v>0.90614349999999999</v>
      </c>
      <c r="Q7914">
        <v>-6.8616259999999998E-2</v>
      </c>
      <c r="R7914">
        <v>0.4173674</v>
      </c>
      <c r="S7914">
        <v>2.9990999999999999</v>
      </c>
      <c r="T7914">
        <v>-0.3127549</v>
      </c>
      <c r="U7914">
        <v>0.62158199999999997</v>
      </c>
      <c r="V7914">
        <v>-0.38211489999999998</v>
      </c>
      <c r="W7914">
        <v>-5.6311E-2</v>
      </c>
      <c r="X7914">
        <v>0.92239760000000004</v>
      </c>
      <c r="Y7914">
        <v>-0.16443969999999999</v>
      </c>
      <c r="Z7914">
        <v>6.3454280000000002E-3</v>
      </c>
      <c r="AA7914">
        <v>0.98636670000000004</v>
      </c>
      <c r="AB7914">
        <v>26</v>
      </c>
      <c r="AC7914">
        <v>10.632499999999901</v>
      </c>
      <c r="AD7914">
        <v>-1.1228792599949999</v>
      </c>
      <c r="AE7914">
        <v>2.2251699999999901</v>
      </c>
      <c r="AF7914">
        <v>-1.79694111129551</v>
      </c>
      <c r="AG7914">
        <v>-1.1228792599949999</v>
      </c>
      <c r="AH7914">
        <v>10.596724669977601</v>
      </c>
      <c r="AI7914">
        <v>95.964242214662306</v>
      </c>
      <c r="AJ7914">
        <v>99.6243849349691</v>
      </c>
      <c r="AK7914">
        <v>10.806499383301899</v>
      </c>
      <c r="AL7914">
        <v>93.2280900889766</v>
      </c>
      <c r="AM7914">
        <v>112.502401960651</v>
      </c>
      <c r="AN7914">
        <v>1.00000002900438</v>
      </c>
    </row>
    <row r="7915" spans="1:40" x14ac:dyDescent="0.25">
      <c r="A7915" t="str">
        <f>"20190303155003105"</f>
        <v>20190303155003105</v>
      </c>
      <c r="B7915" t="str">
        <f>"1551599403098170"</f>
        <v>1551599403098170</v>
      </c>
      <c r="C7915" t="s">
        <v>40</v>
      </c>
      <c r="D7915">
        <v>5.288608</v>
      </c>
      <c r="E7915">
        <v>0.58581549999999905</v>
      </c>
      <c r="F7915" t="s">
        <v>64</v>
      </c>
      <c r="G7915">
        <v>-198.77109999999999</v>
      </c>
      <c r="H7915" s="1">
        <v>-6.2101879999999999E-6</v>
      </c>
      <c r="I7915">
        <v>-60.429209999999998</v>
      </c>
      <c r="J7915">
        <v>-209.12180000000001</v>
      </c>
      <c r="K7915">
        <v>1.1229150000000001</v>
      </c>
      <c r="L7915">
        <v>-62.622590000000002</v>
      </c>
      <c r="M7915">
        <v>0.99909389999999998</v>
      </c>
      <c r="N7915">
        <v>-1.503035E-2</v>
      </c>
      <c r="O7915">
        <v>3.981697E-2</v>
      </c>
      <c r="P7915">
        <v>0.90509949999999995</v>
      </c>
      <c r="Q7915">
        <v>-6.8277660000000004E-2</v>
      </c>
      <c r="R7915">
        <v>0.41968240000000001</v>
      </c>
      <c r="S7915">
        <v>2.9972840000000001</v>
      </c>
      <c r="T7915">
        <v>-0.32032640000000001</v>
      </c>
      <c r="U7915">
        <v>0.62786869999999995</v>
      </c>
      <c r="V7915">
        <v>-0.3830771</v>
      </c>
      <c r="W7915">
        <v>-5.602306E-2</v>
      </c>
      <c r="X7915">
        <v>0.9220159</v>
      </c>
      <c r="Y7915">
        <v>-0.16502059999999999</v>
      </c>
      <c r="Z7915">
        <v>6.3553150000000003E-3</v>
      </c>
      <c r="AA7915">
        <v>0.98626970000000003</v>
      </c>
      <c r="AB7915">
        <v>26</v>
      </c>
      <c r="AC7915">
        <v>10.3507</v>
      </c>
      <c r="AD7915">
        <v>-1.122921210188</v>
      </c>
      <c r="AE7915">
        <v>2.1933799999999999</v>
      </c>
      <c r="AF7915">
        <v>-1.7596400199384701</v>
      </c>
      <c r="AG7915">
        <v>-1.122921210188</v>
      </c>
      <c r="AH7915">
        <v>10.313663137034901</v>
      </c>
      <c r="AI7915">
        <v>96.125888625933399</v>
      </c>
      <c r="AJ7915">
        <v>99.682150712757206</v>
      </c>
      <c r="AK7915">
        <v>10.5227815879781</v>
      </c>
      <c r="AL7915">
        <v>93.211566403151096</v>
      </c>
      <c r="AM7915">
        <v>112.561797905096</v>
      </c>
      <c r="AN7915">
        <v>0.99999998382449096</v>
      </c>
    </row>
    <row r="7916" spans="1:40" x14ac:dyDescent="0.25">
      <c r="A7916" t="str">
        <f>"20190303155003117"</f>
        <v>20190303155003117</v>
      </c>
      <c r="B7916" t="str">
        <f>"1551599403108905"</f>
        <v>1551599403108905</v>
      </c>
      <c r="C7916" t="s">
        <v>40</v>
      </c>
      <c r="D7916">
        <v>5.3117660000000004</v>
      </c>
      <c r="E7916">
        <v>0.58586110000000002</v>
      </c>
      <c r="F7916" t="s">
        <v>64</v>
      </c>
      <c r="G7916">
        <v>-198.63310000000001</v>
      </c>
      <c r="H7916" s="1">
        <v>-6.2646049999999996E-6</v>
      </c>
      <c r="I7916">
        <v>-60.398009999999999</v>
      </c>
      <c r="J7916">
        <v>-208.97730000000001</v>
      </c>
      <c r="K7916">
        <v>1.122968</v>
      </c>
      <c r="L7916">
        <v>-62.61533</v>
      </c>
      <c r="M7916">
        <v>0.99903560000000002</v>
      </c>
      <c r="N7916">
        <v>-1.502907E-2</v>
      </c>
      <c r="O7916">
        <v>4.1257210000000002E-2</v>
      </c>
      <c r="P7916">
        <v>0.90407000000000004</v>
      </c>
      <c r="Q7916">
        <v>-6.8219849999999999E-2</v>
      </c>
      <c r="R7916">
        <v>0.42190480000000002</v>
      </c>
      <c r="S7916">
        <v>2.9957280000000002</v>
      </c>
      <c r="T7916">
        <v>-0.32072390000000001</v>
      </c>
      <c r="U7916">
        <v>0.63537600000000005</v>
      </c>
      <c r="V7916">
        <v>-0.38400499999999999</v>
      </c>
      <c r="W7916">
        <v>-5.6023490000000002E-2</v>
      </c>
      <c r="X7916">
        <v>0.92162980000000005</v>
      </c>
      <c r="Y7916">
        <v>-0.1660652</v>
      </c>
      <c r="Z7916">
        <v>6.2949579999999998E-3</v>
      </c>
      <c r="AA7916">
        <v>0.98609469999999999</v>
      </c>
      <c r="AB7916">
        <v>26</v>
      </c>
      <c r="AC7916">
        <v>10.344200000000001</v>
      </c>
      <c r="AD7916">
        <v>-1.122974264605</v>
      </c>
      <c r="AE7916">
        <v>2.21732</v>
      </c>
      <c r="AF7916">
        <v>-1.7686816512966901</v>
      </c>
      <c r="AG7916">
        <v>-1.122974264605</v>
      </c>
      <c r="AH7916">
        <v>10.310703229371001</v>
      </c>
      <c r="AI7916">
        <v>96.126985320469203</v>
      </c>
      <c r="AJ7916">
        <v>99.733692132581695</v>
      </c>
      <c r="AK7916">
        <v>10.521402333660699</v>
      </c>
      <c r="AL7916">
        <v>93.211591091861294</v>
      </c>
      <c r="AM7916">
        <v>112.619472075285</v>
      </c>
      <c r="AN7916">
        <v>0.99999997985240996</v>
      </c>
    </row>
    <row r="7917" spans="1:40" x14ac:dyDescent="0.25">
      <c r="A7917" t="str">
        <f>"20190303155003130"</f>
        <v>20190303155003130</v>
      </c>
      <c r="B7917" t="str">
        <f>"1551599403118665"</f>
        <v>1551599403118665</v>
      </c>
      <c r="C7917" t="s">
        <v>40</v>
      </c>
      <c r="D7917">
        <v>5.2942419999999997</v>
      </c>
      <c r="E7917">
        <v>0.58576859999999997</v>
      </c>
      <c r="F7917" t="s">
        <v>64</v>
      </c>
      <c r="G7917">
        <v>-198.50190000000001</v>
      </c>
      <c r="H7917" s="1">
        <v>-7.1285859999999999E-6</v>
      </c>
      <c r="I7917">
        <v>-60.368180000000002</v>
      </c>
      <c r="J7917">
        <v>-208.84719999999999</v>
      </c>
      <c r="K7917">
        <v>1.1230279999999999</v>
      </c>
      <c r="L7917">
        <v>-62.608460000000001</v>
      </c>
      <c r="M7917">
        <v>0.99897860000000005</v>
      </c>
      <c r="N7917">
        <v>-1.502854E-2</v>
      </c>
      <c r="O7917">
        <v>4.2614109999999997E-2</v>
      </c>
      <c r="P7917">
        <v>0.9031264</v>
      </c>
      <c r="Q7917">
        <v>-6.78116E-2</v>
      </c>
      <c r="R7917">
        <v>0.42398629999999998</v>
      </c>
      <c r="S7917">
        <v>2.994354</v>
      </c>
      <c r="T7917">
        <v>-0.32099630000000001</v>
      </c>
      <c r="U7917">
        <v>0.64233399999999996</v>
      </c>
      <c r="V7917">
        <v>-0.38486799999999999</v>
      </c>
      <c r="W7917">
        <v>-5.5676169999999997E-2</v>
      </c>
      <c r="X7917">
        <v>0.92129079999999997</v>
      </c>
      <c r="Y7917">
        <v>-0.1670075</v>
      </c>
      <c r="Z7917">
        <v>6.2339049999999997E-3</v>
      </c>
      <c r="AA7917">
        <v>0.98593589999999998</v>
      </c>
      <c r="AB7917">
        <v>26</v>
      </c>
      <c r="AC7917">
        <v>10.3452999999999</v>
      </c>
      <c r="AD7917">
        <v>-1.1230351285860001</v>
      </c>
      <c r="AE7917">
        <v>2.2402799999999901</v>
      </c>
      <c r="AF7917">
        <v>-1.77733266615497</v>
      </c>
      <c r="AG7917">
        <v>-1.1230351285860001</v>
      </c>
      <c r="AH7917">
        <v>10.315266299807099</v>
      </c>
      <c r="AI7917">
        <v>96.123850861073393</v>
      </c>
      <c r="AJ7917">
        <v>99.776141521238301</v>
      </c>
      <c r="AK7917">
        <v>10.527337656889101</v>
      </c>
      <c r="AL7917">
        <v>93.191660025508995</v>
      </c>
      <c r="AM7917">
        <v>112.67266779227</v>
      </c>
      <c r="AN7917">
        <v>0.99999997574725397</v>
      </c>
    </row>
    <row r="7918" spans="1:40" x14ac:dyDescent="0.25">
      <c r="A7918" t="str">
        <f>"20190303155003142"</f>
        <v>20190303155003142</v>
      </c>
      <c r="B7918" t="str">
        <f>"1551599403138186"</f>
        <v>1551599403138186</v>
      </c>
      <c r="C7918" t="s">
        <v>40</v>
      </c>
      <c r="D7918">
        <v>5.3325740000000001</v>
      </c>
      <c r="E7918">
        <v>0.5856557</v>
      </c>
      <c r="F7918" t="s">
        <v>64</v>
      </c>
      <c r="G7918">
        <v>-198.46420000000001</v>
      </c>
      <c r="H7918" s="1">
        <v>-7.1294050000000002E-6</v>
      </c>
      <c r="I7918">
        <v>-60.353789999999996</v>
      </c>
      <c r="J7918">
        <v>-208.70490000000001</v>
      </c>
      <c r="K7918">
        <v>1.1230960000000001</v>
      </c>
      <c r="L7918">
        <v>-62.600830000000002</v>
      </c>
      <c r="M7918">
        <v>0.99891319999999995</v>
      </c>
      <c r="N7918">
        <v>-1.5028110000000001E-2</v>
      </c>
      <c r="O7918">
        <v>4.4124240000000002E-2</v>
      </c>
      <c r="P7918">
        <v>0.90200749999999996</v>
      </c>
      <c r="Q7918">
        <v>-6.7579449999999999E-2</v>
      </c>
      <c r="R7918">
        <v>0.42639850000000001</v>
      </c>
      <c r="S7918">
        <v>2.992432</v>
      </c>
      <c r="T7918">
        <v>-0.3236657</v>
      </c>
      <c r="U7918">
        <v>0.64981080000000002</v>
      </c>
      <c r="V7918">
        <v>-0.38592769999999998</v>
      </c>
      <c r="W7918">
        <v>-5.5516129999999997E-2</v>
      </c>
      <c r="X7918">
        <v>0.92085709999999998</v>
      </c>
      <c r="Y7918">
        <v>-0.16798729999999901</v>
      </c>
      <c r="Z7918">
        <v>6.1931499999999997E-3</v>
      </c>
      <c r="AA7918">
        <v>0.98576969999999997</v>
      </c>
      <c r="AB7918">
        <v>26</v>
      </c>
      <c r="AC7918">
        <v>10.2407</v>
      </c>
      <c r="AD7918">
        <v>-1.12310312940499</v>
      </c>
      <c r="AE7918">
        <v>2.2470399999999899</v>
      </c>
      <c r="AF7918">
        <v>-1.7725961562716499</v>
      </c>
      <c r="AG7918">
        <v>-1.12310312940499</v>
      </c>
      <c r="AH7918">
        <v>10.2126918460885</v>
      </c>
      <c r="AI7918">
        <v>96.183949653228595</v>
      </c>
      <c r="AJ7918">
        <v>99.846614818038702</v>
      </c>
      <c r="AK7918">
        <v>10.426050667231101</v>
      </c>
      <c r="AL7918">
        <v>93.182476081097704</v>
      </c>
      <c r="AM7918">
        <v>112.738371952015</v>
      </c>
      <c r="AN7918">
        <v>1.0000000144689301</v>
      </c>
    </row>
    <row r="7919" spans="1:40" x14ac:dyDescent="0.25">
      <c r="A7919" t="str">
        <f>"20190303155003155"</f>
        <v>20190303155003155</v>
      </c>
      <c r="B7919" t="str">
        <f>"1551599403148922"</f>
        <v>1551599403148922</v>
      </c>
      <c r="C7919" t="s">
        <v>40</v>
      </c>
      <c r="D7919">
        <v>5.3884540000000003</v>
      </c>
      <c r="E7919">
        <v>0.58540709999999996</v>
      </c>
      <c r="F7919" t="s">
        <v>64</v>
      </c>
      <c r="G7919">
        <v>-198.48259999999999</v>
      </c>
      <c r="H7919" s="1">
        <v>-7.1329309999999997E-6</v>
      </c>
      <c r="I7919">
        <v>-60.349620000000002</v>
      </c>
      <c r="J7919">
        <v>-208.5497</v>
      </c>
      <c r="K7919">
        <v>1.123183</v>
      </c>
      <c r="L7919">
        <v>-62.592100000000002</v>
      </c>
      <c r="M7919">
        <v>0.99883440000000001</v>
      </c>
      <c r="N7919">
        <v>-1.5028440000000001E-2</v>
      </c>
      <c r="O7919">
        <v>4.5870069999999999E-2</v>
      </c>
      <c r="P7919">
        <v>0.90090729999999997</v>
      </c>
      <c r="Q7919">
        <v>-6.7299970000000001E-2</v>
      </c>
      <c r="R7919">
        <v>0.42876170000000002</v>
      </c>
      <c r="S7919">
        <v>2.9900359999999999</v>
      </c>
      <c r="T7919">
        <v>-0.3285071</v>
      </c>
      <c r="U7919">
        <v>0.6584778</v>
      </c>
      <c r="V7919">
        <v>-0.38672030000000002</v>
      </c>
      <c r="W7919">
        <v>-5.5322389999999999E-2</v>
      </c>
      <c r="X7919">
        <v>0.92053620000000003</v>
      </c>
      <c r="Y7919">
        <v>-0.1691308</v>
      </c>
      <c r="Z7919">
        <v>6.1670769999999896E-3</v>
      </c>
      <c r="AA7919">
        <v>0.98557430000000001</v>
      </c>
      <c r="AB7919">
        <v>26</v>
      </c>
      <c r="AC7919">
        <v>10.0671</v>
      </c>
      <c r="AD7919">
        <v>-1.1231901329309999</v>
      </c>
      <c r="AE7919">
        <v>2.24248</v>
      </c>
      <c r="AF7919">
        <v>-1.7574459279938</v>
      </c>
      <c r="AG7919">
        <v>-1.1231901329309999</v>
      </c>
      <c r="AH7919">
        <v>10.0403025601273</v>
      </c>
      <c r="AI7919">
        <v>96.288213360215806</v>
      </c>
      <c r="AJ7919">
        <v>99.928421425476401</v>
      </c>
      <c r="AK7919">
        <v>10.254650055630099</v>
      </c>
      <c r="AL7919">
        <v>93.171358473283107</v>
      </c>
      <c r="AM7919">
        <v>112.787436946634</v>
      </c>
      <c r="AN7919">
        <v>1.0000000263889199</v>
      </c>
    </row>
    <row r="7920" spans="1:40" x14ac:dyDescent="0.25">
      <c r="A7920" t="str">
        <f>"20190303155003170"</f>
        <v>20190303155003170</v>
      </c>
      <c r="B7920" t="str">
        <f>"1551599403158681"</f>
        <v>1551599403158681</v>
      </c>
      <c r="C7920" t="s">
        <v>40</v>
      </c>
      <c r="D7920">
        <v>5.526097</v>
      </c>
      <c r="E7920">
        <v>0.58540709999999996</v>
      </c>
      <c r="F7920" t="s">
        <v>64</v>
      </c>
      <c r="G7920">
        <v>-198.4701</v>
      </c>
      <c r="H7920" s="1">
        <v>-7.1355419999999996E-6</v>
      </c>
      <c r="I7920">
        <v>-60.338180000000001</v>
      </c>
      <c r="J7920">
        <v>-208.38749999999999</v>
      </c>
      <c r="K7920">
        <v>1.123291</v>
      </c>
      <c r="L7920">
        <v>-62.582549999999998</v>
      </c>
      <c r="M7920">
        <v>0.99874529999999995</v>
      </c>
      <c r="N7920">
        <v>-1.5029290000000001E-2</v>
      </c>
      <c r="O7920">
        <v>4.7770939999999998E-2</v>
      </c>
      <c r="P7920">
        <v>0.89917179999999997</v>
      </c>
      <c r="Q7920">
        <v>-6.7109470000000004E-2</v>
      </c>
      <c r="R7920">
        <v>0.43241930000000001</v>
      </c>
      <c r="S7920">
        <v>2.9871979999999998</v>
      </c>
      <c r="T7920">
        <v>-0.33286769999999999</v>
      </c>
      <c r="U7920">
        <v>0.66796880000000003</v>
      </c>
      <c r="V7920">
        <v>-0.38869480000000001</v>
      </c>
      <c r="W7920">
        <v>-5.5237969999999997E-2</v>
      </c>
      <c r="X7920">
        <v>0.91970929999999995</v>
      </c>
      <c r="Y7920">
        <v>-0.1704135</v>
      </c>
      <c r="Z7920">
        <v>6.125943E-3</v>
      </c>
      <c r="AA7920">
        <v>0.98535360000000005</v>
      </c>
      <c r="AB7920">
        <v>26</v>
      </c>
      <c r="AC7920">
        <v>9.9173999999999793</v>
      </c>
      <c r="AD7920">
        <v>-1.123298135542</v>
      </c>
      <c r="AE7920">
        <v>2.2443699999999902</v>
      </c>
      <c r="AF7920">
        <v>-1.74667360639989</v>
      </c>
      <c r="AG7920">
        <v>-1.123298135542</v>
      </c>
      <c r="AH7920">
        <v>9.8925734778271206</v>
      </c>
      <c r="AI7920">
        <v>96.380311104709705</v>
      </c>
      <c r="AJ7920">
        <v>100.013177270832</v>
      </c>
      <c r="AK7920">
        <v>10.108198524109699</v>
      </c>
      <c r="AL7920">
        <v>93.166514117173094</v>
      </c>
      <c r="AM7920">
        <v>112.910275137591</v>
      </c>
      <c r="AN7920">
        <v>1.0000000386916199</v>
      </c>
    </row>
    <row r="7921" spans="1:40" x14ac:dyDescent="0.25">
      <c r="A7921" t="str">
        <f>"20190303155003182"</f>
        <v>20190303155003182</v>
      </c>
      <c r="B7921" t="str">
        <f>"1551599403168441"</f>
        <v>1551599403168441</v>
      </c>
      <c r="C7921" t="s">
        <v>40</v>
      </c>
      <c r="D7921">
        <v>5.3444960000000004</v>
      </c>
      <c r="E7921">
        <v>0.58225209999999905</v>
      </c>
      <c r="F7921" t="s">
        <v>64</v>
      </c>
      <c r="G7921">
        <v>-198.29259999999999</v>
      </c>
      <c r="H7921" s="1">
        <v>-7.1352480000000004E-6</v>
      </c>
      <c r="I7921">
        <v>-60.282130000000002</v>
      </c>
      <c r="J7921">
        <v>-208.25</v>
      </c>
      <c r="K7921">
        <v>1.1233740000000001</v>
      </c>
      <c r="L7921">
        <v>-62.574280000000002</v>
      </c>
      <c r="M7921">
        <v>0.99866460000000001</v>
      </c>
      <c r="N7921">
        <v>-1.5030180000000001E-2</v>
      </c>
      <c r="O7921">
        <v>4.9428220000000002E-2</v>
      </c>
      <c r="P7921">
        <v>0.89803069999999896</v>
      </c>
      <c r="Q7921">
        <v>-6.6538180000000002E-2</v>
      </c>
      <c r="R7921">
        <v>0.43487189999999998</v>
      </c>
      <c r="S7921">
        <v>2.9845429999999999</v>
      </c>
      <c r="T7921">
        <v>-0.33210099999999998</v>
      </c>
      <c r="U7921">
        <v>0.68011469999999996</v>
      </c>
      <c r="V7921">
        <v>-0.38966820000000002</v>
      </c>
      <c r="W7921">
        <v>-5.4750710000000001E-2</v>
      </c>
      <c r="X7921">
        <v>0.91932639999999999</v>
      </c>
      <c r="Y7921">
        <v>-0.17277500000000001</v>
      </c>
      <c r="Z7921">
        <v>6.1098819999999996E-3</v>
      </c>
      <c r="AA7921">
        <v>0.9849424</v>
      </c>
      <c r="AB7921">
        <v>26</v>
      </c>
      <c r="AC7921">
        <v>9.9573999999999998</v>
      </c>
      <c r="AD7921">
        <v>-1.1233811352480001</v>
      </c>
      <c r="AE7921">
        <v>2.2921499999999901</v>
      </c>
      <c r="AF7921">
        <v>-1.77565219676509</v>
      </c>
      <c r="AG7921">
        <v>-1.1233811352480001</v>
      </c>
      <c r="AH7921">
        <v>9.9384048846317299</v>
      </c>
      <c r="AI7921">
        <v>96.349315249990696</v>
      </c>
      <c r="AJ7921">
        <v>100.129906743229</v>
      </c>
      <c r="AK7921">
        <v>10.158091235551</v>
      </c>
      <c r="AL7921">
        <v>93.138554022395994</v>
      </c>
      <c r="AM7921">
        <v>112.970277785007</v>
      </c>
      <c r="AN7921">
        <v>0.99999998803685097</v>
      </c>
    </row>
    <row r="7922" spans="1:40" x14ac:dyDescent="0.25">
      <c r="A7922" t="str">
        <f>"20190303155003192"</f>
        <v>20190303155003192</v>
      </c>
      <c r="B7922" t="str">
        <f>"1551599403188937"</f>
        <v>1551599403188937</v>
      </c>
      <c r="C7922" t="s">
        <v>40</v>
      </c>
      <c r="D7922">
        <v>5.3601590000000003</v>
      </c>
      <c r="E7922">
        <v>0.48750189999999999</v>
      </c>
      <c r="F7922" t="s">
        <v>64</v>
      </c>
      <c r="G7922">
        <v>-198.0351</v>
      </c>
      <c r="H7922" s="1">
        <v>-7.1594200000000001E-6</v>
      </c>
      <c r="I7922">
        <v>-60.130760000000002</v>
      </c>
      <c r="J7922">
        <v>-208.1182</v>
      </c>
      <c r="K7922">
        <v>1.1234580000000001</v>
      </c>
      <c r="L7922">
        <v>-62.565890000000003</v>
      </c>
      <c r="M7922">
        <v>0.99857940000000001</v>
      </c>
      <c r="N7922">
        <v>-1.503178E-2</v>
      </c>
      <c r="O7922">
        <v>5.1119009999999999E-2</v>
      </c>
      <c r="P7922">
        <v>0.89690239999999999</v>
      </c>
      <c r="Q7922">
        <v>-6.6392629999999994E-2</v>
      </c>
      <c r="R7922">
        <v>0.43721660000000001</v>
      </c>
      <c r="S7922">
        <v>2.972137</v>
      </c>
      <c r="T7922">
        <v>-0.32685969999999998</v>
      </c>
      <c r="U7922">
        <v>0.71096800000000004</v>
      </c>
      <c r="V7922">
        <v>-0.39050220000000002</v>
      </c>
      <c r="W7922">
        <v>-5.4688769999999998E-2</v>
      </c>
      <c r="X7922">
        <v>0.91897620000000002</v>
      </c>
      <c r="Y7922">
        <v>-0.1816557</v>
      </c>
      <c r="Z7922">
        <v>6.450028E-3</v>
      </c>
      <c r="AA7922">
        <v>0.98334100000000002</v>
      </c>
      <c r="AB7922">
        <v>26</v>
      </c>
      <c r="AC7922">
        <v>10.0831</v>
      </c>
      <c r="AD7922">
        <v>-1.12346515942</v>
      </c>
      <c r="AE7922">
        <v>2.43513</v>
      </c>
      <c r="AF7922">
        <v>-1.8942291428687299</v>
      </c>
      <c r="AG7922">
        <v>-1.12346515942</v>
      </c>
      <c r="AH7922">
        <v>10.076211808710299</v>
      </c>
      <c r="AI7922">
        <v>96.253370328984005</v>
      </c>
      <c r="AJ7922">
        <v>100.646785761743</v>
      </c>
      <c r="AK7922">
        <v>10.314083692898601</v>
      </c>
      <c r="AL7922">
        <v>93.134999624280198</v>
      </c>
      <c r="AM7922">
        <v>113.022181606899</v>
      </c>
      <c r="AN7922">
        <v>1.0000000429676901</v>
      </c>
    </row>
    <row r="7923" spans="1:40" x14ac:dyDescent="0.25">
      <c r="A7923" t="str">
        <f>"20190303155003205"</f>
        <v>20190303155003205</v>
      </c>
      <c r="B7923" t="str">
        <f>"1551599403198697"</f>
        <v>1551599403198697</v>
      </c>
      <c r="C7923" t="s">
        <v>40</v>
      </c>
      <c r="D7923">
        <v>5.2649049999999997</v>
      </c>
      <c r="E7923">
        <v>0.47506090000000001</v>
      </c>
      <c r="F7923" t="s">
        <v>64</v>
      </c>
      <c r="G7923">
        <v>-195.78739999999999</v>
      </c>
      <c r="H7923" s="1">
        <v>-8.3434519999999993E-6</v>
      </c>
      <c r="I7923">
        <v>-56.037230000000001</v>
      </c>
      <c r="J7923">
        <v>-207.98849999999999</v>
      </c>
      <c r="K7923">
        <v>1.1235409999999999</v>
      </c>
      <c r="L7923">
        <v>-62.557459999999999</v>
      </c>
      <c r="M7923">
        <v>0.99849089999999996</v>
      </c>
      <c r="N7923">
        <v>-1.503343E-2</v>
      </c>
      <c r="O7923">
        <v>5.28215E-2</v>
      </c>
      <c r="P7923">
        <v>0.89555720000000005</v>
      </c>
      <c r="Q7923">
        <v>-6.6038289999999999E-2</v>
      </c>
      <c r="R7923">
        <v>0.44001839999999998</v>
      </c>
      <c r="S7923">
        <v>2.644485</v>
      </c>
      <c r="T7923">
        <v>-0.2409405</v>
      </c>
      <c r="U7923">
        <v>1.4001459999999999</v>
      </c>
      <c r="V7923">
        <v>-0.39179629999999999</v>
      </c>
      <c r="W7923">
        <v>-5.4422600000000002E-2</v>
      </c>
      <c r="X7923">
        <v>0.91844099999999995</v>
      </c>
      <c r="Y7923">
        <v>-0.41907800000000001</v>
      </c>
      <c r="Z7923">
        <v>1.748881E-2</v>
      </c>
      <c r="AA7923">
        <v>0.90778179999999997</v>
      </c>
      <c r="AB7923">
        <v>26</v>
      </c>
      <c r="AC7923">
        <v>12.201099999999901</v>
      </c>
      <c r="AD7923">
        <v>-1.1235493434520001</v>
      </c>
      <c r="AE7923">
        <v>6.52022999999999</v>
      </c>
      <c r="AF7923">
        <v>-5.8281294031373001</v>
      </c>
      <c r="AG7923">
        <v>-1.1235493434520001</v>
      </c>
      <c r="AH7923">
        <v>12.4464124947919</v>
      </c>
      <c r="AI7923">
        <v>94.673656037244299</v>
      </c>
      <c r="AJ7923">
        <v>115.091708527246</v>
      </c>
      <c r="AK7923">
        <v>13.7892218582992</v>
      </c>
      <c r="AL7923">
        <v>93.119726547845303</v>
      </c>
      <c r="AM7923">
        <v>113.10253425826799</v>
      </c>
      <c r="AN7923">
        <v>1.00000001528272</v>
      </c>
    </row>
    <row r="7924" spans="1:40" x14ac:dyDescent="0.25">
      <c r="A7924" t="str">
        <f>"20190303155003227"</f>
        <v>20190303155003227</v>
      </c>
      <c r="B7924" t="str">
        <f>"1551599403218217"</f>
        <v>1551599403218217</v>
      </c>
      <c r="C7924" t="s">
        <v>40</v>
      </c>
      <c r="D7924">
        <v>5.06637</v>
      </c>
      <c r="E7924">
        <v>0.45647900000000002</v>
      </c>
      <c r="F7924" t="s">
        <v>42</v>
      </c>
      <c r="G7924">
        <v>-207.1113</v>
      </c>
      <c r="H7924">
        <v>1.046373</v>
      </c>
      <c r="I7924">
        <v>-62.051670000000001</v>
      </c>
      <c r="J7924">
        <v>-207.74690000000001</v>
      </c>
      <c r="K7924">
        <v>1.1236969999999999</v>
      </c>
      <c r="L7924">
        <v>-62.5409199999999</v>
      </c>
      <c r="M7924">
        <v>0.99830750000000001</v>
      </c>
      <c r="N7924">
        <v>-1.5037470000000001E-2</v>
      </c>
      <c r="O7924">
        <v>5.6178649999999997E-2</v>
      </c>
      <c r="P7924">
        <v>0.89308729999999903</v>
      </c>
      <c r="Q7924">
        <v>-6.4892259999999993E-2</v>
      </c>
      <c r="R7924">
        <v>0.44517899999999999</v>
      </c>
      <c r="S7924">
        <v>2.597137</v>
      </c>
      <c r="T7924">
        <v>-0.22848199999999999</v>
      </c>
      <c r="U7924">
        <v>1.497711</v>
      </c>
      <c r="V7924">
        <v>-0.39398749999999999</v>
      </c>
      <c r="W7924">
        <v>-5.343958E-2</v>
      </c>
      <c r="X7924">
        <v>0.91756090000000001</v>
      </c>
      <c r="Y7924">
        <v>-0.44864280000000001</v>
      </c>
      <c r="Z7924">
        <v>1.8138129999999999E-2</v>
      </c>
      <c r="AA7924">
        <v>0.89352710000000002</v>
      </c>
      <c r="AB7924">
        <v>26</v>
      </c>
      <c r="AC7924">
        <v>0.63560000000001005</v>
      </c>
      <c r="AD7924">
        <v>-7.7323999999999907E-2</v>
      </c>
      <c r="AE7924">
        <v>0.48924999999999802</v>
      </c>
      <c r="AF7924">
        <v>-0.44859694520691801</v>
      </c>
      <c r="AG7924">
        <v>-7.7323999999999907E-2</v>
      </c>
      <c r="AH7924">
        <v>0.65598807685674099</v>
      </c>
      <c r="AI7924">
        <v>95.557313250193204</v>
      </c>
      <c r="AJ7924">
        <v>124.366242637667</v>
      </c>
      <c r="AK7924">
        <v>0.79846012874982397</v>
      </c>
      <c r="AL7924">
        <v>93.063321693389298</v>
      </c>
      <c r="AM7924">
        <v>113.237992197005</v>
      </c>
      <c r="AN7924">
        <v>0.99999997203781699</v>
      </c>
    </row>
    <row r="7925" spans="1:40" x14ac:dyDescent="0.25">
      <c r="A7925" t="str">
        <f>"20190303155003240"</f>
        <v>20190303155003240</v>
      </c>
      <c r="B7925" t="str">
        <f>"1551599403228953"</f>
        <v>1551599403228953</v>
      </c>
      <c r="C7925" t="s">
        <v>40</v>
      </c>
      <c r="D7925">
        <v>5.0899449999999904</v>
      </c>
      <c r="E7925">
        <v>0.45095089999999999</v>
      </c>
      <c r="F7925" t="s">
        <v>42</v>
      </c>
      <c r="G7925">
        <v>-206.89879999999999</v>
      </c>
      <c r="H7925">
        <v>1.045156</v>
      </c>
      <c r="I7925">
        <v>-61.987830000000002</v>
      </c>
      <c r="J7925">
        <v>-207.58690000000001</v>
      </c>
      <c r="K7925">
        <v>1.123799</v>
      </c>
      <c r="L7925">
        <v>-62.52948</v>
      </c>
      <c r="M7925">
        <v>0.99817370000000005</v>
      </c>
      <c r="N7925">
        <v>-1.504047E-2</v>
      </c>
      <c r="O7925">
        <v>5.8509770000000003E-2</v>
      </c>
      <c r="P7925">
        <v>0.89149769999999995</v>
      </c>
      <c r="Q7925">
        <v>-6.4059210000000005E-2</v>
      </c>
      <c r="R7925">
        <v>0.44847369999999998</v>
      </c>
      <c r="S7925">
        <v>2.522125</v>
      </c>
      <c r="T7925">
        <v>-0.2335825</v>
      </c>
      <c r="U7925">
        <v>1.645111</v>
      </c>
      <c r="V7925">
        <v>-0.39522000000000002</v>
      </c>
      <c r="W7925">
        <v>-5.2714280000000002E-2</v>
      </c>
      <c r="X7925">
        <v>0.91707269999999996</v>
      </c>
      <c r="Y7925">
        <v>-0.49470769999999997</v>
      </c>
      <c r="Z7925">
        <v>2.0802859999999999E-2</v>
      </c>
      <c r="AA7925">
        <v>0.86881039999999998</v>
      </c>
      <c r="AB7925">
        <v>26</v>
      </c>
      <c r="AC7925">
        <v>0.68810000000001903</v>
      </c>
      <c r="AD7925">
        <v>-7.8643000000000005E-2</v>
      </c>
      <c r="AE7925">
        <v>0.54165000000000396</v>
      </c>
      <c r="AF7925">
        <v>-0.49645287798545001</v>
      </c>
      <c r="AG7925">
        <v>-7.8643000000000005E-2</v>
      </c>
      <c r="AH7925">
        <v>0.71286708053277803</v>
      </c>
      <c r="AI7925">
        <v>95.172841133656405</v>
      </c>
      <c r="AJ7925">
        <v>124.854015837847</v>
      </c>
      <c r="AK7925">
        <v>0.87225549927550705</v>
      </c>
      <c r="AL7925">
        <v>93.021706347064196</v>
      </c>
      <c r="AM7925">
        <v>113.314022403186</v>
      </c>
      <c r="AN7925">
        <v>0.99999999040060406</v>
      </c>
    </row>
    <row r="7926" spans="1:40" x14ac:dyDescent="0.25">
      <c r="A7926" t="str">
        <f>"20190303155003254"</f>
        <v>20190303155003254</v>
      </c>
      <c r="B7926" t="str">
        <f>"1551599403248474"</f>
        <v>1551599403248474</v>
      </c>
      <c r="C7926" t="s">
        <v>40</v>
      </c>
      <c r="D7926">
        <v>5.0785830000000001</v>
      </c>
      <c r="E7926">
        <v>0.44385370000000002</v>
      </c>
      <c r="F7926" t="s">
        <v>42</v>
      </c>
      <c r="G7926">
        <v>-206.88120000000001</v>
      </c>
      <c r="H7926">
        <v>1.0571349999999999</v>
      </c>
      <c r="I7926">
        <v>-62.050829999999998</v>
      </c>
      <c r="J7926">
        <v>-207.44069999999999</v>
      </c>
      <c r="K7926">
        <v>1.123893</v>
      </c>
      <c r="L7926">
        <v>-62.518430000000002</v>
      </c>
      <c r="M7926">
        <v>0.99803900000000001</v>
      </c>
      <c r="N7926">
        <v>-1.504401E-2</v>
      </c>
      <c r="O7926">
        <v>6.0760300000000003E-2</v>
      </c>
      <c r="P7926">
        <v>0.88994519999999899</v>
      </c>
      <c r="Q7926">
        <v>-6.3222689999999998E-2</v>
      </c>
      <c r="R7926">
        <v>0.45166410000000001</v>
      </c>
      <c r="S7926">
        <v>2.4962010000000001</v>
      </c>
      <c r="T7926">
        <v>-0.23584430000000001</v>
      </c>
      <c r="U7926">
        <v>1.6936040000000001</v>
      </c>
      <c r="V7926">
        <v>-0.39642529999999998</v>
      </c>
      <c r="W7926">
        <v>-5.1976250000000002E-2</v>
      </c>
      <c r="X7926">
        <v>0.91659440000000003</v>
      </c>
      <c r="Y7926">
        <v>-0.50838300000000003</v>
      </c>
      <c r="Z7926">
        <v>2.157367E-2</v>
      </c>
      <c r="AA7926">
        <v>0.86086079999999998</v>
      </c>
      <c r="AB7926">
        <v>26</v>
      </c>
      <c r="AC7926">
        <v>0.55949999999998501</v>
      </c>
      <c r="AD7926">
        <v>-6.6758000000000095E-2</v>
      </c>
      <c r="AE7926">
        <v>0.46759999999999702</v>
      </c>
      <c r="AF7926">
        <v>-0.42913957236609102</v>
      </c>
      <c r="AG7926">
        <v>-6.6758000000000095E-2</v>
      </c>
      <c r="AH7926">
        <v>0.58200240840698603</v>
      </c>
      <c r="AI7926">
        <v>95.274635754415897</v>
      </c>
      <c r="AJ7926">
        <v>126.403213686934</v>
      </c>
      <c r="AK7926">
        <v>0.72618469174589695</v>
      </c>
      <c r="AL7926">
        <v>92.979362495047795</v>
      </c>
      <c r="AM7926">
        <v>113.388388800897</v>
      </c>
      <c r="AN7926">
        <v>0.99999992157775297</v>
      </c>
    </row>
    <row r="7927" spans="1:40" x14ac:dyDescent="0.25">
      <c r="A7927" t="str">
        <f>"20190303155003267"</f>
        <v>20190303155003267</v>
      </c>
      <c r="B7927" t="str">
        <f>"1551599403258233"</f>
        <v>1551599403258233</v>
      </c>
      <c r="C7927" t="s">
        <v>40</v>
      </c>
      <c r="D7927">
        <v>5.0508259999999998</v>
      </c>
      <c r="E7927">
        <v>0.44143149999999998</v>
      </c>
      <c r="F7927" t="s">
        <v>42</v>
      </c>
      <c r="G7927">
        <v>-206.67330000000001</v>
      </c>
      <c r="H7927">
        <v>1.049023</v>
      </c>
      <c r="I7927">
        <v>-61.972630000000002</v>
      </c>
      <c r="J7927">
        <v>-207.27670000000001</v>
      </c>
      <c r="K7927">
        <v>1.1240049999999999</v>
      </c>
      <c r="L7927">
        <v>-62.505650000000003</v>
      </c>
      <c r="M7927">
        <v>0.99787689999999996</v>
      </c>
      <c r="N7927">
        <v>-1.5048189999999999E-2</v>
      </c>
      <c r="O7927">
        <v>6.3367930000000003E-2</v>
      </c>
      <c r="P7927">
        <v>0.88813259999999905</v>
      </c>
      <c r="Q7927">
        <v>-6.2725669999999997E-2</v>
      </c>
      <c r="R7927">
        <v>0.45528669999999999</v>
      </c>
      <c r="S7927">
        <v>2.4643099999999998</v>
      </c>
      <c r="T7927">
        <v>-0.24045059999999999</v>
      </c>
      <c r="U7927">
        <v>1.75286899999999</v>
      </c>
      <c r="V7927">
        <v>-0.39775139999999998</v>
      </c>
      <c r="W7927">
        <v>-5.159453E-2</v>
      </c>
      <c r="X7927">
        <v>0.91604140000000001</v>
      </c>
      <c r="Y7927">
        <v>-0.52496899999999902</v>
      </c>
      <c r="Z7927">
        <v>2.2668569999999999E-2</v>
      </c>
      <c r="AA7927">
        <v>0.8508194</v>
      </c>
      <c r="AB7927">
        <v>26</v>
      </c>
      <c r="AC7927">
        <v>0.60339999999999305</v>
      </c>
      <c r="AD7927">
        <v>-7.4981999999999799E-2</v>
      </c>
      <c r="AE7927">
        <v>0.53302000000000005</v>
      </c>
      <c r="AF7927">
        <v>-0.48946253240601201</v>
      </c>
      <c r="AG7927">
        <v>-7.4981999999999799E-2</v>
      </c>
      <c r="AH7927">
        <v>0.63049848023079802</v>
      </c>
      <c r="AI7927">
        <v>95.366640931568995</v>
      </c>
      <c r="AJ7927">
        <v>127.822561757968</v>
      </c>
      <c r="AK7927">
        <v>0.80170081983658503</v>
      </c>
      <c r="AL7927">
        <v>92.957461904036904</v>
      </c>
      <c r="AM7927">
        <v>113.470813222652</v>
      </c>
      <c r="AN7927">
        <v>1.00000000912092</v>
      </c>
    </row>
    <row r="7928" spans="1:40" x14ac:dyDescent="0.25">
      <c r="A7928" t="str">
        <f>"20190303155003282"</f>
        <v>20190303155003282</v>
      </c>
      <c r="B7928" t="str">
        <f>"1551599403268969"</f>
        <v>1551599403268969</v>
      </c>
      <c r="C7928" t="s">
        <v>40</v>
      </c>
      <c r="D7928">
        <v>5.0396720000000004</v>
      </c>
      <c r="E7928">
        <v>0.43962909999999999</v>
      </c>
      <c r="F7928" t="s">
        <v>42</v>
      </c>
      <c r="G7928">
        <v>-206.46100000000001</v>
      </c>
      <c r="H7928">
        <v>1.04331</v>
      </c>
      <c r="I7928">
        <v>-61.912860000000002</v>
      </c>
      <c r="J7928">
        <v>-207.11529999999999</v>
      </c>
      <c r="K7928">
        <v>1.124115</v>
      </c>
      <c r="L7928">
        <v>-62.492609999999999</v>
      </c>
      <c r="M7928">
        <v>0.99770400000000004</v>
      </c>
      <c r="N7928">
        <v>-1.5052609999999999E-2</v>
      </c>
      <c r="O7928">
        <v>6.6031229999999996E-2</v>
      </c>
      <c r="P7928">
        <v>0.88583650000000003</v>
      </c>
      <c r="Q7928">
        <v>-6.2238740000000001E-2</v>
      </c>
      <c r="R7928">
        <v>0.4598044</v>
      </c>
      <c r="S7928">
        <v>2.448334</v>
      </c>
      <c r="T7928">
        <v>-0.24224699999999999</v>
      </c>
      <c r="U7928">
        <v>1.7799069999999999</v>
      </c>
      <c r="V7928">
        <v>-0.39995599999999998</v>
      </c>
      <c r="W7928">
        <v>-5.1238810000000003E-2</v>
      </c>
      <c r="X7928">
        <v>0.91510089999999999</v>
      </c>
      <c r="Y7928">
        <v>-0.53143189999999996</v>
      </c>
      <c r="Z7928">
        <v>2.2997099999999999E-2</v>
      </c>
      <c r="AA7928">
        <v>0.84678880000000001</v>
      </c>
      <c r="AB7928">
        <v>26</v>
      </c>
      <c r="AC7928">
        <v>0.65430000000000599</v>
      </c>
      <c r="AD7928">
        <v>-8.0805000000000002E-2</v>
      </c>
      <c r="AE7928">
        <v>0.57975000000000398</v>
      </c>
      <c r="AF7928">
        <v>-0.53074068776176797</v>
      </c>
      <c r="AG7928">
        <v>-8.0805000000000002E-2</v>
      </c>
      <c r="AH7928">
        <v>0.68530245460697503</v>
      </c>
      <c r="AI7928">
        <v>95.325906427691294</v>
      </c>
      <c r="AJ7928">
        <v>127.75641996436001</v>
      </c>
      <c r="AK7928">
        <v>0.87054843630965195</v>
      </c>
      <c r="AL7928">
        <v>92.937053866076994</v>
      </c>
      <c r="AM7928">
        <v>113.60831949623</v>
      </c>
      <c r="AN7928">
        <v>0.99999993738351101</v>
      </c>
    </row>
    <row r="7929" spans="1:40" x14ac:dyDescent="0.25">
      <c r="A7929" t="str">
        <f>"20190303155003294"</f>
        <v>20190303155003294</v>
      </c>
      <c r="B7929" t="str">
        <f>"1551599403288490"</f>
        <v>1551599403288490</v>
      </c>
      <c r="C7929" t="s">
        <v>40</v>
      </c>
      <c r="D7929">
        <v>4.9864160000000002</v>
      </c>
      <c r="E7929">
        <v>0.43699850000000001</v>
      </c>
      <c r="F7929" t="s">
        <v>42</v>
      </c>
      <c r="G7929">
        <v>-206.25020000000001</v>
      </c>
      <c r="H7929">
        <v>1.0374730000000001</v>
      </c>
      <c r="I7929">
        <v>-61.850569999999998</v>
      </c>
      <c r="J7929">
        <v>-206.97810000000001</v>
      </c>
      <c r="K7929">
        <v>1.124215</v>
      </c>
      <c r="L7929">
        <v>-62.480930000000001</v>
      </c>
      <c r="M7929">
        <v>0.99754310000000002</v>
      </c>
      <c r="N7929">
        <v>-1.505753E-2</v>
      </c>
      <c r="O7929">
        <v>6.8419019999999997E-2</v>
      </c>
      <c r="P7929">
        <v>0.88402809999999898</v>
      </c>
      <c r="Q7929">
        <v>-6.2384139999999998E-2</v>
      </c>
      <c r="R7929">
        <v>0.4632522</v>
      </c>
      <c r="S7929">
        <v>2.4325410000000001</v>
      </c>
      <c r="T7929">
        <v>-0.24361530000000001</v>
      </c>
      <c r="U7929">
        <v>1.805115</v>
      </c>
      <c r="V7929">
        <v>-0.40131699999999998</v>
      </c>
      <c r="W7929">
        <v>-5.1493209999999998E-2</v>
      </c>
      <c r="X7929">
        <v>0.91449060000000004</v>
      </c>
      <c r="Y7929">
        <v>-0.53764460000000003</v>
      </c>
      <c r="Z7929">
        <v>2.3305019999999999E-2</v>
      </c>
      <c r="AA7929">
        <v>0.84284939999999997</v>
      </c>
      <c r="AB7929">
        <v>25</v>
      </c>
      <c r="AC7929">
        <v>0.72790000000000499</v>
      </c>
      <c r="AD7929">
        <v>-8.6742000000000097E-2</v>
      </c>
      <c r="AE7929">
        <v>0.63036000000001002</v>
      </c>
      <c r="AF7929">
        <v>-0.574413306728636</v>
      </c>
      <c r="AG7929">
        <v>-8.6742000000000097E-2</v>
      </c>
      <c r="AH7929">
        <v>0.76313456070830099</v>
      </c>
      <c r="AI7929">
        <v>95.189047044851804</v>
      </c>
      <c r="AJ7929">
        <v>126.968868664409</v>
      </c>
      <c r="AK7929">
        <v>0.959087680693678</v>
      </c>
      <c r="AL7929">
        <v>92.951649080408004</v>
      </c>
      <c r="AM7929">
        <v>113.69388998098</v>
      </c>
      <c r="AN7929">
        <v>0.99999997132673102</v>
      </c>
    </row>
    <row r="7930" spans="1:40" x14ac:dyDescent="0.25">
      <c r="A7930" t="str">
        <f>"20190303155003307"</f>
        <v>20190303155003307</v>
      </c>
      <c r="B7930" t="str">
        <f>"1551599403298249"</f>
        <v>1551599403298249</v>
      </c>
      <c r="C7930" t="s">
        <v>40</v>
      </c>
      <c r="D7930">
        <v>5.0039600000000002</v>
      </c>
      <c r="E7930">
        <v>0.43622539999999999</v>
      </c>
      <c r="F7930" t="s">
        <v>42</v>
      </c>
      <c r="G7930">
        <v>-206.23169999999999</v>
      </c>
      <c r="H7930">
        <v>1.047634</v>
      </c>
      <c r="I7930">
        <v>-61.914529999999999</v>
      </c>
      <c r="J7930">
        <v>-206.83949999999999</v>
      </c>
      <c r="K7930">
        <v>1.124312</v>
      </c>
      <c r="L7930">
        <v>-62.468780000000002</v>
      </c>
      <c r="M7930">
        <v>0.9973706</v>
      </c>
      <c r="N7930">
        <v>-1.506274E-2</v>
      </c>
      <c r="O7930">
        <v>7.0888919999999994E-2</v>
      </c>
      <c r="P7930">
        <v>0.88214239999999999</v>
      </c>
      <c r="Q7930">
        <v>-6.2355269999999997E-2</v>
      </c>
      <c r="R7930">
        <v>0.466837</v>
      </c>
      <c r="S7930">
        <v>2.4155880000000001</v>
      </c>
      <c r="T7930">
        <v>-0.24783640000000001</v>
      </c>
      <c r="U7930">
        <v>1.8328549999999999</v>
      </c>
      <c r="V7930">
        <v>-0.40275080000000002</v>
      </c>
      <c r="W7930">
        <v>-5.1575379999999997E-2</v>
      </c>
      <c r="X7930">
        <v>0.91385550000000004</v>
      </c>
      <c r="Y7930">
        <v>-0.54445489999999996</v>
      </c>
      <c r="Z7930">
        <v>2.3853369999999999E-2</v>
      </c>
      <c r="AA7930">
        <v>0.8384509</v>
      </c>
      <c r="AB7930">
        <v>25</v>
      </c>
      <c r="AC7930">
        <v>0.60779999999999701</v>
      </c>
      <c r="AD7930">
        <v>-7.6677999999999996E-2</v>
      </c>
      <c r="AE7930">
        <v>0.55424999999999602</v>
      </c>
      <c r="AF7930">
        <v>-0.50537264632523804</v>
      </c>
      <c r="AG7930">
        <v>-7.6677999999999996E-2</v>
      </c>
      <c r="AH7930">
        <v>0.640003808544228</v>
      </c>
      <c r="AI7930">
        <v>95.371622323424006</v>
      </c>
      <c r="AJ7930">
        <v>128.296035238028</v>
      </c>
      <c r="AK7930">
        <v>0.81907624937419099</v>
      </c>
      <c r="AL7930">
        <v>92.956363103769206</v>
      </c>
      <c r="AM7930">
        <v>113.78385832859</v>
      </c>
      <c r="AN7930">
        <v>1.0000000508015101</v>
      </c>
    </row>
    <row r="7931" spans="1:40" x14ac:dyDescent="0.25">
      <c r="A7931" t="str">
        <f>"20190303155003318"</f>
        <v>20190303155003318</v>
      </c>
      <c r="B7931" t="str">
        <f>"1551599403308986"</f>
        <v>1551599403308986</v>
      </c>
      <c r="C7931" t="s">
        <v>40</v>
      </c>
      <c r="D7931">
        <v>5.0539569999999996</v>
      </c>
      <c r="E7931">
        <v>0.43574180000000001</v>
      </c>
      <c r="F7931" t="s">
        <v>42</v>
      </c>
      <c r="G7931">
        <v>-206.02420000000001</v>
      </c>
      <c r="H7931">
        <v>1.040238</v>
      </c>
      <c r="I7931">
        <v>-61.842489999999998</v>
      </c>
      <c r="J7931">
        <v>-206.69669999999999</v>
      </c>
      <c r="K7931">
        <v>1.124412</v>
      </c>
      <c r="L7931">
        <v>-62.4559</v>
      </c>
      <c r="M7931">
        <v>0.99718110000000004</v>
      </c>
      <c r="N7931">
        <v>-1.5068460000000001E-2</v>
      </c>
      <c r="O7931">
        <v>7.3504799999999995E-2</v>
      </c>
      <c r="P7931">
        <v>0.88013220000000003</v>
      </c>
      <c r="Q7931">
        <v>-6.241683E-2</v>
      </c>
      <c r="R7931">
        <v>0.47060750000000001</v>
      </c>
      <c r="S7931">
        <v>2.4051969999999998</v>
      </c>
      <c r="T7931">
        <v>-0.2480414</v>
      </c>
      <c r="U7931">
        <v>1.848206</v>
      </c>
      <c r="V7931">
        <v>-0.40424949999999998</v>
      </c>
      <c r="W7931">
        <v>-5.1752029999999997E-2</v>
      </c>
      <c r="X7931">
        <v>0.91318350000000004</v>
      </c>
      <c r="Y7931">
        <v>-0.54735869999999998</v>
      </c>
      <c r="Z7931">
        <v>2.3866700000000001E-2</v>
      </c>
      <c r="AA7931">
        <v>0.83655769999999996</v>
      </c>
      <c r="AB7931">
        <v>25</v>
      </c>
      <c r="AC7931">
        <v>0.672499999999985</v>
      </c>
      <c r="AD7931">
        <v>-8.4174000000000193E-2</v>
      </c>
      <c r="AE7931">
        <v>0.61340999999999402</v>
      </c>
      <c r="AF7931">
        <v>-0.557544763719515</v>
      </c>
      <c r="AG7931">
        <v>-8.4174000000000193E-2</v>
      </c>
      <c r="AH7931">
        <v>0.70970494635237702</v>
      </c>
      <c r="AI7931">
        <v>95.328323682266102</v>
      </c>
      <c r="AJ7931">
        <v>128.15320555141099</v>
      </c>
      <c r="AK7931">
        <v>0.90643396709527702</v>
      </c>
      <c r="AL7931">
        <v>92.966498035480399</v>
      </c>
      <c r="AM7931">
        <v>113.87808892544599</v>
      </c>
      <c r="AN7931">
        <v>1.0000000177658099</v>
      </c>
    </row>
    <row r="7932" spans="1:40" x14ac:dyDescent="0.25">
      <c r="A7932" t="str">
        <f>"20190303155003332"</f>
        <v>20190303155003332</v>
      </c>
      <c r="B7932" t="str">
        <f>"1551599403328505"</f>
        <v>1551599403328505</v>
      </c>
      <c r="C7932" t="s">
        <v>40</v>
      </c>
      <c r="D7932">
        <v>5.0512870000000003</v>
      </c>
      <c r="E7932">
        <v>0.43485449999999998</v>
      </c>
      <c r="F7932" t="s">
        <v>42</v>
      </c>
      <c r="G7932">
        <v>-206.0025</v>
      </c>
      <c r="H7932">
        <v>1.052557</v>
      </c>
      <c r="I7932">
        <v>-61.916510000000002</v>
      </c>
      <c r="J7932">
        <v>-206.56450000000001</v>
      </c>
      <c r="K7932">
        <v>1.1245050000000001</v>
      </c>
      <c r="L7932">
        <v>-62.443359999999998</v>
      </c>
      <c r="M7932">
        <v>0.99699099999999996</v>
      </c>
      <c r="N7932">
        <v>-1.507441E-2</v>
      </c>
      <c r="O7932">
        <v>7.6037560000000004E-2</v>
      </c>
      <c r="P7932">
        <v>0.87818600000000002</v>
      </c>
      <c r="Q7932">
        <v>-6.2269249999999998E-2</v>
      </c>
      <c r="R7932">
        <v>0.47424850000000002</v>
      </c>
      <c r="S7932">
        <v>2.3954469999999999</v>
      </c>
      <c r="T7932">
        <v>-0.24795539999999999</v>
      </c>
      <c r="U7932">
        <v>1.861847</v>
      </c>
      <c r="V7932">
        <v>-0.40569810000000001</v>
      </c>
      <c r="W7932">
        <v>-5.1712519999999998E-2</v>
      </c>
      <c r="X7932">
        <v>0.91254310000000005</v>
      </c>
      <c r="Y7932">
        <v>-0.54984730000000004</v>
      </c>
      <c r="Z7932">
        <v>2.384124E-2</v>
      </c>
      <c r="AA7932">
        <v>0.83492489999999997</v>
      </c>
      <c r="AB7932">
        <v>25</v>
      </c>
      <c r="AC7932">
        <v>0.56200000000001105</v>
      </c>
      <c r="AD7932">
        <v>-7.1947999999999901E-2</v>
      </c>
      <c r="AE7932">
        <v>0.52685000000000304</v>
      </c>
      <c r="AF7932">
        <v>-0.47841310951085703</v>
      </c>
      <c r="AG7932">
        <v>-7.1947999999999901E-2</v>
      </c>
      <c r="AH7932">
        <v>0.59524507508524505</v>
      </c>
      <c r="AI7932">
        <v>95.382129330247395</v>
      </c>
      <c r="AJ7932">
        <v>128.78969632417699</v>
      </c>
      <c r="AK7932">
        <v>0.76705431194217699</v>
      </c>
      <c r="AL7932">
        <v>92.964231233786805</v>
      </c>
      <c r="AM7932">
        <v>113.968957969191</v>
      </c>
      <c r="AN7932">
        <v>1.00000002121298</v>
      </c>
    </row>
    <row r="7933" spans="1:40" x14ac:dyDescent="0.25">
      <c r="A7933" t="str">
        <f>"20190303155003345"</f>
        <v>20190303155003345</v>
      </c>
      <c r="B7933" t="str">
        <f>"1551599403339242"</f>
        <v>1551599403339242</v>
      </c>
      <c r="C7933" t="s">
        <v>40</v>
      </c>
      <c r="D7933">
        <v>5.0377039999999997</v>
      </c>
      <c r="E7933">
        <v>0.43452469999999999</v>
      </c>
      <c r="F7933" t="s">
        <v>42</v>
      </c>
      <c r="G7933">
        <v>-205.7971</v>
      </c>
      <c r="H7933">
        <v>1.044732</v>
      </c>
      <c r="I7933">
        <v>-61.838830000000002</v>
      </c>
      <c r="J7933">
        <v>-206.41800000000001</v>
      </c>
      <c r="K7933">
        <v>1.124609</v>
      </c>
      <c r="L7933">
        <v>-62.429200000000002</v>
      </c>
      <c r="M7933">
        <v>0.99676810000000005</v>
      </c>
      <c r="N7933">
        <v>-1.5080970000000001E-2</v>
      </c>
      <c r="O7933">
        <v>7.890411E-2</v>
      </c>
      <c r="P7933">
        <v>0.87586209999999898</v>
      </c>
      <c r="Q7933">
        <v>-6.2112470000000003E-2</v>
      </c>
      <c r="R7933">
        <v>0.47854750000000001</v>
      </c>
      <c r="S7933">
        <v>2.3844150000000002</v>
      </c>
      <c r="T7933">
        <v>-0.2478638</v>
      </c>
      <c r="U7933">
        <v>1.8779300000000001</v>
      </c>
      <c r="V7933">
        <v>-0.40753200000000001</v>
      </c>
      <c r="W7933">
        <v>-5.1681020000000001E-2</v>
      </c>
      <c r="X7933">
        <v>0.91172730000000002</v>
      </c>
      <c r="Y7933">
        <v>-0.55279330000000004</v>
      </c>
      <c r="Z7933">
        <v>2.3818289999999999E-2</v>
      </c>
      <c r="AA7933">
        <v>0.832978</v>
      </c>
      <c r="AB7933">
        <v>25</v>
      </c>
      <c r="AC7933">
        <v>0.620900000000006</v>
      </c>
      <c r="AD7933">
        <v>-7.9876999999999906E-2</v>
      </c>
      <c r="AE7933">
        <v>0.59036999999999995</v>
      </c>
      <c r="AF7933">
        <v>-0.53488263810971803</v>
      </c>
      <c r="AG7933">
        <v>-7.9876999999999906E-2</v>
      </c>
      <c r="AH7933">
        <v>0.65981656905375097</v>
      </c>
      <c r="AI7933">
        <v>95.372342297542303</v>
      </c>
      <c r="AJ7933">
        <v>129.03007576044999</v>
      </c>
      <c r="AK7933">
        <v>0.85313403195399196</v>
      </c>
      <c r="AL7933">
        <v>92.962424169209598</v>
      </c>
      <c r="AM7933">
        <v>114.084114128172</v>
      </c>
      <c r="AN7933">
        <v>0.99999996420876403</v>
      </c>
    </row>
    <row r="7934" spans="1:40" x14ac:dyDescent="0.25">
      <c r="A7934" t="str">
        <f>"20190303155003357"</f>
        <v>20190303155003357</v>
      </c>
      <c r="B7934" t="str">
        <f>"1551599403349002"</f>
        <v>1551599403349002</v>
      </c>
      <c r="C7934" t="s">
        <v>40</v>
      </c>
      <c r="D7934">
        <v>5.0147069999999996</v>
      </c>
      <c r="E7934">
        <v>0.434195</v>
      </c>
      <c r="F7934" t="s">
        <v>42</v>
      </c>
      <c r="G7934">
        <v>-205.59020000000001</v>
      </c>
      <c r="H7934">
        <v>1.038343</v>
      </c>
      <c r="I7934">
        <v>-61.769660000000002</v>
      </c>
      <c r="J7934">
        <v>-206.26820000000001</v>
      </c>
      <c r="K7934">
        <v>1.124719</v>
      </c>
      <c r="L7934">
        <v>-62.414059999999999</v>
      </c>
      <c r="M7934">
        <v>0.99652189999999996</v>
      </c>
      <c r="N7934">
        <v>-1.508818E-2</v>
      </c>
      <c r="O7934">
        <v>8.1953910000000005E-2</v>
      </c>
      <c r="P7934">
        <v>0.87339080000000002</v>
      </c>
      <c r="Q7934">
        <v>-6.1696750000000002E-2</v>
      </c>
      <c r="R7934">
        <v>0.48309619999999998</v>
      </c>
      <c r="S7934">
        <v>2.3740079999999999</v>
      </c>
      <c r="T7934">
        <v>-0.24739839999999999</v>
      </c>
      <c r="U7934">
        <v>1.8918459999999999</v>
      </c>
      <c r="V7934">
        <v>-0.40946769999999999</v>
      </c>
      <c r="W7934">
        <v>-5.1397989999999998E-2</v>
      </c>
      <c r="X7934">
        <v>0.91087560000000001</v>
      </c>
      <c r="Y7934">
        <v>-0.55501259999999997</v>
      </c>
      <c r="Z7934">
        <v>2.3714809999999999E-2</v>
      </c>
      <c r="AA7934">
        <v>0.83150389999999996</v>
      </c>
      <c r="AB7934">
        <v>25</v>
      </c>
      <c r="AC7934">
        <v>0.67799999999999705</v>
      </c>
      <c r="AD7934">
        <v>-8.6375999999999994E-2</v>
      </c>
      <c r="AE7934">
        <v>0.64440000000000397</v>
      </c>
      <c r="AF7934">
        <v>-0.58170042581108405</v>
      </c>
      <c r="AG7934">
        <v>-8.6375999999999994E-2</v>
      </c>
      <c r="AH7934">
        <v>0.72237598376233303</v>
      </c>
      <c r="AI7934">
        <v>95.320647483578597</v>
      </c>
      <c r="AJ7934">
        <v>128.843100218693</v>
      </c>
      <c r="AK7934">
        <v>0.93148443931253899</v>
      </c>
      <c r="AL7934">
        <v>92.946186191128504</v>
      </c>
      <c r="AM7934">
        <v>114.205440933806</v>
      </c>
      <c r="AN7934">
        <v>0.99999995469734404</v>
      </c>
    </row>
    <row r="7935" spans="1:40" x14ac:dyDescent="0.25">
      <c r="A7935" t="str">
        <f>"20190303155003372"</f>
        <v>20190303155003372</v>
      </c>
      <c r="B7935" t="str">
        <f>"1551599403368521"</f>
        <v>1551599403368521</v>
      </c>
      <c r="C7935" t="s">
        <v>40</v>
      </c>
      <c r="D7935">
        <v>5.0652460000000001</v>
      </c>
      <c r="E7935">
        <v>0.43374740000000001</v>
      </c>
      <c r="F7935" t="s">
        <v>42</v>
      </c>
      <c r="G7935">
        <v>-205.56639999999999</v>
      </c>
      <c r="H7935">
        <v>1.0513999999999999</v>
      </c>
      <c r="I7935">
        <v>-61.84798</v>
      </c>
      <c r="J7935">
        <v>-206.10939999999999</v>
      </c>
      <c r="K7935">
        <v>1.1248279999999999</v>
      </c>
      <c r="L7935">
        <v>-62.397309999999997</v>
      </c>
      <c r="M7935">
        <v>0.99623949999999994</v>
      </c>
      <c r="N7935">
        <v>-1.509681E-2</v>
      </c>
      <c r="O7935">
        <v>8.5316400000000001E-2</v>
      </c>
      <c r="P7935">
        <v>0.86976369999999903</v>
      </c>
      <c r="Q7935">
        <v>-6.130389E-2</v>
      </c>
      <c r="R7935">
        <v>0.48964570000000002</v>
      </c>
      <c r="S7935">
        <v>2.362946</v>
      </c>
      <c r="T7935">
        <v>-0.24687419999999999</v>
      </c>
      <c r="U7935">
        <v>1.9064939999999999</v>
      </c>
      <c r="V7935">
        <v>-0.41321790000000003</v>
      </c>
      <c r="W7935">
        <v>-5.1172670000000003E-2</v>
      </c>
      <c r="X7935">
        <v>0.90919320000000003</v>
      </c>
      <c r="Y7935">
        <v>-0.55723509999999998</v>
      </c>
      <c r="Z7935">
        <v>2.358675E-2</v>
      </c>
      <c r="AA7935">
        <v>0.83001970000000003</v>
      </c>
      <c r="AB7935">
        <v>25</v>
      </c>
      <c r="AC7935">
        <v>0.54300000000000603</v>
      </c>
      <c r="AD7935">
        <v>-7.3428000000000201E-2</v>
      </c>
      <c r="AE7935">
        <v>0.54932999999998999</v>
      </c>
      <c r="AF7935">
        <v>-0.49650753964287397</v>
      </c>
      <c r="AG7935">
        <v>-7.3428000000000201E-2</v>
      </c>
      <c r="AH7935">
        <v>0.58262664188272795</v>
      </c>
      <c r="AI7935">
        <v>95.479218213478106</v>
      </c>
      <c r="AJ7935">
        <v>130.43724390741201</v>
      </c>
      <c r="AK7935">
        <v>0.76900273857624502</v>
      </c>
      <c r="AL7935">
        <v>92.933259234667304</v>
      </c>
      <c r="AM7935">
        <v>114.441252663241</v>
      </c>
      <c r="AN7935">
        <v>0.99999997498078896</v>
      </c>
    </row>
    <row r="7936" spans="1:40" x14ac:dyDescent="0.25">
      <c r="A7936" t="str">
        <f>"20190303155003383"</f>
        <v>20190303155003383</v>
      </c>
      <c r="B7936" t="str">
        <f>"1551599403378282"</f>
        <v>1551599403378282</v>
      </c>
      <c r="C7936" t="s">
        <v>40</v>
      </c>
      <c r="D7936">
        <v>5.0177209999999999</v>
      </c>
      <c r="E7936">
        <v>0.43356420000000001</v>
      </c>
      <c r="F7936" t="s">
        <v>42</v>
      </c>
      <c r="G7936">
        <v>-205.35919999999999</v>
      </c>
      <c r="H7936">
        <v>1.0461940000000001</v>
      </c>
      <c r="I7936">
        <v>-61.781179999999999</v>
      </c>
      <c r="J7936">
        <v>-205.9906</v>
      </c>
      <c r="K7936">
        <v>1.124916</v>
      </c>
      <c r="L7936">
        <v>-62.38449</v>
      </c>
      <c r="M7936">
        <v>0.99601660000000003</v>
      </c>
      <c r="N7936">
        <v>-1.5103399999999999E-2</v>
      </c>
      <c r="O7936">
        <v>8.7881879999999996E-2</v>
      </c>
      <c r="P7936">
        <v>0.86778189999999999</v>
      </c>
      <c r="Q7936">
        <v>-6.0947769999999998E-2</v>
      </c>
      <c r="R7936">
        <v>0.49319370000000001</v>
      </c>
      <c r="S7936">
        <v>2.346924</v>
      </c>
      <c r="T7936">
        <v>-0.2459829</v>
      </c>
      <c r="U7936">
        <v>1.927216</v>
      </c>
      <c r="V7936">
        <v>-0.41457749999999999</v>
      </c>
      <c r="W7936">
        <v>-5.0921429999999997E-2</v>
      </c>
      <c r="X7936">
        <v>0.90858819999999996</v>
      </c>
      <c r="Y7936">
        <v>-0.56223880000000004</v>
      </c>
      <c r="Z7936">
        <v>2.3662530000000001E-2</v>
      </c>
      <c r="AA7936">
        <v>0.82663629999999999</v>
      </c>
      <c r="AB7936">
        <v>25</v>
      </c>
      <c r="AC7936">
        <v>0.63140000000001295</v>
      </c>
      <c r="AD7936">
        <v>-7.8721999999999903E-2</v>
      </c>
      <c r="AE7936">
        <v>0.60330999999999302</v>
      </c>
      <c r="AF7936">
        <v>-0.54108351336151495</v>
      </c>
      <c r="AG7936">
        <v>-7.8721999999999903E-2</v>
      </c>
      <c r="AH7936">
        <v>0.67648554440247199</v>
      </c>
      <c r="AI7936">
        <v>95.192540491131197</v>
      </c>
      <c r="AJ7936">
        <v>128.65438923917799</v>
      </c>
      <c r="AK7936">
        <v>0.86982826667173196</v>
      </c>
      <c r="AL7936">
        <v>92.918845358975801</v>
      </c>
      <c r="AM7936">
        <v>114.52662447476899</v>
      </c>
      <c r="AN7936">
        <v>1.0000000063593599</v>
      </c>
    </row>
    <row r="7937" spans="1:40" x14ac:dyDescent="0.25">
      <c r="A7937" t="str">
        <f>"20190303155003393"</f>
        <v>20190303155003393</v>
      </c>
      <c r="B7937" t="str">
        <f>"1551599403388042"</f>
        <v>1551599403388042</v>
      </c>
      <c r="C7937" t="s">
        <v>40</v>
      </c>
      <c r="D7937">
        <v>5.0371579999999998</v>
      </c>
      <c r="E7937">
        <v>0.43350129999999998</v>
      </c>
      <c r="F7937" t="s">
        <v>64</v>
      </c>
      <c r="G7937">
        <v>-195.26580000000001</v>
      </c>
      <c r="H7937" s="1">
        <v>-9.1968869999999994E-6</v>
      </c>
      <c r="I7937">
        <v>-53.495339999999999</v>
      </c>
      <c r="J7937">
        <v>-205.8657</v>
      </c>
      <c r="K7937">
        <v>1.1250150000000001</v>
      </c>
      <c r="L7937">
        <v>-62.37039</v>
      </c>
      <c r="M7937">
        <v>0.99576359999999997</v>
      </c>
      <c r="N7937">
        <v>-1.511149E-2</v>
      </c>
      <c r="O7937">
        <v>9.0699459999999996E-2</v>
      </c>
      <c r="P7937">
        <v>0.86527719999999897</v>
      </c>
      <c r="Q7937">
        <v>-6.075593E-2</v>
      </c>
      <c r="R7937">
        <v>0.49759829999999999</v>
      </c>
      <c r="S7937">
        <v>2.3383479999999999</v>
      </c>
      <c r="T7937">
        <v>-0.2452686</v>
      </c>
      <c r="U7937">
        <v>1.93811</v>
      </c>
      <c r="V7937">
        <v>-0.41661029999999999</v>
      </c>
      <c r="W7937">
        <v>-5.0854249999999997E-2</v>
      </c>
      <c r="X7937">
        <v>0.90766170000000002</v>
      </c>
      <c r="Y7937">
        <v>-0.56368209999999996</v>
      </c>
      <c r="Z7937">
        <v>2.3511629999999999E-2</v>
      </c>
      <c r="AA7937">
        <v>0.82565710000000003</v>
      </c>
      <c r="AB7937">
        <v>25</v>
      </c>
      <c r="AC7937">
        <v>10.5998999999999</v>
      </c>
      <c r="AD7937">
        <v>-1.1250241968869901</v>
      </c>
      <c r="AE7937">
        <v>8.8750499999999999</v>
      </c>
      <c r="AF7937">
        <v>-7.8251261856487204</v>
      </c>
      <c r="AG7937">
        <v>-1.1250241968869901</v>
      </c>
      <c r="AH7937">
        <v>11.286512245104801</v>
      </c>
      <c r="AI7937">
        <v>94.683002355449901</v>
      </c>
      <c r="AJ7937">
        <v>124.73421166510499</v>
      </c>
      <c r="AK7937">
        <v>13.779827209504701</v>
      </c>
      <c r="AL7937">
        <v>92.914991168311403</v>
      </c>
      <c r="AM7937">
        <v>114.654788171456</v>
      </c>
      <c r="AN7937">
        <v>1.00000002922802</v>
      </c>
    </row>
    <row r="7938" spans="1:40" x14ac:dyDescent="0.25">
      <c r="A7938" t="str">
        <f>"20190303155003405"</f>
        <v>20190303155003405</v>
      </c>
      <c r="B7938" t="str">
        <f>"1551599403398779"</f>
        <v>1551599403398779</v>
      </c>
      <c r="C7938" t="s">
        <v>40</v>
      </c>
      <c r="D7938">
        <v>5.037623</v>
      </c>
      <c r="E7938">
        <v>0.43341449999999998</v>
      </c>
      <c r="F7938" t="s">
        <v>42</v>
      </c>
      <c r="G7938">
        <v>-205.13810000000001</v>
      </c>
      <c r="H7938">
        <v>1.0486819999999999</v>
      </c>
      <c r="I7938">
        <v>-61.761099999999999</v>
      </c>
      <c r="J7938">
        <v>-205.7441</v>
      </c>
      <c r="K7938">
        <v>1.1251119999999999</v>
      </c>
      <c r="L7938">
        <v>-62.356409999999997</v>
      </c>
      <c r="M7938">
        <v>0.99550499999999997</v>
      </c>
      <c r="N7938">
        <v>-1.511959E-2</v>
      </c>
      <c r="O7938">
        <v>9.3494659999999993E-2</v>
      </c>
      <c r="P7938">
        <v>0.86280000000000001</v>
      </c>
      <c r="Q7938">
        <v>-6.0583959999999999E-2</v>
      </c>
      <c r="R7938">
        <v>0.50190210000000002</v>
      </c>
      <c r="S7938">
        <v>2.3283079999999998</v>
      </c>
      <c r="T7938">
        <v>-0.24430070000000001</v>
      </c>
      <c r="U7938">
        <v>1.9503779999999999</v>
      </c>
      <c r="V7938">
        <v>-0.41856880000000002</v>
      </c>
      <c r="W7938">
        <v>-5.0805650000000001E-2</v>
      </c>
      <c r="X7938">
        <v>0.90676290000000004</v>
      </c>
      <c r="Y7938">
        <v>-0.56568249999999998</v>
      </c>
      <c r="Z7938">
        <v>2.3381490000000001E-2</v>
      </c>
      <c r="AA7938">
        <v>0.82429159999999901</v>
      </c>
      <c r="AB7938">
        <v>25</v>
      </c>
      <c r="AC7938">
        <v>0.60599999999999399</v>
      </c>
      <c r="AD7938">
        <v>-7.6430000000000206E-2</v>
      </c>
      <c r="AE7938">
        <v>0.59530999999999701</v>
      </c>
      <c r="AF7938">
        <v>-0.53173323132390105</v>
      </c>
      <c r="AG7938">
        <v>-7.6430000000000206E-2</v>
      </c>
      <c r="AH7938">
        <v>0.65371784580095404</v>
      </c>
      <c r="AI7938">
        <v>95.182555337549502</v>
      </c>
      <c r="AJ7938">
        <v>129.12486066339699</v>
      </c>
      <c r="AK7938">
        <v>0.84612575667733803</v>
      </c>
      <c r="AL7938">
        <v>92.912203058129506</v>
      </c>
      <c r="AM7938">
        <v>114.778414194251</v>
      </c>
      <c r="AN7938">
        <v>1.00000000561088</v>
      </c>
    </row>
    <row r="7939" spans="1:40" x14ac:dyDescent="0.25">
      <c r="A7939" t="str">
        <f>"20190303155003415"</f>
        <v>20190303155003415</v>
      </c>
      <c r="B7939" t="str">
        <f>"1551599403408538"</f>
        <v>1551599403408538</v>
      </c>
      <c r="C7939" t="s">
        <v>40</v>
      </c>
      <c r="D7939">
        <v>5.0331239999999999</v>
      </c>
      <c r="E7939">
        <v>0.43334899999999998</v>
      </c>
      <c r="F7939" t="s">
        <v>42</v>
      </c>
      <c r="G7939">
        <v>-204.93860000000001</v>
      </c>
      <c r="H7939">
        <v>1.0405960000000001</v>
      </c>
      <c r="I7939">
        <v>-61.67454</v>
      </c>
      <c r="J7939">
        <v>-205.62280000000001</v>
      </c>
      <c r="K7939">
        <v>1.12521</v>
      </c>
      <c r="L7939">
        <v>-62.341949999999997</v>
      </c>
      <c r="M7939">
        <v>0.99523070000000002</v>
      </c>
      <c r="N7939">
        <v>-1.512841E-2</v>
      </c>
      <c r="O7939">
        <v>9.6369430000000006E-2</v>
      </c>
      <c r="P7939">
        <v>0.86057309999999998</v>
      </c>
      <c r="Q7939">
        <v>-6.0774670000000003E-2</v>
      </c>
      <c r="R7939">
        <v>0.50568829999999998</v>
      </c>
      <c r="S7939">
        <v>2.3183289999999999</v>
      </c>
      <c r="T7939">
        <v>-0.2432628</v>
      </c>
      <c r="U7939">
        <v>1.962555</v>
      </c>
      <c r="V7939">
        <v>-0.4199194</v>
      </c>
      <c r="W7939">
        <v>-5.111255E-2</v>
      </c>
      <c r="X7939">
        <v>0.90612099999999995</v>
      </c>
      <c r="Y7939">
        <v>-0.56758459999999999</v>
      </c>
      <c r="Z7939">
        <v>2.3235809999999999E-2</v>
      </c>
      <c r="AA7939">
        <v>0.82298709999999997</v>
      </c>
      <c r="AB7939">
        <v>25</v>
      </c>
      <c r="AC7939">
        <v>0.68420000000000403</v>
      </c>
      <c r="AD7939">
        <v>-8.4614000000000106E-2</v>
      </c>
      <c r="AE7939">
        <v>0.66740999999999595</v>
      </c>
      <c r="AF7939">
        <v>-0.59370658696474199</v>
      </c>
      <c r="AG7939">
        <v>-8.4614000000000106E-2</v>
      </c>
      <c r="AH7939">
        <v>0.73954429385395204</v>
      </c>
      <c r="AI7939">
        <v>95.098434071420598</v>
      </c>
      <c r="AJ7939">
        <v>128.75751695073799</v>
      </c>
      <c r="AK7939">
        <v>0.95214116756564204</v>
      </c>
      <c r="AL7939">
        <v>92.929809934510899</v>
      </c>
      <c r="AM7939">
        <v>114.86419983640999</v>
      </c>
      <c r="AN7939">
        <v>1.00000003095243</v>
      </c>
    </row>
    <row r="7940" spans="1:40" x14ac:dyDescent="0.25">
      <c r="A7940" t="str">
        <f>"20190303155003428"</f>
        <v>20190303155003428</v>
      </c>
      <c r="B7940" t="str">
        <f>"1551599403418298"</f>
        <v>1551599403418298</v>
      </c>
      <c r="C7940" t="s">
        <v>40</v>
      </c>
      <c r="D7940">
        <v>5.012429</v>
      </c>
      <c r="E7940">
        <v>0.43334260000000002</v>
      </c>
      <c r="F7940" t="s">
        <v>42</v>
      </c>
      <c r="G7940">
        <v>-204.9178</v>
      </c>
      <c r="H7940">
        <v>1.050824</v>
      </c>
      <c r="I7940">
        <v>-61.739510000000003</v>
      </c>
      <c r="J7940">
        <v>-205.49090000000001</v>
      </c>
      <c r="K7940">
        <v>1.125329</v>
      </c>
      <c r="L7940">
        <v>-62.325679999999998</v>
      </c>
      <c r="M7940">
        <v>0.99491309999999999</v>
      </c>
      <c r="N7940">
        <v>-1.5138840000000001E-2</v>
      </c>
      <c r="O7940">
        <v>9.9594489999999994E-2</v>
      </c>
      <c r="P7940">
        <v>0.85808320000000005</v>
      </c>
      <c r="Q7940">
        <v>-6.0666650000000003E-2</v>
      </c>
      <c r="R7940">
        <v>0.50991450000000005</v>
      </c>
      <c r="S7940">
        <v>2.309326</v>
      </c>
      <c r="T7940">
        <v>-0.24365590000000001</v>
      </c>
      <c r="U7940">
        <v>1.973236</v>
      </c>
      <c r="V7940">
        <v>-0.42142370000000001</v>
      </c>
      <c r="W7940">
        <v>-5.1135100000000003E-2</v>
      </c>
      <c r="X7940">
        <v>0.90542109999999998</v>
      </c>
      <c r="Y7940">
        <v>-0.56869820000000004</v>
      </c>
      <c r="Z7940">
        <v>2.3118610000000001E-2</v>
      </c>
      <c r="AA7940">
        <v>0.82222129999999904</v>
      </c>
      <c r="AB7940">
        <v>25</v>
      </c>
      <c r="AC7940">
        <v>0.57310000000001005</v>
      </c>
      <c r="AD7940">
        <v>-7.4505000000000002E-2</v>
      </c>
      <c r="AE7940">
        <v>0.58617000000000896</v>
      </c>
      <c r="AF7940">
        <v>-0.52186029283709601</v>
      </c>
      <c r="AG7940">
        <v>-7.4505000000000002E-2</v>
      </c>
      <c r="AH7940">
        <v>0.62348598758316698</v>
      </c>
      <c r="AI7940">
        <v>95.235668950007195</v>
      </c>
      <c r="AJ7940">
        <v>129.92946827644599</v>
      </c>
      <c r="AK7940">
        <v>0.81647041402464504</v>
      </c>
      <c r="AL7940">
        <v>92.931103587685499</v>
      </c>
      <c r="AM7940">
        <v>114.959386583558</v>
      </c>
      <c r="AN7940">
        <v>1.00000005084945</v>
      </c>
    </row>
    <row r="7941" spans="1:40" x14ac:dyDescent="0.25">
      <c r="A7941" t="str">
        <f>"20190303155003443"</f>
        <v>20190303155003443</v>
      </c>
      <c r="B7941" t="str">
        <f>"1551599403438794"</f>
        <v>1551599403438794</v>
      </c>
      <c r="C7941" t="s">
        <v>40</v>
      </c>
      <c r="D7941">
        <v>4.9546999999999999</v>
      </c>
      <c r="E7941">
        <v>0.4333535</v>
      </c>
      <c r="F7941" t="s">
        <v>42</v>
      </c>
      <c r="G7941">
        <v>-204.71729999999999</v>
      </c>
      <c r="H7941">
        <v>1.043674</v>
      </c>
      <c r="I7941">
        <v>-61.658149999999999</v>
      </c>
      <c r="J7941">
        <v>-205.3263</v>
      </c>
      <c r="K7941">
        <v>1.125475</v>
      </c>
      <c r="L7941">
        <v>-62.304810000000003</v>
      </c>
      <c r="M7941">
        <v>0.99448999999999999</v>
      </c>
      <c r="N7941">
        <v>-1.5152519999999999E-2</v>
      </c>
      <c r="O7941">
        <v>0.1037309</v>
      </c>
      <c r="P7941">
        <v>0.85509169999999901</v>
      </c>
      <c r="Q7941">
        <v>-6.091071E-2</v>
      </c>
      <c r="R7941">
        <v>0.51488650000000002</v>
      </c>
      <c r="S7941">
        <v>2.2995909999999999</v>
      </c>
      <c r="T7941">
        <v>-0.2427465</v>
      </c>
      <c r="U7941">
        <v>1.9847109999999999</v>
      </c>
      <c r="V7941">
        <v>-0.42289300000000002</v>
      </c>
      <c r="W7941">
        <v>-5.1540879999999997E-2</v>
      </c>
      <c r="X7941">
        <v>0.90471270000000004</v>
      </c>
      <c r="Y7941">
        <v>-0.56937159999999998</v>
      </c>
      <c r="Z7941">
        <v>2.2823E-2</v>
      </c>
      <c r="AA7941">
        <v>0.82176340000000003</v>
      </c>
      <c r="AB7941">
        <v>25</v>
      </c>
      <c r="AC7941">
        <v>0.60900000000000798</v>
      </c>
      <c r="AD7941">
        <v>-8.1800999999999999E-2</v>
      </c>
      <c r="AE7941">
        <v>0.64665999999999701</v>
      </c>
      <c r="AF7941">
        <v>-0.57511419815704701</v>
      </c>
      <c r="AG7941">
        <v>-8.1800999999999999E-2</v>
      </c>
      <c r="AH7941">
        <v>0.66714266741001105</v>
      </c>
      <c r="AI7941">
        <v>95.305819234115901</v>
      </c>
      <c r="AJ7941">
        <v>130.76317208264101</v>
      </c>
      <c r="AK7941">
        <v>0.88460560884598105</v>
      </c>
      <c r="AL7941">
        <v>92.954383885675199</v>
      </c>
      <c r="AM7941">
        <v>115.052960724024</v>
      </c>
      <c r="AN7941">
        <v>1.0000000106507301</v>
      </c>
    </row>
    <row r="7942" spans="1:40" x14ac:dyDescent="0.25">
      <c r="A7942" t="str">
        <f>"20190303155003455"</f>
        <v>20190303155003455</v>
      </c>
      <c r="B7942" t="str">
        <f>"1551599403448554"</f>
        <v>1551599403448554</v>
      </c>
      <c r="C7942" t="s">
        <v>40</v>
      </c>
      <c r="D7942">
        <v>5.0227959999999996</v>
      </c>
      <c r="E7942">
        <v>0.4334287</v>
      </c>
      <c r="F7942" t="s">
        <v>64</v>
      </c>
      <c r="G7942">
        <v>-194.70910000000001</v>
      </c>
      <c r="H7942" s="1">
        <v>-9.3089880000000007E-6</v>
      </c>
      <c r="I7942">
        <v>-53.0340699999999</v>
      </c>
      <c r="J7942">
        <v>-205.18199999999999</v>
      </c>
      <c r="K7942">
        <v>1.125613</v>
      </c>
      <c r="L7942">
        <v>-62.285640000000001</v>
      </c>
      <c r="M7942">
        <v>0.99408660000000004</v>
      </c>
      <c r="N7942">
        <v>-1.5166229999999999E-2</v>
      </c>
      <c r="O7942">
        <v>0.10752689999999999</v>
      </c>
      <c r="P7942">
        <v>0.85234140000000003</v>
      </c>
      <c r="Q7942">
        <v>-6.1143999999999997E-2</v>
      </c>
      <c r="R7942">
        <v>0.51939950000000001</v>
      </c>
      <c r="S7942">
        <v>2.2881010000000002</v>
      </c>
      <c r="T7942">
        <v>-0.2425514</v>
      </c>
      <c r="U7942">
        <v>1.997925</v>
      </c>
      <c r="V7942">
        <v>-0.42420200000000002</v>
      </c>
      <c r="W7942">
        <v>-5.1924680000000001E-2</v>
      </c>
      <c r="X7942">
        <v>0.90407769999999998</v>
      </c>
      <c r="Y7942">
        <v>-0.57097419999999899</v>
      </c>
      <c r="Z7942">
        <v>2.26594E-2</v>
      </c>
      <c r="AA7942">
        <v>0.82065529999999998</v>
      </c>
      <c r="AB7942">
        <v>25</v>
      </c>
      <c r="AC7942">
        <v>10.472899999999999</v>
      </c>
      <c r="AD7942">
        <v>-1.125622308988</v>
      </c>
      <c r="AE7942">
        <v>9.2515699999999992</v>
      </c>
      <c r="AF7942">
        <v>-8.0196355508441499</v>
      </c>
      <c r="AG7942">
        <v>-1.125622308988</v>
      </c>
      <c r="AH7942">
        <v>11.3335355423457</v>
      </c>
      <c r="AI7942">
        <v>94.635045452455202</v>
      </c>
      <c r="AJ7942">
        <v>125.283311790049</v>
      </c>
      <c r="AK7942">
        <v>13.9294869912883</v>
      </c>
      <c r="AL7942">
        <v>92.976403527259606</v>
      </c>
      <c r="AM7942">
        <v>115.13642377740599</v>
      </c>
      <c r="AN7942">
        <v>0.999999998417196</v>
      </c>
    </row>
    <row r="7943" spans="1:40" x14ac:dyDescent="0.25">
      <c r="A7943" t="str">
        <f>"20190303155003468"</f>
        <v>20190303155003468</v>
      </c>
      <c r="B7943" t="str">
        <f>"1551599403458314"</f>
        <v>1551599403458314</v>
      </c>
      <c r="C7943" t="s">
        <v>40</v>
      </c>
      <c r="D7943">
        <v>4.9980640000000003</v>
      </c>
      <c r="E7943">
        <v>0.43340810000000002</v>
      </c>
      <c r="F7943" t="s">
        <v>42</v>
      </c>
      <c r="G7943">
        <v>-204.4862</v>
      </c>
      <c r="H7943">
        <v>1.051507</v>
      </c>
      <c r="I7943">
        <v>-61.671979999999998</v>
      </c>
      <c r="J7943">
        <v>-205.0479</v>
      </c>
      <c r="K7943">
        <v>1.1257429999999999</v>
      </c>
      <c r="L7943">
        <v>-62.267209999999999</v>
      </c>
      <c r="M7943">
        <v>0.99368659999999998</v>
      </c>
      <c r="N7943">
        <v>-1.518008E-2</v>
      </c>
      <c r="O7943">
        <v>0.111161</v>
      </c>
      <c r="P7943">
        <v>0.84977539999999996</v>
      </c>
      <c r="Q7943">
        <v>-6.078049E-2</v>
      </c>
      <c r="R7943">
        <v>0.52362929999999996</v>
      </c>
      <c r="S7943">
        <v>2.2778320000000001</v>
      </c>
      <c r="T7943">
        <v>-0.24263309999999999</v>
      </c>
      <c r="U7943">
        <v>2.0093990000000002</v>
      </c>
      <c r="V7943">
        <v>-0.42537320000000001</v>
      </c>
      <c r="W7943">
        <v>-5.1701560000000001E-2</v>
      </c>
      <c r="X7943">
        <v>0.90354009999999996</v>
      </c>
      <c r="Y7943">
        <v>-0.5721347</v>
      </c>
      <c r="Z7943">
        <v>2.249804E-2</v>
      </c>
      <c r="AA7943">
        <v>0.819851</v>
      </c>
      <c r="AB7943">
        <v>25</v>
      </c>
      <c r="AC7943">
        <v>0.56170000000000098</v>
      </c>
      <c r="AD7943">
        <v>-7.4235999999999899E-2</v>
      </c>
      <c r="AE7943">
        <v>0.59522999999999304</v>
      </c>
      <c r="AF7943">
        <v>-0.52477611718355199</v>
      </c>
      <c r="AG7943">
        <v>-7.4235999999999899E-2</v>
      </c>
      <c r="AH7943">
        <v>0.61929658000869503</v>
      </c>
      <c r="AI7943">
        <v>95.2253457658841</v>
      </c>
      <c r="AJ7943">
        <v>130.277090258898</v>
      </c>
      <c r="AK7943">
        <v>0.81512527311617</v>
      </c>
      <c r="AL7943">
        <v>92.963602311562596</v>
      </c>
      <c r="AM7943">
        <v>115.210356602505</v>
      </c>
      <c r="AN7943">
        <v>1.00000006144633</v>
      </c>
    </row>
    <row r="7944" spans="1:40" x14ac:dyDescent="0.25">
      <c r="A7944" t="str">
        <f>"20190303155003483"</f>
        <v>20190303155003483</v>
      </c>
      <c r="B7944" t="str">
        <f>"1551599403478809"</f>
        <v>1551599403478809</v>
      </c>
      <c r="C7944" t="s">
        <v>40</v>
      </c>
      <c r="D7944">
        <v>4.98231</v>
      </c>
      <c r="E7944">
        <v>0.4335251</v>
      </c>
      <c r="F7944" t="s">
        <v>42</v>
      </c>
      <c r="G7944">
        <v>-204.2876</v>
      </c>
      <c r="H7944">
        <v>1.0449010000000001</v>
      </c>
      <c r="I7944">
        <v>-61.589739999999999</v>
      </c>
      <c r="J7944">
        <v>-204.88589999999999</v>
      </c>
      <c r="K7944">
        <v>1.1259060000000001</v>
      </c>
      <c r="L7944">
        <v>-62.244230000000002</v>
      </c>
      <c r="M7944">
        <v>0.99317060000000001</v>
      </c>
      <c r="N7944">
        <v>-1.519773E-2</v>
      </c>
      <c r="O7944">
        <v>0.11567760000000001</v>
      </c>
      <c r="P7944">
        <v>0.846066599999999</v>
      </c>
      <c r="Q7944">
        <v>-6.0254509999999997E-2</v>
      </c>
      <c r="R7944">
        <v>0.52966099999999905</v>
      </c>
      <c r="S7944">
        <v>2.2678069999999999</v>
      </c>
      <c r="T7944">
        <v>-0.2411151</v>
      </c>
      <c r="U7944">
        <v>2.0209350000000001</v>
      </c>
      <c r="V7944">
        <v>-0.42767090000000002</v>
      </c>
      <c r="W7944">
        <v>-5.136541E-2</v>
      </c>
      <c r="X7944">
        <v>0.90247390000000005</v>
      </c>
      <c r="Y7944">
        <v>-0.5725616</v>
      </c>
      <c r="Z7944">
        <v>2.2126259999999998E-2</v>
      </c>
      <c r="AA7944">
        <v>0.81956319999999905</v>
      </c>
      <c r="AB7944">
        <v>25</v>
      </c>
      <c r="AC7944">
        <v>0.59829999999999395</v>
      </c>
      <c r="AD7944">
        <v>-8.1004999999999702E-2</v>
      </c>
      <c r="AE7944">
        <v>0.65449000000000201</v>
      </c>
      <c r="AF7944">
        <v>-0.57607008785636205</v>
      </c>
      <c r="AG7944">
        <v>-8.1004999999999702E-2</v>
      </c>
      <c r="AH7944">
        <v>0.66445628082846597</v>
      </c>
      <c r="AI7944">
        <v>95.262839258414004</v>
      </c>
      <c r="AJ7944">
        <v>130.92462303785999</v>
      </c>
      <c r="AK7944">
        <v>0.88313119369674298</v>
      </c>
      <c r="AL7944">
        <v>92.944316974212001</v>
      </c>
      <c r="AM7944">
        <v>115.355677918582</v>
      </c>
      <c r="AN7944">
        <v>0.99999997211624303</v>
      </c>
    </row>
    <row r="7945" spans="1:40" x14ac:dyDescent="0.25">
      <c r="A7945" t="str">
        <f>"20190303155003495"</f>
        <v>20190303155003495</v>
      </c>
      <c r="B7945" t="str">
        <f>"1551599403488570"</f>
        <v>1551599403488570</v>
      </c>
      <c r="C7945" t="s">
        <v>40</v>
      </c>
      <c r="D7945">
        <v>4.9425689999999998</v>
      </c>
      <c r="E7945">
        <v>0.43351079999999997</v>
      </c>
      <c r="F7945" t="s">
        <v>64</v>
      </c>
      <c r="G7945">
        <v>-194.24260000000001</v>
      </c>
      <c r="H7945" s="1">
        <v>-9.4095550000000007E-6</v>
      </c>
      <c r="I7945">
        <v>-52.6293199999999</v>
      </c>
      <c r="J7945">
        <v>-204.7516</v>
      </c>
      <c r="K7945">
        <v>1.1260479999999999</v>
      </c>
      <c r="L7945">
        <v>-62.224299999999999</v>
      </c>
      <c r="M7945">
        <v>0.99270650000000005</v>
      </c>
      <c r="N7945">
        <v>-1.5214210000000001E-2</v>
      </c>
      <c r="O7945">
        <v>0.11959309999999999</v>
      </c>
      <c r="P7945">
        <v>0.84344949999999996</v>
      </c>
      <c r="Q7945">
        <v>-5.9635809999999997E-2</v>
      </c>
      <c r="R7945">
        <v>0.53388829999999998</v>
      </c>
      <c r="S7945">
        <v>2.2540740000000001</v>
      </c>
      <c r="T7945">
        <v>-0.23845089999999999</v>
      </c>
      <c r="U7945">
        <v>2.0362849999999999</v>
      </c>
      <c r="V7945">
        <v>-0.42861179999999899</v>
      </c>
      <c r="W7945">
        <v>-5.0894309999999998E-2</v>
      </c>
      <c r="X7945">
        <v>0.90205409999999997</v>
      </c>
      <c r="Y7945">
        <v>-0.57491819999999905</v>
      </c>
      <c r="Z7945">
        <v>2.1846830000000001E-2</v>
      </c>
      <c r="AA7945">
        <v>0.81791919999999996</v>
      </c>
      <c r="AB7945">
        <v>25</v>
      </c>
      <c r="AC7945">
        <v>10.508999999999901</v>
      </c>
      <c r="AD7945">
        <v>-1.126057409555</v>
      </c>
      <c r="AE7945">
        <v>9.5949799999999996</v>
      </c>
      <c r="AF7945">
        <v>-8.2176949916678499</v>
      </c>
      <c r="AG7945">
        <v>-1.126057409555</v>
      </c>
      <c r="AH7945">
        <v>11.509119115594601</v>
      </c>
      <c r="AI7945">
        <v>94.552640077766597</v>
      </c>
      <c r="AJ7945">
        <v>125.52744310144099</v>
      </c>
      <c r="AK7945">
        <v>14.186554870109999</v>
      </c>
      <c r="AL7945">
        <v>92.917289636964</v>
      </c>
      <c r="AM7945">
        <v>115.414771096907</v>
      </c>
      <c r="AN7945">
        <v>0.99999995260821095</v>
      </c>
    </row>
    <row r="7946" spans="1:40" x14ac:dyDescent="0.25">
      <c r="A7946" t="str">
        <f>"20190303155003507"</f>
        <v>20190303155003507</v>
      </c>
      <c r="B7946" t="str">
        <f>"1551599403498329"</f>
        <v>1551599403498329</v>
      </c>
      <c r="C7946" t="s">
        <v>40</v>
      </c>
      <c r="D7946">
        <v>4.9708439999999996</v>
      </c>
      <c r="E7946">
        <v>0.43359340000000002</v>
      </c>
      <c r="F7946" t="s">
        <v>42</v>
      </c>
      <c r="G7946">
        <v>-204.06030000000001</v>
      </c>
      <c r="H7946">
        <v>1.0532969999999999</v>
      </c>
      <c r="I7946">
        <v>-61.593290000000003</v>
      </c>
      <c r="J7946">
        <v>-204.6242</v>
      </c>
      <c r="K7946">
        <v>1.126188</v>
      </c>
      <c r="L7946">
        <v>-62.204859999999996</v>
      </c>
      <c r="M7946">
        <v>0.99223819999999996</v>
      </c>
      <c r="N7946">
        <v>-1.5230860000000001E-2</v>
      </c>
      <c r="O7946">
        <v>0.1234151</v>
      </c>
      <c r="P7946">
        <v>0.84084219999999898</v>
      </c>
      <c r="Q7946">
        <v>-5.9342850000000003E-2</v>
      </c>
      <c r="R7946">
        <v>0.53801759999999998</v>
      </c>
      <c r="S7946">
        <v>2.2439269999999998</v>
      </c>
      <c r="T7946">
        <v>-0.2361144</v>
      </c>
      <c r="U7946">
        <v>2.0477599999999998</v>
      </c>
      <c r="V7946">
        <v>-0.42954389999999998</v>
      </c>
      <c r="W7946">
        <v>-5.0744650000000002E-2</v>
      </c>
      <c r="X7946">
        <v>0.90161910000000001</v>
      </c>
      <c r="Y7946">
        <v>-0.57592739999999998</v>
      </c>
      <c r="Z7946">
        <v>2.1514080000000001E-2</v>
      </c>
      <c r="AA7946">
        <v>0.81721769999999905</v>
      </c>
      <c r="AB7946">
        <v>25</v>
      </c>
      <c r="AC7946">
        <v>0.56389999999998897</v>
      </c>
      <c r="AD7946">
        <v>-7.2890999999999997E-2</v>
      </c>
      <c r="AE7946">
        <v>0.61156999999999295</v>
      </c>
      <c r="AF7946">
        <v>-0.53319786205130704</v>
      </c>
      <c r="AG7946">
        <v>-7.2890999999999997E-2</v>
      </c>
      <c r="AH7946">
        <v>0.63023492289738103</v>
      </c>
      <c r="AI7946">
        <v>95.0459164445097</v>
      </c>
      <c r="AJ7946">
        <v>130.23223402142099</v>
      </c>
      <c r="AK7946">
        <v>0.82873947415128801</v>
      </c>
      <c r="AL7946">
        <v>92.908703542612798</v>
      </c>
      <c r="AM7946">
        <v>115.47378064317699</v>
      </c>
      <c r="AN7946">
        <v>0.99999999150782104</v>
      </c>
    </row>
    <row r="7947" spans="1:40" x14ac:dyDescent="0.25">
      <c r="A7947" t="str">
        <f>"20190303155003517"</f>
        <v>20190303155003517</v>
      </c>
      <c r="B7947" t="str">
        <f>"1551599403508090"</f>
        <v>1551599403508090</v>
      </c>
      <c r="C7947" t="s">
        <v>40</v>
      </c>
      <c r="D7947">
        <v>4.9308589999999999</v>
      </c>
      <c r="E7947">
        <v>0.43361830000000001</v>
      </c>
      <c r="F7947" t="s">
        <v>42</v>
      </c>
      <c r="G7947">
        <v>-203.86510000000001</v>
      </c>
      <c r="H7947">
        <v>1.046359</v>
      </c>
      <c r="I7947">
        <v>-61.505740000000003</v>
      </c>
      <c r="J7947">
        <v>-204.5016</v>
      </c>
      <c r="K7947">
        <v>1.126322</v>
      </c>
      <c r="L7947">
        <v>-62.185699999999997</v>
      </c>
      <c r="M7947">
        <v>0.99176330000000001</v>
      </c>
      <c r="N7947">
        <v>-1.5247490000000001E-2</v>
      </c>
      <c r="O7947">
        <v>0.12717439999999999</v>
      </c>
      <c r="P7947">
        <v>0.83832419999999996</v>
      </c>
      <c r="Q7947">
        <v>-5.8703770000000002E-2</v>
      </c>
      <c r="R7947">
        <v>0.5420024</v>
      </c>
      <c r="S7947">
        <v>2.2344210000000002</v>
      </c>
      <c r="T7947">
        <v>-0.23497889999999999</v>
      </c>
      <c r="U7947">
        <v>2.0580440000000002</v>
      </c>
      <c r="V7947">
        <v>-0.43039179999999999</v>
      </c>
      <c r="W7947">
        <v>-5.0244039999999997E-2</v>
      </c>
      <c r="X7947">
        <v>0.90124269999999995</v>
      </c>
      <c r="Y7947">
        <v>-0.57661790000000002</v>
      </c>
      <c r="Z7947">
        <v>2.124585E-2</v>
      </c>
      <c r="AA7947">
        <v>0.81673769999999901</v>
      </c>
      <c r="AB7947">
        <v>25</v>
      </c>
      <c r="AC7947">
        <v>0.63649999999998297</v>
      </c>
      <c r="AD7947">
        <v>-7.9963000000000006E-2</v>
      </c>
      <c r="AE7947">
        <v>0.67995999999999401</v>
      </c>
      <c r="AF7947">
        <v>-0.58913930429696104</v>
      </c>
      <c r="AG7947">
        <v>-7.9963000000000006E-2</v>
      </c>
      <c r="AH7947">
        <v>0.71256198486931599</v>
      </c>
      <c r="AI7947">
        <v>94.943022306037307</v>
      </c>
      <c r="AJ7947">
        <v>129.58361089608499</v>
      </c>
      <c r="AK7947">
        <v>0.92802143483725996</v>
      </c>
      <c r="AL7947">
        <v>92.879984085466702</v>
      </c>
      <c r="AM7947">
        <v>115.526981540767</v>
      </c>
      <c r="AN7947">
        <v>0.99999998468302498</v>
      </c>
    </row>
    <row r="7948" spans="1:40" x14ac:dyDescent="0.25">
      <c r="A7948" t="str">
        <f>"20190303155003529"</f>
        <v>20190303155003529</v>
      </c>
      <c r="B7948" t="str">
        <f>"1551599403518826"</f>
        <v>1551599403518826</v>
      </c>
      <c r="C7948" t="s">
        <v>40</v>
      </c>
      <c r="D7948">
        <v>4.9408649999999996</v>
      </c>
      <c r="E7948">
        <v>0.43369790000000003</v>
      </c>
      <c r="F7948" t="s">
        <v>42</v>
      </c>
      <c r="G7948">
        <v>-203.8416</v>
      </c>
      <c r="H7948">
        <v>1.0572589999999999</v>
      </c>
      <c r="I7948">
        <v>-61.572090000000003</v>
      </c>
      <c r="J7948">
        <v>-204.38839999999999</v>
      </c>
      <c r="K7948">
        <v>1.126449</v>
      </c>
      <c r="L7948">
        <v>-62.167209999999997</v>
      </c>
      <c r="M7948">
        <v>0.99129199999999995</v>
      </c>
      <c r="N7948">
        <v>-1.5264929999999999E-2</v>
      </c>
      <c r="O7948">
        <v>0.13079489999999999</v>
      </c>
      <c r="P7948">
        <v>0.83593379999999995</v>
      </c>
      <c r="Q7948">
        <v>-5.8476140000000003E-2</v>
      </c>
      <c r="R7948">
        <v>0.54570620000000003</v>
      </c>
      <c r="S7948">
        <v>2.2248839999999999</v>
      </c>
      <c r="T7948">
        <v>-0.23280129999999999</v>
      </c>
      <c r="U7948">
        <v>2.0685730000000002</v>
      </c>
      <c r="V7948">
        <v>-0.43107269999999998</v>
      </c>
      <c r="W7948">
        <v>-5.014685E-2</v>
      </c>
      <c r="X7948">
        <v>0.90092269999999997</v>
      </c>
      <c r="Y7948">
        <v>-0.57748679999999997</v>
      </c>
      <c r="Z7948">
        <v>2.0936219999999998E-2</v>
      </c>
      <c r="AA7948">
        <v>0.81613150000000001</v>
      </c>
      <c r="AB7948">
        <v>25</v>
      </c>
      <c r="AC7948">
        <v>0.54679999999998996</v>
      </c>
      <c r="AD7948">
        <v>-6.9190000000000002E-2</v>
      </c>
      <c r="AE7948">
        <v>0.59511999999999399</v>
      </c>
      <c r="AF7948">
        <v>-0.51470692256594897</v>
      </c>
      <c r="AG7948">
        <v>-6.9190000000000002E-2</v>
      </c>
      <c r="AH7948">
        <v>0.615438518334952</v>
      </c>
      <c r="AI7948">
        <v>94.928958177089399</v>
      </c>
      <c r="AJ7948">
        <v>129.90659893212799</v>
      </c>
      <c r="AK7948">
        <v>0.80527948073177102</v>
      </c>
      <c r="AL7948">
        <v>92.874408305617607</v>
      </c>
      <c r="AM7948">
        <v>115.57014127867301</v>
      </c>
      <c r="AN7948">
        <v>1.00000004531275</v>
      </c>
    </row>
    <row r="7949" spans="1:40" x14ac:dyDescent="0.25">
      <c r="A7949" t="str">
        <f>"20190303155003540"</f>
        <v>20190303155003540</v>
      </c>
      <c r="B7949" t="str">
        <f>"1551599403528586"</f>
        <v>1551599403528586</v>
      </c>
      <c r="C7949" t="s">
        <v>40</v>
      </c>
      <c r="D7949">
        <v>4.9455220000000004</v>
      </c>
      <c r="E7949">
        <v>0.43377890000000002</v>
      </c>
      <c r="F7949" t="s">
        <v>42</v>
      </c>
      <c r="G7949">
        <v>-203.65039999999999</v>
      </c>
      <c r="H7949">
        <v>1.049256</v>
      </c>
      <c r="I7949">
        <v>-61.475340000000003</v>
      </c>
      <c r="J7949">
        <v>-204.26499999999999</v>
      </c>
      <c r="K7949">
        <v>1.12659</v>
      </c>
      <c r="L7949">
        <v>-62.146819999999998</v>
      </c>
      <c r="M7949">
        <v>0.99075760000000002</v>
      </c>
      <c r="N7949">
        <v>-1.528359E-2</v>
      </c>
      <c r="O7949">
        <v>0.1347815</v>
      </c>
      <c r="P7949">
        <v>0.83318869999999901</v>
      </c>
      <c r="Q7949">
        <v>-5.8167259999999998E-2</v>
      </c>
      <c r="R7949">
        <v>0.54992099999999999</v>
      </c>
      <c r="S7949">
        <v>2.2162169999999999</v>
      </c>
      <c r="T7949">
        <v>-0.2318163</v>
      </c>
      <c r="U7949">
        <v>2.0776979999999998</v>
      </c>
      <c r="V7949">
        <v>-0.43198199999999998</v>
      </c>
      <c r="W7949">
        <v>-4.998582E-2</v>
      </c>
      <c r="X7949">
        <v>0.90049590000000002</v>
      </c>
      <c r="Y7949">
        <v>-0.57760529999999999</v>
      </c>
      <c r="Z7949">
        <v>2.0633930000000002E-2</v>
      </c>
      <c r="AA7949">
        <v>0.81605539999999999</v>
      </c>
      <c r="AB7949">
        <v>25</v>
      </c>
      <c r="AC7949">
        <v>0.61459999999999504</v>
      </c>
      <c r="AD7949">
        <v>-7.7334E-2</v>
      </c>
      <c r="AE7949">
        <v>0.67147999999999497</v>
      </c>
      <c r="AF7949">
        <v>-0.57833106422052905</v>
      </c>
      <c r="AG7949">
        <v>-7.7334E-2</v>
      </c>
      <c r="AH7949">
        <v>0.69449182435107404</v>
      </c>
      <c r="AI7949">
        <v>94.890828254803907</v>
      </c>
      <c r="AJ7949">
        <v>129.78549951577301</v>
      </c>
      <c r="AK7949">
        <v>0.90706464019326305</v>
      </c>
      <c r="AL7949">
        <v>92.865170659738197</v>
      </c>
      <c r="AM7949">
        <v>115.627764330383</v>
      </c>
      <c r="AN7949">
        <v>0.99999994822093896</v>
      </c>
    </row>
    <row r="7950" spans="1:40" x14ac:dyDescent="0.25">
      <c r="A7950" t="str">
        <f>"20190303155003552"</f>
        <v>20190303155003552</v>
      </c>
      <c r="B7950" t="str">
        <f>"1551599403538346"</f>
        <v>1551599403538346</v>
      </c>
      <c r="C7950" t="s">
        <v>40</v>
      </c>
      <c r="D7950">
        <v>4.9039539999999997</v>
      </c>
      <c r="E7950">
        <v>0.43384149999999999</v>
      </c>
      <c r="F7950" t="s">
        <v>42</v>
      </c>
      <c r="G7950">
        <v>-203.62620000000001</v>
      </c>
      <c r="H7950">
        <v>1.0598019999999999</v>
      </c>
      <c r="I7950">
        <v>-61.542079999999999</v>
      </c>
      <c r="J7950">
        <v>-204.1481</v>
      </c>
      <c r="K7950">
        <v>1.1267320000000001</v>
      </c>
      <c r="L7950">
        <v>-62.1265</v>
      </c>
      <c r="M7950">
        <v>0.99020739999999996</v>
      </c>
      <c r="N7950">
        <v>-1.5304470000000001E-2</v>
      </c>
      <c r="O7950">
        <v>0.1387631</v>
      </c>
      <c r="P7950">
        <v>0.83044319999999905</v>
      </c>
      <c r="Q7950">
        <v>-5.8055750000000003E-2</v>
      </c>
      <c r="R7950">
        <v>0.55407019999999996</v>
      </c>
      <c r="S7950">
        <v>2.2061000000000002</v>
      </c>
      <c r="T7950">
        <v>-0.23064889999999999</v>
      </c>
      <c r="U7950">
        <v>2.0884399999999999</v>
      </c>
      <c r="V7950">
        <v>-0.432836</v>
      </c>
      <c r="W7950">
        <v>-5.0021360000000001E-2</v>
      </c>
      <c r="X7950">
        <v>0.90008379999999999</v>
      </c>
      <c r="Y7950">
        <v>-0.57830879999999996</v>
      </c>
      <c r="Z7950">
        <v>2.0359889999999999E-2</v>
      </c>
      <c r="AA7950">
        <v>0.81556390000000001</v>
      </c>
      <c r="AB7950">
        <v>25</v>
      </c>
      <c r="AC7950">
        <v>0.52189999999998804</v>
      </c>
      <c r="AD7950">
        <v>-6.6929999999999906E-2</v>
      </c>
      <c r="AE7950">
        <v>0.58441999999999406</v>
      </c>
      <c r="AF7950">
        <v>-0.50266801040434606</v>
      </c>
      <c r="AG7950">
        <v>-6.6929999999999906E-2</v>
      </c>
      <c r="AH7950">
        <v>0.593623686959179</v>
      </c>
      <c r="AI7950">
        <v>94.917839758831505</v>
      </c>
      <c r="AJ7950">
        <v>130.257222054929</v>
      </c>
      <c r="AK7950">
        <v>0.78073288345174396</v>
      </c>
      <c r="AL7950">
        <v>92.867209373326602</v>
      </c>
      <c r="AM7950">
        <v>115.682161938295</v>
      </c>
      <c r="AN7950">
        <v>0.99999999318734401</v>
      </c>
    </row>
    <row r="7951" spans="1:40" x14ac:dyDescent="0.25">
      <c r="A7951" t="str">
        <f>"20190303155003562"</f>
        <v>20190303155003562</v>
      </c>
      <c r="B7951" t="str">
        <f>"1551599403558842"</f>
        <v>1551599403558842</v>
      </c>
      <c r="C7951" t="s">
        <v>40</v>
      </c>
      <c r="D7951">
        <v>4.9056959999999998</v>
      </c>
      <c r="E7951">
        <v>0.43401440000000002</v>
      </c>
      <c r="F7951" t="s">
        <v>42</v>
      </c>
      <c r="G7951">
        <v>-203.4358</v>
      </c>
      <c r="H7951">
        <v>1.0519449999999999</v>
      </c>
      <c r="I7951">
        <v>-61.445729999999998</v>
      </c>
      <c r="J7951">
        <v>-204.0309</v>
      </c>
      <c r="K7951">
        <v>1.1268670000000001</v>
      </c>
      <c r="L7951">
        <v>-62.105899999999998</v>
      </c>
      <c r="M7951">
        <v>0.98963449999999997</v>
      </c>
      <c r="N7951">
        <v>-1.5324890000000001E-2</v>
      </c>
      <c r="O7951">
        <v>0.14278920000000001</v>
      </c>
      <c r="P7951">
        <v>0.8275844</v>
      </c>
      <c r="Q7951">
        <v>-5.8029089999999998E-2</v>
      </c>
      <c r="R7951">
        <v>0.55833379999999999</v>
      </c>
      <c r="S7951">
        <v>2.1960139999999999</v>
      </c>
      <c r="T7951">
        <v>-0.2305584</v>
      </c>
      <c r="U7951">
        <v>2.0989070000000001</v>
      </c>
      <c r="V7951">
        <v>-0.43378620000000001</v>
      </c>
      <c r="W7951">
        <v>-5.014677E-2</v>
      </c>
      <c r="X7951">
        <v>0.89961930000000001</v>
      </c>
      <c r="Y7951">
        <v>-0.57890090000000005</v>
      </c>
      <c r="Z7951">
        <v>2.0140089999999999E-2</v>
      </c>
      <c r="AA7951">
        <v>0.81514919999999902</v>
      </c>
      <c r="AB7951">
        <v>25</v>
      </c>
      <c r="AC7951">
        <v>0.59510000000000196</v>
      </c>
      <c r="AD7951">
        <v>-7.4921999999999905E-2</v>
      </c>
      <c r="AE7951">
        <v>0.66016999999999304</v>
      </c>
      <c r="AF7951">
        <v>-0.56440934853068103</v>
      </c>
      <c r="AG7951">
        <v>-7.4921999999999905E-2</v>
      </c>
      <c r="AH7951">
        <v>0.67845593099449697</v>
      </c>
      <c r="AI7951">
        <v>94.852461586397297</v>
      </c>
      <c r="AJ7951">
        <v>129.757163129921</v>
      </c>
      <c r="AK7951">
        <v>0.88570518181528002</v>
      </c>
      <c r="AL7951">
        <v>92.874403773489107</v>
      </c>
      <c r="AM7951">
        <v>115.742836361779</v>
      </c>
      <c r="AN7951">
        <v>1.0000000253921799</v>
      </c>
    </row>
    <row r="7952" spans="1:40" x14ac:dyDescent="0.25">
      <c r="A7952" t="str">
        <f>"20190303155003573"</f>
        <v>20190303155003573</v>
      </c>
      <c r="B7952" t="str">
        <f>"1551599403568601"</f>
        <v>1551599403568601</v>
      </c>
      <c r="C7952" t="s">
        <v>40</v>
      </c>
      <c r="D7952">
        <v>4.8957829999999998</v>
      </c>
      <c r="E7952">
        <v>0.43416320000000003</v>
      </c>
      <c r="F7952" t="s">
        <v>64</v>
      </c>
      <c r="G7952">
        <v>-193.346</v>
      </c>
      <c r="H7952" s="1">
        <v>-9.6221230000000002E-6</v>
      </c>
      <c r="I7952">
        <v>-51.798340000000003</v>
      </c>
      <c r="J7952">
        <v>-203.90539999999999</v>
      </c>
      <c r="K7952">
        <v>1.127024</v>
      </c>
      <c r="L7952">
        <v>-62.082790000000003</v>
      </c>
      <c r="M7952">
        <v>0.98897210000000002</v>
      </c>
      <c r="N7952">
        <v>-1.5350249999999999E-2</v>
      </c>
      <c r="O7952">
        <v>0.1473053</v>
      </c>
      <c r="P7952">
        <v>0.82455140000000005</v>
      </c>
      <c r="Q7952">
        <v>-5.8348949999999997E-2</v>
      </c>
      <c r="R7952">
        <v>0.5627704</v>
      </c>
      <c r="S7952">
        <v>2.1860810000000002</v>
      </c>
      <c r="T7952">
        <v>-0.2305547</v>
      </c>
      <c r="U7952">
        <v>2.1088870000000002</v>
      </c>
      <c r="V7952">
        <v>-0.43448930000000002</v>
      </c>
      <c r="W7952">
        <v>-5.0628699999999999E-2</v>
      </c>
      <c r="X7952">
        <v>0.89925290000000002</v>
      </c>
      <c r="Y7952">
        <v>-0.57896669999999995</v>
      </c>
      <c r="Z7952">
        <v>1.9864070000000001E-2</v>
      </c>
      <c r="AA7952">
        <v>0.81510919999999998</v>
      </c>
      <c r="AB7952">
        <v>25</v>
      </c>
      <c r="AC7952">
        <v>10.5594</v>
      </c>
      <c r="AD7952">
        <v>-1.127033622123</v>
      </c>
      <c r="AE7952">
        <v>10.28445</v>
      </c>
      <c r="AF7952">
        <v>-8.5665110978729295</v>
      </c>
      <c r="AG7952">
        <v>-1.127033622123</v>
      </c>
      <c r="AH7952">
        <v>11.889803335377399</v>
      </c>
      <c r="AI7952">
        <v>94.397808306203103</v>
      </c>
      <c r="AJ7952">
        <v>125.772457446205</v>
      </c>
      <c r="AK7952">
        <v>14.6977120848562</v>
      </c>
      <c r="AL7952">
        <v>92.902051528723007</v>
      </c>
      <c r="AM7952">
        <v>115.788299203793</v>
      </c>
      <c r="AN7952">
        <v>0.99999999761829494</v>
      </c>
    </row>
    <row r="7953" spans="1:40" x14ac:dyDescent="0.25">
      <c r="A7953" t="str">
        <f>"20190303155003585"</f>
        <v>20190303155003585</v>
      </c>
      <c r="B7953" t="str">
        <f>"1551599403578362"</f>
        <v>1551599403578362</v>
      </c>
      <c r="C7953" t="s">
        <v>40</v>
      </c>
      <c r="D7953">
        <v>4.9188619999999998</v>
      </c>
      <c r="E7953">
        <v>0.43425269999999999</v>
      </c>
      <c r="F7953" t="s">
        <v>42</v>
      </c>
      <c r="G7953">
        <v>-203.22139999999999</v>
      </c>
      <c r="H7953">
        <v>1.0540210000000001</v>
      </c>
      <c r="I7953">
        <v>-61.416240000000002</v>
      </c>
      <c r="J7953">
        <v>-203.78989999999999</v>
      </c>
      <c r="K7953">
        <v>1.1271690000000001</v>
      </c>
      <c r="L7953">
        <v>-62.061100000000003</v>
      </c>
      <c r="M7953">
        <v>0.98833190000000004</v>
      </c>
      <c r="N7953">
        <v>-1.537401E-2</v>
      </c>
      <c r="O7953">
        <v>0.1515378</v>
      </c>
      <c r="P7953">
        <v>0.82153639999999895</v>
      </c>
      <c r="Q7953">
        <v>-5.879421E-2</v>
      </c>
      <c r="R7953">
        <v>0.56711659999999997</v>
      </c>
      <c r="S7953">
        <v>2.175262</v>
      </c>
      <c r="T7953">
        <v>-0.23214190000000001</v>
      </c>
      <c r="U7953">
        <v>2.1195680000000001</v>
      </c>
      <c r="V7953">
        <v>-0.43536770000000002</v>
      </c>
      <c r="W7953">
        <v>-5.1227920000000003E-2</v>
      </c>
      <c r="X7953">
        <v>0.89879409999999904</v>
      </c>
      <c r="Y7953">
        <v>-0.57954169999999905</v>
      </c>
      <c r="Z7953">
        <v>1.9722460000000001E-2</v>
      </c>
      <c r="AA7953">
        <v>0.81470390000000004</v>
      </c>
      <c r="AB7953">
        <v>25</v>
      </c>
      <c r="AC7953">
        <v>0.56850000000000001</v>
      </c>
      <c r="AD7953">
        <v>-7.3148000000000199E-2</v>
      </c>
      <c r="AE7953">
        <v>0.64486000000000099</v>
      </c>
      <c r="AF7953">
        <v>-0.547289240540908</v>
      </c>
      <c r="AG7953">
        <v>-7.3148000000000199E-2</v>
      </c>
      <c r="AH7953">
        <v>0.65492366040057803</v>
      </c>
      <c r="AI7953">
        <v>94.898522434286505</v>
      </c>
      <c r="AJ7953">
        <v>129.88393507608299</v>
      </c>
      <c r="AK7953">
        <v>0.85662193741949999</v>
      </c>
      <c r="AL7953">
        <v>92.936428663312896</v>
      </c>
      <c r="AM7953">
        <v>115.84512630872401</v>
      </c>
      <c r="AN7953">
        <v>1.0000000840928001</v>
      </c>
    </row>
    <row r="7954" spans="1:40" x14ac:dyDescent="0.25">
      <c r="A7954" t="str">
        <f>"20190303155003595"</f>
        <v>20190303155003595</v>
      </c>
      <c r="B7954" t="str">
        <f>"1551599403588123"</f>
        <v>1551599403588123</v>
      </c>
      <c r="C7954" t="s">
        <v>40</v>
      </c>
      <c r="D7954">
        <v>4.8752969999999998</v>
      </c>
      <c r="E7954">
        <v>0.4343513</v>
      </c>
      <c r="F7954" t="s">
        <v>64</v>
      </c>
      <c r="G7954">
        <v>-193.36429999999999</v>
      </c>
      <c r="H7954" s="1">
        <v>-9.6239549999999999E-6</v>
      </c>
      <c r="I7954">
        <v>-51.798310000000001</v>
      </c>
      <c r="J7954">
        <v>-203.6653</v>
      </c>
      <c r="K7954">
        <v>1.127319</v>
      </c>
      <c r="L7954">
        <v>-62.036929999999998</v>
      </c>
      <c r="M7954">
        <v>0.98759940000000002</v>
      </c>
      <c r="N7954">
        <v>-1.5401639999999999E-2</v>
      </c>
      <c r="O7954">
        <v>0.15623689999999901</v>
      </c>
      <c r="P7954">
        <v>0.81836160000000002</v>
      </c>
      <c r="Q7954">
        <v>-5.9861079999999997E-2</v>
      </c>
      <c r="R7954">
        <v>0.57157760000000002</v>
      </c>
      <c r="S7954">
        <v>2.1642610000000002</v>
      </c>
      <c r="T7954">
        <v>-0.23399220000000001</v>
      </c>
      <c r="U7954">
        <v>2.1304630000000002</v>
      </c>
      <c r="V7954">
        <v>-0.43595869999999998</v>
      </c>
      <c r="W7954">
        <v>-5.245085E-2</v>
      </c>
      <c r="X7954">
        <v>0.89843700000000004</v>
      </c>
      <c r="Y7954">
        <v>-0.57980469999999995</v>
      </c>
      <c r="Z7954">
        <v>1.9541309999999999E-2</v>
      </c>
      <c r="AA7954">
        <v>0.814521099999999</v>
      </c>
      <c r="AB7954">
        <v>25</v>
      </c>
      <c r="AC7954">
        <v>10.301</v>
      </c>
      <c r="AD7954">
        <v>-1.127328623955</v>
      </c>
      <c r="AE7954">
        <v>10.238619999999999</v>
      </c>
      <c r="AF7954">
        <v>-8.4523446578190899</v>
      </c>
      <c r="AG7954">
        <v>-1.127328623955</v>
      </c>
      <c r="AH7954">
        <v>11.7037967209375</v>
      </c>
      <c r="AI7954">
        <v>94.465005991336</v>
      </c>
      <c r="AJ7954">
        <v>125.836374312359</v>
      </c>
      <c r="AK7954">
        <v>14.4807409246205</v>
      </c>
      <c r="AL7954">
        <v>93.006591796629095</v>
      </c>
      <c r="AM7954">
        <v>115.884574886826</v>
      </c>
      <c r="AN7954">
        <v>1.0000000613702</v>
      </c>
    </row>
    <row r="7955" spans="1:40" x14ac:dyDescent="0.25">
      <c r="A7955" t="str">
        <f>"20190303155003607"</f>
        <v>20190303155003607</v>
      </c>
      <c r="B7955" t="str">
        <f>"1551599403598858"</f>
        <v>1551599403598858</v>
      </c>
      <c r="C7955" t="s">
        <v>40</v>
      </c>
      <c r="D7955">
        <v>4.9018230000000003</v>
      </c>
      <c r="E7955">
        <v>0.43443229999999999</v>
      </c>
      <c r="F7955" t="s">
        <v>42</v>
      </c>
      <c r="G7955">
        <v>-203.0085</v>
      </c>
      <c r="H7955">
        <v>1.0547690000000001</v>
      </c>
      <c r="I7955">
        <v>-61.383519999999997</v>
      </c>
      <c r="J7955">
        <v>-203.54920000000001</v>
      </c>
      <c r="K7955">
        <v>1.127459</v>
      </c>
      <c r="L7955">
        <v>-62.013669999999998</v>
      </c>
      <c r="M7955">
        <v>0.98687619999999998</v>
      </c>
      <c r="N7955">
        <v>-1.542842E-2</v>
      </c>
      <c r="O7955">
        <v>0.1607401</v>
      </c>
      <c r="P7955">
        <v>0.81527109999999903</v>
      </c>
      <c r="Q7955">
        <v>-6.0445699999999998E-2</v>
      </c>
      <c r="R7955">
        <v>0.57591619999999999</v>
      </c>
      <c r="S7955">
        <v>2.152771</v>
      </c>
      <c r="T7955">
        <v>-0.2377679</v>
      </c>
      <c r="U7955">
        <v>2.1414789999999999</v>
      </c>
      <c r="V7955">
        <v>-0.43661179999999999</v>
      </c>
      <c r="W7955">
        <v>-5.3180039999999998E-2</v>
      </c>
      <c r="X7955">
        <v>0.89807680000000001</v>
      </c>
      <c r="Y7955">
        <v>-0.58031659999999996</v>
      </c>
      <c r="Z7955">
        <v>1.9480870000000001E-2</v>
      </c>
      <c r="AA7955">
        <v>0.81415789999999999</v>
      </c>
      <c r="AB7955">
        <v>25</v>
      </c>
      <c r="AC7955">
        <v>0.54070000000001495</v>
      </c>
      <c r="AD7955">
        <v>-7.2689999999999894E-2</v>
      </c>
      <c r="AE7955">
        <v>0.63014999999999999</v>
      </c>
      <c r="AF7955">
        <v>-0.530962296376429</v>
      </c>
      <c r="AG7955">
        <v>-7.2689999999999894E-2</v>
      </c>
      <c r="AH7955">
        <v>0.63014056747060099</v>
      </c>
      <c r="AI7955">
        <v>95.041273637760298</v>
      </c>
      <c r="AJ7955">
        <v>130.117799924</v>
      </c>
      <c r="AK7955">
        <v>0.827213352796908</v>
      </c>
      <c r="AL7955">
        <v>93.048430008471698</v>
      </c>
      <c r="AM7955">
        <v>115.92731079455299</v>
      </c>
      <c r="AN7955">
        <v>0.99999995962594002</v>
      </c>
    </row>
    <row r="7956" spans="1:40" x14ac:dyDescent="0.25">
      <c r="A7956" t="str">
        <f>"20190303155003618"</f>
        <v>20190303155003618</v>
      </c>
      <c r="B7956" t="str">
        <f>"1551599403608617"</f>
        <v>1551599403608617</v>
      </c>
      <c r="C7956" t="s">
        <v>40</v>
      </c>
      <c r="D7956">
        <v>4.8907309999999997</v>
      </c>
      <c r="E7956">
        <v>0.43451129999999999</v>
      </c>
      <c r="F7956" t="s">
        <v>42</v>
      </c>
      <c r="G7956">
        <v>-202.82249999999999</v>
      </c>
      <c r="H7956">
        <v>1.046003</v>
      </c>
      <c r="I7956">
        <v>-61.283499999999997</v>
      </c>
      <c r="J7956">
        <v>-203.4205</v>
      </c>
      <c r="K7956">
        <v>1.1276139999999999</v>
      </c>
      <c r="L7956">
        <v>-61.987299999999998</v>
      </c>
      <c r="M7956">
        <v>0.98603430000000003</v>
      </c>
      <c r="N7956">
        <v>-1.545823E-2</v>
      </c>
      <c r="O7956">
        <v>0.16582330000000001</v>
      </c>
      <c r="P7956">
        <v>0.8116949</v>
      </c>
      <c r="Q7956">
        <v>-6.10739E-2</v>
      </c>
      <c r="R7956">
        <v>0.5808797</v>
      </c>
      <c r="S7956">
        <v>2.1416780000000002</v>
      </c>
      <c r="T7956">
        <v>-0.24006079999999999</v>
      </c>
      <c r="U7956">
        <v>2.1521300000000001</v>
      </c>
      <c r="V7956">
        <v>-0.43743959999999998</v>
      </c>
      <c r="W7956">
        <v>-5.3969620000000003E-2</v>
      </c>
      <c r="X7956">
        <v>0.89762679999999995</v>
      </c>
      <c r="Y7956">
        <v>-0.58022640000000003</v>
      </c>
      <c r="Z7956">
        <v>1.9258870000000001E-2</v>
      </c>
      <c r="AA7956">
        <v>0.81422749999999999</v>
      </c>
      <c r="AB7956">
        <v>25</v>
      </c>
      <c r="AC7956">
        <v>0.59800000000001297</v>
      </c>
      <c r="AD7956">
        <v>-8.1610999999999795E-2</v>
      </c>
      <c r="AE7956">
        <v>0.70380000000000098</v>
      </c>
      <c r="AF7956">
        <v>-0.59027044192289502</v>
      </c>
      <c r="AG7956">
        <v>-8.1610999999999795E-2</v>
      </c>
      <c r="AH7956">
        <v>0.70096572845586802</v>
      </c>
      <c r="AI7956">
        <v>95.089163159943993</v>
      </c>
      <c r="AJ7956">
        <v>130.100119044682</v>
      </c>
      <c r="AK7956">
        <v>0.92001766417744202</v>
      </c>
      <c r="AL7956">
        <v>93.093734559717007</v>
      </c>
      <c r="AM7956">
        <v>115.981318320448</v>
      </c>
      <c r="AN7956">
        <v>0.99999999780467197</v>
      </c>
    </row>
    <row r="7957" spans="1:40" x14ac:dyDescent="0.25">
      <c r="A7957" t="str">
        <f>"20190303155003632"</f>
        <v>20190303155003632</v>
      </c>
      <c r="B7957" t="str">
        <f>"1551599403618379"</f>
        <v>1551599403618379</v>
      </c>
      <c r="C7957" t="s">
        <v>40</v>
      </c>
      <c r="D7957">
        <v>4.8926089999999904</v>
      </c>
      <c r="E7957">
        <v>0.4346489</v>
      </c>
      <c r="F7957" t="s">
        <v>42</v>
      </c>
      <c r="G7957">
        <v>-202.7953</v>
      </c>
      <c r="H7957">
        <v>1.056489</v>
      </c>
      <c r="I7957">
        <v>-61.351750000000003</v>
      </c>
      <c r="J7957">
        <v>-203.29509999999999</v>
      </c>
      <c r="K7957">
        <v>1.1277649999999999</v>
      </c>
      <c r="L7957">
        <v>-61.960389999999997</v>
      </c>
      <c r="M7957">
        <v>0.9851531</v>
      </c>
      <c r="N7957">
        <v>-1.548887E-2</v>
      </c>
      <c r="O7957">
        <v>0.17097809999999999</v>
      </c>
      <c r="P7957">
        <v>0.80805459999999996</v>
      </c>
      <c r="Q7957">
        <v>-6.1803549999999999E-2</v>
      </c>
      <c r="R7957">
        <v>0.58585669999999901</v>
      </c>
      <c r="S7957">
        <v>2.1287539999999998</v>
      </c>
      <c r="T7957">
        <v>-0.24220059999999999</v>
      </c>
      <c r="U7957">
        <v>2.1644899999999998</v>
      </c>
      <c r="V7957">
        <v>-0.43823889999999999</v>
      </c>
      <c r="W7957">
        <v>-5.4851690000000002E-2</v>
      </c>
      <c r="X7957">
        <v>0.89718339999999996</v>
      </c>
      <c r="Y7957">
        <v>-0.58074479999999995</v>
      </c>
      <c r="Z7957">
        <v>1.9054950000000001E-2</v>
      </c>
      <c r="AA7957">
        <v>0.81386259999999999</v>
      </c>
      <c r="AB7957">
        <v>25</v>
      </c>
      <c r="AC7957">
        <v>0.49979999999999303</v>
      </c>
      <c r="AD7957">
        <v>-7.1275999999999895E-2</v>
      </c>
      <c r="AE7957">
        <v>0.60864000000000096</v>
      </c>
      <c r="AF7957">
        <v>-0.51003283697284296</v>
      </c>
      <c r="AG7957">
        <v>-7.1275999999999895E-2</v>
      </c>
      <c r="AH7957">
        <v>0.59166894709868301</v>
      </c>
      <c r="AI7957">
        <v>95.213470613627806</v>
      </c>
      <c r="AJ7957">
        <v>130.76212745378501</v>
      </c>
      <c r="AK7957">
        <v>0.78440162284854498</v>
      </c>
      <c r="AL7957">
        <v>93.144348271128393</v>
      </c>
      <c r="AM7957">
        <v>116.033694708102</v>
      </c>
      <c r="AN7957">
        <v>1.0000000473023101</v>
      </c>
    </row>
    <row r="7958" spans="1:40" x14ac:dyDescent="0.25">
      <c r="A7958" t="str">
        <f>"20190303155003645"</f>
        <v>20190303155003645</v>
      </c>
      <c r="B7958" t="str">
        <f>"1551599403638874"</f>
        <v>1551599403638874</v>
      </c>
      <c r="C7958" t="s">
        <v>40</v>
      </c>
      <c r="D7958">
        <v>4.8945569999999998</v>
      </c>
      <c r="E7958">
        <v>0.43486710000000001</v>
      </c>
      <c r="F7958" t="s">
        <v>42</v>
      </c>
      <c r="G7958">
        <v>-202.60890000000001</v>
      </c>
      <c r="H7958">
        <v>1.0485450000000001</v>
      </c>
      <c r="I7958">
        <v>-61.25468</v>
      </c>
      <c r="J7958">
        <v>-203.14949999999999</v>
      </c>
      <c r="K7958">
        <v>1.127937</v>
      </c>
      <c r="L7958">
        <v>-61.928469999999997</v>
      </c>
      <c r="M7958">
        <v>0.98407509999999998</v>
      </c>
      <c r="N7958">
        <v>-1.552422E-2</v>
      </c>
      <c r="O7958">
        <v>0.1770737</v>
      </c>
      <c r="P7958">
        <v>0.80384429999999996</v>
      </c>
      <c r="Q7958">
        <v>-6.2322759999999998E-2</v>
      </c>
      <c r="R7958">
        <v>0.59156589999999998</v>
      </c>
      <c r="S7958">
        <v>2.115891</v>
      </c>
      <c r="T7958">
        <v>-0.244307</v>
      </c>
      <c r="U7958">
        <v>2.1765439999999998</v>
      </c>
      <c r="V7958">
        <v>-0.43901459999999998</v>
      </c>
      <c r="W7958">
        <v>-5.5542800000000003E-2</v>
      </c>
      <c r="X7958">
        <v>0.89676149999999999</v>
      </c>
      <c r="Y7958">
        <v>-0.58042069999999901</v>
      </c>
      <c r="Z7958">
        <v>1.8724089999999999E-2</v>
      </c>
      <c r="AA7958">
        <v>0.81410150000000003</v>
      </c>
      <c r="AB7958">
        <v>25</v>
      </c>
      <c r="AC7958">
        <v>0.54059999999998298</v>
      </c>
      <c r="AD7958">
        <v>-7.9392000000000101E-2</v>
      </c>
      <c r="AE7958">
        <v>0.67378999999998901</v>
      </c>
      <c r="AF7958">
        <v>-0.56264993031666399</v>
      </c>
      <c r="AG7958">
        <v>-7.9392000000000101E-2</v>
      </c>
      <c r="AH7958">
        <v>0.64592425017161004</v>
      </c>
      <c r="AI7958">
        <v>95.295094086028001</v>
      </c>
      <c r="AJ7958">
        <v>131.05838196098799</v>
      </c>
      <c r="AK7958">
        <v>0.86028842297749497</v>
      </c>
      <c r="AL7958">
        <v>93.1840065518426</v>
      </c>
      <c r="AM7958">
        <v>116.084317260391</v>
      </c>
      <c r="AN7958">
        <v>1.0000000047636199</v>
      </c>
    </row>
    <row r="7959" spans="1:40" x14ac:dyDescent="0.25">
      <c r="A7959" t="str">
        <f>"20190303155003658"</f>
        <v>20190303155003658</v>
      </c>
      <c r="B7959" t="str">
        <f>"1551599403648634"</f>
        <v>1551599403648634</v>
      </c>
      <c r="C7959" t="s">
        <v>40</v>
      </c>
      <c r="D7959">
        <v>4.9028919999999996</v>
      </c>
      <c r="E7959">
        <v>0.43498170000000003</v>
      </c>
      <c r="F7959" t="s">
        <v>64</v>
      </c>
      <c r="G7959">
        <v>-193.50149999999999</v>
      </c>
      <c r="H7959" s="1">
        <v>-9.6108620000000008E-6</v>
      </c>
      <c r="I7959">
        <v>-51.872039999999998</v>
      </c>
      <c r="J7959">
        <v>-203.00489999999999</v>
      </c>
      <c r="K7959">
        <v>1.128101</v>
      </c>
      <c r="L7959">
        <v>-61.895719999999997</v>
      </c>
      <c r="M7959">
        <v>0.98293330000000001</v>
      </c>
      <c r="N7959">
        <v>-1.5560279999999999E-2</v>
      </c>
      <c r="O7959">
        <v>0.18330299999999999</v>
      </c>
      <c r="P7959">
        <v>0.79943109999999995</v>
      </c>
      <c r="Q7959">
        <v>-6.2914890000000001E-2</v>
      </c>
      <c r="R7959">
        <v>0.59745439999999905</v>
      </c>
      <c r="S7959">
        <v>2.1012270000000002</v>
      </c>
      <c r="T7959">
        <v>-0.24565490000000001</v>
      </c>
      <c r="U7959">
        <v>2.1901860000000002</v>
      </c>
      <c r="V7959">
        <v>-0.43989699999999998</v>
      </c>
      <c r="W7959">
        <v>-5.6305069999999999E-2</v>
      </c>
      <c r="X7959">
        <v>0.89628140000000001</v>
      </c>
      <c r="Y7959">
        <v>-0.58063140000000002</v>
      </c>
      <c r="Z7959">
        <v>1.837563E-2</v>
      </c>
      <c r="AA7959">
        <v>0.81395909999999905</v>
      </c>
      <c r="AB7959">
        <v>25</v>
      </c>
      <c r="AC7959">
        <v>9.5033999999999992</v>
      </c>
      <c r="AD7959">
        <v>-1.128110610862</v>
      </c>
      <c r="AE7959">
        <v>10.023679999999899</v>
      </c>
      <c r="AF7959">
        <v>-8.0578403967003105</v>
      </c>
      <c r="AG7959">
        <v>-1.128110610862</v>
      </c>
      <c r="AH7959">
        <v>11.105852311526499</v>
      </c>
      <c r="AI7959">
        <v>94.700125916928997</v>
      </c>
      <c r="AJ7959">
        <v>125.96272573313399</v>
      </c>
      <c r="AK7959">
        <v>13.767402840567801</v>
      </c>
      <c r="AL7959">
        <v>93.227749911936002</v>
      </c>
      <c r="AM7959">
        <v>116.141911973877</v>
      </c>
      <c r="AN7959">
        <v>0.99999998975133197</v>
      </c>
    </row>
    <row r="7960" spans="1:40" x14ac:dyDescent="0.25">
      <c r="A7960" t="str">
        <f>"20190303155003674"</f>
        <v>20190303155003674</v>
      </c>
      <c r="B7960" t="str">
        <f>"1551599403668153"</f>
        <v>1551599403668153</v>
      </c>
      <c r="C7960" t="s">
        <v>40</v>
      </c>
      <c r="D7960">
        <v>4.9161409999999997</v>
      </c>
      <c r="E7960">
        <v>0.4352413</v>
      </c>
      <c r="F7960" t="s">
        <v>42</v>
      </c>
      <c r="G7960">
        <v>-202.38800000000001</v>
      </c>
      <c r="H7960">
        <v>1.0549539999999999</v>
      </c>
      <c r="I7960">
        <v>-61.243429999999996</v>
      </c>
      <c r="J7960">
        <v>-202.8468</v>
      </c>
      <c r="K7960">
        <v>1.1282620000000001</v>
      </c>
      <c r="L7960">
        <v>-61.858179999999997</v>
      </c>
      <c r="M7960">
        <v>0.98159189999999996</v>
      </c>
      <c r="N7960">
        <v>-1.560184E-2</v>
      </c>
      <c r="O7960">
        <v>0.19035160000000001</v>
      </c>
      <c r="P7960">
        <v>0.79387280000000005</v>
      </c>
      <c r="Q7960">
        <v>-6.4517469999999993E-2</v>
      </c>
      <c r="R7960">
        <v>0.60465150000000001</v>
      </c>
      <c r="S7960">
        <v>2.0855260000000002</v>
      </c>
      <c r="T7960">
        <v>-0.24726529999999999</v>
      </c>
      <c r="U7960">
        <v>2.2046809999999999</v>
      </c>
      <c r="V7960">
        <v>-0.44153249999999999</v>
      </c>
      <c r="W7960">
        <v>-5.8100119999999998E-2</v>
      </c>
      <c r="X7960">
        <v>0.895362199999999</v>
      </c>
      <c r="Y7960">
        <v>-0.58051830000000004</v>
      </c>
      <c r="Z7960">
        <v>1.7954129999999999E-2</v>
      </c>
      <c r="AA7960">
        <v>0.81404919999999903</v>
      </c>
      <c r="AB7960">
        <v>25</v>
      </c>
      <c r="AC7960">
        <v>0.45879999999999599</v>
      </c>
      <c r="AD7960">
        <v>-7.3307999999999901E-2</v>
      </c>
      <c r="AE7960">
        <v>0.61475000000000002</v>
      </c>
      <c r="AF7960">
        <v>-0.51149166851008099</v>
      </c>
      <c r="AG7960">
        <v>-7.3307999999999901E-2</v>
      </c>
      <c r="AH7960">
        <v>0.56230652033403195</v>
      </c>
      <c r="AI7960">
        <v>95.508578899770299</v>
      </c>
      <c r="AJ7960">
        <v>132.29063975887601</v>
      </c>
      <c r="AK7960">
        <v>0.763666427590865</v>
      </c>
      <c r="AL7960">
        <v>93.330767294075102</v>
      </c>
      <c r="AM7960">
        <v>116.249419704487</v>
      </c>
      <c r="AN7960">
        <v>1.0000000208445501</v>
      </c>
    </row>
    <row r="7961" spans="1:40" x14ac:dyDescent="0.25">
      <c r="A7961" t="str">
        <f>"20190303155003686"</f>
        <v>20190303155003686</v>
      </c>
      <c r="B7961" t="str">
        <f>"1551599403678890"</f>
        <v>1551599403678890</v>
      </c>
      <c r="C7961" t="s">
        <v>40</v>
      </c>
      <c r="D7961">
        <v>4.9303589999999904</v>
      </c>
      <c r="E7961">
        <v>0.43537880000000001</v>
      </c>
      <c r="F7961" t="s">
        <v>42</v>
      </c>
      <c r="G7961">
        <v>-202.19759999999999</v>
      </c>
      <c r="H7961">
        <v>1.049221</v>
      </c>
      <c r="I7961">
        <v>-61.16019</v>
      </c>
      <c r="J7961">
        <v>-202.7182</v>
      </c>
      <c r="K7961">
        <v>1.128396</v>
      </c>
      <c r="L7961">
        <v>-61.826810000000002</v>
      </c>
      <c r="M7961">
        <v>0.98043809999999998</v>
      </c>
      <c r="N7961">
        <v>-1.563583E-2</v>
      </c>
      <c r="O7961">
        <v>0.19620650000000001</v>
      </c>
      <c r="P7961">
        <v>0.78957440000000001</v>
      </c>
      <c r="Q7961">
        <v>-6.5177869999999999E-2</v>
      </c>
      <c r="R7961">
        <v>0.61018380000000005</v>
      </c>
      <c r="S7961">
        <v>2.0663299999999998</v>
      </c>
      <c r="T7961">
        <v>-0.25157279999999999</v>
      </c>
      <c r="U7961">
        <v>2.2217410000000002</v>
      </c>
      <c r="V7961">
        <v>-0.44242379999999998</v>
      </c>
      <c r="W7961">
        <v>-5.890227E-2</v>
      </c>
      <c r="X7961">
        <v>0.89486969999999999</v>
      </c>
      <c r="Y7961">
        <v>-0.58249459999999997</v>
      </c>
      <c r="Z7961">
        <v>1.7848449999999998E-2</v>
      </c>
      <c r="AA7961">
        <v>0.81263850000000004</v>
      </c>
      <c r="AB7961">
        <v>24</v>
      </c>
      <c r="AC7961">
        <v>0.52060000000000095</v>
      </c>
      <c r="AD7961">
        <v>-7.9174999999999995E-2</v>
      </c>
      <c r="AE7961">
        <v>0.666619999999994</v>
      </c>
      <c r="AF7961">
        <v>-0.54671136350100202</v>
      </c>
      <c r="AG7961">
        <v>-7.9174999999999995E-2</v>
      </c>
      <c r="AH7961">
        <v>0.63571911243867696</v>
      </c>
      <c r="AI7961">
        <v>95.394327015227304</v>
      </c>
      <c r="AJ7961">
        <v>130.695164579926</v>
      </c>
      <c r="AK7961">
        <v>0.84219996765966698</v>
      </c>
      <c r="AL7961">
        <v>93.376805894209198</v>
      </c>
      <c r="AM7961">
        <v>116.30780288387901</v>
      </c>
      <c r="AN7961">
        <v>1.00000003809784</v>
      </c>
    </row>
    <row r="7962" spans="1:40" x14ac:dyDescent="0.25">
      <c r="A7962" t="str">
        <f>"20190303155003697"</f>
        <v>20190303155003697</v>
      </c>
      <c r="B7962" t="str">
        <f>"1551599403688650"</f>
        <v>1551599403688650</v>
      </c>
      <c r="C7962" t="s">
        <v>40</v>
      </c>
      <c r="D7962">
        <v>4.938364</v>
      </c>
      <c r="E7962">
        <v>0.43550050000000001</v>
      </c>
      <c r="F7962" t="s">
        <v>42</v>
      </c>
      <c r="G7962">
        <v>-202.0146</v>
      </c>
      <c r="H7962">
        <v>1.0415559999999999</v>
      </c>
      <c r="I7962">
        <v>-61.060029999999998</v>
      </c>
      <c r="J7962">
        <v>-202.5975</v>
      </c>
      <c r="K7962">
        <v>1.1285210000000001</v>
      </c>
      <c r="L7962">
        <v>-61.796570000000003</v>
      </c>
      <c r="M7962">
        <v>0.97929869999999997</v>
      </c>
      <c r="N7962">
        <v>-1.566799E-2</v>
      </c>
      <c r="O7962">
        <v>0.2018133</v>
      </c>
      <c r="P7962">
        <v>0.78542250000000002</v>
      </c>
      <c r="Q7962">
        <v>-6.5753030000000004E-2</v>
      </c>
      <c r="R7962">
        <v>0.61545749999999999</v>
      </c>
      <c r="S7962">
        <v>2.0511629999999998</v>
      </c>
      <c r="T7962">
        <v>-0.253154299999999</v>
      </c>
      <c r="U7962">
        <v>2.2352910000000001</v>
      </c>
      <c r="V7962">
        <v>-0.44327630000000001</v>
      </c>
      <c r="W7962">
        <v>-5.9608389999999997E-2</v>
      </c>
      <c r="X7962">
        <v>0.89440090000000005</v>
      </c>
      <c r="Y7962">
        <v>-0.58328139999999995</v>
      </c>
      <c r="Z7962">
        <v>1.756373E-2</v>
      </c>
      <c r="AA7962">
        <v>0.81208029999999998</v>
      </c>
      <c r="AB7962">
        <v>24</v>
      </c>
      <c r="AC7962">
        <v>0.58289999999999498</v>
      </c>
      <c r="AD7962">
        <v>-8.6964999999999903E-2</v>
      </c>
      <c r="AE7962">
        <v>0.73653999999998998</v>
      </c>
      <c r="AF7962">
        <v>-0.598598502005254</v>
      </c>
      <c r="AG7962">
        <v>-8.6964999999999903E-2</v>
      </c>
      <c r="AH7962">
        <v>0.71344928677295805</v>
      </c>
      <c r="AI7962">
        <v>95.334790464676502</v>
      </c>
      <c r="AJ7962">
        <v>129.99733575558901</v>
      </c>
      <c r="AK7962">
        <v>0.93535713105999096</v>
      </c>
      <c r="AL7962">
        <v>93.417334920632001</v>
      </c>
      <c r="AM7962">
        <v>116.363592001782</v>
      </c>
      <c r="AN7962">
        <v>1.00000000411044</v>
      </c>
    </row>
    <row r="7963" spans="1:40" x14ac:dyDescent="0.25">
      <c r="A7963" t="str">
        <f>"20190303155003710"</f>
        <v>20190303155003710</v>
      </c>
      <c r="B7963" t="str">
        <f>"1551599403698410"</f>
        <v>1551599403698410</v>
      </c>
      <c r="C7963" t="s">
        <v>40</v>
      </c>
      <c r="D7963">
        <v>4.9463109999999997</v>
      </c>
      <c r="E7963">
        <v>0.4356582</v>
      </c>
      <c r="F7963" t="s">
        <v>42</v>
      </c>
      <c r="G7963">
        <v>-201.98769999999999</v>
      </c>
      <c r="H7963">
        <v>1.0522400000000001</v>
      </c>
      <c r="I7963">
        <v>-61.123390000000001</v>
      </c>
      <c r="J7963">
        <v>-202.4753</v>
      </c>
      <c r="K7963">
        <v>1.1286430000000001</v>
      </c>
      <c r="L7963">
        <v>-61.764769999999999</v>
      </c>
      <c r="M7963">
        <v>0.97807949999999999</v>
      </c>
      <c r="N7963">
        <v>-1.5701360000000001E-2</v>
      </c>
      <c r="O7963">
        <v>0.20763880000000001</v>
      </c>
      <c r="P7963">
        <v>0.78114810000000001</v>
      </c>
      <c r="Q7963">
        <v>-6.6347210000000004E-2</v>
      </c>
      <c r="R7963">
        <v>0.62081030000000004</v>
      </c>
      <c r="S7963">
        <v>2.0365600000000001</v>
      </c>
      <c r="T7963">
        <v>-0.25475930000000002</v>
      </c>
      <c r="U7963">
        <v>2.24823</v>
      </c>
      <c r="V7963">
        <v>-0.44404549999999998</v>
      </c>
      <c r="W7963">
        <v>-6.0327430000000001E-2</v>
      </c>
      <c r="X7963">
        <v>0.89397099999999996</v>
      </c>
      <c r="Y7963">
        <v>-0.58366269999999998</v>
      </c>
      <c r="Z7963">
        <v>1.7230470000000001E-2</v>
      </c>
      <c r="AA7963">
        <v>0.81181340000000002</v>
      </c>
      <c r="AB7963">
        <v>24</v>
      </c>
      <c r="AC7963">
        <v>0.48760000000001402</v>
      </c>
      <c r="AD7963">
        <v>-7.6402999999999999E-2</v>
      </c>
      <c r="AE7963">
        <v>0.64137999999999795</v>
      </c>
      <c r="AF7963">
        <v>-0.52145152926826199</v>
      </c>
      <c r="AG7963">
        <v>-7.6402999999999999E-2</v>
      </c>
      <c r="AH7963">
        <v>0.60472402544022197</v>
      </c>
      <c r="AI7963">
        <v>95.465599320201605</v>
      </c>
      <c r="AJ7963">
        <v>130.77108960719499</v>
      </c>
      <c r="AK7963">
        <v>0.80214728244246702</v>
      </c>
      <c r="AL7963">
        <v>93.458607250441702</v>
      </c>
      <c r="AM7963">
        <v>116.414110186521</v>
      </c>
      <c r="AN7963">
        <v>0.99999997686082698</v>
      </c>
    </row>
    <row r="7964" spans="1:40" x14ac:dyDescent="0.25">
      <c r="A7964" t="str">
        <f>"20190303155003727"</f>
        <v>20190303155003727</v>
      </c>
      <c r="B7964" t="str">
        <f>"1551599403718906"</f>
        <v>1551599403718906</v>
      </c>
      <c r="C7964" t="s">
        <v>40</v>
      </c>
      <c r="D7964">
        <v>4.9386269999999897</v>
      </c>
      <c r="E7964">
        <v>0.43590319999999999</v>
      </c>
      <c r="F7964" t="s">
        <v>42</v>
      </c>
      <c r="G7964">
        <v>-201.80840000000001</v>
      </c>
      <c r="H7964">
        <v>1.0441659999999999</v>
      </c>
      <c r="I7964">
        <v>-61.019089999999998</v>
      </c>
      <c r="J7964">
        <v>-202.29329999999999</v>
      </c>
      <c r="K7964">
        <v>1.128819</v>
      </c>
      <c r="L7964">
        <v>-61.716059999999999</v>
      </c>
      <c r="M7964">
        <v>0.97615719999999995</v>
      </c>
      <c r="N7964">
        <v>-1.575083E-2</v>
      </c>
      <c r="O7964">
        <v>0.21649280000000001</v>
      </c>
      <c r="P7964">
        <v>0.77496889999999996</v>
      </c>
      <c r="Q7964">
        <v>-6.6563590000000006E-2</v>
      </c>
      <c r="R7964">
        <v>0.62848440000000005</v>
      </c>
      <c r="S7964">
        <v>2.0219119999999999</v>
      </c>
      <c r="T7964">
        <v>-0.25611230000000001</v>
      </c>
      <c r="U7964">
        <v>2.2609249999999999</v>
      </c>
      <c r="V7964">
        <v>-0.44473489999999999</v>
      </c>
      <c r="W7964">
        <v>-6.0713240000000002E-2</v>
      </c>
      <c r="X7964">
        <v>0.89360209999999995</v>
      </c>
      <c r="Y7964">
        <v>-0.58150979999999997</v>
      </c>
      <c r="Z7964">
        <v>1.6492659999999999E-2</v>
      </c>
      <c r="AA7964">
        <v>0.81337230000000005</v>
      </c>
      <c r="AB7964">
        <v>24</v>
      </c>
      <c r="AC7964">
        <v>0.48489999999998101</v>
      </c>
      <c r="AD7964">
        <v>-8.4653000000000006E-2</v>
      </c>
      <c r="AE7964">
        <v>0.69696999999999298</v>
      </c>
      <c r="AF7964">
        <v>-0.56978230368926097</v>
      </c>
      <c r="AG7964">
        <v>-8.4653000000000006E-2</v>
      </c>
      <c r="AH7964">
        <v>0.61816014564508903</v>
      </c>
      <c r="AI7964">
        <v>95.749940634344398</v>
      </c>
      <c r="AJ7964">
        <v>132.66797173676801</v>
      </c>
      <c r="AK7964">
        <v>0.84494968469749698</v>
      </c>
      <c r="AL7964">
        <v>93.480753150546704</v>
      </c>
      <c r="AM7964">
        <v>116.458971634336</v>
      </c>
      <c r="AN7964">
        <v>0.999999970956858</v>
      </c>
    </row>
    <row r="7965" spans="1:40" x14ac:dyDescent="0.25">
      <c r="A7965" t="str">
        <f>"20190303155003745"</f>
        <v>20190303155003745</v>
      </c>
      <c r="B7965" t="str">
        <f>"1551599403738427"</f>
        <v>1551599403738427</v>
      </c>
      <c r="C7965" t="s">
        <v>40</v>
      </c>
      <c r="D7965">
        <v>4.9249499999999999</v>
      </c>
      <c r="E7965">
        <v>0.43610130000000003</v>
      </c>
      <c r="F7965" t="s">
        <v>42</v>
      </c>
      <c r="G7965">
        <v>-201.6165</v>
      </c>
      <c r="H7965">
        <v>1.0417110000000001</v>
      </c>
      <c r="I7965">
        <v>-60.944899999999997</v>
      </c>
      <c r="J7965">
        <v>-202.12090000000001</v>
      </c>
      <c r="K7965">
        <v>1.1289720000000001</v>
      </c>
      <c r="L7965">
        <v>-61.668059999999997</v>
      </c>
      <c r="M7965">
        <v>0.97420790000000002</v>
      </c>
      <c r="N7965">
        <v>-1.57979E-2</v>
      </c>
      <c r="O7965">
        <v>0.22509879999999999</v>
      </c>
      <c r="P7965">
        <v>0.76803999999999994</v>
      </c>
      <c r="Q7965">
        <v>-6.742136E-2</v>
      </c>
      <c r="R7965">
        <v>0.63684300000000005</v>
      </c>
      <c r="S7965">
        <v>2.0005489999999999</v>
      </c>
      <c r="T7965">
        <v>-0.25746799999999997</v>
      </c>
      <c r="U7965">
        <v>2.2792970000000001</v>
      </c>
      <c r="V7965">
        <v>-0.4465035</v>
      </c>
      <c r="W7965">
        <v>-6.1756140000000001E-2</v>
      </c>
      <c r="X7965">
        <v>0.8926482</v>
      </c>
      <c r="Y7965">
        <v>-0.58189119999999905</v>
      </c>
      <c r="Z7965">
        <v>1.5930110000000001E-2</v>
      </c>
      <c r="AA7965">
        <v>0.81311060000000002</v>
      </c>
      <c r="AB7965">
        <v>24</v>
      </c>
      <c r="AC7965">
        <v>0.50440000000000396</v>
      </c>
      <c r="AD7965">
        <v>-8.7260999999999797E-2</v>
      </c>
      <c r="AE7965">
        <v>0.72316000000000003</v>
      </c>
      <c r="AF7965">
        <v>-0.58530894976195103</v>
      </c>
      <c r="AG7965">
        <v>-8.7260999999999797E-2</v>
      </c>
      <c r="AH7965">
        <v>0.64790823483851401</v>
      </c>
      <c r="AI7965">
        <v>95.707156409234699</v>
      </c>
      <c r="AJ7965">
        <v>132.09410550785401</v>
      </c>
      <c r="AK7965">
        <v>0.87748853528920701</v>
      </c>
      <c r="AL7965">
        <v>93.540619156153099</v>
      </c>
      <c r="AM7965">
        <v>116.574262453372</v>
      </c>
      <c r="AN7965">
        <v>1.0000000026515901</v>
      </c>
    </row>
    <row r="7966" spans="1:40" x14ac:dyDescent="0.25">
      <c r="A7966" t="str">
        <f>"20190303155003756"</f>
        <v>20190303155003756</v>
      </c>
      <c r="B7966" t="str">
        <f>"1551599403748186"</f>
        <v>1551599403748186</v>
      </c>
      <c r="C7966" t="s">
        <v>40</v>
      </c>
      <c r="D7966">
        <v>4.914237</v>
      </c>
      <c r="E7966">
        <v>0.43619590000000003</v>
      </c>
      <c r="F7966" t="s">
        <v>64</v>
      </c>
      <c r="G7966">
        <v>-193.5429</v>
      </c>
      <c r="H7966" s="1">
        <v>-9.6817299999999995E-6</v>
      </c>
      <c r="I7966">
        <v>-51.688490000000002</v>
      </c>
      <c r="J7966">
        <v>-201.98920000000001</v>
      </c>
      <c r="K7966">
        <v>1.1290899999999999</v>
      </c>
      <c r="L7966">
        <v>-61.630070000000003</v>
      </c>
      <c r="M7966">
        <v>0.97262939999999998</v>
      </c>
      <c r="N7966">
        <v>-1.583412E-2</v>
      </c>
      <c r="O7966">
        <v>0.23182230000000001</v>
      </c>
      <c r="P7966">
        <v>0.76298429999999995</v>
      </c>
      <c r="Q7966">
        <v>-6.7859610000000001E-2</v>
      </c>
      <c r="R7966">
        <v>0.64284540000000001</v>
      </c>
      <c r="S7966">
        <v>1.9765170000000001</v>
      </c>
      <c r="T7966">
        <v>-0.26013740000000002</v>
      </c>
      <c r="U7966">
        <v>2.2994690000000002</v>
      </c>
      <c r="V7966">
        <v>-0.44731860000000001</v>
      </c>
      <c r="W7966">
        <v>-6.2314910000000001E-2</v>
      </c>
      <c r="X7966">
        <v>0.89220119999999903</v>
      </c>
      <c r="Y7966">
        <v>-0.5846536</v>
      </c>
      <c r="Z7966">
        <v>1.569197E-2</v>
      </c>
      <c r="AA7966">
        <v>0.81113119999999905</v>
      </c>
      <c r="AB7966">
        <v>24</v>
      </c>
      <c r="AC7966">
        <v>8.4463000000000008</v>
      </c>
      <c r="AD7966">
        <v>-1.1290996817300001</v>
      </c>
      <c r="AE7966">
        <v>9.9415799999999894</v>
      </c>
      <c r="AF7966">
        <v>-7.6550504114908797</v>
      </c>
      <c r="AG7966">
        <v>-1.1290996817300001</v>
      </c>
      <c r="AH7966">
        <v>10.442884469471601</v>
      </c>
      <c r="AI7966">
        <v>94.9836923840422</v>
      </c>
      <c r="AJ7966">
        <v>126.24290117419299</v>
      </c>
      <c r="AK7966">
        <v>12.9972496681598</v>
      </c>
      <c r="AL7966">
        <v>93.572696004871403</v>
      </c>
      <c r="AM7966">
        <v>116.62759146032199</v>
      </c>
      <c r="AN7966">
        <v>1.0000000295978499</v>
      </c>
    </row>
    <row r="7967" spans="1:40" x14ac:dyDescent="0.25">
      <c r="A7967" t="str">
        <f>"20190303155003774"</f>
        <v>20190303155003774</v>
      </c>
      <c r="B7967" t="str">
        <f>"1551599403768659"</f>
        <v>1551599403768659</v>
      </c>
      <c r="C7967" t="s">
        <v>40</v>
      </c>
      <c r="D7967">
        <v>4.9723759999999997</v>
      </c>
      <c r="E7967">
        <v>0.43633280000000002</v>
      </c>
      <c r="F7967" t="s">
        <v>42</v>
      </c>
      <c r="G7967">
        <v>-201.39680000000001</v>
      </c>
      <c r="H7967">
        <v>1.050038</v>
      </c>
      <c r="I7967">
        <v>-60.930109999999999</v>
      </c>
      <c r="J7967">
        <v>-201.8185</v>
      </c>
      <c r="K7967">
        <v>1.1292329999999999</v>
      </c>
      <c r="L7967">
        <v>-61.578980000000001</v>
      </c>
      <c r="M7967">
        <v>0.97046160000000004</v>
      </c>
      <c r="N7967">
        <v>-1.5880950000000001E-2</v>
      </c>
      <c r="O7967">
        <v>0.24073259999999999</v>
      </c>
      <c r="P7967">
        <v>0.75584050000000003</v>
      </c>
      <c r="Q7967">
        <v>-6.8172430000000006E-2</v>
      </c>
      <c r="R7967">
        <v>0.65119700000000003</v>
      </c>
      <c r="S7967">
        <v>1.958664</v>
      </c>
      <c r="T7967">
        <v>-0.26135799999999998</v>
      </c>
      <c r="U7967">
        <v>2.3144529999999999</v>
      </c>
      <c r="V7967">
        <v>-0.4489242</v>
      </c>
      <c r="W7967">
        <v>-6.2789520000000001E-2</v>
      </c>
      <c r="X7967">
        <v>0.89136109999999902</v>
      </c>
      <c r="Y7967">
        <v>-0.58346560000000003</v>
      </c>
      <c r="Z7967">
        <v>1.497358E-2</v>
      </c>
      <c r="AA7967">
        <v>0.81199980000000005</v>
      </c>
      <c r="AB7967">
        <v>24</v>
      </c>
      <c r="AC7967">
        <v>0.42169999999998697</v>
      </c>
      <c r="AD7967">
        <v>-7.9194999999999904E-2</v>
      </c>
      <c r="AE7967">
        <v>0.64887000000000195</v>
      </c>
      <c r="AF7967">
        <v>-0.52277805650109799</v>
      </c>
      <c r="AG7967">
        <v>-7.9194999999999904E-2</v>
      </c>
      <c r="AH7967">
        <v>0.55965785277942004</v>
      </c>
      <c r="AI7967">
        <v>95.9039186955996</v>
      </c>
      <c r="AJ7967">
        <v>133.04862386197999</v>
      </c>
      <c r="AK7967">
        <v>0.76992574743395603</v>
      </c>
      <c r="AL7967">
        <v>93.599942488622901</v>
      </c>
      <c r="AM7967">
        <v>116.731607072066</v>
      </c>
      <c r="AN7967">
        <v>1.00000003588033</v>
      </c>
    </row>
    <row r="7968" spans="1:40" x14ac:dyDescent="0.25">
      <c r="A7968" t="str">
        <f>"20190303155003788"</f>
        <v>20190303155003788</v>
      </c>
      <c r="B7968" t="str">
        <f>"1551599403778419"</f>
        <v>1551599403778419</v>
      </c>
      <c r="C7968" t="s">
        <v>40</v>
      </c>
      <c r="D7968">
        <v>4.8994039999999996</v>
      </c>
      <c r="E7968">
        <v>0.43633280000000002</v>
      </c>
      <c r="F7968" t="s">
        <v>42</v>
      </c>
      <c r="G7968">
        <v>-201.2107</v>
      </c>
      <c r="H7968">
        <v>1.046848</v>
      </c>
      <c r="I7968">
        <v>-60.845140000000001</v>
      </c>
      <c r="J7968">
        <v>-201.67959999999999</v>
      </c>
      <c r="K7968">
        <v>1.129345</v>
      </c>
      <c r="L7968">
        <v>-61.536070000000002</v>
      </c>
      <c r="M7968">
        <v>0.96859899999999999</v>
      </c>
      <c r="N7968">
        <v>-1.591853E-2</v>
      </c>
      <c r="O7968">
        <v>0.2481179</v>
      </c>
      <c r="P7968">
        <v>0.75039369999999905</v>
      </c>
      <c r="Q7968">
        <v>-6.8378069999999999E-2</v>
      </c>
      <c r="R7968">
        <v>0.6574449</v>
      </c>
      <c r="S7968">
        <v>1.9338070000000001</v>
      </c>
      <c r="T7968">
        <v>-0.2621387</v>
      </c>
      <c r="U7968">
        <v>2.3349000000000002</v>
      </c>
      <c r="V7968">
        <v>-0.44951140000000001</v>
      </c>
      <c r="W7968">
        <v>-6.310346E-2</v>
      </c>
      <c r="X7968">
        <v>0.89104289999999997</v>
      </c>
      <c r="Y7968">
        <v>-0.5858949</v>
      </c>
      <c r="Z7968">
        <v>1.4595489999999999E-2</v>
      </c>
      <c r="AA7968">
        <v>0.81025559999999996</v>
      </c>
      <c r="AB7968">
        <v>24</v>
      </c>
      <c r="AC7968">
        <v>0.46889999999998999</v>
      </c>
      <c r="AD7968">
        <v>-8.2497000000000001E-2</v>
      </c>
      <c r="AE7968">
        <v>0.69092999999999405</v>
      </c>
      <c r="AF7968">
        <v>-0.54761651869093397</v>
      </c>
      <c r="AG7968">
        <v>-8.2497000000000001E-2</v>
      </c>
      <c r="AH7968">
        <v>0.61963928255386602</v>
      </c>
      <c r="AI7968">
        <v>95.697049850410707</v>
      </c>
      <c r="AJ7968">
        <v>131.469175504053</v>
      </c>
      <c r="AK7968">
        <v>0.83104900399197201</v>
      </c>
      <c r="AL7968">
        <v>93.617965805755702</v>
      </c>
      <c r="AM7968">
        <v>116.769932524919</v>
      </c>
      <c r="AN7968">
        <v>0.99999999751716995</v>
      </c>
    </row>
    <row r="7969" spans="1:40" x14ac:dyDescent="0.25">
      <c r="A7969" t="str">
        <f>"20190303155003801"</f>
        <v>20190303155003801</v>
      </c>
      <c r="B7969" t="str">
        <f>"1551599403788179"</f>
        <v>1551599403788179</v>
      </c>
      <c r="C7969" t="s">
        <v>40</v>
      </c>
      <c r="D7969">
        <v>4.880655</v>
      </c>
      <c r="E7969">
        <v>0.41341050000000001</v>
      </c>
      <c r="F7969" t="s">
        <v>42</v>
      </c>
      <c r="G7969">
        <v>-201.0341</v>
      </c>
      <c r="H7969">
        <v>1.040724</v>
      </c>
      <c r="I7969">
        <v>-60.743470000000002</v>
      </c>
      <c r="J7969">
        <v>-201.5505</v>
      </c>
      <c r="K7969">
        <v>1.1294550000000001</v>
      </c>
      <c r="L7969">
        <v>-61.495330000000003</v>
      </c>
      <c r="M7969">
        <v>0.96679130000000002</v>
      </c>
      <c r="N7969">
        <v>-1.5952689999999999E-2</v>
      </c>
      <c r="O7969">
        <v>0.25506849999999998</v>
      </c>
      <c r="P7969">
        <v>0.74507440000000003</v>
      </c>
      <c r="Q7969">
        <v>-6.8745070000000005E-2</v>
      </c>
      <c r="R7969">
        <v>0.66342919999999905</v>
      </c>
      <c r="S7969">
        <v>1.9142760000000001</v>
      </c>
      <c r="T7969">
        <v>-0.26280419999999999</v>
      </c>
      <c r="U7969">
        <v>2.3508909999999998</v>
      </c>
      <c r="V7969">
        <v>-0.4502273</v>
      </c>
      <c r="W7969">
        <v>-6.3575119999999999E-2</v>
      </c>
      <c r="X7969">
        <v>0.89064789999999905</v>
      </c>
      <c r="Y7969">
        <v>-0.58682749999999995</v>
      </c>
      <c r="Z7969">
        <v>1.4141020000000001E-2</v>
      </c>
      <c r="AA7969">
        <v>0.80958850000000004</v>
      </c>
      <c r="AB7969">
        <v>24</v>
      </c>
      <c r="AC7969">
        <v>0.51640000000000397</v>
      </c>
      <c r="AD7969">
        <v>-8.8730999999999893E-2</v>
      </c>
      <c r="AE7969">
        <v>0.75186000000000697</v>
      </c>
      <c r="AF7969">
        <v>-0.58966984660758903</v>
      </c>
      <c r="AG7969">
        <v>-8.8730999999999893E-2</v>
      </c>
      <c r="AH7969">
        <v>0.68463584837157099</v>
      </c>
      <c r="AI7969">
        <v>95.608497239196495</v>
      </c>
      <c r="AJ7969">
        <v>130.737983783088</v>
      </c>
      <c r="AK7969">
        <v>0.907915174030415</v>
      </c>
      <c r="AL7969">
        <v>93.645044115358303</v>
      </c>
      <c r="AM7969">
        <v>116.816842836253</v>
      </c>
      <c r="AN7969">
        <v>1.0000000496613499</v>
      </c>
    </row>
    <row r="7970" spans="1:40" x14ac:dyDescent="0.25">
      <c r="A7970" t="str">
        <f>"20190303155003814"</f>
        <v>20190303155003814</v>
      </c>
      <c r="B7970" t="str">
        <f>"1551599403808675"</f>
        <v>1551599403808675</v>
      </c>
      <c r="C7970" t="s">
        <v>40</v>
      </c>
      <c r="D7970">
        <v>4.8998330000000001</v>
      </c>
      <c r="E7970">
        <v>0.39858929999999998</v>
      </c>
      <c r="F7970" t="s">
        <v>64</v>
      </c>
      <c r="G7970">
        <v>-192.34710000000001</v>
      </c>
      <c r="H7970" s="1">
        <v>-2.51492E-6</v>
      </c>
      <c r="I7970">
        <v>-48.507550000000002</v>
      </c>
      <c r="J7970">
        <v>-201.41390000000001</v>
      </c>
      <c r="K7970">
        <v>1.1295599999999999</v>
      </c>
      <c r="L7970">
        <v>-61.450380000000003</v>
      </c>
      <c r="M7970">
        <v>0.96476740000000005</v>
      </c>
      <c r="N7970">
        <v>-1.5989639999999999E-2</v>
      </c>
      <c r="O7970">
        <v>0.26261820000000002</v>
      </c>
      <c r="P7970">
        <v>0.73945380000000005</v>
      </c>
      <c r="Q7970">
        <v>-6.8833679999999994E-2</v>
      </c>
      <c r="R7970">
        <v>0.66967900000000002</v>
      </c>
      <c r="S7970">
        <v>1.7754209999999999</v>
      </c>
      <c r="T7970">
        <v>-0.21788279999999999</v>
      </c>
      <c r="U7970">
        <v>2.5054630000000002</v>
      </c>
      <c r="V7970">
        <v>-0.45074720000000001</v>
      </c>
      <c r="W7970">
        <v>-6.3762699999999894E-2</v>
      </c>
      <c r="X7970">
        <v>0.89037140000000004</v>
      </c>
      <c r="Y7970">
        <v>-0.63392109999999902</v>
      </c>
      <c r="Z7970">
        <v>1.55574999999999E-2</v>
      </c>
      <c r="AA7970">
        <v>0.77324130000000002</v>
      </c>
      <c r="AB7970">
        <v>24</v>
      </c>
      <c r="AC7970">
        <v>9.0668000000000006</v>
      </c>
      <c r="AD7970">
        <v>-1.1295625149199999</v>
      </c>
      <c r="AE7970">
        <v>12.942830000000001</v>
      </c>
      <c r="AF7970">
        <v>-10.055628086554499</v>
      </c>
      <c r="AG7970">
        <v>-1.1295625149199999</v>
      </c>
      <c r="AH7970">
        <v>12.086176240397499</v>
      </c>
      <c r="AI7970">
        <v>94.109327412656896</v>
      </c>
      <c r="AJ7970">
        <v>129.76025868762699</v>
      </c>
      <c r="AK7970">
        <v>15.762843138348</v>
      </c>
      <c r="AL7970">
        <v>93.6558137804616</v>
      </c>
      <c r="AM7970">
        <v>116.850643170547</v>
      </c>
      <c r="AN7970">
        <v>0.99999997507854399</v>
      </c>
    </row>
    <row r="7971" spans="1:40" x14ac:dyDescent="0.25">
      <c r="A7971" t="str">
        <f>"20190303155003831"</f>
        <v>20190303155003831</v>
      </c>
      <c r="B7971" t="str">
        <f>"1551599403818435"</f>
        <v>1551599403818435</v>
      </c>
      <c r="C7971" t="s">
        <v>40</v>
      </c>
      <c r="D7971">
        <v>4.9340799999999998</v>
      </c>
      <c r="E7971">
        <v>0.39471699999999998</v>
      </c>
      <c r="F7971" t="s">
        <v>64</v>
      </c>
      <c r="G7971">
        <v>-193.0642</v>
      </c>
      <c r="H7971" s="1">
        <v>-2.7083660000000001E-6</v>
      </c>
      <c r="I7971">
        <v>-48.450130000000001</v>
      </c>
      <c r="J7971">
        <v>-201.25319999999999</v>
      </c>
      <c r="K7971">
        <v>1.12968</v>
      </c>
      <c r="L7971">
        <v>-61.396030000000003</v>
      </c>
      <c r="M7971">
        <v>0.96227039999999997</v>
      </c>
      <c r="N7971">
        <v>-1.60327E-2</v>
      </c>
      <c r="O7971">
        <v>0.27162219999999998</v>
      </c>
      <c r="P7971">
        <v>0.73232330000000001</v>
      </c>
      <c r="Q7971">
        <v>-6.9635260000000004E-2</v>
      </c>
      <c r="R7971">
        <v>0.67738719999999997</v>
      </c>
      <c r="S7971">
        <v>1.6746369999999999</v>
      </c>
      <c r="T7971">
        <v>-0.22654769999999999</v>
      </c>
      <c r="U7971">
        <v>2.607361</v>
      </c>
      <c r="V7971">
        <v>-0.45173679999999999</v>
      </c>
      <c r="W7971">
        <v>-6.468844E-2</v>
      </c>
      <c r="X7971">
        <v>0.88980300000000001</v>
      </c>
      <c r="Y7971">
        <v>-0.66132829999999998</v>
      </c>
      <c r="Z7971">
        <v>1.6920290000000001E-2</v>
      </c>
      <c r="AA7971">
        <v>0.74990570000000001</v>
      </c>
      <c r="AB7971">
        <v>24</v>
      </c>
      <c r="AC7971">
        <v>8.1889999999999894</v>
      </c>
      <c r="AD7971">
        <v>-1.1296827083659999</v>
      </c>
      <c r="AE7971">
        <v>12.9459</v>
      </c>
      <c r="AF7971">
        <v>-10.1790983919862</v>
      </c>
      <c r="AG7971">
        <v>-1.1296827083659999</v>
      </c>
      <c r="AH7971">
        <v>11.3362387673789</v>
      </c>
      <c r="AI7971">
        <v>94.240575068658302</v>
      </c>
      <c r="AJ7971">
        <v>131.92147763506401</v>
      </c>
      <c r="AK7971">
        <v>15.2774518976936</v>
      </c>
      <c r="AL7971">
        <v>93.708964217271898</v>
      </c>
      <c r="AM7971">
        <v>116.91607652536101</v>
      </c>
      <c r="AN7971">
        <v>1.0000000547764301</v>
      </c>
    </row>
    <row r="7972" spans="1:40" x14ac:dyDescent="0.25">
      <c r="A7972" t="str">
        <f>"20190303155003846"</f>
        <v>20190303155003846</v>
      </c>
      <c r="B7972" t="str">
        <f>"1551599403838931"</f>
        <v>1551599403838931</v>
      </c>
      <c r="C7972" t="s">
        <v>40</v>
      </c>
      <c r="D7972">
        <v>4.9079009999999998</v>
      </c>
      <c r="E7972">
        <v>0.39135330000000002</v>
      </c>
      <c r="F7972" t="s">
        <v>64</v>
      </c>
      <c r="G7972">
        <v>-193.32159999999999</v>
      </c>
      <c r="H7972" s="1">
        <v>-2.7461280000000002E-6</v>
      </c>
      <c r="I7972">
        <v>-48.483029999999999</v>
      </c>
      <c r="J7972">
        <v>-201.1036</v>
      </c>
      <c r="K7972">
        <v>1.129786</v>
      </c>
      <c r="L7972">
        <v>-61.343870000000003</v>
      </c>
      <c r="M7972">
        <v>0.95982290000000003</v>
      </c>
      <c r="N7972">
        <v>-1.6072639999999999E-2</v>
      </c>
      <c r="O7972">
        <v>0.2801458</v>
      </c>
      <c r="P7972">
        <v>0.72587800000000002</v>
      </c>
      <c r="Q7972">
        <v>-7.0061090000000006E-2</v>
      </c>
      <c r="R7972">
        <v>0.68424600000000002</v>
      </c>
      <c r="S7972">
        <v>1.625961</v>
      </c>
      <c r="T7972">
        <v>-0.23158139999999999</v>
      </c>
      <c r="U7972">
        <v>2.647125</v>
      </c>
      <c r="V7972">
        <v>-0.45220100000000002</v>
      </c>
      <c r="W7972">
        <v>-6.5212409999999998E-2</v>
      </c>
      <c r="X7972">
        <v>0.88952880000000001</v>
      </c>
      <c r="Y7972">
        <v>-0.66963709999999999</v>
      </c>
      <c r="Z7972">
        <v>1.705071E-2</v>
      </c>
      <c r="AA7972">
        <v>0.74249270000000001</v>
      </c>
      <c r="AB7972">
        <v>24</v>
      </c>
      <c r="AC7972">
        <v>7.7820000000000098</v>
      </c>
      <c r="AD7972">
        <v>-1.1297887461280001</v>
      </c>
      <c r="AE7972">
        <v>12.8608399999999</v>
      </c>
      <c r="AF7972">
        <v>-10.1082470627757</v>
      </c>
      <c r="AG7972">
        <v>-1.1297887461280001</v>
      </c>
      <c r="AH7972">
        <v>11.011480139219501</v>
      </c>
      <c r="AI7972">
        <v>94.322398263582002</v>
      </c>
      <c r="AJ7972">
        <v>132.551108237649</v>
      </c>
      <c r="AK7972">
        <v>14.9901893300057</v>
      </c>
      <c r="AL7972">
        <v>93.739049423043099</v>
      </c>
      <c r="AM7972">
        <v>116.946969690054</v>
      </c>
      <c r="AN7972">
        <v>0.99999994442422202</v>
      </c>
    </row>
    <row r="7973" spans="1:40" x14ac:dyDescent="0.25">
      <c r="A7973" t="str">
        <f>"20190303155003864"</f>
        <v>20190303155003864</v>
      </c>
      <c r="B7973" t="str">
        <f>"1551599403858450"</f>
        <v>1551599403858450</v>
      </c>
      <c r="C7973" t="s">
        <v>40</v>
      </c>
      <c r="D7973">
        <v>4.9656339999999997</v>
      </c>
      <c r="E7973">
        <v>0.3903064</v>
      </c>
      <c r="F7973" t="s">
        <v>64</v>
      </c>
      <c r="G7973">
        <v>-193.41419999999999</v>
      </c>
      <c r="H7973" s="1">
        <v>-2.8686459999999999E-6</v>
      </c>
      <c r="I7973">
        <v>-48.310839999999999</v>
      </c>
      <c r="J7973">
        <v>-200.9171</v>
      </c>
      <c r="K7973">
        <v>1.1299049999999999</v>
      </c>
      <c r="L7973">
        <v>-61.27646</v>
      </c>
      <c r="M7973">
        <v>0.95659490000000003</v>
      </c>
      <c r="N7973">
        <v>-1.61222E-2</v>
      </c>
      <c r="O7973">
        <v>0.29097460000000003</v>
      </c>
      <c r="P7973">
        <v>0.71731919999999905</v>
      </c>
      <c r="Q7973">
        <v>-7.1009290000000003E-2</v>
      </c>
      <c r="R7973">
        <v>0.69311679999999998</v>
      </c>
      <c r="S7973">
        <v>1.582336</v>
      </c>
      <c r="T7973">
        <v>-0.23249139999999999</v>
      </c>
      <c r="U7973">
        <v>2.6819760000000001</v>
      </c>
      <c r="V7973">
        <v>-0.45306829999999998</v>
      </c>
      <c r="W7973">
        <v>-6.6287349999999995E-2</v>
      </c>
      <c r="X7973">
        <v>0.88900789999999996</v>
      </c>
      <c r="Y7973">
        <v>-0.67444110000000002</v>
      </c>
      <c r="Z7973">
        <v>1.667078E-2</v>
      </c>
      <c r="AA7973">
        <v>0.73814049999999998</v>
      </c>
      <c r="AB7973">
        <v>24</v>
      </c>
      <c r="AC7973">
        <v>7.5029000000000101</v>
      </c>
      <c r="AD7973">
        <v>-1.129907868646</v>
      </c>
      <c r="AE7973">
        <v>12.965619999999999</v>
      </c>
      <c r="AF7973">
        <v>-10.1631994901071</v>
      </c>
      <c r="AG7973">
        <v>-1.129907868646</v>
      </c>
      <c r="AH7973">
        <v>10.889372314012</v>
      </c>
      <c r="AI7973">
        <v>94.337968119972501</v>
      </c>
      <c r="AJ7973">
        <v>133.02446232536201</v>
      </c>
      <c r="AK7973">
        <v>14.938063631559199</v>
      </c>
      <c r="AL7973">
        <v>93.800772411129699</v>
      </c>
      <c r="AM7973">
        <v>117.00491937283201</v>
      </c>
      <c r="AN7973">
        <v>0.99999997174865995</v>
      </c>
    </row>
    <row r="7974" spans="1:40" x14ac:dyDescent="0.25">
      <c r="A7974" t="str">
        <f>"20190303155003880"</f>
        <v>20190303155003880</v>
      </c>
      <c r="B7974" t="str">
        <f>"1551599403868718"</f>
        <v>1551599403868718</v>
      </c>
      <c r="C7974" t="s">
        <v>40</v>
      </c>
      <c r="D7974">
        <v>4.9541750000000002</v>
      </c>
      <c r="E7974">
        <v>0.38994519999999999</v>
      </c>
      <c r="F7974" t="s">
        <v>64</v>
      </c>
      <c r="G7974">
        <v>-193.596</v>
      </c>
      <c r="H7974" s="1">
        <v>-2.8358969999999999E-6</v>
      </c>
      <c r="I7974">
        <v>-48.434469999999997</v>
      </c>
      <c r="J7974">
        <v>-200.76589999999999</v>
      </c>
      <c r="K7974">
        <v>1.1300030000000001</v>
      </c>
      <c r="L7974">
        <v>-61.220030000000001</v>
      </c>
      <c r="M7974">
        <v>0.95383470000000004</v>
      </c>
      <c r="N7974">
        <v>-1.6161700000000001E-2</v>
      </c>
      <c r="O7974">
        <v>0.29989729999999998</v>
      </c>
      <c r="P7974">
        <v>0.71053840000000001</v>
      </c>
      <c r="Q7974">
        <v>-7.1363899999999994E-2</v>
      </c>
      <c r="R7974">
        <v>0.70003029999999999</v>
      </c>
      <c r="S7974">
        <v>1.543137</v>
      </c>
      <c r="T7974">
        <v>-0.23816309999999999</v>
      </c>
      <c r="U7974">
        <v>2.7068479999999999</v>
      </c>
      <c r="V7974">
        <v>-0.45335920000000002</v>
      </c>
      <c r="W7974">
        <v>-6.6728449999999995E-2</v>
      </c>
      <c r="X7974">
        <v>0.88882659999999902</v>
      </c>
      <c r="Y7974">
        <v>-0.67846490000000004</v>
      </c>
      <c r="Z7974">
        <v>1.6480649999999999E-2</v>
      </c>
      <c r="AA7974">
        <v>0.73444799999999999</v>
      </c>
      <c r="AB7974">
        <v>24</v>
      </c>
      <c r="AC7974">
        <v>7.1699000000000099</v>
      </c>
      <c r="AD7974">
        <v>-1.130005835897</v>
      </c>
      <c r="AE7974">
        <v>12.785559999999901</v>
      </c>
      <c r="AF7974">
        <v>-9.9870401324939202</v>
      </c>
      <c r="AG7974">
        <v>-1.130005835897</v>
      </c>
      <c r="AH7974">
        <v>10.611587943378099</v>
      </c>
      <c r="AI7974">
        <v>94.434168882347095</v>
      </c>
      <c r="AJ7974">
        <v>133.263331215725</v>
      </c>
      <c r="AK7974">
        <v>14.615870910666001</v>
      </c>
      <c r="AL7974">
        <v>93.826101601322804</v>
      </c>
      <c r="AM7974">
        <v>117.02452986585099</v>
      </c>
      <c r="AN7974">
        <v>0.999999987565801</v>
      </c>
    </row>
    <row r="7975" spans="1:40" x14ac:dyDescent="0.25">
      <c r="A7975" t="str">
        <f>"20190303155003894"</f>
        <v>20190303155003894</v>
      </c>
      <c r="B7975" t="str">
        <f>"1551599403888237"</f>
        <v>1551599403888237</v>
      </c>
      <c r="C7975" t="s">
        <v>40</v>
      </c>
      <c r="D7975">
        <v>4.9490509999999999</v>
      </c>
      <c r="E7975">
        <v>0.38989089999999998</v>
      </c>
      <c r="F7975" t="s">
        <v>64</v>
      </c>
      <c r="G7975">
        <v>-193.6087</v>
      </c>
      <c r="H7975" s="1">
        <v>-2.8895410000000001E-6</v>
      </c>
      <c r="I7975">
        <v>-48.348610000000001</v>
      </c>
      <c r="J7975">
        <v>-200.63200000000001</v>
      </c>
      <c r="K7975">
        <v>1.130082</v>
      </c>
      <c r="L7975">
        <v>-61.168089999999999</v>
      </c>
      <c r="M7975">
        <v>0.95126080000000002</v>
      </c>
      <c r="N7975">
        <v>-1.6196700000000001E-2</v>
      </c>
      <c r="O7975">
        <v>0.30796200000000001</v>
      </c>
      <c r="P7975">
        <v>0.70412010000000003</v>
      </c>
      <c r="Q7975">
        <v>-7.1730240000000001E-2</v>
      </c>
      <c r="R7975">
        <v>0.70644869999999904</v>
      </c>
      <c r="S7975">
        <v>1.5145869999999999</v>
      </c>
      <c r="T7975">
        <v>-0.2391287</v>
      </c>
      <c r="U7975">
        <v>2.7238159999999998</v>
      </c>
      <c r="V7975">
        <v>-0.45388849999999997</v>
      </c>
      <c r="W7975">
        <v>-6.7173350000000007E-2</v>
      </c>
      <c r="X7975">
        <v>0.88852289999999901</v>
      </c>
      <c r="Y7975">
        <v>-0.68007030000000002</v>
      </c>
      <c r="Z7975">
        <v>1.605552E-2</v>
      </c>
      <c r="AA7975">
        <v>0.73297109999999999</v>
      </c>
      <c r="AB7975">
        <v>24</v>
      </c>
      <c r="AC7975">
        <v>7.0232999999999999</v>
      </c>
      <c r="AD7975">
        <v>-1.1300848895410001</v>
      </c>
      <c r="AE7975">
        <v>12.81948</v>
      </c>
      <c r="AF7975">
        <v>-9.9734632766507403</v>
      </c>
      <c r="AG7975">
        <v>-1.1300848895410001</v>
      </c>
      <c r="AH7975">
        <v>10.5671365803596</v>
      </c>
      <c r="AI7975">
        <v>94.447141035158594</v>
      </c>
      <c r="AJ7975">
        <v>133.34447347124399</v>
      </c>
      <c r="AK7975">
        <v>14.574341738008</v>
      </c>
      <c r="AL7975">
        <v>93.851649821137698</v>
      </c>
      <c r="AM7975">
        <v>117.05953067797699</v>
      </c>
      <c r="AN7975">
        <v>0.99999998660344103</v>
      </c>
    </row>
    <row r="7976" spans="1:40" x14ac:dyDescent="0.25">
      <c r="A7976" t="str">
        <f>"20190303155003910"</f>
        <v>20190303155003910</v>
      </c>
      <c r="B7976" t="str">
        <f>"1551599403898974"</f>
        <v>1551599403898974</v>
      </c>
      <c r="C7976" t="s">
        <v>40</v>
      </c>
      <c r="D7976">
        <v>4.9440520000000001</v>
      </c>
      <c r="E7976">
        <v>0.39002330000000002</v>
      </c>
      <c r="F7976" t="s">
        <v>64</v>
      </c>
      <c r="G7976">
        <v>-193.52029999999999</v>
      </c>
      <c r="H7976" s="1">
        <v>-3.019597E-6</v>
      </c>
      <c r="I7976">
        <v>-48.095680000000002</v>
      </c>
      <c r="J7976">
        <v>-200.48519999999999</v>
      </c>
      <c r="K7976">
        <v>1.130169</v>
      </c>
      <c r="L7976">
        <v>-61.109740000000002</v>
      </c>
      <c r="M7976">
        <v>0.94831770000000004</v>
      </c>
      <c r="N7976">
        <v>-1.6234519999999999E-2</v>
      </c>
      <c r="O7976">
        <v>0.31690679999999999</v>
      </c>
      <c r="P7976">
        <v>0.69665779999999999</v>
      </c>
      <c r="Q7976">
        <v>-7.2219199999999997E-2</v>
      </c>
      <c r="R7976">
        <v>0.71375919999999904</v>
      </c>
      <c r="S7976">
        <v>1.4895020000000001</v>
      </c>
      <c r="T7976">
        <v>-0.23669029999999999</v>
      </c>
      <c r="U7976">
        <v>2.737946</v>
      </c>
      <c r="V7976">
        <v>-0.45478370000000001</v>
      </c>
      <c r="W7976">
        <v>-6.7758589999999994E-2</v>
      </c>
      <c r="X7976">
        <v>0.88802060000000005</v>
      </c>
      <c r="Y7976">
        <v>-0.67998639999999999</v>
      </c>
      <c r="Z7976">
        <v>1.5383569999999999E-2</v>
      </c>
      <c r="AA7976">
        <v>0.73306340000000003</v>
      </c>
      <c r="AB7976">
        <v>24</v>
      </c>
      <c r="AC7976">
        <v>6.9649000000000001</v>
      </c>
      <c r="AD7976">
        <v>-1.130172019597</v>
      </c>
      <c r="AE7976">
        <v>13.014060000000001</v>
      </c>
      <c r="AF7976">
        <v>-10.076502156630299</v>
      </c>
      <c r="AG7976">
        <v>-1.130172019597</v>
      </c>
      <c r="AH7976">
        <v>10.668055411977599</v>
      </c>
      <c r="AI7976">
        <v>94.403976970158695</v>
      </c>
      <c r="AJ7976">
        <v>133.36659218986699</v>
      </c>
      <c r="AK7976">
        <v>14.718036240595501</v>
      </c>
      <c r="AL7976">
        <v>93.885258074816505</v>
      </c>
      <c r="AM7976">
        <v>117.118434956371</v>
      </c>
      <c r="AN7976">
        <v>1.00000001316441</v>
      </c>
    </row>
    <row r="7977" spans="1:40" x14ac:dyDescent="0.25">
      <c r="A7977" t="str">
        <f>"20190303155003924"</f>
        <v>20190303155003924</v>
      </c>
      <c r="B7977" t="str">
        <f>"1551599403918494"</f>
        <v>1551599403918494</v>
      </c>
      <c r="C7977" t="s">
        <v>40</v>
      </c>
      <c r="D7977">
        <v>4.9784249999999997</v>
      </c>
      <c r="E7977">
        <v>0.39051819999999998</v>
      </c>
      <c r="F7977" t="s">
        <v>64</v>
      </c>
      <c r="G7977">
        <v>-193.51650000000001</v>
      </c>
      <c r="H7977" s="1">
        <v>-3.0854460000000001E-6</v>
      </c>
      <c r="I7977">
        <v>-47.982990000000001</v>
      </c>
      <c r="J7977">
        <v>-200.3434</v>
      </c>
      <c r="K7977">
        <v>1.130253</v>
      </c>
      <c r="L7977">
        <v>-61.051940000000002</v>
      </c>
      <c r="M7977">
        <v>0.94534779999999996</v>
      </c>
      <c r="N7977">
        <v>-1.6270670000000001E-2</v>
      </c>
      <c r="O7977">
        <v>0.32565749999999999</v>
      </c>
      <c r="P7977">
        <v>0.68969290000000005</v>
      </c>
      <c r="Q7977">
        <v>-7.2473170000000003E-2</v>
      </c>
      <c r="R7977">
        <v>0.7204661</v>
      </c>
      <c r="S7977">
        <v>1.461365</v>
      </c>
      <c r="T7977">
        <v>-0.23700280000000001</v>
      </c>
      <c r="U7977">
        <v>2.7527469999999998</v>
      </c>
      <c r="V7977">
        <v>-0.45515699999999998</v>
      </c>
      <c r="W7977">
        <v>-6.8090479999999995E-2</v>
      </c>
      <c r="X7977">
        <v>0.88780389999999998</v>
      </c>
      <c r="Y7977">
        <v>-0.680701</v>
      </c>
      <c r="Z7977">
        <v>1.483306E-2</v>
      </c>
      <c r="AA7977">
        <v>0.73241119999999904</v>
      </c>
      <c r="AB7977">
        <v>24</v>
      </c>
      <c r="AC7977">
        <v>6.8268999999999904</v>
      </c>
      <c r="AD7977">
        <v>-1.130256085446</v>
      </c>
      <c r="AE7977">
        <v>13.068949999999999</v>
      </c>
      <c r="AF7977">
        <v>-10.0736200761323</v>
      </c>
      <c r="AG7977">
        <v>-1.130256085446</v>
      </c>
      <c r="AH7977">
        <v>10.648642313021</v>
      </c>
      <c r="AI7977">
        <v>94.409117894138404</v>
      </c>
      <c r="AJ7977">
        <v>133.410506812683</v>
      </c>
      <c r="AK7977">
        <v>14.702002699210899</v>
      </c>
      <c r="AL7977">
        <v>93.904318094844896</v>
      </c>
      <c r="AM7977">
        <v>117.143189201355</v>
      </c>
      <c r="AN7977">
        <v>0.99999998648541999</v>
      </c>
    </row>
    <row r="7978" spans="1:40" x14ac:dyDescent="0.25">
      <c r="A7978" t="str">
        <f>"20190303155003938"</f>
        <v>20190303155003938</v>
      </c>
      <c r="B7978" t="str">
        <f>"1551599403928255"</f>
        <v>1551599403928255</v>
      </c>
      <c r="C7978" t="s">
        <v>40</v>
      </c>
      <c r="D7978">
        <v>5.0017069999999997</v>
      </c>
      <c r="E7978">
        <v>0.39084000000000002</v>
      </c>
      <c r="F7978" t="s">
        <v>64</v>
      </c>
      <c r="G7978">
        <v>-193.48439999999999</v>
      </c>
      <c r="H7978" s="1">
        <v>-3.148659E-6</v>
      </c>
      <c r="I7978">
        <v>-47.864130000000003</v>
      </c>
      <c r="J7978">
        <v>-200.21180000000001</v>
      </c>
      <c r="K7978">
        <v>1.130325</v>
      </c>
      <c r="L7978">
        <v>-60.996670000000002</v>
      </c>
      <c r="M7978">
        <v>0.94246680000000005</v>
      </c>
      <c r="N7978">
        <v>-1.6304409999999998E-2</v>
      </c>
      <c r="O7978">
        <v>0.33390199999999998</v>
      </c>
      <c r="P7978">
        <v>0.68305150000000003</v>
      </c>
      <c r="Q7978">
        <v>-7.3016709999999999E-2</v>
      </c>
      <c r="R7978">
        <v>0.726711199999999</v>
      </c>
      <c r="S7978">
        <v>1.4375610000000001</v>
      </c>
      <c r="T7978">
        <v>-0.23688809999999999</v>
      </c>
      <c r="U7978">
        <v>2.764008</v>
      </c>
      <c r="V7978">
        <v>-0.45547349999999998</v>
      </c>
      <c r="W7978">
        <v>-6.8704180000000004E-2</v>
      </c>
      <c r="X7978">
        <v>0.88759429999999995</v>
      </c>
      <c r="Y7978">
        <v>-0.68050759999999999</v>
      </c>
      <c r="Z7978">
        <v>1.424603E-2</v>
      </c>
      <c r="AA7978">
        <v>0.73260249999999905</v>
      </c>
      <c r="AB7978">
        <v>24</v>
      </c>
      <c r="AC7978">
        <v>6.72740000000001</v>
      </c>
      <c r="AD7978">
        <v>-1.130328148659</v>
      </c>
      <c r="AE7978">
        <v>13.132540000000001</v>
      </c>
      <c r="AF7978">
        <v>-10.072926863524099</v>
      </c>
      <c r="AG7978">
        <v>-1.130328148659</v>
      </c>
      <c r="AH7978">
        <v>10.6641781857554</v>
      </c>
      <c r="AI7978">
        <v>94.406160199020107</v>
      </c>
      <c r="AJ7978">
        <v>133.366839043471</v>
      </c>
      <c r="AK7978">
        <v>14.7127901398443</v>
      </c>
      <c r="AL7978">
        <v>93.939562970999305</v>
      </c>
      <c r="AM7978">
        <v>117.16485617303999</v>
      </c>
      <c r="AN7978">
        <v>1.0000000074721</v>
      </c>
    </row>
    <row r="7979" spans="1:40" x14ac:dyDescent="0.25">
      <c r="A7979" t="str">
        <f>"20190303155003955"</f>
        <v>20190303155003955</v>
      </c>
      <c r="B7979" t="str">
        <f>"1551599403948750"</f>
        <v>1551599403948750</v>
      </c>
      <c r="C7979" t="s">
        <v>40</v>
      </c>
      <c r="D7979">
        <v>5.0210869999999996</v>
      </c>
      <c r="E7979">
        <v>0.3916154</v>
      </c>
      <c r="F7979" t="s">
        <v>64</v>
      </c>
      <c r="G7979">
        <v>-193.4863</v>
      </c>
      <c r="H7979" s="1">
        <v>-3.1890930000000001E-6</v>
      </c>
      <c r="I7979">
        <v>-47.79654</v>
      </c>
      <c r="J7979">
        <v>-200.0504</v>
      </c>
      <c r="K7979">
        <v>1.1304099999999999</v>
      </c>
      <c r="L7979">
        <v>-60.926639999999999</v>
      </c>
      <c r="M7979">
        <v>0.93876579999999998</v>
      </c>
      <c r="N7979">
        <v>-1.6345970000000001E-2</v>
      </c>
      <c r="O7979">
        <v>0.34416809999999998</v>
      </c>
      <c r="P7979">
        <v>0.67499500000000001</v>
      </c>
      <c r="Q7979">
        <v>-7.4085849999999995E-2</v>
      </c>
      <c r="R7979">
        <v>0.73409340000000001</v>
      </c>
      <c r="S7979">
        <v>1.4140010000000001</v>
      </c>
      <c r="T7979">
        <v>-0.23764660000000001</v>
      </c>
      <c r="U7979">
        <v>2.7752690000000002</v>
      </c>
      <c r="V7979">
        <v>-0.45543660000000002</v>
      </c>
      <c r="W7979">
        <v>-6.9840459999999993E-2</v>
      </c>
      <c r="X7979">
        <v>0.88752450000000005</v>
      </c>
      <c r="Y7979">
        <v>-0.67867149999999998</v>
      </c>
      <c r="Z7979">
        <v>1.3409290000000001E-2</v>
      </c>
      <c r="AA7979">
        <v>0.73431950000000001</v>
      </c>
      <c r="AB7979">
        <v>24</v>
      </c>
      <c r="AC7979">
        <v>6.5640999999999901</v>
      </c>
      <c r="AD7979">
        <v>-1.130413189093</v>
      </c>
      <c r="AE7979">
        <v>13.130100000000001</v>
      </c>
      <c r="AF7979">
        <v>-10.008926900252</v>
      </c>
      <c r="AG7979">
        <v>-1.130413189093</v>
      </c>
      <c r="AH7979">
        <v>10.619567004211101</v>
      </c>
      <c r="AI7979">
        <v>94.429459303439202</v>
      </c>
      <c r="AJ7979">
        <v>133.304438173596</v>
      </c>
      <c r="AK7979">
        <v>14.6366545026381</v>
      </c>
      <c r="AL7979">
        <v>94.004823974041898</v>
      </c>
      <c r="AM7979">
        <v>117.164800893528</v>
      </c>
      <c r="AN7979">
        <v>0.99999996228640997</v>
      </c>
    </row>
    <row r="7980" spans="1:40" x14ac:dyDescent="0.25">
      <c r="A7980" t="str">
        <f>"20190303155003969"</f>
        <v>20190303155003969</v>
      </c>
      <c r="B7980" t="str">
        <f>"1551599403958510"</f>
        <v>1551599403958510</v>
      </c>
      <c r="C7980" t="s">
        <v>40</v>
      </c>
      <c r="D7980">
        <v>5.0890309999999896</v>
      </c>
      <c r="E7980">
        <v>0.39212190000000002</v>
      </c>
      <c r="F7980" t="s">
        <v>64</v>
      </c>
      <c r="G7980">
        <v>-193.44069999999999</v>
      </c>
      <c r="H7980" s="1">
        <v>-3.2606530000000002E-6</v>
      </c>
      <c r="I7980">
        <v>-47.658529999999999</v>
      </c>
      <c r="J7980">
        <v>-199.91820000000001</v>
      </c>
      <c r="K7980">
        <v>1.130479</v>
      </c>
      <c r="L7980">
        <v>-60.867649999999998</v>
      </c>
      <c r="M7980">
        <v>0.93559990000000004</v>
      </c>
      <c r="N7980">
        <v>-1.637949E-2</v>
      </c>
      <c r="O7980">
        <v>0.3526821</v>
      </c>
      <c r="P7980">
        <v>0.66830129999999999</v>
      </c>
      <c r="Q7980">
        <v>-7.4718770000000004E-2</v>
      </c>
      <c r="R7980">
        <v>0.74012869999999997</v>
      </c>
      <c r="S7980">
        <v>1.3880619999999999</v>
      </c>
      <c r="T7980">
        <v>-0.2373931</v>
      </c>
      <c r="U7980">
        <v>2.7863769999999999</v>
      </c>
      <c r="V7980">
        <v>-0.455347</v>
      </c>
      <c r="W7980">
        <v>-7.0522070000000006E-2</v>
      </c>
      <c r="X7980">
        <v>0.88751659999999899</v>
      </c>
      <c r="Y7980">
        <v>-0.67866269999999995</v>
      </c>
      <c r="Z7980">
        <v>1.2807260000000001E-2</v>
      </c>
      <c r="AA7980">
        <v>0.73433850000000001</v>
      </c>
      <c r="AB7980">
        <v>24</v>
      </c>
      <c r="AC7980">
        <v>6.4775000000000196</v>
      </c>
      <c r="AD7980">
        <v>-1.1304822606530001</v>
      </c>
      <c r="AE7980">
        <v>13.20912</v>
      </c>
      <c r="AF7980">
        <v>-10.0161623771327</v>
      </c>
      <c r="AG7980">
        <v>-1.1304822606530001</v>
      </c>
      <c r="AH7980">
        <v>10.6574776382978</v>
      </c>
      <c r="AI7980">
        <v>94.419904621039606</v>
      </c>
      <c r="AJ7980">
        <v>133.22320219625701</v>
      </c>
      <c r="AK7980">
        <v>14.6691284171064</v>
      </c>
      <c r="AL7980">
        <v>94.043973798224698</v>
      </c>
      <c r="AM7980">
        <v>117.160429221638</v>
      </c>
      <c r="AN7980">
        <v>0.99999998402082202</v>
      </c>
    </row>
    <row r="7981" spans="1:40" x14ac:dyDescent="0.25">
      <c r="A7981" t="str">
        <f>"20190303155003988"</f>
        <v>20190303155003988</v>
      </c>
      <c r="B7981" t="str">
        <f>"1551599403978537"</f>
        <v>1551599403978537</v>
      </c>
      <c r="C7981" t="s">
        <v>40</v>
      </c>
      <c r="D7981">
        <v>5.0763189999999998</v>
      </c>
      <c r="E7981">
        <v>0.39349289999999998</v>
      </c>
      <c r="F7981" t="s">
        <v>64</v>
      </c>
      <c r="G7981">
        <v>-193.40610000000001</v>
      </c>
      <c r="H7981" s="1">
        <v>-3.326598E-6</v>
      </c>
      <c r="I7981">
        <v>-47.534109999999998</v>
      </c>
      <c r="J7981">
        <v>-199.74379999999999</v>
      </c>
      <c r="K7981">
        <v>1.1305609999999999</v>
      </c>
      <c r="L7981">
        <v>-60.787509999999997</v>
      </c>
      <c r="M7981">
        <v>0.93123310000000004</v>
      </c>
      <c r="N7981">
        <v>-1.6422519999999999E-2</v>
      </c>
      <c r="O7981">
        <v>0.36405389999999999</v>
      </c>
      <c r="P7981">
        <v>0.65944769999999997</v>
      </c>
      <c r="Q7981">
        <v>-7.5572710000000001E-2</v>
      </c>
      <c r="R7981">
        <v>0.7479422</v>
      </c>
      <c r="S7981">
        <v>1.365677</v>
      </c>
      <c r="T7981">
        <v>-0.23707829999999999</v>
      </c>
      <c r="U7981">
        <v>2.7962340000000001</v>
      </c>
      <c r="V7981">
        <v>-0.45498159999999999</v>
      </c>
      <c r="W7981">
        <v>-7.1426139999999999E-2</v>
      </c>
      <c r="X7981">
        <v>0.88763169999999902</v>
      </c>
      <c r="Y7981">
        <v>-0.67551819999999996</v>
      </c>
      <c r="Z7981">
        <v>1.1787280000000001E-2</v>
      </c>
      <c r="AA7981">
        <v>0.73724909999999999</v>
      </c>
      <c r="AB7981">
        <v>24</v>
      </c>
      <c r="AC7981">
        <v>6.3376999999999803</v>
      </c>
      <c r="AD7981">
        <v>-1.1305643265979901</v>
      </c>
      <c r="AE7981">
        <v>13.253399999999999</v>
      </c>
      <c r="AF7981">
        <v>-9.9770054499985807</v>
      </c>
      <c r="AG7981">
        <v>-1.1305643265979901</v>
      </c>
      <c r="AH7981">
        <v>10.6651111320115</v>
      </c>
      <c r="AI7981">
        <v>94.426619717513901</v>
      </c>
      <c r="AJ7981">
        <v>133.09075016781401</v>
      </c>
      <c r="AK7981">
        <v>14.6479831002098</v>
      </c>
      <c r="AL7981">
        <v>94.095904122291103</v>
      </c>
      <c r="AM7981">
        <v>117.13873610477199</v>
      </c>
      <c r="AN7981">
        <v>0.99999999232937398</v>
      </c>
    </row>
    <row r="7982" spans="1:40" x14ac:dyDescent="0.25">
      <c r="A7982" t="str">
        <f>"20190303155004001"</f>
        <v>20190303155004001</v>
      </c>
      <c r="B7982" t="str">
        <f>"1551599403988298"</f>
        <v>1551599403988298</v>
      </c>
      <c r="C7982" t="s">
        <v>40</v>
      </c>
      <c r="D7982">
        <v>5.0954040000000003</v>
      </c>
      <c r="E7982">
        <v>0.39405810000000002</v>
      </c>
      <c r="F7982" t="s">
        <v>64</v>
      </c>
      <c r="G7982">
        <v>-193.2595</v>
      </c>
      <c r="H7982" s="1">
        <v>-3.4798940000000002E-6</v>
      </c>
      <c r="I7982">
        <v>-47.220050000000001</v>
      </c>
      <c r="J7982">
        <v>-199.61959999999999</v>
      </c>
      <c r="K7982">
        <v>1.13062</v>
      </c>
      <c r="L7982">
        <v>-60.729030000000002</v>
      </c>
      <c r="M7982">
        <v>0.92799560000000003</v>
      </c>
      <c r="N7982">
        <v>-1.645201E-2</v>
      </c>
      <c r="O7982">
        <v>0.3722278</v>
      </c>
      <c r="P7982">
        <v>0.65275810000000001</v>
      </c>
      <c r="Q7982">
        <v>-7.567625E-2</v>
      </c>
      <c r="R7982">
        <v>0.75377720000000004</v>
      </c>
      <c r="S7982">
        <v>1.3407290000000001</v>
      </c>
      <c r="T7982">
        <v>-0.23376050000000001</v>
      </c>
      <c r="U7982">
        <v>2.8052670000000002</v>
      </c>
      <c r="V7982">
        <v>-0.45506279999999999</v>
      </c>
      <c r="W7982">
        <v>-7.1570809999999999E-2</v>
      </c>
      <c r="X7982">
        <v>0.88757839999999999</v>
      </c>
      <c r="Y7982">
        <v>-0.67534090000000002</v>
      </c>
      <c r="Z7982">
        <v>1.1203579999999999E-2</v>
      </c>
      <c r="AA7982">
        <v>0.73742059999999998</v>
      </c>
      <c r="AB7982">
        <v>24</v>
      </c>
      <c r="AC7982">
        <v>6.3600999999999797</v>
      </c>
      <c r="AD7982">
        <v>-1.130623479894</v>
      </c>
      <c r="AE7982">
        <v>13.508979999999999</v>
      </c>
      <c r="AF7982">
        <v>-10.112262722110399</v>
      </c>
      <c r="AG7982">
        <v>-1.130623479894</v>
      </c>
      <c r="AH7982">
        <v>10.869717481492099</v>
      </c>
      <c r="AI7982">
        <v>94.355006984038994</v>
      </c>
      <c r="AJ7982">
        <v>132.932505784678</v>
      </c>
      <c r="AK7982">
        <v>14.8891546080268</v>
      </c>
      <c r="AL7982">
        <v>94.104214444564903</v>
      </c>
      <c r="AM7982">
        <v>117.14428354918699</v>
      </c>
      <c r="AN7982">
        <v>0.99999997446722699</v>
      </c>
    </row>
    <row r="7983" spans="1:40" x14ac:dyDescent="0.25">
      <c r="A7983" t="str">
        <f>"20190303155004015"</f>
        <v>20190303155004015</v>
      </c>
      <c r="B7983" t="str">
        <f>"1551599404008792"</f>
        <v>1551599404008792</v>
      </c>
      <c r="C7983" t="s">
        <v>40</v>
      </c>
      <c r="D7983">
        <v>5.1196000000000002</v>
      </c>
      <c r="E7983">
        <v>0.39519169999999998</v>
      </c>
      <c r="F7983" t="s">
        <v>64</v>
      </c>
      <c r="G7983">
        <v>-193.23410000000001</v>
      </c>
      <c r="H7983" s="1">
        <v>-3.5408550000000001E-6</v>
      </c>
      <c r="I7983">
        <v>-47.107520000000001</v>
      </c>
      <c r="J7983">
        <v>-199.48480000000001</v>
      </c>
      <c r="K7983">
        <v>1.130673</v>
      </c>
      <c r="L7983">
        <v>-60.6633</v>
      </c>
      <c r="M7983">
        <v>0.92433180000000004</v>
      </c>
      <c r="N7983">
        <v>-1.6482520000000001E-2</v>
      </c>
      <c r="O7983">
        <v>0.3812335</v>
      </c>
      <c r="P7983">
        <v>0.64510259999999997</v>
      </c>
      <c r="Q7983">
        <v>-7.5332220000000005E-2</v>
      </c>
      <c r="R7983">
        <v>0.76037349999999904</v>
      </c>
      <c r="S7983">
        <v>1.3192140000000001</v>
      </c>
      <c r="T7983">
        <v>-0.2335795</v>
      </c>
      <c r="U7983">
        <v>2.814117</v>
      </c>
      <c r="V7983">
        <v>-0.45543830000000002</v>
      </c>
      <c r="W7983">
        <v>-7.1268810000000002E-2</v>
      </c>
      <c r="X7983">
        <v>0.88741009999999998</v>
      </c>
      <c r="Y7983">
        <v>-0.67370799999999997</v>
      </c>
      <c r="Z7983">
        <v>1.045985E-2</v>
      </c>
      <c r="AA7983">
        <v>0.73892369999999996</v>
      </c>
      <c r="AB7983">
        <v>23</v>
      </c>
      <c r="AC7983">
        <v>6.2506999999999904</v>
      </c>
      <c r="AD7983">
        <v>-1.1306765408549999</v>
      </c>
      <c r="AE7983">
        <v>13.55578</v>
      </c>
      <c r="AF7983">
        <v>-10.0905494561254</v>
      </c>
      <c r="AG7983">
        <v>-1.1306765408549999</v>
      </c>
      <c r="AH7983">
        <v>10.884677831737999</v>
      </c>
      <c r="AI7983">
        <v>94.356325259778302</v>
      </c>
      <c r="AJ7983">
        <v>132.83180023097199</v>
      </c>
      <c r="AK7983">
        <v>14.885356202230501</v>
      </c>
      <c r="AL7983">
        <v>94.086866767545104</v>
      </c>
      <c r="AM7983">
        <v>117.16788793148</v>
      </c>
      <c r="AN7983">
        <v>0.99999998698385795</v>
      </c>
    </row>
    <row r="7984" spans="1:40" x14ac:dyDescent="0.25">
      <c r="A7984" t="str">
        <f>"20190303155004033"</f>
        <v>20190303155004033</v>
      </c>
      <c r="B7984" t="str">
        <f>"1551599404029290"</f>
        <v>1551599404029290</v>
      </c>
      <c r="C7984" t="s">
        <v>40</v>
      </c>
      <c r="D7984">
        <v>5.1037489999999996</v>
      </c>
      <c r="E7984">
        <v>0.395814</v>
      </c>
      <c r="F7984" t="s">
        <v>64</v>
      </c>
      <c r="G7984">
        <v>-193.1867</v>
      </c>
      <c r="H7984" s="1">
        <v>-3.6092620000000001E-6</v>
      </c>
      <c r="I7984">
        <v>-46.969920000000002</v>
      </c>
      <c r="J7984">
        <v>-199.33179999999999</v>
      </c>
      <c r="K7984">
        <v>1.130727</v>
      </c>
      <c r="L7984">
        <v>-60.586790000000001</v>
      </c>
      <c r="M7984">
        <v>0.92001679999999997</v>
      </c>
      <c r="N7984">
        <v>-1.651482E-2</v>
      </c>
      <c r="O7984">
        <v>0.39153090000000002</v>
      </c>
      <c r="P7984">
        <v>0.63574049999999904</v>
      </c>
      <c r="Q7984">
        <v>-7.397012E-2</v>
      </c>
      <c r="R7984">
        <v>0.76835050000000005</v>
      </c>
      <c r="S7984">
        <v>1.297668</v>
      </c>
      <c r="T7984">
        <v>-0.23296439999999999</v>
      </c>
      <c r="U7984">
        <v>2.8213810000000001</v>
      </c>
      <c r="V7984">
        <v>-0.45654280000000003</v>
      </c>
      <c r="W7984">
        <v>-6.9964490000000004E-2</v>
      </c>
      <c r="X7984">
        <v>0.88694629999999997</v>
      </c>
      <c r="Y7984">
        <v>-0.67086630000000003</v>
      </c>
      <c r="Z7984">
        <v>9.5460219999999995E-3</v>
      </c>
      <c r="AA7984">
        <v>0.74151690000000003</v>
      </c>
      <c r="AB7984">
        <v>23</v>
      </c>
      <c r="AC7984">
        <v>6.1450999999999798</v>
      </c>
      <c r="AD7984">
        <v>-1.130730609262</v>
      </c>
      <c r="AE7984">
        <v>13.61687</v>
      </c>
      <c r="AF7984">
        <v>-10.0654701015507</v>
      </c>
      <c r="AG7984">
        <v>-1.130730609262</v>
      </c>
      <c r="AH7984">
        <v>10.923937829530701</v>
      </c>
      <c r="AI7984">
        <v>94.353082468559904</v>
      </c>
      <c r="AJ7984">
        <v>132.657905422684</v>
      </c>
      <c r="AK7984">
        <v>14.897135891821099</v>
      </c>
      <c r="AL7984">
        <v>94.011947449121905</v>
      </c>
      <c r="AM7984">
        <v>117.23649093715601</v>
      </c>
      <c r="AN7984">
        <v>1.0000000485882401</v>
      </c>
    </row>
    <row r="7985" spans="1:40" x14ac:dyDescent="0.25">
      <c r="A7985" t="str">
        <f>"20190303155004052"</f>
        <v>20190303155004052</v>
      </c>
      <c r="B7985" t="str">
        <f>"1551599404039049"</f>
        <v>1551599404039049</v>
      </c>
      <c r="C7985" t="s">
        <v>40</v>
      </c>
      <c r="D7985">
        <v>5.1136780000000002</v>
      </c>
      <c r="E7985">
        <v>0.41369879999999998</v>
      </c>
      <c r="F7985" t="s">
        <v>64</v>
      </c>
      <c r="G7985">
        <v>-193.14660000000001</v>
      </c>
      <c r="H7985" s="1">
        <v>-3.7134450000000001E-6</v>
      </c>
      <c r="I7985">
        <v>-46.748730000000002</v>
      </c>
      <c r="J7985">
        <v>-199.15469999999999</v>
      </c>
      <c r="K7985">
        <v>1.1307640000000001</v>
      </c>
      <c r="L7985">
        <v>-60.495510000000003</v>
      </c>
      <c r="M7985">
        <v>0.91480609999999996</v>
      </c>
      <c r="N7985">
        <v>-1.654841E-2</v>
      </c>
      <c r="O7985">
        <v>0.40355419999999997</v>
      </c>
      <c r="P7985">
        <v>0.62538879999999997</v>
      </c>
      <c r="Q7985">
        <v>-7.3397210000000004E-2</v>
      </c>
      <c r="R7985">
        <v>0.77685369999999998</v>
      </c>
      <c r="S7985">
        <v>1.2667389999999901</v>
      </c>
      <c r="T7985">
        <v>-0.2315769</v>
      </c>
      <c r="U7985">
        <v>2.834076</v>
      </c>
      <c r="V7985">
        <v>-0.45685890000000001</v>
      </c>
      <c r="W7985">
        <v>-6.9414390000000006E-2</v>
      </c>
      <c r="X7985">
        <v>0.88682669999999997</v>
      </c>
      <c r="Y7985">
        <v>-0.66917069999999901</v>
      </c>
      <c r="Z7985">
        <v>8.5967059999999904E-3</v>
      </c>
      <c r="AA7985">
        <v>0.74305900000000003</v>
      </c>
      <c r="AB7985">
        <v>23</v>
      </c>
      <c r="AC7985">
        <v>6.0080999999999802</v>
      </c>
      <c r="AD7985">
        <v>-1.1307677134449901</v>
      </c>
      <c r="AE7985">
        <v>13.7467799999999</v>
      </c>
      <c r="AF7985">
        <v>-10.0950837701682</v>
      </c>
      <c r="AG7985">
        <v>-1.1307677134449901</v>
      </c>
      <c r="AH7985">
        <v>10.9829352358222</v>
      </c>
      <c r="AI7985">
        <v>94.334775205432507</v>
      </c>
      <c r="AJ7985">
        <v>132.58800445581301</v>
      </c>
      <c r="AK7985">
        <v>14.960421730109999</v>
      </c>
      <c r="AL7985">
        <v>93.980352403598502</v>
      </c>
      <c r="AM7985">
        <v>117.255776753902</v>
      </c>
      <c r="AN7985">
        <v>1.0000000039405801</v>
      </c>
    </row>
    <row r="7986" spans="1:40" x14ac:dyDescent="0.25">
      <c r="A7986" t="str">
        <f>"20190303155004072"</f>
        <v>20190303155004072</v>
      </c>
      <c r="B7986" t="str">
        <f>"1551599404068835"</f>
        <v>1551599404068835</v>
      </c>
      <c r="C7986" t="s">
        <v>40</v>
      </c>
      <c r="D7986">
        <v>5.1524049999999999</v>
      </c>
      <c r="E7986">
        <v>0.41351559999999998</v>
      </c>
      <c r="F7986" t="s">
        <v>64</v>
      </c>
      <c r="G7986">
        <v>-191.71629999999999</v>
      </c>
      <c r="H7986" s="1">
        <v>-4.2500659999999997E-6</v>
      </c>
      <c r="I7986">
        <v>-45.159730000000003</v>
      </c>
      <c r="J7986">
        <v>-198.9759</v>
      </c>
      <c r="K7986">
        <v>1.1307780000000001</v>
      </c>
      <c r="L7986">
        <v>-60.400149999999996</v>
      </c>
      <c r="M7986">
        <v>0.90930489999999997</v>
      </c>
      <c r="N7986">
        <v>-1.657724E-2</v>
      </c>
      <c r="O7986">
        <v>0.41580040000000001</v>
      </c>
      <c r="P7986">
        <v>0.61406899999999998</v>
      </c>
      <c r="Q7986">
        <v>-7.3458780000000001E-2</v>
      </c>
      <c r="R7986">
        <v>0.78582640000000004</v>
      </c>
      <c r="S7986">
        <v>1.340363</v>
      </c>
      <c r="T7986">
        <v>-0.20375850000000001</v>
      </c>
      <c r="U7986">
        <v>2.7634280000000002</v>
      </c>
      <c r="V7986">
        <v>-0.45778829999999998</v>
      </c>
      <c r="W7986">
        <v>-6.9501530000000006E-2</v>
      </c>
      <c r="X7986">
        <v>0.88634040000000003</v>
      </c>
      <c r="Y7986">
        <v>-0.63566739999999999</v>
      </c>
      <c r="Z7986">
        <v>6.3678390000000001E-3</v>
      </c>
      <c r="AA7986">
        <v>0.77193679999999998</v>
      </c>
      <c r="AB7986">
        <v>23</v>
      </c>
      <c r="AC7986">
        <v>7.2595999999999998</v>
      </c>
      <c r="AD7986">
        <v>-1.1307822500660001</v>
      </c>
      <c r="AE7986">
        <v>15.24042</v>
      </c>
      <c r="AF7986">
        <v>-10.792705926255399</v>
      </c>
      <c r="AG7986">
        <v>-1.1307822500660001</v>
      </c>
      <c r="AH7986">
        <v>12.8821374571553</v>
      </c>
      <c r="AI7986">
        <v>93.849378099998304</v>
      </c>
      <c r="AJ7986">
        <v>129.956408832237</v>
      </c>
      <c r="AK7986">
        <v>16.843712036624702</v>
      </c>
      <c r="AL7986">
        <v>93.985357470478903</v>
      </c>
      <c r="AM7986">
        <v>117.316020982071</v>
      </c>
      <c r="AN7986">
        <v>0.99999994748069398</v>
      </c>
    </row>
    <row r="7987" spans="1:40" x14ac:dyDescent="0.25">
      <c r="A7987" t="str">
        <f>"20190303155004094"</f>
        <v>20190303155004094</v>
      </c>
      <c r="B7987" t="str">
        <f>"1551599404088358"</f>
        <v>1551599404088358</v>
      </c>
      <c r="C7987" t="s">
        <v>40</v>
      </c>
      <c r="D7987">
        <v>5.1184710000000004</v>
      </c>
      <c r="E7987">
        <v>0.38651419999999997</v>
      </c>
      <c r="F7987" t="s">
        <v>64</v>
      </c>
      <c r="G7987">
        <v>-192.20760000000001</v>
      </c>
      <c r="H7987" s="1">
        <v>-3.9744859999999998E-6</v>
      </c>
      <c r="I7987">
        <v>-45.897790000000001</v>
      </c>
      <c r="J7987">
        <v>-198.78290000000001</v>
      </c>
      <c r="K7987">
        <v>1.1307700000000001</v>
      </c>
      <c r="L7987">
        <v>-60.293640000000003</v>
      </c>
      <c r="M7987">
        <v>0.90310389999999996</v>
      </c>
      <c r="N7987">
        <v>-1.6601979999999999E-2</v>
      </c>
      <c r="O7987">
        <v>0.42910090000000001</v>
      </c>
      <c r="P7987">
        <v>0.60188229999999998</v>
      </c>
      <c r="Q7987">
        <v>-7.4936920000000004E-2</v>
      </c>
      <c r="R7987">
        <v>0.79506109999999997</v>
      </c>
      <c r="S7987">
        <v>1.29863</v>
      </c>
      <c r="T7987">
        <v>-0.21696280000000001</v>
      </c>
      <c r="U7987">
        <v>2.782562</v>
      </c>
      <c r="V7987">
        <v>-0.4582833</v>
      </c>
      <c r="W7987">
        <v>-7.0974200000000001E-2</v>
      </c>
      <c r="X7987">
        <v>0.88596790000000003</v>
      </c>
      <c r="Y7987">
        <v>-0.63579790000000003</v>
      </c>
      <c r="Z7987">
        <v>5.0958829999999998E-3</v>
      </c>
      <c r="AA7987">
        <v>0.77183869999999999</v>
      </c>
      <c r="AB7987">
        <v>23</v>
      </c>
      <c r="AC7987">
        <v>6.5752999999999897</v>
      </c>
      <c r="AD7987">
        <v>-1.1307739744859999</v>
      </c>
      <c r="AE7987">
        <v>14.395849999999999</v>
      </c>
      <c r="AF7987">
        <v>-10.1291765679854</v>
      </c>
      <c r="AG7987">
        <v>-1.1307739744859999</v>
      </c>
      <c r="AH7987">
        <v>12.0555796001315</v>
      </c>
      <c r="AI7987">
        <v>94.107548162047905</v>
      </c>
      <c r="AJ7987">
        <v>130.037196099049</v>
      </c>
      <c r="AK7987">
        <v>15.786572370907701</v>
      </c>
      <c r="AL7987">
        <v>94.0699438689484</v>
      </c>
      <c r="AM7987">
        <v>117.351102366082</v>
      </c>
      <c r="AN7987">
        <v>1.0000000199774699</v>
      </c>
    </row>
    <row r="7988" spans="1:40" x14ac:dyDescent="0.25">
      <c r="A7988" t="str">
        <f>"20190303155004111"</f>
        <v>20190303155004111</v>
      </c>
      <c r="B7988" t="str">
        <f>"1551599404108851"</f>
        <v>1551599404108851</v>
      </c>
      <c r="C7988" t="s">
        <v>40</v>
      </c>
      <c r="D7988">
        <v>5.093934</v>
      </c>
      <c r="E7988">
        <v>0.37404850000000001</v>
      </c>
      <c r="F7988" t="s">
        <v>64</v>
      </c>
      <c r="G7988">
        <v>-194.22190000000001</v>
      </c>
      <c r="H7988" s="1">
        <v>-3.2575519999999999E-6</v>
      </c>
      <c r="I7988">
        <v>-47.957230000000003</v>
      </c>
      <c r="J7988">
        <v>-198.62370000000001</v>
      </c>
      <c r="K7988">
        <v>1.130741</v>
      </c>
      <c r="L7988">
        <v>-60.202910000000003</v>
      </c>
      <c r="M7988">
        <v>0.897783</v>
      </c>
      <c r="N7988">
        <v>-1.6617130000000001E-2</v>
      </c>
      <c r="O7988">
        <v>0.44012430000000002</v>
      </c>
      <c r="P7988">
        <v>0.59105719999999995</v>
      </c>
      <c r="Q7988">
        <v>-7.7431260000000002E-2</v>
      </c>
      <c r="R7988">
        <v>0.80290469999999903</v>
      </c>
      <c r="S7988">
        <v>1.0826720000000001</v>
      </c>
      <c r="T7988">
        <v>-0.26841910000000002</v>
      </c>
      <c r="U7988">
        <v>2.928375</v>
      </c>
      <c r="V7988">
        <v>-0.45916940000000001</v>
      </c>
      <c r="W7988">
        <v>-7.3468130000000006E-2</v>
      </c>
      <c r="X7988">
        <v>0.88530549999999997</v>
      </c>
      <c r="Y7988">
        <v>-0.68783109999999903</v>
      </c>
      <c r="Z7988">
        <v>6.2002019999999897E-3</v>
      </c>
      <c r="AA7988">
        <v>0.72584439999999995</v>
      </c>
      <c r="AB7988">
        <v>23</v>
      </c>
      <c r="AC7988">
        <v>4.4017999999999997</v>
      </c>
      <c r="AD7988">
        <v>-1.1307442575519999</v>
      </c>
      <c r="AE7988">
        <v>12.24568</v>
      </c>
      <c r="AF7988">
        <v>-8.9899946115156499</v>
      </c>
      <c r="AG7988">
        <v>-1.1307442575519999</v>
      </c>
      <c r="AH7988">
        <v>9.2727572726331395</v>
      </c>
      <c r="AI7988">
        <v>95.003544578676994</v>
      </c>
      <c r="AJ7988">
        <v>134.112958836855</v>
      </c>
      <c r="AK7988">
        <v>12.9646678757397</v>
      </c>
      <c r="AL7988">
        <v>94.213209912702993</v>
      </c>
      <c r="AM7988">
        <v>117.413803022251</v>
      </c>
      <c r="AN7988">
        <v>0.99999996617615206</v>
      </c>
    </row>
    <row r="7989" spans="1:40" x14ac:dyDescent="0.25">
      <c r="A7989" t="str">
        <f>"20190303155004135"</f>
        <v>20190303155004135</v>
      </c>
      <c r="B7989" t="str">
        <f>"1551599404128372"</f>
        <v>1551599404128372</v>
      </c>
      <c r="C7989" t="s">
        <v>40</v>
      </c>
      <c r="D7989">
        <v>5.087167</v>
      </c>
      <c r="E7989">
        <v>0.36965870000000001</v>
      </c>
      <c r="F7989" t="s">
        <v>64</v>
      </c>
      <c r="G7989">
        <v>-194.6765</v>
      </c>
      <c r="H7989" s="1">
        <v>-3.3920100000000002E-6</v>
      </c>
      <c r="I7989">
        <v>-47.900869999999998</v>
      </c>
      <c r="J7989">
        <v>-198.42429999999999</v>
      </c>
      <c r="K7989">
        <v>1.1306940000000001</v>
      </c>
      <c r="L7989">
        <v>-60.085540000000002</v>
      </c>
      <c r="M7989">
        <v>0.89085789999999998</v>
      </c>
      <c r="N7989">
        <v>-1.6629809999999998E-2</v>
      </c>
      <c r="O7989">
        <v>0.45397759999999998</v>
      </c>
      <c r="P7989">
        <v>0.57721049999999996</v>
      </c>
      <c r="Q7989">
        <v>-7.8938330000000001E-2</v>
      </c>
      <c r="R7989">
        <v>0.81277109999999997</v>
      </c>
      <c r="S7989">
        <v>0.96289060000000004</v>
      </c>
      <c r="T7989">
        <v>-0.27583809999999997</v>
      </c>
      <c r="U7989">
        <v>3.001007</v>
      </c>
      <c r="V7989">
        <v>-0.4604683</v>
      </c>
      <c r="W7989">
        <v>-7.4964660000000002E-2</v>
      </c>
      <c r="X7989">
        <v>0.88450509999999904</v>
      </c>
      <c r="Y7989">
        <v>-0.70787939999999905</v>
      </c>
      <c r="Z7989">
        <v>6.3279360000000002E-3</v>
      </c>
      <c r="AA7989">
        <v>0.70630490000000001</v>
      </c>
      <c r="AB7989">
        <v>23</v>
      </c>
      <c r="AC7989">
        <v>3.7477999999999798</v>
      </c>
      <c r="AD7989">
        <v>-1.1306973920100001</v>
      </c>
      <c r="AE7989">
        <v>12.184670000000001</v>
      </c>
      <c r="AF7989">
        <v>-9.0832010215016297</v>
      </c>
      <c r="AG7989">
        <v>-1.1306973920100001</v>
      </c>
      <c r="AH7989">
        <v>8.8023038814618104</v>
      </c>
      <c r="AI7989">
        <v>95.108300067975705</v>
      </c>
      <c r="AJ7989">
        <v>135.89977317597001</v>
      </c>
      <c r="AK7989">
        <v>12.6989594459902</v>
      </c>
      <c r="AL7989">
        <v>94.299191696365796</v>
      </c>
      <c r="AM7989">
        <v>117.501227699767</v>
      </c>
      <c r="AN7989">
        <v>1.0000000137399001</v>
      </c>
    </row>
    <row r="7990" spans="1:40" x14ac:dyDescent="0.25">
      <c r="A7990" t="str">
        <f>"20190303155004157"</f>
        <v>20190303155004157</v>
      </c>
      <c r="B7990" t="str">
        <f>"1551599404148868"</f>
        <v>1551599404148868</v>
      </c>
      <c r="C7990" t="s">
        <v>40</v>
      </c>
      <c r="D7990">
        <v>5.0796590000000004</v>
      </c>
      <c r="E7990">
        <v>0.36883189999999999</v>
      </c>
      <c r="F7990" t="s">
        <v>64</v>
      </c>
      <c r="G7990">
        <v>-194.92519999999999</v>
      </c>
      <c r="H7990" s="1">
        <v>-3.3604320000000001E-6</v>
      </c>
      <c r="I7990">
        <v>-48.047640000000001</v>
      </c>
      <c r="J7990">
        <v>-198.22909999999999</v>
      </c>
      <c r="K7990">
        <v>1.1306369999999999</v>
      </c>
      <c r="L7990">
        <v>-59.966610000000003</v>
      </c>
      <c r="M7990">
        <v>0.88380179999999997</v>
      </c>
      <c r="N7990">
        <v>-1.6635580000000001E-2</v>
      </c>
      <c r="O7990">
        <v>0.46756579999999898</v>
      </c>
      <c r="P7990">
        <v>0.5640771</v>
      </c>
      <c r="Q7990">
        <v>-7.9952969999999998E-2</v>
      </c>
      <c r="R7990">
        <v>0.82184210000000002</v>
      </c>
      <c r="S7990">
        <v>0.88264469999999995</v>
      </c>
      <c r="T7990">
        <v>-0.28521839999999998</v>
      </c>
      <c r="U7990">
        <v>3.0365600000000001</v>
      </c>
      <c r="V7990">
        <v>-0.46103359999999899</v>
      </c>
      <c r="W7990">
        <v>-7.5935909999999995E-2</v>
      </c>
      <c r="X7990">
        <v>0.88412769999999996</v>
      </c>
      <c r="Y7990">
        <v>-0.71641699999999997</v>
      </c>
      <c r="Z7990">
        <v>5.4711769999999998E-3</v>
      </c>
      <c r="AA7990">
        <v>0.69765089999999996</v>
      </c>
      <c r="AB7990">
        <v>23</v>
      </c>
      <c r="AC7990">
        <v>3.3038999999999898</v>
      </c>
      <c r="AD7990">
        <v>-1.1306403604319999</v>
      </c>
      <c r="AE7990">
        <v>11.9189699999999</v>
      </c>
      <c r="AF7990">
        <v>-8.9159543572498503</v>
      </c>
      <c r="AG7990">
        <v>-1.1306403604319999</v>
      </c>
      <c r="AH7990">
        <v>8.4236783911901902</v>
      </c>
      <c r="AI7990">
        <v>95.266495936974195</v>
      </c>
      <c r="AJ7990">
        <v>136.62620289637701</v>
      </c>
      <c r="AK7990">
        <v>12.3179116478161</v>
      </c>
      <c r="AL7990">
        <v>94.354999288335904</v>
      </c>
      <c r="AM7990">
        <v>117.540054147372</v>
      </c>
      <c r="AN7990">
        <v>1.0000000163318801</v>
      </c>
    </row>
    <row r="7991" spans="1:40" x14ac:dyDescent="0.25">
      <c r="A7991" t="str">
        <f>"20190303155004178"</f>
        <v>20190303155004178</v>
      </c>
      <c r="B7991" t="str">
        <f>"1551599404168893"</f>
        <v>1551599404168893</v>
      </c>
      <c r="C7991" t="s">
        <v>40</v>
      </c>
      <c r="D7991">
        <v>5.1214750000000002</v>
      </c>
      <c r="E7991">
        <v>0.36932219999999999</v>
      </c>
      <c r="F7991" t="s">
        <v>64</v>
      </c>
      <c r="G7991">
        <v>-194.9204</v>
      </c>
      <c r="H7991" s="1">
        <v>-3.51573E-6</v>
      </c>
      <c r="I7991">
        <v>-47.769109999999998</v>
      </c>
      <c r="J7991">
        <v>-198.04599999999999</v>
      </c>
      <c r="K7991">
        <v>1.1305670000000001</v>
      </c>
      <c r="L7991">
        <v>-59.851260000000003</v>
      </c>
      <c r="M7991">
        <v>0.87693330000000003</v>
      </c>
      <c r="N7991">
        <v>-1.6635540000000001E-2</v>
      </c>
      <c r="O7991">
        <v>0.48032399999999997</v>
      </c>
      <c r="P7991">
        <v>0.55257900000000004</v>
      </c>
      <c r="Q7991">
        <v>-8.0948339999999994E-2</v>
      </c>
      <c r="R7991">
        <v>0.82952019999999904</v>
      </c>
      <c r="S7991">
        <v>0.82847599999999999</v>
      </c>
      <c r="T7991">
        <v>-0.28310429999999998</v>
      </c>
      <c r="U7991">
        <v>3.0541689999999999</v>
      </c>
      <c r="V7991">
        <v>-0.4604357</v>
      </c>
      <c r="W7991">
        <v>-7.6850440000000006E-2</v>
      </c>
      <c r="X7991">
        <v>0.88436019999999904</v>
      </c>
      <c r="Y7991">
        <v>-0.71890220000000005</v>
      </c>
      <c r="Z7991">
        <v>4.5003129999999997E-3</v>
      </c>
      <c r="AA7991">
        <v>0.69509670000000001</v>
      </c>
      <c r="AB7991">
        <v>23</v>
      </c>
      <c r="AC7991">
        <v>3.1255999999999902</v>
      </c>
      <c r="AD7991">
        <v>-1.1305705157299999</v>
      </c>
      <c r="AE7991">
        <v>12.08215</v>
      </c>
      <c r="AF7991">
        <v>-9.0211631916632093</v>
      </c>
      <c r="AG7991">
        <v>-1.1305705157299999</v>
      </c>
      <c r="AH7991">
        <v>8.4759122187203904</v>
      </c>
      <c r="AI7991">
        <v>95.218621043928096</v>
      </c>
      <c r="AJ7991">
        <v>136.78489674137899</v>
      </c>
      <c r="AK7991">
        <v>12.4298295628343</v>
      </c>
      <c r="AL7991">
        <v>94.407551668496694</v>
      </c>
      <c r="AM7991">
        <v>117.503411046713</v>
      </c>
      <c r="AN7991">
        <v>0.99999999365336101</v>
      </c>
    </row>
    <row r="7992" spans="1:40" x14ac:dyDescent="0.25">
      <c r="A7992" t="str">
        <f>"20190303155004193"</f>
        <v>20190303155004193</v>
      </c>
      <c r="B7992" t="str">
        <f>"1551599404189390"</f>
        <v>1551599404189390</v>
      </c>
      <c r="C7992" t="s">
        <v>40</v>
      </c>
      <c r="D7992">
        <v>5.1498819999999998</v>
      </c>
      <c r="E7992">
        <v>0.3704016</v>
      </c>
      <c r="F7992" t="s">
        <v>64</v>
      </c>
      <c r="G7992">
        <v>-194.83770000000001</v>
      </c>
      <c r="H7992" s="1">
        <v>-3.6888920000000002E-6</v>
      </c>
      <c r="I7992">
        <v>-47.39573</v>
      </c>
      <c r="J7992">
        <v>-197.93299999999999</v>
      </c>
      <c r="K7992">
        <v>1.1305270000000001</v>
      </c>
      <c r="L7992">
        <v>-59.777830000000002</v>
      </c>
      <c r="M7992">
        <v>0.87256789999999995</v>
      </c>
      <c r="N7992">
        <v>-1.6632669999999999E-2</v>
      </c>
      <c r="O7992">
        <v>0.48820970000000002</v>
      </c>
      <c r="P7992">
        <v>0.54563879999999998</v>
      </c>
      <c r="Q7992">
        <v>-8.1642279999999998E-2</v>
      </c>
      <c r="R7992">
        <v>0.8340341</v>
      </c>
      <c r="S7992">
        <v>0.78916929999999996</v>
      </c>
      <c r="T7992">
        <v>-0.27808959999999999</v>
      </c>
      <c r="U7992">
        <v>3.0637210000000001</v>
      </c>
      <c r="V7992">
        <v>-0.4597754</v>
      </c>
      <c r="W7992">
        <v>-7.748468E-2</v>
      </c>
      <c r="X7992">
        <v>0.88464830000000005</v>
      </c>
      <c r="Y7992">
        <v>-0.72156980000000004</v>
      </c>
      <c r="Z7992">
        <v>4.1185730000000004E-3</v>
      </c>
      <c r="AA7992">
        <v>0.69232939999999998</v>
      </c>
      <c r="AB7992">
        <v>23</v>
      </c>
      <c r="AC7992">
        <v>3.09529999999998</v>
      </c>
      <c r="AD7992">
        <v>-1.1305306888919999</v>
      </c>
      <c r="AE7992">
        <v>12.382099999999999</v>
      </c>
      <c r="AF7992">
        <v>-9.2219965567301099</v>
      </c>
      <c r="AG7992">
        <v>-1.1305306888919999</v>
      </c>
      <c r="AH7992">
        <v>8.6790342293466498</v>
      </c>
      <c r="AI7992">
        <v>95.1014367359994</v>
      </c>
      <c r="AJ7992">
        <v>136.737325369459</v>
      </c>
      <c r="AK7992">
        <v>12.714124243731399</v>
      </c>
      <c r="AL7992">
        <v>94.443999802184194</v>
      </c>
      <c r="AM7992">
        <v>117.462107235327</v>
      </c>
      <c r="AN7992">
        <v>0.99999995438637501</v>
      </c>
    </row>
    <row r="7993" spans="1:40" x14ac:dyDescent="0.25">
      <c r="A7993" t="str">
        <f>"20190303155004211"</f>
        <v>20190303155004211</v>
      </c>
      <c r="B7993" t="str">
        <f>"1551599404198174"</f>
        <v>1551599404198174</v>
      </c>
      <c r="C7993" t="s">
        <v>40</v>
      </c>
      <c r="D7993">
        <v>5.1629060000000004</v>
      </c>
      <c r="E7993">
        <v>0.37098140000000002</v>
      </c>
      <c r="F7993" t="s">
        <v>64</v>
      </c>
      <c r="G7993">
        <v>-194.75219999999999</v>
      </c>
      <c r="H7993" s="1">
        <v>-3.8070210000000001E-6</v>
      </c>
      <c r="I7993">
        <v>-47.130760000000002</v>
      </c>
      <c r="J7993">
        <v>-197.7766</v>
      </c>
      <c r="K7993">
        <v>1.13046</v>
      </c>
      <c r="L7993">
        <v>-59.674219999999998</v>
      </c>
      <c r="M7993">
        <v>0.86637929999999996</v>
      </c>
      <c r="N7993">
        <v>-1.662669E-2</v>
      </c>
      <c r="O7993">
        <v>0.49910969999999999</v>
      </c>
      <c r="P7993">
        <v>0.53633280000000005</v>
      </c>
      <c r="Q7993">
        <v>-8.3524929999999997E-2</v>
      </c>
      <c r="R7993">
        <v>0.83986349999999999</v>
      </c>
      <c r="S7993">
        <v>0.77102660000000001</v>
      </c>
      <c r="T7993">
        <v>-0.274045599999999</v>
      </c>
      <c r="U7993">
        <v>3.0657040000000002</v>
      </c>
      <c r="V7993">
        <v>-0.4583296</v>
      </c>
      <c r="W7993">
        <v>-7.9269980000000004E-2</v>
      </c>
      <c r="X7993">
        <v>0.88524020000000003</v>
      </c>
      <c r="Y7993">
        <v>-0.71692369999999905</v>
      </c>
      <c r="Z7993">
        <v>2.8648950000000001E-3</v>
      </c>
      <c r="AA7993">
        <v>0.69714580000000004</v>
      </c>
      <c r="AB7993">
        <v>23</v>
      </c>
      <c r="AC7993">
        <v>3.0244000000000102</v>
      </c>
      <c r="AD7993">
        <v>-1.130463807021</v>
      </c>
      <c r="AE7993">
        <v>12.54346</v>
      </c>
      <c r="AF7993">
        <v>-9.2878861374394894</v>
      </c>
      <c r="AG7993">
        <v>-1.130463807021</v>
      </c>
      <c r="AH7993">
        <v>8.8144080237198104</v>
      </c>
      <c r="AI7993">
        <v>95.045307238705306</v>
      </c>
      <c r="AJ7993">
        <v>136.49826942173101</v>
      </c>
      <c r="AK7993">
        <v>12.854437604564399</v>
      </c>
      <c r="AL7993">
        <v>94.546605490471194</v>
      </c>
      <c r="AM7993">
        <v>117.372682544437</v>
      </c>
      <c r="AN7993">
        <v>0.99999998183070005</v>
      </c>
    </row>
    <row r="7994" spans="1:40" x14ac:dyDescent="0.25">
      <c r="A7994" t="str">
        <f>"20190303155004235"</f>
        <v>20190303155004235</v>
      </c>
      <c r="B7994" t="str">
        <f>"1551599404228430"</f>
        <v>1551599404228430</v>
      </c>
      <c r="C7994" t="s">
        <v>40</v>
      </c>
      <c r="D7994">
        <v>5.1903370000000004</v>
      </c>
      <c r="E7994">
        <v>0.3732086</v>
      </c>
      <c r="F7994" t="s">
        <v>64</v>
      </c>
      <c r="G7994">
        <v>-194.74879999999999</v>
      </c>
      <c r="H7994" s="1">
        <v>-3.810103E-6</v>
      </c>
      <c r="I7994">
        <v>-47.123440000000002</v>
      </c>
      <c r="J7994">
        <v>-197.5771</v>
      </c>
      <c r="K7994">
        <v>1.1303700000000001</v>
      </c>
      <c r="L7994">
        <v>-59.538060000000002</v>
      </c>
      <c r="M7994">
        <v>0.85822889999999996</v>
      </c>
      <c r="N7994">
        <v>-1.6615330000000001E-2</v>
      </c>
      <c r="O7994">
        <v>0.51299819999999996</v>
      </c>
      <c r="P7994">
        <v>0.52395729999999996</v>
      </c>
      <c r="Q7994">
        <v>-8.616472E-2</v>
      </c>
      <c r="R7994">
        <v>0.84737499999999999</v>
      </c>
      <c r="S7994">
        <v>0.74092100000000005</v>
      </c>
      <c r="T7994">
        <v>-0.2766401</v>
      </c>
      <c r="U7994">
        <v>3.0713499999999998</v>
      </c>
      <c r="V7994">
        <v>-0.45678459999999899</v>
      </c>
      <c r="W7994">
        <v>-8.1798209999999996E-2</v>
      </c>
      <c r="X7994">
        <v>0.88580859999999995</v>
      </c>
      <c r="Y7994">
        <v>-0.71246960000000004</v>
      </c>
      <c r="Z7994">
        <v>1.0627810000000001E-3</v>
      </c>
      <c r="AA7994">
        <v>0.70170219999999905</v>
      </c>
      <c r="AB7994">
        <v>23</v>
      </c>
      <c r="AC7994">
        <v>2.8283000000000098</v>
      </c>
      <c r="AD7994">
        <v>-1.1303738101029901</v>
      </c>
      <c r="AE7994">
        <v>12.4146199999999</v>
      </c>
      <c r="AF7994">
        <v>-9.1329629242905899</v>
      </c>
      <c r="AG7994">
        <v>-1.1303738101029901</v>
      </c>
      <c r="AH7994">
        <v>8.7284285954106693</v>
      </c>
      <c r="AI7994">
        <v>95.113026789770302</v>
      </c>
      <c r="AJ7994">
        <v>136.297443583231</v>
      </c>
      <c r="AK7994">
        <v>12.683620243140901</v>
      </c>
      <c r="AL7994">
        <v>94.691934420243697</v>
      </c>
      <c r="AM7994">
        <v>117.27878374682901</v>
      </c>
      <c r="AN7994">
        <v>0.99999999689516195</v>
      </c>
    </row>
    <row r="7995" spans="1:40" x14ac:dyDescent="0.25">
      <c r="A7995" t="str">
        <f>"20190303155004258"</f>
        <v>20190303155004258</v>
      </c>
      <c r="B7995" t="str">
        <f>"1551599404248926"</f>
        <v>1551599404248926</v>
      </c>
      <c r="C7995" t="s">
        <v>40</v>
      </c>
      <c r="D7995">
        <v>5.1838240000000004</v>
      </c>
      <c r="E7995">
        <v>0.37495679999999998</v>
      </c>
      <c r="F7995" t="s">
        <v>64</v>
      </c>
      <c r="G7995">
        <v>-194.70760000000001</v>
      </c>
      <c r="H7995" s="1">
        <v>-3.7940629999999998E-6</v>
      </c>
      <c r="I7995">
        <v>-47.140720000000002</v>
      </c>
      <c r="J7995">
        <v>-197.39009999999999</v>
      </c>
      <c r="K7995">
        <v>1.130288</v>
      </c>
      <c r="L7995">
        <v>-59.406190000000002</v>
      </c>
      <c r="M7995">
        <v>0.85031840000000003</v>
      </c>
      <c r="N7995">
        <v>-1.660176E-2</v>
      </c>
      <c r="O7995">
        <v>0.5260068</v>
      </c>
      <c r="P7995">
        <v>0.51327250000000002</v>
      </c>
      <c r="Q7995">
        <v>-8.9562359999999994E-2</v>
      </c>
      <c r="R7995">
        <v>0.85353959999999995</v>
      </c>
      <c r="S7995">
        <v>0.71109009999999995</v>
      </c>
      <c r="T7995">
        <v>-0.280117</v>
      </c>
      <c r="U7995">
        <v>3.072174</v>
      </c>
      <c r="V7995">
        <v>-0.45406439999999998</v>
      </c>
      <c r="W7995">
        <v>-8.5058469999999997E-2</v>
      </c>
      <c r="X7995">
        <v>0.88689949999999995</v>
      </c>
      <c r="Y7995">
        <v>-0.70829640000000005</v>
      </c>
      <c r="Z7995">
        <v>-7.4220079999999999E-4</v>
      </c>
      <c r="AA7995">
        <v>0.70591479999999995</v>
      </c>
      <c r="AB7995">
        <v>23</v>
      </c>
      <c r="AC7995">
        <v>2.6824999999999699</v>
      </c>
      <c r="AD7995">
        <v>-1.130291794063</v>
      </c>
      <c r="AE7995">
        <v>12.265470000000001</v>
      </c>
      <c r="AF7995">
        <v>-8.9472716232169809</v>
      </c>
      <c r="AG7995">
        <v>-1.130291794063</v>
      </c>
      <c r="AH7995">
        <v>8.66368866668018</v>
      </c>
      <c r="AI7995">
        <v>95.185621041115397</v>
      </c>
      <c r="AJ7995">
        <v>135.92253358995501</v>
      </c>
      <c r="AK7995">
        <v>12.5056279471489</v>
      </c>
      <c r="AL7995">
        <v>94.879386773926797</v>
      </c>
      <c r="AM7995">
        <v>117.111005870024</v>
      </c>
      <c r="AN7995">
        <v>1.0000000728831699</v>
      </c>
    </row>
    <row r="7996" spans="1:40" x14ac:dyDescent="0.25">
      <c r="A7996" t="str">
        <f>"20190303155004281"</f>
        <v>20190303155004281</v>
      </c>
      <c r="B7996" t="str">
        <f>"1551599404278712"</f>
        <v>1551599404278712</v>
      </c>
      <c r="C7996" t="s">
        <v>40</v>
      </c>
      <c r="D7996">
        <v>5.0663660000000004</v>
      </c>
      <c r="E7996">
        <v>0.3763994</v>
      </c>
      <c r="F7996" t="s">
        <v>64</v>
      </c>
      <c r="G7996">
        <v>-194.67330000000001</v>
      </c>
      <c r="H7996" s="1">
        <v>-3.7525679999999998E-6</v>
      </c>
      <c r="I7996">
        <v>-47.211039999999997</v>
      </c>
      <c r="J7996">
        <v>-197.20840000000001</v>
      </c>
      <c r="K7996">
        <v>1.1302140000000001</v>
      </c>
      <c r="L7996">
        <v>-59.273899999999998</v>
      </c>
      <c r="M7996">
        <v>0.84236759999999999</v>
      </c>
      <c r="N7996">
        <v>-1.658691E-2</v>
      </c>
      <c r="O7996">
        <v>0.53864809999999996</v>
      </c>
      <c r="P7996">
        <v>0.50382799999999905</v>
      </c>
      <c r="Q7996">
        <v>-9.2968079999999995E-2</v>
      </c>
      <c r="R7996">
        <v>0.85878650000000001</v>
      </c>
      <c r="S7996">
        <v>0.68464659999999999</v>
      </c>
      <c r="T7996">
        <v>-0.28483389999999997</v>
      </c>
      <c r="U7996">
        <v>3.0731809999999999</v>
      </c>
      <c r="V7996">
        <v>-0.4502333</v>
      </c>
      <c r="W7996">
        <v>-8.8300809999999993E-2</v>
      </c>
      <c r="X7996">
        <v>0.88853409999999999</v>
      </c>
      <c r="Y7996">
        <v>-0.70358639999999995</v>
      </c>
      <c r="Z7996">
        <v>-2.672691E-3</v>
      </c>
      <c r="AA7996">
        <v>0.71060469999999998</v>
      </c>
      <c r="AB7996">
        <v>23</v>
      </c>
      <c r="AC7996">
        <v>2.5350999999999999</v>
      </c>
      <c r="AD7996">
        <v>-1.1302177525679999</v>
      </c>
      <c r="AE7996">
        <v>12.062859999999899</v>
      </c>
      <c r="AF7996">
        <v>-8.7237031594613192</v>
      </c>
      <c r="AG7996">
        <v>-1.1302177525679999</v>
      </c>
      <c r="AH7996">
        <v>8.5623246210107293</v>
      </c>
      <c r="AI7996">
        <v>95.282658779021205</v>
      </c>
      <c r="AJ7996">
        <v>135.53488520685701</v>
      </c>
      <c r="AK7996">
        <v>12.275739973548699</v>
      </c>
      <c r="AL7996">
        <v>95.065861700113203</v>
      </c>
      <c r="AM7996">
        <v>116.872003490561</v>
      </c>
      <c r="AN7996">
        <v>0.99999995216917603</v>
      </c>
    </row>
    <row r="7997" spans="1:40" x14ac:dyDescent="0.25">
      <c r="A7997" t="str">
        <f>"20190303155004301"</f>
        <v>20190303155004301</v>
      </c>
      <c r="B7997" t="str">
        <f>"1551599404288474"</f>
        <v>1551599404288474</v>
      </c>
      <c r="C7997" t="s">
        <v>40</v>
      </c>
      <c r="D7997">
        <v>5.1290250000000004</v>
      </c>
      <c r="E7997">
        <v>0.37676189999999998</v>
      </c>
      <c r="F7997" t="s">
        <v>64</v>
      </c>
      <c r="G7997">
        <v>-194.60749999999999</v>
      </c>
      <c r="H7997" s="1">
        <v>-3.758788E-6</v>
      </c>
      <c r="I7997">
        <v>-47.17539</v>
      </c>
      <c r="J7997">
        <v>-197.0478</v>
      </c>
      <c r="K7997">
        <v>1.1301559999999999</v>
      </c>
      <c r="L7997">
        <v>-59.153260000000003</v>
      </c>
      <c r="M7997">
        <v>0.83511259999999998</v>
      </c>
      <c r="N7997">
        <v>-1.6573029999999999E-2</v>
      </c>
      <c r="O7997">
        <v>0.54982940000000002</v>
      </c>
      <c r="P7997">
        <v>0.49591109999999999</v>
      </c>
      <c r="Q7997">
        <v>-9.5021259999999996E-2</v>
      </c>
      <c r="R7997">
        <v>0.8631588</v>
      </c>
      <c r="S7997">
        <v>0.66094969999999997</v>
      </c>
      <c r="T7997">
        <v>-0.2872072</v>
      </c>
      <c r="U7997">
        <v>3.0744319999999998</v>
      </c>
      <c r="V7997">
        <v>-0.44633899999999999</v>
      </c>
      <c r="W7997">
        <v>-9.0198440000000005E-2</v>
      </c>
      <c r="X7997">
        <v>0.8903065</v>
      </c>
      <c r="Y7997">
        <v>-0.6994243</v>
      </c>
      <c r="Z7997">
        <v>-4.3131039999999999E-3</v>
      </c>
      <c r="AA7997">
        <v>0.71469369999999999</v>
      </c>
      <c r="AB7997">
        <v>23</v>
      </c>
      <c r="AC7997">
        <v>2.4403000000000001</v>
      </c>
      <c r="AD7997">
        <v>-1.1301597587879999</v>
      </c>
      <c r="AE7997">
        <v>11.9778699999999</v>
      </c>
      <c r="AF7997">
        <v>-8.5888940121990895</v>
      </c>
      <c r="AG7997">
        <v>-1.1301597587879999</v>
      </c>
      <c r="AH7997">
        <v>8.5517948735798104</v>
      </c>
      <c r="AI7997">
        <v>95.327141353599401</v>
      </c>
      <c r="AJ7997">
        <v>135.124010228609</v>
      </c>
      <c r="AK7997">
        <v>12.1729025705851</v>
      </c>
      <c r="AL7997">
        <v>95.175023490860696</v>
      </c>
      <c r="AM7997">
        <v>116.626065913701</v>
      </c>
      <c r="AN7997">
        <v>0.99999996272084102</v>
      </c>
    </row>
    <row r="7998" spans="1:40" x14ac:dyDescent="0.25">
      <c r="A7998" t="str">
        <f>"20190303155004326"</f>
        <v>20190303155004326</v>
      </c>
      <c r="B7998" t="str">
        <f>"1551599404318730"</f>
        <v>1551599404318730</v>
      </c>
      <c r="C7998" t="s">
        <v>40</v>
      </c>
      <c r="D7998">
        <v>5.266635</v>
      </c>
      <c r="E7998">
        <v>0.3789921</v>
      </c>
      <c r="F7998" t="s">
        <v>64</v>
      </c>
      <c r="G7998">
        <v>-194.56379999999999</v>
      </c>
      <c r="H7998" s="1">
        <v>-3.7806339999999999E-6</v>
      </c>
      <c r="I7998">
        <v>-47.116549999999997</v>
      </c>
      <c r="J7998">
        <v>-196.84909999999999</v>
      </c>
      <c r="K7998">
        <v>1.1301019999999999</v>
      </c>
      <c r="L7998">
        <v>-58.998930000000001</v>
      </c>
      <c r="M7998">
        <v>0.82582069999999996</v>
      </c>
      <c r="N7998">
        <v>-1.6555650000000002E-2</v>
      </c>
      <c r="O7998">
        <v>0.56368969999999996</v>
      </c>
      <c r="P7998">
        <v>0.48488320000000001</v>
      </c>
      <c r="Q7998">
        <v>-9.5659320000000006E-2</v>
      </c>
      <c r="R7998">
        <v>0.86933169999999904</v>
      </c>
      <c r="S7998">
        <v>0.6353607</v>
      </c>
      <c r="T7998">
        <v>-0.28907379999999999</v>
      </c>
      <c r="U7998">
        <v>3.0787659999999999</v>
      </c>
      <c r="V7998">
        <v>-0.44275769999999998</v>
      </c>
      <c r="W7998">
        <v>-9.0685230000000006E-2</v>
      </c>
      <c r="X7998">
        <v>0.89204359999999905</v>
      </c>
      <c r="Y7998">
        <v>-0.69342469999999901</v>
      </c>
      <c r="Z7998">
        <v>-6.3472779999999996E-3</v>
      </c>
      <c r="AA7998">
        <v>0.72050119999999995</v>
      </c>
      <c r="AB7998">
        <v>23</v>
      </c>
      <c r="AC7998">
        <v>2.2852999999999999</v>
      </c>
      <c r="AD7998">
        <v>-1.130105780634</v>
      </c>
      <c r="AE7998">
        <v>11.882379999999999</v>
      </c>
      <c r="AF7998">
        <v>-8.4519588778882397</v>
      </c>
      <c r="AG7998">
        <v>-1.130105780634</v>
      </c>
      <c r="AH7998">
        <v>8.5121501273242099</v>
      </c>
      <c r="AI7998">
        <v>95.381991039073498</v>
      </c>
      <c r="AJ7998">
        <v>134.79670667743301</v>
      </c>
      <c r="AK7998">
        <v>12.048628458834701</v>
      </c>
      <c r="AL7998">
        <v>95.203029147441299</v>
      </c>
      <c r="AM7998">
        <v>116.397083827264</v>
      </c>
      <c r="AN7998">
        <v>0.99999998807520096</v>
      </c>
    </row>
    <row r="7999" spans="1:40" x14ac:dyDescent="0.25">
      <c r="A7999" t="str">
        <f>"20190303155004348"</f>
        <v>20190303155004348</v>
      </c>
      <c r="B7999" t="str">
        <f>"1551599404338250"</f>
        <v>1551599404338250</v>
      </c>
      <c r="C7999" t="s">
        <v>40</v>
      </c>
      <c r="D7999">
        <v>5.3133439999999998</v>
      </c>
      <c r="E7999">
        <v>0.38029869999999999</v>
      </c>
      <c r="F7999" t="s">
        <v>64</v>
      </c>
      <c r="G7999">
        <v>-194.3989</v>
      </c>
      <c r="H7999" s="1">
        <v>-3.9720030000000001E-6</v>
      </c>
      <c r="I7999">
        <v>-46.677930000000003</v>
      </c>
      <c r="J7999">
        <v>-196.6849</v>
      </c>
      <c r="K7999">
        <v>1.1300650000000001</v>
      </c>
      <c r="L7999">
        <v>-58.867649999999998</v>
      </c>
      <c r="M7999">
        <v>0.81788609999999995</v>
      </c>
      <c r="N7999">
        <v>-1.6541449999999999E-2</v>
      </c>
      <c r="O7999">
        <v>0.57514239999999905</v>
      </c>
      <c r="P7999">
        <v>0.47611500000000001</v>
      </c>
      <c r="Q7999">
        <v>-9.4986329999999994E-2</v>
      </c>
      <c r="R7999">
        <v>0.87423809999999902</v>
      </c>
      <c r="S7999">
        <v>0.61216740000000003</v>
      </c>
      <c r="T7999">
        <v>-0.28235690000000002</v>
      </c>
      <c r="U7999">
        <v>3.0783999999999998</v>
      </c>
      <c r="V7999">
        <v>-0.43938700000000003</v>
      </c>
      <c r="W7999">
        <v>-8.9875949999999996E-2</v>
      </c>
      <c r="X7999">
        <v>0.89379039999999998</v>
      </c>
      <c r="Y7999">
        <v>-0.68866719999999904</v>
      </c>
      <c r="Z7999">
        <v>-7.4132069999999998E-3</v>
      </c>
      <c r="AA7999">
        <v>0.72503980000000001</v>
      </c>
      <c r="AB7999">
        <v>23</v>
      </c>
      <c r="AC7999">
        <v>2.286</v>
      </c>
      <c r="AD7999">
        <v>-1.1300689720029999</v>
      </c>
      <c r="AE7999">
        <v>12.189719999999999</v>
      </c>
      <c r="AF7999">
        <v>-8.5849342798398194</v>
      </c>
      <c r="AG7999">
        <v>-1.1300689720029999</v>
      </c>
      <c r="AH7999">
        <v>8.8085936022163391</v>
      </c>
      <c r="AI7999">
        <v>95.249301182406398</v>
      </c>
      <c r="AJ7999">
        <v>134.26328752387599</v>
      </c>
      <c r="AK7999">
        <v>12.351901623622901</v>
      </c>
      <c r="AL7999">
        <v>95.156470883126104</v>
      </c>
      <c r="AM7999">
        <v>116.178712719901</v>
      </c>
      <c r="AN7999">
        <v>0.99999995064477998</v>
      </c>
    </row>
    <row r="8000" spans="1:40" x14ac:dyDescent="0.25">
      <c r="A8000" t="str">
        <f>"20190303155004370"</f>
        <v>20190303155004370</v>
      </c>
      <c r="B8000" t="str">
        <f>"1551599404358744"</f>
        <v>1551599404358744</v>
      </c>
      <c r="C8000" t="s">
        <v>40</v>
      </c>
      <c r="D8000">
        <v>5.3524240000000001</v>
      </c>
      <c r="E8000">
        <v>0.40031129999999998</v>
      </c>
      <c r="F8000" t="s">
        <v>64</v>
      </c>
      <c r="G8000">
        <v>-194.2989</v>
      </c>
      <c r="H8000" s="1">
        <v>-4.0843900000000004E-6</v>
      </c>
      <c r="I8000">
        <v>-46.419199999999996</v>
      </c>
      <c r="J8000">
        <v>-196.5155</v>
      </c>
      <c r="K8000">
        <v>1.130028</v>
      </c>
      <c r="L8000">
        <v>-58.728180000000002</v>
      </c>
      <c r="M8000">
        <v>0.80943690000000001</v>
      </c>
      <c r="N8000">
        <v>-1.6526760000000001E-2</v>
      </c>
      <c r="O8000">
        <v>0.58697429999999995</v>
      </c>
      <c r="P8000">
        <v>0.46818409999999999</v>
      </c>
      <c r="Q8000">
        <v>-9.4537620000000003E-2</v>
      </c>
      <c r="R8000">
        <v>0.87855919999999899</v>
      </c>
      <c r="S8000">
        <v>0.59030150000000003</v>
      </c>
      <c r="T8000">
        <v>-0.2795762</v>
      </c>
      <c r="U8000">
        <v>3.0797119999999998</v>
      </c>
      <c r="V8000">
        <v>-0.4345406</v>
      </c>
      <c r="W8000">
        <v>-8.9247580000000007E-2</v>
      </c>
      <c r="X8000">
        <v>0.89621949999999995</v>
      </c>
      <c r="Y8000">
        <v>-0.68319669999999999</v>
      </c>
      <c r="Z8000">
        <v>-8.8125410000000001E-3</v>
      </c>
      <c r="AA8000">
        <v>0.73018130000000003</v>
      </c>
      <c r="AB8000">
        <v>23</v>
      </c>
      <c r="AC8000">
        <v>2.2166000000000001</v>
      </c>
      <c r="AD8000">
        <v>-1.13003208439</v>
      </c>
      <c r="AE8000">
        <v>12.30898</v>
      </c>
      <c r="AF8000">
        <v>-8.5932869033395995</v>
      </c>
      <c r="AG8000">
        <v>-1.13003208439</v>
      </c>
      <c r="AH8000">
        <v>8.9474418785513006</v>
      </c>
      <c r="AI8000">
        <v>95.204696398089993</v>
      </c>
      <c r="AJ8000">
        <v>133.84333034355799</v>
      </c>
      <c r="AK8000">
        <v>12.4570569752615</v>
      </c>
      <c r="AL8000">
        <v>95.120322265273401</v>
      </c>
      <c r="AM8000">
        <v>115.86687096436</v>
      </c>
      <c r="AN8000">
        <v>1.0000000278822301</v>
      </c>
    </row>
    <row r="8001" spans="1:40" x14ac:dyDescent="0.25">
      <c r="A8001" t="str">
        <f>"20190303155004403"</f>
        <v>20190303155004403</v>
      </c>
      <c r="B8001" t="str">
        <f>"1551599404398762"</f>
        <v>1551599404398762</v>
      </c>
      <c r="C8001" t="s">
        <v>40</v>
      </c>
      <c r="D8001">
        <v>5.44902</v>
      </c>
      <c r="E8001">
        <v>0.45295530000000001</v>
      </c>
      <c r="F8001" t="s">
        <v>64</v>
      </c>
      <c r="G8001">
        <v>-193.71</v>
      </c>
      <c r="H8001" s="1">
        <v>-3.8291770000000001E-6</v>
      </c>
      <c r="I8001">
        <v>-46.718049999999998</v>
      </c>
      <c r="J8001">
        <v>-196.2714</v>
      </c>
      <c r="K8001">
        <v>1.1299600000000001</v>
      </c>
      <c r="L8001">
        <v>-58.519959999999998</v>
      </c>
      <c r="M8001">
        <v>0.79678709999999997</v>
      </c>
      <c r="N8001">
        <v>-1.6504660000000001E-2</v>
      </c>
      <c r="O8001">
        <v>0.60403469999999904</v>
      </c>
      <c r="P8001">
        <v>0.45637</v>
      </c>
      <c r="Q8001">
        <v>-9.4591919999999996E-2</v>
      </c>
      <c r="R8001">
        <v>0.88474789999999903</v>
      </c>
      <c r="S8001">
        <v>0.70301819999999904</v>
      </c>
      <c r="T8001">
        <v>-0.28317120000000001</v>
      </c>
      <c r="U8001">
        <v>3.0095830000000001</v>
      </c>
      <c r="V8001">
        <v>-0.42752220000000002</v>
      </c>
      <c r="W8001">
        <v>-8.9038899999999893E-2</v>
      </c>
      <c r="X8001">
        <v>0.89960929999999995</v>
      </c>
      <c r="Y8001">
        <v>-0.63736230000000005</v>
      </c>
      <c r="Z8001">
        <v>-1.430331E-2</v>
      </c>
      <c r="AA8001">
        <v>0.77043149999999905</v>
      </c>
      <c r="AB8001">
        <v>23</v>
      </c>
      <c r="AC8001">
        <v>2.5613999999999901</v>
      </c>
      <c r="AD8001">
        <v>-1.129963829177</v>
      </c>
      <c r="AE8001">
        <v>11.801909999999999</v>
      </c>
      <c r="AF8001">
        <v>-7.7893133036511699</v>
      </c>
      <c r="AG8001">
        <v>-1.129963829177</v>
      </c>
      <c r="AH8001">
        <v>9.0913122352415492</v>
      </c>
      <c r="AI8001">
        <v>95.391889251297002</v>
      </c>
      <c r="AJ8001">
        <v>130.58952129170299</v>
      </c>
      <c r="AK8001">
        <v>12.0250645801317</v>
      </c>
      <c r="AL8001">
        <v>95.108318006239699</v>
      </c>
      <c r="AM8001">
        <v>115.418514563811</v>
      </c>
      <c r="AN8001">
        <v>1.0000000249262599</v>
      </c>
    </row>
    <row r="8002" spans="1:40" x14ac:dyDescent="0.25">
      <c r="A8002" t="str">
        <f>"20190303155004429"</f>
        <v>20190303155004429</v>
      </c>
      <c r="B8002" t="str">
        <f>"1551599404418281"</f>
        <v>1551599404418281</v>
      </c>
      <c r="C8002" t="s">
        <v>40</v>
      </c>
      <c r="D8002">
        <v>5.4638530000000003</v>
      </c>
      <c r="E8002">
        <v>0.45967629999999998</v>
      </c>
      <c r="F8002" t="s">
        <v>42</v>
      </c>
      <c r="G8002">
        <v>-195.9144</v>
      </c>
      <c r="H8002">
        <v>1.040365</v>
      </c>
      <c r="I8002">
        <v>-57.546239999999997</v>
      </c>
      <c r="J8002">
        <v>-196.08369999999999</v>
      </c>
      <c r="K8002">
        <v>1.1298779999999999</v>
      </c>
      <c r="L8002">
        <v>-58.353149999999999</v>
      </c>
      <c r="M8002">
        <v>0.78666119999999995</v>
      </c>
      <c r="N8002">
        <v>-1.648465E-2</v>
      </c>
      <c r="O8002">
        <v>0.61716470000000001</v>
      </c>
      <c r="P8002">
        <v>0.44502239999999998</v>
      </c>
      <c r="Q8002">
        <v>-9.4699019999999995E-2</v>
      </c>
      <c r="R8002">
        <v>0.89049829999999996</v>
      </c>
      <c r="S8002">
        <v>1.03688</v>
      </c>
      <c r="T8002">
        <v>-0.2602274</v>
      </c>
      <c r="U8002">
        <v>2.828125</v>
      </c>
      <c r="V8002">
        <v>-0.42411140000000003</v>
      </c>
      <c r="W8002">
        <v>-8.8991290000000001E-2</v>
      </c>
      <c r="X8002">
        <v>0.901227</v>
      </c>
      <c r="Y8002">
        <v>-0.52545509999999995</v>
      </c>
      <c r="Z8002">
        <v>-2.0102539999999999E-2</v>
      </c>
      <c r="AA8002">
        <v>0.85058389999999995</v>
      </c>
      <c r="AB8002">
        <v>23</v>
      </c>
      <c r="AC8002">
        <v>0.16929999999999201</v>
      </c>
      <c r="AD8002">
        <v>-8.9513000000000106E-2</v>
      </c>
      <c r="AE8002">
        <v>0.80690999999999402</v>
      </c>
      <c r="AF8002">
        <v>-0.524172355911114</v>
      </c>
      <c r="AG8002">
        <v>-8.9513000000000106E-2</v>
      </c>
      <c r="AH8002">
        <v>0.62390974952265799</v>
      </c>
      <c r="AI8002">
        <v>96.268741722386395</v>
      </c>
      <c r="AJ8002">
        <v>130.03500601930801</v>
      </c>
      <c r="AK8002">
        <v>0.819775951964824</v>
      </c>
      <c r="AL8002">
        <v>95.105579320708998</v>
      </c>
      <c r="AM8002">
        <v>115.201361845279</v>
      </c>
      <c r="AN8002">
        <v>1.00000001741741</v>
      </c>
    </row>
    <row r="8003" spans="1:40" x14ac:dyDescent="0.25">
      <c r="A8003" t="str">
        <f>"20190303155004450"</f>
        <v>20190303155004450</v>
      </c>
      <c r="B8003" t="str">
        <f>"1551599404438776"</f>
        <v>1551599404438776</v>
      </c>
      <c r="C8003" t="s">
        <v>40</v>
      </c>
      <c r="D8003">
        <v>5.4825530000000002</v>
      </c>
      <c r="E8003">
        <v>0.46371299999999999</v>
      </c>
      <c r="F8003" t="s">
        <v>42</v>
      </c>
      <c r="G8003">
        <v>-195.74449999999999</v>
      </c>
      <c r="H8003">
        <v>1.044613</v>
      </c>
      <c r="I8003">
        <v>-57.441809999999997</v>
      </c>
      <c r="J8003">
        <v>-195.92410000000001</v>
      </c>
      <c r="K8003">
        <v>1.129799</v>
      </c>
      <c r="L8003">
        <v>-58.207090000000001</v>
      </c>
      <c r="M8003">
        <v>0.77778689999999995</v>
      </c>
      <c r="N8003">
        <v>-1.6465299999999999E-2</v>
      </c>
      <c r="O8003">
        <v>0.62831250000000005</v>
      </c>
      <c r="P8003">
        <v>0.43567080000000002</v>
      </c>
      <c r="Q8003">
        <v>-9.5738000000000004E-2</v>
      </c>
      <c r="R8003">
        <v>0.89500009999999997</v>
      </c>
      <c r="S8003">
        <v>1.048416</v>
      </c>
      <c r="T8003">
        <v>-0.26353739999999998</v>
      </c>
      <c r="U8003">
        <v>2.8169249999999999</v>
      </c>
      <c r="V8003">
        <v>-0.42061799999999999</v>
      </c>
      <c r="W8003">
        <v>-8.9875880000000005E-2</v>
      </c>
      <c r="X8003">
        <v>0.90277499999999999</v>
      </c>
      <c r="Y8003">
        <v>-0.50915029999999994</v>
      </c>
      <c r="Z8003">
        <v>-2.250568E-2</v>
      </c>
      <c r="AA8003">
        <v>0.86038329999999996</v>
      </c>
      <c r="AB8003">
        <v>22</v>
      </c>
      <c r="AC8003">
        <v>0.17960000000002099</v>
      </c>
      <c r="AD8003">
        <v>-8.5185999999999901E-2</v>
      </c>
      <c r="AE8003">
        <v>0.76528000000000396</v>
      </c>
      <c r="AF8003">
        <v>-0.47684518419734501</v>
      </c>
      <c r="AG8003">
        <v>-8.5185999999999901E-2</v>
      </c>
      <c r="AH8003">
        <v>0.61340583460321096</v>
      </c>
      <c r="AI8003">
        <v>96.257022132102506</v>
      </c>
      <c r="AJ8003">
        <v>127.860533310462</v>
      </c>
      <c r="AK8003">
        <v>0.78160392924643196</v>
      </c>
      <c r="AL8003">
        <v>95.1564669205858</v>
      </c>
      <c r="AM8003">
        <v>114.981600484243</v>
      </c>
      <c r="AN8003">
        <v>0.99999993817738497</v>
      </c>
    </row>
    <row r="8004" spans="1:40" x14ac:dyDescent="0.25">
      <c r="A8004" t="str">
        <f>"20190303155004472"</f>
        <v>20190303155004472</v>
      </c>
      <c r="B8004" t="str">
        <f>"1551599404468057"</f>
        <v>1551599404468057</v>
      </c>
      <c r="C8004" t="s">
        <v>40</v>
      </c>
      <c r="D8004">
        <v>5.5085110000000004</v>
      </c>
      <c r="E8004">
        <v>0.46748620000000002</v>
      </c>
      <c r="F8004" t="s">
        <v>42</v>
      </c>
      <c r="G8004">
        <v>-195.59379999999999</v>
      </c>
      <c r="H8004">
        <v>1.0477590000000001</v>
      </c>
      <c r="I8004">
        <v>-57.320569999999996</v>
      </c>
      <c r="J8004">
        <v>-195.76740000000001</v>
      </c>
      <c r="K8004">
        <v>1.129704</v>
      </c>
      <c r="L8004">
        <v>-58.059690000000003</v>
      </c>
      <c r="M8004">
        <v>0.76885300000000001</v>
      </c>
      <c r="N8004">
        <v>-1.6443039999999999E-2</v>
      </c>
      <c r="O8004">
        <v>0.63921410000000001</v>
      </c>
      <c r="P8004">
        <v>0.42643829999999999</v>
      </c>
      <c r="Q8004">
        <v>-9.8288020000000004E-2</v>
      </c>
      <c r="R8004">
        <v>0.89916059999999998</v>
      </c>
      <c r="S8004">
        <v>1.048157</v>
      </c>
      <c r="T8004">
        <v>-0.26038990000000001</v>
      </c>
      <c r="U8004">
        <v>2.8138730000000001</v>
      </c>
      <c r="V8004">
        <v>-0.41693809999999898</v>
      </c>
      <c r="W8004">
        <v>-9.2257500000000006E-2</v>
      </c>
      <c r="X8004">
        <v>0.90424070000000001</v>
      </c>
      <c r="Y8004">
        <v>-0.4968012</v>
      </c>
      <c r="Z8004">
        <v>-2.3748789999999999E-2</v>
      </c>
      <c r="AA8004">
        <v>0.86753930000000001</v>
      </c>
      <c r="AB8004">
        <v>22</v>
      </c>
      <c r="AC8004">
        <v>0.17360000000002099</v>
      </c>
      <c r="AD8004">
        <v>-8.1944999999999907E-2</v>
      </c>
      <c r="AE8004">
        <v>0.73912000000000599</v>
      </c>
      <c r="AF8004">
        <v>-0.45210229328277401</v>
      </c>
      <c r="AG8004">
        <v>-8.1944999999999907E-2</v>
      </c>
      <c r="AH8004">
        <v>0.59903252308739796</v>
      </c>
      <c r="AI8004">
        <v>96.231357418825894</v>
      </c>
      <c r="AJ8004">
        <v>127.042613457702</v>
      </c>
      <c r="AK8004">
        <v>0.75495127679407104</v>
      </c>
      <c r="AL8004">
        <v>95.293492597042899</v>
      </c>
      <c r="AM8004">
        <v>114.754046024768</v>
      </c>
      <c r="AN8004">
        <v>1.00000003453717</v>
      </c>
    </row>
    <row r="8005" spans="1:40" x14ac:dyDescent="0.25">
      <c r="A8005" t="str">
        <f>"20190303155004498"</f>
        <v>20190303155004498</v>
      </c>
      <c r="B8005" t="str">
        <f>"1551599404488554"</f>
        <v>1551599404488554</v>
      </c>
      <c r="C8005" t="s">
        <v>40</v>
      </c>
      <c r="D8005">
        <v>5.5059050000000003</v>
      </c>
      <c r="E8005">
        <v>0.46934599999999999</v>
      </c>
      <c r="F8005" t="s">
        <v>42</v>
      </c>
      <c r="G8005">
        <v>-195.44589999999999</v>
      </c>
      <c r="H8005">
        <v>1.0482089999999999</v>
      </c>
      <c r="I8005">
        <v>-57.196510000000004</v>
      </c>
      <c r="J8005">
        <v>-195.59190000000001</v>
      </c>
      <c r="K8005">
        <v>1.1295660000000001</v>
      </c>
      <c r="L8005">
        <v>-57.889769999999999</v>
      </c>
      <c r="M8005">
        <v>0.758596099999999</v>
      </c>
      <c r="N8005">
        <v>-1.6412690000000001E-2</v>
      </c>
      <c r="O8005">
        <v>0.6513544</v>
      </c>
      <c r="P8005">
        <v>0.41624159999999999</v>
      </c>
      <c r="Q8005">
        <v>-0.10166</v>
      </c>
      <c r="R8005">
        <v>0.9035531</v>
      </c>
      <c r="S8005">
        <v>1.04657</v>
      </c>
      <c r="T8005">
        <v>-0.26538289999999998</v>
      </c>
      <c r="U8005">
        <v>2.811096</v>
      </c>
      <c r="V8005">
        <v>-0.41246939999999999</v>
      </c>
      <c r="W8005">
        <v>-9.5413440000000002E-2</v>
      </c>
      <c r="X8005">
        <v>0.90596100000000002</v>
      </c>
      <c r="Y8005">
        <v>-0.4831568</v>
      </c>
      <c r="Z8005">
        <v>-2.6353439999999999E-2</v>
      </c>
      <c r="AA8005">
        <v>0.87513719999999995</v>
      </c>
      <c r="AB8005">
        <v>22</v>
      </c>
      <c r="AC8005">
        <v>0.14600000000001501</v>
      </c>
      <c r="AD8005">
        <v>-8.1357000000000096E-2</v>
      </c>
      <c r="AE8005">
        <v>0.69326000000000199</v>
      </c>
      <c r="AF8005">
        <v>-0.425256711564928</v>
      </c>
      <c r="AG8005">
        <v>-8.1357000000000096E-2</v>
      </c>
      <c r="AH8005">
        <v>0.555068968733887</v>
      </c>
      <c r="AI8005">
        <v>96.636503298333395</v>
      </c>
      <c r="AJ8005">
        <v>127.456920691459</v>
      </c>
      <c r="AK8005">
        <v>0.70396291964230495</v>
      </c>
      <c r="AL8005">
        <v>95.475116098840601</v>
      </c>
      <c r="AM8005">
        <v>114.479006999044</v>
      </c>
      <c r="AN8005">
        <v>1.00000003199499</v>
      </c>
    </row>
    <row r="8006" spans="1:40" x14ac:dyDescent="0.25">
      <c r="A8006" t="str">
        <f>"20190303155004516"</f>
        <v>20190303155004516</v>
      </c>
      <c r="B8006" t="str">
        <f>"1551599404509049"</f>
        <v>1551599404509049</v>
      </c>
      <c r="C8006" t="s">
        <v>40</v>
      </c>
      <c r="D8006">
        <v>5.5057640000000001</v>
      </c>
      <c r="E8006">
        <v>0.47068369999999998</v>
      </c>
      <c r="F8006" t="s">
        <v>42</v>
      </c>
      <c r="G8006">
        <v>-195.29390000000001</v>
      </c>
      <c r="H8006">
        <v>1.0497799999999999</v>
      </c>
      <c r="I8006">
        <v>-57.073729999999998</v>
      </c>
      <c r="J8006">
        <v>-195.46469999999999</v>
      </c>
      <c r="K8006">
        <v>1.129445</v>
      </c>
      <c r="L8006">
        <v>-57.763179999999998</v>
      </c>
      <c r="M8006">
        <v>0.75101960000000001</v>
      </c>
      <c r="N8006">
        <v>-1.6385159999999999E-2</v>
      </c>
      <c r="O8006">
        <v>0.66007660000000001</v>
      </c>
      <c r="P8006">
        <v>0.4104968</v>
      </c>
      <c r="Q8006">
        <v>-0.10350520000000001</v>
      </c>
      <c r="R8006">
        <v>0.90596860000000001</v>
      </c>
      <c r="S8006">
        <v>1.0281979999999999</v>
      </c>
      <c r="T8006">
        <v>-0.27530939999999998</v>
      </c>
      <c r="U8006">
        <v>2.815582</v>
      </c>
      <c r="V8006">
        <v>-0.40758620000000001</v>
      </c>
      <c r="W8006">
        <v>-9.7041989999999995E-2</v>
      </c>
      <c r="X8006">
        <v>0.90799580000000002</v>
      </c>
      <c r="Y8006">
        <v>-0.47853770000000001</v>
      </c>
      <c r="Z8006">
        <v>-2.8998300000000001E-2</v>
      </c>
      <c r="AA8006">
        <v>0.87758799999999904</v>
      </c>
      <c r="AB8006">
        <v>22</v>
      </c>
      <c r="AC8006">
        <v>0.17079999999998499</v>
      </c>
      <c r="AD8006">
        <v>-7.9665000000000097E-2</v>
      </c>
      <c r="AE8006">
        <v>0.68945000000000001</v>
      </c>
      <c r="AF8006">
        <v>-0.40007107957150301</v>
      </c>
      <c r="AG8006">
        <v>-7.9665000000000097E-2</v>
      </c>
      <c r="AH8006">
        <v>0.57619406580707999</v>
      </c>
      <c r="AI8006">
        <v>96.479267437640303</v>
      </c>
      <c r="AJ8006">
        <v>124.773558552482</v>
      </c>
      <c r="AK8006">
        <v>0.70597661604744499</v>
      </c>
      <c r="AL8006">
        <v>95.568860274095499</v>
      </c>
      <c r="AM8006">
        <v>114.1746230473</v>
      </c>
      <c r="AN8006">
        <v>1.0000000155356199</v>
      </c>
    </row>
    <row r="8007" spans="1:40" x14ac:dyDescent="0.25">
      <c r="A8007" t="str">
        <f>"20190303155004539"</f>
        <v>20190303155004539</v>
      </c>
      <c r="B8007" t="str">
        <f>"1551599404528569"</f>
        <v>1551599404528569</v>
      </c>
      <c r="C8007" t="s">
        <v>40</v>
      </c>
      <c r="D8007">
        <v>5.4740949999999904</v>
      </c>
      <c r="E8007">
        <v>0.47177210000000003</v>
      </c>
      <c r="F8007" t="s">
        <v>42</v>
      </c>
      <c r="G8007">
        <v>-195.16399999999999</v>
      </c>
      <c r="H8007">
        <v>1.0468189999999999</v>
      </c>
      <c r="I8007">
        <v>-56.93309</v>
      </c>
      <c r="J8007">
        <v>-195.30799999999999</v>
      </c>
      <c r="K8007">
        <v>1.1292879999999901</v>
      </c>
      <c r="L8007">
        <v>-57.603610000000003</v>
      </c>
      <c r="M8007">
        <v>0.74153230000000003</v>
      </c>
      <c r="N8007">
        <v>-1.634553E-2</v>
      </c>
      <c r="O8007">
        <v>0.67071809999999998</v>
      </c>
      <c r="P8007">
        <v>0.4015975</v>
      </c>
      <c r="Q8007">
        <v>-0.1038116</v>
      </c>
      <c r="R8007">
        <v>0.90991350000000004</v>
      </c>
      <c r="S8007">
        <v>1.020081</v>
      </c>
      <c r="T8007">
        <v>-0.28038279999999999</v>
      </c>
      <c r="U8007">
        <v>2.8171390000000001</v>
      </c>
      <c r="V8007">
        <v>-0.40354689999999999</v>
      </c>
      <c r="W8007">
        <v>-9.7120239999999997E-2</v>
      </c>
      <c r="X8007">
        <v>0.90978990000000004</v>
      </c>
      <c r="Y8007">
        <v>-0.4684296</v>
      </c>
      <c r="Z8007">
        <v>-3.1417510000000003E-2</v>
      </c>
      <c r="AA8007">
        <v>0.882942</v>
      </c>
      <c r="AB8007">
        <v>22</v>
      </c>
      <c r="AC8007">
        <v>0.14399999999997701</v>
      </c>
      <c r="AD8007">
        <v>-8.2468999999999903E-2</v>
      </c>
      <c r="AE8007">
        <v>0.67051999999999601</v>
      </c>
      <c r="AF8007">
        <v>-0.39497096109563901</v>
      </c>
      <c r="AG8007">
        <v>-8.2468999999999903E-2</v>
      </c>
      <c r="AH8007">
        <v>0.54865124575314295</v>
      </c>
      <c r="AI8007">
        <v>96.955127438261499</v>
      </c>
      <c r="AJ8007">
        <v>125.749902430189</v>
      </c>
      <c r="AK8007">
        <v>0.68104433448659396</v>
      </c>
      <c r="AL8007">
        <v>95.5733647437972</v>
      </c>
      <c r="AM8007">
        <v>113.920184794082</v>
      </c>
      <c r="AN8007">
        <v>1.0000000518296299</v>
      </c>
    </row>
    <row r="8008" spans="1:40" x14ac:dyDescent="0.25">
      <c r="A8008" t="str">
        <f>"20190303155004560"</f>
        <v>20190303155004560</v>
      </c>
      <c r="B8008" t="str">
        <f>"1551599404558825"</f>
        <v>1551599404558825</v>
      </c>
      <c r="C8008" t="s">
        <v>40</v>
      </c>
      <c r="D8008">
        <v>5.5379440000000004</v>
      </c>
      <c r="E8008">
        <v>0.47315689999999999</v>
      </c>
      <c r="F8008" t="s">
        <v>42</v>
      </c>
      <c r="G8008">
        <v>-195.00239999999999</v>
      </c>
      <c r="H8008">
        <v>1.0430120000000001</v>
      </c>
      <c r="I8008">
        <v>-56.741230000000002</v>
      </c>
      <c r="J8008">
        <v>-195.16560000000001</v>
      </c>
      <c r="K8008">
        <v>1.1291249999999999</v>
      </c>
      <c r="L8008">
        <v>-57.454770000000003</v>
      </c>
      <c r="M8008">
        <v>0.73278869999999996</v>
      </c>
      <c r="N8008">
        <v>-1.6303560000000002E-2</v>
      </c>
      <c r="O8008">
        <v>0.6802608</v>
      </c>
      <c r="P8008">
        <v>0.39382499999999998</v>
      </c>
      <c r="Q8008">
        <v>-0.10326390000000001</v>
      </c>
      <c r="R8008">
        <v>0.91336660000000003</v>
      </c>
      <c r="S8008">
        <v>1.0003200000000001</v>
      </c>
      <c r="T8008">
        <v>-0.28245559999999997</v>
      </c>
      <c r="U8008">
        <v>2.8232729999999999</v>
      </c>
      <c r="V8008">
        <v>-0.3996247</v>
      </c>
      <c r="W8008">
        <v>-9.6347160000000001E-2</v>
      </c>
      <c r="X8008">
        <v>0.91160149999999995</v>
      </c>
      <c r="Y8008">
        <v>-0.46311560000000002</v>
      </c>
      <c r="Z8008">
        <v>-3.3038770000000002E-2</v>
      </c>
      <c r="AA8008">
        <v>0.88568189999999902</v>
      </c>
      <c r="AB8008">
        <v>22</v>
      </c>
      <c r="AC8008">
        <v>0.163200000000017</v>
      </c>
      <c r="AD8008">
        <v>-8.6112999999999801E-2</v>
      </c>
      <c r="AE8008">
        <v>0.71353999999999396</v>
      </c>
      <c r="AF8008">
        <v>-0.40628699519918099</v>
      </c>
      <c r="AG8008">
        <v>-8.6112999999999801E-2</v>
      </c>
      <c r="AH8008">
        <v>0.59680471666766599</v>
      </c>
      <c r="AI8008">
        <v>96.801794487509198</v>
      </c>
      <c r="AJ8008">
        <v>124.245875662388</v>
      </c>
      <c r="AK8008">
        <v>0.72709039401834497</v>
      </c>
      <c r="AL8008">
        <v>95.528862186497605</v>
      </c>
      <c r="AM8008">
        <v>113.671517139901</v>
      </c>
      <c r="AN8008">
        <v>0.99999998544620206</v>
      </c>
    </row>
    <row r="8009" spans="1:40" x14ac:dyDescent="0.25">
      <c r="A8009" t="str">
        <f>"20190303155004582"</f>
        <v>20190303155004582</v>
      </c>
      <c r="B8009" t="str">
        <f>"1551599404578346"</f>
        <v>1551599404578346</v>
      </c>
      <c r="C8009" t="s">
        <v>40</v>
      </c>
      <c r="D8009">
        <v>5.512848</v>
      </c>
      <c r="E8009">
        <v>0.47394330000000001</v>
      </c>
      <c r="F8009" t="s">
        <v>64</v>
      </c>
      <c r="G8009">
        <v>-191.21090000000001</v>
      </c>
      <c r="H8009" s="1">
        <v>-3.6768749999999998E-6</v>
      </c>
      <c r="I8009">
        <v>-46.117649999999998</v>
      </c>
      <c r="J8009">
        <v>-195.03020000000001</v>
      </c>
      <c r="K8009">
        <v>1.1289559999999901</v>
      </c>
      <c r="L8009">
        <v>-57.309750000000001</v>
      </c>
      <c r="M8009">
        <v>0.72437769999999901</v>
      </c>
      <c r="N8009">
        <v>-1.6258709999999999E-2</v>
      </c>
      <c r="O8009">
        <v>0.68921169999999998</v>
      </c>
      <c r="P8009">
        <v>0.38687159999999998</v>
      </c>
      <c r="Q8009">
        <v>-0.10494000000000001</v>
      </c>
      <c r="R8009">
        <v>0.91614289999999998</v>
      </c>
      <c r="S8009">
        <v>0.9862976</v>
      </c>
      <c r="T8009">
        <v>-0.28160230000000003</v>
      </c>
      <c r="U8009">
        <v>2.8274539999999999</v>
      </c>
      <c r="V8009">
        <v>-0.39522560000000001</v>
      </c>
      <c r="W8009">
        <v>-9.7791219999999998E-2</v>
      </c>
      <c r="X8009">
        <v>0.91336390000000001</v>
      </c>
      <c r="Y8009">
        <v>-0.4565805</v>
      </c>
      <c r="Z8009">
        <v>-3.4177510000000001E-2</v>
      </c>
      <c r="AA8009">
        <v>0.88902539999999997</v>
      </c>
      <c r="AB8009">
        <v>22</v>
      </c>
      <c r="AC8009">
        <v>3.8192999999999899</v>
      </c>
      <c r="AD8009">
        <v>-1.1289596768750001</v>
      </c>
      <c r="AE8009">
        <v>11.1921</v>
      </c>
      <c r="AF8009">
        <v>-5.4262714308743298</v>
      </c>
      <c r="AG8009">
        <v>-1.1289596768750001</v>
      </c>
      <c r="AH8009">
        <v>10.387062250980501</v>
      </c>
      <c r="AI8009">
        <v>95.502645766752096</v>
      </c>
      <c r="AJ8009">
        <v>117.58287048880899</v>
      </c>
      <c r="AK8009">
        <v>11.7732762559653</v>
      </c>
      <c r="AL8009">
        <v>95.611993199893604</v>
      </c>
      <c r="AM8009">
        <v>113.398824173649</v>
      </c>
      <c r="AN8009">
        <v>1.0000000057138201</v>
      </c>
    </row>
    <row r="8010" spans="1:40" x14ac:dyDescent="0.25">
      <c r="A8010" t="str">
        <f>"20190303155004604"</f>
        <v>20190303155004604</v>
      </c>
      <c r="B8010" t="str">
        <f>"1551599404598841"</f>
        <v>1551599404598841</v>
      </c>
      <c r="C8010" t="s">
        <v>40</v>
      </c>
      <c r="D8010">
        <v>5.5233299999999996</v>
      </c>
      <c r="E8010">
        <v>0.47477279999999999</v>
      </c>
      <c r="F8010" t="s">
        <v>42</v>
      </c>
      <c r="G8010">
        <v>-194.69919999999999</v>
      </c>
      <c r="H8010">
        <v>1.0316970000000001</v>
      </c>
      <c r="I8010">
        <v>-56.344380000000001</v>
      </c>
      <c r="J8010">
        <v>-194.87790000000001</v>
      </c>
      <c r="K8010">
        <v>1.1287510000000001</v>
      </c>
      <c r="L8010">
        <v>-57.142609999999998</v>
      </c>
      <c r="M8010">
        <v>0.71483189999999996</v>
      </c>
      <c r="N8010">
        <v>-1.6203019999999999E-2</v>
      </c>
      <c r="O8010">
        <v>0.69910859999999997</v>
      </c>
      <c r="P8010">
        <v>0.37909229999999999</v>
      </c>
      <c r="Q8010">
        <v>-0.1071169</v>
      </c>
      <c r="R8010">
        <v>0.91913820000000002</v>
      </c>
      <c r="S8010">
        <v>0.97077939999999996</v>
      </c>
      <c r="T8010">
        <v>-0.28530450000000002</v>
      </c>
      <c r="U8010">
        <v>2.8319700000000001</v>
      </c>
      <c r="V8010">
        <v>-0.3902352</v>
      </c>
      <c r="W8010">
        <v>-9.9708039999999998E-2</v>
      </c>
      <c r="X8010">
        <v>0.91530040000000001</v>
      </c>
      <c r="Y8010">
        <v>-0.44916879999999998</v>
      </c>
      <c r="Z8010">
        <v>-3.6253569999999999E-2</v>
      </c>
      <c r="AA8010">
        <v>0.89271109999999898</v>
      </c>
      <c r="AB8010">
        <v>22</v>
      </c>
      <c r="AC8010">
        <v>0.17870000000002001</v>
      </c>
      <c r="AD8010">
        <v>-9.7054000000000196E-2</v>
      </c>
      <c r="AE8010">
        <v>0.798229999999989</v>
      </c>
      <c r="AF8010">
        <v>-0.43954033940135701</v>
      </c>
      <c r="AG8010">
        <v>-9.7054000000000196E-2</v>
      </c>
      <c r="AH8010">
        <v>0.67635836058939303</v>
      </c>
      <c r="AI8010">
        <v>96.860843700535597</v>
      </c>
      <c r="AJ8010">
        <v>123.018353030765</v>
      </c>
      <c r="AK8010">
        <v>0.812450503610055</v>
      </c>
      <c r="AL8010">
        <v>95.722358299246693</v>
      </c>
      <c r="AM8010">
        <v>113.090810154035</v>
      </c>
      <c r="AN8010">
        <v>1.0000000133999201</v>
      </c>
    </row>
    <row r="8011" spans="1:40" x14ac:dyDescent="0.25">
      <c r="A8011" t="str">
        <f>"20190303155004628"</f>
        <v>20190303155004628</v>
      </c>
      <c r="B8011" t="str">
        <f>"1551599404618362"</f>
        <v>1551599404618362</v>
      </c>
      <c r="C8011" t="s">
        <v>40</v>
      </c>
      <c r="D8011">
        <v>5.5438720000000004</v>
      </c>
      <c r="E8011">
        <v>0.47541729999999999</v>
      </c>
      <c r="F8011" t="s">
        <v>42</v>
      </c>
      <c r="G8011">
        <v>-194.56440000000001</v>
      </c>
      <c r="H8011">
        <v>1.033239</v>
      </c>
      <c r="I8011">
        <v>-56.209009999999999</v>
      </c>
      <c r="J8011">
        <v>-194.7302</v>
      </c>
      <c r="K8011">
        <v>1.1285799999999999</v>
      </c>
      <c r="L8011">
        <v>-56.976349999999996</v>
      </c>
      <c r="M8011">
        <v>0.70546279999999995</v>
      </c>
      <c r="N8011">
        <v>-1.6147020000000002E-2</v>
      </c>
      <c r="O8011">
        <v>0.70856300000000005</v>
      </c>
      <c r="P8011">
        <v>0.37164599999999998</v>
      </c>
      <c r="Q8011">
        <v>-0.1083635</v>
      </c>
      <c r="R8011">
        <v>0.92202850000000003</v>
      </c>
      <c r="S8011">
        <v>0.95300289999999999</v>
      </c>
      <c r="T8011">
        <v>-0.2902497</v>
      </c>
      <c r="U8011">
        <v>2.8370359999999999</v>
      </c>
      <c r="V8011">
        <v>-0.38537369999999999</v>
      </c>
      <c r="W8011">
        <v>-0.100718</v>
      </c>
      <c r="X8011">
        <v>0.91724749999999999</v>
      </c>
      <c r="Y8011">
        <v>-0.4428125</v>
      </c>
      <c r="Z8011">
        <v>-3.8493720000000002E-2</v>
      </c>
      <c r="AA8011">
        <v>0.89578749999999996</v>
      </c>
      <c r="AB8011">
        <v>22</v>
      </c>
      <c r="AC8011">
        <v>0.16579999999999001</v>
      </c>
      <c r="AD8011">
        <v>-9.5340999999999898E-2</v>
      </c>
      <c r="AE8011">
        <v>0.76733999999999702</v>
      </c>
      <c r="AF8011">
        <v>-0.41774397309158301</v>
      </c>
      <c r="AG8011">
        <v>-9.5340999999999898E-2</v>
      </c>
      <c r="AH8011">
        <v>0.65115659782094204</v>
      </c>
      <c r="AI8011">
        <v>97.025553844985495</v>
      </c>
      <c r="AJ8011">
        <v>122.681855859352</v>
      </c>
      <c r="AK8011">
        <v>0.77949012066932899</v>
      </c>
      <c r="AL8011">
        <v>95.780517654211494</v>
      </c>
      <c r="AM8011">
        <v>112.789294894295</v>
      </c>
      <c r="AN8011">
        <v>0.99999999021596897</v>
      </c>
    </row>
    <row r="8012" spans="1:40" x14ac:dyDescent="0.25">
      <c r="A8012" t="str">
        <f>"20190303155004652"</f>
        <v>20190303155004652</v>
      </c>
      <c r="B8012" t="str">
        <f>"1551599404648618"</f>
        <v>1551599404648618</v>
      </c>
      <c r="C8012" t="s">
        <v>40</v>
      </c>
      <c r="D8012">
        <v>5.5491409999999997</v>
      </c>
      <c r="E8012">
        <v>0.4764756</v>
      </c>
      <c r="F8012" t="s">
        <v>42</v>
      </c>
      <c r="G8012">
        <v>-194.42500000000001</v>
      </c>
      <c r="H8012">
        <v>1.0329360000000001</v>
      </c>
      <c r="I8012">
        <v>-56.048679999999997</v>
      </c>
      <c r="J8012">
        <v>-194.57740000000001</v>
      </c>
      <c r="K8012">
        <v>1.1284160000000001</v>
      </c>
      <c r="L8012">
        <v>-56.800109999999997</v>
      </c>
      <c r="M8012">
        <v>0.6956717</v>
      </c>
      <c r="N8012">
        <v>-1.6088640000000001E-2</v>
      </c>
      <c r="O8012">
        <v>0.71817969999999998</v>
      </c>
      <c r="P8012">
        <v>0.36327039999999999</v>
      </c>
      <c r="Q8012">
        <v>-0.107836</v>
      </c>
      <c r="R8012">
        <v>0.92542210000000003</v>
      </c>
      <c r="S8012">
        <v>0.93484500000000004</v>
      </c>
      <c r="T8012">
        <v>-0.2930275</v>
      </c>
      <c r="U8012">
        <v>2.842438</v>
      </c>
      <c r="V8012">
        <v>-0.38119809999999998</v>
      </c>
      <c r="W8012">
        <v>-9.9979029999999997E-2</v>
      </c>
      <c r="X8012">
        <v>0.91907139999999998</v>
      </c>
      <c r="Y8012">
        <v>-0.4362065</v>
      </c>
      <c r="Z8012">
        <v>-4.0404219999999998E-2</v>
      </c>
      <c r="AA8012">
        <v>0.89893909999999999</v>
      </c>
      <c r="AB8012">
        <v>22</v>
      </c>
      <c r="AC8012">
        <v>0.15240000000000001</v>
      </c>
      <c r="AD8012">
        <v>-9.5479999999999995E-2</v>
      </c>
      <c r="AE8012">
        <v>0.75142999999999205</v>
      </c>
      <c r="AF8012">
        <v>-0.40703933375252399</v>
      </c>
      <c r="AG8012">
        <v>-9.5479999999999995E-2</v>
      </c>
      <c r="AH8012">
        <v>0.63590442772894495</v>
      </c>
      <c r="AI8012">
        <v>97.207377512125205</v>
      </c>
      <c r="AJ8012">
        <v>122.62311004784399</v>
      </c>
      <c r="AK8012">
        <v>0.76103343607687501</v>
      </c>
      <c r="AL8012">
        <v>95.737962828999997</v>
      </c>
      <c r="AM8012">
        <v>112.526933588817</v>
      </c>
      <c r="AN8012">
        <v>1.0000000180906501</v>
      </c>
    </row>
    <row r="8013" spans="1:40" x14ac:dyDescent="0.25">
      <c r="A8013" t="str">
        <f>"20190303155004673"</f>
        <v>20190303155004673</v>
      </c>
      <c r="B8013" t="str">
        <f>"1551599404668138"</f>
        <v>1551599404668138</v>
      </c>
      <c r="C8013" t="s">
        <v>40</v>
      </c>
      <c r="D8013">
        <v>5.5763049999999996</v>
      </c>
      <c r="E8013">
        <v>0.47711009999999998</v>
      </c>
      <c r="F8013" t="s">
        <v>64</v>
      </c>
      <c r="G8013">
        <v>-191.02</v>
      </c>
      <c r="H8013" s="1">
        <v>-3.8371920000000001E-6</v>
      </c>
      <c r="I8013">
        <v>-45.750480000000003</v>
      </c>
      <c r="J8013">
        <v>-194.4427</v>
      </c>
      <c r="K8013">
        <v>1.1282650000000001</v>
      </c>
      <c r="L8013">
        <v>-56.640990000000002</v>
      </c>
      <c r="M8013">
        <v>0.68697799999999998</v>
      </c>
      <c r="N8013">
        <v>-1.6035959999999998E-2</v>
      </c>
      <c r="O8013">
        <v>0.72650130000000002</v>
      </c>
      <c r="P8013">
        <v>0.35601870000000002</v>
      </c>
      <c r="Q8013">
        <v>-0.10625370000000001</v>
      </c>
      <c r="R8013">
        <v>0.92841850000000004</v>
      </c>
      <c r="S8013">
        <v>0.91690059999999995</v>
      </c>
      <c r="T8013">
        <v>-0.29083900000000001</v>
      </c>
      <c r="U8013">
        <v>2.847931</v>
      </c>
      <c r="V8013">
        <v>-0.37752140000000001</v>
      </c>
      <c r="W8013">
        <v>-9.8210220000000001E-2</v>
      </c>
      <c r="X8013">
        <v>0.92077810000000004</v>
      </c>
      <c r="Y8013">
        <v>-0.4310406</v>
      </c>
      <c r="Z8013">
        <v>-4.1182589999999998E-2</v>
      </c>
      <c r="AA8013">
        <v>0.90139219999999998</v>
      </c>
      <c r="AB8013">
        <v>22</v>
      </c>
      <c r="AC8013">
        <v>3.4226999999999901</v>
      </c>
      <c r="AD8013">
        <v>-1.128268837192</v>
      </c>
      <c r="AE8013">
        <v>10.890510000000001</v>
      </c>
      <c r="AF8013">
        <v>-4.9472604818688799</v>
      </c>
      <c r="AG8013">
        <v>-1.128268837192</v>
      </c>
      <c r="AH8013">
        <v>10.1653106649606</v>
      </c>
      <c r="AI8013">
        <v>95.699266209334695</v>
      </c>
      <c r="AJ8013">
        <v>115.95129272698701</v>
      </c>
      <c r="AK8013">
        <v>11.3614223475585</v>
      </c>
      <c r="AL8013">
        <v>95.636116385124197</v>
      </c>
      <c r="AM8013">
        <v>112.293755890347</v>
      </c>
      <c r="AN8013">
        <v>0.99999998210500896</v>
      </c>
    </row>
    <row r="8014" spans="1:40" x14ac:dyDescent="0.25">
      <c r="A8014" t="str">
        <f>"20190303155004699"</f>
        <v>20190303155004699</v>
      </c>
      <c r="B8014" t="str">
        <f>"1551599404688634"</f>
        <v>1551599404688634</v>
      </c>
      <c r="C8014" t="s">
        <v>40</v>
      </c>
      <c r="D8014">
        <v>5.5866600000000002</v>
      </c>
      <c r="E8014">
        <v>0.47741139999999999</v>
      </c>
      <c r="F8014" t="s">
        <v>64</v>
      </c>
      <c r="G8014">
        <v>-190.88839999999999</v>
      </c>
      <c r="H8014" s="1">
        <v>-4.0087529999999901E-6</v>
      </c>
      <c r="I8014">
        <v>-45.361370000000001</v>
      </c>
      <c r="J8014">
        <v>-194.29159999999999</v>
      </c>
      <c r="K8014">
        <v>1.1280760000000001</v>
      </c>
      <c r="L8014">
        <v>-56.458399999999997</v>
      </c>
      <c r="M8014">
        <v>0.67718009999999995</v>
      </c>
      <c r="N8014">
        <v>-1.5973279999999999E-2</v>
      </c>
      <c r="O8014">
        <v>0.73564399999999996</v>
      </c>
      <c r="P8014">
        <v>0.34801480000000001</v>
      </c>
      <c r="Q8014">
        <v>-0.1058472</v>
      </c>
      <c r="R8014">
        <v>0.9314945</v>
      </c>
      <c r="S8014">
        <v>0.89926149999999905</v>
      </c>
      <c r="T8014">
        <v>-0.28545670000000001</v>
      </c>
      <c r="U8014">
        <v>2.85379</v>
      </c>
      <c r="V8014">
        <v>-0.37319190000000002</v>
      </c>
      <c r="W8014">
        <v>-9.7584459999999998E-2</v>
      </c>
      <c r="X8014">
        <v>0.92260779999999998</v>
      </c>
      <c r="Y8014">
        <v>-0.4245717</v>
      </c>
      <c r="Z8014">
        <v>-4.1467549999999999E-2</v>
      </c>
      <c r="AA8014">
        <v>0.90444420000000003</v>
      </c>
      <c r="AB8014">
        <v>22</v>
      </c>
      <c r="AC8014">
        <v>3.4031999999999898</v>
      </c>
      <c r="AD8014">
        <v>-1.1280800087530001</v>
      </c>
      <c r="AE8014">
        <v>11.097029999999901</v>
      </c>
      <c r="AF8014">
        <v>-4.96488704536283</v>
      </c>
      <c r="AG8014">
        <v>-1.1280800087530001</v>
      </c>
      <c r="AH8014">
        <v>10.371413798526</v>
      </c>
      <c r="AI8014">
        <v>95.603152277268407</v>
      </c>
      <c r="AJ8014">
        <v>115.580848465706</v>
      </c>
      <c r="AK8014">
        <v>11.553739310699999</v>
      </c>
      <c r="AL8014">
        <v>95.600089616949603</v>
      </c>
      <c r="AM8014">
        <v>112.023174409521</v>
      </c>
      <c r="AN8014">
        <v>1.00000003683997</v>
      </c>
    </row>
    <row r="8015" spans="1:40" x14ac:dyDescent="0.25">
      <c r="A8015" t="str">
        <f>"20190303155004720"</f>
        <v>20190303155004720</v>
      </c>
      <c r="B8015" t="str">
        <f>"1551599404708155"</f>
        <v>1551599404708155</v>
      </c>
      <c r="C8015" t="s">
        <v>40</v>
      </c>
      <c r="D8015">
        <v>5.6015959999999998</v>
      </c>
      <c r="E8015">
        <v>0.48814689999999999</v>
      </c>
      <c r="F8015" t="s">
        <v>64</v>
      </c>
      <c r="G8015">
        <v>-190.79830000000001</v>
      </c>
      <c r="H8015" s="1">
        <v>-4.1313510000000001E-6</v>
      </c>
      <c r="I8015">
        <v>-45.063749999999999</v>
      </c>
      <c r="J8015">
        <v>-194.16300000000001</v>
      </c>
      <c r="K8015">
        <v>1.1278980000000001</v>
      </c>
      <c r="L8015">
        <v>-56.299190000000003</v>
      </c>
      <c r="M8015">
        <v>0.66881579999999996</v>
      </c>
      <c r="N8015">
        <v>-1.5915559999999999E-2</v>
      </c>
      <c r="O8015">
        <v>0.74325790000000003</v>
      </c>
      <c r="P8015">
        <v>0.34197620000000001</v>
      </c>
      <c r="Q8015">
        <v>-0.1062283</v>
      </c>
      <c r="R8015">
        <v>0.93368510000000005</v>
      </c>
      <c r="S8015">
        <v>0.87704470000000001</v>
      </c>
      <c r="T8015">
        <v>-0.28321960000000002</v>
      </c>
      <c r="U8015">
        <v>2.860779</v>
      </c>
      <c r="V8015">
        <v>-0.36873939999999999</v>
      </c>
      <c r="W8015">
        <v>-9.7752370000000005E-2</v>
      </c>
      <c r="X8015">
        <v>0.92437860000000005</v>
      </c>
      <c r="Y8015">
        <v>-0.42139100000000002</v>
      </c>
      <c r="Z8015">
        <v>-4.2021410000000002E-2</v>
      </c>
      <c r="AA8015">
        <v>0.90590499999999996</v>
      </c>
      <c r="AB8015">
        <v>22</v>
      </c>
      <c r="AC8015">
        <v>3.3646999999999698</v>
      </c>
      <c r="AD8015">
        <v>-1.127902131351</v>
      </c>
      <c r="AE8015">
        <v>11.235440000000001</v>
      </c>
      <c r="AF8015">
        <v>-4.9682863339020003</v>
      </c>
      <c r="AG8015">
        <v>-1.127902131351</v>
      </c>
      <c r="AH8015">
        <v>10.505379020397299</v>
      </c>
      <c r="AI8015">
        <v>95.543622326584895</v>
      </c>
      <c r="AJ8015">
        <v>115.310771124949</v>
      </c>
      <c r="AK8015">
        <v>11.6755736765157</v>
      </c>
      <c r="AL8015">
        <v>95.609756386106397</v>
      </c>
      <c r="AM8015">
        <v>111.747312098046</v>
      </c>
      <c r="AN8015">
        <v>1.00000003354546</v>
      </c>
    </row>
    <row r="8016" spans="1:40" x14ac:dyDescent="0.25">
      <c r="A8016" t="str">
        <f>"20190303155004763"</f>
        <v>20190303155004763</v>
      </c>
      <c r="B8016" t="str">
        <f>"1551599404758905"</f>
        <v>1551599404758905</v>
      </c>
      <c r="C8016" t="s">
        <v>40</v>
      </c>
      <c r="D8016">
        <v>5.667764</v>
      </c>
      <c r="E8016">
        <v>0.48678519999999997</v>
      </c>
      <c r="F8016" t="s">
        <v>64</v>
      </c>
      <c r="G8016">
        <v>-190.2209</v>
      </c>
      <c r="H8016" s="1">
        <v>-4.3406399999999998E-6</v>
      </c>
      <c r="I8016">
        <v>-44.393810000000002</v>
      </c>
      <c r="J8016">
        <v>-193.91159999999999</v>
      </c>
      <c r="K8016">
        <v>1.1275040000000001</v>
      </c>
      <c r="L8016">
        <v>-55.978299999999997</v>
      </c>
      <c r="M8016">
        <v>0.65245900000000001</v>
      </c>
      <c r="N8016">
        <v>-1.5796589999999999E-2</v>
      </c>
      <c r="O8016">
        <v>0.75765930000000004</v>
      </c>
      <c r="P8016">
        <v>0.32900949999999901</v>
      </c>
      <c r="Q8016">
        <v>-0.10638889999999999</v>
      </c>
      <c r="R8016">
        <v>0.9383146</v>
      </c>
      <c r="S8016">
        <v>0.93978879999999998</v>
      </c>
      <c r="T8016">
        <v>-0.268893099999999</v>
      </c>
      <c r="U8016">
        <v>2.838257</v>
      </c>
      <c r="V8016">
        <v>-0.36147479999999999</v>
      </c>
      <c r="W8016">
        <v>-9.7513409999999995E-2</v>
      </c>
      <c r="X8016">
        <v>0.9272686</v>
      </c>
      <c r="Y8016">
        <v>-0.38117240000000002</v>
      </c>
      <c r="Z8016">
        <v>-4.2363249999999998E-2</v>
      </c>
      <c r="AA8016">
        <v>0.92353280000000004</v>
      </c>
      <c r="AB8016">
        <v>22</v>
      </c>
      <c r="AC8016">
        <v>3.6906999999999899</v>
      </c>
      <c r="AD8016">
        <v>-1.1275083406399999</v>
      </c>
      <c r="AE8016">
        <v>11.584490000000001</v>
      </c>
      <c r="AF8016">
        <v>-4.7220957965126296</v>
      </c>
      <c r="AG8016">
        <v>-1.1275083406399999</v>
      </c>
      <c r="AH8016">
        <v>11.091138951641801</v>
      </c>
      <c r="AI8016">
        <v>95.343558998803303</v>
      </c>
      <c r="AJ8016">
        <v>113.06206945390301</v>
      </c>
      <c r="AK8016">
        <v>12.1071395058569</v>
      </c>
      <c r="AL8016">
        <v>95.595999583422696</v>
      </c>
      <c r="AM8016">
        <v>111.297204406521</v>
      </c>
      <c r="AN8016">
        <v>0.99999997635541304</v>
      </c>
    </row>
    <row r="8017" spans="1:40" x14ac:dyDescent="0.25">
      <c r="A8017" t="str">
        <f>"20190303155004786"</f>
        <v>20190303155004786</v>
      </c>
      <c r="B8017" t="str">
        <f>"1551599404779402"</f>
        <v>1551599404779402</v>
      </c>
      <c r="C8017" t="s">
        <v>40</v>
      </c>
      <c r="D8017">
        <v>5.6958489999999999</v>
      </c>
      <c r="E8017">
        <v>0.48698599999999997</v>
      </c>
      <c r="F8017" t="s">
        <v>64</v>
      </c>
      <c r="G8017">
        <v>-190.57980000000001</v>
      </c>
      <c r="H8017" s="1">
        <v>-3.9893379999999999E-6</v>
      </c>
      <c r="I8017">
        <v>-45.285130000000002</v>
      </c>
      <c r="J8017">
        <v>-193.77719999999999</v>
      </c>
      <c r="K8017">
        <v>1.127316</v>
      </c>
      <c r="L8017">
        <v>-55.801419999999901</v>
      </c>
      <c r="M8017">
        <v>0.64368709999999996</v>
      </c>
      <c r="N8017">
        <v>-1.5735079999999999E-2</v>
      </c>
      <c r="O8017">
        <v>0.765127</v>
      </c>
      <c r="P8017">
        <v>0.32103350000000003</v>
      </c>
      <c r="Q8017">
        <v>-0.107054</v>
      </c>
      <c r="R8017">
        <v>0.9409978</v>
      </c>
      <c r="S8017">
        <v>0.88848879999999997</v>
      </c>
      <c r="T8017">
        <v>-0.30067709999999997</v>
      </c>
      <c r="U8017">
        <v>2.8515929999999998</v>
      </c>
      <c r="V8017">
        <v>-0.35864950000000001</v>
      </c>
      <c r="W8017">
        <v>-9.8014080000000003E-2</v>
      </c>
      <c r="X8017">
        <v>0.92831229999999998</v>
      </c>
      <c r="Y8017">
        <v>-0.38692149999999997</v>
      </c>
      <c r="Z8017">
        <v>-4.968852E-2</v>
      </c>
      <c r="AA8017">
        <v>0.92077299999999995</v>
      </c>
      <c r="AB8017">
        <v>22</v>
      </c>
      <c r="AC8017">
        <v>3.19739999999998</v>
      </c>
      <c r="AD8017">
        <v>-1.1273199893379999</v>
      </c>
      <c r="AE8017">
        <v>10.5162899999999</v>
      </c>
      <c r="AF8017">
        <v>-4.2783151488611599</v>
      </c>
      <c r="AG8017">
        <v>-1.1273199893379999</v>
      </c>
      <c r="AH8017">
        <v>10.0004794702024</v>
      </c>
      <c r="AI8017">
        <v>95.917043714002702</v>
      </c>
      <c r="AJ8017">
        <v>113.161771921653</v>
      </c>
      <c r="AK8017">
        <v>10.935466176861199</v>
      </c>
      <c r="AL8017">
        <v>95.624823948549803</v>
      </c>
      <c r="AM8017">
        <v>111.12382680560999</v>
      </c>
      <c r="AN8017">
        <v>0.99999997502989202</v>
      </c>
    </row>
    <row r="8018" spans="1:40" x14ac:dyDescent="0.25">
      <c r="A8018" t="str">
        <f>"20190303155004809"</f>
        <v>20190303155004809</v>
      </c>
      <c r="B8018" t="str">
        <f>"1551599404798922"</f>
        <v>1551599404798922</v>
      </c>
      <c r="C8018" t="s">
        <v>40</v>
      </c>
      <c r="D8018">
        <v>5.6383970000000003</v>
      </c>
      <c r="E8018">
        <v>0.49447229999999998</v>
      </c>
      <c r="F8018" t="s">
        <v>64</v>
      </c>
      <c r="G8018">
        <v>-190.62010000000001</v>
      </c>
      <c r="H8018" s="1">
        <v>-3.9537699999999998E-6</v>
      </c>
      <c r="I8018">
        <v>-45.376849999999997</v>
      </c>
      <c r="J8018">
        <v>-193.6465</v>
      </c>
      <c r="K8018">
        <v>1.127176</v>
      </c>
      <c r="L8018">
        <v>-55.625579999999999</v>
      </c>
      <c r="M8018">
        <v>0.63508949999999997</v>
      </c>
      <c r="N8018">
        <v>-1.5680179999999998E-2</v>
      </c>
      <c r="O8018">
        <v>0.77227939999999995</v>
      </c>
      <c r="P8018">
        <v>0.31344229999999901</v>
      </c>
      <c r="Q8018">
        <v>-0.1066626</v>
      </c>
      <c r="R8018">
        <v>0.94359789999999999</v>
      </c>
      <c r="S8018">
        <v>0.86547850000000004</v>
      </c>
      <c r="T8018">
        <v>-0.30903320000000001</v>
      </c>
      <c r="U8018">
        <v>2.8576969999999999</v>
      </c>
      <c r="V8018">
        <v>-0.35581459999999998</v>
      </c>
      <c r="W8018">
        <v>-9.7491359999999999E-2</v>
      </c>
      <c r="X8018">
        <v>0.92945759999999999</v>
      </c>
      <c r="Y8018">
        <v>-0.38398130000000003</v>
      </c>
      <c r="Z8018">
        <v>-5.2470410000000002E-2</v>
      </c>
      <c r="AA8018">
        <v>0.92184880000000002</v>
      </c>
      <c r="AB8018">
        <v>22</v>
      </c>
      <c r="AC8018">
        <v>3.02639999999999</v>
      </c>
      <c r="AD8018">
        <v>-1.12717995377</v>
      </c>
      <c r="AE8018">
        <v>10.24873</v>
      </c>
      <c r="AF8018">
        <v>-4.12623899160989</v>
      </c>
      <c r="AG8018">
        <v>-1.12717995377</v>
      </c>
      <c r="AH8018">
        <v>9.72987324299379</v>
      </c>
      <c r="AI8018">
        <v>96.087765366498203</v>
      </c>
      <c r="AJ8018">
        <v>112.9808013729</v>
      </c>
      <c r="AK8018">
        <v>10.628584862943301</v>
      </c>
      <c r="AL8018">
        <v>95.594729960043495</v>
      </c>
      <c r="AM8018">
        <v>110.94782610892</v>
      </c>
      <c r="AN8018">
        <v>1.0000000125227799</v>
      </c>
    </row>
    <row r="8019" spans="1:40" x14ac:dyDescent="0.25">
      <c r="A8019" t="str">
        <f>"20190303155004836"</f>
        <v>20190303155004836</v>
      </c>
      <c r="B8019" t="str">
        <f>"1551599404829178"</f>
        <v>1551599404829178</v>
      </c>
      <c r="C8019" t="s">
        <v>40</v>
      </c>
      <c r="D8019">
        <v>5.6128640000000001</v>
      </c>
      <c r="E8019">
        <v>0.49500739999999999</v>
      </c>
      <c r="F8019" t="s">
        <v>64</v>
      </c>
      <c r="G8019">
        <v>-190.06710000000001</v>
      </c>
      <c r="H8019" s="1">
        <v>-4.3552259999999997E-6</v>
      </c>
      <c r="I8019">
        <v>-44.303710000000002</v>
      </c>
      <c r="J8019">
        <v>-193.4948</v>
      </c>
      <c r="K8019">
        <v>1.127032</v>
      </c>
      <c r="L8019">
        <v>-55.416930000000001</v>
      </c>
      <c r="M8019">
        <v>0.62507780000000002</v>
      </c>
      <c r="N8019">
        <v>-1.5620770000000001E-2</v>
      </c>
      <c r="O8019">
        <v>0.78040619999999905</v>
      </c>
      <c r="P8019">
        <v>0.3039887</v>
      </c>
      <c r="Q8019">
        <v>-0.1065436</v>
      </c>
      <c r="R8019">
        <v>0.94669919999999996</v>
      </c>
      <c r="S8019">
        <v>0.90043639999999903</v>
      </c>
      <c r="T8019">
        <v>-0.28355799999999998</v>
      </c>
      <c r="U8019">
        <v>2.8481749999999999</v>
      </c>
      <c r="V8019">
        <v>-0.35317029999999999</v>
      </c>
      <c r="W8019">
        <v>-9.7250080000000003E-2</v>
      </c>
      <c r="X8019">
        <v>0.93049090000000001</v>
      </c>
      <c r="Y8019">
        <v>-0.36080319999999999</v>
      </c>
      <c r="Z8019">
        <v>-4.8801690000000002E-2</v>
      </c>
      <c r="AA8019">
        <v>0.93136430000000003</v>
      </c>
      <c r="AB8019">
        <v>22</v>
      </c>
      <c r="AC8019">
        <v>3.4276999999999802</v>
      </c>
      <c r="AD8019">
        <v>-1.1270363552259901</v>
      </c>
      <c r="AE8019">
        <v>11.11322</v>
      </c>
      <c r="AF8019">
        <v>-4.2324016994848703</v>
      </c>
      <c r="AG8019">
        <v>-1.1270363552259901</v>
      </c>
      <c r="AH8019">
        <v>10.7160853029773</v>
      </c>
      <c r="AI8019">
        <v>95.5868569776801</v>
      </c>
      <c r="AJ8019">
        <v>111.55192937645501</v>
      </c>
      <c r="AK8019">
        <v>11.5766108733295</v>
      </c>
      <c r="AL8019">
        <v>95.580839269631696</v>
      </c>
      <c r="AM8019">
        <v>110.784391269228</v>
      </c>
      <c r="AN8019">
        <v>1.00000007692245</v>
      </c>
    </row>
    <row r="8020" spans="1:40" x14ac:dyDescent="0.25">
      <c r="A8020" t="str">
        <f>"20190303155004859"</f>
        <v>20190303155004859</v>
      </c>
      <c r="B8020" t="str">
        <f>"1551599404848697"</f>
        <v>1551599404848697</v>
      </c>
      <c r="C8020" t="s">
        <v>40</v>
      </c>
      <c r="D8020">
        <v>5.6770149999999999</v>
      </c>
      <c r="E8020">
        <v>0.49544460000000001</v>
      </c>
      <c r="F8020" t="s">
        <v>64</v>
      </c>
      <c r="G8020">
        <v>-189.99270000000001</v>
      </c>
      <c r="H8020" s="1">
        <v>-4.4827490000000002E-6</v>
      </c>
      <c r="I8020">
        <v>-44.001510000000003</v>
      </c>
      <c r="J8020">
        <v>-193.3699</v>
      </c>
      <c r="K8020">
        <v>1.1269149999999999</v>
      </c>
      <c r="L8020">
        <v>-55.241329999999998</v>
      </c>
      <c r="M8020">
        <v>0.61681839999999999</v>
      </c>
      <c r="N8020">
        <v>-1.557182E-2</v>
      </c>
      <c r="O8020">
        <v>0.78695139999999997</v>
      </c>
      <c r="P8020">
        <v>0.29663790000000001</v>
      </c>
      <c r="Q8020">
        <v>-0.10656590000000001</v>
      </c>
      <c r="R8020">
        <v>0.94902560000000002</v>
      </c>
      <c r="S8020">
        <v>0.87612919999999905</v>
      </c>
      <c r="T8020">
        <v>-0.2819545</v>
      </c>
      <c r="U8020">
        <v>2.8558349999999999</v>
      </c>
      <c r="V8020">
        <v>-0.35060829999999998</v>
      </c>
      <c r="W8020">
        <v>-9.7163739999999998E-2</v>
      </c>
      <c r="X8020">
        <v>0.93146819999999997</v>
      </c>
      <c r="Y8020">
        <v>-0.35893199999999997</v>
      </c>
      <c r="Z8020">
        <v>-4.9242830000000001E-2</v>
      </c>
      <c r="AA8020">
        <v>0.9320638</v>
      </c>
      <c r="AB8020">
        <v>22</v>
      </c>
      <c r="AC8020">
        <v>3.3771999999999802</v>
      </c>
      <c r="AD8020">
        <v>-1.1269194827489999</v>
      </c>
      <c r="AE8020">
        <v>11.23982</v>
      </c>
      <c r="AF8020">
        <v>-4.2366920014268104</v>
      </c>
      <c r="AG8020">
        <v>-1.1269194827489999</v>
      </c>
      <c r="AH8020">
        <v>10.829786654882099</v>
      </c>
      <c r="AI8020">
        <v>95.535016022398295</v>
      </c>
      <c r="AJ8020">
        <v>111.36580188841501</v>
      </c>
      <c r="AK8020">
        <v>11.6834834542535</v>
      </c>
      <c r="AL8020">
        <v>95.575869299469701</v>
      </c>
      <c r="AM8020">
        <v>110.62653521948199</v>
      </c>
      <c r="AN8020">
        <v>0.99999999000545803</v>
      </c>
    </row>
    <row r="8021" spans="1:40" x14ac:dyDescent="0.25">
      <c r="A8021" t="str">
        <f>"20190303155004883"</f>
        <v>20190303155004883</v>
      </c>
      <c r="B8021" t="str">
        <f>"1551599404878953"</f>
        <v>1551599404878953</v>
      </c>
      <c r="C8021" t="s">
        <v>40</v>
      </c>
      <c r="D8021">
        <v>5.6668510000000003</v>
      </c>
      <c r="E8021">
        <v>0.49882919999999997</v>
      </c>
      <c r="F8021" t="s">
        <v>64</v>
      </c>
      <c r="G8021">
        <v>-189.96129999999999</v>
      </c>
      <c r="H8021" s="1">
        <v>-4.5413040000000002E-6</v>
      </c>
      <c r="I8021">
        <v>-43.863810000000001</v>
      </c>
      <c r="J8021">
        <v>-193.24369999999999</v>
      </c>
      <c r="K8021">
        <v>1.126784</v>
      </c>
      <c r="L8021">
        <v>-55.06</v>
      </c>
      <c r="M8021">
        <v>0.60843740000000002</v>
      </c>
      <c r="N8021">
        <v>-1.5521119999999999E-2</v>
      </c>
      <c r="O8021">
        <v>0.79344999999999999</v>
      </c>
      <c r="P8021">
        <v>0.28876960000000002</v>
      </c>
      <c r="Q8021">
        <v>-0.1071426</v>
      </c>
      <c r="R8021">
        <v>0.95138449999999997</v>
      </c>
      <c r="S8021">
        <v>0.85723879999999997</v>
      </c>
      <c r="T8021">
        <v>-0.28341149999999998</v>
      </c>
      <c r="U8021">
        <v>2.8613590000000002</v>
      </c>
      <c r="V8021">
        <v>-0.34842679999999998</v>
      </c>
      <c r="W8021">
        <v>-9.7632739999999996E-2</v>
      </c>
      <c r="X8021">
        <v>0.93223739999999999</v>
      </c>
      <c r="Y8021">
        <v>-0.35519479999999998</v>
      </c>
      <c r="Z8021">
        <v>-5.0439730000000002E-2</v>
      </c>
      <c r="AA8021">
        <v>0.93343050000000005</v>
      </c>
      <c r="AB8021">
        <v>22</v>
      </c>
      <c r="AC8021">
        <v>3.2823999999999902</v>
      </c>
      <c r="AD8021">
        <v>-1.126788541304</v>
      </c>
      <c r="AE8021">
        <v>11.19619</v>
      </c>
      <c r="AF8021">
        <v>-4.16938047304874</v>
      </c>
      <c r="AG8021">
        <v>-1.126788541304</v>
      </c>
      <c r="AH8021">
        <v>10.781505960334799</v>
      </c>
      <c r="AI8021">
        <v>95.567394115946897</v>
      </c>
      <c r="AJ8021">
        <v>111.142281935087</v>
      </c>
      <c r="AK8021">
        <v>11.614398680887</v>
      </c>
      <c r="AL8021">
        <v>95.602869457964502</v>
      </c>
      <c r="AM8021">
        <v>110.493395186125</v>
      </c>
      <c r="AN8021">
        <v>0.99999997841845301</v>
      </c>
    </row>
    <row r="8022" spans="1:40" x14ac:dyDescent="0.25">
      <c r="A8022" t="str">
        <f>"20190303155004923"</f>
        <v>20190303155004923</v>
      </c>
      <c r="B8022" t="str">
        <f>"1551599404918969"</f>
        <v>1551599404918969</v>
      </c>
      <c r="C8022" t="s">
        <v>40</v>
      </c>
      <c r="D8022">
        <v>5.7017810000000004</v>
      </c>
      <c r="E8022">
        <v>0.49981170000000003</v>
      </c>
      <c r="F8022" t="s">
        <v>64</v>
      </c>
      <c r="G8022">
        <v>-189.8913</v>
      </c>
      <c r="H8022" s="1">
        <v>-6.5388949999999998E-6</v>
      </c>
      <c r="I8022">
        <v>-43.900829999999999</v>
      </c>
      <c r="J8022">
        <v>-193.03389999999999</v>
      </c>
      <c r="K8022">
        <v>1.126587</v>
      </c>
      <c r="L8022">
        <v>-54.749760000000002</v>
      </c>
      <c r="M8022">
        <v>0.59434900000000002</v>
      </c>
      <c r="N8022">
        <v>-1.544212E-2</v>
      </c>
      <c r="O8022">
        <v>0.80405899999999997</v>
      </c>
      <c r="P8022">
        <v>0.27570450000000002</v>
      </c>
      <c r="Q8022">
        <v>-0.10794049999999999</v>
      </c>
      <c r="R8022">
        <v>0.95516279999999998</v>
      </c>
      <c r="S8022">
        <v>0.85919190000000001</v>
      </c>
      <c r="T8022">
        <v>-0.28878530000000002</v>
      </c>
      <c r="U8022">
        <v>2.859985</v>
      </c>
      <c r="V8022">
        <v>-0.34474909999999998</v>
      </c>
      <c r="W8022">
        <v>-9.8251710000000006E-2</v>
      </c>
      <c r="X8022">
        <v>0.9335388</v>
      </c>
      <c r="Y8022">
        <v>-0.33801550000000002</v>
      </c>
      <c r="Z8022">
        <v>-5.3515300000000002E-2</v>
      </c>
      <c r="AA8022">
        <v>0.93961779999999995</v>
      </c>
      <c r="AB8022">
        <v>21</v>
      </c>
      <c r="AC8022">
        <v>3.1425999999999799</v>
      </c>
      <c r="AD8022">
        <v>-1.1265935388949999</v>
      </c>
      <c r="AE8022">
        <v>10.8489299999999</v>
      </c>
      <c r="AF8022">
        <v>-3.8830508834210802</v>
      </c>
      <c r="AG8022">
        <v>-1.1265935388949999</v>
      </c>
      <c r="AH8022">
        <v>10.4879021562797</v>
      </c>
      <c r="AI8022">
        <v>95.752325542352906</v>
      </c>
      <c r="AJ8022">
        <v>110.31661591689701</v>
      </c>
      <c r="AK8022">
        <v>11.2402575061612</v>
      </c>
      <c r="AL8022">
        <v>95.638504949396903</v>
      </c>
      <c r="AM8022">
        <v>110.268822007859</v>
      </c>
      <c r="AN8022">
        <v>1.0000000157870801</v>
      </c>
    </row>
    <row r="8023" spans="1:40" x14ac:dyDescent="0.25">
      <c r="A8023" t="str">
        <f>"20190303155004947"</f>
        <v>20190303155004947</v>
      </c>
      <c r="B8023" t="str">
        <f>"1551599404938489"</f>
        <v>1551599404938489</v>
      </c>
      <c r="C8023" t="s">
        <v>40</v>
      </c>
      <c r="D8023">
        <v>5.6987449999999997</v>
      </c>
      <c r="E8023">
        <v>0.50038490000000002</v>
      </c>
      <c r="F8023" t="s">
        <v>64</v>
      </c>
      <c r="G8023">
        <v>-189.85</v>
      </c>
      <c r="H8023" s="1">
        <v>-6.598339E-6</v>
      </c>
      <c r="I8023">
        <v>-43.709359999999997</v>
      </c>
      <c r="J8023">
        <v>-192.91</v>
      </c>
      <c r="K8023">
        <v>1.126503</v>
      </c>
      <c r="L8023">
        <v>-54.561250000000001</v>
      </c>
      <c r="M8023">
        <v>0.5859084</v>
      </c>
      <c r="N8023">
        <v>-1.540249E-2</v>
      </c>
      <c r="O8023">
        <v>0.81023100000000003</v>
      </c>
      <c r="P8023">
        <v>0.26692470000000001</v>
      </c>
      <c r="Q8023">
        <v>-0.107767</v>
      </c>
      <c r="R8023">
        <v>0.957673</v>
      </c>
      <c r="S8023">
        <v>0.82734680000000005</v>
      </c>
      <c r="T8023">
        <v>-0.29275370000000001</v>
      </c>
      <c r="U8023">
        <v>2.8689269999999998</v>
      </c>
      <c r="V8023">
        <v>-0.34359479999999998</v>
      </c>
      <c r="W8023">
        <v>-9.8011890000000004E-2</v>
      </c>
      <c r="X8023">
        <v>0.93398950000000003</v>
      </c>
      <c r="Y8023">
        <v>-0.33860129999999999</v>
      </c>
      <c r="Z8023">
        <v>-5.5133559999999998E-2</v>
      </c>
      <c r="AA8023">
        <v>0.93931330000000002</v>
      </c>
      <c r="AB8023">
        <v>21</v>
      </c>
      <c r="AC8023">
        <v>3.06</v>
      </c>
      <c r="AD8023">
        <v>-1.1265095983390001</v>
      </c>
      <c r="AE8023">
        <v>10.851889999999999</v>
      </c>
      <c r="AF8023">
        <v>-3.8410241794725901</v>
      </c>
      <c r="AG8023">
        <v>-1.1265095983390001</v>
      </c>
      <c r="AH8023">
        <v>10.482037297755401</v>
      </c>
      <c r="AI8023">
        <v>95.762150312285698</v>
      </c>
      <c r="AJ8023">
        <v>110.12478927332801</v>
      </c>
      <c r="AK8023">
        <v>11.2203206965745</v>
      </c>
      <c r="AL8023">
        <v>95.624697431413693</v>
      </c>
      <c r="AM8023">
        <v>110.19749155825301</v>
      </c>
      <c r="AN8023">
        <v>1.0000000516393199</v>
      </c>
    </row>
    <row r="8024" spans="1:40" x14ac:dyDescent="0.25">
      <c r="A8024" t="str">
        <f>"20190303155004970"</f>
        <v>20190303155004970</v>
      </c>
      <c r="B8024" t="str">
        <f>"1551599404958986"</f>
        <v>1551599404958986</v>
      </c>
      <c r="C8024" t="s">
        <v>40</v>
      </c>
      <c r="D8024">
        <v>5.6820510000000004</v>
      </c>
      <c r="E8024">
        <v>0.50090349999999995</v>
      </c>
      <c r="F8024" t="s">
        <v>64</v>
      </c>
      <c r="G8024">
        <v>-189.803</v>
      </c>
      <c r="H8024" s="1">
        <v>-6.6726939999999999E-6</v>
      </c>
      <c r="I8024">
        <v>-43.471440000000001</v>
      </c>
      <c r="J8024">
        <v>-192.78790000000001</v>
      </c>
      <c r="K8024">
        <v>1.1264350000000001</v>
      </c>
      <c r="L8024">
        <v>-54.371580000000002</v>
      </c>
      <c r="M8024">
        <v>0.57749050000000002</v>
      </c>
      <c r="N8024">
        <v>-1.5367840000000001E-2</v>
      </c>
      <c r="O8024">
        <v>0.8162528</v>
      </c>
      <c r="P8024">
        <v>0.25838329999999998</v>
      </c>
      <c r="Q8024">
        <v>-0.1080499</v>
      </c>
      <c r="R8024">
        <v>0.95998079999999997</v>
      </c>
      <c r="S8024">
        <v>0.80552669999999904</v>
      </c>
      <c r="T8024">
        <v>-0.2920662</v>
      </c>
      <c r="U8024">
        <v>2.8752140000000002</v>
      </c>
      <c r="V8024">
        <v>-0.3422424</v>
      </c>
      <c r="W8024">
        <v>-9.8244440000000002E-2</v>
      </c>
      <c r="X8024">
        <v>0.9344614</v>
      </c>
      <c r="Y8024">
        <v>-0.3360185</v>
      </c>
      <c r="Z8024">
        <v>-5.5752780000000002E-2</v>
      </c>
      <c r="AA8024">
        <v>0.94020380000000003</v>
      </c>
      <c r="AB8024">
        <v>21</v>
      </c>
      <c r="AC8024">
        <v>2.9849000000000099</v>
      </c>
      <c r="AD8024">
        <v>-1.1264416726940001</v>
      </c>
      <c r="AE8024">
        <v>10.900139999999899</v>
      </c>
      <c r="AF8024">
        <v>-3.8207918942963901</v>
      </c>
      <c r="AG8024">
        <v>-1.1264416726940001</v>
      </c>
      <c r="AH8024">
        <v>10.517785410957099</v>
      </c>
      <c r="AI8024">
        <v>95.748176276096999</v>
      </c>
      <c r="AJ8024">
        <v>109.964545457659</v>
      </c>
      <c r="AK8024">
        <v>11.246827619042</v>
      </c>
      <c r="AL8024">
        <v>95.638086647452099</v>
      </c>
      <c r="AM8024">
        <v>110.115035607621</v>
      </c>
      <c r="AN8024">
        <v>0.999999969219316</v>
      </c>
    </row>
    <row r="8025" spans="1:40" x14ac:dyDescent="0.25">
      <c r="A8025" t="str">
        <f>"20190303155004989"</f>
        <v>20190303155004989</v>
      </c>
      <c r="B8025" t="str">
        <f>"1551599404978505"</f>
        <v>1551599404978505</v>
      </c>
      <c r="C8025" t="s">
        <v>40</v>
      </c>
      <c r="D8025">
        <v>5.7097300000000004</v>
      </c>
      <c r="E8025">
        <v>0.50142370000000003</v>
      </c>
      <c r="F8025" t="s">
        <v>64</v>
      </c>
      <c r="G8025">
        <v>-189.76060000000001</v>
      </c>
      <c r="H8025" s="1">
        <v>-6.7441210000000003E-6</v>
      </c>
      <c r="I8025">
        <v>-43.243819999999999</v>
      </c>
      <c r="J8025">
        <v>-192.69329999999999</v>
      </c>
      <c r="K8025">
        <v>1.1263890000000001</v>
      </c>
      <c r="L8025">
        <v>-54.221679999999999</v>
      </c>
      <c r="M8025">
        <v>0.57089650000000003</v>
      </c>
      <c r="N8025">
        <v>-1.5342410000000001E-2</v>
      </c>
      <c r="O8025">
        <v>0.82087860000000001</v>
      </c>
      <c r="P8025">
        <v>0.25163920000000001</v>
      </c>
      <c r="Q8025">
        <v>-0.1082051</v>
      </c>
      <c r="R8025">
        <v>0.96175319999999997</v>
      </c>
      <c r="S8025">
        <v>0.78384399999999999</v>
      </c>
      <c r="T8025">
        <v>-0.29166409999999998</v>
      </c>
      <c r="U8025">
        <v>2.881256</v>
      </c>
      <c r="V8025">
        <v>-0.34127380000000002</v>
      </c>
      <c r="W8025">
        <v>-9.8366389999999998E-2</v>
      </c>
      <c r="X8025">
        <v>0.93480280000000004</v>
      </c>
      <c r="Y8025">
        <v>-0.33552680000000001</v>
      </c>
      <c r="Z8025">
        <v>-5.6203459999999997E-2</v>
      </c>
      <c r="AA8025">
        <v>0.94035259999999998</v>
      </c>
      <c r="AB8025">
        <v>21</v>
      </c>
      <c r="AC8025">
        <v>2.9326999999999801</v>
      </c>
      <c r="AD8025">
        <v>-1.126395744121</v>
      </c>
      <c r="AE8025">
        <v>10.97786</v>
      </c>
      <c r="AF8025">
        <v>-3.8227210010341199</v>
      </c>
      <c r="AG8025">
        <v>-1.126395744121</v>
      </c>
      <c r="AH8025">
        <v>10.5830207494998</v>
      </c>
      <c r="AI8025">
        <v>95.716486577005796</v>
      </c>
      <c r="AJ8025">
        <v>109.86036097502701</v>
      </c>
      <c r="AK8025">
        <v>11.3085052685341</v>
      </c>
      <c r="AL8025">
        <v>95.645107622772699</v>
      </c>
      <c r="AM8025">
        <v>110.055910165901</v>
      </c>
      <c r="AN8025">
        <v>1.0000000140679499</v>
      </c>
    </row>
    <row r="8026" spans="1:40" x14ac:dyDescent="0.25">
      <c r="A8026" t="str">
        <f>"20190303155005010"</f>
        <v>20190303155005010</v>
      </c>
      <c r="B8026" t="str">
        <f>"1551599404999001"</f>
        <v>1551599404999001</v>
      </c>
      <c r="C8026" t="s">
        <v>40</v>
      </c>
      <c r="D8026">
        <v>5.7147519999999998</v>
      </c>
      <c r="E8026">
        <v>0.50649829999999996</v>
      </c>
      <c r="F8026" t="s">
        <v>64</v>
      </c>
      <c r="G8026">
        <v>-189.73009999999999</v>
      </c>
      <c r="H8026" s="1">
        <v>-6.7944090000000002E-6</v>
      </c>
      <c r="I8026">
        <v>-43.083350000000003</v>
      </c>
      <c r="J8026">
        <v>-192.5899</v>
      </c>
      <c r="K8026">
        <v>1.1263339999999999</v>
      </c>
      <c r="L8026">
        <v>-54.054870000000001</v>
      </c>
      <c r="M8026">
        <v>0.5636215</v>
      </c>
      <c r="N8026">
        <v>-1.5314929999999999E-2</v>
      </c>
      <c r="O8026">
        <v>0.82589129999999999</v>
      </c>
      <c r="P8026">
        <v>0.2444154</v>
      </c>
      <c r="Q8026">
        <v>-0.1078992</v>
      </c>
      <c r="R8026">
        <v>0.96364870000000002</v>
      </c>
      <c r="S8026">
        <v>0.76766969999999901</v>
      </c>
      <c r="T8026">
        <v>-0.29181679999999999</v>
      </c>
      <c r="U8026">
        <v>2.8856199999999999</v>
      </c>
      <c r="V8026">
        <v>-0.3400666</v>
      </c>
      <c r="W8026">
        <v>-9.8018800000000003E-2</v>
      </c>
      <c r="X8026">
        <v>0.93527910000000003</v>
      </c>
      <c r="Y8026">
        <v>-0.33249289999999998</v>
      </c>
      <c r="Z8026">
        <v>-5.6922010000000002E-2</v>
      </c>
      <c r="AA8026">
        <v>0.94138639999999996</v>
      </c>
      <c r="AB8026">
        <v>21</v>
      </c>
      <c r="AC8026">
        <v>2.8597999999999999</v>
      </c>
      <c r="AD8026">
        <v>-1.126340794409</v>
      </c>
      <c r="AE8026">
        <v>10.9715199999999</v>
      </c>
      <c r="AF8026">
        <v>-3.78499570501083</v>
      </c>
      <c r="AG8026">
        <v>-1.126340794409</v>
      </c>
      <c r="AH8026">
        <v>10.570066166203199</v>
      </c>
      <c r="AI8026">
        <v>95.728831817999506</v>
      </c>
      <c r="AJ8026">
        <v>109.70174930591</v>
      </c>
      <c r="AK8026">
        <v>11.2836667280638</v>
      </c>
      <c r="AL8026">
        <v>95.625095629864006</v>
      </c>
      <c r="AM8026">
        <v>109.981218688373</v>
      </c>
      <c r="AN8026">
        <v>0.99999998624290498</v>
      </c>
    </row>
    <row r="8027" spans="1:40" x14ac:dyDescent="0.25">
      <c r="A8027" t="str">
        <f>"20190303155005032"</f>
        <v>20190303155005032</v>
      </c>
      <c r="B8027" t="str">
        <f>"1551599405028282"</f>
        <v>1551599405028282</v>
      </c>
      <c r="C8027" t="s">
        <v>40</v>
      </c>
      <c r="D8027">
        <v>5.7391360000000002</v>
      </c>
      <c r="E8027">
        <v>0.50769750000000002</v>
      </c>
      <c r="F8027" t="s">
        <v>64</v>
      </c>
      <c r="G8027">
        <v>-189.4436</v>
      </c>
      <c r="H8027" s="1">
        <v>-6.9525690000000003E-6</v>
      </c>
      <c r="I8027">
        <v>-42.514580000000002</v>
      </c>
      <c r="J8027">
        <v>-192.4873</v>
      </c>
      <c r="K8027">
        <v>1.1262620000000001</v>
      </c>
      <c r="L8027">
        <v>-53.886110000000002</v>
      </c>
      <c r="M8027">
        <v>0.55630659999999998</v>
      </c>
      <c r="N8027">
        <v>-1.5288009999999999E-2</v>
      </c>
      <c r="O8027">
        <v>0.83083649999999998</v>
      </c>
      <c r="P8027">
        <v>0.23697940000000001</v>
      </c>
      <c r="Q8027">
        <v>-0.1089548</v>
      </c>
      <c r="R8027">
        <v>0.96538570000000001</v>
      </c>
      <c r="S8027">
        <v>0.78584290000000001</v>
      </c>
      <c r="T8027">
        <v>-0.28132020000000002</v>
      </c>
      <c r="U8027">
        <v>2.882355</v>
      </c>
      <c r="V8027">
        <v>-0.33895239999999999</v>
      </c>
      <c r="W8027">
        <v>-9.9033360000000001E-2</v>
      </c>
      <c r="X8027">
        <v>0.93557659999999998</v>
      </c>
      <c r="Y8027">
        <v>-0.31833790000000001</v>
      </c>
      <c r="Z8027">
        <v>-5.536427E-2</v>
      </c>
      <c r="AA8027">
        <v>0.94635919999999896</v>
      </c>
      <c r="AB8027">
        <v>21</v>
      </c>
      <c r="AC8027">
        <v>3.0436999999999999</v>
      </c>
      <c r="AD8027">
        <v>-1.1262689525689999</v>
      </c>
      <c r="AE8027">
        <v>11.3715299999999</v>
      </c>
      <c r="AF8027">
        <v>-3.7632363301352201</v>
      </c>
      <c r="AG8027">
        <v>-1.1262689525689999</v>
      </c>
      <c r="AH8027">
        <v>11.0413453269523</v>
      </c>
      <c r="AI8027">
        <v>95.514857237155496</v>
      </c>
      <c r="AJ8027">
        <v>108.820718053824</v>
      </c>
      <c r="AK8027">
        <v>11.719289059451601</v>
      </c>
      <c r="AL8027">
        <v>95.683510032770897</v>
      </c>
      <c r="AM8027">
        <v>109.91507270173101</v>
      </c>
      <c r="AN8027">
        <v>0.99999995516310303</v>
      </c>
    </row>
    <row r="8028" spans="1:40" x14ac:dyDescent="0.25">
      <c r="A8028" t="str">
        <f>"20190303155005054"</f>
        <v>20190303155005054</v>
      </c>
      <c r="B8028" t="str">
        <f>"1551599405048778"</f>
        <v>1551599405048778</v>
      </c>
      <c r="C8028" t="s">
        <v>40</v>
      </c>
      <c r="D8028">
        <v>5.7219059999999997</v>
      </c>
      <c r="E8028">
        <v>0.50795679999999999</v>
      </c>
      <c r="F8028" t="s">
        <v>64</v>
      </c>
      <c r="G8028">
        <v>-189.501</v>
      </c>
      <c r="H8028" s="1">
        <v>-6.8860879999999997E-6</v>
      </c>
      <c r="I8028">
        <v>-42.732480000000002</v>
      </c>
      <c r="J8028">
        <v>-192.3801</v>
      </c>
      <c r="K8028">
        <v>1.1261890000000001</v>
      </c>
      <c r="L8028">
        <v>-53.706359999999997</v>
      </c>
      <c r="M8028">
        <v>0.54855039999999999</v>
      </c>
      <c r="N8028">
        <v>-1.5261500000000001E-2</v>
      </c>
      <c r="O8028">
        <v>0.83597819999999901</v>
      </c>
      <c r="P8028">
        <v>0.2290451</v>
      </c>
      <c r="Q8028">
        <v>-0.11096159999999999</v>
      </c>
      <c r="R8028">
        <v>0.96707080000000001</v>
      </c>
      <c r="S8028">
        <v>0.77244569999999901</v>
      </c>
      <c r="T8028">
        <v>-0.29132819999999998</v>
      </c>
      <c r="U8028">
        <v>2.8850709999999999</v>
      </c>
      <c r="V8028">
        <v>-0.33779219999999999</v>
      </c>
      <c r="W8028">
        <v>-0.1009978</v>
      </c>
      <c r="X8028">
        <v>0.93578620000000001</v>
      </c>
      <c r="Y8028">
        <v>-0.31388149999999998</v>
      </c>
      <c r="Z8028">
        <v>-5.8573720000000003E-2</v>
      </c>
      <c r="AA8028">
        <v>0.94765370000000004</v>
      </c>
      <c r="AB8028">
        <v>21</v>
      </c>
      <c r="AC8028">
        <v>2.8791000000000202</v>
      </c>
      <c r="AD8028">
        <v>-1.1261958860879999</v>
      </c>
      <c r="AE8028">
        <v>10.973879999999999</v>
      </c>
      <c r="AF8028">
        <v>-3.5780255643121501</v>
      </c>
      <c r="AG8028">
        <v>-1.1261958860879999</v>
      </c>
      <c r="AH8028">
        <v>10.649571066854501</v>
      </c>
      <c r="AI8028">
        <v>95.724421168511</v>
      </c>
      <c r="AJ8028">
        <v>108.571235089445</v>
      </c>
      <c r="AK8028">
        <v>11.2908789746723</v>
      </c>
      <c r="AL8028">
        <v>95.796631302074999</v>
      </c>
      <c r="AM8028">
        <v>109.848140493447</v>
      </c>
      <c r="AN8028">
        <v>0.99999996904805899</v>
      </c>
    </row>
    <row r="8029" spans="1:40" x14ac:dyDescent="0.25">
      <c r="A8029" t="str">
        <f>"20190303155005078"</f>
        <v>20190303155005078</v>
      </c>
      <c r="B8029" t="str">
        <f>"1551599405068297"</f>
        <v>1551599405068297</v>
      </c>
      <c r="C8029" t="s">
        <v>40</v>
      </c>
      <c r="D8029">
        <v>5.7514430000000001</v>
      </c>
      <c r="E8029">
        <v>0.50853219999999999</v>
      </c>
      <c r="F8029" t="s">
        <v>64</v>
      </c>
      <c r="G8029">
        <v>-189.578</v>
      </c>
      <c r="H8029" s="1">
        <v>-6.8325089999999998E-6</v>
      </c>
      <c r="I8029">
        <v>-42.918419999999998</v>
      </c>
      <c r="J8029">
        <v>-192.2706</v>
      </c>
      <c r="K8029">
        <v>1.1261289999999999</v>
      </c>
      <c r="L8029">
        <v>-53.519039999999997</v>
      </c>
      <c r="M8029">
        <v>0.54048969999999996</v>
      </c>
      <c r="N8029">
        <v>-1.5237540000000001E-2</v>
      </c>
      <c r="O8029">
        <v>0.84121259999999998</v>
      </c>
      <c r="P8029">
        <v>0.22099379999999999</v>
      </c>
      <c r="Q8029">
        <v>-0.11354549999999999</v>
      </c>
      <c r="R8029">
        <v>0.96864300000000003</v>
      </c>
      <c r="S8029">
        <v>0.75059509999999996</v>
      </c>
      <c r="T8029">
        <v>-0.30167440000000001</v>
      </c>
      <c r="U8029">
        <v>2.8897710000000001</v>
      </c>
      <c r="V8029">
        <v>-0.33639999999999998</v>
      </c>
      <c r="W8029">
        <v>-0.1035403</v>
      </c>
      <c r="X8029">
        <v>0.9360098</v>
      </c>
      <c r="Y8029">
        <v>-0.31188519999999997</v>
      </c>
      <c r="Z8029">
        <v>-6.1845949999999997E-2</v>
      </c>
      <c r="AA8029">
        <v>0.94810479999999997</v>
      </c>
      <c r="AB8029">
        <v>21</v>
      </c>
      <c r="AC8029">
        <v>2.6925999999999899</v>
      </c>
      <c r="AD8029">
        <v>-1.1261358325090001</v>
      </c>
      <c r="AE8029">
        <v>10.600619999999999</v>
      </c>
      <c r="AF8029">
        <v>-3.4285317828725002</v>
      </c>
      <c r="AG8029">
        <v>-1.1261358325090001</v>
      </c>
      <c r="AH8029">
        <v>10.2650775073304</v>
      </c>
      <c r="AI8029">
        <v>95.940533217464605</v>
      </c>
      <c r="AJ8029">
        <v>108.469298801467</v>
      </c>
      <c r="AK8029">
        <v>10.8809387614732</v>
      </c>
      <c r="AL8029">
        <v>95.943073812721494</v>
      </c>
      <c r="AM8029">
        <v>109.768333027043</v>
      </c>
      <c r="AN8029">
        <v>0.99999994971006301</v>
      </c>
    </row>
    <row r="8030" spans="1:40" x14ac:dyDescent="0.25">
      <c r="A8030" t="str">
        <f>"20190303155005100"</f>
        <v>20190303155005100</v>
      </c>
      <c r="B8030" t="str">
        <f>"1551599405088794"</f>
        <v>1551599405088794</v>
      </c>
      <c r="C8030" t="s">
        <v>40</v>
      </c>
      <c r="D8030">
        <v>5.8287820000000004</v>
      </c>
      <c r="E8030">
        <v>0.50838729999999999</v>
      </c>
      <c r="F8030" t="s">
        <v>64</v>
      </c>
      <c r="G8030">
        <v>-189.64169999999999</v>
      </c>
      <c r="H8030" s="1">
        <v>-6.7752769999999997E-6</v>
      </c>
      <c r="I8030">
        <v>-43.110779999999998</v>
      </c>
      <c r="J8030">
        <v>-192.16739999999999</v>
      </c>
      <c r="K8030">
        <v>1.1260870000000001</v>
      </c>
      <c r="L8030">
        <v>-53.338650000000001</v>
      </c>
      <c r="M8030">
        <v>0.53274409999999905</v>
      </c>
      <c r="N8030">
        <v>-1.521807E-2</v>
      </c>
      <c r="O8030">
        <v>0.84613959999999999</v>
      </c>
      <c r="P8030">
        <v>0.21361759999999999</v>
      </c>
      <c r="Q8030">
        <v>-0.1144081</v>
      </c>
      <c r="R8030">
        <v>0.97019500000000003</v>
      </c>
      <c r="S8030">
        <v>0.73089599999999999</v>
      </c>
      <c r="T8030">
        <v>-0.31308530000000001</v>
      </c>
      <c r="U8030">
        <v>2.8936769999999998</v>
      </c>
      <c r="V8030">
        <v>-0.33487450000000002</v>
      </c>
      <c r="W8030">
        <v>-0.10436670000000001</v>
      </c>
      <c r="X8030">
        <v>0.93646499999999999</v>
      </c>
      <c r="Y8030">
        <v>-0.30958160000000001</v>
      </c>
      <c r="Z8030">
        <v>-6.5408010000000003E-2</v>
      </c>
      <c r="AA8030">
        <v>0.94862060000000004</v>
      </c>
      <c r="AB8030">
        <v>21</v>
      </c>
      <c r="AC8030">
        <v>2.5257000000000001</v>
      </c>
      <c r="AD8030">
        <v>-1.1260937752769999</v>
      </c>
      <c r="AE8030">
        <v>10.227869999999999</v>
      </c>
      <c r="AF8030">
        <v>-3.27471114754161</v>
      </c>
      <c r="AG8030">
        <v>-1.1260937752769999</v>
      </c>
      <c r="AH8030">
        <v>9.8879416523175205</v>
      </c>
      <c r="AI8030">
        <v>96.170332736375698</v>
      </c>
      <c r="AJ8030">
        <v>108.32395613858201</v>
      </c>
      <c r="AK8030">
        <v>10.4767938993848</v>
      </c>
      <c r="AL8030">
        <v>95.990680569071301</v>
      </c>
      <c r="AM8030">
        <v>109.67675805195201</v>
      </c>
      <c r="AN8030">
        <v>1.00000001752206</v>
      </c>
    </row>
    <row r="8031" spans="1:40" x14ac:dyDescent="0.25">
      <c r="A8031" t="str">
        <f>"20190303155005123"</f>
        <v>20190303155005123</v>
      </c>
      <c r="B8031" t="str">
        <f>"1551599405119050"</f>
        <v>1551599405119050</v>
      </c>
      <c r="C8031" t="s">
        <v>40</v>
      </c>
      <c r="D8031">
        <v>5.8114499999999998</v>
      </c>
      <c r="E8031">
        <v>0.51021609999999995</v>
      </c>
      <c r="F8031" t="s">
        <v>64</v>
      </c>
      <c r="G8031">
        <v>-189.63329999999999</v>
      </c>
      <c r="H8031" s="1">
        <v>-6.8252450000000001E-6</v>
      </c>
      <c r="I8031">
        <v>-42.9587</v>
      </c>
      <c r="J8031">
        <v>-192.0658</v>
      </c>
      <c r="K8031">
        <v>1.1260709999999901</v>
      </c>
      <c r="L8031">
        <v>-53.156950000000002</v>
      </c>
      <c r="M8031">
        <v>0.52495530000000001</v>
      </c>
      <c r="N8031">
        <v>-1.52014E-2</v>
      </c>
      <c r="O8031">
        <v>0.85099400000000003</v>
      </c>
      <c r="P8031">
        <v>0.20631360000000001</v>
      </c>
      <c r="Q8031">
        <v>-0.113682199999999</v>
      </c>
      <c r="R8031">
        <v>0.97185960000000005</v>
      </c>
      <c r="S8031">
        <v>0.70780940000000003</v>
      </c>
      <c r="T8031">
        <v>-0.31452999999999998</v>
      </c>
      <c r="U8031">
        <v>2.8992309999999999</v>
      </c>
      <c r="V8031">
        <v>-0.33338440000000003</v>
      </c>
      <c r="W8031">
        <v>-0.1036125</v>
      </c>
      <c r="X8031">
        <v>0.93708020000000003</v>
      </c>
      <c r="Y8031">
        <v>-0.30841649999999998</v>
      </c>
      <c r="Z8031">
        <v>-6.6414260000000003E-2</v>
      </c>
      <c r="AA8031">
        <v>0.9489301</v>
      </c>
      <c r="AB8031">
        <v>21</v>
      </c>
      <c r="AC8031">
        <v>2.4325000000000001</v>
      </c>
      <c r="AD8031">
        <v>-1.1260778252450001</v>
      </c>
      <c r="AE8031">
        <v>10.19825</v>
      </c>
      <c r="AF8031">
        <v>-3.2465103427551898</v>
      </c>
      <c r="AG8031">
        <v>-1.1260778252450001</v>
      </c>
      <c r="AH8031">
        <v>9.8432030676945406</v>
      </c>
      <c r="AI8031">
        <v>96.200564810134594</v>
      </c>
      <c r="AJ8031">
        <v>108.25372082565301</v>
      </c>
      <c r="AK8031">
        <v>10.425762672629499</v>
      </c>
      <c r="AL8031">
        <v>95.947232609396806</v>
      </c>
      <c r="AM8031">
        <v>109.583999093215</v>
      </c>
      <c r="AN8031">
        <v>1.00000000477582</v>
      </c>
    </row>
    <row r="8032" spans="1:40" x14ac:dyDescent="0.25">
      <c r="A8032" t="str">
        <f>"20190303155005144"</f>
        <v>20190303155005144</v>
      </c>
      <c r="B8032" t="str">
        <f>"1551599405138570"</f>
        <v>1551599405138570</v>
      </c>
      <c r="C8032" t="s">
        <v>40</v>
      </c>
      <c r="D8032">
        <v>5.8231109999999999</v>
      </c>
      <c r="E8032">
        <v>0.51086679999999995</v>
      </c>
      <c r="F8032" t="s">
        <v>64</v>
      </c>
      <c r="G8032">
        <v>-189.50219999999999</v>
      </c>
      <c r="H8032" s="1">
        <v>-6.9517519999999996E-6</v>
      </c>
      <c r="I8032">
        <v>-42.536709999999999</v>
      </c>
      <c r="J8032">
        <v>-191.97149999999999</v>
      </c>
      <c r="K8032">
        <v>1.126072</v>
      </c>
      <c r="L8032">
        <v>-52.984679999999997</v>
      </c>
      <c r="M8032">
        <v>0.51757140000000001</v>
      </c>
      <c r="N8032">
        <v>-1.518744E-2</v>
      </c>
      <c r="O8032">
        <v>0.85550519999999997</v>
      </c>
      <c r="P8032">
        <v>0.20029559999999999</v>
      </c>
      <c r="Q8032">
        <v>-0.1123538</v>
      </c>
      <c r="R8032">
        <v>0.97327200000000003</v>
      </c>
      <c r="S8032">
        <v>0.70056149999999995</v>
      </c>
      <c r="T8032">
        <v>-0.30771989999999999</v>
      </c>
      <c r="U8032">
        <v>2.902161</v>
      </c>
      <c r="V8032">
        <v>-0.33117570000000002</v>
      </c>
      <c r="W8032">
        <v>-0.1022477</v>
      </c>
      <c r="X8032">
        <v>0.93801279999999998</v>
      </c>
      <c r="Y8032">
        <v>-0.30263479999999998</v>
      </c>
      <c r="Z8032">
        <v>-6.5387490000000006E-2</v>
      </c>
      <c r="AA8032">
        <v>0.95086099999999996</v>
      </c>
      <c r="AB8032">
        <v>21</v>
      </c>
      <c r="AC8032">
        <v>2.4693000000000001</v>
      </c>
      <c r="AD8032">
        <v>-1.126078951752</v>
      </c>
      <c r="AE8032">
        <v>10.44797</v>
      </c>
      <c r="AF8032">
        <v>-3.2595898784950599</v>
      </c>
      <c r="AG8032">
        <v>-1.126078951752</v>
      </c>
      <c r="AH8032">
        <v>10.1063214513352</v>
      </c>
      <c r="AI8032">
        <v>96.053252193072694</v>
      </c>
      <c r="AJ8032">
        <v>107.876058131875</v>
      </c>
      <c r="AK8032">
        <v>10.6785164353146</v>
      </c>
      <c r="AL8032">
        <v>95.868617945199006</v>
      </c>
      <c r="AM8032">
        <v>109.446137488597</v>
      </c>
      <c r="AN8032">
        <v>0.99999997469480895</v>
      </c>
    </row>
    <row r="8033" spans="1:40" x14ac:dyDescent="0.25">
      <c r="A8033" t="str">
        <f>"20190303155005165"</f>
        <v>20190303155005165</v>
      </c>
      <c r="B8033" t="str">
        <f>"1551599405159066"</f>
        <v>1551599405159066</v>
      </c>
      <c r="C8033" t="s">
        <v>40</v>
      </c>
      <c r="D8033">
        <v>5.8202449999999999</v>
      </c>
      <c r="E8033">
        <v>0.52026810000000001</v>
      </c>
      <c r="F8033" t="s">
        <v>64</v>
      </c>
      <c r="G8033">
        <v>-189.40690000000001</v>
      </c>
      <c r="H8033" s="1">
        <v>-7.0705749999999996E-6</v>
      </c>
      <c r="I8033">
        <v>-42.149749999999997</v>
      </c>
      <c r="J8033">
        <v>-191.87530000000001</v>
      </c>
      <c r="K8033">
        <v>1.126072</v>
      </c>
      <c r="L8033">
        <v>-52.805269999999901</v>
      </c>
      <c r="M8033">
        <v>0.50987590000000005</v>
      </c>
      <c r="N8033">
        <v>-1.5174470000000001E-2</v>
      </c>
      <c r="O8033">
        <v>0.86011419999999905</v>
      </c>
      <c r="P8033">
        <v>0.1938783</v>
      </c>
      <c r="Q8033">
        <v>-0.11217439999999999</v>
      </c>
      <c r="R8033">
        <v>0.97459130000000005</v>
      </c>
      <c r="S8033">
        <v>0.6878204</v>
      </c>
      <c r="T8033">
        <v>-0.30201919999999999</v>
      </c>
      <c r="U8033">
        <v>2.9059750000000002</v>
      </c>
      <c r="V8033">
        <v>-0.32895859999999999</v>
      </c>
      <c r="W8033">
        <v>-0.1020356</v>
      </c>
      <c r="X8033">
        <v>0.93881570000000003</v>
      </c>
      <c r="Y8033">
        <v>-0.2983073</v>
      </c>
      <c r="Z8033">
        <v>-6.4586270000000001E-2</v>
      </c>
      <c r="AA8033">
        <v>0.95228219999999997</v>
      </c>
      <c r="AB8033">
        <v>21</v>
      </c>
      <c r="AC8033">
        <v>2.4683999999999999</v>
      </c>
      <c r="AD8033">
        <v>-1.1260790705749999</v>
      </c>
      <c r="AE8033">
        <v>10.6555199999999</v>
      </c>
      <c r="AF8033">
        <v>-3.2755486167873502</v>
      </c>
      <c r="AG8033">
        <v>-1.1260790705749999</v>
      </c>
      <c r="AH8033">
        <v>10.3154029512924</v>
      </c>
      <c r="AI8033">
        <v>95.939981400038207</v>
      </c>
      <c r="AJ8033">
        <v>107.616702848627</v>
      </c>
      <c r="AK8033">
        <v>10.8813974682324</v>
      </c>
      <c r="AL8033">
        <v>95.856401636494496</v>
      </c>
      <c r="AM8033">
        <v>109.310329265234</v>
      </c>
      <c r="AN8033">
        <v>0.99999997137390395</v>
      </c>
    </row>
    <row r="8034" spans="1:40" x14ac:dyDescent="0.25">
      <c r="A8034" t="str">
        <f>"20190303155005187"</f>
        <v>20190303155005187</v>
      </c>
      <c r="B8034" t="str">
        <f>"1551599405178586"</f>
        <v>1551599405178586</v>
      </c>
      <c r="C8034" t="s">
        <v>40</v>
      </c>
      <c r="D8034">
        <v>5.836722</v>
      </c>
      <c r="E8034">
        <v>0.5204396</v>
      </c>
      <c r="F8034" t="s">
        <v>64</v>
      </c>
      <c r="G8034">
        <v>-188.8546</v>
      </c>
      <c r="H8034" s="1">
        <v>-7.3824879999999997E-6</v>
      </c>
      <c r="I8034">
        <v>-41.032359999999997</v>
      </c>
      <c r="J8034">
        <v>-191.7852</v>
      </c>
      <c r="K8034">
        <v>1.1260650000000001</v>
      </c>
      <c r="L8034">
        <v>-52.633540000000004</v>
      </c>
      <c r="M8034">
        <v>0.50249650000000001</v>
      </c>
      <c r="N8034">
        <v>-1.5163319999999999E-2</v>
      </c>
      <c r="O8034">
        <v>0.86444619999999905</v>
      </c>
      <c r="P8034">
        <v>0.1886862</v>
      </c>
      <c r="Q8034">
        <v>-0.112883399999999</v>
      </c>
      <c r="R8034">
        <v>0.97552799999999995</v>
      </c>
      <c r="S8034">
        <v>0.74366759999999998</v>
      </c>
      <c r="T8034">
        <v>-0.27722989999999997</v>
      </c>
      <c r="U8034">
        <v>2.8983759999999998</v>
      </c>
      <c r="V8034">
        <v>-0.32587850000000002</v>
      </c>
      <c r="W8034">
        <v>-0.1026961</v>
      </c>
      <c r="X8034">
        <v>0.93981740000000002</v>
      </c>
      <c r="Y8034">
        <v>-0.27214579999999999</v>
      </c>
      <c r="Z8034">
        <v>-5.923722E-2</v>
      </c>
      <c r="AA8034">
        <v>0.96043100000000003</v>
      </c>
      <c r="AB8034">
        <v>21</v>
      </c>
      <c r="AC8034">
        <v>2.9305999999999899</v>
      </c>
      <c r="AD8034">
        <v>-1.1260723824879999</v>
      </c>
      <c r="AE8034">
        <v>11.601179999999999</v>
      </c>
      <c r="AF8034">
        <v>-3.2676455367589998</v>
      </c>
      <c r="AG8034">
        <v>-1.1260723824879999</v>
      </c>
      <c r="AH8034">
        <v>11.401557179502801</v>
      </c>
      <c r="AI8034">
        <v>95.423550526378406</v>
      </c>
      <c r="AJ8034">
        <v>105.99211335222</v>
      </c>
      <c r="AK8034">
        <v>11.913901648157699</v>
      </c>
      <c r="AL8034">
        <v>95.894445090017996</v>
      </c>
      <c r="AM8034">
        <v>109.12381537424</v>
      </c>
      <c r="AN8034">
        <v>1.0000000155301001</v>
      </c>
    </row>
    <row r="8035" spans="1:40" x14ac:dyDescent="0.25">
      <c r="A8035" t="str">
        <f>"20190303155005211"</f>
        <v>20190303155005211</v>
      </c>
      <c r="B8035" t="str">
        <f>"1551599405208841"</f>
        <v>1551599405208841</v>
      </c>
      <c r="C8035" t="s">
        <v>40</v>
      </c>
      <c r="D8035">
        <v>5.8308530000000003</v>
      </c>
      <c r="E8035">
        <v>0.52083840000000003</v>
      </c>
      <c r="F8035" t="s">
        <v>64</v>
      </c>
      <c r="G8035">
        <v>-188.87459999999999</v>
      </c>
      <c r="H8035" s="1">
        <v>-7.3764670000000002E-6</v>
      </c>
      <c r="I8035">
        <v>-41.05706</v>
      </c>
      <c r="J8035">
        <v>-191.68520000000001</v>
      </c>
      <c r="K8035">
        <v>1.1260479999999999</v>
      </c>
      <c r="L8035">
        <v>-52.438720000000004</v>
      </c>
      <c r="M8035">
        <v>0.49410409999999999</v>
      </c>
      <c r="N8035">
        <v>-1.515202E-2</v>
      </c>
      <c r="O8035">
        <v>0.86927069999999995</v>
      </c>
      <c r="P8035">
        <v>0.18232010000000001</v>
      </c>
      <c r="Q8035">
        <v>-0.1127515</v>
      </c>
      <c r="R8035">
        <v>0.97675310000000004</v>
      </c>
      <c r="S8035">
        <v>0.72949219999999904</v>
      </c>
      <c r="T8035">
        <v>-0.28223480000000001</v>
      </c>
      <c r="U8035">
        <v>2.9014890000000002</v>
      </c>
      <c r="V8035">
        <v>-0.32292520000000002</v>
      </c>
      <c r="W8035">
        <v>-0.1025133</v>
      </c>
      <c r="X8035">
        <v>0.94085620000000003</v>
      </c>
      <c r="Y8035">
        <v>-0.26751439999999999</v>
      </c>
      <c r="Z8035">
        <v>-6.1213770000000001E-2</v>
      </c>
      <c r="AA8035">
        <v>0.96160749999999995</v>
      </c>
      <c r="AB8035">
        <v>21</v>
      </c>
      <c r="AC8035">
        <v>2.81060000000002</v>
      </c>
      <c r="AD8035">
        <v>-1.126055376467</v>
      </c>
      <c r="AE8035">
        <v>11.381659999999901</v>
      </c>
      <c r="AF8035">
        <v>-3.1518397655999699</v>
      </c>
      <c r="AG8035">
        <v>-1.126055376467</v>
      </c>
      <c r="AH8035">
        <v>11.1806184684472</v>
      </c>
      <c r="AI8035">
        <v>95.536772716000399</v>
      </c>
      <c r="AJ8035">
        <v>105.74325543907899</v>
      </c>
      <c r="AK8035">
        <v>11.6708321878035</v>
      </c>
      <c r="AL8035">
        <v>95.883915793018303</v>
      </c>
      <c r="AM8035">
        <v>108.94349275315</v>
      </c>
      <c r="AN8035">
        <v>1.0000000252751799</v>
      </c>
    </row>
    <row r="8036" spans="1:40" x14ac:dyDescent="0.25">
      <c r="A8036" t="str">
        <f>"20190303155005235"</f>
        <v>20190303155005235</v>
      </c>
      <c r="B8036" t="str">
        <f>"1551599405228362"</f>
        <v>1551599405228362</v>
      </c>
      <c r="C8036" t="s">
        <v>40</v>
      </c>
      <c r="D8036">
        <v>5.8134350000000001</v>
      </c>
      <c r="E8036">
        <v>0.5213004</v>
      </c>
      <c r="F8036" t="s">
        <v>64</v>
      </c>
      <c r="G8036">
        <v>-188.87049999999999</v>
      </c>
      <c r="H8036" s="1">
        <v>-7.4029069999999999E-6</v>
      </c>
      <c r="I8036">
        <v>-40.97672</v>
      </c>
      <c r="J8036">
        <v>-191.59059999999999</v>
      </c>
      <c r="K8036">
        <v>1.1260330000000001</v>
      </c>
      <c r="L8036">
        <v>-52.250149999999998</v>
      </c>
      <c r="M8036">
        <v>0.48596250000000002</v>
      </c>
      <c r="N8036">
        <v>-1.51421E-2</v>
      </c>
      <c r="O8036">
        <v>0.87384859999999898</v>
      </c>
      <c r="P8036">
        <v>0.1770321</v>
      </c>
      <c r="Q8036">
        <v>-0.1129286</v>
      </c>
      <c r="R8036">
        <v>0.97770480000000004</v>
      </c>
      <c r="S8036">
        <v>0.71342469999999902</v>
      </c>
      <c r="T8036">
        <v>-0.28542109999999998</v>
      </c>
      <c r="U8036">
        <v>2.9052730000000002</v>
      </c>
      <c r="V8036">
        <v>-0.31922279999999997</v>
      </c>
      <c r="W8036">
        <v>-0.10262309999999999</v>
      </c>
      <c r="X8036">
        <v>0.94210680000000002</v>
      </c>
      <c r="Y8036">
        <v>-0.26384039999999997</v>
      </c>
      <c r="Z8036">
        <v>-6.266418E-2</v>
      </c>
      <c r="AA8036">
        <v>0.96252859999999996</v>
      </c>
      <c r="AB8036">
        <v>21</v>
      </c>
      <c r="AC8036">
        <v>2.7201</v>
      </c>
      <c r="AD8036">
        <v>-1.1260404029069999</v>
      </c>
      <c r="AE8036">
        <v>11.2734299999999</v>
      </c>
      <c r="AF8036">
        <v>-3.07289264332822</v>
      </c>
      <c r="AG8036">
        <v>-1.1260404029069999</v>
      </c>
      <c r="AH8036">
        <v>11.0700488929889</v>
      </c>
      <c r="AI8036">
        <v>95.597877134778003</v>
      </c>
      <c r="AJ8036">
        <v>105.513919402737</v>
      </c>
      <c r="AK8036">
        <v>11.543683063891001</v>
      </c>
      <c r="AL8036">
        <v>95.890240612581806</v>
      </c>
      <c r="AM8036">
        <v>108.718399620414</v>
      </c>
      <c r="AN8036">
        <v>0.99999995964984401</v>
      </c>
    </row>
    <row r="8037" spans="1:40" x14ac:dyDescent="0.25">
      <c r="A8037" t="str">
        <f>"20190303155005256"</f>
        <v>20190303155005256</v>
      </c>
      <c r="B8037" t="str">
        <f>"1551599405248858"</f>
        <v>1551599405248858</v>
      </c>
      <c r="C8037" t="s">
        <v>40</v>
      </c>
      <c r="D8037">
        <v>5.7980609999999997</v>
      </c>
      <c r="E8037">
        <v>0.52153240000000001</v>
      </c>
      <c r="F8037" t="s">
        <v>64</v>
      </c>
      <c r="G8037">
        <v>-188.8322</v>
      </c>
      <c r="H8037" s="1">
        <v>-7.4539169999999997E-6</v>
      </c>
      <c r="I8037">
        <v>-40.811450000000001</v>
      </c>
      <c r="J8037">
        <v>-191.50470000000001</v>
      </c>
      <c r="K8037">
        <v>1.1260159999999999</v>
      </c>
      <c r="L8037">
        <v>-52.074739999999998</v>
      </c>
      <c r="M8037">
        <v>0.47837849999999998</v>
      </c>
      <c r="N8037">
        <v>-1.513338E-2</v>
      </c>
      <c r="O8037">
        <v>0.87802340000000001</v>
      </c>
      <c r="P8037">
        <v>0.17287159999999999</v>
      </c>
      <c r="Q8037">
        <v>-0.1123725</v>
      </c>
      <c r="R8037">
        <v>0.97851310000000002</v>
      </c>
      <c r="S8037">
        <v>0.70133970000000001</v>
      </c>
      <c r="T8037">
        <v>-0.28630220000000001</v>
      </c>
      <c r="U8037">
        <v>2.9083559999999999</v>
      </c>
      <c r="V8037">
        <v>-0.31512000000000001</v>
      </c>
      <c r="W8037">
        <v>-0.101989</v>
      </c>
      <c r="X8037">
        <v>0.94355579999999994</v>
      </c>
      <c r="Y8037">
        <v>-0.25951479999999999</v>
      </c>
      <c r="Z8037">
        <v>-6.3471349999999996E-2</v>
      </c>
      <c r="AA8037">
        <v>0.96365109999999998</v>
      </c>
      <c r="AB8037">
        <v>21</v>
      </c>
      <c r="AC8037">
        <v>2.6725000000000101</v>
      </c>
      <c r="AD8037">
        <v>-1.126023453917</v>
      </c>
      <c r="AE8037">
        <v>11.26329</v>
      </c>
      <c r="AF8037">
        <v>-3.0134337038420602</v>
      </c>
      <c r="AG8037">
        <v>-1.126023453917</v>
      </c>
      <c r="AH8037">
        <v>11.0644864209105</v>
      </c>
      <c r="AI8037">
        <v>95.608041065097197</v>
      </c>
      <c r="AJ8037">
        <v>105.235097546185</v>
      </c>
      <c r="AK8037">
        <v>11.5226546969323</v>
      </c>
      <c r="AL8037">
        <v>95.8537177231063</v>
      </c>
      <c r="AM8037">
        <v>108.467809604951</v>
      </c>
      <c r="AN8037">
        <v>0.99999995911731898</v>
      </c>
    </row>
    <row r="8038" spans="1:40" x14ac:dyDescent="0.25">
      <c r="A8038" t="str">
        <f>"20190303155005279"</f>
        <v>20190303155005279</v>
      </c>
      <c r="B8038" t="str">
        <f>"1551599405268378"</f>
        <v>1551599405268378</v>
      </c>
      <c r="C8038" t="s">
        <v>40</v>
      </c>
      <c r="D8038">
        <v>5.8224450000000001</v>
      </c>
      <c r="E8038">
        <v>0.50120039999999999</v>
      </c>
      <c r="F8038" t="s">
        <v>64</v>
      </c>
      <c r="G8038">
        <v>-188.773</v>
      </c>
      <c r="H8038" s="1">
        <v>-7.5299959999999998E-6</v>
      </c>
      <c r="I8038">
        <v>-40.56427</v>
      </c>
      <c r="J8038">
        <v>-191.41499999999999</v>
      </c>
      <c r="K8038">
        <v>1.125991</v>
      </c>
      <c r="L8038">
        <v>-51.88776</v>
      </c>
      <c r="M8038">
        <v>0.47028779999999998</v>
      </c>
      <c r="N8038">
        <v>-1.512405E-2</v>
      </c>
      <c r="O8038">
        <v>0.88238349999999899</v>
      </c>
      <c r="P8038">
        <v>0.1689174</v>
      </c>
      <c r="Q8038">
        <v>-0.1121834</v>
      </c>
      <c r="R8038">
        <v>0.97922509999999996</v>
      </c>
      <c r="S8038">
        <v>0.69087219999999905</v>
      </c>
      <c r="T8038">
        <v>-0.284784599999999</v>
      </c>
      <c r="U8038">
        <v>2.911133</v>
      </c>
      <c r="V8038">
        <v>-0.31028099999999997</v>
      </c>
      <c r="W8038">
        <v>-0.1017069</v>
      </c>
      <c r="X8038">
        <v>0.94518849999999999</v>
      </c>
      <c r="Y8038">
        <v>-0.25413019999999997</v>
      </c>
      <c r="Z8038">
        <v>-6.3674900000000006E-2</v>
      </c>
      <c r="AA8038">
        <v>0.96507169999999998</v>
      </c>
      <c r="AB8038">
        <v>21</v>
      </c>
      <c r="AC8038">
        <v>2.6419999999999901</v>
      </c>
      <c r="AD8038">
        <v>-1.125998529996</v>
      </c>
      <c r="AE8038">
        <v>11.32349</v>
      </c>
      <c r="AF8038">
        <v>-2.9665650887407802</v>
      </c>
      <c r="AG8038">
        <v>-1.125998529996</v>
      </c>
      <c r="AH8038">
        <v>11.1310630283789</v>
      </c>
      <c r="AI8038">
        <v>95.582719383788302</v>
      </c>
      <c r="AJ8038">
        <v>104.923158914315</v>
      </c>
      <c r="AK8038">
        <v>11.5744954644698</v>
      </c>
      <c r="AL8038">
        <v>95.837470168855504</v>
      </c>
      <c r="AM8038">
        <v>108.173673866334</v>
      </c>
      <c r="AN8038">
        <v>0.99999994650042801</v>
      </c>
    </row>
    <row r="8039" spans="1:40" x14ac:dyDescent="0.25">
      <c r="A8039" t="str">
        <f>"20190303155005324"</f>
        <v>20190303155005324</v>
      </c>
      <c r="B8039" t="str">
        <f>"1551599405318154"</f>
        <v>1551599405318154</v>
      </c>
      <c r="C8039" t="s">
        <v>40</v>
      </c>
      <c r="D8039">
        <v>5.845218</v>
      </c>
      <c r="E8039">
        <v>0.49099680000000001</v>
      </c>
      <c r="F8039" t="s">
        <v>64</v>
      </c>
      <c r="G8039">
        <v>-189.56280000000001</v>
      </c>
      <c r="H8039" s="1">
        <v>-7.3494899999999998E-6</v>
      </c>
      <c r="I8039">
        <v>-41.36889</v>
      </c>
      <c r="J8039">
        <v>-191.24809999999999</v>
      </c>
      <c r="K8039">
        <v>1.1259239999999999</v>
      </c>
      <c r="L8039">
        <v>-51.526919999999997</v>
      </c>
      <c r="M8039">
        <v>0.45471810000000001</v>
      </c>
      <c r="N8039">
        <v>-1.510395E-2</v>
      </c>
      <c r="O8039">
        <v>0.8905073</v>
      </c>
      <c r="P8039">
        <v>0.16117000000000001</v>
      </c>
      <c r="Q8039">
        <v>-0.1136045</v>
      </c>
      <c r="R8039">
        <v>0.98036639999999997</v>
      </c>
      <c r="S8039">
        <v>0.51741029999999999</v>
      </c>
      <c r="T8039">
        <v>-0.31453789999999998</v>
      </c>
      <c r="U8039">
        <v>2.9383539999999999</v>
      </c>
      <c r="V8039">
        <v>-0.30107979999999901</v>
      </c>
      <c r="W8039">
        <v>-0.1029429</v>
      </c>
      <c r="X8039">
        <v>0.94802620000000004</v>
      </c>
      <c r="Y8039">
        <v>-0.29359299999999999</v>
      </c>
      <c r="Z8039">
        <v>-7.1833889999999997E-2</v>
      </c>
      <c r="AA8039">
        <v>0.95322770000000001</v>
      </c>
      <c r="AB8039">
        <v>21</v>
      </c>
      <c r="AC8039">
        <v>1.68529999999998</v>
      </c>
      <c r="AD8039">
        <v>-1.1259313494899901</v>
      </c>
      <c r="AE8039">
        <v>10.15803</v>
      </c>
      <c r="AF8039">
        <v>-3.0817760536139902</v>
      </c>
      <c r="AG8039">
        <v>-1.1259313494899901</v>
      </c>
      <c r="AH8039">
        <v>9.6973079891858003</v>
      </c>
      <c r="AI8039">
        <v>96.314332804443595</v>
      </c>
      <c r="AJ8039">
        <v>107.63010408273399</v>
      </c>
      <c r="AK8039">
        <v>10.237326178525301</v>
      </c>
      <c r="AL8039">
        <v>95.908661235506102</v>
      </c>
      <c r="AM8039">
        <v>107.61911671979399</v>
      </c>
      <c r="AN8039">
        <v>0.99999998125744405</v>
      </c>
    </row>
    <row r="8040" spans="1:40" x14ac:dyDescent="0.25">
      <c r="A8040" t="str">
        <f>"20190303155005346"</f>
        <v>20190303155005346</v>
      </c>
      <c r="B8040" t="str">
        <f>"1551599405338650"</f>
        <v>1551599405338650</v>
      </c>
      <c r="C8040" t="s">
        <v>40</v>
      </c>
      <c r="D8040">
        <v>5.8285450000000001</v>
      </c>
      <c r="E8040">
        <v>0.48990329999999899</v>
      </c>
      <c r="F8040" t="s">
        <v>64</v>
      </c>
      <c r="G8040">
        <v>-189.8828</v>
      </c>
      <c r="H8040" s="1">
        <v>-7.256281E-6</v>
      </c>
      <c r="I8040">
        <v>-41.75488</v>
      </c>
      <c r="J8040">
        <v>-191.16239999999999</v>
      </c>
      <c r="K8040">
        <v>1.125888</v>
      </c>
      <c r="L8040">
        <v>-51.334960000000002</v>
      </c>
      <c r="M8040">
        <v>0.44646750000000002</v>
      </c>
      <c r="N8040">
        <v>-1.50916E-2</v>
      </c>
      <c r="O8040">
        <v>0.89467260000000004</v>
      </c>
      <c r="P8040">
        <v>0.15620709999999999</v>
      </c>
      <c r="Q8040">
        <v>-0.11421630000000001</v>
      </c>
      <c r="R8040">
        <v>0.98109840000000004</v>
      </c>
      <c r="S8040">
        <v>0.41253659999999998</v>
      </c>
      <c r="T8040">
        <v>-0.3402231</v>
      </c>
      <c r="U8040">
        <v>2.95282</v>
      </c>
      <c r="V8040">
        <v>-0.29709059999999998</v>
      </c>
      <c r="W8040">
        <v>-0.103468</v>
      </c>
      <c r="X8040">
        <v>0.94922680000000004</v>
      </c>
      <c r="Y8040">
        <v>-0.31849110000000003</v>
      </c>
      <c r="Z8040">
        <v>-7.8682710000000003E-2</v>
      </c>
      <c r="AA8040">
        <v>0.94465469999999896</v>
      </c>
      <c r="AB8040">
        <v>21</v>
      </c>
      <c r="AC8040">
        <v>1.2795999999999801</v>
      </c>
      <c r="AD8040">
        <v>-1.1258952562809901</v>
      </c>
      <c r="AE8040">
        <v>9.5800799999999899</v>
      </c>
      <c r="AF8040">
        <v>-3.0907862226156801</v>
      </c>
      <c r="AG8040">
        <v>-1.1258952562809901</v>
      </c>
      <c r="AH8040">
        <v>9.0209620613220807</v>
      </c>
      <c r="AI8040">
        <v>96.733785498051603</v>
      </c>
      <c r="AJ8040">
        <v>108.912623005504</v>
      </c>
      <c r="AK8040">
        <v>9.6019975064482903</v>
      </c>
      <c r="AL8040">
        <v>95.938908749548901</v>
      </c>
      <c r="AM8040">
        <v>107.379164138528</v>
      </c>
      <c r="AN8040">
        <v>0.99999998473529905</v>
      </c>
    </row>
    <row r="8041" spans="1:40" x14ac:dyDescent="0.25">
      <c r="A8041" t="str">
        <f>"20190303155005368"</f>
        <v>20190303155005368</v>
      </c>
      <c r="B8041" t="str">
        <f>"1551599405359149"</f>
        <v>1551599405359149</v>
      </c>
      <c r="C8041" t="s">
        <v>40</v>
      </c>
      <c r="D8041">
        <v>5.8353849999999996</v>
      </c>
      <c r="E8041">
        <v>0.48953210000000003</v>
      </c>
      <c r="F8041" t="s">
        <v>64</v>
      </c>
      <c r="G8041">
        <v>-189.90209999999999</v>
      </c>
      <c r="H8041" s="1">
        <v>-7.2582360000000004E-6</v>
      </c>
      <c r="I8041">
        <v>-41.755519999999997</v>
      </c>
      <c r="J8041">
        <v>-191.08250000000001</v>
      </c>
      <c r="K8041">
        <v>1.1258520000000001</v>
      </c>
      <c r="L8041">
        <v>-51.151609999999998</v>
      </c>
      <c r="M8041">
        <v>0.43860769999999999</v>
      </c>
      <c r="N8041">
        <v>-1.5079250000000001E-2</v>
      </c>
      <c r="O8041">
        <v>0.89855209999999996</v>
      </c>
      <c r="P8041">
        <v>0.15216270000000001</v>
      </c>
      <c r="Q8041">
        <v>-0.11425200000000001</v>
      </c>
      <c r="R8041">
        <v>0.98172959999999998</v>
      </c>
      <c r="S8041">
        <v>0.38882450000000002</v>
      </c>
      <c r="T8041">
        <v>-0.34736070000000002</v>
      </c>
      <c r="U8041">
        <v>2.955444</v>
      </c>
      <c r="V8041">
        <v>-0.29269460000000003</v>
      </c>
      <c r="W8041">
        <v>-0.1034108</v>
      </c>
      <c r="X8041">
        <v>0.95059780000000005</v>
      </c>
      <c r="Y8041">
        <v>-0.31775930000000002</v>
      </c>
      <c r="Z8041">
        <v>-8.1228350000000005E-2</v>
      </c>
      <c r="AA8041">
        <v>0.94468560000000001</v>
      </c>
      <c r="AB8041">
        <v>21</v>
      </c>
      <c r="AC8041">
        <v>1.1804000000000101</v>
      </c>
      <c r="AD8041">
        <v>-1.1258592582359901</v>
      </c>
      <c r="AE8041">
        <v>9.3960899999999903</v>
      </c>
      <c r="AF8041">
        <v>-3.0182340529729399</v>
      </c>
      <c r="AG8041">
        <v>-1.1258592582359901</v>
      </c>
      <c r="AH8041">
        <v>8.8367272928631504</v>
      </c>
      <c r="AI8041">
        <v>96.874854287934099</v>
      </c>
      <c r="AJ8041">
        <v>108.857891016992</v>
      </c>
      <c r="AK8041">
        <v>9.4055858465229907</v>
      </c>
      <c r="AL8041">
        <v>95.9356133676105</v>
      </c>
      <c r="AM8041">
        <v>107.11390390237</v>
      </c>
      <c r="AN8041">
        <v>1.0000000498953101</v>
      </c>
    </row>
    <row r="8042" spans="1:40" x14ac:dyDescent="0.25">
      <c r="A8042" t="str">
        <f>"20190303155005389"</f>
        <v>20190303155005389</v>
      </c>
      <c r="B8042" t="str">
        <f>"1551599405378666"</f>
        <v>1551599405378666</v>
      </c>
      <c r="C8042" t="s">
        <v>40</v>
      </c>
      <c r="D8042">
        <v>5.7531829999999999</v>
      </c>
      <c r="E8042">
        <v>0.48919119999999999</v>
      </c>
      <c r="F8042" t="s">
        <v>64</v>
      </c>
      <c r="G8042">
        <v>-189.8777</v>
      </c>
      <c r="H8042" s="1">
        <v>-7.3023420000000003E-6</v>
      </c>
      <c r="I8042">
        <v>-41.615549999999999</v>
      </c>
      <c r="J8042">
        <v>-191.0093</v>
      </c>
      <c r="K8042">
        <v>1.1258079999999999</v>
      </c>
      <c r="L8042">
        <v>-50.979950000000002</v>
      </c>
      <c r="M8042">
        <v>0.43129060000000002</v>
      </c>
      <c r="N8042">
        <v>-1.506687E-2</v>
      </c>
      <c r="O8042">
        <v>0.90208730000000004</v>
      </c>
      <c r="P8042">
        <v>0.148977</v>
      </c>
      <c r="Q8042">
        <v>-0.1138147</v>
      </c>
      <c r="R8042">
        <v>0.9822689</v>
      </c>
      <c r="S8042">
        <v>0.37362669999999998</v>
      </c>
      <c r="T8042">
        <v>-0.34914580000000001</v>
      </c>
      <c r="U8042">
        <v>2.9572750000000001</v>
      </c>
      <c r="V8042">
        <v>-0.28809649999999998</v>
      </c>
      <c r="W8042">
        <v>-0.1028743</v>
      </c>
      <c r="X8042">
        <v>0.95205949999999995</v>
      </c>
      <c r="Y8042">
        <v>-0.31491740000000001</v>
      </c>
      <c r="Z8042">
        <v>-8.2332219999999998E-2</v>
      </c>
      <c r="AA8042">
        <v>0.94554139999999998</v>
      </c>
      <c r="AB8042">
        <v>20</v>
      </c>
      <c r="AC8042">
        <v>1.1315999999999899</v>
      </c>
      <c r="AD8042">
        <v>-1.1258153023419999</v>
      </c>
      <c r="AE8042">
        <v>9.3643999999999998</v>
      </c>
      <c r="AF8042">
        <v>-2.9759245768658702</v>
      </c>
      <c r="AG8042">
        <v>-1.1258153023419999</v>
      </c>
      <c r="AH8042">
        <v>8.8110507155704791</v>
      </c>
      <c r="AI8042">
        <v>96.9023486946585</v>
      </c>
      <c r="AJ8042">
        <v>108.662351440149</v>
      </c>
      <c r="AK8042">
        <v>9.3679347721115604</v>
      </c>
      <c r="AL8042">
        <v>95.904709635695994</v>
      </c>
      <c r="AM8042">
        <v>106.83599675561599</v>
      </c>
      <c r="AN8042">
        <v>1.00000000322649</v>
      </c>
    </row>
    <row r="8043" spans="1:40" x14ac:dyDescent="0.25">
      <c r="A8043" t="str">
        <f>"20190303155005411"</f>
        <v>20190303155005411</v>
      </c>
      <c r="B8043" t="str">
        <f>"1551599405408922"</f>
        <v>1551599405408922</v>
      </c>
      <c r="C8043" t="s">
        <v>40</v>
      </c>
      <c r="D8043">
        <v>5.8456440000000001</v>
      </c>
      <c r="E8043">
        <v>0.48910300000000001</v>
      </c>
      <c r="F8043" t="s">
        <v>64</v>
      </c>
      <c r="G8043">
        <v>-189.83959999999999</v>
      </c>
      <c r="H8043" s="1">
        <v>-7.3697029999999998E-6</v>
      </c>
      <c r="I8043">
        <v>-41.401510000000002</v>
      </c>
      <c r="J8043">
        <v>-190.93109999999999</v>
      </c>
      <c r="K8043">
        <v>1.1257509999999999</v>
      </c>
      <c r="L8043">
        <v>-50.792180000000002</v>
      </c>
      <c r="M8043">
        <v>0.42335479999999998</v>
      </c>
      <c r="N8043">
        <v>-1.505158E-2</v>
      </c>
      <c r="O8043">
        <v>0.90583899999999995</v>
      </c>
      <c r="P8043">
        <v>0.1451479</v>
      </c>
      <c r="Q8043">
        <v>-0.1138873</v>
      </c>
      <c r="R8043">
        <v>0.98283359999999997</v>
      </c>
      <c r="S8043">
        <v>0.36135859999999997</v>
      </c>
      <c r="T8043">
        <v>-0.34779569999999999</v>
      </c>
      <c r="U8043">
        <v>2.9590450000000001</v>
      </c>
      <c r="V8043">
        <v>-0.28346589999999999</v>
      </c>
      <c r="W8043">
        <v>-0.1028401</v>
      </c>
      <c r="X8043">
        <v>0.95345219999999997</v>
      </c>
      <c r="Y8043">
        <v>-0.31052459999999998</v>
      </c>
      <c r="Z8043">
        <v>-8.2645129999999997E-2</v>
      </c>
      <c r="AA8043">
        <v>0.94696579999999997</v>
      </c>
      <c r="AB8043">
        <v>20</v>
      </c>
      <c r="AC8043">
        <v>1.0914999999999899</v>
      </c>
      <c r="AD8043">
        <v>-1.125758369703</v>
      </c>
      <c r="AE8043">
        <v>9.3906700000000001</v>
      </c>
      <c r="AF8043">
        <v>-2.94543456571841</v>
      </c>
      <c r="AG8043">
        <v>-1.125758369703</v>
      </c>
      <c r="AH8043">
        <v>8.8441345887501797</v>
      </c>
      <c r="AI8043">
        <v>96.8861112621926</v>
      </c>
      <c r="AJ8043">
        <v>108.419727997615</v>
      </c>
      <c r="AK8043">
        <v>9.38944265181979</v>
      </c>
      <c r="AL8043">
        <v>95.902739393607206</v>
      </c>
      <c r="AM8043">
        <v>106.557465475855</v>
      </c>
      <c r="AN8043">
        <v>1.0000000501578199</v>
      </c>
    </row>
    <row r="8044" spans="1:40" x14ac:dyDescent="0.25">
      <c r="A8044" t="str">
        <f>"20190303155005434"</f>
        <v>20190303155005434</v>
      </c>
      <c r="B8044" t="str">
        <f>"1551599405428442"</f>
        <v>1551599405428442</v>
      </c>
      <c r="C8044" t="s">
        <v>40</v>
      </c>
      <c r="D8044">
        <v>5.7312050000000001</v>
      </c>
      <c r="E8044">
        <v>0.48900189999999999</v>
      </c>
      <c r="F8044" t="s">
        <v>64</v>
      </c>
      <c r="G8044">
        <v>-189.7971</v>
      </c>
      <c r="H8044" s="1">
        <v>-7.44032299999999E-6</v>
      </c>
      <c r="I8044">
        <v>-41.176290000000002</v>
      </c>
      <c r="J8044">
        <v>-190.85409999999999</v>
      </c>
      <c r="K8044">
        <v>1.125659</v>
      </c>
      <c r="L8044">
        <v>-50.603059999999999</v>
      </c>
      <c r="M8044">
        <v>0.41544609999999899</v>
      </c>
      <c r="N8044">
        <v>-1.5033380000000001E-2</v>
      </c>
      <c r="O8044">
        <v>0.90949360000000001</v>
      </c>
      <c r="P8044">
        <v>0.1404571</v>
      </c>
      <c r="Q8044">
        <v>-0.1140036</v>
      </c>
      <c r="R8044">
        <v>0.98350139999999997</v>
      </c>
      <c r="S8044">
        <v>0.34913640000000001</v>
      </c>
      <c r="T8044">
        <v>-0.34661649999999999</v>
      </c>
      <c r="U8044">
        <v>2.960693</v>
      </c>
      <c r="V8044">
        <v>-0.27972560000000002</v>
      </c>
      <c r="W8044">
        <v>-0.102857199999999</v>
      </c>
      <c r="X8044">
        <v>0.95455440000000003</v>
      </c>
      <c r="Y8044">
        <v>-0.306168</v>
      </c>
      <c r="Z8044">
        <v>-8.2988599999999996E-2</v>
      </c>
      <c r="AA8044">
        <v>0.94835340000000001</v>
      </c>
      <c r="AB8044">
        <v>20</v>
      </c>
      <c r="AC8044">
        <v>1.05699999999998</v>
      </c>
      <c r="AD8044">
        <v>-1.1256664403229999</v>
      </c>
      <c r="AE8044">
        <v>9.4267699999999905</v>
      </c>
      <c r="AF8044">
        <v>-2.91427484930073</v>
      </c>
      <c r="AG8044">
        <v>-1.1256664403229999</v>
      </c>
      <c r="AH8044">
        <v>8.8885621726269708</v>
      </c>
      <c r="AI8044">
        <v>96.861927181548594</v>
      </c>
      <c r="AJ8044">
        <v>108.15266031194599</v>
      </c>
      <c r="AK8044">
        <v>9.4216060376557493</v>
      </c>
      <c r="AL8044">
        <v>95.903724323977798</v>
      </c>
      <c r="AM8044">
        <v>106.33285976387801</v>
      </c>
      <c r="AN8044">
        <v>1.00000005872327</v>
      </c>
    </row>
    <row r="8045" spans="1:40" x14ac:dyDescent="0.25">
      <c r="A8045" t="str">
        <f>"20190303155005457"</f>
        <v>20190303155005457</v>
      </c>
      <c r="B8045" t="str">
        <f>"1551599405448938"</f>
        <v>1551599405448938</v>
      </c>
      <c r="C8045" t="s">
        <v>40</v>
      </c>
      <c r="D8045">
        <v>5.7237109999999998</v>
      </c>
      <c r="E8045">
        <v>0.48901250000000002</v>
      </c>
      <c r="F8045" t="s">
        <v>64</v>
      </c>
      <c r="G8045">
        <v>-189.77099999999999</v>
      </c>
      <c r="H8045" s="1">
        <v>-7.4939100000000002E-6</v>
      </c>
      <c r="I8045">
        <v>-41.007420000000003</v>
      </c>
      <c r="J8045">
        <v>-190.77760000000001</v>
      </c>
      <c r="K8045">
        <v>1.1255500000000001</v>
      </c>
      <c r="L8045">
        <v>-50.410919999999997</v>
      </c>
      <c r="M8045">
        <v>0.40751229999999999</v>
      </c>
      <c r="N8045">
        <v>-1.50121E-2</v>
      </c>
      <c r="O8045">
        <v>0.91307629999999995</v>
      </c>
      <c r="P8045">
        <v>0.13585810000000001</v>
      </c>
      <c r="Q8045">
        <v>-0.114648</v>
      </c>
      <c r="R8045">
        <v>0.98407239999999996</v>
      </c>
      <c r="S8045">
        <v>0.33436579999999999</v>
      </c>
      <c r="T8045">
        <v>-0.34750910000000002</v>
      </c>
      <c r="U8045">
        <v>2.9623110000000001</v>
      </c>
      <c r="V8045">
        <v>-0.27586850000000002</v>
      </c>
      <c r="W8045">
        <v>-0.1033944</v>
      </c>
      <c r="X8045">
        <v>0.95561819999999997</v>
      </c>
      <c r="Y8045">
        <v>-0.302618</v>
      </c>
      <c r="Z8045">
        <v>-8.3885059999999997E-2</v>
      </c>
      <c r="AA8045">
        <v>0.94941330000000002</v>
      </c>
      <c r="AB8045">
        <v>20</v>
      </c>
      <c r="AC8045">
        <v>1.0066000000000199</v>
      </c>
      <c r="AD8045">
        <v>-1.1255574939099999</v>
      </c>
      <c r="AE8045">
        <v>9.4034999999999993</v>
      </c>
      <c r="AF8045">
        <v>-2.8725783630996702</v>
      </c>
      <c r="AG8045">
        <v>-1.1255574939099999</v>
      </c>
      <c r="AH8045">
        <v>8.8716642169972104</v>
      </c>
      <c r="AI8045">
        <v>96.882391204149798</v>
      </c>
      <c r="AJ8045">
        <v>107.941564417423</v>
      </c>
      <c r="AK8045">
        <v>9.39281704832975</v>
      </c>
      <c r="AL8045">
        <v>95.934669023199703</v>
      </c>
      <c r="AM8045">
        <v>106.102406386361</v>
      </c>
      <c r="AN8045">
        <v>0.99999998770742404</v>
      </c>
    </row>
    <row r="8046" spans="1:40" x14ac:dyDescent="0.25">
      <c r="A8046" t="str">
        <f>"20190303155005482"</f>
        <v>20190303155005482</v>
      </c>
      <c r="B8046" t="str">
        <f>"1551599405479194"</f>
        <v>1551599405479194</v>
      </c>
      <c r="C8046" t="s">
        <v>40</v>
      </c>
      <c r="D8046">
        <v>5.6983269999999999</v>
      </c>
      <c r="E8046">
        <v>0.48925580000000002</v>
      </c>
      <c r="F8046" t="s">
        <v>64</v>
      </c>
      <c r="G8046">
        <v>-189.74600000000001</v>
      </c>
      <c r="H8046" s="1">
        <v>-7.5368980000000002E-6</v>
      </c>
      <c r="I8046">
        <v>-40.870600000000003</v>
      </c>
      <c r="J8046">
        <v>-190.70249999999999</v>
      </c>
      <c r="K8046">
        <v>1.125432</v>
      </c>
      <c r="L8046">
        <v>-50.217590000000001</v>
      </c>
      <c r="M8046">
        <v>0.39965230000000002</v>
      </c>
      <c r="N8046">
        <v>-1.4988410000000001E-2</v>
      </c>
      <c r="O8046">
        <v>0.91654429999999998</v>
      </c>
      <c r="P8046">
        <v>0.13126669999999999</v>
      </c>
      <c r="Q8046">
        <v>-0.116315</v>
      </c>
      <c r="R8046">
        <v>0.98449980000000004</v>
      </c>
      <c r="S8046">
        <v>0.3204651</v>
      </c>
      <c r="T8046">
        <v>-0.34964190000000001</v>
      </c>
      <c r="U8046">
        <v>2.9635929999999999</v>
      </c>
      <c r="V8046">
        <v>-0.27205249999999997</v>
      </c>
      <c r="W8046">
        <v>-0.10495160000000001</v>
      </c>
      <c r="X8046">
        <v>0.956542</v>
      </c>
      <c r="Y8046">
        <v>-0.29888749999999997</v>
      </c>
      <c r="Z8046">
        <v>-8.5130300000000006E-2</v>
      </c>
      <c r="AA8046">
        <v>0.95048359999999998</v>
      </c>
      <c r="AB8046">
        <v>20</v>
      </c>
      <c r="AC8046">
        <v>0.95650000000000501</v>
      </c>
      <c r="AD8046">
        <v>-1.1254395368979999</v>
      </c>
      <c r="AE8046">
        <v>9.3469899999999893</v>
      </c>
      <c r="AF8046">
        <v>-2.8187504630331901</v>
      </c>
      <c r="AG8046">
        <v>-1.1254395368979999</v>
      </c>
      <c r="AH8046">
        <v>8.8236061541713706</v>
      </c>
      <c r="AI8046">
        <v>96.927462289583602</v>
      </c>
      <c r="AJ8046">
        <v>107.71637306895499</v>
      </c>
      <c r="AK8046">
        <v>9.3310231961984709</v>
      </c>
      <c r="AL8046">
        <v>96.024378040628406</v>
      </c>
      <c r="AM8046">
        <v>105.876414493748</v>
      </c>
      <c r="AN8046">
        <v>0.99999999943140405</v>
      </c>
    </row>
    <row r="8047" spans="1:40" x14ac:dyDescent="0.25">
      <c r="A8047" t="str">
        <f>"20190303155005504"</f>
        <v>20190303155005504</v>
      </c>
      <c r="B8047" t="str">
        <f>"1551599405498714"</f>
        <v>1551599405498714</v>
      </c>
      <c r="C8047" t="s">
        <v>40</v>
      </c>
      <c r="D8047">
        <v>5.6942680000000001</v>
      </c>
      <c r="E8047">
        <v>0.4894001</v>
      </c>
      <c r="F8047" t="s">
        <v>64</v>
      </c>
      <c r="G8047">
        <v>-189.7184</v>
      </c>
      <c r="H8047" s="1">
        <v>-7.569266E-6</v>
      </c>
      <c r="I8047">
        <v>-40.764650000000003</v>
      </c>
      <c r="J8047">
        <v>-190.62819999999999</v>
      </c>
      <c r="K8047">
        <v>1.1253029999999999</v>
      </c>
      <c r="L8047">
        <v>-50.021729999999998</v>
      </c>
      <c r="M8047">
        <v>0.39185209999999998</v>
      </c>
      <c r="N8047">
        <v>-1.496226E-2</v>
      </c>
      <c r="O8047">
        <v>0.91990660000000002</v>
      </c>
      <c r="P8047">
        <v>0.12654749999999901</v>
      </c>
      <c r="Q8047">
        <v>-0.11666269999999999</v>
      </c>
      <c r="R8047">
        <v>0.98507639999999996</v>
      </c>
      <c r="S8047">
        <v>0.30857849999999998</v>
      </c>
      <c r="T8047">
        <v>-0.35293140000000001</v>
      </c>
      <c r="U8047">
        <v>2.9643860000000002</v>
      </c>
      <c r="V8047">
        <v>-0.26852680000000001</v>
      </c>
      <c r="W8047">
        <v>-0.10518959999999999</v>
      </c>
      <c r="X8047">
        <v>0.95751169999999997</v>
      </c>
      <c r="Y8047">
        <v>-0.29459220000000003</v>
      </c>
      <c r="Z8047">
        <v>-8.672038E-2</v>
      </c>
      <c r="AA8047">
        <v>0.95168010000000003</v>
      </c>
      <c r="AB8047">
        <v>20</v>
      </c>
      <c r="AC8047">
        <v>0.90979999999998995</v>
      </c>
      <c r="AD8047">
        <v>-1.1253105692659999</v>
      </c>
      <c r="AE8047">
        <v>9.2570799999999895</v>
      </c>
      <c r="AF8047">
        <v>-2.7505307658792102</v>
      </c>
      <c r="AG8047">
        <v>-1.1253105692659999</v>
      </c>
      <c r="AH8047">
        <v>8.7451549481469204</v>
      </c>
      <c r="AI8047">
        <v>96.998044812453799</v>
      </c>
      <c r="AJ8047">
        <v>107.45943207413001</v>
      </c>
      <c r="AK8047">
        <v>9.2363130327229808</v>
      </c>
      <c r="AL8047">
        <v>96.038089879281799</v>
      </c>
      <c r="AM8047">
        <v>105.66574423494301</v>
      </c>
      <c r="AN8047">
        <v>1.00000007495164</v>
      </c>
    </row>
    <row r="8048" spans="1:40" x14ac:dyDescent="0.25">
      <c r="A8048" t="str">
        <f>"20190303155005526"</f>
        <v>20190303155005526</v>
      </c>
      <c r="B8048" t="str">
        <f>"1551599405518234"</f>
        <v>1551599405518234</v>
      </c>
      <c r="C8048" t="s">
        <v>40</v>
      </c>
      <c r="D8048">
        <v>5.6657710000000003</v>
      </c>
      <c r="E8048">
        <v>0.48938549999999997</v>
      </c>
      <c r="F8048" t="s">
        <v>64</v>
      </c>
      <c r="G8048">
        <v>-189.68539999999999</v>
      </c>
      <c r="H8048" s="1">
        <v>-7.6324069999999906E-6</v>
      </c>
      <c r="I8048">
        <v>-40.564909999999998</v>
      </c>
      <c r="J8048">
        <v>-190.56299999999999</v>
      </c>
      <c r="K8048">
        <v>1.1252</v>
      </c>
      <c r="L8048">
        <v>-49.845860000000002</v>
      </c>
      <c r="M8048">
        <v>0.38495859999999998</v>
      </c>
      <c r="N8048">
        <v>-1.4938389999999999E-2</v>
      </c>
      <c r="O8048">
        <v>0.92281290000000005</v>
      </c>
      <c r="P8048">
        <v>0.1221121</v>
      </c>
      <c r="Q8048">
        <v>-0.1152629</v>
      </c>
      <c r="R8048">
        <v>0.98580069999999997</v>
      </c>
      <c r="S8048">
        <v>0.29568480000000003</v>
      </c>
      <c r="T8048">
        <v>-0.35289870000000001</v>
      </c>
      <c r="U8048">
        <v>2.965668</v>
      </c>
      <c r="V8048">
        <v>-0.26578079999999998</v>
      </c>
      <c r="W8048">
        <v>-0.103702</v>
      </c>
      <c r="X8048">
        <v>0.95843959999999995</v>
      </c>
      <c r="Y8048">
        <v>-0.29158790000000001</v>
      </c>
      <c r="Z8048">
        <v>-8.7252360000000001E-2</v>
      </c>
      <c r="AA8048">
        <v>0.95255630000000002</v>
      </c>
      <c r="AB8048">
        <v>20</v>
      </c>
      <c r="AC8048">
        <v>0.87760000000000105</v>
      </c>
      <c r="AD8048">
        <v>-1.1252076324069999</v>
      </c>
      <c r="AE8048">
        <v>9.28094999999999</v>
      </c>
      <c r="AF8048">
        <v>-2.7235513227823702</v>
      </c>
      <c r="AG8048">
        <v>-1.1252076324069999</v>
      </c>
      <c r="AH8048">
        <v>8.7755671010440892</v>
      </c>
      <c r="AI8048">
        <v>96.981589837781996</v>
      </c>
      <c r="AJ8048">
        <v>107.24205174613201</v>
      </c>
      <c r="AK8048">
        <v>9.2571270904521903</v>
      </c>
      <c r="AL8048">
        <v>95.952388367939093</v>
      </c>
      <c r="AM8048">
        <v>105.49899940531</v>
      </c>
      <c r="AN8048">
        <v>1.0000000026503999</v>
      </c>
    </row>
    <row r="8049" spans="1:40" x14ac:dyDescent="0.25">
      <c r="A8049" t="str">
        <f>"20190303155005552"</f>
        <v>20190303155005552</v>
      </c>
      <c r="B8049" t="str">
        <f>"1551599405538730"</f>
        <v>1551599405538730</v>
      </c>
      <c r="C8049" t="s">
        <v>40</v>
      </c>
      <c r="D8049">
        <v>5.6726130000000001</v>
      </c>
      <c r="E8049">
        <v>0.48945660000000002</v>
      </c>
      <c r="F8049" t="s">
        <v>41</v>
      </c>
      <c r="G8049">
        <v>-189.65559999999999</v>
      </c>
      <c r="H8049" s="1">
        <v>-1.085568E-7</v>
      </c>
      <c r="I8049">
        <v>-40.302230000000002</v>
      </c>
      <c r="J8049">
        <v>-190.4939</v>
      </c>
      <c r="K8049">
        <v>1.1251040000000001</v>
      </c>
      <c r="L8049">
        <v>-49.655880000000003</v>
      </c>
      <c r="M8049">
        <v>0.37763289999999999</v>
      </c>
      <c r="N8049">
        <v>-1.491284E-2</v>
      </c>
      <c r="O8049">
        <v>0.92583530000000003</v>
      </c>
      <c r="P8049">
        <v>0.1168897</v>
      </c>
      <c r="Q8049">
        <v>-0.11387650000000001</v>
      </c>
      <c r="R8049">
        <v>0.98659459999999999</v>
      </c>
      <c r="S8049">
        <v>0.28213500000000002</v>
      </c>
      <c r="T8049">
        <v>-0.34985569999999999</v>
      </c>
      <c r="U8049">
        <v>2.9673769999999999</v>
      </c>
      <c r="V8049">
        <v>-0.26336409999999999</v>
      </c>
      <c r="W8049">
        <v>-0.1022378</v>
      </c>
      <c r="X8049">
        <v>0.95926369999999905</v>
      </c>
      <c r="Y8049">
        <v>-0.28837360000000001</v>
      </c>
      <c r="Z8049">
        <v>-8.69312E-2</v>
      </c>
      <c r="AA8049">
        <v>0.95356370000000001</v>
      </c>
      <c r="AB8049">
        <v>20</v>
      </c>
      <c r="AC8049">
        <v>0.83830000000000304</v>
      </c>
      <c r="AD8049">
        <v>-1.1251041085568001</v>
      </c>
      <c r="AE8049">
        <v>9.3536499999999894</v>
      </c>
      <c r="AF8049">
        <v>-2.71742106998932</v>
      </c>
      <c r="AG8049">
        <v>-1.1251041085568001</v>
      </c>
      <c r="AH8049">
        <v>8.8504746813654496</v>
      </c>
      <c r="AI8049">
        <v>96.928861265505006</v>
      </c>
      <c r="AJ8049">
        <v>107.06841097229901</v>
      </c>
      <c r="AK8049">
        <v>9.3263679217691298</v>
      </c>
      <c r="AL8049">
        <v>95.868047394066807</v>
      </c>
      <c r="AM8049">
        <v>105.35218101428001</v>
      </c>
      <c r="AN8049">
        <v>1.00000003152766</v>
      </c>
    </row>
    <row r="8050" spans="1:40" x14ac:dyDescent="0.25">
      <c r="A8050" t="str">
        <f>"20190303155005574"</f>
        <v>20190303155005574</v>
      </c>
      <c r="B8050" t="str">
        <f>"1551599405568987"</f>
        <v>1551599405568987</v>
      </c>
      <c r="C8050" t="s">
        <v>40</v>
      </c>
      <c r="D8050">
        <v>5.745781</v>
      </c>
      <c r="E8050">
        <v>0.48931930000000001</v>
      </c>
      <c r="F8050" t="s">
        <v>41</v>
      </c>
      <c r="G8050">
        <v>-189.62350000000001</v>
      </c>
      <c r="H8050" s="1">
        <v>-2.3652670000000001E-7</v>
      </c>
      <c r="I8050">
        <v>-39.971550000000001</v>
      </c>
      <c r="J8050">
        <v>-190.4177</v>
      </c>
      <c r="K8050">
        <v>1.1249910000000001</v>
      </c>
      <c r="L8050">
        <v>-49.440980000000003</v>
      </c>
      <c r="M8050">
        <v>0.36950349999999998</v>
      </c>
      <c r="N8050">
        <v>-1.4884440000000001E-2</v>
      </c>
      <c r="O8050">
        <v>0.92911010000000005</v>
      </c>
      <c r="P8050">
        <v>0.110496</v>
      </c>
      <c r="Q8050">
        <v>-0.1141452</v>
      </c>
      <c r="R8050">
        <v>0.98730010000000001</v>
      </c>
      <c r="S8050">
        <v>0.2668915</v>
      </c>
      <c r="T8050">
        <v>-0.34497030000000001</v>
      </c>
      <c r="U8050">
        <v>2.9693299999999998</v>
      </c>
      <c r="V8050">
        <v>-0.26118439999999998</v>
      </c>
      <c r="W8050">
        <v>-0.10243670000000001</v>
      </c>
      <c r="X8050">
        <v>0.95983830000000003</v>
      </c>
      <c r="Y8050">
        <v>-0.28489530000000002</v>
      </c>
      <c r="Z8050">
        <v>-8.6110370000000006E-2</v>
      </c>
      <c r="AA8050">
        <v>0.95468299999999995</v>
      </c>
      <c r="AB8050">
        <v>20</v>
      </c>
      <c r="AC8050">
        <v>0.79419999999998903</v>
      </c>
      <c r="AD8050">
        <v>-1.1249912365266901</v>
      </c>
      <c r="AE8050">
        <v>9.4694299999999902</v>
      </c>
      <c r="AF8050">
        <v>-2.7232270502318201</v>
      </c>
      <c r="AG8050">
        <v>-1.1249912365266901</v>
      </c>
      <c r="AH8050">
        <v>8.9669347464644602</v>
      </c>
      <c r="AI8050">
        <v>96.8453726851791</v>
      </c>
      <c r="AJ8050">
        <v>106.89335435064</v>
      </c>
      <c r="AK8050">
        <v>9.4386169324074096</v>
      </c>
      <c r="AL8050">
        <v>95.8795034736237</v>
      </c>
      <c r="AM8050">
        <v>105.222350547308</v>
      </c>
      <c r="AN8050">
        <v>1.0000000652285601</v>
      </c>
    </row>
    <row r="8051" spans="1:40" x14ac:dyDescent="0.25">
      <c r="A8051" t="str">
        <f>"20190303155005595"</f>
        <v>20190303155005595</v>
      </c>
      <c r="B8051" t="str">
        <f>"1551599405588506"</f>
        <v>1551599405588506</v>
      </c>
      <c r="C8051" t="s">
        <v>40</v>
      </c>
      <c r="D8051">
        <v>5.6380879999999998</v>
      </c>
      <c r="E8051">
        <v>0.48947200000000002</v>
      </c>
      <c r="F8051" t="s">
        <v>41</v>
      </c>
      <c r="G8051">
        <v>-189.62520000000001</v>
      </c>
      <c r="H8051" s="1">
        <v>-2.71381099999999E-7</v>
      </c>
      <c r="I8051">
        <v>-39.889589999999998</v>
      </c>
      <c r="J8051">
        <v>-190.35570000000001</v>
      </c>
      <c r="K8051">
        <v>1.1248990000000001</v>
      </c>
      <c r="L8051">
        <v>-49.262329999999999</v>
      </c>
      <c r="M8051">
        <v>0.36287150000000001</v>
      </c>
      <c r="N8051">
        <v>-1.486093E-2</v>
      </c>
      <c r="O8051">
        <v>0.93172069999999996</v>
      </c>
      <c r="P8051">
        <v>0.105891</v>
      </c>
      <c r="Q8051">
        <v>-0.11504830000000001</v>
      </c>
      <c r="R8051">
        <v>0.98769989999999996</v>
      </c>
      <c r="S8051">
        <v>0.24646000000000001</v>
      </c>
      <c r="T8051">
        <v>-0.34988029999999998</v>
      </c>
      <c r="U8051">
        <v>2.9705509999999999</v>
      </c>
      <c r="V8051">
        <v>-0.25879609999999997</v>
      </c>
      <c r="W8051">
        <v>-0.1032778</v>
      </c>
      <c r="X8051">
        <v>0.96039490000000005</v>
      </c>
      <c r="Y8051">
        <v>-0.28462510000000002</v>
      </c>
      <c r="Z8051">
        <v>-8.7966749999999996E-2</v>
      </c>
      <c r="AA8051">
        <v>0.95459439999999995</v>
      </c>
      <c r="AB8051">
        <v>20</v>
      </c>
      <c r="AC8051">
        <v>0.73050000000000603</v>
      </c>
      <c r="AD8051">
        <v>-1.1248992713810999</v>
      </c>
      <c r="AE8051">
        <v>9.3727399999999896</v>
      </c>
      <c r="AF8051">
        <v>-2.68237404897955</v>
      </c>
      <c r="AG8051">
        <v>-1.1248992713810999</v>
      </c>
      <c r="AH8051">
        <v>8.8718256516348397</v>
      </c>
      <c r="AI8051">
        <v>96.920055384924297</v>
      </c>
      <c r="AJ8051">
        <v>106.82255903228</v>
      </c>
      <c r="AK8051">
        <v>9.3364778852840793</v>
      </c>
      <c r="AL8051">
        <v>95.927952038882495</v>
      </c>
      <c r="AM8051">
        <v>105.081183715045</v>
      </c>
      <c r="AN8051">
        <v>1.0000000446470201</v>
      </c>
    </row>
    <row r="8052" spans="1:40" x14ac:dyDescent="0.25">
      <c r="A8052" t="str">
        <f>"20190303155005617"</f>
        <v>20190303155005617</v>
      </c>
      <c r="B8052" t="str">
        <f>"1551599405609002"</f>
        <v>1551599405609002</v>
      </c>
      <c r="C8052" t="s">
        <v>40</v>
      </c>
      <c r="D8052">
        <v>5.5781650000000003</v>
      </c>
      <c r="E8052">
        <v>0.48972900000000003</v>
      </c>
      <c r="F8052" t="s">
        <v>41</v>
      </c>
      <c r="G8052">
        <v>-189.61019999999999</v>
      </c>
      <c r="H8052" s="1">
        <v>-3.16699E-7</v>
      </c>
      <c r="I8052">
        <v>-39.79016</v>
      </c>
      <c r="J8052">
        <v>-190.2946</v>
      </c>
      <c r="K8052">
        <v>1.1248100000000001</v>
      </c>
      <c r="L8052">
        <v>-49.082459999999998</v>
      </c>
      <c r="M8052">
        <v>0.35630240000000002</v>
      </c>
      <c r="N8052">
        <v>-1.483724E-2</v>
      </c>
      <c r="O8052">
        <v>0.93425290000000005</v>
      </c>
      <c r="P8052">
        <v>0.1019851</v>
      </c>
      <c r="Q8052">
        <v>-0.1163666</v>
      </c>
      <c r="R8052">
        <v>0.98795639999999996</v>
      </c>
      <c r="S8052">
        <v>0.23385619999999999</v>
      </c>
      <c r="T8052">
        <v>-0.3528538</v>
      </c>
      <c r="U8052">
        <v>2.9711910000000001</v>
      </c>
      <c r="V8052">
        <v>-0.25578830000000002</v>
      </c>
      <c r="W8052">
        <v>-0.10452740000000001</v>
      </c>
      <c r="X8052">
        <v>0.96106519999999995</v>
      </c>
      <c r="Y8052">
        <v>-0.2819256</v>
      </c>
      <c r="Z8052">
        <v>-8.9317569999999999E-2</v>
      </c>
      <c r="AA8052">
        <v>0.95526979999999995</v>
      </c>
      <c r="AB8052">
        <v>20</v>
      </c>
      <c r="AC8052">
        <v>0.68440000000001</v>
      </c>
      <c r="AD8052">
        <v>-1.124810316699</v>
      </c>
      <c r="AE8052">
        <v>9.2922999999999902</v>
      </c>
      <c r="AF8052">
        <v>-2.6333826843773598</v>
      </c>
      <c r="AG8052">
        <v>-1.124810316699</v>
      </c>
      <c r="AH8052">
        <v>8.7979771045849002</v>
      </c>
      <c r="AI8052">
        <v>96.982802402914501</v>
      </c>
      <c r="AJ8052">
        <v>106.66332709888199</v>
      </c>
      <c r="AK8052">
        <v>9.2522593858868394</v>
      </c>
      <c r="AL8052">
        <v>95.999938892974399</v>
      </c>
      <c r="AM8052">
        <v>104.90382051050599</v>
      </c>
      <c r="AN8052">
        <v>0.99999997520934403</v>
      </c>
    </row>
    <row r="8053" spans="1:40" x14ac:dyDescent="0.25">
      <c r="A8053" t="str">
        <f>"20190303155005637"</f>
        <v>20190303155005637</v>
      </c>
      <c r="B8053" t="str">
        <f>"1551599405628522"</f>
        <v>1551599405628522</v>
      </c>
      <c r="C8053" t="s">
        <v>40</v>
      </c>
      <c r="D8053">
        <v>5.5775699999999997</v>
      </c>
      <c r="E8053">
        <v>0.4899753</v>
      </c>
      <c r="F8053" t="s">
        <v>41</v>
      </c>
      <c r="G8053">
        <v>-189.58799999999999</v>
      </c>
      <c r="H8053" s="1">
        <v>-3.5503109999999999E-7</v>
      </c>
      <c r="I8053">
        <v>-39.710009999999997</v>
      </c>
      <c r="J8053">
        <v>-190.239</v>
      </c>
      <c r="K8053">
        <v>1.124735</v>
      </c>
      <c r="L8053">
        <v>-48.915370000000003</v>
      </c>
      <c r="M8053">
        <v>0.35029169999999998</v>
      </c>
      <c r="N8053">
        <v>-1.481557E-2</v>
      </c>
      <c r="O8053">
        <v>0.93652349999999995</v>
      </c>
      <c r="P8053">
        <v>9.8340049999999998E-2</v>
      </c>
      <c r="Q8053">
        <v>-0.116923</v>
      </c>
      <c r="R8053">
        <v>0.98826020000000003</v>
      </c>
      <c r="S8053">
        <v>0.22404479999999999</v>
      </c>
      <c r="T8053">
        <v>-0.35660890000000001</v>
      </c>
      <c r="U8053">
        <v>2.9714360000000002</v>
      </c>
      <c r="V8053">
        <v>-0.25315310000000002</v>
      </c>
      <c r="W8053">
        <v>-0.1050223</v>
      </c>
      <c r="X8053">
        <v>0.96170880000000003</v>
      </c>
      <c r="Y8053">
        <v>-0.27891300000000002</v>
      </c>
      <c r="Z8053">
        <v>-9.0874750000000004E-2</v>
      </c>
      <c r="AA8053">
        <v>0.95600689999999999</v>
      </c>
      <c r="AB8053">
        <v>20</v>
      </c>
      <c r="AC8053">
        <v>0.65100000000001002</v>
      </c>
      <c r="AD8053">
        <v>-1.1247353550310999</v>
      </c>
      <c r="AE8053">
        <v>9.2053600000000007</v>
      </c>
      <c r="AF8053">
        <v>-2.57689340459484</v>
      </c>
      <c r="AG8053">
        <v>-1.1247353550310999</v>
      </c>
      <c r="AH8053">
        <v>8.7205098563978201</v>
      </c>
      <c r="AI8053">
        <v>97.051027407591803</v>
      </c>
      <c r="AJ8053">
        <v>106.46230576251099</v>
      </c>
      <c r="AK8053">
        <v>9.16257067601844</v>
      </c>
      <c r="AL8053">
        <v>96.028451385225395</v>
      </c>
      <c r="AM8053">
        <v>104.747565399575</v>
      </c>
      <c r="AN8053">
        <v>0.99999999576717002</v>
      </c>
    </row>
    <row r="8054" spans="1:40" x14ac:dyDescent="0.25">
      <c r="A8054" t="str">
        <f>"20190303155005659"</f>
        <v>20190303155005659</v>
      </c>
      <c r="B8054" t="str">
        <f>"1551599405649018"</f>
        <v>1551599405649018</v>
      </c>
      <c r="C8054" t="s">
        <v>40</v>
      </c>
      <c r="D8054">
        <v>5.6161699999999897</v>
      </c>
      <c r="E8054">
        <v>0.49023630000000001</v>
      </c>
      <c r="F8054" t="s">
        <v>41</v>
      </c>
      <c r="G8054">
        <v>-189.56309999999999</v>
      </c>
      <c r="H8054" s="1">
        <v>-4.142026E-7</v>
      </c>
      <c r="I8054">
        <v>-39.582360000000001</v>
      </c>
      <c r="J8054">
        <v>-190.17789999999999</v>
      </c>
      <c r="K8054">
        <v>1.1246529999999999</v>
      </c>
      <c r="L8054">
        <v>-48.72775</v>
      </c>
      <c r="M8054">
        <v>0.34363070000000001</v>
      </c>
      <c r="N8054">
        <v>-1.47922E-2</v>
      </c>
      <c r="O8054">
        <v>0.9389883</v>
      </c>
      <c r="P8054">
        <v>9.47326E-2</v>
      </c>
      <c r="Q8054">
        <v>-0.1166846</v>
      </c>
      <c r="R8054">
        <v>0.98864070000000004</v>
      </c>
      <c r="S8054">
        <v>0.2152405</v>
      </c>
      <c r="T8054">
        <v>-0.35814319999999999</v>
      </c>
      <c r="U8054">
        <v>2.9718629999999999</v>
      </c>
      <c r="V8054">
        <v>-0.24986920000000001</v>
      </c>
      <c r="W8054">
        <v>-0.10471179999999999</v>
      </c>
      <c r="X8054">
        <v>0.96260109999999999</v>
      </c>
      <c r="Y8054">
        <v>-0.2749279</v>
      </c>
      <c r="Z8054">
        <v>-9.1834990000000005E-2</v>
      </c>
      <c r="AA8054">
        <v>0.9570689</v>
      </c>
      <c r="AB8054">
        <v>20</v>
      </c>
      <c r="AC8054">
        <v>0.61480000000000201</v>
      </c>
      <c r="AD8054">
        <v>-1.1246534142025999</v>
      </c>
      <c r="AE8054">
        <v>9.1453900000000008</v>
      </c>
      <c r="AF8054">
        <v>-2.5275754844377101</v>
      </c>
      <c r="AG8054">
        <v>-1.1246534142025999</v>
      </c>
      <c r="AH8054">
        <v>8.6691296739293495</v>
      </c>
      <c r="AI8054">
        <v>97.099355119607395</v>
      </c>
      <c r="AJ8054">
        <v>106.254596731568</v>
      </c>
      <c r="AK8054">
        <v>9.0998512314768405</v>
      </c>
      <c r="AL8054">
        <v>96.010562216086498</v>
      </c>
      <c r="AM8054">
        <v>104.551517623259</v>
      </c>
      <c r="AN8054">
        <v>1.00000002794454</v>
      </c>
    </row>
    <row r="8055" spans="1:40" x14ac:dyDescent="0.25">
      <c r="A8055" t="str">
        <f>"20190303155005684"</f>
        <v>20190303155005684</v>
      </c>
      <c r="B8055" t="str">
        <f>"1551599405678298"</f>
        <v>1551599405678298</v>
      </c>
      <c r="C8055" t="s">
        <v>40</v>
      </c>
      <c r="D8055">
        <v>5.5893300000000004</v>
      </c>
      <c r="E8055">
        <v>0.49056569999999999</v>
      </c>
      <c r="F8055" t="s">
        <v>41</v>
      </c>
      <c r="G8055">
        <v>-189.52690000000001</v>
      </c>
      <c r="H8055" s="1">
        <v>-5.2085370000000004E-7</v>
      </c>
      <c r="I8055">
        <v>-39.348730000000003</v>
      </c>
      <c r="J8055">
        <v>-190.1155</v>
      </c>
      <c r="K8055">
        <v>1.1245830000000001</v>
      </c>
      <c r="L8055">
        <v>-48.53201</v>
      </c>
      <c r="M8055">
        <v>0.3367868</v>
      </c>
      <c r="N8055">
        <v>-1.4767209999999999E-2</v>
      </c>
      <c r="O8055">
        <v>0.94146510000000005</v>
      </c>
      <c r="P8055">
        <v>9.1201279999999996E-2</v>
      </c>
      <c r="Q8055">
        <v>-0.11596239999999999</v>
      </c>
      <c r="R8055">
        <v>0.98905770000000004</v>
      </c>
      <c r="S8055">
        <v>0.20632929999999999</v>
      </c>
      <c r="T8055">
        <v>-0.35645199999999999</v>
      </c>
      <c r="U8055">
        <v>2.972626</v>
      </c>
      <c r="V8055">
        <v>-0.2463593</v>
      </c>
      <c r="W8055">
        <v>-0.1039206</v>
      </c>
      <c r="X8055">
        <v>0.96359099999999998</v>
      </c>
      <c r="Y8055">
        <v>-0.27080739999999998</v>
      </c>
      <c r="Z8055">
        <v>-9.1841649999999997E-2</v>
      </c>
      <c r="AA8055">
        <v>0.95824240000000005</v>
      </c>
      <c r="AB8055">
        <v>20</v>
      </c>
      <c r="AC8055">
        <v>0.58859999999998502</v>
      </c>
      <c r="AD8055">
        <v>-1.1245835208536901</v>
      </c>
      <c r="AE8055">
        <v>9.1832799999999999</v>
      </c>
      <c r="AF8055">
        <v>-2.5015768072509199</v>
      </c>
      <c r="AG8055">
        <v>-1.1245835208536901</v>
      </c>
      <c r="AH8055">
        <v>8.7147791556856191</v>
      </c>
      <c r="AI8055">
        <v>97.070532296932797</v>
      </c>
      <c r="AJ8055">
        <v>106.01612245475501</v>
      </c>
      <c r="AK8055">
        <v>9.1361890496160303</v>
      </c>
      <c r="AL8055">
        <v>95.964981247312707</v>
      </c>
      <c r="AM8055">
        <v>104.341478209578</v>
      </c>
      <c r="AN8055">
        <v>1.0000000055409199</v>
      </c>
    </row>
    <row r="8056" spans="1:40" x14ac:dyDescent="0.25">
      <c r="A8056" t="str">
        <f>"20190303155005729"</f>
        <v>20190303155005729</v>
      </c>
      <c r="B8056" t="str">
        <f>"1551599405719290"</f>
        <v>1551599405719290</v>
      </c>
      <c r="C8056" t="s">
        <v>40</v>
      </c>
      <c r="D8056">
        <v>5.6290420000000001</v>
      </c>
      <c r="E8056">
        <v>0.49093579999999998</v>
      </c>
      <c r="F8056" t="s">
        <v>41</v>
      </c>
      <c r="G8056">
        <v>-189.4838</v>
      </c>
      <c r="H8056" s="1">
        <v>-6.5174439999999996E-7</v>
      </c>
      <c r="I8056">
        <v>-39.061430000000001</v>
      </c>
      <c r="J8056">
        <v>-190.00049999999999</v>
      </c>
      <c r="K8056">
        <v>1.124471</v>
      </c>
      <c r="L8056">
        <v>-48.158360000000002</v>
      </c>
      <c r="M8056">
        <v>0.32394109999999998</v>
      </c>
      <c r="N8056">
        <v>-1.4638470000000001E-2</v>
      </c>
      <c r="O8056">
        <v>0.94596400000000003</v>
      </c>
      <c r="P8056">
        <v>8.7719909999999998E-2</v>
      </c>
      <c r="Q8056">
        <v>-0.1139994</v>
      </c>
      <c r="R8056">
        <v>0.98960060000000005</v>
      </c>
      <c r="S8056">
        <v>0.198349</v>
      </c>
      <c r="T8056">
        <v>-0.3530895</v>
      </c>
      <c r="U8056">
        <v>2.9735109999999998</v>
      </c>
      <c r="V8056">
        <v>-0.2367534</v>
      </c>
      <c r="W8056">
        <v>-0.1018994</v>
      </c>
      <c r="X8056">
        <v>0.9662113</v>
      </c>
      <c r="Y8056">
        <v>-0.26028829999999997</v>
      </c>
      <c r="Z8056">
        <v>-9.1899079999999994E-2</v>
      </c>
      <c r="AA8056">
        <v>0.96114750000000004</v>
      </c>
      <c r="AB8056">
        <v>20</v>
      </c>
      <c r="AC8056">
        <v>0.51669999999998595</v>
      </c>
      <c r="AD8056">
        <v>-1.1244716517444</v>
      </c>
      <c r="AE8056">
        <v>9.0969299999999897</v>
      </c>
      <c r="AF8056">
        <v>-2.4214735383041499</v>
      </c>
      <c r="AG8056">
        <v>-1.1244716517444</v>
      </c>
      <c r="AH8056">
        <v>8.6420674146005396</v>
      </c>
      <c r="AI8056">
        <v>97.141414872386605</v>
      </c>
      <c r="AJ8056">
        <v>105.652664499924</v>
      </c>
      <c r="AK8056">
        <v>9.0450704690889197</v>
      </c>
      <c r="AL8056">
        <v>95.848557081750101</v>
      </c>
      <c r="AM8056">
        <v>103.768070186876</v>
      </c>
      <c r="AN8056">
        <v>0.99999996818980397</v>
      </c>
    </row>
    <row r="8057" spans="1:40" x14ac:dyDescent="0.25">
      <c r="A8057" t="str">
        <f>"20190303155005749"</f>
        <v>20190303155005749</v>
      </c>
      <c r="B8057" t="str">
        <f>"1551599405738811"</f>
        <v>1551599405738811</v>
      </c>
      <c r="C8057" t="s">
        <v>40</v>
      </c>
      <c r="D8057">
        <v>5.5726170000000002</v>
      </c>
      <c r="E8057">
        <v>0.49120989999999998</v>
      </c>
      <c r="F8057" t="s">
        <v>41</v>
      </c>
      <c r="G8057">
        <v>-189.38040000000001</v>
      </c>
      <c r="H8057" s="1">
        <v>-9.1315340000000005E-7</v>
      </c>
      <c r="I8057">
        <v>-38.494810000000001</v>
      </c>
      <c r="J8057">
        <v>-189.9479</v>
      </c>
      <c r="K8057">
        <v>1.1244240000000001</v>
      </c>
      <c r="L8057">
        <v>-47.981749999999998</v>
      </c>
      <c r="M8057">
        <v>0.31793979999999999</v>
      </c>
      <c r="N8057">
        <v>-1.452463E-2</v>
      </c>
      <c r="O8057">
        <v>0.9479997</v>
      </c>
      <c r="P8057">
        <v>8.7260329999999997E-2</v>
      </c>
      <c r="Q8057">
        <v>-0.11429880000000001</v>
      </c>
      <c r="R8057">
        <v>0.98960669999999995</v>
      </c>
      <c r="S8057">
        <v>0.19087219999999999</v>
      </c>
      <c r="T8057">
        <v>-0.34614630000000002</v>
      </c>
      <c r="U8057">
        <v>2.9747309999999998</v>
      </c>
      <c r="V8057">
        <v>-0.23107549999999999</v>
      </c>
      <c r="W8057">
        <v>-0.10222630000000001</v>
      </c>
      <c r="X8057">
        <v>0.96755049999999998</v>
      </c>
      <c r="Y8057">
        <v>-0.256602</v>
      </c>
      <c r="Z8057">
        <v>-9.0307170000000006E-2</v>
      </c>
      <c r="AA8057">
        <v>0.96228899999999995</v>
      </c>
      <c r="AB8057">
        <v>20</v>
      </c>
      <c r="AC8057">
        <v>0.56749999999999501</v>
      </c>
      <c r="AD8057">
        <v>-1.1244249131534001</v>
      </c>
      <c r="AE8057">
        <v>9.4869399999999899</v>
      </c>
      <c r="AF8057">
        <v>-2.4443322131777498</v>
      </c>
      <c r="AG8057">
        <v>-1.1244249131534001</v>
      </c>
      <c r="AH8057">
        <v>9.0483580547948304</v>
      </c>
      <c r="AI8057">
        <v>96.840969555387105</v>
      </c>
      <c r="AJ8057">
        <v>105.117102985779</v>
      </c>
      <c r="AK8057">
        <v>9.4399086246355708</v>
      </c>
      <c r="AL8057">
        <v>95.867384992423197</v>
      </c>
      <c r="AM8057">
        <v>103.432074479843</v>
      </c>
      <c r="AN8057">
        <v>1.0000000365810899</v>
      </c>
    </row>
    <row r="8058" spans="1:40" x14ac:dyDescent="0.25">
      <c r="A8058" t="str">
        <f>"20190303155005771"</f>
        <v>20190303155005771</v>
      </c>
      <c r="B8058" t="str">
        <f>"1551599405758330"</f>
        <v>1551599405758330</v>
      </c>
      <c r="C8058" t="s">
        <v>40</v>
      </c>
      <c r="D8058">
        <v>5.5395629999999896</v>
      </c>
      <c r="E8058">
        <v>0.49127729999999997</v>
      </c>
      <c r="F8058" t="s">
        <v>41</v>
      </c>
      <c r="G8058">
        <v>-189.32579999999999</v>
      </c>
      <c r="H8058" s="1">
        <v>-9.9642049999999993E-7</v>
      </c>
      <c r="I8058">
        <v>-38.323309999999999</v>
      </c>
      <c r="J8058">
        <v>-189.89420000000001</v>
      </c>
      <c r="K8058">
        <v>1.1243639999999999</v>
      </c>
      <c r="L8058">
        <v>-47.797240000000002</v>
      </c>
      <c r="M8058">
        <v>0.31171169999999998</v>
      </c>
      <c r="N8058">
        <v>-1.4366510000000001E-2</v>
      </c>
      <c r="O8058">
        <v>0.95006809999999997</v>
      </c>
      <c r="P8058">
        <v>8.7476659999999998E-2</v>
      </c>
      <c r="Q8058">
        <v>-0.114677399999999</v>
      </c>
      <c r="R8058">
        <v>0.98954379999999997</v>
      </c>
      <c r="S8058">
        <v>0.19160460000000001</v>
      </c>
      <c r="T8058">
        <v>-0.34630080000000002</v>
      </c>
      <c r="U8058">
        <v>2.9746090000000001</v>
      </c>
      <c r="V8058">
        <v>-0.22450629999999999</v>
      </c>
      <c r="W8058">
        <v>-0.102669</v>
      </c>
      <c r="X8058">
        <v>0.96904900000000005</v>
      </c>
      <c r="Y8058">
        <v>-0.25002970000000002</v>
      </c>
      <c r="Z8058">
        <v>-9.0964909999999996E-2</v>
      </c>
      <c r="AA8058">
        <v>0.96395569999999997</v>
      </c>
      <c r="AB8058">
        <v>20</v>
      </c>
      <c r="AC8058">
        <v>0.568400000000025</v>
      </c>
      <c r="AD8058">
        <v>-1.1243649964205</v>
      </c>
      <c r="AE8058">
        <v>9.4739299999999993</v>
      </c>
      <c r="AF8058">
        <v>-2.3799638525309201</v>
      </c>
      <c r="AG8058">
        <v>-1.1243649964205</v>
      </c>
      <c r="AH8058">
        <v>9.0519641445393901</v>
      </c>
      <c r="AI8058">
        <v>96.850086768155094</v>
      </c>
      <c r="AJ8058">
        <v>104.73094145258101</v>
      </c>
      <c r="AK8058">
        <v>9.4269019013966808</v>
      </c>
      <c r="AL8058">
        <v>95.892884313724593</v>
      </c>
      <c r="AM8058">
        <v>103.043984861431</v>
      </c>
      <c r="AN8058">
        <v>0.99999998335084395</v>
      </c>
    </row>
    <row r="8059" spans="1:40" x14ac:dyDescent="0.25">
      <c r="A8059" t="str">
        <f>"20190303155005795"</f>
        <v>20190303155005795</v>
      </c>
      <c r="B8059" t="str">
        <f>"1551599405788586"</f>
        <v>1551599405788586</v>
      </c>
      <c r="C8059" t="s">
        <v>40</v>
      </c>
      <c r="D8059">
        <v>5.603891</v>
      </c>
      <c r="E8059">
        <v>0.49154789999999998</v>
      </c>
      <c r="F8059" t="s">
        <v>41</v>
      </c>
      <c r="G8059">
        <v>-189.2664</v>
      </c>
      <c r="H8059" s="1">
        <v>-1.0947329999999999E-6</v>
      </c>
      <c r="I8059">
        <v>-38.118679999999998</v>
      </c>
      <c r="J8059">
        <v>-189.83690000000001</v>
      </c>
      <c r="K8059">
        <v>1.1242859999999999</v>
      </c>
      <c r="L8059">
        <v>-47.59534</v>
      </c>
      <c r="M8059">
        <v>0.30495489999999997</v>
      </c>
      <c r="N8059">
        <v>-1.4141849999999999E-2</v>
      </c>
      <c r="O8059">
        <v>0.95226180000000005</v>
      </c>
      <c r="P8059">
        <v>8.7198090000000006E-2</v>
      </c>
      <c r="Q8059">
        <v>-0.1154969</v>
      </c>
      <c r="R8059">
        <v>0.98947300000000005</v>
      </c>
      <c r="S8059">
        <v>0.19294739999999999</v>
      </c>
      <c r="T8059">
        <v>-0.34555900000000001</v>
      </c>
      <c r="U8059">
        <v>2.9745789999999999</v>
      </c>
      <c r="V8059">
        <v>-0.2178696</v>
      </c>
      <c r="W8059">
        <v>-0.1036144</v>
      </c>
      <c r="X8059">
        <v>0.97046220000000005</v>
      </c>
      <c r="Y8059">
        <v>-0.24272640000000001</v>
      </c>
      <c r="Z8059">
        <v>-9.1444049999999999E-2</v>
      </c>
      <c r="AA8059">
        <v>0.9657753</v>
      </c>
      <c r="AB8059">
        <v>20</v>
      </c>
      <c r="AC8059">
        <v>0.570500000000009</v>
      </c>
      <c r="AD8059">
        <v>-1.1242870947329999</v>
      </c>
      <c r="AE8059">
        <v>9.4766600000000007</v>
      </c>
      <c r="AF8059">
        <v>-2.3144650951671499</v>
      </c>
      <c r="AG8059">
        <v>-1.1242870947329999</v>
      </c>
      <c r="AH8059">
        <v>9.0719328783473205</v>
      </c>
      <c r="AI8059">
        <v>96.847509841132606</v>
      </c>
      <c r="AJ8059">
        <v>104.31220648915399</v>
      </c>
      <c r="AK8059">
        <v>9.4297792284533006</v>
      </c>
      <c r="AL8059">
        <v>95.947342124441803</v>
      </c>
      <c r="AM8059">
        <v>102.653160094431</v>
      </c>
      <c r="AN8059">
        <v>0.99999999406018003</v>
      </c>
    </row>
    <row r="8060" spans="1:40" x14ac:dyDescent="0.25">
      <c r="A8060" t="str">
        <f>"20190303155005817"</f>
        <v>20190303155005817</v>
      </c>
      <c r="B8060" t="str">
        <f>"1551599405809083"</f>
        <v>1551599405809083</v>
      </c>
      <c r="C8060" t="s">
        <v>40</v>
      </c>
      <c r="D8060">
        <v>5.6292519999999904</v>
      </c>
      <c r="E8060">
        <v>0.49169659999999898</v>
      </c>
      <c r="F8060" t="s">
        <v>41</v>
      </c>
      <c r="G8060">
        <v>-189.20779999999999</v>
      </c>
      <c r="H8060" s="1">
        <v>-1.1704729999999999E-6</v>
      </c>
      <c r="I8060">
        <v>-37.966389999999997</v>
      </c>
      <c r="J8060">
        <v>-189.7859</v>
      </c>
      <c r="K8060">
        <v>1.124201</v>
      </c>
      <c r="L8060">
        <v>-47.411250000000003</v>
      </c>
      <c r="M8060">
        <v>0.29885329999999999</v>
      </c>
      <c r="N8060">
        <v>-1.3903469999999999E-2</v>
      </c>
      <c r="O8060">
        <v>0.95419779999999998</v>
      </c>
      <c r="P8060">
        <v>8.8021009999999997E-2</v>
      </c>
      <c r="Q8060">
        <v>-0.1162096</v>
      </c>
      <c r="R8060">
        <v>0.9893168</v>
      </c>
      <c r="S8060">
        <v>0.19433590000000001</v>
      </c>
      <c r="T8060">
        <v>-0.34727619999999998</v>
      </c>
      <c r="U8060">
        <v>2.974243</v>
      </c>
      <c r="V8060">
        <v>-0.21083270000000001</v>
      </c>
      <c r="W8060">
        <v>-0.1044588</v>
      </c>
      <c r="X8060">
        <v>0.97192480000000003</v>
      </c>
      <c r="Y8060">
        <v>-0.2360728</v>
      </c>
      <c r="Z8060">
        <v>-9.2633499999999994E-2</v>
      </c>
      <c r="AA8060">
        <v>0.96731</v>
      </c>
      <c r="AB8060">
        <v>20</v>
      </c>
      <c r="AC8060">
        <v>0.57810000000000605</v>
      </c>
      <c r="AD8060">
        <v>-1.1242021704729901</v>
      </c>
      <c r="AE8060">
        <v>9.4448599999999896</v>
      </c>
      <c r="AF8060">
        <v>-2.23961368341975</v>
      </c>
      <c r="AG8060">
        <v>-1.1242021704729901</v>
      </c>
      <c r="AH8060">
        <v>9.0580668956307697</v>
      </c>
      <c r="AI8060">
        <v>96.870025100787302</v>
      </c>
      <c r="AJ8060">
        <v>103.887892424876</v>
      </c>
      <c r="AK8060">
        <v>9.3983123940832805</v>
      </c>
      <c r="AL8060">
        <v>95.995986963344606</v>
      </c>
      <c r="AM8060">
        <v>102.23914212707599</v>
      </c>
      <c r="AN8060">
        <v>0.99999994257088298</v>
      </c>
    </row>
    <row r="8061" spans="1:40" x14ac:dyDescent="0.25">
      <c r="A8061" t="str">
        <f>"20190303155005860"</f>
        <v>20190303155005860</v>
      </c>
      <c r="B8061" t="str">
        <f>"1551599405849099"</f>
        <v>1551599405849099</v>
      </c>
      <c r="C8061" t="s">
        <v>40</v>
      </c>
      <c r="D8061">
        <v>5.6145829999999997</v>
      </c>
      <c r="E8061">
        <v>0.49184410000000001</v>
      </c>
      <c r="F8061" t="s">
        <v>41</v>
      </c>
      <c r="G8061">
        <v>-189.1472</v>
      </c>
      <c r="H8061" s="1">
        <v>-1.242355E-6</v>
      </c>
      <c r="I8061">
        <v>-37.823860000000003</v>
      </c>
      <c r="J8061">
        <v>-189.68790000000001</v>
      </c>
      <c r="K8061">
        <v>1.1240239999999999</v>
      </c>
      <c r="L8061">
        <v>-47.045870000000001</v>
      </c>
      <c r="M8061">
        <v>0.28694730000000002</v>
      </c>
      <c r="N8061">
        <v>-1.342809E-2</v>
      </c>
      <c r="O8061">
        <v>0.95785220000000004</v>
      </c>
      <c r="P8061">
        <v>9.0495480000000003E-2</v>
      </c>
      <c r="Q8061">
        <v>-0.1175988</v>
      </c>
      <c r="R8061">
        <v>0.98892930000000001</v>
      </c>
      <c r="S8061">
        <v>0.1980896</v>
      </c>
      <c r="T8061">
        <v>-0.34870489999999998</v>
      </c>
      <c r="U8061">
        <v>2.9738159999999998</v>
      </c>
      <c r="V8061">
        <v>-0.1962612</v>
      </c>
      <c r="W8061">
        <v>-0.106098499999999</v>
      </c>
      <c r="X8061">
        <v>0.97479470000000001</v>
      </c>
      <c r="Y8061">
        <v>-0.2227566</v>
      </c>
      <c r="Z8061">
        <v>-9.4356949999999995E-2</v>
      </c>
      <c r="AA8061">
        <v>0.97029699999999997</v>
      </c>
      <c r="AB8061">
        <v>20</v>
      </c>
      <c r="AC8061">
        <v>0.54070000000001495</v>
      </c>
      <c r="AD8061">
        <v>-1.1240252423549999</v>
      </c>
      <c r="AE8061">
        <v>9.2220099999999992</v>
      </c>
      <c r="AF8061">
        <v>-2.0974591601964301</v>
      </c>
      <c r="AG8061">
        <v>-1.1240252423549999</v>
      </c>
      <c r="AH8061">
        <v>8.8581404689180694</v>
      </c>
      <c r="AI8061">
        <v>97.039110840435896</v>
      </c>
      <c r="AJ8061">
        <v>103.321337382884</v>
      </c>
      <c r="AK8061">
        <v>9.17220912546302</v>
      </c>
      <c r="AL8061">
        <v>96.090459351206803</v>
      </c>
      <c r="AM8061">
        <v>101.383512855625</v>
      </c>
      <c r="AN8061">
        <v>1.0000000287378801</v>
      </c>
    </row>
    <row r="8062" spans="1:40" x14ac:dyDescent="0.25">
      <c r="A8062" t="str">
        <f>"20190303155005884"</f>
        <v>20190303155005884</v>
      </c>
      <c r="B8062" t="str">
        <f>"1551599405878379"</f>
        <v>1551599405878379</v>
      </c>
      <c r="C8062" t="s">
        <v>40</v>
      </c>
      <c r="D8062">
        <v>5.6054760000000003</v>
      </c>
      <c r="E8062">
        <v>0.49193039999999999</v>
      </c>
      <c r="F8062" t="s">
        <v>41</v>
      </c>
      <c r="G8062">
        <v>-189.0283</v>
      </c>
      <c r="H8062" s="1">
        <v>-1.3772309999999999E-6</v>
      </c>
      <c r="I8062">
        <v>-37.558619999999998</v>
      </c>
      <c r="J8062">
        <v>-189.6369</v>
      </c>
      <c r="K8062">
        <v>1.1239509999999999</v>
      </c>
      <c r="L8062">
        <v>-46.848419999999997</v>
      </c>
      <c r="M8062">
        <v>0.28063739999999998</v>
      </c>
      <c r="N8062">
        <v>-1.320025E-2</v>
      </c>
      <c r="O8062">
        <v>0.95972310000000005</v>
      </c>
      <c r="P8062">
        <v>9.1006790000000004E-2</v>
      </c>
      <c r="Q8062">
        <v>-0.1182771</v>
      </c>
      <c r="R8062">
        <v>0.98880140000000005</v>
      </c>
      <c r="S8062">
        <v>0.20666499999999999</v>
      </c>
      <c r="T8062">
        <v>-0.35220750000000001</v>
      </c>
      <c r="U8062">
        <v>2.9727779999999999</v>
      </c>
      <c r="V8062">
        <v>-0.18933140000000001</v>
      </c>
      <c r="W8062">
        <v>-0.10690089999999999</v>
      </c>
      <c r="X8062">
        <v>0.97607679999999997</v>
      </c>
      <c r="Y8062">
        <v>-0.2135456</v>
      </c>
      <c r="Z8062">
        <v>-9.6127489999999996E-2</v>
      </c>
      <c r="AA8062">
        <v>0.97219219999999895</v>
      </c>
      <c r="AB8062">
        <v>20</v>
      </c>
      <c r="AC8062">
        <v>0.60859999999999503</v>
      </c>
      <c r="AD8062">
        <v>-1.1239523772309901</v>
      </c>
      <c r="AE8062">
        <v>9.2897999999999996</v>
      </c>
      <c r="AF8062">
        <v>-1.9940892600509901</v>
      </c>
      <c r="AG8062">
        <v>-1.1239523772309901</v>
      </c>
      <c r="AH8062">
        <v>8.9566752837903501</v>
      </c>
      <c r="AI8062">
        <v>96.983298048120602</v>
      </c>
      <c r="AJ8062">
        <v>102.551464235278</v>
      </c>
      <c r="AK8062">
        <v>9.2445493704450001</v>
      </c>
      <c r="AL8062">
        <v>96.136696313394495</v>
      </c>
      <c r="AM8062">
        <v>100.97744606795899</v>
      </c>
      <c r="AN8062">
        <v>1.0000000504725</v>
      </c>
    </row>
    <row r="8063" spans="1:40" x14ac:dyDescent="0.25">
      <c r="A8063" t="str">
        <f>"20190303155005906"</f>
        <v>20190303155005906</v>
      </c>
      <c r="B8063" t="str">
        <f>"1551599405898874"</f>
        <v>1551599405898874</v>
      </c>
      <c r="C8063" t="s">
        <v>40</v>
      </c>
      <c r="D8063">
        <v>5.6035019999999998</v>
      </c>
      <c r="E8063">
        <v>0.49195030000000001</v>
      </c>
      <c r="F8063" t="s">
        <v>41</v>
      </c>
      <c r="G8063">
        <v>-188.9744</v>
      </c>
      <c r="H8063" s="1">
        <v>-1.4466700000000001E-6</v>
      </c>
      <c r="I8063">
        <v>-37.419069999999998</v>
      </c>
      <c r="J8063">
        <v>-189.58750000000001</v>
      </c>
      <c r="K8063">
        <v>1.123891</v>
      </c>
      <c r="L8063">
        <v>-46.652979999999999</v>
      </c>
      <c r="M8063">
        <v>0.27450370000000002</v>
      </c>
      <c r="N8063">
        <v>-1.2996590000000001E-2</v>
      </c>
      <c r="O8063">
        <v>0.96149819999999997</v>
      </c>
      <c r="P8063">
        <v>9.0678800000000004E-2</v>
      </c>
      <c r="Q8063">
        <v>-0.1184593</v>
      </c>
      <c r="R8063">
        <v>0.98880979999999996</v>
      </c>
      <c r="S8063">
        <v>0.20883180000000001</v>
      </c>
      <c r="T8063">
        <v>-0.3542998</v>
      </c>
      <c r="U8063">
        <v>2.9723820000000001</v>
      </c>
      <c r="V8063">
        <v>-0.1834325</v>
      </c>
      <c r="W8063">
        <v>-0.1071979</v>
      </c>
      <c r="X8063">
        <v>0.97716999999999998</v>
      </c>
      <c r="Y8063">
        <v>-0.2066057</v>
      </c>
      <c r="Z8063">
        <v>-9.7378980000000004E-2</v>
      </c>
      <c r="AA8063">
        <v>0.97356640000000005</v>
      </c>
      <c r="AB8063">
        <v>20</v>
      </c>
      <c r="AC8063">
        <v>0.61310000000000198</v>
      </c>
      <c r="AD8063">
        <v>-1.12389244667</v>
      </c>
      <c r="AE8063">
        <v>9.2339099999999998</v>
      </c>
      <c r="AF8063">
        <v>-1.91713605728366</v>
      </c>
      <c r="AG8063">
        <v>-1.12389244667</v>
      </c>
      <c r="AH8063">
        <v>8.9159473833498097</v>
      </c>
      <c r="AI8063">
        <v>97.025560711528698</v>
      </c>
      <c r="AJ8063">
        <v>102.135153889576</v>
      </c>
      <c r="AK8063">
        <v>9.1887247557254295</v>
      </c>
      <c r="AL8063">
        <v>96.153811570567001</v>
      </c>
      <c r="AM8063">
        <v>100.631726848227</v>
      </c>
      <c r="AN8063">
        <v>1.00000004036032</v>
      </c>
    </row>
    <row r="8064" spans="1:40" x14ac:dyDescent="0.25">
      <c r="A8064" t="str">
        <f>"20190303155005929"</f>
        <v>20190303155005929</v>
      </c>
      <c r="B8064" t="str">
        <f>"1551599405918394"</f>
        <v>1551599405918394</v>
      </c>
      <c r="C8064" t="s">
        <v>40</v>
      </c>
      <c r="D8064">
        <v>5.5963640000000003</v>
      </c>
      <c r="E8064">
        <v>0.49190669999999997</v>
      </c>
      <c r="F8064" t="s">
        <v>41</v>
      </c>
      <c r="G8064">
        <v>-188.92789999999999</v>
      </c>
      <c r="H8064" s="1">
        <v>-1.5365499999999999E-6</v>
      </c>
      <c r="I8064">
        <v>-37.228769999999997</v>
      </c>
      <c r="J8064">
        <v>-189.54150000000001</v>
      </c>
      <c r="K8064">
        <v>1.123842</v>
      </c>
      <c r="L8064">
        <v>-46.466189999999997</v>
      </c>
      <c r="M8064">
        <v>0.26874110000000001</v>
      </c>
      <c r="N8064">
        <v>-1.2821040000000001E-2</v>
      </c>
      <c r="O8064">
        <v>0.96312710000000001</v>
      </c>
      <c r="P8064">
        <v>9.005726E-2</v>
      </c>
      <c r="Q8064">
        <v>-0.116693699999999</v>
      </c>
      <c r="R8064">
        <v>0.98907650000000003</v>
      </c>
      <c r="S8064">
        <v>0.20803830000000001</v>
      </c>
      <c r="T8064">
        <v>-0.3544775</v>
      </c>
      <c r="U8064">
        <v>2.9724119999999998</v>
      </c>
      <c r="V8064">
        <v>-0.17827960000000001</v>
      </c>
      <c r="W8064">
        <v>-0.1055299</v>
      </c>
      <c r="X8064">
        <v>0.97830459999999997</v>
      </c>
      <c r="Y8064">
        <v>-0.20101440000000001</v>
      </c>
      <c r="Z8064">
        <v>-9.7958480000000001E-2</v>
      </c>
      <c r="AA8064">
        <v>0.97467809999999999</v>
      </c>
      <c r="AB8064">
        <v>20</v>
      </c>
      <c r="AC8064">
        <v>0.61360000000001902</v>
      </c>
      <c r="AD8064">
        <v>-1.1238435365499999</v>
      </c>
      <c r="AE8064">
        <v>9.2374200000000002</v>
      </c>
      <c r="AF8064">
        <v>-1.86418334694309</v>
      </c>
      <c r="AG8064">
        <v>-1.1238435365499999</v>
      </c>
      <c r="AH8064">
        <v>8.9308435188339601</v>
      </c>
      <c r="AI8064">
        <v>97.022516013927003</v>
      </c>
      <c r="AJ8064">
        <v>101.790366554109</v>
      </c>
      <c r="AK8064">
        <v>9.1922886053236894</v>
      </c>
      <c r="AL8064">
        <v>96.057697015420501</v>
      </c>
      <c r="AM8064">
        <v>100.32786391183301</v>
      </c>
      <c r="AN8064">
        <v>1.00000003297566</v>
      </c>
    </row>
    <row r="8065" spans="1:40" x14ac:dyDescent="0.25">
      <c r="A8065" t="str">
        <f>"20190303155005951"</f>
        <v>20190303155005951</v>
      </c>
      <c r="B8065" t="str">
        <f>"1551599405938891"</f>
        <v>1551599405938891</v>
      </c>
      <c r="C8065" t="s">
        <v>40</v>
      </c>
      <c r="D8065">
        <v>5.5814170000000001</v>
      </c>
      <c r="E8065">
        <v>0.4918921</v>
      </c>
      <c r="F8065" t="s">
        <v>41</v>
      </c>
      <c r="G8065">
        <v>-188.87880000000001</v>
      </c>
      <c r="H8065" s="1">
        <v>-1.686168E-6</v>
      </c>
      <c r="I8065">
        <v>-36.900329999999997</v>
      </c>
      <c r="J8065">
        <v>-189.49510000000001</v>
      </c>
      <c r="K8065">
        <v>1.123785</v>
      </c>
      <c r="L8065">
        <v>-46.273470000000003</v>
      </c>
      <c r="M8065">
        <v>0.26290580000000002</v>
      </c>
      <c r="N8065">
        <v>-1.2659159999999999E-2</v>
      </c>
      <c r="O8065">
        <v>0.96473850000000005</v>
      </c>
      <c r="P8065">
        <v>8.8146440000000006E-2</v>
      </c>
      <c r="Q8065">
        <v>-0.11499719999999999</v>
      </c>
      <c r="R8065">
        <v>0.98944719999999997</v>
      </c>
      <c r="S8065">
        <v>0.20597840000000001</v>
      </c>
      <c r="T8065">
        <v>-0.34930290000000003</v>
      </c>
      <c r="U8065">
        <v>2.9731749999999999</v>
      </c>
      <c r="V8065">
        <v>-0.1743266</v>
      </c>
      <c r="W8065">
        <v>-0.1039306</v>
      </c>
      <c r="X8065">
        <v>0.97918780000000005</v>
      </c>
      <c r="Y8065">
        <v>-0.19577269999999999</v>
      </c>
      <c r="Z8065">
        <v>-9.6835060000000001E-2</v>
      </c>
      <c r="AA8065">
        <v>0.97585650000000002</v>
      </c>
      <c r="AB8065">
        <v>20</v>
      </c>
      <c r="AC8065">
        <v>0.61629999999999496</v>
      </c>
      <c r="AD8065">
        <v>-1.1237866861679999</v>
      </c>
      <c r="AE8065">
        <v>9.3731399999999994</v>
      </c>
      <c r="AF8065">
        <v>-1.8434493941169099</v>
      </c>
      <c r="AG8065">
        <v>-1.1237866861679999</v>
      </c>
      <c r="AH8065">
        <v>9.0754994621748999</v>
      </c>
      <c r="AI8065">
        <v>96.918919856662001</v>
      </c>
      <c r="AJ8065">
        <v>101.48192202868699</v>
      </c>
      <c r="AK8065">
        <v>9.3287669427752</v>
      </c>
      <c r="AL8065">
        <v>95.965557115952905</v>
      </c>
      <c r="AM8065">
        <v>100.09470776844201</v>
      </c>
      <c r="AN8065">
        <v>1.00000004037637</v>
      </c>
    </row>
    <row r="8066" spans="1:40" x14ac:dyDescent="0.25">
      <c r="A8066" t="str">
        <f>"20190303155005972"</f>
        <v>20190303155005972</v>
      </c>
      <c r="B8066" t="str">
        <f>"1551599405969146"</f>
        <v>1551599405969146</v>
      </c>
      <c r="C8066" t="s">
        <v>40</v>
      </c>
      <c r="D8066">
        <v>5.5788390000000003</v>
      </c>
      <c r="E8066">
        <v>0.49177929999999997</v>
      </c>
      <c r="F8066" t="s">
        <v>41</v>
      </c>
      <c r="G8066">
        <v>-188.8426</v>
      </c>
      <c r="H8066" s="1">
        <v>-1.836649E-6</v>
      </c>
      <c r="I8066">
        <v>-36.564529999999998</v>
      </c>
      <c r="J8066">
        <v>-189.4537</v>
      </c>
      <c r="K8066">
        <v>1.1237410000000001</v>
      </c>
      <c r="L8066">
        <v>-46.097410000000004</v>
      </c>
      <c r="M8066">
        <v>0.25767879999999999</v>
      </c>
      <c r="N8066">
        <v>-1.252728E-2</v>
      </c>
      <c r="O8066">
        <v>0.96614940000000005</v>
      </c>
      <c r="P8066">
        <v>8.6539679999999994E-2</v>
      </c>
      <c r="Q8066">
        <v>-0.1141455</v>
      </c>
      <c r="R8066">
        <v>0.98968769999999995</v>
      </c>
      <c r="S8066">
        <v>0.19990540000000001</v>
      </c>
      <c r="T8066">
        <v>-0.34425440000000002</v>
      </c>
      <c r="U8066">
        <v>2.9741819999999999</v>
      </c>
      <c r="V8066">
        <v>-0.17066239999999999</v>
      </c>
      <c r="W8066">
        <v>-0.1031503</v>
      </c>
      <c r="X8066">
        <v>0.97991550000000005</v>
      </c>
      <c r="Y8066">
        <v>-0.19246759999999999</v>
      </c>
      <c r="Z8066">
        <v>-9.5647419999999997E-2</v>
      </c>
      <c r="AA8066">
        <v>0.97663080000000002</v>
      </c>
      <c r="AB8066">
        <v>20</v>
      </c>
      <c r="AC8066">
        <v>0.61109999999999298</v>
      </c>
      <c r="AD8066">
        <v>-1.1237428366490001</v>
      </c>
      <c r="AE8066">
        <v>9.5328800000000005</v>
      </c>
      <c r="AF8066">
        <v>-1.84068048356206</v>
      </c>
      <c r="AG8066">
        <v>-1.1237428366490001</v>
      </c>
      <c r="AH8066">
        <v>9.2405097463992902</v>
      </c>
      <c r="AI8066">
        <v>96.801383638932705</v>
      </c>
      <c r="AJ8066">
        <v>101.26567872736101</v>
      </c>
      <c r="AK8066">
        <v>9.4888314864785404</v>
      </c>
      <c r="AL8066">
        <v>95.920607789048802</v>
      </c>
      <c r="AM8066">
        <v>99.879558498737893</v>
      </c>
      <c r="AN8066">
        <v>1.0000000131520499</v>
      </c>
    </row>
    <row r="8067" spans="1:40" x14ac:dyDescent="0.25">
      <c r="A8067" t="str">
        <f>"20190303155005994"</f>
        <v>20190303155005994</v>
      </c>
      <c r="B8067" t="str">
        <f>"1551599405988666"</f>
        <v>1551599405988666</v>
      </c>
      <c r="C8067" t="s">
        <v>40</v>
      </c>
      <c r="D8067">
        <v>5.5687889999999998</v>
      </c>
      <c r="E8067">
        <v>0.48167559999999898</v>
      </c>
      <c r="F8067" t="s">
        <v>41</v>
      </c>
      <c r="G8067">
        <v>-188.81559999999999</v>
      </c>
      <c r="H8067" s="1">
        <v>-1.9443869999999998E-6</v>
      </c>
      <c r="I8067">
        <v>-36.32452</v>
      </c>
      <c r="J8067">
        <v>-189.4084</v>
      </c>
      <c r="K8067">
        <v>1.123667</v>
      </c>
      <c r="L8067">
        <v>-45.900390000000002</v>
      </c>
      <c r="M8067">
        <v>0.25195210000000001</v>
      </c>
      <c r="N8067">
        <v>-1.23958E-2</v>
      </c>
      <c r="O8067">
        <v>0.96766030000000003</v>
      </c>
      <c r="P8067">
        <v>8.3527050000000005E-2</v>
      </c>
      <c r="Q8067">
        <v>-0.11378779999999999</v>
      </c>
      <c r="R8067">
        <v>0.98998770000000003</v>
      </c>
      <c r="S8067">
        <v>0.19422909999999999</v>
      </c>
      <c r="T8067">
        <v>-0.34206209999999998</v>
      </c>
      <c r="U8067">
        <v>2.9748230000000002</v>
      </c>
      <c r="V8067">
        <v>-0.16787249999999901</v>
      </c>
      <c r="W8067">
        <v>-0.10286629999999999</v>
      </c>
      <c r="X8067">
        <v>0.9804271</v>
      </c>
      <c r="Y8067">
        <v>-0.1885279</v>
      </c>
      <c r="Z8067">
        <v>-9.5375370000000001E-2</v>
      </c>
      <c r="AA8067">
        <v>0.97742560000000001</v>
      </c>
      <c r="AB8067">
        <v>20</v>
      </c>
      <c r="AC8067">
        <v>0.59280000000001098</v>
      </c>
      <c r="AD8067">
        <v>-1.123668944387</v>
      </c>
      <c r="AE8067">
        <v>9.5758700000000001</v>
      </c>
      <c r="AF8067">
        <v>-1.8142862970592</v>
      </c>
      <c r="AG8067">
        <v>-1.123668944387</v>
      </c>
      <c r="AH8067">
        <v>9.2888548185345705</v>
      </c>
      <c r="AI8067">
        <v>96.770810872723004</v>
      </c>
      <c r="AJ8067">
        <v>101.051794747291</v>
      </c>
      <c r="AK8067">
        <v>9.5308494114685001</v>
      </c>
      <c r="AL8067">
        <v>95.904248990979696</v>
      </c>
      <c r="AM8067">
        <v>99.716183203337906</v>
      </c>
      <c r="AN8067">
        <v>0.99999997517317396</v>
      </c>
    </row>
    <row r="8068" spans="1:40" x14ac:dyDescent="0.25">
      <c r="A8068" t="str">
        <f>"20190303155006015"</f>
        <v>20190303155006015</v>
      </c>
      <c r="B8068" t="str">
        <f>"1551599406008187"</f>
        <v>1551599406008187</v>
      </c>
      <c r="C8068" t="s">
        <v>40</v>
      </c>
      <c r="D8068">
        <v>5.6322039999999998</v>
      </c>
      <c r="E8068">
        <v>0.47959629999999998</v>
      </c>
      <c r="F8068" t="s">
        <v>41</v>
      </c>
      <c r="G8068">
        <v>-189.05070000000001</v>
      </c>
      <c r="H8068" s="1">
        <v>-2.1393450000000002E-6</v>
      </c>
      <c r="I8068">
        <v>-35.772859999999902</v>
      </c>
      <c r="J8068">
        <v>-189.3664</v>
      </c>
      <c r="K8068">
        <v>1.123591</v>
      </c>
      <c r="L8068">
        <v>-45.713679999999997</v>
      </c>
      <c r="M8068">
        <v>0.2466525</v>
      </c>
      <c r="N8068">
        <v>-1.228506E-2</v>
      </c>
      <c r="O8068">
        <v>0.9690261</v>
      </c>
      <c r="P8068">
        <v>8.0584970000000006E-2</v>
      </c>
      <c r="Q8068">
        <v>-0.1134498</v>
      </c>
      <c r="R8068">
        <v>0.99027030000000005</v>
      </c>
      <c r="S8068">
        <v>0.10536189999999999</v>
      </c>
      <c r="T8068">
        <v>-0.33101380000000002</v>
      </c>
      <c r="U8068">
        <v>2.9833980000000002</v>
      </c>
      <c r="V8068">
        <v>-0.16545279999999901</v>
      </c>
      <c r="W8068">
        <v>-0.1025831</v>
      </c>
      <c r="X8068">
        <v>0.98086799999999996</v>
      </c>
      <c r="Y8068">
        <v>-0.21228759999999999</v>
      </c>
      <c r="Z8068">
        <v>-9.172951E-2</v>
      </c>
      <c r="AA8068">
        <v>0.97289239999999999</v>
      </c>
      <c r="AB8068">
        <v>20</v>
      </c>
      <c r="AC8068">
        <v>0.31569999999999199</v>
      </c>
      <c r="AD8068">
        <v>-1.123593139345</v>
      </c>
      <c r="AE8068">
        <v>9.9408200000000004</v>
      </c>
      <c r="AF8068">
        <v>-2.1191232439811398</v>
      </c>
      <c r="AG8068">
        <v>-1.123593139345</v>
      </c>
      <c r="AH8068">
        <v>9.58913391647034</v>
      </c>
      <c r="AI8068">
        <v>96.527003726019601</v>
      </c>
      <c r="AJ8068">
        <v>102.461628465384</v>
      </c>
      <c r="AK8068">
        <v>9.88456544993082</v>
      </c>
      <c r="AL8068">
        <v>95.887936516657504</v>
      </c>
      <c r="AM8068">
        <v>99.574522410108997</v>
      </c>
      <c r="AN8068">
        <v>0.99999997742872404</v>
      </c>
    </row>
    <row r="8069" spans="1:40" x14ac:dyDescent="0.25">
      <c r="A8069" t="str">
        <f>"20190303155006037"</f>
        <v>20190303155006037</v>
      </c>
      <c r="B8069" t="str">
        <f>"1551599406028682"</f>
        <v>1551599406028682</v>
      </c>
      <c r="C8069" t="s">
        <v>40</v>
      </c>
      <c r="D8069">
        <v>5.6434540000000002</v>
      </c>
      <c r="E8069">
        <v>0.47802899999999998</v>
      </c>
      <c r="F8069" t="s">
        <v>41</v>
      </c>
      <c r="G8069">
        <v>-189.06290000000001</v>
      </c>
      <c r="H8069" s="1">
        <v>-2.646539E-6</v>
      </c>
      <c r="I8069">
        <v>-34.585540000000002</v>
      </c>
      <c r="J8069">
        <v>-189.32730000000001</v>
      </c>
      <c r="K8069">
        <v>1.123502</v>
      </c>
      <c r="L8069">
        <v>-45.535739999999997</v>
      </c>
      <c r="M8069">
        <v>0.241726</v>
      </c>
      <c r="N8069">
        <v>-1.219083E-2</v>
      </c>
      <c r="O8069">
        <v>0.97026800000000002</v>
      </c>
      <c r="P8069">
        <v>7.7816930000000006E-2</v>
      </c>
      <c r="Q8069">
        <v>-0.11330809999999999</v>
      </c>
      <c r="R8069">
        <v>0.99050780000000005</v>
      </c>
      <c r="S8069">
        <v>8.1497189999999997E-2</v>
      </c>
      <c r="T8069">
        <v>-0.3017225</v>
      </c>
      <c r="U8069">
        <v>2.9882810000000002</v>
      </c>
      <c r="V8069">
        <v>-0.16323760000000001</v>
      </c>
      <c r="W8069">
        <v>-0.1024817</v>
      </c>
      <c r="X8069">
        <v>0.9812497</v>
      </c>
      <c r="Y8069">
        <v>-0.2151322</v>
      </c>
      <c r="Z8069">
        <v>-8.2711960000000001E-2</v>
      </c>
      <c r="AA8069">
        <v>0.97307600000000005</v>
      </c>
      <c r="AB8069">
        <v>20</v>
      </c>
      <c r="AC8069">
        <v>0.26439999999999397</v>
      </c>
      <c r="AD8069">
        <v>-1.123504646539</v>
      </c>
      <c r="AE8069">
        <v>10.950200000000001</v>
      </c>
      <c r="AF8069">
        <v>-2.3656975069760202</v>
      </c>
      <c r="AG8069">
        <v>-1.123504646539</v>
      </c>
      <c r="AH8069">
        <v>10.5780445305887</v>
      </c>
      <c r="AI8069">
        <v>95.917606859662399</v>
      </c>
      <c r="AJ8069">
        <v>102.60631628164801</v>
      </c>
      <c r="AK8069">
        <v>10.897422331745499</v>
      </c>
      <c r="AL8069">
        <v>95.882095848899894</v>
      </c>
      <c r="AM8069">
        <v>99.445049394983002</v>
      </c>
      <c r="AN8069">
        <v>0.99999999331936995</v>
      </c>
    </row>
    <row r="8070" spans="1:40" x14ac:dyDescent="0.25">
      <c r="A8070" t="str">
        <f>"20190303155006060"</f>
        <v>20190303155006060</v>
      </c>
      <c r="B8070" t="str">
        <f>"1551599406048202"</f>
        <v>1551599406048202</v>
      </c>
      <c r="C8070" t="s">
        <v>40</v>
      </c>
      <c r="D8070">
        <v>5.6048689999999999</v>
      </c>
      <c r="E8070">
        <v>0.4770626</v>
      </c>
      <c r="F8070" t="s">
        <v>41</v>
      </c>
      <c r="G8070">
        <v>-189.1027</v>
      </c>
      <c r="H8070" s="1">
        <v>-2.6930380000000001E-6</v>
      </c>
      <c r="I8070">
        <v>-34.46069</v>
      </c>
      <c r="J8070">
        <v>-189.2843</v>
      </c>
      <c r="K8070">
        <v>1.1233979999999999</v>
      </c>
      <c r="L8070">
        <v>-45.336579999999998</v>
      </c>
      <c r="M8070">
        <v>0.2363574</v>
      </c>
      <c r="N8070">
        <v>-1.20967E-2</v>
      </c>
      <c r="O8070">
        <v>0.97159090000000004</v>
      </c>
      <c r="P8070">
        <v>7.5321230000000003E-2</v>
      </c>
      <c r="Q8070">
        <v>-0.11366560000000001</v>
      </c>
      <c r="R8070">
        <v>0.99065979999999998</v>
      </c>
      <c r="S8070">
        <v>6.0607910000000001E-2</v>
      </c>
      <c r="T8070">
        <v>-0.30324759999999901</v>
      </c>
      <c r="U8070">
        <v>2.9892880000000002</v>
      </c>
      <c r="V8070">
        <v>-0.16029760000000001</v>
      </c>
      <c r="W8070">
        <v>-0.1028693</v>
      </c>
      <c r="X8070">
        <v>0.9816937</v>
      </c>
      <c r="Y8070">
        <v>-0.2165376</v>
      </c>
      <c r="Z8070">
        <v>-8.3427879999999996E-2</v>
      </c>
      <c r="AA8070">
        <v>0.97270310000000004</v>
      </c>
      <c r="AB8070">
        <v>20</v>
      </c>
      <c r="AC8070">
        <v>0.18160000000000301</v>
      </c>
      <c r="AD8070">
        <v>-1.1234006930379901</v>
      </c>
      <c r="AE8070">
        <v>10.875889999999901</v>
      </c>
      <c r="AF8070">
        <v>-2.3690619200894099</v>
      </c>
      <c r="AG8070">
        <v>-1.1234006930379901</v>
      </c>
      <c r="AH8070">
        <v>10.498631647016699</v>
      </c>
      <c r="AI8070">
        <v>95.958953202744496</v>
      </c>
      <c r="AJ8070">
        <v>102.716063533601</v>
      </c>
      <c r="AK8070">
        <v>10.821078964598501</v>
      </c>
      <c r="AL8070">
        <v>95.904421843269901</v>
      </c>
      <c r="AM8070">
        <v>99.273800008145102</v>
      </c>
      <c r="AN8070">
        <v>0.99999996703396898</v>
      </c>
    </row>
    <row r="8071" spans="1:40" x14ac:dyDescent="0.25">
      <c r="A8071" t="str">
        <f>"20190303155006082"</f>
        <v>20190303155006082</v>
      </c>
      <c r="B8071" t="str">
        <f>"1551599406078458"</f>
        <v>1551599406078458</v>
      </c>
      <c r="C8071" t="s">
        <v>40</v>
      </c>
      <c r="D8071">
        <v>5.6166479999999996</v>
      </c>
      <c r="E8071">
        <v>0.4766436</v>
      </c>
      <c r="F8071" t="s">
        <v>41</v>
      </c>
      <c r="G8071">
        <v>-189.11750000000001</v>
      </c>
      <c r="H8071" s="1">
        <v>-2.7420889999999999E-6</v>
      </c>
      <c r="I8071">
        <v>-34.340240000000001</v>
      </c>
      <c r="J8071">
        <v>-189.2457</v>
      </c>
      <c r="K8071">
        <v>1.123297</v>
      </c>
      <c r="L8071">
        <v>-45.152979999999999</v>
      </c>
      <c r="M8071">
        <v>0.2315586</v>
      </c>
      <c r="N8071">
        <v>-1.201662E-2</v>
      </c>
      <c r="O8071">
        <v>0.97274669999999996</v>
      </c>
      <c r="P8071">
        <v>7.3875339999999998E-2</v>
      </c>
      <c r="Q8071">
        <v>-0.1139503</v>
      </c>
      <c r="R8071">
        <v>0.9907359</v>
      </c>
      <c r="S8071">
        <v>4.5364380000000003E-2</v>
      </c>
      <c r="T8071">
        <v>-0.30543969999999998</v>
      </c>
      <c r="U8071">
        <v>2.9897770000000001</v>
      </c>
      <c r="V8071">
        <v>-0.15689939999999999</v>
      </c>
      <c r="W8071">
        <v>-0.1031714</v>
      </c>
      <c r="X8071">
        <v>0.9822109</v>
      </c>
      <c r="Y8071">
        <v>-0.2166806</v>
      </c>
      <c r="Z8071">
        <v>-8.4345219999999999E-2</v>
      </c>
      <c r="AA8071">
        <v>0.97259209999999996</v>
      </c>
      <c r="AB8071">
        <v>20</v>
      </c>
      <c r="AC8071">
        <v>0.12819999999999199</v>
      </c>
      <c r="AD8071">
        <v>-1.1232997420890001</v>
      </c>
      <c r="AE8071">
        <v>10.8127399999999</v>
      </c>
      <c r="AF8071">
        <v>-2.35384847680236</v>
      </c>
      <c r="AG8071">
        <v>-1.1232997420890001</v>
      </c>
      <c r="AH8071">
        <v>10.435892028604499</v>
      </c>
      <c r="AI8071">
        <v>95.994112292433698</v>
      </c>
      <c r="AJ8071">
        <v>102.710546740933</v>
      </c>
      <c r="AK8071">
        <v>10.7568697767991</v>
      </c>
      <c r="AL8071">
        <v>95.921823258418101</v>
      </c>
      <c r="AM8071">
        <v>99.075809906759801</v>
      </c>
      <c r="AN8071">
        <v>1.0000000057885601</v>
      </c>
    </row>
    <row r="8072" spans="1:40" x14ac:dyDescent="0.25">
      <c r="A8072" t="str">
        <f>"20190303155006106"</f>
        <v>20190303155006106</v>
      </c>
      <c r="B8072" t="str">
        <f>"1551599406098956"</f>
        <v>1551599406098956</v>
      </c>
      <c r="C8072" t="s">
        <v>40</v>
      </c>
      <c r="D8072">
        <v>5.6123349999999999</v>
      </c>
      <c r="E8072">
        <v>0.47653590000000001</v>
      </c>
      <c r="F8072" t="s">
        <v>41</v>
      </c>
      <c r="G8072">
        <v>-189.107</v>
      </c>
      <c r="H8072" s="1">
        <v>-2.827406E-6</v>
      </c>
      <c r="I8072">
        <v>-34.145719999999997</v>
      </c>
      <c r="J8072">
        <v>-189.20089999999999</v>
      </c>
      <c r="K8072">
        <v>1.1232</v>
      </c>
      <c r="L8072">
        <v>-44.935519999999997</v>
      </c>
      <c r="M8072">
        <v>0.2260614</v>
      </c>
      <c r="N8072">
        <v>-1.1926920000000001E-2</v>
      </c>
      <c r="O8072">
        <v>0.97404000000000002</v>
      </c>
      <c r="P8072">
        <v>7.1078359999999993E-2</v>
      </c>
      <c r="Q8072">
        <v>-0.1137393</v>
      </c>
      <c r="R8072">
        <v>0.99096479999999998</v>
      </c>
      <c r="S8072">
        <v>3.7673949999999998E-2</v>
      </c>
      <c r="T8072">
        <v>-0.30514619999999998</v>
      </c>
      <c r="U8072">
        <v>2.9901430000000002</v>
      </c>
      <c r="V8072">
        <v>-0.15415709999999999</v>
      </c>
      <c r="W8072">
        <v>-0.1029904</v>
      </c>
      <c r="X8072">
        <v>0.98266399999999998</v>
      </c>
      <c r="Y8072">
        <v>-0.21367330000000001</v>
      </c>
      <c r="Z8072">
        <v>-8.4558229999999998E-2</v>
      </c>
      <c r="AA8072">
        <v>0.97323870000000001</v>
      </c>
      <c r="AB8072">
        <v>20</v>
      </c>
      <c r="AC8072">
        <v>9.3899999999990699E-2</v>
      </c>
      <c r="AD8072">
        <v>-1.123202827406</v>
      </c>
      <c r="AE8072">
        <v>10.7898</v>
      </c>
      <c r="AF8072">
        <v>-2.3226940201019999</v>
      </c>
      <c r="AG8072">
        <v>-1.123202827406</v>
      </c>
      <c r="AH8072">
        <v>10.418778738729999</v>
      </c>
      <c r="AI8072">
        <v>96.006706078867097</v>
      </c>
      <c r="AJ8072">
        <v>102.567633133002</v>
      </c>
      <c r="AK8072">
        <v>10.7334729938227</v>
      </c>
      <c r="AL8072">
        <v>95.911397303160101</v>
      </c>
      <c r="AM8072">
        <v>98.915708134597594</v>
      </c>
      <c r="AN8072">
        <v>0.99999998543428403</v>
      </c>
    </row>
    <row r="8073" spans="1:40" x14ac:dyDescent="0.25">
      <c r="A8073" t="str">
        <f>"20190303155006129"</f>
        <v>20190303155006129</v>
      </c>
      <c r="B8073" t="str">
        <f>"1551599406118476"</f>
        <v>1551599406118476</v>
      </c>
      <c r="C8073" t="s">
        <v>40</v>
      </c>
      <c r="D8073">
        <v>5.5575799999999997</v>
      </c>
      <c r="E8073">
        <v>0.47661049999999999</v>
      </c>
      <c r="F8073" t="s">
        <v>41</v>
      </c>
      <c r="G8073">
        <v>-189.096</v>
      </c>
      <c r="H8073" s="1">
        <v>-2.925708E-6</v>
      </c>
      <c r="I8073">
        <v>-33.921109999999999</v>
      </c>
      <c r="J8073">
        <v>-189.1611</v>
      </c>
      <c r="K8073">
        <v>1.123129</v>
      </c>
      <c r="L8073">
        <v>-44.737850000000002</v>
      </c>
      <c r="M8073">
        <v>0.2211941</v>
      </c>
      <c r="N8073">
        <v>-1.1852120000000001E-2</v>
      </c>
      <c r="O8073">
        <v>0.97515779999999996</v>
      </c>
      <c r="P8073">
        <v>6.9175E-2</v>
      </c>
      <c r="Q8073">
        <v>-0.11355750000000001</v>
      </c>
      <c r="R8073">
        <v>0.99112029999999995</v>
      </c>
      <c r="S8073">
        <v>2.8472899999999999E-2</v>
      </c>
      <c r="T8073">
        <v>-0.30494090000000001</v>
      </c>
      <c r="U8073">
        <v>2.990326</v>
      </c>
      <c r="V8073">
        <v>-0.15116189999999999</v>
      </c>
      <c r="W8073">
        <v>-0.1028326</v>
      </c>
      <c r="X8073">
        <v>0.98314570000000001</v>
      </c>
      <c r="Y8073">
        <v>-0.21179210000000001</v>
      </c>
      <c r="Z8073">
        <v>-8.4749530000000003E-2</v>
      </c>
      <c r="AA8073">
        <v>0.97363319999999998</v>
      </c>
      <c r="AB8073">
        <v>20</v>
      </c>
      <c r="AC8073">
        <v>6.5100000000029398E-2</v>
      </c>
      <c r="AD8073">
        <v>-1.1231319257079999</v>
      </c>
      <c r="AE8073">
        <v>10.816739999999999</v>
      </c>
      <c r="AF8073">
        <v>-2.3044360773036798</v>
      </c>
      <c r="AG8073">
        <v>-1.1231319257079999</v>
      </c>
      <c r="AH8073">
        <v>10.4505045346641</v>
      </c>
      <c r="AI8073">
        <v>95.991274163762697</v>
      </c>
      <c r="AJ8073">
        <v>102.435262936329</v>
      </c>
      <c r="AK8073">
        <v>10.760339027463701</v>
      </c>
      <c r="AL8073">
        <v>95.902307886162504</v>
      </c>
      <c r="AM8073">
        <v>98.740965307044604</v>
      </c>
      <c r="AN8073">
        <v>0.999999965531429</v>
      </c>
    </row>
    <row r="8074" spans="1:40" x14ac:dyDescent="0.25">
      <c r="A8074" t="str">
        <f>"20190303155006150"</f>
        <v>20190303155006150</v>
      </c>
      <c r="B8074" t="str">
        <f>"1551599406138973"</f>
        <v>1551599406138973</v>
      </c>
      <c r="C8074" t="s">
        <v>40</v>
      </c>
      <c r="D8074">
        <v>5.5215540000000001</v>
      </c>
      <c r="E8074">
        <v>0.47679690000000002</v>
      </c>
      <c r="F8074" t="s">
        <v>41</v>
      </c>
      <c r="G8074">
        <v>-189.0754</v>
      </c>
      <c r="H8074" s="1">
        <v>-3.0226760000000001E-6</v>
      </c>
      <c r="I8074">
        <v>-33.703600000000002</v>
      </c>
      <c r="J8074">
        <v>-189.12559999999999</v>
      </c>
      <c r="K8074">
        <v>1.1230709999999999</v>
      </c>
      <c r="L8074">
        <v>-44.5578</v>
      </c>
      <c r="M8074">
        <v>0.2168718</v>
      </c>
      <c r="N8074">
        <v>-1.178949E-2</v>
      </c>
      <c r="O8074">
        <v>0.97612889999999997</v>
      </c>
      <c r="P8074">
        <v>6.7791850000000001E-2</v>
      </c>
      <c r="Q8074">
        <v>-0.11363379999999999</v>
      </c>
      <c r="R8074">
        <v>0.99120719999999995</v>
      </c>
      <c r="S8074">
        <v>2.3223879999999999E-2</v>
      </c>
      <c r="T8074">
        <v>-0.30437920000000002</v>
      </c>
      <c r="U8074">
        <v>2.9903870000000001</v>
      </c>
      <c r="V8074">
        <v>-0.14819270000000001</v>
      </c>
      <c r="W8074">
        <v>-0.10292750000000001</v>
      </c>
      <c r="X8074">
        <v>0.98358769999999995</v>
      </c>
      <c r="Y8074">
        <v>-0.2091741</v>
      </c>
      <c r="Z8074">
        <v>-8.4807209999999994E-2</v>
      </c>
      <c r="AA8074">
        <v>0.974194</v>
      </c>
      <c r="AB8074">
        <v>20</v>
      </c>
      <c r="AC8074">
        <v>5.0199999999989503E-2</v>
      </c>
      <c r="AD8074">
        <v>-1.1230740226760001</v>
      </c>
      <c r="AE8074">
        <v>10.854200000000001</v>
      </c>
      <c r="AF8074">
        <v>-2.28071198814632</v>
      </c>
      <c r="AG8074">
        <v>-1.1230740226760001</v>
      </c>
      <c r="AH8074">
        <v>10.4943736468931</v>
      </c>
      <c r="AI8074">
        <v>95.970043908125106</v>
      </c>
      <c r="AJ8074">
        <v>102.261262074282</v>
      </c>
      <c r="AK8074">
        <v>10.7979081619492</v>
      </c>
      <c r="AL8074">
        <v>95.907774323580398</v>
      </c>
      <c r="AM8074">
        <v>98.568051393977697</v>
      </c>
      <c r="AN8074">
        <v>0.99999995509041395</v>
      </c>
    </row>
    <row r="8075" spans="1:40" x14ac:dyDescent="0.25">
      <c r="A8075" t="str">
        <f>"20190303155006173"</f>
        <v>20190303155006173</v>
      </c>
      <c r="B8075" t="str">
        <f>"1551599406168250"</f>
        <v>1551599406168250</v>
      </c>
      <c r="C8075" t="s">
        <v>40</v>
      </c>
      <c r="D8075">
        <v>5.4785640000000004</v>
      </c>
      <c r="E8075">
        <v>0.47738249999999999</v>
      </c>
      <c r="F8075" t="s">
        <v>41</v>
      </c>
      <c r="G8075">
        <v>-189.04830000000001</v>
      </c>
      <c r="H8075" s="1">
        <v>-3.1656199999999999E-6</v>
      </c>
      <c r="I8075">
        <v>-33.381590000000003</v>
      </c>
      <c r="J8075">
        <v>-189.08760000000001</v>
      </c>
      <c r="K8075">
        <v>1.1229979999999999</v>
      </c>
      <c r="L8075">
        <v>-44.361510000000003</v>
      </c>
      <c r="M8075">
        <v>0.21229790000000001</v>
      </c>
      <c r="N8075">
        <v>-1.1723519999999999E-2</v>
      </c>
      <c r="O8075">
        <v>0.97713459999999996</v>
      </c>
      <c r="P8075">
        <v>6.625209E-2</v>
      </c>
      <c r="Q8075">
        <v>-0.1156676</v>
      </c>
      <c r="R8075">
        <v>0.99107599999999996</v>
      </c>
      <c r="S8075">
        <v>2.0675659999999998E-2</v>
      </c>
      <c r="T8075">
        <v>-0.30053459999999899</v>
      </c>
      <c r="U8075">
        <v>2.9907530000000002</v>
      </c>
      <c r="V8075">
        <v>-0.145070799999999</v>
      </c>
      <c r="W8075">
        <v>-0.1049823</v>
      </c>
      <c r="X8075">
        <v>0.98383589999999999</v>
      </c>
      <c r="Y8075">
        <v>-0.20542920000000001</v>
      </c>
      <c r="Z8075">
        <v>-8.3841669999999993E-2</v>
      </c>
      <c r="AA8075">
        <v>0.97507410000000005</v>
      </c>
      <c r="AB8075">
        <v>20</v>
      </c>
      <c r="AC8075">
        <v>3.9299999999997198E-2</v>
      </c>
      <c r="AD8075">
        <v>-1.1230011656200001</v>
      </c>
      <c r="AE8075">
        <v>10.9799199999999</v>
      </c>
      <c r="AF8075">
        <v>-2.2690348274879901</v>
      </c>
      <c r="AG8075">
        <v>-1.1230011656200001</v>
      </c>
      <c r="AH8075">
        <v>10.6267792448548</v>
      </c>
      <c r="AI8075">
        <v>95.900396552538396</v>
      </c>
      <c r="AJ8075">
        <v>102.052829788964</v>
      </c>
      <c r="AK8075">
        <v>10.9241973519895</v>
      </c>
      <c r="AL8075">
        <v>96.026147095812902</v>
      </c>
      <c r="AM8075">
        <v>98.388062398124106</v>
      </c>
      <c r="AN8075">
        <v>0.99999994922736801</v>
      </c>
    </row>
    <row r="8076" spans="1:40" x14ac:dyDescent="0.25">
      <c r="A8076" t="str">
        <f>"20190303155006195"</f>
        <v>20190303155006195</v>
      </c>
      <c r="B8076" t="str">
        <f>"1551599406188746"</f>
        <v>1551599406188746</v>
      </c>
      <c r="C8076" t="s">
        <v>40</v>
      </c>
      <c r="D8076">
        <v>5.481579</v>
      </c>
      <c r="E8076">
        <v>0.47775570000000001</v>
      </c>
      <c r="F8076" t="s">
        <v>41</v>
      </c>
      <c r="G8076">
        <v>-189.00909999999999</v>
      </c>
      <c r="H8076" s="1">
        <v>-3.2493430000000001E-6</v>
      </c>
      <c r="I8076">
        <v>-33.202649999999998</v>
      </c>
      <c r="J8076">
        <v>-189.04990000000001</v>
      </c>
      <c r="K8076">
        <v>1.1229150000000001</v>
      </c>
      <c r="L8076">
        <v>-44.161679999999997</v>
      </c>
      <c r="M8076">
        <v>0.20779929999999999</v>
      </c>
      <c r="N8076">
        <v>-1.1655250000000001E-2</v>
      </c>
      <c r="O8076">
        <v>0.97810200000000003</v>
      </c>
      <c r="P8076">
        <v>6.4658660000000007E-2</v>
      </c>
      <c r="Q8076">
        <v>-0.1157981</v>
      </c>
      <c r="R8076">
        <v>0.99116599999999999</v>
      </c>
      <c r="S8076">
        <v>2.105713E-2</v>
      </c>
      <c r="T8076">
        <v>-0.30095460000000002</v>
      </c>
      <c r="U8076">
        <v>2.9904790000000001</v>
      </c>
      <c r="V8076">
        <v>-0.14214379999999999</v>
      </c>
      <c r="W8076">
        <v>-0.10513119999999999</v>
      </c>
      <c r="X8076">
        <v>0.98424719999999999</v>
      </c>
      <c r="Y8076">
        <v>-0.20080310000000001</v>
      </c>
      <c r="Z8076">
        <v>-8.4243509999999994E-2</v>
      </c>
      <c r="AA8076">
        <v>0.97600260000000005</v>
      </c>
      <c r="AB8076">
        <v>20</v>
      </c>
      <c r="AC8076">
        <v>4.0800000000018599E-2</v>
      </c>
      <c r="AD8076">
        <v>-1.1229182493430001</v>
      </c>
      <c r="AE8076">
        <v>10.959029999999901</v>
      </c>
      <c r="AF8076">
        <v>-2.21427668904344</v>
      </c>
      <c r="AG8076">
        <v>-1.1229182493430001</v>
      </c>
      <c r="AH8076">
        <v>10.616791332504601</v>
      </c>
      <c r="AI8076">
        <v>95.911350583281106</v>
      </c>
      <c r="AJ8076">
        <v>101.780935274021</v>
      </c>
      <c r="AK8076">
        <v>10.9032208474512</v>
      </c>
      <c r="AL8076">
        <v>96.034725664674298</v>
      </c>
      <c r="AM8076">
        <v>98.217769981800203</v>
      </c>
      <c r="AN8076">
        <v>0.99999998989985905</v>
      </c>
    </row>
    <row r="8077" spans="1:40" x14ac:dyDescent="0.25">
      <c r="A8077" t="str">
        <f>"20190303155006219"</f>
        <v>20190303155006219</v>
      </c>
      <c r="B8077" t="str">
        <f>"1551599406208266"</f>
        <v>1551599406208266</v>
      </c>
      <c r="C8077" t="s">
        <v>40</v>
      </c>
      <c r="D8077">
        <v>5.4614529999999997</v>
      </c>
      <c r="E8077">
        <v>0.47782190000000002</v>
      </c>
      <c r="F8077" t="s">
        <v>41</v>
      </c>
      <c r="G8077">
        <v>-188.9768</v>
      </c>
      <c r="H8077" s="1">
        <v>-3.3861399999999999E-6</v>
      </c>
      <c r="I8077">
        <v>-32.897120000000001</v>
      </c>
      <c r="J8077">
        <v>-189.0129</v>
      </c>
      <c r="K8077">
        <v>1.1228209999999901</v>
      </c>
      <c r="L8077">
        <v>-43.962159999999997</v>
      </c>
      <c r="M8077">
        <v>0.20346249999999999</v>
      </c>
      <c r="N8077">
        <v>-1.15791E-2</v>
      </c>
      <c r="O8077">
        <v>0.9790143</v>
      </c>
      <c r="P8077">
        <v>6.2673400000000004E-2</v>
      </c>
      <c r="Q8077">
        <v>-0.11514099999999999</v>
      </c>
      <c r="R8077">
        <v>0.99137010000000003</v>
      </c>
      <c r="S8077">
        <v>1.9393919999999999E-2</v>
      </c>
      <c r="T8077">
        <v>-0.29812670000000002</v>
      </c>
      <c r="U8077">
        <v>2.9906619999999999</v>
      </c>
      <c r="V8077">
        <v>-0.13979820000000001</v>
      </c>
      <c r="W8077">
        <v>-0.1044998</v>
      </c>
      <c r="X8077">
        <v>0.98465029999999998</v>
      </c>
      <c r="Y8077">
        <v>-0.19700819999999999</v>
      </c>
      <c r="Z8077">
        <v>-8.3593580000000001E-2</v>
      </c>
      <c r="AA8077">
        <v>0.97683160000000002</v>
      </c>
      <c r="AB8077">
        <v>20</v>
      </c>
      <c r="AC8077">
        <v>3.6100000000004601E-2</v>
      </c>
      <c r="AD8077">
        <v>-1.12282438613999</v>
      </c>
      <c r="AE8077">
        <v>11.0650399999999</v>
      </c>
      <c r="AF8077">
        <v>-2.1935397810645401</v>
      </c>
      <c r="AG8077">
        <v>-1.12282438613999</v>
      </c>
      <c r="AH8077">
        <v>10.7304121588725</v>
      </c>
      <c r="AI8077">
        <v>95.853473191706797</v>
      </c>
      <c r="AJ8077">
        <v>101.553379534302</v>
      </c>
      <c r="AK8077">
        <v>11.009727356865101</v>
      </c>
      <c r="AL8077">
        <v>95.998348797861695</v>
      </c>
      <c r="AM8077">
        <v>98.080705142594695</v>
      </c>
      <c r="AN8077">
        <v>0.99999997910668403</v>
      </c>
    </row>
    <row r="8078" spans="1:40" x14ac:dyDescent="0.25">
      <c r="A8078" t="str">
        <f>"20190303155006238"</f>
        <v>20190303155006238</v>
      </c>
      <c r="B8078" t="str">
        <f>"1551599406228763"</f>
        <v>1551599406228763</v>
      </c>
      <c r="C8078" t="s">
        <v>40</v>
      </c>
      <c r="D8078">
        <v>5.3917710000000003</v>
      </c>
      <c r="E8078">
        <v>0.477883</v>
      </c>
      <c r="F8078" t="s">
        <v>41</v>
      </c>
      <c r="G8078">
        <v>-188.9598</v>
      </c>
      <c r="H8078" s="1">
        <v>-3.5222189999999998E-6</v>
      </c>
      <c r="I8078">
        <v>-32.586929999999903</v>
      </c>
      <c r="J8078">
        <v>-188.9813</v>
      </c>
      <c r="K8078">
        <v>1.1227229999999999</v>
      </c>
      <c r="L8078">
        <v>-43.788760000000003</v>
      </c>
      <c r="M8078">
        <v>0.1998306</v>
      </c>
      <c r="N8078">
        <v>-1.149879E-2</v>
      </c>
      <c r="O8078">
        <v>0.97976300000000005</v>
      </c>
      <c r="P8078">
        <v>6.0946199999999999E-2</v>
      </c>
      <c r="Q8078">
        <v>-0.11505890000000001</v>
      </c>
      <c r="R8078">
        <v>0.99148729999999996</v>
      </c>
      <c r="S8078">
        <v>1.394653E-2</v>
      </c>
      <c r="T8078">
        <v>-0.29522910000000002</v>
      </c>
      <c r="U8078">
        <v>2.990936</v>
      </c>
      <c r="V8078">
        <v>-0.1378886</v>
      </c>
      <c r="W8078">
        <v>-0.1044535</v>
      </c>
      <c r="X8078">
        <v>0.98492449999999998</v>
      </c>
      <c r="Y8078">
        <v>-0.1951552</v>
      </c>
      <c r="Z8078">
        <v>-8.2874539999999997E-2</v>
      </c>
      <c r="AA8078">
        <v>0.97726460000000004</v>
      </c>
      <c r="AB8078">
        <v>20</v>
      </c>
      <c r="AC8078">
        <v>2.15000000000031E-2</v>
      </c>
      <c r="AD8078">
        <v>-1.1227265222189999</v>
      </c>
      <c r="AE8078">
        <v>11.201829999999999</v>
      </c>
      <c r="AF8078">
        <v>-2.1954953959033601</v>
      </c>
      <c r="AG8078">
        <v>-1.1227265222189999</v>
      </c>
      <c r="AH8078">
        <v>10.8709573002438</v>
      </c>
      <c r="AI8078">
        <v>95.780570515672096</v>
      </c>
      <c r="AJ8078">
        <v>101.417856265637</v>
      </c>
      <c r="AK8078">
        <v>11.1471264234712</v>
      </c>
      <c r="AL8078">
        <v>95.995681068013994</v>
      </c>
      <c r="AM8078">
        <v>97.969563039085102</v>
      </c>
      <c r="AN8078">
        <v>1.0000000351862199</v>
      </c>
    </row>
    <row r="8079" spans="1:40" x14ac:dyDescent="0.25">
      <c r="A8079" t="str">
        <f>"20190303155006260"</f>
        <v>20190303155006260</v>
      </c>
      <c r="B8079" t="str">
        <f>"1551599406259020"</f>
        <v>1551599406259020</v>
      </c>
      <c r="C8079" t="s">
        <v>40</v>
      </c>
      <c r="D8079">
        <v>5.2542989999999996</v>
      </c>
      <c r="E8079">
        <v>0.47867860000000001</v>
      </c>
      <c r="F8079" t="s">
        <v>41</v>
      </c>
      <c r="G8079">
        <v>-188.94669999999999</v>
      </c>
      <c r="H8079" s="1">
        <v>-3.6034999999999999E-6</v>
      </c>
      <c r="I8079">
        <v>-32.402880000000003</v>
      </c>
      <c r="J8079">
        <v>-188.94569999999999</v>
      </c>
      <c r="K8079">
        <v>1.122592</v>
      </c>
      <c r="L8079">
        <v>-43.590359999999997</v>
      </c>
      <c r="M8079">
        <v>0.19583880000000001</v>
      </c>
      <c r="N8079">
        <v>-1.1380909999999999E-2</v>
      </c>
      <c r="O8079">
        <v>0.9805701</v>
      </c>
      <c r="P8079">
        <v>5.8253449999999998E-2</v>
      </c>
      <c r="Q8079">
        <v>-0.1160699</v>
      </c>
      <c r="R8079">
        <v>0.9915313</v>
      </c>
      <c r="S8079">
        <v>9.0789789999999992E-3</v>
      </c>
      <c r="T8079">
        <v>-0.29493009999999997</v>
      </c>
      <c r="U8079">
        <v>2.9909669999999999</v>
      </c>
      <c r="V8079">
        <v>-0.1365526</v>
      </c>
      <c r="W8079">
        <v>-0.1055364</v>
      </c>
      <c r="X8079">
        <v>0.98499510000000001</v>
      </c>
      <c r="Y8079">
        <v>-0.19275410000000001</v>
      </c>
      <c r="Z8079">
        <v>-8.3036109999999996E-2</v>
      </c>
      <c r="AA8079">
        <v>0.97772740000000002</v>
      </c>
      <c r="AB8079">
        <v>20</v>
      </c>
      <c r="AC8079">
        <v>-1.0000000000047701E-3</v>
      </c>
      <c r="AD8079">
        <v>-1.1225956035</v>
      </c>
      <c r="AE8079">
        <v>11.187480000000001</v>
      </c>
      <c r="AF8079">
        <v>-2.1702134400052602</v>
      </c>
      <c r="AG8079">
        <v>-1.1225956035</v>
      </c>
      <c r="AH8079">
        <v>10.861261621782999</v>
      </c>
      <c r="AI8079">
        <v>95.787408671828402</v>
      </c>
      <c r="AJ8079">
        <v>101.299590170371</v>
      </c>
      <c r="AK8079">
        <v>11.1327018859301</v>
      </c>
      <c r="AL8079">
        <v>96.058072060298699</v>
      </c>
      <c r="AM8079">
        <v>97.892765434307805</v>
      </c>
      <c r="AN8079">
        <v>0.99999994565786299</v>
      </c>
    </row>
    <row r="8080" spans="1:40" x14ac:dyDescent="0.25">
      <c r="A8080" t="str">
        <f>"20190303155006418"</f>
        <v>20190303155006418</v>
      </c>
      <c r="B8080" t="str">
        <f>"1551599406408346"</f>
        <v>1551599406408346</v>
      </c>
      <c r="C8080" t="s">
        <v>40</v>
      </c>
      <c r="D8080">
        <v>5.1695779999999996</v>
      </c>
      <c r="E8080">
        <v>0.48012290000000002</v>
      </c>
      <c r="F8080" t="s">
        <v>41</v>
      </c>
      <c r="G8080">
        <v>-188.91650000000001</v>
      </c>
      <c r="H8080" s="1">
        <v>-3.729707E-6</v>
      </c>
      <c r="I8080">
        <v>-32.121189999999999</v>
      </c>
      <c r="J8080">
        <v>-188.70959999999999</v>
      </c>
      <c r="K8080">
        <v>1.1217170000000001</v>
      </c>
      <c r="L8080">
        <v>-42.191249999999997</v>
      </c>
      <c r="M8080">
        <v>0.17316089999999901</v>
      </c>
      <c r="N8080">
        <v>-1.0134799999999999E-2</v>
      </c>
      <c r="O8080">
        <v>0.98484139999999998</v>
      </c>
      <c r="P8080">
        <v>4.458728E-2</v>
      </c>
      <c r="Q8080">
        <v>-0.12106790000000001</v>
      </c>
      <c r="R8080">
        <v>0.99164240000000003</v>
      </c>
      <c r="S8080">
        <v>7.6293949999999998E-3</v>
      </c>
      <c r="T8080">
        <v>-0.29274810000000001</v>
      </c>
      <c r="U8080">
        <v>2.9909059999999998</v>
      </c>
      <c r="V8080">
        <v>-0.12743699999999999</v>
      </c>
      <c r="W8080">
        <v>-0.11151179999999999</v>
      </c>
      <c r="X8080">
        <v>0.98555820000000005</v>
      </c>
      <c r="Y8080">
        <v>-0.1705662</v>
      </c>
      <c r="Z8080">
        <v>-8.4406839999999997E-2</v>
      </c>
      <c r="AA8080">
        <v>0.98172429999999999</v>
      </c>
      <c r="AB8080">
        <v>20</v>
      </c>
      <c r="AC8080">
        <v>-0.20690000000001799</v>
      </c>
      <c r="AD8080">
        <v>-1.121720729707</v>
      </c>
      <c r="AE8080">
        <v>10.0700599999999</v>
      </c>
      <c r="AF8080">
        <v>-1.92374442351065</v>
      </c>
      <c r="AG8080">
        <v>-1.121720729707</v>
      </c>
      <c r="AH8080">
        <v>9.7610278251462201</v>
      </c>
      <c r="AI8080">
        <v>96.432899770257094</v>
      </c>
      <c r="AJ8080">
        <v>101.14920559639199</v>
      </c>
      <c r="AK8080">
        <v>10.011828714361901</v>
      </c>
      <c r="AL8080">
        <v>96.402471436479004</v>
      </c>
      <c r="AM8080">
        <v>97.3677153897072</v>
      </c>
      <c r="AN8080">
        <v>1.00000001804774</v>
      </c>
    </row>
    <row r="8081" spans="1:40" x14ac:dyDescent="0.25">
      <c r="A8081" t="str">
        <f>"20190303155006441"</f>
        <v>20190303155006441</v>
      </c>
      <c r="B8081" t="str">
        <f>"1551599406438603"</f>
        <v>1551599406438603</v>
      </c>
      <c r="C8081" t="s">
        <v>40</v>
      </c>
      <c r="D8081">
        <v>5.1482519999999896</v>
      </c>
      <c r="E8081">
        <v>0.48217769999999999</v>
      </c>
      <c r="F8081" t="s">
        <v>41</v>
      </c>
      <c r="G8081">
        <v>-188.79490000000001</v>
      </c>
      <c r="H8081" s="1">
        <v>-3.4094710000000001E-7</v>
      </c>
      <c r="I8081">
        <v>-30.29224</v>
      </c>
      <c r="J8081">
        <v>-188.67660000000001</v>
      </c>
      <c r="K8081">
        <v>1.1216549999999901</v>
      </c>
      <c r="L8081">
        <v>-41.984650000000002</v>
      </c>
      <c r="M8081">
        <v>0.17042739999999901</v>
      </c>
      <c r="N8081">
        <v>-9.9319769999999998E-3</v>
      </c>
      <c r="O8081">
        <v>0.98532019999999998</v>
      </c>
      <c r="P8081">
        <v>4.2256160000000001E-2</v>
      </c>
      <c r="Q8081">
        <v>-0.1201093</v>
      </c>
      <c r="R8081">
        <v>0.99186099999999999</v>
      </c>
      <c r="S8081">
        <v>-2.1453860000000002E-2</v>
      </c>
      <c r="T8081">
        <v>-0.28203850000000003</v>
      </c>
      <c r="U8081">
        <v>2.9918209999999998</v>
      </c>
      <c r="V8081">
        <v>-0.12705279999999999</v>
      </c>
      <c r="W8081">
        <v>-0.1107369</v>
      </c>
      <c r="X8081">
        <v>0.98569510000000005</v>
      </c>
      <c r="Y8081">
        <v>-0.1773749</v>
      </c>
      <c r="Z8081">
        <v>-8.1152409999999994E-2</v>
      </c>
      <c r="AA8081">
        <v>0.98079170000000004</v>
      </c>
      <c r="AB8081">
        <v>20</v>
      </c>
      <c r="AC8081">
        <v>-0.118300000000004</v>
      </c>
      <c r="AD8081">
        <v>-1.1216553409471</v>
      </c>
      <c r="AE8081">
        <v>11.692410000000001</v>
      </c>
      <c r="AF8081">
        <v>-2.0901416362155798</v>
      </c>
      <c r="AG8081">
        <v>-1.1216553409471</v>
      </c>
      <c r="AH8081">
        <v>11.3963082579894</v>
      </c>
      <c r="AI8081">
        <v>95.529457558023196</v>
      </c>
      <c r="AJ8081">
        <v>100.392838803378</v>
      </c>
      <c r="AK8081">
        <v>11.6405603247625</v>
      </c>
      <c r="AL8081">
        <v>96.357796659097005</v>
      </c>
      <c r="AM8081">
        <v>97.3447369124396</v>
      </c>
      <c r="AN8081">
        <v>0.99999995258672802</v>
      </c>
    </row>
    <row r="8082" spans="1:40" x14ac:dyDescent="0.25">
      <c r="A8082" t="str">
        <f>"20190303155006463"</f>
        <v>20190303155006463</v>
      </c>
      <c r="B8082" t="str">
        <f>"1551599406458631"</f>
        <v>1551599406458631</v>
      </c>
      <c r="C8082" t="s">
        <v>40</v>
      </c>
      <c r="D8082">
        <v>5.234947</v>
      </c>
      <c r="E8082">
        <v>0.48255350000000002</v>
      </c>
      <c r="F8082" t="s">
        <v>41</v>
      </c>
      <c r="G8082">
        <v>-188.72659999999999</v>
      </c>
      <c r="H8082" s="1">
        <v>-8.8653489999999997E-7</v>
      </c>
      <c r="I8082">
        <v>-28.827210000000001</v>
      </c>
      <c r="J8082">
        <v>-188.64510000000001</v>
      </c>
      <c r="K8082">
        <v>1.1216060000000001</v>
      </c>
      <c r="L8082">
        <v>-41.784970000000001</v>
      </c>
      <c r="M8082">
        <v>0.16786499999999999</v>
      </c>
      <c r="N8082">
        <v>-9.7194069999999994E-3</v>
      </c>
      <c r="O8082">
        <v>0.98576209999999997</v>
      </c>
      <c r="P8082">
        <v>4.0561340000000001E-2</v>
      </c>
      <c r="Q8082">
        <v>-0.11893579999999999</v>
      </c>
      <c r="R8082">
        <v>0.99207310000000004</v>
      </c>
      <c r="S8082">
        <v>-1.138306E-2</v>
      </c>
      <c r="T8082">
        <v>-0.25525199999999998</v>
      </c>
      <c r="U8082">
        <v>2.994202</v>
      </c>
      <c r="V8082">
        <v>-0.1262074</v>
      </c>
      <c r="W8082">
        <v>-0.1097611</v>
      </c>
      <c r="X8082">
        <v>0.98591289999999998</v>
      </c>
      <c r="Y8082">
        <v>-0.17152510000000001</v>
      </c>
      <c r="Z8082">
        <v>-7.2813459999999997E-2</v>
      </c>
      <c r="AA8082">
        <v>0.98248530000000001</v>
      </c>
      <c r="AB8082">
        <v>21</v>
      </c>
      <c r="AC8082">
        <v>-8.1499999999976994E-2</v>
      </c>
      <c r="AD8082">
        <v>-1.12160688653489</v>
      </c>
      <c r="AE8082">
        <v>12.95776</v>
      </c>
      <c r="AF8082">
        <v>-2.23882694410326</v>
      </c>
      <c r="AG8082">
        <v>-1.12160688653489</v>
      </c>
      <c r="AH8082">
        <v>12.665300304773</v>
      </c>
      <c r="AI8082">
        <v>94.983897896184203</v>
      </c>
      <c r="AJ8082">
        <v>100.024536075398</v>
      </c>
      <c r="AK8082">
        <v>12.910467842167799</v>
      </c>
      <c r="AL8082">
        <v>96.301544050778205</v>
      </c>
      <c r="AM8082">
        <v>97.2947994632692</v>
      </c>
      <c r="AN8082">
        <v>1.00000002663718</v>
      </c>
    </row>
    <row r="8083" spans="1:40" x14ac:dyDescent="0.25">
      <c r="A8083" t="str">
        <f>"20190303155006509"</f>
        <v>20190303155006509</v>
      </c>
      <c r="B8083" t="str">
        <f>"1551599406498647"</f>
        <v>1551599406498647</v>
      </c>
      <c r="C8083" t="s">
        <v>40</v>
      </c>
      <c r="D8083">
        <v>5.1318260000000002</v>
      </c>
      <c r="E8083">
        <v>0.48342309999999999</v>
      </c>
      <c r="F8083" t="s">
        <v>41</v>
      </c>
      <c r="G8083">
        <v>-188.70660000000001</v>
      </c>
      <c r="H8083" s="1">
        <v>-1.2462189999999999E-6</v>
      </c>
      <c r="I8083">
        <v>-27.997050000000002</v>
      </c>
      <c r="J8083">
        <v>-188.58029999999999</v>
      </c>
      <c r="K8083">
        <v>1.1215599999999999</v>
      </c>
      <c r="L8083">
        <v>-41.363590000000002</v>
      </c>
      <c r="M8083">
        <v>0.1625558</v>
      </c>
      <c r="N8083">
        <v>-9.2590999999999993E-3</v>
      </c>
      <c r="O8083">
        <v>0.98665590000000003</v>
      </c>
      <c r="P8083">
        <v>3.7368400000000003E-2</v>
      </c>
      <c r="Q8083">
        <v>-0.1188298</v>
      </c>
      <c r="R8083">
        <v>0.99221119999999996</v>
      </c>
      <c r="S8083">
        <v>-1.3351439999999999E-2</v>
      </c>
      <c r="T8083">
        <v>-0.24365899999999999</v>
      </c>
      <c r="U8083">
        <v>2.9952999999999999</v>
      </c>
      <c r="V8083">
        <v>-0.12407029999999999</v>
      </c>
      <c r="W8083">
        <v>-0.11010499999999999</v>
      </c>
      <c r="X8083">
        <v>0.98614570000000001</v>
      </c>
      <c r="Y8083">
        <v>-0.1668742</v>
      </c>
      <c r="Z8083">
        <v>-6.9658869999999998E-2</v>
      </c>
      <c r="AA8083">
        <v>0.98351440000000001</v>
      </c>
      <c r="AB8083">
        <v>21</v>
      </c>
      <c r="AC8083">
        <v>-0.12630000000001401</v>
      </c>
      <c r="AD8083">
        <v>-1.1215612462190001</v>
      </c>
      <c r="AE8083">
        <v>13.366539999999899</v>
      </c>
      <c r="AF8083">
        <v>-2.2814603942257401</v>
      </c>
      <c r="AG8083">
        <v>-1.1215612462190001</v>
      </c>
      <c r="AH8083">
        <v>13.076153941748601</v>
      </c>
      <c r="AI8083">
        <v>94.829738114956299</v>
      </c>
      <c r="AJ8083">
        <v>99.897049804122702</v>
      </c>
      <c r="AK8083">
        <v>13.3209895678867</v>
      </c>
      <c r="AL8083">
        <v>96.3213687351749</v>
      </c>
      <c r="AM8083">
        <v>97.1708966592293</v>
      </c>
      <c r="AN8083">
        <v>0.99999994599778796</v>
      </c>
    </row>
    <row r="8084" spans="1:40" x14ac:dyDescent="0.25">
      <c r="A8084" t="str">
        <f>"20190303155006530"</f>
        <v>20190303155006530</v>
      </c>
      <c r="B8084" t="str">
        <f>"1551599406518166"</f>
        <v>1551599406518166</v>
      </c>
      <c r="C8084" t="s">
        <v>40</v>
      </c>
      <c r="D8084">
        <v>5.067634</v>
      </c>
      <c r="E8084">
        <v>0.48378110000000002</v>
      </c>
      <c r="F8084" t="s">
        <v>41</v>
      </c>
      <c r="G8084">
        <v>-188.65880000000001</v>
      </c>
      <c r="H8084" s="1">
        <v>-1.8620910000000001E-6</v>
      </c>
      <c r="I8084">
        <v>-26.581199999999999</v>
      </c>
      <c r="J8084">
        <v>-188.5506</v>
      </c>
      <c r="K8084">
        <v>1.1215710000000001</v>
      </c>
      <c r="L8084">
        <v>-41.165770000000002</v>
      </c>
      <c r="M8084">
        <v>0.16006989999999999</v>
      </c>
      <c r="N8084">
        <v>-9.0403540000000004E-3</v>
      </c>
      <c r="O8084">
        <v>0.98706430000000001</v>
      </c>
      <c r="P8084">
        <v>3.6729049999999999E-2</v>
      </c>
      <c r="Q8084">
        <v>-0.11839040000000001</v>
      </c>
      <c r="R8084">
        <v>0.99228760000000005</v>
      </c>
      <c r="S8084">
        <v>-1.5914919999999999E-2</v>
      </c>
      <c r="T8084">
        <v>-0.22738059999999999</v>
      </c>
      <c r="U8084">
        <v>2.996918</v>
      </c>
      <c r="V8084">
        <v>-0.12222420000000001</v>
      </c>
      <c r="W8084">
        <v>-0.1098818</v>
      </c>
      <c r="X8084">
        <v>0.98640110000000003</v>
      </c>
      <c r="Y8084">
        <v>-0.16523789999999999</v>
      </c>
      <c r="Z8084">
        <v>-6.4650009999999994E-2</v>
      </c>
      <c r="AA8084">
        <v>0.98413249999999997</v>
      </c>
      <c r="AB8084">
        <v>21</v>
      </c>
      <c r="AC8084">
        <v>-0.10820000000001</v>
      </c>
      <c r="AD8084">
        <v>-1.1215728620909999</v>
      </c>
      <c r="AE8084">
        <v>14.584569999999999</v>
      </c>
      <c r="AF8084">
        <v>-2.4270981285280699</v>
      </c>
      <c r="AG8084">
        <v>-1.1215728620909999</v>
      </c>
      <c r="AH8084">
        <v>14.2946449468387</v>
      </c>
      <c r="AI8084">
        <v>94.423247029459603</v>
      </c>
      <c r="AJ8084">
        <v>99.636391130882402</v>
      </c>
      <c r="AK8084">
        <v>14.5425446592632</v>
      </c>
      <c r="AL8084">
        <v>96.308502236805694</v>
      </c>
      <c r="AM8084">
        <v>97.063473033759493</v>
      </c>
      <c r="AN8084">
        <v>0.99999994755904298</v>
      </c>
    </row>
    <row r="8085" spans="1:40" x14ac:dyDescent="0.25">
      <c r="A8085" t="str">
        <f>"20190303155006550"</f>
        <v>20190303155006550</v>
      </c>
      <c r="B8085" t="str">
        <f>"1551599406539639"</f>
        <v>1551599406539639</v>
      </c>
      <c r="C8085" t="s">
        <v>40</v>
      </c>
      <c r="D8085">
        <v>5.0996069999999998</v>
      </c>
      <c r="E8085">
        <v>0.48422179999999998</v>
      </c>
      <c r="F8085" t="s">
        <v>41</v>
      </c>
      <c r="G8085">
        <v>-188.62739999999999</v>
      </c>
      <c r="H8085" s="1">
        <v>-2.2035449999999999E-6</v>
      </c>
      <c r="I8085">
        <v>-25.798249999999999</v>
      </c>
      <c r="J8085">
        <v>-188.52330000000001</v>
      </c>
      <c r="K8085">
        <v>1.1215790000000001</v>
      </c>
      <c r="L8085">
        <v>-40.980930000000001</v>
      </c>
      <c r="M8085">
        <v>0.15773579999999901</v>
      </c>
      <c r="N8085">
        <v>-8.8336349999999994E-3</v>
      </c>
      <c r="O8085">
        <v>0.98744180000000004</v>
      </c>
      <c r="P8085">
        <v>3.6593899999999999E-2</v>
      </c>
      <c r="Q8085">
        <v>-0.1186094</v>
      </c>
      <c r="R8085">
        <v>0.99226650000000005</v>
      </c>
      <c r="S8085">
        <v>-1.498413E-2</v>
      </c>
      <c r="T8085">
        <v>-0.21878739999999999</v>
      </c>
      <c r="U8085">
        <v>2.9977719999999999</v>
      </c>
      <c r="V8085">
        <v>-0.1200132</v>
      </c>
      <c r="W8085">
        <v>-0.110305399999999</v>
      </c>
      <c r="X8085">
        <v>0.98662530000000004</v>
      </c>
      <c r="Y8085">
        <v>-0.1626041</v>
      </c>
      <c r="Z8085">
        <v>-6.2122490000000002E-2</v>
      </c>
      <c r="AA8085">
        <v>0.98473379999999999</v>
      </c>
      <c r="AB8085">
        <v>21</v>
      </c>
      <c r="AC8085">
        <v>-0.10409999999998799</v>
      </c>
      <c r="AD8085">
        <v>-1.1215812035449999</v>
      </c>
      <c r="AE8085">
        <v>15.18268</v>
      </c>
      <c r="AF8085">
        <v>-2.4841865174788298</v>
      </c>
      <c r="AG8085">
        <v>-1.1215812035449999</v>
      </c>
      <c r="AH8085">
        <v>14.8948978469463</v>
      </c>
      <c r="AI8085">
        <v>94.247774472193498</v>
      </c>
      <c r="AJ8085">
        <v>99.468697952758703</v>
      </c>
      <c r="AK8085">
        <v>15.1422293246646</v>
      </c>
      <c r="AL8085">
        <v>96.332921050299404</v>
      </c>
      <c r="AM8085">
        <v>96.935392190892998</v>
      </c>
      <c r="AN8085">
        <v>0.99999996602174401</v>
      </c>
    </row>
    <row r="8086" spans="1:40" x14ac:dyDescent="0.25">
      <c r="A8086" t="str">
        <f>"20190303155006574"</f>
        <v>20190303155006574</v>
      </c>
      <c r="B8086" t="str">
        <f>"1551599406568449"</f>
        <v>1551599406568449</v>
      </c>
      <c r="C8086" t="s">
        <v>40</v>
      </c>
      <c r="D8086">
        <v>5.0781799999999997</v>
      </c>
      <c r="E8086">
        <v>0.48471069999999999</v>
      </c>
      <c r="F8086" t="s">
        <v>41</v>
      </c>
      <c r="G8086">
        <v>-188.58519999999999</v>
      </c>
      <c r="H8086" s="1">
        <v>-2.4675519999999998E-6</v>
      </c>
      <c r="I8086">
        <v>-25.200310000000002</v>
      </c>
      <c r="J8086">
        <v>-188.49199999999999</v>
      </c>
      <c r="K8086">
        <v>1.1215930000000001</v>
      </c>
      <c r="L8086">
        <v>-40.764499999999998</v>
      </c>
      <c r="M8086">
        <v>0.154974</v>
      </c>
      <c r="N8086">
        <v>-8.5846009999999903E-3</v>
      </c>
      <c r="O8086">
        <v>0.98788120000000001</v>
      </c>
      <c r="P8086">
        <v>3.4864399999999997E-2</v>
      </c>
      <c r="Q8086">
        <v>-0.1187315</v>
      </c>
      <c r="R8086">
        <v>0.99231409999999998</v>
      </c>
      <c r="S8086">
        <v>-1.1749269999999999E-2</v>
      </c>
      <c r="T8086">
        <v>-0.2131007</v>
      </c>
      <c r="U8086">
        <v>2.9983219999999999</v>
      </c>
      <c r="V8086">
        <v>-0.118959</v>
      </c>
      <c r="W8086">
        <v>-0.1106818</v>
      </c>
      <c r="X8086">
        <v>0.9867108</v>
      </c>
      <c r="Y8086">
        <v>-0.15878539999999999</v>
      </c>
      <c r="Z8086">
        <v>-6.0592390000000003E-2</v>
      </c>
      <c r="AA8086">
        <v>0.98545210000000005</v>
      </c>
      <c r="AB8086">
        <v>21</v>
      </c>
      <c r="AC8086">
        <v>-9.3199999999967503E-2</v>
      </c>
      <c r="AD8086">
        <v>-1.1215954675519999</v>
      </c>
      <c r="AE8086">
        <v>15.5641899999999</v>
      </c>
      <c r="AF8086">
        <v>-2.4912709687138102</v>
      </c>
      <c r="AG8086">
        <v>-1.1215954675519999</v>
      </c>
      <c r="AH8086">
        <v>15.2823354013924</v>
      </c>
      <c r="AI8086">
        <v>94.143011168818504</v>
      </c>
      <c r="AJ8086">
        <v>99.258709017082793</v>
      </c>
      <c r="AK8086">
        <v>15.5246314852573</v>
      </c>
      <c r="AL8086">
        <v>96.354620127842495</v>
      </c>
      <c r="AM8086">
        <v>96.874467065556104</v>
      </c>
      <c r="AN8086">
        <v>0.99999995368443895</v>
      </c>
    </row>
    <row r="8087" spans="1:40" x14ac:dyDescent="0.25">
      <c r="A8087" t="str">
        <f>"20190303155006594"</f>
        <v>20190303155006594</v>
      </c>
      <c r="B8087" t="str">
        <f>"1551599406588946"</f>
        <v>1551599406588946</v>
      </c>
      <c r="C8087" t="s">
        <v>40</v>
      </c>
      <c r="D8087">
        <v>5.0998580000000002</v>
      </c>
      <c r="E8087">
        <v>0.48507640000000002</v>
      </c>
      <c r="F8087" t="s">
        <v>41</v>
      </c>
      <c r="G8087">
        <v>-188.56319999999999</v>
      </c>
      <c r="H8087" s="1">
        <v>-2.8422769999999999E-6</v>
      </c>
      <c r="I8087">
        <v>-24.335899999999999</v>
      </c>
      <c r="J8087">
        <v>-188.4639</v>
      </c>
      <c r="K8087">
        <v>1.121602</v>
      </c>
      <c r="L8087">
        <v>-40.567320000000002</v>
      </c>
      <c r="M8087">
        <v>0.1524287</v>
      </c>
      <c r="N8087">
        <v>-8.3529429999999998E-3</v>
      </c>
      <c r="O8087">
        <v>0.98827920000000002</v>
      </c>
      <c r="P8087">
        <v>3.3579409999999997E-2</v>
      </c>
      <c r="Q8087">
        <v>-0.1188998</v>
      </c>
      <c r="R8087">
        <v>0.99233830000000001</v>
      </c>
      <c r="S8087">
        <v>-1.300049E-2</v>
      </c>
      <c r="T8087">
        <v>-0.20475860000000001</v>
      </c>
      <c r="U8087">
        <v>2.9992070000000002</v>
      </c>
      <c r="V8087">
        <v>-0.1176804</v>
      </c>
      <c r="W8087">
        <v>-0.11108460000000001</v>
      </c>
      <c r="X8087">
        <v>0.98681890000000005</v>
      </c>
      <c r="Y8087">
        <v>-0.1566565</v>
      </c>
      <c r="Z8087">
        <v>-5.8159740000000001E-2</v>
      </c>
      <c r="AA8087">
        <v>0.98593929999999996</v>
      </c>
      <c r="AB8087">
        <v>21</v>
      </c>
      <c r="AC8087">
        <v>-9.92999999999995E-2</v>
      </c>
      <c r="AD8087">
        <v>-1.121604842277</v>
      </c>
      <c r="AE8087">
        <v>16.23142</v>
      </c>
      <c r="AF8087">
        <v>-2.56013603625588</v>
      </c>
      <c r="AG8087">
        <v>-1.121604842277</v>
      </c>
      <c r="AH8087">
        <v>15.950437930059501</v>
      </c>
      <c r="AI8087">
        <v>93.971642949816797</v>
      </c>
      <c r="AJ8087">
        <v>99.118525341886297</v>
      </c>
      <c r="AK8087">
        <v>16.193479061246698</v>
      </c>
      <c r="AL8087">
        <v>96.377841751667205</v>
      </c>
      <c r="AM8087">
        <v>96.800536423966406</v>
      </c>
      <c r="AN8087">
        <v>1.00000000314926</v>
      </c>
    </row>
    <row r="8088" spans="1:40" x14ac:dyDescent="0.25">
      <c r="A8088" t="str">
        <f>"20190303155006616"</f>
        <v>20190303155006616</v>
      </c>
      <c r="B8088" t="str">
        <f>"1551599406608465"</f>
        <v>1551599406608465</v>
      </c>
      <c r="C8088" t="s">
        <v>40</v>
      </c>
      <c r="D8088">
        <v>5.0908049999999996</v>
      </c>
      <c r="E8088">
        <v>0.48544189999999998</v>
      </c>
      <c r="F8088" t="s">
        <v>41</v>
      </c>
      <c r="G8088">
        <v>-188.54220000000001</v>
      </c>
      <c r="H8088" s="1">
        <v>-3.1147769999999998E-6</v>
      </c>
      <c r="I8088">
        <v>-23.70936</v>
      </c>
      <c r="J8088">
        <v>-188.4358</v>
      </c>
      <c r="K8088">
        <v>1.1216060000000001</v>
      </c>
      <c r="L8088">
        <v>-40.365229999999997</v>
      </c>
      <c r="M8088">
        <v>0.14979619999999999</v>
      </c>
      <c r="N8088">
        <v>-8.1152489999999997E-3</v>
      </c>
      <c r="O8088">
        <v>0.9886836</v>
      </c>
      <c r="P8088">
        <v>3.2618719999999997E-2</v>
      </c>
      <c r="Q8088">
        <v>-0.11892</v>
      </c>
      <c r="R8088">
        <v>0.99236789999999997</v>
      </c>
      <c r="S8088">
        <v>-1.3931270000000001E-2</v>
      </c>
      <c r="T8088">
        <v>-0.1995797</v>
      </c>
      <c r="U8088">
        <v>2.9997250000000002</v>
      </c>
      <c r="V8088">
        <v>-0.1159975</v>
      </c>
      <c r="W8088">
        <v>-0.1113422</v>
      </c>
      <c r="X8088">
        <v>0.98698909999999995</v>
      </c>
      <c r="Y8088">
        <v>-0.15433479999999999</v>
      </c>
      <c r="Z8088">
        <v>-5.6762569999999998E-2</v>
      </c>
      <c r="AA8088">
        <v>0.98638669999999995</v>
      </c>
      <c r="AB8088">
        <v>21</v>
      </c>
      <c r="AC8088">
        <v>-0.106400000000007</v>
      </c>
      <c r="AD8088">
        <v>-1.121609114777</v>
      </c>
      <c r="AE8088">
        <v>16.655869999999901</v>
      </c>
      <c r="AF8088">
        <v>-2.5885298444324998</v>
      </c>
      <c r="AG8088">
        <v>-1.121609114777</v>
      </c>
      <c r="AH8088">
        <v>16.377723776928001</v>
      </c>
      <c r="AI8088">
        <v>93.869828745270993</v>
      </c>
      <c r="AJ8088">
        <v>98.981410390617995</v>
      </c>
      <c r="AK8088">
        <v>16.618914822431101</v>
      </c>
      <c r="AL8088">
        <v>96.392693330612104</v>
      </c>
      <c r="AM8088">
        <v>96.703030689579094</v>
      </c>
      <c r="AN8088">
        <v>0.99999999451294896</v>
      </c>
    </row>
    <row r="8089" spans="1:40" x14ac:dyDescent="0.25">
      <c r="A8089" t="str">
        <f>"20190303155006639"</f>
        <v>20190303155006639</v>
      </c>
      <c r="B8089" t="str">
        <f>"1551599406628961"</f>
        <v>1551599406628961</v>
      </c>
      <c r="C8089" t="s">
        <v>40</v>
      </c>
      <c r="D8089">
        <v>5.090992</v>
      </c>
      <c r="E8089">
        <v>0.48584060000000001</v>
      </c>
      <c r="F8089" t="s">
        <v>41</v>
      </c>
      <c r="G8089">
        <v>-188.51599999999999</v>
      </c>
      <c r="H8089" s="1">
        <v>-3.3650310000000002E-6</v>
      </c>
      <c r="I8089">
        <v>-23.136869999999998</v>
      </c>
      <c r="J8089">
        <v>-188.4068</v>
      </c>
      <c r="K8089">
        <v>1.1215999999999999</v>
      </c>
      <c r="L8089">
        <v>-40.153109999999998</v>
      </c>
      <c r="M8089">
        <v>0.1470138</v>
      </c>
      <c r="N8089">
        <v>-7.8692940000000006E-3</v>
      </c>
      <c r="O8089">
        <v>0.98910310000000001</v>
      </c>
      <c r="P8089">
        <v>3.2178440000000003E-2</v>
      </c>
      <c r="Q8089">
        <v>-0.1191687</v>
      </c>
      <c r="R8089">
        <v>0.99235240000000002</v>
      </c>
      <c r="S8089">
        <v>-1.396179E-2</v>
      </c>
      <c r="T8089">
        <v>-0.1953155</v>
      </c>
      <c r="U8089">
        <v>3.0001220000000002</v>
      </c>
      <c r="V8089">
        <v>-0.1136452</v>
      </c>
      <c r="W8089">
        <v>-0.1118321</v>
      </c>
      <c r="X8089">
        <v>0.98720739999999996</v>
      </c>
      <c r="Y8089">
        <v>-0.15156710000000001</v>
      </c>
      <c r="Z8089">
        <v>-5.5673739999999999E-2</v>
      </c>
      <c r="AA8089">
        <v>0.98687789999999997</v>
      </c>
      <c r="AB8089">
        <v>21</v>
      </c>
      <c r="AC8089">
        <v>-0.109199999999987</v>
      </c>
      <c r="AD8089">
        <v>-1.121603365031</v>
      </c>
      <c r="AE8089">
        <v>17.0162399999999</v>
      </c>
      <c r="AF8089">
        <v>-2.5984243738799999</v>
      </c>
      <c r="AG8089">
        <v>-1.121603365031</v>
      </c>
      <c r="AH8089">
        <v>16.7425461714096</v>
      </c>
      <c r="AI8089">
        <v>93.787379924851393</v>
      </c>
      <c r="AJ8089">
        <v>98.8218601593112</v>
      </c>
      <c r="AK8089">
        <v>16.9800664202766</v>
      </c>
      <c r="AL8089">
        <v>96.420938577097601</v>
      </c>
      <c r="AM8089">
        <v>96.566860863814597</v>
      </c>
      <c r="AN8089">
        <v>1.0000000503441</v>
      </c>
    </row>
    <row r="8090" spans="1:40" x14ac:dyDescent="0.25">
      <c r="A8090" t="str">
        <f>"20190303155006662"</f>
        <v>20190303155006662</v>
      </c>
      <c r="B8090" t="str">
        <f>"1551599406658748"</f>
        <v>1551599406658748</v>
      </c>
      <c r="C8090" t="s">
        <v>40</v>
      </c>
      <c r="D8090">
        <v>5.1436580000000003</v>
      </c>
      <c r="E8090">
        <v>0.48640240000000001</v>
      </c>
      <c r="F8090" t="s">
        <v>41</v>
      </c>
      <c r="G8090">
        <v>-188.47739999999999</v>
      </c>
      <c r="H8090" s="1">
        <v>-3.5950260000000002E-6</v>
      </c>
      <c r="I8090">
        <v>-22.616689999999998</v>
      </c>
      <c r="J8090">
        <v>-188.3783</v>
      </c>
      <c r="K8090">
        <v>1.1215839999999999</v>
      </c>
      <c r="L8090">
        <v>-39.939639999999997</v>
      </c>
      <c r="M8090">
        <v>0.14420179999999999</v>
      </c>
      <c r="N8090">
        <v>-7.6294689999999998E-3</v>
      </c>
      <c r="O8090">
        <v>0.98951889999999998</v>
      </c>
      <c r="P8090">
        <v>3.235039E-2</v>
      </c>
      <c r="Q8090">
        <v>-0.11980540000000001</v>
      </c>
      <c r="R8090">
        <v>0.99227019999999999</v>
      </c>
      <c r="S8090">
        <v>-1.208496E-2</v>
      </c>
      <c r="T8090">
        <v>-0.19190489999999999</v>
      </c>
      <c r="U8090">
        <v>3.0004580000000001</v>
      </c>
      <c r="V8090">
        <v>-0.11064839999999999</v>
      </c>
      <c r="W8090">
        <v>-0.11269940000000001</v>
      </c>
      <c r="X8090">
        <v>0.98744909999999997</v>
      </c>
      <c r="Y8090">
        <v>-0.148142</v>
      </c>
      <c r="Z8090">
        <v>-5.4857610000000001E-2</v>
      </c>
      <c r="AA8090">
        <v>0.98744339999999997</v>
      </c>
      <c r="AB8090">
        <v>21</v>
      </c>
      <c r="AC8090">
        <v>-9.9099999999992805E-2</v>
      </c>
      <c r="AD8090">
        <v>-1.1215875950259999</v>
      </c>
      <c r="AE8090">
        <v>17.322949999999999</v>
      </c>
      <c r="AF8090">
        <v>-2.5853001676771301</v>
      </c>
      <c r="AG8090">
        <v>-1.1215875950259999</v>
      </c>
      <c r="AH8090">
        <v>17.056097289656599</v>
      </c>
      <c r="AI8090">
        <v>93.719912792791504</v>
      </c>
      <c r="AJ8090">
        <v>98.619073235650802</v>
      </c>
      <c r="AK8090">
        <v>17.287341913797398</v>
      </c>
      <c r="AL8090">
        <v>96.470947845564993</v>
      </c>
      <c r="AM8090">
        <v>96.393595552855402</v>
      </c>
      <c r="AN8090">
        <v>0.99999997413686403</v>
      </c>
    </row>
    <row r="8091" spans="1:40" x14ac:dyDescent="0.25">
      <c r="A8091" t="str">
        <f>"20190303155006684"</f>
        <v>20190303155006684</v>
      </c>
      <c r="B8091" t="str">
        <f>"1551599406678269"</f>
        <v>1551599406678269</v>
      </c>
      <c r="C8091" t="s">
        <v>40</v>
      </c>
      <c r="D8091">
        <v>5.1322010000000002</v>
      </c>
      <c r="E8091">
        <v>0.48677819999999999</v>
      </c>
      <c r="F8091" t="s">
        <v>41</v>
      </c>
      <c r="G8091">
        <v>-188.42009999999999</v>
      </c>
      <c r="H8091" s="1">
        <v>-3.8400490000000004E-6</v>
      </c>
      <c r="I8091">
        <v>-22.069240000000001</v>
      </c>
      <c r="J8091">
        <v>-188.3503</v>
      </c>
      <c r="K8091">
        <v>1.121575</v>
      </c>
      <c r="L8091">
        <v>-39.725189999999998</v>
      </c>
      <c r="M8091">
        <v>0.14137249999999901</v>
      </c>
      <c r="N8091">
        <v>-7.3966669999999896E-3</v>
      </c>
      <c r="O8091">
        <v>0.98992880000000005</v>
      </c>
      <c r="P8091">
        <v>3.2518039999999998E-2</v>
      </c>
      <c r="Q8091">
        <v>-0.1211004</v>
      </c>
      <c r="R8091">
        <v>0.99210750000000003</v>
      </c>
      <c r="S8091">
        <v>-7.019043E-3</v>
      </c>
      <c r="T8091">
        <v>-0.1883408</v>
      </c>
      <c r="U8091">
        <v>3.0008539999999999</v>
      </c>
      <c r="V8091">
        <v>-0.1076265</v>
      </c>
      <c r="W8091">
        <v>-0.1142172</v>
      </c>
      <c r="X8091">
        <v>0.98760870000000001</v>
      </c>
      <c r="Y8091">
        <v>-0.1436491</v>
      </c>
      <c r="Z8091">
        <v>-5.3985989999999998E-2</v>
      </c>
      <c r="AA8091">
        <v>0.98815509999999995</v>
      </c>
      <c r="AB8091">
        <v>22</v>
      </c>
      <c r="AC8091">
        <v>-6.9799999999986498E-2</v>
      </c>
      <c r="AD8091">
        <v>-1.1215788400490001</v>
      </c>
      <c r="AE8091">
        <v>17.655950000000001</v>
      </c>
      <c r="AF8091">
        <v>-2.55492333437663</v>
      </c>
      <c r="AG8091">
        <v>-1.1215788400490001</v>
      </c>
      <c r="AH8091">
        <v>17.398536656574802</v>
      </c>
      <c r="AI8091">
        <v>93.649379816384396</v>
      </c>
      <c r="AJ8091">
        <v>98.354007441508699</v>
      </c>
      <c r="AK8091">
        <v>17.6208583823026</v>
      </c>
      <c r="AL8091">
        <v>96.558476491655398</v>
      </c>
      <c r="AM8091">
        <v>96.219371589893399</v>
      </c>
      <c r="AN8091">
        <v>0.99999998829688996</v>
      </c>
    </row>
    <row r="8092" spans="1:40" x14ac:dyDescent="0.25">
      <c r="A8092" t="str">
        <f>"20190303155006708"</f>
        <v>20190303155006708</v>
      </c>
      <c r="B8092" t="str">
        <f>"1551599406698764"</f>
        <v>1551599406698764</v>
      </c>
      <c r="C8092" t="s">
        <v>40</v>
      </c>
      <c r="D8092">
        <v>5.168622</v>
      </c>
      <c r="E8092">
        <v>0.48712509999999998</v>
      </c>
      <c r="F8092" t="s">
        <v>41</v>
      </c>
      <c r="G8092">
        <v>-188.3706</v>
      </c>
      <c r="H8092" s="1">
        <v>-3.9350499999999997E-6</v>
      </c>
      <c r="I8092">
        <v>-21.86825</v>
      </c>
      <c r="J8092">
        <v>-188.32079999999999</v>
      </c>
      <c r="K8092">
        <v>1.121561</v>
      </c>
      <c r="L8092">
        <v>-39.494419999999998</v>
      </c>
      <c r="M8092">
        <v>0.1383277</v>
      </c>
      <c r="N8092">
        <v>-7.1585240000000003E-3</v>
      </c>
      <c r="O8092">
        <v>0.99036060000000004</v>
      </c>
      <c r="P8092">
        <v>3.2084330000000001E-2</v>
      </c>
      <c r="Q8092">
        <v>-0.121837</v>
      </c>
      <c r="R8092">
        <v>0.99203140000000001</v>
      </c>
      <c r="S8092">
        <v>-3.4179689999999999E-3</v>
      </c>
      <c r="T8092">
        <v>-0.18848870000000001</v>
      </c>
      <c r="U8092">
        <v>3.0009769999999998</v>
      </c>
      <c r="V8092">
        <v>-0.1050006</v>
      </c>
      <c r="W8092">
        <v>-0.1151829</v>
      </c>
      <c r="X8092">
        <v>0.98777919999999997</v>
      </c>
      <c r="Y8092">
        <v>-0.13942109999999999</v>
      </c>
      <c r="Z8092">
        <v>-5.4329450000000001E-2</v>
      </c>
      <c r="AA8092">
        <v>0.9887416</v>
      </c>
      <c r="AB8092">
        <v>22</v>
      </c>
      <c r="AC8092">
        <v>-4.9800000000004702E-2</v>
      </c>
      <c r="AD8092">
        <v>-1.1215649350499901</v>
      </c>
      <c r="AE8092">
        <v>17.626169999999998</v>
      </c>
      <c r="AF8092">
        <v>-2.47754021985364</v>
      </c>
      <c r="AG8092">
        <v>-1.1215649350499901</v>
      </c>
      <c r="AH8092">
        <v>17.379456972410701</v>
      </c>
      <c r="AI8092">
        <v>93.655546899569401</v>
      </c>
      <c r="AJ8092">
        <v>98.113174261092894</v>
      </c>
      <c r="AK8092">
        <v>17.5909533027747</v>
      </c>
      <c r="AL8092">
        <v>96.614174634325806</v>
      </c>
      <c r="AM8092">
        <v>96.067736371774501</v>
      </c>
      <c r="AN8092">
        <v>0.999999987202704</v>
      </c>
    </row>
    <row r="8093" spans="1:40" x14ac:dyDescent="0.25">
      <c r="A8093" t="str">
        <f>"20190303155006730"</f>
        <v>20190303155006730</v>
      </c>
      <c r="B8093" t="str">
        <f>"1551599406718284"</f>
        <v>1551599406718284</v>
      </c>
      <c r="C8093" t="s">
        <v>40</v>
      </c>
      <c r="D8093">
        <v>5.1621069999999998</v>
      </c>
      <c r="E8093">
        <v>0.48744080000000001</v>
      </c>
      <c r="F8093" t="s">
        <v>41</v>
      </c>
      <c r="G8093">
        <v>-188.3314</v>
      </c>
      <c r="H8093" s="1">
        <v>-4.0890000000000002E-6</v>
      </c>
      <c r="I8093">
        <v>-21.525600000000001</v>
      </c>
      <c r="J8093">
        <v>-188.29320000000001</v>
      </c>
      <c r="K8093">
        <v>1.121556</v>
      </c>
      <c r="L8093">
        <v>-39.273220000000002</v>
      </c>
      <c r="M8093">
        <v>0.135409</v>
      </c>
      <c r="N8093">
        <v>-6.9430339999999998E-3</v>
      </c>
      <c r="O8093">
        <v>0.99076549999999997</v>
      </c>
      <c r="P8093">
        <v>3.1231459999999999E-2</v>
      </c>
      <c r="Q8093">
        <v>-0.1224118</v>
      </c>
      <c r="R8093">
        <v>0.99198790000000003</v>
      </c>
      <c r="S8093">
        <v>-1.77002E-3</v>
      </c>
      <c r="T8093">
        <v>-0.1873244</v>
      </c>
      <c r="U8093">
        <v>3.00116</v>
      </c>
      <c r="V8093">
        <v>-0.10292179999999999</v>
      </c>
      <c r="W8093">
        <v>-0.11596679999999999</v>
      </c>
      <c r="X8093">
        <v>0.98790630000000001</v>
      </c>
      <c r="Y8093">
        <v>-0.13596169999999999</v>
      </c>
      <c r="Z8093">
        <v>-5.421542E-2</v>
      </c>
      <c r="AA8093">
        <v>0.98922960000000004</v>
      </c>
      <c r="AB8093">
        <v>22</v>
      </c>
      <c r="AC8093">
        <v>-3.8199999999989097E-2</v>
      </c>
      <c r="AD8093">
        <v>-1.1215600889999999</v>
      </c>
      <c r="AE8093">
        <v>17.747620000000001</v>
      </c>
      <c r="AF8093">
        <v>-2.43138352563864</v>
      </c>
      <c r="AG8093">
        <v>-1.1215600889999999</v>
      </c>
      <c r="AH8093">
        <v>17.509056105153</v>
      </c>
      <c r="AI8093">
        <v>93.630389694511905</v>
      </c>
      <c r="AJ8093">
        <v>97.905782787506894</v>
      </c>
      <c r="AK8093">
        <v>17.712610439327701</v>
      </c>
      <c r="AL8093">
        <v>96.659391544651101</v>
      </c>
      <c r="AM8093">
        <v>95.947717575974096</v>
      </c>
      <c r="AN8093">
        <v>1.00000002659858</v>
      </c>
    </row>
    <row r="8094" spans="1:40" x14ac:dyDescent="0.25">
      <c r="A8094" t="str">
        <f>"20190303155006751"</f>
        <v>20190303155006751</v>
      </c>
      <c r="B8094" t="str">
        <f>"1551599406748541"</f>
        <v>1551599406748541</v>
      </c>
      <c r="C8094" t="s">
        <v>40</v>
      </c>
      <c r="D8094">
        <v>5.2409929999999996</v>
      </c>
      <c r="E8094">
        <v>0.48779539999999999</v>
      </c>
      <c r="F8094" t="s">
        <v>41</v>
      </c>
      <c r="G8094">
        <v>-188.3031</v>
      </c>
      <c r="H8094" s="1">
        <v>-4.2636110000000002E-6</v>
      </c>
      <c r="I8094">
        <v>-21.130289999999999</v>
      </c>
      <c r="J8094">
        <v>-188.26939999999999</v>
      </c>
      <c r="K8094">
        <v>1.1215550000000001</v>
      </c>
      <c r="L8094">
        <v>-39.077820000000003</v>
      </c>
      <c r="M8094">
        <v>0.13282479999999999</v>
      </c>
      <c r="N8094">
        <v>-6.7606280000000003E-3</v>
      </c>
      <c r="O8094">
        <v>0.99111649999999996</v>
      </c>
      <c r="P8094">
        <v>3.0984600000000001E-2</v>
      </c>
      <c r="Q8094">
        <v>-0.1229399</v>
      </c>
      <c r="R8094">
        <v>0.99193030000000004</v>
      </c>
      <c r="S8094">
        <v>-1.63269E-3</v>
      </c>
      <c r="T8094">
        <v>-0.18553900000000001</v>
      </c>
      <c r="U8094">
        <v>3.0013730000000001</v>
      </c>
      <c r="V8094">
        <v>-0.10057530000000001</v>
      </c>
      <c r="W8094">
        <v>-0.11667</v>
      </c>
      <c r="X8094">
        <v>0.98806510000000003</v>
      </c>
      <c r="Y8094">
        <v>-0.13333410000000001</v>
      </c>
      <c r="Z8094">
        <v>-5.3855840000000002E-2</v>
      </c>
      <c r="AA8094">
        <v>0.98960680000000001</v>
      </c>
      <c r="AB8094">
        <v>22</v>
      </c>
      <c r="AC8094">
        <v>-3.3700000000010201E-2</v>
      </c>
      <c r="AD8094">
        <v>-1.1215592636109999</v>
      </c>
      <c r="AE8094">
        <v>17.94753</v>
      </c>
      <c r="AF8094">
        <v>-2.4079296560880001</v>
      </c>
      <c r="AG8094">
        <v>-1.1215592636109999</v>
      </c>
      <c r="AH8094">
        <v>17.714844439249799</v>
      </c>
      <c r="AI8094">
        <v>93.589742477378394</v>
      </c>
      <c r="AJ8094">
        <v>97.740616560757005</v>
      </c>
      <c r="AK8094">
        <v>17.912892952208502</v>
      </c>
      <c r="AL8094">
        <v>96.699957740394098</v>
      </c>
      <c r="AM8094">
        <v>95.812127851483694</v>
      </c>
      <c r="AN8094">
        <v>0.99999996085404896</v>
      </c>
    </row>
    <row r="8095" spans="1:40" x14ac:dyDescent="0.25">
      <c r="A8095" t="str">
        <f>"20190303155006773"</f>
        <v>20190303155006773</v>
      </c>
      <c r="B8095" t="str">
        <f>"1551599406769036"</f>
        <v>1551599406769036</v>
      </c>
      <c r="C8095" t="s">
        <v>40</v>
      </c>
      <c r="D8095">
        <v>5.187875</v>
      </c>
      <c r="E8095">
        <v>0.48797570000000001</v>
      </c>
      <c r="F8095" t="s">
        <v>41</v>
      </c>
      <c r="G8095">
        <v>-188.26589999999999</v>
      </c>
      <c r="H8095" s="1">
        <v>-4.4156599999999997E-6</v>
      </c>
      <c r="I8095">
        <v>-20.79121</v>
      </c>
      <c r="J8095">
        <v>-188.24420000000001</v>
      </c>
      <c r="K8095">
        <v>1.121561</v>
      </c>
      <c r="L8095">
        <v>-38.866549999999997</v>
      </c>
      <c r="M8095">
        <v>0.1300163</v>
      </c>
      <c r="N8095">
        <v>-6.5708009999999898E-3</v>
      </c>
      <c r="O8095">
        <v>0.99149010000000004</v>
      </c>
      <c r="P8095">
        <v>3.069098E-2</v>
      </c>
      <c r="Q8095">
        <v>-0.1220653</v>
      </c>
      <c r="R8095">
        <v>0.99204740000000002</v>
      </c>
      <c r="S8095">
        <v>5.6457519999999995E-4</v>
      </c>
      <c r="T8095">
        <v>-0.18409420000000001</v>
      </c>
      <c r="U8095">
        <v>3.0015869999999998</v>
      </c>
      <c r="V8095">
        <v>-9.8077860000000003E-2</v>
      </c>
      <c r="W8095">
        <v>-0.11597780000000001</v>
      </c>
      <c r="X8095">
        <v>0.98839770000000005</v>
      </c>
      <c r="Y8095">
        <v>-0.1298028</v>
      </c>
      <c r="Z8095">
        <v>-5.3619630000000001E-2</v>
      </c>
      <c r="AA8095">
        <v>0.990089</v>
      </c>
      <c r="AB8095">
        <v>22</v>
      </c>
      <c r="AC8095">
        <v>-2.1699999999981401E-2</v>
      </c>
      <c r="AD8095">
        <v>-1.1215654156599999</v>
      </c>
      <c r="AE8095">
        <v>18.075340000000001</v>
      </c>
      <c r="AF8095">
        <v>-2.3625591592359299</v>
      </c>
      <c r="AG8095">
        <v>-1.1215654156599999</v>
      </c>
      <c r="AH8095">
        <v>17.850359614861599</v>
      </c>
      <c r="AI8095">
        <v>93.564253723910596</v>
      </c>
      <c r="AJ8095">
        <v>97.539481615746595</v>
      </c>
      <c r="AK8095">
        <v>18.040923843927001</v>
      </c>
      <c r="AL8095">
        <v>96.660025822586206</v>
      </c>
      <c r="AM8095">
        <v>95.666860439669904</v>
      </c>
      <c r="AN8095">
        <v>1.0000000650401499</v>
      </c>
    </row>
    <row r="8096" spans="1:40" x14ac:dyDescent="0.25">
      <c r="A8096" t="str">
        <f>"20190303155006798"</f>
        <v>20190303155006798</v>
      </c>
      <c r="B8096" t="str">
        <f>"1551599406788557"</f>
        <v>1551599406788557</v>
      </c>
      <c r="C8096" t="s">
        <v>40</v>
      </c>
      <c r="D8096">
        <v>5.1816230000000001</v>
      </c>
      <c r="E8096">
        <v>0.48825000000000002</v>
      </c>
      <c r="F8096" t="s">
        <v>41</v>
      </c>
      <c r="G8096">
        <v>-188.23679999999999</v>
      </c>
      <c r="H8096" s="1">
        <v>-5.3764480000000004E-7</v>
      </c>
      <c r="I8096">
        <v>-20.150639999999999</v>
      </c>
      <c r="J8096">
        <v>-188.2157</v>
      </c>
      <c r="K8096">
        <v>1.121575</v>
      </c>
      <c r="L8096">
        <v>-38.621459999999999</v>
      </c>
      <c r="M8096">
        <v>0.1267277</v>
      </c>
      <c r="N8096">
        <v>-6.3605140000000003E-3</v>
      </c>
      <c r="O8096">
        <v>0.9919171</v>
      </c>
      <c r="P8096">
        <v>3.0197040000000001E-2</v>
      </c>
      <c r="Q8096">
        <v>-0.120925</v>
      </c>
      <c r="R8096">
        <v>0.99220220000000003</v>
      </c>
      <c r="S8096">
        <v>1.190186E-3</v>
      </c>
      <c r="T8096">
        <v>-0.1798882</v>
      </c>
      <c r="U8096">
        <v>3.001862</v>
      </c>
      <c r="V8096">
        <v>-9.5303940000000004E-2</v>
      </c>
      <c r="W8096">
        <v>-0.1150418</v>
      </c>
      <c r="X8096">
        <v>0.9887783</v>
      </c>
      <c r="Y8096">
        <v>-0.12630999999999901</v>
      </c>
      <c r="Z8096">
        <v>-5.2505540000000003E-2</v>
      </c>
      <c r="AA8096">
        <v>0.99060029999999999</v>
      </c>
      <c r="AB8096">
        <v>22</v>
      </c>
      <c r="AC8096">
        <v>-2.1099999999989901E-2</v>
      </c>
      <c r="AD8096">
        <v>-1.1215755376448</v>
      </c>
      <c r="AE8096">
        <v>18.47082</v>
      </c>
      <c r="AF8096">
        <v>-2.3530659055849199</v>
      </c>
      <c r="AG8096">
        <v>-1.1215755376448</v>
      </c>
      <c r="AH8096">
        <v>18.251923197219099</v>
      </c>
      <c r="AI8096">
        <v>93.487596231062597</v>
      </c>
      <c r="AJ8096">
        <v>97.346139047426206</v>
      </c>
      <c r="AK8096">
        <v>18.437124267082801</v>
      </c>
      <c r="AL8096">
        <v>96.606036069199305</v>
      </c>
      <c r="AM8096">
        <v>95.505478286843996</v>
      </c>
      <c r="AN8096">
        <v>0.99999999163882602</v>
      </c>
    </row>
    <row r="8097" spans="1:40" x14ac:dyDescent="0.25">
      <c r="A8097" t="str">
        <f>"20190303155006821"</f>
        <v>20190303155006821</v>
      </c>
      <c r="B8097" t="str">
        <f>"1551599406809053"</f>
        <v>1551599406809053</v>
      </c>
      <c r="C8097" t="s">
        <v>40</v>
      </c>
      <c r="D8097">
        <v>5.1848409999999996</v>
      </c>
      <c r="E8097">
        <v>0.4884674</v>
      </c>
      <c r="F8097" t="s">
        <v>41</v>
      </c>
      <c r="G8097">
        <v>-188.20689999999999</v>
      </c>
      <c r="H8097" s="1">
        <v>-8.5095559999999997E-7</v>
      </c>
      <c r="I8097">
        <v>-19.253350000000001</v>
      </c>
      <c r="J8097">
        <v>-188.18960000000001</v>
      </c>
      <c r="K8097">
        <v>1.1215980000000001</v>
      </c>
      <c r="L8097">
        <v>-38.389650000000003</v>
      </c>
      <c r="M8097">
        <v>0.12357559999999999</v>
      </c>
      <c r="N8097">
        <v>-6.175158E-3</v>
      </c>
      <c r="O8097">
        <v>0.99231590000000003</v>
      </c>
      <c r="P8097">
        <v>2.951873E-2</v>
      </c>
      <c r="Q8097">
        <v>-0.12078120000000001</v>
      </c>
      <c r="R8097">
        <v>0.99224020000000002</v>
      </c>
      <c r="S8097">
        <v>1.373291E-3</v>
      </c>
      <c r="T8097">
        <v>-0.17386109999999999</v>
      </c>
      <c r="U8097">
        <v>3.0023499999999999</v>
      </c>
      <c r="V8097">
        <v>-9.2826980000000003E-2</v>
      </c>
      <c r="W8097">
        <v>-0.1150808</v>
      </c>
      <c r="X8097">
        <v>0.98900940000000004</v>
      </c>
      <c r="Y8097">
        <v>-0.1230994</v>
      </c>
      <c r="Z8097">
        <v>-5.0761590000000002E-2</v>
      </c>
      <c r="AA8097">
        <v>0.99109519999999995</v>
      </c>
      <c r="AB8097">
        <v>22</v>
      </c>
      <c r="AC8097">
        <v>-1.7299999999977399E-2</v>
      </c>
      <c r="AD8097">
        <v>-1.1215988509556001</v>
      </c>
      <c r="AE8097">
        <v>19.136299999999999</v>
      </c>
      <c r="AF8097">
        <v>-2.37383761202031</v>
      </c>
      <c r="AG8097">
        <v>-1.1215988509556001</v>
      </c>
      <c r="AH8097">
        <v>18.922476300986801</v>
      </c>
      <c r="AI8097">
        <v>93.365824111985404</v>
      </c>
      <c r="AJ8097">
        <v>97.150440013031599</v>
      </c>
      <c r="AK8097">
        <v>19.1037482801705</v>
      </c>
      <c r="AL8097">
        <v>96.608285382939101</v>
      </c>
      <c r="AM8097">
        <v>95.361989778492898</v>
      </c>
      <c r="AN8097">
        <v>1.0000000160164599</v>
      </c>
    </row>
    <row r="8098" spans="1:40" x14ac:dyDescent="0.25">
      <c r="A8098" t="str">
        <f>"20190303155006841"</f>
        <v>20190303155006841</v>
      </c>
      <c r="B8098" t="str">
        <f>"1551599406838333"</f>
        <v>1551599406838333</v>
      </c>
      <c r="C8098" t="s">
        <v>40</v>
      </c>
      <c r="D8098">
        <v>5.2123839999999904</v>
      </c>
      <c r="E8098">
        <v>0.4888941</v>
      </c>
      <c r="F8098" t="s">
        <v>41</v>
      </c>
      <c r="G8098">
        <v>-188.1842</v>
      </c>
      <c r="H8098" s="1">
        <v>-1.0358479999999999E-6</v>
      </c>
      <c r="I8098">
        <v>-18.727740000000001</v>
      </c>
      <c r="J8098">
        <v>-188.16749999999999</v>
      </c>
      <c r="K8098">
        <v>1.1216159999999999</v>
      </c>
      <c r="L8098">
        <v>-38.186889999999998</v>
      </c>
      <c r="M8098">
        <v>0.1207811</v>
      </c>
      <c r="N8098">
        <v>-6.0285800000000004E-3</v>
      </c>
      <c r="O8098">
        <v>0.99266089999999996</v>
      </c>
      <c r="P8098">
        <v>2.9299829999999999E-2</v>
      </c>
      <c r="Q8098">
        <v>-0.12133480000000001</v>
      </c>
      <c r="R8098">
        <v>0.99217909999999998</v>
      </c>
      <c r="S8098">
        <v>8.2397459999999998E-4</v>
      </c>
      <c r="T8098">
        <v>-0.17128070000000001</v>
      </c>
      <c r="U8098">
        <v>3.0025940000000002</v>
      </c>
      <c r="V8098">
        <v>-9.0237310000000001E-2</v>
      </c>
      <c r="W8098">
        <v>-0.11577759999999999</v>
      </c>
      <c r="X8098">
        <v>0.98916769999999998</v>
      </c>
      <c r="Y8098">
        <v>-0.1204875</v>
      </c>
      <c r="Z8098">
        <v>-5.009943E-2</v>
      </c>
      <c r="AA8098">
        <v>0.99144980000000005</v>
      </c>
      <c r="AB8098">
        <v>22</v>
      </c>
      <c r="AC8098">
        <v>-1.6700000000014301E-2</v>
      </c>
      <c r="AD8098">
        <v>-1.121617035848</v>
      </c>
      <c r="AE8098">
        <v>19.459150000000001</v>
      </c>
      <c r="AF8098">
        <v>-2.3590802819783798</v>
      </c>
      <c r="AG8098">
        <v>-1.121617035848</v>
      </c>
      <c r="AH8098">
        <v>19.250713536006302</v>
      </c>
      <c r="AI8098">
        <v>93.309788333099803</v>
      </c>
      <c r="AJ8098">
        <v>96.986482304921694</v>
      </c>
      <c r="AK8098">
        <v>19.4271268127147</v>
      </c>
      <c r="AL8098">
        <v>96.648477968518804</v>
      </c>
      <c r="AM8098">
        <v>95.212408241626605</v>
      </c>
      <c r="AN8098">
        <v>0.99999998175054206</v>
      </c>
    </row>
    <row r="8099" spans="1:40" x14ac:dyDescent="0.25">
      <c r="A8099" t="str">
        <f>"20190303155006864"</f>
        <v>20190303155006864</v>
      </c>
      <c r="B8099" t="str">
        <f>"1551599406858829"</f>
        <v>1551599406858829</v>
      </c>
      <c r="C8099" t="s">
        <v>40</v>
      </c>
      <c r="D8099">
        <v>5.2988929999999996</v>
      </c>
      <c r="E8099">
        <v>0.48921900000000001</v>
      </c>
      <c r="F8099" t="s">
        <v>41</v>
      </c>
      <c r="G8099">
        <v>-188.14400000000001</v>
      </c>
      <c r="H8099" s="1">
        <v>-1.1992329999999999E-6</v>
      </c>
      <c r="I8099">
        <v>-18.339210000000001</v>
      </c>
      <c r="J8099">
        <v>-188.14279999999999</v>
      </c>
      <c r="K8099">
        <v>1.121645</v>
      </c>
      <c r="L8099">
        <v>-37.953490000000002</v>
      </c>
      <c r="M8099">
        <v>0.1175305</v>
      </c>
      <c r="N8099">
        <v>-5.8796330000000004E-3</v>
      </c>
      <c r="O8099">
        <v>0.99305189999999999</v>
      </c>
      <c r="P8099">
        <v>2.8705930000000001E-2</v>
      </c>
      <c r="Q8099">
        <v>-0.1228926</v>
      </c>
      <c r="R8099">
        <v>0.99200480000000002</v>
      </c>
      <c r="S8099">
        <v>3.5552980000000001E-3</v>
      </c>
      <c r="T8099">
        <v>-0.16969239999999999</v>
      </c>
      <c r="U8099">
        <v>3.0028079999999999</v>
      </c>
      <c r="V8099">
        <v>-8.7548260000000003E-2</v>
      </c>
      <c r="W8099">
        <v>-0.1174813</v>
      </c>
      <c r="X8099">
        <v>0.98920850000000005</v>
      </c>
      <c r="Y8099">
        <v>-0.1163361</v>
      </c>
      <c r="Z8099">
        <v>-4.9772579999999997E-2</v>
      </c>
      <c r="AA8099">
        <v>0.99196200000000001</v>
      </c>
      <c r="AB8099">
        <v>23</v>
      </c>
      <c r="AC8099">
        <v>-1.20000000001141E-3</v>
      </c>
      <c r="AD8099">
        <v>-1.121646199233</v>
      </c>
      <c r="AE8099">
        <v>19.614279999999901</v>
      </c>
      <c r="AF8099">
        <v>-2.2989895620780199</v>
      </c>
      <c r="AG8099">
        <v>-1.121646199233</v>
      </c>
      <c r="AH8099">
        <v>19.414704138254798</v>
      </c>
      <c r="AI8099">
        <v>93.283584628326295</v>
      </c>
      <c r="AJ8099">
        <v>96.753224391311505</v>
      </c>
      <c r="AK8099">
        <v>19.582496775916098</v>
      </c>
      <c r="AL8099">
        <v>96.746763394332106</v>
      </c>
      <c r="AM8099">
        <v>95.057690182271301</v>
      </c>
      <c r="AN8099">
        <v>1.00000000507548</v>
      </c>
    </row>
    <row r="8100" spans="1:40" x14ac:dyDescent="0.25">
      <c r="A8100" t="str">
        <f>"20190303155006885"</f>
        <v>20190303155006885</v>
      </c>
      <c r="B8100" t="str">
        <f>"1551599406878349"</f>
        <v>1551599406878349</v>
      </c>
      <c r="C8100" t="s">
        <v>40</v>
      </c>
      <c r="D8100">
        <v>5.2992720000000002</v>
      </c>
      <c r="E8100">
        <v>0.51863800000000004</v>
      </c>
      <c r="F8100" t="s">
        <v>41</v>
      </c>
      <c r="G8100">
        <v>-188.11359999999999</v>
      </c>
      <c r="H8100" s="1">
        <v>-1.0668769999999999E-6</v>
      </c>
      <c r="I8100">
        <v>-18.691790000000001</v>
      </c>
      <c r="J8100">
        <v>-188.12129999999999</v>
      </c>
      <c r="K8100">
        <v>1.1216619999999999</v>
      </c>
      <c r="L8100">
        <v>-37.744929999999997</v>
      </c>
      <c r="M8100">
        <v>0.1146049</v>
      </c>
      <c r="N8100">
        <v>-5.762858E-3</v>
      </c>
      <c r="O8100">
        <v>0.99339440000000001</v>
      </c>
      <c r="P8100">
        <v>2.801613E-2</v>
      </c>
      <c r="Q8100">
        <v>-0.12351189999999999</v>
      </c>
      <c r="R8100">
        <v>0.99194749999999998</v>
      </c>
      <c r="S8100">
        <v>4.5471189999999996E-3</v>
      </c>
      <c r="T8100">
        <v>-0.1748344</v>
      </c>
      <c r="U8100">
        <v>3.00238</v>
      </c>
      <c r="V8100">
        <v>-8.5300529999999999E-2</v>
      </c>
      <c r="W8100">
        <v>-0.1182129</v>
      </c>
      <c r="X8100">
        <v>0.98931769999999997</v>
      </c>
      <c r="Y8100">
        <v>-0.11308269999999999</v>
      </c>
      <c r="Z8100">
        <v>-5.1619159999999997E-2</v>
      </c>
      <c r="AA8100">
        <v>0.99224380000000001</v>
      </c>
      <c r="AB8100">
        <v>23</v>
      </c>
      <c r="AC8100">
        <v>7.6999999999998103E-3</v>
      </c>
      <c r="AD8100">
        <v>-1.121663066877</v>
      </c>
      <c r="AE8100">
        <v>19.053139999999999</v>
      </c>
      <c r="AF8100">
        <v>-2.1684550526167201</v>
      </c>
      <c r="AG8100">
        <v>-1.121663066877</v>
      </c>
      <c r="AH8100">
        <v>18.863106066645901</v>
      </c>
      <c r="AI8100">
        <v>93.380777267197203</v>
      </c>
      <c r="AJ8100">
        <v>96.557791713706493</v>
      </c>
      <c r="AK8100">
        <v>19.020438896943102</v>
      </c>
      <c r="AL8100">
        <v>96.788975226328006</v>
      </c>
      <c r="AM8100">
        <v>94.927944740258795</v>
      </c>
      <c r="AN8100">
        <v>0.99999999083899005</v>
      </c>
    </row>
    <row r="8101" spans="1:40" x14ac:dyDescent="0.25">
      <c r="A8101" t="str">
        <f>"20190303155006909"</f>
        <v>20190303155006909</v>
      </c>
      <c r="B8101" t="str">
        <f>"1551599406898845"</f>
        <v>1551599406898845</v>
      </c>
      <c r="C8101" t="s">
        <v>40</v>
      </c>
      <c r="D8101">
        <v>5.2869219999999997</v>
      </c>
      <c r="E8101">
        <v>0.51854089999999997</v>
      </c>
      <c r="F8101" t="s">
        <v>41</v>
      </c>
      <c r="G8101">
        <v>-187.09460000000001</v>
      </c>
      <c r="H8101" s="1">
        <v>-2.942747E-6</v>
      </c>
      <c r="I8101">
        <v>-24.708929999999999</v>
      </c>
      <c r="J8101">
        <v>-188.09739999999999</v>
      </c>
      <c r="K8101">
        <v>1.1216809999999999</v>
      </c>
      <c r="L8101">
        <v>-37.504300000000001</v>
      </c>
      <c r="M8101">
        <v>0.111210199999999</v>
      </c>
      <c r="N8101">
        <v>-5.6472700000000002E-3</v>
      </c>
      <c r="O8101">
        <v>0.99378089999999997</v>
      </c>
      <c r="P8101">
        <v>2.5698929999999998E-2</v>
      </c>
      <c r="Q8101">
        <v>-0.12377829999999999</v>
      </c>
      <c r="R8101">
        <v>0.991977</v>
      </c>
      <c r="S8101">
        <v>0.23515320000000001</v>
      </c>
      <c r="T8101">
        <v>-0.25690200000000002</v>
      </c>
      <c r="U8101">
        <v>2.9857179999999999</v>
      </c>
      <c r="V8101">
        <v>-8.4216780000000005E-2</v>
      </c>
      <c r="W8101">
        <v>-0.11859509999999999</v>
      </c>
      <c r="X8101">
        <v>0.98936480000000004</v>
      </c>
      <c r="Y8101">
        <v>-3.3078980000000001E-2</v>
      </c>
      <c r="Z8101">
        <v>-7.9174869999999994E-2</v>
      </c>
      <c r="AA8101">
        <v>0.99631179999999997</v>
      </c>
      <c r="AB8101">
        <v>23</v>
      </c>
      <c r="AC8101">
        <v>1.0027999999999699</v>
      </c>
      <c r="AD8101">
        <v>-1.121683942747</v>
      </c>
      <c r="AE8101">
        <v>12.79537</v>
      </c>
      <c r="AF8101">
        <v>-0.42318668110007701</v>
      </c>
      <c r="AG8101">
        <v>-1.121683942747</v>
      </c>
      <c r="AH8101">
        <v>12.730286851747399</v>
      </c>
      <c r="AI8101">
        <v>95.032644017568302</v>
      </c>
      <c r="AJ8101">
        <v>91.903954368290698</v>
      </c>
      <c r="AK8101">
        <v>12.786612732160499</v>
      </c>
      <c r="AL8101">
        <v>96.811028845095507</v>
      </c>
      <c r="AM8101">
        <v>94.865406787141794</v>
      </c>
      <c r="AN8101">
        <v>0.99999998562830905</v>
      </c>
    </row>
    <row r="8102" spans="1:40" x14ac:dyDescent="0.25">
      <c r="A8102" t="str">
        <f>"20190303155006954"</f>
        <v>20190303155006954</v>
      </c>
      <c r="B8102" t="str">
        <f>"1551599406948621"</f>
        <v>1551599406948621</v>
      </c>
      <c r="C8102" t="s">
        <v>40</v>
      </c>
      <c r="D8102">
        <v>5.3026929999999997</v>
      </c>
      <c r="E8102">
        <v>0.51859250000000001</v>
      </c>
      <c r="F8102" t="s">
        <v>41</v>
      </c>
      <c r="G8102">
        <v>-187.0806</v>
      </c>
      <c r="H8102" s="1">
        <v>-3.1850099999999999E-6</v>
      </c>
      <c r="I8102">
        <v>-24.150010000000002</v>
      </c>
      <c r="J8102">
        <v>-188.05459999999999</v>
      </c>
      <c r="K8102">
        <v>1.121686</v>
      </c>
      <c r="L8102">
        <v>-37.051670000000001</v>
      </c>
      <c r="M8102">
        <v>0.104805</v>
      </c>
      <c r="N8102">
        <v>-5.4784880000000001E-3</v>
      </c>
      <c r="O8102">
        <v>0.99447770000000002</v>
      </c>
      <c r="P8102">
        <v>2.345415E-2</v>
      </c>
      <c r="Q8102">
        <v>-0.12626960000000001</v>
      </c>
      <c r="R8102">
        <v>0.99171860000000001</v>
      </c>
      <c r="S8102">
        <v>0.2274323</v>
      </c>
      <c r="T8102">
        <v>-0.25089600000000001</v>
      </c>
      <c r="U8102">
        <v>2.9870610000000002</v>
      </c>
      <c r="V8102">
        <v>-8.0025529999999997E-2</v>
      </c>
      <c r="W8102">
        <v>-0.1212414</v>
      </c>
      <c r="X8102">
        <v>0.98939200000000005</v>
      </c>
      <c r="Y8102">
        <v>-2.922487E-2</v>
      </c>
      <c r="Z8102">
        <v>-7.7434530000000001E-2</v>
      </c>
      <c r="AA8102">
        <v>0.99656900000000004</v>
      </c>
      <c r="AB8102">
        <v>23</v>
      </c>
      <c r="AC8102">
        <v>0.97399999999998899</v>
      </c>
      <c r="AD8102">
        <v>-1.1216891850099999</v>
      </c>
      <c r="AE8102">
        <v>12.90166</v>
      </c>
      <c r="AF8102">
        <v>-0.38068175575644703</v>
      </c>
      <c r="AG8102">
        <v>-1.1216891850099999</v>
      </c>
      <c r="AH8102">
        <v>12.836210607906001</v>
      </c>
      <c r="AI8102">
        <v>94.991908256524198</v>
      </c>
      <c r="AJ8102">
        <v>91.698715249643698</v>
      </c>
      <c r="AK8102">
        <v>12.8907489308206</v>
      </c>
      <c r="AL8102">
        <v>96.963752383608195</v>
      </c>
      <c r="AM8102">
        <v>94.624219048979796</v>
      </c>
      <c r="AN8102">
        <v>1.0000000460948599</v>
      </c>
    </row>
    <row r="8103" spans="1:40" x14ac:dyDescent="0.25">
      <c r="A8103" t="str">
        <f>"20190303155006973"</f>
        <v>20190303155006973</v>
      </c>
      <c r="B8103" t="str">
        <f>"1551599406969117"</f>
        <v>1551599406969117</v>
      </c>
      <c r="C8103" t="s">
        <v>40</v>
      </c>
      <c r="D8103">
        <v>5.3102689999999999</v>
      </c>
      <c r="E8103">
        <v>0.51851619999999998</v>
      </c>
      <c r="F8103" t="s">
        <v>41</v>
      </c>
      <c r="G8103">
        <v>-187.07499999999999</v>
      </c>
      <c r="H8103" s="1">
        <v>-3.3238900000000002E-6</v>
      </c>
      <c r="I8103">
        <v>-23.828610000000001</v>
      </c>
      <c r="J8103">
        <v>-188.03489999999999</v>
      </c>
      <c r="K8103">
        <v>1.1216900000000001</v>
      </c>
      <c r="L8103">
        <v>-36.833129999999997</v>
      </c>
      <c r="M8103">
        <v>0.10171570000000001</v>
      </c>
      <c r="N8103">
        <v>-5.4171330000000002E-3</v>
      </c>
      <c r="O8103">
        <v>0.99479879999999998</v>
      </c>
      <c r="P8103">
        <v>2.2901700000000001E-2</v>
      </c>
      <c r="Q8103">
        <v>-0.12592780000000001</v>
      </c>
      <c r="R8103">
        <v>0.99177499999999996</v>
      </c>
      <c r="S8103">
        <v>0.22132869999999999</v>
      </c>
      <c r="T8103">
        <v>-0.25342870000000001</v>
      </c>
      <c r="U8103">
        <v>2.987549</v>
      </c>
      <c r="V8103">
        <v>-7.7506870000000005E-2</v>
      </c>
      <c r="W8103">
        <v>-0.120949399999999</v>
      </c>
      <c r="X8103">
        <v>0.98962819999999996</v>
      </c>
      <c r="Y8103">
        <v>-2.8162599999999999E-2</v>
      </c>
      <c r="Z8103">
        <v>-7.8359830000000005E-2</v>
      </c>
      <c r="AA8103">
        <v>0.9965273</v>
      </c>
      <c r="AB8103">
        <v>23</v>
      </c>
      <c r="AC8103">
        <v>0.95990000000000397</v>
      </c>
      <c r="AD8103">
        <v>-1.12169332388999</v>
      </c>
      <c r="AE8103">
        <v>13.0045199999999</v>
      </c>
      <c r="AF8103">
        <v>-0.365159884500045</v>
      </c>
      <c r="AG8103">
        <v>-1.12169332388999</v>
      </c>
      <c r="AH8103">
        <v>12.9389671823187</v>
      </c>
      <c r="AI8103">
        <v>94.952684964915093</v>
      </c>
      <c r="AJ8103">
        <v>91.6165562526039</v>
      </c>
      <c r="AK8103">
        <v>12.992629041084401</v>
      </c>
      <c r="AL8103">
        <v>96.946898142555597</v>
      </c>
      <c r="AM8103">
        <v>94.478217145209101</v>
      </c>
      <c r="AN8103">
        <v>1.0000000232463899</v>
      </c>
    </row>
    <row r="8104" spans="1:40" x14ac:dyDescent="0.25">
      <c r="A8104" t="str">
        <f>"20190303155006998"</f>
        <v>20190303155006998</v>
      </c>
      <c r="B8104" t="str">
        <f>"1551599406988636"</f>
        <v>1551599406988636</v>
      </c>
      <c r="C8104" t="s">
        <v>40</v>
      </c>
      <c r="D8104">
        <v>5.3089500000000003</v>
      </c>
      <c r="E8104">
        <v>0.51874569999999998</v>
      </c>
      <c r="F8104" t="s">
        <v>41</v>
      </c>
      <c r="G8104">
        <v>-187.08340000000001</v>
      </c>
      <c r="H8104" s="1">
        <v>-3.3073760000000001E-6</v>
      </c>
      <c r="I8104">
        <v>-23.863589999999999</v>
      </c>
      <c r="J8104">
        <v>-188.0136</v>
      </c>
      <c r="K8104">
        <v>1.12171</v>
      </c>
      <c r="L8104">
        <v>-36.587310000000002</v>
      </c>
      <c r="M8104">
        <v>9.8253090000000001E-2</v>
      </c>
      <c r="N8104">
        <v>-5.3607079999999996E-3</v>
      </c>
      <c r="O8104">
        <v>0.995147</v>
      </c>
      <c r="P8104">
        <v>2.1236919999999999E-2</v>
      </c>
      <c r="Q8104">
        <v>-0.12497809999999999</v>
      </c>
      <c r="R8104">
        <v>0.99193220000000004</v>
      </c>
      <c r="S8104">
        <v>0.21913150000000001</v>
      </c>
      <c r="T8104">
        <v>-0.25833859999999997</v>
      </c>
      <c r="U8104">
        <v>2.9870299999999999</v>
      </c>
      <c r="V8104">
        <v>-7.5737009999999994E-2</v>
      </c>
      <c r="W8104">
        <v>-0.1200481</v>
      </c>
      <c r="X8104">
        <v>0.9898749</v>
      </c>
      <c r="Y8104">
        <v>-2.5410760000000001E-2</v>
      </c>
      <c r="Z8104">
        <v>-8.0091099999999998E-2</v>
      </c>
      <c r="AA8104">
        <v>0.9964636</v>
      </c>
      <c r="AB8104">
        <v>23</v>
      </c>
      <c r="AC8104">
        <v>0.93019999999998404</v>
      </c>
      <c r="AD8104">
        <v>-1.1217133073759999</v>
      </c>
      <c r="AE8104">
        <v>12.723719999999901</v>
      </c>
      <c r="AF8104">
        <v>-0.321974636577815</v>
      </c>
      <c r="AG8104">
        <v>-1.1217133073759999</v>
      </c>
      <c r="AH8104">
        <v>12.6557124245733</v>
      </c>
      <c r="AI8104">
        <v>95.063429224428305</v>
      </c>
      <c r="AJ8104">
        <v>91.457350532301007</v>
      </c>
      <c r="AK8104">
        <v>12.709404603837401</v>
      </c>
      <c r="AL8104">
        <v>96.8948787173032</v>
      </c>
      <c r="AM8104">
        <v>94.375273025915604</v>
      </c>
      <c r="AN8104">
        <v>0.99999997932367901</v>
      </c>
    </row>
    <row r="8105" spans="1:40" x14ac:dyDescent="0.25">
      <c r="A8105" t="str">
        <f>"20190303155007021"</f>
        <v>20190303155007021</v>
      </c>
      <c r="B8105" t="str">
        <f>"1551599407018893"</f>
        <v>1551599407018893</v>
      </c>
      <c r="C8105" t="s">
        <v>40</v>
      </c>
      <c r="D8105">
        <v>5.3164319999999998</v>
      </c>
      <c r="E8105">
        <v>0.51864469999999996</v>
      </c>
      <c r="F8105" t="s">
        <v>41</v>
      </c>
      <c r="G8105">
        <v>-187.0574</v>
      </c>
      <c r="H8105" s="1">
        <v>-3.524619E-6</v>
      </c>
      <c r="I8105">
        <v>-23.36797</v>
      </c>
      <c r="J8105">
        <v>-187.994</v>
      </c>
      <c r="K8105">
        <v>1.1217189999999999</v>
      </c>
      <c r="L8105">
        <v>-36.351990000000001</v>
      </c>
      <c r="M8105">
        <v>9.4958409999999993E-2</v>
      </c>
      <c r="N8105">
        <v>-5.3179849999999999E-3</v>
      </c>
      <c r="O8105">
        <v>0.99546699999999999</v>
      </c>
      <c r="P8105">
        <v>1.9434139999999999E-2</v>
      </c>
      <c r="Q8105">
        <v>-0.1244811</v>
      </c>
      <c r="R8105">
        <v>0.99203160000000001</v>
      </c>
      <c r="S8105">
        <v>0.2161255</v>
      </c>
      <c r="T8105">
        <v>-0.2535288</v>
      </c>
      <c r="U8105">
        <v>2.9878230000000001</v>
      </c>
      <c r="V8105">
        <v>-7.4265579999999998E-2</v>
      </c>
      <c r="W8105">
        <v>-0.119586999999999</v>
      </c>
      <c r="X8105">
        <v>0.99004219999999998</v>
      </c>
      <c r="Y8105">
        <v>-2.3109970000000001E-2</v>
      </c>
      <c r="Z8105">
        <v>-7.8576789999999994E-2</v>
      </c>
      <c r="AA8105">
        <v>0.99664010000000003</v>
      </c>
      <c r="AB8105">
        <v>23</v>
      </c>
      <c r="AC8105">
        <v>0.93660000000002697</v>
      </c>
      <c r="AD8105">
        <v>-1.1217225246189999</v>
      </c>
      <c r="AE8105">
        <v>12.984019999999999</v>
      </c>
      <c r="AF8105">
        <v>-0.29837630881855398</v>
      </c>
      <c r="AG8105">
        <v>-1.1217225246189999</v>
      </c>
      <c r="AH8105">
        <v>12.918366639730101</v>
      </c>
      <c r="AI8105">
        <v>94.961320644626895</v>
      </c>
      <c r="AJ8105">
        <v>91.323128891773095</v>
      </c>
      <c r="AK8105">
        <v>12.9704081077811</v>
      </c>
      <c r="AL8105">
        <v>96.868267836538493</v>
      </c>
      <c r="AM8105">
        <v>94.289867790896494</v>
      </c>
      <c r="AN8105">
        <v>0.999999992361288</v>
      </c>
    </row>
    <row r="8106" spans="1:40" x14ac:dyDescent="0.25">
      <c r="A8106" t="str">
        <f>"20190303155007042"</f>
        <v>20190303155007042</v>
      </c>
      <c r="B8106" t="str">
        <f>"1551599407038413"</f>
        <v>1551599407038413</v>
      </c>
      <c r="C8106" t="s">
        <v>40</v>
      </c>
      <c r="D8106">
        <v>5.3151330000000003</v>
      </c>
      <c r="E8106">
        <v>0.51829919999999996</v>
      </c>
      <c r="F8106" t="s">
        <v>41</v>
      </c>
      <c r="G8106">
        <v>-187.05860000000001</v>
      </c>
      <c r="H8106" s="1">
        <v>-3.6679340000000002E-6</v>
      </c>
      <c r="I8106">
        <v>-23.03341</v>
      </c>
      <c r="J8106">
        <v>-187.976</v>
      </c>
      <c r="K8106">
        <v>1.1217220000000001</v>
      </c>
      <c r="L8106">
        <v>-36.127229999999997</v>
      </c>
      <c r="M8106">
        <v>9.183674E-2</v>
      </c>
      <c r="N8106">
        <v>-5.2867290000000004E-3</v>
      </c>
      <c r="O8106">
        <v>0.99575999999999998</v>
      </c>
      <c r="P8106">
        <v>1.805911E-2</v>
      </c>
      <c r="Q8106">
        <v>-0.12523670000000001</v>
      </c>
      <c r="R8106">
        <v>0.99196249999999997</v>
      </c>
      <c r="S8106">
        <v>0.2098846</v>
      </c>
      <c r="T8106">
        <v>-0.25169039999999998</v>
      </c>
      <c r="U8106">
        <v>2.9884029999999999</v>
      </c>
      <c r="V8106">
        <v>-7.2520370000000001E-2</v>
      </c>
      <c r="W8106">
        <v>-0.1203658</v>
      </c>
      <c r="X8106">
        <v>0.99007719999999999</v>
      </c>
      <c r="Y8106">
        <v>-2.2057319999999998E-2</v>
      </c>
      <c r="Z8106">
        <v>-7.8030440000000006E-2</v>
      </c>
      <c r="AA8106">
        <v>0.99670700000000001</v>
      </c>
      <c r="AB8106">
        <v>24</v>
      </c>
      <c r="AC8106">
        <v>0.917399999999986</v>
      </c>
      <c r="AD8106">
        <v>-1.121725667934</v>
      </c>
      <c r="AE8106">
        <v>13.0938199999999</v>
      </c>
      <c r="AF8106">
        <v>-0.28689233450089502</v>
      </c>
      <c r="AG8106">
        <v>-1.121725667934</v>
      </c>
      <c r="AH8106">
        <v>13.027593905874699</v>
      </c>
      <c r="AI8106">
        <v>94.920060880497402</v>
      </c>
      <c r="AJ8106">
        <v>91.261557859365197</v>
      </c>
      <c r="AK8106">
        <v>13.078944095839001</v>
      </c>
      <c r="AL8106">
        <v>96.913214427370505</v>
      </c>
      <c r="AM8106">
        <v>94.189273348773995</v>
      </c>
      <c r="AN8106">
        <v>0.99999999591720801</v>
      </c>
    </row>
    <row r="8107" spans="1:40" x14ac:dyDescent="0.25">
      <c r="A8107" t="str">
        <f>"20190303155007064"</f>
        <v>20190303155007064</v>
      </c>
      <c r="B8107" t="str">
        <f>"1551599407058909"</f>
        <v>1551599407058909</v>
      </c>
      <c r="C8107" t="s">
        <v>40</v>
      </c>
      <c r="D8107">
        <v>5.3210709999999999</v>
      </c>
      <c r="E8107">
        <v>0.51820949999999999</v>
      </c>
      <c r="F8107" t="s">
        <v>41</v>
      </c>
      <c r="G8107">
        <v>-187.09299999999999</v>
      </c>
      <c r="H8107" s="1">
        <v>-3.6157669999999999E-6</v>
      </c>
      <c r="I8107">
        <v>-23.14076</v>
      </c>
      <c r="J8107">
        <v>-187.9579</v>
      </c>
      <c r="K8107">
        <v>1.121715</v>
      </c>
      <c r="L8107">
        <v>-35.892879999999998</v>
      </c>
      <c r="M8107">
        <v>8.8605139999999999E-2</v>
      </c>
      <c r="N8107">
        <v>-5.2620649999999998E-3</v>
      </c>
      <c r="O8107">
        <v>0.99605290000000002</v>
      </c>
      <c r="P8107">
        <v>1.6770360000000002E-2</v>
      </c>
      <c r="Q8107">
        <v>-0.12561030000000001</v>
      </c>
      <c r="R8107">
        <v>0.99193790000000004</v>
      </c>
      <c r="S8107">
        <v>0.20315549999999999</v>
      </c>
      <c r="T8107">
        <v>-0.25809609999999999</v>
      </c>
      <c r="U8107">
        <v>2.9880369999999998</v>
      </c>
      <c r="V8107">
        <v>-7.0587380000000005E-2</v>
      </c>
      <c r="W8107">
        <v>-0.1207545</v>
      </c>
      <c r="X8107">
        <v>0.99016959999999998</v>
      </c>
      <c r="Y8107">
        <v>-2.105048E-2</v>
      </c>
      <c r="Z8107">
        <v>-8.0214439999999998E-2</v>
      </c>
      <c r="AA8107">
        <v>0.99655530000000003</v>
      </c>
      <c r="AB8107">
        <v>24</v>
      </c>
      <c r="AC8107">
        <v>0.864900000000005</v>
      </c>
      <c r="AD8107">
        <v>-1.121718615767</v>
      </c>
      <c r="AE8107">
        <v>12.7521199999999</v>
      </c>
      <c r="AF8107">
        <v>-0.26636934235688597</v>
      </c>
      <c r="AG8107">
        <v>-1.121718615767</v>
      </c>
      <c r="AH8107">
        <v>12.680928059869901</v>
      </c>
      <c r="AI8107">
        <v>95.053954320532796</v>
      </c>
      <c r="AJ8107">
        <v>91.203350020066296</v>
      </c>
      <c r="AK8107">
        <v>12.733229823540499</v>
      </c>
      <c r="AL8107">
        <v>96.935648681501107</v>
      </c>
      <c r="AM8107">
        <v>94.077613196043004</v>
      </c>
      <c r="AN8107">
        <v>1.0000000321248299</v>
      </c>
    </row>
    <row r="8108" spans="1:40" x14ac:dyDescent="0.25">
      <c r="A8108" t="str">
        <f>"20190303155007087"</f>
        <v>20190303155007087</v>
      </c>
      <c r="B8108" t="str">
        <f>"1551599407079405"</f>
        <v>1551599407079405</v>
      </c>
      <c r="C8108" t="s">
        <v>40</v>
      </c>
      <c r="D8108">
        <v>5.2555050000000003</v>
      </c>
      <c r="E8108">
        <v>0.517354599999999</v>
      </c>
      <c r="F8108" t="s">
        <v>41</v>
      </c>
      <c r="G8108">
        <v>-187.1002</v>
      </c>
      <c r="H8108" s="1">
        <v>-3.6868020000000001E-6</v>
      </c>
      <c r="I8108">
        <v>-22.97222</v>
      </c>
      <c r="J8108">
        <v>-187.9401</v>
      </c>
      <c r="K8108">
        <v>1.1217109999999999</v>
      </c>
      <c r="L8108">
        <v>-35.651060000000001</v>
      </c>
      <c r="M8108">
        <v>8.5300390000000004E-2</v>
      </c>
      <c r="N8108">
        <v>-5.2439619999999996E-3</v>
      </c>
      <c r="O8108">
        <v>0.99634149999999999</v>
      </c>
      <c r="P8108">
        <v>1.503728E-2</v>
      </c>
      <c r="Q8108">
        <v>-0.125471</v>
      </c>
      <c r="R8108">
        <v>0.99198330000000001</v>
      </c>
      <c r="S8108">
        <v>0.19837949999999999</v>
      </c>
      <c r="T8108">
        <v>-0.25942229999999999</v>
      </c>
      <c r="U8108">
        <v>2.9881899999999999</v>
      </c>
      <c r="V8108">
        <v>-6.9035020000000002E-2</v>
      </c>
      <c r="W8108">
        <v>-0.1206252</v>
      </c>
      <c r="X8108">
        <v>0.99029480000000003</v>
      </c>
      <c r="Y8108">
        <v>-1.9325849999999999E-2</v>
      </c>
      <c r="Z8108">
        <v>-8.0706429999999996E-2</v>
      </c>
      <c r="AA8108">
        <v>0.99655059999999995</v>
      </c>
      <c r="AB8108">
        <v>24</v>
      </c>
      <c r="AC8108">
        <v>0.83989999999999998</v>
      </c>
      <c r="AD8108">
        <v>-1.121714686802</v>
      </c>
      <c r="AE8108">
        <v>12.678839999999999</v>
      </c>
      <c r="AF8108">
        <v>-0.24279403877466799</v>
      </c>
      <c r="AG8108">
        <v>-1.121714686802</v>
      </c>
      <c r="AH8108">
        <v>12.606033986641</v>
      </c>
      <c r="AI8108">
        <v>95.0839835494466</v>
      </c>
      <c r="AJ8108">
        <v>91.103388582898404</v>
      </c>
      <c r="AK8108">
        <v>12.658170707341499</v>
      </c>
      <c r="AL8108">
        <v>96.928185787322207</v>
      </c>
      <c r="AM8108">
        <v>93.987728218801607</v>
      </c>
      <c r="AN8108">
        <v>1.0000000318842299</v>
      </c>
    </row>
    <row r="8109" spans="1:40" x14ac:dyDescent="0.25">
      <c r="A8109" t="str">
        <f>"20190303155007110"</f>
        <v>20190303155007110</v>
      </c>
      <c r="B8109" t="str">
        <f>"1551599407098925"</f>
        <v>1551599407098925</v>
      </c>
      <c r="C8109" t="s">
        <v>40</v>
      </c>
      <c r="D8109">
        <v>5.235665</v>
      </c>
      <c r="E8109">
        <v>0.49162879999999998</v>
      </c>
      <c r="F8109" t="s">
        <v>41</v>
      </c>
      <c r="G8109">
        <v>-187.10589999999999</v>
      </c>
      <c r="H8109" s="1">
        <v>-3.9844609999999997E-6</v>
      </c>
      <c r="I8109">
        <v>-22.276</v>
      </c>
      <c r="J8109">
        <v>-187.9229</v>
      </c>
      <c r="K8109">
        <v>1.121699</v>
      </c>
      <c r="L8109">
        <v>-35.407200000000003</v>
      </c>
      <c r="M8109">
        <v>8.200839E-2</v>
      </c>
      <c r="N8109">
        <v>-5.2319899999999997E-3</v>
      </c>
      <c r="O8109">
        <v>0.99661789999999995</v>
      </c>
      <c r="P8109">
        <v>1.311098E-2</v>
      </c>
      <c r="Q8109">
        <v>-0.12556099999999901</v>
      </c>
      <c r="R8109">
        <v>0.99199930000000003</v>
      </c>
      <c r="S8109">
        <v>0.1864624</v>
      </c>
      <c r="T8109">
        <v>-0.25073600000000001</v>
      </c>
      <c r="U8109">
        <v>2.989716</v>
      </c>
      <c r="V8109">
        <v>-6.7686479999999993E-2</v>
      </c>
      <c r="W8109">
        <v>-0.1207194</v>
      </c>
      <c r="X8109">
        <v>0.99037640000000005</v>
      </c>
      <c r="Y8109">
        <v>-1.9998140000000001E-2</v>
      </c>
      <c r="Z8109">
        <v>-7.7861669999999994E-2</v>
      </c>
      <c r="AA8109">
        <v>0.99676359999999997</v>
      </c>
      <c r="AB8109">
        <v>24</v>
      </c>
      <c r="AC8109">
        <v>0.81700000000000705</v>
      </c>
      <c r="AD8109">
        <v>-1.121702984461</v>
      </c>
      <c r="AE8109">
        <v>13.1312</v>
      </c>
      <c r="AF8109">
        <v>-0.26074004816433</v>
      </c>
      <c r="AG8109">
        <v>-1.121702984461</v>
      </c>
      <c r="AH8109">
        <v>13.059044986547899</v>
      </c>
      <c r="AI8109">
        <v>94.908381410129707</v>
      </c>
      <c r="AJ8109">
        <v>91.143829400340806</v>
      </c>
      <c r="AK8109">
        <v>13.109723830758099</v>
      </c>
      <c r="AL8109">
        <v>96.933622840125096</v>
      </c>
      <c r="AM8109">
        <v>93.909754223377604</v>
      </c>
      <c r="AN8109">
        <v>1.00000002339405</v>
      </c>
    </row>
    <row r="8110" spans="1:40" x14ac:dyDescent="0.25">
      <c r="A8110" t="str">
        <f>"20190303155007134"</f>
        <v>20190303155007134</v>
      </c>
      <c r="B8110" t="str">
        <f>"1551599407129181"</f>
        <v>1551599407129181</v>
      </c>
      <c r="C8110" t="s">
        <v>40</v>
      </c>
      <c r="D8110">
        <v>5.1733699999999896</v>
      </c>
      <c r="E8110">
        <v>0.49173679999999997</v>
      </c>
      <c r="F8110" t="s">
        <v>41</v>
      </c>
      <c r="G8110">
        <v>-188.12540000000001</v>
      </c>
      <c r="H8110" s="1">
        <v>-1.6648389999999999E-6</v>
      </c>
      <c r="I8110">
        <v>-7.2615499999999997</v>
      </c>
      <c r="J8110">
        <v>-187.9051</v>
      </c>
      <c r="K8110">
        <v>1.121669</v>
      </c>
      <c r="L8110">
        <v>-35.144260000000003</v>
      </c>
      <c r="M8110">
        <v>7.8516290000000002E-2</v>
      </c>
      <c r="N8110">
        <v>-5.2247739999999997E-3</v>
      </c>
      <c r="O8110">
        <v>0.99689910000000004</v>
      </c>
      <c r="P8110">
        <v>1.107238E-2</v>
      </c>
      <c r="Q8110">
        <v>-0.12588379999999999</v>
      </c>
      <c r="R8110">
        <v>0.99198319999999995</v>
      </c>
      <c r="S8110">
        <v>-2.165222E-2</v>
      </c>
      <c r="T8110">
        <v>-0.1199312</v>
      </c>
      <c r="U8110">
        <v>3.0093079999999999</v>
      </c>
      <c r="V8110">
        <v>-6.6251950000000004E-2</v>
      </c>
      <c r="W8110">
        <v>-0.12103990000000001</v>
      </c>
      <c r="X8110">
        <v>0.99043419999999904</v>
      </c>
      <c r="Y8110">
        <v>-8.5673559999999996E-2</v>
      </c>
      <c r="Z8110">
        <v>-3.434106E-2</v>
      </c>
      <c r="AA8110">
        <v>0.99573120000000004</v>
      </c>
      <c r="AB8110">
        <v>24</v>
      </c>
      <c r="AC8110">
        <v>-0.22030000000000799</v>
      </c>
      <c r="AD8110">
        <v>-1.121670664839</v>
      </c>
      <c r="AE8110">
        <v>27.882709999999999</v>
      </c>
      <c r="AF8110">
        <v>-2.4050049979212198</v>
      </c>
      <c r="AG8110">
        <v>-1.121670664839</v>
      </c>
      <c r="AH8110">
        <v>27.734451580899201</v>
      </c>
      <c r="AI8110">
        <v>92.307314600840698</v>
      </c>
      <c r="AJ8110">
        <v>94.956030782058505</v>
      </c>
      <c r="AK8110">
        <v>27.861119837752899</v>
      </c>
      <c r="AL8110">
        <v>96.952122359583896</v>
      </c>
      <c r="AM8110">
        <v>93.826918113983595</v>
      </c>
      <c r="AN8110">
        <v>0.99999994140022397</v>
      </c>
    </row>
    <row r="8111" spans="1:40" x14ac:dyDescent="0.25">
      <c r="A8111" t="str">
        <f>"20190303155007155"</f>
        <v>20190303155007155</v>
      </c>
      <c r="B8111" t="str">
        <f>"1551599407148701"</f>
        <v>1551599407148701</v>
      </c>
      <c r="C8111" t="s">
        <v>40</v>
      </c>
      <c r="D8111">
        <v>5.1929339999999904</v>
      </c>
      <c r="E8111">
        <v>0.4919847</v>
      </c>
      <c r="F8111" t="s">
        <v>41</v>
      </c>
      <c r="G8111">
        <v>-188.14449999999999</v>
      </c>
      <c r="H8111" s="1">
        <v>-1.006554E-6</v>
      </c>
      <c r="I8111">
        <v>-8.8449150000000003</v>
      </c>
      <c r="J8111">
        <v>-187.89009999999999</v>
      </c>
      <c r="K8111">
        <v>1.1216379999999999</v>
      </c>
      <c r="L8111">
        <v>-34.911439999999999</v>
      </c>
      <c r="M8111">
        <v>7.5484990000000002E-2</v>
      </c>
      <c r="N8111">
        <v>-5.2226399999999997E-3</v>
      </c>
      <c r="O8111">
        <v>0.9971333</v>
      </c>
      <c r="P8111">
        <v>9.1793129999999997E-3</v>
      </c>
      <c r="Q8111">
        <v>-0.1267769</v>
      </c>
      <c r="R8111">
        <v>0.99188880000000001</v>
      </c>
      <c r="S8111">
        <v>-2.7374269999999999E-2</v>
      </c>
      <c r="T8111">
        <v>-0.1283031</v>
      </c>
      <c r="U8111">
        <v>3.00827</v>
      </c>
      <c r="V8111">
        <v>-6.5124080000000001E-2</v>
      </c>
      <c r="W8111">
        <v>-0.1219266</v>
      </c>
      <c r="X8111">
        <v>0.99040030000000001</v>
      </c>
      <c r="Y8111">
        <v>-8.4539249999999996E-2</v>
      </c>
      <c r="Z8111">
        <v>-3.7131619999999997E-2</v>
      </c>
      <c r="AA8111">
        <v>0.9957281</v>
      </c>
      <c r="AB8111">
        <v>24</v>
      </c>
      <c r="AC8111">
        <v>-0.25440000000000401</v>
      </c>
      <c r="AD8111">
        <v>-1.1216390065539901</v>
      </c>
      <c r="AE8111">
        <v>26.066524999999999</v>
      </c>
      <c r="AF8111">
        <v>-2.2172273402306102</v>
      </c>
      <c r="AG8111">
        <v>-1.1216390065539901</v>
      </c>
      <c r="AH8111">
        <v>25.9249526536479</v>
      </c>
      <c r="AI8111">
        <v>92.468348227986894</v>
      </c>
      <c r="AJ8111">
        <v>94.888316813691404</v>
      </c>
      <c r="AK8111">
        <v>26.0437582010196</v>
      </c>
      <c r="AL8111">
        <v>97.003305224081799</v>
      </c>
      <c r="AM8111">
        <v>93.762085933360297</v>
      </c>
      <c r="AN8111">
        <v>0.99999999791174798</v>
      </c>
    </row>
    <row r="8112" spans="1:40" x14ac:dyDescent="0.25">
      <c r="A8112" t="str">
        <f>"20190303155007176"</f>
        <v>20190303155007176</v>
      </c>
      <c r="B8112" t="str">
        <f>"1551599407169197"</f>
        <v>1551599407169197</v>
      </c>
      <c r="C8112" t="s">
        <v>40</v>
      </c>
      <c r="D8112">
        <v>5.1901039999999998</v>
      </c>
      <c r="E8112">
        <v>0.49252430000000003</v>
      </c>
      <c r="F8112" t="s">
        <v>41</v>
      </c>
      <c r="G8112">
        <v>-188.15809999999999</v>
      </c>
      <c r="H8112" s="1">
        <v>-8.9456919999999995E-7</v>
      </c>
      <c r="I8112">
        <v>-9.1632940000000005</v>
      </c>
      <c r="J8112">
        <v>-187.87649999999999</v>
      </c>
      <c r="K8112">
        <v>1.1215980000000001</v>
      </c>
      <c r="L8112">
        <v>-34.691499999999998</v>
      </c>
      <c r="M8112">
        <v>7.2684879999999993E-2</v>
      </c>
      <c r="N8112">
        <v>-5.223826E-3</v>
      </c>
      <c r="O8112">
        <v>0.99734129999999999</v>
      </c>
      <c r="P8112">
        <v>7.8518819999999993E-3</v>
      </c>
      <c r="Q8112">
        <v>-0.12733</v>
      </c>
      <c r="R8112">
        <v>0.99182930000000002</v>
      </c>
      <c r="S8112">
        <v>-3.1311039999999998E-2</v>
      </c>
      <c r="T8112">
        <v>-0.13103809999999999</v>
      </c>
      <c r="U8112">
        <v>3.0080870000000002</v>
      </c>
      <c r="V8112">
        <v>-6.3669429999999999E-2</v>
      </c>
      <c r="W8112">
        <v>-0.1224671</v>
      </c>
      <c r="X8112">
        <v>0.99042819999999998</v>
      </c>
      <c r="Y8112">
        <v>-8.3044519999999997E-2</v>
      </c>
      <c r="Z8112">
        <v>-3.8050229999999997E-2</v>
      </c>
      <c r="AA8112">
        <v>0.99581920000000002</v>
      </c>
      <c r="AB8112">
        <v>24</v>
      </c>
      <c r="AC8112">
        <v>-0.28159999999999702</v>
      </c>
      <c r="AD8112">
        <v>-1.1215988945691999</v>
      </c>
      <c r="AE8112">
        <v>25.528206000000001</v>
      </c>
      <c r="AF8112">
        <v>-2.1322794665963798</v>
      </c>
      <c r="AG8112">
        <v>-1.1215988945691999</v>
      </c>
      <c r="AH8112">
        <v>25.3912048097529</v>
      </c>
      <c r="AI8112">
        <v>92.520406896996306</v>
      </c>
      <c r="AJ8112">
        <v>94.800269842371605</v>
      </c>
      <c r="AK8112">
        <v>25.505252037468399</v>
      </c>
      <c r="AL8112">
        <v>97.034507389423197</v>
      </c>
      <c r="AM8112">
        <v>93.678183744239305</v>
      </c>
      <c r="AN8112">
        <v>1.0000000031270799</v>
      </c>
    </row>
    <row r="8113" spans="1:40" x14ac:dyDescent="0.25">
      <c r="A8113" t="str">
        <f>"20190303155007198"</f>
        <v>20190303155007198</v>
      </c>
      <c r="B8113" t="str">
        <f>"1551599407188718"</f>
        <v>1551599407188718</v>
      </c>
      <c r="C8113" t="s">
        <v>40</v>
      </c>
      <c r="D8113">
        <v>5.2054519999999904</v>
      </c>
      <c r="E8113">
        <v>0.49286200000000002</v>
      </c>
      <c r="F8113" t="s">
        <v>41</v>
      </c>
      <c r="G8113">
        <v>-188.13820000000001</v>
      </c>
      <c r="H8113" s="1">
        <v>-7.7091399999999996E-7</v>
      </c>
      <c r="I8113">
        <v>-9.5422670000000007</v>
      </c>
      <c r="J8113">
        <v>-187.8622</v>
      </c>
      <c r="K8113">
        <v>1.1215619999999999</v>
      </c>
      <c r="L8113">
        <v>-34.45026</v>
      </c>
      <c r="M8113">
        <v>6.9688680000000003E-2</v>
      </c>
      <c r="N8113">
        <v>-5.2281330000000003E-3</v>
      </c>
      <c r="O8113">
        <v>0.99755510000000003</v>
      </c>
      <c r="P8113">
        <v>7.0008819999999999E-3</v>
      </c>
      <c r="Q8113">
        <v>-0.1268029</v>
      </c>
      <c r="R8113">
        <v>0.99190319999999998</v>
      </c>
      <c r="S8113">
        <v>-3.1295780000000002E-2</v>
      </c>
      <c r="T8113">
        <v>-0.13413889999999901</v>
      </c>
      <c r="U8113">
        <v>3.0077509999999998</v>
      </c>
      <c r="V8113">
        <v>-6.1563350000000003E-2</v>
      </c>
      <c r="W8113">
        <v>-0.121919</v>
      </c>
      <c r="X8113">
        <v>0.99062899999999998</v>
      </c>
      <c r="Y8113">
        <v>-8.0046530000000005E-2</v>
      </c>
      <c r="Z8113">
        <v>-3.9092889999999998E-2</v>
      </c>
      <c r="AA8113">
        <v>0.99602429999999997</v>
      </c>
      <c r="AB8113">
        <v>24</v>
      </c>
      <c r="AC8113">
        <v>-0.27600000000001002</v>
      </c>
      <c r="AD8113">
        <v>-1.1215627709139999</v>
      </c>
      <c r="AE8113">
        <v>24.907992999999902</v>
      </c>
      <c r="AF8113">
        <v>-2.0070888682299</v>
      </c>
      <c r="AG8113">
        <v>-1.1215627709139999</v>
      </c>
      <c r="AH8113">
        <v>24.777968222784001</v>
      </c>
      <c r="AI8113">
        <v>92.583247158020001</v>
      </c>
      <c r="AJ8113">
        <v>94.6310168527652</v>
      </c>
      <c r="AK8113">
        <v>24.884413154088399</v>
      </c>
      <c r="AL8113">
        <v>97.002866121513307</v>
      </c>
      <c r="AM8113">
        <v>93.556114022933798</v>
      </c>
      <c r="AN8113">
        <v>1.0000000521326</v>
      </c>
    </row>
    <row r="8114" spans="1:40" x14ac:dyDescent="0.25">
      <c r="A8114" t="str">
        <f>"20190303155007221"</f>
        <v>20190303155007221</v>
      </c>
      <c r="B8114" t="str">
        <f>"1551599407218973"</f>
        <v>1551599407218973</v>
      </c>
      <c r="C8114" t="s">
        <v>40</v>
      </c>
      <c r="D8114">
        <v>5.2024569999999999</v>
      </c>
      <c r="E8114">
        <v>0.49330459999999898</v>
      </c>
      <c r="F8114" t="s">
        <v>41</v>
      </c>
      <c r="G8114">
        <v>-188.12289999999999</v>
      </c>
      <c r="H8114" s="1">
        <v>-8.6133799999999895E-7</v>
      </c>
      <c r="I8114">
        <v>-9.2885120000000008</v>
      </c>
      <c r="J8114">
        <v>-187.8476</v>
      </c>
      <c r="K8114">
        <v>1.121518</v>
      </c>
      <c r="L8114">
        <v>-34.193269999999998</v>
      </c>
      <c r="M8114">
        <v>6.6588910000000001E-2</v>
      </c>
      <c r="N8114">
        <v>-5.2358459999999997E-3</v>
      </c>
      <c r="O8114">
        <v>0.99776670000000001</v>
      </c>
      <c r="P8114">
        <v>6.3857230000000003E-3</v>
      </c>
      <c r="Q8114">
        <v>-0.12673029999999999</v>
      </c>
      <c r="R8114">
        <v>0.99191669999999998</v>
      </c>
      <c r="S8114">
        <v>-3.1158450000000001E-2</v>
      </c>
      <c r="T8114">
        <v>-0.13405980000000001</v>
      </c>
      <c r="U8114">
        <v>3.007568</v>
      </c>
      <c r="V8114">
        <v>-5.9115130000000002E-2</v>
      </c>
      <c r="W8114">
        <v>-0.1218201</v>
      </c>
      <c r="X8114">
        <v>0.99079019999999995</v>
      </c>
      <c r="Y8114">
        <v>-7.6904650000000005E-2</v>
      </c>
      <c r="Z8114">
        <v>-3.908151E-2</v>
      </c>
      <c r="AA8114">
        <v>0.99627220000000005</v>
      </c>
      <c r="AB8114">
        <v>25</v>
      </c>
      <c r="AC8114">
        <v>-0.275299999999987</v>
      </c>
      <c r="AD8114">
        <v>-1.1215188613380001</v>
      </c>
      <c r="AE8114">
        <v>24.904757999999902</v>
      </c>
      <c r="AF8114">
        <v>-1.92918074475163</v>
      </c>
      <c r="AG8114">
        <v>-1.1215188613380001</v>
      </c>
      <c r="AH8114">
        <v>24.780900795619502</v>
      </c>
      <c r="AI8114">
        <v>92.583482954581498</v>
      </c>
      <c r="AJ8114">
        <v>94.451469517317705</v>
      </c>
      <c r="AK8114">
        <v>24.881169328321299</v>
      </c>
      <c r="AL8114">
        <v>96.997157536355203</v>
      </c>
      <c r="AM8114">
        <v>93.414483580790503</v>
      </c>
      <c r="AN8114">
        <v>0.99999997788748296</v>
      </c>
    </row>
    <row r="8115" spans="1:40" x14ac:dyDescent="0.25">
      <c r="A8115" t="str">
        <f>"20190303155007243"</f>
        <v>20190303155007243</v>
      </c>
      <c r="B8115" t="str">
        <f>"1551599407238493"</f>
        <v>1551599407238493</v>
      </c>
      <c r="C8115" t="s">
        <v>40</v>
      </c>
      <c r="D8115">
        <v>5.0461790000000004</v>
      </c>
      <c r="E8115">
        <v>0.49348690000000001</v>
      </c>
      <c r="F8115" t="s">
        <v>41</v>
      </c>
      <c r="G8115">
        <v>-188.09950000000001</v>
      </c>
      <c r="H8115" s="1">
        <v>-1.121301E-6</v>
      </c>
      <c r="I8115">
        <v>-8.5428409999999992</v>
      </c>
      <c r="J8115">
        <v>-187.83510000000001</v>
      </c>
      <c r="K8115">
        <v>1.1214759999999999</v>
      </c>
      <c r="L8115">
        <v>-33.961359999999999</v>
      </c>
      <c r="M8115">
        <v>6.3882540000000002E-2</v>
      </c>
      <c r="N8115">
        <v>-5.2453999999999903E-3</v>
      </c>
      <c r="O8115">
        <v>0.99794360000000004</v>
      </c>
      <c r="P8115">
        <v>6.5125019999999999E-3</v>
      </c>
      <c r="Q8115">
        <v>-0.12707950000000001</v>
      </c>
      <c r="R8115">
        <v>0.99187119999999995</v>
      </c>
      <c r="S8115">
        <v>-2.9541020000000001E-2</v>
      </c>
      <c r="T8115">
        <v>-0.1315125</v>
      </c>
      <c r="U8115">
        <v>3.0078429999999998</v>
      </c>
      <c r="V8115">
        <v>-5.6311060000000003E-2</v>
      </c>
      <c r="W8115">
        <v>-0.1221404</v>
      </c>
      <c r="X8115">
        <v>0.99091410000000002</v>
      </c>
      <c r="Y8115">
        <v>-7.3664370000000007E-2</v>
      </c>
      <c r="Z8115">
        <v>-3.824462E-2</v>
      </c>
      <c r="AA8115">
        <v>0.99654949999999998</v>
      </c>
      <c r="AB8115">
        <v>25</v>
      </c>
      <c r="AC8115">
        <v>-0.26439999999999397</v>
      </c>
      <c r="AD8115">
        <v>-1.121477121301</v>
      </c>
      <c r="AE8115">
        <v>25.418519</v>
      </c>
      <c r="AF8115">
        <v>-1.88401483035905</v>
      </c>
      <c r="AG8115">
        <v>-1.121477121301</v>
      </c>
      <c r="AH8115">
        <v>25.300462580735299</v>
      </c>
      <c r="AI8115">
        <v>92.531052629018504</v>
      </c>
      <c r="AJ8115">
        <v>94.258706106796097</v>
      </c>
      <c r="AK8115">
        <v>25.395287547373901</v>
      </c>
      <c r="AL8115">
        <v>97.015647410580399</v>
      </c>
      <c r="AM8115">
        <v>93.252471376042607</v>
      </c>
      <c r="AN8115">
        <v>0.999999983184646</v>
      </c>
    </row>
    <row r="8116" spans="1:40" x14ac:dyDescent="0.25">
      <c r="A8116" t="str">
        <f>"20190303155007264"</f>
        <v>20190303155007264</v>
      </c>
      <c r="B8116" t="str">
        <f>"1551599407258989"</f>
        <v>1551599407258989</v>
      </c>
      <c r="C8116" t="s">
        <v>40</v>
      </c>
      <c r="D8116">
        <v>5.1779890000000002</v>
      </c>
      <c r="E8116">
        <v>0.4937956</v>
      </c>
      <c r="F8116" t="s">
        <v>41</v>
      </c>
      <c r="G8116">
        <v>-188.07060000000001</v>
      </c>
      <c r="H8116" s="1">
        <v>-1.134088E-6</v>
      </c>
      <c r="I8116">
        <v>-8.5279050000000005</v>
      </c>
      <c r="J8116">
        <v>-187.8227</v>
      </c>
      <c r="K8116">
        <v>1.121435</v>
      </c>
      <c r="L8116">
        <v>-33.72092</v>
      </c>
      <c r="M8116">
        <v>6.1151709999999998E-2</v>
      </c>
      <c r="N8116">
        <v>-5.2576899999999998E-3</v>
      </c>
      <c r="O8116">
        <v>0.99811459999999996</v>
      </c>
      <c r="P8116">
        <v>6.4198190000000002E-3</v>
      </c>
      <c r="Q8116">
        <v>-0.12693869999999999</v>
      </c>
      <c r="R8116">
        <v>0.99188980000000004</v>
      </c>
      <c r="S8116">
        <v>-2.784729E-2</v>
      </c>
      <c r="T8116">
        <v>-0.13262679999999999</v>
      </c>
      <c r="U8116">
        <v>3.0077820000000002</v>
      </c>
      <c r="V8116">
        <v>-5.3706150000000001E-2</v>
      </c>
      <c r="W8116">
        <v>-0.12196989999999901</v>
      </c>
      <c r="X8116">
        <v>0.99107970000000001</v>
      </c>
      <c r="Y8116">
        <v>-7.0374489999999998E-2</v>
      </c>
      <c r="Z8116">
        <v>-3.8617859999999997E-2</v>
      </c>
      <c r="AA8116">
        <v>0.99677280000000001</v>
      </c>
      <c r="AB8116">
        <v>25</v>
      </c>
      <c r="AC8116">
        <v>-0.247900000000015</v>
      </c>
      <c r="AD8116">
        <v>-1.1214361340879999</v>
      </c>
      <c r="AE8116">
        <v>25.193014999999999</v>
      </c>
      <c r="AF8116">
        <v>-1.7845176970260499</v>
      </c>
      <c r="AG8116">
        <v>-1.1214361340879999</v>
      </c>
      <c r="AH8116">
        <v>25.0810122041919</v>
      </c>
      <c r="AI8116">
        <v>92.553688422750895</v>
      </c>
      <c r="AJ8116">
        <v>94.069744880382402</v>
      </c>
      <c r="AK8116">
        <v>25.1694119041479</v>
      </c>
      <c r="AL8116">
        <v>97.005804846837407</v>
      </c>
      <c r="AM8116">
        <v>93.101797984131096</v>
      </c>
      <c r="AN8116">
        <v>0.99999998940296098</v>
      </c>
    </row>
    <row r="8117" spans="1:40" x14ac:dyDescent="0.25">
      <c r="A8117" t="str">
        <f>"20190303155007289"</f>
        <v>20190303155007289</v>
      </c>
      <c r="B8117" t="str">
        <f>"1551599407278509"</f>
        <v>1551599407278509</v>
      </c>
      <c r="C8117" t="s">
        <v>40</v>
      </c>
      <c r="D8117">
        <v>5.2457129999999896</v>
      </c>
      <c r="E8117">
        <v>0.49401519999999999</v>
      </c>
      <c r="F8117" t="s">
        <v>41</v>
      </c>
      <c r="G8117">
        <v>-188.0412</v>
      </c>
      <c r="H8117" s="1">
        <v>-1.251592E-6</v>
      </c>
      <c r="I8117">
        <v>-8.2596360000000004</v>
      </c>
      <c r="J8117">
        <v>-187.80950000000001</v>
      </c>
      <c r="K8117">
        <v>1.1213919999999999</v>
      </c>
      <c r="L8117">
        <v>-33.45288</v>
      </c>
      <c r="M8117">
        <v>5.8201120000000002E-2</v>
      </c>
      <c r="N8117">
        <v>-5.2738319999999896E-3</v>
      </c>
      <c r="O8117">
        <v>0.99829100000000004</v>
      </c>
      <c r="P8117">
        <v>6.0726419999999996E-3</v>
      </c>
      <c r="Q8117">
        <v>-0.1276525</v>
      </c>
      <c r="R8117">
        <v>0.99180040000000003</v>
      </c>
      <c r="S8117">
        <v>-2.581787E-2</v>
      </c>
      <c r="T8117">
        <v>-0.1324757</v>
      </c>
      <c r="U8117">
        <v>3.0077509999999998</v>
      </c>
      <c r="V8117">
        <v>-5.1128420000000001E-2</v>
      </c>
      <c r="W8117">
        <v>-0.1226511</v>
      </c>
      <c r="X8117">
        <v>0.99113200000000001</v>
      </c>
      <c r="Y8117">
        <v>-6.6753549999999995E-2</v>
      </c>
      <c r="Z8117">
        <v>-3.8569720000000002E-2</v>
      </c>
      <c r="AA8117">
        <v>0.99702380000000002</v>
      </c>
      <c r="AB8117">
        <v>25</v>
      </c>
      <c r="AC8117">
        <v>-0.231699999999989</v>
      </c>
      <c r="AD8117">
        <v>-1.121393251592</v>
      </c>
      <c r="AE8117">
        <v>25.193244</v>
      </c>
      <c r="AF8117">
        <v>-1.6942460553833301</v>
      </c>
      <c r="AG8117">
        <v>-1.121393251592</v>
      </c>
      <c r="AH8117">
        <v>25.0873507371399</v>
      </c>
      <c r="AI8117">
        <v>92.553582915043407</v>
      </c>
      <c r="AJ8117">
        <v>93.863539602705998</v>
      </c>
      <c r="AK8117">
        <v>25.169488662449499</v>
      </c>
      <c r="AL8117">
        <v>97.045129741945004</v>
      </c>
      <c r="AM8117">
        <v>92.953035825340905</v>
      </c>
      <c r="AN8117">
        <v>1.0000000245434499</v>
      </c>
    </row>
    <row r="8118" spans="1:40" x14ac:dyDescent="0.25">
      <c r="A8118" t="str">
        <f>"20190303155007309"</f>
        <v>20190303155007309</v>
      </c>
      <c r="B8118" t="str">
        <f>"1551599407299005"</f>
        <v>1551599407299005</v>
      </c>
      <c r="C8118" t="s">
        <v>40</v>
      </c>
      <c r="D8118">
        <v>5.2214260000000001</v>
      </c>
      <c r="E8118">
        <v>0.4939463</v>
      </c>
      <c r="F8118" t="s">
        <v>41</v>
      </c>
      <c r="G8118">
        <v>-188.01650000000001</v>
      </c>
      <c r="H8118" s="1">
        <v>-1.1458990000000001E-6</v>
      </c>
      <c r="I8118">
        <v>-8.5354980000000005</v>
      </c>
      <c r="J8118">
        <v>-187.79830000000001</v>
      </c>
      <c r="K8118">
        <v>1.121351</v>
      </c>
      <c r="L8118">
        <v>-33.212949999999999</v>
      </c>
      <c r="M8118">
        <v>5.564471E-2</v>
      </c>
      <c r="N8118">
        <v>-5.2899089999999998E-3</v>
      </c>
      <c r="O8118">
        <v>0.99843660000000001</v>
      </c>
      <c r="P8118">
        <v>6.0008400000000003E-3</v>
      </c>
      <c r="Q8118">
        <v>-0.1285811</v>
      </c>
      <c r="R8118">
        <v>0.99168089999999998</v>
      </c>
      <c r="S8118">
        <v>-2.497864E-2</v>
      </c>
      <c r="T8118">
        <v>-0.13535259999999999</v>
      </c>
      <c r="U8118">
        <v>3.0075379999999998</v>
      </c>
      <c r="V8118">
        <v>-4.8663820000000003E-2</v>
      </c>
      <c r="W8118">
        <v>-0.1235488</v>
      </c>
      <c r="X8118">
        <v>0.99114449999999998</v>
      </c>
      <c r="Y8118">
        <v>-6.3920699999999997E-2</v>
      </c>
      <c r="Z8118">
        <v>-3.9521340000000002E-2</v>
      </c>
      <c r="AA8118">
        <v>0.99717210000000001</v>
      </c>
      <c r="AB8118">
        <v>25</v>
      </c>
      <c r="AC8118">
        <v>-0.21819999999999501</v>
      </c>
      <c r="AD8118">
        <v>-1.1213521458989999</v>
      </c>
      <c r="AE8118">
        <v>24.677451999999999</v>
      </c>
      <c r="AF8118">
        <v>-1.5877726011554301</v>
      </c>
      <c r="AG8118">
        <v>-1.1213521458989999</v>
      </c>
      <c r="AH8118">
        <v>24.5763327711825</v>
      </c>
      <c r="AI8118">
        <v>92.607013316839797</v>
      </c>
      <c r="AJ8118">
        <v>93.696500017260604</v>
      </c>
      <c r="AK8118">
        <v>24.653084694374201</v>
      </c>
      <c r="AL8118">
        <v>97.096958913698899</v>
      </c>
      <c r="AM8118">
        <v>92.810886031826399</v>
      </c>
      <c r="AN8118">
        <v>0.999999946619339</v>
      </c>
    </row>
    <row r="8119" spans="1:40" x14ac:dyDescent="0.25">
      <c r="A8119" t="str">
        <f>"20190303155007335"</f>
        <v>20190303155007335</v>
      </c>
      <c r="B8119" t="str">
        <f>"1551599407329260"</f>
        <v>1551599407329260</v>
      </c>
      <c r="C8119" t="s">
        <v>40</v>
      </c>
      <c r="D8119">
        <v>5.2412710000000002</v>
      </c>
      <c r="E8119">
        <v>0.49346469999999998</v>
      </c>
      <c r="F8119" t="s">
        <v>41</v>
      </c>
      <c r="G8119">
        <v>-188.0043</v>
      </c>
      <c r="H8119" s="1">
        <v>-9.5535759999999992E-7</v>
      </c>
      <c r="I8119">
        <v>-9.1049109999999995</v>
      </c>
      <c r="J8119">
        <v>-187.786</v>
      </c>
      <c r="K8119">
        <v>1.121299</v>
      </c>
      <c r="L8119">
        <v>-32.935639999999999</v>
      </c>
      <c r="M8119">
        <v>5.279408E-2</v>
      </c>
      <c r="N8119">
        <v>-5.3099549999999999E-3</v>
      </c>
      <c r="O8119">
        <v>0.99859129999999996</v>
      </c>
      <c r="P8119">
        <v>5.1192159999999898E-3</v>
      </c>
      <c r="Q8119">
        <v>-0.12917709999999999</v>
      </c>
      <c r="R8119">
        <v>0.9916083</v>
      </c>
      <c r="S8119">
        <v>-2.5695800000000001E-2</v>
      </c>
      <c r="T8119">
        <v>-0.13987449999999901</v>
      </c>
      <c r="U8119">
        <v>3.0071720000000002</v>
      </c>
      <c r="V8119">
        <v>-4.6723649999999999E-2</v>
      </c>
      <c r="W8119">
        <v>-0.1241114</v>
      </c>
      <c r="X8119">
        <v>0.99116760000000004</v>
      </c>
      <c r="Y8119">
        <v>-6.1309830000000003E-2</v>
      </c>
      <c r="Z8119">
        <v>-4.1015599999999999E-2</v>
      </c>
      <c r="AA8119">
        <v>0.99727569999999999</v>
      </c>
      <c r="AB8119">
        <v>25</v>
      </c>
      <c r="AC8119">
        <v>-0.218300000000027</v>
      </c>
      <c r="AD8119">
        <v>-1.1212999553576</v>
      </c>
      <c r="AE8119">
        <v>23.830729000000002</v>
      </c>
      <c r="AF8119">
        <v>-1.4728741036114299</v>
      </c>
      <c r="AG8119">
        <v>-1.1212999553576</v>
      </c>
      <c r="AH8119">
        <v>23.7334287427446</v>
      </c>
      <c r="AI8119">
        <v>92.6997755951176</v>
      </c>
      <c r="AJ8119">
        <v>93.551167568018897</v>
      </c>
      <c r="AK8119">
        <v>23.805510110096598</v>
      </c>
      <c r="AL8119">
        <v>97.129443336803106</v>
      </c>
      <c r="AM8119">
        <v>92.698925602614594</v>
      </c>
      <c r="AN8119">
        <v>0.99999997518452099</v>
      </c>
    </row>
    <row r="8120" spans="1:40" x14ac:dyDescent="0.25">
      <c r="A8120" t="str">
        <f>"20190303155007356"</f>
        <v>20190303155007356</v>
      </c>
      <c r="B8120" t="str">
        <f>"1551599407348784"</f>
        <v>1551599407348784</v>
      </c>
      <c r="C8120" t="s">
        <v>40</v>
      </c>
      <c r="D8120">
        <v>5.2374929999999997</v>
      </c>
      <c r="E8120">
        <v>0.49317909999999998</v>
      </c>
      <c r="F8120" t="s">
        <v>41</v>
      </c>
      <c r="G8120">
        <v>-188.03469999999999</v>
      </c>
      <c r="H8120" s="1">
        <v>-6.8834950000000003E-7</v>
      </c>
      <c r="I8120">
        <v>-9.8657880000000002</v>
      </c>
      <c r="J8120">
        <v>-187.77549999999999</v>
      </c>
      <c r="K8120">
        <v>1.121248</v>
      </c>
      <c r="L8120">
        <v>-32.685000000000002</v>
      </c>
      <c r="M8120">
        <v>5.0314579999999998E-2</v>
      </c>
      <c r="N8120">
        <v>-5.3293139999999999E-3</v>
      </c>
      <c r="O8120">
        <v>0.99871920000000003</v>
      </c>
      <c r="P8120">
        <v>4.2439309999999899E-3</v>
      </c>
      <c r="Q8120">
        <v>-0.1293088</v>
      </c>
      <c r="R8120">
        <v>0.99159529999999996</v>
      </c>
      <c r="S8120">
        <v>-3.2409670000000002E-2</v>
      </c>
      <c r="T8120">
        <v>-0.1461296</v>
      </c>
      <c r="U8120">
        <v>3.0065</v>
      </c>
      <c r="V8120">
        <v>-4.5151070000000001E-2</v>
      </c>
      <c r="W8120">
        <v>-0.1242118</v>
      </c>
      <c r="X8120">
        <v>0.99122790000000005</v>
      </c>
      <c r="Y8120">
        <v>-6.1059099999999998E-2</v>
      </c>
      <c r="Z8120">
        <v>-4.3083179999999999E-2</v>
      </c>
      <c r="AA8120">
        <v>0.99720390000000003</v>
      </c>
      <c r="AB8120">
        <v>25</v>
      </c>
      <c r="AC8120">
        <v>-0.25919999999999199</v>
      </c>
      <c r="AD8120">
        <v>-1.1212486883495001</v>
      </c>
      <c r="AE8120">
        <v>22.819212</v>
      </c>
      <c r="AF8120">
        <v>-1.4036386098314599</v>
      </c>
      <c r="AG8120">
        <v>-1.1212486883495001</v>
      </c>
      <c r="AH8120">
        <v>22.7224139994299</v>
      </c>
      <c r="AI8120">
        <v>92.819631004463602</v>
      </c>
      <c r="AJ8120">
        <v>93.534857957997204</v>
      </c>
      <c r="AK8120">
        <v>22.7933213448506</v>
      </c>
      <c r="AL8120">
        <v>97.135240729852697</v>
      </c>
      <c r="AM8120">
        <v>92.608056913331595</v>
      </c>
      <c r="AN8120">
        <v>0.99999997005989705</v>
      </c>
    </row>
    <row r="8121" spans="1:40" x14ac:dyDescent="0.25">
      <c r="A8121" t="str">
        <f>"20190303155007377"</f>
        <v>20190303155007377</v>
      </c>
      <c r="B8121" t="str">
        <f>"1551599407368300"</f>
        <v>1551599407368300</v>
      </c>
      <c r="C8121" t="s">
        <v>40</v>
      </c>
      <c r="D8121">
        <v>5.2805929999999996</v>
      </c>
      <c r="E8121">
        <v>0.4930562</v>
      </c>
      <c r="F8121" t="s">
        <v>41</v>
      </c>
      <c r="G8121">
        <v>-188.05799999999999</v>
      </c>
      <c r="H8121" s="1">
        <v>-6.6740130000000001E-7</v>
      </c>
      <c r="I8121">
        <v>-9.9091419999999992</v>
      </c>
      <c r="J8121">
        <v>-187.76589999999999</v>
      </c>
      <c r="K8121">
        <v>1.1212</v>
      </c>
      <c r="L8121">
        <v>-32.446559999999998</v>
      </c>
      <c r="M8121">
        <v>4.8043330000000002E-2</v>
      </c>
      <c r="N8121">
        <v>-5.3486380000000002E-3</v>
      </c>
      <c r="O8121">
        <v>0.99883089999999997</v>
      </c>
      <c r="P8121">
        <v>3.2826180000000002E-3</v>
      </c>
      <c r="Q8121">
        <v>-0.1299593</v>
      </c>
      <c r="R8121">
        <v>0.99151389999999995</v>
      </c>
      <c r="S8121">
        <v>-3.7292480000000003E-2</v>
      </c>
      <c r="T8121">
        <v>-0.14799860000000001</v>
      </c>
      <c r="U8121">
        <v>3.0062869999999999</v>
      </c>
      <c r="V8121">
        <v>-4.3866229999999999E-2</v>
      </c>
      <c r="W8121">
        <v>-0.1248331</v>
      </c>
      <c r="X8121">
        <v>0.99120759999999997</v>
      </c>
      <c r="Y8121">
        <v>-6.0409150000000002E-2</v>
      </c>
      <c r="Z8121">
        <v>-4.3693759999999998E-2</v>
      </c>
      <c r="AA8121">
        <v>0.99721689999999996</v>
      </c>
      <c r="AB8121">
        <v>25</v>
      </c>
      <c r="AC8121">
        <v>-0.29210000000000402</v>
      </c>
      <c r="AD8121">
        <v>-1.1212006674013</v>
      </c>
      <c r="AE8121">
        <v>22.537417999999999</v>
      </c>
      <c r="AF8121">
        <v>-1.37115790727639</v>
      </c>
      <c r="AG8121">
        <v>-1.1212006674013</v>
      </c>
      <c r="AH8121">
        <v>22.4418265280184</v>
      </c>
      <c r="AI8121">
        <v>92.854822230866205</v>
      </c>
      <c r="AJ8121">
        <v>93.496329610928001</v>
      </c>
      <c r="AK8121">
        <v>22.511613510740101</v>
      </c>
      <c r="AL8121">
        <v>97.171117423294803</v>
      </c>
      <c r="AM8121">
        <v>92.533990800315394</v>
      </c>
      <c r="AN8121">
        <v>1.0000000276438901</v>
      </c>
    </row>
    <row r="8122" spans="1:40" x14ac:dyDescent="0.25">
      <c r="A8122" t="str">
        <f>"20190303155007399"</f>
        <v>20190303155007399</v>
      </c>
      <c r="B8122" t="str">
        <f>"1551599407388797"</f>
        <v>1551599407388797</v>
      </c>
      <c r="C8122" t="s">
        <v>40</v>
      </c>
      <c r="D8122">
        <v>5.3435249999999996</v>
      </c>
      <c r="E8122">
        <v>0.49444270000000001</v>
      </c>
      <c r="F8122" t="s">
        <v>41</v>
      </c>
      <c r="G8122">
        <v>-188.0701</v>
      </c>
      <c r="H8122" s="1">
        <v>-5.9061690000000001E-7</v>
      </c>
      <c r="I8122">
        <v>-10.125299999999999</v>
      </c>
      <c r="J8122">
        <v>-187.75620000000001</v>
      </c>
      <c r="K8122">
        <v>1.121143</v>
      </c>
      <c r="L8122">
        <v>-32.193179999999998</v>
      </c>
      <c r="M8122">
        <v>4.5718920000000003E-2</v>
      </c>
      <c r="N8122">
        <v>-5.3727549999999999E-3</v>
      </c>
      <c r="O8122">
        <v>0.99893989999999999</v>
      </c>
      <c r="P8122">
        <v>2.5565190000000002E-3</v>
      </c>
      <c r="Q8122">
        <v>-0.13094810000000001</v>
      </c>
      <c r="R8122">
        <v>0.99138590000000004</v>
      </c>
      <c r="S8122">
        <v>-4.0969850000000002E-2</v>
      </c>
      <c r="T8122">
        <v>-0.1509924</v>
      </c>
      <c r="U8122">
        <v>3.0060120000000001</v>
      </c>
      <c r="V8122">
        <v>-4.2292799999999998E-2</v>
      </c>
      <c r="W8122">
        <v>-0.1257868</v>
      </c>
      <c r="X8122">
        <v>0.99115540000000002</v>
      </c>
      <c r="Y8122">
        <v>-5.9306600000000001E-2</v>
      </c>
      <c r="Z8122">
        <v>-4.4673369999999997E-2</v>
      </c>
      <c r="AA8122">
        <v>0.99723969999999995</v>
      </c>
      <c r="AB8122">
        <v>25</v>
      </c>
      <c r="AC8122">
        <v>-0.31389999999998902</v>
      </c>
      <c r="AD8122">
        <v>-1.1211435906168901</v>
      </c>
      <c r="AE8122">
        <v>22.067879999999999</v>
      </c>
      <c r="AF8122">
        <v>-1.31910193930842</v>
      </c>
      <c r="AG8122">
        <v>-1.1211435906168901</v>
      </c>
      <c r="AH8122">
        <v>21.9737480347451</v>
      </c>
      <c r="AI8122">
        <v>92.915570323642697</v>
      </c>
      <c r="AJ8122">
        <v>93.435389429588298</v>
      </c>
      <c r="AK8122">
        <v>22.0418373910056</v>
      </c>
      <c r="AL8122">
        <v>97.226194649451898</v>
      </c>
      <c r="AM8122">
        <v>92.443340238789403</v>
      </c>
      <c r="AN8122">
        <v>1.0000000134676199</v>
      </c>
    </row>
    <row r="8123" spans="1:40" x14ac:dyDescent="0.25">
      <c r="A8123" t="str">
        <f>"20190303155007421"</f>
        <v>20190303155007421</v>
      </c>
      <c r="B8123" t="str">
        <f>"1551599407419053"</f>
        <v>1551599407419053</v>
      </c>
      <c r="C8123" t="s">
        <v>40</v>
      </c>
      <c r="D8123">
        <v>5.359197</v>
      </c>
      <c r="E8123">
        <v>0.49566890000000002</v>
      </c>
      <c r="F8123" t="s">
        <v>41</v>
      </c>
      <c r="G8123">
        <v>-187.98990000000001</v>
      </c>
      <c r="H8123" s="1">
        <v>-5.8233730000000001E-7</v>
      </c>
      <c r="I8123">
        <v>-10.21231</v>
      </c>
      <c r="J8123">
        <v>-187.74700000000001</v>
      </c>
      <c r="K8123">
        <v>1.1210899999999999</v>
      </c>
      <c r="L8123">
        <v>-31.940159999999999</v>
      </c>
      <c r="M8123">
        <v>4.3489430000000003E-2</v>
      </c>
      <c r="N8123">
        <v>-5.4017869999999999E-3</v>
      </c>
      <c r="O8123">
        <v>0.99903929999999996</v>
      </c>
      <c r="P8123">
        <v>1.122704E-3</v>
      </c>
      <c r="Q8123">
        <v>-0.13205639999999999</v>
      </c>
      <c r="R8123">
        <v>0.99124159999999994</v>
      </c>
      <c r="S8123">
        <v>-3.1967160000000001E-2</v>
      </c>
      <c r="T8123">
        <v>-0.1533167</v>
      </c>
      <c r="U8123">
        <v>3.00589</v>
      </c>
      <c r="V8123">
        <v>-4.1519529999999999E-2</v>
      </c>
      <c r="W8123">
        <v>-0.1268589</v>
      </c>
      <c r="X8123">
        <v>0.99105140000000003</v>
      </c>
      <c r="Y8123">
        <v>-5.4092510000000003E-2</v>
      </c>
      <c r="Z8123">
        <v>-4.543146E-2</v>
      </c>
      <c r="AA8123">
        <v>0.99750190000000005</v>
      </c>
      <c r="AB8123">
        <v>26</v>
      </c>
      <c r="AC8123">
        <v>-0.24289999999999101</v>
      </c>
      <c r="AD8123">
        <v>-1.1210905823373001</v>
      </c>
      <c r="AE8123">
        <v>21.72785</v>
      </c>
      <c r="AF8123">
        <v>-1.18446282982658</v>
      </c>
      <c r="AG8123">
        <v>-1.1210905823373001</v>
      </c>
      <c r="AH8123">
        <v>21.6391272228927</v>
      </c>
      <c r="AI8123">
        <v>92.961331366979607</v>
      </c>
      <c r="AJ8123">
        <v>93.133077615405696</v>
      </c>
      <c r="AK8123">
        <v>21.700498226021999</v>
      </c>
      <c r="AL8123">
        <v>97.288117867351701</v>
      </c>
      <c r="AM8123">
        <v>92.398970965499501</v>
      </c>
      <c r="AN8123">
        <v>0.99999996466129404</v>
      </c>
    </row>
    <row r="8124" spans="1:40" x14ac:dyDescent="0.25">
      <c r="A8124" t="str">
        <f>"20190303155007444"</f>
        <v>20190303155007444</v>
      </c>
      <c r="B8124" t="str">
        <f>"1551599407438573"</f>
        <v>1551599407438573</v>
      </c>
      <c r="C8124" t="s">
        <v>40</v>
      </c>
      <c r="D8124">
        <v>5.3450089999999904</v>
      </c>
      <c r="E8124">
        <v>0.49644379999999999</v>
      </c>
      <c r="F8124" t="s">
        <v>41</v>
      </c>
      <c r="G8124">
        <v>-187.93389999999999</v>
      </c>
      <c r="H8124" s="1">
        <v>-4.4667739999999999E-6</v>
      </c>
      <c r="I8124">
        <v>-10.80936</v>
      </c>
      <c r="J8124">
        <v>-187.73779999999999</v>
      </c>
      <c r="K8124">
        <v>1.1210389999999999</v>
      </c>
      <c r="L8124">
        <v>-31.672090000000001</v>
      </c>
      <c r="M8124">
        <v>4.1222710000000003E-2</v>
      </c>
      <c r="N8124">
        <v>-5.4362500000000001E-3</v>
      </c>
      <c r="O8124">
        <v>0.9991352</v>
      </c>
      <c r="P8124">
        <v>-6.000294E-4</v>
      </c>
      <c r="Q8124">
        <v>-0.13291829999999999</v>
      </c>
      <c r="R8124">
        <v>0.99112679999999997</v>
      </c>
      <c r="S8124">
        <v>-2.658081E-2</v>
      </c>
      <c r="T8124">
        <v>-0.15944520000000001</v>
      </c>
      <c r="U8124">
        <v>3.00528</v>
      </c>
      <c r="V8124">
        <v>-4.1000059999999998E-2</v>
      </c>
      <c r="W8124">
        <v>-0.12768070000000001</v>
      </c>
      <c r="X8124">
        <v>0.9909675</v>
      </c>
      <c r="Y8124">
        <v>-5.0040580000000001E-2</v>
      </c>
      <c r="Z8124">
        <v>-4.7448369999999997E-2</v>
      </c>
      <c r="AA8124">
        <v>0.99761949999999999</v>
      </c>
      <c r="AB8124">
        <v>26</v>
      </c>
      <c r="AC8124">
        <v>-0.196100000000001</v>
      </c>
      <c r="AD8124">
        <v>-1.1210434667739999</v>
      </c>
      <c r="AE8124">
        <v>20.862729999999999</v>
      </c>
      <c r="AF8124">
        <v>-1.0529243632227401</v>
      </c>
      <c r="AG8124">
        <v>-1.1210434667739999</v>
      </c>
      <c r="AH8124">
        <v>20.776926503648902</v>
      </c>
      <c r="AI8124">
        <v>93.084515613015697</v>
      </c>
      <c r="AJ8124">
        <v>92.901129594176695</v>
      </c>
      <c r="AK8124">
        <v>20.8337721766149</v>
      </c>
      <c r="AL8124">
        <v>97.335589491455707</v>
      </c>
      <c r="AM8124">
        <v>92.369191086306898</v>
      </c>
      <c r="AN8124">
        <v>0.99999997606437097</v>
      </c>
    </row>
    <row r="8125" spans="1:40" x14ac:dyDescent="0.25">
      <c r="A8125" t="str">
        <f>"20190303155007465"</f>
        <v>20190303155007465</v>
      </c>
      <c r="B8125" t="str">
        <f>"1551599407459070"</f>
        <v>1551599407459070</v>
      </c>
      <c r="C8125" t="s">
        <v>40</v>
      </c>
      <c r="D8125">
        <v>5.3656790000000001</v>
      </c>
      <c r="E8125">
        <v>0.49722709999999998</v>
      </c>
      <c r="F8125" t="s">
        <v>41</v>
      </c>
      <c r="G8125">
        <v>-187.91419999999999</v>
      </c>
      <c r="H8125" s="1">
        <v>-4.4119229999999996E-6</v>
      </c>
      <c r="I8125">
        <v>-10.94534</v>
      </c>
      <c r="J8125">
        <v>-187.72980000000001</v>
      </c>
      <c r="K8125">
        <v>1.1210089999999999</v>
      </c>
      <c r="L8125">
        <v>-31.423159999999999</v>
      </c>
      <c r="M8125">
        <v>3.917996E-2</v>
      </c>
      <c r="N8125">
        <v>-5.4699249999999996E-3</v>
      </c>
      <c r="O8125">
        <v>0.99921720000000003</v>
      </c>
      <c r="P8125">
        <v>-1.8930710000000001E-3</v>
      </c>
      <c r="Q8125">
        <v>-0.1337479</v>
      </c>
      <c r="R8125">
        <v>0.99101360000000005</v>
      </c>
      <c r="S8125">
        <v>-2.5573729999999999E-2</v>
      </c>
      <c r="T8125">
        <v>-0.16253280000000001</v>
      </c>
      <c r="U8125">
        <v>3.0050349999999999</v>
      </c>
      <c r="V8125">
        <v>-4.027058E-2</v>
      </c>
      <c r="W8125">
        <v>-0.12847149999999999</v>
      </c>
      <c r="X8125">
        <v>0.99089519999999998</v>
      </c>
      <c r="Y8125">
        <v>-4.7664779999999997E-2</v>
      </c>
      <c r="Z8125">
        <v>-4.845037E-2</v>
      </c>
      <c r="AA8125">
        <v>0.99768760000000001</v>
      </c>
      <c r="AB8125">
        <v>26</v>
      </c>
      <c r="AC8125">
        <v>-0.18439999999998199</v>
      </c>
      <c r="AD8125">
        <v>-1.121013411923</v>
      </c>
      <c r="AE8125">
        <v>20.477820000000001</v>
      </c>
      <c r="AF8125">
        <v>-0.98364306048461403</v>
      </c>
      <c r="AG8125">
        <v>-1.121013411923</v>
      </c>
      <c r="AH8125">
        <v>20.393760602243798</v>
      </c>
      <c r="AI8125">
        <v>93.1426478364166</v>
      </c>
      <c r="AJ8125">
        <v>92.761381488145304</v>
      </c>
      <c r="AK8125">
        <v>20.4482198795343</v>
      </c>
      <c r="AL8125">
        <v>97.381275281201596</v>
      </c>
      <c r="AM8125">
        <v>92.327254406243298</v>
      </c>
      <c r="AN8125">
        <v>0.99999997165441201</v>
      </c>
    </row>
    <row r="8126" spans="1:40" x14ac:dyDescent="0.25">
      <c r="A8126" t="str">
        <f>"20190303155007488"</f>
        <v>20190303155007488</v>
      </c>
      <c r="B8126" t="str">
        <f>"1551599407478589"</f>
        <v>1551599407478589</v>
      </c>
      <c r="C8126" t="s">
        <v>40</v>
      </c>
      <c r="D8126">
        <v>5.367432</v>
      </c>
      <c r="E8126">
        <v>0.49790010000000001</v>
      </c>
      <c r="F8126" t="s">
        <v>41</v>
      </c>
      <c r="G8126">
        <v>-187.88759999999999</v>
      </c>
      <c r="H8126" s="1">
        <v>-4.3731090000000001E-6</v>
      </c>
      <c r="I8126">
        <v>-11.046849999999999</v>
      </c>
      <c r="J8126">
        <v>-187.72190000000001</v>
      </c>
      <c r="K8126">
        <v>1.120987</v>
      </c>
      <c r="L8126">
        <v>-31.1676</v>
      </c>
      <c r="M8126">
        <v>3.7139789999999999E-2</v>
      </c>
      <c r="N8126">
        <v>-5.5051459999999998E-3</v>
      </c>
      <c r="O8126">
        <v>0.99929489999999999</v>
      </c>
      <c r="P8126">
        <v>-2.387068E-3</v>
      </c>
      <c r="Q8126">
        <v>-0.1339776</v>
      </c>
      <c r="R8126">
        <v>0.99098149999999996</v>
      </c>
      <c r="S8126">
        <v>-2.3269649999999999E-2</v>
      </c>
      <c r="T8126">
        <v>-0.1653136</v>
      </c>
      <c r="U8126">
        <v>3.0048520000000001</v>
      </c>
      <c r="V8126">
        <v>-3.874768E-2</v>
      </c>
      <c r="W8126">
        <v>-0.12865850000000001</v>
      </c>
      <c r="X8126">
        <v>0.99093169999999997</v>
      </c>
      <c r="Y8126">
        <v>-4.486076E-2</v>
      </c>
      <c r="Z8126">
        <v>-4.934873E-2</v>
      </c>
      <c r="AA8126">
        <v>0.99777360000000004</v>
      </c>
      <c r="AB8126">
        <v>26</v>
      </c>
      <c r="AC8126">
        <v>-0.165699999999986</v>
      </c>
      <c r="AD8126">
        <v>-1.120991373109</v>
      </c>
      <c r="AE8126">
        <v>20.120750000000001</v>
      </c>
      <c r="AF8126">
        <v>-0.91005286574807998</v>
      </c>
      <c r="AG8126">
        <v>-1.120991373109</v>
      </c>
      <c r="AH8126">
        <v>20.038519156905299</v>
      </c>
      <c r="AI8126">
        <v>93.198603210644706</v>
      </c>
      <c r="AJ8126">
        <v>92.600311121454794</v>
      </c>
      <c r="AK8126">
        <v>20.090472067094399</v>
      </c>
      <c r="AL8126">
        <v>97.392078944754999</v>
      </c>
      <c r="AM8126">
        <v>92.239254305780506</v>
      </c>
      <c r="AN8126">
        <v>1.0000000131962601</v>
      </c>
    </row>
    <row r="8127" spans="1:40" x14ac:dyDescent="0.25">
      <c r="A8127" t="str">
        <f>"20190303155007510"</f>
        <v>20190303155007510</v>
      </c>
      <c r="B8127" t="str">
        <f>"1551599407499085"</f>
        <v>1551599407499085</v>
      </c>
      <c r="C8127" t="s">
        <v>40</v>
      </c>
      <c r="D8127">
        <v>5.3995410000000001</v>
      </c>
      <c r="E8127">
        <v>0.49853789999999998</v>
      </c>
      <c r="F8127" t="s">
        <v>41</v>
      </c>
      <c r="G8127">
        <v>-187.85210000000001</v>
      </c>
      <c r="H8127" s="1">
        <v>-4.4098840000000003E-6</v>
      </c>
      <c r="I8127">
        <v>-10.97578</v>
      </c>
      <c r="J8127">
        <v>-187.71449999999999</v>
      </c>
      <c r="K8127">
        <v>1.1209709999999999</v>
      </c>
      <c r="L8127">
        <v>-30.911899999999999</v>
      </c>
      <c r="M8127">
        <v>3.515012E-2</v>
      </c>
      <c r="N8127">
        <v>-5.5404460000000001E-3</v>
      </c>
      <c r="O8127">
        <v>0.99936670000000005</v>
      </c>
      <c r="P8127">
        <v>-2.6267230000000001E-3</v>
      </c>
      <c r="Q8127">
        <v>-0.13385749999999999</v>
      </c>
      <c r="R8127">
        <v>0.99099709999999996</v>
      </c>
      <c r="S8127">
        <v>-1.9378659999999999E-2</v>
      </c>
      <c r="T8127">
        <v>-0.16681219999999999</v>
      </c>
      <c r="U8127">
        <v>3.0047000000000001</v>
      </c>
      <c r="V8127">
        <v>-3.7023260000000002E-2</v>
      </c>
      <c r="W8127">
        <v>-0.12849530000000001</v>
      </c>
      <c r="X8127">
        <v>0.99101879999999998</v>
      </c>
      <c r="Y8127">
        <v>-4.1580190000000003E-2</v>
      </c>
      <c r="Z8127">
        <v>-4.9822419999999999E-2</v>
      </c>
      <c r="AA8127">
        <v>0.99789220000000001</v>
      </c>
      <c r="AB8127">
        <v>26</v>
      </c>
      <c r="AC8127">
        <v>-0.13760000000002001</v>
      </c>
      <c r="AD8127">
        <v>-1.1209754098839999</v>
      </c>
      <c r="AE8127">
        <v>19.936119999999999</v>
      </c>
      <c r="AF8127">
        <v>-0.835640862127355</v>
      </c>
      <c r="AG8127">
        <v>-1.1209754098839999</v>
      </c>
      <c r="AH8127">
        <v>19.8561883298743</v>
      </c>
      <c r="AI8127">
        <v>93.228335383479703</v>
      </c>
      <c r="AJ8127">
        <v>92.409851151492305</v>
      </c>
      <c r="AK8127">
        <v>19.905353463615199</v>
      </c>
      <c r="AL8127">
        <v>97.382650011154496</v>
      </c>
      <c r="AM8127">
        <v>92.139505823439706</v>
      </c>
      <c r="AN8127">
        <v>1.00000001292827</v>
      </c>
    </row>
    <row r="8128" spans="1:40" x14ac:dyDescent="0.25">
      <c r="A8128" t="str">
        <f>"20190303155007535"</f>
        <v>20190303155007535</v>
      </c>
      <c r="B8128" t="str">
        <f>"1551599407529341"</f>
        <v>1551599407529341</v>
      </c>
      <c r="C8128" t="s">
        <v>40</v>
      </c>
      <c r="D8128">
        <v>5.3654120000000001</v>
      </c>
      <c r="E8128">
        <v>0.4993108</v>
      </c>
      <c r="F8128" t="s">
        <v>41</v>
      </c>
      <c r="G8128">
        <v>-187.8158</v>
      </c>
      <c r="H8128" s="1">
        <v>-4.5576409999999999E-6</v>
      </c>
      <c r="I8128">
        <v>-10.646380000000001</v>
      </c>
      <c r="J8128">
        <v>-187.70670000000001</v>
      </c>
      <c r="K8128">
        <v>1.1209549999999999</v>
      </c>
      <c r="L8128">
        <v>-30.621980000000001</v>
      </c>
      <c r="M8128">
        <v>3.2948140000000001E-2</v>
      </c>
      <c r="N8128">
        <v>-5.580181E-3</v>
      </c>
      <c r="O8128">
        <v>0.99944149999999998</v>
      </c>
      <c r="P8128">
        <v>-3.4185280000000001E-3</v>
      </c>
      <c r="Q8128">
        <v>-0.13387399999999999</v>
      </c>
      <c r="R8128">
        <v>0.99099250000000005</v>
      </c>
      <c r="S8128">
        <v>-1.5014649999999999E-2</v>
      </c>
      <c r="T8128">
        <v>-0.16620660000000001</v>
      </c>
      <c r="U8128">
        <v>3.0047609999999998</v>
      </c>
      <c r="V8128">
        <v>-3.5638309999999999E-2</v>
      </c>
      <c r="W8128">
        <v>-0.12846579999999999</v>
      </c>
      <c r="X8128">
        <v>0.99107339999999999</v>
      </c>
      <c r="Y8128">
        <v>-3.79298E-2</v>
      </c>
      <c r="Z8128">
        <v>-4.9591839999999998E-2</v>
      </c>
      <c r="AA8128">
        <v>0.99804910000000002</v>
      </c>
      <c r="AB8128">
        <v>26</v>
      </c>
      <c r="AC8128">
        <v>-0.109099999999983</v>
      </c>
      <c r="AD8128">
        <v>-1.1209595576410001</v>
      </c>
      <c r="AE8128">
        <v>19.9756</v>
      </c>
      <c r="AF8128">
        <v>-0.76480153623311997</v>
      </c>
      <c r="AG8128">
        <v>-1.1209595576410001</v>
      </c>
      <c r="AH8128">
        <v>19.898499867072001</v>
      </c>
      <c r="AI8128">
        <v>93.221911362475197</v>
      </c>
      <c r="AJ8128">
        <v>92.201087609590402</v>
      </c>
      <c r="AK8128">
        <v>19.9447178139866</v>
      </c>
      <c r="AL8128">
        <v>97.3809456257775</v>
      </c>
      <c r="AM8128">
        <v>92.059429014947199</v>
      </c>
      <c r="AN8128">
        <v>1.0000000175484201</v>
      </c>
    </row>
    <row r="8129" spans="1:40" x14ac:dyDescent="0.25">
      <c r="A8129" t="str">
        <f>"20190303155007557"</f>
        <v>20190303155007557</v>
      </c>
      <c r="B8129" t="str">
        <f>"1551599407548861"</f>
        <v>1551599407548861</v>
      </c>
      <c r="C8129" t="s">
        <v>40</v>
      </c>
      <c r="D8129">
        <v>5.3653649999999997</v>
      </c>
      <c r="E8129">
        <v>0.49981330000000002</v>
      </c>
      <c r="F8129" t="s">
        <v>41</v>
      </c>
      <c r="G8129">
        <v>-187.78219999999999</v>
      </c>
      <c r="H8129" s="1">
        <v>-6.6869509999999996E-7</v>
      </c>
      <c r="I8129">
        <v>-10.120979999999999</v>
      </c>
      <c r="J8129">
        <v>-187.70009999999999</v>
      </c>
      <c r="K8129">
        <v>1.1209439999999999</v>
      </c>
      <c r="L8129">
        <v>-30.356780000000001</v>
      </c>
      <c r="M8129">
        <v>3.0974890000000001E-2</v>
      </c>
      <c r="N8129">
        <v>-5.6160400000000001E-3</v>
      </c>
      <c r="O8129">
        <v>0.99950439999999996</v>
      </c>
      <c r="P8129">
        <v>-3.9096469999999996E-3</v>
      </c>
      <c r="Q8129">
        <v>-0.13341549999999999</v>
      </c>
      <c r="R8129">
        <v>0.99105240000000006</v>
      </c>
      <c r="S8129">
        <v>-1.106262E-2</v>
      </c>
      <c r="T8129">
        <v>-0.1643096</v>
      </c>
      <c r="U8129">
        <v>3.0050349999999999</v>
      </c>
      <c r="V8129">
        <v>-3.4181639999999999E-2</v>
      </c>
      <c r="W8129">
        <v>-0.127965</v>
      </c>
      <c r="X8129">
        <v>0.99118949999999995</v>
      </c>
      <c r="Y8129">
        <v>-3.4644439999999999E-2</v>
      </c>
      <c r="Z8129">
        <v>-4.8931849999999999E-2</v>
      </c>
      <c r="AA8129">
        <v>0.99820109999999995</v>
      </c>
      <c r="AB8129">
        <v>26</v>
      </c>
      <c r="AC8129">
        <v>-8.2099999999996898E-2</v>
      </c>
      <c r="AD8129">
        <v>-1.1209446686950999</v>
      </c>
      <c r="AE8129">
        <v>20.235800000000001</v>
      </c>
      <c r="AF8129">
        <v>-0.70670366703976395</v>
      </c>
      <c r="AG8129">
        <v>-1.1209446686950999</v>
      </c>
      <c r="AH8129">
        <v>20.161681419218901</v>
      </c>
      <c r="AI8129">
        <v>93.180292695516599</v>
      </c>
      <c r="AJ8129">
        <v>92.007499572165202</v>
      </c>
      <c r="AK8129">
        <v>20.205181134386301</v>
      </c>
      <c r="AL8129">
        <v>97.352013043000298</v>
      </c>
      <c r="AM8129">
        <v>91.975089421380005</v>
      </c>
      <c r="AN8129">
        <v>1.0000000253241601</v>
      </c>
    </row>
    <row r="8130" spans="1:40" x14ac:dyDescent="0.25">
      <c r="A8130" t="str">
        <f>"20190303155007577"</f>
        <v>20190303155007577</v>
      </c>
      <c r="B8130" t="str">
        <f>"1551599407568380"</f>
        <v>1551599407568380</v>
      </c>
      <c r="C8130" t="s">
        <v>40</v>
      </c>
      <c r="D8130">
        <v>5.3802529999999997</v>
      </c>
      <c r="E8130">
        <v>0.50002209999999903</v>
      </c>
      <c r="F8130" t="s">
        <v>41</v>
      </c>
      <c r="G8130">
        <v>-187.7594</v>
      </c>
      <c r="H8130" s="1">
        <v>-8.5273979999999996E-7</v>
      </c>
      <c r="I8130">
        <v>-9.5979609999999997</v>
      </c>
      <c r="J8130">
        <v>-187.69450000000001</v>
      </c>
      <c r="K8130">
        <v>1.1209359999999999</v>
      </c>
      <c r="L8130">
        <v>-30.119140000000002</v>
      </c>
      <c r="M8130">
        <v>2.923369E-2</v>
      </c>
      <c r="N8130">
        <v>-5.6477169999999896E-3</v>
      </c>
      <c r="O8130">
        <v>0.99955669999999996</v>
      </c>
      <c r="P8130">
        <v>-3.9448590000000002E-3</v>
      </c>
      <c r="Q8130">
        <v>-0.13361529999999999</v>
      </c>
      <c r="R8130">
        <v>0.99102539999999995</v>
      </c>
      <c r="S8130">
        <v>-8.5906980000000008E-3</v>
      </c>
      <c r="T8130">
        <v>-0.16227730000000001</v>
      </c>
      <c r="U8130">
        <v>3.0052189999999999</v>
      </c>
      <c r="V8130">
        <v>-3.2493599999999997E-2</v>
      </c>
      <c r="W8130">
        <v>-0.12812680000000001</v>
      </c>
      <c r="X8130">
        <v>0.99122540000000003</v>
      </c>
      <c r="Y8130">
        <v>-3.2082649999999997E-2</v>
      </c>
      <c r="Z8130">
        <v>-4.8230830000000002E-2</v>
      </c>
      <c r="AA8130">
        <v>0.99832080000000001</v>
      </c>
      <c r="AB8130">
        <v>26</v>
      </c>
      <c r="AC8130">
        <v>-6.4899999999994407E-2</v>
      </c>
      <c r="AD8130">
        <v>-1.1209368527398</v>
      </c>
      <c r="AE8130">
        <v>20.521179</v>
      </c>
      <c r="AF8130">
        <v>-0.66281395400384902</v>
      </c>
      <c r="AG8130">
        <v>-1.1209368527398</v>
      </c>
      <c r="AH8130">
        <v>20.449495856732799</v>
      </c>
      <c r="AI8130">
        <v>93.135878438163004</v>
      </c>
      <c r="AJ8130">
        <v>91.856434606053497</v>
      </c>
      <c r="AK8130">
        <v>20.490917562666301</v>
      </c>
      <c r="AL8130">
        <v>97.361360246046004</v>
      </c>
      <c r="AM8130">
        <v>91.877554476774193</v>
      </c>
      <c r="AN8130">
        <v>1.0000000522621699</v>
      </c>
    </row>
    <row r="8131" spans="1:40" x14ac:dyDescent="0.25">
      <c r="A8131" t="str">
        <f>"20190303155007599"</f>
        <v>20190303155007599</v>
      </c>
      <c r="B8131" t="str">
        <f>"1551599407588877"</f>
        <v>1551599407588877</v>
      </c>
      <c r="C8131" t="s">
        <v>40</v>
      </c>
      <c r="D8131">
        <v>5.3823819999999998</v>
      </c>
      <c r="E8131">
        <v>0.5004016</v>
      </c>
      <c r="F8131" t="s">
        <v>41</v>
      </c>
      <c r="G8131">
        <v>-187.7422</v>
      </c>
      <c r="H8131" s="1">
        <v>-9.5239739999999997E-7</v>
      </c>
      <c r="I8131">
        <v>-9.3185269999999996</v>
      </c>
      <c r="J8131">
        <v>-187.68870000000001</v>
      </c>
      <c r="K8131">
        <v>1.1209290000000001</v>
      </c>
      <c r="L8131">
        <v>-29.85013</v>
      </c>
      <c r="M8131">
        <v>2.728467E-2</v>
      </c>
      <c r="N8131">
        <v>-5.6831119999999997E-3</v>
      </c>
      <c r="O8131">
        <v>0.99961160000000004</v>
      </c>
      <c r="P8131">
        <v>-4.4563429999999998E-3</v>
      </c>
      <c r="Q8131">
        <v>-0.1338898</v>
      </c>
      <c r="R8131">
        <v>0.99098620000000004</v>
      </c>
      <c r="S8131">
        <v>-6.8969729999999998E-3</v>
      </c>
      <c r="T8131">
        <v>-0.16195499999999999</v>
      </c>
      <c r="U8131">
        <v>3.0053100000000001</v>
      </c>
      <c r="V8131">
        <v>-3.107418E-2</v>
      </c>
      <c r="W8131">
        <v>-0.1283609</v>
      </c>
      <c r="X8131">
        <v>0.99124060000000003</v>
      </c>
      <c r="Y8131">
        <v>-2.9571440000000001E-2</v>
      </c>
      <c r="Z8131">
        <v>-4.8093730000000001E-2</v>
      </c>
      <c r="AA8131">
        <v>0.99840499999999999</v>
      </c>
      <c r="AB8131">
        <v>27</v>
      </c>
      <c r="AC8131">
        <v>-5.34999999999854E-2</v>
      </c>
      <c r="AD8131">
        <v>-1.1209299523973999</v>
      </c>
      <c r="AE8131">
        <v>20.531603</v>
      </c>
      <c r="AF8131">
        <v>-0.61186337299098204</v>
      </c>
      <c r="AG8131">
        <v>-1.1209299523973999</v>
      </c>
      <c r="AH8131">
        <v>20.4615109451249</v>
      </c>
      <c r="AI8131">
        <v>93.134265748750096</v>
      </c>
      <c r="AJ8131">
        <v>91.712813157151899</v>
      </c>
      <c r="AK8131">
        <v>20.5013241255987</v>
      </c>
      <c r="AL8131">
        <v>97.374885057922</v>
      </c>
      <c r="AM8131">
        <v>91.795564544350398</v>
      </c>
      <c r="AN8131">
        <v>1.00000002619992</v>
      </c>
    </row>
    <row r="8132" spans="1:40" x14ac:dyDescent="0.25">
      <c r="A8132" t="str">
        <f>"20190303155007622"</f>
        <v>20190303155007622</v>
      </c>
      <c r="B8132" t="str">
        <f>"1551599407619133"</f>
        <v>1551599407619133</v>
      </c>
      <c r="C8132" t="s">
        <v>40</v>
      </c>
      <c r="D8132">
        <v>5.3836120000000003</v>
      </c>
      <c r="E8132">
        <v>0.50081989999999998</v>
      </c>
      <c r="F8132" t="s">
        <v>41</v>
      </c>
      <c r="G8132">
        <v>-187.72550000000001</v>
      </c>
      <c r="H8132" s="1">
        <v>-1.080467E-6</v>
      </c>
      <c r="I8132">
        <v>-8.9552659999999999</v>
      </c>
      <c r="J8132">
        <v>-187.68350000000001</v>
      </c>
      <c r="K8132">
        <v>1.1209359999999999</v>
      </c>
      <c r="L8132">
        <v>-29.586849999999998</v>
      </c>
      <c r="M8132">
        <v>2.5393800000000001E-2</v>
      </c>
      <c r="N8132">
        <v>-5.7172999999999998E-3</v>
      </c>
      <c r="O8132">
        <v>0.99966109999999997</v>
      </c>
      <c r="P8132">
        <v>-5.0212010000000003E-3</v>
      </c>
      <c r="Q8132">
        <v>-0.13353509999999999</v>
      </c>
      <c r="R8132">
        <v>0.99103129999999995</v>
      </c>
      <c r="S8132">
        <v>-5.2947999999999997E-3</v>
      </c>
      <c r="T8132">
        <v>-0.1612316</v>
      </c>
      <c r="U8132">
        <v>3.0054630000000002</v>
      </c>
      <c r="V8132">
        <v>-2.9767829999999999E-2</v>
      </c>
      <c r="W8132">
        <v>-0.12796749999999901</v>
      </c>
      <c r="X8132">
        <v>0.99133150000000003</v>
      </c>
      <c r="Y8132">
        <v>-2.7148700000000001E-2</v>
      </c>
      <c r="Z8132">
        <v>-4.7823259999999999E-2</v>
      </c>
      <c r="AA8132">
        <v>0.99848680000000001</v>
      </c>
      <c r="AB8132">
        <v>27</v>
      </c>
      <c r="AC8132">
        <v>-4.2000000000001501E-2</v>
      </c>
      <c r="AD8132">
        <v>-1.120937080467</v>
      </c>
      <c r="AE8132">
        <v>20.631584</v>
      </c>
      <c r="AF8132">
        <v>-0.56424380845673705</v>
      </c>
      <c r="AG8132">
        <v>-1.120937080467</v>
      </c>
      <c r="AH8132">
        <v>20.563164513127099</v>
      </c>
      <c r="AI8132">
        <v>93.119041718244304</v>
      </c>
      <c r="AJ8132">
        <v>91.571775527492704</v>
      </c>
      <c r="AK8132">
        <v>20.601422421951298</v>
      </c>
      <c r="AL8132">
        <v>97.352157850564197</v>
      </c>
      <c r="AM8132">
        <v>91.719968214621403</v>
      </c>
      <c r="AN8132">
        <v>0.99999997382570405</v>
      </c>
    </row>
    <row r="8133" spans="1:40" x14ac:dyDescent="0.25">
      <c r="A8133" t="str">
        <f>"20190303155007644"</f>
        <v>20190303155007644</v>
      </c>
      <c r="B8133" t="str">
        <f>"1551599407638654"</f>
        <v>1551599407638654</v>
      </c>
      <c r="C8133" t="s">
        <v>40</v>
      </c>
      <c r="D8133">
        <v>5.4731759999999996</v>
      </c>
      <c r="E8133">
        <v>0.50111289999999997</v>
      </c>
      <c r="F8133" t="s">
        <v>41</v>
      </c>
      <c r="G8133">
        <v>-187.7089</v>
      </c>
      <c r="H8133" s="1">
        <v>-1.193158E-6</v>
      </c>
      <c r="I8133">
        <v>-8.6370889999999996</v>
      </c>
      <c r="J8133">
        <v>-187.6788</v>
      </c>
      <c r="K8133">
        <v>1.1209450000000001</v>
      </c>
      <c r="L8133">
        <v>-29.32339</v>
      </c>
      <c r="M8133">
        <v>2.3511899999999999E-2</v>
      </c>
      <c r="N8133">
        <v>-5.751099E-3</v>
      </c>
      <c r="O8133">
        <v>0.99970700000000001</v>
      </c>
      <c r="P8133">
        <v>-5.3729519999999899E-3</v>
      </c>
      <c r="Q8133">
        <v>-0.13282859999999999</v>
      </c>
      <c r="R8133">
        <v>0.99112449999999996</v>
      </c>
      <c r="S8133">
        <v>-3.646851E-3</v>
      </c>
      <c r="T8133">
        <v>-0.16081010000000001</v>
      </c>
      <c r="U8133">
        <v>3.0054630000000002</v>
      </c>
      <c r="V8133">
        <v>-2.8257879999999999E-2</v>
      </c>
      <c r="W8133">
        <v>-0.127222</v>
      </c>
      <c r="X8133">
        <v>0.99147160000000001</v>
      </c>
      <c r="Y8133">
        <v>-2.4719749999999999E-2</v>
      </c>
      <c r="Z8133">
        <v>-4.7655339999999997E-2</v>
      </c>
      <c r="AA8133">
        <v>0.9985579</v>
      </c>
      <c r="AB8133">
        <v>27</v>
      </c>
      <c r="AC8133">
        <v>-3.0100000000004401E-2</v>
      </c>
      <c r="AD8133">
        <v>-1.120946193158</v>
      </c>
      <c r="AE8133">
        <v>20.686301</v>
      </c>
      <c r="AF8133">
        <v>-0.51496187881318201</v>
      </c>
      <c r="AG8133">
        <v>-1.120946193158</v>
      </c>
      <c r="AH8133">
        <v>20.6193296217434</v>
      </c>
      <c r="AI8133">
        <v>93.110788092781604</v>
      </c>
      <c r="AJ8133">
        <v>91.430648358851101</v>
      </c>
      <c r="AK8133">
        <v>20.656196652692199</v>
      </c>
      <c r="AL8133">
        <v>97.309092093254904</v>
      </c>
      <c r="AM8133">
        <v>91.632542058315707</v>
      </c>
      <c r="AN8133">
        <v>0.99999993933632503</v>
      </c>
    </row>
    <row r="8134" spans="1:40" x14ac:dyDescent="0.25">
      <c r="A8134" t="str">
        <f>"20190303155007665"</f>
        <v>20190303155007665</v>
      </c>
      <c r="B8134" t="str">
        <f>"1551599407659150"</f>
        <v>1551599407659150</v>
      </c>
      <c r="C8134" t="s">
        <v>40</v>
      </c>
      <c r="D8134">
        <v>5.4506230000000002</v>
      </c>
      <c r="E8134">
        <v>0.50133669999999997</v>
      </c>
      <c r="F8134" t="s">
        <v>41</v>
      </c>
      <c r="G8134">
        <v>-187.69649999999999</v>
      </c>
      <c r="H8134" s="1">
        <v>-1.311705E-6</v>
      </c>
      <c r="I8134">
        <v>-8.2984200000000001</v>
      </c>
      <c r="J8134">
        <v>-187.67449999999999</v>
      </c>
      <c r="K8134">
        <v>1.1209629999999999</v>
      </c>
      <c r="L8134">
        <v>-29.05264</v>
      </c>
      <c r="M8134">
        <v>2.158291E-2</v>
      </c>
      <c r="N8134">
        <v>-5.7855270000000004E-3</v>
      </c>
      <c r="O8134">
        <v>0.99975029999999998</v>
      </c>
      <c r="P8134">
        <v>-5.5761419999999897E-3</v>
      </c>
      <c r="Q8134">
        <v>-0.13214219999999999</v>
      </c>
      <c r="R8134">
        <v>0.99121510000000002</v>
      </c>
      <c r="S8134">
        <v>-2.532959E-3</v>
      </c>
      <c r="T8134">
        <v>-0.1602314</v>
      </c>
      <c r="U8134">
        <v>3.0053709999999998</v>
      </c>
      <c r="V8134">
        <v>-2.6550790000000001E-2</v>
      </c>
      <c r="W8134">
        <v>-0.12649560000000001</v>
      </c>
      <c r="X8134">
        <v>0.99161180000000004</v>
      </c>
      <c r="Y8134">
        <v>-2.2421090000000001E-2</v>
      </c>
      <c r="Z8134">
        <v>-4.7435829999999998E-2</v>
      </c>
      <c r="AA8134">
        <v>0.99862260000000003</v>
      </c>
      <c r="AB8134">
        <v>27</v>
      </c>
      <c r="AC8134">
        <v>-2.1999999999991301E-2</v>
      </c>
      <c r="AD8134">
        <v>-1.1209643117050001</v>
      </c>
      <c r="AE8134">
        <v>20.75422</v>
      </c>
      <c r="AF8134">
        <v>-0.46857191347357702</v>
      </c>
      <c r="AG8134">
        <v>-1.1209643117050001</v>
      </c>
      <c r="AH8134">
        <v>20.688557334834002</v>
      </c>
      <c r="AI8134">
        <v>93.100620467067898</v>
      </c>
      <c r="AJ8134">
        <v>91.297461365502798</v>
      </c>
      <c r="AK8134">
        <v>20.724201437520499</v>
      </c>
      <c r="AL8134">
        <v>97.267132841607406</v>
      </c>
      <c r="AM8134">
        <v>91.533750231277295</v>
      </c>
      <c r="AN8134">
        <v>1.0000000215841101</v>
      </c>
    </row>
    <row r="8135" spans="1:40" x14ac:dyDescent="0.25">
      <c r="A8135" t="str">
        <f>"20190303155007690"</f>
        <v>20190303155007690</v>
      </c>
      <c r="B8135" t="str">
        <f>"1551599407678670"</f>
        <v>1551599407678670</v>
      </c>
      <c r="C8135" t="s">
        <v>40</v>
      </c>
      <c r="D8135">
        <v>5.4088659999999997</v>
      </c>
      <c r="E8135">
        <v>0.50153919999999996</v>
      </c>
      <c r="F8135" t="s">
        <v>41</v>
      </c>
      <c r="G8135">
        <v>-187.68260000000001</v>
      </c>
      <c r="H8135" s="1">
        <v>-1.4144839999999999E-6</v>
      </c>
      <c r="I8135">
        <v>-8.0282149999999994</v>
      </c>
      <c r="J8135">
        <v>-187.67060000000001</v>
      </c>
      <c r="K8135">
        <v>1.1209789999999999</v>
      </c>
      <c r="L8135">
        <v>-28.771329999999999</v>
      </c>
      <c r="M8135">
        <v>1.9582160000000001E-2</v>
      </c>
      <c r="N8135">
        <v>-5.8210340000000001E-3</v>
      </c>
      <c r="O8135">
        <v>0.99979130000000005</v>
      </c>
      <c r="P8135">
        <v>-6.0867129999999997E-3</v>
      </c>
      <c r="Q8135">
        <v>-0.13030729999999999</v>
      </c>
      <c r="R8135">
        <v>0.99145499999999998</v>
      </c>
      <c r="S8135">
        <v>-1.159668E-3</v>
      </c>
      <c r="T8135">
        <v>-0.16022990000000001</v>
      </c>
      <c r="U8135">
        <v>3.0052189999999999</v>
      </c>
      <c r="V8135">
        <v>-2.5085759999999999E-2</v>
      </c>
      <c r="W8135">
        <v>-0.12461989999999901</v>
      </c>
      <c r="X8135">
        <v>0.99188739999999997</v>
      </c>
      <c r="Y8135">
        <v>-1.9964429999999998E-2</v>
      </c>
      <c r="Z8135">
        <v>-4.7407289999999998E-2</v>
      </c>
      <c r="AA8135">
        <v>0.99867609999999996</v>
      </c>
      <c r="AB8135">
        <v>27</v>
      </c>
      <c r="AC8135">
        <v>-1.2000000000000399E-2</v>
      </c>
      <c r="AD8135">
        <v>-1.1209804144840001</v>
      </c>
      <c r="AE8135">
        <v>20.743115</v>
      </c>
      <c r="AF8135">
        <v>-0.41698181059876899</v>
      </c>
      <c r="AG8135">
        <v>-1.1209804144840001</v>
      </c>
      <c r="AH8135">
        <v>20.678512098804099</v>
      </c>
      <c r="AI8135">
        <v>93.102332779450904</v>
      </c>
      <c r="AJ8135">
        <v>91.155211761787498</v>
      </c>
      <c r="AK8135">
        <v>20.713071562190201</v>
      </c>
      <c r="AL8135">
        <v>97.1588059183198</v>
      </c>
      <c r="AM8135">
        <v>91.448755012195903</v>
      </c>
      <c r="AN8135">
        <v>1.0000000145547701</v>
      </c>
    </row>
    <row r="8136" spans="1:40" x14ac:dyDescent="0.25">
      <c r="A8136" t="str">
        <f>"20190303155007711"</f>
        <v>20190303155007711</v>
      </c>
      <c r="B8136" t="str">
        <f>"1551599407708925"</f>
        <v>1551599407708925</v>
      </c>
      <c r="C8136" t="s">
        <v>40</v>
      </c>
      <c r="D8136">
        <v>5.450526</v>
      </c>
      <c r="E8136">
        <v>0.50183370000000005</v>
      </c>
      <c r="F8136" t="s">
        <v>41</v>
      </c>
      <c r="G8136">
        <v>-187.68020000000001</v>
      </c>
      <c r="H8136" s="1">
        <v>-1.744439E-6</v>
      </c>
      <c r="I8136">
        <v>-7.2600959999999999</v>
      </c>
      <c r="J8136">
        <v>-187.66720000000001</v>
      </c>
      <c r="K8136">
        <v>1.1210009999999999</v>
      </c>
      <c r="L8136">
        <v>-28.494900000000001</v>
      </c>
      <c r="M8136">
        <v>1.7619699999999999E-2</v>
      </c>
      <c r="N8136">
        <v>-5.85544E-3</v>
      </c>
      <c r="O8136">
        <v>0.99982760000000004</v>
      </c>
      <c r="P8136">
        <v>-6.6478249999999996E-3</v>
      </c>
      <c r="Q8136">
        <v>-0.12928390000000001</v>
      </c>
      <c r="R8136">
        <v>0.9915853</v>
      </c>
      <c r="S8136">
        <v>-1.34277299999999E-3</v>
      </c>
      <c r="T8136">
        <v>-0.15660929999999901</v>
      </c>
      <c r="U8136">
        <v>3.00528</v>
      </c>
      <c r="V8136">
        <v>-2.3704530000000001E-2</v>
      </c>
      <c r="W8136">
        <v>-0.12355729999999999</v>
      </c>
      <c r="X8136">
        <v>0.99205429999999994</v>
      </c>
      <c r="Y8136">
        <v>-1.8063200000000001E-2</v>
      </c>
      <c r="Z8136">
        <v>-4.617599E-2</v>
      </c>
      <c r="AA8136">
        <v>0.99877000000000005</v>
      </c>
      <c r="AB8136">
        <v>27</v>
      </c>
      <c r="AC8136">
        <v>-1.30000000000052E-2</v>
      </c>
      <c r="AD8136">
        <v>-1.1210027444389901</v>
      </c>
      <c r="AE8136">
        <v>21.234804</v>
      </c>
      <c r="AF8136">
        <v>-0.38607932499174602</v>
      </c>
      <c r="AG8136">
        <v>-1.1210027444389901</v>
      </c>
      <c r="AH8136">
        <v>21.172273987431701</v>
      </c>
      <c r="AI8136">
        <v>93.030291503915095</v>
      </c>
      <c r="AJ8136">
        <v>91.044680628995806</v>
      </c>
      <c r="AK8136">
        <v>21.205444824315801</v>
      </c>
      <c r="AL8136">
        <v>97.097449145871394</v>
      </c>
      <c r="AM8136">
        <v>91.368787105992496</v>
      </c>
      <c r="AN8136">
        <v>1.0000000226371499</v>
      </c>
    </row>
    <row r="8137" spans="1:40" x14ac:dyDescent="0.25">
      <c r="A8137" t="str">
        <f>"20190303155007737"</f>
        <v>20190303155007737</v>
      </c>
      <c r="B8137" t="str">
        <f>"1551599407728445"</f>
        <v>1551599407728445</v>
      </c>
      <c r="C8137" t="s">
        <v>40</v>
      </c>
      <c r="D8137">
        <v>5.4852819999999998</v>
      </c>
      <c r="E8137">
        <v>0.50205149999999998</v>
      </c>
      <c r="F8137" t="s">
        <v>41</v>
      </c>
      <c r="G8137">
        <v>-187.67339999999999</v>
      </c>
      <c r="H8137" s="1">
        <v>-1.874607E-6</v>
      </c>
      <c r="I8137">
        <v>-6.9594880000000003</v>
      </c>
      <c r="J8137">
        <v>-187.66419999999999</v>
      </c>
      <c r="K8137">
        <v>1.1210169999999999</v>
      </c>
      <c r="L8137">
        <v>-28.197600000000001</v>
      </c>
      <c r="M8137">
        <v>1.5517929999999999E-2</v>
      </c>
      <c r="N8137">
        <v>-5.8918699999999996E-3</v>
      </c>
      <c r="O8137">
        <v>0.99986229999999998</v>
      </c>
      <c r="P8137">
        <v>-7.3397319999999999E-3</v>
      </c>
      <c r="Q8137">
        <v>-0.12879860000000001</v>
      </c>
      <c r="R8137">
        <v>0.99164359999999996</v>
      </c>
      <c r="S8137">
        <v>-8.5449219999999995E-4</v>
      </c>
      <c r="T8137">
        <v>-0.1564255</v>
      </c>
      <c r="U8137">
        <v>3.0050659999999998</v>
      </c>
      <c r="V8137">
        <v>-2.231286E-2</v>
      </c>
      <c r="W8137">
        <v>-0.1230311</v>
      </c>
      <c r="X8137">
        <v>0.99215200000000003</v>
      </c>
      <c r="Y8137">
        <v>-1.5799520000000001E-2</v>
      </c>
      <c r="Z8137">
        <v>-4.608611E-2</v>
      </c>
      <c r="AA8137">
        <v>0.99881249999999999</v>
      </c>
      <c r="AB8137">
        <v>27</v>
      </c>
      <c r="AC8137">
        <v>-9.1999999999927695E-3</v>
      </c>
      <c r="AD8137">
        <v>-1.121018874607</v>
      </c>
      <c r="AE8137">
        <v>21.238112000000001</v>
      </c>
      <c r="AF8137">
        <v>-0.33783488929710997</v>
      </c>
      <c r="AG8137">
        <v>-1.121018874607</v>
      </c>
      <c r="AH8137">
        <v>21.176412625940301</v>
      </c>
      <c r="AI8137">
        <v>93.029861815462297</v>
      </c>
      <c r="AJ8137">
        <v>90.913982541893603</v>
      </c>
      <c r="AK8137">
        <v>21.208754499822302</v>
      </c>
      <c r="AL8137">
        <v>97.067068089092103</v>
      </c>
      <c r="AM8137">
        <v>91.288328039238294</v>
      </c>
      <c r="AN8137">
        <v>1.00000005319629</v>
      </c>
    </row>
    <row r="8138" spans="1:40" x14ac:dyDescent="0.25">
      <c r="A8138" t="str">
        <f>"20190303155007758"</f>
        <v>20190303155007758</v>
      </c>
      <c r="B8138" t="str">
        <f>"1551599407748942"</f>
        <v>1551599407748942</v>
      </c>
      <c r="C8138" t="s">
        <v>40</v>
      </c>
      <c r="D8138">
        <v>5.4832349999999996</v>
      </c>
      <c r="E8138">
        <v>0.50223249999999997</v>
      </c>
      <c r="F8138" t="s">
        <v>41</v>
      </c>
      <c r="G8138">
        <v>-187.6746</v>
      </c>
      <c r="H8138" s="1">
        <v>-1.995494E-6</v>
      </c>
      <c r="I8138">
        <v>-6.6771869999999902</v>
      </c>
      <c r="J8138">
        <v>-187.66200000000001</v>
      </c>
      <c r="K8138">
        <v>1.121019</v>
      </c>
      <c r="L8138">
        <v>-27.9314</v>
      </c>
      <c r="M8138">
        <v>1.365428E-2</v>
      </c>
      <c r="N8138">
        <v>-5.9239459999999898E-3</v>
      </c>
      <c r="O8138">
        <v>0.99988929999999998</v>
      </c>
      <c r="P8138">
        <v>-8.0019310000000003E-3</v>
      </c>
      <c r="Q8138">
        <v>-0.1280664</v>
      </c>
      <c r="R8138">
        <v>0.99173330000000004</v>
      </c>
      <c r="S8138">
        <v>-1.449585E-3</v>
      </c>
      <c r="T8138">
        <v>-0.15653039999999999</v>
      </c>
      <c r="U8138">
        <v>3.0049440000000001</v>
      </c>
      <c r="V8138">
        <v>-2.1131170000000001E-2</v>
      </c>
      <c r="W8138">
        <v>-0.1222623</v>
      </c>
      <c r="X8138">
        <v>0.99227290000000001</v>
      </c>
      <c r="Y8138">
        <v>-1.4133929999999999E-2</v>
      </c>
      <c r="Z8138">
        <v>-4.609369E-2</v>
      </c>
      <c r="AA8138">
        <v>0.99883710000000003</v>
      </c>
      <c r="AB8138">
        <v>27</v>
      </c>
      <c r="AC8138">
        <v>-1.2599999999991901E-2</v>
      </c>
      <c r="AD8138">
        <v>-1.121020995494</v>
      </c>
      <c r="AE8138">
        <v>21.254213</v>
      </c>
      <c r="AF8138">
        <v>-0.30197481659511999</v>
      </c>
      <c r="AG8138">
        <v>-1.121020995494</v>
      </c>
      <c r="AH8138">
        <v>21.193102961765799</v>
      </c>
      <c r="AI8138">
        <v>93.0275636180817</v>
      </c>
      <c r="AJ8138">
        <v>90.816336889006493</v>
      </c>
      <c r="AK8138">
        <v>21.224879034053401</v>
      </c>
      <c r="AL8138">
        <v>97.022684019752106</v>
      </c>
      <c r="AM8138">
        <v>91.219970717975102</v>
      </c>
      <c r="AN8138">
        <v>1.00000005221063</v>
      </c>
    </row>
    <row r="8139" spans="1:40" x14ac:dyDescent="0.25">
      <c r="A8139" t="str">
        <f>"20190303155007780"</f>
        <v>20190303155007780</v>
      </c>
      <c r="B8139" t="str">
        <f>"1551599407768462"</f>
        <v>1551599407768462</v>
      </c>
      <c r="C8139" t="s">
        <v>40</v>
      </c>
      <c r="D8139">
        <v>5.4733109999999998</v>
      </c>
      <c r="E8139">
        <v>0.50238159999999998</v>
      </c>
      <c r="F8139" t="s">
        <v>41</v>
      </c>
      <c r="G8139">
        <v>-187.6789</v>
      </c>
      <c r="H8139" s="1">
        <v>-2.1251289999999999E-6</v>
      </c>
      <c r="I8139">
        <v>-6.3732249999999997</v>
      </c>
      <c r="J8139">
        <v>-187.66030000000001</v>
      </c>
      <c r="K8139">
        <v>1.121016</v>
      </c>
      <c r="L8139">
        <v>-27.665500000000002</v>
      </c>
      <c r="M8139">
        <v>1.1824990000000001E-2</v>
      </c>
      <c r="N8139">
        <v>-5.9580010000000001E-3</v>
      </c>
      <c r="O8139">
        <v>0.99991229999999998</v>
      </c>
      <c r="P8139">
        <v>-9.1673859999999996E-3</v>
      </c>
      <c r="Q8139">
        <v>-0.1277393</v>
      </c>
      <c r="R8139">
        <v>0.99176540000000002</v>
      </c>
      <c r="S8139">
        <v>-2.3498540000000002E-3</v>
      </c>
      <c r="T8139">
        <v>-0.15625020000000001</v>
      </c>
      <c r="U8139">
        <v>3.0048219999999999</v>
      </c>
      <c r="V8139">
        <v>-2.0487189999999999E-2</v>
      </c>
      <c r="W8139">
        <v>-0.1218984</v>
      </c>
      <c r="X8139">
        <v>0.99233110000000002</v>
      </c>
      <c r="Y8139">
        <v>-1.260416E-2</v>
      </c>
      <c r="Z8139">
        <v>-4.597126E-2</v>
      </c>
      <c r="AA8139">
        <v>0.99886319999999995</v>
      </c>
      <c r="AB8139">
        <v>27</v>
      </c>
      <c r="AC8139">
        <v>-1.8599999999992099E-2</v>
      </c>
      <c r="AD8139">
        <v>-1.1210181251289999</v>
      </c>
      <c r="AE8139">
        <v>21.292275</v>
      </c>
      <c r="AF8139">
        <v>-0.269636703898608</v>
      </c>
      <c r="AG8139">
        <v>-1.1210181251289999</v>
      </c>
      <c r="AH8139">
        <v>21.2317136657806</v>
      </c>
      <c r="AI8139">
        <v>93.022123314383094</v>
      </c>
      <c r="AJ8139">
        <v>90.727600932450301</v>
      </c>
      <c r="AK8139">
        <v>21.262997219927598</v>
      </c>
      <c r="AL8139">
        <v>97.001677477404499</v>
      </c>
      <c r="AM8139">
        <v>91.182733048504105</v>
      </c>
      <c r="AN8139">
        <v>0.999999978451932</v>
      </c>
    </row>
    <row r="8140" spans="1:40" x14ac:dyDescent="0.25">
      <c r="A8140" t="str">
        <f>"20190303155007803"</f>
        <v>20190303155007803</v>
      </c>
      <c r="B8140" t="str">
        <f>"1551599407798717"</f>
        <v>1551599407798717</v>
      </c>
      <c r="C8140" t="s">
        <v>40</v>
      </c>
      <c r="D8140">
        <v>5.3797779999999999</v>
      </c>
      <c r="E8140">
        <v>0.50237889999999996</v>
      </c>
      <c r="F8140" t="s">
        <v>41</v>
      </c>
      <c r="G8140">
        <v>-187.69550000000001</v>
      </c>
      <c r="H8140" s="1">
        <v>-2.161817E-6</v>
      </c>
      <c r="I8140">
        <v>-6.2808320000000002</v>
      </c>
      <c r="J8140">
        <v>-187.65899999999999</v>
      </c>
      <c r="K8140">
        <v>1.1210020000000001</v>
      </c>
      <c r="L8140">
        <v>-27.384340000000002</v>
      </c>
      <c r="M8140">
        <v>9.9495290000000004E-3</v>
      </c>
      <c r="N8140">
        <v>-5.9972630000000001E-3</v>
      </c>
      <c r="O8140">
        <v>0.9999325</v>
      </c>
      <c r="P8140">
        <v>-1.073879E-2</v>
      </c>
      <c r="Q8140">
        <v>-0.1260279</v>
      </c>
      <c r="R8140">
        <v>0.99196859999999998</v>
      </c>
      <c r="S8140">
        <v>-4.9438479999999998E-3</v>
      </c>
      <c r="T8140">
        <v>-0.157504799999999</v>
      </c>
      <c r="U8140">
        <v>3.004578</v>
      </c>
      <c r="V8140">
        <v>-2.021473E-2</v>
      </c>
      <c r="W8140">
        <v>-0.1201443</v>
      </c>
      <c r="X8140">
        <v>0.99255059999999995</v>
      </c>
      <c r="Y8140">
        <v>-1.1591250000000001E-2</v>
      </c>
      <c r="Z8140">
        <v>-4.6354029999999997E-2</v>
      </c>
      <c r="AA8140">
        <v>0.99885780000000002</v>
      </c>
      <c r="AB8140">
        <v>28</v>
      </c>
      <c r="AC8140">
        <v>-3.6499999999989499E-2</v>
      </c>
      <c r="AD8140">
        <v>-1.1210041618169999</v>
      </c>
      <c r="AE8140">
        <v>21.103507999999898</v>
      </c>
      <c r="AF8140">
        <v>-0.24577843607348901</v>
      </c>
      <c r="AG8140">
        <v>-1.1210041618169999</v>
      </c>
      <c r="AH8140">
        <v>21.042724920371398</v>
      </c>
      <c r="AI8140">
        <v>93.049214507124802</v>
      </c>
      <c r="AJ8140">
        <v>90.669182666280904</v>
      </c>
      <c r="AK8140">
        <v>21.073996522844599</v>
      </c>
      <c r="AL8140">
        <v>96.900430675731002</v>
      </c>
      <c r="AM8140">
        <v>91.166750201764501</v>
      </c>
      <c r="AN8140">
        <v>0.99999999084591096</v>
      </c>
    </row>
    <row r="8141" spans="1:40" x14ac:dyDescent="0.25">
      <c r="A8141" t="str">
        <f>"20190303155007827"</f>
        <v>20190303155007827</v>
      </c>
      <c r="B8141" t="str">
        <f>"1551599407819214"</f>
        <v>1551599407819214</v>
      </c>
      <c r="C8141" t="s">
        <v>40</v>
      </c>
      <c r="D8141">
        <v>5.3715099999999998</v>
      </c>
      <c r="E8141">
        <v>0.50236369999999997</v>
      </c>
      <c r="F8141" t="s">
        <v>41</v>
      </c>
      <c r="G8141">
        <v>-187.73330000000001</v>
      </c>
      <c r="H8141" s="1">
        <v>-2.4394349999999998E-6</v>
      </c>
      <c r="I8141">
        <v>-5.618074</v>
      </c>
      <c r="J8141">
        <v>-187.65809999999999</v>
      </c>
      <c r="K8141">
        <v>1.120968</v>
      </c>
      <c r="L8141">
        <v>-27.078340000000001</v>
      </c>
      <c r="M8141">
        <v>7.9993670000000003E-3</v>
      </c>
      <c r="N8141">
        <v>-6.0417209999999999E-3</v>
      </c>
      <c r="O8141">
        <v>0.9999498</v>
      </c>
      <c r="P8141">
        <v>-1.230877E-2</v>
      </c>
      <c r="Q8141">
        <v>-0.12503359999999999</v>
      </c>
      <c r="R8141">
        <v>0.99207619999999996</v>
      </c>
      <c r="S8141">
        <v>-1.025391E-2</v>
      </c>
      <c r="T8141">
        <v>-0.1547384</v>
      </c>
      <c r="U8141">
        <v>3.0045169999999999</v>
      </c>
      <c r="V8141">
        <v>-1.9868429999999999E-2</v>
      </c>
      <c r="W8141">
        <v>-0.1191017</v>
      </c>
      <c r="X8141">
        <v>0.99268319999999999</v>
      </c>
      <c r="Y8141">
        <v>-1.1406670000000001E-2</v>
      </c>
      <c r="Z8141">
        <v>-4.5394730000000001E-2</v>
      </c>
      <c r="AA8141">
        <v>0.99890400000000001</v>
      </c>
      <c r="AB8141">
        <v>28</v>
      </c>
      <c r="AC8141">
        <v>-7.5200000000023595E-2</v>
      </c>
      <c r="AD8141">
        <v>-1.120970439435</v>
      </c>
      <c r="AE8141">
        <v>21.460266000000001</v>
      </c>
      <c r="AF8141">
        <v>-0.246197529931865</v>
      </c>
      <c r="AG8141">
        <v>-1.120970439435</v>
      </c>
      <c r="AH8141">
        <v>21.400587779134501</v>
      </c>
      <c r="AI8141">
        <v>92.9982351150868</v>
      </c>
      <c r="AJ8141">
        <v>90.659115407709393</v>
      </c>
      <c r="AK8141">
        <v>21.4313402577224</v>
      </c>
      <c r="AL8141">
        <v>96.840262308515605</v>
      </c>
      <c r="AM8141">
        <v>91.146614762487104</v>
      </c>
      <c r="AN8141">
        <v>0.99999995250789597</v>
      </c>
    </row>
    <row r="8142" spans="1:40" x14ac:dyDescent="0.25">
      <c r="A8142" t="str">
        <f>"20190303155007848"</f>
        <v>20190303155007848</v>
      </c>
      <c r="B8142" t="str">
        <f>"1551599407838733"</f>
        <v>1551599407838733</v>
      </c>
      <c r="C8142" t="s">
        <v>40</v>
      </c>
      <c r="D8142">
        <v>5.3609400000000003</v>
      </c>
      <c r="E8142">
        <v>0.50237379999999998</v>
      </c>
      <c r="F8142" t="s">
        <v>41</v>
      </c>
      <c r="G8142">
        <v>-187.7697</v>
      </c>
      <c r="H8142" s="1">
        <v>-2.6668879999999999E-6</v>
      </c>
      <c r="I8142">
        <v>-5.0728109999999997</v>
      </c>
      <c r="J8142">
        <v>-187.65770000000001</v>
      </c>
      <c r="K8142">
        <v>1.1209279999999999</v>
      </c>
      <c r="L8142">
        <v>-26.825710000000001</v>
      </c>
      <c r="M8142">
        <v>6.4537619999999896E-3</v>
      </c>
      <c r="N8142">
        <v>-6.0786549999999996E-3</v>
      </c>
      <c r="O8142">
        <v>0.99996070000000004</v>
      </c>
      <c r="P8142">
        <v>-1.269547E-2</v>
      </c>
      <c r="Q8142">
        <v>-0.12521889999999999</v>
      </c>
      <c r="R8142">
        <v>0.99204789999999998</v>
      </c>
      <c r="S8142">
        <v>-1.524353E-2</v>
      </c>
      <c r="T8142">
        <v>-0.15304980000000001</v>
      </c>
      <c r="U8142">
        <v>3.004486</v>
      </c>
      <c r="V8142">
        <v>-1.8733949999999999E-2</v>
      </c>
      <c r="W8142">
        <v>-0.1192447</v>
      </c>
      <c r="X8142">
        <v>0.99268809999999996</v>
      </c>
      <c r="Y8142">
        <v>-1.152013E-2</v>
      </c>
      <c r="Z8142">
        <v>-4.479905E-2</v>
      </c>
      <c r="AA8142">
        <v>0.99892959999999997</v>
      </c>
      <c r="AB8142">
        <v>28</v>
      </c>
      <c r="AC8142">
        <v>-0.11199999999999399</v>
      </c>
      <c r="AD8142">
        <v>-1.1209306668879999</v>
      </c>
      <c r="AE8142">
        <v>21.752898999999999</v>
      </c>
      <c r="AF8142">
        <v>-0.25171990499608798</v>
      </c>
      <c r="AG8142">
        <v>-1.1209306668879999</v>
      </c>
      <c r="AH8142">
        <v>21.694118985336299</v>
      </c>
      <c r="AI8142">
        <v>92.957632039441094</v>
      </c>
      <c r="AJ8142">
        <v>90.664781132194193</v>
      </c>
      <c r="AK8142">
        <v>21.724517187281101</v>
      </c>
      <c r="AL8142">
        <v>96.848514351468296</v>
      </c>
      <c r="AM8142">
        <v>91.0811541592373</v>
      </c>
      <c r="AN8142">
        <v>0.99999996162115001</v>
      </c>
    </row>
    <row r="8143" spans="1:40" x14ac:dyDescent="0.25">
      <c r="A8143" t="str">
        <f>"20190303155007870"</f>
        <v>20190303155007870</v>
      </c>
      <c r="B8143" t="str">
        <f>"1551599407859230"</f>
        <v>1551599407859230</v>
      </c>
      <c r="C8143" t="s">
        <v>40</v>
      </c>
      <c r="D8143">
        <v>5.390422</v>
      </c>
      <c r="E8143">
        <v>0.50235379999999996</v>
      </c>
      <c r="F8143" t="s">
        <v>41</v>
      </c>
      <c r="G8143">
        <v>-187.77699999999999</v>
      </c>
      <c r="H8143" s="1">
        <v>-2.663371E-6</v>
      </c>
      <c r="I8143">
        <v>-5.0780180000000001</v>
      </c>
      <c r="J8143">
        <v>-187.6576</v>
      </c>
      <c r="K8143">
        <v>1.1208629999999999</v>
      </c>
      <c r="L8143">
        <v>-26.535550000000001</v>
      </c>
      <c r="M8143">
        <v>4.7756129999999997E-3</v>
      </c>
      <c r="N8143">
        <v>-6.1206659999999899E-3</v>
      </c>
      <c r="O8143">
        <v>0.99996980000000002</v>
      </c>
      <c r="P8143">
        <v>-1.369214E-2</v>
      </c>
      <c r="Q8143">
        <v>-0.12568379999999901</v>
      </c>
      <c r="R8143">
        <v>0.99197579999999996</v>
      </c>
      <c r="S8143">
        <v>-1.6479489999999999E-2</v>
      </c>
      <c r="T8143">
        <v>-0.1548493</v>
      </c>
      <c r="U8143">
        <v>3.0043030000000002</v>
      </c>
      <c r="V8143">
        <v>-1.808123E-2</v>
      </c>
      <c r="W8143">
        <v>-0.11966350000000001</v>
      </c>
      <c r="X8143">
        <v>0.99264989999999997</v>
      </c>
      <c r="Y8143">
        <v>-1.025333E-2</v>
      </c>
      <c r="Z8143">
        <v>-4.5357960000000003E-2</v>
      </c>
      <c r="AA8143">
        <v>0.99891819999999998</v>
      </c>
      <c r="AB8143">
        <v>28</v>
      </c>
      <c r="AC8143">
        <v>-0.119400000000013</v>
      </c>
      <c r="AD8143">
        <v>-1.1208656633709999</v>
      </c>
      <c r="AE8143">
        <v>21.457532</v>
      </c>
      <c r="AF8143">
        <v>-0.221269684829552</v>
      </c>
      <c r="AG8143">
        <v>-1.1208656633709999</v>
      </c>
      <c r="AH8143">
        <v>21.3983303711058</v>
      </c>
      <c r="AI8143">
        <v>92.998309111384401</v>
      </c>
      <c r="AJ8143">
        <v>90.592446561037903</v>
      </c>
      <c r="AK8143">
        <v>21.4288087111658</v>
      </c>
      <c r="AL8143">
        <v>96.872682240134694</v>
      </c>
      <c r="AM8143">
        <v>91.043533691345004</v>
      </c>
      <c r="AN8143">
        <v>1.00000005404028</v>
      </c>
    </row>
    <row r="8144" spans="1:40" x14ac:dyDescent="0.25">
      <c r="A8144" t="str">
        <f>"20190303155007891"</f>
        <v>20190303155007891</v>
      </c>
      <c r="B8144" t="str">
        <f>"1551599407878749"</f>
        <v>1551599407878749</v>
      </c>
      <c r="C8144" t="s">
        <v>40</v>
      </c>
      <c r="D8144">
        <v>5.3767379999999996</v>
      </c>
      <c r="E8144">
        <v>0.5023917</v>
      </c>
      <c r="F8144" t="s">
        <v>41</v>
      </c>
      <c r="G8144">
        <v>-187.80090000000001</v>
      </c>
      <c r="H8144" s="1">
        <v>-2.5955579999999999E-6</v>
      </c>
      <c r="I8144">
        <v>-5.2261920000000002</v>
      </c>
      <c r="J8144">
        <v>-187.65790000000001</v>
      </c>
      <c r="K8144">
        <v>1.120803</v>
      </c>
      <c r="L8144">
        <v>-26.281770000000002</v>
      </c>
      <c r="M8144">
        <v>3.4131140000000001E-3</v>
      </c>
      <c r="N8144">
        <v>-6.1566950000000002E-3</v>
      </c>
      <c r="O8144">
        <v>0.99997519999999995</v>
      </c>
      <c r="P8144">
        <v>-1.418346E-2</v>
      </c>
      <c r="Q8144">
        <v>-0.12524440000000001</v>
      </c>
      <c r="R8144">
        <v>0.99202449999999998</v>
      </c>
      <c r="S8144">
        <v>-2.0202640000000001E-2</v>
      </c>
      <c r="T8144">
        <v>-0.1580077</v>
      </c>
      <c r="U8144">
        <v>3.0039669999999998</v>
      </c>
      <c r="V8144">
        <v>-1.7241119999999999E-2</v>
      </c>
      <c r="W8144">
        <v>-0.11918280000000001</v>
      </c>
      <c r="X8144">
        <v>0.99272260000000001</v>
      </c>
      <c r="Y8144">
        <v>-1.012916E-2</v>
      </c>
      <c r="Z8144">
        <v>-4.6375420000000001E-2</v>
      </c>
      <c r="AA8144">
        <v>0.99887269999999995</v>
      </c>
      <c r="AB8144">
        <v>28</v>
      </c>
      <c r="AC8144">
        <v>-0.14299999999999999</v>
      </c>
      <c r="AD8144">
        <v>-1.1208055955580001</v>
      </c>
      <c r="AE8144">
        <v>21.055578000000001</v>
      </c>
      <c r="AF8144">
        <v>-0.214258540960127</v>
      </c>
      <c r="AG8144">
        <v>-1.1208055955580001</v>
      </c>
      <c r="AH8144">
        <v>20.995478908145799</v>
      </c>
      <c r="AI8144">
        <v>93.055572060791803</v>
      </c>
      <c r="AJ8144">
        <v>90.584682257083401</v>
      </c>
      <c r="AK8144">
        <v>21.026465382650599</v>
      </c>
      <c r="AL8144">
        <v>96.844942154009402</v>
      </c>
      <c r="AM8144">
        <v>90.994985010761198</v>
      </c>
      <c r="AN8144">
        <v>0.99999997829272602</v>
      </c>
    </row>
    <row r="8145" spans="1:40" x14ac:dyDescent="0.25">
      <c r="A8145" t="str">
        <f>"20190303155007915"</f>
        <v>20190303155007915</v>
      </c>
      <c r="B8145" t="str">
        <f>"1551599407909006"</f>
        <v>1551599407909006</v>
      </c>
      <c r="C8145" t="s">
        <v>40</v>
      </c>
      <c r="D8145">
        <v>5.3792939999999998</v>
      </c>
      <c r="E8145">
        <v>0.50240739999999995</v>
      </c>
      <c r="F8145" t="s">
        <v>41</v>
      </c>
      <c r="G8145">
        <v>-187.8116</v>
      </c>
      <c r="H8145" s="1">
        <v>-2.701948E-6</v>
      </c>
      <c r="I8145">
        <v>-4.9737910000000003</v>
      </c>
      <c r="J8145">
        <v>-187.6584</v>
      </c>
      <c r="K8145">
        <v>1.1207149999999999</v>
      </c>
      <c r="L8145">
        <v>-25.972049999999999</v>
      </c>
      <c r="M8145">
        <v>1.898861E-3</v>
      </c>
      <c r="N8145">
        <v>-6.1994980000000003E-3</v>
      </c>
      <c r="O8145">
        <v>0.99997899999999995</v>
      </c>
      <c r="P8145">
        <v>-1.492157E-2</v>
      </c>
      <c r="Q8145">
        <v>-0.1244025</v>
      </c>
      <c r="R8145">
        <v>0.99211959999999999</v>
      </c>
      <c r="S8145">
        <v>-2.1667479999999999E-2</v>
      </c>
      <c r="T8145">
        <v>-0.158004799999999</v>
      </c>
      <c r="U8145">
        <v>3.003876</v>
      </c>
      <c r="V8145">
        <v>-1.6506320000000001E-2</v>
      </c>
      <c r="W8145">
        <v>-0.1182917</v>
      </c>
      <c r="X8145">
        <v>0.99284170000000005</v>
      </c>
      <c r="Y8145">
        <v>-9.1024160000000003E-3</v>
      </c>
      <c r="Z8145">
        <v>-4.6333779999999998E-2</v>
      </c>
      <c r="AA8145">
        <v>0.99888460000000001</v>
      </c>
      <c r="AB8145">
        <v>28</v>
      </c>
      <c r="AC8145">
        <v>-0.153199999999998</v>
      </c>
      <c r="AD8145">
        <v>-1.1207177019479999</v>
      </c>
      <c r="AE8145">
        <v>20.998259000000001</v>
      </c>
      <c r="AF8145">
        <v>-0.19252487421862</v>
      </c>
      <c r="AG8145">
        <v>-1.1207177019479999</v>
      </c>
      <c r="AH8145">
        <v>20.938289361279899</v>
      </c>
      <c r="AI8145">
        <v>93.0636921258032</v>
      </c>
      <c r="AJ8145">
        <v>90.526812467768707</v>
      </c>
      <c r="AK8145">
        <v>20.969144841202699</v>
      </c>
      <c r="AL8145">
        <v>96.793521884351193</v>
      </c>
      <c r="AM8145">
        <v>90.952473441475604</v>
      </c>
      <c r="AN8145">
        <v>1.00000001307386</v>
      </c>
    </row>
    <row r="8146" spans="1:40" x14ac:dyDescent="0.25">
      <c r="A8146" t="str">
        <f>"20190303155007936"</f>
        <v>20190303155007936</v>
      </c>
      <c r="B8146" t="str">
        <f>"1551599407928526"</f>
        <v>1551599407928526</v>
      </c>
      <c r="C8146" t="s">
        <v>40</v>
      </c>
      <c r="D8146">
        <v>5.3752909999999998</v>
      </c>
      <c r="E8146">
        <v>0.50240850000000004</v>
      </c>
      <c r="F8146" t="s">
        <v>41</v>
      </c>
      <c r="G8146">
        <v>-187.8287</v>
      </c>
      <c r="H8146" s="1">
        <v>-2.8708289999999999E-6</v>
      </c>
      <c r="I8146">
        <v>-4.5730500000000003</v>
      </c>
      <c r="J8146">
        <v>-187.6591</v>
      </c>
      <c r="K8146">
        <v>1.1206259999999999</v>
      </c>
      <c r="L8146">
        <v>-25.712679999999999</v>
      </c>
      <c r="M8146">
        <v>7.6746979999999995E-4</v>
      </c>
      <c r="N8146">
        <v>-6.2343759999999998E-3</v>
      </c>
      <c r="O8146">
        <v>0.99998030000000004</v>
      </c>
      <c r="P8146">
        <v>-1.6027639999999999E-2</v>
      </c>
      <c r="Q8146">
        <v>-0.1236611</v>
      </c>
      <c r="R8146">
        <v>0.9921951</v>
      </c>
      <c r="S8146">
        <v>-2.3895260000000001E-2</v>
      </c>
      <c r="T8146">
        <v>-0.15731389999999901</v>
      </c>
      <c r="U8146">
        <v>3.0037539999999998</v>
      </c>
      <c r="V8146">
        <v>-1.651828E-2</v>
      </c>
      <c r="W8146">
        <v>-0.1175115</v>
      </c>
      <c r="X8146">
        <v>0.99293410000000004</v>
      </c>
      <c r="Y8146">
        <v>-8.7123029999999994E-3</v>
      </c>
      <c r="Z8146">
        <v>-4.6072059999999998E-2</v>
      </c>
      <c r="AA8146">
        <v>0.99890009999999996</v>
      </c>
      <c r="AB8146">
        <v>28</v>
      </c>
      <c r="AC8146">
        <v>-0.169600000000002</v>
      </c>
      <c r="AD8146">
        <v>-1.120628870829</v>
      </c>
      <c r="AE8146">
        <v>21.13963</v>
      </c>
      <c r="AF8146">
        <v>-0.18530359589602599</v>
      </c>
      <c r="AG8146">
        <v>-1.120628870829</v>
      </c>
      <c r="AH8146">
        <v>21.080258820899001</v>
      </c>
      <c r="AI8146">
        <v>93.042868250659296</v>
      </c>
      <c r="AJ8146">
        <v>90.503639002336996</v>
      </c>
      <c r="AK8146">
        <v>21.1108374643186</v>
      </c>
      <c r="AL8146">
        <v>96.748506056974705</v>
      </c>
      <c r="AM8146">
        <v>90.953074766107505</v>
      </c>
      <c r="AN8146">
        <v>0.99999996657460799</v>
      </c>
    </row>
    <row r="8147" spans="1:40" x14ac:dyDescent="0.25">
      <c r="A8147" t="str">
        <f>"20190303155007960"</f>
        <v>20190303155007960</v>
      </c>
      <c r="B8147" t="str">
        <f>"1551599407949022"</f>
        <v>1551599407949022</v>
      </c>
      <c r="C8147" t="s">
        <v>40</v>
      </c>
      <c r="D8147">
        <v>5.417637</v>
      </c>
      <c r="E8147">
        <v>0.50242829999999905</v>
      </c>
      <c r="F8147" t="s">
        <v>41</v>
      </c>
      <c r="G8147">
        <v>-187.85659999999999</v>
      </c>
      <c r="H8147" s="1">
        <v>-3.0375370000000001E-6</v>
      </c>
      <c r="I8147">
        <v>-4.1729250000000002</v>
      </c>
      <c r="J8147">
        <v>-187.6602</v>
      </c>
      <c r="K8147">
        <v>1.1205160000000001</v>
      </c>
      <c r="L8147">
        <v>-25.412320000000001</v>
      </c>
      <c r="M8147">
        <v>-3.901954E-4</v>
      </c>
      <c r="N8147">
        <v>-6.2738580000000002E-3</v>
      </c>
      <c r="O8147">
        <v>0.99998030000000004</v>
      </c>
      <c r="P8147">
        <v>-1.7117480000000001E-2</v>
      </c>
      <c r="Q8147">
        <v>-0.123223</v>
      </c>
      <c r="R8147">
        <v>0.99223139999999999</v>
      </c>
      <c r="S8147">
        <v>-2.752686E-2</v>
      </c>
      <c r="T8147">
        <v>-0.1562704</v>
      </c>
      <c r="U8147">
        <v>3.0036930000000002</v>
      </c>
      <c r="V8147">
        <v>-1.6492239999999998E-2</v>
      </c>
      <c r="W8147">
        <v>-0.1170292</v>
      </c>
      <c r="X8147">
        <v>0.99299150000000003</v>
      </c>
      <c r="Y8147">
        <v>-8.7625959999999992E-3</v>
      </c>
      <c r="Z8147">
        <v>-4.5687350000000002E-2</v>
      </c>
      <c r="AA8147">
        <v>0.99891730000000001</v>
      </c>
      <c r="AB8147">
        <v>28</v>
      </c>
      <c r="AC8147">
        <v>-0.19639999999998201</v>
      </c>
      <c r="AD8147">
        <v>-1.120519037537</v>
      </c>
      <c r="AE8147">
        <v>21.239394999999998</v>
      </c>
      <c r="AF8147">
        <v>-0.18759023991133</v>
      </c>
      <c r="AG8147">
        <v>-1.120519037537</v>
      </c>
      <c r="AH8147">
        <v>21.1805240970372</v>
      </c>
      <c r="AI8147">
        <v>93.028192627683197</v>
      </c>
      <c r="AJ8147">
        <v>90.507440134855202</v>
      </c>
      <c r="AK8147">
        <v>21.210972491537699</v>
      </c>
      <c r="AL8147">
        <v>96.720680258611296</v>
      </c>
      <c r="AM8147">
        <v>90.951517586207203</v>
      </c>
      <c r="AN8147">
        <v>0.99999997335255297</v>
      </c>
    </row>
    <row r="8148" spans="1:40" x14ac:dyDescent="0.25">
      <c r="A8148" t="str">
        <f>"20190303155007982"</f>
        <v>20190303155007982</v>
      </c>
      <c r="B8148" t="str">
        <f>"1551599407978301"</f>
        <v>1551599407978301</v>
      </c>
      <c r="C8148" t="s">
        <v>40</v>
      </c>
      <c r="D8148">
        <v>5.3702629999999996</v>
      </c>
      <c r="E8148">
        <v>0.50260749999999998</v>
      </c>
      <c r="F8148" t="s">
        <v>41</v>
      </c>
      <c r="G8148">
        <v>-187.8828</v>
      </c>
      <c r="H8148" s="1">
        <v>-3.156878E-6</v>
      </c>
      <c r="I8148">
        <v>-3.8838629999999998</v>
      </c>
      <c r="J8148">
        <v>-187.66130000000001</v>
      </c>
      <c r="K8148">
        <v>1.1204190000000001</v>
      </c>
      <c r="L8148">
        <v>-25.134519999999998</v>
      </c>
      <c r="M8148">
        <v>-1.3025090000000001E-3</v>
      </c>
      <c r="N8148">
        <v>-6.3093969999999996E-3</v>
      </c>
      <c r="O8148">
        <v>0.99997930000000002</v>
      </c>
      <c r="P8148">
        <v>-1.802113E-2</v>
      </c>
      <c r="Q8148">
        <v>-0.1230426</v>
      </c>
      <c r="R8148">
        <v>0.9922377</v>
      </c>
      <c r="S8148">
        <v>-3.106689E-2</v>
      </c>
      <c r="T8148">
        <v>-0.1563292</v>
      </c>
      <c r="U8148">
        <v>3.0035400000000001</v>
      </c>
      <c r="V8148">
        <v>-1.652108E-2</v>
      </c>
      <c r="W8148">
        <v>-0.1168091</v>
      </c>
      <c r="X8148">
        <v>0.99301700000000004</v>
      </c>
      <c r="Y8148">
        <v>-9.0279430000000001E-3</v>
      </c>
      <c r="Z8148">
        <v>-4.5673579999999998E-2</v>
      </c>
      <c r="AA8148">
        <v>0.99891560000000001</v>
      </c>
      <c r="AB8148">
        <v>28</v>
      </c>
      <c r="AC8148">
        <v>-0.22149999999999101</v>
      </c>
      <c r="AD8148">
        <v>-1.120422156878</v>
      </c>
      <c r="AE8148">
        <v>21.250657</v>
      </c>
      <c r="AF8148">
        <v>-0.19328285498617501</v>
      </c>
      <c r="AG8148">
        <v>-1.120422156878</v>
      </c>
      <c r="AH8148">
        <v>21.192023604582001</v>
      </c>
      <c r="AI8148">
        <v>93.026284130632504</v>
      </c>
      <c r="AJ8148">
        <v>90.522554381568995</v>
      </c>
      <c r="AK8148">
        <v>21.222501467282701</v>
      </c>
      <c r="AL8148">
        <v>96.707981938243805</v>
      </c>
      <c r="AM8148">
        <v>90.953156726909896</v>
      </c>
      <c r="AN8148">
        <v>1.0000000371080799</v>
      </c>
    </row>
    <row r="8149" spans="1:40" x14ac:dyDescent="0.25">
      <c r="A8149" t="str">
        <f>"20190303155008003"</f>
        <v>20190303155008003</v>
      </c>
      <c r="B8149" t="str">
        <f>"1551599407998798"</f>
        <v>1551599407998798</v>
      </c>
      <c r="C8149" t="s">
        <v>40</v>
      </c>
      <c r="D8149">
        <v>5.3827819999999997</v>
      </c>
      <c r="E8149">
        <v>0.50274459999999999</v>
      </c>
      <c r="F8149" t="s">
        <v>41</v>
      </c>
      <c r="G8149">
        <v>-187.89240000000001</v>
      </c>
      <c r="H8149" s="1">
        <v>-3.2004880000000002E-6</v>
      </c>
      <c r="I8149">
        <v>-3.7782719999999999</v>
      </c>
      <c r="J8149">
        <v>-187.66249999999999</v>
      </c>
      <c r="K8149">
        <v>1.120322</v>
      </c>
      <c r="L8149">
        <v>-24.858219999999999</v>
      </c>
      <c r="M8149">
        <v>-2.0716879999999999E-3</v>
      </c>
      <c r="N8149">
        <v>-6.3439480000000003E-3</v>
      </c>
      <c r="O8149">
        <v>0.99997769999999997</v>
      </c>
      <c r="P8149">
        <v>-1.8964129999999999E-2</v>
      </c>
      <c r="Q8149">
        <v>-0.12255580000000001</v>
      </c>
      <c r="R8149">
        <v>0.99228039999999995</v>
      </c>
      <c r="S8149">
        <v>-3.2501219999999997E-2</v>
      </c>
      <c r="T8149">
        <v>-0.15756489999999901</v>
      </c>
      <c r="U8149">
        <v>3.0033259999999999</v>
      </c>
      <c r="V8149">
        <v>-1.672951E-2</v>
      </c>
      <c r="W8149">
        <v>-0.116284</v>
      </c>
      <c r="X8149">
        <v>0.99307509999999999</v>
      </c>
      <c r="Y8149">
        <v>-8.7363649999999994E-3</v>
      </c>
      <c r="Z8149">
        <v>-4.605248E-2</v>
      </c>
      <c r="AA8149">
        <v>0.99890080000000003</v>
      </c>
      <c r="AB8149">
        <v>29</v>
      </c>
      <c r="AC8149">
        <v>-0.22990000000001401</v>
      </c>
      <c r="AD8149">
        <v>-1.120325200488</v>
      </c>
      <c r="AE8149">
        <v>21.079948000000002</v>
      </c>
      <c r="AF8149">
        <v>-0.185703086033078</v>
      </c>
      <c r="AG8149">
        <v>-1.120325200488</v>
      </c>
      <c r="AH8149">
        <v>21.021011233889201</v>
      </c>
      <c r="AI8149">
        <v>93.050601875493001</v>
      </c>
      <c r="AJ8149">
        <v>90.506147215093605</v>
      </c>
      <c r="AK8149">
        <v>21.051663295006101</v>
      </c>
      <c r="AL8149">
        <v>96.677689740058</v>
      </c>
      <c r="AM8149">
        <v>90.965123037428498</v>
      </c>
      <c r="AN8149">
        <v>0.99999999970042497</v>
      </c>
    </row>
    <row r="8150" spans="1:40" x14ac:dyDescent="0.25">
      <c r="A8150" t="str">
        <f>"20190303155008026"</f>
        <v>20190303155008026</v>
      </c>
      <c r="B8150" t="str">
        <f>"1551599408018319"</f>
        <v>1551599408018319</v>
      </c>
      <c r="C8150" t="s">
        <v>40</v>
      </c>
      <c r="D8150">
        <v>5.3742919999999996</v>
      </c>
      <c r="E8150">
        <v>0.50290029999999997</v>
      </c>
      <c r="F8150" t="s">
        <v>41</v>
      </c>
      <c r="G8150">
        <v>-187.90600000000001</v>
      </c>
      <c r="H8150" s="1">
        <v>-3.3570600000000002E-6</v>
      </c>
      <c r="I8150">
        <v>-3.4076460000000002</v>
      </c>
      <c r="J8150">
        <v>-187.66380000000001</v>
      </c>
      <c r="K8150">
        <v>1.1202430000000001</v>
      </c>
      <c r="L8150">
        <v>-24.561</v>
      </c>
      <c r="M8150">
        <v>-2.7818370000000001E-3</v>
      </c>
      <c r="N8150">
        <v>-6.3804219999999898E-3</v>
      </c>
      <c r="O8150">
        <v>0.99997579999999997</v>
      </c>
      <c r="P8150">
        <v>-2.0312690000000001E-2</v>
      </c>
      <c r="Q8150">
        <v>-0.1222226</v>
      </c>
      <c r="R8150">
        <v>0.99229480000000003</v>
      </c>
      <c r="S8150">
        <v>-3.4103389999999997E-2</v>
      </c>
      <c r="T8150">
        <v>-0.15685679999999999</v>
      </c>
      <c r="U8150">
        <v>3.0032960000000002</v>
      </c>
      <c r="V8150">
        <v>-1.7398899999999998E-2</v>
      </c>
      <c r="W8150">
        <v>-0.11591170000000001</v>
      </c>
      <c r="X8150">
        <v>0.99310710000000002</v>
      </c>
      <c r="Y8150">
        <v>-8.5593240000000001E-3</v>
      </c>
      <c r="Z8150">
        <v>-4.5781500000000003E-2</v>
      </c>
      <c r="AA8150">
        <v>0.99891479999999999</v>
      </c>
      <c r="AB8150">
        <v>29</v>
      </c>
      <c r="AC8150">
        <v>-0.242199999999968</v>
      </c>
      <c r="AD8150">
        <v>-1.1202463570600001</v>
      </c>
      <c r="AE8150">
        <v>21.153354</v>
      </c>
      <c r="AF8150">
        <v>-0.182839960605993</v>
      </c>
      <c r="AG8150">
        <v>-1.1202463570600001</v>
      </c>
      <c r="AH8150">
        <v>21.094791541393199</v>
      </c>
      <c r="AI8150">
        <v>93.039743145524696</v>
      </c>
      <c r="AJ8150">
        <v>90.496601055311899</v>
      </c>
      <c r="AK8150">
        <v>21.1253073948413</v>
      </c>
      <c r="AL8150">
        <v>96.656213437899098</v>
      </c>
      <c r="AM8150">
        <v>91.003699966458697</v>
      </c>
      <c r="AN8150">
        <v>0.999999977994254</v>
      </c>
    </row>
    <row r="8151" spans="1:40" x14ac:dyDescent="0.25">
      <c r="A8151" t="str">
        <f>"20190303155008046"</f>
        <v>20190303155008046</v>
      </c>
      <c r="B8151" t="str">
        <f>"1551599408038813"</f>
        <v>1551599408038813</v>
      </c>
      <c r="C8151" t="s">
        <v>40</v>
      </c>
      <c r="D8151">
        <v>5.5145600000000004</v>
      </c>
      <c r="E8151">
        <v>0.50315359999999998</v>
      </c>
      <c r="F8151" t="s">
        <v>41</v>
      </c>
      <c r="G8151">
        <v>-187.9281</v>
      </c>
      <c r="H8151" s="1">
        <v>-3.4910009999999999E-6</v>
      </c>
      <c r="I8151">
        <v>-3.0863079999999998</v>
      </c>
      <c r="J8151">
        <v>-187.6651</v>
      </c>
      <c r="K8151">
        <v>1.1201939999999999</v>
      </c>
      <c r="L8151">
        <v>-24.299410000000002</v>
      </c>
      <c r="M8151">
        <v>-3.3229319999999998E-3</v>
      </c>
      <c r="N8151">
        <v>-6.4119099999999998E-3</v>
      </c>
      <c r="O8151">
        <v>0.99997389999999997</v>
      </c>
      <c r="P8151">
        <v>-2.2508170000000001E-2</v>
      </c>
      <c r="Q8151">
        <v>-0.1206549</v>
      </c>
      <c r="R8151">
        <v>0.99243930000000002</v>
      </c>
      <c r="S8151">
        <v>-3.6956790000000003E-2</v>
      </c>
      <c r="T8151">
        <v>-0.15666640000000001</v>
      </c>
      <c r="U8151">
        <v>3.0032350000000001</v>
      </c>
      <c r="V8151">
        <v>-1.9075970000000001E-2</v>
      </c>
      <c r="W8151">
        <v>-0.114311</v>
      </c>
      <c r="X8151">
        <v>0.99326190000000003</v>
      </c>
      <c r="Y8151">
        <v>-8.9673779999999998E-3</v>
      </c>
      <c r="Z8151">
        <v>-4.5687459999999999E-2</v>
      </c>
      <c r="AA8151">
        <v>0.99891560000000001</v>
      </c>
      <c r="AB8151">
        <v>29</v>
      </c>
      <c r="AC8151">
        <v>-0.26300000000000501</v>
      </c>
      <c r="AD8151">
        <v>-1.120197491001</v>
      </c>
      <c r="AE8151">
        <v>21.213101999999999</v>
      </c>
      <c r="AF8151">
        <v>-0.19197215720355501</v>
      </c>
      <c r="AG8151">
        <v>-1.120197491001</v>
      </c>
      <c r="AH8151">
        <v>21.1548761388248</v>
      </c>
      <c r="AI8151">
        <v>93.0309828175685</v>
      </c>
      <c r="AJ8151">
        <v>90.519922329597193</v>
      </c>
      <c r="AK8151">
        <v>21.1853836447916</v>
      </c>
      <c r="AL8151">
        <v>96.563885863027807</v>
      </c>
      <c r="AM8151">
        <v>91.100251827976507</v>
      </c>
      <c r="AN8151">
        <v>1.0000000496720201</v>
      </c>
    </row>
    <row r="8152" spans="1:40" x14ac:dyDescent="0.25">
      <c r="A8152" t="str">
        <f>"20190303155008069"</f>
        <v>20190303155008069</v>
      </c>
      <c r="B8152" t="str">
        <f>"1551599408058971"</f>
        <v>1551599408058971</v>
      </c>
      <c r="C8152" t="s">
        <v>40</v>
      </c>
      <c r="D8152">
        <v>5.0267019999999896</v>
      </c>
      <c r="E8152">
        <v>0.50315359999999998</v>
      </c>
      <c r="F8152" t="s">
        <v>41</v>
      </c>
      <c r="G8152">
        <v>-187.9727</v>
      </c>
      <c r="H8152" s="1">
        <v>-3.909077E-6</v>
      </c>
      <c r="I8152">
        <v>-2.0933259999999998</v>
      </c>
      <c r="J8152">
        <v>-187.66669999999999</v>
      </c>
      <c r="K8152">
        <v>1.120144</v>
      </c>
      <c r="L8152">
        <v>-24.000889999999998</v>
      </c>
      <c r="M8152">
        <v>-3.853633E-3</v>
      </c>
      <c r="N8152">
        <v>-6.4471930000000004E-3</v>
      </c>
      <c r="O8152">
        <v>0.99997179999999997</v>
      </c>
      <c r="P8152">
        <v>-2.5128330000000001E-2</v>
      </c>
      <c r="Q8152">
        <v>-0.1197733</v>
      </c>
      <c r="R8152">
        <v>0.99248320000000001</v>
      </c>
      <c r="S8152">
        <v>-4.1595460000000001E-2</v>
      </c>
      <c r="T8152">
        <v>-0.1515137</v>
      </c>
      <c r="U8152">
        <v>3.0035099999999999</v>
      </c>
      <c r="V8152">
        <v>-2.1186259999999998E-2</v>
      </c>
      <c r="W8152">
        <v>-0.11339340000000001</v>
      </c>
      <c r="X8152">
        <v>0.99332430000000005</v>
      </c>
      <c r="Y8152">
        <v>-9.9789739999999998E-3</v>
      </c>
      <c r="Z8152">
        <v>-4.393739E-2</v>
      </c>
      <c r="AA8152">
        <v>0.99898450000000005</v>
      </c>
      <c r="AB8152">
        <v>29</v>
      </c>
      <c r="AC8152">
        <v>-0.30600000000001099</v>
      </c>
      <c r="AD8152">
        <v>-1.1201479090769999</v>
      </c>
      <c r="AE8152">
        <v>21.907564000000001</v>
      </c>
      <c r="AF8152">
        <v>-0.22099461925007</v>
      </c>
      <c r="AG8152">
        <v>-1.1201479090769999</v>
      </c>
      <c r="AH8152">
        <v>21.851464479810598</v>
      </c>
      <c r="AI8152">
        <v>92.934372930771104</v>
      </c>
      <c r="AJ8152">
        <v>90.579440673782202</v>
      </c>
      <c r="AK8152">
        <v>21.881272126464001</v>
      </c>
      <c r="AL8152">
        <v>96.510967207555296</v>
      </c>
      <c r="AM8152">
        <v>91.221856006398696</v>
      </c>
      <c r="AN8152">
        <v>1.0000000428734099</v>
      </c>
    </row>
    <row r="8153" spans="1:40" x14ac:dyDescent="0.25">
      <c r="A8153" t="str">
        <f>"20190303155008202"</f>
        <v>20190303155008202</v>
      </c>
      <c r="B8153" t="str">
        <f>"1551599408198539"</f>
        <v>1551599408198539</v>
      </c>
      <c r="C8153" t="s">
        <v>40</v>
      </c>
      <c r="D8153">
        <v>5.4786320000000002</v>
      </c>
      <c r="E8153">
        <v>0.50347839999999999</v>
      </c>
      <c r="F8153" t="s">
        <v>41</v>
      </c>
      <c r="G8153">
        <v>-188.03710000000001</v>
      </c>
      <c r="H8153" s="1">
        <v>-4.1943730000000003E-6</v>
      </c>
      <c r="I8153">
        <v>-1.4016580000000001</v>
      </c>
      <c r="J8153">
        <v>-187.67740000000001</v>
      </c>
      <c r="K8153">
        <v>1.119996</v>
      </c>
      <c r="L8153">
        <v>-22.268370000000001</v>
      </c>
      <c r="M8153">
        <v>-6.0536399999999999E-3</v>
      </c>
      <c r="N8153">
        <v>-6.6430419999999896E-3</v>
      </c>
      <c r="O8153">
        <v>0.99995959999999995</v>
      </c>
      <c r="P8153">
        <v>-2.3951159999999999E-2</v>
      </c>
      <c r="Q8153">
        <v>-0.12074310000000001</v>
      </c>
      <c r="R8153">
        <v>0.99239480000000002</v>
      </c>
      <c r="S8153">
        <v>-4.9224850000000001E-2</v>
      </c>
      <c r="T8153">
        <v>-0.14887129999999901</v>
      </c>
      <c r="U8153">
        <v>3.0035099999999999</v>
      </c>
      <c r="V8153">
        <v>-1.7869469999999998E-2</v>
      </c>
      <c r="W8153">
        <v>-0.1141587</v>
      </c>
      <c r="X8153">
        <v>0.99330180000000001</v>
      </c>
      <c r="Y8153">
        <v>-1.031666E-2</v>
      </c>
      <c r="Z8153">
        <v>-4.2863360000000003E-2</v>
      </c>
      <c r="AA8153">
        <v>0.99902769999999996</v>
      </c>
      <c r="AB8153">
        <v>29</v>
      </c>
      <c r="AC8153">
        <v>-0.35970000000000302</v>
      </c>
      <c r="AD8153">
        <v>-1.120000194373</v>
      </c>
      <c r="AE8153">
        <v>20.866712</v>
      </c>
      <c r="AF8153">
        <v>-0.23270086888328601</v>
      </c>
      <c r="AG8153">
        <v>-1.120000194373</v>
      </c>
      <c r="AH8153">
        <v>20.808577556650299</v>
      </c>
      <c r="AI8153">
        <v>93.080721035568004</v>
      </c>
      <c r="AJ8153">
        <v>90.640707991288707</v>
      </c>
      <c r="AK8153">
        <v>20.839996402612599</v>
      </c>
      <c r="AL8153">
        <v>96.555102567798599</v>
      </c>
      <c r="AM8153">
        <v>91.030638203299404</v>
      </c>
      <c r="AN8153">
        <v>0.999999996313505</v>
      </c>
    </row>
    <row r="8154" spans="1:40" x14ac:dyDescent="0.25">
      <c r="A8154" t="str">
        <f>"20190303155008225"</f>
        <v>20190303155008225</v>
      </c>
      <c r="B8154" t="str">
        <f>"1551599408219034"</f>
        <v>1551599408219034</v>
      </c>
      <c r="C8154" t="s">
        <v>40</v>
      </c>
      <c r="D8154">
        <v>5.274794</v>
      </c>
      <c r="E8154">
        <v>0.50412369999999995</v>
      </c>
      <c r="F8154" t="s">
        <v>41</v>
      </c>
      <c r="G8154">
        <v>-187.99690000000001</v>
      </c>
      <c r="H8154" s="1">
        <v>-7.2097419999999997E-7</v>
      </c>
      <c r="I8154">
        <v>0.20051559999999999</v>
      </c>
      <c r="J8154">
        <v>-187.67959999999999</v>
      </c>
      <c r="K8154">
        <v>1.119993</v>
      </c>
      <c r="L8154">
        <v>-21.961179999999999</v>
      </c>
      <c r="M8154">
        <v>-6.3964419999999996E-3</v>
      </c>
      <c r="N8154">
        <v>-6.6765540000000003E-3</v>
      </c>
      <c r="O8154">
        <v>0.99995730000000005</v>
      </c>
      <c r="P8154">
        <v>-2.3284619999999999E-2</v>
      </c>
      <c r="Q8154">
        <v>-0.12156599999999999</v>
      </c>
      <c r="R8154">
        <v>0.99231020000000003</v>
      </c>
      <c r="S8154">
        <v>-4.270935E-2</v>
      </c>
      <c r="T8154">
        <v>-0.14972669999999999</v>
      </c>
      <c r="U8154">
        <v>3.0037539999999998</v>
      </c>
      <c r="V8154">
        <v>-1.6863320000000001E-2</v>
      </c>
      <c r="W8154">
        <v>-0.11494799999999999</v>
      </c>
      <c r="X8154">
        <v>0.99322840000000001</v>
      </c>
      <c r="Y8154">
        <v>-7.8063000000000004E-3</v>
      </c>
      <c r="Z8154">
        <v>-4.3110860000000001E-2</v>
      </c>
      <c r="AA8154">
        <v>0.99903980000000003</v>
      </c>
      <c r="AB8154">
        <v>29</v>
      </c>
      <c r="AC8154">
        <v>-0.31730000000001701</v>
      </c>
      <c r="AD8154">
        <v>-1.1199937209741999</v>
      </c>
      <c r="AE8154">
        <v>22.161695600000002</v>
      </c>
      <c r="AF8154">
        <v>-0.175087269338253</v>
      </c>
      <c r="AG8154">
        <v>-1.1199937209741999</v>
      </c>
      <c r="AH8154">
        <v>22.106822031980201</v>
      </c>
      <c r="AI8154">
        <v>92.900194667618905</v>
      </c>
      <c r="AJ8154">
        <v>90.453776296650403</v>
      </c>
      <c r="AK8154">
        <v>22.1358673162032</v>
      </c>
      <c r="AL8154">
        <v>96.600625550364995</v>
      </c>
      <c r="AM8154">
        <v>90.972690915024501</v>
      </c>
      <c r="AN8154">
        <v>1.0000000344159901</v>
      </c>
    </row>
    <row r="8155" spans="1:40" x14ac:dyDescent="0.25">
      <c r="A8155" t="str">
        <f>"20190303155008248"</f>
        <v>20190303155008248</v>
      </c>
      <c r="B8155" t="str">
        <f>"1551599408238555"</f>
        <v>1551599408238555</v>
      </c>
      <c r="C8155" t="s">
        <v>40</v>
      </c>
      <c r="D8155">
        <v>5.3991939999999996</v>
      </c>
      <c r="E8155">
        <v>0.50461089999999997</v>
      </c>
      <c r="F8155" t="s">
        <v>41</v>
      </c>
      <c r="G8155">
        <v>-187.94919999999999</v>
      </c>
      <c r="H8155" s="1">
        <v>-8.8751779999999996E-7</v>
      </c>
      <c r="I8155">
        <v>0.65262580000000003</v>
      </c>
      <c r="J8155">
        <v>-187.68180000000001</v>
      </c>
      <c r="K8155">
        <v>1.119996</v>
      </c>
      <c r="L8155">
        <v>-21.667110000000001</v>
      </c>
      <c r="M8155">
        <v>-6.7253259999999898E-3</v>
      </c>
      <c r="N8155">
        <v>-6.7084509999999998E-3</v>
      </c>
      <c r="O8155">
        <v>0.99995489999999998</v>
      </c>
      <c r="P8155">
        <v>-2.340542E-2</v>
      </c>
      <c r="Q8155">
        <v>-0.1221193</v>
      </c>
      <c r="R8155">
        <v>0.99223939999999999</v>
      </c>
      <c r="S8155">
        <v>-3.5812379999999998E-2</v>
      </c>
      <c r="T8155">
        <v>-0.14878810000000001</v>
      </c>
      <c r="U8155">
        <v>3.004181</v>
      </c>
      <c r="V8155">
        <v>-1.6658650000000001E-2</v>
      </c>
      <c r="W8155">
        <v>-0.1154699</v>
      </c>
      <c r="X8155">
        <v>0.99317129999999998</v>
      </c>
      <c r="Y8155">
        <v>-5.1828480000000003E-3</v>
      </c>
      <c r="Z8155">
        <v>-4.2761529999999999E-2</v>
      </c>
      <c r="AA8155">
        <v>0.99907179999999995</v>
      </c>
      <c r="AB8155">
        <v>30</v>
      </c>
      <c r="AC8155">
        <v>-0.26739999999997999</v>
      </c>
      <c r="AD8155">
        <v>-1.1199968875177999</v>
      </c>
      <c r="AE8155">
        <v>22.3197358</v>
      </c>
      <c r="AF8155">
        <v>-0.1169885430454</v>
      </c>
      <c r="AG8155">
        <v>-1.1199968875177999</v>
      </c>
      <c r="AH8155">
        <v>22.264974268641499</v>
      </c>
      <c r="AI8155">
        <v>92.879687450438098</v>
      </c>
      <c r="AJ8155">
        <v>90.301050789548597</v>
      </c>
      <c r="AK8155">
        <v>22.2934330808542</v>
      </c>
      <c r="AL8155">
        <v>96.630728762682693</v>
      </c>
      <c r="AM8155">
        <v>90.960942832625904</v>
      </c>
      <c r="AN8155">
        <v>1.0000000197847601</v>
      </c>
    </row>
    <row r="8156" spans="1:40" x14ac:dyDescent="0.25">
      <c r="A8156" t="str">
        <f>"20190303155008271"</f>
        <v>20190303155008271</v>
      </c>
      <c r="B8156" t="str">
        <f>"1551599408259411"</f>
        <v>1551599408259411</v>
      </c>
      <c r="C8156" t="s">
        <v>40</v>
      </c>
      <c r="D8156">
        <v>5.4849160000000001</v>
      </c>
      <c r="E8156">
        <v>0.50481469999999995</v>
      </c>
      <c r="F8156" t="s">
        <v>41</v>
      </c>
      <c r="G8156">
        <v>-187.92259999999999</v>
      </c>
      <c r="H8156" s="1">
        <v>-9.2958260000000005E-7</v>
      </c>
      <c r="I8156">
        <v>0.75543190000000005</v>
      </c>
      <c r="J8156">
        <v>-187.6842</v>
      </c>
      <c r="K8156">
        <v>1.119996</v>
      </c>
      <c r="L8156">
        <v>-21.36758</v>
      </c>
      <c r="M8156">
        <v>-7.0618800000000004E-3</v>
      </c>
      <c r="N8156">
        <v>-6.7408160000000002E-3</v>
      </c>
      <c r="O8156">
        <v>0.99995230000000002</v>
      </c>
      <c r="P8156">
        <v>-2.3273800000000001E-2</v>
      </c>
      <c r="Q8156">
        <v>-0.1222015</v>
      </c>
      <c r="R8156">
        <v>0.99223240000000001</v>
      </c>
      <c r="S8156">
        <v>-3.225708E-2</v>
      </c>
      <c r="T8156">
        <v>-0.15006069999999999</v>
      </c>
      <c r="U8156">
        <v>3.0042420000000001</v>
      </c>
      <c r="V8156">
        <v>-1.6193030000000001E-2</v>
      </c>
      <c r="W8156">
        <v>-0.1155196</v>
      </c>
      <c r="X8156">
        <v>0.99317319999999998</v>
      </c>
      <c r="Y8156">
        <v>-3.6639559999999999E-3</v>
      </c>
      <c r="Z8156">
        <v>-4.3150630000000002E-2</v>
      </c>
      <c r="AA8156">
        <v>0.99906189999999995</v>
      </c>
      <c r="AB8156">
        <v>30</v>
      </c>
      <c r="AC8156">
        <v>-0.23839999999998401</v>
      </c>
      <c r="AD8156">
        <v>-1.1199969295826</v>
      </c>
      <c r="AE8156">
        <v>22.123011899999899</v>
      </c>
      <c r="AF8156">
        <v>-8.1950430449727205E-2</v>
      </c>
      <c r="AG8156">
        <v>-1.1199969295826</v>
      </c>
      <c r="AH8156">
        <v>22.0675915984353</v>
      </c>
      <c r="AI8156">
        <v>92.905420907287606</v>
      </c>
      <c r="AJ8156">
        <v>90.212773205839994</v>
      </c>
      <c r="AK8156">
        <v>22.096146902812201</v>
      </c>
      <c r="AL8156">
        <v>96.633595687615795</v>
      </c>
      <c r="AM8156">
        <v>90.934086901998995</v>
      </c>
      <c r="AN8156">
        <v>0.99999999870149003</v>
      </c>
    </row>
    <row r="8157" spans="1:40" x14ac:dyDescent="0.25">
      <c r="A8157" t="str">
        <f>"20190303155008294"</f>
        <v>20190303155008294</v>
      </c>
      <c r="B8157" t="str">
        <f>"1551599408288691"</f>
        <v>1551599408288691</v>
      </c>
      <c r="C8157" t="s">
        <v>40</v>
      </c>
      <c r="D8157">
        <v>5.5810810000000002</v>
      </c>
      <c r="E8157">
        <v>0.50514859999999995</v>
      </c>
      <c r="F8157" t="s">
        <v>41</v>
      </c>
      <c r="G8157">
        <v>-187.90610000000001</v>
      </c>
      <c r="H8157" s="1">
        <v>-9.3168609999999999E-7</v>
      </c>
      <c r="I8157">
        <v>0.74868129999999999</v>
      </c>
      <c r="J8157">
        <v>-187.68680000000001</v>
      </c>
      <c r="K8157">
        <v>1.1199939999999999</v>
      </c>
      <c r="L8157">
        <v>-21.049160000000001</v>
      </c>
      <c r="M8157">
        <v>-7.4218119999999999E-3</v>
      </c>
      <c r="N8157">
        <v>-6.7748189999999996E-3</v>
      </c>
      <c r="O8157">
        <v>0.99994950000000005</v>
      </c>
      <c r="P8157">
        <v>-2.330552E-2</v>
      </c>
      <c r="Q8157">
        <v>-0.1221724</v>
      </c>
      <c r="R8157">
        <v>0.99223519999999998</v>
      </c>
      <c r="S8157">
        <v>-3.0136110000000001E-2</v>
      </c>
      <c r="T8157">
        <v>-0.15212800000000001</v>
      </c>
      <c r="U8157">
        <v>3.0040279999999999</v>
      </c>
      <c r="V8157">
        <v>-1.586779E-2</v>
      </c>
      <c r="W8157">
        <v>-0.1154564</v>
      </c>
      <c r="X8157">
        <v>0.99318580000000001</v>
      </c>
      <c r="Y8157">
        <v>-2.599372E-3</v>
      </c>
      <c r="Z8157">
        <v>-4.3806020000000001E-2</v>
      </c>
      <c r="AA8157">
        <v>0.9990367</v>
      </c>
      <c r="AB8157">
        <v>30</v>
      </c>
      <c r="AC8157">
        <v>-0.21930000000000399</v>
      </c>
      <c r="AD8157">
        <v>-1.1199949316861</v>
      </c>
      <c r="AE8157">
        <v>21.797841300000002</v>
      </c>
      <c r="AF8157">
        <v>-5.7359351723162998E-2</v>
      </c>
      <c r="AG8157">
        <v>-1.1199949316861</v>
      </c>
      <c r="AH8157">
        <v>21.741476706348799</v>
      </c>
      <c r="AI8157">
        <v>92.948929697941097</v>
      </c>
      <c r="AJ8157">
        <v>90.151159978175798</v>
      </c>
      <c r="AK8157">
        <v>21.7703809823104</v>
      </c>
      <c r="AL8157">
        <v>96.6299501920262</v>
      </c>
      <c r="AM8157">
        <v>90.915317208331302</v>
      </c>
      <c r="AN8157">
        <v>1.0000000001910401</v>
      </c>
    </row>
    <row r="8158" spans="1:40" x14ac:dyDescent="0.25">
      <c r="A8158" t="str">
        <f>"20190303155008314"</f>
        <v>20190303155008314</v>
      </c>
      <c r="B8158" t="str">
        <f>"1551599408309186"</f>
        <v>1551599408309186</v>
      </c>
      <c r="C8158" t="s">
        <v>40</v>
      </c>
      <c r="D8158">
        <v>5.5701519999999896</v>
      </c>
      <c r="E8158">
        <v>0.50526769999999999</v>
      </c>
      <c r="F8158" t="s">
        <v>41</v>
      </c>
      <c r="G8158">
        <v>-187.8861</v>
      </c>
      <c r="H8158" s="1">
        <v>-9.6860230000000001E-7</v>
      </c>
      <c r="I8158">
        <v>0.84154180000000001</v>
      </c>
      <c r="J8158">
        <v>-187.6891</v>
      </c>
      <c r="K8158">
        <v>1.119998</v>
      </c>
      <c r="L8158">
        <v>-20.78058</v>
      </c>
      <c r="M8158">
        <v>-7.7281850000000003E-3</v>
      </c>
      <c r="N8158">
        <v>-6.8032029999999999E-3</v>
      </c>
      <c r="O8158">
        <v>0.99994700000000003</v>
      </c>
      <c r="P8158">
        <v>-2.2982389999999998E-2</v>
      </c>
      <c r="Q8158">
        <v>-0.1222448</v>
      </c>
      <c r="R8158">
        <v>0.9922339</v>
      </c>
      <c r="S8158">
        <v>-2.734375E-2</v>
      </c>
      <c r="T8158">
        <v>-0.15368889999999999</v>
      </c>
      <c r="U8158">
        <v>3.0039060000000002</v>
      </c>
      <c r="V8158">
        <v>-1.5240210000000001E-2</v>
      </c>
      <c r="W8158">
        <v>-0.1155003</v>
      </c>
      <c r="X8158">
        <v>0.99319049999999998</v>
      </c>
      <c r="Y8158">
        <v>-1.364833E-3</v>
      </c>
      <c r="Z8158">
        <v>-4.429756E-2</v>
      </c>
      <c r="AA8158">
        <v>0.9990175</v>
      </c>
      <c r="AB8158">
        <v>30</v>
      </c>
      <c r="AC8158">
        <v>-0.19700000000000201</v>
      </c>
      <c r="AD8158">
        <v>-1.1199989686023</v>
      </c>
      <c r="AE8158">
        <v>21.622121799999999</v>
      </c>
      <c r="AF8158">
        <v>-2.9810514917734201E-2</v>
      </c>
      <c r="AG8158">
        <v>-1.1199989686023</v>
      </c>
      <c r="AH8158">
        <v>21.565141694848101</v>
      </c>
      <c r="AI8158">
        <v>92.973017770838993</v>
      </c>
      <c r="AJ8158">
        <v>90.079202614391605</v>
      </c>
      <c r="AK8158">
        <v>21.594226605168</v>
      </c>
      <c r="AL8158">
        <v>96.632482576538706</v>
      </c>
      <c r="AM8158">
        <v>90.879117537969094</v>
      </c>
      <c r="AN8158">
        <v>0.99999997629559101</v>
      </c>
    </row>
    <row r="8159" spans="1:40" x14ac:dyDescent="0.25">
      <c r="A8159" t="str">
        <f>"20190303155008337"</f>
        <v>20190303155008337</v>
      </c>
      <c r="B8159" t="str">
        <f>"1551599408328707"</f>
        <v>1551599408328707</v>
      </c>
      <c r="C8159" t="s">
        <v>40</v>
      </c>
      <c r="D8159">
        <v>5.3724220000000003</v>
      </c>
      <c r="E8159">
        <v>0.50540980000000002</v>
      </c>
      <c r="F8159" t="s">
        <v>41</v>
      </c>
      <c r="G8159">
        <v>-187.8706</v>
      </c>
      <c r="H8159" s="1">
        <v>-9.6138490000000009E-7</v>
      </c>
      <c r="I8159">
        <v>0.80823919999999905</v>
      </c>
      <c r="J8159">
        <v>-187.6918</v>
      </c>
      <c r="K8159">
        <v>1.119998</v>
      </c>
      <c r="L8159">
        <v>-20.470369999999999</v>
      </c>
      <c r="M8159">
        <v>-8.0857180000000004E-3</v>
      </c>
      <c r="N8159">
        <v>-6.8357560000000001E-3</v>
      </c>
      <c r="O8159">
        <v>0.99994400000000006</v>
      </c>
      <c r="P8159">
        <v>-2.2774019999999999E-2</v>
      </c>
      <c r="Q8159">
        <v>-0.1218069</v>
      </c>
      <c r="R8159">
        <v>0.99229250000000002</v>
      </c>
      <c r="S8159">
        <v>-2.5253299999999999E-2</v>
      </c>
      <c r="T8159">
        <v>-0.15582750000000001</v>
      </c>
      <c r="U8159">
        <v>3.0036930000000002</v>
      </c>
      <c r="V8159">
        <v>-1.467602E-2</v>
      </c>
      <c r="W8159">
        <v>-0.1150294</v>
      </c>
      <c r="X8159">
        <v>0.99325359999999996</v>
      </c>
      <c r="Y8159">
        <v>-3.1265079999999998E-4</v>
      </c>
      <c r="Z8159">
        <v>-4.4977990000000002E-2</v>
      </c>
      <c r="AA8159">
        <v>0.99898790000000004</v>
      </c>
      <c r="AB8159">
        <v>30</v>
      </c>
      <c r="AC8159">
        <v>-0.17879999999999499</v>
      </c>
      <c r="AD8159">
        <v>-1.1199989613849</v>
      </c>
      <c r="AE8159">
        <v>21.278609199999998</v>
      </c>
      <c r="AF8159">
        <v>-6.7186983813217697E-3</v>
      </c>
      <c r="AG8159">
        <v>-1.1199989613849</v>
      </c>
      <c r="AH8159">
        <v>21.220573155072099</v>
      </c>
      <c r="AI8159">
        <v>93.0212060645176</v>
      </c>
      <c r="AJ8159">
        <v>90.018140558475693</v>
      </c>
      <c r="AK8159">
        <v>21.250109831343899</v>
      </c>
      <c r="AL8159">
        <v>96.605321254668297</v>
      </c>
      <c r="AM8159">
        <v>90.846523808692297</v>
      </c>
      <c r="AN8159">
        <v>0.99999993117017705</v>
      </c>
    </row>
    <row r="8160" spans="1:40" x14ac:dyDescent="0.25">
      <c r="A8160" t="str">
        <f>"20190303155008362"</f>
        <v>20190303155008362</v>
      </c>
      <c r="B8160" t="str">
        <f>"1551599408358494"</f>
        <v>1551599408358494</v>
      </c>
      <c r="C8160" t="s">
        <v>40</v>
      </c>
      <c r="D8160">
        <v>5.5397259999999999</v>
      </c>
      <c r="E8160">
        <v>0.50560890000000003</v>
      </c>
      <c r="F8160" t="s">
        <v>41</v>
      </c>
      <c r="G8160">
        <v>-187.8595</v>
      </c>
      <c r="H8160" s="1">
        <v>-1.0719010000000001E-6</v>
      </c>
      <c r="I8160">
        <v>1.12429</v>
      </c>
      <c r="J8160">
        <v>-187.69479999999999</v>
      </c>
      <c r="K8160">
        <v>1.1200079999999999</v>
      </c>
      <c r="L8160">
        <v>-20.145630000000001</v>
      </c>
      <c r="M8160">
        <v>-8.4632649999999993E-3</v>
      </c>
      <c r="N8160">
        <v>-6.8696149999999999E-3</v>
      </c>
      <c r="O8160">
        <v>0.99994059999999996</v>
      </c>
      <c r="P8160">
        <v>-2.2896650000000001E-2</v>
      </c>
      <c r="Q8160">
        <v>-0.12191399999999999</v>
      </c>
      <c r="R8160">
        <v>0.99227650000000001</v>
      </c>
      <c r="S8160">
        <v>-2.3315430000000002E-2</v>
      </c>
      <c r="T8160">
        <v>-0.15578220000000001</v>
      </c>
      <c r="U8160">
        <v>3.0036320000000001</v>
      </c>
      <c r="V8160">
        <v>-1.442298E-2</v>
      </c>
      <c r="W8160">
        <v>-0.11510280000000001</v>
      </c>
      <c r="X8160">
        <v>0.99324889999999999</v>
      </c>
      <c r="Y8160">
        <v>7.0900740000000002E-4</v>
      </c>
      <c r="Z8160">
        <v>-4.4930060000000001E-2</v>
      </c>
      <c r="AA8160">
        <v>0.99898989999999999</v>
      </c>
      <c r="AB8160">
        <v>30</v>
      </c>
      <c r="AC8160">
        <v>-0.16470000000001001</v>
      </c>
      <c r="AD8160">
        <v>-1.1200090719010001</v>
      </c>
      <c r="AE8160">
        <v>21.269919999999999</v>
      </c>
      <c r="AF8160">
        <v>1.52807468514342E-2</v>
      </c>
      <c r="AG8160">
        <v>-1.1200090719010001</v>
      </c>
      <c r="AH8160">
        <v>21.211740717959199</v>
      </c>
      <c r="AI8160">
        <v>93.022488346239697</v>
      </c>
      <c r="AJ8160">
        <v>89.958724643932698</v>
      </c>
      <c r="AK8160">
        <v>21.2412946429423</v>
      </c>
      <c r="AL8160">
        <v>96.609554248528099</v>
      </c>
      <c r="AM8160">
        <v>90.831934277696405</v>
      </c>
      <c r="AN8160">
        <v>1.00000002713556</v>
      </c>
    </row>
    <row r="8161" spans="1:40" x14ac:dyDescent="0.25">
      <c r="A8161" t="str">
        <f>"20190303155008384"</f>
        <v>20190303155008384</v>
      </c>
      <c r="B8161" t="str">
        <f>"1551599408378989"</f>
        <v>1551599408378989</v>
      </c>
      <c r="C8161" t="s">
        <v>40</v>
      </c>
      <c r="D8161">
        <v>5.4456110000000004</v>
      </c>
      <c r="E8161">
        <v>0.50586439999999999</v>
      </c>
      <c r="F8161" t="s">
        <v>41</v>
      </c>
      <c r="G8161">
        <v>-187.85210000000001</v>
      </c>
      <c r="H8161" s="1">
        <v>-1.0523070000000001E-6</v>
      </c>
      <c r="I8161">
        <v>1.0609820000000001</v>
      </c>
      <c r="J8161">
        <v>-187.6978</v>
      </c>
      <c r="K8161">
        <v>1.1200129999999999</v>
      </c>
      <c r="L8161">
        <v>-19.842680000000001</v>
      </c>
      <c r="M8161">
        <v>-8.8177569999999903E-3</v>
      </c>
      <c r="N8161">
        <v>-6.9009220000000003E-3</v>
      </c>
      <c r="O8161">
        <v>0.99993730000000003</v>
      </c>
      <c r="P8161">
        <v>-2.245494E-2</v>
      </c>
      <c r="Q8161">
        <v>-0.1217266</v>
      </c>
      <c r="R8161">
        <v>0.99230960000000001</v>
      </c>
      <c r="S8161">
        <v>-2.2277829999999998E-2</v>
      </c>
      <c r="T8161">
        <v>-0.15861979999999901</v>
      </c>
      <c r="U8161">
        <v>3.0033569999999998</v>
      </c>
      <c r="V8161">
        <v>-1.362907E-2</v>
      </c>
      <c r="W8161">
        <v>-0.11488370000000001</v>
      </c>
      <c r="X8161">
        <v>0.99328539999999998</v>
      </c>
      <c r="Y8161">
        <v>1.408084E-3</v>
      </c>
      <c r="Z8161">
        <v>-4.584448E-2</v>
      </c>
      <c r="AA8161">
        <v>0.99894760000000005</v>
      </c>
      <c r="AB8161">
        <v>30</v>
      </c>
      <c r="AC8161">
        <v>-0.15430000000000599</v>
      </c>
      <c r="AD8161">
        <v>-1.1200140523069999</v>
      </c>
      <c r="AE8161">
        <v>20.903662000000001</v>
      </c>
      <c r="AF8161">
        <v>2.99478325918217E-2</v>
      </c>
      <c r="AG8161">
        <v>-1.1200140523069999</v>
      </c>
      <c r="AH8161">
        <v>20.844373234288899</v>
      </c>
      <c r="AI8161">
        <v>93.075667474725194</v>
      </c>
      <c r="AJ8161">
        <v>89.9176812268162</v>
      </c>
      <c r="AK8161">
        <v>20.8744634393409</v>
      </c>
      <c r="AL8161">
        <v>96.5969174156387</v>
      </c>
      <c r="AM8161">
        <v>90.786117654523594</v>
      </c>
      <c r="AN8161">
        <v>0.999999950963956</v>
      </c>
    </row>
    <row r="8162" spans="1:40" x14ac:dyDescent="0.25">
      <c r="A8162" t="str">
        <f>"20190303155008407"</f>
        <v>20190303155008407</v>
      </c>
      <c r="B8162" t="str">
        <f>"1551599408398510"</f>
        <v>1551599408398510</v>
      </c>
      <c r="C8162" t="s">
        <v>40</v>
      </c>
      <c r="D8162">
        <v>5.5696890000000003</v>
      </c>
      <c r="E8162">
        <v>0.50602570000000002</v>
      </c>
      <c r="F8162" t="s">
        <v>41</v>
      </c>
      <c r="G8162">
        <v>-187.83150000000001</v>
      </c>
      <c r="H8162" s="1">
        <v>-1.1865640000000001E-6</v>
      </c>
      <c r="I8162">
        <v>1.439373</v>
      </c>
      <c r="J8162">
        <v>-187.70089999999999</v>
      </c>
      <c r="K8162">
        <v>1.1200159999999999</v>
      </c>
      <c r="L8162">
        <v>-19.531590000000001</v>
      </c>
      <c r="M8162">
        <v>-9.1831929999999992E-3</v>
      </c>
      <c r="N8162">
        <v>-6.9329550000000002E-3</v>
      </c>
      <c r="O8162">
        <v>0.99993379999999998</v>
      </c>
      <c r="P8162">
        <v>-2.1935759999999999E-2</v>
      </c>
      <c r="Q8162">
        <v>-0.1214601</v>
      </c>
      <c r="R8162">
        <v>0.99235390000000001</v>
      </c>
      <c r="S8162">
        <v>-1.8875119999999999E-2</v>
      </c>
      <c r="T8162">
        <v>-0.15806289999999901</v>
      </c>
      <c r="U8162">
        <v>3.0034480000000001</v>
      </c>
      <c r="V8162">
        <v>-1.27457E-2</v>
      </c>
      <c r="W8162">
        <v>-0.11458459999999999</v>
      </c>
      <c r="X8162">
        <v>0.99333170000000004</v>
      </c>
      <c r="Y8162">
        <v>2.9050859999999999E-3</v>
      </c>
      <c r="Z8162">
        <v>-4.562604E-2</v>
      </c>
      <c r="AA8162">
        <v>0.99895440000000002</v>
      </c>
      <c r="AB8162">
        <v>30</v>
      </c>
      <c r="AC8162">
        <v>-0.13060000000001501</v>
      </c>
      <c r="AD8162">
        <v>-1.1200171865639901</v>
      </c>
      <c r="AE8162">
        <v>20.970963000000001</v>
      </c>
      <c r="AF8162">
        <v>6.1814223192846698E-2</v>
      </c>
      <c r="AG8162">
        <v>-1.1200171865639901</v>
      </c>
      <c r="AH8162">
        <v>20.911631714295901</v>
      </c>
      <c r="AI8162">
        <v>93.065792400932807</v>
      </c>
      <c r="AJ8162">
        <v>89.830635703814906</v>
      </c>
      <c r="AK8162">
        <v>20.9416952621017</v>
      </c>
      <c r="AL8162">
        <v>96.579666167182296</v>
      </c>
      <c r="AM8162">
        <v>90.735136856197599</v>
      </c>
      <c r="AN8162">
        <v>0.99999997482526903</v>
      </c>
    </row>
    <row r="8163" spans="1:40" x14ac:dyDescent="0.25">
      <c r="A8163" t="str">
        <f>"20190303155008426"</f>
        <v>20190303155008426</v>
      </c>
      <c r="B8163" t="str">
        <f>"1551599408419005"</f>
        <v>1551599408419005</v>
      </c>
      <c r="C8163" t="s">
        <v>40</v>
      </c>
      <c r="D8163">
        <v>5.576708</v>
      </c>
      <c r="E8163">
        <v>0.50608399999999998</v>
      </c>
      <c r="F8163" t="s">
        <v>41</v>
      </c>
      <c r="G8163">
        <v>-187.81370000000001</v>
      </c>
      <c r="H8163" s="1">
        <v>-1.277996E-6</v>
      </c>
      <c r="I8163">
        <v>1.694107</v>
      </c>
      <c r="J8163">
        <v>-187.7038</v>
      </c>
      <c r="K8163">
        <v>1.12002</v>
      </c>
      <c r="L8163">
        <v>-19.253969999999999</v>
      </c>
      <c r="M8163">
        <v>-9.5106670000000004E-3</v>
      </c>
      <c r="N8163">
        <v>-6.9614550000000001E-3</v>
      </c>
      <c r="O8163">
        <v>0.9999306</v>
      </c>
      <c r="P8163">
        <v>-2.1383780000000002E-2</v>
      </c>
      <c r="Q8163">
        <v>-0.1211021</v>
      </c>
      <c r="R8163">
        <v>0.99240969999999995</v>
      </c>
      <c r="S8163">
        <v>-1.596069E-2</v>
      </c>
      <c r="T8163">
        <v>-0.15847829999999999</v>
      </c>
      <c r="U8163">
        <v>3.0033569999999998</v>
      </c>
      <c r="V8163">
        <v>-1.186807E-2</v>
      </c>
      <c r="W8163">
        <v>-0.1141974</v>
      </c>
      <c r="X8163">
        <v>0.99338720000000003</v>
      </c>
      <c r="Y8163">
        <v>4.2014829999999998E-3</v>
      </c>
      <c r="Z8163">
        <v>-4.573667E-2</v>
      </c>
      <c r="AA8163">
        <v>0.99894470000000002</v>
      </c>
      <c r="AB8163">
        <v>30</v>
      </c>
      <c r="AC8163">
        <v>-0.10990000000001</v>
      </c>
      <c r="AD8163">
        <v>-1.1200212779959999</v>
      </c>
      <c r="AE8163">
        <v>20.948076999999898</v>
      </c>
      <c r="AF8163">
        <v>8.90853125592731E-2</v>
      </c>
      <c r="AG8163">
        <v>-1.1200212779959999</v>
      </c>
      <c r="AH8163">
        <v>20.888463167406901</v>
      </c>
      <c r="AI8163">
        <v>93.069183057843603</v>
      </c>
      <c r="AJ8163">
        <v>89.755645906569299</v>
      </c>
      <c r="AK8163">
        <v>20.9186585935186</v>
      </c>
      <c r="AL8163">
        <v>96.557334399567594</v>
      </c>
      <c r="AM8163">
        <v>90.6844843304617</v>
      </c>
      <c r="AN8163">
        <v>1.00000001318806</v>
      </c>
    </row>
    <row r="8164" spans="1:40" x14ac:dyDescent="0.25">
      <c r="A8164" t="str">
        <f>"20190303155008449"</f>
        <v>20190303155008449</v>
      </c>
      <c r="B8164" t="str">
        <f>"1551599408438525"</f>
        <v>1551599408438525</v>
      </c>
      <c r="C8164" t="s">
        <v>40</v>
      </c>
      <c r="D8164">
        <v>5.602805</v>
      </c>
      <c r="E8164">
        <v>0.50599019999999995</v>
      </c>
      <c r="F8164" t="s">
        <v>41</v>
      </c>
      <c r="G8164">
        <v>-187.80099999999999</v>
      </c>
      <c r="H8164" s="1">
        <v>-1.2941100000000001E-6</v>
      </c>
      <c r="I8164">
        <v>1.7315389999999999</v>
      </c>
      <c r="J8164">
        <v>-187.70689999999999</v>
      </c>
      <c r="K8164">
        <v>1.1200270000000001</v>
      </c>
      <c r="L8164">
        <v>-18.956119999999999</v>
      </c>
      <c r="M8164">
        <v>-9.8629040000000005E-3</v>
      </c>
      <c r="N8164">
        <v>-6.9919789999999997E-3</v>
      </c>
      <c r="O8164">
        <v>0.99992689999999995</v>
      </c>
      <c r="P8164">
        <v>-2.1149959999999999E-2</v>
      </c>
      <c r="Q8164">
        <v>-0.12081219999999999</v>
      </c>
      <c r="R8164">
        <v>0.9924501</v>
      </c>
      <c r="S8164">
        <v>-1.3916019999999999E-2</v>
      </c>
      <c r="T8164">
        <v>-0.16027810000000001</v>
      </c>
      <c r="U8164">
        <v>3.003082</v>
      </c>
      <c r="V8164">
        <v>-1.1283960000000001E-2</v>
      </c>
      <c r="W8164">
        <v>-0.11387650000000001</v>
      </c>
      <c r="X8164">
        <v>0.99343090000000001</v>
      </c>
      <c r="Y8164">
        <v>5.2332709999999899E-3</v>
      </c>
      <c r="Z8164">
        <v>-4.6307630000000002E-2</v>
      </c>
      <c r="AA8164">
        <v>0.99891350000000001</v>
      </c>
      <c r="AB8164">
        <v>30</v>
      </c>
      <c r="AC8164">
        <v>-9.4099999999997394E-2</v>
      </c>
      <c r="AD8164">
        <v>-1.1200282941099999</v>
      </c>
      <c r="AE8164">
        <v>20.687659</v>
      </c>
      <c r="AF8164">
        <v>0.109628633415782</v>
      </c>
      <c r="AG8164">
        <v>-1.1200282941099999</v>
      </c>
      <c r="AH8164">
        <v>20.627121280604399</v>
      </c>
      <c r="AI8164">
        <v>93.107997121476799</v>
      </c>
      <c r="AJ8164">
        <v>89.695488343620497</v>
      </c>
      <c r="AK8164">
        <v>20.657797901558499</v>
      </c>
      <c r="AL8164">
        <v>96.538827087392704</v>
      </c>
      <c r="AM8164">
        <v>90.650770458347907</v>
      </c>
      <c r="AN8164">
        <v>1.00000006904016</v>
      </c>
    </row>
    <row r="8165" spans="1:40" x14ac:dyDescent="0.25">
      <c r="A8165" t="str">
        <f>"20190303155008472"</f>
        <v>20190303155008472</v>
      </c>
      <c r="B8165" t="str">
        <f>"1551599408468314"</f>
        <v>1551599408468314</v>
      </c>
      <c r="C8165" t="s">
        <v>40</v>
      </c>
      <c r="D8165">
        <v>5.5680480000000001</v>
      </c>
      <c r="E8165">
        <v>0.50607650000000004</v>
      </c>
      <c r="F8165" t="s">
        <v>41</v>
      </c>
      <c r="G8165">
        <v>-187.8013</v>
      </c>
      <c r="H8165" s="1">
        <v>-1.2578000000000001E-6</v>
      </c>
      <c r="I8165">
        <v>1.6250370000000001</v>
      </c>
      <c r="J8165">
        <v>-187.71029999999999</v>
      </c>
      <c r="K8165">
        <v>1.1200300000000001</v>
      </c>
      <c r="L8165">
        <v>-18.65015</v>
      </c>
      <c r="M8165">
        <v>-1.0225329999999999E-2</v>
      </c>
      <c r="N8165">
        <v>-7.0233040000000002E-3</v>
      </c>
      <c r="O8165">
        <v>0.99992309999999995</v>
      </c>
      <c r="P8165">
        <v>-2.0885259999999999E-2</v>
      </c>
      <c r="Q8165">
        <v>-0.1203249</v>
      </c>
      <c r="R8165">
        <v>0.99251480000000003</v>
      </c>
      <c r="S8165">
        <v>-1.376343E-2</v>
      </c>
      <c r="T8165">
        <v>-0.16340299999999999</v>
      </c>
      <c r="U8165">
        <v>3.0026250000000001</v>
      </c>
      <c r="V8165">
        <v>-1.065836E-2</v>
      </c>
      <c r="W8165">
        <v>-0.11335729999999999</v>
      </c>
      <c r="X8165">
        <v>0.99349710000000002</v>
      </c>
      <c r="Y8165">
        <v>5.6458860000000001E-3</v>
      </c>
      <c r="Z8165">
        <v>-4.7320590000000003E-2</v>
      </c>
      <c r="AA8165">
        <v>0.99886379999999997</v>
      </c>
      <c r="AB8165">
        <v>30</v>
      </c>
      <c r="AC8165">
        <v>-9.1000000000008199E-2</v>
      </c>
      <c r="AD8165">
        <v>-1.12003125779999</v>
      </c>
      <c r="AE8165">
        <v>20.275186999999999</v>
      </c>
      <c r="AF8165">
        <v>0.115976430738525</v>
      </c>
      <c r="AG8165">
        <v>-1.12003125779999</v>
      </c>
      <c r="AH8165">
        <v>20.213375176729201</v>
      </c>
      <c r="AI8165">
        <v>93.171486899135502</v>
      </c>
      <c r="AJ8165">
        <v>89.671262862834197</v>
      </c>
      <c r="AK8165">
        <v>20.2447142875899</v>
      </c>
      <c r="AL8165">
        <v>96.508885799046396</v>
      </c>
      <c r="AM8165">
        <v>90.614652642596596</v>
      </c>
      <c r="AN8165">
        <v>0.99999998290479397</v>
      </c>
    </row>
    <row r="8166" spans="1:40" x14ac:dyDescent="0.25">
      <c r="A8166" t="str">
        <f>"20190303155008493"</f>
        <v>20190303155008493</v>
      </c>
      <c r="B8166" t="str">
        <f>"1551599408488810"</f>
        <v>1551599408488810</v>
      </c>
      <c r="C8166" t="s">
        <v>40</v>
      </c>
      <c r="D8166">
        <v>5.6083769999999999</v>
      </c>
      <c r="E8166">
        <v>0.50614859999999995</v>
      </c>
      <c r="F8166" t="s">
        <v>41</v>
      </c>
      <c r="G8166">
        <v>-187.79409999999999</v>
      </c>
      <c r="H8166" s="1">
        <v>-1.2865990000000001E-6</v>
      </c>
      <c r="I8166">
        <v>1.704064</v>
      </c>
      <c r="J8166">
        <v>-187.71379999999999</v>
      </c>
      <c r="K8166">
        <v>1.1200319999999999</v>
      </c>
      <c r="L8166">
        <v>-18.341000000000001</v>
      </c>
      <c r="M8166">
        <v>-1.0591690000000001E-2</v>
      </c>
      <c r="N8166">
        <v>-7.0547730000000003E-3</v>
      </c>
      <c r="O8166">
        <v>0.999919</v>
      </c>
      <c r="P8166">
        <v>-1.9790459999999999E-2</v>
      </c>
      <c r="Q8166">
        <v>-0.1202261</v>
      </c>
      <c r="R8166">
        <v>0.99254920000000002</v>
      </c>
      <c r="S8166">
        <v>-1.235962E-2</v>
      </c>
      <c r="T8166">
        <v>-0.16521040000000001</v>
      </c>
      <c r="U8166">
        <v>3.0023499999999999</v>
      </c>
      <c r="V8166">
        <v>-9.1989020000000001E-3</v>
      </c>
      <c r="W8166">
        <v>-0.1132262</v>
      </c>
      <c r="X8166">
        <v>0.99352660000000004</v>
      </c>
      <c r="Y8166">
        <v>6.4787869999999997E-3</v>
      </c>
      <c r="Z8166">
        <v>-4.7893140000000001E-2</v>
      </c>
      <c r="AA8166">
        <v>0.99883149999999998</v>
      </c>
      <c r="AB8166">
        <v>31</v>
      </c>
      <c r="AC8166">
        <v>-8.0299999999994001E-2</v>
      </c>
      <c r="AD8166">
        <v>-1.1200332865989999</v>
      </c>
      <c r="AE8166">
        <v>20.045064</v>
      </c>
      <c r="AF8166">
        <v>0.131610003065182</v>
      </c>
      <c r="AG8166">
        <v>-1.1200332865989999</v>
      </c>
      <c r="AH8166">
        <v>19.982403994901698</v>
      </c>
      <c r="AI8166">
        <v>93.208058180066502</v>
      </c>
      <c r="AJ8166">
        <v>89.622638563136604</v>
      </c>
      <c r="AK8166">
        <v>20.014201587159501</v>
      </c>
      <c r="AL8166">
        <v>96.501325872589604</v>
      </c>
      <c r="AM8166">
        <v>90.530477191701493</v>
      </c>
      <c r="AN8166">
        <v>0.99999994853600105</v>
      </c>
    </row>
    <row r="8167" spans="1:40" x14ac:dyDescent="0.25">
      <c r="A8167" t="str">
        <f>"20190303155008515"</f>
        <v>20190303155008515</v>
      </c>
      <c r="B8167" t="str">
        <f>"1551599408508330"</f>
        <v>1551599408508330</v>
      </c>
      <c r="C8167" t="s">
        <v>40</v>
      </c>
      <c r="D8167">
        <v>5.5749959999999996</v>
      </c>
      <c r="E8167">
        <v>0.50620750000000003</v>
      </c>
      <c r="F8167" t="s">
        <v>41</v>
      </c>
      <c r="G8167">
        <v>-187.77010000000001</v>
      </c>
      <c r="H8167" s="1">
        <v>-1.321976E-6</v>
      </c>
      <c r="I8167">
        <v>1.789261</v>
      </c>
      <c r="J8167">
        <v>-187.71719999999999</v>
      </c>
      <c r="K8167">
        <v>1.1200330000000001</v>
      </c>
      <c r="L8167">
        <v>-18.051359999999999</v>
      </c>
      <c r="M8167">
        <v>-1.0934569999999999E-2</v>
      </c>
      <c r="N8167">
        <v>-7.0840549999999997E-3</v>
      </c>
      <c r="O8167">
        <v>0.99991509999999995</v>
      </c>
      <c r="P8167">
        <v>-1.911177E-2</v>
      </c>
      <c r="Q8167">
        <v>-0.12057180000000001</v>
      </c>
      <c r="R8167">
        <v>0.99252059999999998</v>
      </c>
      <c r="S8167">
        <v>-8.3923339999999996E-3</v>
      </c>
      <c r="T8167">
        <v>-0.16703670000000001</v>
      </c>
      <c r="U8167">
        <v>3.0021360000000001</v>
      </c>
      <c r="V8167">
        <v>-8.1800359999999999E-3</v>
      </c>
      <c r="W8167">
        <v>-0.1135422</v>
      </c>
      <c r="X8167">
        <v>0.99349949999999998</v>
      </c>
      <c r="Y8167">
        <v>8.1410079999999999E-3</v>
      </c>
      <c r="Z8167">
        <v>-4.8472929999999997E-2</v>
      </c>
      <c r="AA8167">
        <v>0.99879130000000005</v>
      </c>
      <c r="AB8167">
        <v>31</v>
      </c>
      <c r="AC8167">
        <v>-5.2900000000022297E-2</v>
      </c>
      <c r="AD8167">
        <v>-1.1200343219760001</v>
      </c>
      <c r="AE8167">
        <v>19.840620999999999</v>
      </c>
      <c r="AF8167">
        <v>0.163536120559446</v>
      </c>
      <c r="AG8167">
        <v>-1.1200343219760001</v>
      </c>
      <c r="AH8167">
        <v>19.776988765562301</v>
      </c>
      <c r="AI8167">
        <v>93.2412708100549</v>
      </c>
      <c r="AJ8167">
        <v>89.526231416483796</v>
      </c>
      <c r="AK8167">
        <v>19.8093539919481</v>
      </c>
      <c r="AL8167">
        <v>96.519548516811199</v>
      </c>
      <c r="AM8167">
        <v>90.471737478100295</v>
      </c>
      <c r="AN8167">
        <v>1.00000000033502</v>
      </c>
    </row>
    <row r="8168" spans="1:40" x14ac:dyDescent="0.25">
      <c r="A8168" t="str">
        <f>"20190303155008537"</f>
        <v>20190303155008537</v>
      </c>
      <c r="B8168" t="str">
        <f>"1551599408528826"</f>
        <v>1551599408528826</v>
      </c>
      <c r="C8168" t="s">
        <v>40</v>
      </c>
      <c r="D8168">
        <v>5.5785030000000004</v>
      </c>
      <c r="E8168">
        <v>0.50628269999999997</v>
      </c>
      <c r="F8168" t="s">
        <v>41</v>
      </c>
      <c r="G8168">
        <v>-187.75540000000001</v>
      </c>
      <c r="H8168" s="1">
        <v>-1.3012740000000001E-6</v>
      </c>
      <c r="I8168">
        <v>1.7169460000000001</v>
      </c>
      <c r="J8168">
        <v>-187.72110000000001</v>
      </c>
      <c r="K8168">
        <v>1.1200300000000001</v>
      </c>
      <c r="L8168">
        <v>-17.733309999999999</v>
      </c>
      <c r="M8168">
        <v>-1.1311180000000001E-2</v>
      </c>
      <c r="N8168">
        <v>-7.1160719999999898E-3</v>
      </c>
      <c r="O8168">
        <v>0.99991070000000004</v>
      </c>
      <c r="P8168">
        <v>-1.8037149999999998E-2</v>
      </c>
      <c r="Q8168">
        <v>-0.1207728</v>
      </c>
      <c r="R8168">
        <v>0.99251630000000002</v>
      </c>
      <c r="S8168">
        <v>-5.7983399999999999E-3</v>
      </c>
      <c r="T8168">
        <v>-0.17007800000000001</v>
      </c>
      <c r="U8168">
        <v>3.0018310000000001</v>
      </c>
      <c r="V8168">
        <v>-6.7312090000000002E-3</v>
      </c>
      <c r="W8168">
        <v>-0.1137106</v>
      </c>
      <c r="X8168">
        <v>0.99349109999999996</v>
      </c>
      <c r="Y8168">
        <v>9.3802050000000008E-3</v>
      </c>
      <c r="Z8168">
        <v>-4.9454619999999998E-2</v>
      </c>
      <c r="AA8168">
        <v>0.99873230000000002</v>
      </c>
      <c r="AB8168">
        <v>31</v>
      </c>
      <c r="AC8168">
        <v>-3.4300000000001697E-2</v>
      </c>
      <c r="AD8168">
        <v>-1.120031301274</v>
      </c>
      <c r="AE8168">
        <v>19.450256</v>
      </c>
      <c r="AF8168">
        <v>0.18509933219626901</v>
      </c>
      <c r="AG8168">
        <v>-1.120031301274</v>
      </c>
      <c r="AH8168">
        <v>19.385119481324502</v>
      </c>
      <c r="AI8168">
        <v>93.306602488668105</v>
      </c>
      <c r="AJ8168">
        <v>89.452926341798701</v>
      </c>
      <c r="AK8168">
        <v>19.418331266713899</v>
      </c>
      <c r="AL8168">
        <v>96.529260104692696</v>
      </c>
      <c r="AM8168">
        <v>90.388190659700697</v>
      </c>
      <c r="AN8168">
        <v>0.99999998775308496</v>
      </c>
    </row>
    <row r="8169" spans="1:40" x14ac:dyDescent="0.25">
      <c r="A8169" t="str">
        <f>"20190303155008561"</f>
        <v>20190303155008561</v>
      </c>
      <c r="B8169" t="str">
        <f>"1551599408548346"</f>
        <v>1551599408548346</v>
      </c>
      <c r="C8169" t="s">
        <v>40</v>
      </c>
      <c r="D8169">
        <v>5.6377879999999996</v>
      </c>
      <c r="E8169">
        <v>0.5063588</v>
      </c>
      <c r="F8169" t="s">
        <v>41</v>
      </c>
      <c r="G8169">
        <v>-187.7329</v>
      </c>
      <c r="H8169" s="1">
        <v>-1.3141550000000001E-6</v>
      </c>
      <c r="I8169">
        <v>1.7372240000000001</v>
      </c>
      <c r="J8169">
        <v>-187.72489999999999</v>
      </c>
      <c r="K8169">
        <v>1.120031</v>
      </c>
      <c r="L8169">
        <v>-17.428709999999999</v>
      </c>
      <c r="M8169">
        <v>-1.1671519999999999E-2</v>
      </c>
      <c r="N8169">
        <v>-7.1466119999999897E-3</v>
      </c>
      <c r="O8169">
        <v>0.99990639999999997</v>
      </c>
      <c r="P8169">
        <v>-1.7769859999999998E-2</v>
      </c>
      <c r="Q8169">
        <v>-0.120132</v>
      </c>
      <c r="R8169">
        <v>0.99259889999999995</v>
      </c>
      <c r="S8169">
        <v>-1.8310550000000001E-3</v>
      </c>
      <c r="T8169">
        <v>-0.1726646</v>
      </c>
      <c r="U8169">
        <v>3.0015869999999998</v>
      </c>
      <c r="V8169">
        <v>-6.1049299999999997E-3</v>
      </c>
      <c r="W8169">
        <v>-0.1130385</v>
      </c>
      <c r="X8169">
        <v>0.99357189999999995</v>
      </c>
      <c r="Y8169">
        <v>1.106005E-2</v>
      </c>
      <c r="Z8169">
        <v>-5.0285620000000003E-2</v>
      </c>
      <c r="AA8169">
        <v>0.99867360000000005</v>
      </c>
      <c r="AB8169">
        <v>31</v>
      </c>
      <c r="AC8169">
        <v>-8.0000000000097701E-3</v>
      </c>
      <c r="AD8169">
        <v>-1.1200323141549999</v>
      </c>
      <c r="AE8169">
        <v>19.165934</v>
      </c>
      <c r="AF8169">
        <v>0.21496769552456099</v>
      </c>
      <c r="AG8169">
        <v>-1.1200323141549999</v>
      </c>
      <c r="AH8169">
        <v>19.099495498958099</v>
      </c>
      <c r="AI8169">
        <v>93.355882583234404</v>
      </c>
      <c r="AJ8169">
        <v>89.3551546093464</v>
      </c>
      <c r="AK8169">
        <v>19.133515406469201</v>
      </c>
      <c r="AL8169">
        <v>96.490501324946706</v>
      </c>
      <c r="AM8169">
        <v>90.352045303792494</v>
      </c>
      <c r="AN8169">
        <v>1.0000000465610801</v>
      </c>
    </row>
    <row r="8170" spans="1:40" x14ac:dyDescent="0.25">
      <c r="A8170" t="str">
        <f>"20190303155008585"</f>
        <v>20190303155008585</v>
      </c>
      <c r="B8170" t="str">
        <f>"1551599408578602"</f>
        <v>1551599408578602</v>
      </c>
      <c r="C8170" t="s">
        <v>40</v>
      </c>
      <c r="D8170">
        <v>5.547148</v>
      </c>
      <c r="E8170">
        <v>0.50639100000000004</v>
      </c>
      <c r="F8170" t="s">
        <v>41</v>
      </c>
      <c r="G8170">
        <v>-187.72839999999999</v>
      </c>
      <c r="H8170" s="1">
        <v>-1.4481219999999999E-6</v>
      </c>
      <c r="I8170">
        <v>2.069137</v>
      </c>
      <c r="J8170">
        <v>-187.72919999999999</v>
      </c>
      <c r="K8170">
        <v>1.120034</v>
      </c>
      <c r="L8170">
        <v>-17.090420000000002</v>
      </c>
      <c r="M8170">
        <v>-1.2071480000000001E-2</v>
      </c>
      <c r="N8170">
        <v>-7.1803589999999999E-3</v>
      </c>
      <c r="O8170">
        <v>0.99990140000000005</v>
      </c>
      <c r="P8170">
        <v>-1.7190589999999999E-2</v>
      </c>
      <c r="Q8170">
        <v>-0.1197385</v>
      </c>
      <c r="R8170">
        <v>0.9926566</v>
      </c>
      <c r="S8170">
        <v>-5.4931640000000002E-4</v>
      </c>
      <c r="T8170">
        <v>-0.1724176</v>
      </c>
      <c r="U8170">
        <v>3.0014949999999998</v>
      </c>
      <c r="V8170">
        <v>-5.1277859999999996E-3</v>
      </c>
      <c r="W8170">
        <v>-0.1126104</v>
      </c>
      <c r="X8170">
        <v>0.99362600000000001</v>
      </c>
      <c r="Y8170">
        <v>1.1886270000000001E-2</v>
      </c>
      <c r="Z8170">
        <v>-5.0171069999999998E-2</v>
      </c>
      <c r="AA8170">
        <v>0.9986699</v>
      </c>
      <c r="AB8170">
        <v>31</v>
      </c>
      <c r="AC8170">
        <v>7.9999999999813499E-4</v>
      </c>
      <c r="AD8170">
        <v>-1.1200354481219901</v>
      </c>
      <c r="AE8170">
        <v>19.159557</v>
      </c>
      <c r="AF8170">
        <v>0.23129966548849901</v>
      </c>
      <c r="AG8170">
        <v>-1.1200354481219901</v>
      </c>
      <c r="AH8170">
        <v>19.092903641340001</v>
      </c>
      <c r="AI8170">
        <v>93.357014305268706</v>
      </c>
      <c r="AJ8170">
        <v>89.305928179823795</v>
      </c>
      <c r="AK8170">
        <v>19.127125983738399</v>
      </c>
      <c r="AL8170">
        <v>96.465815604994006</v>
      </c>
      <c r="AM8170">
        <v>90.295682568554199</v>
      </c>
      <c r="AN8170">
        <v>1.0000000121267101</v>
      </c>
    </row>
    <row r="8171" spans="1:40" x14ac:dyDescent="0.25">
      <c r="A8171" t="str">
        <f>"20190303155008606"</f>
        <v>20190303155008606</v>
      </c>
      <c r="B8171" t="str">
        <f>"1551599408599098"</f>
        <v>1551599408599098</v>
      </c>
      <c r="C8171" t="s">
        <v>40</v>
      </c>
      <c r="D8171">
        <v>5.5575809999999999</v>
      </c>
      <c r="E8171">
        <v>0.50643919999999998</v>
      </c>
      <c r="F8171" t="s">
        <v>41</v>
      </c>
      <c r="G8171">
        <v>-187.7193</v>
      </c>
      <c r="H8171" s="1">
        <v>-1.56107E-6</v>
      </c>
      <c r="I8171">
        <v>2.3286560000000001</v>
      </c>
      <c r="J8171">
        <v>-187.73339999999999</v>
      </c>
      <c r="K8171">
        <v>1.120042</v>
      </c>
      <c r="L8171">
        <v>-16.775210000000001</v>
      </c>
      <c r="M8171">
        <v>-1.244402E-2</v>
      </c>
      <c r="N8171">
        <v>-7.2116860000000001E-3</v>
      </c>
      <c r="O8171">
        <v>0.99989660000000002</v>
      </c>
      <c r="P8171">
        <v>-1.6077129999999999E-2</v>
      </c>
      <c r="Q8171">
        <v>-0.1192819</v>
      </c>
      <c r="R8171">
        <v>0.99273029999999995</v>
      </c>
      <c r="S8171">
        <v>1.525879E-3</v>
      </c>
      <c r="T8171">
        <v>-0.1731087</v>
      </c>
      <c r="U8171">
        <v>3.0013429999999999</v>
      </c>
      <c r="V8171">
        <v>-3.643575E-3</v>
      </c>
      <c r="W8171">
        <v>-0.1121212</v>
      </c>
      <c r="X8171">
        <v>0.99368789999999996</v>
      </c>
      <c r="Y8171">
        <v>1.294903E-2</v>
      </c>
      <c r="Z8171">
        <v>-5.0371050000000001E-2</v>
      </c>
      <c r="AA8171">
        <v>0.99864660000000005</v>
      </c>
      <c r="AB8171">
        <v>31</v>
      </c>
      <c r="AC8171">
        <v>1.4099999999984901E-2</v>
      </c>
      <c r="AD8171">
        <v>-1.1200435610699999</v>
      </c>
      <c r="AE8171">
        <v>19.103866</v>
      </c>
      <c r="AF8171">
        <v>0.25097128957453702</v>
      </c>
      <c r="AG8171">
        <v>-1.1200435610699999</v>
      </c>
      <c r="AH8171">
        <v>19.036774693053101</v>
      </c>
      <c r="AI8171">
        <v>93.366868466668393</v>
      </c>
      <c r="AJ8171">
        <v>89.244684936908897</v>
      </c>
      <c r="AK8171">
        <v>19.0713469603212</v>
      </c>
      <c r="AL8171">
        <v>96.437607681748602</v>
      </c>
      <c r="AM8171">
        <v>90.210086622026097</v>
      </c>
      <c r="AN8171">
        <v>1.00000004086731</v>
      </c>
    </row>
    <row r="8172" spans="1:40" x14ac:dyDescent="0.25">
      <c r="A8172" t="str">
        <f>"20190303155008629"</f>
        <v>20190303155008629</v>
      </c>
      <c r="B8172" t="str">
        <f>"1551599408618618"</f>
        <v>1551599408618618</v>
      </c>
      <c r="C8172" t="s">
        <v>40</v>
      </c>
      <c r="D8172">
        <v>5.5511509999999999</v>
      </c>
      <c r="E8172">
        <v>0.50647419999999999</v>
      </c>
      <c r="F8172" t="s">
        <v>41</v>
      </c>
      <c r="G8172">
        <v>-187.7</v>
      </c>
      <c r="H8172" s="1">
        <v>-1.686512E-6</v>
      </c>
      <c r="I8172">
        <v>2.6130580000000001</v>
      </c>
      <c r="J8172">
        <v>-187.73769999999999</v>
      </c>
      <c r="K8172">
        <v>1.120055</v>
      </c>
      <c r="L8172">
        <v>-16.460539999999899</v>
      </c>
      <c r="M8172">
        <v>-1.281587E-2</v>
      </c>
      <c r="N8172">
        <v>-7.2428219999999899E-3</v>
      </c>
      <c r="O8172">
        <v>0.99989159999999999</v>
      </c>
      <c r="P8172">
        <v>-1.4404230000000001E-2</v>
      </c>
      <c r="Q8172">
        <v>-0.1194421</v>
      </c>
      <c r="R8172">
        <v>0.99273670000000003</v>
      </c>
      <c r="S8172">
        <v>5.172729E-3</v>
      </c>
      <c r="T8172">
        <v>-0.173378</v>
      </c>
      <c r="U8172">
        <v>3.0012210000000001</v>
      </c>
      <c r="V8172">
        <v>-1.600876E-3</v>
      </c>
      <c r="W8172">
        <v>-0.11224919999999999</v>
      </c>
      <c r="X8172">
        <v>0.99367879999999997</v>
      </c>
      <c r="Y8172">
        <v>1.453397E-2</v>
      </c>
      <c r="Z8172">
        <v>-5.0430460000000003E-2</v>
      </c>
      <c r="AA8172">
        <v>0.9986218</v>
      </c>
      <c r="AB8172">
        <v>31</v>
      </c>
      <c r="AC8172">
        <v>3.7700000000000899E-2</v>
      </c>
      <c r="AD8172">
        <v>-1.1200566865119901</v>
      </c>
      <c r="AE8172">
        <v>19.073598</v>
      </c>
      <c r="AF8172">
        <v>0.28117847246575001</v>
      </c>
      <c r="AG8172">
        <v>-1.1200566865119901</v>
      </c>
      <c r="AH8172">
        <v>19.006008666754099</v>
      </c>
      <c r="AI8172">
        <v>93.372269659862795</v>
      </c>
      <c r="AJ8172">
        <v>89.152417277451505</v>
      </c>
      <c r="AK8172">
        <v>19.0410596804671</v>
      </c>
      <c r="AL8172">
        <v>96.444988385590804</v>
      </c>
      <c r="AM8172">
        <v>90.092306849021398</v>
      </c>
      <c r="AN8172">
        <v>1.0000000016370201</v>
      </c>
    </row>
    <row r="8173" spans="1:40" x14ac:dyDescent="0.25">
      <c r="A8173" t="str">
        <f>"20190303155008650"</f>
        <v>20190303155008650</v>
      </c>
      <c r="B8173" t="str">
        <f>"1551599408640090"</f>
        <v>1551599408640090</v>
      </c>
      <c r="C8173" t="s">
        <v>40</v>
      </c>
      <c r="D8173">
        <v>5.5393919999999897</v>
      </c>
      <c r="E8173">
        <v>0.50649929999999999</v>
      </c>
      <c r="F8173" t="s">
        <v>41</v>
      </c>
      <c r="G8173">
        <v>-187.6678</v>
      </c>
      <c r="H8173" s="1">
        <v>-1.725198E-6</v>
      </c>
      <c r="I8173">
        <v>2.689918</v>
      </c>
      <c r="J8173">
        <v>-187.74180000000001</v>
      </c>
      <c r="K8173">
        <v>1.1200559999999999</v>
      </c>
      <c r="L8173">
        <v>-16.167079999999999</v>
      </c>
      <c r="M8173">
        <v>-1.316232E-2</v>
      </c>
      <c r="N8173">
        <v>-7.2717099999999998E-3</v>
      </c>
      <c r="O8173">
        <v>0.99988690000000002</v>
      </c>
      <c r="P8173">
        <v>-1.265441E-2</v>
      </c>
      <c r="Q8173">
        <v>-0.12018529999999999</v>
      </c>
      <c r="R8173">
        <v>0.99267079999999996</v>
      </c>
      <c r="S8173">
        <v>1.095581E-2</v>
      </c>
      <c r="T8173">
        <v>-0.175518799999999</v>
      </c>
      <c r="U8173">
        <v>3.0009769999999998</v>
      </c>
      <c r="V8173">
        <v>4.928558E-4</v>
      </c>
      <c r="W8173">
        <v>-0.1129628</v>
      </c>
      <c r="X8173">
        <v>0.99359909999999996</v>
      </c>
      <c r="Y8173">
        <v>1.6804199999999998E-2</v>
      </c>
      <c r="Z8173">
        <v>-5.1114510000000002E-2</v>
      </c>
      <c r="AA8173">
        <v>0.99855139999999998</v>
      </c>
      <c r="AB8173">
        <v>31</v>
      </c>
      <c r="AC8173">
        <v>7.4000000000012195E-2</v>
      </c>
      <c r="AD8173">
        <v>-1.120057725198</v>
      </c>
      <c r="AE8173">
        <v>18.856998000000001</v>
      </c>
      <c r="AF8173">
        <v>0.32106926788530699</v>
      </c>
      <c r="AG8173">
        <v>-1.120057725198</v>
      </c>
      <c r="AH8173">
        <v>18.788105845134201</v>
      </c>
      <c r="AI8173">
        <v>93.4111678076776</v>
      </c>
      <c r="AJ8173">
        <v>89.020969771493498</v>
      </c>
      <c r="AK8173">
        <v>18.824200807219398</v>
      </c>
      <c r="AL8173">
        <v>96.486136350089296</v>
      </c>
      <c r="AM8173">
        <v>89.971579528471196</v>
      </c>
      <c r="AN8173">
        <v>1.00000000430574</v>
      </c>
    </row>
    <row r="8174" spans="1:40" x14ac:dyDescent="0.25">
      <c r="A8174" t="str">
        <f>"20190303155008673"</f>
        <v>20190303155008673</v>
      </c>
      <c r="B8174" t="str">
        <f>"1551599408668901"</f>
        <v>1551599408668901</v>
      </c>
      <c r="C8174" t="s">
        <v>40</v>
      </c>
      <c r="D8174">
        <v>5.4077960000000003</v>
      </c>
      <c r="E8174">
        <v>0.5064284</v>
      </c>
      <c r="F8174" t="s">
        <v>41</v>
      </c>
      <c r="G8174">
        <v>-187.63980000000001</v>
      </c>
      <c r="H8174" s="1">
        <v>-1.6903890000000001E-6</v>
      </c>
      <c r="I8174">
        <v>2.5972050000000002</v>
      </c>
      <c r="J8174">
        <v>-187.74639999999999</v>
      </c>
      <c r="K8174">
        <v>1.1200559999999999</v>
      </c>
      <c r="L8174">
        <v>-15.84384</v>
      </c>
      <c r="M8174">
        <v>-1.354358E-2</v>
      </c>
      <c r="N8174">
        <v>-7.3034199999999997E-3</v>
      </c>
      <c r="O8174">
        <v>0.99988160000000004</v>
      </c>
      <c r="P8174">
        <v>-1.070983E-2</v>
      </c>
      <c r="Q8174">
        <v>-0.1200546</v>
      </c>
      <c r="R8174">
        <v>0.99270950000000002</v>
      </c>
      <c r="S8174">
        <v>1.631165E-2</v>
      </c>
      <c r="T8174">
        <v>-0.17911289999999999</v>
      </c>
      <c r="U8174">
        <v>3.0006710000000001</v>
      </c>
      <c r="V8174">
        <v>2.816682E-3</v>
      </c>
      <c r="W8174">
        <v>-0.11279889999999999</v>
      </c>
      <c r="X8174">
        <v>0.99361379999999999</v>
      </c>
      <c r="Y8174">
        <v>1.8967089999999999E-2</v>
      </c>
      <c r="Z8174">
        <v>-5.2278600000000001E-2</v>
      </c>
      <c r="AA8174">
        <v>0.99845240000000002</v>
      </c>
      <c r="AB8174">
        <v>31</v>
      </c>
      <c r="AC8174">
        <v>0.106599999999986</v>
      </c>
      <c r="AD8174">
        <v>-1.120057690389</v>
      </c>
      <c r="AE8174">
        <v>18.441044999999999</v>
      </c>
      <c r="AF8174">
        <v>0.35504493377517299</v>
      </c>
      <c r="AG8174">
        <v>-1.120057690389</v>
      </c>
      <c r="AH8174">
        <v>18.370144375055698</v>
      </c>
      <c r="AI8174">
        <v>93.488447991566701</v>
      </c>
      <c r="AJ8174">
        <v>88.892766248999706</v>
      </c>
      <c r="AK8174">
        <v>18.407682920324099</v>
      </c>
      <c r="AL8174">
        <v>96.476685488571107</v>
      </c>
      <c r="AM8174">
        <v>89.837579189682998</v>
      </c>
      <c r="AN8174">
        <v>0.99999995454456803</v>
      </c>
    </row>
    <row r="8175" spans="1:40" x14ac:dyDescent="0.25">
      <c r="A8175" t="str">
        <f>"20190303155008694"</f>
        <v>20190303155008694</v>
      </c>
      <c r="B8175" t="str">
        <f>"1551599408688421"</f>
        <v>1551599408688421</v>
      </c>
      <c r="C8175" t="s">
        <v>40</v>
      </c>
      <c r="D8175">
        <v>5.3732369999999996</v>
      </c>
      <c r="E8175">
        <v>0.50627330000000004</v>
      </c>
      <c r="F8175" t="s">
        <v>41</v>
      </c>
      <c r="G8175">
        <v>-187.6139</v>
      </c>
      <c r="H8175" s="1">
        <v>-1.8190029999999999E-6</v>
      </c>
      <c r="I8175">
        <v>2.8863120000000002</v>
      </c>
      <c r="J8175">
        <v>-187.75059999999999</v>
      </c>
      <c r="K8175">
        <v>1.1200559999999999</v>
      </c>
      <c r="L8175">
        <v>-15.555479999999999</v>
      </c>
      <c r="M8175">
        <v>-1.388355E-2</v>
      </c>
      <c r="N8175">
        <v>-7.3315589999999996E-3</v>
      </c>
      <c r="O8175">
        <v>0.99987669999999995</v>
      </c>
      <c r="P8175">
        <v>-8.39378E-3</v>
      </c>
      <c r="Q8175">
        <v>-0.11950810000000001</v>
      </c>
      <c r="R8175">
        <v>0.99279770000000001</v>
      </c>
      <c r="S8175">
        <v>2.1224980000000001E-2</v>
      </c>
      <c r="T8175">
        <v>-0.17943190000000001</v>
      </c>
      <c r="U8175">
        <v>3.0005489999999999</v>
      </c>
      <c r="V8175">
        <v>5.4712880000000004E-3</v>
      </c>
      <c r="W8175">
        <v>-0.11222210000000001</v>
      </c>
      <c r="X8175">
        <v>0.99366810000000005</v>
      </c>
      <c r="Y8175">
        <v>2.0941560000000001E-2</v>
      </c>
      <c r="Z8175">
        <v>-5.2356689999999997E-2</v>
      </c>
      <c r="AA8175">
        <v>0.99840890000000004</v>
      </c>
      <c r="AB8175">
        <v>31</v>
      </c>
      <c r="AC8175">
        <v>0.13669999999999</v>
      </c>
      <c r="AD8175">
        <v>-1.1200578190029999</v>
      </c>
      <c r="AE8175">
        <v>18.441792</v>
      </c>
      <c r="AF8175">
        <v>0.39128798802290499</v>
      </c>
      <c r="AG8175">
        <v>-1.1200578190029999</v>
      </c>
      <c r="AH8175">
        <v>18.370357312951299</v>
      </c>
      <c r="AI8175">
        <v>93.488268671820606</v>
      </c>
      <c r="AJ8175">
        <v>88.779786348663393</v>
      </c>
      <c r="AK8175">
        <v>18.408630139502101</v>
      </c>
      <c r="AL8175">
        <v>96.443425717980304</v>
      </c>
      <c r="AM8175">
        <v>89.684523893901897</v>
      </c>
      <c r="AN8175">
        <v>1.00000001383919</v>
      </c>
    </row>
    <row r="8176" spans="1:40" x14ac:dyDescent="0.25">
      <c r="A8176" t="str">
        <f>"20190303155008716"</f>
        <v>20190303155008716</v>
      </c>
      <c r="B8176" t="str">
        <f>"1551599408708917"</f>
        <v>1551599408708917</v>
      </c>
      <c r="C8176" t="s">
        <v>40</v>
      </c>
      <c r="D8176">
        <v>5.3476019999999904</v>
      </c>
      <c r="E8176">
        <v>0.50613129999999995</v>
      </c>
      <c r="F8176" t="s">
        <v>41</v>
      </c>
      <c r="G8176">
        <v>-187.57939999999999</v>
      </c>
      <c r="H8176" s="1">
        <v>-2.035782E-6</v>
      </c>
      <c r="I8176">
        <v>3.3773789999999999</v>
      </c>
      <c r="J8176">
        <v>-187.75540000000001</v>
      </c>
      <c r="K8176">
        <v>1.1200600000000001</v>
      </c>
      <c r="L8176">
        <v>-15.241390000000001</v>
      </c>
      <c r="M8176">
        <v>-1.4253969999999999E-2</v>
      </c>
      <c r="N8176">
        <v>-7.3620809999999899E-3</v>
      </c>
      <c r="O8176">
        <v>0.99987130000000002</v>
      </c>
      <c r="P8176">
        <v>-6.0109600000000001E-3</v>
      </c>
      <c r="Q8176">
        <v>-0.1182718</v>
      </c>
      <c r="R8176">
        <v>0.99296309999999999</v>
      </c>
      <c r="S8176">
        <v>2.7130129999999999E-2</v>
      </c>
      <c r="T8176">
        <v>-0.17751459999999999</v>
      </c>
      <c r="U8176">
        <v>3.00061</v>
      </c>
      <c r="V8176">
        <v>8.2235160000000002E-3</v>
      </c>
      <c r="W8176">
        <v>-0.1109525</v>
      </c>
      <c r="X8176">
        <v>0.99379169999999994</v>
      </c>
      <c r="Y8176">
        <v>2.327624E-2</v>
      </c>
      <c r="Z8176">
        <v>-5.1686719999999998E-2</v>
      </c>
      <c r="AA8176">
        <v>0.99839199999999995</v>
      </c>
      <c r="AB8176">
        <v>31</v>
      </c>
      <c r="AC8176">
        <v>0.176000000000016</v>
      </c>
      <c r="AD8176">
        <v>-1.1200620357819999</v>
      </c>
      <c r="AE8176">
        <v>18.618769</v>
      </c>
      <c r="AF8176">
        <v>0.439789255041661</v>
      </c>
      <c r="AG8176">
        <v>-1.1200620357819999</v>
      </c>
      <c r="AH8176">
        <v>18.547253065016399</v>
      </c>
      <c r="AI8176">
        <v>93.454906026426201</v>
      </c>
      <c r="AJ8176">
        <v>88.641666927757399</v>
      </c>
      <c r="AK8176">
        <v>18.586246253899901</v>
      </c>
      <c r="AL8176">
        <v>96.370225836082</v>
      </c>
      <c r="AM8176">
        <v>89.525894605808901</v>
      </c>
      <c r="AN8176">
        <v>1.00000001323027</v>
      </c>
    </row>
    <row r="8177" spans="1:40" x14ac:dyDescent="0.25">
      <c r="A8177" t="str">
        <f>"20190303155008740"</f>
        <v>20190303155008740</v>
      </c>
      <c r="B8177" t="str">
        <f>"1551599408728437"</f>
        <v>1551599408728437</v>
      </c>
      <c r="C8177" t="s">
        <v>40</v>
      </c>
      <c r="D8177">
        <v>5.3505269999999996</v>
      </c>
      <c r="E8177">
        <v>0.50599119999999997</v>
      </c>
      <c r="F8177" t="s">
        <v>41</v>
      </c>
      <c r="G8177">
        <v>-187.5429</v>
      </c>
      <c r="H8177" s="1">
        <v>-2.3650810000000001E-6</v>
      </c>
      <c r="I8177">
        <v>4.1298700000000004</v>
      </c>
      <c r="J8177">
        <v>-187.7604</v>
      </c>
      <c r="K8177">
        <v>1.1200760000000001</v>
      </c>
      <c r="L8177">
        <v>-14.912319999999999</v>
      </c>
      <c r="M8177">
        <v>-1.464184E-2</v>
      </c>
      <c r="N8177">
        <v>-7.3938650000000003E-3</v>
      </c>
      <c r="O8177">
        <v>0.99986549999999996</v>
      </c>
      <c r="P8177">
        <v>-3.733685E-3</v>
      </c>
      <c r="Q8177">
        <v>-0.1173522</v>
      </c>
      <c r="R8177">
        <v>0.99308339999999995</v>
      </c>
      <c r="S8177">
        <v>3.2913209999999998E-2</v>
      </c>
      <c r="T8177">
        <v>-0.17350839999999901</v>
      </c>
      <c r="U8177">
        <v>3.0007929999999998</v>
      </c>
      <c r="V8177">
        <v>1.088722E-2</v>
      </c>
      <c r="W8177">
        <v>-0.10999879999999999</v>
      </c>
      <c r="X8177">
        <v>0.99387210000000004</v>
      </c>
      <c r="Y8177">
        <v>2.5587619999999998E-2</v>
      </c>
      <c r="Z8177">
        <v>-5.0320259999999999E-2</v>
      </c>
      <c r="AA8177">
        <v>0.99840530000000005</v>
      </c>
      <c r="AB8177">
        <v>31</v>
      </c>
      <c r="AC8177">
        <v>0.217500000000001</v>
      </c>
      <c r="AD8177">
        <v>-1.120078365081</v>
      </c>
      <c r="AE8177">
        <v>19.042189999999898</v>
      </c>
      <c r="AF8177">
        <v>0.494586001336978</v>
      </c>
      <c r="AG8177">
        <v>-1.120078365081</v>
      </c>
      <c r="AH8177">
        <v>18.971333649744501</v>
      </c>
      <c r="AI8177">
        <v>93.377708189429697</v>
      </c>
      <c r="AJ8177">
        <v>88.506627226081093</v>
      </c>
      <c r="AK8177">
        <v>19.010804593876902</v>
      </c>
      <c r="AL8177">
        <v>96.315246335297203</v>
      </c>
      <c r="AM8177">
        <v>89.372387244565701</v>
      </c>
      <c r="AN8177">
        <v>1.00000000935958</v>
      </c>
    </row>
    <row r="8178" spans="1:40" x14ac:dyDescent="0.25">
      <c r="A8178" t="str">
        <f>"20190303155008762"</f>
        <v>20190303155008762</v>
      </c>
      <c r="B8178" t="str">
        <f>"1551599408758693"</f>
        <v>1551599408758693</v>
      </c>
      <c r="C8178" t="s">
        <v>40</v>
      </c>
      <c r="D8178">
        <v>5.3342489999999998</v>
      </c>
      <c r="E8178">
        <v>0.50577929999999904</v>
      </c>
      <c r="F8178" t="s">
        <v>41</v>
      </c>
      <c r="G8178">
        <v>-187.5076</v>
      </c>
      <c r="H8178" s="1">
        <v>-2.655975E-6</v>
      </c>
      <c r="I8178">
        <v>4.7933659999999998</v>
      </c>
      <c r="J8178">
        <v>-187.7654</v>
      </c>
      <c r="K8178">
        <v>1.1200859999999999</v>
      </c>
      <c r="L8178">
        <v>-14.59747</v>
      </c>
      <c r="M8178">
        <v>-1.501273E-2</v>
      </c>
      <c r="N8178">
        <v>-7.424132E-3</v>
      </c>
      <c r="O8178">
        <v>0.99985979999999997</v>
      </c>
      <c r="P8178">
        <v>-1.5981700000000001E-3</v>
      </c>
      <c r="Q8178">
        <v>-0.1161068</v>
      </c>
      <c r="R8178">
        <v>0.99323550000000005</v>
      </c>
      <c r="S8178">
        <v>3.8497919999999998E-2</v>
      </c>
      <c r="T8178">
        <v>-0.17057139999999901</v>
      </c>
      <c r="U8178">
        <v>3.0008849999999998</v>
      </c>
      <c r="V8178">
        <v>1.3392609999999999E-2</v>
      </c>
      <c r="W8178">
        <v>-0.1087206</v>
      </c>
      <c r="X8178">
        <v>0.99398209999999998</v>
      </c>
      <c r="Y8178">
        <v>2.7816009999999999E-2</v>
      </c>
      <c r="Z8178">
        <v>-4.9311439999999998E-2</v>
      </c>
      <c r="AA8178">
        <v>0.99839599999999995</v>
      </c>
      <c r="AB8178">
        <v>32</v>
      </c>
      <c r="AC8178">
        <v>0.25780000000000303</v>
      </c>
      <c r="AD8178">
        <v>-1.1200886559750001</v>
      </c>
      <c r="AE8178">
        <v>19.390836</v>
      </c>
      <c r="AF8178">
        <v>0.54706329526005704</v>
      </c>
      <c r="AG8178">
        <v>-1.1200886559750001</v>
      </c>
      <c r="AH8178">
        <v>19.3203262611394</v>
      </c>
      <c r="AI8178">
        <v>93.316660948230407</v>
      </c>
      <c r="AJ8178">
        <v>88.3780788888931</v>
      </c>
      <c r="AK8178">
        <v>19.360498022601</v>
      </c>
      <c r="AL8178">
        <v>96.241569194201205</v>
      </c>
      <c r="AM8178">
        <v>89.228060947663494</v>
      </c>
      <c r="AN8178">
        <v>0.99999997299369003</v>
      </c>
    </row>
    <row r="8179" spans="1:40" x14ac:dyDescent="0.25">
      <c r="A8179" t="str">
        <f>"20190303155008785"</f>
        <v>20190303155008785</v>
      </c>
      <c r="B8179" t="str">
        <f>"1551599408779189"</f>
        <v>1551599408779189</v>
      </c>
      <c r="C8179" t="s">
        <v>40</v>
      </c>
      <c r="D8179">
        <v>5.2919239999999999</v>
      </c>
      <c r="E8179">
        <v>0.50563029999999998</v>
      </c>
      <c r="F8179" t="s">
        <v>41</v>
      </c>
      <c r="G8179">
        <v>-187.47499999999999</v>
      </c>
      <c r="H8179" s="1">
        <v>-2.9881600000000002E-6</v>
      </c>
      <c r="I8179">
        <v>5.5542179999999997</v>
      </c>
      <c r="J8179">
        <v>-187.77070000000001</v>
      </c>
      <c r="K8179">
        <v>1.1201000000000001</v>
      </c>
      <c r="L8179">
        <v>-14.27026</v>
      </c>
      <c r="M8179">
        <v>-1.53979999999999E-2</v>
      </c>
      <c r="N8179">
        <v>-7.4554410000000002E-3</v>
      </c>
      <c r="O8179">
        <v>0.99985369999999996</v>
      </c>
      <c r="P8179">
        <v>3.7956129999999999E-4</v>
      </c>
      <c r="Q8179">
        <v>-0.1144469</v>
      </c>
      <c r="R8179">
        <v>0.99342929999999996</v>
      </c>
      <c r="S8179">
        <v>4.3243410000000003E-2</v>
      </c>
      <c r="T8179">
        <v>-0.1668047</v>
      </c>
      <c r="U8179">
        <v>3.001007</v>
      </c>
      <c r="V8179">
        <v>1.575497E-2</v>
      </c>
      <c r="W8179">
        <v>-0.1070267</v>
      </c>
      <c r="X8179">
        <v>0.99413130000000005</v>
      </c>
      <c r="Y8179">
        <v>2.9779630000000001E-2</v>
      </c>
      <c r="Z8179">
        <v>-4.8025869999999998E-2</v>
      </c>
      <c r="AA8179">
        <v>0.99840209999999996</v>
      </c>
      <c r="AB8179">
        <v>32</v>
      </c>
      <c r="AC8179">
        <v>0.29570000000001001</v>
      </c>
      <c r="AD8179">
        <v>-1.12010298816</v>
      </c>
      <c r="AE8179">
        <v>19.824477999999999</v>
      </c>
      <c r="AF8179">
        <v>0.59901886061748</v>
      </c>
      <c r="AG8179">
        <v>-1.12010298816</v>
      </c>
      <c r="AH8179">
        <v>19.754524635655699</v>
      </c>
      <c r="AI8179">
        <v>93.243770232963001</v>
      </c>
      <c r="AJ8179">
        <v>88.263145298338898</v>
      </c>
      <c r="AK8179">
        <v>19.7953201004729</v>
      </c>
      <c r="AL8179">
        <v>96.143946100181395</v>
      </c>
      <c r="AM8179">
        <v>89.092053810449002</v>
      </c>
      <c r="AN8179">
        <v>0.99999998761613995</v>
      </c>
    </row>
    <row r="8180" spans="1:40" x14ac:dyDescent="0.25">
      <c r="A8180" t="str">
        <f>"20190303155008819"</f>
        <v>20190303155008819</v>
      </c>
      <c r="B8180" t="str">
        <f>"1551599408808470"</f>
        <v>1551599408808470</v>
      </c>
      <c r="C8180" t="s">
        <v>40</v>
      </c>
      <c r="D8180">
        <v>5.2954650000000001</v>
      </c>
      <c r="E8180">
        <v>0.50540719999999995</v>
      </c>
      <c r="F8180" t="s">
        <v>41</v>
      </c>
      <c r="G8180">
        <v>-187.43969999999999</v>
      </c>
      <c r="H8180" s="1">
        <v>-3.3946289999999998E-6</v>
      </c>
      <c r="I8180">
        <v>6.4871089999999896</v>
      </c>
      <c r="J8180">
        <v>-187.77869999999999</v>
      </c>
      <c r="K8180">
        <v>1.120125</v>
      </c>
      <c r="L8180">
        <v>-13.788180000000001</v>
      </c>
      <c r="M8180">
        <v>-1.596525E-2</v>
      </c>
      <c r="N8180">
        <v>-7.5013269999999899E-3</v>
      </c>
      <c r="O8180">
        <v>0.99984439999999997</v>
      </c>
      <c r="P8180">
        <v>3.1884420000000001E-3</v>
      </c>
      <c r="Q8180">
        <v>-0.1107558</v>
      </c>
      <c r="R8180">
        <v>0.99384249999999996</v>
      </c>
      <c r="S8180">
        <v>4.7851560000000001E-2</v>
      </c>
      <c r="T8180">
        <v>-0.1619477</v>
      </c>
      <c r="U8180">
        <v>3.00116</v>
      </c>
      <c r="V8180">
        <v>1.9131479999999999E-2</v>
      </c>
      <c r="W8180">
        <v>-0.1032848</v>
      </c>
      <c r="X8180">
        <v>0.99446780000000001</v>
      </c>
      <c r="Y8180">
        <v>3.187947E-2</v>
      </c>
      <c r="Z8180">
        <v>-4.6363019999999998E-2</v>
      </c>
      <c r="AA8180">
        <v>0.99841579999999996</v>
      </c>
      <c r="AB8180">
        <v>32</v>
      </c>
      <c r="AC8180">
        <v>0.33899999999999803</v>
      </c>
      <c r="AD8180">
        <v>-1.1201283946289999</v>
      </c>
      <c r="AE8180">
        <v>20.275289000000001</v>
      </c>
      <c r="AF8180">
        <v>0.66065013965237096</v>
      </c>
      <c r="AG8180">
        <v>-1.1201283946289999</v>
      </c>
      <c r="AH8180">
        <v>20.205639554235201</v>
      </c>
      <c r="AI8180">
        <v>93.171334080481699</v>
      </c>
      <c r="AJ8180">
        <v>88.127305767292299</v>
      </c>
      <c r="AK8180">
        <v>20.247444678851402</v>
      </c>
      <c r="AL8180">
        <v>95.928355624520705</v>
      </c>
      <c r="AM8180">
        <v>88.897885017323802</v>
      </c>
      <c r="AN8180">
        <v>0.99999998433743498</v>
      </c>
    </row>
    <row r="8181" spans="1:40" x14ac:dyDescent="0.25">
      <c r="A8181" t="str">
        <f>"20190303155008841"</f>
        <v>20190303155008841</v>
      </c>
      <c r="B8181" t="str">
        <f>"1551599408838726"</f>
        <v>1551599408838726</v>
      </c>
      <c r="C8181" t="s">
        <v>40</v>
      </c>
      <c r="D8181">
        <v>5.2429790000000001</v>
      </c>
      <c r="E8181">
        <v>0.50515949999999998</v>
      </c>
      <c r="F8181" t="s">
        <v>41</v>
      </c>
      <c r="G8181">
        <v>-187.37360000000001</v>
      </c>
      <c r="H8181" s="1">
        <v>-4.2799719999999998E-6</v>
      </c>
      <c r="I8181">
        <v>8.5235129999999995</v>
      </c>
      <c r="J8181">
        <v>-187.7841</v>
      </c>
      <c r="K8181">
        <v>1.1201479999999999</v>
      </c>
      <c r="L8181">
        <v>-13.469239999999999</v>
      </c>
      <c r="M8181">
        <v>-1.634031E-2</v>
      </c>
      <c r="N8181">
        <v>-7.531505E-3</v>
      </c>
      <c r="O8181">
        <v>0.99983809999999995</v>
      </c>
      <c r="P8181">
        <v>4.6032770000000002E-3</v>
      </c>
      <c r="Q8181">
        <v>-0.1078848</v>
      </c>
      <c r="R8181">
        <v>0.9941527</v>
      </c>
      <c r="S8181">
        <v>5.450439E-2</v>
      </c>
      <c r="T8181">
        <v>-0.150692299999999</v>
      </c>
      <c r="U8181">
        <v>3.001617</v>
      </c>
      <c r="V8181">
        <v>2.092217E-2</v>
      </c>
      <c r="W8181">
        <v>-0.10038039999999999</v>
      </c>
      <c r="X8181">
        <v>0.99472910000000003</v>
      </c>
      <c r="Y8181">
        <v>3.4467030000000003E-2</v>
      </c>
      <c r="Z8181">
        <v>-4.2586939999999997E-2</v>
      </c>
      <c r="AA8181">
        <v>0.99849810000000006</v>
      </c>
      <c r="AB8181">
        <v>32</v>
      </c>
      <c r="AC8181">
        <v>0.41049999999998399</v>
      </c>
      <c r="AD8181">
        <v>-1.1201522799719901</v>
      </c>
      <c r="AE8181">
        <v>21.992753</v>
      </c>
      <c r="AF8181">
        <v>0.76783261422503102</v>
      </c>
      <c r="AG8181">
        <v>-1.1201522799719901</v>
      </c>
      <c r="AH8181">
        <v>21.926248504882199</v>
      </c>
      <c r="AI8181">
        <v>92.922754269681207</v>
      </c>
      <c r="AJ8181">
        <v>87.994385680957095</v>
      </c>
      <c r="AK8181">
        <v>21.968265328688201</v>
      </c>
      <c r="AL8181">
        <v>95.761076174977404</v>
      </c>
      <c r="AM8181">
        <v>88.795073638844897</v>
      </c>
      <c r="AN8181">
        <v>0.99999997214423897</v>
      </c>
    </row>
    <row r="8182" spans="1:40" x14ac:dyDescent="0.25">
      <c r="A8182" t="str">
        <f>"20190303155008864"</f>
        <v>20190303155008864</v>
      </c>
      <c r="B8182" t="str">
        <f>"1551599408859222"</f>
        <v>1551599408859222</v>
      </c>
      <c r="C8182" t="s">
        <v>40</v>
      </c>
      <c r="D8182">
        <v>5.2500460000000002</v>
      </c>
      <c r="E8182">
        <v>0.50500210000000001</v>
      </c>
      <c r="F8182" t="s">
        <v>41</v>
      </c>
      <c r="G8182">
        <v>-187.3365</v>
      </c>
      <c r="H8182" s="1">
        <v>-9.0895139999999999E-7</v>
      </c>
      <c r="I8182">
        <v>10.236549999999999</v>
      </c>
      <c r="J8182">
        <v>-187.78989999999999</v>
      </c>
      <c r="K8182">
        <v>1.1201669999999999</v>
      </c>
      <c r="L8182">
        <v>-13.14255</v>
      </c>
      <c r="M8182">
        <v>-1.6724300000000001E-2</v>
      </c>
      <c r="N8182">
        <v>-7.562193E-3</v>
      </c>
      <c r="O8182">
        <v>0.99983160000000004</v>
      </c>
      <c r="P8182">
        <v>5.7785680000000004E-3</v>
      </c>
      <c r="Q8182">
        <v>-0.10465679999999999</v>
      </c>
      <c r="R8182">
        <v>0.99449160000000003</v>
      </c>
      <c r="S8182">
        <v>5.6686399999999998E-2</v>
      </c>
      <c r="T8182">
        <v>-0.14185010000000001</v>
      </c>
      <c r="U8182">
        <v>3.0019840000000002</v>
      </c>
      <c r="V8182">
        <v>2.248265E-2</v>
      </c>
      <c r="W8182">
        <v>-9.7118380000000004E-2</v>
      </c>
      <c r="X8182">
        <v>0.99501879999999998</v>
      </c>
      <c r="Y8182">
        <v>3.5576570000000002E-2</v>
      </c>
      <c r="Z8182">
        <v>-3.9614120000000003E-2</v>
      </c>
      <c r="AA8182">
        <v>0.99858150000000001</v>
      </c>
      <c r="AB8182">
        <v>32</v>
      </c>
      <c r="AC8182">
        <v>0.45339999999998698</v>
      </c>
      <c r="AD8182">
        <v>-1.1201679089513901</v>
      </c>
      <c r="AE8182">
        <v>23.379100000000001</v>
      </c>
      <c r="AF8182">
        <v>0.84241364104288896</v>
      </c>
      <c r="AG8182">
        <v>-1.1201679089513901</v>
      </c>
      <c r="AH8182">
        <v>23.314743992036099</v>
      </c>
      <c r="AI8182">
        <v>92.748896556055001</v>
      </c>
      <c r="AJ8182">
        <v>87.930676056233096</v>
      </c>
      <c r="AK8182">
        <v>23.356834637875199</v>
      </c>
      <c r="AL8182">
        <v>95.573258344033803</v>
      </c>
      <c r="AM8182">
        <v>88.705610583611303</v>
      </c>
      <c r="AN8182">
        <v>0.99999993081914096</v>
      </c>
    </row>
    <row r="8183" spans="1:40" x14ac:dyDescent="0.25">
      <c r="A8183" t="str">
        <f>"20190303155008884"</f>
        <v>20190303155008884</v>
      </c>
      <c r="B8183" t="str">
        <f>"1551599408878741"</f>
        <v>1551599408878741</v>
      </c>
      <c r="C8183" t="s">
        <v>40</v>
      </c>
      <c r="D8183">
        <v>5.2330290000000002</v>
      </c>
      <c r="E8183">
        <v>0.50484240000000002</v>
      </c>
      <c r="F8183" t="s">
        <v>41</v>
      </c>
      <c r="G8183">
        <v>-187.28980000000001</v>
      </c>
      <c r="H8183" s="1">
        <v>-1.625731E-6</v>
      </c>
      <c r="I8183">
        <v>12.301769999999999</v>
      </c>
      <c r="J8183">
        <v>-187.79509999999999</v>
      </c>
      <c r="K8183">
        <v>1.1201840000000001</v>
      </c>
      <c r="L8183">
        <v>-12.85205</v>
      </c>
      <c r="M8183">
        <v>-1.70655999999999E-2</v>
      </c>
      <c r="N8183">
        <v>-7.5894090000000001E-3</v>
      </c>
      <c r="O8183">
        <v>0.99982559999999998</v>
      </c>
      <c r="P8183">
        <v>7.1291879999999998E-3</v>
      </c>
      <c r="Q8183">
        <v>-0.1020385</v>
      </c>
      <c r="R8183">
        <v>0.9947549</v>
      </c>
      <c r="S8183">
        <v>5.9005740000000001E-2</v>
      </c>
      <c r="T8183">
        <v>-0.1321764</v>
      </c>
      <c r="U8183">
        <v>3.0023499999999999</v>
      </c>
      <c r="V8183">
        <v>2.41753E-2</v>
      </c>
      <c r="W8183">
        <v>-9.4469990000000004E-2</v>
      </c>
      <c r="X8183">
        <v>0.99523410000000001</v>
      </c>
      <c r="Y8183">
        <v>3.668913E-2</v>
      </c>
      <c r="Z8183">
        <v>-3.6368459999999998E-2</v>
      </c>
      <c r="AA8183">
        <v>0.99866469999999896</v>
      </c>
      <c r="AB8183">
        <v>32</v>
      </c>
      <c r="AC8183">
        <v>0.50529999999997699</v>
      </c>
      <c r="AD8183">
        <v>-1.1201856257309999</v>
      </c>
      <c r="AE8183">
        <v>25.15382</v>
      </c>
      <c r="AF8183">
        <v>0.93265487115672996</v>
      </c>
      <c r="AG8183">
        <v>-1.1201856257309999</v>
      </c>
      <c r="AH8183">
        <v>25.0917905889794</v>
      </c>
      <c r="AI8183">
        <v>92.554425825183799</v>
      </c>
      <c r="AJ8183">
        <v>87.871311788054697</v>
      </c>
      <c r="AK8183">
        <v>25.134092701069999</v>
      </c>
      <c r="AL8183">
        <v>95.420815451344396</v>
      </c>
      <c r="AM8183">
        <v>88.608497922631898</v>
      </c>
      <c r="AN8183">
        <v>0.99999996897174903</v>
      </c>
    </row>
    <row r="8184" spans="1:40" x14ac:dyDescent="0.25">
      <c r="A8184" t="str">
        <f>"20190303155008908"</f>
        <v>20190303155008908</v>
      </c>
      <c r="B8184" t="str">
        <f>"1551599408899237"</f>
        <v>1551599408899237</v>
      </c>
      <c r="C8184" t="s">
        <v>40</v>
      </c>
      <c r="D8184">
        <v>5.239439</v>
      </c>
      <c r="E8184">
        <v>0.50467910000000005</v>
      </c>
      <c r="F8184" t="s">
        <v>41</v>
      </c>
      <c r="G8184">
        <v>-187.23779999999999</v>
      </c>
      <c r="H8184" s="1">
        <v>-2.4418449999999998E-6</v>
      </c>
      <c r="I8184">
        <v>14.182650000000001</v>
      </c>
      <c r="J8184">
        <v>-187.80160000000001</v>
      </c>
      <c r="K8184">
        <v>1.1201970000000001</v>
      </c>
      <c r="L8184">
        <v>-12.49619</v>
      </c>
      <c r="M8184">
        <v>-1.7483579999999999E-2</v>
      </c>
      <c r="N8184">
        <v>-7.622635E-3</v>
      </c>
      <c r="O8184">
        <v>0.99981810000000004</v>
      </c>
      <c r="P8184">
        <v>7.3969830000000002E-3</v>
      </c>
      <c r="Q8184">
        <v>-0.10058250000000001</v>
      </c>
      <c r="R8184">
        <v>0.99490120000000004</v>
      </c>
      <c r="S8184">
        <v>6.1889649999999997E-2</v>
      </c>
      <c r="T8184">
        <v>-0.1244141</v>
      </c>
      <c r="U8184">
        <v>3.0026250000000001</v>
      </c>
      <c r="V8184">
        <v>2.486064E-2</v>
      </c>
      <c r="W8184">
        <v>-9.2979350000000002E-2</v>
      </c>
      <c r="X8184">
        <v>0.99535759999999995</v>
      </c>
      <c r="Y8184">
        <v>3.8065839999999997E-2</v>
      </c>
      <c r="Z8184">
        <v>-3.3752039999999997E-2</v>
      </c>
      <c r="AA8184">
        <v>0.99870499999999995</v>
      </c>
      <c r="AB8184">
        <v>32</v>
      </c>
      <c r="AC8184">
        <v>0.56380000000001396</v>
      </c>
      <c r="AD8184">
        <v>-1.1201994418450001</v>
      </c>
      <c r="AE8184">
        <v>26.678840000000001</v>
      </c>
      <c r="AF8184">
        <v>1.0283567980886501</v>
      </c>
      <c r="AG8184">
        <v>-1.1201994418450001</v>
      </c>
      <c r="AH8184">
        <v>26.617997320233901</v>
      </c>
      <c r="AI8184">
        <v>92.408035731282894</v>
      </c>
      <c r="AJ8184">
        <v>87.787541436461296</v>
      </c>
      <c r="AK8184">
        <v>26.661398047245498</v>
      </c>
      <c r="AL8184">
        <v>95.335030380851805</v>
      </c>
      <c r="AM8184">
        <v>88.569244197014996</v>
      </c>
      <c r="AN8184">
        <v>0.99999998141269497</v>
      </c>
    </row>
    <row r="8185" spans="1:40" x14ac:dyDescent="0.25">
      <c r="A8185" t="str">
        <f>"20190303155008928"</f>
        <v>20190303155008928</v>
      </c>
      <c r="B8185" t="str">
        <f>"1551599408918757"</f>
        <v>1551599408918757</v>
      </c>
      <c r="C8185" t="s">
        <v>40</v>
      </c>
      <c r="D8185">
        <v>5.23529</v>
      </c>
      <c r="E8185">
        <v>0.50451950000000001</v>
      </c>
      <c r="F8185" t="s">
        <v>41</v>
      </c>
      <c r="G8185">
        <v>-187.23240000000001</v>
      </c>
      <c r="H8185" s="1">
        <v>-2.992641E-6</v>
      </c>
      <c r="I8185">
        <v>15.464320000000001</v>
      </c>
      <c r="J8185">
        <v>-187.80690000000001</v>
      </c>
      <c r="K8185">
        <v>1.120204</v>
      </c>
      <c r="L8185">
        <v>-12.211</v>
      </c>
      <c r="M8185">
        <v>-1.781843E-2</v>
      </c>
      <c r="N8185">
        <v>-7.6491160000000001E-3</v>
      </c>
      <c r="O8185">
        <v>0.99981200000000003</v>
      </c>
      <c r="P8185">
        <v>7.2211929999999999E-3</v>
      </c>
      <c r="Q8185">
        <v>-9.9482790000000001E-2</v>
      </c>
      <c r="R8185">
        <v>0.99501309999999998</v>
      </c>
      <c r="S8185">
        <v>6.1126710000000001E-2</v>
      </c>
      <c r="T8185">
        <v>-0.12030100000000001</v>
      </c>
      <c r="U8185">
        <v>3.0027469999999998</v>
      </c>
      <c r="V8185">
        <v>2.5019409999999999E-2</v>
      </c>
      <c r="W8185">
        <v>-9.1852260000000005E-2</v>
      </c>
      <c r="X8185">
        <v>0.99545830000000002</v>
      </c>
      <c r="Y8185">
        <v>3.814712E-2</v>
      </c>
      <c r="Z8185">
        <v>-3.2357759999999999E-2</v>
      </c>
      <c r="AA8185">
        <v>0.99874810000000003</v>
      </c>
      <c r="AB8185">
        <v>32</v>
      </c>
      <c r="AC8185">
        <v>0.57450000000000001</v>
      </c>
      <c r="AD8185">
        <v>-1.1202069926410001</v>
      </c>
      <c r="AE8185">
        <v>27.675319999999999</v>
      </c>
      <c r="AF8185">
        <v>1.06580852195636</v>
      </c>
      <c r="AG8185">
        <v>-1.1202069926410001</v>
      </c>
      <c r="AH8185">
        <v>27.615464215289901</v>
      </c>
      <c r="AI8185">
        <v>92.321173853710206</v>
      </c>
      <c r="AJ8185">
        <v>87.789787768255195</v>
      </c>
      <c r="AK8185">
        <v>27.6587178903469</v>
      </c>
      <c r="AL8185">
        <v>95.270175136672293</v>
      </c>
      <c r="AM8185">
        <v>88.560256249241704</v>
      </c>
      <c r="AN8185">
        <v>1.0000000177913699</v>
      </c>
    </row>
    <row r="8186" spans="1:40" x14ac:dyDescent="0.25">
      <c r="A8186" t="str">
        <f>"20190303155008952"</f>
        <v>20190303155008952</v>
      </c>
      <c r="B8186" t="str">
        <f>"1551599408949013"</f>
        <v>1551599408949013</v>
      </c>
      <c r="C8186" t="s">
        <v>40</v>
      </c>
      <c r="D8186">
        <v>5.1780249999999999</v>
      </c>
      <c r="E8186">
        <v>0.50436800000000004</v>
      </c>
      <c r="F8186" t="s">
        <v>41</v>
      </c>
      <c r="G8186">
        <v>-187.239</v>
      </c>
      <c r="H8186" s="1">
        <v>-3.4060390000000001E-6</v>
      </c>
      <c r="I8186">
        <v>16.430689999999998</v>
      </c>
      <c r="J8186">
        <v>-187.8134</v>
      </c>
      <c r="K8186">
        <v>1.120212</v>
      </c>
      <c r="L8186">
        <v>-11.8652</v>
      </c>
      <c r="M8186">
        <v>-1.8224009999999999E-2</v>
      </c>
      <c r="N8186">
        <v>-7.6809979999999996E-3</v>
      </c>
      <c r="O8186">
        <v>0.99980440000000004</v>
      </c>
      <c r="P8186">
        <v>6.1324919999999998E-3</v>
      </c>
      <c r="Q8186">
        <v>-9.8726060000000004E-2</v>
      </c>
      <c r="R8186">
        <v>0.99509570000000003</v>
      </c>
      <c r="S8186">
        <v>5.9539790000000002E-2</v>
      </c>
      <c r="T8186">
        <v>-0.11744549999999999</v>
      </c>
      <c r="U8186">
        <v>3.002869</v>
      </c>
      <c r="V8186">
        <v>2.433569E-2</v>
      </c>
      <c r="W8186">
        <v>-9.1063519999999995E-2</v>
      </c>
      <c r="X8186">
        <v>0.99554770000000004</v>
      </c>
      <c r="Y8186">
        <v>3.8024820000000001E-2</v>
      </c>
      <c r="Z8186">
        <v>-3.1375849999999997E-2</v>
      </c>
      <c r="AA8186">
        <v>0.99878409999999995</v>
      </c>
      <c r="AB8186">
        <v>32</v>
      </c>
      <c r="AC8186">
        <v>0.57439999999999702</v>
      </c>
      <c r="AD8186">
        <v>-1.1202154060389999</v>
      </c>
      <c r="AE8186">
        <v>28.29589</v>
      </c>
      <c r="AF8186">
        <v>1.0882794360249399</v>
      </c>
      <c r="AG8186">
        <v>-1.1202154060389999</v>
      </c>
      <c r="AH8186">
        <v>28.236485168529601</v>
      </c>
      <c r="AI8186">
        <v>92.270198643340294</v>
      </c>
      <c r="AJ8186">
        <v>87.792821198207207</v>
      </c>
      <c r="AK8186">
        <v>28.2796451420345</v>
      </c>
      <c r="AL8186">
        <v>95.224793524007595</v>
      </c>
      <c r="AM8186">
        <v>88.5997107849457</v>
      </c>
      <c r="AN8186">
        <v>1.0000000067289201</v>
      </c>
    </row>
    <row r="8187" spans="1:40" x14ac:dyDescent="0.25">
      <c r="A8187" t="str">
        <f>"20190303155008974"</f>
        <v>20190303155008974</v>
      </c>
      <c r="B8187" t="str">
        <f>"1551599408968535"</f>
        <v>1551599408968535</v>
      </c>
      <c r="C8187" t="s">
        <v>40</v>
      </c>
      <c r="D8187">
        <v>5.1758499999999996</v>
      </c>
      <c r="E8187">
        <v>0.50425429999999904</v>
      </c>
      <c r="F8187" t="s">
        <v>41</v>
      </c>
      <c r="G8187">
        <v>-187.2784</v>
      </c>
      <c r="H8187" s="1">
        <v>-3.7829490000000001E-6</v>
      </c>
      <c r="I8187">
        <v>17.325600000000001</v>
      </c>
      <c r="J8187">
        <v>-187.81950000000001</v>
      </c>
      <c r="K8187">
        <v>1.1202240000000001</v>
      </c>
      <c r="L8187">
        <v>-11.553559999999999</v>
      </c>
      <c r="M8187">
        <v>-1.8588879999999999E-2</v>
      </c>
      <c r="N8187">
        <v>-7.7523430000000001E-3</v>
      </c>
      <c r="O8187">
        <v>0.99979720000000005</v>
      </c>
      <c r="P8187">
        <v>4.4327840000000004E-3</v>
      </c>
      <c r="Q8187">
        <v>-9.8324110000000006E-2</v>
      </c>
      <c r="R8187">
        <v>0.99514449999999999</v>
      </c>
      <c r="S8187">
        <v>5.5038450000000003E-2</v>
      </c>
      <c r="T8187">
        <v>-0.11524280000000001</v>
      </c>
      <c r="U8187">
        <v>3.0030209999999999</v>
      </c>
      <c r="V8187">
        <v>2.3000219999999998E-2</v>
      </c>
      <c r="W8187">
        <v>-9.0590909999999997E-2</v>
      </c>
      <c r="X8187">
        <v>0.99562260000000002</v>
      </c>
      <c r="Y8187">
        <v>3.6892599999999998E-2</v>
      </c>
      <c r="Z8187">
        <v>-3.0572080000000001E-2</v>
      </c>
      <c r="AA8187">
        <v>0.9988515</v>
      </c>
      <c r="AB8187">
        <v>32</v>
      </c>
      <c r="AC8187">
        <v>0.54110000000000003</v>
      </c>
      <c r="AD8187">
        <v>-1.1202277829489999</v>
      </c>
      <c r="AE8187">
        <v>28.879159999999999</v>
      </c>
      <c r="AF8187">
        <v>1.07623502861139</v>
      </c>
      <c r="AG8187">
        <v>-1.1202277829489999</v>
      </c>
      <c r="AH8187">
        <v>28.820760234448901</v>
      </c>
      <c r="AI8187">
        <v>92.224347766639298</v>
      </c>
      <c r="AJ8187">
        <v>87.861434396471793</v>
      </c>
      <c r="AK8187">
        <v>28.862595389432499</v>
      </c>
      <c r="AL8187">
        <v>95.197602390594298</v>
      </c>
      <c r="AM8187">
        <v>88.6766258803423</v>
      </c>
      <c r="AN8187">
        <v>1.00000004236271</v>
      </c>
    </row>
    <row r="8188" spans="1:40" x14ac:dyDescent="0.25">
      <c r="A8188" t="str">
        <f>"20190303155008996"</f>
        <v>20190303155008996</v>
      </c>
      <c r="B8188" t="str">
        <f>"1551599408989029"</f>
        <v>1551599408989029</v>
      </c>
      <c r="C8188" t="s">
        <v>40</v>
      </c>
      <c r="D8188">
        <v>5.1668250000000002</v>
      </c>
      <c r="E8188">
        <v>0.50415519999999903</v>
      </c>
      <c r="F8188" t="s">
        <v>41</v>
      </c>
      <c r="G8188">
        <v>-187.33590000000001</v>
      </c>
      <c r="H8188" s="1">
        <v>-3.9928439999999996E-6</v>
      </c>
      <c r="I8188">
        <v>17.838619999999999</v>
      </c>
      <c r="J8188">
        <v>-187.82599999999999</v>
      </c>
      <c r="K8188">
        <v>1.1202479999999999</v>
      </c>
      <c r="L8188">
        <v>-11.223599999999999</v>
      </c>
      <c r="M8188">
        <v>-1.8976050000000001E-2</v>
      </c>
      <c r="N8188">
        <v>-7.9652560000000004E-3</v>
      </c>
      <c r="O8188">
        <v>0.99978820000000002</v>
      </c>
      <c r="P8188">
        <v>2.942451E-3</v>
      </c>
      <c r="Q8188">
        <v>-9.8085610000000004E-2</v>
      </c>
      <c r="R8188">
        <v>0.99517359999999999</v>
      </c>
      <c r="S8188">
        <v>4.9407960000000001E-2</v>
      </c>
      <c r="T8188">
        <v>-0.11445809999999999</v>
      </c>
      <c r="U8188">
        <v>3.0031129999999999</v>
      </c>
      <c r="V8188">
        <v>2.189091E-2</v>
      </c>
      <c r="W8188">
        <v>-9.0142059999999996E-2</v>
      </c>
      <c r="X8188">
        <v>0.99568829999999997</v>
      </c>
      <c r="Y8188">
        <v>3.5407189999999998E-2</v>
      </c>
      <c r="Z8188">
        <v>-3.0098779999999999E-2</v>
      </c>
      <c r="AA8188">
        <v>0.99891960000000002</v>
      </c>
      <c r="AB8188">
        <v>32</v>
      </c>
      <c r="AC8188">
        <v>0.49009999999998399</v>
      </c>
      <c r="AD8188">
        <v>-1.120251992844</v>
      </c>
      <c r="AE8188">
        <v>29.06222</v>
      </c>
      <c r="AF8188">
        <v>1.0399705897900999</v>
      </c>
      <c r="AG8188">
        <v>-1.120251992844</v>
      </c>
      <c r="AH8188">
        <v>29.004602097990801</v>
      </c>
      <c r="AI8188">
        <v>92.210430790652794</v>
      </c>
      <c r="AJ8188">
        <v>87.946518611360204</v>
      </c>
      <c r="AK8188">
        <v>29.0448523187478</v>
      </c>
      <c r="AL8188">
        <v>95.171779764722899</v>
      </c>
      <c r="AM8188">
        <v>88.740514756740097</v>
      </c>
      <c r="AN8188">
        <v>0.99999999683927998</v>
      </c>
    </row>
    <row r="8189" spans="1:40" x14ac:dyDescent="0.25">
      <c r="A8189" t="str">
        <f>"20190303155009019"</f>
        <v>20190303155009019</v>
      </c>
      <c r="B8189" t="str">
        <f>"1551599409008549"</f>
        <v>1551599409008549</v>
      </c>
      <c r="C8189" t="s">
        <v>40</v>
      </c>
      <c r="D8189">
        <v>5.1473060000000004</v>
      </c>
      <c r="E8189">
        <v>0.50404539999999998</v>
      </c>
      <c r="F8189" t="s">
        <v>41</v>
      </c>
      <c r="G8189">
        <v>-187.38919999999999</v>
      </c>
      <c r="H8189" s="1">
        <v>-4.1712930000000002E-6</v>
      </c>
      <c r="I8189">
        <v>18.27665</v>
      </c>
      <c r="J8189">
        <v>-187.83260000000001</v>
      </c>
      <c r="K8189">
        <v>1.1203379999999901</v>
      </c>
      <c r="L8189">
        <v>-10.897640000000001</v>
      </c>
      <c r="M8189">
        <v>-1.9362009999999999E-2</v>
      </c>
      <c r="N8189">
        <v>-8.4944830000000006E-3</v>
      </c>
      <c r="O8189">
        <v>0.99977649999999996</v>
      </c>
      <c r="P8189">
        <v>1.9192759999999999E-3</v>
      </c>
      <c r="Q8189">
        <v>-9.7483340000000002E-2</v>
      </c>
      <c r="R8189">
        <v>0.99523530000000004</v>
      </c>
      <c r="S8189">
        <v>4.4464110000000001E-2</v>
      </c>
      <c r="T8189">
        <v>-0.11404350000000001</v>
      </c>
      <c r="U8189">
        <v>3.003174</v>
      </c>
      <c r="V8189">
        <v>2.124378E-2</v>
      </c>
      <c r="W8189">
        <v>-8.901473E-2</v>
      </c>
      <c r="X8189">
        <v>0.99580369999999996</v>
      </c>
      <c r="Y8189">
        <v>3.4148739999999997E-2</v>
      </c>
      <c r="Z8189">
        <v>-2.943221E-2</v>
      </c>
      <c r="AA8189">
        <v>0.99898330000000002</v>
      </c>
      <c r="AB8189">
        <v>32</v>
      </c>
      <c r="AC8189">
        <v>0.443400000000025</v>
      </c>
      <c r="AD8189">
        <v>-1.12034217129299</v>
      </c>
      <c r="AE8189">
        <v>29.174289999999999</v>
      </c>
      <c r="AF8189">
        <v>1.0067258567621</v>
      </c>
      <c r="AG8189">
        <v>-1.12034217129299</v>
      </c>
      <c r="AH8189">
        <v>29.1173060433389</v>
      </c>
      <c r="AI8189">
        <v>92.202159500490495</v>
      </c>
      <c r="AJ8189">
        <v>88.019797067364493</v>
      </c>
      <c r="AK8189">
        <v>29.156237321590499</v>
      </c>
      <c r="AL8189">
        <v>95.106927955181504</v>
      </c>
      <c r="AM8189">
        <v>88.777877271074502</v>
      </c>
      <c r="AN8189">
        <v>0.999999964639675</v>
      </c>
    </row>
    <row r="8190" spans="1:40" x14ac:dyDescent="0.25">
      <c r="A8190" t="str">
        <f>"20190303155009041"</f>
        <v>20190303155009041</v>
      </c>
      <c r="B8190" t="str">
        <f>"1551599409029045"</f>
        <v>1551599409029045</v>
      </c>
      <c r="C8190" t="s">
        <v>40</v>
      </c>
      <c r="D8190">
        <v>5.0979900000000002</v>
      </c>
      <c r="E8190">
        <v>0.50393599999999905</v>
      </c>
      <c r="F8190" t="s">
        <v>41</v>
      </c>
      <c r="G8190">
        <v>-187.42609999999999</v>
      </c>
      <c r="H8190" s="1">
        <v>-4.4757080000000004E-6</v>
      </c>
      <c r="I8190">
        <v>19.0015</v>
      </c>
      <c r="J8190">
        <v>-187.8391</v>
      </c>
      <c r="K8190">
        <v>1.12043</v>
      </c>
      <c r="L8190">
        <v>-10.58527</v>
      </c>
      <c r="M8190">
        <v>-1.9746509999999998E-2</v>
      </c>
      <c r="N8190">
        <v>-9.0571349999999991E-3</v>
      </c>
      <c r="O8190">
        <v>0.99976399999999999</v>
      </c>
      <c r="P8190">
        <v>1.550034E-3</v>
      </c>
      <c r="Q8190">
        <v>-9.5974299999999999E-2</v>
      </c>
      <c r="R8190">
        <v>0.99538260000000001</v>
      </c>
      <c r="S8190">
        <v>4.0832519999999997E-2</v>
      </c>
      <c r="T8190">
        <v>-0.1125345</v>
      </c>
      <c r="U8190">
        <v>3.0032649999999999</v>
      </c>
      <c r="V8190">
        <v>2.125051E-2</v>
      </c>
      <c r="W8190">
        <v>-8.6946200000000001E-2</v>
      </c>
      <c r="X8190">
        <v>0.99598629999999999</v>
      </c>
      <c r="Y8190">
        <v>3.3325140000000003E-2</v>
      </c>
      <c r="Z8190">
        <v>-2.836783E-2</v>
      </c>
      <c r="AA8190">
        <v>0.99904190000000004</v>
      </c>
      <c r="AB8190">
        <v>32</v>
      </c>
      <c r="AC8190">
        <v>0.41300000000001003</v>
      </c>
      <c r="AD8190">
        <v>-1.120434475708</v>
      </c>
      <c r="AE8190">
        <v>29.586770000000001</v>
      </c>
      <c r="AF8190">
        <v>0.99575115343308196</v>
      </c>
      <c r="AG8190">
        <v>-1.120434475708</v>
      </c>
      <c r="AH8190">
        <v>29.530503728526</v>
      </c>
      <c r="AI8190">
        <v>92.171618100579394</v>
      </c>
      <c r="AJ8190">
        <v>88.068751857709699</v>
      </c>
      <c r="AK8190">
        <v>29.568522861894898</v>
      </c>
      <c r="AL8190">
        <v>94.987948495963195</v>
      </c>
      <c r="AM8190">
        <v>88.777714283645295</v>
      </c>
      <c r="AN8190">
        <v>0.99999996782869405</v>
      </c>
    </row>
    <row r="8191" spans="1:40" x14ac:dyDescent="0.25">
      <c r="A8191" t="str">
        <f>"20190303155009062"</f>
        <v>20190303155009062</v>
      </c>
      <c r="B8191" t="str">
        <f>"1551599409058326"</f>
        <v>1551599409058326</v>
      </c>
      <c r="C8191" t="s">
        <v>40</v>
      </c>
      <c r="D8191">
        <v>5.0813540000000001</v>
      </c>
      <c r="E8191">
        <v>0.50377090000000002</v>
      </c>
      <c r="F8191" t="s">
        <v>41</v>
      </c>
      <c r="G8191">
        <v>-187.43350000000001</v>
      </c>
      <c r="H8191" s="1">
        <v>-9.6177119999999997E-7</v>
      </c>
      <c r="I8191">
        <v>20.467559999999999</v>
      </c>
      <c r="J8191">
        <v>-187.84559999999999</v>
      </c>
      <c r="K8191">
        <v>1.120479</v>
      </c>
      <c r="L8191">
        <v>-10.27426</v>
      </c>
      <c r="M8191">
        <v>-2.0134289999999999E-2</v>
      </c>
      <c r="N8191">
        <v>-9.4832679999999996E-3</v>
      </c>
      <c r="O8191">
        <v>0.99975230000000004</v>
      </c>
      <c r="P8191">
        <v>1.264725E-3</v>
      </c>
      <c r="Q8191">
        <v>-9.3515310000000004E-2</v>
      </c>
      <c r="R8191">
        <v>0.99561699999999997</v>
      </c>
      <c r="S8191">
        <v>3.9230349999999997E-2</v>
      </c>
      <c r="T8191">
        <v>-0.1083677</v>
      </c>
      <c r="U8191">
        <v>3.0034179999999999</v>
      </c>
      <c r="V8191">
        <v>2.1349159999999999E-2</v>
      </c>
      <c r="W8191">
        <v>-8.4061979999999994E-2</v>
      </c>
      <c r="X8191">
        <v>0.9962318</v>
      </c>
      <c r="Y8191">
        <v>3.3179840000000002E-2</v>
      </c>
      <c r="Z8191">
        <v>-2.655559E-2</v>
      </c>
      <c r="AA8191">
        <v>0.99909650000000005</v>
      </c>
      <c r="AB8191">
        <v>32</v>
      </c>
      <c r="AC8191">
        <v>0.41209999999997998</v>
      </c>
      <c r="AD8191">
        <v>-1.1204799617712</v>
      </c>
      <c r="AE8191">
        <v>30.741820000000001</v>
      </c>
      <c r="AF8191">
        <v>1.02964141856832</v>
      </c>
      <c r="AG8191">
        <v>-1.1204799617712</v>
      </c>
      <c r="AH8191">
        <v>30.6865313287609</v>
      </c>
      <c r="AI8191">
        <v>92.089978944466594</v>
      </c>
      <c r="AJ8191">
        <v>88.078245380291904</v>
      </c>
      <c r="AK8191">
        <v>30.724238668949798</v>
      </c>
      <c r="AL8191">
        <v>94.822087223710696</v>
      </c>
      <c r="AM8191">
        <v>88.772344382860695</v>
      </c>
      <c r="AN8191">
        <v>1.0000000012227299</v>
      </c>
    </row>
    <row r="8192" spans="1:40" x14ac:dyDescent="0.25">
      <c r="A8192" t="str">
        <f>"20190303155009084"</f>
        <v>20190303155009084</v>
      </c>
      <c r="B8192" t="str">
        <f>"1551599409078821"</f>
        <v>1551599409078821</v>
      </c>
      <c r="C8192" t="s">
        <v>40</v>
      </c>
      <c r="D8192">
        <v>5.1143539999999996</v>
      </c>
      <c r="E8192">
        <v>0.50366440000000001</v>
      </c>
      <c r="F8192" t="s">
        <v>41</v>
      </c>
      <c r="G8192">
        <v>-187.43360000000001</v>
      </c>
      <c r="H8192" s="1">
        <v>-1.827136E-6</v>
      </c>
      <c r="I8192">
        <v>22.830680000000001</v>
      </c>
      <c r="J8192">
        <v>-187.8527</v>
      </c>
      <c r="K8192">
        <v>1.120522</v>
      </c>
      <c r="L8192">
        <v>-9.94693</v>
      </c>
      <c r="M8192">
        <v>-2.0529189999999999E-2</v>
      </c>
      <c r="N8192">
        <v>-9.851884E-3</v>
      </c>
      <c r="O8192">
        <v>0.99974070000000004</v>
      </c>
      <c r="P8192">
        <v>1.28505E-3</v>
      </c>
      <c r="Q8192">
        <v>-9.0387809999999999E-2</v>
      </c>
      <c r="R8192">
        <v>0.99590579999999995</v>
      </c>
      <c r="S8192">
        <v>3.7384029999999999E-2</v>
      </c>
      <c r="T8192">
        <v>-0.1016608</v>
      </c>
      <c r="U8192">
        <v>3.0036010000000002</v>
      </c>
      <c r="V8192">
        <v>2.1764120000000001E-2</v>
      </c>
      <c r="W8192">
        <v>-8.0565239999999996E-2</v>
      </c>
      <c r="X8192">
        <v>0.9965117</v>
      </c>
      <c r="Y8192">
        <v>3.2960740000000002E-2</v>
      </c>
      <c r="Z8192">
        <v>-2.3956620000000001E-2</v>
      </c>
      <c r="AA8192">
        <v>0.99916950000000004</v>
      </c>
      <c r="AB8192">
        <v>32</v>
      </c>
      <c r="AC8192">
        <v>0.41909999999998598</v>
      </c>
      <c r="AD8192">
        <v>-1.1205238271359901</v>
      </c>
      <c r="AE8192">
        <v>32.777610000000003</v>
      </c>
      <c r="AF8192">
        <v>1.09066770801192</v>
      </c>
      <c r="AG8192">
        <v>-1.1205238271359901</v>
      </c>
      <c r="AH8192">
        <v>32.723860609994396</v>
      </c>
      <c r="AI8192">
        <v>91.960056757148607</v>
      </c>
      <c r="AJ8192">
        <v>88.091070812089498</v>
      </c>
      <c r="AK8192">
        <v>32.761199351043601</v>
      </c>
      <c r="AL8192">
        <v>94.621056471109497</v>
      </c>
      <c r="AM8192">
        <v>88.748841577858897</v>
      </c>
      <c r="AN8192">
        <v>1.00000000152626</v>
      </c>
    </row>
    <row r="8193" spans="1:40" x14ac:dyDescent="0.25">
      <c r="A8193" t="str">
        <f>"20190303155009118"</f>
        <v>20190303155009118</v>
      </c>
      <c r="B8193" t="str">
        <f>"1551599409109078"</f>
        <v>1551599409109078</v>
      </c>
      <c r="C8193" t="s">
        <v>40</v>
      </c>
      <c r="D8193">
        <v>5.0425209999999998</v>
      </c>
      <c r="E8193">
        <v>0.50350550000000005</v>
      </c>
      <c r="F8193" t="s">
        <v>41</v>
      </c>
      <c r="G8193">
        <v>-187.40379999999999</v>
      </c>
      <c r="H8193" s="1">
        <v>-3.3529000000000001E-6</v>
      </c>
      <c r="I8193">
        <v>26.374960000000002</v>
      </c>
      <c r="J8193">
        <v>-187.86330000000001</v>
      </c>
      <c r="K8193">
        <v>1.120563</v>
      </c>
      <c r="L8193">
        <v>-9.4627990000000004</v>
      </c>
      <c r="M8193">
        <v>-2.1098950000000002E-2</v>
      </c>
      <c r="N8193">
        <v>-1.034421E-2</v>
      </c>
      <c r="O8193">
        <v>0.9997239</v>
      </c>
      <c r="P8193">
        <v>2.247364E-3</v>
      </c>
      <c r="Q8193">
        <v>-8.5963100000000001E-2</v>
      </c>
      <c r="R8193">
        <v>0.99629579999999995</v>
      </c>
      <c r="S8193">
        <v>3.7124629999999999E-2</v>
      </c>
      <c r="T8193">
        <v>-9.2669130000000002E-2</v>
      </c>
      <c r="U8193">
        <v>3.003876</v>
      </c>
      <c r="V8193">
        <v>2.329643E-2</v>
      </c>
      <c r="W8193">
        <v>-7.5646899999999906E-2</v>
      </c>
      <c r="X8193">
        <v>0.99686249999999998</v>
      </c>
      <c r="Y8193">
        <v>3.3443970000000003E-2</v>
      </c>
      <c r="Z8193">
        <v>-2.0472799999999999E-2</v>
      </c>
      <c r="AA8193">
        <v>0.99923090000000003</v>
      </c>
      <c r="AB8193">
        <v>32</v>
      </c>
      <c r="AC8193">
        <v>0.459500000000019</v>
      </c>
      <c r="AD8193">
        <v>-1.1205663529000001</v>
      </c>
      <c r="AE8193">
        <v>35.837758999999998</v>
      </c>
      <c r="AF8193">
        <v>1.2143901460607001</v>
      </c>
      <c r="AG8193">
        <v>-1.1205663529000001</v>
      </c>
      <c r="AH8193">
        <v>35.785104534757103</v>
      </c>
      <c r="AI8193">
        <v>91.7925293084636</v>
      </c>
      <c r="AJ8193">
        <v>88.056377379825307</v>
      </c>
      <c r="AK8193">
        <v>35.8232343450671</v>
      </c>
      <c r="AL8193">
        <v>94.338392494302695</v>
      </c>
      <c r="AM8193">
        <v>88.661255488697904</v>
      </c>
      <c r="AN8193">
        <v>1.0000000105183</v>
      </c>
    </row>
    <row r="8194" spans="1:40" x14ac:dyDescent="0.25">
      <c r="A8194" t="str">
        <f>"20190303155009140"</f>
        <v>20190303155009140</v>
      </c>
      <c r="B8194" t="str">
        <f>"1551599409128597"</f>
        <v>1551599409128597</v>
      </c>
      <c r="C8194" t="s">
        <v>40</v>
      </c>
      <c r="D8194">
        <v>5.034891</v>
      </c>
      <c r="E8194">
        <v>0.50340229999999997</v>
      </c>
      <c r="F8194" t="s">
        <v>41</v>
      </c>
      <c r="G8194">
        <v>-187.32169999999999</v>
      </c>
      <c r="H8194" s="1">
        <v>-1.769247E-6</v>
      </c>
      <c r="I8194">
        <v>32.649509999999999</v>
      </c>
      <c r="J8194">
        <v>-187.87039999999999</v>
      </c>
      <c r="K8194">
        <v>1.1205750000000001</v>
      </c>
      <c r="L8194">
        <v>-9.1463009999999993</v>
      </c>
      <c r="M8194">
        <v>-2.1477389999999999E-2</v>
      </c>
      <c r="N8194">
        <v>-1.0627660000000001E-2</v>
      </c>
      <c r="O8194">
        <v>0.99971279999999996</v>
      </c>
      <c r="P8194">
        <v>3.6341939999999999E-3</v>
      </c>
      <c r="Q8194">
        <v>-8.3278359999999996E-2</v>
      </c>
      <c r="R8194">
        <v>0.99651970000000001</v>
      </c>
      <c r="S8194">
        <v>3.8635250000000003E-2</v>
      </c>
      <c r="T8194">
        <v>-7.9938170000000003E-2</v>
      </c>
      <c r="U8194">
        <v>3.004181</v>
      </c>
      <c r="V8194">
        <v>2.5060900000000001E-2</v>
      </c>
      <c r="W8194">
        <v>-7.2678099999999995E-2</v>
      </c>
      <c r="X8194">
        <v>0.99704060000000005</v>
      </c>
      <c r="Y8194">
        <v>3.4324859999999999E-2</v>
      </c>
      <c r="Z8194">
        <v>-1.5954550000000001E-2</v>
      </c>
      <c r="AA8194">
        <v>0.99928340000000004</v>
      </c>
      <c r="AB8194">
        <v>32</v>
      </c>
      <c r="AC8194">
        <v>0.54869999999999597</v>
      </c>
      <c r="AD8194">
        <v>-1.1205767692469999</v>
      </c>
      <c r="AE8194">
        <v>41.795811</v>
      </c>
      <c r="AF8194">
        <v>1.4452504025373101</v>
      </c>
      <c r="AG8194">
        <v>-1.1205767692469999</v>
      </c>
      <c r="AH8194">
        <v>41.744382380106202</v>
      </c>
      <c r="AI8194">
        <v>91.536745402633002</v>
      </c>
      <c r="AJ8194">
        <v>88.017129917934597</v>
      </c>
      <c r="AK8194">
        <v>41.784421754026098</v>
      </c>
      <c r="AL8194">
        <v>94.167822810712295</v>
      </c>
      <c r="AM8194">
        <v>88.560157403231102</v>
      </c>
      <c r="AN8194">
        <v>1.00000005648838</v>
      </c>
    </row>
    <row r="8195" spans="1:40" x14ac:dyDescent="0.25">
      <c r="A8195" t="str">
        <f>"20190303155009162"</f>
        <v>20190303155009162</v>
      </c>
      <c r="B8195" t="str">
        <f>"1551599409158854"</f>
        <v>1551599409158854</v>
      </c>
      <c r="C8195" t="s">
        <v>40</v>
      </c>
      <c r="D8195">
        <v>5.0362669999999996</v>
      </c>
      <c r="E8195">
        <v>0.50325159999999902</v>
      </c>
      <c r="F8195" t="s">
        <v>41</v>
      </c>
      <c r="G8195">
        <v>-187.2184</v>
      </c>
      <c r="H8195" s="1">
        <v>-3.8562069999999996E-6</v>
      </c>
      <c r="I8195">
        <v>37.471519999999998</v>
      </c>
      <c r="J8195">
        <v>-187.8777</v>
      </c>
      <c r="K8195">
        <v>1.1205849999999999</v>
      </c>
      <c r="L8195">
        <v>-8.8306880000000003</v>
      </c>
      <c r="M8195">
        <v>-2.1858209999999999E-2</v>
      </c>
      <c r="N8195">
        <v>-1.0873819999999999E-2</v>
      </c>
      <c r="O8195">
        <v>0.99970190000000003</v>
      </c>
      <c r="P8195">
        <v>4.9954930000000002E-3</v>
      </c>
      <c r="Q8195">
        <v>-8.0784449999999994E-2</v>
      </c>
      <c r="R8195">
        <v>0.99671909999999997</v>
      </c>
      <c r="S8195">
        <v>4.2022709999999998E-2</v>
      </c>
      <c r="T8195">
        <v>-7.2216150000000007E-2</v>
      </c>
      <c r="U8195">
        <v>3.0043030000000002</v>
      </c>
      <c r="V8195">
        <v>2.680225E-2</v>
      </c>
      <c r="W8195">
        <v>-6.9937559999999996E-2</v>
      </c>
      <c r="X8195">
        <v>0.9971913</v>
      </c>
      <c r="Y8195">
        <v>3.583215E-2</v>
      </c>
      <c r="Z8195">
        <v>-1.3139359999999999E-2</v>
      </c>
      <c r="AA8195">
        <v>0.99927149999999998</v>
      </c>
      <c r="AB8195">
        <v>32</v>
      </c>
      <c r="AC8195">
        <v>0.659300000000001</v>
      </c>
      <c r="AD8195">
        <v>-1.1205888562070001</v>
      </c>
      <c r="AE8195">
        <v>46.302208</v>
      </c>
      <c r="AF8195">
        <v>1.67030760065246</v>
      </c>
      <c r="AG8195">
        <v>-1.1205888562070001</v>
      </c>
      <c r="AH8195">
        <v>46.249648433714199</v>
      </c>
      <c r="AI8195">
        <v>91.387051556913093</v>
      </c>
      <c r="AJ8195">
        <v>87.931659935579802</v>
      </c>
      <c r="AK8195">
        <v>46.293364828100501</v>
      </c>
      <c r="AL8195">
        <v>94.010400655773694</v>
      </c>
      <c r="AM8195">
        <v>88.460389521959598</v>
      </c>
      <c r="AN8195">
        <v>1.0000000558497499</v>
      </c>
    </row>
    <row r="8196" spans="1:40" x14ac:dyDescent="0.25">
      <c r="A8196" t="str">
        <f>"20190303155009188"</f>
        <v>20190303155009188</v>
      </c>
      <c r="B8196" t="str">
        <f>"1551599409178375"</f>
        <v>1551599409178375</v>
      </c>
      <c r="C8196" t="s">
        <v>40</v>
      </c>
      <c r="D8196">
        <v>4.9916910000000003</v>
      </c>
      <c r="E8196">
        <v>0.50329579999999996</v>
      </c>
      <c r="F8196" t="s">
        <v>41</v>
      </c>
      <c r="G8196">
        <v>-187.1095</v>
      </c>
      <c r="H8196" s="1">
        <v>-1.782933E-6</v>
      </c>
      <c r="I8196">
        <v>42.59366</v>
      </c>
      <c r="J8196">
        <v>-187.8861</v>
      </c>
      <c r="K8196">
        <v>1.120587</v>
      </c>
      <c r="L8196">
        <v>-8.4667359999999992</v>
      </c>
      <c r="M8196">
        <v>-2.2296759999999999E-2</v>
      </c>
      <c r="N8196">
        <v>-1.1118930000000001E-2</v>
      </c>
      <c r="O8196">
        <v>0.99968959999999996</v>
      </c>
      <c r="P8196">
        <v>6.8937440000000003E-3</v>
      </c>
      <c r="Q8196">
        <v>-7.9524810000000001E-2</v>
      </c>
      <c r="R8196">
        <v>0.9968091</v>
      </c>
      <c r="S8196">
        <v>4.4876100000000002E-2</v>
      </c>
      <c r="T8196">
        <v>-6.5467360000000002E-2</v>
      </c>
      <c r="U8196">
        <v>3.0043329999999999</v>
      </c>
      <c r="V8196">
        <v>2.9136229999999999E-2</v>
      </c>
      <c r="W8196">
        <v>-6.8433579999999994E-2</v>
      </c>
      <c r="X8196">
        <v>0.99723010000000001</v>
      </c>
      <c r="Y8196">
        <v>3.7219740000000001E-2</v>
      </c>
      <c r="Z8196">
        <v>-1.064943E-2</v>
      </c>
      <c r="AA8196">
        <v>0.99925039999999998</v>
      </c>
      <c r="AB8196">
        <v>32</v>
      </c>
      <c r="AC8196">
        <v>0.77660000000000196</v>
      </c>
      <c r="AD8196">
        <v>-1.1205887829329999</v>
      </c>
      <c r="AE8196">
        <v>51.060395999999997</v>
      </c>
      <c r="AF8196">
        <v>1.9140369794624199</v>
      </c>
      <c r="AG8196">
        <v>-1.1205887829329999</v>
      </c>
      <c r="AH8196">
        <v>51.005823040847602</v>
      </c>
      <c r="AI8196">
        <v>91.257690593688295</v>
      </c>
      <c r="AJ8196">
        <v>87.850935428206</v>
      </c>
      <c r="AK8196">
        <v>51.054022768567798</v>
      </c>
      <c r="AL8196">
        <v>93.924022289317406</v>
      </c>
      <c r="AM8196">
        <v>88.326456216685202</v>
      </c>
      <c r="AN8196">
        <v>0.99999997355811898</v>
      </c>
    </row>
    <row r="8197" spans="1:40" x14ac:dyDescent="0.25">
      <c r="A8197" t="str">
        <f>"20190303155009211"</f>
        <v>20190303155009211</v>
      </c>
      <c r="B8197" t="str">
        <f>"1551599409198870"</f>
        <v>1551599409198870</v>
      </c>
      <c r="C8197" t="s">
        <v>40</v>
      </c>
      <c r="D8197">
        <v>4.968432</v>
      </c>
      <c r="E8197">
        <v>0.5033609</v>
      </c>
      <c r="F8197" t="s">
        <v>41</v>
      </c>
      <c r="G8197">
        <v>-186.96639999999999</v>
      </c>
      <c r="H8197" s="1">
        <v>-3.1140749999999999E-6</v>
      </c>
      <c r="I8197">
        <v>45.637410000000003</v>
      </c>
      <c r="J8197">
        <v>-187.89410000000001</v>
      </c>
      <c r="K8197">
        <v>1.1205909999999999</v>
      </c>
      <c r="L8197">
        <v>-8.1280819999999991</v>
      </c>
      <c r="M8197">
        <v>-2.2702690000000001E-2</v>
      </c>
      <c r="N8197">
        <v>-1.131676E-2</v>
      </c>
      <c r="O8197">
        <v>0.99967819999999996</v>
      </c>
      <c r="P8197">
        <v>8.0260219999999903E-3</v>
      </c>
      <c r="Q8197">
        <v>-7.8440899999999994E-2</v>
      </c>
      <c r="R8197">
        <v>0.99688639999999995</v>
      </c>
      <c r="S8197">
        <v>5.1071169999999999E-2</v>
      </c>
      <c r="T8197">
        <v>-6.2223670000000002E-2</v>
      </c>
      <c r="U8197">
        <v>3.0042719999999998</v>
      </c>
      <c r="V8197">
        <v>3.0672459999999999E-2</v>
      </c>
      <c r="W8197">
        <v>-6.7152450000000002E-2</v>
      </c>
      <c r="X8197">
        <v>0.99727120000000002</v>
      </c>
      <c r="Y8197">
        <v>3.9685600000000001E-2</v>
      </c>
      <c r="Z8197">
        <v>-9.3717820000000004E-3</v>
      </c>
      <c r="AA8197">
        <v>0.99916830000000001</v>
      </c>
      <c r="AB8197">
        <v>32</v>
      </c>
      <c r="AC8197">
        <v>0.92770000000001496</v>
      </c>
      <c r="AD8197">
        <v>-1.120594114075</v>
      </c>
      <c r="AE8197">
        <v>53.765492000000002</v>
      </c>
      <c r="AF8197">
        <v>2.1472278636115001</v>
      </c>
      <c r="AG8197">
        <v>-1.120594114075</v>
      </c>
      <c r="AH8197">
        <v>53.707246647825301</v>
      </c>
      <c r="AI8197">
        <v>91.194341040771207</v>
      </c>
      <c r="AJ8197">
        <v>87.710521110041796</v>
      </c>
      <c r="AK8197">
        <v>53.761832754818897</v>
      </c>
      <c r="AL8197">
        <v>93.850449389299499</v>
      </c>
      <c r="AM8197">
        <v>88.238344115300507</v>
      </c>
      <c r="AN8197">
        <v>1.00000004884644</v>
      </c>
    </row>
    <row r="8198" spans="1:40" x14ac:dyDescent="0.25">
      <c r="A8198" t="str">
        <f>"20190303155009232"</f>
        <v>20190303155009232</v>
      </c>
      <c r="B8198" t="str">
        <f>"1551599409218390"</f>
        <v>1551599409218390</v>
      </c>
      <c r="C8198" t="s">
        <v>40</v>
      </c>
      <c r="D8198">
        <v>4.9749660000000002</v>
      </c>
      <c r="E8198">
        <v>0.50340770000000001</v>
      </c>
      <c r="F8198" t="s">
        <v>41</v>
      </c>
      <c r="G8198">
        <v>-186.8563</v>
      </c>
      <c r="H8198" s="1">
        <v>-4.3030769999999999E-6</v>
      </c>
      <c r="I8198">
        <v>48.363489999999999</v>
      </c>
      <c r="J8198">
        <v>-187.90119999999999</v>
      </c>
      <c r="K8198">
        <v>1.120587</v>
      </c>
      <c r="L8198">
        <v>-7.8344119999999897</v>
      </c>
      <c r="M8198">
        <v>-2.305277E-2</v>
      </c>
      <c r="N8198">
        <v>-1.146673E-2</v>
      </c>
      <c r="O8198">
        <v>0.99966849999999996</v>
      </c>
      <c r="P8198">
        <v>8.5240239999999998E-3</v>
      </c>
      <c r="Q8198">
        <v>-7.7047290000000004E-2</v>
      </c>
      <c r="R8198">
        <v>0.99699099999999996</v>
      </c>
      <c r="S8198">
        <v>5.5191039999999997E-2</v>
      </c>
      <c r="T8198">
        <v>-5.9593680000000003E-2</v>
      </c>
      <c r="U8198">
        <v>3.0042420000000001</v>
      </c>
      <c r="V8198">
        <v>3.1520230000000003E-2</v>
      </c>
      <c r="W8198">
        <v>-6.5608780000000005E-2</v>
      </c>
      <c r="X8198">
        <v>0.99734750000000005</v>
      </c>
      <c r="Y8198">
        <v>4.1405369999999997E-2</v>
      </c>
      <c r="Z8198">
        <v>-8.3463229999999992E-3</v>
      </c>
      <c r="AA8198">
        <v>0.99910750000000004</v>
      </c>
      <c r="AB8198">
        <v>32</v>
      </c>
      <c r="AC8198">
        <v>1.04489999999998</v>
      </c>
      <c r="AD8198">
        <v>-1.1205913030769901</v>
      </c>
      <c r="AE8198">
        <v>56.197901999999999</v>
      </c>
      <c r="AF8198">
        <v>2.3392949536696701</v>
      </c>
      <c r="AG8198">
        <v>-1.1205913030769901</v>
      </c>
      <c r="AH8198">
        <v>56.136563406922399</v>
      </c>
      <c r="AI8198">
        <v>91.142588187894603</v>
      </c>
      <c r="AJ8198">
        <v>87.613779365491595</v>
      </c>
      <c r="AK8198">
        <v>56.196456978071197</v>
      </c>
      <c r="AL8198">
        <v>93.761808146394102</v>
      </c>
      <c r="AM8198">
        <v>88.189823277526301</v>
      </c>
      <c r="AN8198">
        <v>1.00000003633429</v>
      </c>
    </row>
    <row r="8199" spans="1:40" x14ac:dyDescent="0.25">
      <c r="A8199" t="str">
        <f>"20190303155009253"</f>
        <v>20190303155009253</v>
      </c>
      <c r="B8199" t="str">
        <f>"1551599409248646"</f>
        <v>1551599409248646</v>
      </c>
      <c r="C8199" t="s">
        <v>40</v>
      </c>
      <c r="D8199">
        <v>4.9242210000000002</v>
      </c>
      <c r="E8199">
        <v>0.50347580000000003</v>
      </c>
      <c r="F8199" t="s">
        <v>41</v>
      </c>
      <c r="G8199">
        <v>-186.7612</v>
      </c>
      <c r="H8199" s="1">
        <v>-1.794541E-6</v>
      </c>
      <c r="I8199">
        <v>52.389069999999997</v>
      </c>
      <c r="J8199">
        <v>-187.90880000000001</v>
      </c>
      <c r="K8199">
        <v>1.1205879999999999</v>
      </c>
      <c r="L8199">
        <v>-7.5231320000000004</v>
      </c>
      <c r="M8199">
        <v>-2.3422559999999999E-2</v>
      </c>
      <c r="N8199">
        <v>-1.1606129999999999E-2</v>
      </c>
      <c r="O8199">
        <v>0.9996583</v>
      </c>
      <c r="P8199">
        <v>9.2016100000000007E-3</v>
      </c>
      <c r="Q8199">
        <v>-7.5620950000000006E-2</v>
      </c>
      <c r="R8199">
        <v>0.99709420000000004</v>
      </c>
      <c r="S8199">
        <v>5.6869509999999998E-2</v>
      </c>
      <c r="T8199">
        <v>-5.5900449999999997E-2</v>
      </c>
      <c r="U8199">
        <v>3.0042420000000001</v>
      </c>
      <c r="V8199">
        <v>3.2567529999999997E-2</v>
      </c>
      <c r="W8199">
        <v>-6.4042840000000004E-2</v>
      </c>
      <c r="X8199">
        <v>0.99741559999999996</v>
      </c>
      <c r="Y8199">
        <v>4.2333210000000003E-2</v>
      </c>
      <c r="Z8199">
        <v>-6.9783509999999998E-3</v>
      </c>
      <c r="AA8199">
        <v>0.99907919999999995</v>
      </c>
      <c r="AB8199">
        <v>32</v>
      </c>
      <c r="AC8199">
        <v>1.1476000000000099</v>
      </c>
      <c r="AD8199">
        <v>-1.1205897945409999</v>
      </c>
      <c r="AE8199">
        <v>59.912202000000001</v>
      </c>
      <c r="AF8199">
        <v>2.5497850869456702</v>
      </c>
      <c r="AG8199">
        <v>-1.1205897945409999</v>
      </c>
      <c r="AH8199">
        <v>59.847952379935698</v>
      </c>
      <c r="AI8199">
        <v>91.071705729023094</v>
      </c>
      <c r="AJ8199">
        <v>87.560424001659797</v>
      </c>
      <c r="AK8199">
        <v>59.912724270794797</v>
      </c>
      <c r="AL8199">
        <v>93.671897386378603</v>
      </c>
      <c r="AM8199">
        <v>88.129847473177705</v>
      </c>
      <c r="AN8199">
        <v>1.0000000042444599</v>
      </c>
    </row>
    <row r="8200" spans="1:40" x14ac:dyDescent="0.25">
      <c r="A8200" t="str">
        <f>"20190303155009274"</f>
        <v>20190303155009274</v>
      </c>
      <c r="B8200" t="str">
        <f>"1551599409269142"</f>
        <v>1551599409269142</v>
      </c>
      <c r="C8200" t="s">
        <v>40</v>
      </c>
      <c r="D8200">
        <v>4.9472050000000003</v>
      </c>
      <c r="E8200">
        <v>0.50351749999999995</v>
      </c>
      <c r="F8200" t="s">
        <v>41</v>
      </c>
      <c r="G8200">
        <v>-186.63910000000001</v>
      </c>
      <c r="H8200" s="1">
        <v>-3.52524E-6</v>
      </c>
      <c r="I8200">
        <v>56.460509999999999</v>
      </c>
      <c r="J8200">
        <v>-187.91679999999999</v>
      </c>
      <c r="K8200">
        <v>1.120598</v>
      </c>
      <c r="L8200">
        <v>-7.200958</v>
      </c>
      <c r="M8200">
        <v>-2.380405E-2</v>
      </c>
      <c r="N8200">
        <v>-1.1731709999999999E-2</v>
      </c>
      <c r="O8200">
        <v>0.99964779999999998</v>
      </c>
      <c r="P8200">
        <v>9.9106460000000004E-3</v>
      </c>
      <c r="Q8200">
        <v>-7.5269820000000001E-2</v>
      </c>
      <c r="R8200">
        <v>0.9971139</v>
      </c>
      <c r="S8200">
        <v>5.9616089999999997E-2</v>
      </c>
      <c r="T8200">
        <v>-5.2614929999999997E-2</v>
      </c>
      <c r="U8200">
        <v>3.0042110000000002</v>
      </c>
      <c r="V8200">
        <v>3.3656510000000001E-2</v>
      </c>
      <c r="W8200">
        <v>-6.3566689999999995E-2</v>
      </c>
      <c r="X8200">
        <v>0.99740989999999996</v>
      </c>
      <c r="Y8200">
        <v>4.3627840000000001E-2</v>
      </c>
      <c r="Z8200">
        <v>-5.7596469999999997E-3</v>
      </c>
      <c r="AA8200">
        <v>0.99903120000000001</v>
      </c>
      <c r="AB8200">
        <v>32</v>
      </c>
      <c r="AC8200">
        <v>1.2776999999999801</v>
      </c>
      <c r="AD8200">
        <v>-1.1206015252399999</v>
      </c>
      <c r="AE8200">
        <v>63.661467999999999</v>
      </c>
      <c r="AF8200">
        <v>2.7919782344991702</v>
      </c>
      <c r="AG8200">
        <v>-1.1206015252399999</v>
      </c>
      <c r="AH8200">
        <v>63.5933137484488</v>
      </c>
      <c r="AI8200">
        <v>91.008554500987401</v>
      </c>
      <c r="AJ8200">
        <v>87.486120832426593</v>
      </c>
      <c r="AK8200">
        <v>63.6644362556438</v>
      </c>
      <c r="AL8200">
        <v>93.644560326374702</v>
      </c>
      <c r="AM8200">
        <v>88.067349682687194</v>
      </c>
      <c r="AN8200">
        <v>0.99999999668047301</v>
      </c>
    </row>
    <row r="8201" spans="1:40" x14ac:dyDescent="0.25">
      <c r="A8201" t="str">
        <f>"20190303155009298"</f>
        <v>20190303155009298</v>
      </c>
      <c r="B8201" t="str">
        <f>"1551599409288662"</f>
        <v>1551599409288662</v>
      </c>
      <c r="C8201" t="s">
        <v>40</v>
      </c>
      <c r="D8201">
        <v>4.9021119999999998</v>
      </c>
      <c r="E8201">
        <v>0.50356299999999998</v>
      </c>
      <c r="F8201" t="s">
        <v>41</v>
      </c>
      <c r="G8201">
        <v>-186.5874</v>
      </c>
      <c r="H8201" s="1">
        <v>-3.84482199999999E-6</v>
      </c>
      <c r="I8201">
        <v>57.184080000000002</v>
      </c>
      <c r="J8201">
        <v>-187.92509999999999</v>
      </c>
      <c r="K8201">
        <v>1.120622</v>
      </c>
      <c r="L8201">
        <v>-6.8693239999999998</v>
      </c>
      <c r="M8201">
        <v>-2.419257E-2</v>
      </c>
      <c r="N8201">
        <v>-1.1843380000000001E-2</v>
      </c>
      <c r="O8201">
        <v>0.9996372</v>
      </c>
      <c r="P8201">
        <v>1.0860069999999999E-2</v>
      </c>
      <c r="Q8201">
        <v>-7.5248609999999994E-2</v>
      </c>
      <c r="R8201">
        <v>0.99710569999999998</v>
      </c>
      <c r="S8201">
        <v>6.2026980000000002E-2</v>
      </c>
      <c r="T8201">
        <v>-5.2285789999999999E-2</v>
      </c>
      <c r="U8201">
        <v>3.0041199999999999</v>
      </c>
      <c r="V8201">
        <v>3.4996039999999999E-2</v>
      </c>
      <c r="W8201">
        <v>-6.3432580000000002E-2</v>
      </c>
      <c r="X8201">
        <v>0.99737229999999999</v>
      </c>
      <c r="Y8201">
        <v>4.4817900000000001E-2</v>
      </c>
      <c r="Z8201">
        <v>-5.5380569999999999E-3</v>
      </c>
      <c r="AA8201">
        <v>0.99897979999999997</v>
      </c>
      <c r="AB8201">
        <v>32</v>
      </c>
      <c r="AC8201">
        <v>1.3376999999999799</v>
      </c>
      <c r="AD8201">
        <v>-1.1206258448219999</v>
      </c>
      <c r="AE8201">
        <v>64.053404</v>
      </c>
      <c r="AF8201">
        <v>2.88615050151046</v>
      </c>
      <c r="AG8201">
        <v>-1.1206258448219999</v>
      </c>
      <c r="AH8201">
        <v>63.982713979260403</v>
      </c>
      <c r="AI8201">
        <v>91.002385796450994</v>
      </c>
      <c r="AJ8201">
        <v>87.417236460837103</v>
      </c>
      <c r="AK8201">
        <v>64.057578436538606</v>
      </c>
      <c r="AL8201">
        <v>93.636860984639995</v>
      </c>
      <c r="AM8201">
        <v>87.990416311146703</v>
      </c>
      <c r="AN8201">
        <v>0.99999995991421298</v>
      </c>
    </row>
    <row r="8202" spans="1:40" x14ac:dyDescent="0.25">
      <c r="A8202" t="str">
        <f>"20190303155009319"</f>
        <v>20190303155009319</v>
      </c>
      <c r="B8202" t="str">
        <f>"1551599409309158"</f>
        <v>1551599409309158</v>
      </c>
      <c r="C8202" t="s">
        <v>40</v>
      </c>
      <c r="D8202">
        <v>4.9508789999999996</v>
      </c>
      <c r="E8202">
        <v>0.50360320000000003</v>
      </c>
      <c r="F8202" t="s">
        <v>41</v>
      </c>
      <c r="G8202">
        <v>-186.54060000000001</v>
      </c>
      <c r="H8202" s="1">
        <v>-3.6170919999999998E-6</v>
      </c>
      <c r="I8202">
        <v>56.633899999999997</v>
      </c>
      <c r="J8202">
        <v>-187.93299999999999</v>
      </c>
      <c r="K8202">
        <v>1.1204099999999999</v>
      </c>
      <c r="L8202">
        <v>-6.5564270000000002</v>
      </c>
      <c r="M8202">
        <v>-2.4540039999999999E-2</v>
      </c>
      <c r="N8202">
        <v>-1.1037730000000001E-2</v>
      </c>
      <c r="O8202">
        <v>0.99963789999999997</v>
      </c>
      <c r="P8202">
        <v>1.178154E-2</v>
      </c>
      <c r="Q8202">
        <v>-7.4005119999999994E-2</v>
      </c>
      <c r="R8202">
        <v>0.99718830000000003</v>
      </c>
      <c r="S8202">
        <v>6.5490720000000002E-2</v>
      </c>
      <c r="T8202">
        <v>-5.301082E-2</v>
      </c>
      <c r="U8202">
        <v>3.0039980000000002</v>
      </c>
      <c r="V8202">
        <v>3.6268729999999999E-2</v>
      </c>
      <c r="W8202">
        <v>-6.2989939999999994E-2</v>
      </c>
      <c r="X8202">
        <v>0.99735490000000004</v>
      </c>
      <c r="Y8202">
        <v>4.631735E-2</v>
      </c>
      <c r="Z8202">
        <v>-6.5844400000000004E-3</v>
      </c>
      <c r="AA8202">
        <v>0.99890509999999999</v>
      </c>
      <c r="AB8202">
        <v>32</v>
      </c>
      <c r="AC8202">
        <v>1.3923999999999801</v>
      </c>
      <c r="AD8202">
        <v>-1.120413617092</v>
      </c>
      <c r="AE8202">
        <v>63.190327000000003</v>
      </c>
      <c r="AF8202">
        <v>2.94184385620188</v>
      </c>
      <c r="AG8202">
        <v>-1.120413617092</v>
      </c>
      <c r="AH8202">
        <v>63.117289932207001</v>
      </c>
      <c r="AI8202">
        <v>91.015864851120796</v>
      </c>
      <c r="AJ8202">
        <v>87.331423153043204</v>
      </c>
      <c r="AK8202">
        <v>63.195744004908498</v>
      </c>
      <c r="AL8202">
        <v>93.611448705079795</v>
      </c>
      <c r="AM8202">
        <v>87.917361336433999</v>
      </c>
      <c r="AN8202">
        <v>0.99999997493551296</v>
      </c>
    </row>
    <row r="8203" spans="1:40" x14ac:dyDescent="0.25">
      <c r="A8203" t="str">
        <f>"20190303155009344"</f>
        <v>20190303155009344</v>
      </c>
      <c r="B8203" t="str">
        <f>"1551599409338438"</f>
        <v>1551599409338438</v>
      </c>
      <c r="C8203" t="s">
        <v>40</v>
      </c>
      <c r="D8203">
        <v>4.9247649999999998</v>
      </c>
      <c r="E8203">
        <v>0.50364179999999903</v>
      </c>
      <c r="F8203" t="s">
        <v>41</v>
      </c>
      <c r="G8203">
        <v>-186.39080000000001</v>
      </c>
      <c r="H8203" s="1">
        <v>-1.3549670000000001E-6</v>
      </c>
      <c r="I8203">
        <v>60.807749999999999</v>
      </c>
      <c r="J8203">
        <v>-187.9418</v>
      </c>
      <c r="K8203">
        <v>1.120085</v>
      </c>
      <c r="L8203">
        <v>-6.2085879999999998</v>
      </c>
      <c r="M8203">
        <v>-2.49096E-2</v>
      </c>
      <c r="N8203">
        <v>-9.7014479999999997E-3</v>
      </c>
      <c r="O8203">
        <v>0.99964260000000005</v>
      </c>
      <c r="P8203">
        <v>1.281816E-2</v>
      </c>
      <c r="Q8203">
        <v>-7.2320519999999999E-2</v>
      </c>
      <c r="R8203">
        <v>0.99729909999999999</v>
      </c>
      <c r="S8203">
        <v>6.8771360000000004E-2</v>
      </c>
      <c r="T8203">
        <v>-4.996192E-2</v>
      </c>
      <c r="U8203">
        <v>3.0039370000000001</v>
      </c>
      <c r="V8203">
        <v>3.7677719999999998E-2</v>
      </c>
      <c r="W8203">
        <v>-6.2635910000000003E-2</v>
      </c>
      <c r="X8203">
        <v>0.99732500000000002</v>
      </c>
      <c r="Y8203">
        <v>4.7778250000000001E-2</v>
      </c>
      <c r="Z8203">
        <v>-6.9067829999999997E-3</v>
      </c>
      <c r="AA8203">
        <v>0.99883409999999995</v>
      </c>
      <c r="AB8203">
        <v>32</v>
      </c>
      <c r="AC8203">
        <v>1.55099999999998</v>
      </c>
      <c r="AD8203">
        <v>-1.1200863549669999</v>
      </c>
      <c r="AE8203">
        <v>67.016338000000005</v>
      </c>
      <c r="AF8203">
        <v>3.2190487378525798</v>
      </c>
      <c r="AG8203">
        <v>-1.1200863549669999</v>
      </c>
      <c r="AH8203">
        <v>66.938215906233097</v>
      </c>
      <c r="AI8203">
        <v>90.957542300255895</v>
      </c>
      <c r="AJ8203">
        <v>87.246775670848095</v>
      </c>
      <c r="AK8203">
        <v>67.024932800628207</v>
      </c>
      <c r="AL8203">
        <v>93.591124012854394</v>
      </c>
      <c r="AM8203">
        <v>87.836464352755399</v>
      </c>
      <c r="AN8203">
        <v>1.0000000117154599</v>
      </c>
    </row>
    <row r="8204" spans="1:40" x14ac:dyDescent="0.25">
      <c r="A8204" t="str">
        <f>"20190303155009364"</f>
        <v>20190303155009364</v>
      </c>
      <c r="B8204" t="str">
        <f>"1551599409358935"</f>
        <v>1551599409358935</v>
      </c>
      <c r="C8204" t="s">
        <v>40</v>
      </c>
      <c r="D8204">
        <v>4.924957</v>
      </c>
      <c r="E8204">
        <v>0.50365499999999996</v>
      </c>
      <c r="F8204" t="s">
        <v>41</v>
      </c>
      <c r="G8204">
        <v>-186.1901</v>
      </c>
      <c r="H8204" s="1">
        <v>-3.6867129999999999E-6</v>
      </c>
      <c r="I8204">
        <v>66.651259999999994</v>
      </c>
      <c r="J8204">
        <v>-187.94980000000001</v>
      </c>
      <c r="K8204">
        <v>1.119837</v>
      </c>
      <c r="L8204">
        <v>-5.8975519999999904</v>
      </c>
      <c r="M8204">
        <v>-2.523069E-2</v>
      </c>
      <c r="N8204">
        <v>-8.4829710000000006E-3</v>
      </c>
      <c r="O8204">
        <v>0.99964569999999997</v>
      </c>
      <c r="P8204">
        <v>1.3568220000000001E-2</v>
      </c>
      <c r="Q8204">
        <v>-6.9567589999999999E-2</v>
      </c>
      <c r="R8204">
        <v>0.99748499999999996</v>
      </c>
      <c r="S8204">
        <v>7.2219850000000002E-2</v>
      </c>
      <c r="T8204">
        <v>-4.6178700000000003E-2</v>
      </c>
      <c r="U8204">
        <v>3.0038450000000001</v>
      </c>
      <c r="V8204">
        <v>3.8752189999999999E-2</v>
      </c>
      <c r="W8204">
        <v>-6.1096280000000003E-2</v>
      </c>
      <c r="X8204">
        <v>0.99737929999999997</v>
      </c>
      <c r="Y8204">
        <v>4.924663E-2</v>
      </c>
      <c r="Z8204">
        <v>-6.8673989999999997E-3</v>
      </c>
      <c r="AA8204">
        <v>0.99876299999999996</v>
      </c>
      <c r="AB8204">
        <v>33</v>
      </c>
      <c r="AC8204">
        <v>1.7597</v>
      </c>
      <c r="AD8204">
        <v>-1.119840686713</v>
      </c>
      <c r="AE8204">
        <v>72.548811999999998</v>
      </c>
      <c r="AF8204">
        <v>3.5888075826454102</v>
      </c>
      <c r="AG8204">
        <v>-1.119840686713</v>
      </c>
      <c r="AH8204">
        <v>72.464059616225995</v>
      </c>
      <c r="AI8204">
        <v>90.884279937845605</v>
      </c>
      <c r="AJ8204">
        <v>87.164723298841395</v>
      </c>
      <c r="AK8204">
        <v>72.561515413425795</v>
      </c>
      <c r="AL8204">
        <v>93.502740520277797</v>
      </c>
      <c r="AM8204">
        <v>87.774948160867297</v>
      </c>
      <c r="AN8204">
        <v>0.99999997786406203</v>
      </c>
    </row>
    <row r="8205" spans="1:40" x14ac:dyDescent="0.25">
      <c r="A8205" t="str">
        <f>"20190303155009388"</f>
        <v>20190303155009388</v>
      </c>
      <c r="B8205" t="str">
        <f>"1551599409378454"</f>
        <v>1551599409378454</v>
      </c>
      <c r="C8205" t="s">
        <v>40</v>
      </c>
      <c r="D8205">
        <v>4.9435549999999999</v>
      </c>
      <c r="E8205">
        <v>0.50366509999999998</v>
      </c>
      <c r="F8205" t="s">
        <v>41</v>
      </c>
      <c r="G8205">
        <v>-185.7962</v>
      </c>
      <c r="H8205" s="1">
        <v>-1.5116069999999901E-6</v>
      </c>
      <c r="I8205">
        <v>80.803139999999999</v>
      </c>
      <c r="J8205">
        <v>-187.959</v>
      </c>
      <c r="K8205">
        <v>1.1196159999999999</v>
      </c>
      <c r="L8205">
        <v>-5.5431210000000002</v>
      </c>
      <c r="M8205">
        <v>-2.557852E-2</v>
      </c>
      <c r="N8205">
        <v>-7.1280619999999897E-3</v>
      </c>
      <c r="O8205">
        <v>0.99964739999999996</v>
      </c>
      <c r="P8205">
        <v>1.368923E-2</v>
      </c>
      <c r="Q8205">
        <v>-6.8017720000000004E-2</v>
      </c>
      <c r="R8205">
        <v>0.99759019999999998</v>
      </c>
      <c r="S8205">
        <v>7.4615479999999998E-2</v>
      </c>
      <c r="T8205">
        <v>-3.879809E-2</v>
      </c>
      <c r="U8205">
        <v>3.0038450000000001</v>
      </c>
      <c r="V8205">
        <v>3.9223050000000002E-2</v>
      </c>
      <c r="W8205">
        <v>-6.0896560000000002E-2</v>
      </c>
      <c r="X8205">
        <v>0.99737310000000001</v>
      </c>
      <c r="Y8205">
        <v>5.0391470000000001E-2</v>
      </c>
      <c r="Z8205">
        <v>-5.7684729999999997E-3</v>
      </c>
      <c r="AA8205">
        <v>0.99871290000000001</v>
      </c>
      <c r="AB8205">
        <v>33</v>
      </c>
      <c r="AC8205">
        <v>2.1627999999999998</v>
      </c>
      <c r="AD8205">
        <v>-1.119617511607</v>
      </c>
      <c r="AE8205">
        <v>86.346260999999998</v>
      </c>
      <c r="AF8205">
        <v>4.3700237286762897</v>
      </c>
      <c r="AG8205">
        <v>-1.119617511607</v>
      </c>
      <c r="AH8205">
        <v>86.248193778962005</v>
      </c>
      <c r="AI8205">
        <v>90.742781740565604</v>
      </c>
      <c r="AJ8205">
        <v>87.099417752898603</v>
      </c>
      <c r="AK8205">
        <v>86.366090457394606</v>
      </c>
      <c r="AL8205">
        <v>93.491276088677907</v>
      </c>
      <c r="AM8205">
        <v>87.747926266688694</v>
      </c>
      <c r="AN8205">
        <v>0.99999996963737203</v>
      </c>
    </row>
    <row r="8206" spans="1:40" x14ac:dyDescent="0.25">
      <c r="A8206" t="str">
        <f>"20190303155009410"</f>
        <v>20190303155009410</v>
      </c>
      <c r="B8206" t="str">
        <f>"1551599409398950"</f>
        <v>1551599409398950</v>
      </c>
      <c r="C8206" t="s">
        <v>40</v>
      </c>
      <c r="D8206">
        <v>4.9250309999999997</v>
      </c>
      <c r="E8206">
        <v>0.5036619</v>
      </c>
      <c r="F8206" t="s">
        <v>41</v>
      </c>
      <c r="G8206">
        <v>-185.5624</v>
      </c>
      <c r="H8206" s="1">
        <v>-1.5458300000000001E-6</v>
      </c>
      <c r="I8206">
        <v>90.720950000000002</v>
      </c>
      <c r="J8206">
        <v>-187.96780000000001</v>
      </c>
      <c r="K8206">
        <v>1.119451</v>
      </c>
      <c r="L8206">
        <v>-5.2042849999999996</v>
      </c>
      <c r="M8206">
        <v>-2.5880150000000001E-2</v>
      </c>
      <c r="N8206">
        <v>-5.8887840000000002E-3</v>
      </c>
      <c r="O8206">
        <v>0.99964770000000003</v>
      </c>
      <c r="P8206">
        <v>1.323564E-2</v>
      </c>
      <c r="Q8206">
        <v>-6.6652820000000002E-2</v>
      </c>
      <c r="R8206">
        <v>0.99768840000000003</v>
      </c>
      <c r="S8206">
        <v>7.4783329999999995E-2</v>
      </c>
      <c r="T8206">
        <v>-3.4936790000000002E-2</v>
      </c>
      <c r="U8206">
        <v>3.0038450000000001</v>
      </c>
      <c r="V8206">
        <v>3.9073669999999998E-2</v>
      </c>
      <c r="W8206">
        <v>-6.0766559999999997E-2</v>
      </c>
      <c r="X8206">
        <v>0.99738689999999997</v>
      </c>
      <c r="Y8206">
        <v>5.0749370000000002E-2</v>
      </c>
      <c r="Z8206">
        <v>-5.72428E-3</v>
      </c>
      <c r="AA8206">
        <v>0.998695</v>
      </c>
      <c r="AB8206">
        <v>34</v>
      </c>
      <c r="AC8206">
        <v>2.40540000000001</v>
      </c>
      <c r="AD8206">
        <v>-1.11945254583</v>
      </c>
      <c r="AE8206">
        <v>95.925235000000001</v>
      </c>
      <c r="AF8206">
        <v>4.8865317472278997</v>
      </c>
      <c r="AG8206">
        <v>-1.11945254583</v>
      </c>
      <c r="AH8206">
        <v>95.8178095660667</v>
      </c>
      <c r="AI8206">
        <v>90.668495285652298</v>
      </c>
      <c r="AJ8206">
        <v>87.080550037372504</v>
      </c>
      <c r="AK8206">
        <v>95.948861361446404</v>
      </c>
      <c r="AL8206">
        <v>93.483813790259106</v>
      </c>
      <c r="AM8206">
        <v>87.756525461618196</v>
      </c>
      <c r="AN8206">
        <v>0.999999977396555</v>
      </c>
    </row>
    <row r="8207" spans="1:40" x14ac:dyDescent="0.25">
      <c r="A8207" t="str">
        <f>"20190303155009434"</f>
        <v>20190303155009434</v>
      </c>
      <c r="B8207" t="str">
        <f>"1551599409429205"</f>
        <v>1551599409429205</v>
      </c>
      <c r="C8207" t="s">
        <v>40</v>
      </c>
      <c r="D8207">
        <v>4.9265670000000004</v>
      </c>
      <c r="E8207">
        <v>0.50369609999999998</v>
      </c>
      <c r="F8207" t="s">
        <v>41</v>
      </c>
      <c r="G8207">
        <v>-185.3768</v>
      </c>
      <c r="H8207" s="1">
        <v>-1.650205E-6</v>
      </c>
      <c r="I8207">
        <v>100.88249999999999</v>
      </c>
      <c r="J8207">
        <v>-187.97730000000001</v>
      </c>
      <c r="K8207">
        <v>1.119319</v>
      </c>
      <c r="L8207">
        <v>-4.8456419999999998</v>
      </c>
      <c r="M8207">
        <v>-2.615083E-2</v>
      </c>
      <c r="N8207">
        <v>-4.6951010000000001E-3</v>
      </c>
      <c r="O8207">
        <v>0.99964699999999995</v>
      </c>
      <c r="P8207">
        <v>1.302098E-2</v>
      </c>
      <c r="Q8207">
        <v>-6.6125009999999998E-2</v>
      </c>
      <c r="R8207">
        <v>0.99772640000000001</v>
      </c>
      <c r="S8207">
        <v>7.3364260000000001E-2</v>
      </c>
      <c r="T8207">
        <v>-3.169727E-2</v>
      </c>
      <c r="U8207">
        <v>3.0038450000000001</v>
      </c>
      <c r="V8207">
        <v>3.9130970000000001E-2</v>
      </c>
      <c r="W8207">
        <v>-6.142856E-2</v>
      </c>
      <c r="X8207">
        <v>0.99734409999999896</v>
      </c>
      <c r="Y8207">
        <v>5.0548910000000002E-2</v>
      </c>
      <c r="Z8207">
        <v>-5.841461E-3</v>
      </c>
      <c r="AA8207">
        <v>0.9987045</v>
      </c>
      <c r="AB8207">
        <v>34</v>
      </c>
      <c r="AC8207">
        <v>2.60050000000001</v>
      </c>
      <c r="AD8207">
        <v>-1.1193206502049999</v>
      </c>
      <c r="AE8207">
        <v>105.72814200000001</v>
      </c>
      <c r="AF8207">
        <v>5.36391890248224</v>
      </c>
      <c r="AG8207">
        <v>-1.1193206502049999</v>
      </c>
      <c r="AH8207">
        <v>105.612147258465</v>
      </c>
      <c r="AI8207">
        <v>90.606439730480105</v>
      </c>
      <c r="AJ8207">
        <v>87.092511820131904</v>
      </c>
      <c r="AK8207">
        <v>105.754196858821</v>
      </c>
      <c r="AL8207">
        <v>93.521814591332202</v>
      </c>
      <c r="AM8207">
        <v>87.753142544953903</v>
      </c>
      <c r="AN8207">
        <v>0.99999997730081103</v>
      </c>
    </row>
    <row r="8208" spans="1:40" x14ac:dyDescent="0.25">
      <c r="A8208" t="str">
        <f>"20190303155009453"</f>
        <v>20190303155009453</v>
      </c>
      <c r="B8208" t="str">
        <f>"1551599409448726"</f>
        <v>1551599409448726</v>
      </c>
      <c r="C8208" t="s">
        <v>40</v>
      </c>
      <c r="D8208">
        <v>4.916423</v>
      </c>
      <c r="E8208">
        <v>0.50368979999999997</v>
      </c>
      <c r="F8208" t="s">
        <v>41</v>
      </c>
      <c r="G8208">
        <v>-185.36949999999999</v>
      </c>
      <c r="H8208" s="1">
        <v>-2.1747059999999999E-6</v>
      </c>
      <c r="I8208">
        <v>102.4181</v>
      </c>
      <c r="J8208">
        <v>-187.9854</v>
      </c>
      <c r="K8208">
        <v>1.1192500000000001</v>
      </c>
      <c r="L8208">
        <v>-4.5382389999999999</v>
      </c>
      <c r="M8208">
        <v>-2.6328219999999999E-2</v>
      </c>
      <c r="N8208">
        <v>-3.8488839999999999E-3</v>
      </c>
      <c r="O8208">
        <v>0.99964589999999998</v>
      </c>
      <c r="P8208">
        <v>1.2625590000000001E-2</v>
      </c>
      <c r="Q8208">
        <v>-6.5625000000000003E-2</v>
      </c>
      <c r="R8208">
        <v>0.99776450000000005</v>
      </c>
      <c r="S8208">
        <v>7.3028560000000006E-2</v>
      </c>
      <c r="T8208">
        <v>-3.1345489999999997E-2</v>
      </c>
      <c r="U8208">
        <v>3.0038149999999999</v>
      </c>
      <c r="V8208">
        <v>3.8913490000000002E-2</v>
      </c>
      <c r="W8208">
        <v>-6.1772540000000001E-2</v>
      </c>
      <c r="X8208">
        <v>0.99733139999999998</v>
      </c>
      <c r="Y8208">
        <v>5.0615050000000002E-2</v>
      </c>
      <c r="Z8208">
        <v>-6.5710209999999998E-3</v>
      </c>
      <c r="AA8208">
        <v>0.99869660000000005</v>
      </c>
      <c r="AB8208">
        <v>34</v>
      </c>
      <c r="AC8208">
        <v>2.6159000000000101</v>
      </c>
      <c r="AD8208">
        <v>-1.119252174706</v>
      </c>
      <c r="AE8208">
        <v>106.95633899999901</v>
      </c>
      <c r="AF8208">
        <v>5.4303898813637002</v>
      </c>
      <c r="AG8208">
        <v>-1.119252174706</v>
      </c>
      <c r="AH8208">
        <v>106.8386971617</v>
      </c>
      <c r="AI8208">
        <v>90.599440218702995</v>
      </c>
      <c r="AJ8208">
        <v>87.090278107778403</v>
      </c>
      <c r="AK8208">
        <v>106.982470858098</v>
      </c>
      <c r="AL8208">
        <v>93.541560564447394</v>
      </c>
      <c r="AM8208">
        <v>87.765588892679702</v>
      </c>
      <c r="AN8208">
        <v>1.00000001391399</v>
      </c>
    </row>
    <row r="8209" spans="1:40" x14ac:dyDescent="0.25">
      <c r="A8209" t="str">
        <f>"20190303155009476"</f>
        <v>20190303155009476</v>
      </c>
      <c r="B8209" t="str">
        <f>"1551599409469222"</f>
        <v>1551599409469222</v>
      </c>
      <c r="C8209" t="s">
        <v>40</v>
      </c>
      <c r="D8209">
        <v>4.9733289999999997</v>
      </c>
      <c r="E8209">
        <v>0.50369949999999997</v>
      </c>
      <c r="F8209" t="s">
        <v>41</v>
      </c>
      <c r="G8209">
        <v>-185.3716</v>
      </c>
      <c r="H8209" s="1">
        <v>-3.148507E-6</v>
      </c>
      <c r="I8209">
        <v>105.0582</v>
      </c>
      <c r="J8209">
        <v>-187.99469999999999</v>
      </c>
      <c r="K8209">
        <v>1.1192260000000001</v>
      </c>
      <c r="L8209">
        <v>-4.1909179999999999</v>
      </c>
      <c r="M8209">
        <v>-2.6459509999999999E-2</v>
      </c>
      <c r="N8209">
        <v>-3.188247E-3</v>
      </c>
      <c r="O8209">
        <v>0.9996448</v>
      </c>
      <c r="P8209">
        <v>1.160862E-2</v>
      </c>
      <c r="Q8209">
        <v>-6.481961E-2</v>
      </c>
      <c r="R8209">
        <v>0.99782950000000004</v>
      </c>
      <c r="S8209">
        <v>7.1640010000000004E-2</v>
      </c>
      <c r="T8209">
        <v>-3.0676129999999999E-2</v>
      </c>
      <c r="U8209">
        <v>3.003784</v>
      </c>
      <c r="V8209">
        <v>3.8027539999999999E-2</v>
      </c>
      <c r="W8209">
        <v>-6.1627250000000001E-2</v>
      </c>
      <c r="X8209">
        <v>0.99737450000000005</v>
      </c>
      <c r="Y8209">
        <v>5.0285259999999998E-2</v>
      </c>
      <c r="Z8209">
        <v>-7.0095499999999998E-3</v>
      </c>
      <c r="AA8209">
        <v>0.99871030000000005</v>
      </c>
      <c r="AB8209">
        <v>34</v>
      </c>
      <c r="AC8209">
        <v>2.6230999999999902</v>
      </c>
      <c r="AD8209">
        <v>-1.1192291485070001</v>
      </c>
      <c r="AE8209">
        <v>109.249118</v>
      </c>
      <c r="AF8209">
        <v>5.5122962246661302</v>
      </c>
      <c r="AG8209">
        <v>-1.1192291485070001</v>
      </c>
      <c r="AH8209">
        <v>109.13001454268</v>
      </c>
      <c r="AI8209">
        <v>90.586852450589603</v>
      </c>
      <c r="AJ8209">
        <v>87.108374648140099</v>
      </c>
      <c r="AK8209">
        <v>109.27487431995</v>
      </c>
      <c r="AL8209">
        <v>93.533220387465406</v>
      </c>
      <c r="AM8209">
        <v>87.816504560399295</v>
      </c>
      <c r="AN8209">
        <v>0.99999995249563101</v>
      </c>
    </row>
    <row r="8210" spans="1:40" x14ac:dyDescent="0.25">
      <c r="A8210" t="str">
        <f>"20190303155009499"</f>
        <v>20190303155009499</v>
      </c>
      <c r="B8210" t="str">
        <f>"1551599409488742"</f>
        <v>1551599409488742</v>
      </c>
      <c r="C8210" t="s">
        <v>40</v>
      </c>
      <c r="D8210">
        <v>4.9160890000000004</v>
      </c>
      <c r="E8210">
        <v>0.50370159999999997</v>
      </c>
      <c r="F8210" t="s">
        <v>41</v>
      </c>
      <c r="G8210">
        <v>-185.34460000000001</v>
      </c>
      <c r="H8210" s="1">
        <v>-1.863162E-6</v>
      </c>
      <c r="I8210">
        <v>111.4832</v>
      </c>
      <c r="J8210">
        <v>-188.00399999999999</v>
      </c>
      <c r="K8210">
        <v>1.1192789999999999</v>
      </c>
      <c r="L8210">
        <v>-3.842651</v>
      </c>
      <c r="M8210">
        <v>-2.652701E-2</v>
      </c>
      <c r="N8210">
        <v>-2.9095129999999999E-3</v>
      </c>
      <c r="O8210">
        <v>0.99964390000000003</v>
      </c>
      <c r="P8210">
        <v>1.0697450000000001E-2</v>
      </c>
      <c r="Q8210">
        <v>-6.4401910000000007E-2</v>
      </c>
      <c r="R8210">
        <v>0.9978667</v>
      </c>
      <c r="S8210">
        <v>6.8817139999999999E-2</v>
      </c>
      <c r="T8210">
        <v>-2.9064300000000001E-2</v>
      </c>
      <c r="U8210">
        <v>3.0038450000000001</v>
      </c>
      <c r="V8210">
        <v>3.7181230000000003E-2</v>
      </c>
      <c r="W8210">
        <v>-6.1489889999999998E-2</v>
      </c>
      <c r="X8210">
        <v>0.99741489999999999</v>
      </c>
      <c r="Y8210">
        <v>4.9414340000000001E-2</v>
      </c>
      <c r="Z8210">
        <v>-6.7526569999999996E-3</v>
      </c>
      <c r="AA8210">
        <v>0.99875550000000002</v>
      </c>
      <c r="AB8210">
        <v>35</v>
      </c>
      <c r="AC8210">
        <v>2.6594000000000002</v>
      </c>
      <c r="AD8210">
        <v>-1.1192808631619999</v>
      </c>
      <c r="AE8210">
        <v>115.325851</v>
      </c>
      <c r="AF8210">
        <v>5.7171887383555902</v>
      </c>
      <c r="AG8210">
        <v>-1.1192808631619999</v>
      </c>
      <c r="AH8210">
        <v>115.203875128606</v>
      </c>
      <c r="AI8210">
        <v>90.555964238848404</v>
      </c>
      <c r="AJ8210">
        <v>87.158930054715995</v>
      </c>
      <c r="AK8210">
        <v>115.351080971823</v>
      </c>
      <c r="AL8210">
        <v>93.525335234750202</v>
      </c>
      <c r="AM8210">
        <v>87.865139575626102</v>
      </c>
      <c r="AN8210">
        <v>0.99999996658926604</v>
      </c>
    </row>
    <row r="8211" spans="1:40" x14ac:dyDescent="0.25">
      <c r="A8211" t="str">
        <f>"20190303155009520"</f>
        <v>20190303155009520</v>
      </c>
      <c r="B8211" t="str">
        <f>"1551599409509238"</f>
        <v>1551599409509238</v>
      </c>
      <c r="C8211" t="s">
        <v>40</v>
      </c>
      <c r="D8211">
        <v>4.9403199999999998</v>
      </c>
      <c r="E8211">
        <v>0.50370249999999905</v>
      </c>
      <c r="F8211" t="s">
        <v>41</v>
      </c>
      <c r="G8211">
        <v>-185.4143</v>
      </c>
      <c r="H8211" s="1">
        <v>-2.5730000000000002E-6</v>
      </c>
      <c r="I8211">
        <v>113.62350000000001</v>
      </c>
      <c r="J8211">
        <v>-188.01310000000001</v>
      </c>
      <c r="K8211">
        <v>1.1193759999999999</v>
      </c>
      <c r="L8211">
        <v>-3.5013429999999999</v>
      </c>
      <c r="M8211">
        <v>-2.6558189999999999E-2</v>
      </c>
      <c r="N8211">
        <v>-2.952681E-3</v>
      </c>
      <c r="O8211">
        <v>0.9996429</v>
      </c>
      <c r="P8211">
        <v>1.06631E-2</v>
      </c>
      <c r="Q8211">
        <v>-6.4838309999999996E-2</v>
      </c>
      <c r="R8211">
        <v>0.99783880000000003</v>
      </c>
      <c r="S8211">
        <v>6.622314E-2</v>
      </c>
      <c r="T8211">
        <v>-2.8622269999999998E-2</v>
      </c>
      <c r="U8211">
        <v>3.0038450000000001</v>
      </c>
      <c r="V8211">
        <v>3.7172770000000001E-2</v>
      </c>
      <c r="W8211">
        <v>-6.1886070000000001E-2</v>
      </c>
      <c r="X8211">
        <v>0.99739069999999996</v>
      </c>
      <c r="Y8211">
        <v>4.8583479999999998E-2</v>
      </c>
      <c r="Z8211">
        <v>-6.5628350000000004E-3</v>
      </c>
      <c r="AA8211">
        <v>0.9987975</v>
      </c>
      <c r="AB8211">
        <v>35</v>
      </c>
      <c r="AC8211">
        <v>2.59880000000001</v>
      </c>
      <c r="AD8211">
        <v>-1.1193785730000001</v>
      </c>
      <c r="AE8211">
        <v>117.124843</v>
      </c>
      <c r="AF8211">
        <v>5.7079996286737398</v>
      </c>
      <c r="AG8211">
        <v>-1.1193785730000001</v>
      </c>
      <c r="AH8211">
        <v>117.003827611787</v>
      </c>
      <c r="AI8211">
        <v>90.547482383164805</v>
      </c>
      <c r="AJ8211">
        <v>87.207055400769903</v>
      </c>
      <c r="AK8211">
        <v>117.148324546105</v>
      </c>
      <c r="AL8211">
        <v>93.548078034619707</v>
      </c>
      <c r="AM8211">
        <v>87.865573140881907</v>
      </c>
      <c r="AN8211">
        <v>0.99999995446800205</v>
      </c>
    </row>
    <row r="8212" spans="1:40" x14ac:dyDescent="0.25">
      <c r="A8212" t="str">
        <f>"20190303155009543"</f>
        <v>20190303155009543</v>
      </c>
      <c r="B8212" t="str">
        <f>"1551599409538518"</f>
        <v>1551599409538518</v>
      </c>
      <c r="C8212" t="s">
        <v>40</v>
      </c>
      <c r="D8212">
        <v>4.9824590000000004</v>
      </c>
      <c r="E8212">
        <v>0.50356719999999999</v>
      </c>
      <c r="F8212" t="s">
        <v>41</v>
      </c>
      <c r="G8212">
        <v>-185.60919999999999</v>
      </c>
      <c r="H8212" s="1">
        <v>-3.4303570000000001E-6</v>
      </c>
      <c r="I8212">
        <v>105.8135</v>
      </c>
      <c r="J8212">
        <v>-188.02199999999999</v>
      </c>
      <c r="K8212">
        <v>1.11947</v>
      </c>
      <c r="L8212">
        <v>-3.1695250000000001</v>
      </c>
      <c r="M8212">
        <v>-2.657462E-2</v>
      </c>
      <c r="N8212">
        <v>-3.1693960000000001E-3</v>
      </c>
      <c r="O8212">
        <v>0.99964180000000002</v>
      </c>
      <c r="P8212">
        <v>1.032839E-2</v>
      </c>
      <c r="Q8212">
        <v>-6.546101E-2</v>
      </c>
      <c r="R8212">
        <v>0.99780170000000001</v>
      </c>
      <c r="S8212">
        <v>6.6055299999999997E-2</v>
      </c>
      <c r="T8212">
        <v>-3.075862E-2</v>
      </c>
      <c r="U8212">
        <v>3.003784</v>
      </c>
      <c r="V8212">
        <v>3.6849409999999999E-2</v>
      </c>
      <c r="W8212">
        <v>-6.229531E-2</v>
      </c>
      <c r="X8212">
        <v>0.99737730000000002</v>
      </c>
      <c r="Y8212">
        <v>4.8544370000000003E-2</v>
      </c>
      <c r="Z8212">
        <v>-7.0565159999999997E-3</v>
      </c>
      <c r="AA8212">
        <v>0.99879609999999996</v>
      </c>
      <c r="AB8212">
        <v>35</v>
      </c>
      <c r="AC8212">
        <v>2.41280000000003</v>
      </c>
      <c r="AD8212">
        <v>-1.119473430357</v>
      </c>
      <c r="AE8212">
        <v>108.983025</v>
      </c>
      <c r="AF8212">
        <v>5.3075851643632701</v>
      </c>
      <c r="AG8212">
        <v>-1.119473430357</v>
      </c>
      <c r="AH8212">
        <v>108.86893421283099</v>
      </c>
      <c r="AI8212">
        <v>90.588439322064403</v>
      </c>
      <c r="AJ8212">
        <v>87.208922378662294</v>
      </c>
      <c r="AK8212">
        <v>109.00398395323</v>
      </c>
      <c r="AL8212">
        <v>93.571570814366098</v>
      </c>
      <c r="AM8212">
        <v>87.884094828491101</v>
      </c>
      <c r="AN8212">
        <v>1.0000000316103099</v>
      </c>
    </row>
    <row r="8213" spans="1:40" x14ac:dyDescent="0.25">
      <c r="A8213" t="str">
        <f>"20190303155009565"</f>
        <v>20190303155009565</v>
      </c>
      <c r="B8213" t="str">
        <f>"1551599409559014"</f>
        <v>1551599409559014</v>
      </c>
      <c r="C8213" t="s">
        <v>40</v>
      </c>
      <c r="D8213">
        <v>4.9747810000000001</v>
      </c>
      <c r="E8213">
        <v>0.50348400000000004</v>
      </c>
      <c r="F8213" t="s">
        <v>41</v>
      </c>
      <c r="G8213">
        <v>-185.89320000000001</v>
      </c>
      <c r="H8213" s="1">
        <v>-3.9039169999999998E-6</v>
      </c>
      <c r="I8213">
        <v>97.034809999999993</v>
      </c>
      <c r="J8213">
        <v>-188.0318</v>
      </c>
      <c r="K8213">
        <v>1.1195729999999999</v>
      </c>
      <c r="L8213">
        <v>-2.8016969999999999</v>
      </c>
      <c r="M8213">
        <v>-2.658452E-2</v>
      </c>
      <c r="N8213">
        <v>-3.494661E-3</v>
      </c>
      <c r="O8213">
        <v>0.99964050000000004</v>
      </c>
      <c r="P8213">
        <v>1.0252529999999999E-2</v>
      </c>
      <c r="Q8213">
        <v>-6.5558080000000005E-2</v>
      </c>
      <c r="R8213">
        <v>0.99779609999999996</v>
      </c>
      <c r="S8213">
        <v>6.3812259999999996E-2</v>
      </c>
      <c r="T8213">
        <v>-3.3557650000000001E-2</v>
      </c>
      <c r="U8213">
        <v>3.0037539999999998</v>
      </c>
      <c r="V8213">
        <v>3.6779609999999997E-2</v>
      </c>
      <c r="W8213">
        <v>-6.2070180000000003E-2</v>
      </c>
      <c r="X8213">
        <v>0.99739390000000006</v>
      </c>
      <c r="Y8213">
        <v>4.7808709999999997E-2</v>
      </c>
      <c r="Z8213">
        <v>-7.6621429999999997E-3</v>
      </c>
      <c r="AA8213">
        <v>0.99882709999999997</v>
      </c>
      <c r="AB8213">
        <v>35</v>
      </c>
      <c r="AC8213">
        <v>2.1385999999999901</v>
      </c>
      <c r="AD8213">
        <v>-1.1195769039169901</v>
      </c>
      <c r="AE8213">
        <v>99.836506999999997</v>
      </c>
      <c r="AF8213">
        <v>4.7913635965450503</v>
      </c>
      <c r="AG8213">
        <v>-1.1195769039169901</v>
      </c>
      <c r="AH8213">
        <v>99.731831139867296</v>
      </c>
      <c r="AI8213">
        <v>90.642427250077503</v>
      </c>
      <c r="AJ8213">
        <v>87.249484014546695</v>
      </c>
      <c r="AK8213">
        <v>99.853135955107007</v>
      </c>
      <c r="AL8213">
        <v>93.558646848773293</v>
      </c>
      <c r="AM8213">
        <v>87.888134251983004</v>
      </c>
      <c r="AN8213">
        <v>1.0000000193570899</v>
      </c>
    </row>
    <row r="8214" spans="1:40" x14ac:dyDescent="0.25">
      <c r="A8214" t="str">
        <f>"20190303155009588"</f>
        <v>20190303155009588</v>
      </c>
      <c r="B8214" t="str">
        <f>"1551599409578534"</f>
        <v>1551599409578534</v>
      </c>
      <c r="C8214" t="s">
        <v>40</v>
      </c>
      <c r="D8214">
        <v>4.9712239999999897</v>
      </c>
      <c r="E8214">
        <v>0.50340549999999995</v>
      </c>
      <c r="F8214" t="s">
        <v>41</v>
      </c>
      <c r="G8214">
        <v>-185.98089999999999</v>
      </c>
      <c r="H8214" s="1">
        <v>-2.8527569999999999E-6</v>
      </c>
      <c r="I8214">
        <v>94.620769999999993</v>
      </c>
      <c r="J8214">
        <v>-188.0412</v>
      </c>
      <c r="K8214">
        <v>1.119664</v>
      </c>
      <c r="L8214">
        <v>-2.4486080000000001</v>
      </c>
      <c r="M8214">
        <v>-2.6587409999999999E-2</v>
      </c>
      <c r="N8214">
        <v>-3.8433989999999999E-3</v>
      </c>
      <c r="O8214">
        <v>0.9996391</v>
      </c>
      <c r="P8214">
        <v>1.0649509999999999E-2</v>
      </c>
      <c r="Q8214">
        <v>-6.5420800000000001E-2</v>
      </c>
      <c r="R8214">
        <v>0.99780089999999999</v>
      </c>
      <c r="S8214">
        <v>6.3232419999999998E-2</v>
      </c>
      <c r="T8214">
        <v>-3.4518359999999998E-2</v>
      </c>
      <c r="U8214">
        <v>3.0036930000000002</v>
      </c>
      <c r="V8214">
        <v>3.7177090000000003E-2</v>
      </c>
      <c r="W8214">
        <v>-6.1586469999999997E-2</v>
      </c>
      <c r="X8214">
        <v>0.99740910000000005</v>
      </c>
      <c r="Y8214">
        <v>4.7619160000000001E-2</v>
      </c>
      <c r="Z8214">
        <v>-7.633028E-3</v>
      </c>
      <c r="AA8214">
        <v>0.99883639999999996</v>
      </c>
      <c r="AB8214">
        <v>35</v>
      </c>
      <c r="AC8214">
        <v>2.06030000000001</v>
      </c>
      <c r="AD8214">
        <v>-1.119666852757</v>
      </c>
      <c r="AE8214">
        <v>97.069378</v>
      </c>
      <c r="AF8214">
        <v>4.63979703585363</v>
      </c>
      <c r="AG8214">
        <v>-1.119666852757</v>
      </c>
      <c r="AH8214">
        <v>96.967388627417293</v>
      </c>
      <c r="AI8214">
        <v>90.660799796159395</v>
      </c>
      <c r="AJ8214">
        <v>87.260541029627404</v>
      </c>
      <c r="AK8214">
        <v>97.084786798013099</v>
      </c>
      <c r="AL8214">
        <v>93.530879353235093</v>
      </c>
      <c r="AM8214">
        <v>87.865364663466494</v>
      </c>
      <c r="AN8214">
        <v>0.99999997103536897</v>
      </c>
    </row>
    <row r="8215" spans="1:40" x14ac:dyDescent="0.25">
      <c r="A8215" t="str">
        <f>"20190303155009611"</f>
        <v>20190303155009611</v>
      </c>
      <c r="B8215" t="str">
        <f>"1551599409608790"</f>
        <v>1551599409608790</v>
      </c>
      <c r="C8215" t="s">
        <v>40</v>
      </c>
      <c r="D8215">
        <v>4.9724760000000003</v>
      </c>
      <c r="E8215">
        <v>0.50329449999999998</v>
      </c>
      <c r="F8215" t="s">
        <v>41</v>
      </c>
      <c r="G8215">
        <v>-185.98390000000001</v>
      </c>
      <c r="H8215" s="1">
        <v>-2.742146E-6</v>
      </c>
      <c r="I8215">
        <v>94.364199999999997</v>
      </c>
      <c r="J8215">
        <v>-188.05109999999999</v>
      </c>
      <c r="K8215">
        <v>1.1197429999999999</v>
      </c>
      <c r="L8215">
        <v>-2.0746769999999999</v>
      </c>
      <c r="M8215">
        <v>-2.658516E-2</v>
      </c>
      <c r="N8215">
        <v>-4.2349750000000002E-3</v>
      </c>
      <c r="O8215">
        <v>0.99963760000000002</v>
      </c>
      <c r="P8215">
        <v>1.107671E-2</v>
      </c>
      <c r="Q8215">
        <v>-6.5689380000000006E-2</v>
      </c>
      <c r="R8215">
        <v>0.99777870000000002</v>
      </c>
      <c r="S8215">
        <v>6.3827510000000004E-2</v>
      </c>
      <c r="T8215">
        <v>-3.473818E-2</v>
      </c>
      <c r="U8215">
        <v>3.0036619999999998</v>
      </c>
      <c r="V8215">
        <v>3.7599809999999997E-2</v>
      </c>
      <c r="W8215">
        <v>-6.1465539999999999E-2</v>
      </c>
      <c r="X8215">
        <v>0.99740079999999998</v>
      </c>
      <c r="Y8215">
        <v>4.7814830000000003E-2</v>
      </c>
      <c r="Z8215">
        <v>-7.3144639999999997E-3</v>
      </c>
      <c r="AA8215">
        <v>0.99882939999999998</v>
      </c>
      <c r="AB8215">
        <v>35</v>
      </c>
      <c r="AC8215">
        <v>2.0671999999999802</v>
      </c>
      <c r="AD8215">
        <v>-1.119745742146</v>
      </c>
      <c r="AE8215">
        <v>96.438877000000005</v>
      </c>
      <c r="AF8215">
        <v>4.6297113962629401</v>
      </c>
      <c r="AG8215">
        <v>-1.119745742146</v>
      </c>
      <c r="AH8215">
        <v>96.336851365256805</v>
      </c>
      <c r="AI8215">
        <v>90.665164654578007</v>
      </c>
      <c r="AJ8215">
        <v>87.248623018659799</v>
      </c>
      <c r="AK8215">
        <v>96.454533274031903</v>
      </c>
      <c r="AL8215">
        <v>93.523937119192894</v>
      </c>
      <c r="AM8215">
        <v>87.841097802483503</v>
      </c>
      <c r="AN8215">
        <v>1.00000005708008</v>
      </c>
    </row>
    <row r="8216" spans="1:40" x14ac:dyDescent="0.25">
      <c r="A8216" t="str">
        <f>"20190303155009634"</f>
        <v>20190303155009634</v>
      </c>
      <c r="B8216" t="str">
        <f>"1551599409629285"</f>
        <v>1551599409629285</v>
      </c>
      <c r="C8216" t="s">
        <v>40</v>
      </c>
      <c r="D8216">
        <v>4.9706739999999998</v>
      </c>
      <c r="E8216">
        <v>0.50321740000000004</v>
      </c>
      <c r="F8216" t="s">
        <v>41</v>
      </c>
      <c r="G8216">
        <v>-186.08099999999999</v>
      </c>
      <c r="H8216" s="1">
        <v>-1.2291720000000001E-6</v>
      </c>
      <c r="I8216">
        <v>90.195849999999993</v>
      </c>
      <c r="J8216">
        <v>-188.06049999999999</v>
      </c>
      <c r="K8216">
        <v>1.1198109999999999</v>
      </c>
      <c r="L8216">
        <v>-1.7224429999999999</v>
      </c>
      <c r="M8216">
        <v>-2.6580779999999998E-2</v>
      </c>
      <c r="N8216">
        <v>-4.6291839999999997E-3</v>
      </c>
      <c r="O8216">
        <v>0.99963590000000002</v>
      </c>
      <c r="P8216">
        <v>1.102329E-2</v>
      </c>
      <c r="Q8216">
        <v>-6.6207879999999997E-2</v>
      </c>
      <c r="R8216">
        <v>0.99774499999999999</v>
      </c>
      <c r="S8216">
        <v>6.4132690000000006E-2</v>
      </c>
      <c r="T8216">
        <v>-3.6449670000000003E-2</v>
      </c>
      <c r="U8216">
        <v>3.003571</v>
      </c>
      <c r="V8216">
        <v>3.7540360000000002E-2</v>
      </c>
      <c r="W8216">
        <v>-6.1591519999999997E-2</v>
      </c>
      <c r="X8216">
        <v>0.99739520000000004</v>
      </c>
      <c r="Y8216">
        <v>4.7912299999999998E-2</v>
      </c>
      <c r="Z8216">
        <v>-7.48948699999999E-3</v>
      </c>
      <c r="AA8216">
        <v>0.99882349999999998</v>
      </c>
      <c r="AB8216">
        <v>35</v>
      </c>
      <c r="AC8216">
        <v>1.9795</v>
      </c>
      <c r="AD8216">
        <v>-1.1198122291720001</v>
      </c>
      <c r="AE8216">
        <v>91.918293000000006</v>
      </c>
      <c r="AF8216">
        <v>4.4214308756851901</v>
      </c>
      <c r="AG8216">
        <v>-1.1198122291720001</v>
      </c>
      <c r="AH8216">
        <v>91.819576106668293</v>
      </c>
      <c r="AI8216">
        <v>90.697924020167093</v>
      </c>
      <c r="AJ8216">
        <v>87.243139118197007</v>
      </c>
      <c r="AK8216">
        <v>91.932788420809501</v>
      </c>
      <c r="AL8216">
        <v>93.531169182073796</v>
      </c>
      <c r="AM8216">
        <v>87.844495983508693</v>
      </c>
      <c r="AN8216">
        <v>0.99999998947393998</v>
      </c>
    </row>
    <row r="8217" spans="1:40" x14ac:dyDescent="0.25">
      <c r="A8217" t="str">
        <f>"20190303155009656"</f>
        <v>20190303155009656</v>
      </c>
      <c r="B8217" t="str">
        <f>"1551599409648806"</f>
        <v>1551599409648806</v>
      </c>
      <c r="C8217" t="s">
        <v>40</v>
      </c>
      <c r="D8217">
        <v>4.9959550000000004</v>
      </c>
      <c r="E8217">
        <v>0.50315399999999999</v>
      </c>
      <c r="F8217" t="s">
        <v>41</v>
      </c>
      <c r="G8217">
        <v>-186.22069999999999</v>
      </c>
      <c r="H8217" s="1">
        <v>-3.1601290000000002E-6</v>
      </c>
      <c r="I8217">
        <v>85.436419999999998</v>
      </c>
      <c r="J8217">
        <v>-188.06989999999999</v>
      </c>
      <c r="K8217">
        <v>1.1198729999999999</v>
      </c>
      <c r="L8217">
        <v>-1.3694759999999999</v>
      </c>
      <c r="M8217">
        <v>-2.6576619999999999E-2</v>
      </c>
      <c r="N8217">
        <v>-5.0691180000000001E-3</v>
      </c>
      <c r="O8217">
        <v>0.99963389999999996</v>
      </c>
      <c r="P8217">
        <v>1.110118E-2</v>
      </c>
      <c r="Q8217">
        <v>-6.600557E-2</v>
      </c>
      <c r="R8217">
        <v>0.99775749999999996</v>
      </c>
      <c r="S8217">
        <v>6.3400269999999995E-2</v>
      </c>
      <c r="T8217">
        <v>-3.8588999999999998E-2</v>
      </c>
      <c r="U8217">
        <v>3.0035099999999999</v>
      </c>
      <c r="V8217">
        <v>3.7613889999999997E-2</v>
      </c>
      <c r="W8217">
        <v>-6.0950699999999997E-2</v>
      </c>
      <c r="X8217">
        <v>0.99743179999999998</v>
      </c>
      <c r="Y8217">
        <v>4.7664819999999997E-2</v>
      </c>
      <c r="Z8217">
        <v>-7.76108599999999E-3</v>
      </c>
      <c r="AA8217">
        <v>0.99883319999999998</v>
      </c>
      <c r="AB8217">
        <v>35</v>
      </c>
      <c r="AC8217">
        <v>1.84919999999999</v>
      </c>
      <c r="AD8217">
        <v>-1.1198761601289999</v>
      </c>
      <c r="AE8217">
        <v>86.805895999999905</v>
      </c>
      <c r="AF8217">
        <v>4.1548926206074999</v>
      </c>
      <c r="AG8217">
        <v>-1.1198761601289999</v>
      </c>
      <c r="AH8217">
        <v>86.711662242447801</v>
      </c>
      <c r="AI8217">
        <v>90.739082707247704</v>
      </c>
      <c r="AJ8217">
        <v>87.256702669593906</v>
      </c>
      <c r="AK8217">
        <v>86.818371466822299</v>
      </c>
      <c r="AL8217">
        <v>93.494383769575705</v>
      </c>
      <c r="AM8217">
        <v>87.840357183678606</v>
      </c>
      <c r="AN8217">
        <v>0.999999994101331</v>
      </c>
    </row>
    <row r="8218" spans="1:40" x14ac:dyDescent="0.25">
      <c r="A8218" t="str">
        <f>"20190303155009678"</f>
        <v>20190303155009678</v>
      </c>
      <c r="B8218" t="str">
        <f>"1551599409669303"</f>
        <v>1551599409669303</v>
      </c>
      <c r="C8218" t="s">
        <v>40</v>
      </c>
      <c r="D8218">
        <v>4.9730829999999999</v>
      </c>
      <c r="E8218">
        <v>0.50308240000000004</v>
      </c>
      <c r="F8218" t="s">
        <v>41</v>
      </c>
      <c r="G8218">
        <v>-186.2448</v>
      </c>
      <c r="H8218" s="1">
        <v>-3.2784790000000001E-6</v>
      </c>
      <c r="I8218">
        <v>85.722250000000003</v>
      </c>
      <c r="J8218">
        <v>-188.07900000000001</v>
      </c>
      <c r="K8218">
        <v>1.1199410000000001</v>
      </c>
      <c r="L8218">
        <v>-1.0281370000000001</v>
      </c>
      <c r="M8218">
        <v>-2.657412E-2</v>
      </c>
      <c r="N8218">
        <v>-5.5472560000000004E-3</v>
      </c>
      <c r="O8218">
        <v>0.99963150000000001</v>
      </c>
      <c r="P8218">
        <v>1.1082140000000001E-2</v>
      </c>
      <c r="Q8218">
        <v>-6.6012360000000006E-2</v>
      </c>
      <c r="R8218">
        <v>0.99775729999999996</v>
      </c>
      <c r="S8218">
        <v>6.2942499999999998E-2</v>
      </c>
      <c r="T8218">
        <v>-3.8620469999999997E-2</v>
      </c>
      <c r="U8218">
        <v>3.003479</v>
      </c>
      <c r="V8218">
        <v>3.7592019999999997E-2</v>
      </c>
      <c r="W8218">
        <v>-6.0480819999999998E-2</v>
      </c>
      <c r="X8218">
        <v>0.9974613</v>
      </c>
      <c r="Y8218">
        <v>4.7510249999999997E-2</v>
      </c>
      <c r="Z8218">
        <v>-7.2934949999999997E-3</v>
      </c>
      <c r="AA8218">
        <v>0.99884410000000001</v>
      </c>
      <c r="AB8218">
        <v>35</v>
      </c>
      <c r="AC8218">
        <v>1.8342000000000001</v>
      </c>
      <c r="AD8218">
        <v>-1.1199442784789999</v>
      </c>
      <c r="AE8218">
        <v>86.750387000000003</v>
      </c>
      <c r="AF8218">
        <v>4.1382133874636802</v>
      </c>
      <c r="AG8218">
        <v>-1.1199442784789999</v>
      </c>
      <c r="AH8218">
        <v>86.656570440998394</v>
      </c>
      <c r="AI8218">
        <v>90.739603223576196</v>
      </c>
      <c r="AJ8218">
        <v>87.265964107479704</v>
      </c>
      <c r="AK8218">
        <v>86.762551171705397</v>
      </c>
      <c r="AL8218">
        <v>93.467411613689805</v>
      </c>
      <c r="AM8218">
        <v>87.841675459917795</v>
      </c>
      <c r="AN8218">
        <v>1.0000000672766101</v>
      </c>
    </row>
    <row r="8219" spans="1:40" x14ac:dyDescent="0.25">
      <c r="A8219" t="str">
        <f>"20190303155009699"</f>
        <v>20190303155009699</v>
      </c>
      <c r="B8219" t="str">
        <f>"1551599409688822"</f>
        <v>1551599409688822</v>
      </c>
      <c r="C8219" t="s">
        <v>40</v>
      </c>
      <c r="D8219">
        <v>5.0070300000000003</v>
      </c>
      <c r="E8219">
        <v>0.50301720000000005</v>
      </c>
      <c r="F8219" t="s">
        <v>41</v>
      </c>
      <c r="G8219">
        <v>-186.29929999999999</v>
      </c>
      <c r="H8219" s="1">
        <v>-2.8043180000000001E-6</v>
      </c>
      <c r="I8219">
        <v>84.639529999999993</v>
      </c>
      <c r="J8219">
        <v>-188.08799999999999</v>
      </c>
      <c r="K8219">
        <v>1.1200030000000001</v>
      </c>
      <c r="L8219">
        <v>-0.68948359999999997</v>
      </c>
      <c r="M8219">
        <v>-2.6573340000000001E-2</v>
      </c>
      <c r="N8219">
        <v>-6.0643540000000001E-3</v>
      </c>
      <c r="O8219">
        <v>0.99962850000000003</v>
      </c>
      <c r="P8219">
        <v>1.097865E-2</v>
      </c>
      <c r="Q8219">
        <v>-6.6546439999999998E-2</v>
      </c>
      <c r="R8219">
        <v>0.99772289999999997</v>
      </c>
      <c r="S8219">
        <v>6.2393190000000001E-2</v>
      </c>
      <c r="T8219">
        <v>-3.9264439999999998E-2</v>
      </c>
      <c r="U8219">
        <v>3.0034480000000001</v>
      </c>
      <c r="V8219">
        <v>3.7486609999999997E-2</v>
      </c>
      <c r="W8219">
        <v>-6.0499490000000003E-2</v>
      </c>
      <c r="X8219">
        <v>0.99746409999999996</v>
      </c>
      <c r="Y8219">
        <v>4.732687E-2</v>
      </c>
      <c r="Z8219">
        <v>-6.9905949999999996E-3</v>
      </c>
      <c r="AA8219">
        <v>0.99885500000000005</v>
      </c>
      <c r="AB8219">
        <v>35</v>
      </c>
      <c r="AC8219">
        <v>1.7887</v>
      </c>
      <c r="AD8219">
        <v>-1.1200058043179999</v>
      </c>
      <c r="AE8219">
        <v>85.329013599999996</v>
      </c>
      <c r="AF8219">
        <v>4.0548885595967201</v>
      </c>
      <c r="AG8219">
        <v>-1.1200058043179999</v>
      </c>
      <c r="AH8219">
        <v>85.236668812902096</v>
      </c>
      <c r="AI8219">
        <v>90.751970197569094</v>
      </c>
      <c r="AJ8219">
        <v>87.276372003728596</v>
      </c>
      <c r="AK8219">
        <v>85.340413899586906</v>
      </c>
      <c r="AL8219">
        <v>93.468483409033297</v>
      </c>
      <c r="AM8219">
        <v>87.847727851720506</v>
      </c>
      <c r="AN8219">
        <v>1.00000003250418</v>
      </c>
    </row>
    <row r="8220" spans="1:40" x14ac:dyDescent="0.25">
      <c r="A8220" t="str">
        <f>"20190303155009722"</f>
        <v>20190303155009722</v>
      </c>
      <c r="B8220" t="str">
        <f>"1551599409719078"</f>
        <v>1551599409719078</v>
      </c>
      <c r="C8220" t="s">
        <v>40</v>
      </c>
      <c r="D8220">
        <v>5.0040209999999998</v>
      </c>
      <c r="E8220">
        <v>0.50291149999999996</v>
      </c>
      <c r="F8220" t="s">
        <v>41</v>
      </c>
      <c r="G8220">
        <v>-186.4271</v>
      </c>
      <c r="H8220" s="1">
        <v>-1.189003E-6</v>
      </c>
      <c r="I8220">
        <v>80.348429999999993</v>
      </c>
      <c r="J8220">
        <v>-188.09729999999999</v>
      </c>
      <c r="K8220">
        <v>1.1200639999999999</v>
      </c>
      <c r="L8220">
        <v>-0.33728029999999998</v>
      </c>
      <c r="M8220">
        <v>-2.657356E-2</v>
      </c>
      <c r="N8220">
        <v>-6.6341990000000003E-3</v>
      </c>
      <c r="O8220">
        <v>0.99962479999999998</v>
      </c>
      <c r="P8220">
        <v>1.058011E-2</v>
      </c>
      <c r="Q8220">
        <v>-6.7833630000000006E-2</v>
      </c>
      <c r="R8220">
        <v>0.99764059999999999</v>
      </c>
      <c r="S8220">
        <v>6.1553959999999998E-2</v>
      </c>
      <c r="T8220">
        <v>-4.1509030000000002E-2</v>
      </c>
      <c r="U8220">
        <v>3.003387</v>
      </c>
      <c r="V8220">
        <v>3.7086059999999997E-2</v>
      </c>
      <c r="W8220">
        <v>-6.1218870000000002E-2</v>
      </c>
      <c r="X8220">
        <v>0.99743519999999997</v>
      </c>
      <c r="Y8220">
        <v>4.7048159999999999E-2</v>
      </c>
      <c r="Z8220">
        <v>-7.1673209999999999E-3</v>
      </c>
      <c r="AA8220">
        <v>0.9988669</v>
      </c>
      <c r="AB8220">
        <v>35</v>
      </c>
      <c r="AC8220">
        <v>1.6701999999999899</v>
      </c>
      <c r="AD8220">
        <v>-1.120065189003</v>
      </c>
      <c r="AE8220">
        <v>80.685710299999997</v>
      </c>
      <c r="AF8220">
        <v>3.8130295332199702</v>
      </c>
      <c r="AG8220">
        <v>-1.120065189003</v>
      </c>
      <c r="AH8220">
        <v>80.597306736359201</v>
      </c>
      <c r="AI8220">
        <v>90.795301923812005</v>
      </c>
      <c r="AJ8220">
        <v>87.291376931961494</v>
      </c>
      <c r="AK8220">
        <v>80.695226583755201</v>
      </c>
      <c r="AL8220">
        <v>93.5097773218763</v>
      </c>
      <c r="AM8220">
        <v>87.870642278639295</v>
      </c>
      <c r="AN8220">
        <v>1.0000000520447101</v>
      </c>
    </row>
    <row r="8221" spans="1:40" x14ac:dyDescent="0.25">
      <c r="A8221" t="str">
        <f>"20190303155009743"</f>
        <v>20190303155009743</v>
      </c>
      <c r="B8221" t="str">
        <f>"1551599409738598"</f>
        <v>1551599409738598</v>
      </c>
      <c r="C8221" t="s">
        <v>40</v>
      </c>
      <c r="D8221">
        <v>4.9844039999999996</v>
      </c>
      <c r="E8221">
        <v>0.50283659999999997</v>
      </c>
      <c r="F8221" t="s">
        <v>41</v>
      </c>
      <c r="G8221">
        <v>-186.65889999999999</v>
      </c>
      <c r="H8221" s="1">
        <v>-1.8536529999999999E-6</v>
      </c>
      <c r="I8221">
        <v>72.482770000000002</v>
      </c>
      <c r="J8221">
        <v>-188.10669999999999</v>
      </c>
      <c r="K8221">
        <v>1.1201209999999999</v>
      </c>
      <c r="L8221">
        <v>1.556396E-2</v>
      </c>
      <c r="M8221">
        <v>-2.657441E-2</v>
      </c>
      <c r="N8221">
        <v>-7.2221730000000001E-3</v>
      </c>
      <c r="O8221">
        <v>0.99962070000000003</v>
      </c>
      <c r="P8221">
        <v>1.0106479999999999E-2</v>
      </c>
      <c r="Q8221">
        <v>-6.9278599999999996E-2</v>
      </c>
      <c r="R8221">
        <v>0.99754609999999999</v>
      </c>
      <c r="S8221">
        <v>5.9326169999999998E-2</v>
      </c>
      <c r="T8221">
        <v>-4.6195029999999998E-2</v>
      </c>
      <c r="U8221">
        <v>3.0033259999999999</v>
      </c>
      <c r="V8221">
        <v>3.6610810000000001E-2</v>
      </c>
      <c r="W8221">
        <v>-6.2077979999999998E-2</v>
      </c>
      <c r="X8221">
        <v>0.99739960000000005</v>
      </c>
      <c r="Y8221">
        <v>4.6308139999999998E-2</v>
      </c>
      <c r="Z8221">
        <v>-8.1379590000000002E-3</v>
      </c>
      <c r="AA8221">
        <v>0.99889399999999995</v>
      </c>
      <c r="AB8221">
        <v>35</v>
      </c>
      <c r="AC8221">
        <v>1.4478</v>
      </c>
      <c r="AD8221">
        <v>-1.1201228536529999</v>
      </c>
      <c r="AE8221">
        <v>72.467206039999994</v>
      </c>
      <c r="AF8221">
        <v>3.37230684736019</v>
      </c>
      <c r="AG8221">
        <v>-1.1201228536529999</v>
      </c>
      <c r="AH8221">
        <v>72.3858492444745</v>
      </c>
      <c r="AI8221">
        <v>90.885582931100004</v>
      </c>
      <c r="AJ8221">
        <v>87.332636922579795</v>
      </c>
      <c r="AK8221">
        <v>72.473017734352894</v>
      </c>
      <c r="AL8221">
        <v>93.5590947077728</v>
      </c>
      <c r="AM8221">
        <v>87.897829945575097</v>
      </c>
      <c r="AN8221">
        <v>0.99999999454494803</v>
      </c>
    </row>
    <row r="8222" spans="1:40" x14ac:dyDescent="0.25">
      <c r="A8222" t="str">
        <f>"20190303155009766"</f>
        <v>20190303155009766</v>
      </c>
      <c r="B8222" t="str">
        <f>"1551599409759094"</f>
        <v>1551599409759094</v>
      </c>
      <c r="C8222" t="s">
        <v>40</v>
      </c>
      <c r="D8222">
        <v>5.0127759999999997</v>
      </c>
      <c r="E8222">
        <v>0.50276809999999905</v>
      </c>
      <c r="F8222" t="s">
        <v>41</v>
      </c>
      <c r="G8222">
        <v>-186.84829999999999</v>
      </c>
      <c r="H8222" s="1">
        <v>-3.2566159999999999E-6</v>
      </c>
      <c r="I8222">
        <v>65.920860000000005</v>
      </c>
      <c r="J8222">
        <v>-188.1164</v>
      </c>
      <c r="K8222">
        <v>1.1201730000000001</v>
      </c>
      <c r="L8222">
        <v>0.38055420000000001</v>
      </c>
      <c r="M8222">
        <v>-2.657412E-2</v>
      </c>
      <c r="N8222">
        <v>-7.8192060000000004E-3</v>
      </c>
      <c r="O8222">
        <v>0.99961630000000001</v>
      </c>
      <c r="P8222">
        <v>9.7285700000000006E-3</v>
      </c>
      <c r="Q8222">
        <v>-7.0753730000000001E-2</v>
      </c>
      <c r="R8222">
        <v>0.99744639999999996</v>
      </c>
      <c r="S8222">
        <v>5.7342530000000003E-2</v>
      </c>
      <c r="T8222">
        <v>-5.1043390000000001E-2</v>
      </c>
      <c r="U8222">
        <v>3.0032649999999999</v>
      </c>
      <c r="V8222">
        <v>3.6230079999999998E-2</v>
      </c>
      <c r="W8222">
        <v>-6.2958340000000002E-2</v>
      </c>
      <c r="X8222">
        <v>0.99735830000000003</v>
      </c>
      <c r="Y8222">
        <v>4.5648040000000001E-2</v>
      </c>
      <c r="Z8222">
        <v>-9.1535249999999992E-3</v>
      </c>
      <c r="AA8222">
        <v>0.99891569999999996</v>
      </c>
      <c r="AB8222">
        <v>35</v>
      </c>
      <c r="AC8222">
        <v>1.2681</v>
      </c>
      <c r="AD8222">
        <v>-1.1201762566159901</v>
      </c>
      <c r="AE8222">
        <v>65.540305799999999</v>
      </c>
      <c r="AF8222">
        <v>3.0085027685950001</v>
      </c>
      <c r="AG8222">
        <v>-1.1201762566159901</v>
      </c>
      <c r="AH8222">
        <v>65.464342830015994</v>
      </c>
      <c r="AI8222">
        <v>90.979272959956404</v>
      </c>
      <c r="AJ8222">
        <v>87.368745999861304</v>
      </c>
      <c r="AK8222">
        <v>65.543009283373607</v>
      </c>
      <c r="AL8222">
        <v>93.609634557643005</v>
      </c>
      <c r="AM8222">
        <v>87.919585848092396</v>
      </c>
      <c r="AN8222">
        <v>0.99999997492562498</v>
      </c>
    </row>
    <row r="8223" spans="1:40" x14ac:dyDescent="0.25">
      <c r="A8223" t="str">
        <f>"20190303155009788"</f>
        <v>20190303155009788</v>
      </c>
      <c r="B8223" t="str">
        <f>"1551599409778614"</f>
        <v>1551599409778614</v>
      </c>
      <c r="C8223" t="s">
        <v>40</v>
      </c>
      <c r="D8223">
        <v>5.0310790000000001</v>
      </c>
      <c r="E8223">
        <v>0.50270320000000002</v>
      </c>
      <c r="F8223" t="s">
        <v>41</v>
      </c>
      <c r="G8223">
        <v>-187.00030000000001</v>
      </c>
      <c r="H8223" s="1">
        <v>-1.0975779999999999E-6</v>
      </c>
      <c r="I8223">
        <v>60.527990000000003</v>
      </c>
      <c r="J8223">
        <v>-188.12549999999999</v>
      </c>
      <c r="K8223">
        <v>1.120223</v>
      </c>
      <c r="L8223">
        <v>0.72250369999999997</v>
      </c>
      <c r="M8223">
        <v>-2.6572220000000001E-2</v>
      </c>
      <c r="N8223">
        <v>-8.3804610000000005E-3</v>
      </c>
      <c r="O8223">
        <v>0.99961180000000005</v>
      </c>
      <c r="P8223">
        <v>9.6587930000000006E-3</v>
      </c>
      <c r="Q8223">
        <v>-7.1071540000000002E-2</v>
      </c>
      <c r="R8223">
        <v>0.99742450000000005</v>
      </c>
      <c r="S8223">
        <v>5.57251E-2</v>
      </c>
      <c r="T8223">
        <v>-5.5930500000000001E-2</v>
      </c>
      <c r="U8223">
        <v>3.003174</v>
      </c>
      <c r="V8223">
        <v>3.6158040000000002E-2</v>
      </c>
      <c r="W8223">
        <v>-6.2716469999999996E-2</v>
      </c>
      <c r="X8223">
        <v>0.99737620000000005</v>
      </c>
      <c r="Y8223">
        <v>4.5108170000000003E-2</v>
      </c>
      <c r="Z8223">
        <v>-1.02179E-2</v>
      </c>
      <c r="AA8223">
        <v>0.99892990000000004</v>
      </c>
      <c r="AB8223">
        <v>35</v>
      </c>
      <c r="AC8223">
        <v>1.12519999999997</v>
      </c>
      <c r="AD8223">
        <v>-1.120224097578</v>
      </c>
      <c r="AE8223">
        <v>59.805486299999998</v>
      </c>
      <c r="AF8223">
        <v>2.7130713967942102</v>
      </c>
      <c r="AG8223">
        <v>-1.120224097578</v>
      </c>
      <c r="AH8223">
        <v>59.733516771905002</v>
      </c>
      <c r="AI8223">
        <v>91.073275356037499</v>
      </c>
      <c r="AJ8223">
        <v>87.399436896437194</v>
      </c>
      <c r="AK8223">
        <v>59.805590745116397</v>
      </c>
      <c r="AL8223">
        <v>93.595748816974293</v>
      </c>
      <c r="AM8223">
        <v>87.923756156273299</v>
      </c>
      <c r="AN8223">
        <v>1.00000002189617</v>
      </c>
    </row>
    <row r="8224" spans="1:40" x14ac:dyDescent="0.25">
      <c r="A8224" t="str">
        <f>"20190303155009814"</f>
        <v>20190303155009814</v>
      </c>
      <c r="B8224" t="str">
        <f>"1551599409808870"</f>
        <v>1551599409808870</v>
      </c>
      <c r="C8224" t="s">
        <v>40</v>
      </c>
      <c r="D8224">
        <v>5.0278980000000004</v>
      </c>
      <c r="E8224">
        <v>0.50260959999999999</v>
      </c>
      <c r="F8224" t="s">
        <v>41</v>
      </c>
      <c r="G8224">
        <v>-187.05070000000001</v>
      </c>
      <c r="H8224" s="1">
        <v>-4.6641479999999996E-6</v>
      </c>
      <c r="I8224">
        <v>59.285530000000001</v>
      </c>
      <c r="J8224">
        <v>-188.13650000000001</v>
      </c>
      <c r="K8224">
        <v>1.12029</v>
      </c>
      <c r="L8224">
        <v>1.1348879999999999</v>
      </c>
      <c r="M8224">
        <v>-2.6571569999999999E-2</v>
      </c>
      <c r="N8224">
        <v>-9.0698159999999996E-3</v>
      </c>
      <c r="O8224">
        <v>0.99960579999999999</v>
      </c>
      <c r="P8224">
        <v>9.6647199999999999E-3</v>
      </c>
      <c r="Q8224">
        <v>-7.196582E-2</v>
      </c>
      <c r="R8224">
        <v>0.99736029999999998</v>
      </c>
      <c r="S8224">
        <v>5.5114749999999997E-2</v>
      </c>
      <c r="T8224">
        <v>-5.7445290000000003E-2</v>
      </c>
      <c r="U8224">
        <v>3.0031129999999999</v>
      </c>
      <c r="V8224">
        <v>3.616163E-2</v>
      </c>
      <c r="W8224">
        <v>-6.2923770000000004E-2</v>
      </c>
      <c r="X8224">
        <v>0.997363</v>
      </c>
      <c r="Y8224">
        <v>4.49045E-2</v>
      </c>
      <c r="Z8224">
        <v>-1.0032549999999999E-2</v>
      </c>
      <c r="AA8224">
        <v>0.99894090000000002</v>
      </c>
      <c r="AB8224">
        <v>35</v>
      </c>
      <c r="AC8224">
        <v>1.0858000000000001</v>
      </c>
      <c r="AD8224">
        <v>-1.1202946641480001</v>
      </c>
      <c r="AE8224">
        <v>58.150641999999998</v>
      </c>
      <c r="AF8224">
        <v>2.6296582773837498</v>
      </c>
      <c r="AG8224">
        <v>-1.1202946641480001</v>
      </c>
      <c r="AH8224">
        <v>58.079706438786701</v>
      </c>
      <c r="AI8224">
        <v>91.103905895071605</v>
      </c>
      <c r="AJ8224">
        <v>87.407605843550101</v>
      </c>
      <c r="AK8224">
        <v>58.149999680188898</v>
      </c>
      <c r="AL8224">
        <v>93.607649784179102</v>
      </c>
      <c r="AM8224">
        <v>87.923522736482795</v>
      </c>
      <c r="AN8224">
        <v>1.0000000090421299</v>
      </c>
    </row>
    <row r="8225" spans="1:40" x14ac:dyDescent="0.25">
      <c r="A8225" t="str">
        <f>"20190303155009837"</f>
        <v>20190303155009837</v>
      </c>
      <c r="B8225" t="str">
        <f>"1551599409829366"</f>
        <v>1551599409829366</v>
      </c>
      <c r="C8225" t="s">
        <v>40</v>
      </c>
      <c r="D8225">
        <v>5.0476789999999996</v>
      </c>
      <c r="E8225">
        <v>0.50254460000000001</v>
      </c>
      <c r="F8225" t="s">
        <v>41</v>
      </c>
      <c r="G8225">
        <v>-187.13900000000001</v>
      </c>
      <c r="H8225" s="1">
        <v>-3.3119250000000001E-6</v>
      </c>
      <c r="I8225">
        <v>56.169960000000003</v>
      </c>
      <c r="J8225">
        <v>-188.14590000000001</v>
      </c>
      <c r="K8225">
        <v>1.120339</v>
      </c>
      <c r="L8225">
        <v>1.489716</v>
      </c>
      <c r="M8225">
        <v>-2.6572209999999999E-2</v>
      </c>
      <c r="N8225">
        <v>-9.6540849999999997E-3</v>
      </c>
      <c r="O8225">
        <v>0.9996003</v>
      </c>
      <c r="P8225">
        <v>9.9645970000000004E-3</v>
      </c>
      <c r="Q8225">
        <v>-7.3610529999999993E-2</v>
      </c>
      <c r="R8225">
        <v>0.99723729999999999</v>
      </c>
      <c r="S8225">
        <v>5.4428099999999903E-2</v>
      </c>
      <c r="T8225">
        <v>-6.1128849999999998E-2</v>
      </c>
      <c r="U8225">
        <v>3.0029910000000002</v>
      </c>
      <c r="V8225">
        <v>3.6458740000000003E-2</v>
      </c>
      <c r="W8225">
        <v>-6.3986989999999994E-2</v>
      </c>
      <c r="X8225">
        <v>0.99728450000000002</v>
      </c>
      <c r="Y8225">
        <v>4.4676830000000001E-2</v>
      </c>
      <c r="Z8225">
        <v>-1.0673810000000001E-2</v>
      </c>
      <c r="AA8225">
        <v>0.99894450000000001</v>
      </c>
      <c r="AB8225">
        <v>35</v>
      </c>
      <c r="AC8225">
        <v>1.0068999999999999</v>
      </c>
      <c r="AD8225">
        <v>-1.120342311925</v>
      </c>
      <c r="AE8225">
        <v>54.680244000000002</v>
      </c>
      <c r="AF8225">
        <v>2.4585552888617199</v>
      </c>
      <c r="AG8225">
        <v>-1.120342311925</v>
      </c>
      <c r="AH8225">
        <v>54.611259671795402</v>
      </c>
      <c r="AI8225">
        <v>91.174061189682803</v>
      </c>
      <c r="AJ8225">
        <v>87.422330244251796</v>
      </c>
      <c r="AK8225">
        <v>54.6780517570309</v>
      </c>
      <c r="AL8225">
        <v>93.668690950389404</v>
      </c>
      <c r="AM8225">
        <v>87.906312528820195</v>
      </c>
      <c r="AN8225">
        <v>0.999999974275948</v>
      </c>
    </row>
    <row r="8226" spans="1:40" x14ac:dyDescent="0.25">
      <c r="A8226" t="str">
        <f>"20190303155009868"</f>
        <v>20190303155009868</v>
      </c>
      <c r="B8226" t="str">
        <f>"1551599409858647"</f>
        <v>1551599409858647</v>
      </c>
      <c r="C8226" t="s">
        <v>40</v>
      </c>
      <c r="D8226">
        <v>5.1788439999999998</v>
      </c>
      <c r="E8226">
        <v>0.50243939999999998</v>
      </c>
      <c r="F8226" t="s">
        <v>41</v>
      </c>
      <c r="G8226">
        <v>-187.22669999999999</v>
      </c>
      <c r="H8226" s="1">
        <v>-1.5249410000000001E-6</v>
      </c>
      <c r="I8226">
        <v>51.960830000000001</v>
      </c>
      <c r="J8226">
        <v>-188.15889999999999</v>
      </c>
      <c r="K8226">
        <v>1.1203970000000001</v>
      </c>
      <c r="L8226">
        <v>1.9782709999999999</v>
      </c>
      <c r="M8226">
        <v>-2.6572729999999999E-2</v>
      </c>
      <c r="N8226">
        <v>-1.038705E-2</v>
      </c>
      <c r="O8226">
        <v>0.99959290000000001</v>
      </c>
      <c r="P8226">
        <v>1.1141119999999999E-2</v>
      </c>
      <c r="Q8226">
        <v>-7.5076870000000004E-2</v>
      </c>
      <c r="R8226">
        <v>0.99711550000000004</v>
      </c>
      <c r="S8226">
        <v>5.46875E-2</v>
      </c>
      <c r="T8226">
        <v>-6.6655989999999998E-2</v>
      </c>
      <c r="U8226">
        <v>3.0028380000000001</v>
      </c>
      <c r="V8226">
        <v>3.763217E-2</v>
      </c>
      <c r="W8226">
        <v>-6.4723950000000002E-2</v>
      </c>
      <c r="X8226">
        <v>0.99719340000000001</v>
      </c>
      <c r="Y8226">
        <v>4.4763409999999997E-2</v>
      </c>
      <c r="Z8226">
        <v>-1.177928E-2</v>
      </c>
      <c r="AA8226">
        <v>0.99892820000000004</v>
      </c>
      <c r="AB8226">
        <v>35</v>
      </c>
      <c r="AC8226">
        <v>0.93219999999999403</v>
      </c>
      <c r="AD8226">
        <v>-1.12039852494099</v>
      </c>
      <c r="AE8226">
        <v>49.982559000000002</v>
      </c>
      <c r="AF8226">
        <v>2.2589808403213101</v>
      </c>
      <c r="AG8226">
        <v>-1.12039852494099</v>
      </c>
      <c r="AH8226">
        <v>49.915062968909503</v>
      </c>
      <c r="AI8226">
        <v>91.284536563050693</v>
      </c>
      <c r="AJ8226">
        <v>87.408761908597498</v>
      </c>
      <c r="AK8226">
        <v>49.9787134536477</v>
      </c>
      <c r="AL8226">
        <v>93.7110031793475</v>
      </c>
      <c r="AM8226">
        <v>87.838792543133394</v>
      </c>
      <c r="AN8226">
        <v>1.00000002346303</v>
      </c>
    </row>
    <row r="8227" spans="1:40" x14ac:dyDescent="0.25">
      <c r="A8227" t="str">
        <f>"20190303155009890"</f>
        <v>20190303155009890</v>
      </c>
      <c r="B8227" t="str">
        <f>"1551599409879143"</f>
        <v>1551599409879143</v>
      </c>
      <c r="C8227" t="s">
        <v>40</v>
      </c>
      <c r="D8227">
        <v>5.0228020000000004</v>
      </c>
      <c r="E8227">
        <v>0.50237359999999998</v>
      </c>
      <c r="F8227" t="s">
        <v>41</v>
      </c>
      <c r="G8227">
        <v>-187.2646</v>
      </c>
      <c r="H8227" s="1">
        <v>-4.394422E-6</v>
      </c>
      <c r="I8227">
        <v>48.745220000000003</v>
      </c>
      <c r="J8227">
        <v>-188.16839999999999</v>
      </c>
      <c r="K8227">
        <v>1.12042</v>
      </c>
      <c r="L8227">
        <v>2.3352659999999998</v>
      </c>
      <c r="M8227">
        <v>-2.6571299999999999E-2</v>
      </c>
      <c r="N8227">
        <v>-1.084679E-2</v>
      </c>
      <c r="O8227">
        <v>0.99958809999999998</v>
      </c>
      <c r="P8227">
        <v>1.20578E-2</v>
      </c>
      <c r="Q8227">
        <v>-7.6062519999999995E-2</v>
      </c>
      <c r="R8227">
        <v>0.99703010000000003</v>
      </c>
      <c r="S8227">
        <v>5.7418820000000002E-2</v>
      </c>
      <c r="T8227">
        <v>-7.1934219999999993E-2</v>
      </c>
      <c r="U8227">
        <v>3.0026250000000001</v>
      </c>
      <c r="V8227">
        <v>3.854482E-2</v>
      </c>
      <c r="W8227">
        <v>-6.5252350000000001E-2</v>
      </c>
      <c r="X8227">
        <v>0.99712409999999996</v>
      </c>
      <c r="Y8227">
        <v>4.5670379999999997E-2</v>
      </c>
      <c r="Z8227">
        <v>-1.307504E-2</v>
      </c>
      <c r="AA8227">
        <v>0.99887099999999995</v>
      </c>
      <c r="AB8227">
        <v>35</v>
      </c>
      <c r="AC8227">
        <v>0.90379999999998895</v>
      </c>
      <c r="AD8227">
        <v>-1.120424394422</v>
      </c>
      <c r="AE8227">
        <v>46.409953999999999</v>
      </c>
      <c r="AF8227">
        <v>2.13548202096649</v>
      </c>
      <c r="AG8227">
        <v>-1.120424394422</v>
      </c>
      <c r="AH8227">
        <v>46.3425494772438</v>
      </c>
      <c r="AI8227">
        <v>91.383503447913697</v>
      </c>
      <c r="AJ8227">
        <v>87.361655405209305</v>
      </c>
      <c r="AK8227">
        <v>46.4052532191807</v>
      </c>
      <c r="AL8227">
        <v>93.741342412036104</v>
      </c>
      <c r="AM8227">
        <v>87.786277082077007</v>
      </c>
      <c r="AN8227">
        <v>1.0000000215650799</v>
      </c>
    </row>
    <row r="8228" spans="1:40" x14ac:dyDescent="0.25">
      <c r="A8228" t="str">
        <f>"20190303155009912"</f>
        <v>20190303155009912</v>
      </c>
      <c r="B8228" t="str">
        <f>"1551599409908422"</f>
        <v>1551599409908422</v>
      </c>
      <c r="C8228" t="s">
        <v>40</v>
      </c>
      <c r="D8228">
        <v>5.0774410000000003</v>
      </c>
      <c r="E8228">
        <v>0.50225880000000001</v>
      </c>
      <c r="F8228" t="s">
        <v>41</v>
      </c>
      <c r="G8228">
        <v>-187.2833</v>
      </c>
      <c r="H8228" s="1">
        <v>-3.6178910000000001E-6</v>
      </c>
      <c r="I8228">
        <v>46.942869999999999</v>
      </c>
      <c r="J8228">
        <v>-188.1771</v>
      </c>
      <c r="K8228">
        <v>1.120431</v>
      </c>
      <c r="L8228">
        <v>2.6631770000000001</v>
      </c>
      <c r="M8228">
        <v>-2.6565200000000001E-2</v>
      </c>
      <c r="N8228">
        <v>-1.1209759999999999E-2</v>
      </c>
      <c r="O8228">
        <v>0.99958429999999998</v>
      </c>
      <c r="P8228">
        <v>1.242446E-2</v>
      </c>
      <c r="Q8228">
        <v>-7.6580679999999998E-2</v>
      </c>
      <c r="R8228">
        <v>0.99698600000000004</v>
      </c>
      <c r="S8228">
        <v>5.9570310000000001E-2</v>
      </c>
      <c r="T8228">
        <v>-7.5414060000000005E-2</v>
      </c>
      <c r="U8228">
        <v>3.002472</v>
      </c>
      <c r="V8228">
        <v>3.8903809999999997E-2</v>
      </c>
      <c r="W8228">
        <v>-6.5409369999999994E-2</v>
      </c>
      <c r="X8228">
        <v>0.99709990000000004</v>
      </c>
      <c r="Y8228">
        <v>4.637981E-2</v>
      </c>
      <c r="Z8228">
        <v>-1.3869380000000001E-2</v>
      </c>
      <c r="AA8228">
        <v>0.99882760000000004</v>
      </c>
      <c r="AB8228">
        <v>35</v>
      </c>
      <c r="AC8228">
        <v>0.89379999999999804</v>
      </c>
      <c r="AD8228">
        <v>-1.1204346178910001</v>
      </c>
      <c r="AE8228">
        <v>44.279693000000002</v>
      </c>
      <c r="AF8228">
        <v>2.06853337086307</v>
      </c>
      <c r="AG8228">
        <v>-1.1204346178910001</v>
      </c>
      <c r="AH8228">
        <v>44.212022359792797</v>
      </c>
      <c r="AI8228">
        <v>91.450110883399802</v>
      </c>
      <c r="AJ8228">
        <v>87.321274610344503</v>
      </c>
      <c r="AK8228">
        <v>44.2745652173137</v>
      </c>
      <c r="AL8228">
        <v>93.750358144224705</v>
      </c>
      <c r="AM8228">
        <v>87.7656260386116</v>
      </c>
      <c r="AN8228">
        <v>1.0000000513481599</v>
      </c>
    </row>
    <row r="8229" spans="1:40" x14ac:dyDescent="0.25">
      <c r="A8229" t="str">
        <f>"20190303155009934"</f>
        <v>20190303155009934</v>
      </c>
      <c r="B8229" t="str">
        <f>"1551599409928919"</f>
        <v>1551599409928919</v>
      </c>
      <c r="C8229" t="s">
        <v>40</v>
      </c>
      <c r="D8229">
        <v>5.0536839999999996</v>
      </c>
      <c r="E8229">
        <v>0.50219229999999904</v>
      </c>
      <c r="F8229" t="s">
        <v>41</v>
      </c>
      <c r="G8229">
        <v>-187.31639999999999</v>
      </c>
      <c r="H8229" s="1">
        <v>-3.2015729999999999E-6</v>
      </c>
      <c r="I8229">
        <v>45.9861</v>
      </c>
      <c r="J8229">
        <v>-188.18690000000001</v>
      </c>
      <c r="K8229">
        <v>1.120425</v>
      </c>
      <c r="L8229">
        <v>3.0321349999999998</v>
      </c>
      <c r="M8229">
        <v>-2.6542280000000001E-2</v>
      </c>
      <c r="N8229">
        <v>-1.154552E-2</v>
      </c>
      <c r="O8229">
        <v>0.99958100000000005</v>
      </c>
      <c r="P8229">
        <v>1.2593099999999999E-2</v>
      </c>
      <c r="Q8229">
        <v>-7.7345769999999994E-2</v>
      </c>
      <c r="R8229">
        <v>0.99692480000000006</v>
      </c>
      <c r="S8229">
        <v>5.9646610000000003E-2</v>
      </c>
      <c r="T8229">
        <v>-7.7647919999999995E-2</v>
      </c>
      <c r="U8229">
        <v>3.0023499999999999</v>
      </c>
      <c r="V8229">
        <v>3.9046570000000003E-2</v>
      </c>
      <c r="W8229">
        <v>-6.5841189999999994E-2</v>
      </c>
      <c r="X8229">
        <v>0.9970658</v>
      </c>
      <c r="Y8229">
        <v>4.63825E-2</v>
      </c>
      <c r="Z8229">
        <v>-1.427719E-2</v>
      </c>
      <c r="AA8229">
        <v>0.99882170000000003</v>
      </c>
      <c r="AB8229">
        <v>35</v>
      </c>
      <c r="AC8229">
        <v>0.87050000000002103</v>
      </c>
      <c r="AD8229">
        <v>-1.120428201573</v>
      </c>
      <c r="AE8229">
        <v>42.953964999999997</v>
      </c>
      <c r="AF8229">
        <v>2.0089991008083499</v>
      </c>
      <c r="AG8229">
        <v>-1.120428201573</v>
      </c>
      <c r="AH8229">
        <v>42.886555497322703</v>
      </c>
      <c r="AI8229">
        <v>91.494895891579702</v>
      </c>
      <c r="AJ8229">
        <v>87.317968730483798</v>
      </c>
      <c r="AK8229">
        <v>42.948202280967102</v>
      </c>
      <c r="AL8229">
        <v>93.775153427055997</v>
      </c>
      <c r="AM8229">
        <v>87.757358599332406</v>
      </c>
      <c r="AN8229">
        <v>0.99999995322950896</v>
      </c>
    </row>
    <row r="8230" spans="1:40" x14ac:dyDescent="0.25">
      <c r="A8230" t="str">
        <f>"20190303155009957"</f>
        <v>20190303155009957</v>
      </c>
      <c r="B8230" t="str">
        <f>"1551599409949415"</f>
        <v>1551599409949415</v>
      </c>
      <c r="C8230" t="s">
        <v>40</v>
      </c>
      <c r="D8230">
        <v>5.014977</v>
      </c>
      <c r="E8230">
        <v>0.50223999999999902</v>
      </c>
      <c r="F8230" t="s">
        <v>41</v>
      </c>
      <c r="G8230">
        <v>-187.3603</v>
      </c>
      <c r="H8230" s="1">
        <v>-2.6947109999999999E-6</v>
      </c>
      <c r="I8230">
        <v>44.822719999999997</v>
      </c>
      <c r="J8230">
        <v>-188.19579999999999</v>
      </c>
      <c r="K8230">
        <v>1.1203970000000001</v>
      </c>
      <c r="L8230">
        <v>3.3678889999999999</v>
      </c>
      <c r="M8230">
        <v>-2.6489189999999999E-2</v>
      </c>
      <c r="N8230">
        <v>-1.177393E-2</v>
      </c>
      <c r="O8230">
        <v>0.99957980000000002</v>
      </c>
      <c r="P8230">
        <v>1.202756E-2</v>
      </c>
      <c r="Q8230">
        <v>-7.7491450000000003E-2</v>
      </c>
      <c r="R8230">
        <v>0.99692049999999999</v>
      </c>
      <c r="S8230">
        <v>5.9387210000000003E-2</v>
      </c>
      <c r="T8230">
        <v>-8.0492140000000004E-2</v>
      </c>
      <c r="U8230">
        <v>3.0022579999999999</v>
      </c>
      <c r="V8230">
        <v>3.8425069999999999E-2</v>
      </c>
      <c r="W8230">
        <v>-6.5760780000000005E-2</v>
      </c>
      <c r="X8230">
        <v>0.99709530000000002</v>
      </c>
      <c r="Y8230">
        <v>4.6243159999999998E-2</v>
      </c>
      <c r="Z8230">
        <v>-1.49952E-2</v>
      </c>
      <c r="AA8230">
        <v>0.99881770000000003</v>
      </c>
      <c r="AB8230">
        <v>35</v>
      </c>
      <c r="AC8230">
        <v>0.83549999999999602</v>
      </c>
      <c r="AD8230">
        <v>-1.12039969471099</v>
      </c>
      <c r="AE8230">
        <v>41.454830999999999</v>
      </c>
      <c r="AF8230">
        <v>1.9319770976572199</v>
      </c>
      <c r="AG8230">
        <v>-1.12039969471099</v>
      </c>
      <c r="AH8230">
        <v>41.387929328052898</v>
      </c>
      <c r="AI8230">
        <v>91.548971561552406</v>
      </c>
      <c r="AJ8230">
        <v>87.327388930862398</v>
      </c>
      <c r="AK8230">
        <v>41.448142600672497</v>
      </c>
      <c r="AL8230">
        <v>93.770536083582797</v>
      </c>
      <c r="AM8230">
        <v>87.793084126193904</v>
      </c>
      <c r="AN8230">
        <v>1.0000000017363999</v>
      </c>
    </row>
    <row r="8231" spans="1:40" x14ac:dyDescent="0.25">
      <c r="A8231" t="str">
        <f>"20190303155009978"</f>
        <v>20190303155009978</v>
      </c>
      <c r="B8231" t="str">
        <f>"1551599409968934"</f>
        <v>1551599409968934</v>
      </c>
      <c r="C8231" t="s">
        <v>40</v>
      </c>
      <c r="D8231">
        <v>5.1211250000000001</v>
      </c>
      <c r="E8231">
        <v>0.50231919999999997</v>
      </c>
      <c r="F8231" t="s">
        <v>41</v>
      </c>
      <c r="G8231">
        <v>-187.39619999999999</v>
      </c>
      <c r="H8231" s="1">
        <v>-2.655308E-6</v>
      </c>
      <c r="I8231">
        <v>44.745739999999998</v>
      </c>
      <c r="J8231">
        <v>-188.20500000000001</v>
      </c>
      <c r="K8231">
        <v>1.120341</v>
      </c>
      <c r="L8231">
        <v>3.7170100000000001</v>
      </c>
      <c r="M8231">
        <v>-2.6389969999999999E-2</v>
      </c>
      <c r="N8231">
        <v>-1.1928660000000001E-2</v>
      </c>
      <c r="O8231">
        <v>0.99958060000000004</v>
      </c>
      <c r="P8231">
        <v>1.056313E-2</v>
      </c>
      <c r="Q8231">
        <v>-7.7950060000000002E-2</v>
      </c>
      <c r="R8231">
        <v>0.99690129999999999</v>
      </c>
      <c r="S8231">
        <v>5.8013919999999997E-2</v>
      </c>
      <c r="T8231">
        <v>-8.1292989999999996E-2</v>
      </c>
      <c r="U8231">
        <v>3.0022579999999999</v>
      </c>
      <c r="V8231">
        <v>3.6856260000000002E-2</v>
      </c>
      <c r="W8231">
        <v>-6.6067699999999993E-2</v>
      </c>
      <c r="X8231">
        <v>0.99713419999999997</v>
      </c>
      <c r="Y8231">
        <v>4.5687180000000001E-2</v>
      </c>
      <c r="Z8231">
        <v>-1.510732E-2</v>
      </c>
      <c r="AA8231">
        <v>0.9988416</v>
      </c>
      <c r="AB8231">
        <v>35</v>
      </c>
      <c r="AC8231">
        <v>0.80880000000001895</v>
      </c>
      <c r="AD8231">
        <v>-1.120343655308</v>
      </c>
      <c r="AE8231">
        <v>41.028729999999896</v>
      </c>
      <c r="AF8231">
        <v>1.88993356278669</v>
      </c>
      <c r="AG8231">
        <v>-1.120343655308</v>
      </c>
      <c r="AH8231">
        <v>40.962561662917402</v>
      </c>
      <c r="AI8231">
        <v>91.565009588692007</v>
      </c>
      <c r="AJ8231">
        <v>87.358356656775797</v>
      </c>
      <c r="AK8231">
        <v>41.021439233235597</v>
      </c>
      <c r="AL8231">
        <v>93.788159755114094</v>
      </c>
      <c r="AM8231">
        <v>87.883186375491405</v>
      </c>
      <c r="AN8231">
        <v>0.999999968847058</v>
      </c>
    </row>
    <row r="8232" spans="1:40" x14ac:dyDescent="0.25">
      <c r="A8232" t="str">
        <f>"20190303155010000"</f>
        <v>20190303155010000</v>
      </c>
      <c r="B8232" t="str">
        <f>"1551599409988454"</f>
        <v>1551599409988454</v>
      </c>
      <c r="C8232" t="s">
        <v>40</v>
      </c>
      <c r="D8232">
        <v>5.0382930000000004</v>
      </c>
      <c r="E8232">
        <v>0.50239730000000005</v>
      </c>
      <c r="F8232" t="s">
        <v>41</v>
      </c>
      <c r="G8232">
        <v>-187.47450000000001</v>
      </c>
      <c r="H8232" s="1">
        <v>-2.4336619999999999E-6</v>
      </c>
      <c r="I8232">
        <v>44.261429999999997</v>
      </c>
      <c r="J8232">
        <v>-188.21369999999999</v>
      </c>
      <c r="K8232">
        <v>1.1202780000000001</v>
      </c>
      <c r="L8232">
        <v>4.0536799999999999</v>
      </c>
      <c r="M8232">
        <v>-2.6239479999999999E-2</v>
      </c>
      <c r="N8232">
        <v>-1.1997789999999999E-2</v>
      </c>
      <c r="O8232">
        <v>0.99958369999999996</v>
      </c>
      <c r="P8232">
        <v>9.6291399999999996E-3</v>
      </c>
      <c r="Q8232">
        <v>-7.7942020000000001E-2</v>
      </c>
      <c r="R8232">
        <v>0.9969114</v>
      </c>
      <c r="S8232">
        <v>5.409241E-2</v>
      </c>
      <c r="T8232">
        <v>-8.2959889999999994E-2</v>
      </c>
      <c r="U8232">
        <v>3.0022579999999999</v>
      </c>
      <c r="V8232">
        <v>3.57658E-2</v>
      </c>
      <c r="W8232">
        <v>-6.5993860000000001E-2</v>
      </c>
      <c r="X8232">
        <v>0.99717889999999998</v>
      </c>
      <c r="Y8232">
        <v>4.4232519999999997E-2</v>
      </c>
      <c r="Z8232">
        <v>-1.5593889999999999E-2</v>
      </c>
      <c r="AA8232">
        <v>0.9988996</v>
      </c>
      <c r="AB8232">
        <v>35</v>
      </c>
      <c r="AC8232">
        <v>0.73919999999998198</v>
      </c>
      <c r="AD8232">
        <v>-1.120280433662</v>
      </c>
      <c r="AE8232">
        <v>40.207749999999997</v>
      </c>
      <c r="AF8232">
        <v>1.79266063811983</v>
      </c>
      <c r="AG8232">
        <v>-1.120280433662</v>
      </c>
      <c r="AH8232">
        <v>40.143353209412901</v>
      </c>
      <c r="AI8232">
        <v>91.596947548174199</v>
      </c>
      <c r="AJ8232">
        <v>87.443071243594403</v>
      </c>
      <c r="AK8232">
        <v>40.198973460888197</v>
      </c>
      <c r="AL8232">
        <v>93.783919396773001</v>
      </c>
      <c r="AM8232">
        <v>87.9458537166404</v>
      </c>
      <c r="AN8232">
        <v>1.0000000703062699</v>
      </c>
    </row>
    <row r="8233" spans="1:40" x14ac:dyDescent="0.25">
      <c r="A8233" t="str">
        <f>"20190303155010025"</f>
        <v>20190303155010025</v>
      </c>
      <c r="B8233" t="str">
        <f>"1551599410018710"</f>
        <v>1551599410018710</v>
      </c>
      <c r="C8233" t="s">
        <v>40</v>
      </c>
      <c r="D8233">
        <v>5.0615129999999997</v>
      </c>
      <c r="E8233">
        <v>0.50249460000000001</v>
      </c>
      <c r="F8233" t="s">
        <v>41</v>
      </c>
      <c r="G8233">
        <v>-187.518</v>
      </c>
      <c r="H8233" s="1">
        <v>-2.49947E-6</v>
      </c>
      <c r="I8233">
        <v>44.432839999999999</v>
      </c>
      <c r="J8233">
        <v>-188.22370000000001</v>
      </c>
      <c r="K8233">
        <v>1.120179</v>
      </c>
      <c r="L8233">
        <v>4.4425350000000003</v>
      </c>
      <c r="M8233">
        <v>-2.5974549999999999E-2</v>
      </c>
      <c r="N8233">
        <v>-1.198424E-2</v>
      </c>
      <c r="O8233">
        <v>0.9995908</v>
      </c>
      <c r="P8233">
        <v>8.9577839999999999E-3</v>
      </c>
      <c r="Q8233">
        <v>-7.7676529999999994E-2</v>
      </c>
      <c r="R8233">
        <v>0.99693830000000005</v>
      </c>
      <c r="S8233">
        <v>5.1727290000000002E-2</v>
      </c>
      <c r="T8233">
        <v>-8.3295579999999994E-2</v>
      </c>
      <c r="U8233">
        <v>3.0022890000000002</v>
      </c>
      <c r="V8233">
        <v>3.4821360000000003E-2</v>
      </c>
      <c r="W8233">
        <v>-6.5746280000000004E-2</v>
      </c>
      <c r="X8233">
        <v>0.99722860000000002</v>
      </c>
      <c r="Y8233">
        <v>4.3181070000000002E-2</v>
      </c>
      <c r="Z8233">
        <v>-1.5720020000000001E-2</v>
      </c>
      <c r="AA8233">
        <v>0.99894360000000004</v>
      </c>
      <c r="AB8233">
        <v>35</v>
      </c>
      <c r="AC8233">
        <v>0.70570000000000699</v>
      </c>
      <c r="AD8233">
        <v>-1.1201814994699999</v>
      </c>
      <c r="AE8233">
        <v>39.990304999999999</v>
      </c>
      <c r="AF8233">
        <v>1.7428994949435701</v>
      </c>
      <c r="AG8233">
        <v>-1.1201814994699999</v>
      </c>
      <c r="AH8233">
        <v>39.927160484295896</v>
      </c>
      <c r="AI8233">
        <v>91.605519304597806</v>
      </c>
      <c r="AJ8233">
        <v>87.500512726055305</v>
      </c>
      <c r="AK8233">
        <v>39.980878549376001</v>
      </c>
      <c r="AL8233">
        <v>93.769703535190501</v>
      </c>
      <c r="AM8233">
        <v>88.000150926731393</v>
      </c>
      <c r="AN8233">
        <v>0.99999999055202404</v>
      </c>
    </row>
    <row r="8234" spans="1:40" x14ac:dyDescent="0.25">
      <c r="A8234" t="str">
        <f>"20190303155010047"</f>
        <v>20190303155010047</v>
      </c>
      <c r="B8234" t="str">
        <f>"1551599410039206"</f>
        <v>1551599410039206</v>
      </c>
      <c r="C8234" t="s">
        <v>40</v>
      </c>
      <c r="D8234">
        <v>5.0529510000000002</v>
      </c>
      <c r="E8234">
        <v>0.50257949999999996</v>
      </c>
      <c r="F8234" t="s">
        <v>41</v>
      </c>
      <c r="G8234">
        <v>-187.54470000000001</v>
      </c>
      <c r="H8234" s="1">
        <v>-2.6903490000000002E-6</v>
      </c>
      <c r="I8234">
        <v>44.888820000000003</v>
      </c>
      <c r="J8234">
        <v>-188.23259999999999</v>
      </c>
      <c r="K8234">
        <v>1.1200779999999999</v>
      </c>
      <c r="L8234">
        <v>4.7978209999999999</v>
      </c>
      <c r="M8234">
        <v>-2.5647409999999999E-2</v>
      </c>
      <c r="N8234">
        <v>-1.191536E-2</v>
      </c>
      <c r="O8234">
        <v>0.99960009999999999</v>
      </c>
      <c r="P8234">
        <v>8.6789209999999992E-3</v>
      </c>
      <c r="Q8234">
        <v>-7.7459760000000003E-2</v>
      </c>
      <c r="R8234">
        <v>0.99695769999999995</v>
      </c>
      <c r="S8234">
        <v>5.0399779999999998E-2</v>
      </c>
      <c r="T8234">
        <v>-8.315003E-2</v>
      </c>
      <c r="U8234">
        <v>3.0022890000000002</v>
      </c>
      <c r="V8234">
        <v>3.4206920000000002E-2</v>
      </c>
      <c r="W8234">
        <v>-6.5602759999999996E-2</v>
      </c>
      <c r="X8234">
        <v>0.99725929999999996</v>
      </c>
      <c r="Y8234">
        <v>4.2412760000000001E-2</v>
      </c>
      <c r="Z8234">
        <v>-1.574155E-2</v>
      </c>
      <c r="AA8234">
        <v>0.99897619999999998</v>
      </c>
      <c r="AB8234">
        <v>35</v>
      </c>
      <c r="AC8234">
        <v>0.68789999999998397</v>
      </c>
      <c r="AD8234">
        <v>-1.1200806903489999</v>
      </c>
      <c r="AE8234">
        <v>40.090998999999996</v>
      </c>
      <c r="AF8234">
        <v>1.7146389275668501</v>
      </c>
      <c r="AG8234">
        <v>-1.1200806903489999</v>
      </c>
      <c r="AH8234">
        <v>40.028929450709398</v>
      </c>
      <c r="AI8234">
        <v>91.6013519783112</v>
      </c>
      <c r="AJ8234">
        <v>87.547235072218498</v>
      </c>
      <c r="AK8234">
        <v>40.081289405091397</v>
      </c>
      <c r="AL8234">
        <v>93.761462717937107</v>
      </c>
      <c r="AM8234">
        <v>88.035471776494404</v>
      </c>
      <c r="AN8234">
        <v>0.99999997346599601</v>
      </c>
    </row>
    <row r="8235" spans="1:40" x14ac:dyDescent="0.25">
      <c r="A8235" t="str">
        <f>"20190303155010068"</f>
        <v>20190303155010068</v>
      </c>
      <c r="B8235" t="str">
        <f>"1551599410058727"</f>
        <v>1551599410058727</v>
      </c>
      <c r="C8235" t="s">
        <v>40</v>
      </c>
      <c r="D8235">
        <v>5.0384099999999998</v>
      </c>
      <c r="E8235">
        <v>0.50265720000000003</v>
      </c>
      <c r="F8235" t="s">
        <v>41</v>
      </c>
      <c r="G8235">
        <v>-187.55279999999999</v>
      </c>
      <c r="H8235" s="1">
        <v>-2.91153E-6</v>
      </c>
      <c r="I8235">
        <v>45.407719999999998</v>
      </c>
      <c r="J8235">
        <v>-188.2407</v>
      </c>
      <c r="K8235">
        <v>1.119983</v>
      </c>
      <c r="L8235">
        <v>5.1249690000000001</v>
      </c>
      <c r="M8235">
        <v>-2.528151E-2</v>
      </c>
      <c r="N8235">
        <v>-1.1828689999999999E-2</v>
      </c>
      <c r="O8235">
        <v>0.99961040000000001</v>
      </c>
      <c r="P8235">
        <v>8.6214489999999998E-3</v>
      </c>
      <c r="Q8235">
        <v>-7.79421E-2</v>
      </c>
      <c r="R8235">
        <v>0.99692060000000005</v>
      </c>
      <c r="S8235">
        <v>5.026245E-2</v>
      </c>
      <c r="T8235">
        <v>-8.2807539999999999E-2</v>
      </c>
      <c r="U8235">
        <v>3.0022890000000002</v>
      </c>
      <c r="V8235">
        <v>3.377426E-2</v>
      </c>
      <c r="W8235">
        <v>-6.6176199999999893E-2</v>
      </c>
      <c r="X8235">
        <v>0.99723620000000002</v>
      </c>
      <c r="Y8235">
        <v>4.200156E-2</v>
      </c>
      <c r="Z8235">
        <v>-1.5715050000000001E-2</v>
      </c>
      <c r="AA8235">
        <v>0.99899389999999999</v>
      </c>
      <c r="AB8235">
        <v>35</v>
      </c>
      <c r="AC8235">
        <v>0.68790000000001295</v>
      </c>
      <c r="AD8235">
        <v>-1.1199859115299999</v>
      </c>
      <c r="AE8235">
        <v>40.282750999999998</v>
      </c>
      <c r="AF8235">
        <v>1.7048426293396299</v>
      </c>
      <c r="AG8235">
        <v>-1.1199859115299999</v>
      </c>
      <c r="AH8235">
        <v>40.221398712021397</v>
      </c>
      <c r="AI8235">
        <v>91.593588678322703</v>
      </c>
      <c r="AJ8235">
        <v>87.572887675565994</v>
      </c>
      <c r="AK8235">
        <v>40.273089913542002</v>
      </c>
      <c r="AL8235">
        <v>93.794389809071603</v>
      </c>
      <c r="AM8235">
        <v>88.060255754526693</v>
      </c>
      <c r="AN8235">
        <v>1.0000000143377099</v>
      </c>
    </row>
    <row r="8236" spans="1:40" x14ac:dyDescent="0.25">
      <c r="A8236" t="str">
        <f>"20190303155010090"</f>
        <v>20190303155010090</v>
      </c>
      <c r="B8236" t="str">
        <f>"1551599410079223"</f>
        <v>1551599410079223</v>
      </c>
      <c r="C8236" t="s">
        <v>40</v>
      </c>
      <c r="D8236">
        <v>5.0082599999999999</v>
      </c>
      <c r="E8236">
        <v>0.50271739999999998</v>
      </c>
      <c r="F8236" t="s">
        <v>41</v>
      </c>
      <c r="G8236">
        <v>-187.56960000000001</v>
      </c>
      <c r="H8236" s="1">
        <v>-2.6730660000000002E-6</v>
      </c>
      <c r="I8236">
        <v>44.858820000000001</v>
      </c>
      <c r="J8236">
        <v>-188.2491</v>
      </c>
      <c r="K8236">
        <v>1.1198920000000001</v>
      </c>
      <c r="L8236">
        <v>5.4737549999999997</v>
      </c>
      <c r="M8236">
        <v>-2.481879E-2</v>
      </c>
      <c r="N8236">
        <v>-1.172481E-2</v>
      </c>
      <c r="O8236">
        <v>0.99962320000000005</v>
      </c>
      <c r="P8236">
        <v>8.8907320000000001E-3</v>
      </c>
      <c r="Q8236">
        <v>-7.9181249999999995E-2</v>
      </c>
      <c r="R8236">
        <v>0.99682059999999995</v>
      </c>
      <c r="S8236">
        <v>5.070496E-2</v>
      </c>
      <c r="T8236">
        <v>-8.4624409999999997E-2</v>
      </c>
      <c r="U8236">
        <v>3.0022280000000001</v>
      </c>
      <c r="V8236">
        <v>3.3568830000000001E-2</v>
      </c>
      <c r="W8236">
        <v>-6.7524680000000004E-2</v>
      </c>
      <c r="X8236">
        <v>0.9971527</v>
      </c>
      <c r="Y8236">
        <v>4.1686429999999997E-2</v>
      </c>
      <c r="Z8236">
        <v>-1.64242E-2</v>
      </c>
      <c r="AA8236">
        <v>0.99899570000000004</v>
      </c>
      <c r="AB8236">
        <v>35</v>
      </c>
      <c r="AC8236">
        <v>0.67949999999999</v>
      </c>
      <c r="AD8236">
        <v>-1.119894673066</v>
      </c>
      <c r="AE8236">
        <v>39.385064999999997</v>
      </c>
      <c r="AF8236">
        <v>1.6555094065187801</v>
      </c>
      <c r="AG8236">
        <v>-1.119894673066</v>
      </c>
      <c r="AH8236">
        <v>39.324280840540197</v>
      </c>
      <c r="AI8236">
        <v>91.629811396042697</v>
      </c>
      <c r="AJ8236">
        <v>87.589333550653294</v>
      </c>
      <c r="AK8236">
        <v>39.375042083780798</v>
      </c>
      <c r="AL8236">
        <v>93.871825390344995</v>
      </c>
      <c r="AM8236">
        <v>88.071883884499798</v>
      </c>
      <c r="AN8236">
        <v>0.99999997793698003</v>
      </c>
    </row>
    <row r="8237" spans="1:40" x14ac:dyDescent="0.25">
      <c r="A8237" t="str">
        <f>"20190303155010112"</f>
        <v>20190303155010112</v>
      </c>
      <c r="B8237" t="str">
        <f>"1551599410108503"</f>
        <v>1551599410108503</v>
      </c>
      <c r="C8237" t="s">
        <v>40</v>
      </c>
      <c r="D8237">
        <v>5.0237910000000001</v>
      </c>
      <c r="E8237">
        <v>0.50282850000000001</v>
      </c>
      <c r="F8237" t="s">
        <v>41</v>
      </c>
      <c r="G8237">
        <v>-187.59299999999999</v>
      </c>
      <c r="H8237" s="1">
        <v>-2.0098900000000002E-6</v>
      </c>
      <c r="I8237">
        <v>43.322629999999997</v>
      </c>
      <c r="J8237">
        <v>-188.25710000000001</v>
      </c>
      <c r="K8237">
        <v>1.11981</v>
      </c>
      <c r="L8237">
        <v>5.8188779999999998</v>
      </c>
      <c r="M8237">
        <v>-2.428636E-2</v>
      </c>
      <c r="N8237">
        <v>-1.161922E-2</v>
      </c>
      <c r="O8237">
        <v>0.99963749999999996</v>
      </c>
      <c r="P8237">
        <v>9.8103300000000008E-3</v>
      </c>
      <c r="Q8237">
        <v>-8.0893989999999999E-2</v>
      </c>
      <c r="R8237">
        <v>0.99667439999999996</v>
      </c>
      <c r="S8237">
        <v>5.2032469999999997E-2</v>
      </c>
      <c r="T8237">
        <v>-8.8826180000000005E-2</v>
      </c>
      <c r="U8237">
        <v>3.0020449999999999</v>
      </c>
      <c r="V8237">
        <v>3.3942060000000003E-2</v>
      </c>
      <c r="W8237">
        <v>-6.9349709999999995E-2</v>
      </c>
      <c r="X8237">
        <v>0.99701479999999998</v>
      </c>
      <c r="Y8237">
        <v>4.1596229999999998E-2</v>
      </c>
      <c r="Z8237">
        <v>-1.7928940000000001E-2</v>
      </c>
      <c r="AA8237">
        <v>0.99897360000000002</v>
      </c>
      <c r="AB8237">
        <v>35</v>
      </c>
      <c r="AC8237">
        <v>0.66410000000001901</v>
      </c>
      <c r="AD8237">
        <v>-1.11981200989</v>
      </c>
      <c r="AE8237">
        <v>37.503751999999999</v>
      </c>
      <c r="AF8237">
        <v>1.57339291803852</v>
      </c>
      <c r="AG8237">
        <v>-1.11981200989</v>
      </c>
      <c r="AH8237">
        <v>37.443187212410997</v>
      </c>
      <c r="AI8237">
        <v>91.711522652473803</v>
      </c>
      <c r="AJ8237">
        <v>87.593800726917905</v>
      </c>
      <c r="AK8237">
        <v>37.492956843061698</v>
      </c>
      <c r="AL8237">
        <v>93.976637661488596</v>
      </c>
      <c r="AM8237">
        <v>88.050193428342098</v>
      </c>
      <c r="AN8237">
        <v>0.99999997856658296</v>
      </c>
    </row>
    <row r="8238" spans="1:40" x14ac:dyDescent="0.25">
      <c r="A8238" t="str">
        <f>"20190303155010134"</f>
        <v>20190303155010134</v>
      </c>
      <c r="B8238" t="str">
        <f>"1551599410128999"</f>
        <v>1551599410128999</v>
      </c>
      <c r="C8238" t="s">
        <v>40</v>
      </c>
      <c r="D8238">
        <v>5.0206790000000003</v>
      </c>
      <c r="E8238">
        <v>0.50289779999999995</v>
      </c>
      <c r="F8238" t="s">
        <v>41</v>
      </c>
      <c r="G8238">
        <v>-187.5966</v>
      </c>
      <c r="H8238" s="1">
        <v>-1.2395350000000001E-6</v>
      </c>
      <c r="I8238">
        <v>41.41133</v>
      </c>
      <c r="J8238">
        <v>-188.2655</v>
      </c>
      <c r="K8238">
        <v>1.119715</v>
      </c>
      <c r="L8238">
        <v>6.1888730000000001</v>
      </c>
      <c r="M8238">
        <v>-2.3638590000000001E-2</v>
      </c>
      <c r="N8238">
        <v>-1.150899E-2</v>
      </c>
      <c r="O8238">
        <v>0.9996543</v>
      </c>
      <c r="P8238">
        <v>1.033096E-2</v>
      </c>
      <c r="Q8238">
        <v>-8.3079490000000006E-2</v>
      </c>
      <c r="R8238">
        <v>0.99648930000000002</v>
      </c>
      <c r="S8238">
        <v>5.5709839999999997E-2</v>
      </c>
      <c r="T8238">
        <v>-9.4442730000000003E-2</v>
      </c>
      <c r="U8238">
        <v>3.0018009999999999</v>
      </c>
      <c r="V8238">
        <v>3.3798630000000003E-2</v>
      </c>
      <c r="W8238">
        <v>-7.1652350000000004E-2</v>
      </c>
      <c r="X8238">
        <v>0.99685690000000005</v>
      </c>
      <c r="Y8238">
        <v>4.217241E-2</v>
      </c>
      <c r="Z8238">
        <v>-1.990869E-2</v>
      </c>
      <c r="AA8238">
        <v>0.99891200000000002</v>
      </c>
      <c r="AB8238">
        <v>35</v>
      </c>
      <c r="AC8238">
        <v>0.66890000000000704</v>
      </c>
      <c r="AD8238">
        <v>-1.119716239535</v>
      </c>
      <c r="AE8238">
        <v>35.222456999999999</v>
      </c>
      <c r="AF8238">
        <v>1.4998622436697</v>
      </c>
      <c r="AG8238">
        <v>-1.119716239535</v>
      </c>
      <c r="AH8238">
        <v>35.161279603003798</v>
      </c>
      <c r="AI8238">
        <v>91.822320248323905</v>
      </c>
      <c r="AJ8238">
        <v>87.557435007927793</v>
      </c>
      <c r="AK8238">
        <v>35.211062672513499</v>
      </c>
      <c r="AL8238">
        <v>94.108898086558</v>
      </c>
      <c r="AM8238">
        <v>88.058119160370296</v>
      </c>
      <c r="AN8238">
        <v>1.0000000428639999</v>
      </c>
    </row>
    <row r="8239" spans="1:40" x14ac:dyDescent="0.25">
      <c r="A8239" t="str">
        <f>"20190303155010168"</f>
        <v>20190303155010168</v>
      </c>
      <c r="B8239" t="str">
        <f>"1551599410159254"</f>
        <v>1551599410159254</v>
      </c>
      <c r="C8239" t="s">
        <v>40</v>
      </c>
      <c r="D8239">
        <v>5.0469660000000003</v>
      </c>
      <c r="E8239">
        <v>0.50298759999999998</v>
      </c>
      <c r="F8239" t="s">
        <v>41</v>
      </c>
      <c r="G8239">
        <v>-187.6283</v>
      </c>
      <c r="H8239" s="1">
        <v>-4.5932990000000003E-6</v>
      </c>
      <c r="I8239">
        <v>39.359209999999997</v>
      </c>
      <c r="J8239">
        <v>-188.27670000000001</v>
      </c>
      <c r="K8239">
        <v>1.119613</v>
      </c>
      <c r="L8239">
        <v>6.7064209999999997</v>
      </c>
      <c r="M8239">
        <v>-2.2606890000000001E-2</v>
      </c>
      <c r="N8239">
        <v>-1.136731E-2</v>
      </c>
      <c r="O8239">
        <v>0.99967980000000001</v>
      </c>
      <c r="P8239">
        <v>1.0885509999999999E-2</v>
      </c>
      <c r="Q8239">
        <v>-8.5501670000000002E-2</v>
      </c>
      <c r="R8239">
        <v>0.99627860000000001</v>
      </c>
      <c r="S8239">
        <v>5.7662959999999999E-2</v>
      </c>
      <c r="T8239">
        <v>-0.10132149999999999</v>
      </c>
      <c r="U8239">
        <v>3.0015260000000001</v>
      </c>
      <c r="V8239">
        <v>3.3300429999999999E-2</v>
      </c>
      <c r="W8239">
        <v>-7.4224709999999999E-2</v>
      </c>
      <c r="X8239">
        <v>0.99668540000000005</v>
      </c>
      <c r="Y8239">
        <v>4.1791439999999999E-2</v>
      </c>
      <c r="Z8239">
        <v>-2.2341179999999999E-2</v>
      </c>
      <c r="AA8239">
        <v>0.9988766</v>
      </c>
      <c r="AB8239">
        <v>35</v>
      </c>
      <c r="AC8239">
        <v>0.64840000000000897</v>
      </c>
      <c r="AD8239">
        <v>-1.119617593299</v>
      </c>
      <c r="AE8239">
        <v>32.652788999999999</v>
      </c>
      <c r="AF8239">
        <v>1.3848324631001301</v>
      </c>
      <c r="AG8239">
        <v>-1.119617593299</v>
      </c>
      <c r="AH8239">
        <v>32.591480738322304</v>
      </c>
      <c r="AI8239">
        <v>91.965740165325698</v>
      </c>
      <c r="AJ8239">
        <v>87.566929944087207</v>
      </c>
      <c r="AK8239">
        <v>32.640096832309098</v>
      </c>
      <c r="AL8239">
        <v>94.256677267210094</v>
      </c>
      <c r="AM8239">
        <v>88.086392547980907</v>
      </c>
      <c r="AN8239">
        <v>1.0000000063929599</v>
      </c>
    </row>
    <row r="8240" spans="1:40" x14ac:dyDescent="0.25">
      <c r="A8240" t="str">
        <f>"20190303155010190"</f>
        <v>20190303155010190</v>
      </c>
      <c r="B8240" t="str">
        <f>"1551599410179122"</f>
        <v>1551599410179122</v>
      </c>
      <c r="C8240" t="s">
        <v>40</v>
      </c>
      <c r="D8240">
        <v>5.0801860000000003</v>
      </c>
      <c r="E8240">
        <v>0.5030597</v>
      </c>
      <c r="F8240" t="s">
        <v>41</v>
      </c>
      <c r="G8240">
        <v>-187.66130000000001</v>
      </c>
      <c r="H8240" s="1">
        <v>-3.7866170000000001E-6</v>
      </c>
      <c r="I8240">
        <v>37.492449999999998</v>
      </c>
      <c r="J8240">
        <v>-188.28399999999999</v>
      </c>
      <c r="K8240">
        <v>1.119551</v>
      </c>
      <c r="L8240">
        <v>7.0613710000000003</v>
      </c>
      <c r="M8240">
        <v>-2.1830229999999999E-2</v>
      </c>
      <c r="N8240">
        <v>-1.1280399999999999E-2</v>
      </c>
      <c r="O8240">
        <v>0.99969799999999998</v>
      </c>
      <c r="P8240">
        <v>1.183442E-2</v>
      </c>
      <c r="Q8240">
        <v>-8.5937819999999998E-2</v>
      </c>
      <c r="R8240">
        <v>0.99623019999999995</v>
      </c>
      <c r="S8240">
        <v>5.9997559999999998E-2</v>
      </c>
      <c r="T8240">
        <v>-0.1091464</v>
      </c>
      <c r="U8240">
        <v>3.0011899999999998</v>
      </c>
      <c r="V8240">
        <v>3.3462899999999997E-2</v>
      </c>
      <c r="W8240">
        <v>-7.4753E-2</v>
      </c>
      <c r="X8240">
        <v>0.99664039999999998</v>
      </c>
      <c r="Y8240">
        <v>4.1792250000000003E-2</v>
      </c>
      <c r="Z8240">
        <v>-2.503346E-2</v>
      </c>
      <c r="AA8240">
        <v>0.9988127</v>
      </c>
      <c r="AB8240">
        <v>35</v>
      </c>
      <c r="AC8240">
        <v>0.62270000000000802</v>
      </c>
      <c r="AD8240">
        <v>-1.1195547866169999</v>
      </c>
      <c r="AE8240">
        <v>30.431079</v>
      </c>
      <c r="AF8240">
        <v>1.28517260089916</v>
      </c>
      <c r="AG8240">
        <v>-1.1195547866169999</v>
      </c>
      <c r="AH8240">
        <v>30.369144341981499</v>
      </c>
      <c r="AI8240">
        <v>92.109359618124699</v>
      </c>
      <c r="AJ8240">
        <v>87.576782010416693</v>
      </c>
      <c r="AK8240">
        <v>30.416936065265499</v>
      </c>
      <c r="AL8240">
        <v>94.287030700737503</v>
      </c>
      <c r="AM8240">
        <v>88.076976451605603</v>
      </c>
      <c r="AN8240">
        <v>0.99999993179878199</v>
      </c>
    </row>
    <row r="8241" spans="1:40" x14ac:dyDescent="0.25">
      <c r="A8241" t="str">
        <f>"20190303155010211"</f>
        <v>20190303155010211</v>
      </c>
      <c r="B8241" t="str">
        <f>"1551599410198643"</f>
        <v>1551599410198643</v>
      </c>
      <c r="C8241" t="s">
        <v>40</v>
      </c>
      <c r="D8241">
        <v>5.1068629999999997</v>
      </c>
      <c r="E8241">
        <v>0.50313319999999995</v>
      </c>
      <c r="F8241" t="s">
        <v>41</v>
      </c>
      <c r="G8241">
        <v>-187.6395</v>
      </c>
      <c r="H8241" s="1">
        <v>-3.7518799999999999E-6</v>
      </c>
      <c r="I8241">
        <v>37.402470000000001</v>
      </c>
      <c r="J8241">
        <v>-188.29050000000001</v>
      </c>
      <c r="K8241">
        <v>1.1195029999999999</v>
      </c>
      <c r="L8241">
        <v>7.3879999999999999</v>
      </c>
      <c r="M8241">
        <v>-2.1076060000000001E-2</v>
      </c>
      <c r="N8241">
        <v>-1.120816E-2</v>
      </c>
      <c r="O8241">
        <v>0.99971500000000002</v>
      </c>
      <c r="P8241">
        <v>1.312789E-2</v>
      </c>
      <c r="Q8241">
        <v>-8.6192060000000001E-2</v>
      </c>
      <c r="R8241">
        <v>0.99619199999999997</v>
      </c>
      <c r="S8241">
        <v>6.3751219999999997E-2</v>
      </c>
      <c r="T8241">
        <v>-0.11073520000000001</v>
      </c>
      <c r="U8241">
        <v>3.0010379999999999</v>
      </c>
      <c r="V8241">
        <v>3.399493E-2</v>
      </c>
      <c r="W8241">
        <v>-7.5084460000000006E-2</v>
      </c>
      <c r="X8241">
        <v>0.99659750000000003</v>
      </c>
      <c r="Y8241">
        <v>4.22878E-2</v>
      </c>
      <c r="Z8241">
        <v>-2.5635580000000002E-2</v>
      </c>
      <c r="AA8241">
        <v>0.99877660000000001</v>
      </c>
      <c r="AB8241">
        <v>35</v>
      </c>
      <c r="AC8241">
        <v>0.65100000000001002</v>
      </c>
      <c r="AD8241">
        <v>-1.1195067518799999</v>
      </c>
      <c r="AE8241">
        <v>30.014469999999999</v>
      </c>
      <c r="AF8241">
        <v>1.2816996444198701</v>
      </c>
      <c r="AG8241">
        <v>-1.1195067518799999</v>
      </c>
      <c r="AH8241">
        <v>29.952430357396199</v>
      </c>
      <c r="AI8241">
        <v>92.138544489238996</v>
      </c>
      <c r="AJ8241">
        <v>87.549741171680196</v>
      </c>
      <c r="AK8241">
        <v>30.000735551994101</v>
      </c>
      <c r="AL8241">
        <v>94.306075387192806</v>
      </c>
      <c r="AM8241">
        <v>88.046341583853305</v>
      </c>
      <c r="AN8241">
        <v>0.99999995420272203</v>
      </c>
    </row>
    <row r="8242" spans="1:40" x14ac:dyDescent="0.25">
      <c r="A8242" t="str">
        <f>"20190303155010237"</f>
        <v>20190303155010237</v>
      </c>
      <c r="B8242" t="str">
        <f>"1551599410228899"</f>
        <v>1551599410228899</v>
      </c>
      <c r="C8242" t="s">
        <v>40</v>
      </c>
      <c r="D8242">
        <v>5.0456960000000004</v>
      </c>
      <c r="E8242">
        <v>0.50322999999999996</v>
      </c>
      <c r="F8242" t="s">
        <v>41</v>
      </c>
      <c r="G8242">
        <v>-187.6061</v>
      </c>
      <c r="H8242" s="1">
        <v>-3.793393E-6</v>
      </c>
      <c r="I8242">
        <v>37.485430000000001</v>
      </c>
      <c r="J8242">
        <v>-188.29830000000001</v>
      </c>
      <c r="K8242">
        <v>1.1194569999999999</v>
      </c>
      <c r="L8242">
        <v>7.8014830000000002</v>
      </c>
      <c r="M8242">
        <v>-2.007712E-2</v>
      </c>
      <c r="N8242">
        <v>-1.112694E-2</v>
      </c>
      <c r="O8242">
        <v>0.99973650000000003</v>
      </c>
      <c r="P8242">
        <v>1.4438919999999999E-2</v>
      </c>
      <c r="Q8242">
        <v>-8.661452E-2</v>
      </c>
      <c r="R8242">
        <v>0.9961373</v>
      </c>
      <c r="S8242">
        <v>6.8237300000000001E-2</v>
      </c>
      <c r="T8242">
        <v>-0.11162229999999999</v>
      </c>
      <c r="U8242">
        <v>3.0009160000000001</v>
      </c>
      <c r="V8242">
        <v>3.4299499999999997E-2</v>
      </c>
      <c r="W8242">
        <v>-7.5593129999999994E-2</v>
      </c>
      <c r="X8242">
        <v>0.99654869999999995</v>
      </c>
      <c r="Y8242">
        <v>4.2782349999999997E-2</v>
      </c>
      <c r="Z8242">
        <v>-2.601326E-2</v>
      </c>
      <c r="AA8242">
        <v>0.99874569999999996</v>
      </c>
      <c r="AB8242">
        <v>35</v>
      </c>
      <c r="AC8242">
        <v>0.69220000000001303</v>
      </c>
      <c r="AD8242">
        <v>-1.1194607933930001</v>
      </c>
      <c r="AE8242">
        <v>29.6839469999999</v>
      </c>
      <c r="AF8242">
        <v>1.28623718020316</v>
      </c>
      <c r="AG8242">
        <v>-1.1194607933930001</v>
      </c>
      <c r="AH8242">
        <v>29.621957959314301</v>
      </c>
      <c r="AI8242">
        <v>92.162232981399796</v>
      </c>
      <c r="AJ8242">
        <v>87.513678951703497</v>
      </c>
      <c r="AK8242">
        <v>29.670995802215099</v>
      </c>
      <c r="AL8242">
        <v>94.335302707262798</v>
      </c>
      <c r="AM8242">
        <v>88.0287555140644</v>
      </c>
      <c r="AN8242">
        <v>1.0000000442375601</v>
      </c>
    </row>
    <row r="8243" spans="1:40" x14ac:dyDescent="0.25">
      <c r="A8243" t="str">
        <f>"20190303155010259"</f>
        <v>20190303155010259</v>
      </c>
      <c r="B8243" t="str">
        <f>"1551599410249395"</f>
        <v>1551599410249395</v>
      </c>
      <c r="C8243" t="s">
        <v>40</v>
      </c>
      <c r="D8243">
        <v>5.056991</v>
      </c>
      <c r="E8243">
        <v>0.50318580000000002</v>
      </c>
      <c r="F8243" t="s">
        <v>41</v>
      </c>
      <c r="G8243">
        <v>-187.57650000000001</v>
      </c>
      <c r="H8243" s="1">
        <v>-3.8132449999999999E-6</v>
      </c>
      <c r="I8243">
        <v>37.519469999999998</v>
      </c>
      <c r="J8243">
        <v>-188.30449999999999</v>
      </c>
      <c r="K8243">
        <v>1.1194219999999999</v>
      </c>
      <c r="L8243">
        <v>8.1508789999999998</v>
      </c>
      <c r="M8243">
        <v>-1.920241E-2</v>
      </c>
      <c r="N8243">
        <v>-1.1067230000000001E-2</v>
      </c>
      <c r="O8243">
        <v>0.99975440000000004</v>
      </c>
      <c r="P8243">
        <v>1.5923300000000001E-2</v>
      </c>
      <c r="Q8243">
        <v>-8.7170289999999997E-2</v>
      </c>
      <c r="R8243">
        <v>0.99606620000000001</v>
      </c>
      <c r="S8243">
        <v>7.2875980000000007E-2</v>
      </c>
      <c r="T8243">
        <v>-0.1130371</v>
      </c>
      <c r="U8243">
        <v>3.0007630000000001</v>
      </c>
      <c r="V8243">
        <v>3.4903539999999997E-2</v>
      </c>
      <c r="W8243">
        <v>-7.6213169999999997E-2</v>
      </c>
      <c r="X8243">
        <v>0.99648049999999999</v>
      </c>
      <c r="Y8243">
        <v>4.3451820000000002E-2</v>
      </c>
      <c r="Z8243">
        <v>-2.6544760000000001E-2</v>
      </c>
      <c r="AA8243">
        <v>0.9987028</v>
      </c>
      <c r="AB8243">
        <v>35</v>
      </c>
      <c r="AC8243">
        <v>0.72799999999998</v>
      </c>
      <c r="AD8243">
        <v>-1.1194258132449999</v>
      </c>
      <c r="AE8243">
        <v>29.368590999999999</v>
      </c>
      <c r="AF8243">
        <v>1.2899749918705301</v>
      </c>
      <c r="AG8243">
        <v>-1.1194258132449999</v>
      </c>
      <c r="AH8243">
        <v>29.306642684672699</v>
      </c>
      <c r="AI8243">
        <v>92.185349502011604</v>
      </c>
      <c r="AJ8243">
        <v>87.479668806329997</v>
      </c>
      <c r="AK8243">
        <v>29.356369923375901</v>
      </c>
      <c r="AL8243">
        <v>94.370931156433002</v>
      </c>
      <c r="AM8243">
        <v>87.993931355076299</v>
      </c>
      <c r="AN8243">
        <v>1.00000004563311</v>
      </c>
    </row>
    <row r="8244" spans="1:40" x14ac:dyDescent="0.25">
      <c r="A8244" t="str">
        <f>"20190303155010279"</f>
        <v>20190303155010279</v>
      </c>
      <c r="B8244" t="str">
        <f>"1551599410268915"</f>
        <v>1551599410268915</v>
      </c>
      <c r="C8244" t="s">
        <v>40</v>
      </c>
      <c r="D8244">
        <v>5.0184579999999999</v>
      </c>
      <c r="E8244">
        <v>0.50314959999999997</v>
      </c>
      <c r="F8244" t="s">
        <v>41</v>
      </c>
      <c r="G8244">
        <v>-187.55529999999999</v>
      </c>
      <c r="H8244" s="1">
        <v>-3.7664020000000001E-6</v>
      </c>
      <c r="I8244">
        <v>37.401479999999999</v>
      </c>
      <c r="J8244">
        <v>-188.3098</v>
      </c>
      <c r="K8244">
        <v>1.119405</v>
      </c>
      <c r="L8244">
        <v>8.4665529999999993</v>
      </c>
      <c r="M8244">
        <v>-1.8396220000000001E-2</v>
      </c>
      <c r="N8244">
        <v>-1.1016349999999999E-2</v>
      </c>
      <c r="O8244">
        <v>0.99977009999999999</v>
      </c>
      <c r="P8244">
        <v>1.6970800000000001E-2</v>
      </c>
      <c r="Q8244">
        <v>-8.7782029999999997E-2</v>
      </c>
      <c r="R8244">
        <v>0.99599510000000002</v>
      </c>
      <c r="S8244">
        <v>7.685852E-2</v>
      </c>
      <c r="T8244">
        <v>-0.1148328</v>
      </c>
      <c r="U8244">
        <v>3.0005799999999998</v>
      </c>
      <c r="V8244">
        <v>3.5140739999999997E-2</v>
      </c>
      <c r="W8244">
        <v>-7.6878920000000003E-2</v>
      </c>
      <c r="X8244">
        <v>0.996421</v>
      </c>
      <c r="Y8244">
        <v>4.3971719999999999E-2</v>
      </c>
      <c r="Z8244">
        <v>-2.7194530000000001E-2</v>
      </c>
      <c r="AA8244">
        <v>0.99866259999999996</v>
      </c>
      <c r="AB8244">
        <v>35</v>
      </c>
      <c r="AC8244">
        <v>0.75450000000000705</v>
      </c>
      <c r="AD8244">
        <v>-1.119408766402</v>
      </c>
      <c r="AE8244">
        <v>28.934926999999998</v>
      </c>
      <c r="AF8244">
        <v>1.28477627208617</v>
      </c>
      <c r="AG8244">
        <v>-1.119408766402</v>
      </c>
      <c r="AH8244">
        <v>28.8729645186875</v>
      </c>
      <c r="AI8244">
        <v>92.2180605474678</v>
      </c>
      <c r="AJ8244">
        <v>87.452158723827793</v>
      </c>
      <c r="AK8244">
        <v>28.923205322941001</v>
      </c>
      <c r="AL8244">
        <v>94.409188157513398</v>
      </c>
      <c r="AM8244">
        <v>87.980189117973396</v>
      </c>
      <c r="AN8244">
        <v>1.00000002459455</v>
      </c>
    </row>
    <row r="8245" spans="1:40" x14ac:dyDescent="0.25">
      <c r="A8245" t="str">
        <f>"20190303155010304"</f>
        <v>20190303155010304</v>
      </c>
      <c r="B8245" t="str">
        <f>"1551599410299171"</f>
        <v>1551599410299171</v>
      </c>
      <c r="C8245" t="s">
        <v>40</v>
      </c>
      <c r="D8245">
        <v>5.0549200000000001</v>
      </c>
      <c r="E8245">
        <v>0.50308469999999905</v>
      </c>
      <c r="F8245" t="s">
        <v>41</v>
      </c>
      <c r="G8245">
        <v>-187.5438</v>
      </c>
      <c r="H8245" s="1">
        <v>-3.7015009999999999E-6</v>
      </c>
      <c r="I8245">
        <v>37.245449999999998</v>
      </c>
      <c r="J8245">
        <v>-188.31610000000001</v>
      </c>
      <c r="K8245">
        <v>1.119381</v>
      </c>
      <c r="L8245">
        <v>8.8635559999999902</v>
      </c>
      <c r="M8245">
        <v>-1.7370179999999999E-2</v>
      </c>
      <c r="N8245">
        <v>-1.0950379999999999E-2</v>
      </c>
      <c r="O8245">
        <v>0.99978920000000004</v>
      </c>
      <c r="P8245">
        <v>1.813559E-2</v>
      </c>
      <c r="Q8245">
        <v>-8.7991399999999997E-2</v>
      </c>
      <c r="R8245">
        <v>0.99595610000000001</v>
      </c>
      <c r="S8245">
        <v>7.9864500000000005E-2</v>
      </c>
      <c r="T8245">
        <v>-0.116707199999999</v>
      </c>
      <c r="U8245">
        <v>3.0004270000000002</v>
      </c>
      <c r="V8245">
        <v>3.5277820000000001E-2</v>
      </c>
      <c r="W8245">
        <v>-7.7156649999999993E-2</v>
      </c>
      <c r="X8245">
        <v>0.99639469999999997</v>
      </c>
      <c r="Y8245">
        <v>4.3947E-2</v>
      </c>
      <c r="Z8245">
        <v>-2.7886060000000001E-2</v>
      </c>
      <c r="AA8245">
        <v>0.99864459999999999</v>
      </c>
      <c r="AB8245">
        <v>36</v>
      </c>
      <c r="AC8245">
        <v>0.77230000000000099</v>
      </c>
      <c r="AD8245">
        <v>-1.1193847015009999</v>
      </c>
      <c r="AE8245">
        <v>28.381893999999999</v>
      </c>
      <c r="AF8245">
        <v>1.2632480601481799</v>
      </c>
      <c r="AG8245">
        <v>-1.1193847015009999</v>
      </c>
      <c r="AH8245">
        <v>28.320175587935498</v>
      </c>
      <c r="AI8245">
        <v>92.261251487632606</v>
      </c>
      <c r="AJ8245">
        <v>87.445960899898907</v>
      </c>
      <c r="AK8245">
        <v>28.370427615792501</v>
      </c>
      <c r="AL8245">
        <v>94.425148270916196</v>
      </c>
      <c r="AM8245">
        <v>87.972263155071204</v>
      </c>
      <c r="AN8245">
        <v>1.00000003570563</v>
      </c>
    </row>
    <row r="8246" spans="1:40" x14ac:dyDescent="0.25">
      <c r="A8246" t="str">
        <f>"20190303155010323"</f>
        <v>20190303155010323</v>
      </c>
      <c r="B8246" t="str">
        <f>"1551599410318691"</f>
        <v>1551599410318691</v>
      </c>
      <c r="C8246" t="s">
        <v>40</v>
      </c>
      <c r="D8246">
        <v>5.0459389999999997</v>
      </c>
      <c r="E8246">
        <v>0.50300199999999995</v>
      </c>
      <c r="F8246" t="s">
        <v>41</v>
      </c>
      <c r="G8246">
        <v>-187.52539999999999</v>
      </c>
      <c r="H8246" s="1">
        <v>-3.8078230000000002E-6</v>
      </c>
      <c r="I8246">
        <v>37.485689999999998</v>
      </c>
      <c r="J8246">
        <v>-188.32069999999999</v>
      </c>
      <c r="K8246">
        <v>1.1193610000000001</v>
      </c>
      <c r="L8246">
        <v>9.1694949999999995</v>
      </c>
      <c r="M8246">
        <v>-1.6575119999999999E-2</v>
      </c>
      <c r="N8246">
        <v>-1.089681E-2</v>
      </c>
      <c r="O8246">
        <v>0.9998032</v>
      </c>
      <c r="P8246">
        <v>1.8823469999999998E-2</v>
      </c>
      <c r="Q8246">
        <v>-8.8219809999999996E-2</v>
      </c>
      <c r="R8246">
        <v>0.99592320000000001</v>
      </c>
      <c r="S8246">
        <v>8.2885739999999999E-2</v>
      </c>
      <c r="T8246">
        <v>-0.1173391</v>
      </c>
      <c r="U8246">
        <v>3.000305</v>
      </c>
      <c r="V8246">
        <v>3.517E-2</v>
      </c>
      <c r="W8246">
        <v>-7.7439670000000002E-2</v>
      </c>
      <c r="X8246">
        <v>0.9963765</v>
      </c>
      <c r="Y8246">
        <v>4.4158240000000001E-2</v>
      </c>
      <c r="Z8246">
        <v>-2.815134E-2</v>
      </c>
      <c r="AA8246">
        <v>0.99862779999999995</v>
      </c>
      <c r="AB8246">
        <v>36</v>
      </c>
      <c r="AC8246">
        <v>0.79529999999999701</v>
      </c>
      <c r="AD8246">
        <v>-1.1193648078229901</v>
      </c>
      <c r="AE8246">
        <v>28.316195</v>
      </c>
      <c r="AF8246">
        <v>1.26259146223784</v>
      </c>
      <c r="AG8246">
        <v>-1.1193648078229901</v>
      </c>
      <c r="AH8246">
        <v>28.2550024995775</v>
      </c>
      <c r="AI8246">
        <v>92.266413592658097</v>
      </c>
      <c r="AJ8246">
        <v>87.441406373350702</v>
      </c>
      <c r="AK8246">
        <v>28.305340150308002</v>
      </c>
      <c r="AL8246">
        <v>94.441413030354596</v>
      </c>
      <c r="AM8246">
        <v>87.978418504974002</v>
      </c>
      <c r="AN8246">
        <v>0.99999998057097905</v>
      </c>
    </row>
    <row r="8247" spans="1:40" x14ac:dyDescent="0.25">
      <c r="A8247" t="str">
        <f>"20190303155010346"</f>
        <v>20190303155010346</v>
      </c>
      <c r="B8247" t="str">
        <f>"1551599410339187"</f>
        <v>1551599410339187</v>
      </c>
      <c r="C8247" t="s">
        <v>40</v>
      </c>
      <c r="D8247">
        <v>5.0596459999999999</v>
      </c>
      <c r="E8247">
        <v>0.50292550000000003</v>
      </c>
      <c r="F8247" t="s">
        <v>41</v>
      </c>
      <c r="G8247">
        <v>-187.52330000000001</v>
      </c>
      <c r="H8247" s="1">
        <v>-3.8597880000000004E-6</v>
      </c>
      <c r="I8247">
        <v>37.605939999999997</v>
      </c>
      <c r="J8247">
        <v>-188.32599999999999</v>
      </c>
      <c r="K8247">
        <v>1.1193470000000001</v>
      </c>
      <c r="L8247">
        <v>9.5475770000000004</v>
      </c>
      <c r="M8247">
        <v>-1.5590039999999999E-2</v>
      </c>
      <c r="N8247">
        <v>-1.083216E-2</v>
      </c>
      <c r="O8247">
        <v>0.99981980000000004</v>
      </c>
      <c r="P8247">
        <v>1.9462130000000001E-2</v>
      </c>
      <c r="Q8247">
        <v>-8.9060719999999996E-2</v>
      </c>
      <c r="R8247">
        <v>0.99583600000000005</v>
      </c>
      <c r="S8247">
        <v>8.4136959999999997E-2</v>
      </c>
      <c r="T8247">
        <v>-0.1180997</v>
      </c>
      <c r="U8247">
        <v>3.0002140000000002</v>
      </c>
      <c r="V8247">
        <v>3.4821869999999998E-2</v>
      </c>
      <c r="W8247">
        <v>-7.8346120000000005E-2</v>
      </c>
      <c r="X8247">
        <v>0.99631789999999998</v>
      </c>
      <c r="Y8247">
        <v>4.3590839999999999E-2</v>
      </c>
      <c r="Z8247">
        <v>-2.847127E-2</v>
      </c>
      <c r="AA8247">
        <v>0.99864370000000002</v>
      </c>
      <c r="AB8247">
        <v>36</v>
      </c>
      <c r="AC8247">
        <v>0.80269999999998698</v>
      </c>
      <c r="AD8247">
        <v>-1.119350859788</v>
      </c>
      <c r="AE8247">
        <v>28.058363</v>
      </c>
      <c r="AF8247">
        <v>1.2380902831702401</v>
      </c>
      <c r="AG8247">
        <v>-1.119350859788</v>
      </c>
      <c r="AH8247">
        <v>27.997915385863099</v>
      </c>
      <c r="AI8247">
        <v>92.287221274316906</v>
      </c>
      <c r="AJ8247">
        <v>87.467984232373794</v>
      </c>
      <c r="AK8247">
        <v>28.047621643386101</v>
      </c>
      <c r="AL8247">
        <v>94.493506901827303</v>
      </c>
      <c r="AM8247">
        <v>87.998295126619794</v>
      </c>
      <c r="AN8247">
        <v>1.00000001750488</v>
      </c>
    </row>
    <row r="8248" spans="1:40" x14ac:dyDescent="0.25">
      <c r="A8248" t="str">
        <f>"20190303155010370"</f>
        <v>20190303155010370</v>
      </c>
      <c r="B8248" t="str">
        <f>"1551599410359683"</f>
        <v>1551599410359683</v>
      </c>
      <c r="C8248" t="s">
        <v>40</v>
      </c>
      <c r="D8248">
        <v>5.0619730000000001</v>
      </c>
      <c r="E8248">
        <v>0.50283529999999999</v>
      </c>
      <c r="F8248" t="s">
        <v>41</v>
      </c>
      <c r="G8248">
        <v>-187.53299999999999</v>
      </c>
      <c r="H8248" s="1">
        <v>-3.7707190000000001E-6</v>
      </c>
      <c r="I8248">
        <v>37.402320000000003</v>
      </c>
      <c r="J8248">
        <v>-188.33080000000001</v>
      </c>
      <c r="K8248">
        <v>1.1193299999999999</v>
      </c>
      <c r="L8248">
        <v>9.9103089999999998</v>
      </c>
      <c r="M8248">
        <v>-1.4644539999999999E-2</v>
      </c>
      <c r="N8248">
        <v>-1.0773609999999999E-2</v>
      </c>
      <c r="O8248">
        <v>0.99983469999999997</v>
      </c>
      <c r="P8248">
        <v>1.9952979999999999E-2</v>
      </c>
      <c r="Q8248">
        <v>-8.8227230000000004E-2</v>
      </c>
      <c r="R8248">
        <v>0.99590049999999997</v>
      </c>
      <c r="S8248">
        <v>8.54187E-2</v>
      </c>
      <c r="T8248">
        <v>-0.1205596</v>
      </c>
      <c r="U8248">
        <v>3.000092</v>
      </c>
      <c r="V8248">
        <v>3.4371850000000002E-2</v>
      </c>
      <c r="W8248">
        <v>-7.7569990000000005E-2</v>
      </c>
      <c r="X8248">
        <v>0.99639420000000001</v>
      </c>
      <c r="Y8248">
        <v>4.3072819999999998E-2</v>
      </c>
      <c r="Z8248">
        <v>-2.9350190000000002E-2</v>
      </c>
      <c r="AA8248">
        <v>0.99864070000000005</v>
      </c>
      <c r="AB8248">
        <v>36</v>
      </c>
      <c r="AC8248">
        <v>0.79780000000002305</v>
      </c>
      <c r="AD8248">
        <v>-1.1193337707190001</v>
      </c>
      <c r="AE8248">
        <v>27.492011000000002</v>
      </c>
      <c r="AF8248">
        <v>1.1983608141808599</v>
      </c>
      <c r="AG8248">
        <v>-1.1193337707190001</v>
      </c>
      <c r="AH8248">
        <v>27.4319427077371</v>
      </c>
      <c r="AI8248">
        <v>92.334378504497195</v>
      </c>
      <c r="AJ8248">
        <v>87.498631765282198</v>
      </c>
      <c r="AK8248">
        <v>27.480910782792598</v>
      </c>
      <c r="AL8248">
        <v>94.448902415688494</v>
      </c>
      <c r="AM8248">
        <v>88.024294679308895</v>
      </c>
      <c r="AN8248">
        <v>0.99999996460732998</v>
      </c>
    </row>
    <row r="8249" spans="1:40" x14ac:dyDescent="0.25">
      <c r="A8249" t="str">
        <f>"20190303155010391"</f>
        <v>20190303155010391</v>
      </c>
      <c r="B8249" t="str">
        <f>"1551599410388963"</f>
        <v>1551599410388963</v>
      </c>
      <c r="C8249" t="s">
        <v>40</v>
      </c>
      <c r="D8249">
        <v>5.1289829999999998</v>
      </c>
      <c r="E8249">
        <v>0.50272070000000002</v>
      </c>
      <c r="F8249" t="s">
        <v>41</v>
      </c>
      <c r="G8249">
        <v>-187.5127</v>
      </c>
      <c r="H8249" s="1">
        <v>-4.1787030000000002E-6</v>
      </c>
      <c r="I8249">
        <v>38.344970000000004</v>
      </c>
      <c r="J8249">
        <v>-188.33519999999999</v>
      </c>
      <c r="K8249">
        <v>1.1193200000000001</v>
      </c>
      <c r="L8249">
        <v>10.26596</v>
      </c>
      <c r="M8249">
        <v>-1.3717989999999999E-2</v>
      </c>
      <c r="N8249">
        <v>-1.0717610000000001E-2</v>
      </c>
      <c r="O8249">
        <v>0.99984850000000003</v>
      </c>
      <c r="P8249">
        <v>2.006579E-2</v>
      </c>
      <c r="Q8249">
        <v>-8.7763569999999999E-2</v>
      </c>
      <c r="R8249">
        <v>0.99593920000000002</v>
      </c>
      <c r="S8249">
        <v>8.6318969999999995E-2</v>
      </c>
      <c r="T8249">
        <v>-0.1181014</v>
      </c>
      <c r="U8249">
        <v>3.0001530000000001</v>
      </c>
      <c r="V8249">
        <v>3.3561859999999999E-2</v>
      </c>
      <c r="W8249">
        <v>-7.7160399999999907E-2</v>
      </c>
      <c r="X8249">
        <v>0.99645360000000005</v>
      </c>
      <c r="Y8249">
        <v>4.2446869999999998E-2</v>
      </c>
      <c r="Z8249">
        <v>-2.8589570000000002E-2</v>
      </c>
      <c r="AA8249">
        <v>0.99868959999999996</v>
      </c>
      <c r="AB8249">
        <v>36</v>
      </c>
      <c r="AC8249">
        <v>0.82249999999999002</v>
      </c>
      <c r="AD8249">
        <v>-1.1193241787029999</v>
      </c>
      <c r="AE8249">
        <v>28.07901</v>
      </c>
      <c r="AF8249">
        <v>1.2057179356116701</v>
      </c>
      <c r="AG8249">
        <v>-1.1193241787029999</v>
      </c>
      <c r="AH8249">
        <v>28.020594836143701</v>
      </c>
      <c r="AI8249">
        <v>92.285435979753501</v>
      </c>
      <c r="AJ8249">
        <v>87.536099430569195</v>
      </c>
      <c r="AK8249">
        <v>28.068850659202401</v>
      </c>
      <c r="AL8249">
        <v>94.4253641465139</v>
      </c>
      <c r="AM8249">
        <v>88.070932481934193</v>
      </c>
      <c r="AN8249">
        <v>0.99999995136388797</v>
      </c>
    </row>
    <row r="8250" spans="1:40" x14ac:dyDescent="0.25">
      <c r="A8250" t="str">
        <f>"20190303155010413"</f>
        <v>20190303155010413</v>
      </c>
      <c r="B8250" t="str">
        <f>"1551599410408483"</f>
        <v>1551599410408483</v>
      </c>
      <c r="C8250" t="s">
        <v>40</v>
      </c>
      <c r="D8250">
        <v>5.0908300000000004</v>
      </c>
      <c r="E8250">
        <v>0.50263530000000001</v>
      </c>
      <c r="F8250" t="s">
        <v>41</v>
      </c>
      <c r="G8250">
        <v>-187.51419999999999</v>
      </c>
      <c r="H8250" s="1">
        <v>-4.4800539999999997E-6</v>
      </c>
      <c r="I8250">
        <v>39.048070000000003</v>
      </c>
      <c r="J8250">
        <v>-188.339</v>
      </c>
      <c r="K8250">
        <v>1.1193139999999999</v>
      </c>
      <c r="L8250">
        <v>10.60309</v>
      </c>
      <c r="M8250">
        <v>-1.284071E-2</v>
      </c>
      <c r="N8250">
        <v>-1.0664939999999999E-2</v>
      </c>
      <c r="O8250">
        <v>0.99986070000000005</v>
      </c>
      <c r="P8250">
        <v>2.054243E-2</v>
      </c>
      <c r="Q8250">
        <v>-8.7167930000000005E-2</v>
      </c>
      <c r="R8250">
        <v>0.99598180000000003</v>
      </c>
      <c r="S8250">
        <v>8.5571289999999994E-2</v>
      </c>
      <c r="T8250">
        <v>-0.11667719999999999</v>
      </c>
      <c r="U8250">
        <v>3.0002140000000002</v>
      </c>
      <c r="V8250">
        <v>3.316537E-2</v>
      </c>
      <c r="W8250">
        <v>-7.6616290000000004E-2</v>
      </c>
      <c r="X8250">
        <v>0.99650890000000003</v>
      </c>
      <c r="Y8250">
        <v>4.1321780000000002E-2</v>
      </c>
      <c r="Z8250">
        <v>-2.8169920000000001E-2</v>
      </c>
      <c r="AA8250">
        <v>0.99874870000000004</v>
      </c>
      <c r="AB8250">
        <v>36</v>
      </c>
      <c r="AC8250">
        <v>0.82480000000003795</v>
      </c>
      <c r="AD8250">
        <v>-1.1193184800539999</v>
      </c>
      <c r="AE8250">
        <v>28.444979999999902</v>
      </c>
      <c r="AF8250">
        <v>1.1881682275383501</v>
      </c>
      <c r="AG8250">
        <v>-1.1193184800539999</v>
      </c>
      <c r="AH8250">
        <v>28.388122409640602</v>
      </c>
      <c r="AI8250">
        <v>92.255979029822598</v>
      </c>
      <c r="AJ8250">
        <v>87.603317567948693</v>
      </c>
      <c r="AK8250">
        <v>28.4350155889083</v>
      </c>
      <c r="AL8250">
        <v>94.394096194242806</v>
      </c>
      <c r="AM8250">
        <v>88.093810716103903</v>
      </c>
      <c r="AN8250">
        <v>0.99999999271990503</v>
      </c>
    </row>
    <row r="8251" spans="1:40" x14ac:dyDescent="0.25">
      <c r="A8251" t="str">
        <f>"20190303155010438"</f>
        <v>20190303155010438</v>
      </c>
      <c r="B8251" t="str">
        <f>"1551599410428979"</f>
        <v>1551599410428979</v>
      </c>
      <c r="C8251" t="s">
        <v>40</v>
      </c>
      <c r="D8251">
        <v>5.1148439999999997</v>
      </c>
      <c r="E8251">
        <v>0.50255899999999998</v>
      </c>
      <c r="F8251" t="s">
        <v>41</v>
      </c>
      <c r="G8251">
        <v>-187.49629999999999</v>
      </c>
      <c r="H8251" s="1">
        <v>-7.3200459999999905E-7</v>
      </c>
      <c r="I8251">
        <v>39.841520000000003</v>
      </c>
      <c r="J8251">
        <v>-188.34309999999999</v>
      </c>
      <c r="K8251">
        <v>1.1193010000000001</v>
      </c>
      <c r="L8251">
        <v>11.00351</v>
      </c>
      <c r="M8251">
        <v>-1.180144E-2</v>
      </c>
      <c r="N8251">
        <v>-1.060301E-2</v>
      </c>
      <c r="O8251">
        <v>0.99987409999999999</v>
      </c>
      <c r="P8251">
        <v>2.1435559999999999E-2</v>
      </c>
      <c r="Q8251">
        <v>-8.8175039999999996E-2</v>
      </c>
      <c r="R8251">
        <v>0.99587429999999999</v>
      </c>
      <c r="S8251">
        <v>8.6471560000000003E-2</v>
      </c>
      <c r="T8251">
        <v>-0.114857399999999</v>
      </c>
      <c r="U8251">
        <v>3.0002749999999998</v>
      </c>
      <c r="V8251">
        <v>3.3018859999999997E-2</v>
      </c>
      <c r="W8251">
        <v>-7.7686099999999994E-2</v>
      </c>
      <c r="X8251">
        <v>0.99643090000000001</v>
      </c>
      <c r="Y8251">
        <v>4.0582930000000003E-2</v>
      </c>
      <c r="Z8251">
        <v>-2.76274E-2</v>
      </c>
      <c r="AA8251">
        <v>0.99879410000000002</v>
      </c>
      <c r="AB8251">
        <v>36</v>
      </c>
      <c r="AC8251">
        <v>0.846800000000001</v>
      </c>
      <c r="AD8251">
        <v>-1.1193017320045999</v>
      </c>
      <c r="AE8251">
        <v>28.838010000000001</v>
      </c>
      <c r="AF8251">
        <v>1.18530611106985</v>
      </c>
      <c r="AG8251">
        <v>-1.1193017320045999</v>
      </c>
      <c r="AH8251">
        <v>28.782684266803301</v>
      </c>
      <c r="AI8251">
        <v>92.225113438658795</v>
      </c>
      <c r="AJ8251">
        <v>87.641822253251604</v>
      </c>
      <c r="AK8251">
        <v>28.828817189518801</v>
      </c>
      <c r="AL8251">
        <v>94.455575199220505</v>
      </c>
      <c r="AM8251">
        <v>88.102076801785003</v>
      </c>
      <c r="AN8251">
        <v>0.99999995686185805</v>
      </c>
    </row>
    <row r="8252" spans="1:40" x14ac:dyDescent="0.25">
      <c r="A8252" t="str">
        <f>"20190303155010463"</f>
        <v>20190303155010463</v>
      </c>
      <c r="B8252" t="str">
        <f>"1551599410459235"</f>
        <v>1551599410459235</v>
      </c>
      <c r="C8252" t="s">
        <v>40</v>
      </c>
      <c r="D8252">
        <v>5.1009869999999999</v>
      </c>
      <c r="E8252">
        <v>0.50243009999999999</v>
      </c>
      <c r="F8252" t="s">
        <v>41</v>
      </c>
      <c r="G8252">
        <v>-187.50020000000001</v>
      </c>
      <c r="H8252" s="1">
        <v>-4.6740030000000004E-6</v>
      </c>
      <c r="I8252">
        <v>39.494370000000004</v>
      </c>
      <c r="J8252">
        <v>-188.3468</v>
      </c>
      <c r="K8252">
        <v>1.119286</v>
      </c>
      <c r="L8252">
        <v>11.395390000000001</v>
      </c>
      <c r="M8252">
        <v>-1.0787659999999999E-2</v>
      </c>
      <c r="N8252">
        <v>-1.0547010000000001E-2</v>
      </c>
      <c r="O8252">
        <v>0.99988619999999995</v>
      </c>
      <c r="P8252">
        <v>2.174537E-2</v>
      </c>
      <c r="Q8252">
        <v>-8.9605229999999994E-2</v>
      </c>
      <c r="R8252">
        <v>0.99573990000000001</v>
      </c>
      <c r="S8252">
        <v>8.876038E-2</v>
      </c>
      <c r="T8252">
        <v>-0.1178631</v>
      </c>
      <c r="U8252">
        <v>3.000092</v>
      </c>
      <c r="V8252">
        <v>3.2313910000000001E-2</v>
      </c>
      <c r="W8252">
        <v>-7.9171899999999906E-2</v>
      </c>
      <c r="X8252">
        <v>0.99633709999999998</v>
      </c>
      <c r="Y8252">
        <v>4.0332010000000001E-2</v>
      </c>
      <c r="Z8252">
        <v>-2.8685490000000001E-2</v>
      </c>
      <c r="AA8252">
        <v>0.99877450000000001</v>
      </c>
      <c r="AB8252">
        <v>36</v>
      </c>
      <c r="AC8252">
        <v>0.84659999999999502</v>
      </c>
      <c r="AD8252">
        <v>-1.119290674003</v>
      </c>
      <c r="AE8252">
        <v>28.098980000000001</v>
      </c>
      <c r="AF8252">
        <v>1.1478701168723999</v>
      </c>
      <c r="AG8252">
        <v>-1.119290674003</v>
      </c>
      <c r="AH8252">
        <v>28.043753765056799</v>
      </c>
      <c r="AI8252">
        <v>92.283682941619205</v>
      </c>
      <c r="AJ8252">
        <v>87.656111884918502</v>
      </c>
      <c r="AK8252">
        <v>28.089545077363798</v>
      </c>
      <c r="AL8252">
        <v>94.540968130645894</v>
      </c>
      <c r="AM8252">
        <v>88.142393870846206</v>
      </c>
      <c r="AN8252">
        <v>0.99999999768275305</v>
      </c>
    </row>
    <row r="8253" spans="1:40" x14ac:dyDescent="0.25">
      <c r="A8253" t="str">
        <f>"20190303155010481"</f>
        <v>20190303155010481</v>
      </c>
      <c r="B8253" t="str">
        <f>"1551599410468995"</f>
        <v>1551599410468995</v>
      </c>
      <c r="C8253" t="s">
        <v>40</v>
      </c>
      <c r="D8253">
        <v>5.1345939999999999</v>
      </c>
      <c r="E8253">
        <v>0.50239449999999997</v>
      </c>
      <c r="F8253" t="s">
        <v>41</v>
      </c>
      <c r="G8253">
        <v>-187.53649999999999</v>
      </c>
      <c r="H8253" s="1">
        <v>-4.3930089999999997E-6</v>
      </c>
      <c r="I8253">
        <v>38.854340000000001</v>
      </c>
      <c r="J8253">
        <v>-188.3493</v>
      </c>
      <c r="K8253">
        <v>1.1192799999999901</v>
      </c>
      <c r="L8253">
        <v>11.69476</v>
      </c>
      <c r="M8253">
        <v>-1.0015039999999999E-2</v>
      </c>
      <c r="N8253">
        <v>-1.0508419999999999E-2</v>
      </c>
      <c r="O8253">
        <v>0.99989459999999997</v>
      </c>
      <c r="P8253">
        <v>2.1677809999999999E-2</v>
      </c>
      <c r="Q8253">
        <v>-9.0414640000000004E-2</v>
      </c>
      <c r="R8253">
        <v>0.9956682</v>
      </c>
      <c r="S8253">
        <v>8.8531490000000004E-2</v>
      </c>
      <c r="T8253">
        <v>-0.12228319999999999</v>
      </c>
      <c r="U8253">
        <v>2.999908</v>
      </c>
      <c r="V8253">
        <v>3.1474210000000002E-2</v>
      </c>
      <c r="W8253">
        <v>-8.0018510000000001E-2</v>
      </c>
      <c r="X8253">
        <v>0.99629630000000002</v>
      </c>
      <c r="Y8253">
        <v>3.9484230000000002E-2</v>
      </c>
      <c r="Z8253">
        <v>-3.0197209999999999E-2</v>
      </c>
      <c r="AA8253">
        <v>0.99876379999999998</v>
      </c>
      <c r="AB8253">
        <v>36</v>
      </c>
      <c r="AC8253">
        <v>0.81280000000000996</v>
      </c>
      <c r="AD8253">
        <v>-1.11928439300899</v>
      </c>
      <c r="AE8253">
        <v>27.159579999999998</v>
      </c>
      <c r="AF8253">
        <v>1.0829409408934401</v>
      </c>
      <c r="AG8253">
        <v>-1.11928439300899</v>
      </c>
      <c r="AH8253">
        <v>27.104085236322899</v>
      </c>
      <c r="AI8253">
        <v>92.362847276023203</v>
      </c>
      <c r="AJ8253">
        <v>87.711970030649596</v>
      </c>
      <c r="AK8253">
        <v>27.148793622033299</v>
      </c>
      <c r="AL8253">
        <v>94.589629909521094</v>
      </c>
      <c r="AM8253">
        <v>88.190558529951502</v>
      </c>
      <c r="AN8253">
        <v>0.99999995261571595</v>
      </c>
    </row>
    <row r="8254" spans="1:40" x14ac:dyDescent="0.25">
      <c r="A8254" t="str">
        <f>"20190303155010503"</f>
        <v>20190303155010503</v>
      </c>
      <c r="B8254" t="str">
        <f>"1551599410499251"</f>
        <v>1551599410499251</v>
      </c>
      <c r="C8254" t="s">
        <v>40</v>
      </c>
      <c r="D8254">
        <v>5.1431480000000001</v>
      </c>
      <c r="E8254">
        <v>0.50228549999999905</v>
      </c>
      <c r="F8254" t="s">
        <v>41</v>
      </c>
      <c r="G8254">
        <v>-187.56010000000001</v>
      </c>
      <c r="H8254" s="1">
        <v>-4.2912959999999998E-6</v>
      </c>
      <c r="I8254">
        <v>38.627029999999998</v>
      </c>
      <c r="J8254">
        <v>-188.352</v>
      </c>
      <c r="K8254">
        <v>1.119272</v>
      </c>
      <c r="L8254">
        <v>12.04575</v>
      </c>
      <c r="M8254">
        <v>-9.1106639999999992E-3</v>
      </c>
      <c r="N8254">
        <v>-1.0468099999999999E-2</v>
      </c>
      <c r="O8254">
        <v>0.99990369999999995</v>
      </c>
      <c r="P8254">
        <v>2.17562E-2</v>
      </c>
      <c r="Q8254">
        <v>-9.0088070000000006E-2</v>
      </c>
      <c r="R8254">
        <v>0.99569609999999997</v>
      </c>
      <c r="S8254">
        <v>8.7905880000000006E-2</v>
      </c>
      <c r="T8254">
        <v>-0.12467</v>
      </c>
      <c r="U8254">
        <v>2.9998170000000002</v>
      </c>
      <c r="V8254">
        <v>3.0652789999999999E-2</v>
      </c>
      <c r="W8254">
        <v>-7.9729910000000001E-2</v>
      </c>
      <c r="X8254">
        <v>0.99634509999999998</v>
      </c>
      <c r="Y8254">
        <v>3.8372660000000003E-2</v>
      </c>
      <c r="Z8254">
        <v>-3.103386E-2</v>
      </c>
      <c r="AA8254">
        <v>0.99878149999999999</v>
      </c>
      <c r="AB8254">
        <v>36</v>
      </c>
      <c r="AC8254">
        <v>0.79189999999999805</v>
      </c>
      <c r="AD8254">
        <v>-1.1192762912959999</v>
      </c>
      <c r="AE8254">
        <v>26.58128</v>
      </c>
      <c r="AF8254">
        <v>1.03222494024408</v>
      </c>
      <c r="AG8254">
        <v>-1.1192762912959999</v>
      </c>
      <c r="AH8254">
        <v>26.525971179930799</v>
      </c>
      <c r="AI8254">
        <v>92.414364909769404</v>
      </c>
      <c r="AJ8254">
        <v>87.771530900814099</v>
      </c>
      <c r="AK8254">
        <v>26.5696333204288</v>
      </c>
      <c r="AL8254">
        <v>94.573041104502806</v>
      </c>
      <c r="AM8254">
        <v>88.237837766180903</v>
      </c>
      <c r="AN8254">
        <v>1.0000000051886999</v>
      </c>
    </row>
    <row r="8255" spans="1:40" x14ac:dyDescent="0.25">
      <c r="A8255" t="str">
        <f>"20190303155010525"</f>
        <v>20190303155010525</v>
      </c>
      <c r="B8255" t="str">
        <f>"1551599410518771"</f>
        <v>1551599410518771</v>
      </c>
      <c r="C8255" t="s">
        <v>40</v>
      </c>
      <c r="D8255">
        <v>5.1091660000000001</v>
      </c>
      <c r="E8255">
        <v>0.50220050000000005</v>
      </c>
      <c r="F8255" t="s">
        <v>41</v>
      </c>
      <c r="G8255">
        <v>-187.56200000000001</v>
      </c>
      <c r="H8255" s="1">
        <v>-4.5315370000000001E-6</v>
      </c>
      <c r="I8255">
        <v>39.187829999999998</v>
      </c>
      <c r="J8255">
        <v>-188.3544</v>
      </c>
      <c r="K8255">
        <v>1.119267</v>
      </c>
      <c r="L8255">
        <v>12.40305</v>
      </c>
      <c r="M8255">
        <v>-8.1917529999999995E-3</v>
      </c>
      <c r="N8255">
        <v>-1.043199E-2</v>
      </c>
      <c r="O8255">
        <v>0.99991200000000002</v>
      </c>
      <c r="P8255">
        <v>2.1986720000000001E-2</v>
      </c>
      <c r="Q8255">
        <v>-8.9139499999999997E-2</v>
      </c>
      <c r="R8255">
        <v>0.99577649999999995</v>
      </c>
      <c r="S8255">
        <v>8.7310789999999999E-2</v>
      </c>
      <c r="T8255">
        <v>-0.123708</v>
      </c>
      <c r="U8255">
        <v>2.9998779999999998</v>
      </c>
      <c r="V8255">
        <v>2.9970710000000001E-2</v>
      </c>
      <c r="W8255">
        <v>-7.8814919999999997E-2</v>
      </c>
      <c r="X8255">
        <v>0.99643859999999995</v>
      </c>
      <c r="Y8255">
        <v>3.7256419999999998E-2</v>
      </c>
      <c r="Z8255">
        <v>-3.0750969999999999E-2</v>
      </c>
      <c r="AA8255">
        <v>0.99883250000000001</v>
      </c>
      <c r="AB8255">
        <v>36</v>
      </c>
      <c r="AC8255">
        <v>0.792399999999986</v>
      </c>
      <c r="AD8255">
        <v>-1.1192715315369901</v>
      </c>
      <c r="AE8255">
        <v>26.784780000000001</v>
      </c>
      <c r="AF8255">
        <v>1.0100374701078101</v>
      </c>
      <c r="AG8255">
        <v>-1.1192715315369901</v>
      </c>
      <c r="AH8255">
        <v>26.730753188078499</v>
      </c>
      <c r="AI8255">
        <v>92.395983512756601</v>
      </c>
      <c r="AJ8255">
        <v>87.836074217378794</v>
      </c>
      <c r="AK8255">
        <v>26.773234964312799</v>
      </c>
      <c r="AL8255">
        <v>94.520450742342504</v>
      </c>
      <c r="AM8255">
        <v>88.277186734907701</v>
      </c>
      <c r="AN8255">
        <v>0.99999995932123398</v>
      </c>
    </row>
    <row r="8256" spans="1:40" x14ac:dyDescent="0.25">
      <c r="A8256" t="str">
        <f>"20190303155010548"</f>
        <v>20190303155010548</v>
      </c>
      <c r="B8256" t="str">
        <f>"1551599410539267"</f>
        <v>1551599410539267</v>
      </c>
      <c r="C8256" t="s">
        <v>40</v>
      </c>
      <c r="D8256">
        <v>5.1106309999999997</v>
      </c>
      <c r="E8256">
        <v>0.50212990000000002</v>
      </c>
      <c r="F8256" t="s">
        <v>41</v>
      </c>
      <c r="G8256">
        <v>-187.54519999999999</v>
      </c>
      <c r="H8256" s="1">
        <v>-8.3099660000000002E-7</v>
      </c>
      <c r="I8256">
        <v>40.170670000000001</v>
      </c>
      <c r="J8256">
        <v>-188.35650000000001</v>
      </c>
      <c r="K8256">
        <v>1.1192610000000001</v>
      </c>
      <c r="L8256">
        <v>12.767910000000001</v>
      </c>
      <c r="M8256">
        <v>-7.2547469999999998E-3</v>
      </c>
      <c r="N8256">
        <v>-1.039986E-2</v>
      </c>
      <c r="O8256">
        <v>0.99991960000000002</v>
      </c>
      <c r="P8256">
        <v>2.2762649999999999E-2</v>
      </c>
      <c r="Q8256">
        <v>-8.8311109999999998E-2</v>
      </c>
      <c r="R8256">
        <v>0.99583279999999996</v>
      </c>
      <c r="S8256">
        <v>8.7417599999999998E-2</v>
      </c>
      <c r="T8256">
        <v>-0.1209239</v>
      </c>
      <c r="U8256">
        <v>2.9999690000000001</v>
      </c>
      <c r="V8256">
        <v>2.9815370000000001E-2</v>
      </c>
      <c r="W8256">
        <v>-7.8017600000000006E-2</v>
      </c>
      <c r="X8256">
        <v>0.996506</v>
      </c>
      <c r="Y8256">
        <v>3.6355859999999997E-2</v>
      </c>
      <c r="Z8256">
        <v>-2.985753E-2</v>
      </c>
      <c r="AA8256">
        <v>0.99889280000000003</v>
      </c>
      <c r="AB8256">
        <v>36</v>
      </c>
      <c r="AC8256">
        <v>0.81130000000001701</v>
      </c>
      <c r="AD8256">
        <v>-1.1192618309966</v>
      </c>
      <c r="AE8256">
        <v>27.402759999999901</v>
      </c>
      <c r="AF8256">
        <v>1.00840863340943</v>
      </c>
      <c r="AG8256">
        <v>-1.1192618309966</v>
      </c>
      <c r="AH8256">
        <v>27.3505636457698</v>
      </c>
      <c r="AI8256">
        <v>92.341807165874798</v>
      </c>
      <c r="AJ8256">
        <v>87.888474977449604</v>
      </c>
      <c r="AK8256">
        <v>27.392023779917398</v>
      </c>
      <c r="AL8256">
        <v>94.474626580949405</v>
      </c>
      <c r="AM8256">
        <v>88.286226692588698</v>
      </c>
      <c r="AN8256">
        <v>0.99999995511699702</v>
      </c>
    </row>
    <row r="8257" spans="1:40" x14ac:dyDescent="0.25">
      <c r="A8257" t="str">
        <f>"20190303155010568"</f>
        <v>20190303155010568</v>
      </c>
      <c r="B8257" t="str">
        <f>"1551599410558787"</f>
        <v>1551599410558787</v>
      </c>
      <c r="C8257" t="s">
        <v>40</v>
      </c>
      <c r="D8257">
        <v>5.1812750000000003</v>
      </c>
      <c r="E8257">
        <v>0.50205200000000005</v>
      </c>
      <c r="F8257" t="s">
        <v>41</v>
      </c>
      <c r="G8257">
        <v>-187.51400000000001</v>
      </c>
      <c r="H8257" s="1">
        <v>-1.166332E-6</v>
      </c>
      <c r="I8257">
        <v>41.131639999999997</v>
      </c>
      <c r="J8257">
        <v>-188.35820000000001</v>
      </c>
      <c r="K8257">
        <v>1.119259</v>
      </c>
      <c r="L8257">
        <v>13.1084</v>
      </c>
      <c r="M8257">
        <v>-6.3812809999999999E-3</v>
      </c>
      <c r="N8257">
        <v>-1.037391E-2</v>
      </c>
      <c r="O8257">
        <v>0.99992590000000003</v>
      </c>
      <c r="P8257">
        <v>2.3720809999999998E-2</v>
      </c>
      <c r="Q8257">
        <v>-8.9309620000000006E-2</v>
      </c>
      <c r="R8257">
        <v>0.99572139999999998</v>
      </c>
      <c r="S8257">
        <v>8.9111330000000002E-2</v>
      </c>
      <c r="T8257">
        <v>-0.1183844</v>
      </c>
      <c r="U8257">
        <v>3.0000309999999999</v>
      </c>
      <c r="V8257">
        <v>2.9900380000000001E-2</v>
      </c>
      <c r="W8257">
        <v>-7.9043219999999997E-2</v>
      </c>
      <c r="X8257">
        <v>0.99642260000000005</v>
      </c>
      <c r="Y8257">
        <v>3.6046750000000002E-2</v>
      </c>
      <c r="Z8257">
        <v>-2.9038729999999999E-2</v>
      </c>
      <c r="AA8257">
        <v>0.99892809999999999</v>
      </c>
      <c r="AB8257">
        <v>36</v>
      </c>
      <c r="AC8257">
        <v>0.84419999999999995</v>
      </c>
      <c r="AD8257">
        <v>-1.1192601663320001</v>
      </c>
      <c r="AE8257">
        <v>28.023240000000001</v>
      </c>
      <c r="AF8257">
        <v>1.02138870850666</v>
      </c>
      <c r="AG8257">
        <v>-1.1192601663320001</v>
      </c>
      <c r="AH8257">
        <v>27.9726993573139</v>
      </c>
      <c r="AI8257">
        <v>92.289805962304598</v>
      </c>
      <c r="AJ8257">
        <v>87.908844107307303</v>
      </c>
      <c r="AK8257">
        <v>28.013708921677502</v>
      </c>
      <c r="AL8257">
        <v>94.533572436182396</v>
      </c>
      <c r="AM8257">
        <v>88.281199520237394</v>
      </c>
      <c r="AN8257">
        <v>0.99999993057143399</v>
      </c>
    </row>
    <row r="8258" spans="1:40" x14ac:dyDescent="0.25">
      <c r="A8258" t="str">
        <f>"20190303155010591"</f>
        <v>20190303155010591</v>
      </c>
      <c r="B8258" t="str">
        <f>"1551599410589043"</f>
        <v>1551599410589043</v>
      </c>
      <c r="C8258" t="s">
        <v>40</v>
      </c>
      <c r="D8258">
        <v>5.1400620000000004</v>
      </c>
      <c r="E8258">
        <v>0.5019245</v>
      </c>
      <c r="F8258" t="s">
        <v>41</v>
      </c>
      <c r="G8258">
        <v>-187.51490000000001</v>
      </c>
      <c r="H8258" s="1">
        <v>-1.0469070000000001E-6</v>
      </c>
      <c r="I8258">
        <v>40.781379999999999</v>
      </c>
      <c r="J8258">
        <v>-188.3596</v>
      </c>
      <c r="K8258">
        <v>1.119254</v>
      </c>
      <c r="L8258">
        <v>13.474299999999999</v>
      </c>
      <c r="M8258">
        <v>-5.4430049999999999E-3</v>
      </c>
      <c r="N8258">
        <v>-1.035003E-2</v>
      </c>
      <c r="O8258">
        <v>0.99993160000000003</v>
      </c>
      <c r="P8258">
        <v>2.4795790000000002E-2</v>
      </c>
      <c r="Q8258">
        <v>-8.9902709999999997E-2</v>
      </c>
      <c r="R8258">
        <v>0.99564180000000002</v>
      </c>
      <c r="S8258">
        <v>9.1415410000000002E-2</v>
      </c>
      <c r="T8258">
        <v>-0.12133049999999999</v>
      </c>
      <c r="U8258">
        <v>2.9998170000000002</v>
      </c>
      <c r="V8258">
        <v>3.0038929999999998E-2</v>
      </c>
      <c r="W8258">
        <v>-7.9661140000000005E-2</v>
      </c>
      <c r="X8258">
        <v>0.99636930000000001</v>
      </c>
      <c r="Y8258">
        <v>3.5876669999999999E-2</v>
      </c>
      <c r="Z8258">
        <v>-3.004507E-2</v>
      </c>
      <c r="AA8258">
        <v>0.99890449999999997</v>
      </c>
      <c r="AB8258">
        <v>36</v>
      </c>
      <c r="AC8258">
        <v>0.84469999999998802</v>
      </c>
      <c r="AD8258">
        <v>-1.119255046907</v>
      </c>
      <c r="AE8258">
        <v>27.307079999999999</v>
      </c>
      <c r="AF8258">
        <v>0.99166362809793396</v>
      </c>
      <c r="AG8258">
        <v>-1.119255046907</v>
      </c>
      <c r="AH8258">
        <v>27.2563308126261</v>
      </c>
      <c r="AI8258">
        <v>92.349921968995901</v>
      </c>
      <c r="AJ8258">
        <v>87.916333986505293</v>
      </c>
      <c r="AK8258">
        <v>27.297320344287101</v>
      </c>
      <c r="AL8258">
        <v>94.569088286825206</v>
      </c>
      <c r="AM8258">
        <v>88.273147574306705</v>
      </c>
      <c r="AN8258">
        <v>1.0000000082620599</v>
      </c>
    </row>
    <row r="8259" spans="1:40" x14ac:dyDescent="0.25">
      <c r="A8259" t="str">
        <f>"20190303155010614"</f>
        <v>20190303155010614</v>
      </c>
      <c r="B8259" t="str">
        <f>"1551599410608563"</f>
        <v>1551599410608563</v>
      </c>
      <c r="C8259" t="s">
        <v>40</v>
      </c>
      <c r="D8259">
        <v>5.1360299999999999</v>
      </c>
      <c r="E8259">
        <v>0.50183770000000005</v>
      </c>
      <c r="F8259" t="s">
        <v>41</v>
      </c>
      <c r="G8259">
        <v>-187.50810000000001</v>
      </c>
      <c r="H8259" s="1">
        <v>-1.0317359999999999E-6</v>
      </c>
      <c r="I8259">
        <v>40.731529999999999</v>
      </c>
      <c r="J8259">
        <v>-188.36070000000001</v>
      </c>
      <c r="K8259">
        <v>1.1192519999999999</v>
      </c>
      <c r="L8259">
        <v>13.83755</v>
      </c>
      <c r="M8259">
        <v>-4.5117259999999998E-3</v>
      </c>
      <c r="N8259">
        <v>-1.0330020000000001E-2</v>
      </c>
      <c r="O8259">
        <v>0.99993650000000001</v>
      </c>
      <c r="P8259">
        <v>2.6022980000000001E-2</v>
      </c>
      <c r="Q8259">
        <v>-9.0807429999999995E-2</v>
      </c>
      <c r="R8259">
        <v>0.99552839999999998</v>
      </c>
      <c r="S8259">
        <v>9.3704220000000005E-2</v>
      </c>
      <c r="T8259">
        <v>-0.1231743</v>
      </c>
      <c r="U8259">
        <v>2.9996640000000001</v>
      </c>
      <c r="V8259">
        <v>3.033597E-2</v>
      </c>
      <c r="W8259">
        <v>-8.0587510000000001E-2</v>
      </c>
      <c r="X8259">
        <v>0.9962858</v>
      </c>
      <c r="Y8259">
        <v>3.5708289999999997E-2</v>
      </c>
      <c r="Z8259">
        <v>-3.0680200000000001E-2</v>
      </c>
      <c r="AA8259">
        <v>0.99889119999999998</v>
      </c>
      <c r="AB8259">
        <v>36</v>
      </c>
      <c r="AC8259">
        <v>0.85259999999999503</v>
      </c>
      <c r="AD8259">
        <v>-1.1192530317360001</v>
      </c>
      <c r="AE8259">
        <v>26.893979999999999</v>
      </c>
      <c r="AF8259">
        <v>0.97225381337275596</v>
      </c>
      <c r="AG8259">
        <v>-1.1192530317360001</v>
      </c>
      <c r="AH8259">
        <v>26.843413390796702</v>
      </c>
      <c r="AI8259">
        <v>92.386037889414396</v>
      </c>
      <c r="AJ8259">
        <v>87.925684816485798</v>
      </c>
      <c r="AK8259">
        <v>26.8843234487289</v>
      </c>
      <c r="AL8259">
        <v>94.622336587239801</v>
      </c>
      <c r="AM8259">
        <v>88.255936014807702</v>
      </c>
      <c r="AN8259">
        <v>1.0000000065627399</v>
      </c>
    </row>
    <row r="8260" spans="1:40" x14ac:dyDescent="0.25">
      <c r="A8260" t="str">
        <f>"20190303155010638"</f>
        <v>20190303155010638</v>
      </c>
      <c r="B8260" t="str">
        <f>"1551599410629059"</f>
        <v>1551599410629059</v>
      </c>
      <c r="C8260" t="s">
        <v>40</v>
      </c>
      <c r="D8260">
        <v>5.1662169999999996</v>
      </c>
      <c r="E8260">
        <v>0.50175729999999996</v>
      </c>
      <c r="F8260" t="s">
        <v>41</v>
      </c>
      <c r="G8260">
        <v>-187.501</v>
      </c>
      <c r="H8260" s="1">
        <v>-9.5776899999999995E-7</v>
      </c>
      <c r="I8260">
        <v>40.508629999999997</v>
      </c>
      <c r="J8260">
        <v>-188.36150000000001</v>
      </c>
      <c r="K8260">
        <v>1.119243</v>
      </c>
      <c r="L8260">
        <v>14.2294</v>
      </c>
      <c r="M8260">
        <v>-3.5072480000000001E-3</v>
      </c>
      <c r="N8260">
        <v>-1.031197E-2</v>
      </c>
      <c r="O8260">
        <v>0.99994070000000002</v>
      </c>
      <c r="P8260">
        <v>2.729376E-2</v>
      </c>
      <c r="Q8260">
        <v>-9.0486720000000007E-2</v>
      </c>
      <c r="R8260">
        <v>0.99552359999999895</v>
      </c>
      <c r="S8260">
        <v>9.6679689999999999E-2</v>
      </c>
      <c r="T8260">
        <v>-0.1258734</v>
      </c>
      <c r="U8260">
        <v>2.9994809999999998</v>
      </c>
      <c r="V8260">
        <v>3.060713E-2</v>
      </c>
      <c r="W8260">
        <v>-8.0285309999999999E-2</v>
      </c>
      <c r="X8260">
        <v>0.99630189999999996</v>
      </c>
      <c r="Y8260">
        <v>3.5695119999999997E-2</v>
      </c>
      <c r="Z8260">
        <v>-3.1597849999999997E-2</v>
      </c>
      <c r="AA8260">
        <v>0.99886299999999995</v>
      </c>
      <c r="AB8260">
        <v>36</v>
      </c>
      <c r="AC8260">
        <v>0.86050000000003002</v>
      </c>
      <c r="AD8260">
        <v>-1.1192439577689901</v>
      </c>
      <c r="AE8260">
        <v>26.279229999999998</v>
      </c>
      <c r="AF8260">
        <v>0.95094426918060604</v>
      </c>
      <c r="AG8260">
        <v>-1.1192439577689901</v>
      </c>
      <c r="AH8260">
        <v>26.228524050665001</v>
      </c>
      <c r="AI8260">
        <v>92.441885107683206</v>
      </c>
      <c r="AJ8260">
        <v>87.923587380289106</v>
      </c>
      <c r="AK8260">
        <v>26.269611263138302</v>
      </c>
      <c r="AL8260">
        <v>94.604965538522194</v>
      </c>
      <c r="AM8260">
        <v>88.240384762757401</v>
      </c>
      <c r="AN8260">
        <v>1.0000000016761199</v>
      </c>
    </row>
    <row r="8261" spans="1:40" x14ac:dyDescent="0.25">
      <c r="A8261" t="str">
        <f>"20190303155010663"</f>
        <v>20190303155010663</v>
      </c>
      <c r="B8261" t="str">
        <f>"1551599410658339"</f>
        <v>1551599410658339</v>
      </c>
      <c r="C8261" t="s">
        <v>40</v>
      </c>
      <c r="D8261">
        <v>5.1675909999999998</v>
      </c>
      <c r="E8261">
        <v>0.50162529999999905</v>
      </c>
      <c r="F8261" t="s">
        <v>41</v>
      </c>
      <c r="G8261">
        <v>-187.46520000000001</v>
      </c>
      <c r="H8261" s="1">
        <v>-1.1742750000000001E-6</v>
      </c>
      <c r="I8261">
        <v>41.116819999999997</v>
      </c>
      <c r="J8261">
        <v>-188.36199999999999</v>
      </c>
      <c r="K8261">
        <v>1.11924</v>
      </c>
      <c r="L8261">
        <v>14.619479999999999</v>
      </c>
      <c r="M8261">
        <v>-2.5111449999999998E-3</v>
      </c>
      <c r="N8261">
        <v>-1.029732E-2</v>
      </c>
      <c r="O8261">
        <v>0.9999439</v>
      </c>
      <c r="P8261">
        <v>2.7984760000000001E-2</v>
      </c>
      <c r="Q8261">
        <v>-8.9592859999999996E-2</v>
      </c>
      <c r="R8261">
        <v>0.99558530000000001</v>
      </c>
      <c r="S8261">
        <v>9.9990839999999998E-2</v>
      </c>
      <c r="T8261">
        <v>-0.1248558</v>
      </c>
      <c r="U8261">
        <v>2.99939</v>
      </c>
      <c r="V8261">
        <v>3.0308600000000002E-2</v>
      </c>
      <c r="W8261">
        <v>-7.9404530000000001E-2</v>
      </c>
      <c r="X8261">
        <v>0.99638159999999998</v>
      </c>
      <c r="Y8261">
        <v>3.5802470000000003E-2</v>
      </c>
      <c r="Z8261">
        <v>-3.1274929999999999E-2</v>
      </c>
      <c r="AA8261">
        <v>0.99886940000000002</v>
      </c>
      <c r="AB8261">
        <v>36</v>
      </c>
      <c r="AC8261">
        <v>0.89679999999998405</v>
      </c>
      <c r="AD8261">
        <v>-1.1192411742749999</v>
      </c>
      <c r="AE8261">
        <v>26.497340000000001</v>
      </c>
      <c r="AF8261">
        <v>0.96162559181407803</v>
      </c>
      <c r="AG8261">
        <v>-1.1192411742749999</v>
      </c>
      <c r="AH8261">
        <v>26.447870114021999</v>
      </c>
      <c r="AI8261">
        <v>92.421642419976607</v>
      </c>
      <c r="AJ8261">
        <v>87.917683825494805</v>
      </c>
      <c r="AK8261">
        <v>26.4890025888708</v>
      </c>
      <c r="AL8261">
        <v>94.554338969993694</v>
      </c>
      <c r="AM8261">
        <v>88.257676023494</v>
      </c>
      <c r="AN8261">
        <v>0.99999999171852005</v>
      </c>
    </row>
    <row r="8262" spans="1:40" x14ac:dyDescent="0.25">
      <c r="A8262" t="str">
        <f>"20190303155010680"</f>
        <v>20190303155010680</v>
      </c>
      <c r="B8262" t="str">
        <f>"1551599410669075"</f>
        <v>1551599410669075</v>
      </c>
      <c r="C8262" t="s">
        <v>40</v>
      </c>
      <c r="D8262">
        <v>5.1750970000000001</v>
      </c>
      <c r="E8262">
        <v>0.50158420000000004</v>
      </c>
      <c r="F8262" t="s">
        <v>41</v>
      </c>
      <c r="G8262">
        <v>-187.4375</v>
      </c>
      <c r="H8262" s="1">
        <v>-1.51041E-6</v>
      </c>
      <c r="I8262">
        <v>42.082920000000001</v>
      </c>
      <c r="J8262">
        <v>-188.36199999999999</v>
      </c>
      <c r="K8262">
        <v>1.1192409999999999</v>
      </c>
      <c r="L8262">
        <v>14.913449999999999</v>
      </c>
      <c r="M8262">
        <v>-1.767109E-3</v>
      </c>
      <c r="N8262">
        <v>-1.02881E-2</v>
      </c>
      <c r="O8262">
        <v>0.99994550000000004</v>
      </c>
      <c r="P8262">
        <v>2.830266E-2</v>
      </c>
      <c r="Q8262">
        <v>-8.9324680000000004E-2</v>
      </c>
      <c r="R8262">
        <v>0.99560029999999999</v>
      </c>
      <c r="S8262">
        <v>0.1009674</v>
      </c>
      <c r="T8262">
        <v>-0.1222404</v>
      </c>
      <c r="U8262">
        <v>2.9994809999999998</v>
      </c>
      <c r="V8262">
        <v>2.9886840000000001E-2</v>
      </c>
      <c r="W8262">
        <v>-7.9144030000000004E-2</v>
      </c>
      <c r="X8262">
        <v>0.9964151</v>
      </c>
      <c r="Y8262">
        <v>3.5383869999999998E-2</v>
      </c>
      <c r="Z8262">
        <v>-3.041367E-2</v>
      </c>
      <c r="AA8262">
        <v>0.99891090000000005</v>
      </c>
      <c r="AB8262">
        <v>36</v>
      </c>
      <c r="AC8262">
        <v>0.92449999999999399</v>
      </c>
      <c r="AD8262">
        <v>-1.1192425104099999</v>
      </c>
      <c r="AE8262">
        <v>27.16947</v>
      </c>
      <c r="AF8262">
        <v>0.97086684154737402</v>
      </c>
      <c r="AG8262">
        <v>-1.1192425104099999</v>
      </c>
      <c r="AH8262">
        <v>27.121820848668101</v>
      </c>
      <c r="AI8262">
        <v>92.3615866142122</v>
      </c>
      <c r="AJ8262">
        <v>87.949885767062398</v>
      </c>
      <c r="AK8262">
        <v>27.1622615473817</v>
      </c>
      <c r="AL8262">
        <v>94.539366141504999</v>
      </c>
      <c r="AM8262">
        <v>88.281964466444194</v>
      </c>
      <c r="AN8262">
        <v>1.0000000260989099</v>
      </c>
    </row>
    <row r="8263" spans="1:40" x14ac:dyDescent="0.25">
      <c r="A8263" t="str">
        <f>"20190303155010705"</f>
        <v>20190303155010705</v>
      </c>
      <c r="B8263" t="str">
        <f>"1551599410698356"</f>
        <v>1551599410698356</v>
      </c>
      <c r="C8263" t="s">
        <v>40</v>
      </c>
      <c r="D8263">
        <v>5.1159999999999997</v>
      </c>
      <c r="E8263">
        <v>0.50145529999999905</v>
      </c>
      <c r="F8263" t="s">
        <v>41</v>
      </c>
      <c r="G8263">
        <v>-187.42670000000001</v>
      </c>
      <c r="H8263" s="1">
        <v>-1.7096999999999999E-6</v>
      </c>
      <c r="I8263">
        <v>42.554090000000002</v>
      </c>
      <c r="J8263">
        <v>-188.36179999999999</v>
      </c>
      <c r="K8263">
        <v>1.1192500000000001</v>
      </c>
      <c r="L8263">
        <v>15.29697</v>
      </c>
      <c r="M8263">
        <v>-8.0869600000000002E-4</v>
      </c>
      <c r="N8263">
        <v>-1.027842E-2</v>
      </c>
      <c r="O8263">
        <v>0.99994680000000002</v>
      </c>
      <c r="P8263">
        <v>2.899467E-2</v>
      </c>
      <c r="Q8263">
        <v>-8.9393210000000001E-2</v>
      </c>
      <c r="R8263">
        <v>0.99557430000000002</v>
      </c>
      <c r="S8263">
        <v>0.10150149999999999</v>
      </c>
      <c r="T8263">
        <v>-0.121457</v>
      </c>
      <c r="U8263">
        <v>2.9994809999999998</v>
      </c>
      <c r="V8263">
        <v>2.9625780000000001E-2</v>
      </c>
      <c r="W8263">
        <v>-7.9221109999999997E-2</v>
      </c>
      <c r="X8263">
        <v>0.99641670000000004</v>
      </c>
      <c r="Y8263">
        <v>3.4604169999999997E-2</v>
      </c>
      <c r="Z8263">
        <v>-3.0163539999999999E-2</v>
      </c>
      <c r="AA8263">
        <v>0.99894579999999999</v>
      </c>
      <c r="AB8263">
        <v>36</v>
      </c>
      <c r="AC8263">
        <v>0.93509999999997695</v>
      </c>
      <c r="AD8263">
        <v>-1.1192517097000001</v>
      </c>
      <c r="AE8263">
        <v>27.25712</v>
      </c>
      <c r="AF8263">
        <v>0.95553430574797404</v>
      </c>
      <c r="AG8263">
        <v>-1.1192517097000001</v>
      </c>
      <c r="AH8263">
        <v>27.210527803002801</v>
      </c>
      <c r="AI8263">
        <v>92.353972420426501</v>
      </c>
      <c r="AJ8263">
        <v>87.988808023466305</v>
      </c>
      <c r="AK8263">
        <v>27.250295292292101</v>
      </c>
      <c r="AL8263">
        <v>94.543796731661601</v>
      </c>
      <c r="AM8263">
        <v>88.296965274562993</v>
      </c>
      <c r="AN8263">
        <v>0.999999955574564</v>
      </c>
    </row>
    <row r="8264" spans="1:40" x14ac:dyDescent="0.25">
      <c r="A8264" t="str">
        <f>"20190303155010727"</f>
        <v>20190303155010727</v>
      </c>
      <c r="B8264" t="str">
        <f>"1551599410718852"</f>
        <v>1551599410718852</v>
      </c>
      <c r="C8264" t="s">
        <v>40</v>
      </c>
      <c r="D8264">
        <v>5.1958019999999996</v>
      </c>
      <c r="E8264">
        <v>0.50138110000000002</v>
      </c>
      <c r="F8264" t="s">
        <v>41</v>
      </c>
      <c r="G8264">
        <v>-187.41890000000001</v>
      </c>
      <c r="H8264" s="1">
        <v>-1.8358489999999999E-6</v>
      </c>
      <c r="I8264">
        <v>42.844920000000002</v>
      </c>
      <c r="J8264">
        <v>-188.3612</v>
      </c>
      <c r="K8264">
        <v>1.119259</v>
      </c>
      <c r="L8264">
        <v>15.66656</v>
      </c>
      <c r="M8264" s="1">
        <v>9.1235370000000002E-5</v>
      </c>
      <c r="N8264">
        <v>-1.0270970000000001E-2</v>
      </c>
      <c r="O8264">
        <v>0.99994720000000004</v>
      </c>
      <c r="P8264">
        <v>2.926453E-2</v>
      </c>
      <c r="Q8264">
        <v>-8.9166410000000002E-2</v>
      </c>
      <c r="R8264">
        <v>0.99558679999999999</v>
      </c>
      <c r="S8264">
        <v>0.10266110000000001</v>
      </c>
      <c r="T8264">
        <v>-0.1218629</v>
      </c>
      <c r="U8264">
        <v>2.99939</v>
      </c>
      <c r="V8264">
        <v>2.9002699999999999E-2</v>
      </c>
      <c r="W8264">
        <v>-7.8999040000000006E-2</v>
      </c>
      <c r="X8264">
        <v>0.99645269999999997</v>
      </c>
      <c r="Y8264">
        <v>3.4091509999999998E-2</v>
      </c>
      <c r="Z8264">
        <v>-3.030745E-2</v>
      </c>
      <c r="AA8264">
        <v>0.99895909999999999</v>
      </c>
      <c r="AB8264">
        <v>36</v>
      </c>
      <c r="AC8264">
        <v>0.94229999999998804</v>
      </c>
      <c r="AD8264">
        <v>-1.1192608358489999</v>
      </c>
      <c r="AE8264">
        <v>27.178359999999898</v>
      </c>
      <c r="AF8264">
        <v>0.93823094383456795</v>
      </c>
      <c r="AG8264">
        <v>-1.1192608358489999</v>
      </c>
      <c r="AH8264">
        <v>27.1324854456889</v>
      </c>
      <c r="AI8264">
        <v>92.3607988845596</v>
      </c>
      <c r="AJ8264">
        <v>88.019523045713996</v>
      </c>
      <c r="AK8264">
        <v>27.171764546734099</v>
      </c>
      <c r="AL8264">
        <v>94.531032879425396</v>
      </c>
      <c r="AM8264">
        <v>88.332822728138595</v>
      </c>
      <c r="AN8264">
        <v>0.99999999413274998</v>
      </c>
    </row>
    <row r="8265" spans="1:40" x14ac:dyDescent="0.25">
      <c r="A8265" t="str">
        <f>"20190303155010750"</f>
        <v>20190303155010750</v>
      </c>
      <c r="B8265" t="str">
        <f>"1551599410739347"</f>
        <v>1551599410739347</v>
      </c>
      <c r="C8265" t="s">
        <v>40</v>
      </c>
      <c r="D8265">
        <v>5.1438470000000001</v>
      </c>
      <c r="E8265">
        <v>0.50130299999999905</v>
      </c>
      <c r="F8265" t="s">
        <v>41</v>
      </c>
      <c r="G8265">
        <v>-187.41210000000001</v>
      </c>
      <c r="H8265" s="1">
        <v>-2.0561169999999999E-6</v>
      </c>
      <c r="I8265">
        <v>43.355559999999997</v>
      </c>
      <c r="J8265">
        <v>-188.3604</v>
      </c>
      <c r="K8265">
        <v>1.119275</v>
      </c>
      <c r="L8265">
        <v>16.023769999999999</v>
      </c>
      <c r="M8265">
        <v>9.3580499999999995E-4</v>
      </c>
      <c r="N8265">
        <v>-1.026532E-2</v>
      </c>
      <c r="O8265">
        <v>0.99994689999999997</v>
      </c>
      <c r="P8265">
        <v>2.9351970000000002E-2</v>
      </c>
      <c r="Q8265">
        <v>-8.9966130000000005E-2</v>
      </c>
      <c r="R8265">
        <v>0.99551219999999996</v>
      </c>
      <c r="S8265">
        <v>0.10281369999999999</v>
      </c>
      <c r="T8265">
        <v>-0.1212443</v>
      </c>
      <c r="U8265">
        <v>2.9994200000000002</v>
      </c>
      <c r="V8265">
        <v>2.8251020000000002E-2</v>
      </c>
      <c r="W8265">
        <v>-7.9802010000000007E-2</v>
      </c>
      <c r="X8265">
        <v>0.99641029999999997</v>
      </c>
      <c r="Y8265">
        <v>3.329824E-2</v>
      </c>
      <c r="Z8265">
        <v>-3.010763E-2</v>
      </c>
      <c r="AA8265">
        <v>0.99899179999999999</v>
      </c>
      <c r="AB8265">
        <v>36</v>
      </c>
      <c r="AC8265">
        <v>0.94829999999998804</v>
      </c>
      <c r="AD8265">
        <v>-1.119277056117</v>
      </c>
      <c r="AE8265">
        <v>27.331789999999899</v>
      </c>
      <c r="AF8265">
        <v>0.92117803254257702</v>
      </c>
      <c r="AG8265">
        <v>-1.119277056117</v>
      </c>
      <c r="AH8265">
        <v>27.286959660068899</v>
      </c>
      <c r="AI8265">
        <v>92.347548820759997</v>
      </c>
      <c r="AJ8265">
        <v>88.066491193641994</v>
      </c>
      <c r="AK8265">
        <v>27.325437189296998</v>
      </c>
      <c r="AL8265">
        <v>94.577185435048705</v>
      </c>
      <c r="AM8265">
        <v>88.375939425618796</v>
      </c>
      <c r="AN8265">
        <v>0.99999998343858498</v>
      </c>
    </row>
    <row r="8266" spans="1:40" x14ac:dyDescent="0.25">
      <c r="A8266" t="str">
        <f>"20190303155010771"</f>
        <v>20190303155010771</v>
      </c>
      <c r="B8266" t="str">
        <f>"1551599410758867"</f>
        <v>1551599410758867</v>
      </c>
      <c r="C8266" t="s">
        <v>40</v>
      </c>
      <c r="D8266">
        <v>5.1385889999999996</v>
      </c>
      <c r="E8266">
        <v>0.50121369999999998</v>
      </c>
      <c r="F8266" t="s">
        <v>41</v>
      </c>
      <c r="G8266">
        <v>-187.43190000000001</v>
      </c>
      <c r="H8266" s="1">
        <v>-1.9675159999999998E-6</v>
      </c>
      <c r="I8266">
        <v>43.157229999999998</v>
      </c>
      <c r="J8266">
        <v>-188.35929999999999</v>
      </c>
      <c r="K8266">
        <v>1.119299</v>
      </c>
      <c r="L8266">
        <v>16.37933</v>
      </c>
      <c r="M8266">
        <v>1.7415919999999999E-3</v>
      </c>
      <c r="N8266">
        <v>-1.0261019999999999E-2</v>
      </c>
      <c r="O8266">
        <v>0.9999458</v>
      </c>
      <c r="P8266">
        <v>2.9579930000000001E-2</v>
      </c>
      <c r="Q8266">
        <v>-9.0339089999999997E-2</v>
      </c>
      <c r="R8266">
        <v>0.99547169999999896</v>
      </c>
      <c r="S8266">
        <v>0.1026306</v>
      </c>
      <c r="T8266">
        <v>-0.12372470000000001</v>
      </c>
      <c r="U8266">
        <v>2.9993289999999999</v>
      </c>
      <c r="V8266">
        <v>2.7680739999999999E-2</v>
      </c>
      <c r="W8266">
        <v>-8.0176540000000004E-2</v>
      </c>
      <c r="X8266">
        <v>0.99639619999999995</v>
      </c>
      <c r="Y8266">
        <v>3.2432200000000001E-2</v>
      </c>
      <c r="Z8266">
        <v>-3.0938609999999998E-2</v>
      </c>
      <c r="AA8266">
        <v>0.99899490000000002</v>
      </c>
      <c r="AB8266">
        <v>36</v>
      </c>
      <c r="AC8266">
        <v>0.92739999999997702</v>
      </c>
      <c r="AD8266">
        <v>-1.1193009675159999</v>
      </c>
      <c r="AE8266">
        <v>26.777899999999999</v>
      </c>
      <c r="AF8266">
        <v>0.879225623928787</v>
      </c>
      <c r="AG8266">
        <v>-1.1193009675159999</v>
      </c>
      <c r="AH8266">
        <v>26.732823193495001</v>
      </c>
      <c r="AI8266">
        <v>92.396274701409894</v>
      </c>
      <c r="AJ8266">
        <v>88.116257125022699</v>
      </c>
      <c r="AK8266">
        <v>26.770687481802199</v>
      </c>
      <c r="AL8266">
        <v>94.598713586437398</v>
      </c>
      <c r="AM8266">
        <v>88.408683458378903</v>
      </c>
      <c r="AN8266">
        <v>0.99999994415387805</v>
      </c>
    </row>
    <row r="8267" spans="1:40" x14ac:dyDescent="0.25">
      <c r="A8267" t="str">
        <f>"20190303155010794"</f>
        <v>20190303155010794</v>
      </c>
      <c r="B8267" t="str">
        <f>"1551599410789123"</f>
        <v>1551599410789123</v>
      </c>
      <c r="C8267" t="s">
        <v>40</v>
      </c>
      <c r="D8267">
        <v>5.1100949999999896</v>
      </c>
      <c r="E8267">
        <v>0.50108030000000003</v>
      </c>
      <c r="F8267" t="s">
        <v>41</v>
      </c>
      <c r="G8267">
        <v>-187.4401</v>
      </c>
      <c r="H8267" s="1">
        <v>-2.006078E-6</v>
      </c>
      <c r="I8267">
        <v>43.250489999999999</v>
      </c>
      <c r="J8267">
        <v>-188.3579</v>
      </c>
      <c r="K8267">
        <v>1.1193249999999999</v>
      </c>
      <c r="L8267">
        <v>16.747409999999999</v>
      </c>
      <c r="M8267">
        <v>2.5253210000000001E-3</v>
      </c>
      <c r="N8267">
        <v>-1.025769E-2</v>
      </c>
      <c r="O8267">
        <v>0.99994419999999995</v>
      </c>
      <c r="P8267">
        <v>2.977165E-2</v>
      </c>
      <c r="Q8267">
        <v>-9.0575550000000005E-2</v>
      </c>
      <c r="R8267">
        <v>0.99544449999999995</v>
      </c>
      <c r="S8267">
        <v>0.1026001</v>
      </c>
      <c r="T8267">
        <v>-0.1249325</v>
      </c>
      <c r="U8267">
        <v>2.9992679999999998</v>
      </c>
      <c r="V8267">
        <v>2.7098560000000001E-2</v>
      </c>
      <c r="W8267">
        <v>-8.0412849999999994E-2</v>
      </c>
      <c r="X8267">
        <v>0.99639319999999998</v>
      </c>
      <c r="Y8267">
        <v>3.1639090000000002E-2</v>
      </c>
      <c r="Z8267">
        <v>-3.1344950000000003E-2</v>
      </c>
      <c r="AA8267">
        <v>0.9990078</v>
      </c>
      <c r="AB8267">
        <v>36</v>
      </c>
      <c r="AC8267">
        <v>0.91779999999999895</v>
      </c>
      <c r="AD8267">
        <v>-1.1193270060779901</v>
      </c>
      <c r="AE8267">
        <v>26.503080000000001</v>
      </c>
      <c r="AF8267">
        <v>0.84935159538983296</v>
      </c>
      <c r="AG8267">
        <v>-1.1193270060779901</v>
      </c>
      <c r="AH8267">
        <v>26.458176481877501</v>
      </c>
      <c r="AI8267">
        <v>92.4212376581348</v>
      </c>
      <c r="AJ8267">
        <v>88.161341328674595</v>
      </c>
      <c r="AK8267">
        <v>26.495459871934699</v>
      </c>
      <c r="AL8267">
        <v>94.612296828674801</v>
      </c>
      <c r="AM8267">
        <v>88.442130593744693</v>
      </c>
      <c r="AN8267">
        <v>0.99999998370271703</v>
      </c>
    </row>
    <row r="8268" spans="1:40" x14ac:dyDescent="0.25">
      <c r="A8268" t="str">
        <f>"20190303155010816"</f>
        <v>20190303155010816</v>
      </c>
      <c r="B8268" t="str">
        <f>"1551599410808644"</f>
        <v>1551599410808644</v>
      </c>
      <c r="C8268" t="s">
        <v>40</v>
      </c>
      <c r="D8268">
        <v>5.1420969999999997</v>
      </c>
      <c r="E8268">
        <v>0.5010095</v>
      </c>
      <c r="F8268" t="s">
        <v>41</v>
      </c>
      <c r="G8268">
        <v>-187.4477</v>
      </c>
      <c r="H8268" s="1">
        <v>-2.0819290000000001E-6</v>
      </c>
      <c r="I8268">
        <v>43.43045</v>
      </c>
      <c r="J8268">
        <v>-188.3563</v>
      </c>
      <c r="K8268">
        <v>1.1193690000000001</v>
      </c>
      <c r="L8268">
        <v>17.11356</v>
      </c>
      <c r="M8268">
        <v>3.2404449999999998E-3</v>
      </c>
      <c r="N8268">
        <v>-1.025535E-2</v>
      </c>
      <c r="O8268">
        <v>0.9999422</v>
      </c>
      <c r="P8268">
        <v>3.0311640000000001E-2</v>
      </c>
      <c r="Q8268">
        <v>-9.0865459999999995E-2</v>
      </c>
      <c r="R8268">
        <v>0.99540169999999994</v>
      </c>
      <c r="S8268">
        <v>0.1023102</v>
      </c>
      <c r="T8268">
        <v>-0.12581500000000001</v>
      </c>
      <c r="U8268">
        <v>2.9992369999999999</v>
      </c>
      <c r="V8268">
        <v>2.6935170000000001E-2</v>
      </c>
      <c r="W8268">
        <v>-8.0701949999999995E-2</v>
      </c>
      <c r="X8268">
        <v>0.99637419999999999</v>
      </c>
      <c r="Y8268">
        <v>3.0828009999999999E-2</v>
      </c>
      <c r="Z8268">
        <v>-3.1641719999999998E-2</v>
      </c>
      <c r="AA8268">
        <v>0.99902369999999996</v>
      </c>
      <c r="AB8268">
        <v>36</v>
      </c>
      <c r="AC8268">
        <v>0.90860000000000696</v>
      </c>
      <c r="AD8268">
        <v>-1.1193710819289999</v>
      </c>
      <c r="AE8268">
        <v>26.316890000000001</v>
      </c>
      <c r="AF8268">
        <v>0.82182725906095599</v>
      </c>
      <c r="AG8268">
        <v>-1.1193710819289999</v>
      </c>
      <c r="AH8268">
        <v>26.272221949124301</v>
      </c>
      <c r="AI8268">
        <v>92.4385137052532</v>
      </c>
      <c r="AJ8268">
        <v>88.208302136987399</v>
      </c>
      <c r="AK8268">
        <v>26.308896552437201</v>
      </c>
      <c r="AL8268">
        <v>94.628915310341</v>
      </c>
      <c r="AM8268">
        <v>88.451489622303598</v>
      </c>
      <c r="AN8268">
        <v>0.99999992727118303</v>
      </c>
    </row>
    <row r="8269" spans="1:40" x14ac:dyDescent="0.25">
      <c r="A8269" t="str">
        <f>"20190303155010840"</f>
        <v>20190303155010840</v>
      </c>
      <c r="B8269" t="str">
        <f>"1551599410829139"</f>
        <v>1551599410829139</v>
      </c>
      <c r="C8269" t="s">
        <v>40</v>
      </c>
      <c r="D8269">
        <v>5.0823929999999997</v>
      </c>
      <c r="E8269">
        <v>0.50093359999999998</v>
      </c>
      <c r="F8269" t="s">
        <v>41</v>
      </c>
      <c r="G8269">
        <v>-187.4425</v>
      </c>
      <c r="H8269" s="1">
        <v>-2.167776E-6</v>
      </c>
      <c r="I8269">
        <v>43.628410000000002</v>
      </c>
      <c r="J8269">
        <v>-188.35429999999999</v>
      </c>
      <c r="K8269">
        <v>1.119432</v>
      </c>
      <c r="L8269">
        <v>17.510279999999899</v>
      </c>
      <c r="M8269">
        <v>3.9301120000000004E-3</v>
      </c>
      <c r="N8269">
        <v>-1.02538E-2</v>
      </c>
      <c r="O8269">
        <v>0.99993969999999999</v>
      </c>
      <c r="P8269">
        <v>3.0804350000000001E-2</v>
      </c>
      <c r="Q8269">
        <v>-9.1151930000000006E-2</v>
      </c>
      <c r="R8269">
        <v>0.99536040000000003</v>
      </c>
      <c r="S8269">
        <v>0.103363</v>
      </c>
      <c r="T8269">
        <v>-0.12661420000000001</v>
      </c>
      <c r="U8269">
        <v>2.9991460000000001</v>
      </c>
      <c r="V8269">
        <v>2.675334E-2</v>
      </c>
      <c r="W8269">
        <v>-8.0985680000000004E-2</v>
      </c>
      <c r="X8269">
        <v>0.99635609999999997</v>
      </c>
      <c r="Y8269">
        <v>3.0489720000000001E-2</v>
      </c>
      <c r="Z8269">
        <v>-3.19102E-2</v>
      </c>
      <c r="AA8269">
        <v>0.99902559999999996</v>
      </c>
      <c r="AB8269">
        <v>36</v>
      </c>
      <c r="AC8269">
        <v>0.91179999999999894</v>
      </c>
      <c r="AD8269">
        <v>-1.119434167776</v>
      </c>
      <c r="AE8269">
        <v>26.118130000000001</v>
      </c>
      <c r="AF8269">
        <v>0.80765850860730204</v>
      </c>
      <c r="AG8269">
        <v>-1.119434167776</v>
      </c>
      <c r="AH8269">
        <v>26.073672483787799</v>
      </c>
      <c r="AI8269">
        <v>92.457221770294495</v>
      </c>
      <c r="AJ8269">
        <v>88.225772309519897</v>
      </c>
      <c r="AK8269">
        <v>26.110186554567999</v>
      </c>
      <c r="AL8269">
        <v>94.645225124211393</v>
      </c>
      <c r="AM8269">
        <v>88.461910113751003</v>
      </c>
      <c r="AN8269">
        <v>0.99999994978671203</v>
      </c>
    </row>
    <row r="8270" spans="1:40" x14ac:dyDescent="0.25">
      <c r="A8270" t="str">
        <f>"20190303155010864"</f>
        <v>20190303155010864</v>
      </c>
      <c r="B8270" t="str">
        <f>"1551599410858419"</f>
        <v>1551599410858419</v>
      </c>
      <c r="C8270" t="s">
        <v>40</v>
      </c>
      <c r="D8270">
        <v>5.0612300000000001</v>
      </c>
      <c r="E8270">
        <v>0.50081750000000003</v>
      </c>
      <c r="F8270" t="s">
        <v>41</v>
      </c>
      <c r="G8270">
        <v>-187.43809999999999</v>
      </c>
      <c r="H8270" s="1">
        <v>-2.2623689999999999E-6</v>
      </c>
      <c r="I8270">
        <v>43.847090000000001</v>
      </c>
      <c r="J8270">
        <v>-188.35239999999999</v>
      </c>
      <c r="K8270">
        <v>1.1194949999999999</v>
      </c>
      <c r="L8270">
        <v>17.878779999999999</v>
      </c>
      <c r="M8270">
        <v>4.4674500000000004E-3</v>
      </c>
      <c r="N8270">
        <v>-1.025324E-2</v>
      </c>
      <c r="O8270">
        <v>0.99993750000000003</v>
      </c>
      <c r="P8270">
        <v>3.1583130000000001E-2</v>
      </c>
      <c r="Q8270">
        <v>-9.1433959999999995E-2</v>
      </c>
      <c r="R8270">
        <v>0.99531020000000003</v>
      </c>
      <c r="S8270">
        <v>0.1043396</v>
      </c>
      <c r="T8270">
        <v>-0.1274748</v>
      </c>
      <c r="U8270">
        <v>2.9990839999999999</v>
      </c>
      <c r="V8270">
        <v>2.7010960000000001E-2</v>
      </c>
      <c r="W8270">
        <v>-8.1264359999999994E-2</v>
      </c>
      <c r="X8270">
        <v>0.9963265</v>
      </c>
      <c r="Y8270">
        <v>3.0277910000000002E-2</v>
      </c>
      <c r="Z8270">
        <v>-3.2197610000000002E-2</v>
      </c>
      <c r="AA8270">
        <v>0.99902279999999999</v>
      </c>
      <c r="AB8270">
        <v>36</v>
      </c>
      <c r="AC8270">
        <v>0.914299999999997</v>
      </c>
      <c r="AD8270">
        <v>-1.119497262369</v>
      </c>
      <c r="AE8270">
        <v>25.968309999999999</v>
      </c>
      <c r="AF8270">
        <v>0.79679366088283898</v>
      </c>
      <c r="AG8270">
        <v>-1.119497262369</v>
      </c>
      <c r="AH8270">
        <v>25.924015932169201</v>
      </c>
      <c r="AI8270">
        <v>92.471546915237496</v>
      </c>
      <c r="AJ8270">
        <v>88.239526379939804</v>
      </c>
      <c r="AK8270">
        <v>25.960407475805098</v>
      </c>
      <c r="AL8270">
        <v>94.661244921538</v>
      </c>
      <c r="AM8270">
        <v>88.447060256261494</v>
      </c>
      <c r="AN8270">
        <v>0.99999999138428997</v>
      </c>
    </row>
    <row r="8271" spans="1:40" x14ac:dyDescent="0.25">
      <c r="A8271" t="str">
        <f>"20190303155010894"</f>
        <v>20190303155010894</v>
      </c>
      <c r="B8271" t="str">
        <f>"1551599410888675"</f>
        <v>1551599410888675</v>
      </c>
      <c r="C8271" t="s">
        <v>40</v>
      </c>
      <c r="D8271">
        <v>5.0226749999999996</v>
      </c>
      <c r="E8271">
        <v>0.5007142</v>
      </c>
      <c r="F8271" t="s">
        <v>41</v>
      </c>
      <c r="G8271">
        <v>-187.42910000000001</v>
      </c>
      <c r="H8271" s="1">
        <v>-2.3503179999999998E-6</v>
      </c>
      <c r="I8271">
        <v>44.048389999999998</v>
      </c>
      <c r="J8271">
        <v>-188.3494</v>
      </c>
      <c r="K8271">
        <v>1.1196010000000001</v>
      </c>
      <c r="L8271">
        <v>18.386900000000001</v>
      </c>
      <c r="M8271">
        <v>5.0539809999999999E-3</v>
      </c>
      <c r="N8271">
        <v>-1.0253689999999999E-2</v>
      </c>
      <c r="O8271">
        <v>0.99993469999999995</v>
      </c>
      <c r="P8271">
        <v>3.2552869999999998E-2</v>
      </c>
      <c r="Q8271">
        <v>-9.1001600000000002E-2</v>
      </c>
      <c r="R8271">
        <v>0.99531849999999999</v>
      </c>
      <c r="S8271">
        <v>0.10580440000000001</v>
      </c>
      <c r="T8271">
        <v>-0.12829260000000001</v>
      </c>
      <c r="U8271">
        <v>2.998993</v>
      </c>
      <c r="V8271">
        <v>2.7418390000000001E-2</v>
      </c>
      <c r="W8271">
        <v>-8.0824750000000001E-2</v>
      </c>
      <c r="X8271">
        <v>0.99635110000000005</v>
      </c>
      <c r="Y8271">
        <v>3.0179709999999998E-2</v>
      </c>
      <c r="Z8271">
        <v>-3.2469999999999999E-2</v>
      </c>
      <c r="AA8271">
        <v>0.99901689999999999</v>
      </c>
      <c r="AB8271">
        <v>36</v>
      </c>
      <c r="AC8271">
        <v>0.92029999999999701</v>
      </c>
      <c r="AD8271">
        <v>-1.1196033503180001</v>
      </c>
      <c r="AE8271">
        <v>25.661490000000001</v>
      </c>
      <c r="AF8271">
        <v>0.78908860806220604</v>
      </c>
      <c r="AG8271">
        <v>-1.1196033503180001</v>
      </c>
      <c r="AH8271">
        <v>25.6171127969758</v>
      </c>
      <c r="AI8271">
        <v>92.501351179680498</v>
      </c>
      <c r="AJ8271">
        <v>88.235665510786106</v>
      </c>
      <c r="AK8271">
        <v>25.653706175646398</v>
      </c>
      <c r="AL8271">
        <v>94.635974133572802</v>
      </c>
      <c r="AM8271">
        <v>88.423686535746498</v>
      </c>
      <c r="AN8271">
        <v>0.999999961396981</v>
      </c>
    </row>
    <row r="8272" spans="1:40" x14ac:dyDescent="0.25">
      <c r="A8272" t="str">
        <f>"20190303155010916"</f>
        <v>20190303155010916</v>
      </c>
      <c r="B8272" t="str">
        <f>"1551599410909172"</f>
        <v>1551599410909172</v>
      </c>
      <c r="C8272" t="s">
        <v>40</v>
      </c>
      <c r="D8272">
        <v>4.9866549999999998</v>
      </c>
      <c r="E8272">
        <v>0.50064189999999997</v>
      </c>
      <c r="F8272" t="s">
        <v>41</v>
      </c>
      <c r="G8272">
        <v>-187.39680000000001</v>
      </c>
      <c r="H8272" s="1">
        <v>-2.7007470000000001E-6</v>
      </c>
      <c r="I8272">
        <v>44.851880000000001</v>
      </c>
      <c r="J8272">
        <v>-188.34719999999999</v>
      </c>
      <c r="K8272">
        <v>1.1196759999999999</v>
      </c>
      <c r="L8272">
        <v>18.759029999999999</v>
      </c>
      <c r="M8272">
        <v>5.3877700000000001E-3</v>
      </c>
      <c r="N8272">
        <v>-1.0254930000000001E-2</v>
      </c>
      <c r="O8272">
        <v>0.99993290000000001</v>
      </c>
      <c r="P8272">
        <v>3.258693E-2</v>
      </c>
      <c r="Q8272">
        <v>-9.1459100000000002E-2</v>
      </c>
      <c r="R8272">
        <v>0.99527549999999998</v>
      </c>
      <c r="S8272">
        <v>0.10795589999999999</v>
      </c>
      <c r="T8272">
        <v>-0.1268715</v>
      </c>
      <c r="U8272">
        <v>2.9989620000000001</v>
      </c>
      <c r="V8272">
        <v>2.7134470000000001E-2</v>
      </c>
      <c r="W8272">
        <v>-8.1276070000000006E-2</v>
      </c>
      <c r="X8272">
        <v>0.99632220000000005</v>
      </c>
      <c r="Y8272">
        <v>3.056273E-2</v>
      </c>
      <c r="Z8272">
        <v>-3.1995870000000003E-2</v>
      </c>
      <c r="AA8272">
        <v>0.99902060000000004</v>
      </c>
      <c r="AB8272">
        <v>37</v>
      </c>
      <c r="AC8272">
        <v>0.95039999999997304</v>
      </c>
      <c r="AD8272">
        <v>-1.1196787007469999</v>
      </c>
      <c r="AE8272">
        <v>26.092849999999999</v>
      </c>
      <c r="AF8272">
        <v>0.80831010164097805</v>
      </c>
      <c r="AG8272">
        <v>-1.1196787007469999</v>
      </c>
      <c r="AH8272">
        <v>26.049688188019001</v>
      </c>
      <c r="AI8272">
        <v>92.460013913811807</v>
      </c>
      <c r="AJ8272">
        <v>88.222708011244805</v>
      </c>
      <c r="AK8272">
        <v>26.086266507615399</v>
      </c>
      <c r="AL8272">
        <v>94.661918029393902</v>
      </c>
      <c r="AM8272">
        <v>88.439956073583403</v>
      </c>
      <c r="AN8272">
        <v>1.0000000026148299</v>
      </c>
    </row>
    <row r="8273" spans="1:40" x14ac:dyDescent="0.25">
      <c r="A8273" t="str">
        <f>"20190303155010940"</f>
        <v>20190303155010940</v>
      </c>
      <c r="B8273" t="str">
        <f>"1551599410928692"</f>
        <v>1551599410928692</v>
      </c>
      <c r="C8273" t="s">
        <v>40</v>
      </c>
      <c r="D8273">
        <v>4.9438190000000004</v>
      </c>
      <c r="E8273">
        <v>0.50056709999999904</v>
      </c>
      <c r="F8273" t="s">
        <v>41</v>
      </c>
      <c r="G8273">
        <v>-187.40899999999999</v>
      </c>
      <c r="H8273" s="1">
        <v>-2.751023E-6</v>
      </c>
      <c r="I8273">
        <v>44.974139999999998</v>
      </c>
      <c r="J8273">
        <v>-188.345</v>
      </c>
      <c r="K8273">
        <v>1.119748</v>
      </c>
      <c r="L8273">
        <v>19.132259999999999</v>
      </c>
      <c r="M8273">
        <v>5.6332689999999998E-3</v>
      </c>
      <c r="N8273">
        <v>-1.0256619999999999E-2</v>
      </c>
      <c r="O8273">
        <v>0.99993149999999997</v>
      </c>
      <c r="P8273">
        <v>3.2773820000000002E-2</v>
      </c>
      <c r="Q8273">
        <v>-9.1739119999999993E-2</v>
      </c>
      <c r="R8273">
        <v>0.99524360000000001</v>
      </c>
      <c r="S8273">
        <v>0.1073303</v>
      </c>
      <c r="T8273">
        <v>-0.12808929999999999</v>
      </c>
      <c r="U8273">
        <v>2.9989620000000001</v>
      </c>
      <c r="V8273">
        <v>2.7091460000000001E-2</v>
      </c>
      <c r="W8273">
        <v>-8.1549709999999997E-2</v>
      </c>
      <c r="X8273">
        <v>0.99630099999999999</v>
      </c>
      <c r="Y8273">
        <v>3.010877E-2</v>
      </c>
      <c r="Z8273">
        <v>-3.2399490000000003E-2</v>
      </c>
      <c r="AA8273">
        <v>0.99902139999999995</v>
      </c>
      <c r="AB8273">
        <v>37</v>
      </c>
      <c r="AC8273">
        <v>0.93599999999997796</v>
      </c>
      <c r="AD8273">
        <v>-1.119750751023</v>
      </c>
      <c r="AE8273">
        <v>25.84188</v>
      </c>
      <c r="AF8273">
        <v>0.788923909534746</v>
      </c>
      <c r="AG8273">
        <v>-1.119750751023</v>
      </c>
      <c r="AH8273">
        <v>25.798368343075499</v>
      </c>
      <c r="AI8273">
        <v>92.484142684052401</v>
      </c>
      <c r="AJ8273">
        <v>88.248419151637705</v>
      </c>
      <c r="AK8273">
        <v>25.834706343298201</v>
      </c>
      <c r="AL8273">
        <v>94.677648712369702</v>
      </c>
      <c r="AM8273">
        <v>88.442394504570601</v>
      </c>
      <c r="AN8273">
        <v>0.99999999250350702</v>
      </c>
    </row>
    <row r="8274" spans="1:40" x14ac:dyDescent="0.25">
      <c r="A8274" t="str">
        <f>"20190303155010959"</f>
        <v>20190303155010959</v>
      </c>
      <c r="B8274" t="str">
        <f>"1551599410949187"</f>
        <v>1551599410949187</v>
      </c>
      <c r="C8274" t="s">
        <v>40</v>
      </c>
      <c r="D8274">
        <v>4.8809899999999997</v>
      </c>
      <c r="E8274">
        <v>0.50047459999999999</v>
      </c>
      <c r="F8274" t="s">
        <v>41</v>
      </c>
      <c r="G8274">
        <v>-187.41159999999999</v>
      </c>
      <c r="H8274" s="1">
        <v>-2.8432269999999998E-6</v>
      </c>
      <c r="I8274">
        <v>45.19014</v>
      </c>
      <c r="J8274">
        <v>-188.34289999999999</v>
      </c>
      <c r="K8274">
        <v>1.1198109999999999</v>
      </c>
      <c r="L8274">
        <v>19.467469999999999</v>
      </c>
      <c r="M8274">
        <v>5.7774389999999997E-3</v>
      </c>
      <c r="N8274">
        <v>-1.0258389999999999E-2</v>
      </c>
      <c r="O8274">
        <v>0.99993069999999895</v>
      </c>
      <c r="P8274">
        <v>3.310246E-2</v>
      </c>
      <c r="Q8274">
        <v>-9.2178759999999998E-2</v>
      </c>
      <c r="R8274">
        <v>0.99519210000000002</v>
      </c>
      <c r="S8274">
        <v>0.1074219</v>
      </c>
      <c r="T8274">
        <v>-0.12886919999999999</v>
      </c>
      <c r="U8274">
        <v>2.9989319999999999</v>
      </c>
      <c r="V8274">
        <v>2.728949E-2</v>
      </c>
      <c r="W8274">
        <v>-8.198387E-2</v>
      </c>
      <c r="X8274">
        <v>0.99626000000000003</v>
      </c>
      <c r="Y8274">
        <v>2.9995170000000002E-2</v>
      </c>
      <c r="Z8274">
        <v>-3.2657470000000001E-2</v>
      </c>
      <c r="AA8274">
        <v>0.99901640000000003</v>
      </c>
      <c r="AB8274">
        <v>37</v>
      </c>
      <c r="AC8274">
        <v>0.93129999999999302</v>
      </c>
      <c r="AD8274">
        <v>-1.1198138432269999</v>
      </c>
      <c r="AE8274">
        <v>25.722670000000001</v>
      </c>
      <c r="AF8274">
        <v>0.78118689711573597</v>
      </c>
      <c r="AG8274">
        <v>-1.1198138432269999</v>
      </c>
      <c r="AH8274">
        <v>25.6790177970922</v>
      </c>
      <c r="AI8274">
        <v>92.495826410453105</v>
      </c>
      <c r="AJ8274">
        <v>88.257530217461706</v>
      </c>
      <c r="AK8274">
        <v>25.715290996507999</v>
      </c>
      <c r="AL8274">
        <v>94.702607650321596</v>
      </c>
      <c r="AM8274">
        <v>88.430950034072893</v>
      </c>
      <c r="AN8274">
        <v>1.0000000294023099</v>
      </c>
    </row>
    <row r="8275" spans="1:40" x14ac:dyDescent="0.25">
      <c r="A8275" t="str">
        <f>"20190303155010983"</f>
        <v>20190303155010983</v>
      </c>
      <c r="B8275" t="str">
        <f>"1551599410978467"</f>
        <v>1551599410978467</v>
      </c>
      <c r="C8275" t="s">
        <v>40</v>
      </c>
      <c r="D8275">
        <v>4.8592940000000002</v>
      </c>
      <c r="E8275">
        <v>0.50035669999999999</v>
      </c>
      <c r="F8275" t="s">
        <v>41</v>
      </c>
      <c r="G8275">
        <v>-187.4152</v>
      </c>
      <c r="H8275" s="1">
        <v>-2.8742029999999998E-6</v>
      </c>
      <c r="I8275">
        <v>45.263840000000002</v>
      </c>
      <c r="J8275">
        <v>-188.3407</v>
      </c>
      <c r="K8275">
        <v>1.119875</v>
      </c>
      <c r="L8275">
        <v>19.837070000000001</v>
      </c>
      <c r="M8275">
        <v>5.8751080000000004E-3</v>
      </c>
      <c r="N8275">
        <v>-1.026059E-2</v>
      </c>
      <c r="O8275">
        <v>0.99993010000000004</v>
      </c>
      <c r="P8275">
        <v>3.3015460000000003E-2</v>
      </c>
      <c r="Q8275">
        <v>-9.2551469999999997E-2</v>
      </c>
      <c r="R8275">
        <v>0.99516039999999995</v>
      </c>
      <c r="S8275">
        <v>0.1078491</v>
      </c>
      <c r="T8275">
        <v>-0.13017889999999999</v>
      </c>
      <c r="U8275">
        <v>2.99884</v>
      </c>
      <c r="V8275">
        <v>2.7118320000000001E-2</v>
      </c>
      <c r="W8275">
        <v>-8.2350199999999998E-2</v>
      </c>
      <c r="X8275">
        <v>0.99623439999999996</v>
      </c>
      <c r="Y8275">
        <v>3.0040190000000001E-2</v>
      </c>
      <c r="Z8275">
        <v>-3.3091889999999999E-2</v>
      </c>
      <c r="AA8275">
        <v>0.99900069999999996</v>
      </c>
      <c r="AB8275">
        <v>37</v>
      </c>
      <c r="AC8275">
        <v>0.92549999999999899</v>
      </c>
      <c r="AD8275">
        <v>-1.119877874203</v>
      </c>
      <c r="AE8275">
        <v>25.426770000000001</v>
      </c>
      <c r="AF8275">
        <v>0.77459057192146896</v>
      </c>
      <c r="AG8275">
        <v>-1.119877874203</v>
      </c>
      <c r="AH8275">
        <v>25.3825965827359</v>
      </c>
      <c r="AI8275">
        <v>92.525072353842404</v>
      </c>
      <c r="AJ8275">
        <v>88.252070017833105</v>
      </c>
      <c r="AK8275">
        <v>25.419093734615199</v>
      </c>
      <c r="AL8275">
        <v>94.723668311746295</v>
      </c>
      <c r="AM8275">
        <v>88.440746788234094</v>
      </c>
      <c r="AN8275">
        <v>0.99999996923151002</v>
      </c>
    </row>
    <row r="8276" spans="1:40" x14ac:dyDescent="0.25">
      <c r="A8276" t="str">
        <f>"20190303155011005"</f>
        <v>20190303155011005</v>
      </c>
      <c r="B8276" t="str">
        <f>"1551599410998964"</f>
        <v>1551599410998964</v>
      </c>
      <c r="C8276" t="s">
        <v>40</v>
      </c>
      <c r="D8276">
        <v>4.8298249999999996</v>
      </c>
      <c r="E8276">
        <v>0.50028609999999996</v>
      </c>
      <c r="F8276" t="s">
        <v>41</v>
      </c>
      <c r="G8276">
        <v>-187.43039999999999</v>
      </c>
      <c r="H8276" s="1">
        <v>-2.953418E-6</v>
      </c>
      <c r="I8276">
        <v>45.454749999999997</v>
      </c>
      <c r="J8276">
        <v>-188.33840000000001</v>
      </c>
      <c r="K8276">
        <v>1.1199269999999999</v>
      </c>
      <c r="L8276">
        <v>20.215450000000001</v>
      </c>
      <c r="M8276">
        <v>5.9304889999999997E-3</v>
      </c>
      <c r="N8276">
        <v>-1.026316E-2</v>
      </c>
      <c r="O8276">
        <v>0.99992970000000003</v>
      </c>
      <c r="P8276">
        <v>3.2488009999999998E-2</v>
      </c>
      <c r="Q8276">
        <v>-9.2906290000000002E-2</v>
      </c>
      <c r="R8276">
        <v>0.99514469999999999</v>
      </c>
      <c r="S8276">
        <v>0.10656740000000001</v>
      </c>
      <c r="T8276">
        <v>-0.13109579999999901</v>
      </c>
      <c r="U8276">
        <v>2.9988709999999998</v>
      </c>
      <c r="V8276">
        <v>2.6546750000000001E-2</v>
      </c>
      <c r="W8276">
        <v>-8.26987E-2</v>
      </c>
      <c r="X8276">
        <v>0.99622089999999996</v>
      </c>
      <c r="Y8276">
        <v>2.9557750000000001E-2</v>
      </c>
      <c r="Z8276">
        <v>-3.3394310000000003E-2</v>
      </c>
      <c r="AA8276">
        <v>0.99900509999999998</v>
      </c>
      <c r="AB8276">
        <v>37</v>
      </c>
      <c r="AC8276">
        <v>0.90800000000001502</v>
      </c>
      <c r="AD8276">
        <v>-1.1199299534180001</v>
      </c>
      <c r="AE8276">
        <v>25.2393</v>
      </c>
      <c r="AF8276">
        <v>0.75680658672742795</v>
      </c>
      <c r="AG8276">
        <v>-1.1199299534180001</v>
      </c>
      <c r="AH8276">
        <v>25.194699157731201</v>
      </c>
      <c r="AI8276">
        <v>92.544034135074398</v>
      </c>
      <c r="AJ8276">
        <v>88.279448057470304</v>
      </c>
      <c r="AK8276">
        <v>25.230930719235399</v>
      </c>
      <c r="AL8276">
        <v>94.743704356848696</v>
      </c>
      <c r="AM8276">
        <v>88.473574615687099</v>
      </c>
      <c r="AN8276">
        <v>0.99999994325702901</v>
      </c>
    </row>
    <row r="8277" spans="1:40" x14ac:dyDescent="0.25">
      <c r="A8277" t="str">
        <f>"20190303155011028"</f>
        <v>20190303155011028</v>
      </c>
      <c r="B8277" t="str">
        <f>"1551599411018484"</f>
        <v>1551599411018484</v>
      </c>
      <c r="C8277" t="s">
        <v>40</v>
      </c>
      <c r="D8277">
        <v>4.8079650000000003</v>
      </c>
      <c r="E8277">
        <v>0.5002434</v>
      </c>
      <c r="F8277" t="s">
        <v>41</v>
      </c>
      <c r="G8277">
        <v>-187.45400000000001</v>
      </c>
      <c r="H8277" s="1">
        <v>-3.0339910000000001E-6</v>
      </c>
      <c r="I8277">
        <v>45.652360000000002</v>
      </c>
      <c r="J8277">
        <v>-188.33619999999999</v>
      </c>
      <c r="K8277">
        <v>1.119958</v>
      </c>
      <c r="L8277">
        <v>20.580469999999998</v>
      </c>
      <c r="M8277">
        <v>5.9562259999999898E-3</v>
      </c>
      <c r="N8277">
        <v>-1.0265979999999999E-2</v>
      </c>
      <c r="O8277">
        <v>0.99992950000000003</v>
      </c>
      <c r="P8277">
        <v>3.184236E-2</v>
      </c>
      <c r="Q8277">
        <v>-9.312028E-2</v>
      </c>
      <c r="R8277">
        <v>0.99514559999999996</v>
      </c>
      <c r="S8277">
        <v>0.1042633</v>
      </c>
      <c r="T8277">
        <v>-0.13203489999999901</v>
      </c>
      <c r="U8277">
        <v>2.998901</v>
      </c>
      <c r="V8277">
        <v>2.5883650000000001E-2</v>
      </c>
      <c r="W8277">
        <v>-8.2907010000000003E-2</v>
      </c>
      <c r="X8277">
        <v>0.99622109999999997</v>
      </c>
      <c r="Y8277">
        <v>2.876486E-2</v>
      </c>
      <c r="Z8277">
        <v>-3.3704320000000003E-2</v>
      </c>
      <c r="AA8277">
        <v>0.99901779999999996</v>
      </c>
      <c r="AB8277">
        <v>37</v>
      </c>
      <c r="AC8277">
        <v>0.882199999999983</v>
      </c>
      <c r="AD8277">
        <v>-1.119961033991</v>
      </c>
      <c r="AE8277">
        <v>25.07189</v>
      </c>
      <c r="AF8277">
        <v>0.73138502028765595</v>
      </c>
      <c r="AG8277">
        <v>-1.119961033991</v>
      </c>
      <c r="AH8277">
        <v>25.026823109659802</v>
      </c>
      <c r="AI8277">
        <v>92.561209116236597</v>
      </c>
      <c r="AJ8277">
        <v>88.326061956562597</v>
      </c>
      <c r="AK8277">
        <v>25.0625439995178</v>
      </c>
      <c r="AL8277">
        <v>94.755680461052705</v>
      </c>
      <c r="AM8277">
        <v>88.511685477639801</v>
      </c>
      <c r="AN8277">
        <v>1.0000000078648299</v>
      </c>
    </row>
    <row r="8278" spans="1:40" x14ac:dyDescent="0.25">
      <c r="A8278" t="str">
        <f>"20190303155011052"</f>
        <v>20190303155011052</v>
      </c>
      <c r="B8278" t="str">
        <f>"1551599411048739"</f>
        <v>1551599411048739</v>
      </c>
      <c r="C8278" t="s">
        <v>40</v>
      </c>
      <c r="D8278">
        <v>4.7885819999999999</v>
      </c>
      <c r="E8278">
        <v>0.50001399999999996</v>
      </c>
      <c r="F8278" t="s">
        <v>41</v>
      </c>
      <c r="G8278">
        <v>-187.4742</v>
      </c>
      <c r="H8278" s="1">
        <v>-3.140973E-6</v>
      </c>
      <c r="I8278">
        <v>45.9101</v>
      </c>
      <c r="J8278">
        <v>-188.3338</v>
      </c>
      <c r="K8278">
        <v>1.1199859999999999</v>
      </c>
      <c r="L8278">
        <v>20.979399999999998</v>
      </c>
      <c r="M8278">
        <v>5.9644729999999997E-3</v>
      </c>
      <c r="N8278">
        <v>-1.0269459999999999E-2</v>
      </c>
      <c r="O8278">
        <v>0.99992950000000003</v>
      </c>
      <c r="P8278">
        <v>3.1148390000000001E-2</v>
      </c>
      <c r="Q8278">
        <v>-9.3174729999999997E-2</v>
      </c>
      <c r="R8278">
        <v>0.9951624</v>
      </c>
      <c r="S8278">
        <v>0.1020508</v>
      </c>
      <c r="T8278">
        <v>-0.13260050000000001</v>
      </c>
      <c r="U8278">
        <v>2.9989620000000001</v>
      </c>
      <c r="V8278">
        <v>2.518797E-2</v>
      </c>
      <c r="W8278">
        <v>-8.2955589999999996E-2</v>
      </c>
      <c r="X8278">
        <v>0.99623490000000003</v>
      </c>
      <c r="Y8278">
        <v>2.8019700000000002E-2</v>
      </c>
      <c r="Z8278">
        <v>-3.3888979999999999E-2</v>
      </c>
      <c r="AA8278">
        <v>0.9990327</v>
      </c>
      <c r="AB8278">
        <v>37</v>
      </c>
      <c r="AC8278">
        <v>0.85960000000000003</v>
      </c>
      <c r="AD8278">
        <v>-1.1199891409729901</v>
      </c>
      <c r="AE8278">
        <v>24.930700000000002</v>
      </c>
      <c r="AF8278">
        <v>0.70944829241494001</v>
      </c>
      <c r="AG8278">
        <v>-1.1199891409729901</v>
      </c>
      <c r="AH8278">
        <v>24.885220748672999</v>
      </c>
      <c r="AI8278">
        <v>92.575881005576605</v>
      </c>
      <c r="AJ8278">
        <v>88.367007214847604</v>
      </c>
      <c r="AK8278">
        <v>24.920511717573</v>
      </c>
      <c r="AL8278">
        <v>94.758473454095693</v>
      </c>
      <c r="AM8278">
        <v>88.551689983242696</v>
      </c>
      <c r="AN8278">
        <v>1.00000001986148</v>
      </c>
    </row>
    <row r="8279" spans="1:40" x14ac:dyDescent="0.25">
      <c r="A8279" t="str">
        <f>"20190303155011074"</f>
        <v>20190303155011074</v>
      </c>
      <c r="B8279" t="str">
        <f>"1551599411069236"</f>
        <v>1551599411069236</v>
      </c>
      <c r="C8279" t="s">
        <v>40</v>
      </c>
      <c r="D8279">
        <v>4.7755570000000001</v>
      </c>
      <c r="E8279">
        <v>0.49989830000000002</v>
      </c>
      <c r="F8279" t="s">
        <v>41</v>
      </c>
      <c r="G8279">
        <v>-187.50530000000001</v>
      </c>
      <c r="H8279" s="1">
        <v>-3.3214099999999902E-6</v>
      </c>
      <c r="I8279">
        <v>46.343539999999997</v>
      </c>
      <c r="J8279">
        <v>-188.33160000000001</v>
      </c>
      <c r="K8279">
        <v>1.1200129999999999</v>
      </c>
      <c r="L8279">
        <v>21.34103</v>
      </c>
      <c r="M8279">
        <v>5.9627710000000004E-3</v>
      </c>
      <c r="N8279">
        <v>-1.027292E-2</v>
      </c>
      <c r="O8279">
        <v>0.99992939999999997</v>
      </c>
      <c r="P8279">
        <v>2.9871669999999999E-2</v>
      </c>
      <c r="Q8279">
        <v>-9.3213870000000004E-2</v>
      </c>
      <c r="R8279">
        <v>0.99519789999999997</v>
      </c>
      <c r="S8279">
        <v>9.7961430000000002E-2</v>
      </c>
      <c r="T8279">
        <v>-0.1324302</v>
      </c>
      <c r="U8279">
        <v>2.9991150000000002</v>
      </c>
      <c r="V8279">
        <v>2.3917230000000001E-2</v>
      </c>
      <c r="W8279">
        <v>-8.2989350000000003E-2</v>
      </c>
      <c r="X8279">
        <v>0.99626340000000002</v>
      </c>
      <c r="Y8279">
        <v>2.6659410000000001E-2</v>
      </c>
      <c r="Z8279">
        <v>-3.3828440000000001E-2</v>
      </c>
      <c r="AA8279">
        <v>0.99907199999999996</v>
      </c>
      <c r="AB8279">
        <v>37</v>
      </c>
      <c r="AC8279">
        <v>0.82630000000000303</v>
      </c>
      <c r="AD8279">
        <v>-1.1200163214099901</v>
      </c>
      <c r="AE8279">
        <v>25.002510000000001</v>
      </c>
      <c r="AF8279">
        <v>0.67583846969315198</v>
      </c>
      <c r="AG8279">
        <v>-1.1200163214099901</v>
      </c>
      <c r="AH8279">
        <v>24.956966376122399</v>
      </c>
      <c r="AI8279">
        <v>92.568649893210207</v>
      </c>
      <c r="AJ8279">
        <v>88.448800629018905</v>
      </c>
      <c r="AK8279">
        <v>24.991225758178601</v>
      </c>
      <c r="AL8279">
        <v>94.760414479737193</v>
      </c>
      <c r="AM8279">
        <v>88.624768141473993</v>
      </c>
      <c r="AN8279">
        <v>1.0000000141419201</v>
      </c>
    </row>
    <row r="8280" spans="1:40" x14ac:dyDescent="0.25">
      <c r="A8280" t="str">
        <f>"20190303155011095"</f>
        <v>20190303155011095</v>
      </c>
      <c r="B8280" t="str">
        <f>"1551599411088756"</f>
        <v>1551599411088756</v>
      </c>
      <c r="C8280" t="s">
        <v>40</v>
      </c>
      <c r="D8280">
        <v>4.7697560000000001</v>
      </c>
      <c r="E8280">
        <v>0.49979459999999998</v>
      </c>
      <c r="F8280" t="s">
        <v>41</v>
      </c>
      <c r="G8280">
        <v>-187.5446</v>
      </c>
      <c r="H8280" s="1">
        <v>-3.4746850000000002E-6</v>
      </c>
      <c r="I8280">
        <v>46.717080000000003</v>
      </c>
      <c r="J8280">
        <v>-188.3295</v>
      </c>
      <c r="K8280">
        <v>1.1200300000000001</v>
      </c>
      <c r="L8280">
        <v>21.688479999999998</v>
      </c>
      <c r="M8280">
        <v>5.9581369999999996E-3</v>
      </c>
      <c r="N8280">
        <v>-1.027638E-2</v>
      </c>
      <c r="O8280">
        <v>0.99992939999999997</v>
      </c>
      <c r="P8280">
        <v>2.8398679999999999E-2</v>
      </c>
      <c r="Q8280">
        <v>-9.3123570000000003E-2</v>
      </c>
      <c r="R8280">
        <v>0.99524950000000001</v>
      </c>
      <c r="S8280">
        <v>9.3017580000000002E-2</v>
      </c>
      <c r="T8280">
        <v>-0.13237929999999901</v>
      </c>
      <c r="U8280">
        <v>2.999298</v>
      </c>
      <c r="V8280">
        <v>2.245194E-2</v>
      </c>
      <c r="W8280">
        <v>-8.2893889999999998E-2</v>
      </c>
      <c r="X8280">
        <v>0.99630540000000001</v>
      </c>
      <c r="Y8280">
        <v>2.5017359999999999E-2</v>
      </c>
      <c r="Z8280">
        <v>-3.3807419999999998E-2</v>
      </c>
      <c r="AA8280">
        <v>0.99911519999999998</v>
      </c>
      <c r="AB8280">
        <v>37</v>
      </c>
      <c r="AC8280">
        <v>0.78489999999999305</v>
      </c>
      <c r="AD8280">
        <v>-1.12003347468499</v>
      </c>
      <c r="AE8280">
        <v>25.028600000000001</v>
      </c>
      <c r="AF8280">
        <v>0.634485001716946</v>
      </c>
      <c r="AG8280">
        <v>-1.12003347468499</v>
      </c>
      <c r="AH8280">
        <v>24.982851596403901</v>
      </c>
      <c r="AI8280">
        <v>92.566144379916594</v>
      </c>
      <c r="AJ8280">
        <v>88.545182094134205</v>
      </c>
      <c r="AK8280">
        <v>25.015993286091199</v>
      </c>
      <c r="AL8280">
        <v>94.754926332320807</v>
      </c>
      <c r="AM8280">
        <v>88.709046733814105</v>
      </c>
      <c r="AN8280">
        <v>0.99999996833912697</v>
      </c>
    </row>
    <row r="8281" spans="1:40" x14ac:dyDescent="0.25">
      <c r="A8281" t="str">
        <f>"20190303155011118"</f>
        <v>20190303155011118</v>
      </c>
      <c r="B8281" t="str">
        <f>"1551599411109253"</f>
        <v>1551599411109253</v>
      </c>
      <c r="C8281" t="s">
        <v>40</v>
      </c>
      <c r="D8281">
        <v>4.7446840000000003</v>
      </c>
      <c r="E8281">
        <v>0.49968620000000002</v>
      </c>
      <c r="F8281" t="s">
        <v>41</v>
      </c>
      <c r="G8281">
        <v>-187.58439999999999</v>
      </c>
      <c r="H8281" s="1">
        <v>-3.6582380000000002E-6</v>
      </c>
      <c r="I8281">
        <v>47.1614</v>
      </c>
      <c r="J8281">
        <v>-188.3272</v>
      </c>
      <c r="K8281">
        <v>1.120044</v>
      </c>
      <c r="L8281">
        <v>22.0686</v>
      </c>
      <c r="M8281">
        <v>5.9538630000000002E-3</v>
      </c>
      <c r="N8281">
        <v>-1.0280289999999999E-2</v>
      </c>
      <c r="O8281">
        <v>0.99992939999999997</v>
      </c>
      <c r="P8281">
        <v>2.7756579999999999E-2</v>
      </c>
      <c r="Q8281">
        <v>-9.3599970000000005E-2</v>
      </c>
      <c r="R8281">
        <v>0.99522290000000002</v>
      </c>
      <c r="S8281">
        <v>8.7738040000000003E-2</v>
      </c>
      <c r="T8281">
        <v>-0.1318859</v>
      </c>
      <c r="U8281">
        <v>2.9994809999999998</v>
      </c>
      <c r="V8281">
        <v>2.181721E-2</v>
      </c>
      <c r="W8281">
        <v>-8.336578E-2</v>
      </c>
      <c r="X8281">
        <v>0.9962801</v>
      </c>
      <c r="Y8281">
        <v>2.326338E-2</v>
      </c>
      <c r="Z8281">
        <v>-3.3638849999999998E-2</v>
      </c>
      <c r="AA8281">
        <v>0.99916329999999998</v>
      </c>
      <c r="AB8281">
        <v>37</v>
      </c>
      <c r="AC8281">
        <v>0.742800000000016</v>
      </c>
      <c r="AD8281">
        <v>-1.1200476582379999</v>
      </c>
      <c r="AE8281">
        <v>25.0928</v>
      </c>
      <c r="AF8281">
        <v>0.59220097622050005</v>
      </c>
      <c r="AG8281">
        <v>-1.1200476582379999</v>
      </c>
      <c r="AH8281">
        <v>25.046918376857001</v>
      </c>
      <c r="AI8281">
        <v>92.559731447506607</v>
      </c>
      <c r="AJ8281">
        <v>88.645570065508494</v>
      </c>
      <c r="AK8281">
        <v>25.0789419419939</v>
      </c>
      <c r="AL8281">
        <v>94.782057679470796</v>
      </c>
      <c r="AM8281">
        <v>88.745499089525694</v>
      </c>
      <c r="AN8281">
        <v>0.99999994079159904</v>
      </c>
    </row>
    <row r="8282" spans="1:40" x14ac:dyDescent="0.25">
      <c r="A8282" t="str">
        <f>"20190303155011139"</f>
        <v>20190303155011139</v>
      </c>
      <c r="B8282" t="str">
        <f>"1551599411128771"</f>
        <v>1551599411128771</v>
      </c>
      <c r="C8282" t="s">
        <v>40</v>
      </c>
      <c r="D8282">
        <v>4.7047460000000001</v>
      </c>
      <c r="E8282">
        <v>0.49957479999999999</v>
      </c>
      <c r="F8282" t="s">
        <v>41</v>
      </c>
      <c r="G8282">
        <v>-187.61250000000001</v>
      </c>
      <c r="H8282" s="1">
        <v>-3.712208E-6</v>
      </c>
      <c r="I8282">
        <v>47.298810000000003</v>
      </c>
      <c r="J8282">
        <v>-188.32509999999999</v>
      </c>
      <c r="K8282">
        <v>1.120055</v>
      </c>
      <c r="L8282">
        <v>22.4162</v>
      </c>
      <c r="M8282">
        <v>5.9521579999999999E-3</v>
      </c>
      <c r="N8282">
        <v>-1.028401E-2</v>
      </c>
      <c r="O8282">
        <v>0.99992939999999997</v>
      </c>
      <c r="P8282">
        <v>2.7792170000000001E-2</v>
      </c>
      <c r="Q8282">
        <v>-9.3624639999999995E-2</v>
      </c>
      <c r="R8282">
        <v>0.99521959999999998</v>
      </c>
      <c r="S8282">
        <v>8.4976199999999905E-2</v>
      </c>
      <c r="T8282">
        <v>-0.13315769999999999</v>
      </c>
      <c r="U8282">
        <v>2.9995120000000002</v>
      </c>
      <c r="V8282">
        <v>2.1856830000000001E-2</v>
      </c>
      <c r="W8282">
        <v>-8.3386180000000004E-2</v>
      </c>
      <c r="X8282">
        <v>0.99627759999999999</v>
      </c>
      <c r="Y8282">
        <v>2.234535E-2</v>
      </c>
      <c r="Z8282">
        <v>-3.4058499999999998E-2</v>
      </c>
      <c r="AA8282">
        <v>0.99917</v>
      </c>
      <c r="AB8282">
        <v>37</v>
      </c>
      <c r="AC8282">
        <v>0.71259999999998003</v>
      </c>
      <c r="AD8282">
        <v>-1.1200587122079999</v>
      </c>
      <c r="AE8282">
        <v>24.88261</v>
      </c>
      <c r="AF8282">
        <v>0.56333380538350697</v>
      </c>
      <c r="AG8282">
        <v>-1.1200587122079999</v>
      </c>
      <c r="AH8282">
        <v>24.836128327845799</v>
      </c>
      <c r="AI8282">
        <v>92.581510058595299</v>
      </c>
      <c r="AJ8282">
        <v>88.700638214753297</v>
      </c>
      <c r="AK8282">
        <v>24.8677531516682</v>
      </c>
      <c r="AL8282">
        <v>94.783230236070494</v>
      </c>
      <c r="AM8282">
        <v>88.743218496281699</v>
      </c>
      <c r="AN8282">
        <v>1.0000000161472</v>
      </c>
    </row>
    <row r="8283" spans="1:40" x14ac:dyDescent="0.25">
      <c r="A8283" t="str">
        <f>"20190303155011161"</f>
        <v>20190303155011161</v>
      </c>
      <c r="B8283" t="str">
        <f>"1551599411159028"</f>
        <v>1551599411159028</v>
      </c>
      <c r="C8283" t="s">
        <v>40</v>
      </c>
      <c r="D8283">
        <v>4.7137799999999999</v>
      </c>
      <c r="E8283">
        <v>0.49942140000000002</v>
      </c>
      <c r="F8283" t="s">
        <v>41</v>
      </c>
      <c r="G8283">
        <v>-187.61580000000001</v>
      </c>
      <c r="H8283" s="1">
        <v>-3.877225E-6</v>
      </c>
      <c r="I8283">
        <v>47.68486</v>
      </c>
      <c r="J8283">
        <v>-188.32300000000001</v>
      </c>
      <c r="K8283">
        <v>1.1200600000000001</v>
      </c>
      <c r="L8283">
        <v>22.785219999999999</v>
      </c>
      <c r="M8283">
        <v>5.9523090000000002E-3</v>
      </c>
      <c r="N8283">
        <v>-1.028811E-2</v>
      </c>
      <c r="O8283">
        <v>0.99992939999999997</v>
      </c>
      <c r="P8283">
        <v>2.7837400000000002E-2</v>
      </c>
      <c r="Q8283">
        <v>-9.3229740000000005E-2</v>
      </c>
      <c r="R8283">
        <v>0.99525540000000001</v>
      </c>
      <c r="S8283">
        <v>8.4197999999999995E-2</v>
      </c>
      <c r="T8283">
        <v>-0.13295770000000001</v>
      </c>
      <c r="U8283">
        <v>2.9995419999999999</v>
      </c>
      <c r="V8283">
        <v>2.1903720000000002E-2</v>
      </c>
      <c r="W8283">
        <v>-8.2986309999999994E-2</v>
      </c>
      <c r="X8283">
        <v>0.99630989999999997</v>
      </c>
      <c r="Y8283">
        <v>2.2086040000000001E-2</v>
      </c>
      <c r="Z8283">
        <v>-3.3987730000000001E-2</v>
      </c>
      <c r="AA8283">
        <v>0.99917820000000002</v>
      </c>
      <c r="AB8283">
        <v>37</v>
      </c>
      <c r="AC8283">
        <v>0.70719999999997096</v>
      </c>
      <c r="AD8283">
        <v>-1.120063877225</v>
      </c>
      <c r="AE8283">
        <v>24.899640000000002</v>
      </c>
      <c r="AF8283">
        <v>0.55784140841060803</v>
      </c>
      <c r="AG8283">
        <v>-1.120063877225</v>
      </c>
      <c r="AH8283">
        <v>24.853159151142101</v>
      </c>
      <c r="AI8283">
        <v>92.579769072247004</v>
      </c>
      <c r="AJ8283">
        <v>88.714183887558093</v>
      </c>
      <c r="AK8283">
        <v>24.884638834389399</v>
      </c>
      <c r="AL8283">
        <v>94.760239962111598</v>
      </c>
      <c r="AM8283">
        <v>88.740563977886197</v>
      </c>
      <c r="AN8283">
        <v>0.99999995871763103</v>
      </c>
    </row>
    <row r="8284" spans="1:40" x14ac:dyDescent="0.25">
      <c r="A8284" t="str">
        <f>"20190303155011184"</f>
        <v>20190303155011184</v>
      </c>
      <c r="B8284" t="str">
        <f>"1551599411178548"</f>
        <v>1551599411178548</v>
      </c>
      <c r="C8284" t="s">
        <v>40</v>
      </c>
      <c r="D8284">
        <v>4.712637</v>
      </c>
      <c r="E8284">
        <v>0.49932149999999997</v>
      </c>
      <c r="F8284" t="s">
        <v>41</v>
      </c>
      <c r="G8284">
        <v>-187.61429999999999</v>
      </c>
      <c r="H8284" s="1">
        <v>-4.1739430000000001E-6</v>
      </c>
      <c r="I8284">
        <v>48.375880000000002</v>
      </c>
      <c r="J8284">
        <v>-188.32069999999999</v>
      </c>
      <c r="K8284">
        <v>1.12007099999999</v>
      </c>
      <c r="L8284">
        <v>23.160219999999999</v>
      </c>
      <c r="M8284">
        <v>5.9532999999999999E-3</v>
      </c>
      <c r="N8284">
        <v>-1.029241E-2</v>
      </c>
      <c r="O8284">
        <v>0.99992930000000002</v>
      </c>
      <c r="P8284">
        <v>2.8425140000000002E-2</v>
      </c>
      <c r="Q8284">
        <v>-9.266713E-2</v>
      </c>
      <c r="R8284">
        <v>0.99529129999999999</v>
      </c>
      <c r="S8284">
        <v>8.306885E-2</v>
      </c>
      <c r="T8284">
        <v>-0.13129209999999999</v>
      </c>
      <c r="U8284">
        <v>2.999695</v>
      </c>
      <c r="V8284">
        <v>2.2491799999999999E-2</v>
      </c>
      <c r="W8284">
        <v>-8.2418699999999998E-2</v>
      </c>
      <c r="X8284">
        <v>0.99634400000000001</v>
      </c>
      <c r="Y8284">
        <v>2.170849E-2</v>
      </c>
      <c r="Z8284">
        <v>-3.3427909999999998E-2</v>
      </c>
      <c r="AA8284">
        <v>0.99920540000000002</v>
      </c>
      <c r="AB8284">
        <v>37</v>
      </c>
      <c r="AC8284">
        <v>0.70640000000000203</v>
      </c>
      <c r="AD8284">
        <v>-1.1200751739429899</v>
      </c>
      <c r="AE8284">
        <v>25.21566</v>
      </c>
      <c r="AF8284">
        <v>0.55516858292056803</v>
      </c>
      <c r="AG8284">
        <v>-1.1200751739429899</v>
      </c>
      <c r="AH8284">
        <v>25.169794639849599</v>
      </c>
      <c r="AI8284">
        <v>92.547406295542203</v>
      </c>
      <c r="AJ8284">
        <v>88.736435467186297</v>
      </c>
      <c r="AK8284">
        <v>25.2008202795652</v>
      </c>
      <c r="AL8284">
        <v>94.727606102149906</v>
      </c>
      <c r="AM8284">
        <v>88.706805705957294</v>
      </c>
      <c r="AN8284">
        <v>1.0000000447564601</v>
      </c>
    </row>
    <row r="8285" spans="1:40" x14ac:dyDescent="0.25">
      <c r="A8285" t="str">
        <f>"20190303155011217"</f>
        <v>20190303155011217</v>
      </c>
      <c r="B8285" t="str">
        <f>"1551599411208803"</f>
        <v>1551599411208803</v>
      </c>
      <c r="C8285" t="s">
        <v>40</v>
      </c>
      <c r="D8285">
        <v>4.6973129999999896</v>
      </c>
      <c r="E8285">
        <v>0.49917329999999999</v>
      </c>
      <c r="F8285" t="s">
        <v>41</v>
      </c>
      <c r="G8285">
        <v>-187.5934</v>
      </c>
      <c r="H8285" s="1">
        <v>-4.5125630000000003E-6</v>
      </c>
      <c r="I8285">
        <v>49.156579999999998</v>
      </c>
      <c r="J8285">
        <v>-188.31739999999999</v>
      </c>
      <c r="K8285">
        <v>1.1200829999999999</v>
      </c>
      <c r="L8285">
        <v>23.715610000000002</v>
      </c>
      <c r="M8285">
        <v>5.9550089999999998E-3</v>
      </c>
      <c r="N8285">
        <v>-1.0298949999999999E-2</v>
      </c>
      <c r="O8285">
        <v>0.99992919999999996</v>
      </c>
      <c r="P8285">
        <v>2.9130509999999998E-2</v>
      </c>
      <c r="Q8285">
        <v>-9.2523400000000006E-2</v>
      </c>
      <c r="R8285">
        <v>0.99528430000000001</v>
      </c>
      <c r="S8285">
        <v>8.3923339999999999E-2</v>
      </c>
      <c r="T8285">
        <v>-0.1292471</v>
      </c>
      <c r="U8285">
        <v>2.9997560000000001</v>
      </c>
      <c r="V8285">
        <v>2.319707E-2</v>
      </c>
      <c r="W8285">
        <v>-8.2268129999999995E-2</v>
      </c>
      <c r="X8285">
        <v>0.99634020000000001</v>
      </c>
      <c r="Y8285">
        <v>2.199125E-2</v>
      </c>
      <c r="Z8285">
        <v>-3.274034E-2</v>
      </c>
      <c r="AA8285">
        <v>0.9992219</v>
      </c>
      <c r="AB8285">
        <v>37</v>
      </c>
      <c r="AC8285">
        <v>0.72399999999998899</v>
      </c>
      <c r="AD8285">
        <v>-1.1200875125630001</v>
      </c>
      <c r="AE8285">
        <v>25.44097</v>
      </c>
      <c r="AF8285">
        <v>0.57137128316414598</v>
      </c>
      <c r="AG8285">
        <v>-1.1200875125630001</v>
      </c>
      <c r="AH8285">
        <v>25.395644198468698</v>
      </c>
      <c r="AI8285">
        <v>92.5247840151887</v>
      </c>
      <c r="AJ8285">
        <v>88.711131693328596</v>
      </c>
      <c r="AK8285">
        <v>25.426753733700298</v>
      </c>
      <c r="AL8285">
        <v>94.718950025442396</v>
      </c>
      <c r="AM8285">
        <v>88.666264660851795</v>
      </c>
      <c r="AN8285">
        <v>0.99999997170316002</v>
      </c>
    </row>
    <row r="8286" spans="1:40" x14ac:dyDescent="0.25">
      <c r="A8286" t="str">
        <f>"20190303155011241"</f>
        <v>20190303155011241</v>
      </c>
      <c r="B8286" t="str">
        <f>"1551599411239060"</f>
        <v>1551599411239060</v>
      </c>
      <c r="C8286" t="s">
        <v>40</v>
      </c>
      <c r="D8286">
        <v>4.7285909999999998</v>
      </c>
      <c r="E8286">
        <v>0.49902190000000002</v>
      </c>
      <c r="F8286" t="s">
        <v>41</v>
      </c>
      <c r="G8286">
        <v>-187.5789</v>
      </c>
      <c r="H8286" s="1">
        <v>-7.3284149999999998E-7</v>
      </c>
      <c r="I8286">
        <v>49.908549999999998</v>
      </c>
      <c r="J8286">
        <v>-188.315</v>
      </c>
      <c r="K8286">
        <v>1.1200840000000001</v>
      </c>
      <c r="L8286">
        <v>24.110959999999999</v>
      </c>
      <c r="M8286">
        <v>5.9559419999999997E-3</v>
      </c>
      <c r="N8286">
        <v>-1.0303680000000001E-2</v>
      </c>
      <c r="O8286">
        <v>0.99992919999999996</v>
      </c>
      <c r="P8286">
        <v>2.9237809999999999E-2</v>
      </c>
      <c r="Q8286">
        <v>-9.2958260000000001E-2</v>
      </c>
      <c r="R8286">
        <v>0.99524060000000003</v>
      </c>
      <c r="S8286">
        <v>8.4579470000000004E-2</v>
      </c>
      <c r="T8286">
        <v>-0.12828059999999999</v>
      </c>
      <c r="U8286">
        <v>2.9998170000000002</v>
      </c>
      <c r="V8286">
        <v>2.3304419999999999E-2</v>
      </c>
      <c r="W8286">
        <v>-8.2698469999999996E-2</v>
      </c>
      <c r="X8286">
        <v>0.99630209999999997</v>
      </c>
      <c r="Y8286">
        <v>2.2208410000000001E-2</v>
      </c>
      <c r="Z8286">
        <v>-3.2413230000000001E-2</v>
      </c>
      <c r="AA8286">
        <v>0.9992278</v>
      </c>
      <c r="AB8286">
        <v>37</v>
      </c>
      <c r="AC8286">
        <v>0.73609999999999298</v>
      </c>
      <c r="AD8286">
        <v>-1.1200847328415</v>
      </c>
      <c r="AE8286">
        <v>25.79759</v>
      </c>
      <c r="AF8286">
        <v>0.58133483368515804</v>
      </c>
      <c r="AG8286">
        <v>-1.1200847328415</v>
      </c>
      <c r="AH8286">
        <v>25.7530082690702</v>
      </c>
      <c r="AI8286">
        <v>92.489782654166504</v>
      </c>
      <c r="AJ8286">
        <v>88.706854891037807</v>
      </c>
      <c r="AK8286">
        <v>25.783909224638499</v>
      </c>
      <c r="AL8286">
        <v>94.743690846152603</v>
      </c>
      <c r="AM8286">
        <v>88.660043504710202</v>
      </c>
      <c r="AN8286">
        <v>1.00000000369814</v>
      </c>
    </row>
    <row r="8287" spans="1:40" x14ac:dyDescent="0.25">
      <c r="A8287" t="str">
        <f>"20190303155011264"</f>
        <v>20190303155011264</v>
      </c>
      <c r="B8287" t="str">
        <f>"1551599411258582"</f>
        <v>1551599411258582</v>
      </c>
      <c r="C8287" t="s">
        <v>40</v>
      </c>
      <c r="D8287">
        <v>4.722772</v>
      </c>
      <c r="E8287">
        <v>0.49892130000000001</v>
      </c>
      <c r="F8287" t="s">
        <v>41</v>
      </c>
      <c r="G8287">
        <v>-187.58969999999999</v>
      </c>
      <c r="H8287" s="1">
        <v>-8.0666089999999998E-7</v>
      </c>
      <c r="I8287">
        <v>50.133899999999997</v>
      </c>
      <c r="J8287">
        <v>-188.31280000000001</v>
      </c>
      <c r="K8287">
        <v>1.1200859999999999</v>
      </c>
      <c r="L8287">
        <v>24.48254</v>
      </c>
      <c r="M8287">
        <v>5.9565130000000001E-3</v>
      </c>
      <c r="N8287">
        <v>-1.030824E-2</v>
      </c>
      <c r="O8287">
        <v>0.99992910000000002</v>
      </c>
      <c r="P8287">
        <v>2.891759E-2</v>
      </c>
      <c r="Q8287">
        <v>-9.2782870000000003E-2</v>
      </c>
      <c r="R8287">
        <v>0.9952664</v>
      </c>
      <c r="S8287">
        <v>8.3618159999999997E-2</v>
      </c>
      <c r="T8287">
        <v>-0.12911880000000001</v>
      </c>
      <c r="U8287">
        <v>2.9998170000000002</v>
      </c>
      <c r="V8287">
        <v>2.2983980000000001E-2</v>
      </c>
      <c r="W8287">
        <v>-8.2518149999999998E-2</v>
      </c>
      <c r="X8287">
        <v>0.99632449999999995</v>
      </c>
      <c r="Y8287">
        <v>2.188768E-2</v>
      </c>
      <c r="Z8287">
        <v>-3.2687649999999999E-2</v>
      </c>
      <c r="AA8287">
        <v>0.9992259</v>
      </c>
      <c r="AB8287">
        <v>37</v>
      </c>
      <c r="AC8287">
        <v>0.72310000000001595</v>
      </c>
      <c r="AD8287">
        <v>-1.1200868066609</v>
      </c>
      <c r="AE8287">
        <v>25.65136</v>
      </c>
      <c r="AF8287">
        <v>0.56920195255661399</v>
      </c>
      <c r="AG8287">
        <v>-1.1200868066609</v>
      </c>
      <c r="AH8287">
        <v>25.606427244477299</v>
      </c>
      <c r="AI8287">
        <v>92.504040962671894</v>
      </c>
      <c r="AJ8287">
        <v>88.726589255635304</v>
      </c>
      <c r="AK8287">
        <v>25.6372327200881</v>
      </c>
      <c r="AL8287">
        <v>94.733323813259503</v>
      </c>
      <c r="AM8287">
        <v>88.678491271104804</v>
      </c>
      <c r="AN8287">
        <v>1.00000000885815</v>
      </c>
    </row>
    <row r="8288" spans="1:40" x14ac:dyDescent="0.25">
      <c r="A8288" t="str">
        <f>"20190303155011285"</f>
        <v>20190303155011285</v>
      </c>
      <c r="B8288" t="str">
        <f>"1551599411279077"</f>
        <v>1551599411279077</v>
      </c>
      <c r="C8288" t="s">
        <v>40</v>
      </c>
      <c r="D8288">
        <v>4.6921619999999997</v>
      </c>
      <c r="E8288">
        <v>0.49882379999999998</v>
      </c>
      <c r="F8288" t="s">
        <v>41</v>
      </c>
      <c r="G8288">
        <v>-187.5968</v>
      </c>
      <c r="H8288" s="1">
        <v>-9.8975969999999996E-7</v>
      </c>
      <c r="I8288">
        <v>50.67754</v>
      </c>
      <c r="J8288">
        <v>-188.3107</v>
      </c>
      <c r="K8288">
        <v>1.1200870000000001</v>
      </c>
      <c r="L8288">
        <v>24.845549999999999</v>
      </c>
      <c r="M8288">
        <v>5.9567029999999998E-3</v>
      </c>
      <c r="N8288">
        <v>-1.0312699999999999E-2</v>
      </c>
      <c r="O8288">
        <v>0.99992910000000002</v>
      </c>
      <c r="P8288">
        <v>2.805071E-2</v>
      </c>
      <c r="Q8288">
        <v>-9.2743249999999999E-2</v>
      </c>
      <c r="R8288">
        <v>0.99529489999999998</v>
      </c>
      <c r="S8288">
        <v>8.2000729999999994E-2</v>
      </c>
      <c r="T8288">
        <v>-0.1282761</v>
      </c>
      <c r="U8288">
        <v>2.9999389999999999</v>
      </c>
      <c r="V8288">
        <v>2.2117089999999999E-2</v>
      </c>
      <c r="W8288">
        <v>-8.2473699999999997E-2</v>
      </c>
      <c r="X8288">
        <v>0.99634780000000001</v>
      </c>
      <c r="Y8288">
        <v>2.134846E-2</v>
      </c>
      <c r="Z8288">
        <v>-3.2401859999999998E-2</v>
      </c>
      <c r="AA8288">
        <v>0.99924690000000005</v>
      </c>
      <c r="AB8288">
        <v>37</v>
      </c>
      <c r="AC8288">
        <v>0.71389999999999498</v>
      </c>
      <c r="AD8288">
        <v>-1.1200879897597</v>
      </c>
      <c r="AE8288">
        <v>25.831990000000001</v>
      </c>
      <c r="AF8288">
        <v>0.55895555210050296</v>
      </c>
      <c r="AG8288">
        <v>-1.1200879897597</v>
      </c>
      <c r="AH8288">
        <v>25.787337753395299</v>
      </c>
      <c r="AI8288">
        <v>92.486528815193395</v>
      </c>
      <c r="AJ8288">
        <v>88.7582750797432</v>
      </c>
      <c r="AK8288">
        <v>25.817703554377399</v>
      </c>
      <c r="AL8288">
        <v>94.730768310611097</v>
      </c>
      <c r="AM8288">
        <v>88.728347842123398</v>
      </c>
      <c r="AN8288">
        <v>1.00000000771329</v>
      </c>
    </row>
    <row r="8289" spans="1:40" x14ac:dyDescent="0.25">
      <c r="A8289" t="str">
        <f>"20190303155011307"</f>
        <v>20190303155011307</v>
      </c>
      <c r="B8289" t="str">
        <f>"1551599411298596"</f>
        <v>1551599411298596</v>
      </c>
      <c r="C8289" t="s">
        <v>40</v>
      </c>
      <c r="D8289">
        <v>4.7262139999999997</v>
      </c>
      <c r="E8289">
        <v>0.49873050000000002</v>
      </c>
      <c r="F8289" t="s">
        <v>41</v>
      </c>
      <c r="G8289">
        <v>-187.62139999999999</v>
      </c>
      <c r="H8289" s="1">
        <v>-1.136108E-6</v>
      </c>
      <c r="I8289">
        <v>51.126840000000001</v>
      </c>
      <c r="J8289">
        <v>-188.30850000000001</v>
      </c>
      <c r="K8289">
        <v>1.12008</v>
      </c>
      <c r="L8289">
        <v>25.203029999999998</v>
      </c>
      <c r="M8289">
        <v>5.9567219999999898E-3</v>
      </c>
      <c r="N8289">
        <v>-1.031703E-2</v>
      </c>
      <c r="O8289">
        <v>0.99992899999999996</v>
      </c>
      <c r="P8289">
        <v>2.7697369999999999E-2</v>
      </c>
      <c r="Q8289">
        <v>-9.2755089999999998E-2</v>
      </c>
      <c r="R8289">
        <v>0.99530359999999996</v>
      </c>
      <c r="S8289">
        <v>7.8674320000000006E-2</v>
      </c>
      <c r="T8289">
        <v>-0.12786019999999901</v>
      </c>
      <c r="U8289">
        <v>3.0000610000000001</v>
      </c>
      <c r="V8289">
        <v>2.1763930000000001E-2</v>
      </c>
      <c r="W8289">
        <v>-8.2481090000000007E-2</v>
      </c>
      <c r="X8289">
        <v>0.99635490000000004</v>
      </c>
      <c r="Y8289">
        <v>2.0240600000000001E-2</v>
      </c>
      <c r="Z8289">
        <v>-3.225861E-2</v>
      </c>
      <c r="AA8289">
        <v>0.99927460000000001</v>
      </c>
      <c r="AB8289">
        <v>37</v>
      </c>
      <c r="AC8289">
        <v>0.68710000000001503</v>
      </c>
      <c r="AD8289">
        <v>-1.1200811361080001</v>
      </c>
      <c r="AE8289">
        <v>25.92381</v>
      </c>
      <c r="AF8289">
        <v>0.53166682777228902</v>
      </c>
      <c r="AG8289">
        <v>-1.1200811361080001</v>
      </c>
      <c r="AH8289">
        <v>25.8791654051638</v>
      </c>
      <c r="AI8289">
        <v>92.477760756047502</v>
      </c>
      <c r="AJ8289">
        <v>88.823069435641202</v>
      </c>
      <c r="AK8289">
        <v>25.908848940758499</v>
      </c>
      <c r="AL8289">
        <v>94.731193481747297</v>
      </c>
      <c r="AM8289">
        <v>88.748655661916999</v>
      </c>
      <c r="AN8289">
        <v>0.99999994280531901</v>
      </c>
    </row>
    <row r="8290" spans="1:40" x14ac:dyDescent="0.25">
      <c r="A8290" t="str">
        <f>"20190303155011328"</f>
        <v>20190303155011328</v>
      </c>
      <c r="B8290" t="str">
        <f>"1551599411319091"</f>
        <v>1551599411319091</v>
      </c>
      <c r="C8290" t="s">
        <v>40</v>
      </c>
      <c r="D8290">
        <v>4.7144500000000003</v>
      </c>
      <c r="E8290">
        <v>0.49863590000000002</v>
      </c>
      <c r="F8290" t="s">
        <v>41</v>
      </c>
      <c r="G8290">
        <v>-187.63310000000001</v>
      </c>
      <c r="H8290" s="1">
        <v>-1.275213E-6</v>
      </c>
      <c r="I8290">
        <v>51.544759999999997</v>
      </c>
      <c r="J8290">
        <v>-188.3064</v>
      </c>
      <c r="K8290">
        <v>1.120082</v>
      </c>
      <c r="L8290">
        <v>25.55725</v>
      </c>
      <c r="M8290">
        <v>5.9566259999999996E-3</v>
      </c>
      <c r="N8290">
        <v>-1.032139E-2</v>
      </c>
      <c r="O8290">
        <v>0.99992899999999996</v>
      </c>
      <c r="P8290">
        <v>2.7428170000000002E-2</v>
      </c>
      <c r="Q8290">
        <v>-9.2622990000000002E-2</v>
      </c>
      <c r="R8290">
        <v>0.99532339999999997</v>
      </c>
      <c r="S8290">
        <v>7.6919559999999998E-2</v>
      </c>
      <c r="T8290">
        <v>-0.12756869999999901</v>
      </c>
      <c r="U8290">
        <v>3.0001220000000002</v>
      </c>
      <c r="V8290">
        <v>2.1494889999999999E-2</v>
      </c>
      <c r="W8290">
        <v>-8.2344410000000007E-2</v>
      </c>
      <c r="X8290">
        <v>0.99637209999999998</v>
      </c>
      <c r="Y8290">
        <v>1.965633E-2</v>
      </c>
      <c r="Z8290">
        <v>-3.2157039999999998E-2</v>
      </c>
      <c r="AA8290">
        <v>0.99928950000000005</v>
      </c>
      <c r="AB8290">
        <v>37</v>
      </c>
      <c r="AC8290">
        <v>0.67329999999998302</v>
      </c>
      <c r="AD8290">
        <v>-1.1200832752130001</v>
      </c>
      <c r="AE8290">
        <v>25.98751</v>
      </c>
      <c r="AF8290">
        <v>0.51752118667817604</v>
      </c>
      <c r="AG8290">
        <v>-1.1200832752130001</v>
      </c>
      <c r="AH8290">
        <v>25.942898402965799</v>
      </c>
      <c r="AI8290">
        <v>92.4717157648777</v>
      </c>
      <c r="AJ8290">
        <v>88.857188311860597</v>
      </c>
      <c r="AK8290">
        <v>25.972223475641702</v>
      </c>
      <c r="AL8290">
        <v>94.723335307618797</v>
      </c>
      <c r="AM8290">
        <v>88.764140952966798</v>
      </c>
      <c r="AN8290">
        <v>0.99999999690638497</v>
      </c>
    </row>
    <row r="8291" spans="1:40" x14ac:dyDescent="0.25">
      <c r="A8291" t="str">
        <f>"20190303155011351"</f>
        <v>20190303155011351</v>
      </c>
      <c r="B8291" t="str">
        <f>"1551599411338611"</f>
        <v>1551599411338611</v>
      </c>
      <c r="C8291" t="s">
        <v>40</v>
      </c>
      <c r="D8291">
        <v>4.7218280000000004</v>
      </c>
      <c r="E8291">
        <v>0.49854520000000002</v>
      </c>
      <c r="F8291" t="s">
        <v>41</v>
      </c>
      <c r="G8291">
        <v>-187.64089999999999</v>
      </c>
      <c r="H8291" s="1">
        <v>-1.4525390000000001E-6</v>
      </c>
      <c r="I8291">
        <v>52.043199999999999</v>
      </c>
      <c r="J8291">
        <v>-188.30410000000001</v>
      </c>
      <c r="K8291">
        <v>1.1200829999999999</v>
      </c>
      <c r="L8291">
        <v>25.941009999999999</v>
      </c>
      <c r="M8291">
        <v>5.9564459999999998E-3</v>
      </c>
      <c r="N8291">
        <v>-1.0326119999999999E-2</v>
      </c>
      <c r="O8291">
        <v>0.99992899999999996</v>
      </c>
      <c r="P8291">
        <v>2.7780610000000001E-2</v>
      </c>
      <c r="Q8291">
        <v>-9.2855960000000001E-2</v>
      </c>
      <c r="R8291">
        <v>0.99529190000000001</v>
      </c>
      <c r="S8291">
        <v>7.5393680000000005E-2</v>
      </c>
      <c r="T8291">
        <v>-0.1268783</v>
      </c>
      <c r="U8291">
        <v>3.0002140000000002</v>
      </c>
      <c r="V8291">
        <v>2.1847829999999999E-2</v>
      </c>
      <c r="W8291">
        <v>-8.2572939999999997E-2</v>
      </c>
      <c r="X8291">
        <v>0.9963455</v>
      </c>
      <c r="Y8291">
        <v>1.9148169999999999E-2</v>
      </c>
      <c r="Z8291">
        <v>-3.1921940000000003E-2</v>
      </c>
      <c r="AA8291">
        <v>0.9993069</v>
      </c>
      <c r="AB8291">
        <v>37</v>
      </c>
      <c r="AC8291">
        <v>0.663200000000017</v>
      </c>
      <c r="AD8291">
        <v>-1.1200844525389999</v>
      </c>
      <c r="AE8291">
        <v>26.10219</v>
      </c>
      <c r="AF8291">
        <v>0.50677110229020705</v>
      </c>
      <c r="AG8291">
        <v>-1.1200844525389999</v>
      </c>
      <c r="AH8291">
        <v>26.057725742892</v>
      </c>
      <c r="AI8291">
        <v>92.460863995567095</v>
      </c>
      <c r="AJ8291">
        <v>88.885851138371393</v>
      </c>
      <c r="AK8291">
        <v>26.0867107359804</v>
      </c>
      <c r="AL8291">
        <v>94.736473904003205</v>
      </c>
      <c r="AM8291">
        <v>88.743821421854307</v>
      </c>
      <c r="AN8291">
        <v>0.99999998673310098</v>
      </c>
    </row>
    <row r="8292" spans="1:40" x14ac:dyDescent="0.25">
      <c r="A8292" t="str">
        <f>"20190303155011373"</f>
        <v>20190303155011373</v>
      </c>
      <c r="B8292" t="str">
        <f>"1551599411368867"</f>
        <v>1551599411368867</v>
      </c>
      <c r="C8292" t="s">
        <v>40</v>
      </c>
      <c r="D8292">
        <v>4.7256470000000004</v>
      </c>
      <c r="E8292">
        <v>0.49840319999999999</v>
      </c>
      <c r="F8292" t="s">
        <v>41</v>
      </c>
      <c r="G8292">
        <v>-187.63849999999999</v>
      </c>
      <c r="H8292" s="1">
        <v>-1.5790649999999999E-6</v>
      </c>
      <c r="I8292">
        <v>52.33717</v>
      </c>
      <c r="J8292">
        <v>-188.30199999999999</v>
      </c>
      <c r="K8292">
        <v>1.120082</v>
      </c>
      <c r="L8292">
        <v>26.304780000000001</v>
      </c>
      <c r="M8292">
        <v>5.9562369999999996E-3</v>
      </c>
      <c r="N8292">
        <v>-1.033062E-2</v>
      </c>
      <c r="O8292">
        <v>0.99992890000000001</v>
      </c>
      <c r="P8292">
        <v>2.7891699999999998E-2</v>
      </c>
      <c r="Q8292">
        <v>-9.3224810000000005E-2</v>
      </c>
      <c r="R8292">
        <v>0.99525430000000004</v>
      </c>
      <c r="S8292">
        <v>7.5653079999999998E-2</v>
      </c>
      <c r="T8292">
        <v>-0.1273099</v>
      </c>
      <c r="U8292">
        <v>3.0002140000000002</v>
      </c>
      <c r="V8292">
        <v>2.195944E-2</v>
      </c>
      <c r="W8292">
        <v>-8.2937620000000004E-2</v>
      </c>
      <c r="X8292">
        <v>0.9963128</v>
      </c>
      <c r="Y8292">
        <v>1.9234569999999999E-2</v>
      </c>
      <c r="Z8292">
        <v>-3.2060869999999998E-2</v>
      </c>
      <c r="AA8292">
        <v>0.99930079999999999</v>
      </c>
      <c r="AB8292">
        <v>37</v>
      </c>
      <c r="AC8292">
        <v>0.66350000000002696</v>
      </c>
      <c r="AD8292">
        <v>-1.1200835790649999</v>
      </c>
      <c r="AE8292">
        <v>26.032389999999999</v>
      </c>
      <c r="AF8292">
        <v>0.50748598027186298</v>
      </c>
      <c r="AG8292">
        <v>-1.1200835790649999</v>
      </c>
      <c r="AH8292">
        <v>25.9878008115457</v>
      </c>
      <c r="AI8292">
        <v>92.467471472681694</v>
      </c>
      <c r="AJ8292">
        <v>88.8812785711808</v>
      </c>
      <c r="AK8292">
        <v>26.016877604063801</v>
      </c>
      <c r="AL8292">
        <v>94.757440237313901</v>
      </c>
      <c r="AM8292">
        <v>88.737364858670006</v>
      </c>
      <c r="AN8292">
        <v>1.0000000306301</v>
      </c>
    </row>
    <row r="8293" spans="1:40" x14ac:dyDescent="0.25">
      <c r="A8293" t="str">
        <f>"20190303155011397"</f>
        <v>20190303155011397</v>
      </c>
      <c r="B8293" t="str">
        <f>"1551599411388388"</f>
        <v>1551599411388388</v>
      </c>
      <c r="C8293" t="s">
        <v>40</v>
      </c>
      <c r="D8293">
        <v>4.7183929999999998</v>
      </c>
      <c r="E8293">
        <v>0.49831370000000003</v>
      </c>
      <c r="F8293" t="s">
        <v>41</v>
      </c>
      <c r="G8293">
        <v>-187.6454</v>
      </c>
      <c r="H8293" s="1">
        <v>-1.673364E-6</v>
      </c>
      <c r="I8293">
        <v>52.559829999999998</v>
      </c>
      <c r="J8293">
        <v>-188.2996</v>
      </c>
      <c r="K8293">
        <v>1.1200779999999999</v>
      </c>
      <c r="L8293">
        <v>26.704989999999999</v>
      </c>
      <c r="M8293">
        <v>5.9559740000000002E-3</v>
      </c>
      <c r="N8293">
        <v>-1.0335570000000001E-2</v>
      </c>
      <c r="O8293">
        <v>0.99992879999999995</v>
      </c>
      <c r="P8293">
        <v>2.805415E-2</v>
      </c>
      <c r="Q8293">
        <v>-9.3125979999999997E-2</v>
      </c>
      <c r="R8293">
        <v>0.995259</v>
      </c>
      <c r="S8293">
        <v>7.5027469999999999E-2</v>
      </c>
      <c r="T8293">
        <v>-0.1279941</v>
      </c>
      <c r="U8293">
        <v>3.0002140000000002</v>
      </c>
      <c r="V8293">
        <v>2.212221E-2</v>
      </c>
      <c r="W8293">
        <v>-8.2833799999999999E-2</v>
      </c>
      <c r="X8293">
        <v>0.99631780000000003</v>
      </c>
      <c r="Y8293">
        <v>1.9026439999999999E-2</v>
      </c>
      <c r="Z8293">
        <v>-3.2283560000000003E-2</v>
      </c>
      <c r="AA8293">
        <v>0.99929760000000001</v>
      </c>
      <c r="AB8293">
        <v>37</v>
      </c>
      <c r="AC8293">
        <v>0.654200000000002</v>
      </c>
      <c r="AD8293">
        <v>-1.1200796733639999</v>
      </c>
      <c r="AE8293">
        <v>25.854839999999999</v>
      </c>
      <c r="AF8293">
        <v>0.49925301711074699</v>
      </c>
      <c r="AG8293">
        <v>-1.1200796733639999</v>
      </c>
      <c r="AH8293">
        <v>25.809869432546598</v>
      </c>
      <c r="AI8293">
        <v>92.484461036407097</v>
      </c>
      <c r="AJ8293">
        <v>88.8918377159508</v>
      </c>
      <c r="AK8293">
        <v>25.838985896797102</v>
      </c>
      <c r="AL8293">
        <v>94.751471422340401</v>
      </c>
      <c r="AM8293">
        <v>88.728015270624098</v>
      </c>
      <c r="AN8293">
        <v>0.99999999459728195</v>
      </c>
    </row>
    <row r="8294" spans="1:40" x14ac:dyDescent="0.25">
      <c r="A8294" t="str">
        <f>"20190303155011418"</f>
        <v>20190303155011418</v>
      </c>
      <c r="B8294" t="str">
        <f>"1551599411408884"</f>
        <v>1551599411408884</v>
      </c>
      <c r="C8294" t="s">
        <v>40</v>
      </c>
      <c r="D8294">
        <v>4.7390809999999997</v>
      </c>
      <c r="E8294">
        <v>0.49822379999999999</v>
      </c>
      <c r="F8294" t="s">
        <v>41</v>
      </c>
      <c r="G8294">
        <v>-187.6439</v>
      </c>
      <c r="H8294" s="1">
        <v>-1.9049759999999999E-6</v>
      </c>
      <c r="I8294">
        <v>53.099089999999997</v>
      </c>
      <c r="J8294">
        <v>-188.29750000000001</v>
      </c>
      <c r="K8294">
        <v>1.1200760000000001</v>
      </c>
      <c r="L8294">
        <v>27.060359999999999</v>
      </c>
      <c r="M8294">
        <v>5.9556870000000003E-3</v>
      </c>
      <c r="N8294">
        <v>-1.033996E-2</v>
      </c>
      <c r="O8294">
        <v>0.99992879999999995</v>
      </c>
      <c r="P8294">
        <v>2.8676529999999999E-2</v>
      </c>
      <c r="Q8294">
        <v>-9.3359139999999993E-2</v>
      </c>
      <c r="R8294">
        <v>0.99521939999999998</v>
      </c>
      <c r="S8294">
        <v>7.4539179999999997E-2</v>
      </c>
      <c r="T8294">
        <v>-0.12732199999999999</v>
      </c>
      <c r="U8294">
        <v>3.0002749999999998</v>
      </c>
      <c r="V8294">
        <v>2.274516E-2</v>
      </c>
      <c r="W8294">
        <v>-8.306297E-2</v>
      </c>
      <c r="X8294">
        <v>0.99628470000000002</v>
      </c>
      <c r="Y8294">
        <v>1.8863939999999999E-2</v>
      </c>
      <c r="Z8294">
        <v>-3.2055019999999997E-2</v>
      </c>
      <c r="AA8294">
        <v>0.99930799999999997</v>
      </c>
      <c r="AB8294">
        <v>37</v>
      </c>
      <c r="AC8294">
        <v>0.65360000000001095</v>
      </c>
      <c r="AD8294">
        <v>-1.1200779049759999</v>
      </c>
      <c r="AE8294">
        <v>26.038730000000001</v>
      </c>
      <c r="AF8294">
        <v>0.49758146326854402</v>
      </c>
      <c r="AG8294">
        <v>-1.1200779049759999</v>
      </c>
      <c r="AH8294">
        <v>25.994092778585198</v>
      </c>
      <c r="AI8294">
        <v>92.466880838535502</v>
      </c>
      <c r="AJ8294">
        <v>88.903372520432598</v>
      </c>
      <c r="AK8294">
        <v>26.022971029601901</v>
      </c>
      <c r="AL8294">
        <v>94.764647270010201</v>
      </c>
      <c r="AM8294">
        <v>88.692165673041103</v>
      </c>
      <c r="AN8294">
        <v>1.0000000013713599</v>
      </c>
    </row>
    <row r="8295" spans="1:40" x14ac:dyDescent="0.25">
      <c r="A8295" t="str">
        <f>"20190303155011441"</f>
        <v>20190303155011441</v>
      </c>
      <c r="B8295" t="str">
        <f>"1551599411428403"</f>
        <v>1551599411428403</v>
      </c>
      <c r="C8295" t="s">
        <v>40</v>
      </c>
      <c r="D8295">
        <v>4.7622739999999997</v>
      </c>
      <c r="E8295">
        <v>0.49813610000000003</v>
      </c>
      <c r="F8295" t="s">
        <v>41</v>
      </c>
      <c r="G8295">
        <v>-187.63319999999999</v>
      </c>
      <c r="H8295" s="1">
        <v>-2.02607E-6</v>
      </c>
      <c r="I8295">
        <v>53.376959999999997</v>
      </c>
      <c r="J8295">
        <v>-188.2953</v>
      </c>
      <c r="K8295">
        <v>1.120082</v>
      </c>
      <c r="L8295">
        <v>27.432829999999999</v>
      </c>
      <c r="M8295">
        <v>5.9553649999999998E-3</v>
      </c>
      <c r="N8295">
        <v>-1.0344610000000001E-2</v>
      </c>
      <c r="O8295">
        <v>0.99992879999999995</v>
      </c>
      <c r="P8295">
        <v>2.9288089999999999E-2</v>
      </c>
      <c r="Q8295">
        <v>-9.3382049999999994E-2</v>
      </c>
      <c r="R8295">
        <v>0.99519950000000001</v>
      </c>
      <c r="S8295">
        <v>7.5729370000000004E-2</v>
      </c>
      <c r="T8295">
        <v>-0.12769539999999999</v>
      </c>
      <c r="U8295">
        <v>3.0002439999999999</v>
      </c>
      <c r="V8295">
        <v>2.3357200000000002E-2</v>
      </c>
      <c r="W8295">
        <v>-8.3081420000000003E-2</v>
      </c>
      <c r="X8295">
        <v>0.99626899999999996</v>
      </c>
      <c r="Y8295">
        <v>1.926046E-2</v>
      </c>
      <c r="Z8295">
        <v>-3.2174599999999998E-2</v>
      </c>
      <c r="AA8295">
        <v>0.99929670000000004</v>
      </c>
      <c r="AB8295">
        <v>37</v>
      </c>
      <c r="AC8295">
        <v>0.66210000000000901</v>
      </c>
      <c r="AD8295">
        <v>-1.12008402607</v>
      </c>
      <c r="AE8295">
        <v>25.944130000000001</v>
      </c>
      <c r="AF8295">
        <v>0.50662953948040301</v>
      </c>
      <c r="AG8295">
        <v>-1.12008402607</v>
      </c>
      <c r="AH8295">
        <v>25.899370673349001</v>
      </c>
      <c r="AI8295">
        <v>92.475885240212094</v>
      </c>
      <c r="AJ8295">
        <v>88.879353745317502</v>
      </c>
      <c r="AK8295">
        <v>25.928529904166599</v>
      </c>
      <c r="AL8295">
        <v>94.7657080466346</v>
      </c>
      <c r="AM8295">
        <v>88.656965269710298</v>
      </c>
      <c r="AN8295">
        <v>1.0000000007510199</v>
      </c>
    </row>
    <row r="8296" spans="1:40" x14ac:dyDescent="0.25">
      <c r="A8296" t="str">
        <f>"20190303155011464"</f>
        <v>20190303155011464</v>
      </c>
      <c r="B8296" t="str">
        <f>"1551599411458660"</f>
        <v>1551599411458660</v>
      </c>
      <c r="C8296" t="s">
        <v>40</v>
      </c>
      <c r="D8296">
        <v>4.7893600000000003</v>
      </c>
      <c r="E8296">
        <v>0.49802079999999999</v>
      </c>
      <c r="F8296" t="s">
        <v>41</v>
      </c>
      <c r="G8296">
        <v>-187.619</v>
      </c>
      <c r="H8296" s="1">
        <v>-2.212256E-6</v>
      </c>
      <c r="I8296">
        <v>53.805079999999997</v>
      </c>
      <c r="J8296">
        <v>-188.29300000000001</v>
      </c>
      <c r="K8296">
        <v>1.1200870000000001</v>
      </c>
      <c r="L8296">
        <v>27.820070000000001</v>
      </c>
      <c r="M8296">
        <v>5.9550139999999998E-3</v>
      </c>
      <c r="N8296">
        <v>-1.0349550000000001E-2</v>
      </c>
      <c r="O8296">
        <v>0.9999287</v>
      </c>
      <c r="P8296">
        <v>2.8854109999999999E-2</v>
      </c>
      <c r="Q8296">
        <v>-9.2987340000000002E-2</v>
      </c>
      <c r="R8296">
        <v>0.9952491</v>
      </c>
      <c r="S8296">
        <v>7.6934810000000006E-2</v>
      </c>
      <c r="T8296">
        <v>-0.1274266</v>
      </c>
      <c r="U8296">
        <v>3.0002439999999999</v>
      </c>
      <c r="V8296">
        <v>2.2923329999999999E-2</v>
      </c>
      <c r="W8296">
        <v>-8.2681279999999996E-2</v>
      </c>
      <c r="X8296">
        <v>0.99631239999999999</v>
      </c>
      <c r="Y8296">
        <v>1.9662019999999999E-2</v>
      </c>
      <c r="Z8296">
        <v>-3.2079919999999998E-2</v>
      </c>
      <c r="AA8296">
        <v>0.99929190000000001</v>
      </c>
      <c r="AB8296">
        <v>37</v>
      </c>
      <c r="AC8296">
        <v>0.67399999999997795</v>
      </c>
      <c r="AD8296">
        <v>-1.120089212256</v>
      </c>
      <c r="AE8296">
        <v>25.985009999999999</v>
      </c>
      <c r="AF8296">
        <v>0.51827631950197794</v>
      </c>
      <c r="AG8296">
        <v>-1.120089212256</v>
      </c>
      <c r="AH8296">
        <v>25.940396721461699</v>
      </c>
      <c r="AI8296">
        <v>92.471965397878904</v>
      </c>
      <c r="AJ8296">
        <v>88.855410895812497</v>
      </c>
      <c r="AK8296">
        <v>25.969739934269398</v>
      </c>
      <c r="AL8296">
        <v>94.7427023947115</v>
      </c>
      <c r="AM8296">
        <v>88.681961227890596</v>
      </c>
      <c r="AN8296">
        <v>1.0000000357572401</v>
      </c>
    </row>
    <row r="8297" spans="1:40" x14ac:dyDescent="0.25">
      <c r="A8297" t="str">
        <f>"20190303155011485"</f>
        <v>20190303155011485</v>
      </c>
      <c r="B8297" t="str">
        <f>"1551599411479157"</f>
        <v>1551599411479157</v>
      </c>
      <c r="C8297" t="s">
        <v>40</v>
      </c>
      <c r="D8297">
        <v>4.7975130000000004</v>
      </c>
      <c r="E8297">
        <v>0.49799399999999999</v>
      </c>
      <c r="F8297" t="s">
        <v>41</v>
      </c>
      <c r="G8297">
        <v>-187.62629999999999</v>
      </c>
      <c r="H8297" s="1">
        <v>-2.5386920000000001E-6</v>
      </c>
      <c r="I8297">
        <v>54.569020000000002</v>
      </c>
      <c r="J8297">
        <v>-188.29069999999999</v>
      </c>
      <c r="K8297">
        <v>1.120088</v>
      </c>
      <c r="L8297">
        <v>28.201419999999999</v>
      </c>
      <c r="M8297">
        <v>5.9546470000000004E-3</v>
      </c>
      <c r="N8297">
        <v>-1.035443E-2</v>
      </c>
      <c r="O8297">
        <v>0.9999287</v>
      </c>
      <c r="P8297">
        <v>2.8354669999999998E-2</v>
      </c>
      <c r="Q8297">
        <v>-9.2491599999999993E-2</v>
      </c>
      <c r="R8297">
        <v>0.99530969999999996</v>
      </c>
      <c r="S8297">
        <v>7.4783329999999995E-2</v>
      </c>
      <c r="T8297">
        <v>-0.12564040000000001</v>
      </c>
      <c r="U8297">
        <v>3.0004270000000002</v>
      </c>
      <c r="V8297">
        <v>2.242396E-2</v>
      </c>
      <c r="W8297">
        <v>-8.2180100000000006E-2</v>
      </c>
      <c r="X8297">
        <v>0.99636519999999995</v>
      </c>
      <c r="Y8297">
        <v>1.8945460000000001E-2</v>
      </c>
      <c r="Z8297">
        <v>-3.1479300000000002E-2</v>
      </c>
      <c r="AA8297">
        <v>0.99932489999999996</v>
      </c>
      <c r="AB8297">
        <v>37</v>
      </c>
      <c r="AC8297">
        <v>0.66439999999999999</v>
      </c>
      <c r="AD8297">
        <v>-1.1200905386919999</v>
      </c>
      <c r="AE8297">
        <v>26.3675999999999</v>
      </c>
      <c r="AF8297">
        <v>0.50645671940565196</v>
      </c>
      <c r="AG8297">
        <v>-1.1200905386919999</v>
      </c>
      <c r="AH8297">
        <v>26.323617236388699</v>
      </c>
      <c r="AI8297">
        <v>92.436060244875705</v>
      </c>
      <c r="AJ8297">
        <v>88.897786249686604</v>
      </c>
      <c r="AK8297">
        <v>26.352303990949199</v>
      </c>
      <c r="AL8297">
        <v>94.713888972832507</v>
      </c>
      <c r="AM8297">
        <v>88.710732356905694</v>
      </c>
      <c r="AN8297">
        <v>1.0000000072945601</v>
      </c>
    </row>
    <row r="8298" spans="1:40" x14ac:dyDescent="0.25">
      <c r="A8298" t="str">
        <f>"20190303155011508"</f>
        <v>20190303155011508</v>
      </c>
      <c r="B8298" t="str">
        <f>"1551599411498676"</f>
        <v>1551599411498676</v>
      </c>
      <c r="C8298" t="s">
        <v>40</v>
      </c>
      <c r="D8298">
        <v>4.8144679999999997</v>
      </c>
      <c r="E8298">
        <v>0.49796829999999997</v>
      </c>
      <c r="F8298" t="s">
        <v>41</v>
      </c>
      <c r="G8298">
        <v>-187.63140000000001</v>
      </c>
      <c r="H8298" s="1">
        <v>-2.8862509999999999E-6</v>
      </c>
      <c r="I8298">
        <v>55.381309999999999</v>
      </c>
      <c r="J8298">
        <v>-188.2885</v>
      </c>
      <c r="K8298">
        <v>1.1200840000000001</v>
      </c>
      <c r="L8298">
        <v>28.56024</v>
      </c>
      <c r="M8298">
        <v>5.9542950000000001E-3</v>
      </c>
      <c r="N8298">
        <v>-1.0359149999999999E-2</v>
      </c>
      <c r="O8298">
        <v>0.99992859999999995</v>
      </c>
      <c r="P8298">
        <v>2.7606950000000002E-2</v>
      </c>
      <c r="Q8298">
        <v>-9.2875429999999995E-2</v>
      </c>
      <c r="R8298">
        <v>0.99529489999999998</v>
      </c>
      <c r="S8298">
        <v>7.2784420000000002E-2</v>
      </c>
      <c r="T8298">
        <v>-0.12365470000000001</v>
      </c>
      <c r="U8298">
        <v>3.0005799999999998</v>
      </c>
      <c r="V8298">
        <v>2.1676689999999998E-2</v>
      </c>
      <c r="W8298">
        <v>-8.255933E-2</v>
      </c>
      <c r="X8298">
        <v>0.99635039999999997</v>
      </c>
      <c r="Y8298">
        <v>1.8279960000000001E-2</v>
      </c>
      <c r="Z8298">
        <v>-3.0812929999999999E-2</v>
      </c>
      <c r="AA8298">
        <v>0.99935799999999997</v>
      </c>
      <c r="AB8298">
        <v>37</v>
      </c>
      <c r="AC8298">
        <v>0.65709999999998503</v>
      </c>
      <c r="AD8298">
        <v>-1.1200868862510001</v>
      </c>
      <c r="AE8298">
        <v>26.821069999999899</v>
      </c>
      <c r="AF8298">
        <v>0.49651380533831502</v>
      </c>
      <c r="AG8298">
        <v>-1.1200868862510001</v>
      </c>
      <c r="AH8298">
        <v>26.7778342307838</v>
      </c>
      <c r="AI8298">
        <v>92.394810993393804</v>
      </c>
      <c r="AJ8298">
        <v>88.937745086424698</v>
      </c>
      <c r="AK8298">
        <v>26.805848740209299</v>
      </c>
      <c r="AL8298">
        <v>94.735691275449796</v>
      </c>
      <c r="AM8298">
        <v>88.753664422107704</v>
      </c>
      <c r="AN8298">
        <v>1.0000000207197799</v>
      </c>
    </row>
    <row r="8299" spans="1:40" x14ac:dyDescent="0.25">
      <c r="A8299" t="str">
        <f>"20190303155011529"</f>
        <v>20190303155011529</v>
      </c>
      <c r="B8299" t="str">
        <f>"1551599411519172"</f>
        <v>1551599411519172</v>
      </c>
      <c r="C8299" t="s">
        <v>40</v>
      </c>
      <c r="D8299">
        <v>4.8040589999999996</v>
      </c>
      <c r="E8299">
        <v>0.49794719999999998</v>
      </c>
      <c r="F8299" t="s">
        <v>41</v>
      </c>
      <c r="G8299">
        <v>-187.6534</v>
      </c>
      <c r="H8299" s="1">
        <v>-2.9757819999999999E-6</v>
      </c>
      <c r="I8299">
        <v>55.5991199999999</v>
      </c>
      <c r="J8299">
        <v>-188.28639999999999</v>
      </c>
      <c r="K8299">
        <v>1.120082</v>
      </c>
      <c r="L8299">
        <v>28.926030000000001</v>
      </c>
      <c r="M8299">
        <v>5.9539079999999999E-3</v>
      </c>
      <c r="N8299">
        <v>-1.036407E-2</v>
      </c>
      <c r="O8299">
        <v>0.99992859999999995</v>
      </c>
      <c r="P8299">
        <v>2.7721030000000001E-2</v>
      </c>
      <c r="Q8299">
        <v>-9.2543239999999999E-2</v>
      </c>
      <c r="R8299">
        <v>0.9953227</v>
      </c>
      <c r="S8299">
        <v>7.0480349999999997E-2</v>
      </c>
      <c r="T8299">
        <v>-0.12430049999999999</v>
      </c>
      <c r="U8299">
        <v>3.00061</v>
      </c>
      <c r="V8299">
        <v>2.1791020000000001E-2</v>
      </c>
      <c r="W8299">
        <v>-8.2222000000000003E-2</v>
      </c>
      <c r="X8299">
        <v>0.99637580000000003</v>
      </c>
      <c r="Y8299">
        <v>1.75132E-2</v>
      </c>
      <c r="Z8299">
        <v>-3.1022919999999999E-2</v>
      </c>
      <c r="AA8299">
        <v>0.99936519999999995</v>
      </c>
      <c r="AB8299">
        <v>38</v>
      </c>
      <c r="AC8299">
        <v>0.63299999999998102</v>
      </c>
      <c r="AD8299">
        <v>-1.1200849757819999</v>
      </c>
      <c r="AE8299">
        <v>26.673089999999899</v>
      </c>
      <c r="AF8299">
        <v>0.47333690968495701</v>
      </c>
      <c r="AG8299">
        <v>-1.1200849757819999</v>
      </c>
      <c r="AH8299">
        <v>26.629453776308399</v>
      </c>
      <c r="AI8299">
        <v>92.408168704530297</v>
      </c>
      <c r="AJ8299">
        <v>88.981678265501003</v>
      </c>
      <c r="AK8299">
        <v>26.657202527789501</v>
      </c>
      <c r="AL8299">
        <v>94.716297756446096</v>
      </c>
      <c r="AM8299">
        <v>88.747124857216406</v>
      </c>
      <c r="AN8299">
        <v>1.0000000203311401</v>
      </c>
    </row>
    <row r="8300" spans="1:40" x14ac:dyDescent="0.25">
      <c r="A8300" t="str">
        <f>"20190303155011551"</f>
        <v>20190303155011551</v>
      </c>
      <c r="B8300" t="str">
        <f>"1551599411538691"</f>
        <v>1551599411538691</v>
      </c>
      <c r="C8300" t="s">
        <v>40</v>
      </c>
      <c r="D8300">
        <v>4.8088249999999997</v>
      </c>
      <c r="E8300">
        <v>0.49791960000000002</v>
      </c>
      <c r="F8300" t="s">
        <v>41</v>
      </c>
      <c r="G8300">
        <v>-187.6429</v>
      </c>
      <c r="H8300" s="1">
        <v>-3.277403E-6</v>
      </c>
      <c r="I8300">
        <v>56.297849999999997</v>
      </c>
      <c r="J8300">
        <v>-188.2842</v>
      </c>
      <c r="K8300">
        <v>1.1200829999999999</v>
      </c>
      <c r="L8300">
        <v>29.285710000000002</v>
      </c>
      <c r="M8300">
        <v>5.9535050000000004E-3</v>
      </c>
      <c r="N8300">
        <v>-1.036869E-2</v>
      </c>
      <c r="O8300">
        <v>0.9999285</v>
      </c>
      <c r="P8300">
        <v>2.7824080000000001E-2</v>
      </c>
      <c r="Q8300">
        <v>-9.2702629999999994E-2</v>
      </c>
      <c r="R8300">
        <v>0.995305</v>
      </c>
      <c r="S8300">
        <v>7.0541380000000001E-2</v>
      </c>
      <c r="T8300">
        <v>-0.122792</v>
      </c>
      <c r="U8300">
        <v>3.000702</v>
      </c>
      <c r="V8300">
        <v>2.189458E-2</v>
      </c>
      <c r="W8300">
        <v>-8.2376930000000001E-2</v>
      </c>
      <c r="X8300">
        <v>0.99636069999999999</v>
      </c>
      <c r="Y8300">
        <v>1.75336E-2</v>
      </c>
      <c r="Z8300">
        <v>-3.0515520000000001E-2</v>
      </c>
      <c r="AA8300">
        <v>0.9993805</v>
      </c>
      <c r="AB8300">
        <v>38</v>
      </c>
      <c r="AC8300">
        <v>0.64130000000000098</v>
      </c>
      <c r="AD8300">
        <v>-1.120086277403</v>
      </c>
      <c r="AE8300">
        <v>27.012139999999999</v>
      </c>
      <c r="AF8300">
        <v>0.47963883254518003</v>
      </c>
      <c r="AG8300">
        <v>-1.120086277403</v>
      </c>
      <c r="AH8300">
        <v>26.969133954420901</v>
      </c>
      <c r="AI8300">
        <v>92.377874852697204</v>
      </c>
      <c r="AJ8300">
        <v>88.981117303258301</v>
      </c>
      <c r="AK8300">
        <v>26.996644845795402</v>
      </c>
      <c r="AL8300">
        <v>94.725204961020196</v>
      </c>
      <c r="AM8300">
        <v>88.741153512689394</v>
      </c>
      <c r="AN8300">
        <v>0.99999998786704503</v>
      </c>
    </row>
    <row r="8301" spans="1:40" x14ac:dyDescent="0.25">
      <c r="A8301" t="str">
        <f>"20190303155011574"</f>
        <v>20190303155011574</v>
      </c>
      <c r="B8301" t="str">
        <f>"1551599411568948"</f>
        <v>1551599411568948</v>
      </c>
      <c r="C8301" t="s">
        <v>40</v>
      </c>
      <c r="D8301">
        <v>4.8457319999999999</v>
      </c>
      <c r="E8301">
        <v>0.49789529999999899</v>
      </c>
      <c r="F8301" t="s">
        <v>41</v>
      </c>
      <c r="G8301">
        <v>-187.6395</v>
      </c>
      <c r="H8301" s="1">
        <v>-3.430148E-6</v>
      </c>
      <c r="I8301">
        <v>56.65249</v>
      </c>
      <c r="J8301">
        <v>-188.28190000000001</v>
      </c>
      <c r="K8301">
        <v>1.120079</v>
      </c>
      <c r="L8301">
        <v>29.680240000000001</v>
      </c>
      <c r="M8301">
        <v>5.9530590000000001E-3</v>
      </c>
      <c r="N8301">
        <v>-1.037357E-2</v>
      </c>
      <c r="O8301">
        <v>0.9999285</v>
      </c>
      <c r="P8301">
        <v>2.8079340000000001E-2</v>
      </c>
      <c r="Q8301">
        <v>-9.2621239999999994E-2</v>
      </c>
      <c r="R8301">
        <v>0.99530540000000001</v>
      </c>
      <c r="S8301">
        <v>7.0693969999999995E-2</v>
      </c>
      <c r="T8301">
        <v>-0.1228161</v>
      </c>
      <c r="U8301">
        <v>3.0007320000000002</v>
      </c>
      <c r="V8301">
        <v>2.215029E-2</v>
      </c>
      <c r="W8301">
        <v>-8.229069E-2</v>
      </c>
      <c r="X8301">
        <v>0.99636219999999998</v>
      </c>
      <c r="Y8301">
        <v>1.7584579999999999E-2</v>
      </c>
      <c r="Z8301">
        <v>-3.0518199999999999E-2</v>
      </c>
      <c r="AA8301">
        <v>0.99937949999999998</v>
      </c>
      <c r="AB8301">
        <v>38</v>
      </c>
      <c r="AC8301">
        <v>0.64240000000000896</v>
      </c>
      <c r="AD8301">
        <v>-1.1200824301479999</v>
      </c>
      <c r="AE8301">
        <v>26.972249999999999</v>
      </c>
      <c r="AF8301">
        <v>0.480983593816737</v>
      </c>
      <c r="AG8301">
        <v>-1.1200824301479999</v>
      </c>
      <c r="AH8301">
        <v>26.929183154696201</v>
      </c>
      <c r="AI8301">
        <v>92.381387086741597</v>
      </c>
      <c r="AJ8301">
        <v>88.976745792261497</v>
      </c>
      <c r="AK8301">
        <v>26.956758619074002</v>
      </c>
      <c r="AL8301">
        <v>94.720246819184894</v>
      </c>
      <c r="AM8301">
        <v>88.726457991375199</v>
      </c>
      <c r="AN8301">
        <v>1.0000000132983</v>
      </c>
    </row>
    <row r="8302" spans="1:40" x14ac:dyDescent="0.25">
      <c r="A8302" t="str">
        <f>"20190303155011597"</f>
        <v>20190303155011597</v>
      </c>
      <c r="B8302" t="str">
        <f>"1551599411588468"</f>
        <v>1551599411588468</v>
      </c>
      <c r="C8302" t="s">
        <v>40</v>
      </c>
      <c r="D8302">
        <v>4.8465870000000004</v>
      </c>
      <c r="E8302">
        <v>0.4978687</v>
      </c>
      <c r="F8302" t="s">
        <v>41</v>
      </c>
      <c r="G8302">
        <v>-187.6259</v>
      </c>
      <c r="H8302" s="1">
        <v>-3.7014260000000001E-6</v>
      </c>
      <c r="I8302">
        <v>57.279240000000001</v>
      </c>
      <c r="J8302">
        <v>-188.27959999999999</v>
      </c>
      <c r="K8302">
        <v>1.120077</v>
      </c>
      <c r="L8302">
        <v>30.063230000000001</v>
      </c>
      <c r="M8302">
        <v>5.9526319999999898E-3</v>
      </c>
      <c r="N8302">
        <v>-1.0378220000000001E-2</v>
      </c>
      <c r="O8302">
        <v>0.99992840000000005</v>
      </c>
      <c r="P8302">
        <v>2.8025000000000001E-2</v>
      </c>
      <c r="Q8302">
        <v>-9.2549140000000002E-2</v>
      </c>
      <c r="R8302">
        <v>0.99531360000000002</v>
      </c>
      <c r="S8302">
        <v>7.1319579999999994E-2</v>
      </c>
      <c r="T8302">
        <v>-0.1217847</v>
      </c>
      <c r="U8302">
        <v>3.0007929999999998</v>
      </c>
      <c r="V8302">
        <v>2.2096339999999999E-2</v>
      </c>
      <c r="W8302">
        <v>-8.2213830000000002E-2</v>
      </c>
      <c r="X8302">
        <v>0.99636970000000002</v>
      </c>
      <c r="Y8302">
        <v>1.7792990000000002E-2</v>
      </c>
      <c r="Z8302">
        <v>-3.0169649999999999E-2</v>
      </c>
      <c r="AA8302">
        <v>0.99938640000000001</v>
      </c>
      <c r="AB8302">
        <v>38</v>
      </c>
      <c r="AC8302">
        <v>0.65369999999998596</v>
      </c>
      <c r="AD8302">
        <v>-1.1200807014259999</v>
      </c>
      <c r="AE8302">
        <v>27.216010000000001</v>
      </c>
      <c r="AF8302">
        <v>0.490841910419344</v>
      </c>
      <c r="AG8302">
        <v>-1.1200807014259999</v>
      </c>
      <c r="AH8302">
        <v>27.173420717551899</v>
      </c>
      <c r="AI8302">
        <v>92.359995040565593</v>
      </c>
      <c r="AJ8302">
        <v>88.965161138135301</v>
      </c>
      <c r="AK8302">
        <v>27.200924617589902</v>
      </c>
      <c r="AL8302">
        <v>94.715828294863201</v>
      </c>
      <c r="AM8302">
        <v>88.729568415663195</v>
      </c>
      <c r="AN8302">
        <v>0.99999997058137602</v>
      </c>
    </row>
    <row r="8303" spans="1:40" x14ac:dyDescent="0.25">
      <c r="A8303" t="str">
        <f>"20190303155011618"</f>
        <v>20190303155011618</v>
      </c>
      <c r="B8303" t="str">
        <f>"1551599411608964"</f>
        <v>1551599411608964</v>
      </c>
      <c r="C8303" t="s">
        <v>40</v>
      </c>
      <c r="D8303">
        <v>4.8197739999999998</v>
      </c>
      <c r="E8303">
        <v>0.49783959999999999</v>
      </c>
      <c r="F8303" t="s">
        <v>41</v>
      </c>
      <c r="G8303">
        <v>-187.6234</v>
      </c>
      <c r="H8303" s="1">
        <v>-3.9316410000000003E-6</v>
      </c>
      <c r="I8303">
        <v>57.81485</v>
      </c>
      <c r="J8303">
        <v>-188.2775</v>
      </c>
      <c r="K8303">
        <v>1.1200730000000001</v>
      </c>
      <c r="L8303">
        <v>30.426819999999999</v>
      </c>
      <c r="M8303">
        <v>5.9522569999999999E-3</v>
      </c>
      <c r="N8303">
        <v>-1.0382590000000001E-2</v>
      </c>
      <c r="O8303">
        <v>0.99992840000000005</v>
      </c>
      <c r="P8303">
        <v>2.841983E-2</v>
      </c>
      <c r="Q8303">
        <v>-9.2816910000000002E-2</v>
      </c>
      <c r="R8303">
        <v>0.99527750000000004</v>
      </c>
      <c r="S8303">
        <v>7.0953370000000002E-2</v>
      </c>
      <c r="T8303">
        <v>-0.12111719999999999</v>
      </c>
      <c r="U8303">
        <v>3.0008539999999999</v>
      </c>
      <c r="V8303">
        <v>2.249176E-2</v>
      </c>
      <c r="W8303">
        <v>-8.2477610000000007E-2</v>
      </c>
      <c r="X8303">
        <v>0.99633910000000003</v>
      </c>
      <c r="Y8303">
        <v>1.767119E-2</v>
      </c>
      <c r="Z8303">
        <v>-2.9942650000000001E-2</v>
      </c>
      <c r="AA8303">
        <v>0.99939540000000004</v>
      </c>
      <c r="AB8303">
        <v>38</v>
      </c>
      <c r="AC8303">
        <v>0.65409999999999902</v>
      </c>
      <c r="AD8303">
        <v>-1.120076931641</v>
      </c>
      <c r="AE8303">
        <v>27.388030000000001</v>
      </c>
      <c r="AF8303">
        <v>0.49023956014831799</v>
      </c>
      <c r="AG8303">
        <v>-1.120076931641</v>
      </c>
      <c r="AH8303">
        <v>27.345727855558401</v>
      </c>
      <c r="AI8303">
        <v>92.345139060396406</v>
      </c>
      <c r="AJ8303">
        <v>88.972941978351898</v>
      </c>
      <c r="AK8303">
        <v>27.373047676672599</v>
      </c>
      <c r="AL8303">
        <v>94.730993050367204</v>
      </c>
      <c r="AM8303">
        <v>88.706801647262495</v>
      </c>
      <c r="AN8303">
        <v>1.0000000188039999</v>
      </c>
    </row>
    <row r="8304" spans="1:40" x14ac:dyDescent="0.25">
      <c r="A8304" t="str">
        <f>"20190303155011642"</f>
        <v>20190303155011642</v>
      </c>
      <c r="B8304" t="str">
        <f>"1551599411628484"</f>
        <v>1551599411628484</v>
      </c>
      <c r="C8304" t="s">
        <v>40</v>
      </c>
      <c r="D8304">
        <v>4.8220689999999999</v>
      </c>
      <c r="E8304">
        <v>0.49781330000000001</v>
      </c>
      <c r="F8304" t="s">
        <v>41</v>
      </c>
      <c r="G8304">
        <v>-187.61349999999999</v>
      </c>
      <c r="H8304" s="1">
        <v>-4.0514020000000003E-6</v>
      </c>
      <c r="I8304">
        <v>58.0899199999999</v>
      </c>
      <c r="J8304">
        <v>-188.27520000000001</v>
      </c>
      <c r="K8304">
        <v>1.120077</v>
      </c>
      <c r="L8304">
        <v>30.80322</v>
      </c>
      <c r="M8304">
        <v>5.951886E-3</v>
      </c>
      <c r="N8304">
        <v>-1.038709E-2</v>
      </c>
      <c r="O8304">
        <v>0.99992840000000005</v>
      </c>
      <c r="P8304">
        <v>2.859109E-2</v>
      </c>
      <c r="Q8304">
        <v>-9.2802709999999997E-2</v>
      </c>
      <c r="R8304">
        <v>0.99527390000000004</v>
      </c>
      <c r="S8304">
        <v>7.2021479999999999E-2</v>
      </c>
      <c r="T8304">
        <v>-0.121504399999999</v>
      </c>
      <c r="U8304">
        <v>3.0008539999999999</v>
      </c>
      <c r="V8304">
        <v>2.2663429999999998E-2</v>
      </c>
      <c r="W8304">
        <v>-8.2458980000000001E-2</v>
      </c>
      <c r="X8304">
        <v>0.99633680000000002</v>
      </c>
      <c r="Y8304">
        <v>1.802689E-2</v>
      </c>
      <c r="Z8304">
        <v>-3.0066590000000001E-2</v>
      </c>
      <c r="AA8304">
        <v>0.99938530000000003</v>
      </c>
      <c r="AB8304">
        <v>38</v>
      </c>
      <c r="AC8304">
        <v>0.66170000000002405</v>
      </c>
      <c r="AD8304">
        <v>-1.1200810514020001</v>
      </c>
      <c r="AE8304">
        <v>27.2867</v>
      </c>
      <c r="AF8304">
        <v>0.49843283868489202</v>
      </c>
      <c r="AG8304">
        <v>-1.1200810514020001</v>
      </c>
      <c r="AH8304">
        <v>27.244275899697399</v>
      </c>
      <c r="AI8304">
        <v>92.353855064787197</v>
      </c>
      <c r="AJ8304">
        <v>88.951893139361502</v>
      </c>
      <c r="AK8304">
        <v>27.2718460349721</v>
      </c>
      <c r="AL8304">
        <v>94.729921754380499</v>
      </c>
      <c r="AM8304">
        <v>88.696931599719804</v>
      </c>
      <c r="AN8304">
        <v>1.0000000667381199</v>
      </c>
    </row>
    <row r="8305" spans="1:40" x14ac:dyDescent="0.25">
      <c r="A8305" t="str">
        <f>"20190303155011664"</f>
        <v>20190303155011664</v>
      </c>
      <c r="B8305" t="str">
        <f>"1551599411658740"</f>
        <v>1551599411658740</v>
      </c>
      <c r="C8305" t="s">
        <v>40</v>
      </c>
      <c r="D8305">
        <v>4.8139260000000004</v>
      </c>
      <c r="E8305">
        <v>0.49776559999999997</v>
      </c>
      <c r="F8305" t="s">
        <v>41</v>
      </c>
      <c r="G8305">
        <v>-187.60730000000001</v>
      </c>
      <c r="H8305" s="1">
        <v>-4.2590269999999999E-6</v>
      </c>
      <c r="I8305">
        <v>58.571339999999999</v>
      </c>
      <c r="J8305">
        <v>-188.27279999999999</v>
      </c>
      <c r="K8305">
        <v>1.1200760000000001</v>
      </c>
      <c r="L8305">
        <v>31.19971</v>
      </c>
      <c r="M8305">
        <v>5.9514769999999897E-3</v>
      </c>
      <c r="N8305">
        <v>-1.039198E-2</v>
      </c>
      <c r="O8305">
        <v>0.99992829999999999</v>
      </c>
      <c r="P8305">
        <v>2.8391820000000002E-2</v>
      </c>
      <c r="Q8305">
        <v>-9.3082719999999994E-2</v>
      </c>
      <c r="R8305">
        <v>0.99525350000000001</v>
      </c>
      <c r="S8305">
        <v>7.2174070000000007E-2</v>
      </c>
      <c r="T8305">
        <v>-0.1210465</v>
      </c>
      <c r="U8305">
        <v>3.0008849999999998</v>
      </c>
      <c r="V8305">
        <v>2.2464680000000001E-2</v>
      </c>
      <c r="W8305">
        <v>-8.2734310000000005E-2</v>
      </c>
      <c r="X8305">
        <v>0.99631840000000005</v>
      </c>
      <c r="Y8305">
        <v>1.8077949999999999E-2</v>
      </c>
      <c r="Z8305">
        <v>-2.9909020000000001E-2</v>
      </c>
      <c r="AA8305">
        <v>0.99938910000000003</v>
      </c>
      <c r="AB8305">
        <v>38</v>
      </c>
      <c r="AC8305">
        <v>0.66549999999998</v>
      </c>
      <c r="AD8305">
        <v>-1.120080259027</v>
      </c>
      <c r="AE8305">
        <v>27.37163</v>
      </c>
      <c r="AF8305">
        <v>0.50173810391836005</v>
      </c>
      <c r="AG8305">
        <v>-1.120080259027</v>
      </c>
      <c r="AH8305">
        <v>27.329368876946099</v>
      </c>
      <c r="AI8305">
        <v>92.346529879477998</v>
      </c>
      <c r="AJ8305">
        <v>88.948228670254196</v>
      </c>
      <c r="AK8305">
        <v>27.3569136439726</v>
      </c>
      <c r="AL8305">
        <v>94.745751448313698</v>
      </c>
      <c r="AM8305">
        <v>88.708331299057505</v>
      </c>
      <c r="AN8305">
        <v>0.99999999103861903</v>
      </c>
    </row>
    <row r="8306" spans="1:40" x14ac:dyDescent="0.25">
      <c r="A8306" t="str">
        <f>"20190303155011687"</f>
        <v>20190303155011687</v>
      </c>
      <c r="B8306" t="str">
        <f>"1551599411678612"</f>
        <v>1551599411678612</v>
      </c>
      <c r="C8306" t="s">
        <v>40</v>
      </c>
      <c r="D8306">
        <v>4.9360280000000003</v>
      </c>
      <c r="E8306">
        <v>0.4977454</v>
      </c>
      <c r="F8306" t="s">
        <v>41</v>
      </c>
      <c r="G8306">
        <v>-187.61510000000001</v>
      </c>
      <c r="H8306" s="1">
        <v>-4.4090179999999997E-6</v>
      </c>
      <c r="I8306">
        <v>58.924160000000001</v>
      </c>
      <c r="J8306">
        <v>-188.2705</v>
      </c>
      <c r="K8306">
        <v>1.120074</v>
      </c>
      <c r="L8306">
        <v>31.58643</v>
      </c>
      <c r="M8306">
        <v>5.9510550000000002E-3</v>
      </c>
      <c r="N8306">
        <v>-1.039677E-2</v>
      </c>
      <c r="O8306">
        <v>0.99992820000000004</v>
      </c>
      <c r="P8306">
        <v>2.8262969999999998E-2</v>
      </c>
      <c r="Q8306">
        <v>-9.3560019999999994E-2</v>
      </c>
      <c r="R8306">
        <v>0.9952124</v>
      </c>
      <c r="S8306">
        <v>7.1197510000000006E-2</v>
      </c>
      <c r="T8306">
        <v>-0.1212395</v>
      </c>
      <c r="U8306">
        <v>3.0009459999999999</v>
      </c>
      <c r="V8306">
        <v>2.2336490000000001E-2</v>
      </c>
      <c r="W8306">
        <v>-8.3207229999999993E-2</v>
      </c>
      <c r="X8306">
        <v>0.99628190000000005</v>
      </c>
      <c r="Y8306">
        <v>1.7752879999999999E-2</v>
      </c>
      <c r="Z8306">
        <v>-2.9967850000000001E-2</v>
      </c>
      <c r="AA8306">
        <v>0.99939319999999998</v>
      </c>
      <c r="AB8306">
        <v>38</v>
      </c>
      <c r="AC8306">
        <v>0.65539999999998599</v>
      </c>
      <c r="AD8306">
        <v>-1.120078409018</v>
      </c>
      <c r="AE8306">
        <v>27.337730000000001</v>
      </c>
      <c r="AF8306">
        <v>0.49186603876412699</v>
      </c>
      <c r="AG8306">
        <v>-1.120078409018</v>
      </c>
      <c r="AH8306">
        <v>27.295352125494301</v>
      </c>
      <c r="AI8306">
        <v>92.349461541788799</v>
      </c>
      <c r="AJ8306">
        <v>88.967633825803105</v>
      </c>
      <c r="AK8306">
        <v>27.3227516091839</v>
      </c>
      <c r="AL8306">
        <v>94.772941510937102</v>
      </c>
      <c r="AM8306">
        <v>88.715652424589805</v>
      </c>
      <c r="AN8306">
        <v>0.99999999308870102</v>
      </c>
    </row>
    <row r="8307" spans="1:40" x14ac:dyDescent="0.25">
      <c r="A8307" t="str">
        <f>"20190303155011709"</f>
        <v>20190303155011709</v>
      </c>
      <c r="B8307" t="str">
        <f>"1551599411699108"</f>
        <v>1551599411699108</v>
      </c>
      <c r="C8307" t="s">
        <v>40</v>
      </c>
      <c r="D8307">
        <v>4.8063779999999996</v>
      </c>
      <c r="E8307">
        <v>0.4977258</v>
      </c>
      <c r="F8307" t="s">
        <v>41</v>
      </c>
      <c r="G8307">
        <v>-187.62100000000001</v>
      </c>
      <c r="H8307" s="1">
        <v>-4.4806330000000002E-6</v>
      </c>
      <c r="I8307">
        <v>59.093559999999997</v>
      </c>
      <c r="J8307">
        <v>-188.26830000000001</v>
      </c>
      <c r="K8307">
        <v>1.120077</v>
      </c>
      <c r="L8307">
        <v>31.95844</v>
      </c>
      <c r="M8307">
        <v>5.9506250000000002E-3</v>
      </c>
      <c r="N8307">
        <v>-1.040136E-2</v>
      </c>
      <c r="O8307">
        <v>0.99992820000000004</v>
      </c>
      <c r="P8307">
        <v>2.8401780000000001E-2</v>
      </c>
      <c r="Q8307">
        <v>-9.3549679999999996E-2</v>
      </c>
      <c r="R8307">
        <v>0.99520940000000002</v>
      </c>
      <c r="S8307">
        <v>7.0861820000000006E-2</v>
      </c>
      <c r="T8307">
        <v>-0.12219729999999999</v>
      </c>
      <c r="U8307">
        <v>3.0009459999999999</v>
      </c>
      <c r="V8307">
        <v>2.2475740000000001E-2</v>
      </c>
      <c r="W8307">
        <v>-8.3192349999999998E-2</v>
      </c>
      <c r="X8307">
        <v>0.99628000000000005</v>
      </c>
      <c r="Y8307">
        <v>1.7641359999999998E-2</v>
      </c>
      <c r="Z8307">
        <v>-3.0281740000000001E-2</v>
      </c>
      <c r="AA8307">
        <v>0.99938570000000004</v>
      </c>
      <c r="AB8307">
        <v>38</v>
      </c>
      <c r="AC8307">
        <v>0.64730000000002896</v>
      </c>
      <c r="AD8307">
        <v>-1.1200814806329999</v>
      </c>
      <c r="AE8307">
        <v>27.135119999999901</v>
      </c>
      <c r="AF8307">
        <v>0.48498300305015402</v>
      </c>
      <c r="AG8307">
        <v>-1.1200814806329999</v>
      </c>
      <c r="AH8307">
        <v>27.092356041915298</v>
      </c>
      <c r="AI8307">
        <v>92.367057043370806</v>
      </c>
      <c r="AJ8307">
        <v>88.974451997552094</v>
      </c>
      <c r="AK8307">
        <v>27.119836779346802</v>
      </c>
      <c r="AL8307">
        <v>94.772086035635098</v>
      </c>
      <c r="AM8307">
        <v>88.707645796580707</v>
      </c>
      <c r="AN8307">
        <v>0.99999998219353403</v>
      </c>
    </row>
    <row r="8308" spans="1:40" x14ac:dyDescent="0.25">
      <c r="A8308" t="str">
        <f>"20190303155011731"</f>
        <v>20190303155011731</v>
      </c>
      <c r="B8308" t="str">
        <f>"1551599411718628"</f>
        <v>1551599411718628</v>
      </c>
      <c r="C8308" t="s">
        <v>40</v>
      </c>
      <c r="D8308">
        <v>4.808878</v>
      </c>
      <c r="E8308">
        <v>0.4976739</v>
      </c>
      <c r="F8308" t="s">
        <v>41</v>
      </c>
      <c r="G8308">
        <v>-187.61160000000001</v>
      </c>
      <c r="H8308" s="1">
        <v>-4.695602E-6</v>
      </c>
      <c r="I8308">
        <v>59.5907699999999</v>
      </c>
      <c r="J8308">
        <v>-188.26609999999999</v>
      </c>
      <c r="K8308">
        <v>1.120074</v>
      </c>
      <c r="L8308">
        <v>32.318659999999902</v>
      </c>
      <c r="M8308">
        <v>5.9502019999999999E-3</v>
      </c>
      <c r="N8308">
        <v>-1.040582E-2</v>
      </c>
      <c r="O8308">
        <v>0.99992820000000004</v>
      </c>
      <c r="P8308">
        <v>2.870168E-2</v>
      </c>
      <c r="Q8308">
        <v>-9.3250979999999997E-2</v>
      </c>
      <c r="R8308">
        <v>0.99522880000000002</v>
      </c>
      <c r="S8308">
        <v>7.1319579999999994E-2</v>
      </c>
      <c r="T8308">
        <v>-0.12164510000000001</v>
      </c>
      <c r="U8308">
        <v>3.0009769999999998</v>
      </c>
      <c r="V8308">
        <v>2.2775960000000001E-2</v>
      </c>
      <c r="W8308">
        <v>-8.2889009999999999E-2</v>
      </c>
      <c r="X8308">
        <v>0.99629849999999998</v>
      </c>
      <c r="Y8308">
        <v>1.7794009999999999E-2</v>
      </c>
      <c r="Z8308">
        <v>-3.0093180000000001E-2</v>
      </c>
      <c r="AA8308">
        <v>0.99938870000000002</v>
      </c>
      <c r="AB8308">
        <v>38</v>
      </c>
      <c r="AC8308">
        <v>0.65449999999998398</v>
      </c>
      <c r="AD8308">
        <v>-1.1200786956019999</v>
      </c>
      <c r="AE8308">
        <v>27.272110000000001</v>
      </c>
      <c r="AF8308">
        <v>0.49137670048161702</v>
      </c>
      <c r="AG8308">
        <v>-1.1200786956019999</v>
      </c>
      <c r="AH8308">
        <v>27.229617720137099</v>
      </c>
      <c r="AI8308">
        <v>92.355126464173097</v>
      </c>
      <c r="AJ8308">
        <v>88.966171471288305</v>
      </c>
      <c r="AK8308">
        <v>27.257074467574899</v>
      </c>
      <c r="AL8308">
        <v>94.754645532801405</v>
      </c>
      <c r="AM8308">
        <v>88.690413439506202</v>
      </c>
      <c r="AN8308">
        <v>1.0000000167174701</v>
      </c>
    </row>
    <row r="8309" spans="1:40" x14ac:dyDescent="0.25">
      <c r="A8309" t="str">
        <f>"20190303155011753"</f>
        <v>20190303155011753</v>
      </c>
      <c r="B8309" t="str">
        <f>"1551599411748884"</f>
        <v>1551599411748884</v>
      </c>
      <c r="C8309" t="s">
        <v>40</v>
      </c>
      <c r="D8309">
        <v>4.8022419999999997</v>
      </c>
      <c r="E8309">
        <v>0.48582559999999902</v>
      </c>
      <c r="F8309" t="s">
        <v>41</v>
      </c>
      <c r="G8309">
        <v>-187.59880000000001</v>
      </c>
      <c r="H8309" s="1">
        <v>-8.4216409999999996E-7</v>
      </c>
      <c r="I8309">
        <v>60.245350000000002</v>
      </c>
      <c r="J8309">
        <v>-188.26390000000001</v>
      </c>
      <c r="K8309">
        <v>1.120072</v>
      </c>
      <c r="L8309">
        <v>32.704159999999902</v>
      </c>
      <c r="M8309">
        <v>5.9497780000000002E-3</v>
      </c>
      <c r="N8309">
        <v>-1.0410640000000001E-2</v>
      </c>
      <c r="O8309">
        <v>0.99992809999999999</v>
      </c>
      <c r="P8309">
        <v>2.8928280000000001E-2</v>
      </c>
      <c r="Q8309">
        <v>-9.3161820000000006E-2</v>
      </c>
      <c r="R8309">
        <v>0.99523059999999997</v>
      </c>
      <c r="S8309">
        <v>7.1716310000000005E-2</v>
      </c>
      <c r="T8309">
        <v>-0.12036470000000001</v>
      </c>
      <c r="U8309">
        <v>3.0010379999999999</v>
      </c>
      <c r="V8309">
        <v>2.3002959999999999E-2</v>
      </c>
      <c r="W8309">
        <v>-8.2795019999999997E-2</v>
      </c>
      <c r="X8309">
        <v>0.99630110000000005</v>
      </c>
      <c r="Y8309">
        <v>1.7926310000000001E-2</v>
      </c>
      <c r="Z8309">
        <v>-2.9661759999999999E-2</v>
      </c>
      <c r="AA8309">
        <v>0.99939920000000004</v>
      </c>
      <c r="AB8309">
        <v>38</v>
      </c>
      <c r="AC8309">
        <v>0.66509999999999503</v>
      </c>
      <c r="AD8309">
        <v>-1.1200728421641</v>
      </c>
      <c r="AE8309">
        <v>27.54119</v>
      </c>
      <c r="AF8309">
        <v>0.50038823450134695</v>
      </c>
      <c r="AG8309">
        <v>-1.1200728421641</v>
      </c>
      <c r="AH8309">
        <v>27.4992035813375</v>
      </c>
      <c r="AI8309">
        <v>92.332045283214796</v>
      </c>
      <c r="AJ8309">
        <v>88.957534527720597</v>
      </c>
      <c r="AK8309">
        <v>27.5265535286354</v>
      </c>
      <c r="AL8309">
        <v>94.749241728198498</v>
      </c>
      <c r="AM8309">
        <v>88.677369313779494</v>
      </c>
      <c r="AN8309">
        <v>1.00000001668338</v>
      </c>
    </row>
    <row r="8310" spans="1:40" x14ac:dyDescent="0.25">
      <c r="A8310" t="str">
        <f>"20190303155011776"</f>
        <v>20190303155011776</v>
      </c>
      <c r="B8310" t="str">
        <f>"1551599411769380"</f>
        <v>1551599411769380</v>
      </c>
      <c r="C8310" t="s">
        <v>40</v>
      </c>
      <c r="D8310">
        <v>4.709193</v>
      </c>
      <c r="E8310">
        <v>0.48821989999999998</v>
      </c>
      <c r="F8310" t="s">
        <v>59</v>
      </c>
      <c r="G8310">
        <v>-188.86089999999999</v>
      </c>
      <c r="H8310" s="1">
        <v>-1.6680439999999999E-6</v>
      </c>
      <c r="I8310">
        <v>122.3805</v>
      </c>
      <c r="J8310">
        <v>-188.26150000000001</v>
      </c>
      <c r="K8310">
        <v>1.1200760000000001</v>
      </c>
      <c r="L8310">
        <v>33.101230000000001</v>
      </c>
      <c r="M8310">
        <v>5.949345E-3</v>
      </c>
      <c r="N8310">
        <v>-1.041568E-2</v>
      </c>
      <c r="O8310">
        <v>0.99992809999999999</v>
      </c>
      <c r="P8310">
        <v>2.9239319999999999E-2</v>
      </c>
      <c r="Q8310">
        <v>-9.3357620000000002E-2</v>
      </c>
      <c r="R8310">
        <v>0.99520319999999995</v>
      </c>
      <c r="S8310">
        <v>-2.005005E-2</v>
      </c>
      <c r="T8310">
        <v>-3.7613510000000003E-2</v>
      </c>
      <c r="U8310">
        <v>3.011444</v>
      </c>
      <c r="V8310">
        <v>2.3314600000000001E-2</v>
      </c>
      <c r="W8310">
        <v>-8.2986069999999995E-2</v>
      </c>
      <c r="X8310">
        <v>0.99627790000000005</v>
      </c>
      <c r="Y8310">
        <v>-1.2605699999999999E-2</v>
      </c>
      <c r="Z8310">
        <v>-2.0724950000000002E-3</v>
      </c>
      <c r="AA8310">
        <v>0.99991839999999999</v>
      </c>
      <c r="AB8310">
        <v>38</v>
      </c>
      <c r="AC8310">
        <v>-0.59939999999997395</v>
      </c>
      <c r="AD8310">
        <v>-1.1200776680439899</v>
      </c>
      <c r="AE8310">
        <v>89.279269999999997</v>
      </c>
      <c r="AF8310">
        <v>-1.13039344848638</v>
      </c>
      <c r="AG8310">
        <v>-1.1200776680439899</v>
      </c>
      <c r="AH8310">
        <v>89.260074988906496</v>
      </c>
      <c r="AI8310">
        <v>90.718879187754496</v>
      </c>
      <c r="AJ8310">
        <v>90.725557442566995</v>
      </c>
      <c r="AK8310">
        <v>89.274259170020699</v>
      </c>
      <c r="AL8310">
        <v>94.760226175503306</v>
      </c>
      <c r="AM8310">
        <v>88.659425838643699</v>
      </c>
      <c r="AN8310">
        <v>0.99999995620780602</v>
      </c>
    </row>
    <row r="8311" spans="1:40" x14ac:dyDescent="0.25">
      <c r="A8311" t="str">
        <f>"20190303155011799"</f>
        <v>20190303155011799</v>
      </c>
      <c r="B8311" t="str">
        <f>"1551599411789407"</f>
        <v>1551599411789407</v>
      </c>
      <c r="C8311" t="s">
        <v>40</v>
      </c>
      <c r="D8311">
        <v>4.7371939999999997</v>
      </c>
      <c r="E8311">
        <v>0.48609960000000002</v>
      </c>
      <c r="F8311" t="s">
        <v>47</v>
      </c>
      <c r="G8311">
        <v>-188.21960000000001</v>
      </c>
      <c r="H8311" s="1">
        <v>3.442967E-6</v>
      </c>
      <c r="I8311">
        <v>217.142</v>
      </c>
      <c r="J8311">
        <v>-188.2593</v>
      </c>
      <c r="K8311">
        <v>1.1200699999999999</v>
      </c>
      <c r="L8311">
        <v>33.47137</v>
      </c>
      <c r="M8311">
        <v>5.9489599999999997E-3</v>
      </c>
      <c r="N8311">
        <v>-1.042042E-2</v>
      </c>
      <c r="O8311">
        <v>0.99992800000000004</v>
      </c>
      <c r="P8311">
        <v>2.9108490000000001E-2</v>
      </c>
      <c r="Q8311">
        <v>-9.3472369999999999E-2</v>
      </c>
      <c r="R8311">
        <v>0.99519630000000003</v>
      </c>
      <c r="S8311">
        <v>6.866455E-4</v>
      </c>
      <c r="T8311">
        <v>-1.8335460000000001E-2</v>
      </c>
      <c r="U8311">
        <v>3.0127259999999998</v>
      </c>
      <c r="V8311">
        <v>2.3184199999999999E-2</v>
      </c>
      <c r="W8311">
        <v>-8.3096180000000006E-2</v>
      </c>
      <c r="X8311">
        <v>0.99627180000000004</v>
      </c>
      <c r="Y8311">
        <v>-5.7208819999999896E-3</v>
      </c>
      <c r="Z8311">
        <v>4.3348759999999997E-3</v>
      </c>
      <c r="AA8311">
        <v>0.99997429999999998</v>
      </c>
      <c r="AB8311">
        <v>38</v>
      </c>
      <c r="AC8311">
        <v>3.9699999999982E-2</v>
      </c>
      <c r="AD8311">
        <v>-1.120066557033</v>
      </c>
      <c r="AE8311">
        <v>183.67062999999999</v>
      </c>
      <c r="AF8311">
        <v>-1.0529701135324101</v>
      </c>
      <c r="AG8311">
        <v>-1.120066557033</v>
      </c>
      <c r="AH8311">
        <v>183.660785679469</v>
      </c>
      <c r="AI8311">
        <v>90.3494117484654</v>
      </c>
      <c r="AJ8311">
        <v>90.328486466098695</v>
      </c>
      <c r="AK8311">
        <v>183.66721942565599</v>
      </c>
      <c r="AL8311">
        <v>94.766556713961094</v>
      </c>
      <c r="AM8311">
        <v>88.666912880350907</v>
      </c>
      <c r="AN8311">
        <v>0.99999999086773605</v>
      </c>
    </row>
    <row r="8312" spans="1:40" x14ac:dyDescent="0.25">
      <c r="A8312" t="str">
        <f>"20190303155011824"</f>
        <v>20190303155011824</v>
      </c>
      <c r="B8312" t="str">
        <f>"1551599411818688"</f>
        <v>1551599411818688</v>
      </c>
      <c r="C8312" t="s">
        <v>40</v>
      </c>
      <c r="D8312">
        <v>4.7222970000000002</v>
      </c>
      <c r="E8312">
        <v>0.48398190000000002</v>
      </c>
      <c r="F8312" t="s">
        <v>59</v>
      </c>
      <c r="G8312">
        <v>-188.83529999999999</v>
      </c>
      <c r="H8312" s="1">
        <v>-6.9823260000000003E-6</v>
      </c>
      <c r="I8312">
        <v>136.0737</v>
      </c>
      <c r="J8312">
        <v>-188.2567</v>
      </c>
      <c r="K8312">
        <v>1.1200669999999999</v>
      </c>
      <c r="L8312">
        <v>33.903170000000003</v>
      </c>
      <c r="M8312">
        <v>5.9485270000000003E-3</v>
      </c>
      <c r="N8312">
        <v>-1.042589E-2</v>
      </c>
      <c r="O8312">
        <v>0.99992789999999998</v>
      </c>
      <c r="P8312">
        <v>2.87859E-2</v>
      </c>
      <c r="Q8312">
        <v>-9.3292630000000001E-2</v>
      </c>
      <c r="R8312">
        <v>0.99522250000000001</v>
      </c>
      <c r="S8312">
        <v>-1.690674E-2</v>
      </c>
      <c r="T8312">
        <v>-3.2879949999999998E-2</v>
      </c>
      <c r="U8312">
        <v>3.0119020000000001</v>
      </c>
      <c r="V8312">
        <v>2.2861909999999999E-2</v>
      </c>
      <c r="W8312">
        <v>-8.2910709999999999E-2</v>
      </c>
      <c r="X8312">
        <v>0.99629469999999998</v>
      </c>
      <c r="Y8312">
        <v>-1.1560590000000001E-2</v>
      </c>
      <c r="Z8312">
        <v>-4.8924769999999997E-4</v>
      </c>
      <c r="AA8312">
        <v>0.99993310000000002</v>
      </c>
      <c r="AB8312">
        <v>38</v>
      </c>
      <c r="AC8312">
        <v>-0.57859999999999401</v>
      </c>
      <c r="AD8312">
        <v>-1.120073982326</v>
      </c>
      <c r="AE8312">
        <v>102.17053</v>
      </c>
      <c r="AF8312">
        <v>-1.18624442474573</v>
      </c>
      <c r="AG8312">
        <v>-1.120073982326</v>
      </c>
      <c r="AH8312">
        <v>102.153003496707</v>
      </c>
      <c r="AI8312">
        <v>90.628161797292606</v>
      </c>
      <c r="AJ8312">
        <v>90.665313224831394</v>
      </c>
      <c r="AK8312">
        <v>102.166030876018</v>
      </c>
      <c r="AL8312">
        <v>94.7558932681942</v>
      </c>
      <c r="AM8312">
        <v>88.685468150783606</v>
      </c>
      <c r="AN8312">
        <v>0.99999999100482095</v>
      </c>
    </row>
    <row r="8313" spans="1:40" x14ac:dyDescent="0.25">
      <c r="A8313" t="str">
        <f>"20190303155011844"</f>
        <v>20190303155011844</v>
      </c>
      <c r="B8313" t="str">
        <f>"1551599411839183"</f>
        <v>1551599411839183</v>
      </c>
      <c r="C8313" t="s">
        <v>40</v>
      </c>
      <c r="D8313">
        <v>4.7136699999999996</v>
      </c>
      <c r="E8313">
        <v>0.48340460000000002</v>
      </c>
      <c r="F8313" t="s">
        <v>41</v>
      </c>
      <c r="G8313">
        <v>-189.1396</v>
      </c>
      <c r="H8313" s="1">
        <v>-4.1840659999999998E-6</v>
      </c>
      <c r="I8313">
        <v>109.03019999999999</v>
      </c>
      <c r="J8313">
        <v>-188.25479999999999</v>
      </c>
      <c r="K8313">
        <v>1.1200680000000001</v>
      </c>
      <c r="L8313">
        <v>34.229859999999903</v>
      </c>
      <c r="M8313">
        <v>5.9481810000000003E-3</v>
      </c>
      <c r="N8313">
        <v>-1.042998E-2</v>
      </c>
      <c r="O8313">
        <v>0.99992789999999998</v>
      </c>
      <c r="P8313">
        <v>2.8004419999999999E-2</v>
      </c>
      <c r="Q8313">
        <v>-9.3167929999999996E-2</v>
      </c>
      <c r="R8313">
        <v>0.99525649999999999</v>
      </c>
      <c r="S8313">
        <v>-3.5385130000000001E-2</v>
      </c>
      <c r="T8313">
        <v>-4.4894099999999999E-2</v>
      </c>
      <c r="U8313">
        <v>3.0112000000000001</v>
      </c>
      <c r="V8313">
        <v>2.2080590000000001E-2</v>
      </c>
      <c r="W8313">
        <v>-8.2781610000000005E-2</v>
      </c>
      <c r="X8313">
        <v>0.99632299999999996</v>
      </c>
      <c r="Y8313">
        <v>-1.7695789999999999E-2</v>
      </c>
      <c r="Z8313">
        <v>-4.4753120000000004E-3</v>
      </c>
      <c r="AA8313">
        <v>0.99983339999999998</v>
      </c>
      <c r="AB8313">
        <v>38</v>
      </c>
      <c r="AC8313">
        <v>-0.88480000000001202</v>
      </c>
      <c r="AD8313">
        <v>-1.120072184066</v>
      </c>
      <c r="AE8313">
        <v>74.800340000000006</v>
      </c>
      <c r="AF8313">
        <v>-1.3294364641293299</v>
      </c>
      <c r="AG8313">
        <v>-1.120072184066</v>
      </c>
      <c r="AH8313">
        <v>74.776988799978497</v>
      </c>
      <c r="AI8313">
        <v>90.858024284404706</v>
      </c>
      <c r="AJ8313">
        <v>91.018536261509496</v>
      </c>
      <c r="AK8313">
        <v>74.797192574332499</v>
      </c>
      <c r="AL8313">
        <v>94.748471139287702</v>
      </c>
      <c r="AM8313">
        <v>88.730414181037105</v>
      </c>
      <c r="AN8313">
        <v>0.99999993386896702</v>
      </c>
    </row>
    <row r="8314" spans="1:40" x14ac:dyDescent="0.25">
      <c r="A8314" t="str">
        <f>"20190303155011868"</f>
        <v>20190303155011868</v>
      </c>
      <c r="B8314" t="str">
        <f>"1551599411858703"</f>
        <v>1551599411858703</v>
      </c>
      <c r="C8314" t="s">
        <v>40</v>
      </c>
      <c r="D8314">
        <v>4.6995849999999999</v>
      </c>
      <c r="E8314">
        <v>0.48301889999999997</v>
      </c>
      <c r="F8314" t="s">
        <v>41</v>
      </c>
      <c r="G8314">
        <v>-189.20859999999999</v>
      </c>
      <c r="H8314" s="1">
        <v>-1.083626E-6</v>
      </c>
      <c r="I8314">
        <v>101.83150000000001</v>
      </c>
      <c r="J8314">
        <v>-188.25229999999999</v>
      </c>
      <c r="K8314">
        <v>1.120069</v>
      </c>
      <c r="L8314">
        <v>34.646000000000001</v>
      </c>
      <c r="M8314">
        <v>5.9477239999999997E-3</v>
      </c>
      <c r="N8314">
        <v>-1.043527E-2</v>
      </c>
      <c r="O8314">
        <v>0.99992789999999998</v>
      </c>
      <c r="P8314">
        <v>2.741861E-2</v>
      </c>
      <c r="Q8314">
        <v>-9.3317659999999997E-2</v>
      </c>
      <c r="R8314">
        <v>0.99525870000000005</v>
      </c>
      <c r="S8314">
        <v>-4.2480469999999999E-2</v>
      </c>
      <c r="T8314">
        <v>-4.9885510000000001E-2</v>
      </c>
      <c r="U8314">
        <v>3.010834</v>
      </c>
      <c r="V8314">
        <v>2.1495230000000001E-2</v>
      </c>
      <c r="W8314">
        <v>-8.2926059999999996E-2</v>
      </c>
      <c r="X8314">
        <v>0.99632390000000004</v>
      </c>
      <c r="Y8314">
        <v>-2.0051920000000001E-2</v>
      </c>
      <c r="Z8314">
        <v>-6.1282860000000001E-3</v>
      </c>
      <c r="AA8314">
        <v>0.99978020000000001</v>
      </c>
      <c r="AB8314">
        <v>38</v>
      </c>
      <c r="AC8314">
        <v>-0.95629999999999804</v>
      </c>
      <c r="AD8314">
        <v>-1.120070083626</v>
      </c>
      <c r="AE8314">
        <v>67.185500000000005</v>
      </c>
      <c r="AF8314">
        <v>-1.3555289687824601</v>
      </c>
      <c r="AG8314">
        <v>-1.120070083626</v>
      </c>
      <c r="AH8314">
        <v>67.1599612315065</v>
      </c>
      <c r="AI8314">
        <v>90.955275646817697</v>
      </c>
      <c r="AJ8314">
        <v>91.156277395149104</v>
      </c>
      <c r="AK8314">
        <v>67.182977073027203</v>
      </c>
      <c r="AL8314">
        <v>94.756775539991096</v>
      </c>
      <c r="AM8314">
        <v>88.764061639972297</v>
      </c>
      <c r="AN8314">
        <v>1.00000004502554</v>
      </c>
    </row>
    <row r="8315" spans="1:40" x14ac:dyDescent="0.25">
      <c r="A8315" t="str">
        <f>"20190303155011890"</f>
        <v>20190303155011890</v>
      </c>
      <c r="B8315" t="str">
        <f>"1551599411878730"</f>
        <v>1551599411878730</v>
      </c>
      <c r="C8315" t="s">
        <v>40</v>
      </c>
      <c r="D8315">
        <v>4.7001499999999998</v>
      </c>
      <c r="E8315">
        <v>0.48268290000000003</v>
      </c>
      <c r="F8315" t="s">
        <v>41</v>
      </c>
      <c r="G8315">
        <v>-189.23</v>
      </c>
      <c r="H8315" s="1">
        <v>-3.2585990000000002E-6</v>
      </c>
      <c r="I8315">
        <v>96.910259999999994</v>
      </c>
      <c r="J8315">
        <v>-188.25</v>
      </c>
      <c r="K8315">
        <v>1.1200669999999999</v>
      </c>
      <c r="L8315">
        <v>35.025820000000003</v>
      </c>
      <c r="M8315">
        <v>5.9473089999999996E-3</v>
      </c>
      <c r="N8315">
        <v>-1.0440110000000001E-2</v>
      </c>
      <c r="O8315">
        <v>0.99992780000000003</v>
      </c>
      <c r="P8315">
        <v>2.7237049999999999E-2</v>
      </c>
      <c r="Q8315">
        <v>-9.3406719999999999E-2</v>
      </c>
      <c r="R8315">
        <v>0.99525540000000001</v>
      </c>
      <c r="S8315">
        <v>-4.7271729999999998E-2</v>
      </c>
      <c r="T8315">
        <v>-5.4156419999999997E-2</v>
      </c>
      <c r="U8315">
        <v>3.010529</v>
      </c>
      <c r="V8315">
        <v>2.1314099999999999E-2</v>
      </c>
      <c r="W8315">
        <v>-8.3010319999999999E-2</v>
      </c>
      <c r="X8315">
        <v>0.99632069999999995</v>
      </c>
      <c r="Y8315">
        <v>-2.164317E-2</v>
      </c>
      <c r="Z8315">
        <v>-7.5425179999999998E-3</v>
      </c>
      <c r="AA8315">
        <v>0.99973730000000005</v>
      </c>
      <c r="AB8315">
        <v>38</v>
      </c>
      <c r="AC8315">
        <v>-0.97999999999998899</v>
      </c>
      <c r="AD8315">
        <v>-1.1200702585989999</v>
      </c>
      <c r="AE8315">
        <v>61.884439999999898</v>
      </c>
      <c r="AF8315">
        <v>-1.3476072691063501</v>
      </c>
      <c r="AG8315">
        <v>-1.1200702585989999</v>
      </c>
      <c r="AH8315">
        <v>61.857258151966597</v>
      </c>
      <c r="AI8315">
        <v>91.037114625243902</v>
      </c>
      <c r="AJ8315">
        <v>91.248034576339506</v>
      </c>
      <c r="AK8315">
        <v>61.882073242700798</v>
      </c>
      <c r="AL8315">
        <v>94.761620339736595</v>
      </c>
      <c r="AM8315">
        <v>88.774469175409294</v>
      </c>
      <c r="AN8315">
        <v>0.99999997066690005</v>
      </c>
    </row>
    <row r="8316" spans="1:40" x14ac:dyDescent="0.25">
      <c r="A8316" t="str">
        <f>"20190303155011910"</f>
        <v>20190303155011910</v>
      </c>
      <c r="B8316" t="str">
        <f>"1551599411899226"</f>
        <v>1551599411899226</v>
      </c>
      <c r="C8316" t="s">
        <v>40</v>
      </c>
      <c r="D8316">
        <v>4.6885149999999998</v>
      </c>
      <c r="E8316">
        <v>0.4825489</v>
      </c>
      <c r="F8316" t="s">
        <v>41</v>
      </c>
      <c r="G8316">
        <v>-189.26320000000001</v>
      </c>
      <c r="H8316" s="1">
        <v>-2.541765E-6</v>
      </c>
      <c r="I8316">
        <v>95.253039999999999</v>
      </c>
      <c r="J8316">
        <v>-188.24789999999999</v>
      </c>
      <c r="K8316">
        <v>1.120069</v>
      </c>
      <c r="L8316">
        <v>35.383029999999998</v>
      </c>
      <c r="M8316">
        <v>5.9469099999999997E-3</v>
      </c>
      <c r="N8316">
        <v>-1.044465E-2</v>
      </c>
      <c r="O8316">
        <v>0.99992780000000003</v>
      </c>
      <c r="P8316">
        <v>2.7039210000000001E-2</v>
      </c>
      <c r="Q8316">
        <v>-9.3559619999999996E-2</v>
      </c>
      <c r="R8316">
        <v>0.99524650000000003</v>
      </c>
      <c r="S8316">
        <v>-5.0643920000000002E-2</v>
      </c>
      <c r="T8316">
        <v>-5.5986290000000001E-2</v>
      </c>
      <c r="U8316">
        <v>3.010437</v>
      </c>
      <c r="V8316">
        <v>2.1116699999999999E-2</v>
      </c>
      <c r="W8316">
        <v>-8.3158800000000005E-2</v>
      </c>
      <c r="X8316">
        <v>0.99631259999999999</v>
      </c>
      <c r="Y8316">
        <v>-2.276249E-2</v>
      </c>
      <c r="Z8316">
        <v>-8.1455850000000003E-3</v>
      </c>
      <c r="AA8316">
        <v>0.99970769999999998</v>
      </c>
      <c r="AB8316">
        <v>38</v>
      </c>
      <c r="AC8316">
        <v>-1.0153000000000201</v>
      </c>
      <c r="AD8316">
        <v>-1.120071541765</v>
      </c>
      <c r="AE8316">
        <v>59.870010000000001</v>
      </c>
      <c r="AF8316">
        <v>-1.37086334710919</v>
      </c>
      <c r="AG8316">
        <v>-1.120071541765</v>
      </c>
      <c r="AH8316">
        <v>59.8419740731064</v>
      </c>
      <c r="AI8316">
        <v>91.072007633592193</v>
      </c>
      <c r="AJ8316">
        <v>91.312305452551698</v>
      </c>
      <c r="AK8316">
        <v>59.868152531554301</v>
      </c>
      <c r="AL8316">
        <v>94.770156758875402</v>
      </c>
      <c r="AM8316">
        <v>88.785806116246704</v>
      </c>
      <c r="AN8316">
        <v>1.00000004897754</v>
      </c>
    </row>
    <row r="8317" spans="1:40" x14ac:dyDescent="0.25">
      <c r="A8317" t="str">
        <f>"20190303155011931"</f>
        <v>20190303155011931</v>
      </c>
      <c r="B8317" t="str">
        <f>"1551599411929482"</f>
        <v>1551599411929482</v>
      </c>
      <c r="C8317" t="s">
        <v>40</v>
      </c>
      <c r="D8317">
        <v>4.639411</v>
      </c>
      <c r="E8317">
        <v>0.48242420000000003</v>
      </c>
      <c r="F8317" t="s">
        <v>41</v>
      </c>
      <c r="G8317">
        <v>-189.27080000000001</v>
      </c>
      <c r="H8317" s="1">
        <v>-2.1615930000000002E-6</v>
      </c>
      <c r="I8317">
        <v>94.369960000000006</v>
      </c>
      <c r="J8317">
        <v>-188.2458</v>
      </c>
      <c r="K8317">
        <v>1.1200650000000001</v>
      </c>
      <c r="L8317">
        <v>35.736359999999998</v>
      </c>
      <c r="M8317">
        <v>5.9465009999999999E-3</v>
      </c>
      <c r="N8317">
        <v>-1.0449129999999999E-2</v>
      </c>
      <c r="O8317">
        <v>0.99992769999999997</v>
      </c>
      <c r="P8317">
        <v>2.7051100000000002E-2</v>
      </c>
      <c r="Q8317">
        <v>-9.3067150000000001E-2</v>
      </c>
      <c r="R8317">
        <v>0.99529230000000002</v>
      </c>
      <c r="S8317">
        <v>-5.2200320000000001E-2</v>
      </c>
      <c r="T8317">
        <v>-5.7162400000000002E-2</v>
      </c>
      <c r="U8317">
        <v>3.0103759999999999</v>
      </c>
      <c r="V8317">
        <v>2.1128750000000002E-2</v>
      </c>
      <c r="W8317">
        <v>-8.2661429999999994E-2</v>
      </c>
      <c r="X8317">
        <v>0.99635370000000001</v>
      </c>
      <c r="Y8317">
        <v>-2.3278940000000001E-2</v>
      </c>
      <c r="Z8317">
        <v>-8.5317180000000006E-3</v>
      </c>
      <c r="AA8317">
        <v>0.99969260000000004</v>
      </c>
      <c r="AB8317">
        <v>38</v>
      </c>
      <c r="AC8317">
        <v>-1.0249999999999999</v>
      </c>
      <c r="AD8317">
        <v>-1.12006716159299</v>
      </c>
      <c r="AE8317">
        <v>58.633600000000001</v>
      </c>
      <c r="AF8317">
        <v>-1.37316474188654</v>
      </c>
      <c r="AG8317">
        <v>-1.12006716159299</v>
      </c>
      <c r="AH8317">
        <v>58.605088209086396</v>
      </c>
      <c r="AI8317">
        <v>91.094609845420905</v>
      </c>
      <c r="AJ8317">
        <v>91.342240981922302</v>
      </c>
      <c r="AK8317">
        <v>58.631872696082603</v>
      </c>
      <c r="AL8317">
        <v>94.741561261821104</v>
      </c>
      <c r="AM8317">
        <v>88.785163557733895</v>
      </c>
      <c r="AN8317">
        <v>1.00000001579494</v>
      </c>
    </row>
    <row r="8318" spans="1:40" x14ac:dyDescent="0.25">
      <c r="A8318" t="str">
        <f>"20190303155011955"</f>
        <v>20190303155011955</v>
      </c>
      <c r="B8318" t="str">
        <f>"1551599411949002"</f>
        <v>1551599411949002</v>
      </c>
      <c r="C8318" t="s">
        <v>40</v>
      </c>
      <c r="D8318">
        <v>4.6704460000000001</v>
      </c>
      <c r="E8318">
        <v>0.4824466</v>
      </c>
      <c r="F8318" t="s">
        <v>41</v>
      </c>
      <c r="G8318">
        <v>-189.31979999999999</v>
      </c>
      <c r="H8318" s="1">
        <v>-3.1721609999999999E-6</v>
      </c>
      <c r="I8318">
        <v>96.745890000000003</v>
      </c>
      <c r="J8318">
        <v>-188.24340000000001</v>
      </c>
      <c r="K8318">
        <v>1.120063</v>
      </c>
      <c r="L8318">
        <v>36.146909999999998</v>
      </c>
      <c r="M8318">
        <v>5.9460420000000003E-3</v>
      </c>
      <c r="N8318">
        <v>-1.045428E-2</v>
      </c>
      <c r="O8318">
        <v>0.99992769999999997</v>
      </c>
      <c r="P8318">
        <v>2.7077199999999999E-2</v>
      </c>
      <c r="Q8318">
        <v>-9.2580209999999996E-2</v>
      </c>
      <c r="R8318">
        <v>0.99533700000000003</v>
      </c>
      <c r="S8318">
        <v>-5.2993770000000003E-2</v>
      </c>
      <c r="T8318">
        <v>-5.5268879999999999E-2</v>
      </c>
      <c r="U8318">
        <v>3.0104679999999999</v>
      </c>
      <c r="V8318">
        <v>2.1155050000000002E-2</v>
      </c>
      <c r="W8318">
        <v>-8.216888E-2</v>
      </c>
      <c r="X8318">
        <v>0.99639390000000005</v>
      </c>
      <c r="Y8318">
        <v>-2.3541490000000002E-2</v>
      </c>
      <c r="Z8318">
        <v>-7.897289E-3</v>
      </c>
      <c r="AA8318">
        <v>0.99969169999999996</v>
      </c>
      <c r="AB8318">
        <v>38</v>
      </c>
      <c r="AC8318">
        <v>-1.07639999999997</v>
      </c>
      <c r="AD8318">
        <v>-1.1200661721609999</v>
      </c>
      <c r="AE8318">
        <v>60.598979999999997</v>
      </c>
      <c r="AF8318">
        <v>-1.43623422533837</v>
      </c>
      <c r="AG8318">
        <v>-1.1200661721609999</v>
      </c>
      <c r="AH8318">
        <v>60.5708216353041</v>
      </c>
      <c r="AI8318">
        <v>91.059086242389199</v>
      </c>
      <c r="AJ8318">
        <v>91.358323036468505</v>
      </c>
      <c r="AK8318">
        <v>60.5981992352567</v>
      </c>
      <c r="AL8318">
        <v>94.713243813715707</v>
      </c>
      <c r="AM8318">
        <v>88.783700904171795</v>
      </c>
      <c r="AN8318">
        <v>1.0000000324690801</v>
      </c>
    </row>
    <row r="8319" spans="1:40" x14ac:dyDescent="0.25">
      <c r="A8319" t="str">
        <f>"20190303155011976"</f>
        <v>20190303155011976</v>
      </c>
      <c r="B8319" t="str">
        <f>"1551599411968522"</f>
        <v>1551599411968522</v>
      </c>
      <c r="C8319" t="s">
        <v>40</v>
      </c>
      <c r="D8319">
        <v>4.6181970000000003</v>
      </c>
      <c r="E8319">
        <v>0.48240110000000003</v>
      </c>
      <c r="F8319" t="s">
        <v>41</v>
      </c>
      <c r="G8319">
        <v>-189.35589999999999</v>
      </c>
      <c r="H8319" s="1">
        <v>-1.6295029999999999E-7</v>
      </c>
      <c r="I8319">
        <v>99.623279999999994</v>
      </c>
      <c r="J8319">
        <v>-188.24119999999999</v>
      </c>
      <c r="K8319">
        <v>1.120072</v>
      </c>
      <c r="L8319">
        <v>36.507869999999997</v>
      </c>
      <c r="M8319">
        <v>5.9456469999999897E-3</v>
      </c>
      <c r="N8319">
        <v>-1.045884E-2</v>
      </c>
      <c r="O8319">
        <v>0.99992760000000003</v>
      </c>
      <c r="P8319">
        <v>2.7427790000000001E-2</v>
      </c>
      <c r="Q8319">
        <v>-9.2858200000000002E-2</v>
      </c>
      <c r="R8319">
        <v>0.99530149999999995</v>
      </c>
      <c r="S8319">
        <v>-5.2764890000000002E-2</v>
      </c>
      <c r="T8319">
        <v>-5.31224E-2</v>
      </c>
      <c r="U8319">
        <v>3.0105590000000002</v>
      </c>
      <c r="V8319">
        <v>2.1506230000000001E-2</v>
      </c>
      <c r="W8319">
        <v>-8.2442689999999999E-2</v>
      </c>
      <c r="X8319">
        <v>0.99636380000000002</v>
      </c>
      <c r="Y8319">
        <v>-2.3464769999999999E-2</v>
      </c>
      <c r="Z8319">
        <v>-7.1796419999999904E-3</v>
      </c>
      <c r="AA8319">
        <v>0.99969889999999995</v>
      </c>
      <c r="AB8319">
        <v>38</v>
      </c>
      <c r="AC8319">
        <v>-1.11469999999999</v>
      </c>
      <c r="AD8319">
        <v>-1.1200721629503001</v>
      </c>
      <c r="AE8319">
        <v>63.115409999999997</v>
      </c>
      <c r="AF8319">
        <v>-1.48949383209389</v>
      </c>
      <c r="AG8319">
        <v>-1.1200721629503001</v>
      </c>
      <c r="AH8319">
        <v>63.087803930964498</v>
      </c>
      <c r="AI8319">
        <v>91.016849353569</v>
      </c>
      <c r="AJ8319">
        <v>91.352493714599802</v>
      </c>
      <c r="AK8319">
        <v>63.1153242751543</v>
      </c>
      <c r="AL8319">
        <v>94.728985209028096</v>
      </c>
      <c r="AM8319">
        <v>88.763478859284007</v>
      </c>
      <c r="AN8319">
        <v>1.00000006850684</v>
      </c>
    </row>
    <row r="8320" spans="1:40" x14ac:dyDescent="0.25">
      <c r="A8320" t="str">
        <f>"20190303155011999"</f>
        <v>20190303155011999</v>
      </c>
      <c r="B8320" t="str">
        <f>"1551599411988550"</f>
        <v>1551599411988550</v>
      </c>
      <c r="C8320" t="s">
        <v>40</v>
      </c>
      <c r="D8320">
        <v>4.6228740000000004</v>
      </c>
      <c r="E8320">
        <v>0.4823267</v>
      </c>
      <c r="F8320" t="s">
        <v>41</v>
      </c>
      <c r="G8320">
        <v>-189.3486</v>
      </c>
      <c r="H8320" s="1">
        <v>-4.6550430000000001E-7</v>
      </c>
      <c r="I8320">
        <v>100.4485</v>
      </c>
      <c r="J8320">
        <v>-188.239</v>
      </c>
      <c r="K8320">
        <v>1.1200650000000001</v>
      </c>
      <c r="L8320">
        <v>36.883540000000004</v>
      </c>
      <c r="M8320">
        <v>5.9452180000000004E-3</v>
      </c>
      <c r="N8320">
        <v>-1.046359E-2</v>
      </c>
      <c r="O8320">
        <v>0.99992760000000003</v>
      </c>
      <c r="P8320">
        <v>2.7734129999999999E-2</v>
      </c>
      <c r="Q8320">
        <v>-9.2993510000000001E-2</v>
      </c>
      <c r="R8320">
        <v>0.99528039999999995</v>
      </c>
      <c r="S8320">
        <v>-5.2139280000000003E-2</v>
      </c>
      <c r="T8320">
        <v>-5.2739260000000003E-2</v>
      </c>
      <c r="U8320">
        <v>3.0106809999999999</v>
      </c>
      <c r="V8320">
        <v>2.181309E-2</v>
      </c>
      <c r="W8320">
        <v>-8.2573469999999996E-2</v>
      </c>
      <c r="X8320">
        <v>0.99634619999999996</v>
      </c>
      <c r="Y8320">
        <v>-2.3256019999999999E-2</v>
      </c>
      <c r="Z8320">
        <v>-7.0470690000000004E-3</v>
      </c>
      <c r="AA8320">
        <v>0.9997047</v>
      </c>
      <c r="AB8320">
        <v>38</v>
      </c>
      <c r="AC8320">
        <v>-1.1095999999999999</v>
      </c>
      <c r="AD8320">
        <v>-1.1200654655043001</v>
      </c>
      <c r="AE8320">
        <v>63.5649599999999</v>
      </c>
      <c r="AF8320">
        <v>-1.48704703836393</v>
      </c>
      <c r="AG8320">
        <v>-1.1200654655043001</v>
      </c>
      <c r="AH8320">
        <v>63.537517401267202</v>
      </c>
      <c r="AI8320">
        <v>91.009652510733005</v>
      </c>
      <c r="AJ8320">
        <v>91.340719172212701</v>
      </c>
      <c r="AK8320">
        <v>63.564785636841897</v>
      </c>
      <c r="AL8320">
        <v>94.736504456403907</v>
      </c>
      <c r="AM8320">
        <v>88.745819100294298</v>
      </c>
      <c r="AN8320">
        <v>0.99999996954881398</v>
      </c>
    </row>
    <row r="8321" spans="1:40" x14ac:dyDescent="0.25">
      <c r="A8321" t="str">
        <f>"20190303155012020"</f>
        <v>20190303155012020</v>
      </c>
      <c r="B8321" t="str">
        <f>"1551599412009046"</f>
        <v>1551599412009046</v>
      </c>
      <c r="C8321" t="s">
        <v>40</v>
      </c>
      <c r="D8321">
        <v>4.5879750000000001</v>
      </c>
      <c r="E8321">
        <v>0.4822572</v>
      </c>
      <c r="F8321" t="s">
        <v>41</v>
      </c>
      <c r="G8321">
        <v>-189.33840000000001</v>
      </c>
      <c r="H8321" s="1">
        <v>-5.2098829999999998E-7</v>
      </c>
      <c r="I8321">
        <v>100.5737</v>
      </c>
      <c r="J8321">
        <v>-188.23679999999999</v>
      </c>
      <c r="K8321">
        <v>1.120066</v>
      </c>
      <c r="L8321">
        <v>37.256070000000001</v>
      </c>
      <c r="M8321">
        <v>5.9447850000000002E-3</v>
      </c>
      <c r="N8321">
        <v>-1.04683E-2</v>
      </c>
      <c r="O8321">
        <v>0.99992749999999997</v>
      </c>
      <c r="P8321">
        <v>2.8062960000000001E-2</v>
      </c>
      <c r="Q8321">
        <v>-9.3277570000000004E-2</v>
      </c>
      <c r="R8321">
        <v>0.99524460000000003</v>
      </c>
      <c r="S8321">
        <v>-5.1971440000000001E-2</v>
      </c>
      <c r="T8321">
        <v>-5.2946930000000003E-2</v>
      </c>
      <c r="U8321">
        <v>3.0107119999999998</v>
      </c>
      <c r="V8321">
        <v>2.2142559999999999E-2</v>
      </c>
      <c r="W8321">
        <v>-8.2853209999999997E-2</v>
      </c>
      <c r="X8321">
        <v>0.99631570000000003</v>
      </c>
      <c r="Y8321">
        <v>-2.319968E-2</v>
      </c>
      <c r="Z8321">
        <v>-7.1111350000000002E-3</v>
      </c>
      <c r="AA8321">
        <v>0.99970559999999997</v>
      </c>
      <c r="AB8321">
        <v>38</v>
      </c>
      <c r="AC8321">
        <v>-1.1016000000000099</v>
      </c>
      <c r="AD8321">
        <v>-1.1200665209883001</v>
      </c>
      <c r="AE8321">
        <v>63.317630000000001</v>
      </c>
      <c r="AF8321">
        <v>-1.47754864843947</v>
      </c>
      <c r="AG8321">
        <v>-1.1200665209883001</v>
      </c>
      <c r="AH8321">
        <v>63.290162902557398</v>
      </c>
      <c r="AI8321">
        <v>91.013600017478097</v>
      </c>
      <c r="AJ8321">
        <v>91.337363071889399</v>
      </c>
      <c r="AK8321">
        <v>63.317315319367403</v>
      </c>
      <c r="AL8321">
        <v>94.7525875307999</v>
      </c>
      <c r="AM8321">
        <v>88.726842886896605</v>
      </c>
      <c r="AN8321">
        <v>0.999999960718573</v>
      </c>
    </row>
    <row r="8322" spans="1:40" x14ac:dyDescent="0.25">
      <c r="A8322" t="str">
        <f>"20190303155012045"</f>
        <v>20190303155012045</v>
      </c>
      <c r="B8322" t="str">
        <f>"1551599412039302"</f>
        <v>1551599412039302</v>
      </c>
      <c r="C8322" t="s">
        <v>40</v>
      </c>
      <c r="D8322">
        <v>4.6227669999999996</v>
      </c>
      <c r="E8322">
        <v>0.48217399999999999</v>
      </c>
      <c r="F8322" t="s">
        <v>41</v>
      </c>
      <c r="G8322">
        <v>-189.31200000000001</v>
      </c>
      <c r="H8322" s="1">
        <v>-5.7161940000000003E-7</v>
      </c>
      <c r="I8322">
        <v>100.6807</v>
      </c>
      <c r="J8322">
        <v>-188.23429999999999</v>
      </c>
      <c r="K8322">
        <v>1.120069</v>
      </c>
      <c r="L8322">
        <v>37.674840000000003</v>
      </c>
      <c r="M8322">
        <v>5.9443019999999899E-3</v>
      </c>
      <c r="N8322">
        <v>-1.047357E-2</v>
      </c>
      <c r="O8322">
        <v>0.99992749999999997</v>
      </c>
      <c r="P8322">
        <v>2.8406399999999998E-2</v>
      </c>
      <c r="Q8322">
        <v>-9.3558530000000001E-2</v>
      </c>
      <c r="R8322">
        <v>0.99520839999999999</v>
      </c>
      <c r="S8322">
        <v>-5.104065E-2</v>
      </c>
      <c r="T8322">
        <v>-5.3169609999999999E-2</v>
      </c>
      <c r="U8322">
        <v>3.0107729999999999</v>
      </c>
      <c r="V8322">
        <v>2.2486659999999999E-2</v>
      </c>
      <c r="W8322">
        <v>-8.312928E-2</v>
      </c>
      <c r="X8322">
        <v>0.99628499999999998</v>
      </c>
      <c r="Y8322">
        <v>-2.2889909999999999E-2</v>
      </c>
      <c r="Z8322">
        <v>-7.1795560000000001E-3</v>
      </c>
      <c r="AA8322">
        <v>0.99971220000000005</v>
      </c>
      <c r="AB8322">
        <v>38</v>
      </c>
      <c r="AC8322">
        <v>-1.0777000000000201</v>
      </c>
      <c r="AD8322">
        <v>-1.1200695716194</v>
      </c>
      <c r="AE8322">
        <v>63.005859999999998</v>
      </c>
      <c r="AF8322">
        <v>-1.4517686861291399</v>
      </c>
      <c r="AG8322">
        <v>-1.1200695716194</v>
      </c>
      <c r="AH8322">
        <v>62.978442948390999</v>
      </c>
      <c r="AI8322">
        <v>91.018625618595905</v>
      </c>
      <c r="AJ8322">
        <v>91.320538992628698</v>
      </c>
      <c r="AK8322">
        <v>63.005130460677798</v>
      </c>
      <c r="AL8322">
        <v>94.768459916336397</v>
      </c>
      <c r="AM8322">
        <v>88.707024596907999</v>
      </c>
      <c r="AN8322">
        <v>0.99999996414813597</v>
      </c>
    </row>
    <row r="8323" spans="1:40" x14ac:dyDescent="0.25">
      <c r="A8323" t="str">
        <f>"20190303155012067"</f>
        <v>20190303155012067</v>
      </c>
      <c r="B8323" t="str">
        <f>"1551599412058823"</f>
        <v>1551599412058823</v>
      </c>
      <c r="C8323" t="s">
        <v>40</v>
      </c>
      <c r="D8323">
        <v>4.6366969999999998</v>
      </c>
      <c r="E8323">
        <v>0.48221560000000002</v>
      </c>
      <c r="F8323" t="s">
        <v>41</v>
      </c>
      <c r="G8323">
        <v>-189.29429999999999</v>
      </c>
      <c r="H8323" s="1">
        <v>-5.5744480000000004E-7</v>
      </c>
      <c r="I8323">
        <v>100.6404</v>
      </c>
      <c r="J8323">
        <v>-188.232</v>
      </c>
      <c r="K8323">
        <v>1.120069</v>
      </c>
      <c r="L8323">
        <v>38.057250000000003</v>
      </c>
      <c r="M8323">
        <v>5.9438769999999898E-3</v>
      </c>
      <c r="N8323">
        <v>-1.0478350000000001E-2</v>
      </c>
      <c r="O8323">
        <v>0.99992749999999997</v>
      </c>
      <c r="P8323">
        <v>2.873233E-2</v>
      </c>
      <c r="Q8323">
        <v>-9.3216229999999997E-2</v>
      </c>
      <c r="R8323">
        <v>0.99523119999999998</v>
      </c>
      <c r="S8323">
        <v>-5.0689699999999997E-2</v>
      </c>
      <c r="T8323">
        <v>-5.3559059999999999E-2</v>
      </c>
      <c r="U8323">
        <v>3.0108640000000002</v>
      </c>
      <c r="V8323">
        <v>2.2812889999999999E-2</v>
      </c>
      <c r="W8323">
        <v>-8.278199E-2</v>
      </c>
      <c r="X8323">
        <v>0.99630649999999998</v>
      </c>
      <c r="Y8323">
        <v>-2.2772460000000001E-2</v>
      </c>
      <c r="Z8323">
        <v>-7.3035569999999996E-3</v>
      </c>
      <c r="AA8323">
        <v>0.99971399999999999</v>
      </c>
      <c r="AB8323">
        <v>38</v>
      </c>
      <c r="AC8323">
        <v>-1.06229999999999</v>
      </c>
      <c r="AD8323">
        <v>-1.1200695574448001</v>
      </c>
      <c r="AE8323">
        <v>62.583150000000003</v>
      </c>
      <c r="AF8323">
        <v>-1.43382903452743</v>
      </c>
      <c r="AG8323">
        <v>-1.1200695574448001</v>
      </c>
      <c r="AH8323">
        <v>62.555698162332298</v>
      </c>
      <c r="AI8323">
        <v>91.025510990240306</v>
      </c>
      <c r="AJ8323">
        <v>91.313037381340493</v>
      </c>
      <c r="AK8323">
        <v>62.582152360641899</v>
      </c>
      <c r="AL8323">
        <v>94.748492843836004</v>
      </c>
      <c r="AM8323">
        <v>88.688301285167</v>
      </c>
      <c r="AN8323">
        <v>0.99999996388038004</v>
      </c>
    </row>
    <row r="8324" spans="1:40" x14ac:dyDescent="0.25">
      <c r="A8324" t="str">
        <f>"20190303155012090"</f>
        <v>20190303155012090</v>
      </c>
      <c r="B8324" t="str">
        <f>"1551599412079825"</f>
        <v>1551599412079825</v>
      </c>
      <c r="C8324" t="s">
        <v>40</v>
      </c>
      <c r="D8324">
        <v>4.6093390000000003</v>
      </c>
      <c r="E8324">
        <v>0.48231210000000002</v>
      </c>
      <c r="F8324" t="s">
        <v>41</v>
      </c>
      <c r="G8324">
        <v>-189.29830000000001</v>
      </c>
      <c r="H8324" s="1">
        <v>-1.6123499999999999E-6</v>
      </c>
      <c r="I8324">
        <v>103.1011</v>
      </c>
      <c r="J8324">
        <v>-188.2296</v>
      </c>
      <c r="K8324">
        <v>1.1200699999999999</v>
      </c>
      <c r="L8324">
        <v>38.457700000000003</v>
      </c>
      <c r="M8324">
        <v>5.9434240000000001E-3</v>
      </c>
      <c r="N8324">
        <v>-1.048343E-2</v>
      </c>
      <c r="O8324">
        <v>0.99992740000000002</v>
      </c>
      <c r="P8324">
        <v>2.8568759999999999E-2</v>
      </c>
      <c r="Q8324">
        <v>-9.2706189999999994E-2</v>
      </c>
      <c r="R8324">
        <v>0.99528349999999999</v>
      </c>
      <c r="S8324">
        <v>-4.9362179999999999E-2</v>
      </c>
      <c r="T8324">
        <v>-5.1848890000000002E-2</v>
      </c>
      <c r="U8324">
        <v>3.0109249999999999</v>
      </c>
      <c r="V8324">
        <v>2.2649470000000001E-2</v>
      </c>
      <c r="W8324">
        <v>-8.2266370000000005E-2</v>
      </c>
      <c r="X8324">
        <v>0.99635300000000004</v>
      </c>
      <c r="Y8324">
        <v>-2.2331199999999999E-2</v>
      </c>
      <c r="Z8324">
        <v>-6.7306099999999997E-3</v>
      </c>
      <c r="AA8324">
        <v>0.99972799999999995</v>
      </c>
      <c r="AB8324">
        <v>38</v>
      </c>
      <c r="AC8324">
        <v>-1.0687</v>
      </c>
      <c r="AD8324">
        <v>-1.1200716123500001</v>
      </c>
      <c r="AE8324">
        <v>64.6434</v>
      </c>
      <c r="AF8324">
        <v>-1.4524694204375299</v>
      </c>
      <c r="AG8324">
        <v>-1.1200716123500001</v>
      </c>
      <c r="AH8324">
        <v>64.616512008774905</v>
      </c>
      <c r="AI8324">
        <v>90.992822818730602</v>
      </c>
      <c r="AJ8324">
        <v>91.287694939892702</v>
      </c>
      <c r="AK8324">
        <v>64.642539028214699</v>
      </c>
      <c r="AL8324">
        <v>94.718848578623195</v>
      </c>
      <c r="AM8324">
        <v>88.697755141316094</v>
      </c>
      <c r="AN8324">
        <v>1.0000000273666201</v>
      </c>
    </row>
    <row r="8325" spans="1:40" x14ac:dyDescent="0.25">
      <c r="A8325" t="str">
        <f>"20190303155012111"</f>
        <v>20190303155012111</v>
      </c>
      <c r="B8325" t="str">
        <f>"1551599412099345"</f>
        <v>1551599412099345</v>
      </c>
      <c r="C8325" t="s">
        <v>40</v>
      </c>
      <c r="D8325">
        <v>4.5594609999999998</v>
      </c>
      <c r="E8325">
        <v>0.48259279999999999</v>
      </c>
      <c r="F8325" t="s">
        <v>41</v>
      </c>
      <c r="G8325">
        <v>-189.3177</v>
      </c>
      <c r="H8325" s="1">
        <v>-2.642459E-6</v>
      </c>
      <c r="I8325">
        <v>105.5103</v>
      </c>
      <c r="J8325">
        <v>-188.22749999999999</v>
      </c>
      <c r="K8325">
        <v>1.1200760000000001</v>
      </c>
      <c r="L8325">
        <v>38.80997</v>
      </c>
      <c r="M8325">
        <v>5.9430289999999998E-3</v>
      </c>
      <c r="N8325">
        <v>-1.048791E-2</v>
      </c>
      <c r="O8325">
        <v>0.99992729999999996</v>
      </c>
      <c r="P8325">
        <v>2.8774359999999999E-2</v>
      </c>
      <c r="Q8325">
        <v>-9.2452199999999998E-2</v>
      </c>
      <c r="R8325">
        <v>0.9953012</v>
      </c>
      <c r="S8325">
        <v>-4.8858640000000002E-2</v>
      </c>
      <c r="T8325">
        <v>-5.029571E-2</v>
      </c>
      <c r="U8325">
        <v>3.0109249999999999</v>
      </c>
      <c r="V8325">
        <v>2.285537E-2</v>
      </c>
      <c r="W8325">
        <v>-8.2007730000000001E-2</v>
      </c>
      <c r="X8325">
        <v>0.99636959999999997</v>
      </c>
      <c r="Y8325">
        <v>-2.2163800000000001E-2</v>
      </c>
      <c r="Z8325">
        <v>-6.2106069999999999E-3</v>
      </c>
      <c r="AA8325">
        <v>0.99973509999999999</v>
      </c>
      <c r="AB8325">
        <v>38</v>
      </c>
      <c r="AC8325">
        <v>-1.09020000000001</v>
      </c>
      <c r="AD8325">
        <v>-1.1200786424589999</v>
      </c>
      <c r="AE8325">
        <v>66.700329999999994</v>
      </c>
      <c r="AF8325">
        <v>-1.4861855746593799</v>
      </c>
      <c r="AG8325">
        <v>-1.1200786424589999</v>
      </c>
      <c r="AH8325">
        <v>66.673875835484395</v>
      </c>
      <c r="AI8325">
        <v>90.962203099431207</v>
      </c>
      <c r="AJ8325">
        <v>91.276932849865702</v>
      </c>
      <c r="AK8325">
        <v>66.699842898264805</v>
      </c>
      <c r="AL8325">
        <v>94.703979448557604</v>
      </c>
      <c r="AM8325">
        <v>88.685942815174997</v>
      </c>
      <c r="AN8325">
        <v>1.0000000077608699</v>
      </c>
    </row>
    <row r="8326" spans="1:40" x14ac:dyDescent="0.25">
      <c r="A8326" t="str">
        <f>"20190303155012133"</f>
        <v>20190303155012133</v>
      </c>
      <c r="B8326" t="str">
        <f>"1551599412128626"</f>
        <v>1551599412128626</v>
      </c>
      <c r="C8326" t="s">
        <v>40</v>
      </c>
      <c r="D8326">
        <v>4.6576879999999896</v>
      </c>
      <c r="E8326">
        <v>0.48243940000000002</v>
      </c>
      <c r="F8326" t="s">
        <v>41</v>
      </c>
      <c r="G8326">
        <v>-189.30600000000001</v>
      </c>
      <c r="H8326" s="1">
        <v>-4.3633509999999997E-6</v>
      </c>
      <c r="I8326">
        <v>109.51690000000001</v>
      </c>
      <c r="J8326">
        <v>-188.2253</v>
      </c>
      <c r="K8326">
        <v>1.120077</v>
      </c>
      <c r="L8326">
        <v>39.18741</v>
      </c>
      <c r="M8326">
        <v>5.9426080000000003E-3</v>
      </c>
      <c r="N8326">
        <v>-1.049251E-2</v>
      </c>
      <c r="O8326">
        <v>0.99992729999999996</v>
      </c>
      <c r="P8326">
        <v>2.9001039999999999E-2</v>
      </c>
      <c r="Q8326">
        <v>-9.2036950000000006E-2</v>
      </c>
      <c r="R8326">
        <v>0.99533320000000003</v>
      </c>
      <c r="S8326">
        <v>-4.5928959999999998E-2</v>
      </c>
      <c r="T8326">
        <v>-4.7698499999999998E-2</v>
      </c>
      <c r="U8326">
        <v>3.011047</v>
      </c>
      <c r="V8326">
        <v>2.30823E-2</v>
      </c>
      <c r="W8326">
        <v>-8.1587569999999998E-2</v>
      </c>
      <c r="X8326">
        <v>0.99639889999999998</v>
      </c>
      <c r="Y8326">
        <v>-2.1190540000000001E-2</v>
      </c>
      <c r="Z8326">
        <v>-5.3435150000000001E-3</v>
      </c>
      <c r="AA8326">
        <v>0.99976120000000002</v>
      </c>
      <c r="AB8326">
        <v>38</v>
      </c>
      <c r="AC8326">
        <v>-1.08069999999997</v>
      </c>
      <c r="AD8326">
        <v>-1.1200813633510001</v>
      </c>
      <c r="AE8326">
        <v>70.329490000000007</v>
      </c>
      <c r="AF8326">
        <v>-1.4982645750074099</v>
      </c>
      <c r="AG8326">
        <v>-1.1200813633510001</v>
      </c>
      <c r="AH8326">
        <v>70.303997532112604</v>
      </c>
      <c r="AI8326">
        <v>90.912550400369</v>
      </c>
      <c r="AJ8326">
        <v>91.220858662093306</v>
      </c>
      <c r="AK8326">
        <v>70.3288806109734</v>
      </c>
      <c r="AL8326">
        <v>94.679824932111003</v>
      </c>
      <c r="AM8326">
        <v>88.672939250728902</v>
      </c>
      <c r="AN8326">
        <v>1.0000000460364999</v>
      </c>
    </row>
    <row r="8327" spans="1:40" x14ac:dyDescent="0.25">
      <c r="A8327" t="str">
        <f>"20190303155012155"</f>
        <v>20190303155012155</v>
      </c>
      <c r="B8327" t="str">
        <f>"1551599412149121"</f>
        <v>1551599412149121</v>
      </c>
      <c r="C8327" t="s">
        <v>40</v>
      </c>
      <c r="D8327">
        <v>4.6577729999999997</v>
      </c>
      <c r="E8327">
        <v>0.48234969999999999</v>
      </c>
      <c r="F8327" t="s">
        <v>41</v>
      </c>
      <c r="G8327">
        <v>-189.33869999999999</v>
      </c>
      <c r="H8327" s="1">
        <v>-7.3966610000000005E-7</v>
      </c>
      <c r="I8327">
        <v>111.0835</v>
      </c>
      <c r="J8327">
        <v>-188.22290000000001</v>
      </c>
      <c r="K8327">
        <v>1.1200810000000001</v>
      </c>
      <c r="L8327">
        <v>39.579590000000003</v>
      </c>
      <c r="M8327">
        <v>5.9421739999999997E-3</v>
      </c>
      <c r="N8327">
        <v>-1.049975E-2</v>
      </c>
      <c r="O8327">
        <v>0.99992720000000002</v>
      </c>
      <c r="P8327">
        <v>2.9084100000000002E-2</v>
      </c>
      <c r="Q8327">
        <v>-9.1914469999999998E-2</v>
      </c>
      <c r="R8327">
        <v>0.99534210000000001</v>
      </c>
      <c r="S8327">
        <v>-4.6630860000000003E-2</v>
      </c>
      <c r="T8327">
        <v>-4.6909930000000002E-2</v>
      </c>
      <c r="U8327">
        <v>3.0110779999999999</v>
      </c>
      <c r="V8327">
        <v>2.3165729999999999E-2</v>
      </c>
      <c r="W8327">
        <v>-8.1457790000000002E-2</v>
      </c>
      <c r="X8327">
        <v>0.9964075</v>
      </c>
      <c r="Y8327">
        <v>-2.1422960000000001E-2</v>
      </c>
      <c r="Z8327">
        <v>-5.0742749999999996E-3</v>
      </c>
      <c r="AA8327">
        <v>0.99975760000000002</v>
      </c>
      <c r="AB8327">
        <v>38</v>
      </c>
      <c r="AC8327">
        <v>-1.1157999999999699</v>
      </c>
      <c r="AD8327">
        <v>-1.12008173966609</v>
      </c>
      <c r="AE8327">
        <v>71.503909999999905</v>
      </c>
      <c r="AF8327">
        <v>-1.54031453387357</v>
      </c>
      <c r="AG8327">
        <v>-1.12008173966609</v>
      </c>
      <c r="AH8327">
        <v>71.478481677224195</v>
      </c>
      <c r="AI8327">
        <v>90.897554211596699</v>
      </c>
      <c r="AJ8327">
        <v>91.234495511915497</v>
      </c>
      <c r="AK8327">
        <v>71.503849510694707</v>
      </c>
      <c r="AL8327">
        <v>94.672364635841305</v>
      </c>
      <c r="AM8327">
        <v>88.668155861302495</v>
      </c>
      <c r="AN8327">
        <v>0.99999996432718197</v>
      </c>
    </row>
    <row r="8328" spans="1:40" x14ac:dyDescent="0.25">
      <c r="A8328" t="str">
        <f>"20190303155012177"</f>
        <v>20190303155012177</v>
      </c>
      <c r="B8328" t="str">
        <f>"1551599412168642"</f>
        <v>1551599412168642</v>
      </c>
      <c r="C8328" t="s">
        <v>40</v>
      </c>
      <c r="D8328">
        <v>4.6654669999999996</v>
      </c>
      <c r="E8328">
        <v>0.48248419999999997</v>
      </c>
      <c r="F8328" t="s">
        <v>41</v>
      </c>
      <c r="G8328">
        <v>-189.3442</v>
      </c>
      <c r="H8328" s="1">
        <v>-1.012614E-6</v>
      </c>
      <c r="I8328">
        <v>111.72199999999999</v>
      </c>
      <c r="J8328">
        <v>-188.22059999999999</v>
      </c>
      <c r="K8328">
        <v>1.1200840000000001</v>
      </c>
      <c r="L8328">
        <v>39.961759999999998</v>
      </c>
      <c r="M8328">
        <v>5.941745E-3</v>
      </c>
      <c r="N8328">
        <v>-1.051378E-2</v>
      </c>
      <c r="O8328">
        <v>0.99992709999999996</v>
      </c>
      <c r="P8328">
        <v>2.9453529999999999E-2</v>
      </c>
      <c r="Q8328">
        <v>-9.1513419999999998E-2</v>
      </c>
      <c r="R8328">
        <v>0.99536820000000004</v>
      </c>
      <c r="S8328">
        <v>-4.679871E-2</v>
      </c>
      <c r="T8328">
        <v>-4.6749949999999998E-2</v>
      </c>
      <c r="U8328">
        <v>3.0110779999999999</v>
      </c>
      <c r="V8328">
        <v>2.3535449999999999E-2</v>
      </c>
      <c r="W8328">
        <v>-8.1042509999999998E-2</v>
      </c>
      <c r="X8328">
        <v>0.99643269999999995</v>
      </c>
      <c r="Y8328">
        <v>-2.1478250000000001E-2</v>
      </c>
      <c r="Z8328">
        <v>-5.0071209999999998E-3</v>
      </c>
      <c r="AA8328">
        <v>0.9997568</v>
      </c>
      <c r="AB8328">
        <v>39</v>
      </c>
      <c r="AC8328">
        <v>-1.1236000000000099</v>
      </c>
      <c r="AD8328">
        <v>-1.1200850126140001</v>
      </c>
      <c r="AE8328">
        <v>71.760239999999996</v>
      </c>
      <c r="AF8328">
        <v>-1.5496073270350501</v>
      </c>
      <c r="AG8328">
        <v>-1.1200850126140001</v>
      </c>
      <c r="AH8328">
        <v>71.734824001534406</v>
      </c>
      <c r="AI8328">
        <v>90.894348949182699</v>
      </c>
      <c r="AJ8328">
        <v>91.237504300620202</v>
      </c>
      <c r="AK8328">
        <v>71.760301336007501</v>
      </c>
      <c r="AL8328">
        <v>94.648491907548802</v>
      </c>
      <c r="AM8328">
        <v>88.6469419667132</v>
      </c>
      <c r="AN8328">
        <v>0.99999996573154504</v>
      </c>
    </row>
    <row r="8329" spans="1:40" x14ac:dyDescent="0.25">
      <c r="A8329" t="str">
        <f>"20190303155012200"</f>
        <v>20190303155012200</v>
      </c>
      <c r="B8329" t="str">
        <f>"1551599412188668"</f>
        <v>1551599412188668</v>
      </c>
      <c r="C8329" t="s">
        <v>40</v>
      </c>
      <c r="D8329">
        <v>4.6669489999999998</v>
      </c>
      <c r="E8329">
        <v>0.49713160000000001</v>
      </c>
      <c r="F8329" t="s">
        <v>41</v>
      </c>
      <c r="G8329">
        <v>-189.32210000000001</v>
      </c>
      <c r="H8329" s="1">
        <v>-2.1100140000000001E-6</v>
      </c>
      <c r="I8329">
        <v>114.271</v>
      </c>
      <c r="J8329">
        <v>-188.2184</v>
      </c>
      <c r="K8329">
        <v>1.1200840000000001</v>
      </c>
      <c r="L8329">
        <v>40.338709999999999</v>
      </c>
      <c r="M8329">
        <v>5.9388879999999998E-3</v>
      </c>
      <c r="N8329">
        <v>-1.0536810000000001E-2</v>
      </c>
      <c r="O8329">
        <v>0.99992689999999995</v>
      </c>
      <c r="P8329">
        <v>2.9619719999999999E-2</v>
      </c>
      <c r="Q8329">
        <v>-9.1290129999999997E-2</v>
      </c>
      <c r="R8329">
        <v>0.99538369999999998</v>
      </c>
      <c r="S8329">
        <v>-4.4631959999999998E-2</v>
      </c>
      <c r="T8329">
        <v>-4.538739E-2</v>
      </c>
      <c r="U8329">
        <v>3.0111080000000001</v>
      </c>
      <c r="V8329">
        <v>2.3704599999999999E-2</v>
      </c>
      <c r="W8329">
        <v>-8.0796049999999994E-2</v>
      </c>
      <c r="X8329">
        <v>0.99644880000000002</v>
      </c>
      <c r="Y8329">
        <v>-2.0756159999999999E-2</v>
      </c>
      <c r="Z8329">
        <v>-4.5318399999999997E-3</v>
      </c>
      <c r="AA8329">
        <v>0.9997743</v>
      </c>
      <c r="AB8329">
        <v>39</v>
      </c>
      <c r="AC8329">
        <v>-1.1036999999999999</v>
      </c>
      <c r="AD8329">
        <v>-1.120086110014</v>
      </c>
      <c r="AE8329">
        <v>73.932289999999995</v>
      </c>
      <c r="AF8329">
        <v>-1.5424265274483699</v>
      </c>
      <c r="AG8329">
        <v>-1.120086110014</v>
      </c>
      <c r="AH8329">
        <v>73.907470910506902</v>
      </c>
      <c r="AI8329">
        <v>90.868076329764705</v>
      </c>
      <c r="AJ8329">
        <v>91.195572005853506</v>
      </c>
      <c r="AK8329">
        <v>73.932049402636295</v>
      </c>
      <c r="AL8329">
        <v>94.634323889237805</v>
      </c>
      <c r="AM8329">
        <v>88.637243161909595</v>
      </c>
      <c r="AN8329">
        <v>1.00000006038909</v>
      </c>
    </row>
    <row r="8330" spans="1:40" x14ac:dyDescent="0.25">
      <c r="A8330" t="str">
        <f>"20190303155012221"</f>
        <v>20190303155012221</v>
      </c>
      <c r="B8330" t="str">
        <f>"1551599412218924"</f>
        <v>1551599412218924</v>
      </c>
      <c r="C8330" t="s">
        <v>40</v>
      </c>
      <c r="D8330">
        <v>4.6561149999999998</v>
      </c>
      <c r="E8330">
        <v>0.49717139999999999</v>
      </c>
      <c r="F8330" t="s">
        <v>59</v>
      </c>
      <c r="G8330">
        <v>-186.01849999999999</v>
      </c>
      <c r="H8330" s="1">
        <v>-5.5767649999999998E-6</v>
      </c>
      <c r="I8330">
        <v>131.1686</v>
      </c>
      <c r="J8330">
        <v>-188.21619999999999</v>
      </c>
      <c r="K8330">
        <v>1.1200950000000001</v>
      </c>
      <c r="L8330">
        <v>40.70834</v>
      </c>
      <c r="M8330">
        <v>5.9251109999999899E-3</v>
      </c>
      <c r="N8330">
        <v>-1.056872E-2</v>
      </c>
      <c r="O8330">
        <v>0.9999266</v>
      </c>
      <c r="P8330">
        <v>2.9569669999999999E-2</v>
      </c>
      <c r="Q8330">
        <v>-9.131417E-2</v>
      </c>
      <c r="R8330">
        <v>0.99538300000000002</v>
      </c>
      <c r="S8330">
        <v>7.2860720000000004E-2</v>
      </c>
      <c r="T8330">
        <v>-3.7097930000000001E-2</v>
      </c>
      <c r="U8330">
        <v>3.0083310000000001</v>
      </c>
      <c r="V8330">
        <v>2.366942E-2</v>
      </c>
      <c r="W8330">
        <v>-8.0787979999999995E-2</v>
      </c>
      <c r="X8330">
        <v>0.99645019999999995</v>
      </c>
      <c r="Y8330">
        <v>1.8286159999999999E-2</v>
      </c>
      <c r="Z8330">
        <v>-1.7597779999999901E-3</v>
      </c>
      <c r="AA8330">
        <v>0.99983129999999998</v>
      </c>
      <c r="AB8330">
        <v>39</v>
      </c>
      <c r="AC8330">
        <v>2.19769999999999</v>
      </c>
      <c r="AD8330">
        <v>-1.1201005767649901</v>
      </c>
      <c r="AE8330">
        <v>90.460259999999906</v>
      </c>
      <c r="AF8330">
        <v>1.6613898286417801</v>
      </c>
      <c r="AG8330">
        <v>-1.1201005767649901</v>
      </c>
      <c r="AH8330">
        <v>90.457833460731294</v>
      </c>
      <c r="AI8330">
        <v>90.709313207723298</v>
      </c>
      <c r="AJ8330">
        <v>88.947797881236596</v>
      </c>
      <c r="AK8330">
        <v>90.480022523616697</v>
      </c>
      <c r="AL8330">
        <v>94.633860415068199</v>
      </c>
      <c r="AM8330">
        <v>88.639266779643705</v>
      </c>
      <c r="AN8330">
        <v>0.99999997011782704</v>
      </c>
    </row>
    <row r="8331" spans="1:40" x14ac:dyDescent="0.25">
      <c r="A8331" t="str">
        <f>"20190303155012256"</f>
        <v>20190303155012256</v>
      </c>
      <c r="B8331" t="str">
        <f>"1551599412249180"</f>
        <v>1551599412249180</v>
      </c>
      <c r="C8331" t="s">
        <v>40</v>
      </c>
      <c r="D8331">
        <v>4.6460410000000003</v>
      </c>
      <c r="E8331">
        <v>0.49721320000000002</v>
      </c>
      <c r="F8331" t="s">
        <v>59</v>
      </c>
      <c r="G8331">
        <v>-185.88489999999999</v>
      </c>
      <c r="H8331" s="1">
        <v>-7.3561450000000004E-6</v>
      </c>
      <c r="I8331">
        <v>136.6079</v>
      </c>
      <c r="J8331">
        <v>-188.21260000000001</v>
      </c>
      <c r="K8331">
        <v>1.120131</v>
      </c>
      <c r="L8331">
        <v>41.319029999999998</v>
      </c>
      <c r="M8331">
        <v>5.8538729999999999E-3</v>
      </c>
      <c r="N8331">
        <v>-1.063804E-2</v>
      </c>
      <c r="O8331">
        <v>0.99992630000000005</v>
      </c>
      <c r="P8331">
        <v>2.961099E-2</v>
      </c>
      <c r="Q8331">
        <v>-9.1333750000000005E-2</v>
      </c>
      <c r="R8331">
        <v>0.99538000000000004</v>
      </c>
      <c r="S8331">
        <v>7.313538E-2</v>
      </c>
      <c r="T8331">
        <v>-3.5139320000000002E-2</v>
      </c>
      <c r="U8331">
        <v>3.0085139999999999</v>
      </c>
      <c r="V8331">
        <v>2.378663E-2</v>
      </c>
      <c r="W8331">
        <v>-8.0737050000000005E-2</v>
      </c>
      <c r="X8331">
        <v>0.99645159999999999</v>
      </c>
      <c r="Y8331">
        <v>1.8447189999999999E-2</v>
      </c>
      <c r="Z8331">
        <v>-1.0389209999999999E-3</v>
      </c>
      <c r="AA8331">
        <v>0.99982930000000003</v>
      </c>
      <c r="AB8331">
        <v>39</v>
      </c>
      <c r="AC8331">
        <v>2.3277000000000201</v>
      </c>
      <c r="AD8331">
        <v>-1.120138356145</v>
      </c>
      <c r="AE8331">
        <v>95.288869999999903</v>
      </c>
      <c r="AF8331">
        <v>1.7695752331630099</v>
      </c>
      <c r="AG8331">
        <v>-1.120138356145</v>
      </c>
      <c r="AH8331">
        <v>95.2877045401207</v>
      </c>
      <c r="AI8331">
        <v>90.673383643724094</v>
      </c>
      <c r="AJ8331">
        <v>88.936090026632698</v>
      </c>
      <c r="AK8331">
        <v>95.3107168316767</v>
      </c>
      <c r="AL8331">
        <v>94.630932485236698</v>
      </c>
      <c r="AM8331">
        <v>88.632532957201207</v>
      </c>
      <c r="AN8331">
        <v>1.0000000330759999</v>
      </c>
    </row>
    <row r="8332" spans="1:40" x14ac:dyDescent="0.25">
      <c r="A8332" t="str">
        <f>"20190303155012279"</f>
        <v>20190303155012279</v>
      </c>
      <c r="B8332" t="str">
        <f>"1551599412269675"</f>
        <v>1551599412269675</v>
      </c>
      <c r="C8332" t="s">
        <v>40</v>
      </c>
      <c r="D8332">
        <v>4.7019970000000004</v>
      </c>
      <c r="E8332">
        <v>0.4971679</v>
      </c>
      <c r="F8332" t="s">
        <v>59</v>
      </c>
      <c r="G8332">
        <v>-185.81700000000001</v>
      </c>
      <c r="H8332" s="1">
        <v>-8.2101279999999995E-6</v>
      </c>
      <c r="I8332">
        <v>139.03299999999999</v>
      </c>
      <c r="J8332">
        <v>-188.21039999999999</v>
      </c>
      <c r="K8332">
        <v>1.1201589999999999</v>
      </c>
      <c r="L8332">
        <v>41.712519999999998</v>
      </c>
      <c r="M8332">
        <v>5.7757859999999998E-3</v>
      </c>
      <c r="N8332">
        <v>-1.069141E-2</v>
      </c>
      <c r="O8332">
        <v>0.99992610000000004</v>
      </c>
      <c r="P8332">
        <v>2.954358E-2</v>
      </c>
      <c r="Q8332">
        <v>-9.1578560000000003E-2</v>
      </c>
      <c r="R8332">
        <v>0.99535949999999995</v>
      </c>
      <c r="S8332">
        <v>7.3760989999999999E-2</v>
      </c>
      <c r="T8332">
        <v>-3.4488680000000001E-2</v>
      </c>
      <c r="U8332">
        <v>3.008575</v>
      </c>
      <c r="V8332">
        <v>2.3801579999999999E-2</v>
      </c>
      <c r="W8332">
        <v>-8.0927600000000002E-2</v>
      </c>
      <c r="X8332">
        <v>0.99643579999999998</v>
      </c>
      <c r="Y8332">
        <v>1.8732539999999999E-2</v>
      </c>
      <c r="Z8332">
        <v>-7.6908749999999996E-4</v>
      </c>
      <c r="AA8332">
        <v>0.99982420000000005</v>
      </c>
      <c r="AB8332">
        <v>39</v>
      </c>
      <c r="AC8332">
        <v>2.3933999999999802</v>
      </c>
      <c r="AD8332">
        <v>-1.12016721012799</v>
      </c>
      <c r="AE8332">
        <v>97.320480000000003</v>
      </c>
      <c r="AF8332">
        <v>1.8309832169504501</v>
      </c>
      <c r="AG8332">
        <v>-1.12016721012799</v>
      </c>
      <c r="AH8332">
        <v>97.319795728353597</v>
      </c>
      <c r="AI8332">
        <v>90.659338260998496</v>
      </c>
      <c r="AJ8332">
        <v>88.922159315196296</v>
      </c>
      <c r="AK8332">
        <v>97.343463646656105</v>
      </c>
      <c r="AL8332">
        <v>94.641885971334005</v>
      </c>
      <c r="AM8332">
        <v>88.631652136253805</v>
      </c>
      <c r="AN8332">
        <v>1.0000000475869399</v>
      </c>
    </row>
    <row r="8333" spans="1:40" x14ac:dyDescent="0.25">
      <c r="A8333" t="str">
        <f>"20190303155012303"</f>
        <v>20190303155012303</v>
      </c>
      <c r="B8333" t="str">
        <f>"1551599412299463"</f>
        <v>1551599412299463</v>
      </c>
      <c r="C8333" t="s">
        <v>40</v>
      </c>
      <c r="D8333">
        <v>4.68072</v>
      </c>
      <c r="E8333">
        <v>0.49698209999999998</v>
      </c>
      <c r="F8333" t="s">
        <v>59</v>
      </c>
      <c r="G8333">
        <v>-185.89500000000001</v>
      </c>
      <c r="H8333" s="1">
        <v>-7.5138720000000002E-6</v>
      </c>
      <c r="I8333">
        <v>137.0615</v>
      </c>
      <c r="J8333">
        <v>-188.20820000000001</v>
      </c>
      <c r="K8333">
        <v>1.1202049999999999</v>
      </c>
      <c r="L8333">
        <v>42.120240000000003</v>
      </c>
      <c r="M8333">
        <v>5.6447199999999998E-3</v>
      </c>
      <c r="N8333">
        <v>-1.077698E-2</v>
      </c>
      <c r="O8333">
        <v>0.99992599999999998</v>
      </c>
      <c r="P8333">
        <v>2.9822169999999999E-2</v>
      </c>
      <c r="Q8333">
        <v>-9.1970350000000006E-2</v>
      </c>
      <c r="R8333">
        <v>0.99531510000000001</v>
      </c>
      <c r="S8333">
        <v>7.3059079999999998E-2</v>
      </c>
      <c r="T8333">
        <v>-3.5344960000000002E-2</v>
      </c>
      <c r="U8333">
        <v>3.008575</v>
      </c>
      <c r="V8333">
        <v>2.4217590000000001E-2</v>
      </c>
      <c r="W8333">
        <v>-8.1232559999999995E-2</v>
      </c>
      <c r="X8333">
        <v>0.99640090000000003</v>
      </c>
      <c r="Y8333">
        <v>1.863041E-2</v>
      </c>
      <c r="Z8333">
        <v>-9.6805139999999997E-4</v>
      </c>
      <c r="AA8333">
        <v>0.99982599999999999</v>
      </c>
      <c r="AB8333">
        <v>39</v>
      </c>
      <c r="AC8333">
        <v>2.3131999999999899</v>
      </c>
      <c r="AD8333">
        <v>-1.1202125138719901</v>
      </c>
      <c r="AE8333">
        <v>94.94126</v>
      </c>
      <c r="AF8333">
        <v>1.7769679559487701</v>
      </c>
      <c r="AG8333">
        <v>-1.1202125138719901</v>
      </c>
      <c r="AH8333">
        <v>94.939596065335706</v>
      </c>
      <c r="AI8333">
        <v>90.675895366080397</v>
      </c>
      <c r="AJ8333">
        <v>88.927730031293294</v>
      </c>
      <c r="AK8333">
        <v>94.962831635550003</v>
      </c>
      <c r="AL8333">
        <v>94.659416892475804</v>
      </c>
      <c r="AM8333">
        <v>88.607696394765995</v>
      </c>
      <c r="AN8333">
        <v>0.999999986995185</v>
      </c>
    </row>
    <row r="8334" spans="1:40" x14ac:dyDescent="0.25">
      <c r="A8334" t="str">
        <f>"20190303155012322"</f>
        <v>20190303155012322</v>
      </c>
      <c r="B8334" t="str">
        <f>"1551599412318983"</f>
        <v>1551599412318983</v>
      </c>
      <c r="C8334" t="s">
        <v>40</v>
      </c>
      <c r="D8334">
        <v>4.7153070000000001</v>
      </c>
      <c r="E8334">
        <v>0.49700909999999898</v>
      </c>
      <c r="F8334" t="s">
        <v>59</v>
      </c>
      <c r="G8334">
        <v>-186.06290000000001</v>
      </c>
      <c r="H8334" s="1">
        <v>-5.5906240000000001E-6</v>
      </c>
      <c r="I8334">
        <v>131.22</v>
      </c>
      <c r="J8334">
        <v>-188.2064</v>
      </c>
      <c r="K8334">
        <v>1.1202650000000001</v>
      </c>
      <c r="L8334">
        <v>42.460540000000002</v>
      </c>
      <c r="M8334">
        <v>5.4889459999999998E-3</v>
      </c>
      <c r="N8334">
        <v>-1.0888790000000001E-2</v>
      </c>
      <c r="O8334">
        <v>0.99992570000000003</v>
      </c>
      <c r="P8334">
        <v>2.895027E-2</v>
      </c>
      <c r="Q8334">
        <v>-9.2200989999999997E-2</v>
      </c>
      <c r="R8334">
        <v>0.99531950000000002</v>
      </c>
      <c r="S8334">
        <v>7.243347E-2</v>
      </c>
      <c r="T8334">
        <v>-3.7823919999999997E-2</v>
      </c>
      <c r="U8334">
        <v>3.0084529999999998</v>
      </c>
      <c r="V8334">
        <v>2.3508069999999999E-2</v>
      </c>
      <c r="W8334">
        <v>-8.1349859999999996E-2</v>
      </c>
      <c r="X8334">
        <v>0.99640830000000002</v>
      </c>
      <c r="Y8334">
        <v>1.857922E-2</v>
      </c>
      <c r="Z8334">
        <v>-1.68041E-3</v>
      </c>
      <c r="AA8334">
        <v>0.99982599999999999</v>
      </c>
      <c r="AB8334">
        <v>39</v>
      </c>
      <c r="AC8334">
        <v>2.14349999999998</v>
      </c>
      <c r="AD8334">
        <v>-1.120270590624</v>
      </c>
      <c r="AE8334">
        <v>88.759459999999905</v>
      </c>
      <c r="AF8334">
        <v>1.65597931789685</v>
      </c>
      <c r="AG8334">
        <v>-1.120270590624</v>
      </c>
      <c r="AH8334">
        <v>88.755758411156705</v>
      </c>
      <c r="AI8334">
        <v>90.723020142926899</v>
      </c>
      <c r="AJ8334">
        <v>88.931115904634396</v>
      </c>
      <c r="AK8334">
        <v>88.778273946034403</v>
      </c>
      <c r="AL8334">
        <v>94.666160108852793</v>
      </c>
      <c r="AM8334">
        <v>88.648482381788796</v>
      </c>
      <c r="AN8334">
        <v>0.999999964693016</v>
      </c>
    </row>
    <row r="8335" spans="1:40" x14ac:dyDescent="0.25">
      <c r="A8335" t="str">
        <f>"20190303155012345"</f>
        <v>20190303155012345</v>
      </c>
      <c r="B8335" t="str">
        <f>"1551599412339479"</f>
        <v>1551599412339479</v>
      </c>
      <c r="C8335" t="s">
        <v>40</v>
      </c>
      <c r="D8335">
        <v>4.8618810000000003</v>
      </c>
      <c r="E8335">
        <v>0.49721320000000002</v>
      </c>
      <c r="F8335" t="s">
        <v>59</v>
      </c>
      <c r="G8335">
        <v>-186.1611</v>
      </c>
      <c r="H8335" s="1">
        <v>-5.2774740000000004E-6</v>
      </c>
      <c r="I8335">
        <v>130.25890000000001</v>
      </c>
      <c r="J8335">
        <v>-188.20439999999999</v>
      </c>
      <c r="K8335">
        <v>1.120344</v>
      </c>
      <c r="L8335">
        <v>42.862119999999997</v>
      </c>
      <c r="M8335">
        <v>5.2586419999999896E-3</v>
      </c>
      <c r="N8335">
        <v>-1.1057310000000001E-2</v>
      </c>
      <c r="O8335">
        <v>0.99992499999999995</v>
      </c>
      <c r="P8335">
        <v>2.8387610000000001E-2</v>
      </c>
      <c r="Q8335">
        <v>-9.2429269999999994E-2</v>
      </c>
      <c r="R8335">
        <v>0.99531449999999999</v>
      </c>
      <c r="S8335">
        <v>7.0083619999999999E-2</v>
      </c>
      <c r="T8335">
        <v>-3.8387419999999998E-2</v>
      </c>
      <c r="U8335">
        <v>3.0085139999999999</v>
      </c>
      <c r="V8335">
        <v>2.318394E-2</v>
      </c>
      <c r="W8335">
        <v>-8.1407809999999997E-2</v>
      </c>
      <c r="X8335">
        <v>0.99641120000000005</v>
      </c>
      <c r="Y8335">
        <v>1.8028510000000001E-2</v>
      </c>
      <c r="Z8335">
        <v>-1.6990110000000001E-3</v>
      </c>
      <c r="AA8335">
        <v>0.99983599999999995</v>
      </c>
      <c r="AB8335">
        <v>39</v>
      </c>
      <c r="AC8335">
        <v>2.0432999999999799</v>
      </c>
      <c r="AD8335">
        <v>-1.120349277474</v>
      </c>
      <c r="AE8335">
        <v>87.396780000000007</v>
      </c>
      <c r="AF8335">
        <v>1.5833951938415201</v>
      </c>
      <c r="AG8335">
        <v>-1.120349277474</v>
      </c>
      <c r="AH8335">
        <v>87.391963830945002</v>
      </c>
      <c r="AI8335">
        <v>90.7343608534146</v>
      </c>
      <c r="AJ8335">
        <v>88.9620105476925</v>
      </c>
      <c r="AK8335">
        <v>87.413486745882807</v>
      </c>
      <c r="AL8335">
        <v>94.669491269163501</v>
      </c>
      <c r="AM8335">
        <v>88.6671142571942</v>
      </c>
      <c r="AN8335">
        <v>1.00000000304417</v>
      </c>
    </row>
    <row r="8336" spans="1:40" x14ac:dyDescent="0.25">
      <c r="A8336" t="str">
        <f>"20190303155012368"</f>
        <v>20190303155012368</v>
      </c>
      <c r="B8336" t="str">
        <f>"1551599412358998"</f>
        <v>1551599412358998</v>
      </c>
      <c r="C8336" t="s">
        <v>40</v>
      </c>
      <c r="D8336">
        <v>4.693924</v>
      </c>
      <c r="E8336">
        <v>0.49738169999999998</v>
      </c>
      <c r="F8336" t="s">
        <v>59</v>
      </c>
      <c r="G8336">
        <v>-186.22669999999999</v>
      </c>
      <c r="H8336" s="1">
        <v>-4.3453130000000003E-6</v>
      </c>
      <c r="I8336">
        <v>127.90389999999999</v>
      </c>
      <c r="J8336">
        <v>-188.20259999999999</v>
      </c>
      <c r="K8336">
        <v>1.1204270000000001</v>
      </c>
      <c r="L8336">
        <v>43.252929999999999</v>
      </c>
      <c r="M8336">
        <v>4.9996260000000001E-3</v>
      </c>
      <c r="N8336">
        <v>-1.127156E-2</v>
      </c>
      <c r="O8336">
        <v>0.99992400000000004</v>
      </c>
      <c r="P8336">
        <v>2.786974E-2</v>
      </c>
      <c r="Q8336">
        <v>-9.2481019999999997E-2</v>
      </c>
      <c r="R8336">
        <v>0.99532430000000005</v>
      </c>
      <c r="S8336">
        <v>6.9961549999999997E-2</v>
      </c>
      <c r="T8336">
        <v>-3.9633630000000003E-2</v>
      </c>
      <c r="U8336">
        <v>3.0084529999999998</v>
      </c>
      <c r="V8336">
        <v>2.2932330000000001E-2</v>
      </c>
      <c r="W8336">
        <v>-8.1243720000000005E-2</v>
      </c>
      <c r="X8336">
        <v>0.99643040000000005</v>
      </c>
      <c r="Y8336">
        <v>1.8247269999999999E-2</v>
      </c>
      <c r="Z8336">
        <v>-1.8990540000000001E-3</v>
      </c>
      <c r="AA8336">
        <v>0.99983169999999999</v>
      </c>
      <c r="AB8336">
        <v>39</v>
      </c>
      <c r="AC8336">
        <v>1.97589999999999</v>
      </c>
      <c r="AD8336">
        <v>-1.1204313453129999</v>
      </c>
      <c r="AE8336">
        <v>84.650970000000001</v>
      </c>
      <c r="AF8336">
        <v>1.5523534272928601</v>
      </c>
      <c r="AG8336">
        <v>-1.1204313453129999</v>
      </c>
      <c r="AH8336">
        <v>84.644970482918794</v>
      </c>
      <c r="AI8336">
        <v>90.758242891138906</v>
      </c>
      <c r="AJ8336">
        <v>88.949337102220895</v>
      </c>
      <c r="AK8336">
        <v>84.666617953104605</v>
      </c>
      <c r="AL8336">
        <v>94.660058429531702</v>
      </c>
      <c r="AM8336">
        <v>88.6816000231169</v>
      </c>
      <c r="AN8336">
        <v>0.99999998792141298</v>
      </c>
    </row>
    <row r="8337" spans="1:40" x14ac:dyDescent="0.25">
      <c r="A8337" t="str">
        <f>"20190303155012389"</f>
        <v>20190303155012389</v>
      </c>
      <c r="B8337" t="str">
        <f>"1551599412378519"</f>
        <v>1551599412378519</v>
      </c>
      <c r="C8337" t="s">
        <v>40</v>
      </c>
      <c r="D8337">
        <v>4.7431029999999996</v>
      </c>
      <c r="E8337">
        <v>0.51219619999999999</v>
      </c>
      <c r="F8337" t="s">
        <v>59</v>
      </c>
      <c r="G8337">
        <v>-186.24709999999999</v>
      </c>
      <c r="H8337" s="1">
        <v>-4.2689949999999998E-6</v>
      </c>
      <c r="I8337">
        <v>127.7259</v>
      </c>
      <c r="J8337">
        <v>-188.20099999999999</v>
      </c>
      <c r="K8337">
        <v>1.120506</v>
      </c>
      <c r="L8337">
        <v>43.618319999999997</v>
      </c>
      <c r="M8337">
        <v>4.7253620000000003E-3</v>
      </c>
      <c r="N8337">
        <v>-1.15327E-2</v>
      </c>
      <c r="O8337">
        <v>0.99992230000000004</v>
      </c>
      <c r="P8337">
        <v>2.7339309999999999E-2</v>
      </c>
      <c r="Q8337">
        <v>-9.2170100000000005E-2</v>
      </c>
      <c r="R8337">
        <v>0.99536789999999997</v>
      </c>
      <c r="S8337">
        <v>6.9641110000000006E-2</v>
      </c>
      <c r="T8337">
        <v>-3.9903040000000001E-2</v>
      </c>
      <c r="U8337">
        <v>3.0084230000000001</v>
      </c>
      <c r="V8337">
        <v>2.2681199999999999E-2</v>
      </c>
      <c r="W8337">
        <v>-8.0670420000000007E-2</v>
      </c>
      <c r="X8337">
        <v>0.99648270000000005</v>
      </c>
      <c r="Y8337">
        <v>1.841518E-2</v>
      </c>
      <c r="Z8337">
        <v>-1.727545E-3</v>
      </c>
      <c r="AA8337">
        <v>0.99982890000000002</v>
      </c>
      <c r="AB8337">
        <v>39</v>
      </c>
      <c r="AC8337">
        <v>1.9539</v>
      </c>
      <c r="AD8337">
        <v>-1.1205102689949999</v>
      </c>
      <c r="AE8337">
        <v>84.107579999999899</v>
      </c>
      <c r="AF8337">
        <v>1.55613693311992</v>
      </c>
      <c r="AG8337">
        <v>-1.1205102689949999</v>
      </c>
      <c r="AH8337">
        <v>84.100955749546898</v>
      </c>
      <c r="AI8337">
        <v>90.763198527265004</v>
      </c>
      <c r="AJ8337">
        <v>88.939965607910807</v>
      </c>
      <c r="AK8337">
        <v>84.122814167173402</v>
      </c>
      <c r="AL8337">
        <v>94.627102701780203</v>
      </c>
      <c r="AM8337">
        <v>88.696101111575402</v>
      </c>
      <c r="AN8337">
        <v>0.99999996244785205</v>
      </c>
    </row>
    <row r="8338" spans="1:40" x14ac:dyDescent="0.25">
      <c r="A8338" t="str">
        <f>"20190303155012546"</f>
        <v>20190303155012546</v>
      </c>
      <c r="B8338" t="str">
        <f>"1551599412538583"</f>
        <v>1551599412538583</v>
      </c>
      <c r="C8338" t="s">
        <v>40</v>
      </c>
      <c r="D8338">
        <v>4.9010480000000003</v>
      </c>
      <c r="E8338">
        <v>0.514351</v>
      </c>
      <c r="F8338" t="s">
        <v>78</v>
      </c>
      <c r="G8338">
        <v>-169.69409999999999</v>
      </c>
      <c r="H8338">
        <v>7.1067649999999896</v>
      </c>
      <c r="I8338">
        <v>339.15839999999997</v>
      </c>
      <c r="J8338">
        <v>-188.19390000000001</v>
      </c>
      <c r="K8338">
        <v>1.1208929999999999</v>
      </c>
      <c r="L8338">
        <v>46.307920000000003</v>
      </c>
      <c r="M8338">
        <v>1.996739E-3</v>
      </c>
      <c r="N8338">
        <v>-1.3510049999999999E-2</v>
      </c>
      <c r="O8338">
        <v>0.99990670000000004</v>
      </c>
      <c r="P8338">
        <v>2.4921849999999999E-2</v>
      </c>
      <c r="Q8338">
        <v>-9.7188200000000002E-2</v>
      </c>
      <c r="R8338">
        <v>0.99495389999999995</v>
      </c>
      <c r="S8338">
        <v>0.1887665</v>
      </c>
      <c r="T8338">
        <v>6.1058399999999999E-2</v>
      </c>
      <c r="U8338">
        <v>3.0144350000000002</v>
      </c>
      <c r="V8338">
        <v>2.3013269999999999E-2</v>
      </c>
      <c r="W8338">
        <v>-8.3715310000000001E-2</v>
      </c>
      <c r="X8338">
        <v>0.99622390000000005</v>
      </c>
      <c r="Y8338">
        <v>6.0472489999999997E-2</v>
      </c>
      <c r="Z8338">
        <v>3.3717400000000002E-2</v>
      </c>
      <c r="AA8338">
        <v>0.9976003</v>
      </c>
      <c r="AB8338">
        <v>38</v>
      </c>
      <c r="AC8338">
        <v>18.4998</v>
      </c>
      <c r="AD8338">
        <v>5.9858719999999899</v>
      </c>
      <c r="AE8338">
        <v>292.85047999999898</v>
      </c>
      <c r="AF8338">
        <v>17.907511817345501</v>
      </c>
      <c r="AG8338">
        <v>5.9858719999999899</v>
      </c>
      <c r="AH8338">
        <v>292.76500924095802</v>
      </c>
      <c r="AI8338">
        <v>88.830878376648698</v>
      </c>
      <c r="AJ8338">
        <v>86.499758860416904</v>
      </c>
      <c r="AK8338">
        <v>293.37324397249802</v>
      </c>
      <c r="AL8338">
        <v>94.802154426690507</v>
      </c>
      <c r="AM8338">
        <v>88.6766742136288</v>
      </c>
      <c r="AN8338">
        <v>0.99999996132784796</v>
      </c>
    </row>
    <row r="8339" spans="1:40" x14ac:dyDescent="0.25">
      <c r="A8339" t="str">
        <f>"20190303155012568"</f>
        <v>20190303155012568</v>
      </c>
      <c r="B8339" t="str">
        <f>"1551599412559078"</f>
        <v>1551599412559078</v>
      </c>
      <c r="C8339" t="s">
        <v>40</v>
      </c>
      <c r="D8339">
        <v>4.7418440000000004</v>
      </c>
      <c r="E8339">
        <v>0.5150555</v>
      </c>
      <c r="F8339" t="s">
        <v>78</v>
      </c>
      <c r="G8339">
        <v>-168.7824</v>
      </c>
      <c r="H8339">
        <v>10.220510000000001</v>
      </c>
      <c r="I8339">
        <v>339.94389999999999</v>
      </c>
      <c r="J8339">
        <v>-188.1935</v>
      </c>
      <c r="K8339">
        <v>1.1208979999999999</v>
      </c>
      <c r="L8339">
        <v>46.693300000000001</v>
      </c>
      <c r="M8339">
        <v>1.57515E-3</v>
      </c>
      <c r="N8339">
        <v>-1.369721E-2</v>
      </c>
      <c r="O8339">
        <v>0.99990489999999999</v>
      </c>
      <c r="P8339">
        <v>2.4145650000000001E-2</v>
      </c>
      <c r="Q8339">
        <v>-9.8523289999999999E-2</v>
      </c>
      <c r="R8339">
        <v>0.9948418</v>
      </c>
      <c r="S8339">
        <v>0.19960020000000001</v>
      </c>
      <c r="T8339">
        <v>9.356797E-2</v>
      </c>
      <c r="U8339">
        <v>3.0193479999999999</v>
      </c>
      <c r="V8339">
        <v>2.2659450000000001E-2</v>
      </c>
      <c r="W8339">
        <v>-8.4865389999999999E-2</v>
      </c>
      <c r="X8339">
        <v>0.99613479999999999</v>
      </c>
      <c r="Y8339">
        <v>6.4333080000000001E-2</v>
      </c>
      <c r="Z8339">
        <v>4.459577E-2</v>
      </c>
      <c r="AA8339">
        <v>0.99693160000000003</v>
      </c>
      <c r="AB8339">
        <v>38</v>
      </c>
      <c r="AC8339">
        <v>19.411100000000001</v>
      </c>
      <c r="AD8339">
        <v>9.0996119999999898</v>
      </c>
      <c r="AE8339">
        <v>293.25060000000002</v>
      </c>
      <c r="AF8339">
        <v>18.930970316383</v>
      </c>
      <c r="AG8339">
        <v>9.0996119999999898</v>
      </c>
      <c r="AH8339">
        <v>292.99992410825399</v>
      </c>
      <c r="AI8339">
        <v>88.224852677144597</v>
      </c>
      <c r="AJ8339">
        <v>86.303210176446797</v>
      </c>
      <c r="AK8339">
        <v>293.751834212338</v>
      </c>
      <c r="AL8339">
        <v>94.868284011037801</v>
      </c>
      <c r="AM8339">
        <v>88.696896253311294</v>
      </c>
      <c r="AN8339">
        <v>1.00000006243259</v>
      </c>
    </row>
    <row r="8340" spans="1:40" x14ac:dyDescent="0.25">
      <c r="A8340" t="str">
        <f>"20190303155012590"</f>
        <v>20190303155012590</v>
      </c>
      <c r="B8340" t="str">
        <f>"1551599412578599"</f>
        <v>1551599412578599</v>
      </c>
      <c r="C8340" t="s">
        <v>40</v>
      </c>
      <c r="D8340">
        <v>4.8175169999999996</v>
      </c>
      <c r="E8340">
        <v>0.5125826</v>
      </c>
      <c r="F8340" t="s">
        <v>79</v>
      </c>
      <c r="G8340">
        <v>-177.54079999999999</v>
      </c>
      <c r="H8340">
        <v>5.1983879999999996</v>
      </c>
      <c r="I8340">
        <v>205.60640000000001</v>
      </c>
      <c r="J8340">
        <v>-188.19329999999999</v>
      </c>
      <c r="K8340">
        <v>1.120908</v>
      </c>
      <c r="L8340">
        <v>47.052799999999998</v>
      </c>
      <c r="M8340">
        <v>1.180127E-3</v>
      </c>
      <c r="N8340">
        <v>-1.3851250000000001E-2</v>
      </c>
      <c r="O8340">
        <v>0.9999034</v>
      </c>
      <c r="P8340">
        <v>2.3475369999999999E-2</v>
      </c>
      <c r="Q8340">
        <v>-9.9068219999999999E-2</v>
      </c>
      <c r="R8340">
        <v>0.99480369999999996</v>
      </c>
      <c r="S8340">
        <v>0.2023315</v>
      </c>
      <c r="T8340">
        <v>7.7445630000000001E-2</v>
      </c>
      <c r="U8340">
        <v>3.0183110000000002</v>
      </c>
      <c r="V8340">
        <v>2.238366E-2</v>
      </c>
      <c r="W8340">
        <v>-8.5257479999999997E-2</v>
      </c>
      <c r="X8340">
        <v>0.99610750000000003</v>
      </c>
      <c r="Y8340">
        <v>6.5660270000000007E-2</v>
      </c>
      <c r="Z8340">
        <v>3.9437449999999999E-2</v>
      </c>
      <c r="AA8340">
        <v>0.99706240000000002</v>
      </c>
      <c r="AB8340">
        <v>38</v>
      </c>
      <c r="AC8340">
        <v>10.6525</v>
      </c>
      <c r="AD8340">
        <v>4.0774800000000004</v>
      </c>
      <c r="AE8340">
        <v>158.55359999999999</v>
      </c>
      <c r="AF8340">
        <v>10.458475616273001</v>
      </c>
      <c r="AG8340">
        <v>4.0774800000000004</v>
      </c>
      <c r="AH8340">
        <v>158.461734308866</v>
      </c>
      <c r="AI8340">
        <v>88.529209488692203</v>
      </c>
      <c r="AJ8340">
        <v>86.223954600417599</v>
      </c>
      <c r="AK8340">
        <v>158.85882662143899</v>
      </c>
      <c r="AL8340">
        <v>94.890831090935805</v>
      </c>
      <c r="AM8340">
        <v>88.712715797823193</v>
      </c>
      <c r="AN8340">
        <v>1.0000000088435901</v>
      </c>
    </row>
    <row r="8341" spans="1:40" x14ac:dyDescent="0.25">
      <c r="A8341" t="str">
        <f>"20190303155012613"</f>
        <v>20190303155012613</v>
      </c>
      <c r="B8341" t="str">
        <f>"1551599412608855"</f>
        <v>1551599412608855</v>
      </c>
      <c r="C8341" t="s">
        <v>40</v>
      </c>
      <c r="D8341">
        <v>4.8607420000000001</v>
      </c>
      <c r="E8341">
        <v>0.50970959999999998</v>
      </c>
      <c r="F8341" t="s">
        <v>45</v>
      </c>
      <c r="G8341">
        <v>-169.95949999999999</v>
      </c>
      <c r="H8341">
        <v>6.9002789999999896</v>
      </c>
      <c r="I8341">
        <v>352.77179999999998</v>
      </c>
      <c r="J8341">
        <v>-188.19329999999999</v>
      </c>
      <c r="K8341">
        <v>1.1209199999999999</v>
      </c>
      <c r="L8341">
        <v>47.450589999999998</v>
      </c>
      <c r="M8341">
        <v>7.4244299999999997E-4</v>
      </c>
      <c r="N8341">
        <v>-1.4000540000000001E-2</v>
      </c>
      <c r="O8341">
        <v>0.9999017</v>
      </c>
      <c r="P8341">
        <v>2.32553E-2</v>
      </c>
      <c r="Q8341">
        <v>-9.9318500000000004E-2</v>
      </c>
      <c r="R8341">
        <v>0.99478390000000005</v>
      </c>
      <c r="S8341">
        <v>0.17994689999999999</v>
      </c>
      <c r="T8341">
        <v>5.703652E-2</v>
      </c>
      <c r="U8341">
        <v>3.01709</v>
      </c>
      <c r="V8341">
        <v>2.2599979999999999E-2</v>
      </c>
      <c r="W8341">
        <v>-8.5359000000000004E-2</v>
      </c>
      <c r="X8341">
        <v>0.99609389999999998</v>
      </c>
      <c r="Y8341">
        <v>5.8765369999999997E-2</v>
      </c>
      <c r="Z8341">
        <v>3.2863879999999998E-2</v>
      </c>
      <c r="AA8341">
        <v>0.99773069999999997</v>
      </c>
      <c r="AB8341">
        <v>38</v>
      </c>
      <c r="AC8341">
        <v>18.233799999999999</v>
      </c>
      <c r="AD8341">
        <v>5.7793590000000004</v>
      </c>
      <c r="AE8341">
        <v>305.32120999999898</v>
      </c>
      <c r="AF8341">
        <v>18.000662460105499</v>
      </c>
      <c r="AG8341">
        <v>5.7793590000000004</v>
      </c>
      <c r="AH8341">
        <v>305.225691360334</v>
      </c>
      <c r="AI8341">
        <v>88.917131879195296</v>
      </c>
      <c r="AJ8341">
        <v>86.624894958415496</v>
      </c>
      <c r="AK8341">
        <v>305.81063994872301</v>
      </c>
      <c r="AL8341">
        <v>94.896669143347097</v>
      </c>
      <c r="AM8341">
        <v>88.700261742954297</v>
      </c>
      <c r="AN8341">
        <v>0.99999998779710497</v>
      </c>
    </row>
    <row r="8342" spans="1:40" x14ac:dyDescent="0.25">
      <c r="A8342" t="str">
        <f>"20190303155012635"</f>
        <v>20190303155012635</v>
      </c>
      <c r="B8342" t="str">
        <f>"1551599412629352"</f>
        <v>1551599412629352</v>
      </c>
      <c r="C8342" t="s">
        <v>40</v>
      </c>
      <c r="D8342">
        <v>4.8608820000000001</v>
      </c>
      <c r="E8342">
        <v>0.50859869999999996</v>
      </c>
      <c r="F8342" t="s">
        <v>62</v>
      </c>
      <c r="G8342">
        <v>0</v>
      </c>
      <c r="H8342">
        <v>0</v>
      </c>
      <c r="I8342">
        <v>0</v>
      </c>
      <c r="J8342">
        <v>-188.1934</v>
      </c>
      <c r="K8342">
        <v>1.1209309999999999</v>
      </c>
      <c r="L8342">
        <v>47.826140000000002</v>
      </c>
      <c r="M8342">
        <v>3.2940759999999997E-4</v>
      </c>
      <c r="N8342">
        <v>-1.412303E-2</v>
      </c>
      <c r="O8342">
        <v>0.99990020000000002</v>
      </c>
      <c r="P8342">
        <v>2.3138860000000001E-2</v>
      </c>
      <c r="Q8342">
        <v>-9.9900779999999995E-2</v>
      </c>
      <c r="R8342">
        <v>0.99472830000000001</v>
      </c>
      <c r="S8342">
        <v>0.155777</v>
      </c>
      <c r="T8342">
        <v>4.1520359999999999E-2</v>
      </c>
      <c r="U8342">
        <v>3.016235</v>
      </c>
      <c r="V8342">
        <v>2.2895499999999999E-2</v>
      </c>
      <c r="W8342">
        <v>-8.5819699999999999E-2</v>
      </c>
      <c r="X8342">
        <v>0.99604760000000003</v>
      </c>
      <c r="Y8342">
        <v>5.1228259999999998E-2</v>
      </c>
      <c r="Z8342">
        <v>2.786632E-2</v>
      </c>
      <c r="AA8342">
        <v>0.99829809999999997</v>
      </c>
      <c r="AB8342">
        <v>38</v>
      </c>
      <c r="AC8342">
        <v>0.155777</v>
      </c>
      <c r="AD8342">
        <v>4.1520359999999999E-2</v>
      </c>
      <c r="AE8342">
        <v>3.016235</v>
      </c>
      <c r="AF8342">
        <v>0.15475407498443999</v>
      </c>
      <c r="AG8342">
        <v>4.1520359999999999E-2</v>
      </c>
      <c r="AH8342">
        <v>3.0157162203709098</v>
      </c>
      <c r="AI8342">
        <v>89.212238344051499</v>
      </c>
      <c r="AJ8342">
        <v>87.062394472381996</v>
      </c>
      <c r="AK8342">
        <v>3.0199697160446899</v>
      </c>
      <c r="AL8342">
        <v>94.923162352569406</v>
      </c>
      <c r="AM8342">
        <v>88.683210972334095</v>
      </c>
      <c r="AN8342">
        <v>1.0000000231470401</v>
      </c>
    </row>
    <row r="8343" spans="1:40" x14ac:dyDescent="0.25">
      <c r="A8343" t="str">
        <f>"20190303155012657"</f>
        <v>20190303155012657</v>
      </c>
      <c r="B8343" t="str">
        <f>"1551599412648871"</f>
        <v>1551599412648871</v>
      </c>
      <c r="C8343" t="s">
        <v>40</v>
      </c>
      <c r="D8343">
        <v>5.0080809999999998</v>
      </c>
      <c r="E8343">
        <v>0.50764549999999997</v>
      </c>
      <c r="F8343" t="s">
        <v>62</v>
      </c>
      <c r="G8343">
        <v>0</v>
      </c>
      <c r="H8343">
        <v>0</v>
      </c>
      <c r="I8343">
        <v>0</v>
      </c>
      <c r="J8343">
        <v>-188.1936</v>
      </c>
      <c r="K8343">
        <v>1.120941</v>
      </c>
      <c r="L8343">
        <v>48.206299999999999</v>
      </c>
      <c r="M8343" s="1">
        <v>-8.7894969999999996E-5</v>
      </c>
      <c r="N8343">
        <v>-1.423077E-2</v>
      </c>
      <c r="O8343">
        <v>0.99989870000000003</v>
      </c>
      <c r="P8343">
        <v>2.3023490000000001E-2</v>
      </c>
      <c r="Q8343">
        <v>-9.9808800000000003E-2</v>
      </c>
      <c r="R8343">
        <v>0.99474019999999996</v>
      </c>
      <c r="S8343">
        <v>0.14608759999999901</v>
      </c>
      <c r="T8343">
        <v>2.878344E-2</v>
      </c>
      <c r="U8343">
        <v>3.0154109999999998</v>
      </c>
      <c r="V8343">
        <v>2.3195529999999999E-2</v>
      </c>
      <c r="W8343">
        <v>-8.5619929999999997E-2</v>
      </c>
      <c r="X8343">
        <v>0.99605779999999999</v>
      </c>
      <c r="Y8343">
        <v>4.8462760000000001E-2</v>
      </c>
      <c r="Z8343">
        <v>2.3762999999999999E-2</v>
      </c>
      <c r="AA8343">
        <v>0.99854219999999905</v>
      </c>
      <c r="AB8343">
        <v>38</v>
      </c>
      <c r="AC8343">
        <v>0.14608759999999901</v>
      </c>
      <c r="AD8343">
        <v>2.878344E-2</v>
      </c>
      <c r="AE8343">
        <v>3.0154109999999998</v>
      </c>
      <c r="AF8343">
        <v>0.14633936318041399</v>
      </c>
      <c r="AG8343">
        <v>2.878344E-2</v>
      </c>
      <c r="AH8343">
        <v>3.01512406538246</v>
      </c>
      <c r="AI8343">
        <v>89.453693889845994</v>
      </c>
      <c r="AJ8343">
        <v>87.221323823657798</v>
      </c>
      <c r="AK8343">
        <v>3.01881049840541</v>
      </c>
      <c r="AL8343">
        <v>94.911674336892304</v>
      </c>
      <c r="AM8343">
        <v>88.665975196644496</v>
      </c>
      <c r="AN8343">
        <v>0.99999997298301202</v>
      </c>
    </row>
    <row r="8344" spans="1:40" x14ac:dyDescent="0.25">
      <c r="A8344" t="str">
        <f>"20190303155012682"</f>
        <v>20190303155012682</v>
      </c>
      <c r="B8344" t="str">
        <f>"1551599412669367"</f>
        <v>1551599412669367</v>
      </c>
      <c r="C8344" t="s">
        <v>40</v>
      </c>
      <c r="D8344">
        <v>4.9300680000000003</v>
      </c>
      <c r="E8344">
        <v>0.50695100000000004</v>
      </c>
      <c r="F8344" t="s">
        <v>62</v>
      </c>
      <c r="G8344">
        <v>0</v>
      </c>
      <c r="H8344">
        <v>0</v>
      </c>
      <c r="I8344">
        <v>0</v>
      </c>
      <c r="J8344">
        <v>-188.19409999999999</v>
      </c>
      <c r="K8344">
        <v>1.1209519999999999</v>
      </c>
      <c r="L8344">
        <v>48.596310000000003</v>
      </c>
      <c r="M8344">
        <v>-5.1579190000000002E-4</v>
      </c>
      <c r="N8344">
        <v>-1.4326530000000001E-2</v>
      </c>
      <c r="O8344">
        <v>0.99989720000000004</v>
      </c>
      <c r="P8344">
        <v>2.2381789999999999E-2</v>
      </c>
      <c r="Q8344">
        <v>-9.9163119999999993E-2</v>
      </c>
      <c r="R8344">
        <v>0.99481949999999997</v>
      </c>
      <c r="S8344">
        <v>0.13764949999999901</v>
      </c>
      <c r="T8344">
        <v>2.233982E-2</v>
      </c>
      <c r="U8344">
        <v>3.014923</v>
      </c>
      <c r="V8344">
        <v>2.297913E-2</v>
      </c>
      <c r="W8344">
        <v>-8.4878060000000005E-2</v>
      </c>
      <c r="X8344">
        <v>0.99612639999999997</v>
      </c>
      <c r="Y8344">
        <v>4.6110810000000002E-2</v>
      </c>
      <c r="Z8344">
        <v>2.172729E-2</v>
      </c>
      <c r="AA8344">
        <v>0.99870000000000003</v>
      </c>
      <c r="AB8344">
        <v>38</v>
      </c>
      <c r="AC8344">
        <v>0.13764949999999901</v>
      </c>
      <c r="AD8344">
        <v>2.233982E-2</v>
      </c>
      <c r="AE8344">
        <v>3.014923</v>
      </c>
      <c r="AF8344">
        <v>0.13919708758907801</v>
      </c>
      <c r="AG8344">
        <v>2.233982E-2</v>
      </c>
      <c r="AH8344">
        <v>3.0146864179374702</v>
      </c>
      <c r="AI8344">
        <v>89.575879004570197</v>
      </c>
      <c r="AJ8344">
        <v>87.356360143467001</v>
      </c>
      <c r="AK8344">
        <v>3.01798096336733</v>
      </c>
      <c r="AL8344">
        <v>94.869012564098696</v>
      </c>
      <c r="AM8344">
        <v>88.678507372157696</v>
      </c>
      <c r="AN8344">
        <v>1.00000006513093</v>
      </c>
    </row>
    <row r="8345" spans="1:40" x14ac:dyDescent="0.25">
      <c r="A8345" t="str">
        <f>"20190303155012704"</f>
        <v>20190303155012704</v>
      </c>
      <c r="B8345" t="str">
        <f>"1551599412698647"</f>
        <v>1551599412698647</v>
      </c>
      <c r="C8345" t="s">
        <v>40</v>
      </c>
      <c r="D8345">
        <v>4.959854</v>
      </c>
      <c r="E8345">
        <v>0.50638720000000004</v>
      </c>
      <c r="F8345" t="s">
        <v>79</v>
      </c>
      <c r="G8345">
        <v>-177.59</v>
      </c>
      <c r="H8345">
        <v>2.595199</v>
      </c>
      <c r="I8345">
        <v>293.70400000000001</v>
      </c>
      <c r="J8345">
        <v>-188.19470000000001</v>
      </c>
      <c r="K8345">
        <v>1.120962</v>
      </c>
      <c r="L8345">
        <v>48.984220000000001</v>
      </c>
      <c r="M8345">
        <v>-9.4170579999999999E-4</v>
      </c>
      <c r="N8345">
        <v>-1.4407079999999999E-2</v>
      </c>
      <c r="O8345">
        <v>0.9998958</v>
      </c>
      <c r="P8345">
        <v>2.1764889999999999E-2</v>
      </c>
      <c r="Q8345">
        <v>-9.9119899999999997E-2</v>
      </c>
      <c r="R8345">
        <v>0.99483750000000004</v>
      </c>
      <c r="S8345">
        <v>0.130416899999999</v>
      </c>
      <c r="T8345">
        <v>1.813126E-2</v>
      </c>
      <c r="U8345">
        <v>3.0144959999999998</v>
      </c>
      <c r="V8345">
        <v>2.2786000000000001E-2</v>
      </c>
      <c r="W8345">
        <v>-8.4754640000000006E-2</v>
      </c>
      <c r="X8345">
        <v>0.99614130000000001</v>
      </c>
      <c r="Y8345">
        <v>4.4152039999999997E-2</v>
      </c>
      <c r="Z8345">
        <v>2.0415320000000001E-2</v>
      </c>
      <c r="AA8345">
        <v>0.99881620000000004</v>
      </c>
      <c r="AB8345">
        <v>38</v>
      </c>
      <c r="AC8345">
        <v>10.604699999999999</v>
      </c>
      <c r="AD8345">
        <v>1.474237</v>
      </c>
      <c r="AE8345">
        <v>244.71977999999999</v>
      </c>
      <c r="AF8345">
        <v>10.8347807808384</v>
      </c>
      <c r="AG8345">
        <v>1.474237</v>
      </c>
      <c r="AH8345">
        <v>244.700820181442</v>
      </c>
      <c r="AI8345">
        <v>89.655154973163107</v>
      </c>
      <c r="AJ8345">
        <v>87.464732648046507</v>
      </c>
      <c r="AK8345">
        <v>244.945008617795</v>
      </c>
      <c r="AL8345">
        <v>94.861915765129694</v>
      </c>
      <c r="AM8345">
        <v>88.689629670953394</v>
      </c>
      <c r="AN8345">
        <v>1.0000000201815999</v>
      </c>
    </row>
    <row r="8346" spans="1:40" x14ac:dyDescent="0.25">
      <c r="A8346" t="str">
        <f>"20190303155012724"</f>
        <v>20190303155012724</v>
      </c>
      <c r="B8346" t="str">
        <f>"1551599412719142"</f>
        <v>1551599412719142</v>
      </c>
      <c r="C8346" t="s">
        <v>40</v>
      </c>
      <c r="D8346">
        <v>4.9847260000000002</v>
      </c>
      <c r="E8346">
        <v>0.50599450000000001</v>
      </c>
      <c r="F8346" t="s">
        <v>80</v>
      </c>
      <c r="G8346">
        <v>-174.16919999999999</v>
      </c>
      <c r="H8346">
        <v>2.345739</v>
      </c>
      <c r="I8346">
        <v>391.00349999999997</v>
      </c>
      <c r="J8346">
        <v>-188.19540000000001</v>
      </c>
      <c r="K8346">
        <v>1.1209659999999999</v>
      </c>
      <c r="L8346">
        <v>49.334989999999998</v>
      </c>
      <c r="M8346">
        <v>-1.3269929999999901E-3</v>
      </c>
      <c r="N8346">
        <v>-1.4470139999999999E-2</v>
      </c>
      <c r="O8346">
        <v>0.99989439999999996</v>
      </c>
      <c r="P8346">
        <v>2.1183E-2</v>
      </c>
      <c r="Q8346">
        <v>-9.9086670000000002E-2</v>
      </c>
      <c r="R8346">
        <v>0.99485330000000005</v>
      </c>
      <c r="S8346">
        <v>0.1235962</v>
      </c>
      <c r="T8346">
        <v>1.0792970000000001E-2</v>
      </c>
      <c r="U8346">
        <v>3.0139469999999999</v>
      </c>
      <c r="V8346">
        <v>2.258742E-2</v>
      </c>
      <c r="W8346">
        <v>-8.4658650000000002E-2</v>
      </c>
      <c r="X8346">
        <v>0.99615399999999998</v>
      </c>
      <c r="Y8346">
        <v>4.2289640000000003E-2</v>
      </c>
      <c r="Z8346">
        <v>1.804795E-2</v>
      </c>
      <c r="AA8346">
        <v>0.99894240000000001</v>
      </c>
      <c r="AB8346">
        <v>38</v>
      </c>
      <c r="AC8346">
        <v>14.026199999999999</v>
      </c>
      <c r="AD8346">
        <v>1.2247729999999999</v>
      </c>
      <c r="AE8346">
        <v>341.66851000000003</v>
      </c>
      <c r="AF8346">
        <v>14.479441105961399</v>
      </c>
      <c r="AG8346">
        <v>1.2247729999999999</v>
      </c>
      <c r="AH8346">
        <v>341.645211758112</v>
      </c>
      <c r="AI8346">
        <v>89.794783936637202</v>
      </c>
      <c r="AJ8346">
        <v>87.573170477670203</v>
      </c>
      <c r="AK8346">
        <v>341.954097798063</v>
      </c>
      <c r="AL8346">
        <v>94.856396032525794</v>
      </c>
      <c r="AM8346">
        <v>88.701062173870895</v>
      </c>
      <c r="AN8346">
        <v>1.0000000351390299</v>
      </c>
    </row>
    <row r="8347" spans="1:40" x14ac:dyDescent="0.25">
      <c r="A8347" t="str">
        <f>"20190303155012746"</f>
        <v>20190303155012746</v>
      </c>
      <c r="B8347" t="str">
        <f>"1551599412738663"</f>
        <v>1551599412738663</v>
      </c>
      <c r="C8347" t="s">
        <v>40</v>
      </c>
      <c r="D8347">
        <v>5.1178210000000002</v>
      </c>
      <c r="E8347">
        <v>0.5058665</v>
      </c>
      <c r="F8347" t="s">
        <v>80</v>
      </c>
      <c r="G8347">
        <v>-174.78659999999999</v>
      </c>
      <c r="H8347">
        <v>1.847979</v>
      </c>
      <c r="I8347">
        <v>391.00349999999997</v>
      </c>
      <c r="J8347">
        <v>-188.19630000000001</v>
      </c>
      <c r="K8347">
        <v>1.1209709999999999</v>
      </c>
      <c r="L8347">
        <v>49.714599999999997</v>
      </c>
      <c r="M8347">
        <v>-1.744156E-3</v>
      </c>
      <c r="N8347">
        <v>-1.452871E-2</v>
      </c>
      <c r="O8347">
        <v>0.99989300000000003</v>
      </c>
      <c r="P8347">
        <v>2.0810410000000001E-2</v>
      </c>
      <c r="Q8347">
        <v>-9.9863160000000006E-2</v>
      </c>
      <c r="R8347">
        <v>0.99478350000000004</v>
      </c>
      <c r="S8347">
        <v>0.118270899999999</v>
      </c>
      <c r="T8347">
        <v>6.4125060000000001E-3</v>
      </c>
      <c r="U8347">
        <v>3.0136409999999998</v>
      </c>
      <c r="V8347">
        <v>2.2630480000000001E-2</v>
      </c>
      <c r="W8347">
        <v>-8.5377800000000004E-2</v>
      </c>
      <c r="X8347">
        <v>0.99609159999999997</v>
      </c>
      <c r="Y8347">
        <v>4.09488E-2</v>
      </c>
      <c r="Z8347">
        <v>1.6655059999999999E-2</v>
      </c>
      <c r="AA8347">
        <v>0.99902239999999998</v>
      </c>
      <c r="AB8347">
        <v>38</v>
      </c>
      <c r="AC8347">
        <v>13.409700000000001</v>
      </c>
      <c r="AD8347">
        <v>0.72700799999999999</v>
      </c>
      <c r="AE8347">
        <v>341.28890000000001</v>
      </c>
      <c r="AF8347">
        <v>14.0049400236996</v>
      </c>
      <c r="AG8347">
        <v>0.72700799999999999</v>
      </c>
      <c r="AH8347">
        <v>341.263443542012</v>
      </c>
      <c r="AI8347">
        <v>89.878043207188696</v>
      </c>
      <c r="AJ8347">
        <v>87.649985793080305</v>
      </c>
      <c r="AK8347">
        <v>341.551467254719</v>
      </c>
      <c r="AL8347">
        <v>94.8977502325926</v>
      </c>
      <c r="AM8347">
        <v>88.698505268633397</v>
      </c>
      <c r="AN8347">
        <v>0.99999999147421503</v>
      </c>
    </row>
    <row r="8348" spans="1:40" x14ac:dyDescent="0.25">
      <c r="A8348" t="str">
        <f>"20190303155012768"</f>
        <v>20190303155012768</v>
      </c>
      <c r="B8348" t="str">
        <f>"1551599412759158"</f>
        <v>1551599412759158</v>
      </c>
      <c r="C8348" t="s">
        <v>40</v>
      </c>
      <c r="D8348">
        <v>5.1771339999999997</v>
      </c>
      <c r="E8348">
        <v>0.50676179999999904</v>
      </c>
      <c r="F8348" t="s">
        <v>80</v>
      </c>
      <c r="G8348">
        <v>-175.00219999999999</v>
      </c>
      <c r="H8348">
        <v>1.3551580000000001</v>
      </c>
      <c r="I8348">
        <v>391.00349999999997</v>
      </c>
      <c r="J8348">
        <v>-188.19739999999999</v>
      </c>
      <c r="K8348">
        <v>1.1209750000000001</v>
      </c>
      <c r="L8348">
        <v>50.086849999999998</v>
      </c>
      <c r="M8348">
        <v>-2.1535870000000002E-3</v>
      </c>
      <c r="N8348">
        <v>-1.4577929999999999E-2</v>
      </c>
      <c r="O8348">
        <v>0.99989139999999999</v>
      </c>
      <c r="P8348">
        <v>2.070019E-2</v>
      </c>
      <c r="Q8348">
        <v>-9.930079E-2</v>
      </c>
      <c r="R8348">
        <v>0.99484209999999995</v>
      </c>
      <c r="S8348">
        <v>0.1165009</v>
      </c>
      <c r="T8348">
        <v>2.0678039999999999E-3</v>
      </c>
      <c r="U8348">
        <v>3.0134889999999999</v>
      </c>
      <c r="V8348">
        <v>2.2927039999999999E-2</v>
      </c>
      <c r="W8348">
        <v>-8.4765460000000001E-2</v>
      </c>
      <c r="X8348">
        <v>0.9961371</v>
      </c>
      <c r="Y8348">
        <v>4.0774419999999999E-2</v>
      </c>
      <c r="Z8348">
        <v>1.5264099999999999E-2</v>
      </c>
      <c r="AA8348">
        <v>0.99905169999999999</v>
      </c>
      <c r="AB8348">
        <v>38</v>
      </c>
      <c r="AC8348">
        <v>13.1952</v>
      </c>
      <c r="AD8348">
        <v>0.234183</v>
      </c>
      <c r="AE8348">
        <v>340.91665</v>
      </c>
      <c r="AF8348">
        <v>13.929434535772501</v>
      </c>
      <c r="AG8348">
        <v>0.234183</v>
      </c>
      <c r="AH8348">
        <v>340.88727861347098</v>
      </c>
      <c r="AI8348">
        <v>89.960671728356502</v>
      </c>
      <c r="AJ8348">
        <v>87.660065063437401</v>
      </c>
      <c r="AK8348">
        <v>341.17183457703902</v>
      </c>
      <c r="AL8348">
        <v>94.862538154010394</v>
      </c>
      <c r="AM8348">
        <v>88.681516082853904</v>
      </c>
      <c r="AN8348">
        <v>0.99999997718429101</v>
      </c>
    </row>
    <row r="8349" spans="1:40" x14ac:dyDescent="0.25">
      <c r="A8349" t="str">
        <f>"20190303155012791"</f>
        <v>20190303155012791</v>
      </c>
      <c r="B8349" t="str">
        <f>"1551599412778679"</f>
        <v>1551599412778679</v>
      </c>
      <c r="C8349" t="s">
        <v>40</v>
      </c>
      <c r="D8349">
        <v>5.1290050000000003</v>
      </c>
      <c r="E8349">
        <v>0.53062140000000002</v>
      </c>
      <c r="F8349" t="s">
        <v>80</v>
      </c>
      <c r="G8349">
        <v>-174.249</v>
      </c>
      <c r="H8349">
        <v>0.71735760000000004</v>
      </c>
      <c r="I8349">
        <v>391.00349999999997</v>
      </c>
      <c r="J8349">
        <v>-188.1986</v>
      </c>
      <c r="K8349">
        <v>1.1209769999999999</v>
      </c>
      <c r="L8349">
        <v>50.463380000000001</v>
      </c>
      <c r="M8349">
        <v>-2.5681020000000001E-3</v>
      </c>
      <c r="N8349">
        <v>-1.462046E-2</v>
      </c>
      <c r="O8349">
        <v>0.99988980000000005</v>
      </c>
      <c r="P8349">
        <v>2.0394369999999998E-2</v>
      </c>
      <c r="Q8349">
        <v>-9.9415500000000004E-2</v>
      </c>
      <c r="R8349">
        <v>0.99483699999999997</v>
      </c>
      <c r="S8349">
        <v>0.1232605</v>
      </c>
      <c r="T8349">
        <v>-3.5667419999999999E-3</v>
      </c>
      <c r="U8349">
        <v>3.0126339999999998</v>
      </c>
      <c r="V8349">
        <v>2.3033580000000001E-2</v>
      </c>
      <c r="W8349">
        <v>-8.4837930000000006E-2</v>
      </c>
      <c r="X8349">
        <v>0.99612849999999997</v>
      </c>
      <c r="Y8349">
        <v>4.3437709999999997E-2</v>
      </c>
      <c r="Z8349">
        <v>1.3438469999999999E-2</v>
      </c>
      <c r="AA8349">
        <v>0.99896569999999996</v>
      </c>
      <c r="AB8349">
        <v>38</v>
      </c>
      <c r="AC8349">
        <v>13.949599999999901</v>
      </c>
      <c r="AD8349">
        <v>-0.40361940000000002</v>
      </c>
      <c r="AE8349">
        <v>340.54012</v>
      </c>
      <c r="AF8349">
        <v>14.824168464049601</v>
      </c>
      <c r="AG8349">
        <v>-0.40361940000000002</v>
      </c>
      <c r="AH8349">
        <v>340.50269144688002</v>
      </c>
      <c r="AI8349">
        <v>90.067852010822904</v>
      </c>
      <c r="AJ8349">
        <v>87.507137849274997</v>
      </c>
      <c r="AK8349">
        <v>340.82547111658101</v>
      </c>
      <c r="AL8349">
        <v>94.866705257770704</v>
      </c>
      <c r="AM8349">
        <v>88.6753799465219</v>
      </c>
      <c r="AN8349">
        <v>1.00000000434327</v>
      </c>
    </row>
    <row r="8350" spans="1:40" x14ac:dyDescent="0.25">
      <c r="A8350" t="str">
        <f>"20190303155012816"</f>
        <v>20190303155012816</v>
      </c>
      <c r="B8350" t="str">
        <f>"1551599412808936"</f>
        <v>1551599412808936</v>
      </c>
      <c r="C8350" t="s">
        <v>40</v>
      </c>
      <c r="D8350">
        <v>5.1786139999999996</v>
      </c>
      <c r="E8350">
        <v>0.53089589999999998</v>
      </c>
      <c r="F8350" t="s">
        <v>41</v>
      </c>
      <c r="G8350">
        <v>-184.1069</v>
      </c>
      <c r="H8350" s="1">
        <v>-1.6790900000000001E-6</v>
      </c>
      <c r="I8350">
        <v>89.974519999999998</v>
      </c>
      <c r="J8350">
        <v>-188.20009999999999</v>
      </c>
      <c r="K8350">
        <v>1.1209800000000001</v>
      </c>
      <c r="L8350">
        <v>50.872920000000001</v>
      </c>
      <c r="M8350">
        <v>-3.0194330000000002E-3</v>
      </c>
      <c r="N8350">
        <v>-1.465968E-2</v>
      </c>
      <c r="O8350">
        <v>0.999888</v>
      </c>
      <c r="P8350">
        <v>2.0134869999999999E-2</v>
      </c>
      <c r="Q8350">
        <v>-9.9892159999999994E-2</v>
      </c>
      <c r="R8350">
        <v>0.99479450000000003</v>
      </c>
      <c r="S8350">
        <v>0.3107452</v>
      </c>
      <c r="T8350">
        <v>-8.5133550000000002E-2</v>
      </c>
      <c r="U8350">
        <v>3.000702</v>
      </c>
      <c r="V8350">
        <v>2.3223259999999999E-2</v>
      </c>
      <c r="W8350">
        <v>-8.5276069999999995E-2</v>
      </c>
      <c r="X8350">
        <v>0.99608669999999999</v>
      </c>
      <c r="Y8350">
        <v>0.1059672</v>
      </c>
      <c r="Z8350">
        <v>-1.354529E-2</v>
      </c>
      <c r="AA8350">
        <v>0.99427739999999998</v>
      </c>
      <c r="AB8350">
        <v>38</v>
      </c>
      <c r="AC8350">
        <v>4.0931999999999897</v>
      </c>
      <c r="AD8350">
        <v>-1.12098167908999</v>
      </c>
      <c r="AE8350">
        <v>39.101599999999998</v>
      </c>
      <c r="AF8350">
        <v>4.2078378367667097</v>
      </c>
      <c r="AG8350">
        <v>-1.12098167908999</v>
      </c>
      <c r="AH8350">
        <v>39.057308805230903</v>
      </c>
      <c r="AI8350">
        <v>91.634538360379693</v>
      </c>
      <c r="AJ8350">
        <v>83.850958230758806</v>
      </c>
      <c r="AK8350">
        <v>39.299311320843103</v>
      </c>
      <c r="AL8350">
        <v>94.891900053464695</v>
      </c>
      <c r="AM8350">
        <v>88.664419699060502</v>
      </c>
      <c r="AN8350">
        <v>1.00000002091828</v>
      </c>
    </row>
    <row r="8351" spans="1:40" x14ac:dyDescent="0.25">
      <c r="A8351" t="str">
        <f>"20190303155012839"</f>
        <v>20190303155012839</v>
      </c>
      <c r="B8351" t="str">
        <f>"1551599412829431"</f>
        <v>1551599412829431</v>
      </c>
      <c r="C8351" t="s">
        <v>40</v>
      </c>
      <c r="D8351">
        <v>5.1910319999999999</v>
      </c>
      <c r="E8351">
        <v>0.53146559999999998</v>
      </c>
      <c r="F8351" t="s">
        <v>41</v>
      </c>
      <c r="G8351">
        <v>-183.76249999999999</v>
      </c>
      <c r="H8351" s="1">
        <v>-2.9742529999999998E-6</v>
      </c>
      <c r="I8351">
        <v>93.511150000000001</v>
      </c>
      <c r="J8351">
        <v>-188.20169999999999</v>
      </c>
      <c r="K8351">
        <v>1.1209819999999999</v>
      </c>
      <c r="L8351">
        <v>51.258180000000003</v>
      </c>
      <c r="M8351">
        <v>-3.443766E-3</v>
      </c>
      <c r="N8351">
        <v>-1.4690750000000001E-2</v>
      </c>
      <c r="O8351">
        <v>0.99988619999999995</v>
      </c>
      <c r="P8351">
        <v>1.98855E-2</v>
      </c>
      <c r="Q8351">
        <v>-0.1002817</v>
      </c>
      <c r="R8351">
        <v>0.99476030000000004</v>
      </c>
      <c r="S8351">
        <v>0.31237789999999999</v>
      </c>
      <c r="T8351">
        <v>-7.8910229999999998E-2</v>
      </c>
      <c r="U8351">
        <v>3.001465</v>
      </c>
      <c r="V8351">
        <v>2.3396159999999999E-2</v>
      </c>
      <c r="W8351">
        <v>-8.5635089999999997E-2</v>
      </c>
      <c r="X8351">
        <v>0.99605180000000004</v>
      </c>
      <c r="Y8351">
        <v>0.10690230000000001</v>
      </c>
      <c r="Z8351">
        <v>-1.1444279999999999E-2</v>
      </c>
      <c r="AA8351">
        <v>0.99420370000000002</v>
      </c>
      <c r="AB8351">
        <v>38</v>
      </c>
      <c r="AC8351">
        <v>4.4391999999999996</v>
      </c>
      <c r="AD8351">
        <v>-1.120984974253</v>
      </c>
      <c r="AE8351">
        <v>42.252969999999998</v>
      </c>
      <c r="AF8351">
        <v>4.5815091841534104</v>
      </c>
      <c r="AG8351">
        <v>-1.120984974253</v>
      </c>
      <c r="AH8351">
        <v>42.208046051056101</v>
      </c>
      <c r="AI8351">
        <v>91.512456058576404</v>
      </c>
      <c r="AJ8351">
        <v>83.805033772020593</v>
      </c>
      <c r="AK8351">
        <v>42.470766241793399</v>
      </c>
      <c r="AL8351">
        <v>94.912546164407303</v>
      </c>
      <c r="AM8351">
        <v>88.654432655470799</v>
      </c>
      <c r="AN8351">
        <v>0.99999996861264595</v>
      </c>
    </row>
    <row r="8352" spans="1:40" x14ac:dyDescent="0.25">
      <c r="A8352" t="str">
        <f>"20190303155012860"</f>
        <v>20190303155012860</v>
      </c>
      <c r="B8352" t="str">
        <f>"1551599412848952"</f>
        <v>1551599412848952</v>
      </c>
      <c r="C8352" t="s">
        <v>40</v>
      </c>
      <c r="D8352">
        <v>5.1852429999999998</v>
      </c>
      <c r="E8352">
        <v>0.53180830000000001</v>
      </c>
      <c r="F8352" t="s">
        <v>41</v>
      </c>
      <c r="G8352">
        <v>-183.74959999999999</v>
      </c>
      <c r="H8352" s="1">
        <v>-2.9813740000000001E-6</v>
      </c>
      <c r="I8352">
        <v>93.521940000000001</v>
      </c>
      <c r="J8352">
        <v>-188.20330000000001</v>
      </c>
      <c r="K8352">
        <v>1.120986</v>
      </c>
      <c r="L8352">
        <v>51.624940000000002</v>
      </c>
      <c r="M8352">
        <v>-3.8480139999999999E-3</v>
      </c>
      <c r="N8352">
        <v>-1.471574E-2</v>
      </c>
      <c r="O8352">
        <v>0.99988429999999995</v>
      </c>
      <c r="P8352">
        <v>1.974418E-2</v>
      </c>
      <c r="Q8352">
        <v>-0.10093199999999999</v>
      </c>
      <c r="R8352">
        <v>0.99469739999999995</v>
      </c>
      <c r="S8352">
        <v>0.3161774</v>
      </c>
      <c r="T8352">
        <v>-7.9609509999999994E-2</v>
      </c>
      <c r="U8352">
        <v>3.001465</v>
      </c>
      <c r="V8352">
        <v>2.3657250000000001E-2</v>
      </c>
      <c r="W8352">
        <v>-8.6261240000000003E-2</v>
      </c>
      <c r="X8352">
        <v>0.99599159999999998</v>
      </c>
      <c r="Y8352">
        <v>0.10854800000000001</v>
      </c>
      <c r="Z8352">
        <v>-1.16463E-2</v>
      </c>
      <c r="AA8352">
        <v>0.99402299999999999</v>
      </c>
      <c r="AB8352">
        <v>38</v>
      </c>
      <c r="AC8352">
        <v>4.45370000000002</v>
      </c>
      <c r="AD8352">
        <v>-1.1209889813739999</v>
      </c>
      <c r="AE8352">
        <v>41.896999999999998</v>
      </c>
      <c r="AF8352">
        <v>4.6116402562406904</v>
      </c>
      <c r="AG8352">
        <v>-1.1209889813739999</v>
      </c>
      <c r="AH8352">
        <v>41.849925451681699</v>
      </c>
      <c r="AI8352">
        <v>91.525126220268106</v>
      </c>
      <c r="AJ8352">
        <v>83.711679249733194</v>
      </c>
      <c r="AK8352">
        <v>42.118168317967701</v>
      </c>
      <c r="AL8352">
        <v>94.948555173154702</v>
      </c>
      <c r="AM8352">
        <v>88.639340172620507</v>
      </c>
      <c r="AN8352">
        <v>0.99999996713722905</v>
      </c>
    </row>
    <row r="8353" spans="1:40" x14ac:dyDescent="0.25">
      <c r="A8353" t="str">
        <f>"20190303155012884"</f>
        <v>20190303155012884</v>
      </c>
      <c r="B8353" t="str">
        <f>"1551599412879207"</f>
        <v>1551599412879207</v>
      </c>
      <c r="C8353" t="s">
        <v>40</v>
      </c>
      <c r="D8353">
        <v>5.2233879999999999</v>
      </c>
      <c r="E8353">
        <v>0.53206379999999998</v>
      </c>
      <c r="F8353" t="s">
        <v>41</v>
      </c>
      <c r="G8353">
        <v>-183.87960000000001</v>
      </c>
      <c r="H8353" s="1">
        <v>-2.5491669999999998E-6</v>
      </c>
      <c r="I8353">
        <v>92.353499999999997</v>
      </c>
      <c r="J8353">
        <v>-188.20519999999999</v>
      </c>
      <c r="K8353">
        <v>1.1209899999999999</v>
      </c>
      <c r="L8353">
        <v>51.998719999999999</v>
      </c>
      <c r="M8353">
        <v>-4.260064E-3</v>
      </c>
      <c r="N8353">
        <v>-1.4736910000000001E-2</v>
      </c>
      <c r="O8353">
        <v>0.9998823</v>
      </c>
      <c r="P8353">
        <v>2.0019749999999999E-2</v>
      </c>
      <c r="Q8353">
        <v>-0.10156999999999999</v>
      </c>
      <c r="R8353">
        <v>0.99462689999999998</v>
      </c>
      <c r="S8353">
        <v>0.31861879999999998</v>
      </c>
      <c r="T8353">
        <v>-8.2605479999999995E-2</v>
      </c>
      <c r="U8353">
        <v>3.0012819999999998</v>
      </c>
      <c r="V8353">
        <v>2.4342849999999999E-2</v>
      </c>
      <c r="W8353">
        <v>-8.6878659999999996E-2</v>
      </c>
      <c r="X8353">
        <v>0.99592139999999996</v>
      </c>
      <c r="Y8353">
        <v>0.1097611</v>
      </c>
      <c r="Z8353">
        <v>-1.2615039999999999E-2</v>
      </c>
      <c r="AA8353">
        <v>0.99387789999999998</v>
      </c>
      <c r="AB8353">
        <v>38</v>
      </c>
      <c r="AC8353">
        <v>4.3255999999999801</v>
      </c>
      <c r="AD8353">
        <v>-1.1209925491670001</v>
      </c>
      <c r="AE8353">
        <v>40.354779999999998</v>
      </c>
      <c r="AF8353">
        <v>4.4940649468021903</v>
      </c>
      <c r="AG8353">
        <v>-1.1209925491670001</v>
      </c>
      <c r="AH8353">
        <v>40.305236494724198</v>
      </c>
      <c r="AI8353">
        <v>91.583325815446898</v>
      </c>
      <c r="AJ8353">
        <v>83.637755594676193</v>
      </c>
      <c r="AK8353">
        <v>40.570498307723703</v>
      </c>
      <c r="AL8353">
        <v>94.984064101816898</v>
      </c>
      <c r="AM8353">
        <v>88.599824335012499</v>
      </c>
      <c r="AN8353">
        <v>0.99999995544373799</v>
      </c>
    </row>
    <row r="8354" spans="1:40" x14ac:dyDescent="0.25">
      <c r="A8354" t="str">
        <f>"20190303155012906"</f>
        <v>20190303155012906</v>
      </c>
      <c r="B8354" t="str">
        <f>"1551599412898727"</f>
        <v>1551599412898727</v>
      </c>
      <c r="C8354" t="s">
        <v>40</v>
      </c>
      <c r="D8354">
        <v>5.1734070000000001</v>
      </c>
      <c r="E8354">
        <v>0.53226680000000004</v>
      </c>
      <c r="F8354" t="s">
        <v>41</v>
      </c>
      <c r="G8354">
        <v>-183.92429999999999</v>
      </c>
      <c r="H8354" s="1">
        <v>-2.4090250000000002E-6</v>
      </c>
      <c r="I8354">
        <v>91.976680000000002</v>
      </c>
      <c r="J8354">
        <v>-188.2073</v>
      </c>
      <c r="K8354">
        <v>1.1209910000000001</v>
      </c>
      <c r="L8354">
        <v>52.390410000000003</v>
      </c>
      <c r="M8354">
        <v>-4.69215E-3</v>
      </c>
      <c r="N8354">
        <v>-1.475536E-2</v>
      </c>
      <c r="O8354">
        <v>0.99988010000000005</v>
      </c>
      <c r="P8354">
        <v>1.9533060000000001E-2</v>
      </c>
      <c r="Q8354">
        <v>-0.1016227</v>
      </c>
      <c r="R8354">
        <v>0.99463120000000005</v>
      </c>
      <c r="S8354">
        <v>0.32136540000000002</v>
      </c>
      <c r="T8354">
        <v>-8.4153290000000006E-2</v>
      </c>
      <c r="U8354">
        <v>3.00116</v>
      </c>
      <c r="V8354">
        <v>2.428584E-2</v>
      </c>
      <c r="W8354">
        <v>-8.6913149999999995E-2</v>
      </c>
      <c r="X8354">
        <v>0.99591980000000002</v>
      </c>
      <c r="Y8354">
        <v>0.1110926</v>
      </c>
      <c r="Z8354">
        <v>-1.310614E-2</v>
      </c>
      <c r="AA8354">
        <v>0.99372360000000004</v>
      </c>
      <c r="AB8354">
        <v>38</v>
      </c>
      <c r="AC8354">
        <v>4.2830000000000101</v>
      </c>
      <c r="AD8354">
        <v>-1.120993409025</v>
      </c>
      <c r="AE8354">
        <v>39.586269999999999</v>
      </c>
      <c r="AF8354">
        <v>4.4651786159923796</v>
      </c>
      <c r="AG8354">
        <v>-1.120993409025</v>
      </c>
      <c r="AH8354">
        <v>39.5343998804099</v>
      </c>
      <c r="AI8354">
        <v>91.613924305619193</v>
      </c>
      <c r="AJ8354">
        <v>83.556085462504697</v>
      </c>
      <c r="AK8354">
        <v>39.801547962358804</v>
      </c>
      <c r="AL8354">
        <v>94.986047649637698</v>
      </c>
      <c r="AM8354">
        <v>88.603099947396899</v>
      </c>
      <c r="AN8354">
        <v>0.99999997284973297</v>
      </c>
    </row>
    <row r="8355" spans="1:40" x14ac:dyDescent="0.25">
      <c r="A8355" t="str">
        <f>"20190303155012928"</f>
        <v>20190303155012928</v>
      </c>
      <c r="B8355" t="str">
        <f>"1551599412919225"</f>
        <v>1551599412919225</v>
      </c>
      <c r="C8355" t="s">
        <v>40</v>
      </c>
      <c r="D8355">
        <v>5.2240500000000001</v>
      </c>
      <c r="E8355">
        <v>0.53189709999999901</v>
      </c>
      <c r="F8355" t="s">
        <v>41</v>
      </c>
      <c r="G8355">
        <v>-183.96530000000001</v>
      </c>
      <c r="H8355" s="1">
        <v>-2.4041680000000002E-6</v>
      </c>
      <c r="I8355">
        <v>91.994439999999997</v>
      </c>
      <c r="J8355">
        <v>-188.20939999999999</v>
      </c>
      <c r="K8355">
        <v>1.1209910000000001</v>
      </c>
      <c r="L8355">
        <v>52.750369999999997</v>
      </c>
      <c r="M8355">
        <v>-5.0893029999999999E-3</v>
      </c>
      <c r="N8355">
        <v>-1.4769539999999999E-2</v>
      </c>
      <c r="O8355">
        <v>0.99987800000000004</v>
      </c>
      <c r="P8355">
        <v>1.88884E-2</v>
      </c>
      <c r="Q8355">
        <v>-0.1019105</v>
      </c>
      <c r="R8355">
        <v>0.9946142</v>
      </c>
      <c r="S8355">
        <v>0.32145689999999999</v>
      </c>
      <c r="T8355">
        <v>-8.4948780000000002E-2</v>
      </c>
      <c r="U8355">
        <v>3.0011899999999998</v>
      </c>
      <c r="V8355">
        <v>2.4036220000000001E-2</v>
      </c>
      <c r="W8355">
        <v>-8.7187429999999996E-2</v>
      </c>
      <c r="X8355">
        <v>0.99590190000000001</v>
      </c>
      <c r="Y8355">
        <v>0.1115154</v>
      </c>
      <c r="Z8355">
        <v>-1.3353810000000001E-2</v>
      </c>
      <c r="AA8355">
        <v>0.99367300000000003</v>
      </c>
      <c r="AB8355">
        <v>37</v>
      </c>
      <c r="AC8355">
        <v>4.2440999999999702</v>
      </c>
      <c r="AD8355">
        <v>-1.1209934041680001</v>
      </c>
      <c r="AE8355">
        <v>39.244070000000001</v>
      </c>
      <c r="AF8355">
        <v>4.4402107083983102</v>
      </c>
      <c r="AG8355">
        <v>-1.1209934041680001</v>
      </c>
      <c r="AH8355">
        <v>39.190352493732298</v>
      </c>
      <c r="AI8355">
        <v>91.628020738339998</v>
      </c>
      <c r="AJ8355">
        <v>83.536034711800298</v>
      </c>
      <c r="AK8355">
        <v>39.457012379679099</v>
      </c>
      <c r="AL8355">
        <v>95.001822527965402</v>
      </c>
      <c r="AM8355">
        <v>88.617427427777201</v>
      </c>
      <c r="AN8355">
        <v>0.99999999112275095</v>
      </c>
    </row>
    <row r="8356" spans="1:40" x14ac:dyDescent="0.25">
      <c r="A8356" t="str">
        <f>"20190303155012949"</f>
        <v>20190303155012949</v>
      </c>
      <c r="B8356" t="str">
        <f>"1551599412939720"</f>
        <v>1551599412939720</v>
      </c>
      <c r="C8356" t="s">
        <v>40</v>
      </c>
      <c r="D8356">
        <v>5.2571130000000004</v>
      </c>
      <c r="E8356">
        <v>0.53127559999999996</v>
      </c>
      <c r="F8356" t="s">
        <v>41</v>
      </c>
      <c r="G8356">
        <v>-184.28649999999999</v>
      </c>
      <c r="H8356" s="1">
        <v>-1.6339130000000001E-6</v>
      </c>
      <c r="I8356">
        <v>89.982169999999996</v>
      </c>
      <c r="J8356">
        <v>-188.2115</v>
      </c>
      <c r="K8356">
        <v>1.120995</v>
      </c>
      <c r="L8356">
        <v>53.103549999999998</v>
      </c>
      <c r="M8356">
        <v>-5.4791049999999997E-3</v>
      </c>
      <c r="N8356">
        <v>-1.478117E-2</v>
      </c>
      <c r="O8356">
        <v>0.99987570000000003</v>
      </c>
      <c r="P8356">
        <v>1.8225330000000001E-2</v>
      </c>
      <c r="Q8356">
        <v>-0.1018386</v>
      </c>
      <c r="R8356">
        <v>0.99463400000000002</v>
      </c>
      <c r="S8356">
        <v>0.31619259999999999</v>
      </c>
      <c r="T8356">
        <v>-9.0354799999999999E-2</v>
      </c>
      <c r="U8356">
        <v>3.0009769999999998</v>
      </c>
      <c r="V8356">
        <v>2.3760739999999999E-2</v>
      </c>
      <c r="W8356">
        <v>-8.7104050000000002E-2</v>
      </c>
      <c r="X8356">
        <v>0.99591580000000002</v>
      </c>
      <c r="Y8356">
        <v>0.1101829</v>
      </c>
      <c r="Z8356">
        <v>-1.513777E-2</v>
      </c>
      <c r="AA8356">
        <v>0.99379609999999996</v>
      </c>
      <c r="AB8356">
        <v>37</v>
      </c>
      <c r="AC8356">
        <v>3.92500000000001</v>
      </c>
      <c r="AD8356">
        <v>-1.120996633913</v>
      </c>
      <c r="AE8356">
        <v>36.878619999999998</v>
      </c>
      <c r="AF8356">
        <v>4.12325788027663</v>
      </c>
      <c r="AG8356">
        <v>-1.120996633913</v>
      </c>
      <c r="AH8356">
        <v>36.8229161763619</v>
      </c>
      <c r="AI8356">
        <v>91.732888201681405</v>
      </c>
      <c r="AJ8356">
        <v>83.610901141509501</v>
      </c>
      <c r="AK8356">
        <v>37.070001952142903</v>
      </c>
      <c r="AL8356">
        <v>94.997026994668303</v>
      </c>
      <c r="AM8356">
        <v>88.633286165975306</v>
      </c>
      <c r="AN8356">
        <v>0.99999998449069405</v>
      </c>
    </row>
    <row r="8357" spans="1:40" x14ac:dyDescent="0.25">
      <c r="A8357" t="str">
        <f>"20190303155012970"</f>
        <v>20190303155012970</v>
      </c>
      <c r="B8357" t="str">
        <f>"1551599412959239"</f>
        <v>1551599412959239</v>
      </c>
      <c r="C8357" t="s">
        <v>40</v>
      </c>
      <c r="D8357">
        <v>5.1786940000000001</v>
      </c>
      <c r="E8357">
        <v>0.53076400000000001</v>
      </c>
      <c r="F8357" t="s">
        <v>41</v>
      </c>
      <c r="G8357">
        <v>-184.715</v>
      </c>
      <c r="H8357" s="1">
        <v>-4.1184089999999999E-6</v>
      </c>
      <c r="I8357">
        <v>87.047619999999995</v>
      </c>
      <c r="J8357">
        <v>-188.2139</v>
      </c>
      <c r="K8357">
        <v>1.1210059999999999</v>
      </c>
      <c r="L8357">
        <v>53.460329999999999</v>
      </c>
      <c r="M8357">
        <v>-5.8731219999999997E-3</v>
      </c>
      <c r="N8357">
        <v>-1.4790859999999999E-2</v>
      </c>
      <c r="O8357">
        <v>0.99987329999999996</v>
      </c>
      <c r="P8357">
        <v>1.698964E-2</v>
      </c>
      <c r="Q8357">
        <v>-0.1016676</v>
      </c>
      <c r="R8357">
        <v>0.99467329999999998</v>
      </c>
      <c r="S8357">
        <v>0.30906679999999997</v>
      </c>
      <c r="T8357">
        <v>-9.9087720000000004E-2</v>
      </c>
      <c r="U8357">
        <v>3.000397</v>
      </c>
      <c r="V8357">
        <v>2.2916869999999999E-2</v>
      </c>
      <c r="W8357">
        <v>-8.6923760000000003E-2</v>
      </c>
      <c r="X8357">
        <v>0.99595140000000004</v>
      </c>
      <c r="Y8357">
        <v>0.1082528</v>
      </c>
      <c r="Z8357">
        <v>-1.8031410000000001E-2</v>
      </c>
      <c r="AA8357">
        <v>0.99395979999999995</v>
      </c>
      <c r="AB8357">
        <v>37</v>
      </c>
      <c r="AC8357">
        <v>3.4988999999999901</v>
      </c>
      <c r="AD8357">
        <v>-1.121010118409</v>
      </c>
      <c r="AE8357">
        <v>33.587289999999904</v>
      </c>
      <c r="AF8357">
        <v>3.6920548424762099</v>
      </c>
      <c r="AG8357">
        <v>-1.121010118409</v>
      </c>
      <c r="AH8357">
        <v>33.529209696272197</v>
      </c>
      <c r="AI8357">
        <v>91.903408123177698</v>
      </c>
      <c r="AJ8357">
        <v>83.716215128628093</v>
      </c>
      <c r="AK8357">
        <v>33.750493855675998</v>
      </c>
      <c r="AL8357">
        <v>94.986657446232599</v>
      </c>
      <c r="AM8357">
        <v>88.681855088930504</v>
      </c>
      <c r="AN8357">
        <v>1.00000005707254</v>
      </c>
    </row>
    <row r="8358" spans="1:40" x14ac:dyDescent="0.25">
      <c r="A8358" t="str">
        <f>"20190303155012993"</f>
        <v>20190303155012993</v>
      </c>
      <c r="B8358" t="str">
        <f>"1551599412988520"</f>
        <v>1551599412988520</v>
      </c>
      <c r="C8358" t="s">
        <v>40</v>
      </c>
      <c r="D8358">
        <v>5.1381620000000003</v>
      </c>
      <c r="E8358">
        <v>0.53055850000000004</v>
      </c>
      <c r="F8358" t="s">
        <v>41</v>
      </c>
      <c r="G8358">
        <v>-184.9933</v>
      </c>
      <c r="H8358" s="1">
        <v>-3.4253289999999998E-6</v>
      </c>
      <c r="I8358">
        <v>85.547119999999893</v>
      </c>
      <c r="J8358">
        <v>-188.2165</v>
      </c>
      <c r="K8358">
        <v>1.1210070000000001</v>
      </c>
      <c r="L8358">
        <v>53.836089999999999</v>
      </c>
      <c r="M8358">
        <v>-6.2882519999999898E-3</v>
      </c>
      <c r="N8358">
        <v>-1.479915E-2</v>
      </c>
      <c r="O8358">
        <v>0.9998707</v>
      </c>
      <c r="P8358">
        <v>1.5895139999999999E-2</v>
      </c>
      <c r="Q8358">
        <v>-0.10175099999999999</v>
      </c>
      <c r="R8358">
        <v>0.99468290000000004</v>
      </c>
      <c r="S8358">
        <v>0.30113220000000002</v>
      </c>
      <c r="T8358">
        <v>-0.10481790000000001</v>
      </c>
      <c r="U8358">
        <v>3.0002140000000002</v>
      </c>
      <c r="V8358">
        <v>2.223526E-2</v>
      </c>
      <c r="W8358">
        <v>-8.6999569999999998E-2</v>
      </c>
      <c r="X8358">
        <v>0.99596019999999996</v>
      </c>
      <c r="Y8358">
        <v>0.1060653</v>
      </c>
      <c r="Z8358">
        <v>-1.9930219999999998E-2</v>
      </c>
      <c r="AA8358">
        <v>0.99415940000000003</v>
      </c>
      <c r="AB8358">
        <v>37</v>
      </c>
      <c r="AC8358">
        <v>3.2231999999999901</v>
      </c>
      <c r="AD8358">
        <v>-1.1210104253290001</v>
      </c>
      <c r="AE8358">
        <v>31.711029999999901</v>
      </c>
      <c r="AF8358">
        <v>3.41833690684203</v>
      </c>
      <c r="AG8358">
        <v>-1.1210104253290001</v>
      </c>
      <c r="AH8358">
        <v>31.650983260764001</v>
      </c>
      <c r="AI8358">
        <v>92.016728697276093</v>
      </c>
      <c r="AJ8358">
        <v>83.835892597379996</v>
      </c>
      <c r="AK8358">
        <v>31.854770960650999</v>
      </c>
      <c r="AL8358">
        <v>94.991017712213704</v>
      </c>
      <c r="AM8358">
        <v>88.721058376538096</v>
      </c>
      <c r="AN8358">
        <v>1.00000002597574</v>
      </c>
    </row>
    <row r="8359" spans="1:40" x14ac:dyDescent="0.25">
      <c r="A8359" t="str">
        <f>"20190303155013014"</f>
        <v>20190303155013014</v>
      </c>
      <c r="B8359" t="str">
        <f>"1551599413009015"</f>
        <v>1551599413009015</v>
      </c>
      <c r="C8359" t="s">
        <v>40</v>
      </c>
      <c r="D8359">
        <v>5.082084</v>
      </c>
      <c r="E8359">
        <v>0.53082469999999904</v>
      </c>
      <c r="F8359" t="s">
        <v>41</v>
      </c>
      <c r="G8359">
        <v>-185.16980000000001</v>
      </c>
      <c r="H8359" s="1">
        <v>-3.0348359999999999E-6</v>
      </c>
      <c r="I8359">
        <v>84.709819999999993</v>
      </c>
      <c r="J8359">
        <v>-188.2192</v>
      </c>
      <c r="K8359">
        <v>1.121011</v>
      </c>
      <c r="L8359">
        <v>54.2033699999999</v>
      </c>
      <c r="M8359">
        <v>-6.6942399999999997E-3</v>
      </c>
      <c r="N8359">
        <v>-1.48056E-2</v>
      </c>
      <c r="O8359">
        <v>0.99986799999999998</v>
      </c>
      <c r="P8359">
        <v>1.5129470000000001E-2</v>
      </c>
      <c r="Q8359">
        <v>-0.10098020000000001</v>
      </c>
      <c r="R8359">
        <v>0.99477340000000003</v>
      </c>
      <c r="S8359">
        <v>0.2960663</v>
      </c>
      <c r="T8359">
        <v>-0.108934</v>
      </c>
      <c r="U8359">
        <v>3.0001530000000001</v>
      </c>
      <c r="V8359">
        <v>2.1873090000000001E-2</v>
      </c>
      <c r="W8359">
        <v>-8.622146E-2</v>
      </c>
      <c r="X8359">
        <v>0.99603589999999997</v>
      </c>
      <c r="Y8359">
        <v>0.10480539999999899</v>
      </c>
      <c r="Z8359">
        <v>-2.1292180000000001E-2</v>
      </c>
      <c r="AA8359">
        <v>0.99426479999999995</v>
      </c>
      <c r="AB8359">
        <v>37</v>
      </c>
      <c r="AC8359">
        <v>3.0493999999999901</v>
      </c>
      <c r="AD8359">
        <v>-1.121014034836</v>
      </c>
      <c r="AE8359">
        <v>30.506450000000001</v>
      </c>
      <c r="AF8359">
        <v>3.2492274269057</v>
      </c>
      <c r="AG8359">
        <v>-1.121014034836</v>
      </c>
      <c r="AH8359">
        <v>30.444647141644101</v>
      </c>
      <c r="AI8359">
        <v>92.096859716586593</v>
      </c>
      <c r="AJ8359">
        <v>83.908125417713194</v>
      </c>
      <c r="AK8359">
        <v>30.6380595161847</v>
      </c>
      <c r="AL8359">
        <v>94.946267046477502</v>
      </c>
      <c r="AM8359">
        <v>88.741978734465704</v>
      </c>
      <c r="AN8359">
        <v>1.00000004315974</v>
      </c>
    </row>
    <row r="8360" spans="1:40" x14ac:dyDescent="0.25">
      <c r="A8360" t="str">
        <f>"20190303155013039"</f>
        <v>20190303155013039</v>
      </c>
      <c r="B8360" t="str">
        <f>"1551599413028536"</f>
        <v>1551599413028536</v>
      </c>
      <c r="C8360" t="s">
        <v>40</v>
      </c>
      <c r="D8360">
        <v>5.1051599999999997</v>
      </c>
      <c r="E8360">
        <v>0.53097280000000002</v>
      </c>
      <c r="F8360" t="s">
        <v>41</v>
      </c>
      <c r="G8360">
        <v>-185.0472</v>
      </c>
      <c r="H8360" s="1">
        <v>-3.7697769999999999E-6</v>
      </c>
      <c r="I8360">
        <v>86.372290000000007</v>
      </c>
      <c r="J8360">
        <v>-188.22239999999999</v>
      </c>
      <c r="K8360">
        <v>1.1210209999999901</v>
      </c>
      <c r="L8360">
        <v>54.610500000000002</v>
      </c>
      <c r="M8360">
        <v>-7.1446859999999999E-3</v>
      </c>
      <c r="N8360">
        <v>-1.481114E-2</v>
      </c>
      <c r="O8360">
        <v>0.9998648</v>
      </c>
      <c r="P8360">
        <v>1.4721400000000001E-2</v>
      </c>
      <c r="Q8360">
        <v>-0.10072490000000001</v>
      </c>
      <c r="R8360">
        <v>0.99480539999999995</v>
      </c>
      <c r="S8360">
        <v>0.29588320000000001</v>
      </c>
      <c r="T8360">
        <v>-0.10456559999999999</v>
      </c>
      <c r="U8360">
        <v>3.0006409999999999</v>
      </c>
      <c r="V8360">
        <v>2.1912859999999999E-2</v>
      </c>
      <c r="W8360">
        <v>-8.5960399999999895E-2</v>
      </c>
      <c r="X8360">
        <v>0.99605759999999999</v>
      </c>
      <c r="Y8360">
        <v>0.105181399999999</v>
      </c>
      <c r="Z8360">
        <v>-1.98336E-2</v>
      </c>
      <c r="AA8360">
        <v>0.99425520000000001</v>
      </c>
      <c r="AB8360">
        <v>37</v>
      </c>
      <c r="AC8360">
        <v>3.1751999999999798</v>
      </c>
      <c r="AD8360">
        <v>-1.1210247697769899</v>
      </c>
      <c r="AE8360">
        <v>31.761790000000001</v>
      </c>
      <c r="AF8360">
        <v>3.3978809215991301</v>
      </c>
      <c r="AG8360">
        <v>-1.1210247697769899</v>
      </c>
      <c r="AH8360">
        <v>31.699193263987201</v>
      </c>
      <c r="AI8360">
        <v>92.013863072852303</v>
      </c>
      <c r="AJ8360">
        <v>83.881746682898907</v>
      </c>
      <c r="AK8360">
        <v>31.900488160519298</v>
      </c>
      <c r="AL8360">
        <v>94.9312536210453</v>
      </c>
      <c r="AM8360">
        <v>88.7397195653502</v>
      </c>
      <c r="AN8360">
        <v>1.00000005315964</v>
      </c>
    </row>
    <row r="8361" spans="1:40" x14ac:dyDescent="0.25">
      <c r="A8361" t="str">
        <f>"20190303155013061"</f>
        <v>20190303155013061</v>
      </c>
      <c r="B8361" t="str">
        <f>"1551599413049031"</f>
        <v>1551599413049031</v>
      </c>
      <c r="C8361" t="s">
        <v>40</v>
      </c>
      <c r="D8361">
        <v>5.1869639999999997</v>
      </c>
      <c r="E8361">
        <v>0.55093440000000005</v>
      </c>
      <c r="F8361" t="s">
        <v>41</v>
      </c>
      <c r="G8361">
        <v>-184.99449999999999</v>
      </c>
      <c r="H8361" s="1">
        <v>-4.2013260000000002E-6</v>
      </c>
      <c r="I8361">
        <v>87.356480000000005</v>
      </c>
      <c r="J8361">
        <v>-188.2253</v>
      </c>
      <c r="K8361">
        <v>1.1210279999999999</v>
      </c>
      <c r="L8361">
        <v>54.967219999999998</v>
      </c>
      <c r="M8361">
        <v>-7.539385E-3</v>
      </c>
      <c r="N8361">
        <v>-1.481471E-2</v>
      </c>
      <c r="O8361">
        <v>0.99986180000000002</v>
      </c>
      <c r="P8361">
        <v>1.4735699999999999E-2</v>
      </c>
      <c r="Q8361">
        <v>-0.10098219999999999</v>
      </c>
      <c r="R8361">
        <v>0.99477910000000003</v>
      </c>
      <c r="S8361">
        <v>0.29580689999999998</v>
      </c>
      <c r="T8361">
        <v>-0.1027323</v>
      </c>
      <c r="U8361">
        <v>3.0008849999999998</v>
      </c>
      <c r="V8361">
        <v>2.231967E-2</v>
      </c>
      <c r="W8361">
        <v>-8.6214230000000003E-2</v>
      </c>
      <c r="X8361">
        <v>0.99602659999999998</v>
      </c>
      <c r="Y8361">
        <v>0.1055426</v>
      </c>
      <c r="Z8361">
        <v>-1.9219279999999998E-2</v>
      </c>
      <c r="AA8361">
        <v>0.99422900000000003</v>
      </c>
      <c r="AB8361">
        <v>37</v>
      </c>
      <c r="AC8361">
        <v>3.2308000000000101</v>
      </c>
      <c r="AD8361">
        <v>-1.1210322013259999</v>
      </c>
      <c r="AE8361">
        <v>32.38926</v>
      </c>
      <c r="AF8361">
        <v>3.4708132112591299</v>
      </c>
      <c r="AG8361">
        <v>-1.1210322013259999</v>
      </c>
      <c r="AH8361">
        <v>32.325635741339902</v>
      </c>
      <c r="AI8361">
        <v>91.974843020111507</v>
      </c>
      <c r="AJ8361">
        <v>83.871613120146193</v>
      </c>
      <c r="AK8361">
        <v>32.5307544275514</v>
      </c>
      <c r="AL8361">
        <v>94.945851342152295</v>
      </c>
      <c r="AM8361">
        <v>88.716290406442695</v>
      </c>
      <c r="AN8361">
        <v>1.0000000245154801</v>
      </c>
    </row>
    <row r="8362" spans="1:40" x14ac:dyDescent="0.25">
      <c r="A8362" t="str">
        <f>"20190303155013083"</f>
        <v>20190303155013083</v>
      </c>
      <c r="B8362" t="str">
        <f>"1551599413079287"</f>
        <v>1551599413079287</v>
      </c>
      <c r="C8362" t="s">
        <v>40</v>
      </c>
      <c r="D8362">
        <v>5.0890870000000001</v>
      </c>
      <c r="E8362">
        <v>0.5575928</v>
      </c>
      <c r="F8362" t="s">
        <v>41</v>
      </c>
      <c r="G8362">
        <v>-179.81559999999999</v>
      </c>
      <c r="H8362">
        <v>7.9985570000000006E-2</v>
      </c>
      <c r="I8362">
        <v>110.33669999999999</v>
      </c>
      <c r="J8362">
        <v>-188.2285</v>
      </c>
      <c r="K8362">
        <v>1.1210290000000001</v>
      </c>
      <c r="L8362">
        <v>55.336730000000003</v>
      </c>
      <c r="M8362">
        <v>-7.9480939999999993E-3</v>
      </c>
      <c r="N8362">
        <v>-1.481734E-2</v>
      </c>
      <c r="O8362">
        <v>0.99985860000000004</v>
      </c>
      <c r="P8362">
        <v>1.4867750000000001E-2</v>
      </c>
      <c r="Q8362">
        <v>-0.1017217</v>
      </c>
      <c r="R8362">
        <v>0.99470179999999997</v>
      </c>
      <c r="S8362">
        <v>0.4561462</v>
      </c>
      <c r="T8362">
        <v>-5.6466580000000002E-2</v>
      </c>
      <c r="U8362">
        <v>3.0032649999999999</v>
      </c>
      <c r="V8362">
        <v>2.2858239999999998E-2</v>
      </c>
      <c r="W8362">
        <v>-8.6951790000000001E-2</v>
      </c>
      <c r="X8362">
        <v>0.99595020000000001</v>
      </c>
      <c r="Y8362">
        <v>0.15797549999999999</v>
      </c>
      <c r="Z8362">
        <v>-3.747336E-3</v>
      </c>
      <c r="AA8362">
        <v>0.98743590000000003</v>
      </c>
      <c r="AB8362">
        <v>37</v>
      </c>
      <c r="AC8362">
        <v>8.4129000000000005</v>
      </c>
      <c r="AD8362">
        <v>-1.04104343</v>
      </c>
      <c r="AE8362">
        <v>54.999969999999898</v>
      </c>
      <c r="AF8362">
        <v>8.8467300745685797</v>
      </c>
      <c r="AG8362">
        <v>-1.04104343</v>
      </c>
      <c r="AH8362">
        <v>54.912134799555197</v>
      </c>
      <c r="AI8362">
        <v>91.072279959542698</v>
      </c>
      <c r="AJ8362">
        <v>80.847889754071602</v>
      </c>
      <c r="AK8362">
        <v>55.629946545722497</v>
      </c>
      <c r="AL8362">
        <v>94.988270051634203</v>
      </c>
      <c r="AM8362">
        <v>88.685224632128097</v>
      </c>
      <c r="AN8362">
        <v>0.99999995690006904</v>
      </c>
    </row>
    <row r="8363" spans="1:40" x14ac:dyDescent="0.25">
      <c r="A8363" t="str">
        <f>"20190303155013108"</f>
        <v>20190303155013108</v>
      </c>
      <c r="B8363" t="str">
        <f>"1551599413098808"</f>
        <v>1551599413098808</v>
      </c>
      <c r="C8363" t="s">
        <v>40</v>
      </c>
      <c r="D8363">
        <v>5.0928709999999997</v>
      </c>
      <c r="E8363">
        <v>0.55934609999999996</v>
      </c>
      <c r="F8363" t="s">
        <v>41</v>
      </c>
      <c r="G8363">
        <v>-179.8441</v>
      </c>
      <c r="H8363">
        <v>7.9985390000000003E-2</v>
      </c>
      <c r="I8363">
        <v>104.7192</v>
      </c>
      <c r="J8363">
        <v>-188.23230000000001</v>
      </c>
      <c r="K8363">
        <v>1.121032</v>
      </c>
      <c r="L8363">
        <v>55.747590000000002</v>
      </c>
      <c r="M8363">
        <v>-8.4028550000000007E-3</v>
      </c>
      <c r="N8363">
        <v>-1.4819209999999999E-2</v>
      </c>
      <c r="O8363">
        <v>0.99985489999999999</v>
      </c>
      <c r="P8363">
        <v>1.486443E-2</v>
      </c>
      <c r="Q8363">
        <v>-0.1017532</v>
      </c>
      <c r="R8363">
        <v>0.99469859999999999</v>
      </c>
      <c r="S8363">
        <v>0.50967410000000002</v>
      </c>
      <c r="T8363">
        <v>-6.3283560000000003E-2</v>
      </c>
      <c r="U8363">
        <v>3.0018919999999998</v>
      </c>
      <c r="V8363">
        <v>2.3307060000000001E-2</v>
      </c>
      <c r="W8363">
        <v>-8.6981359999999994E-2</v>
      </c>
      <c r="X8363">
        <v>0.99593730000000003</v>
      </c>
      <c r="Y8363">
        <v>0.1756191</v>
      </c>
      <c r="Z8363">
        <v>-5.9343999999999899E-3</v>
      </c>
      <c r="AA8363">
        <v>0.98444030000000005</v>
      </c>
      <c r="AB8363">
        <v>37</v>
      </c>
      <c r="AC8363">
        <v>8.3882000000000101</v>
      </c>
      <c r="AD8363">
        <v>-1.04104661</v>
      </c>
      <c r="AE8363">
        <v>48.971609999999998</v>
      </c>
      <c r="AF8363">
        <v>8.7955887978903498</v>
      </c>
      <c r="AG8363">
        <v>-1.04104661</v>
      </c>
      <c r="AH8363">
        <v>48.8779293079862</v>
      </c>
      <c r="AI8363">
        <v>91.200870530408906</v>
      </c>
      <c r="AJ8363">
        <v>79.798795032299907</v>
      </c>
      <c r="AK8363">
        <v>49.673918043398402</v>
      </c>
      <c r="AL8363">
        <v>94.989970311761198</v>
      </c>
      <c r="AM8363">
        <v>88.659401078836297</v>
      </c>
      <c r="AN8363">
        <v>1.00000004078229</v>
      </c>
    </row>
    <row r="8364" spans="1:40" x14ac:dyDescent="0.25">
      <c r="A8364" t="str">
        <f>"20190303155013130"</f>
        <v>20190303155013130</v>
      </c>
      <c r="B8364" t="str">
        <f>"1551599413119302"</f>
        <v>1551599413119302</v>
      </c>
      <c r="C8364" t="s">
        <v>40</v>
      </c>
      <c r="D8364">
        <v>5.0874699999999997</v>
      </c>
      <c r="E8364">
        <v>0.56064399999999903</v>
      </c>
      <c r="F8364" t="s">
        <v>41</v>
      </c>
      <c r="G8364">
        <v>-179.74680000000001</v>
      </c>
      <c r="H8364">
        <v>7.9986769999999999E-2</v>
      </c>
      <c r="I8364">
        <v>104.4053</v>
      </c>
      <c r="J8364">
        <v>-188.23560000000001</v>
      </c>
      <c r="K8364">
        <v>1.1210230000000001</v>
      </c>
      <c r="L8364">
        <v>56.098050000000001</v>
      </c>
      <c r="M8364">
        <v>-8.7908580000000004E-3</v>
      </c>
      <c r="N8364">
        <v>-1.4820059999999999E-2</v>
      </c>
      <c r="O8364">
        <v>0.9998515</v>
      </c>
      <c r="P8364">
        <v>1.428077E-2</v>
      </c>
      <c r="Q8364">
        <v>-0.10226300000000001</v>
      </c>
      <c r="R8364">
        <v>0.99465490000000001</v>
      </c>
      <c r="S8364">
        <v>0.52345280000000005</v>
      </c>
      <c r="T8364">
        <v>-6.4220429999999995E-2</v>
      </c>
      <c r="U8364">
        <v>3.001617</v>
      </c>
      <c r="V8364">
        <v>2.3109290000000001E-2</v>
      </c>
      <c r="W8364">
        <v>-8.7491189999999996E-2</v>
      </c>
      <c r="X8364">
        <v>0.99589720000000004</v>
      </c>
      <c r="Y8364">
        <v>0.18040100000000001</v>
      </c>
      <c r="Z8364">
        <v>-6.2245529999999999E-3</v>
      </c>
      <c r="AA8364">
        <v>0.98357340000000004</v>
      </c>
      <c r="AB8364">
        <v>37</v>
      </c>
      <c r="AC8364">
        <v>8.4887999999999906</v>
      </c>
      <c r="AD8364">
        <v>-1.04103622999999</v>
      </c>
      <c r="AE8364">
        <v>48.307250000000003</v>
      </c>
      <c r="AF8364">
        <v>8.9091671287851302</v>
      </c>
      <c r="AG8364">
        <v>-1.04103622999999</v>
      </c>
      <c r="AH8364">
        <v>48.209032556585903</v>
      </c>
      <c r="AI8364">
        <v>91.216473320166401</v>
      </c>
      <c r="AJ8364">
        <v>79.529703702824705</v>
      </c>
      <c r="AK8364">
        <v>49.036392968924197</v>
      </c>
      <c r="AL8364">
        <v>95.019293461408296</v>
      </c>
      <c r="AM8364">
        <v>88.670719011575002</v>
      </c>
      <c r="AN8364">
        <v>0.99999999028987996</v>
      </c>
    </row>
    <row r="8365" spans="1:40" x14ac:dyDescent="0.25">
      <c r="A8365" t="str">
        <f>"20190303155013152"</f>
        <v>20190303155013152</v>
      </c>
      <c r="B8365" t="str">
        <f>"1551599413148583"</f>
        <v>1551599413148583</v>
      </c>
      <c r="C8365" t="s">
        <v>40</v>
      </c>
      <c r="D8365">
        <v>5.1251989999999896</v>
      </c>
      <c r="E8365">
        <v>0.56177860000000002</v>
      </c>
      <c r="F8365" t="s">
        <v>41</v>
      </c>
      <c r="G8365">
        <v>-179.90389999999999</v>
      </c>
      <c r="H8365">
        <v>7.9986370000000001E-2</v>
      </c>
      <c r="I8365">
        <v>103.1088</v>
      </c>
      <c r="J8365">
        <v>-188.23939999999999</v>
      </c>
      <c r="K8365">
        <v>1.1210249999999999</v>
      </c>
      <c r="L8365">
        <v>56.482599999999998</v>
      </c>
      <c r="M8365">
        <v>-9.2168140000000003E-3</v>
      </c>
      <c r="N8365">
        <v>-1.482026E-2</v>
      </c>
      <c r="O8365">
        <v>0.99984770000000001</v>
      </c>
      <c r="P8365">
        <v>1.405168E-2</v>
      </c>
      <c r="Q8365">
        <v>-0.1023242</v>
      </c>
      <c r="R8365">
        <v>0.99465190000000003</v>
      </c>
      <c r="S8365">
        <v>0.53198239999999997</v>
      </c>
      <c r="T8365">
        <v>-6.6470379999999996E-2</v>
      </c>
      <c r="U8365">
        <v>3.0016479999999999</v>
      </c>
      <c r="V8365">
        <v>2.330374E-2</v>
      </c>
      <c r="W8365">
        <v>-8.7552169999999999E-2</v>
      </c>
      <c r="X8365">
        <v>0.99588730000000003</v>
      </c>
      <c r="Y8365">
        <v>0.18352589999999999</v>
      </c>
      <c r="Z8365">
        <v>-6.94906E-3</v>
      </c>
      <c r="AA8365">
        <v>0.98299029999999998</v>
      </c>
      <c r="AB8365">
        <v>37</v>
      </c>
      <c r="AC8365">
        <v>8.3354999999999908</v>
      </c>
      <c r="AD8365">
        <v>-1.0410386300000001</v>
      </c>
      <c r="AE8365">
        <v>46.626199999999997</v>
      </c>
      <c r="AF8365">
        <v>8.7607060360039597</v>
      </c>
      <c r="AG8365">
        <v>-1.0410386300000001</v>
      </c>
      <c r="AH8365">
        <v>46.524909061408003</v>
      </c>
      <c r="AI8365">
        <v>91.259702054139595</v>
      </c>
      <c r="AJ8365">
        <v>79.335993148479105</v>
      </c>
      <c r="AK8365">
        <v>47.353995553181299</v>
      </c>
      <c r="AL8365">
        <v>95.022800866272306</v>
      </c>
      <c r="AM8365">
        <v>88.659524699641295</v>
      </c>
      <c r="AN8365">
        <v>0.99999998053549299</v>
      </c>
    </row>
    <row r="8366" spans="1:40" x14ac:dyDescent="0.25">
      <c r="A8366" t="str">
        <f>"20190303155013171"</f>
        <v>20190303155013171</v>
      </c>
      <c r="B8366" t="str">
        <f>"1551599413169080"</f>
        <v>1551599413169080</v>
      </c>
      <c r="C8366" t="s">
        <v>40</v>
      </c>
      <c r="D8366">
        <v>5.1059130000000001</v>
      </c>
      <c r="E8366">
        <v>0.56224229999999997</v>
      </c>
      <c r="F8366" t="s">
        <v>41</v>
      </c>
      <c r="G8366">
        <v>-179.90599999999901</v>
      </c>
      <c r="H8366">
        <v>7.9986269999999998E-2</v>
      </c>
      <c r="I8366">
        <v>102.7645</v>
      </c>
      <c r="J8366">
        <v>-188.24260000000001</v>
      </c>
      <c r="K8366">
        <v>1.121027</v>
      </c>
      <c r="L8366">
        <v>56.792850000000001</v>
      </c>
      <c r="M8366">
        <v>-9.5605729999999993E-3</v>
      </c>
      <c r="N8366">
        <v>-1.481996E-2</v>
      </c>
      <c r="O8366">
        <v>0.99984450000000002</v>
      </c>
      <c r="P8366">
        <v>1.3962509999999999E-2</v>
      </c>
      <c r="Q8366">
        <v>-0.1025823</v>
      </c>
      <c r="R8366">
        <v>0.99462649999999997</v>
      </c>
      <c r="S8366">
        <v>0.54045100000000001</v>
      </c>
      <c r="T8366">
        <v>-6.7515249999999999E-2</v>
      </c>
      <c r="U8366">
        <v>3.0015559999999999</v>
      </c>
      <c r="V8366">
        <v>2.3556339999999999E-2</v>
      </c>
      <c r="W8366">
        <v>-8.7810830000000006E-2</v>
      </c>
      <c r="X8366">
        <v>0.99585860000000004</v>
      </c>
      <c r="Y8366">
        <v>0.1865541</v>
      </c>
      <c r="Z8366">
        <v>-7.2797410000000002E-3</v>
      </c>
      <c r="AA8366">
        <v>0.98241769999999995</v>
      </c>
      <c r="AB8366">
        <v>37</v>
      </c>
      <c r="AC8366">
        <v>8.3366000000000309</v>
      </c>
      <c r="AD8366">
        <v>-1.04104073</v>
      </c>
      <c r="AE8366">
        <v>45.971649999999997</v>
      </c>
      <c r="AF8366">
        <v>8.7714276284019199</v>
      </c>
      <c r="AG8366">
        <v>-1.04104073</v>
      </c>
      <c r="AH8366">
        <v>45.867064896078702</v>
      </c>
      <c r="AI8366">
        <v>91.277079446346306</v>
      </c>
      <c r="AJ8366">
        <v>79.173705994756503</v>
      </c>
      <c r="AK8366">
        <v>46.709842117298003</v>
      </c>
      <c r="AL8366">
        <v>95.037678208745206</v>
      </c>
      <c r="AM8366">
        <v>88.644961021127699</v>
      </c>
      <c r="AN8366">
        <v>0.99999999710672205</v>
      </c>
    </row>
    <row r="8367" spans="1:40" x14ac:dyDescent="0.25">
      <c r="A8367" t="str">
        <f>"20190303155013194"</f>
        <v>20190303155013194</v>
      </c>
      <c r="B8367" t="str">
        <f>"1551599413188600"</f>
        <v>1551599413188600</v>
      </c>
      <c r="C8367" t="s">
        <v>40</v>
      </c>
      <c r="D8367">
        <v>5.1420690000000002</v>
      </c>
      <c r="E8367">
        <v>0.56263999999999903</v>
      </c>
      <c r="F8367" t="s">
        <v>41</v>
      </c>
      <c r="G8367">
        <v>-179.95779999999999</v>
      </c>
      <c r="H8367">
        <v>3.1664379999999999E-2</v>
      </c>
      <c r="I8367">
        <v>102.48869999999999</v>
      </c>
      <c r="J8367">
        <v>-188.2466</v>
      </c>
      <c r="K8367">
        <v>1.1210310000000001</v>
      </c>
      <c r="L8367">
        <v>57.166840000000001</v>
      </c>
      <c r="M8367">
        <v>-9.9751300000000005E-3</v>
      </c>
      <c r="N8367">
        <v>-1.481911E-2</v>
      </c>
      <c r="O8367">
        <v>0.99984039999999996</v>
      </c>
      <c r="P8367">
        <v>1.3914899999999999E-2</v>
      </c>
      <c r="Q8367">
        <v>-0.10245899999999999</v>
      </c>
      <c r="R8367">
        <v>0.99463990000000002</v>
      </c>
      <c r="S8367">
        <v>0.54412839999999996</v>
      </c>
      <c r="T8367">
        <v>-7.1546670000000007E-2</v>
      </c>
      <c r="U8367">
        <v>3.0011899999999998</v>
      </c>
      <c r="V8367">
        <v>2.3920879999999999E-2</v>
      </c>
      <c r="W8367">
        <v>-8.7688000000000002E-2</v>
      </c>
      <c r="X8367">
        <v>0.99586079999999999</v>
      </c>
      <c r="Y8367">
        <v>0.1881437</v>
      </c>
      <c r="Z8367">
        <v>-8.5963869999999901E-3</v>
      </c>
      <c r="AA8367">
        <v>0.98210390000000003</v>
      </c>
      <c r="AB8367">
        <v>37</v>
      </c>
      <c r="AC8367">
        <v>8.2888000000000002</v>
      </c>
      <c r="AD8367">
        <v>-1.0893666199999901</v>
      </c>
      <c r="AE8367">
        <v>45.321860000000001</v>
      </c>
      <c r="AF8367">
        <v>8.7356450383401203</v>
      </c>
      <c r="AG8367">
        <v>-1.0893666199999901</v>
      </c>
      <c r="AH8367">
        <v>45.211638486042403</v>
      </c>
      <c r="AI8367">
        <v>91.355209426772504</v>
      </c>
      <c r="AJ8367">
        <v>79.064254778379194</v>
      </c>
      <c r="AK8367">
        <v>46.060725878575099</v>
      </c>
      <c r="AL8367">
        <v>95.030612981457693</v>
      </c>
      <c r="AM8367">
        <v>88.624002507750205</v>
      </c>
      <c r="AN8367">
        <v>1.0000000634102999</v>
      </c>
    </row>
    <row r="8368" spans="1:40" x14ac:dyDescent="0.25">
      <c r="A8368" t="str">
        <f>"20190303155013215"</f>
        <v>20190303155013215</v>
      </c>
      <c r="B8368" t="str">
        <f>"1551599413209095"</f>
        <v>1551599413209095</v>
      </c>
      <c r="C8368" t="s">
        <v>40</v>
      </c>
      <c r="D8368">
        <v>5.1180770000000004</v>
      </c>
      <c r="E8368">
        <v>0.56290719999999905</v>
      </c>
      <c r="F8368" t="s">
        <v>41</v>
      </c>
      <c r="G8368">
        <v>-179.95779999999999</v>
      </c>
      <c r="H8368">
        <v>4.1728040000000001E-2</v>
      </c>
      <c r="I8368">
        <v>102.6486</v>
      </c>
      <c r="J8368">
        <v>-188.25069999999999</v>
      </c>
      <c r="K8368">
        <v>1.121027</v>
      </c>
      <c r="L8368">
        <v>57.536679999999997</v>
      </c>
      <c r="M8368">
        <v>-1.0385190000000001E-2</v>
      </c>
      <c r="N8368">
        <v>-1.48179E-2</v>
      </c>
      <c r="O8368">
        <v>0.99983630000000001</v>
      </c>
      <c r="P8368">
        <v>1.3753309999999999E-2</v>
      </c>
      <c r="Q8368">
        <v>-0.1025378</v>
      </c>
      <c r="R8368">
        <v>0.99463400000000002</v>
      </c>
      <c r="S8368">
        <v>0.54695130000000003</v>
      </c>
      <c r="T8368">
        <v>-7.1219560000000001E-2</v>
      </c>
      <c r="U8368">
        <v>3.0011899999999998</v>
      </c>
      <c r="V8368">
        <v>2.4166989999999999E-2</v>
      </c>
      <c r="W8368">
        <v>-8.7767999999999999E-2</v>
      </c>
      <c r="X8368">
        <v>0.99584779999999995</v>
      </c>
      <c r="Y8368">
        <v>0.18944040000000001</v>
      </c>
      <c r="Z8368">
        <v>-8.4848800000000002E-3</v>
      </c>
      <c r="AA8368">
        <v>0.98185560000000005</v>
      </c>
      <c r="AB8368">
        <v>37</v>
      </c>
      <c r="AC8368">
        <v>8.2928999999999995</v>
      </c>
      <c r="AD8368">
        <v>-1.07929896</v>
      </c>
      <c r="AE8368">
        <v>45.111919999999998</v>
      </c>
      <c r="AF8368">
        <v>8.7561517779798894</v>
      </c>
      <c r="AG8368">
        <v>-1.07929896</v>
      </c>
      <c r="AH8368">
        <v>44.998438679354599</v>
      </c>
      <c r="AI8368">
        <v>91.348703246226506</v>
      </c>
      <c r="AJ8368">
        <v>78.988539293060796</v>
      </c>
      <c r="AK8368">
        <v>45.855147625797898</v>
      </c>
      <c r="AL8368">
        <v>95.035214436957901</v>
      </c>
      <c r="AM8368">
        <v>88.609832942878398</v>
      </c>
      <c r="AN8368">
        <v>1.0000000529972399</v>
      </c>
    </row>
    <row r="8369" spans="1:40" x14ac:dyDescent="0.25">
      <c r="A8369" t="str">
        <f>"20190303155013238"</f>
        <v>20190303155013238</v>
      </c>
      <c r="B8369" t="str">
        <f>"1551599413228616"</f>
        <v>1551599413228616</v>
      </c>
      <c r="C8369" t="s">
        <v>40</v>
      </c>
      <c r="D8369">
        <v>5.1314149999999996</v>
      </c>
      <c r="E8369">
        <v>0.56339259999999902</v>
      </c>
      <c r="F8369" t="s">
        <v>41</v>
      </c>
      <c r="G8369">
        <v>-179.72139999999999</v>
      </c>
      <c r="H8369">
        <v>7.9986710000000003E-2</v>
      </c>
      <c r="I8369">
        <v>104.208</v>
      </c>
      <c r="J8369">
        <v>-188.25479999999999</v>
      </c>
      <c r="K8369">
        <v>1.1210310000000001</v>
      </c>
      <c r="L8369">
        <v>57.896850000000001</v>
      </c>
      <c r="M8369">
        <v>-1.0784759999999999E-2</v>
      </c>
      <c r="N8369">
        <v>-1.4816309999999999E-2</v>
      </c>
      <c r="O8369">
        <v>0.9998321</v>
      </c>
      <c r="P8369">
        <v>1.3644989999999999E-2</v>
      </c>
      <c r="Q8369">
        <v>-0.10249419999999999</v>
      </c>
      <c r="R8369">
        <v>0.99463999999999997</v>
      </c>
      <c r="S8369">
        <v>0.54856870000000002</v>
      </c>
      <c r="T8369">
        <v>-6.695545E-2</v>
      </c>
      <c r="U8369">
        <v>3.001709</v>
      </c>
      <c r="V8369">
        <v>2.4455930000000001E-2</v>
      </c>
      <c r="W8369">
        <v>-8.7725849999999994E-2</v>
      </c>
      <c r="X8369">
        <v>0.99584439999999996</v>
      </c>
      <c r="Y8369">
        <v>0.1903185</v>
      </c>
      <c r="Z8369">
        <v>-7.0835350000000002E-3</v>
      </c>
      <c r="AA8369">
        <v>0.98169680000000004</v>
      </c>
      <c r="AB8369">
        <v>37</v>
      </c>
      <c r="AC8369">
        <v>8.5334000000000003</v>
      </c>
      <c r="AD8369">
        <v>-1.0410442900000001</v>
      </c>
      <c r="AE8369">
        <v>46.311149999999998</v>
      </c>
      <c r="AF8369">
        <v>9.0280008337245601</v>
      </c>
      <c r="AG8369">
        <v>-1.0410442900000001</v>
      </c>
      <c r="AH8369">
        <v>46.193839117087002</v>
      </c>
      <c r="AI8369">
        <v>91.267060502044998</v>
      </c>
      <c r="AJ8369">
        <v>78.941653409851099</v>
      </c>
      <c r="AK8369">
        <v>47.0792878519078</v>
      </c>
      <c r="AL8369">
        <v>95.032790370727696</v>
      </c>
      <c r="AM8369">
        <v>88.593213974730304</v>
      </c>
      <c r="AN8369">
        <v>0.99999999314087296</v>
      </c>
    </row>
    <row r="8370" spans="1:40" x14ac:dyDescent="0.25">
      <c r="A8370" t="str">
        <f>"20190303155013260"</f>
        <v>20190303155013260</v>
      </c>
      <c r="B8370" t="str">
        <f>"1551599413249111"</f>
        <v>1551599413249111</v>
      </c>
      <c r="C8370" t="s">
        <v>40</v>
      </c>
      <c r="D8370">
        <v>5.245539</v>
      </c>
      <c r="E8370">
        <v>0.56326690000000001</v>
      </c>
      <c r="F8370" t="s">
        <v>41</v>
      </c>
      <c r="G8370">
        <v>-179.41470000000001</v>
      </c>
      <c r="H8370">
        <v>7.9985780000000006E-2</v>
      </c>
      <c r="I8370">
        <v>105.9615</v>
      </c>
      <c r="J8370">
        <v>-188.25909999999999</v>
      </c>
      <c r="K8370">
        <v>1.121032</v>
      </c>
      <c r="L8370">
        <v>58.259920000000001</v>
      </c>
      <c r="M8370">
        <v>-1.1187590000000001E-2</v>
      </c>
      <c r="N8370">
        <v>-1.481438E-2</v>
      </c>
      <c r="O8370">
        <v>0.99982769999999999</v>
      </c>
      <c r="P8370">
        <v>1.3170070000000001E-2</v>
      </c>
      <c r="Q8370">
        <v>-0.10272290000000001</v>
      </c>
      <c r="R8370">
        <v>0.99462280000000003</v>
      </c>
      <c r="S8370">
        <v>0.55210879999999996</v>
      </c>
      <c r="T8370">
        <v>-6.5018770000000004E-2</v>
      </c>
      <c r="U8370">
        <v>3.0018919999999998</v>
      </c>
      <c r="V8370">
        <v>2.438154E-2</v>
      </c>
      <c r="W8370">
        <v>-8.7956909999999999E-2</v>
      </c>
      <c r="X8370">
        <v>0.99582579999999998</v>
      </c>
      <c r="Y8370">
        <v>0.19182460000000001</v>
      </c>
      <c r="Z8370">
        <v>-6.4443510000000001E-3</v>
      </c>
      <c r="AA8370">
        <v>0.98140810000000001</v>
      </c>
      <c r="AB8370">
        <v>37</v>
      </c>
      <c r="AC8370">
        <v>8.8443999999999701</v>
      </c>
      <c r="AD8370">
        <v>-1.0410462199999999</v>
      </c>
      <c r="AE8370">
        <v>47.70158</v>
      </c>
      <c r="AF8370">
        <v>9.3732545985750306</v>
      </c>
      <c r="AG8370">
        <v>-1.0410462199999999</v>
      </c>
      <c r="AH8370">
        <v>47.577727833771</v>
      </c>
      <c r="AI8370">
        <v>91.229854181326999</v>
      </c>
      <c r="AJ8370">
        <v>78.854926116128993</v>
      </c>
      <c r="AK8370">
        <v>48.503421166205101</v>
      </c>
      <c r="AL8370">
        <v>95.046080721596098</v>
      </c>
      <c r="AM8370">
        <v>88.597465236405995</v>
      </c>
      <c r="AN8370">
        <v>0.99999995072757797</v>
      </c>
    </row>
    <row r="8371" spans="1:40" x14ac:dyDescent="0.25">
      <c r="A8371" t="str">
        <f>"20190303155013295"</f>
        <v>20190303155013295</v>
      </c>
      <c r="B8371" t="str">
        <f>"1551599413289127"</f>
        <v>1551599413289127</v>
      </c>
      <c r="C8371" t="s">
        <v>40</v>
      </c>
      <c r="D8371">
        <v>5.0893509999999997</v>
      </c>
      <c r="E8371">
        <v>0.51355050000000002</v>
      </c>
      <c r="F8371" t="s">
        <v>41</v>
      </c>
      <c r="G8371">
        <v>-179.44540000000001</v>
      </c>
      <c r="H8371">
        <v>7.9985909999999993E-2</v>
      </c>
      <c r="I8371">
        <v>106.4222</v>
      </c>
      <c r="J8371">
        <v>-188.2662</v>
      </c>
      <c r="K8371">
        <v>1.121032</v>
      </c>
      <c r="L8371">
        <v>58.822690000000001</v>
      </c>
      <c r="M8371">
        <v>-1.1812359999999999E-2</v>
      </c>
      <c r="N8371">
        <v>-1.481119E-2</v>
      </c>
      <c r="O8371">
        <v>0.9998205</v>
      </c>
      <c r="P8371">
        <v>1.1437610000000001E-2</v>
      </c>
      <c r="Q8371">
        <v>-0.1030722</v>
      </c>
      <c r="R8371">
        <v>0.99460809999999999</v>
      </c>
      <c r="S8371">
        <v>0.54940800000000001</v>
      </c>
      <c r="T8371">
        <v>-6.4894320000000005E-2</v>
      </c>
      <c r="U8371">
        <v>3.0022280000000001</v>
      </c>
      <c r="V8371">
        <v>2.327044E-2</v>
      </c>
      <c r="W8371">
        <v>-8.8310550000000002E-2</v>
      </c>
      <c r="X8371">
        <v>0.99582110000000001</v>
      </c>
      <c r="Y8371">
        <v>0.1915644</v>
      </c>
      <c r="Z8371">
        <v>-6.4057609999999899E-3</v>
      </c>
      <c r="AA8371">
        <v>0.98145910000000003</v>
      </c>
      <c r="AB8371">
        <v>37</v>
      </c>
      <c r="AC8371">
        <v>8.8207999999999895</v>
      </c>
      <c r="AD8371">
        <v>-1.04104609</v>
      </c>
      <c r="AE8371">
        <v>47.599509999999903</v>
      </c>
      <c r="AF8371">
        <v>9.37817170025804</v>
      </c>
      <c r="AG8371">
        <v>-1.04104609</v>
      </c>
      <c r="AH8371">
        <v>47.470029589114503</v>
      </c>
      <c r="AI8371">
        <v>91.232514593596207</v>
      </c>
      <c r="AJ8371">
        <v>78.824563631026507</v>
      </c>
      <c r="AK8371">
        <v>48.398735423484297</v>
      </c>
      <c r="AL8371">
        <v>95.066421884960704</v>
      </c>
      <c r="AM8371">
        <v>88.661350529183395</v>
      </c>
      <c r="AN8371">
        <v>0.99999996491215204</v>
      </c>
    </row>
    <row r="8372" spans="1:40" x14ac:dyDescent="0.25">
      <c r="A8372" t="str">
        <f>"20190303155013320"</f>
        <v>20190303155013320</v>
      </c>
      <c r="B8372" t="str">
        <f>"1551599413308647"</f>
        <v>1551599413308647</v>
      </c>
      <c r="C8372" t="s">
        <v>40</v>
      </c>
      <c r="D8372">
        <v>5.0877330000000001</v>
      </c>
      <c r="E8372">
        <v>0.51231970000000004</v>
      </c>
      <c r="F8372" t="s">
        <v>41</v>
      </c>
      <c r="G8372">
        <v>-186.57910000000001</v>
      </c>
      <c r="H8372" s="1">
        <v>-2.1994800000000002E-6</v>
      </c>
      <c r="I8372">
        <v>93.345339999999993</v>
      </c>
      <c r="J8372">
        <v>-188.2713</v>
      </c>
      <c r="K8372">
        <v>1.121032</v>
      </c>
      <c r="L8372">
        <v>59.220579999999998</v>
      </c>
      <c r="M8372">
        <v>-1.2254259999999999E-2</v>
      </c>
      <c r="N8372">
        <v>-1.480833E-2</v>
      </c>
      <c r="O8372">
        <v>0.99981529999999996</v>
      </c>
      <c r="P8372">
        <v>1.0283169999999999E-2</v>
      </c>
      <c r="Q8372">
        <v>-0.10307520000000001</v>
      </c>
      <c r="R8372">
        <v>0.99462039999999996</v>
      </c>
      <c r="S8372">
        <v>0.14682010000000001</v>
      </c>
      <c r="T8372">
        <v>-9.7561960000000003E-2</v>
      </c>
      <c r="U8372">
        <v>3.0044559999999998</v>
      </c>
      <c r="V8372">
        <v>2.2555559999999999E-2</v>
      </c>
      <c r="W8372">
        <v>-8.8316950000000005E-2</v>
      </c>
      <c r="X8372">
        <v>0.99583699999999997</v>
      </c>
      <c r="Y8372">
        <v>6.101765E-2</v>
      </c>
      <c r="Z8372">
        <v>-1.75935999999999E-2</v>
      </c>
      <c r="AA8372">
        <v>0.99798160000000002</v>
      </c>
      <c r="AB8372">
        <v>37</v>
      </c>
      <c r="AC8372">
        <v>1.6921999999999799</v>
      </c>
      <c r="AD8372">
        <v>-1.1210341994799999</v>
      </c>
      <c r="AE8372">
        <v>34.124759999999903</v>
      </c>
      <c r="AF8372">
        <v>2.1080230517445</v>
      </c>
      <c r="AG8372">
        <v>-1.1210341994799999</v>
      </c>
      <c r="AH8372">
        <v>34.064785956711297</v>
      </c>
      <c r="AI8372">
        <v>91.881264019084895</v>
      </c>
      <c r="AJ8372">
        <v>86.458894482721206</v>
      </c>
      <c r="AK8372">
        <v>34.148354589052303</v>
      </c>
      <c r="AL8372">
        <v>95.066789920629205</v>
      </c>
      <c r="AM8372">
        <v>88.702480964357093</v>
      </c>
      <c r="AN8372">
        <v>0.99999998375660704</v>
      </c>
    </row>
    <row r="8373" spans="1:40" x14ac:dyDescent="0.25">
      <c r="A8373" t="str">
        <f>"20190303155013340"</f>
        <v>20190303155013340</v>
      </c>
      <c r="B8373" t="str">
        <f>"1551599413329143"</f>
        <v>1551599413329143</v>
      </c>
      <c r="C8373" t="s">
        <v>40</v>
      </c>
      <c r="D8373">
        <v>5.0576930000000004</v>
      </c>
      <c r="E8373">
        <v>0.5117292</v>
      </c>
      <c r="F8373" t="s">
        <v>41</v>
      </c>
      <c r="G8373">
        <v>-186.4956</v>
      </c>
      <c r="H8373" s="1">
        <v>-4.7128979999999997E-6</v>
      </c>
      <c r="I8373">
        <v>99.169619999999995</v>
      </c>
      <c r="J8373">
        <v>-188.27590000000001</v>
      </c>
      <c r="K8373">
        <v>1.1210340000000001</v>
      </c>
      <c r="L8373">
        <v>59.563020000000002</v>
      </c>
      <c r="M8373">
        <v>-1.263187E-2</v>
      </c>
      <c r="N8373">
        <v>-1.4805479999999999E-2</v>
      </c>
      <c r="O8373">
        <v>0.99981059999999999</v>
      </c>
      <c r="P8373">
        <v>9.4802619999999997E-3</v>
      </c>
      <c r="Q8373">
        <v>-0.102742</v>
      </c>
      <c r="R8373">
        <v>0.99466290000000002</v>
      </c>
      <c r="S8373">
        <v>0.1336212</v>
      </c>
      <c r="T8373">
        <v>-8.4356310000000004E-2</v>
      </c>
      <c r="U8373">
        <v>3.0061040000000001</v>
      </c>
      <c r="V8373">
        <v>2.2128060000000001E-2</v>
      </c>
      <c r="W8373">
        <v>-8.7986490000000001E-2</v>
      </c>
      <c r="X8373">
        <v>0.99587579999999998</v>
      </c>
      <c r="Y8373">
        <v>5.7001429999999999E-2</v>
      </c>
      <c r="Z8373">
        <v>-1.320378E-2</v>
      </c>
      <c r="AA8373">
        <v>0.99828680000000003</v>
      </c>
      <c r="AB8373">
        <v>37</v>
      </c>
      <c r="AC8373">
        <v>1.78030000000001</v>
      </c>
      <c r="AD8373">
        <v>-1.1210387128979999</v>
      </c>
      <c r="AE8373">
        <v>39.6066</v>
      </c>
      <c r="AF8373">
        <v>2.27869632798821</v>
      </c>
      <c r="AG8373">
        <v>-1.1210387128979999</v>
      </c>
      <c r="AH8373">
        <v>39.549327810106199</v>
      </c>
      <c r="AI8373">
        <v>91.620946145143407</v>
      </c>
      <c r="AJ8373">
        <v>86.702459812292204</v>
      </c>
      <c r="AK8373">
        <v>39.630777370400402</v>
      </c>
      <c r="AL8373">
        <v>95.047782175228093</v>
      </c>
      <c r="AM8373">
        <v>88.727114508330104</v>
      </c>
      <c r="AN8373">
        <v>0.99999994124376002</v>
      </c>
    </row>
    <row r="8374" spans="1:40" x14ac:dyDescent="0.25">
      <c r="A8374" t="str">
        <f>"20190303155013362"</f>
        <v>20190303155013362</v>
      </c>
      <c r="B8374" t="str">
        <f>"1551599413359400"</f>
        <v>1551599413359400</v>
      </c>
      <c r="C8374" t="s">
        <v>40</v>
      </c>
      <c r="D8374">
        <v>5.0313990000000004</v>
      </c>
      <c r="E8374">
        <v>0.51146919999999996</v>
      </c>
      <c r="F8374" t="s">
        <v>41</v>
      </c>
      <c r="G8374">
        <v>-186.47829999999999</v>
      </c>
      <c r="H8374" s="1">
        <v>-1.8660889999999999E-6</v>
      </c>
      <c r="I8374">
        <v>102.37820000000001</v>
      </c>
      <c r="J8374">
        <v>-188.28059999999999</v>
      </c>
      <c r="K8374">
        <v>1.1210329999999999</v>
      </c>
      <c r="L8374">
        <v>59.909390000000002</v>
      </c>
      <c r="M8374">
        <v>-1.300543E-2</v>
      </c>
      <c r="N8374">
        <v>-1.480249E-2</v>
      </c>
      <c r="O8374">
        <v>0.99980590000000003</v>
      </c>
      <c r="P8374">
        <v>9.0715229999999997E-3</v>
      </c>
      <c r="Q8374">
        <v>-0.1022735</v>
      </c>
      <c r="R8374">
        <v>0.99471500000000002</v>
      </c>
      <c r="S8374">
        <v>0.12623599999999999</v>
      </c>
      <c r="T8374">
        <v>-7.8726889999999994E-2</v>
      </c>
      <c r="U8374">
        <v>3.0067750000000002</v>
      </c>
      <c r="V8374">
        <v>2.2089999999999999E-2</v>
      </c>
      <c r="W8374">
        <v>-8.7520609999999999E-2</v>
      </c>
      <c r="X8374">
        <v>0.99591770000000002</v>
      </c>
      <c r="Y8374">
        <v>5.4919399999999903E-2</v>
      </c>
      <c r="Z8374">
        <v>-1.133529E-2</v>
      </c>
      <c r="AA8374">
        <v>0.99842640000000005</v>
      </c>
      <c r="AB8374">
        <v>37</v>
      </c>
      <c r="AC8374">
        <v>1.8023</v>
      </c>
      <c r="AD8374">
        <v>-1.1210348660889999</v>
      </c>
      <c r="AE8374">
        <v>42.468809999999998</v>
      </c>
      <c r="AF8374">
        <v>2.3528966566146701</v>
      </c>
      <c r="AG8374">
        <v>-1.1210348660889999</v>
      </c>
      <c r="AH8374">
        <v>42.412276134625898</v>
      </c>
      <c r="AI8374">
        <v>91.5117573614164</v>
      </c>
      <c r="AJ8374">
        <v>86.824669324708296</v>
      </c>
      <c r="AK8374">
        <v>42.492281755248797</v>
      </c>
      <c r="AL8374">
        <v>95.020985821133607</v>
      </c>
      <c r="AM8374">
        <v>88.729356580704106</v>
      </c>
      <c r="AN8374">
        <v>0.99999994522402902</v>
      </c>
    </row>
    <row r="8375" spans="1:40" x14ac:dyDescent="0.25">
      <c r="A8375" t="str">
        <f>"20190303155013383"</f>
        <v>20190303155013383</v>
      </c>
      <c r="B8375" t="str">
        <f>"1551599413378919"</f>
        <v>1551599413378919</v>
      </c>
      <c r="C8375" t="s">
        <v>40</v>
      </c>
      <c r="D8375">
        <v>5.1043190000000003</v>
      </c>
      <c r="E8375">
        <v>0.51175470000000001</v>
      </c>
      <c r="F8375" t="s">
        <v>41</v>
      </c>
      <c r="G8375">
        <v>-186.41890000000001</v>
      </c>
      <c r="H8375" s="1">
        <v>-3.1664739999999998E-6</v>
      </c>
      <c r="I8375">
        <v>105.53319999999999</v>
      </c>
      <c r="J8375">
        <v>-188.28569999999999</v>
      </c>
      <c r="K8375">
        <v>1.1210290000000001</v>
      </c>
      <c r="L8375">
        <v>60.269319999999901</v>
      </c>
      <c r="M8375">
        <v>-1.337873E-2</v>
      </c>
      <c r="N8375">
        <v>-1.479924E-2</v>
      </c>
      <c r="O8375">
        <v>0.99980100000000005</v>
      </c>
      <c r="P8375">
        <v>8.9574730000000005E-3</v>
      </c>
      <c r="Q8375">
        <v>-0.102588</v>
      </c>
      <c r="R8375">
        <v>0.9946836</v>
      </c>
      <c r="S8375">
        <v>0.12271120000000001</v>
      </c>
      <c r="T8375">
        <v>-7.3891639999999995E-2</v>
      </c>
      <c r="U8375">
        <v>3.0072329999999998</v>
      </c>
      <c r="V8375">
        <v>2.2344860000000001E-2</v>
      </c>
      <c r="W8375">
        <v>-8.7839169999999994E-2</v>
      </c>
      <c r="X8375">
        <v>0.99588399999999999</v>
      </c>
      <c r="Y8375">
        <v>5.4119159999999999E-2</v>
      </c>
      <c r="Z8375">
        <v>-9.7308929999999991E-3</v>
      </c>
      <c r="AA8375">
        <v>0.99848709999999996</v>
      </c>
      <c r="AB8375">
        <v>37</v>
      </c>
      <c r="AC8375">
        <v>1.86679999999998</v>
      </c>
      <c r="AD8375">
        <v>-1.1210321664739999</v>
      </c>
      <c r="AE8375">
        <v>45.26388</v>
      </c>
      <c r="AF8375">
        <v>2.4707594762282299</v>
      </c>
      <c r="AG8375">
        <v>-1.1210321664739999</v>
      </c>
      <c r="AH8375">
        <v>45.207167606499503</v>
      </c>
      <c r="AI8375">
        <v>91.418394405474999</v>
      </c>
      <c r="AJ8375">
        <v>86.871660059694506</v>
      </c>
      <c r="AK8375">
        <v>45.288512544681602</v>
      </c>
      <c r="AL8375">
        <v>95.039308371388202</v>
      </c>
      <c r="AM8375">
        <v>88.714658137020606</v>
      </c>
      <c r="AN8375">
        <v>0.99999997700535304</v>
      </c>
    </row>
    <row r="8376" spans="1:40" x14ac:dyDescent="0.25">
      <c r="A8376" t="str">
        <f>"20190303155013406"</f>
        <v>20190303155013406</v>
      </c>
      <c r="B8376" t="str">
        <f>"1551599413399416"</f>
        <v>1551599413399416</v>
      </c>
      <c r="C8376" t="s">
        <v>40</v>
      </c>
      <c r="D8376">
        <v>4.9889929999999998</v>
      </c>
      <c r="E8376">
        <v>0.51180829999999999</v>
      </c>
      <c r="F8376" t="s">
        <v>41</v>
      </c>
      <c r="G8376">
        <v>-186.3485</v>
      </c>
      <c r="H8376" s="1">
        <v>-3.7998270000000001E-6</v>
      </c>
      <c r="I8376">
        <v>106.9804</v>
      </c>
      <c r="J8376">
        <v>-188.2911</v>
      </c>
      <c r="K8376">
        <v>1.1210169999999999</v>
      </c>
      <c r="L8376">
        <v>60.642519999999998</v>
      </c>
      <c r="M8376">
        <v>-1.375035E-2</v>
      </c>
      <c r="N8376">
        <v>-1.479574E-2</v>
      </c>
      <c r="O8376">
        <v>0.99979600000000002</v>
      </c>
      <c r="P8376">
        <v>8.7821630000000008E-3</v>
      </c>
      <c r="Q8376">
        <v>-0.1029809</v>
      </c>
      <c r="R8376">
        <v>0.99464459999999999</v>
      </c>
      <c r="S8376">
        <v>0.1247253</v>
      </c>
      <c r="T8376">
        <v>-7.2177290000000005E-2</v>
      </c>
      <c r="U8376">
        <v>3.0074770000000002</v>
      </c>
      <c r="V8376">
        <v>2.2535909999999999E-2</v>
      </c>
      <c r="W8376">
        <v>-8.8236880000000004E-2</v>
      </c>
      <c r="X8376">
        <v>0.99584450000000002</v>
      </c>
      <c r="Y8376">
        <v>5.5154689999999999E-2</v>
      </c>
      <c r="Z8376">
        <v>-9.1620980000000005E-3</v>
      </c>
      <c r="AA8376">
        <v>0.99843579999999998</v>
      </c>
      <c r="AB8376">
        <v>36</v>
      </c>
      <c r="AC8376">
        <v>1.9425999999999899</v>
      </c>
      <c r="AD8376">
        <v>-1.1210207998270001</v>
      </c>
      <c r="AE8376">
        <v>46.337879999999998</v>
      </c>
      <c r="AF8376">
        <v>2.5781418605462401</v>
      </c>
      <c r="AG8376">
        <v>-1.1210207998270001</v>
      </c>
      <c r="AH8376">
        <v>46.279745330400502</v>
      </c>
      <c r="AI8376">
        <v>91.385440394038696</v>
      </c>
      <c r="AJ8376">
        <v>86.811474984965997</v>
      </c>
      <c r="AK8376">
        <v>46.365055062336197</v>
      </c>
      <c r="AL8376">
        <v>95.062184482849403</v>
      </c>
      <c r="AM8376">
        <v>88.7036207139423</v>
      </c>
      <c r="AN8376">
        <v>0.99999994120595403</v>
      </c>
    </row>
    <row r="8377" spans="1:40" x14ac:dyDescent="0.25">
      <c r="A8377" t="str">
        <f>"20190303155013428"</f>
        <v>20190303155013428</v>
      </c>
      <c r="B8377" t="str">
        <f>"1551599413418935"</f>
        <v>1551599413418935</v>
      </c>
      <c r="C8377" t="s">
        <v>40</v>
      </c>
      <c r="D8377">
        <v>4.9664830000000002</v>
      </c>
      <c r="E8377">
        <v>0.51166499999999904</v>
      </c>
      <c r="F8377" t="s">
        <v>41</v>
      </c>
      <c r="G8377">
        <v>-186.3058</v>
      </c>
      <c r="H8377" s="1">
        <v>-4.482235E-6</v>
      </c>
      <c r="I8377">
        <v>108.5535</v>
      </c>
      <c r="J8377">
        <v>-188.29640000000001</v>
      </c>
      <c r="K8377">
        <v>1.1210089999999999</v>
      </c>
      <c r="L8377">
        <v>61.001620000000003</v>
      </c>
      <c r="M8377">
        <v>-1.408586E-2</v>
      </c>
      <c r="N8377">
        <v>-1.479229E-2</v>
      </c>
      <c r="O8377">
        <v>0.9997914</v>
      </c>
      <c r="P8377">
        <v>8.8881519999999999E-3</v>
      </c>
      <c r="Q8377">
        <v>-0.102423</v>
      </c>
      <c r="R8377">
        <v>0.99470119999999895</v>
      </c>
      <c r="S8377">
        <v>0.1246338</v>
      </c>
      <c r="T8377">
        <v>-7.0375439999999997E-2</v>
      </c>
      <c r="U8377">
        <v>3.0077509999999998</v>
      </c>
      <c r="V8377">
        <v>2.2972159999999998E-2</v>
      </c>
      <c r="W8377">
        <v>-8.7682369999999996E-2</v>
      </c>
      <c r="X8377">
        <v>0.99588359999999998</v>
      </c>
      <c r="Y8377">
        <v>5.5456039999999998E-2</v>
      </c>
      <c r="Z8377">
        <v>-8.565006E-3</v>
      </c>
      <c r="AA8377">
        <v>0.99842439999999999</v>
      </c>
      <c r="AB8377">
        <v>36</v>
      </c>
      <c r="AC8377">
        <v>1.9905999999999999</v>
      </c>
      <c r="AD8377">
        <v>-1.121013482235</v>
      </c>
      <c r="AE8377">
        <v>47.551879999999997</v>
      </c>
      <c r="AF8377">
        <v>2.65880979139913</v>
      </c>
      <c r="AG8377">
        <v>-1.121013482235</v>
      </c>
      <c r="AH8377">
        <v>47.492770586053702</v>
      </c>
      <c r="AI8377">
        <v>91.350038245057405</v>
      </c>
      <c r="AJ8377">
        <v>86.795728576189404</v>
      </c>
      <c r="AK8377">
        <v>47.580344667454</v>
      </c>
      <c r="AL8377">
        <v>95.030289320153798</v>
      </c>
      <c r="AM8377">
        <v>88.6785860907451</v>
      </c>
      <c r="AN8377">
        <v>1.0000000314464199</v>
      </c>
    </row>
    <row r="8378" spans="1:40" x14ac:dyDescent="0.25">
      <c r="A8378" t="str">
        <f>"20190303155013451"</f>
        <v>20190303155013451</v>
      </c>
      <c r="B8378" t="str">
        <f>"1551599413439431"</f>
        <v>1551599413439431</v>
      </c>
      <c r="C8378" t="s">
        <v>40</v>
      </c>
      <c r="D8378">
        <v>4.9921300000000004</v>
      </c>
      <c r="E8378">
        <v>0.51172200000000001</v>
      </c>
      <c r="F8378" t="s">
        <v>41</v>
      </c>
      <c r="G8378">
        <v>-186.20699999999999</v>
      </c>
      <c r="H8378" s="1">
        <v>-1.748398E-6</v>
      </c>
      <c r="I8378">
        <v>111.8202</v>
      </c>
      <c r="J8378">
        <v>-188.30170000000001</v>
      </c>
      <c r="K8378">
        <v>1.1209880000000001</v>
      </c>
      <c r="L8378">
        <v>61.352690000000003</v>
      </c>
      <c r="M8378">
        <v>-1.4384930000000001E-2</v>
      </c>
      <c r="N8378">
        <v>-1.478897E-2</v>
      </c>
      <c r="O8378">
        <v>0.99978719999999999</v>
      </c>
      <c r="P8378">
        <v>8.3773040000000003E-3</v>
      </c>
      <c r="Q8378">
        <v>-0.1019378</v>
      </c>
      <c r="R8378">
        <v>0.99475550000000001</v>
      </c>
      <c r="S8378">
        <v>0.1236725</v>
      </c>
      <c r="T8378">
        <v>-6.6354270000000007E-2</v>
      </c>
      <c r="U8378">
        <v>3.0080260000000001</v>
      </c>
      <c r="V8378">
        <v>2.2754569999999998E-2</v>
      </c>
      <c r="W8378">
        <v>-8.7201009999999995E-2</v>
      </c>
      <c r="X8378">
        <v>0.99593089999999995</v>
      </c>
      <c r="Y8378">
        <v>5.5433389999999999E-2</v>
      </c>
      <c r="Z8378">
        <v>-7.2318729999999998E-3</v>
      </c>
      <c r="AA8378">
        <v>0.9984362</v>
      </c>
      <c r="AB8378">
        <v>36</v>
      </c>
      <c r="AC8378">
        <v>2.0947000000000102</v>
      </c>
      <c r="AD8378">
        <v>-1.12098974839799</v>
      </c>
      <c r="AE8378">
        <v>50.467509999999997</v>
      </c>
      <c r="AF8378">
        <v>2.8191456763075</v>
      </c>
      <c r="AG8378">
        <v>-1.12098974839799</v>
      </c>
      <c r="AH8378">
        <v>50.407324575486797</v>
      </c>
      <c r="AI8378">
        <v>91.271982461633499</v>
      </c>
      <c r="AJ8378">
        <v>86.798936339572293</v>
      </c>
      <c r="AK8378">
        <v>50.498540287999703</v>
      </c>
      <c r="AL8378">
        <v>95.002603173355894</v>
      </c>
      <c r="AM8378">
        <v>88.691160158404102</v>
      </c>
      <c r="AN8378">
        <v>1.0000000720878499</v>
      </c>
    </row>
    <row r="8379" spans="1:40" x14ac:dyDescent="0.25">
      <c r="A8379" t="str">
        <f>"20190303155013473"</f>
        <v>20190303155013473</v>
      </c>
      <c r="B8379" t="str">
        <f>"1551599413468711"</f>
        <v>1551599413468711</v>
      </c>
      <c r="C8379" t="s">
        <v>40</v>
      </c>
      <c r="D8379">
        <v>4.9957799999999999</v>
      </c>
      <c r="E8379">
        <v>0.51150790000000002</v>
      </c>
      <c r="F8379" t="s">
        <v>41</v>
      </c>
      <c r="G8379">
        <v>-186.15629999999999</v>
      </c>
      <c r="H8379" s="1">
        <v>-2.588166E-6</v>
      </c>
      <c r="I8379">
        <v>114.0765</v>
      </c>
      <c r="J8379">
        <v>-188.3073</v>
      </c>
      <c r="K8379">
        <v>1.1209549999999999</v>
      </c>
      <c r="L8379">
        <v>61.722050000000003</v>
      </c>
      <c r="M8379">
        <v>-1.4661520000000001E-2</v>
      </c>
      <c r="N8379">
        <v>-1.4785339999999999E-2</v>
      </c>
      <c r="O8379">
        <v>0.99978319999999998</v>
      </c>
      <c r="P8379">
        <v>7.8323230000000004E-3</v>
      </c>
      <c r="Q8379">
        <v>-0.1020691</v>
      </c>
      <c r="R8379">
        <v>0.99474649999999998</v>
      </c>
      <c r="S8379">
        <v>0.122406</v>
      </c>
      <c r="T8379">
        <v>-6.3959840000000004E-2</v>
      </c>
      <c r="U8379">
        <v>3.0082399999999998</v>
      </c>
      <c r="V8379">
        <v>2.2478600000000001E-2</v>
      </c>
      <c r="W8379">
        <v>-8.7337860000000003E-2</v>
      </c>
      <c r="X8379">
        <v>0.99592510000000001</v>
      </c>
      <c r="Y8379">
        <v>5.5287669999999997E-2</v>
      </c>
      <c r="Z8379">
        <v>-6.4395479999999998E-3</v>
      </c>
      <c r="AA8379">
        <v>0.9984497</v>
      </c>
      <c r="AB8379">
        <v>36</v>
      </c>
      <c r="AC8379">
        <v>2.15100000000001</v>
      </c>
      <c r="AD8379">
        <v>-1.1209575881660001</v>
      </c>
      <c r="AE8379">
        <v>52.3544499999999</v>
      </c>
      <c r="AF8379">
        <v>2.9171134393407598</v>
      </c>
      <c r="AG8379">
        <v>-1.1209575881660001</v>
      </c>
      <c r="AH8379">
        <v>52.2933486908125</v>
      </c>
      <c r="AI8379">
        <v>91.2260957511009</v>
      </c>
      <c r="AJ8379">
        <v>86.807141868024601</v>
      </c>
      <c r="AK8379">
        <v>52.3866434697944</v>
      </c>
      <c r="AL8379">
        <v>95.010474506970894</v>
      </c>
      <c r="AM8379">
        <v>88.7070209670851</v>
      </c>
      <c r="AN8379">
        <v>0.99999999702867404</v>
      </c>
    </row>
    <row r="8380" spans="1:40" x14ac:dyDescent="0.25">
      <c r="A8380" t="str">
        <f>"20190303155013497"</f>
        <v>20190303155013497</v>
      </c>
      <c r="B8380" t="str">
        <f>"1551599413489207"</f>
        <v>1551599413489207</v>
      </c>
      <c r="C8380" t="s">
        <v>40</v>
      </c>
      <c r="D8380">
        <v>5.0428980000000001</v>
      </c>
      <c r="E8380">
        <v>0.51146639999999999</v>
      </c>
      <c r="F8380" t="s">
        <v>41</v>
      </c>
      <c r="G8380">
        <v>-186.26349999999999</v>
      </c>
      <c r="H8380" s="1">
        <v>-2.278683E-6</v>
      </c>
      <c r="I8380">
        <v>113.3994</v>
      </c>
      <c r="J8380">
        <v>-188.31309999999999</v>
      </c>
      <c r="K8380">
        <v>1.1209180000000001</v>
      </c>
      <c r="L8380">
        <v>62.099089999999997</v>
      </c>
      <c r="M8380">
        <v>-1.4894620000000001E-2</v>
      </c>
      <c r="N8380">
        <v>-1.4781509999999999E-2</v>
      </c>
      <c r="O8380">
        <v>0.9997798</v>
      </c>
      <c r="P8380">
        <v>7.1287190000000004E-3</v>
      </c>
      <c r="Q8380">
        <v>-0.10240970000000001</v>
      </c>
      <c r="R8380">
        <v>0.99471679999999996</v>
      </c>
      <c r="S8380">
        <v>0.1189728</v>
      </c>
      <c r="T8380">
        <v>-6.5252420000000005E-2</v>
      </c>
      <c r="U8380">
        <v>3.0082089999999999</v>
      </c>
      <c r="V8380">
        <v>2.1998710000000001E-2</v>
      </c>
      <c r="W8380">
        <v>-8.768492E-2</v>
      </c>
      <c r="X8380">
        <v>0.99590529999999999</v>
      </c>
      <c r="Y8380">
        <v>5.438312E-2</v>
      </c>
      <c r="Z8380">
        <v>-6.8734779999999997E-3</v>
      </c>
      <c r="AA8380">
        <v>0.99849650000000001</v>
      </c>
      <c r="AB8380">
        <v>36</v>
      </c>
      <c r="AC8380">
        <v>2.0495999999999901</v>
      </c>
      <c r="AD8380">
        <v>-1.1209202786829999</v>
      </c>
      <c r="AE8380">
        <v>51.300310000000003</v>
      </c>
      <c r="AF8380">
        <v>2.8122142066381999</v>
      </c>
      <c r="AG8380">
        <v>-1.1209202786829999</v>
      </c>
      <c r="AH8380">
        <v>51.2396622605754</v>
      </c>
      <c r="AI8380">
        <v>91.251321582195004</v>
      </c>
      <c r="AJ8380">
        <v>86.858556314445593</v>
      </c>
      <c r="AK8380">
        <v>51.329017130596</v>
      </c>
      <c r="AL8380">
        <v>95.030436261362397</v>
      </c>
      <c r="AM8380">
        <v>88.734590230339606</v>
      </c>
      <c r="AN8380">
        <v>0.99999997750257996</v>
      </c>
    </row>
    <row r="8381" spans="1:40" x14ac:dyDescent="0.25">
      <c r="A8381" t="str">
        <f>"20190303155013521"</f>
        <v>20190303155013521</v>
      </c>
      <c r="B8381" t="str">
        <f>"1551599413508728"</f>
        <v>1551599413508728</v>
      </c>
      <c r="C8381" t="s">
        <v>40</v>
      </c>
      <c r="D8381">
        <v>4.9960230000000001</v>
      </c>
      <c r="E8381">
        <v>0.51146029999999998</v>
      </c>
      <c r="F8381" t="s">
        <v>41</v>
      </c>
      <c r="G8381">
        <v>-186.29419999999999</v>
      </c>
      <c r="H8381" s="1">
        <v>-2.6221299999999998E-6</v>
      </c>
      <c r="I8381">
        <v>114.2127</v>
      </c>
      <c r="J8381">
        <v>-188.31909999999999</v>
      </c>
      <c r="K8381">
        <v>1.120873</v>
      </c>
      <c r="L8381">
        <v>62.490419999999901</v>
      </c>
      <c r="M8381">
        <v>-1.507405E-2</v>
      </c>
      <c r="N8381">
        <v>-1.4777429999999999E-2</v>
      </c>
      <c r="O8381">
        <v>0.99977720000000003</v>
      </c>
      <c r="P8381">
        <v>7.4819939999999996E-3</v>
      </c>
      <c r="Q8381">
        <v>-0.1023143</v>
      </c>
      <c r="R8381">
        <v>0.99472400000000005</v>
      </c>
      <c r="S8381">
        <v>0.1165466</v>
      </c>
      <c r="T8381">
        <v>-6.4709310000000006E-2</v>
      </c>
      <c r="U8381">
        <v>3.0084529999999998</v>
      </c>
      <c r="V8381">
        <v>2.2520140000000001E-2</v>
      </c>
      <c r="W8381">
        <v>-8.7595980000000004E-2</v>
      </c>
      <c r="X8381">
        <v>0.9959015</v>
      </c>
      <c r="Y8381">
        <v>5.3755400000000002E-2</v>
      </c>
      <c r="Z8381">
        <v>-6.6962480000000001E-3</v>
      </c>
      <c r="AA8381">
        <v>0.99853170000000002</v>
      </c>
      <c r="AB8381">
        <v>36</v>
      </c>
      <c r="AC8381">
        <v>2.0249000000000001</v>
      </c>
      <c r="AD8381">
        <v>-1.12087562213</v>
      </c>
      <c r="AE8381">
        <v>51.722279999999998</v>
      </c>
      <c r="AF8381">
        <v>2.8031048202358502</v>
      </c>
      <c r="AG8381">
        <v>-1.12087562213</v>
      </c>
      <c r="AH8381">
        <v>51.661650319483101</v>
      </c>
      <c r="AI8381">
        <v>91.241096354028798</v>
      </c>
      <c r="AJ8381">
        <v>86.894238900672207</v>
      </c>
      <c r="AK8381">
        <v>51.749781376601597</v>
      </c>
      <c r="AL8381">
        <v>95.025320551942897</v>
      </c>
      <c r="AM8381">
        <v>88.704601695231403</v>
      </c>
      <c r="AN8381">
        <v>1.00000000506001</v>
      </c>
    </row>
    <row r="8382" spans="1:40" x14ac:dyDescent="0.25">
      <c r="A8382" t="str">
        <f>"20190303155013544"</f>
        <v>20190303155013544</v>
      </c>
      <c r="B8382" t="str">
        <f>"1551599413538983"</f>
        <v>1551599413538983</v>
      </c>
      <c r="C8382" t="s">
        <v>40</v>
      </c>
      <c r="D8382">
        <v>5.0049219999999996</v>
      </c>
      <c r="E8382">
        <v>0.51129250000000004</v>
      </c>
      <c r="F8382" t="s">
        <v>41</v>
      </c>
      <c r="G8382">
        <v>-186.27510000000001</v>
      </c>
      <c r="H8382" s="1">
        <v>-2.8918279999999999E-6</v>
      </c>
      <c r="I8382">
        <v>114.8335</v>
      </c>
      <c r="J8382">
        <v>-188.32499999999999</v>
      </c>
      <c r="K8382">
        <v>1.1208260000000001</v>
      </c>
      <c r="L8382">
        <v>62.874360000000003</v>
      </c>
      <c r="M8382">
        <v>-1.5183790000000001E-2</v>
      </c>
      <c r="N8382">
        <v>-1.4773440000000001E-2</v>
      </c>
      <c r="O8382">
        <v>0.99977559999999999</v>
      </c>
      <c r="P8382">
        <v>7.925741E-3</v>
      </c>
      <c r="Q8382">
        <v>-0.10148890000000001</v>
      </c>
      <c r="R8382">
        <v>0.9948051</v>
      </c>
      <c r="S8382">
        <v>0.117477399999999</v>
      </c>
      <c r="T8382">
        <v>-6.4421770000000003E-2</v>
      </c>
      <c r="U8382">
        <v>3.0083920000000002</v>
      </c>
      <c r="V8382">
        <v>2.3063E-2</v>
      </c>
      <c r="W8382">
        <v>-8.6776210000000006E-2</v>
      </c>
      <c r="X8382">
        <v>0.99596079999999998</v>
      </c>
      <c r="Y8382">
        <v>5.4174220000000002E-2</v>
      </c>
      <c r="Z8382">
        <v>-6.6047730000000004E-3</v>
      </c>
      <c r="AA8382">
        <v>0.9985096</v>
      </c>
      <c r="AB8382">
        <v>36</v>
      </c>
      <c r="AC8382">
        <v>2.0498999999999801</v>
      </c>
      <c r="AD8382">
        <v>-1.1208288918280001</v>
      </c>
      <c r="AE8382">
        <v>51.959139999999998</v>
      </c>
      <c r="AF8382">
        <v>2.8373681519540401</v>
      </c>
      <c r="AG8382">
        <v>-1.1208288918280001</v>
      </c>
      <c r="AH8382">
        <v>51.8979084029232</v>
      </c>
      <c r="AI8382">
        <v>91.235368986214795</v>
      </c>
      <c r="AJ8382">
        <v>86.870634296789405</v>
      </c>
      <c r="AK8382">
        <v>51.987496689422201</v>
      </c>
      <c r="AL8382">
        <v>94.978171854218004</v>
      </c>
      <c r="AM8382">
        <v>88.673465414139201</v>
      </c>
      <c r="AN8382">
        <v>0.99999996386380097</v>
      </c>
    </row>
    <row r="8383" spans="1:40" x14ac:dyDescent="0.25">
      <c r="A8383" t="str">
        <f>"20190303155013563"</f>
        <v>20190303155013563</v>
      </c>
      <c r="B8383" t="str">
        <f>"1551599413558504"</f>
        <v>1551599413558504</v>
      </c>
      <c r="C8383" t="s">
        <v>40</v>
      </c>
      <c r="D8383">
        <v>5.0063800000000001</v>
      </c>
      <c r="E8383">
        <v>0.51101540000000001</v>
      </c>
      <c r="F8383" t="s">
        <v>41</v>
      </c>
      <c r="G8383">
        <v>-186.2192</v>
      </c>
      <c r="H8383" s="1">
        <v>-3.7483059999999999E-6</v>
      </c>
      <c r="I8383">
        <v>116.8069</v>
      </c>
      <c r="J8383">
        <v>-188.3297</v>
      </c>
      <c r="K8383">
        <v>1.120798</v>
      </c>
      <c r="L8383">
        <v>63.179079999999999</v>
      </c>
      <c r="M8383">
        <v>-1.5236059999999999E-2</v>
      </c>
      <c r="N8383">
        <v>-1.47703E-2</v>
      </c>
      <c r="O8383">
        <v>0.99977479999999996</v>
      </c>
      <c r="P8383">
        <v>8.4805100000000001E-3</v>
      </c>
      <c r="Q8383">
        <v>-0.1007537</v>
      </c>
      <c r="R8383">
        <v>0.99487530000000002</v>
      </c>
      <c r="S8383">
        <v>0.1174622</v>
      </c>
      <c r="T8383">
        <v>-6.2520030000000004E-2</v>
      </c>
      <c r="U8383">
        <v>3.008362</v>
      </c>
      <c r="V8383">
        <v>2.3662510000000001E-2</v>
      </c>
      <c r="W8383">
        <v>-8.6045259999999998E-2</v>
      </c>
      <c r="X8383">
        <v>0.99601019999999896</v>
      </c>
      <c r="Y8383">
        <v>5.4222159999999998E-2</v>
      </c>
      <c r="Z8383">
        <v>-5.9770269999999898E-3</v>
      </c>
      <c r="AA8383">
        <v>0.99851100000000004</v>
      </c>
      <c r="AB8383">
        <v>36</v>
      </c>
      <c r="AC8383">
        <v>2.1105</v>
      </c>
      <c r="AD8383">
        <v>-1.120801748306</v>
      </c>
      <c r="AE8383">
        <v>53.6278199999999</v>
      </c>
      <c r="AF8383">
        <v>2.9261446669711</v>
      </c>
      <c r="AG8383">
        <v>-1.120801748306</v>
      </c>
      <c r="AH8383">
        <v>53.566073358717098</v>
      </c>
      <c r="AI8383">
        <v>91.196882233765805</v>
      </c>
      <c r="AJ8383">
        <v>86.873221042909904</v>
      </c>
      <c r="AK8383">
        <v>53.657643763423899</v>
      </c>
      <c r="AL8383">
        <v>94.936134036736604</v>
      </c>
      <c r="AM8383">
        <v>88.639063160320902</v>
      </c>
      <c r="AN8383">
        <v>1.000000009826</v>
      </c>
    </row>
    <row r="8384" spans="1:40" x14ac:dyDescent="0.25">
      <c r="A8384" t="str">
        <f>"20190303155013584"</f>
        <v>20190303155013584</v>
      </c>
      <c r="B8384" t="str">
        <f>"1551599413578999"</f>
        <v>1551599413578999</v>
      </c>
      <c r="C8384" t="s">
        <v>40</v>
      </c>
      <c r="D8384">
        <v>5.1223429999999999</v>
      </c>
      <c r="E8384">
        <v>0.51092139999999997</v>
      </c>
      <c r="F8384" t="s">
        <v>41</v>
      </c>
      <c r="G8384">
        <v>-186.2286</v>
      </c>
      <c r="H8384" s="1">
        <v>-3.9810420000000004E-6</v>
      </c>
      <c r="I8384">
        <v>117.3533</v>
      </c>
      <c r="J8384">
        <v>-188.33500000000001</v>
      </c>
      <c r="K8384">
        <v>1.1207659999999999</v>
      </c>
      <c r="L8384">
        <v>63.523409999999998</v>
      </c>
      <c r="M8384">
        <v>-1.5259440000000001E-2</v>
      </c>
      <c r="N8384">
        <v>-1.476673E-2</v>
      </c>
      <c r="O8384">
        <v>0.99977450000000001</v>
      </c>
      <c r="P8384">
        <v>8.4283729999999994E-3</v>
      </c>
      <c r="Q8384">
        <v>-9.9602499999999997E-2</v>
      </c>
      <c r="R8384">
        <v>0.99499159999999998</v>
      </c>
      <c r="S8384">
        <v>0.1166687</v>
      </c>
      <c r="T8384">
        <v>-6.2235119999999998E-2</v>
      </c>
      <c r="U8384">
        <v>3.0081479999999998</v>
      </c>
      <c r="V8384">
        <v>2.3627349999999998E-2</v>
      </c>
      <c r="W8384">
        <v>-8.489824E-2</v>
      </c>
      <c r="X8384">
        <v>0.99610940000000003</v>
      </c>
      <c r="Y8384">
        <v>5.3985419999999999E-2</v>
      </c>
      <c r="Z8384">
        <v>-5.887771E-3</v>
      </c>
      <c r="AA8384">
        <v>0.99852439999999998</v>
      </c>
      <c r="AB8384">
        <v>36</v>
      </c>
      <c r="AC8384">
        <v>2.1063999999999998</v>
      </c>
      <c r="AD8384">
        <v>-1.120769981042</v>
      </c>
      <c r="AE8384">
        <v>53.829889999999999</v>
      </c>
      <c r="AF8384">
        <v>2.92639161781611</v>
      </c>
      <c r="AG8384">
        <v>-1.120769981042</v>
      </c>
      <c r="AH8384">
        <v>53.768202405431602</v>
      </c>
      <c r="AI8384">
        <v>91.192363358772297</v>
      </c>
      <c r="AJ8384">
        <v>86.884689872687304</v>
      </c>
      <c r="AK8384">
        <v>53.8594419128409</v>
      </c>
      <c r="AL8384">
        <v>94.870173544454204</v>
      </c>
      <c r="AM8384">
        <v>88.641219890612405</v>
      </c>
      <c r="AN8384">
        <v>0.99999994979573803</v>
      </c>
    </row>
    <row r="8385" spans="1:40" x14ac:dyDescent="0.25">
      <c r="A8385" t="str">
        <f>"20190303155013608"</f>
        <v>20190303155013608</v>
      </c>
      <c r="B8385" t="str">
        <f>"1551599413599496"</f>
        <v>1551599413599496</v>
      </c>
      <c r="C8385" t="s">
        <v>40</v>
      </c>
      <c r="D8385">
        <v>5.0126249999999999</v>
      </c>
      <c r="E8385">
        <v>0.5106792</v>
      </c>
      <c r="F8385" t="s">
        <v>59</v>
      </c>
      <c r="G8385">
        <v>-186.14850000000001</v>
      </c>
      <c r="H8385" s="1">
        <v>-1.2287410000000001E-6</v>
      </c>
      <c r="I8385">
        <v>120.34690000000001</v>
      </c>
      <c r="J8385">
        <v>-188.3408</v>
      </c>
      <c r="K8385">
        <v>1.1207229999999999</v>
      </c>
      <c r="L8385">
        <v>63.900480000000002</v>
      </c>
      <c r="M8385">
        <v>-1.523307E-2</v>
      </c>
      <c r="N8385">
        <v>-1.476278E-2</v>
      </c>
      <c r="O8385">
        <v>0.99977499999999997</v>
      </c>
      <c r="P8385">
        <v>8.6618140000000003E-3</v>
      </c>
      <c r="Q8385">
        <v>-9.8207729999999993E-2</v>
      </c>
      <c r="R8385">
        <v>0.99512820000000002</v>
      </c>
      <c r="S8385">
        <v>0.1157532</v>
      </c>
      <c r="T8385">
        <v>-5.9332250000000003E-2</v>
      </c>
      <c r="U8385">
        <v>3.0081790000000002</v>
      </c>
      <c r="V8385">
        <v>2.382809E-2</v>
      </c>
      <c r="W8385">
        <v>-8.3507890000000001E-2</v>
      </c>
      <c r="X8385">
        <v>0.99622219999999995</v>
      </c>
      <c r="Y8385">
        <v>5.3655920000000003E-2</v>
      </c>
      <c r="Z8385">
        <v>-4.9285029999999999E-3</v>
      </c>
      <c r="AA8385">
        <v>0.99854730000000003</v>
      </c>
      <c r="AB8385">
        <v>36</v>
      </c>
      <c r="AC8385">
        <v>2.1922999999999799</v>
      </c>
      <c r="AD8385">
        <v>-1.120724228741</v>
      </c>
      <c r="AE8385">
        <v>56.446419999999897</v>
      </c>
      <c r="AF8385">
        <v>3.05079070397551</v>
      </c>
      <c r="AG8385">
        <v>-1.120724228741</v>
      </c>
      <c r="AH8385">
        <v>56.384276380726398</v>
      </c>
      <c r="AI8385">
        <v>91.137029096547494</v>
      </c>
      <c r="AJ8385">
        <v>86.902910458506994</v>
      </c>
      <c r="AK8385">
        <v>56.477871504638799</v>
      </c>
      <c r="AL8385">
        <v>94.790228148287795</v>
      </c>
      <c r="AM8385">
        <v>88.629835060139101</v>
      </c>
      <c r="AN8385">
        <v>1.0000000086690699</v>
      </c>
    </row>
    <row r="8386" spans="1:40" x14ac:dyDescent="0.25">
      <c r="A8386" t="str">
        <f>"20190303155013629"</f>
        <v>20190303155013629</v>
      </c>
      <c r="B8386" t="str">
        <f>"1551599413619015"</f>
        <v>1551599413619015</v>
      </c>
      <c r="C8386" t="s">
        <v>40</v>
      </c>
      <c r="D8386">
        <v>5.0102840000000004</v>
      </c>
      <c r="E8386">
        <v>0.5106155</v>
      </c>
      <c r="F8386" t="s">
        <v>59</v>
      </c>
      <c r="G8386">
        <v>-186.07990000000001</v>
      </c>
      <c r="H8386" s="1">
        <v>-2.622357E-6</v>
      </c>
      <c r="I8386">
        <v>123.4149</v>
      </c>
      <c r="J8386">
        <v>-188.3459</v>
      </c>
      <c r="K8386">
        <v>1.1206940000000001</v>
      </c>
      <c r="L8386">
        <v>64.241240000000005</v>
      </c>
      <c r="M8386">
        <v>-1.5158990000000001E-2</v>
      </c>
      <c r="N8386">
        <v>-1.475924E-2</v>
      </c>
      <c r="O8386">
        <v>0.9997762</v>
      </c>
      <c r="P8386">
        <v>8.5784099999999999E-3</v>
      </c>
      <c r="Q8386">
        <v>-9.7113779999999997E-2</v>
      </c>
      <c r="R8386">
        <v>0.99523629999999996</v>
      </c>
      <c r="S8386">
        <v>0.1142731</v>
      </c>
      <c r="T8386">
        <v>-5.6645750000000002E-2</v>
      </c>
      <c r="U8386">
        <v>3.0080870000000002</v>
      </c>
      <c r="V8386">
        <v>2.3664259999999999E-2</v>
      </c>
      <c r="W8386">
        <v>-8.2418329999999998E-2</v>
      </c>
      <c r="X8386">
        <v>0.99631689999999995</v>
      </c>
      <c r="Y8386">
        <v>5.3093130000000002E-2</v>
      </c>
      <c r="Z8386">
        <v>-4.0415859999999998E-3</v>
      </c>
      <c r="AA8386">
        <v>0.99858139999999995</v>
      </c>
      <c r="AB8386">
        <v>36</v>
      </c>
      <c r="AC8386">
        <v>2.2659999999999898</v>
      </c>
      <c r="AD8386">
        <v>-1.1206966223570001</v>
      </c>
      <c r="AE8386">
        <v>59.173659999999998</v>
      </c>
      <c r="AF8386">
        <v>3.1617177553615599</v>
      </c>
      <c r="AG8386">
        <v>-1.1206966223570001</v>
      </c>
      <c r="AH8386">
        <v>59.111333614383803</v>
      </c>
      <c r="AI8386">
        <v>91.084595271305503</v>
      </c>
      <c r="AJ8386">
        <v>86.938309223483401</v>
      </c>
      <c r="AK8386">
        <v>59.2064369959459</v>
      </c>
      <c r="AL8386">
        <v>94.7275847023258</v>
      </c>
      <c r="AM8386">
        <v>88.639381363632793</v>
      </c>
      <c r="AN8386">
        <v>1.0000000717734701</v>
      </c>
    </row>
    <row r="8387" spans="1:40" x14ac:dyDescent="0.25">
      <c r="A8387" t="str">
        <f>"20190303155013651"</f>
        <v>20190303155013651</v>
      </c>
      <c r="B8387" t="str">
        <f>"1551599413638536"</f>
        <v>1551599413638536</v>
      </c>
      <c r="C8387" t="s">
        <v>40</v>
      </c>
      <c r="D8387">
        <v>5.0510780000000004</v>
      </c>
      <c r="E8387">
        <v>0.51060139999999998</v>
      </c>
      <c r="F8387" t="s">
        <v>59</v>
      </c>
      <c r="G8387">
        <v>-185.99019999999999</v>
      </c>
      <c r="H8387" s="1">
        <v>-3.8983849999999996E-6</v>
      </c>
      <c r="I8387">
        <v>126.8126</v>
      </c>
      <c r="J8387">
        <v>-188.35120000000001</v>
      </c>
      <c r="K8387">
        <v>1.1206480000000001</v>
      </c>
      <c r="L8387">
        <v>64.591980000000007</v>
      </c>
      <c r="M8387">
        <v>-1.502676E-2</v>
      </c>
      <c r="N8387">
        <v>-1.4755600000000001E-2</v>
      </c>
      <c r="O8387">
        <v>0.99977819999999995</v>
      </c>
      <c r="P8387">
        <v>8.785915E-3</v>
      </c>
      <c r="Q8387">
        <v>-9.6743490000000001E-2</v>
      </c>
      <c r="R8387">
        <v>0.99527060000000001</v>
      </c>
      <c r="S8387">
        <v>0.1132507</v>
      </c>
      <c r="T8387">
        <v>-5.387807E-2</v>
      </c>
      <c r="U8387">
        <v>3.0081479999999998</v>
      </c>
      <c r="V8387">
        <v>2.373055E-2</v>
      </c>
      <c r="W8387">
        <v>-8.2054119999999994E-2</v>
      </c>
      <c r="X8387">
        <v>0.99634529999999999</v>
      </c>
      <c r="Y8387">
        <v>5.262199E-2</v>
      </c>
      <c r="Z8387">
        <v>-3.1267059999999999E-3</v>
      </c>
      <c r="AA8387">
        <v>0.99860959999999999</v>
      </c>
      <c r="AB8387">
        <v>36</v>
      </c>
      <c r="AC8387">
        <v>2.36100000000001</v>
      </c>
      <c r="AD8387">
        <v>-1.12065189838499</v>
      </c>
      <c r="AE8387">
        <v>62.220619999999997</v>
      </c>
      <c r="AF8387">
        <v>3.2947422424630699</v>
      </c>
      <c r="AG8387">
        <v>-1.12065189838499</v>
      </c>
      <c r="AH8387">
        <v>62.157976529824602</v>
      </c>
      <c r="AI8387">
        <v>91.031431356787394</v>
      </c>
      <c r="AJ8387">
        <v>86.965822614648005</v>
      </c>
      <c r="AK8387">
        <v>62.255322932291101</v>
      </c>
      <c r="AL8387">
        <v>94.706646484795399</v>
      </c>
      <c r="AM8387">
        <v>88.635610218419799</v>
      </c>
      <c r="AN8387">
        <v>0.99999998722218297</v>
      </c>
    </row>
    <row r="8388" spans="1:40" x14ac:dyDescent="0.25">
      <c r="A8388" t="str">
        <f>"20190303155013674"</f>
        <v>20190303155013674</v>
      </c>
      <c r="B8388" t="str">
        <f>"1551599413668792"</f>
        <v>1551599413668792</v>
      </c>
      <c r="C8388" t="s">
        <v>40</v>
      </c>
      <c r="D8388">
        <v>5.0630160000000002</v>
      </c>
      <c r="E8388">
        <v>0.51053760000000004</v>
      </c>
      <c r="F8388" t="s">
        <v>59</v>
      </c>
      <c r="G8388">
        <v>-185.97069999999999</v>
      </c>
      <c r="H8388" s="1">
        <v>-4.1957910000000001E-6</v>
      </c>
      <c r="I8388">
        <v>127.5145</v>
      </c>
      <c r="J8388">
        <v>-188.35669999999999</v>
      </c>
      <c r="K8388">
        <v>1.1205959999999999</v>
      </c>
      <c r="L8388">
        <v>64.969480000000004</v>
      </c>
      <c r="M8388">
        <v>-1.481877E-2</v>
      </c>
      <c r="N8388">
        <v>-1.4751719999999999E-2</v>
      </c>
      <c r="O8388">
        <v>0.99978140000000004</v>
      </c>
      <c r="P8388">
        <v>8.8826700000000005E-3</v>
      </c>
      <c r="Q8388">
        <v>-9.5733589999999993E-2</v>
      </c>
      <c r="R8388">
        <v>0.99536729999999995</v>
      </c>
      <c r="S8388">
        <v>0.1138</v>
      </c>
      <c r="T8388">
        <v>-5.3573610000000001E-2</v>
      </c>
      <c r="U8388">
        <v>3.008057</v>
      </c>
      <c r="V8388">
        <v>2.3609519999999998E-2</v>
      </c>
      <c r="W8388">
        <v>-8.105031E-2</v>
      </c>
      <c r="X8388">
        <v>0.99643029999999999</v>
      </c>
      <c r="Y8388">
        <v>5.2597560000000002E-2</v>
      </c>
      <c r="Z8388">
        <v>-3.0301490000000002E-3</v>
      </c>
      <c r="AA8388">
        <v>0.99861120000000003</v>
      </c>
      <c r="AB8388">
        <v>36</v>
      </c>
      <c r="AC8388">
        <v>2.3859999999999899</v>
      </c>
      <c r="AD8388">
        <v>-1.1206001957909999</v>
      </c>
      <c r="AE8388">
        <v>62.545020000000001</v>
      </c>
      <c r="AF8388">
        <v>3.3116175420298699</v>
      </c>
      <c r="AG8388">
        <v>-1.1206001957909999</v>
      </c>
      <c r="AH8388">
        <v>62.482761058530301</v>
      </c>
      <c r="AI8388">
        <v>91.026024106388107</v>
      </c>
      <c r="AJ8388">
        <v>86.966133709265094</v>
      </c>
      <c r="AK8388">
        <v>62.580492048567997</v>
      </c>
      <c r="AL8388">
        <v>94.648940351453106</v>
      </c>
      <c r="AM8388">
        <v>88.642681989123801</v>
      </c>
      <c r="AN8388">
        <v>0.99999995247190698</v>
      </c>
    </row>
    <row r="8389" spans="1:40" x14ac:dyDescent="0.25">
      <c r="A8389" t="str">
        <f>"20190303155013696"</f>
        <v>20190303155013696</v>
      </c>
      <c r="B8389" t="str">
        <f>"1551599413689058"</f>
        <v>1551599413689058</v>
      </c>
      <c r="C8389" t="s">
        <v>40</v>
      </c>
      <c r="D8389">
        <v>5.0614179999999998</v>
      </c>
      <c r="E8389">
        <v>0.51044400000000001</v>
      </c>
      <c r="F8389" t="s">
        <v>59</v>
      </c>
      <c r="G8389">
        <v>-185.9391</v>
      </c>
      <c r="H8389" s="1">
        <v>-4.8271459999999999E-6</v>
      </c>
      <c r="I8389">
        <v>129.0059</v>
      </c>
      <c r="J8389">
        <v>-188.36160000000001</v>
      </c>
      <c r="K8389">
        <v>1.1205369999999999</v>
      </c>
      <c r="L8389">
        <v>65.320040000000006</v>
      </c>
      <c r="M8389">
        <v>-1.4566040000000001E-2</v>
      </c>
      <c r="N8389">
        <v>-1.474818E-2</v>
      </c>
      <c r="O8389">
        <v>0.99978509999999998</v>
      </c>
      <c r="P8389">
        <v>9.5623159999999995E-3</v>
      </c>
      <c r="Q8389">
        <v>-9.460346E-2</v>
      </c>
      <c r="R8389">
        <v>0.9954691</v>
      </c>
      <c r="S8389">
        <v>0.1135559</v>
      </c>
      <c r="T8389">
        <v>-5.2636620000000002E-2</v>
      </c>
      <c r="U8389">
        <v>3.0079039999999999</v>
      </c>
      <c r="V8389">
        <v>2.4027630000000001E-2</v>
      </c>
      <c r="W8389">
        <v>-7.9926049999999998E-2</v>
      </c>
      <c r="X8389">
        <v>0.99651120000000004</v>
      </c>
      <c r="Y8389">
        <v>5.2266310000000003E-2</v>
      </c>
      <c r="Z8389">
        <v>-2.7239180000000001E-3</v>
      </c>
      <c r="AA8389">
        <v>0.99862949999999995</v>
      </c>
      <c r="AB8389">
        <v>36</v>
      </c>
      <c r="AC8389">
        <v>2.4225000000000101</v>
      </c>
      <c r="AD8389">
        <v>-1.1205418271459999</v>
      </c>
      <c r="AE8389">
        <v>63.685859999999899</v>
      </c>
      <c r="AF8389">
        <v>3.3489593956279098</v>
      </c>
      <c r="AG8389">
        <v>-1.1205418271459999</v>
      </c>
      <c r="AH8389">
        <v>63.624143822530897</v>
      </c>
      <c r="AI8389">
        <v>91.007588452494403</v>
      </c>
      <c r="AJ8389">
        <v>86.986924898805796</v>
      </c>
      <c r="AK8389">
        <v>63.722074826311498</v>
      </c>
      <c r="AL8389">
        <v>94.584314935796201</v>
      </c>
      <c r="AM8389">
        <v>88.618766057459993</v>
      </c>
      <c r="AN8389">
        <v>1.00000003609872</v>
      </c>
    </row>
    <row r="8390" spans="1:40" x14ac:dyDescent="0.25">
      <c r="A8390" t="str">
        <f>"20190303155013720"</f>
        <v>20190303155013720</v>
      </c>
      <c r="B8390" t="str">
        <f>"1551599413708578"</f>
        <v>1551599413708578</v>
      </c>
      <c r="C8390" t="s">
        <v>40</v>
      </c>
      <c r="D8390">
        <v>5.1057370000000004</v>
      </c>
      <c r="E8390">
        <v>0.51039659999999998</v>
      </c>
      <c r="F8390" t="s">
        <v>59</v>
      </c>
      <c r="G8390">
        <v>-185.82859999999999</v>
      </c>
      <c r="H8390" s="1">
        <v>-5.7118089999999997E-6</v>
      </c>
      <c r="I8390">
        <v>131.55629999999999</v>
      </c>
      <c r="J8390">
        <v>-188.36680000000001</v>
      </c>
      <c r="K8390">
        <v>1.1204809999999901</v>
      </c>
      <c r="L8390">
        <v>65.694519999999997</v>
      </c>
      <c r="M8390">
        <v>-1.4241510000000001E-2</v>
      </c>
      <c r="N8390">
        <v>-1.4744470000000001E-2</v>
      </c>
      <c r="O8390">
        <v>0.99978990000000001</v>
      </c>
      <c r="P8390">
        <v>9.9493229999999995E-3</v>
      </c>
      <c r="Q8390">
        <v>-9.4641829999999996E-2</v>
      </c>
      <c r="R8390">
        <v>0.99546159999999995</v>
      </c>
      <c r="S8390">
        <v>0.11502080000000001</v>
      </c>
      <c r="T8390">
        <v>-5.0882700000000003E-2</v>
      </c>
      <c r="U8390">
        <v>3.0077210000000001</v>
      </c>
      <c r="V8390">
        <v>2.4079929999999999E-2</v>
      </c>
      <c r="W8390">
        <v>-7.997166E-2</v>
      </c>
      <c r="X8390">
        <v>0.99650620000000001</v>
      </c>
      <c r="Y8390">
        <v>5.2430350000000001E-2</v>
      </c>
      <c r="Z8390">
        <v>-2.14635E-3</v>
      </c>
      <c r="AA8390">
        <v>0.99862229999999996</v>
      </c>
      <c r="AB8390">
        <v>36</v>
      </c>
      <c r="AC8390">
        <v>2.53820000000001</v>
      </c>
      <c r="AD8390">
        <v>-1.1204867118089901</v>
      </c>
      <c r="AE8390">
        <v>65.861779999999996</v>
      </c>
      <c r="AF8390">
        <v>3.47501138575665</v>
      </c>
      <c r="AG8390">
        <v>-1.1204867118089901</v>
      </c>
      <c r="AH8390">
        <v>65.799931056467202</v>
      </c>
      <c r="AI8390">
        <v>90.974220466621802</v>
      </c>
      <c r="AJ8390">
        <v>86.976916439378499</v>
      </c>
      <c r="AK8390">
        <v>65.901154175312499</v>
      </c>
      <c r="AL8390">
        <v>94.586936947040499</v>
      </c>
      <c r="AM8390">
        <v>88.615753805421704</v>
      </c>
      <c r="AN8390">
        <v>0.99999995803519903</v>
      </c>
    </row>
    <row r="8391" spans="1:40" x14ac:dyDescent="0.25">
      <c r="A8391" t="str">
        <f>"20190303155013742"</f>
        <v>20190303155013742</v>
      </c>
      <c r="B8391" t="str">
        <f>"1551599413738834"</f>
        <v>1551599413738834</v>
      </c>
      <c r="C8391" t="s">
        <v>40</v>
      </c>
      <c r="D8391">
        <v>5.059043</v>
      </c>
      <c r="E8391">
        <v>0.51033530000000005</v>
      </c>
      <c r="F8391" t="s">
        <v>59</v>
      </c>
      <c r="G8391">
        <v>-185.86429999999999</v>
      </c>
      <c r="H8391" s="1">
        <v>-5.3694879999999997E-6</v>
      </c>
      <c r="I8391">
        <v>130.49260000000001</v>
      </c>
      <c r="J8391">
        <v>-188.3716</v>
      </c>
      <c r="K8391">
        <v>1.120431</v>
      </c>
      <c r="L8391">
        <v>66.058750000000003</v>
      </c>
      <c r="M8391">
        <v>-1.387828E-2</v>
      </c>
      <c r="N8391">
        <v>-1.474076E-2</v>
      </c>
      <c r="O8391">
        <v>0.99979499999999999</v>
      </c>
      <c r="P8391">
        <v>1.0618209999999999E-2</v>
      </c>
      <c r="Q8391">
        <v>-9.5344479999999995E-2</v>
      </c>
      <c r="R8391">
        <v>0.99538769999999999</v>
      </c>
      <c r="S8391">
        <v>0.1161499</v>
      </c>
      <c r="T8391">
        <v>-5.2006719999999999E-2</v>
      </c>
      <c r="U8391">
        <v>3.007568</v>
      </c>
      <c r="V8391">
        <v>2.4376910000000002E-2</v>
      </c>
      <c r="W8391">
        <v>-8.0681900000000001E-2</v>
      </c>
      <c r="X8391">
        <v>0.99644180000000004</v>
      </c>
      <c r="Y8391">
        <v>5.2443679999999999E-2</v>
      </c>
      <c r="Z8391">
        <v>-2.5241539999999998E-3</v>
      </c>
      <c r="AA8391">
        <v>0.99862070000000003</v>
      </c>
      <c r="AB8391">
        <v>36</v>
      </c>
      <c r="AC8391">
        <v>2.5073000000000101</v>
      </c>
      <c r="AD8391">
        <v>-1.120436369488</v>
      </c>
      <c r="AE8391">
        <v>64.433850000000007</v>
      </c>
      <c r="AF8391">
        <v>3.4003600531345399</v>
      </c>
      <c r="AG8391">
        <v>-1.120436369488</v>
      </c>
      <c r="AH8391">
        <v>64.373406868919702</v>
      </c>
      <c r="AI8391">
        <v>90.995759745409998</v>
      </c>
      <c r="AJ8391">
        <v>86.976307608390499</v>
      </c>
      <c r="AK8391">
        <v>64.472888395514701</v>
      </c>
      <c r="AL8391">
        <v>94.627762286957804</v>
      </c>
      <c r="AM8391">
        <v>88.598598004422897</v>
      </c>
      <c r="AN8391">
        <v>1.00000003175799</v>
      </c>
    </row>
    <row r="8392" spans="1:40" x14ac:dyDescent="0.25">
      <c r="A8392" t="str">
        <f>"20190303155013764"</f>
        <v>20190303155013764</v>
      </c>
      <c r="B8392" t="str">
        <f>"1551599413758355"</f>
        <v>1551599413758355</v>
      </c>
      <c r="C8392" t="s">
        <v>40</v>
      </c>
      <c r="D8392">
        <v>5.1098299999999997</v>
      </c>
      <c r="E8392">
        <v>0.51022709999999905</v>
      </c>
      <c r="F8392" t="s">
        <v>59</v>
      </c>
      <c r="G8392">
        <v>-185.97</v>
      </c>
      <c r="H8392" s="1">
        <v>-4.1221010000000001E-6</v>
      </c>
      <c r="I8392">
        <v>127.3398</v>
      </c>
      <c r="J8392">
        <v>-188.3759</v>
      </c>
      <c r="K8392">
        <v>1.1204000000000001</v>
      </c>
      <c r="L8392">
        <v>66.397400000000005</v>
      </c>
      <c r="M8392">
        <v>-1.351201E-2</v>
      </c>
      <c r="N8392">
        <v>-1.4737220000000001E-2</v>
      </c>
      <c r="O8392">
        <v>0.99980009999999997</v>
      </c>
      <c r="P8392">
        <v>1.178768E-2</v>
      </c>
      <c r="Q8392">
        <v>-9.6227110000000005E-2</v>
      </c>
      <c r="R8392">
        <v>0.9952896</v>
      </c>
      <c r="S8392">
        <v>0.1178589</v>
      </c>
      <c r="T8392">
        <v>-5.4985640000000002E-2</v>
      </c>
      <c r="U8392">
        <v>3.0073850000000002</v>
      </c>
      <c r="V8392">
        <v>2.517374E-2</v>
      </c>
      <c r="W8392">
        <v>-8.1571920000000006E-2</v>
      </c>
      <c r="X8392">
        <v>0.9963495</v>
      </c>
      <c r="Y8392">
        <v>5.264626E-2</v>
      </c>
      <c r="Z8392">
        <v>-3.5176550000000002E-3</v>
      </c>
      <c r="AA8392">
        <v>0.99860700000000002</v>
      </c>
      <c r="AB8392">
        <v>36</v>
      </c>
      <c r="AC8392">
        <v>2.4058999999999999</v>
      </c>
      <c r="AD8392">
        <v>-1.1204041221009999</v>
      </c>
      <c r="AE8392">
        <v>60.9423999999999</v>
      </c>
      <c r="AF8392">
        <v>3.2281346728277098</v>
      </c>
      <c r="AG8392">
        <v>-1.1204041221009999</v>
      </c>
      <c r="AH8392">
        <v>60.883776809746401</v>
      </c>
      <c r="AI8392">
        <v>91.052779127641898</v>
      </c>
      <c r="AJ8392">
        <v>86.964947443793093</v>
      </c>
      <c r="AK8392">
        <v>60.97959033547</v>
      </c>
      <c r="AL8392">
        <v>94.678925419958404</v>
      </c>
      <c r="AM8392">
        <v>88.552674280573001</v>
      </c>
      <c r="AN8392">
        <v>1.00000001073416</v>
      </c>
    </row>
    <row r="8393" spans="1:40" x14ac:dyDescent="0.25">
      <c r="A8393" t="str">
        <f>"20190303155013785"</f>
        <v>20190303155013785</v>
      </c>
      <c r="B8393" t="str">
        <f>"1551599413778851"</f>
        <v>1551599413778851</v>
      </c>
      <c r="C8393" t="s">
        <v>40</v>
      </c>
      <c r="D8393">
        <v>5.0537460000000003</v>
      </c>
      <c r="E8393">
        <v>0.51014209999999904</v>
      </c>
      <c r="F8393" t="s">
        <v>59</v>
      </c>
      <c r="G8393">
        <v>-186.04929999999999</v>
      </c>
      <c r="H8393" s="1">
        <v>-3.1078940000000002E-6</v>
      </c>
      <c r="I8393">
        <v>124.2928</v>
      </c>
      <c r="J8393">
        <v>-188.38040000000001</v>
      </c>
      <c r="K8393">
        <v>1.1203780000000001</v>
      </c>
      <c r="L8393">
        <v>66.751279999999994</v>
      </c>
      <c r="M8393">
        <v>-1.3111029999999999E-2</v>
      </c>
      <c r="N8393">
        <v>-1.473346E-2</v>
      </c>
      <c r="O8393">
        <v>0.99980550000000001</v>
      </c>
      <c r="P8393">
        <v>1.289735E-2</v>
      </c>
      <c r="Q8393">
        <v>-9.6093300000000006E-2</v>
      </c>
      <c r="R8393">
        <v>0.99528879999999997</v>
      </c>
      <c r="S8393">
        <v>0.1208496</v>
      </c>
      <c r="T8393">
        <v>-5.8194759999999998E-2</v>
      </c>
      <c r="U8393">
        <v>3.0071409999999998</v>
      </c>
      <c r="V8393">
        <v>2.5879889999999999E-2</v>
      </c>
      <c r="W8393">
        <v>-8.1443909999999994E-2</v>
      </c>
      <c r="X8393">
        <v>0.9963419</v>
      </c>
      <c r="Y8393">
        <v>5.3239769999999999E-2</v>
      </c>
      <c r="Z8393">
        <v>-4.5878680000000002E-3</v>
      </c>
      <c r="AA8393">
        <v>0.99857119999999999</v>
      </c>
      <c r="AB8393">
        <v>36</v>
      </c>
      <c r="AC8393">
        <v>2.3311000000000202</v>
      </c>
      <c r="AD8393">
        <v>-1.120381107894</v>
      </c>
      <c r="AE8393">
        <v>57.541519999999899</v>
      </c>
      <c r="AF8393">
        <v>3.0842427172372302</v>
      </c>
      <c r="AG8393">
        <v>-1.120381107894</v>
      </c>
      <c r="AH8393">
        <v>57.484249276818403</v>
      </c>
      <c r="AI8393">
        <v>91.114963146485394</v>
      </c>
      <c r="AJ8393">
        <v>86.928814151842104</v>
      </c>
      <c r="AK8393">
        <v>57.577831861621497</v>
      </c>
      <c r="AL8393">
        <v>94.671566409670802</v>
      </c>
      <c r="AM8393">
        <v>88.512081922275499</v>
      </c>
      <c r="AN8393">
        <v>1.0000000304390499</v>
      </c>
    </row>
    <row r="8394" spans="1:40" x14ac:dyDescent="0.25">
      <c r="A8394" t="str">
        <f>"20190303155013964"</f>
        <v>20190303155013964</v>
      </c>
      <c r="B8394" t="str">
        <f>"1551599413958435"</f>
        <v>1551599413958435</v>
      </c>
      <c r="C8394" t="s">
        <v>40</v>
      </c>
      <c r="D8394">
        <v>4.9463949999999999</v>
      </c>
      <c r="E8394">
        <v>0.51992680000000002</v>
      </c>
      <c r="F8394" t="s">
        <v>59</v>
      </c>
      <c r="G8394">
        <v>-185.99459999999999</v>
      </c>
      <c r="H8394" s="1">
        <v>-3.3652599999999999E-6</v>
      </c>
      <c r="I8394">
        <v>124.8952</v>
      </c>
      <c r="J8394">
        <v>-188.4102</v>
      </c>
      <c r="K8394">
        <v>1.1203160000000001</v>
      </c>
      <c r="L8394">
        <v>69.580539999999999</v>
      </c>
      <c r="M8394">
        <v>-9.8577519999999991E-3</v>
      </c>
      <c r="N8394">
        <v>-1.470257E-2</v>
      </c>
      <c r="O8394">
        <v>0.99984329999999999</v>
      </c>
      <c r="P8394">
        <v>1.654187E-2</v>
      </c>
      <c r="Q8394">
        <v>-9.7702910000000004E-2</v>
      </c>
      <c r="R8394">
        <v>0.99507809999999997</v>
      </c>
      <c r="S8394">
        <v>0.1233826</v>
      </c>
      <c r="T8394">
        <v>-5.7942630000000002E-2</v>
      </c>
      <c r="U8394">
        <v>3.0070190000000001</v>
      </c>
      <c r="V8394">
        <v>2.6271260000000001E-2</v>
      </c>
      <c r="W8394">
        <v>-8.3090620000000004E-2</v>
      </c>
      <c r="X8394">
        <v>0.99619570000000002</v>
      </c>
      <c r="Y8394">
        <v>5.0832450000000001E-2</v>
      </c>
      <c r="Z8394">
        <v>-4.5387079999999998E-3</v>
      </c>
      <c r="AA8394">
        <v>0.9986969</v>
      </c>
      <c r="AB8394">
        <v>35</v>
      </c>
      <c r="AC8394">
        <v>2.4156000000000102</v>
      </c>
      <c r="AD8394">
        <v>-1.1203193652600001</v>
      </c>
      <c r="AE8394">
        <v>55.314659999999897</v>
      </c>
      <c r="AF8394">
        <v>2.959608016512</v>
      </c>
      <c r="AG8394">
        <v>-1.1203193652600001</v>
      </c>
      <c r="AH8394">
        <v>55.265529622854302</v>
      </c>
      <c r="AI8394">
        <v>91.159655444790204</v>
      </c>
      <c r="AJ8394">
        <v>86.934595157225004</v>
      </c>
      <c r="AK8394">
        <v>55.356058020655396</v>
      </c>
      <c r="AL8394">
        <v>94.7662367544348</v>
      </c>
      <c r="AM8394">
        <v>88.489369585907596</v>
      </c>
      <c r="AN8394">
        <v>1.00000005146622</v>
      </c>
    </row>
    <row r="8395" spans="1:40" x14ac:dyDescent="0.25">
      <c r="A8395" t="str">
        <f>"20190303155013987"</f>
        <v>20190303155013987</v>
      </c>
      <c r="B8395" t="str">
        <f>"1551599413978930"</f>
        <v>1551599413978930</v>
      </c>
      <c r="C8395" t="s">
        <v>40</v>
      </c>
      <c r="D8395">
        <v>5.2644209999999996</v>
      </c>
      <c r="E8395">
        <v>0.52030770000000004</v>
      </c>
      <c r="F8395" t="s">
        <v>78</v>
      </c>
      <c r="G8395">
        <v>-168.983</v>
      </c>
      <c r="H8395">
        <v>2.8990320000000001</v>
      </c>
      <c r="I8395">
        <v>342.10759999999999</v>
      </c>
      <c r="J8395">
        <v>-188.4134</v>
      </c>
      <c r="K8395">
        <v>1.120312</v>
      </c>
      <c r="L8395">
        <v>69.946439999999996</v>
      </c>
      <c r="M8395">
        <v>-9.4395580000000007E-3</v>
      </c>
      <c r="N8395">
        <v>-1.469841E-2</v>
      </c>
      <c r="O8395">
        <v>0.99984740000000005</v>
      </c>
      <c r="P8395">
        <v>1.7849819999999999E-2</v>
      </c>
      <c r="Q8395">
        <v>-9.8439849999999995E-2</v>
      </c>
      <c r="R8395">
        <v>0.9949829</v>
      </c>
      <c r="S8395">
        <v>0.21479799999999999</v>
      </c>
      <c r="T8395">
        <v>1.9666550000000001E-2</v>
      </c>
      <c r="U8395">
        <v>3.0132140000000001</v>
      </c>
      <c r="V8395">
        <v>2.7161250000000001E-2</v>
      </c>
      <c r="W8395">
        <v>-8.3833930000000001E-2</v>
      </c>
      <c r="X8395">
        <v>0.99610949999999998</v>
      </c>
      <c r="Y8395">
        <v>8.0497570000000004E-2</v>
      </c>
      <c r="Z8395">
        <v>2.1209680000000002E-2</v>
      </c>
      <c r="AA8395">
        <v>0.99652909999999995</v>
      </c>
      <c r="AB8395">
        <v>35</v>
      </c>
      <c r="AC8395">
        <v>19.430399999999899</v>
      </c>
      <c r="AD8395">
        <v>1.7787200000000001</v>
      </c>
      <c r="AE8395">
        <v>272.16116</v>
      </c>
      <c r="AF8395">
        <v>21.997957930934401</v>
      </c>
      <c r="AG8395">
        <v>1.7787200000000001</v>
      </c>
      <c r="AH8395">
        <v>271.954040266427</v>
      </c>
      <c r="AI8395">
        <v>89.626481259029305</v>
      </c>
      <c r="AJ8395">
        <v>85.3754980183421</v>
      </c>
      <c r="AK8395">
        <v>272.84807863571802</v>
      </c>
      <c r="AL8395">
        <v>94.808974647960298</v>
      </c>
      <c r="AM8395">
        <v>88.438083890416905</v>
      </c>
      <c r="AN8395">
        <v>0.99999999865552802</v>
      </c>
    </row>
    <row r="8396" spans="1:40" x14ac:dyDescent="0.25">
      <c r="A8396" t="str">
        <f>"20190303155014008"</f>
        <v>20190303155014008</v>
      </c>
      <c r="B8396" t="str">
        <f>"1551599413998959"</f>
        <v>1551599413998959</v>
      </c>
      <c r="C8396" t="s">
        <v>40</v>
      </c>
      <c r="D8396">
        <v>5.0228010000000003</v>
      </c>
      <c r="E8396">
        <v>0.51835029999999904</v>
      </c>
      <c r="F8396" t="s">
        <v>78</v>
      </c>
      <c r="G8396">
        <v>-168.55619999999999</v>
      </c>
      <c r="H8396">
        <v>1.5959890000000001</v>
      </c>
      <c r="I8396">
        <v>339.94389999999999</v>
      </c>
      <c r="J8396">
        <v>-188.4161</v>
      </c>
      <c r="K8396">
        <v>1.120309</v>
      </c>
      <c r="L8396">
        <v>70.275239999999997</v>
      </c>
      <c r="M8396">
        <v>-9.0637819999999994E-3</v>
      </c>
      <c r="N8396">
        <v>-1.469472E-2</v>
      </c>
      <c r="O8396">
        <v>0.99985089999999999</v>
      </c>
      <c r="P8396">
        <v>1.9534329999999999E-2</v>
      </c>
      <c r="Q8396">
        <v>-9.9120219999999995E-2</v>
      </c>
      <c r="R8396">
        <v>0.99488370000000004</v>
      </c>
      <c r="S8396">
        <v>0.22149659999999999</v>
      </c>
      <c r="T8396">
        <v>5.3060049999999999E-3</v>
      </c>
      <c r="U8396">
        <v>3.0116879999999999</v>
      </c>
      <c r="V8396">
        <v>2.8470189999999999E-2</v>
      </c>
      <c r="W8396">
        <v>-8.452076E-2</v>
      </c>
      <c r="X8396">
        <v>0.99601490000000004</v>
      </c>
      <c r="Y8396">
        <v>8.2367140000000005E-2</v>
      </c>
      <c r="Z8396">
        <v>1.6455729999999998E-2</v>
      </c>
      <c r="AA8396">
        <v>0.99646619999999997</v>
      </c>
      <c r="AB8396">
        <v>35</v>
      </c>
      <c r="AC8396">
        <v>19.8599</v>
      </c>
      <c r="AD8396">
        <v>0.47567999999999899</v>
      </c>
      <c r="AE8396">
        <v>269.66865999999999</v>
      </c>
      <c r="AF8396">
        <v>22.303497013580198</v>
      </c>
      <c r="AG8396">
        <v>0.47567999999999899</v>
      </c>
      <c r="AH8396">
        <v>269.476721247581</v>
      </c>
      <c r="AI8396">
        <v>89.899206299324902</v>
      </c>
      <c r="AJ8396">
        <v>85.268644257211093</v>
      </c>
      <c r="AK8396">
        <v>270.39854945033198</v>
      </c>
      <c r="AL8396">
        <v>94.848467290580601</v>
      </c>
      <c r="AM8396">
        <v>88.362697502892203</v>
      </c>
      <c r="AN8396">
        <v>0.999999995805811</v>
      </c>
    </row>
    <row r="8397" spans="1:40" x14ac:dyDescent="0.25">
      <c r="A8397" t="str">
        <f>"20190303155014031"</f>
        <v>20190303155014031</v>
      </c>
      <c r="B8397" t="str">
        <f>"1551599414018479"</f>
        <v>1551599414018479</v>
      </c>
      <c r="C8397" t="s">
        <v>40</v>
      </c>
      <c r="D8397">
        <v>5.0112199999999998</v>
      </c>
      <c r="E8397">
        <v>0.51546650000000005</v>
      </c>
      <c r="F8397" t="s">
        <v>41</v>
      </c>
      <c r="G8397">
        <v>-177.13480000000001</v>
      </c>
      <c r="H8397">
        <v>7.998595E-2</v>
      </c>
      <c r="I8397">
        <v>231.5137</v>
      </c>
      <c r="J8397">
        <v>-188.4188</v>
      </c>
      <c r="K8397">
        <v>1.120306</v>
      </c>
      <c r="L8397">
        <v>70.619320000000002</v>
      </c>
      <c r="M8397">
        <v>-8.6703130000000007E-3</v>
      </c>
      <c r="N8397">
        <v>-1.469086E-2</v>
      </c>
      <c r="O8397">
        <v>0.99985449999999998</v>
      </c>
      <c r="P8397">
        <v>2.109981E-2</v>
      </c>
      <c r="Q8397">
        <v>-9.942028E-2</v>
      </c>
      <c r="R8397">
        <v>0.99482179999999998</v>
      </c>
      <c r="S8397">
        <v>0.21055599999999999</v>
      </c>
      <c r="T8397">
        <v>-1.941669E-2</v>
      </c>
      <c r="U8397">
        <v>3.009369</v>
      </c>
      <c r="V8397">
        <v>2.9643349999999999E-2</v>
      </c>
      <c r="W8397">
        <v>-8.4826689999999996E-2</v>
      </c>
      <c r="X8397">
        <v>0.99595469999999997</v>
      </c>
      <c r="Y8397">
        <v>7.8429159999999998E-2</v>
      </c>
      <c r="Z8397">
        <v>8.2619249999999998E-3</v>
      </c>
      <c r="AA8397">
        <v>0.99688549999999998</v>
      </c>
      <c r="AB8397">
        <v>35</v>
      </c>
      <c r="AC8397">
        <v>11.283999999999899</v>
      </c>
      <c r="AD8397">
        <v>-1.0403200500000001</v>
      </c>
      <c r="AE8397">
        <v>160.89438000000001</v>
      </c>
      <c r="AF8397">
        <v>12.6782035027479</v>
      </c>
      <c r="AG8397">
        <v>-1.0403200500000001</v>
      </c>
      <c r="AH8397">
        <v>160.78379561069701</v>
      </c>
      <c r="AI8397">
        <v>90.369568818530198</v>
      </c>
      <c r="AJ8397">
        <v>85.491413736324901</v>
      </c>
      <c r="AK8397">
        <v>161.28623016502601</v>
      </c>
      <c r="AL8397">
        <v>94.866058798214794</v>
      </c>
      <c r="AM8397">
        <v>88.295165860654294</v>
      </c>
      <c r="AN8397">
        <v>1.0000000299938301</v>
      </c>
    </row>
    <row r="8398" spans="1:40" x14ac:dyDescent="0.25">
      <c r="A8398" t="str">
        <f>"20190303155014053"</f>
        <v>20190303155014053</v>
      </c>
      <c r="B8398" t="str">
        <f>"1551599414048735"</f>
        <v>1551599414048735</v>
      </c>
      <c r="C8398" t="s">
        <v>40</v>
      </c>
      <c r="D8398">
        <v>5.0863300000000002</v>
      </c>
      <c r="E8398">
        <v>0.51331170000000004</v>
      </c>
      <c r="F8398" t="s">
        <v>41</v>
      </c>
      <c r="G8398">
        <v>-182.65289999999999</v>
      </c>
      <c r="H8398" s="1">
        <v>-2.4353129999999999E-6</v>
      </c>
      <c r="I8398">
        <v>160.8955</v>
      </c>
      <c r="J8398">
        <v>-188.42150000000001</v>
      </c>
      <c r="K8398">
        <v>1.120306</v>
      </c>
      <c r="L8398">
        <v>70.976780000000005</v>
      </c>
      <c r="M8398">
        <v>-8.2616100000000008E-3</v>
      </c>
      <c r="N8398">
        <v>-1.4686909999999999E-2</v>
      </c>
      <c r="O8398">
        <v>0.99985800000000002</v>
      </c>
      <c r="P8398">
        <v>2.2313550000000001E-2</v>
      </c>
      <c r="Q8398">
        <v>-9.9514110000000003E-2</v>
      </c>
      <c r="R8398">
        <v>0.9947859</v>
      </c>
      <c r="S8398">
        <v>0.19210820000000001</v>
      </c>
      <c r="T8398">
        <v>-3.732634E-2</v>
      </c>
      <c r="U8398">
        <v>3.0078130000000001</v>
      </c>
      <c r="V8398">
        <v>3.0450120000000001E-2</v>
      </c>
      <c r="W8398">
        <v>-8.4925710000000001E-2</v>
      </c>
      <c r="X8398">
        <v>0.99592190000000003</v>
      </c>
      <c r="Y8398">
        <v>7.1968920000000006E-2</v>
      </c>
      <c r="Z8398">
        <v>2.3114799999999999E-3</v>
      </c>
      <c r="AA8398">
        <v>0.99740419999999996</v>
      </c>
      <c r="AB8398">
        <v>35</v>
      </c>
      <c r="AC8398">
        <v>5.7686000000000197</v>
      </c>
      <c r="AD8398">
        <v>-1.120308435313</v>
      </c>
      <c r="AE8398">
        <v>89.918719999999993</v>
      </c>
      <c r="AF8398">
        <v>6.5103501684656901</v>
      </c>
      <c r="AG8398">
        <v>-1.120308435313</v>
      </c>
      <c r="AH8398">
        <v>89.854096696080902</v>
      </c>
      <c r="AI8398">
        <v>90.712464121139703</v>
      </c>
      <c r="AJ8398">
        <v>85.855894030692596</v>
      </c>
      <c r="AK8398">
        <v>90.096606170126805</v>
      </c>
      <c r="AL8398">
        <v>94.8717528779585</v>
      </c>
      <c r="AM8398">
        <v>88.248738160756901</v>
      </c>
      <c r="AN8398">
        <v>1.0000000084633101</v>
      </c>
    </row>
    <row r="8399" spans="1:40" x14ac:dyDescent="0.25">
      <c r="A8399" t="str">
        <f>"20190303155014077"</f>
        <v>20190303155014077</v>
      </c>
      <c r="B8399" t="str">
        <f>"1551599414069231"</f>
        <v>1551599414069231</v>
      </c>
      <c r="C8399" t="s">
        <v>40</v>
      </c>
      <c r="D8399">
        <v>5.0803949999999896</v>
      </c>
      <c r="E8399">
        <v>0.51212769999999996</v>
      </c>
      <c r="F8399" t="s">
        <v>59</v>
      </c>
      <c r="G8399">
        <v>-184.20679999999999</v>
      </c>
      <c r="H8399" s="1">
        <v>-9.1956459999999997E-6</v>
      </c>
      <c r="I8399">
        <v>142.04349999999999</v>
      </c>
      <c r="J8399">
        <v>-188.42410000000001</v>
      </c>
      <c r="K8399">
        <v>1.1203080000000001</v>
      </c>
      <c r="L8399">
        <v>71.34787</v>
      </c>
      <c r="M8399">
        <v>-7.8370920000000004E-3</v>
      </c>
      <c r="N8399">
        <v>-1.468292E-2</v>
      </c>
      <c r="O8399">
        <v>0.99986149999999996</v>
      </c>
      <c r="P8399">
        <v>2.3532210000000001E-2</v>
      </c>
      <c r="Q8399">
        <v>-9.9927070000000007E-2</v>
      </c>
      <c r="R8399">
        <v>0.9947165</v>
      </c>
      <c r="S8399">
        <v>0.1783295</v>
      </c>
      <c r="T8399">
        <v>-4.7402979999999997E-2</v>
      </c>
      <c r="U8399">
        <v>3.0069889999999999</v>
      </c>
      <c r="V8399">
        <v>3.124559E-2</v>
      </c>
      <c r="W8399">
        <v>-8.5344299999999998E-2</v>
      </c>
      <c r="X8399">
        <v>0.99586149999999996</v>
      </c>
      <c r="Y8399">
        <v>6.7008380000000006E-2</v>
      </c>
      <c r="Z8399">
        <v>-1.0438489999999999E-3</v>
      </c>
      <c r="AA8399">
        <v>0.99775190000000002</v>
      </c>
      <c r="AB8399">
        <v>35</v>
      </c>
      <c r="AC8399">
        <v>4.2173000000000203</v>
      </c>
      <c r="AD8399">
        <v>-1.1203171956460001</v>
      </c>
      <c r="AE8399">
        <v>70.695629999999994</v>
      </c>
      <c r="AF8399">
        <v>4.7700846794862004</v>
      </c>
      <c r="AG8399">
        <v>-1.1203171956460001</v>
      </c>
      <c r="AH8399">
        <v>70.642725975265094</v>
      </c>
      <c r="AI8399">
        <v>90.906508983353604</v>
      </c>
      <c r="AJ8399">
        <v>86.137019491349704</v>
      </c>
      <c r="AK8399">
        <v>70.812453365807897</v>
      </c>
      <c r="AL8399">
        <v>94.895823594662502</v>
      </c>
      <c r="AM8399">
        <v>88.202909406790994</v>
      </c>
      <c r="AN8399">
        <v>1.0000000318095901</v>
      </c>
    </row>
    <row r="8400" spans="1:40" x14ac:dyDescent="0.25">
      <c r="A8400" t="str">
        <f>"20190303155014100"</f>
        <v>20190303155014100</v>
      </c>
      <c r="B8400" t="str">
        <f>"1551599414088751"</f>
        <v>1551599414088751</v>
      </c>
      <c r="C8400" t="s">
        <v>40</v>
      </c>
      <c r="D8400">
        <v>5.1511079999999998</v>
      </c>
      <c r="E8400">
        <v>0.51146179999999997</v>
      </c>
      <c r="F8400" t="s">
        <v>59</v>
      </c>
      <c r="G8400">
        <v>-184.80359999999999</v>
      </c>
      <c r="H8400" s="1">
        <v>-6.7332899999999997E-6</v>
      </c>
      <c r="I8400">
        <v>134.55500000000001</v>
      </c>
      <c r="J8400">
        <v>-188.4265</v>
      </c>
      <c r="K8400">
        <v>1.1203080000000001</v>
      </c>
      <c r="L8400">
        <v>71.708280000000002</v>
      </c>
      <c r="M8400">
        <v>-7.4244549999999999E-3</v>
      </c>
      <c r="N8400">
        <v>-1.4679009999999999E-2</v>
      </c>
      <c r="O8400">
        <v>0.99986470000000005</v>
      </c>
      <c r="P8400">
        <v>2.4027119999999999E-2</v>
      </c>
      <c r="Q8400">
        <v>-9.9565490000000006E-2</v>
      </c>
      <c r="R8400">
        <v>0.99474090000000004</v>
      </c>
      <c r="S8400">
        <v>0.17221069999999999</v>
      </c>
      <c r="T8400">
        <v>-5.3288700000000001E-2</v>
      </c>
      <c r="U8400">
        <v>3.0065</v>
      </c>
      <c r="V8400">
        <v>3.1330690000000001E-2</v>
      </c>
      <c r="W8400">
        <v>-8.4986220000000001E-2</v>
      </c>
      <c r="X8400">
        <v>0.99588940000000004</v>
      </c>
      <c r="Y8400">
        <v>6.4581650000000004E-2</v>
      </c>
      <c r="Z8400">
        <v>-3.006253E-3</v>
      </c>
      <c r="AA8400">
        <v>0.99790789999999996</v>
      </c>
      <c r="AB8400">
        <v>35</v>
      </c>
      <c r="AC8400">
        <v>3.6229000000000098</v>
      </c>
      <c r="AD8400">
        <v>-1.1203147332899901</v>
      </c>
      <c r="AE8400">
        <v>62.846719999999998</v>
      </c>
      <c r="AF8400">
        <v>4.0881582478114602</v>
      </c>
      <c r="AG8400">
        <v>-1.1203147332899901</v>
      </c>
      <c r="AH8400">
        <v>62.798197132953298</v>
      </c>
      <c r="AI8400">
        <v>91.019885238255895</v>
      </c>
      <c r="AJ8400">
        <v>86.275304575853198</v>
      </c>
      <c r="AK8400">
        <v>62.941097115557497</v>
      </c>
      <c r="AL8400">
        <v>94.875232547718497</v>
      </c>
      <c r="AM8400">
        <v>88.198068551049502</v>
      </c>
      <c r="AN8400">
        <v>0.99999998337906204</v>
      </c>
    </row>
    <row r="8401" spans="1:40" x14ac:dyDescent="0.25">
      <c r="A8401" t="str">
        <f>"20190303155014122"</f>
        <v>20190303155014122</v>
      </c>
      <c r="B8401" t="str">
        <f>"1551599414119006"</f>
        <v>1551599414119006</v>
      </c>
      <c r="C8401" t="s">
        <v>40</v>
      </c>
      <c r="D8401">
        <v>5.1088979999999999</v>
      </c>
      <c r="E8401">
        <v>0.51032789999999995</v>
      </c>
      <c r="F8401" t="s">
        <v>59</v>
      </c>
      <c r="G8401">
        <v>-185.09700000000001</v>
      </c>
      <c r="H8401" s="1">
        <v>-5.6174050000000001E-6</v>
      </c>
      <c r="I8401">
        <v>131.1285</v>
      </c>
      <c r="J8401">
        <v>-188.42869999999999</v>
      </c>
      <c r="K8401">
        <v>1.1203110000000001</v>
      </c>
      <c r="L8401">
        <v>72.058899999999994</v>
      </c>
      <c r="M8401">
        <v>-7.0228440000000003E-3</v>
      </c>
      <c r="N8401">
        <v>-1.467517E-2</v>
      </c>
      <c r="O8401">
        <v>0.99986770000000003</v>
      </c>
      <c r="P8401">
        <v>2.4097759999999999E-2</v>
      </c>
      <c r="Q8401">
        <v>-9.9321510000000002E-2</v>
      </c>
      <c r="R8401">
        <v>0.99476359999999997</v>
      </c>
      <c r="S8401">
        <v>0.1684418</v>
      </c>
      <c r="T8401">
        <v>-5.6677940000000003E-2</v>
      </c>
      <c r="U8401">
        <v>3.0061339999999999</v>
      </c>
      <c r="V8401">
        <v>3.1002390000000001E-2</v>
      </c>
      <c r="W8401">
        <v>-8.4745239999999999E-2</v>
      </c>
      <c r="X8401">
        <v>0.99592020000000003</v>
      </c>
      <c r="Y8401">
        <v>6.2940220000000005E-2</v>
      </c>
      <c r="Z8401">
        <v>-4.1391279999999997E-3</v>
      </c>
      <c r="AA8401">
        <v>0.99800869999999997</v>
      </c>
      <c r="AB8401">
        <v>35</v>
      </c>
      <c r="AC8401">
        <v>3.3316999999999801</v>
      </c>
      <c r="AD8401">
        <v>-1.1203166174050001</v>
      </c>
      <c r="AE8401">
        <v>59.069600000000001</v>
      </c>
      <c r="AF8401">
        <v>3.7451561624593399</v>
      </c>
      <c r="AG8401">
        <v>-1.1203166174050001</v>
      </c>
      <c r="AH8401">
        <v>59.0235783836522</v>
      </c>
      <c r="AI8401">
        <v>91.085209101057501</v>
      </c>
      <c r="AJ8401">
        <v>86.369343188905304</v>
      </c>
      <c r="AK8401">
        <v>59.152887581381698</v>
      </c>
      <c r="AL8401">
        <v>94.861375463587507</v>
      </c>
      <c r="AM8401">
        <v>88.216993022922694</v>
      </c>
      <c r="AN8401">
        <v>0.99999997432820398</v>
      </c>
    </row>
    <row r="8402" spans="1:40" x14ac:dyDescent="0.25">
      <c r="A8402" t="str">
        <f>"20190303155014144"</f>
        <v>20190303155014144</v>
      </c>
      <c r="B8402" t="str">
        <f>"1551599414139503"</f>
        <v>1551599414139503</v>
      </c>
      <c r="C8402" t="s">
        <v>40</v>
      </c>
      <c r="D8402">
        <v>5.1366259999999997</v>
      </c>
      <c r="E8402">
        <v>0.5095729</v>
      </c>
      <c r="F8402" t="s">
        <v>59</v>
      </c>
      <c r="G8402">
        <v>-185.41309999999999</v>
      </c>
      <c r="H8402" s="1">
        <v>-4.7448050000000002E-6</v>
      </c>
      <c r="I8402">
        <v>128.73849999999999</v>
      </c>
      <c r="J8402">
        <v>-188.4306</v>
      </c>
      <c r="K8402">
        <v>1.1203050000000001</v>
      </c>
      <c r="L8402">
        <v>72.396029999999996</v>
      </c>
      <c r="M8402">
        <v>-6.6362319999999997E-3</v>
      </c>
      <c r="N8402">
        <v>-1.4671450000000001E-2</v>
      </c>
      <c r="O8402">
        <v>0.99987040000000005</v>
      </c>
      <c r="P8402">
        <v>2.4196120000000002E-2</v>
      </c>
      <c r="Q8402">
        <v>-9.9256549999999999E-2</v>
      </c>
      <c r="R8402">
        <v>0.99476770000000003</v>
      </c>
      <c r="S8402">
        <v>0.1599274</v>
      </c>
      <c r="T8402">
        <v>-5.9415580000000003E-2</v>
      </c>
      <c r="U8402">
        <v>3.0059809999999998</v>
      </c>
      <c r="V8402">
        <v>3.0716420000000001E-2</v>
      </c>
      <c r="W8402">
        <v>-8.4683439999999999E-2</v>
      </c>
      <c r="X8402">
        <v>0.9959344</v>
      </c>
      <c r="Y8402">
        <v>5.9738569999999998E-2</v>
      </c>
      <c r="Z8402">
        <v>-5.0563810000000004E-3</v>
      </c>
      <c r="AA8402">
        <v>0.99820129999999996</v>
      </c>
      <c r="AB8402">
        <v>35</v>
      </c>
      <c r="AC8402">
        <v>3.0175000000000098</v>
      </c>
      <c r="AD8402">
        <v>-1.1203097448049999</v>
      </c>
      <c r="AE8402">
        <v>56.342469999999899</v>
      </c>
      <c r="AF8402">
        <v>3.3900389818163501</v>
      </c>
      <c r="AG8402">
        <v>-1.1203097448049999</v>
      </c>
      <c r="AH8402">
        <v>56.299006771420103</v>
      </c>
      <c r="AI8402">
        <v>91.1379337797527</v>
      </c>
      <c r="AJ8402">
        <v>86.554101181807894</v>
      </c>
      <c r="AK8402">
        <v>56.412105276003899</v>
      </c>
      <c r="AL8402">
        <v>94.8578214108379</v>
      </c>
      <c r="AM8402">
        <v>88.233454408718799</v>
      </c>
      <c r="AN8402">
        <v>1.0000000562856</v>
      </c>
    </row>
    <row r="8403" spans="1:40" x14ac:dyDescent="0.25">
      <c r="A8403" t="str">
        <f>"20190303155014166"</f>
        <v>20190303155014166</v>
      </c>
      <c r="B8403" t="str">
        <f>"1551599414159023"</f>
        <v>1551599414159023</v>
      </c>
      <c r="C8403" t="s">
        <v>40</v>
      </c>
      <c r="D8403">
        <v>5.1117650000000001</v>
      </c>
      <c r="E8403">
        <v>0.50897929999999902</v>
      </c>
      <c r="F8403" t="s">
        <v>59</v>
      </c>
      <c r="G8403">
        <v>-185.61019999999999</v>
      </c>
      <c r="H8403" s="1">
        <v>-4.2040050000000002E-6</v>
      </c>
      <c r="I8403">
        <v>127.48439999999999</v>
      </c>
      <c r="J8403">
        <v>-188.43260000000001</v>
      </c>
      <c r="K8403">
        <v>1.120309</v>
      </c>
      <c r="L8403">
        <v>72.747380000000007</v>
      </c>
      <c r="M8403">
        <v>-6.2333079999999999E-3</v>
      </c>
      <c r="N8403">
        <v>-1.4667599999999999E-2</v>
      </c>
      <c r="O8403">
        <v>0.99987300000000001</v>
      </c>
      <c r="P8403">
        <v>2.441318E-2</v>
      </c>
      <c r="Q8403">
        <v>-9.9331600000000006E-2</v>
      </c>
      <c r="R8403">
        <v>0.9947549</v>
      </c>
      <c r="S8403">
        <v>0.15390009999999901</v>
      </c>
      <c r="T8403">
        <v>-6.1130759999999999E-2</v>
      </c>
      <c r="U8403">
        <v>3.005951</v>
      </c>
      <c r="V8403">
        <v>3.053268E-2</v>
      </c>
      <c r="W8403">
        <v>-8.4762100000000007E-2</v>
      </c>
      <c r="X8403">
        <v>0.99593330000000002</v>
      </c>
      <c r="Y8403">
        <v>5.7340830000000002E-2</v>
      </c>
      <c r="Z8403">
        <v>-5.6326730000000004E-3</v>
      </c>
      <c r="AA8403">
        <v>0.99833879999999997</v>
      </c>
      <c r="AB8403">
        <v>35</v>
      </c>
      <c r="AC8403">
        <v>2.8224000000000098</v>
      </c>
      <c r="AD8403">
        <v>-1.1203132040049999</v>
      </c>
      <c r="AE8403">
        <v>54.737019999999902</v>
      </c>
      <c r="AF8403">
        <v>3.16225339329955</v>
      </c>
      <c r="AG8403">
        <v>-1.1203132040049999</v>
      </c>
      <c r="AH8403">
        <v>54.695510077312598</v>
      </c>
      <c r="AI8403">
        <v>91.171454036852197</v>
      </c>
      <c r="AJ8403">
        <v>86.691094034967094</v>
      </c>
      <c r="AK8403">
        <v>54.7983008022685</v>
      </c>
      <c r="AL8403">
        <v>94.862344842913501</v>
      </c>
      <c r="AM8403">
        <v>88.244012987046702</v>
      </c>
      <c r="AN8403">
        <v>0.99999999809664097</v>
      </c>
    </row>
    <row r="8404" spans="1:40" x14ac:dyDescent="0.25">
      <c r="A8404" t="str">
        <f>"20190303155014188"</f>
        <v>20190303155014188</v>
      </c>
      <c r="B8404" t="str">
        <f>"1551599414179519"</f>
        <v>1551599414179519</v>
      </c>
      <c r="C8404" t="s">
        <v>40</v>
      </c>
      <c r="D8404">
        <v>5.1447969999999996</v>
      </c>
      <c r="E8404">
        <v>0.50866829999999996</v>
      </c>
      <c r="F8404" t="s">
        <v>59</v>
      </c>
      <c r="G8404">
        <v>-185.8588</v>
      </c>
      <c r="H8404" s="1">
        <v>-3.2071900000000001E-6</v>
      </c>
      <c r="I8404">
        <v>124.4256</v>
      </c>
      <c r="J8404">
        <v>-188.43430000000001</v>
      </c>
      <c r="K8404">
        <v>1.1203149999999999</v>
      </c>
      <c r="L8404">
        <v>73.086759999999998</v>
      </c>
      <c r="M8404">
        <v>-5.8440300000000001E-3</v>
      </c>
      <c r="N8404">
        <v>-1.466392E-2</v>
      </c>
      <c r="O8404">
        <v>0.99987539999999997</v>
      </c>
      <c r="P8404">
        <v>2.4904430000000002E-2</v>
      </c>
      <c r="Q8404">
        <v>-9.8731169999999993E-2</v>
      </c>
      <c r="R8404">
        <v>0.99480250000000003</v>
      </c>
      <c r="S8404">
        <v>0.14968870000000001</v>
      </c>
      <c r="T8404">
        <v>-6.5158250000000001E-2</v>
      </c>
      <c r="U8404">
        <v>3.005646</v>
      </c>
      <c r="V8404">
        <v>3.06377E-2</v>
      </c>
      <c r="W8404">
        <v>-8.4164619999999996E-2</v>
      </c>
      <c r="X8404">
        <v>0.99598070000000005</v>
      </c>
      <c r="Y8404">
        <v>5.5561449999999998E-2</v>
      </c>
      <c r="Z8404">
        <v>-6.9778919999999899E-3</v>
      </c>
      <c r="AA8404">
        <v>0.99843090000000001</v>
      </c>
      <c r="AB8404">
        <v>35</v>
      </c>
      <c r="AC8404">
        <v>2.5754999999999999</v>
      </c>
      <c r="AD8404">
        <v>-1.12031820719</v>
      </c>
      <c r="AE8404">
        <v>51.338839999999998</v>
      </c>
      <c r="AF8404">
        <v>2.8741487560799399</v>
      </c>
      <c r="AG8404">
        <v>-1.12031820719</v>
      </c>
      <c r="AH8404">
        <v>51.298543092168401</v>
      </c>
      <c r="AI8404">
        <v>91.249135628562797</v>
      </c>
      <c r="AJ8404">
        <v>86.793191503575699</v>
      </c>
      <c r="AK8404">
        <v>51.3912090472339</v>
      </c>
      <c r="AL8404">
        <v>94.827989208859606</v>
      </c>
      <c r="AM8404">
        <v>88.238060710973897</v>
      </c>
      <c r="AN8404">
        <v>0.99999995334676095</v>
      </c>
    </row>
    <row r="8405" spans="1:40" x14ac:dyDescent="0.25">
      <c r="A8405" t="str">
        <f>"20190303155014210"</f>
        <v>20190303155014210</v>
      </c>
      <c r="B8405" t="str">
        <f>"1551599414199039"</f>
        <v>1551599414199039</v>
      </c>
      <c r="C8405" t="s">
        <v>40</v>
      </c>
      <c r="D8405">
        <v>5.1487449999999999</v>
      </c>
      <c r="E8405">
        <v>0.50832860000000002</v>
      </c>
      <c r="F8405" t="s">
        <v>59</v>
      </c>
      <c r="G8405">
        <v>-185.94550000000001</v>
      </c>
      <c r="H8405" s="1">
        <v>-2.657355E-6</v>
      </c>
      <c r="I8405">
        <v>123.44459999999999</v>
      </c>
      <c r="J8405">
        <v>-188.4358</v>
      </c>
      <c r="K8405">
        <v>1.120322</v>
      </c>
      <c r="L8405">
        <v>73.423859999999905</v>
      </c>
      <c r="M8405">
        <v>-5.4571200000000002E-3</v>
      </c>
      <c r="N8405">
        <v>-1.4660289999999999E-2</v>
      </c>
      <c r="O8405">
        <v>0.99987760000000003</v>
      </c>
      <c r="P8405">
        <v>2.5999060000000001E-2</v>
      </c>
      <c r="Q8405">
        <v>-9.7521540000000004E-2</v>
      </c>
      <c r="R8405">
        <v>0.99489380000000005</v>
      </c>
      <c r="S8405">
        <v>0.1485291</v>
      </c>
      <c r="T8405">
        <v>-6.6860199999999995E-2</v>
      </c>
      <c r="U8405">
        <v>3.005341</v>
      </c>
      <c r="V8405">
        <v>3.1349160000000001E-2</v>
      </c>
      <c r="W8405">
        <v>-8.2957929999999999E-2</v>
      </c>
      <c r="X8405">
        <v>0.99605980000000005</v>
      </c>
      <c r="Y8405">
        <v>5.4795570000000002E-2</v>
      </c>
      <c r="Z8405">
        <v>-7.549844E-3</v>
      </c>
      <c r="AA8405">
        <v>0.9984691</v>
      </c>
      <c r="AB8405">
        <v>35</v>
      </c>
      <c r="AC8405">
        <v>2.4902999999999902</v>
      </c>
      <c r="AD8405">
        <v>-1.1203246573549901</v>
      </c>
      <c r="AE8405">
        <v>50.020740000000004</v>
      </c>
      <c r="AF8405">
        <v>2.7618794121774601</v>
      </c>
      <c r="AG8405">
        <v>-1.1203246573549901</v>
      </c>
      <c r="AH8405">
        <v>49.9813932838439</v>
      </c>
      <c r="AI8405">
        <v>91.282105110699504</v>
      </c>
      <c r="AJ8405">
        <v>86.837157714553399</v>
      </c>
      <c r="AK8405">
        <v>50.070178547909798</v>
      </c>
      <c r="AL8405">
        <v>94.758608291771694</v>
      </c>
      <c r="AM8405">
        <v>88.197315223095899</v>
      </c>
      <c r="AN8405">
        <v>0.99999995657931395</v>
      </c>
    </row>
    <row r="8406" spans="1:40" x14ac:dyDescent="0.25">
      <c r="A8406" t="str">
        <f>"20190303155014231"</f>
        <v>20190303155014231</v>
      </c>
      <c r="B8406" t="str">
        <f>"1551599414218559"</f>
        <v>1551599414218559</v>
      </c>
      <c r="C8406" t="s">
        <v>40</v>
      </c>
      <c r="D8406">
        <v>5.1518610000000002</v>
      </c>
      <c r="E8406">
        <v>0.50807740000000001</v>
      </c>
      <c r="F8406" t="s">
        <v>59</v>
      </c>
      <c r="G8406">
        <v>-185.9409</v>
      </c>
      <c r="H8406" s="1">
        <v>-2.7630329999999999E-6</v>
      </c>
      <c r="I8406">
        <v>123.6362</v>
      </c>
      <c r="J8406">
        <v>-188.43719999999999</v>
      </c>
      <c r="K8406">
        <v>1.1203240000000001</v>
      </c>
      <c r="L8406">
        <v>73.747709999999998</v>
      </c>
      <c r="M8406">
        <v>-5.0843989999999999E-3</v>
      </c>
      <c r="N8406">
        <v>-1.4656840000000001E-2</v>
      </c>
      <c r="O8406">
        <v>0.99987969999999904</v>
      </c>
      <c r="P8406">
        <v>2.75474E-2</v>
      </c>
      <c r="Q8406">
        <v>-9.7760390000000003E-2</v>
      </c>
      <c r="R8406">
        <v>0.99482859999999995</v>
      </c>
      <c r="S8406">
        <v>0.149307299999999</v>
      </c>
      <c r="T8406">
        <v>-6.7045450000000006E-2</v>
      </c>
      <c r="U8406">
        <v>3.0049440000000001</v>
      </c>
      <c r="V8406">
        <v>3.252617E-2</v>
      </c>
      <c r="W8406">
        <v>-8.3202230000000002E-2</v>
      </c>
      <c r="X8406">
        <v>0.99600169999999999</v>
      </c>
      <c r="Y8406">
        <v>5.4687779999999998E-2</v>
      </c>
      <c r="Z8406">
        <v>-7.617871E-3</v>
      </c>
      <c r="AA8406">
        <v>0.99847439999999998</v>
      </c>
      <c r="AB8406">
        <v>35</v>
      </c>
      <c r="AC8406">
        <v>2.49629999999999</v>
      </c>
      <c r="AD8406">
        <v>-1.1203267630329901</v>
      </c>
      <c r="AE8406">
        <v>49.888489999999997</v>
      </c>
      <c r="AF8406">
        <v>2.7485653150155902</v>
      </c>
      <c r="AG8406">
        <v>-1.1203267630329901</v>
      </c>
      <c r="AH8406">
        <v>49.850074881019502</v>
      </c>
      <c r="AI8406">
        <v>91.285492394580004</v>
      </c>
      <c r="AJ8406">
        <v>86.844099038652601</v>
      </c>
      <c r="AK8406">
        <v>49.938359093888202</v>
      </c>
      <c r="AL8406">
        <v>94.772654123617798</v>
      </c>
      <c r="AM8406">
        <v>88.129571267510997</v>
      </c>
      <c r="AN8406">
        <v>0.99999997460736501</v>
      </c>
    </row>
    <row r="8407" spans="1:40" x14ac:dyDescent="0.25">
      <c r="A8407" t="str">
        <f>"20190303155014254"</f>
        <v>20190303155014254</v>
      </c>
      <c r="B8407" t="str">
        <f>"1551599414248815"</f>
        <v>1551599414248815</v>
      </c>
      <c r="C8407" t="s">
        <v>40</v>
      </c>
      <c r="D8407">
        <v>5.1831420000000001</v>
      </c>
      <c r="E8407">
        <v>0.50769120000000001</v>
      </c>
      <c r="F8407" t="s">
        <v>59</v>
      </c>
      <c r="G8407">
        <v>-186.00110000000001</v>
      </c>
      <c r="H8407" s="1">
        <v>-1.7885859999999999E-6</v>
      </c>
      <c r="I8407">
        <v>121.874</v>
      </c>
      <c r="J8407">
        <v>-188.43870000000001</v>
      </c>
      <c r="K8407">
        <v>1.1203160000000001</v>
      </c>
      <c r="L8407">
        <v>74.121669999999995</v>
      </c>
      <c r="M8407">
        <v>-4.6529919999999999E-3</v>
      </c>
      <c r="N8407">
        <v>-1.465284E-2</v>
      </c>
      <c r="O8407">
        <v>0.99988180000000004</v>
      </c>
      <c r="P8407">
        <v>2.8958879999999999E-2</v>
      </c>
      <c r="Q8407">
        <v>-9.8673510000000006E-2</v>
      </c>
      <c r="R8407">
        <v>0.99469839999999998</v>
      </c>
      <c r="S8407">
        <v>0.15208440000000001</v>
      </c>
      <c r="T8407">
        <v>-6.9941760000000006E-2</v>
      </c>
      <c r="U8407">
        <v>3.0045169999999999</v>
      </c>
      <c r="V8407">
        <v>3.3507000000000002E-2</v>
      </c>
      <c r="W8407">
        <v>-8.4121950000000001E-2</v>
      </c>
      <c r="X8407">
        <v>0.99589190000000005</v>
      </c>
      <c r="Y8407">
        <v>5.5183669999999997E-2</v>
      </c>
      <c r="Z8407">
        <v>-8.5864919999999994E-3</v>
      </c>
      <c r="AA8407">
        <v>0.99843930000000003</v>
      </c>
      <c r="AB8407">
        <v>35</v>
      </c>
      <c r="AC8407">
        <v>2.4376000000000002</v>
      </c>
      <c r="AD8407">
        <v>-1.1203177885860001</v>
      </c>
      <c r="AE8407">
        <v>47.752330000000001</v>
      </c>
      <c r="AF8407">
        <v>2.6583292844530599</v>
      </c>
      <c r="AG8407">
        <v>-1.1203177885860001</v>
      </c>
      <c r="AH8407">
        <v>47.714275026693301</v>
      </c>
      <c r="AI8407">
        <v>91.342959798716294</v>
      </c>
      <c r="AJ8407">
        <v>86.811148226595904</v>
      </c>
      <c r="AK8407">
        <v>47.801400270859503</v>
      </c>
      <c r="AL8407">
        <v>94.825535717868206</v>
      </c>
      <c r="AM8407">
        <v>88.072997915599302</v>
      </c>
      <c r="AN8407">
        <v>0.99999994900320499</v>
      </c>
    </row>
    <row r="8408" spans="1:40" x14ac:dyDescent="0.25">
      <c r="A8408" t="str">
        <f>"20190303155014277"</f>
        <v>20190303155014277</v>
      </c>
      <c r="B8408" t="str">
        <f>"1551599414269311"</f>
        <v>1551599414269311</v>
      </c>
      <c r="C8408" t="s">
        <v>40</v>
      </c>
      <c r="D8408">
        <v>5.2762560000000001</v>
      </c>
      <c r="E8408">
        <v>0.50692280000000001</v>
      </c>
      <c r="F8408" t="s">
        <v>41</v>
      </c>
      <c r="G8408">
        <v>-186.1687</v>
      </c>
      <c r="H8408" s="1">
        <v>-4.5081159999999997E-6</v>
      </c>
      <c r="I8408">
        <v>118.55710000000001</v>
      </c>
      <c r="J8408">
        <v>-188.43989999999999</v>
      </c>
      <c r="K8408">
        <v>1.120309</v>
      </c>
      <c r="L8408">
        <v>74.470339999999993</v>
      </c>
      <c r="M8408">
        <v>-4.249938E-3</v>
      </c>
      <c r="N8408">
        <v>-1.464906E-2</v>
      </c>
      <c r="O8408">
        <v>0.99988370000000004</v>
      </c>
      <c r="P8408">
        <v>2.9849810000000001E-2</v>
      </c>
      <c r="Q8408">
        <v>-9.966701E-2</v>
      </c>
      <c r="R8408">
        <v>0.99457300000000004</v>
      </c>
      <c r="S8408">
        <v>0.1534576</v>
      </c>
      <c r="T8408">
        <v>-7.573771E-2</v>
      </c>
      <c r="U8408">
        <v>3.0039980000000002</v>
      </c>
      <c r="V8408">
        <v>3.3995530000000003E-2</v>
      </c>
      <c r="W8408">
        <v>-8.5121249999999996E-2</v>
      </c>
      <c r="X8408">
        <v>0.99579050000000002</v>
      </c>
      <c r="Y8408">
        <v>5.524341E-2</v>
      </c>
      <c r="Z8408">
        <v>-1.051961E-2</v>
      </c>
      <c r="AA8408">
        <v>0.99841749999999996</v>
      </c>
      <c r="AB8408">
        <v>35</v>
      </c>
      <c r="AC8408">
        <v>2.2711999999999901</v>
      </c>
      <c r="AD8408">
        <v>-1.1203135081160001</v>
      </c>
      <c r="AE8408">
        <v>44.086759999999998</v>
      </c>
      <c r="AF8408">
        <v>2.4569831901683399</v>
      </c>
      <c r="AG8408">
        <v>-1.1203135081160001</v>
      </c>
      <c r="AH8408">
        <v>44.048339452801102</v>
      </c>
      <c r="AI8408">
        <v>91.454670960744906</v>
      </c>
      <c r="AJ8408">
        <v>86.807392919469095</v>
      </c>
      <c r="AK8408">
        <v>44.131033041414703</v>
      </c>
      <c r="AL8408">
        <v>94.882997146738504</v>
      </c>
      <c r="AM8408">
        <v>88.044725062549503</v>
      </c>
      <c r="AN8408">
        <v>1.00000002157589</v>
      </c>
    </row>
    <row r="8409" spans="1:40" x14ac:dyDescent="0.25">
      <c r="A8409" t="str">
        <f>"20190303155014307"</f>
        <v>20190303155014307</v>
      </c>
      <c r="B8409" t="str">
        <f>"1551599414299567"</f>
        <v>1551599414299567</v>
      </c>
      <c r="C8409" t="s">
        <v>40</v>
      </c>
      <c r="D8409">
        <v>5.2046270000000003</v>
      </c>
      <c r="E8409">
        <v>0.50648609999999905</v>
      </c>
      <c r="F8409" t="s">
        <v>41</v>
      </c>
      <c r="G8409">
        <v>-186.499</v>
      </c>
      <c r="H8409" s="1">
        <v>-2.2379670000000002E-6</v>
      </c>
      <c r="I8409">
        <v>113.4019</v>
      </c>
      <c r="J8409">
        <v>-188.44120000000001</v>
      </c>
      <c r="K8409">
        <v>1.1203129999999999</v>
      </c>
      <c r="L8409">
        <v>74.925659999999993</v>
      </c>
      <c r="M8409">
        <v>-3.722534E-3</v>
      </c>
      <c r="N8409">
        <v>-1.464405E-2</v>
      </c>
      <c r="O8409">
        <v>0.99988589999999999</v>
      </c>
      <c r="P8409">
        <v>3.0961389999999998E-2</v>
      </c>
      <c r="Q8409">
        <v>-0.1005592</v>
      </c>
      <c r="R8409">
        <v>0.99444920000000003</v>
      </c>
      <c r="S8409">
        <v>0.1497192</v>
      </c>
      <c r="T8409">
        <v>-8.6422319999999997E-2</v>
      </c>
      <c r="U8409">
        <v>3.0032350000000001</v>
      </c>
      <c r="V8409">
        <v>3.4581340000000002E-2</v>
      </c>
      <c r="W8409">
        <v>-8.6020540000000006E-2</v>
      </c>
      <c r="X8409">
        <v>0.99569300000000005</v>
      </c>
      <c r="Y8409">
        <v>5.3486880000000001E-2</v>
      </c>
      <c r="Z8409">
        <v>-1.408336E-2</v>
      </c>
      <c r="AA8409">
        <v>0.99846919999999995</v>
      </c>
      <c r="AB8409">
        <v>35</v>
      </c>
      <c r="AC8409">
        <v>1.9421999999999799</v>
      </c>
      <c r="AD8409">
        <v>-1.1203152379669901</v>
      </c>
      <c r="AE8409">
        <v>38.476239999999997</v>
      </c>
      <c r="AF8409">
        <v>2.0836689512585602</v>
      </c>
      <c r="AG8409">
        <v>-1.1203152379669901</v>
      </c>
      <c r="AH8409">
        <v>38.4362391131761</v>
      </c>
      <c r="AI8409">
        <v>91.667102036151903</v>
      </c>
      <c r="AJ8409">
        <v>86.896972912578406</v>
      </c>
      <c r="AK8409">
        <v>38.508976352223499</v>
      </c>
      <c r="AL8409">
        <v>94.934712579910496</v>
      </c>
      <c r="AM8409">
        <v>88.010864048807704</v>
      </c>
      <c r="AN8409">
        <v>0.99999997631354298</v>
      </c>
    </row>
    <row r="8410" spans="1:40" x14ac:dyDescent="0.25">
      <c r="A8410" t="str">
        <f>"20190303155014334"</f>
        <v>20190303155014334</v>
      </c>
      <c r="B8410" t="str">
        <f>"1551599414328847"</f>
        <v>1551599414328847</v>
      </c>
      <c r="C8410" t="s">
        <v>40</v>
      </c>
      <c r="D8410">
        <v>5.3159850000000004</v>
      </c>
      <c r="E8410">
        <v>0.50565609999999905</v>
      </c>
      <c r="F8410" t="s">
        <v>41</v>
      </c>
      <c r="G8410">
        <v>-186.64359999999999</v>
      </c>
      <c r="H8410" s="1">
        <v>-1.337504E-6</v>
      </c>
      <c r="I8410">
        <v>110.9541</v>
      </c>
      <c r="J8410">
        <v>-188.44220000000001</v>
      </c>
      <c r="K8410">
        <v>1.1203160000000001</v>
      </c>
      <c r="L8410">
        <v>75.345759999999999</v>
      </c>
      <c r="M8410">
        <v>-3.2347349999999999E-3</v>
      </c>
      <c r="N8410">
        <v>-1.4639370000000001E-2</v>
      </c>
      <c r="O8410">
        <v>0.99988759999999999</v>
      </c>
      <c r="P8410">
        <v>3.2076250000000001E-2</v>
      </c>
      <c r="Q8410">
        <v>-0.1017487</v>
      </c>
      <c r="R8410">
        <v>0.99429290000000004</v>
      </c>
      <c r="S8410">
        <v>0.14981079999999999</v>
      </c>
      <c r="T8410">
        <v>-9.3367339999999993E-2</v>
      </c>
      <c r="U8410">
        <v>3.0026250000000001</v>
      </c>
      <c r="V8410">
        <v>3.5209629999999999E-2</v>
      </c>
      <c r="W8410">
        <v>-8.7217139999999999E-2</v>
      </c>
      <c r="X8410">
        <v>0.99556690000000003</v>
      </c>
      <c r="Y8410">
        <v>5.3037670000000002E-2</v>
      </c>
      <c r="Z8410">
        <v>-1.6402010000000002E-2</v>
      </c>
      <c r="AA8410">
        <v>0.99845779999999995</v>
      </c>
      <c r="AB8410">
        <v>35</v>
      </c>
      <c r="AC8410">
        <v>1.79860000000002</v>
      </c>
      <c r="AD8410">
        <v>-1.1203173375040001</v>
      </c>
      <c r="AE8410">
        <v>35.608339999999998</v>
      </c>
      <c r="AF8410">
        <v>1.91189875988294</v>
      </c>
      <c r="AG8410">
        <v>-1.1203173375040001</v>
      </c>
      <c r="AH8410">
        <v>35.567217681385699</v>
      </c>
      <c r="AI8410">
        <v>91.801540744765305</v>
      </c>
      <c r="AJ8410">
        <v>86.923054181917195</v>
      </c>
      <c r="AK8410">
        <v>35.636181633275903</v>
      </c>
      <c r="AL8410">
        <v>95.0035312505684</v>
      </c>
      <c r="AM8410">
        <v>87.974498013911997</v>
      </c>
      <c r="AN8410">
        <v>0.99999999996506295</v>
      </c>
    </row>
    <row r="8411" spans="1:40" x14ac:dyDescent="0.25">
      <c r="A8411" t="str">
        <f>"20190303155014356"</f>
        <v>20190303155014356</v>
      </c>
      <c r="B8411" t="str">
        <f>"1551599414349344"</f>
        <v>1551599414349344</v>
      </c>
      <c r="C8411" t="s">
        <v>40</v>
      </c>
      <c r="D8411">
        <v>5.213692</v>
      </c>
      <c r="E8411">
        <v>0.50536309999999995</v>
      </c>
      <c r="F8411" t="s">
        <v>41</v>
      </c>
      <c r="G8411">
        <v>-186.90020000000001</v>
      </c>
      <c r="H8411" s="1">
        <v>-3.6932929999999999E-6</v>
      </c>
      <c r="I8411">
        <v>106.9602</v>
      </c>
      <c r="J8411">
        <v>-188.44290000000001</v>
      </c>
      <c r="K8411">
        <v>1.1203190000000001</v>
      </c>
      <c r="L8411">
        <v>75.685760000000002</v>
      </c>
      <c r="M8411">
        <v>-2.8381000000000001E-3</v>
      </c>
      <c r="N8411">
        <v>-1.463561E-2</v>
      </c>
      <c r="O8411">
        <v>0.99988880000000002</v>
      </c>
      <c r="P8411">
        <v>3.2772490000000001E-2</v>
      </c>
      <c r="Q8411">
        <v>-0.1005964</v>
      </c>
      <c r="R8411">
        <v>0.99438740000000003</v>
      </c>
      <c r="S8411">
        <v>0.14640810000000001</v>
      </c>
      <c r="T8411">
        <v>-0.1063682</v>
      </c>
      <c r="U8411">
        <v>3.001617</v>
      </c>
      <c r="V8411">
        <v>3.5512830000000002E-2</v>
      </c>
      <c r="W8411">
        <v>-8.6067489999999996E-2</v>
      </c>
      <c r="X8411">
        <v>0.99565619999999999</v>
      </c>
      <c r="Y8411">
        <v>5.1523979999999997E-2</v>
      </c>
      <c r="Z8411">
        <v>-2.0738759999999998E-2</v>
      </c>
      <c r="AA8411">
        <v>0.99845640000000002</v>
      </c>
      <c r="AB8411">
        <v>35</v>
      </c>
      <c r="AC8411">
        <v>1.54269999999999</v>
      </c>
      <c r="AD8411">
        <v>-1.1203226932929999</v>
      </c>
      <c r="AE8411">
        <v>31.274439999999998</v>
      </c>
      <c r="AF8411">
        <v>1.62937748364576</v>
      </c>
      <c r="AG8411">
        <v>-1.1203226932929999</v>
      </c>
      <c r="AH8411">
        <v>31.229957023131799</v>
      </c>
      <c r="AI8411">
        <v>92.051721464168807</v>
      </c>
      <c r="AJ8411">
        <v>87.013384194129301</v>
      </c>
      <c r="AK8411">
        <v>31.292494460940301</v>
      </c>
      <c r="AL8411">
        <v>94.937412407911495</v>
      </c>
      <c r="AM8411">
        <v>87.957253638951101</v>
      </c>
      <c r="AN8411">
        <v>1.0000000212639699</v>
      </c>
    </row>
    <row r="8412" spans="1:40" x14ac:dyDescent="0.25">
      <c r="A8412" t="str">
        <f>"20190303155014377"</f>
        <v>20190303155014377</v>
      </c>
      <c r="B8412" t="str">
        <f>"1551599414368863"</f>
        <v>1551599414368863</v>
      </c>
      <c r="C8412" t="s">
        <v>40</v>
      </c>
      <c r="D8412">
        <v>5.3472989999999996</v>
      </c>
      <c r="E8412">
        <v>0.50506320000000005</v>
      </c>
      <c r="F8412" t="s">
        <v>41</v>
      </c>
      <c r="G8412">
        <v>-186.88509999999999</v>
      </c>
      <c r="H8412" s="1">
        <v>-3.9689619999999998E-6</v>
      </c>
      <c r="I8412">
        <v>107.59650000000001</v>
      </c>
      <c r="J8412">
        <v>-188.4435</v>
      </c>
      <c r="K8412">
        <v>1.120314</v>
      </c>
      <c r="L8412">
        <v>76.015439999999998</v>
      </c>
      <c r="M8412">
        <v>-2.4489550000000001E-3</v>
      </c>
      <c r="N8412">
        <v>-1.4631959999999999E-2</v>
      </c>
      <c r="O8412">
        <v>0.99988999999999995</v>
      </c>
      <c r="P8412">
        <v>3.3897469999999999E-2</v>
      </c>
      <c r="Q8412">
        <v>-9.8939949999999999E-2</v>
      </c>
      <c r="R8412">
        <v>0.99451590000000001</v>
      </c>
      <c r="S8412">
        <v>0.1465302</v>
      </c>
      <c r="T8412">
        <v>-0.1053743</v>
      </c>
      <c r="U8412">
        <v>3.0014340000000002</v>
      </c>
      <c r="V8412">
        <v>3.6252390000000002E-2</v>
      </c>
      <c r="W8412">
        <v>-8.4413619999999995E-2</v>
      </c>
      <c r="X8412">
        <v>0.99577110000000002</v>
      </c>
      <c r="Y8412">
        <v>5.117936E-2</v>
      </c>
      <c r="Z8412">
        <v>-2.04148E-2</v>
      </c>
      <c r="AA8412">
        <v>0.99848079999999995</v>
      </c>
      <c r="AB8412">
        <v>35</v>
      </c>
      <c r="AC8412">
        <v>1.5584</v>
      </c>
      <c r="AD8412">
        <v>-1.120317968962</v>
      </c>
      <c r="AE8412">
        <v>31.581060000000001</v>
      </c>
      <c r="AF8412">
        <v>1.6336933017241499</v>
      </c>
      <c r="AG8412">
        <v>-1.120317968962</v>
      </c>
      <c r="AH8412">
        <v>31.537557004009098</v>
      </c>
      <c r="AI8412">
        <v>92.031757551246201</v>
      </c>
      <c r="AJ8412">
        <v>87.034642207408396</v>
      </c>
      <c r="AK8412">
        <v>31.599708352084502</v>
      </c>
      <c r="AL8412">
        <v>94.842306635585601</v>
      </c>
      <c r="AM8412">
        <v>87.914990712989706</v>
      </c>
      <c r="AN8412">
        <v>0.99999998930871303</v>
      </c>
    </row>
    <row r="8413" spans="1:40" x14ac:dyDescent="0.25">
      <c r="A8413" t="str">
        <f>"20190303155014399"</f>
        <v>20190303155014399</v>
      </c>
      <c r="B8413" t="str">
        <f>"1551599414389359"</f>
        <v>1551599414389359</v>
      </c>
      <c r="C8413" t="s">
        <v>40</v>
      </c>
      <c r="D8413">
        <v>5.2097689999999997</v>
      </c>
      <c r="E8413">
        <v>0.50482059999999995</v>
      </c>
      <c r="F8413" t="s">
        <v>41</v>
      </c>
      <c r="G8413">
        <v>-186.85130000000001</v>
      </c>
      <c r="H8413" s="1">
        <v>-4.3366710000000002E-6</v>
      </c>
      <c r="I8413">
        <v>108.4397</v>
      </c>
      <c r="J8413">
        <v>-188.44390000000001</v>
      </c>
      <c r="K8413">
        <v>1.12032</v>
      </c>
      <c r="L8413">
        <v>76.348849999999999</v>
      </c>
      <c r="M8413">
        <v>-2.0510900000000002E-3</v>
      </c>
      <c r="N8413">
        <v>-1.462834E-2</v>
      </c>
      <c r="O8413">
        <v>0.99989090000000003</v>
      </c>
      <c r="P8413">
        <v>3.5382139999999999E-2</v>
      </c>
      <c r="Q8413">
        <v>-9.7259769999999995E-2</v>
      </c>
      <c r="R8413">
        <v>0.99462989999999996</v>
      </c>
      <c r="S8413">
        <v>0.14736939999999901</v>
      </c>
      <c r="T8413">
        <v>-0.1036966</v>
      </c>
      <c r="U8413">
        <v>3.0011899999999998</v>
      </c>
      <c r="V8413">
        <v>3.7342599999999997E-2</v>
      </c>
      <c r="W8413">
        <v>-8.273672E-2</v>
      </c>
      <c r="X8413">
        <v>0.99587150000000002</v>
      </c>
      <c r="Y8413">
        <v>5.1065270000000003E-2</v>
      </c>
      <c r="Z8413">
        <v>-1.9863780000000001E-2</v>
      </c>
      <c r="AA8413">
        <v>0.99849779999999999</v>
      </c>
      <c r="AB8413">
        <v>34</v>
      </c>
      <c r="AC8413">
        <v>1.5926</v>
      </c>
      <c r="AD8413">
        <v>-1.1203243366710001</v>
      </c>
      <c r="AE8413">
        <v>32.090850000000003</v>
      </c>
      <c r="AF8413">
        <v>1.65641107444083</v>
      </c>
      <c r="AG8413">
        <v>-1.1203243366710001</v>
      </c>
      <c r="AH8413">
        <v>32.048551419353103</v>
      </c>
      <c r="AI8413">
        <v>91.999412359811302</v>
      </c>
      <c r="AJ8413">
        <v>87.041332964566195</v>
      </c>
      <c r="AK8413">
        <v>32.1108777884658</v>
      </c>
      <c r="AL8413">
        <v>94.745890251047896</v>
      </c>
      <c r="AM8413">
        <v>87.852562871015493</v>
      </c>
      <c r="AN8413">
        <v>0.99999993956168198</v>
      </c>
    </row>
    <row r="8414" spans="1:40" x14ac:dyDescent="0.25">
      <c r="A8414" t="str">
        <f>"20190303155014422"</f>
        <v>20190303155014422</v>
      </c>
      <c r="B8414" t="str">
        <f>"1551599414418640"</f>
        <v>1551599414418640</v>
      </c>
      <c r="C8414" t="s">
        <v>40</v>
      </c>
      <c r="D8414">
        <v>5.2355049999999999</v>
      </c>
      <c r="E8414">
        <v>0.50472439999999996</v>
      </c>
      <c r="F8414" t="s">
        <v>41</v>
      </c>
      <c r="G8414">
        <v>-186.78909999999999</v>
      </c>
      <c r="H8414" s="1">
        <v>-4.8058169999999996E-6</v>
      </c>
      <c r="I8414">
        <v>109.5076</v>
      </c>
      <c r="J8414">
        <v>-188.4442</v>
      </c>
      <c r="K8414">
        <v>1.120325</v>
      </c>
      <c r="L8414">
        <v>76.694670000000002</v>
      </c>
      <c r="M8414">
        <v>-1.6343250000000001E-3</v>
      </c>
      <c r="N8414">
        <v>-1.46243E-2</v>
      </c>
      <c r="O8414">
        <v>0.99989170000000005</v>
      </c>
      <c r="P8414">
        <v>3.7992579999999998E-2</v>
      </c>
      <c r="Q8414">
        <v>-9.684297E-2</v>
      </c>
      <c r="R8414">
        <v>0.99457430000000002</v>
      </c>
      <c r="S8414">
        <v>0.14976500000000001</v>
      </c>
      <c r="T8414">
        <v>-0.1013921</v>
      </c>
      <c r="U8414">
        <v>3.0009459999999999</v>
      </c>
      <c r="V8414">
        <v>3.9538150000000001E-2</v>
      </c>
      <c r="W8414">
        <v>-8.2327049999999999E-2</v>
      </c>
      <c r="X8414">
        <v>0.99582079999999995</v>
      </c>
      <c r="Y8414">
        <v>5.144903E-2</v>
      </c>
      <c r="Z8414">
        <v>-1.91039E-2</v>
      </c>
      <c r="AA8414">
        <v>0.99849290000000002</v>
      </c>
      <c r="AB8414">
        <v>34</v>
      </c>
      <c r="AC8414">
        <v>1.6551</v>
      </c>
      <c r="AD8414">
        <v>-1.1203298058169999</v>
      </c>
      <c r="AE8414">
        <v>32.812929999999902</v>
      </c>
      <c r="AF8414">
        <v>1.70674594468825</v>
      </c>
      <c r="AG8414">
        <v>-1.1203298058169999</v>
      </c>
      <c r="AH8414">
        <v>32.772074138008001</v>
      </c>
      <c r="AI8414">
        <v>91.955274772979607</v>
      </c>
      <c r="AJ8414">
        <v>87.0187705310789</v>
      </c>
      <c r="AK8414">
        <v>32.835605124629602</v>
      </c>
      <c r="AL8414">
        <v>94.722337073985202</v>
      </c>
      <c r="AM8414">
        <v>87.726317965214506</v>
      </c>
      <c r="AN8414">
        <v>1.0000000370898801</v>
      </c>
    </row>
    <row r="8415" spans="1:40" x14ac:dyDescent="0.25">
      <c r="A8415" t="str">
        <f>"20190303155014444"</f>
        <v>20190303155014444</v>
      </c>
      <c r="B8415" t="str">
        <f>"1551599414439136"</f>
        <v>1551599414439136</v>
      </c>
      <c r="C8415" t="s">
        <v>40</v>
      </c>
      <c r="D8415">
        <v>5.1636550000000003</v>
      </c>
      <c r="E8415">
        <v>0.50457339999999995</v>
      </c>
      <c r="F8415" t="s">
        <v>41</v>
      </c>
      <c r="G8415">
        <v>-186.71610000000001</v>
      </c>
      <c r="H8415" s="1">
        <v>-9.1185949999999995E-7</v>
      </c>
      <c r="I8415">
        <v>109.76</v>
      </c>
      <c r="J8415">
        <v>-188.4443</v>
      </c>
      <c r="K8415">
        <v>1.120328</v>
      </c>
      <c r="L8415">
        <v>77.032169999999994</v>
      </c>
      <c r="M8415">
        <v>-1.2230229999999999E-3</v>
      </c>
      <c r="N8415">
        <v>-1.4613579999999999E-2</v>
      </c>
      <c r="O8415">
        <v>0.99989249999999996</v>
      </c>
      <c r="P8415">
        <v>4.0808520000000001E-2</v>
      </c>
      <c r="Q8415">
        <v>-9.7548570000000001E-2</v>
      </c>
      <c r="R8415">
        <v>0.99439379999999999</v>
      </c>
      <c r="S8415">
        <v>0.1568146</v>
      </c>
      <c r="T8415">
        <v>-0.10166219999999999</v>
      </c>
      <c r="U8415">
        <v>3.0004580000000001</v>
      </c>
      <c r="V8415">
        <v>4.1943479999999998E-2</v>
      </c>
      <c r="W8415">
        <v>-8.3048339999999998E-2</v>
      </c>
      <c r="X8415">
        <v>0.99566250000000001</v>
      </c>
      <c r="Y8415">
        <v>5.338524E-2</v>
      </c>
      <c r="Z8415">
        <v>-1.9206259999999999E-2</v>
      </c>
      <c r="AA8415">
        <v>0.99838919999999998</v>
      </c>
      <c r="AB8415">
        <v>34</v>
      </c>
      <c r="AC8415">
        <v>1.72819999999998</v>
      </c>
      <c r="AD8415">
        <v>-1.1203289118594999</v>
      </c>
      <c r="AE8415">
        <v>32.727829999999997</v>
      </c>
      <c r="AF8415">
        <v>1.76616601582657</v>
      </c>
      <c r="AG8415">
        <v>-1.1203289118594999</v>
      </c>
      <c r="AH8415">
        <v>32.687494685852002</v>
      </c>
      <c r="AI8415">
        <v>91.960126232699693</v>
      </c>
      <c r="AJ8415">
        <v>86.907210074672506</v>
      </c>
      <c r="AK8415">
        <v>32.754339988829202</v>
      </c>
      <c r="AL8415">
        <v>94.763805903416298</v>
      </c>
      <c r="AM8415">
        <v>87.587772647258305</v>
      </c>
      <c r="AN8415">
        <v>1.0000000480987501</v>
      </c>
    </row>
    <row r="8416" spans="1:40" x14ac:dyDescent="0.25">
      <c r="A8416" t="str">
        <f>"20190303155014466"</f>
        <v>20190303155014466</v>
      </c>
      <c r="B8416" t="str">
        <f>"1551599414458655"</f>
        <v>1551599414458655</v>
      </c>
      <c r="C8416" t="s">
        <v>40</v>
      </c>
      <c r="D8416">
        <v>5.2524160000000002</v>
      </c>
      <c r="E8416">
        <v>0.50431419999999905</v>
      </c>
      <c r="F8416" t="s">
        <v>41</v>
      </c>
      <c r="G8416">
        <v>-186.68199999999999</v>
      </c>
      <c r="H8416" s="1">
        <v>-4.6785500000000003E-6</v>
      </c>
      <c r="I8416">
        <v>109.1666</v>
      </c>
      <c r="J8416">
        <v>-188.4443</v>
      </c>
      <c r="K8416">
        <v>1.120317</v>
      </c>
      <c r="L8416">
        <v>77.383209999999906</v>
      </c>
      <c r="M8416">
        <v>-7.9134479999999998E-4</v>
      </c>
      <c r="N8416">
        <v>-1.4596059999999999E-2</v>
      </c>
      <c r="O8416">
        <v>0.99989309999999998</v>
      </c>
      <c r="P8416">
        <v>4.3313339999999999E-2</v>
      </c>
      <c r="Q8416">
        <v>-0.1002396</v>
      </c>
      <c r="R8416">
        <v>0.99402009999999996</v>
      </c>
      <c r="S8416">
        <v>0.16452030000000001</v>
      </c>
      <c r="T8416">
        <v>-0.1045885</v>
      </c>
      <c r="U8416">
        <v>2.999908</v>
      </c>
      <c r="V8416">
        <v>4.4015579999999999E-2</v>
      </c>
      <c r="W8416">
        <v>-8.5764010000000002E-2</v>
      </c>
      <c r="X8416">
        <v>0.99534270000000002</v>
      </c>
      <c r="Y8416">
        <v>5.5518520000000002E-2</v>
      </c>
      <c r="Z8416">
        <v>-2.0198500000000001E-2</v>
      </c>
      <c r="AA8416">
        <v>0.99825330000000001</v>
      </c>
      <c r="AB8416">
        <v>34</v>
      </c>
      <c r="AC8416">
        <v>1.76229999999998</v>
      </c>
      <c r="AD8416">
        <v>-1.1203216785500001</v>
      </c>
      <c r="AE8416">
        <v>31.783390000000001</v>
      </c>
      <c r="AF8416">
        <v>1.7852424422731501</v>
      </c>
      <c r="AG8416">
        <v>-1.1203216785500001</v>
      </c>
      <c r="AH8416">
        <v>31.7426669577032</v>
      </c>
      <c r="AI8416">
        <v>92.018164355624904</v>
      </c>
      <c r="AJ8416">
        <v>86.781013543276501</v>
      </c>
      <c r="AK8416">
        <v>31.812562248721601</v>
      </c>
      <c r="AL8416">
        <v>94.919960036769396</v>
      </c>
      <c r="AM8416">
        <v>87.4679424554284</v>
      </c>
      <c r="AN8416">
        <v>0.99999996356865195</v>
      </c>
    </row>
    <row r="8417" spans="1:40" x14ac:dyDescent="0.25">
      <c r="A8417" t="str">
        <f>"20190303155014487"</f>
        <v>20190303155014487</v>
      </c>
      <c r="B8417" t="str">
        <f>"1551599414479151"</f>
        <v>1551599414479151</v>
      </c>
      <c r="C8417" t="s">
        <v>40</v>
      </c>
      <c r="D8417">
        <v>5.1642210000000004</v>
      </c>
      <c r="E8417">
        <v>0.50422279999999997</v>
      </c>
      <c r="F8417" t="s">
        <v>41</v>
      </c>
      <c r="G8417">
        <v>-186.78399999999999</v>
      </c>
      <c r="H8417" s="1">
        <v>-3.5715270000000001E-6</v>
      </c>
      <c r="I8417">
        <v>106.6283</v>
      </c>
      <c r="J8417">
        <v>-188.44409999999999</v>
      </c>
      <c r="K8417">
        <v>1.120301</v>
      </c>
      <c r="L8417">
        <v>77.714839999999995</v>
      </c>
      <c r="M8417">
        <v>-3.792003E-4</v>
      </c>
      <c r="N8417">
        <v>-1.457227E-2</v>
      </c>
      <c r="O8417">
        <v>0.9998937</v>
      </c>
      <c r="P8417">
        <v>4.4887740000000002E-2</v>
      </c>
      <c r="Q8417">
        <v>-0.1025484</v>
      </c>
      <c r="R8417">
        <v>0.99371469999999995</v>
      </c>
      <c r="S8417">
        <v>0.17025760000000001</v>
      </c>
      <c r="T8417">
        <v>-0.11488760000000001</v>
      </c>
      <c r="U8417">
        <v>2.9990540000000001</v>
      </c>
      <c r="V8417">
        <v>4.5177370000000001E-2</v>
      </c>
      <c r="W8417">
        <v>-8.8101830000000006E-2</v>
      </c>
      <c r="X8417">
        <v>0.99508649999999998</v>
      </c>
      <c r="Y8417">
        <v>5.7020000000000001E-2</v>
      </c>
      <c r="Z8417">
        <v>-2.3652179999999998E-2</v>
      </c>
      <c r="AA8417">
        <v>0.9980928</v>
      </c>
      <c r="AB8417">
        <v>34</v>
      </c>
      <c r="AC8417">
        <v>1.6600999999999699</v>
      </c>
      <c r="AD8417">
        <v>-1.1203045715269999</v>
      </c>
      <c r="AE8417">
        <v>28.913459999999901</v>
      </c>
      <c r="AF8417">
        <v>1.6685682211745501</v>
      </c>
      <c r="AG8417">
        <v>-1.1203045715269999</v>
      </c>
      <c r="AH8417">
        <v>28.869628325245401</v>
      </c>
      <c r="AI8417">
        <v>92.218585933110703</v>
      </c>
      <c r="AJ8417">
        <v>86.692174994609701</v>
      </c>
      <c r="AK8417">
        <v>28.939499682605199</v>
      </c>
      <c r="AL8417">
        <v>95.054415960162501</v>
      </c>
      <c r="AM8417">
        <v>87.400531136641604</v>
      </c>
      <c r="AN8417">
        <v>1.00000003484585</v>
      </c>
    </row>
    <row r="8418" spans="1:40" x14ac:dyDescent="0.25">
      <c r="A8418" t="str">
        <f>"20190303155014510"</f>
        <v>20190303155014510</v>
      </c>
      <c r="B8418" t="str">
        <f>"1551599414498671"</f>
        <v>1551599414498671</v>
      </c>
      <c r="C8418" t="s">
        <v>40</v>
      </c>
      <c r="D8418">
        <v>5.1849259999999999</v>
      </c>
      <c r="E8418">
        <v>0.50406090000000003</v>
      </c>
      <c r="F8418" t="s">
        <v>41</v>
      </c>
      <c r="G8418">
        <v>-186.85159999999999</v>
      </c>
      <c r="H8418" s="1">
        <v>-2.9189379999999999E-6</v>
      </c>
      <c r="I8418">
        <v>105.13509999999999</v>
      </c>
      <c r="J8418">
        <v>-188.44380000000001</v>
      </c>
      <c r="K8418">
        <v>1.120285</v>
      </c>
      <c r="L8418">
        <v>78.047030000000007</v>
      </c>
      <c r="M8418" s="1">
        <v>4.325057E-5</v>
      </c>
      <c r="N8418">
        <v>-1.454152E-2</v>
      </c>
      <c r="O8418">
        <v>0.99989430000000001</v>
      </c>
      <c r="P8418">
        <v>4.6677759999999999E-2</v>
      </c>
      <c r="Q8418">
        <v>-0.10381460000000001</v>
      </c>
      <c r="R8418">
        <v>0.99350070000000001</v>
      </c>
      <c r="S8418">
        <v>0.17414859999999999</v>
      </c>
      <c r="T8418">
        <v>-0.122508199999999</v>
      </c>
      <c r="U8418">
        <v>2.9984739999999999</v>
      </c>
      <c r="V8418">
        <v>4.6545179999999998E-2</v>
      </c>
      <c r="W8418">
        <v>-8.940331E-2</v>
      </c>
      <c r="X8418">
        <v>0.99490730000000005</v>
      </c>
      <c r="Y8418">
        <v>5.7894960000000002E-2</v>
      </c>
      <c r="Z8418">
        <v>-2.6220549999999999E-2</v>
      </c>
      <c r="AA8418">
        <v>0.99797829999999998</v>
      </c>
      <c r="AB8418">
        <v>34</v>
      </c>
      <c r="AC8418">
        <v>1.5922000000000101</v>
      </c>
      <c r="AD8418">
        <v>-1.1202879189379999</v>
      </c>
      <c r="AE8418">
        <v>27.088069999999899</v>
      </c>
      <c r="AF8418">
        <v>1.5883209553672599</v>
      </c>
      <c r="AG8418">
        <v>-1.1202879189379999</v>
      </c>
      <c r="AH8418">
        <v>27.042044798898601</v>
      </c>
      <c r="AI8418">
        <v>92.368195276956598</v>
      </c>
      <c r="AJ8418">
        <v>86.638580605818504</v>
      </c>
      <c r="AK8418">
        <v>27.1118054615368</v>
      </c>
      <c r="AL8418">
        <v>95.129281042949202</v>
      </c>
      <c r="AM8418">
        <v>87.321459706268001</v>
      </c>
      <c r="AN8418">
        <v>0.99999997060673795</v>
      </c>
    </row>
    <row r="8419" spans="1:40" x14ac:dyDescent="0.25">
      <c r="A8419" t="str">
        <f>"20190303155014535"</f>
        <v>20190303155014535</v>
      </c>
      <c r="B8419" t="str">
        <f>"1551599414528927"</f>
        <v>1551599414528927</v>
      </c>
      <c r="C8419" t="s">
        <v>40</v>
      </c>
      <c r="D8419">
        <v>5.122636</v>
      </c>
      <c r="E8419">
        <v>0.47348030000000002</v>
      </c>
      <c r="F8419" t="s">
        <v>41</v>
      </c>
      <c r="G8419">
        <v>-186.8716</v>
      </c>
      <c r="H8419" s="1">
        <v>-2.6429639999999998E-6</v>
      </c>
      <c r="I8419">
        <v>104.5</v>
      </c>
      <c r="J8419">
        <v>-188.44329999999999</v>
      </c>
      <c r="K8419">
        <v>1.1202589999999999</v>
      </c>
      <c r="L8419">
        <v>78.432950000000005</v>
      </c>
      <c r="M8419">
        <v>5.5279519999999998E-4</v>
      </c>
      <c r="N8419">
        <v>-1.4503250000000001E-2</v>
      </c>
      <c r="O8419">
        <v>0.99989470000000003</v>
      </c>
      <c r="P8419">
        <v>4.8440579999999997E-2</v>
      </c>
      <c r="Q8419">
        <v>-0.1047408</v>
      </c>
      <c r="R8419">
        <v>0.99331910000000001</v>
      </c>
      <c r="S8419">
        <v>0.17819209999999999</v>
      </c>
      <c r="T8419">
        <v>-0.12696499999999999</v>
      </c>
      <c r="U8419">
        <v>2.997986</v>
      </c>
      <c r="V8419">
        <v>4.7798220000000002E-2</v>
      </c>
      <c r="W8419">
        <v>-9.0372460000000002E-2</v>
      </c>
      <c r="X8419">
        <v>0.99476030000000004</v>
      </c>
      <c r="Y8419">
        <v>5.8733680000000003E-2</v>
      </c>
      <c r="Z8419">
        <v>-2.774397E-2</v>
      </c>
      <c r="AA8419">
        <v>0.99788809999999994</v>
      </c>
      <c r="AB8419">
        <v>34</v>
      </c>
      <c r="AC8419">
        <v>1.5716999999999901</v>
      </c>
      <c r="AD8419">
        <v>-1.120261642964</v>
      </c>
      <c r="AE8419">
        <v>26.067049999999899</v>
      </c>
      <c r="AF8419">
        <v>1.55442795284862</v>
      </c>
      <c r="AG8419">
        <v>-1.120261642964</v>
      </c>
      <c r="AH8419">
        <v>26.0200313138842</v>
      </c>
      <c r="AI8419">
        <v>92.460897526465402</v>
      </c>
      <c r="AJ8419">
        <v>86.581232462456995</v>
      </c>
      <c r="AK8419">
        <v>26.090482210660799</v>
      </c>
      <c r="AL8419">
        <v>95.185035041489897</v>
      </c>
      <c r="AM8419">
        <v>87.249054336544802</v>
      </c>
      <c r="AN8419">
        <v>0.99999995290885402</v>
      </c>
    </row>
    <row r="8420" spans="1:40" x14ac:dyDescent="0.25">
      <c r="A8420" t="str">
        <f>"20190303155014557"</f>
        <v>20190303155014557</v>
      </c>
      <c r="B8420" t="str">
        <f>"1551599414549423"</f>
        <v>1551599414549423</v>
      </c>
      <c r="C8420" t="s">
        <v>40</v>
      </c>
      <c r="D8420">
        <v>5.0681830000000003</v>
      </c>
      <c r="E8420">
        <v>0.47161579999999897</v>
      </c>
      <c r="F8420" t="s">
        <v>41</v>
      </c>
      <c r="G8420">
        <v>-188.8185</v>
      </c>
      <c r="H8420" s="1">
        <v>-3.1989029999999999E-6</v>
      </c>
      <c r="I8420">
        <v>96.600960000000001</v>
      </c>
      <c r="J8420">
        <v>-188.4427</v>
      </c>
      <c r="K8420">
        <v>1.1202259999999999</v>
      </c>
      <c r="L8420">
        <v>78.770659999999907</v>
      </c>
      <c r="M8420">
        <v>1.0220239999999901E-3</v>
      </c>
      <c r="N8420">
        <v>-1.447096E-2</v>
      </c>
      <c r="O8420">
        <v>0.99989470000000003</v>
      </c>
      <c r="P8420">
        <v>5.0211289999999999E-2</v>
      </c>
      <c r="Q8420">
        <v>-0.10616680000000001</v>
      </c>
      <c r="R8420">
        <v>0.99307979999999996</v>
      </c>
      <c r="S8420">
        <v>-6.2026980000000002E-2</v>
      </c>
      <c r="T8420">
        <v>-0.1852114</v>
      </c>
      <c r="U8420">
        <v>3.0036930000000002</v>
      </c>
      <c r="V8420">
        <v>4.9097769999999999E-2</v>
      </c>
      <c r="W8420">
        <v>-9.1836799999999996E-2</v>
      </c>
      <c r="X8420">
        <v>0.99456290000000003</v>
      </c>
      <c r="Y8420">
        <v>-2.163292E-2</v>
      </c>
      <c r="Z8420">
        <v>-4.708043E-2</v>
      </c>
      <c r="AA8420">
        <v>0.99865680000000001</v>
      </c>
      <c r="AB8420">
        <v>34</v>
      </c>
      <c r="AC8420">
        <v>-0.37579999999999802</v>
      </c>
      <c r="AD8420">
        <v>-1.120229198903</v>
      </c>
      <c r="AE8420">
        <v>17.830300000000001</v>
      </c>
      <c r="AF8420">
        <v>-0.39247618745801899</v>
      </c>
      <c r="AG8420">
        <v>-1.120229198903</v>
      </c>
      <c r="AH8420">
        <v>17.759834890406101</v>
      </c>
      <c r="AI8420">
        <v>93.608360139077206</v>
      </c>
      <c r="AJ8420">
        <v>91.265978519363202</v>
      </c>
      <c r="AK8420">
        <v>17.799457473481699</v>
      </c>
      <c r="AL8420">
        <v>95.269285807832006</v>
      </c>
      <c r="AM8420">
        <v>87.173820629248496</v>
      </c>
      <c r="AN8420">
        <v>0.99999997545481101</v>
      </c>
    </row>
    <row r="8421" spans="1:40" x14ac:dyDescent="0.25">
      <c r="A8421" t="str">
        <f>"20190303155014578"</f>
        <v>20190303155014578</v>
      </c>
      <c r="B8421" t="str">
        <f>"1551599414568943"</f>
        <v>1551599414568943</v>
      </c>
      <c r="C8421" t="s">
        <v>40</v>
      </c>
      <c r="D8421">
        <v>5.0617929999999998</v>
      </c>
      <c r="E8421">
        <v>0.47047430000000001</v>
      </c>
      <c r="F8421" t="s">
        <v>41</v>
      </c>
      <c r="G8421">
        <v>-188.86429999999999</v>
      </c>
      <c r="H8421" s="1">
        <v>-3.1325009999999999E-6</v>
      </c>
      <c r="I8421">
        <v>96.465100000000007</v>
      </c>
      <c r="J8421">
        <v>-188.4419</v>
      </c>
      <c r="K8421">
        <v>1.1201859999999999</v>
      </c>
      <c r="L8421">
        <v>79.09836</v>
      </c>
      <c r="M8421">
        <v>1.508038E-3</v>
      </c>
      <c r="N8421">
        <v>-1.4441259999999999E-2</v>
      </c>
      <c r="O8421">
        <v>0.99989459999999997</v>
      </c>
      <c r="P8421">
        <v>5.1491729999999999E-2</v>
      </c>
      <c r="Q8421">
        <v>-0.10917200000000001</v>
      </c>
      <c r="R8421">
        <v>0.99268829999999997</v>
      </c>
      <c r="S8421">
        <v>-7.157898E-2</v>
      </c>
      <c r="T8421">
        <v>-0.1901938</v>
      </c>
      <c r="U8421">
        <v>3.004181</v>
      </c>
      <c r="V8421">
        <v>4.9887699999999903E-2</v>
      </c>
      <c r="W8421">
        <v>-9.4880110000000004E-2</v>
      </c>
      <c r="X8421">
        <v>0.99423790000000001</v>
      </c>
      <c r="Y8421">
        <v>-2.5284919999999999E-2</v>
      </c>
      <c r="Z8421">
        <v>-4.874481E-2</v>
      </c>
      <c r="AA8421">
        <v>0.99849120000000002</v>
      </c>
      <c r="AB8421">
        <v>34</v>
      </c>
      <c r="AC8421">
        <v>-0.42239999999998101</v>
      </c>
      <c r="AD8421">
        <v>-1.1201891325010001</v>
      </c>
      <c r="AE8421">
        <v>17.36674</v>
      </c>
      <c r="AF8421">
        <v>-0.44673441222513299</v>
      </c>
      <c r="AG8421">
        <v>-1.1201891325010001</v>
      </c>
      <c r="AH8421">
        <v>17.294173223337701</v>
      </c>
      <c r="AI8421">
        <v>93.704789021359304</v>
      </c>
      <c r="AJ8421">
        <v>91.4797067900288</v>
      </c>
      <c r="AK8421">
        <v>17.3361709384295</v>
      </c>
      <c r="AL8421">
        <v>95.444419398682996</v>
      </c>
      <c r="AM8421">
        <v>87.127488866249394</v>
      </c>
      <c r="AN8421">
        <v>1.0000000098406501</v>
      </c>
    </row>
    <row r="8422" spans="1:40" x14ac:dyDescent="0.25">
      <c r="A8422" t="str">
        <f>"20190303155014600"</f>
        <v>20190303155014600</v>
      </c>
      <c r="B8422" t="str">
        <f>"1551599414589438"</f>
        <v>1551599414589438</v>
      </c>
      <c r="C8422" t="s">
        <v>40</v>
      </c>
      <c r="D8422">
        <v>5.0928490000000002</v>
      </c>
      <c r="E8422">
        <v>0.46998180000000001</v>
      </c>
      <c r="F8422" t="s">
        <v>41</v>
      </c>
      <c r="G8422">
        <v>-188.8699</v>
      </c>
      <c r="H8422" s="1">
        <v>-2.8354259999999999E-6</v>
      </c>
      <c r="I8422">
        <v>95.774919999999995</v>
      </c>
      <c r="J8422">
        <v>-188.441</v>
      </c>
      <c r="K8422">
        <v>1.1201479999999999</v>
      </c>
      <c r="L8422">
        <v>79.417850000000001</v>
      </c>
      <c r="M8422">
        <v>2.0143079999999998E-3</v>
      </c>
      <c r="N8422">
        <v>-1.441419E-2</v>
      </c>
      <c r="O8422">
        <v>0.99989410000000001</v>
      </c>
      <c r="P8422">
        <v>5.2935200000000002E-2</v>
      </c>
      <c r="Q8422">
        <v>-0.11154849999999999</v>
      </c>
      <c r="R8422">
        <v>0.99234809999999996</v>
      </c>
      <c r="S8422">
        <v>-7.7087399999999903E-2</v>
      </c>
      <c r="T8422">
        <v>-0.2017767</v>
      </c>
      <c r="U8422">
        <v>3.0039060000000002</v>
      </c>
      <c r="V8422">
        <v>5.0820270000000001E-2</v>
      </c>
      <c r="W8422">
        <v>-9.7292000000000003E-2</v>
      </c>
      <c r="X8422">
        <v>0.99395750000000005</v>
      </c>
      <c r="Y8422">
        <v>-2.761597E-2</v>
      </c>
      <c r="Z8422">
        <v>-5.2607349999999997E-2</v>
      </c>
      <c r="AA8422">
        <v>0.99823340000000005</v>
      </c>
      <c r="AB8422">
        <v>34</v>
      </c>
      <c r="AC8422">
        <v>-0.42890000000002698</v>
      </c>
      <c r="AD8422">
        <v>-1.1201508354259999</v>
      </c>
      <c r="AE8422">
        <v>16.357069999999901</v>
      </c>
      <c r="AF8422">
        <v>-0.45969638768342203</v>
      </c>
      <c r="AG8422">
        <v>-1.1201508354259999</v>
      </c>
      <c r="AH8422">
        <v>16.279878034835502</v>
      </c>
      <c r="AI8422">
        <v>93.934517818314205</v>
      </c>
      <c r="AJ8422">
        <v>91.617436318107707</v>
      </c>
      <c r="AK8422">
        <v>16.324842648309801</v>
      </c>
      <c r="AL8422">
        <v>95.583253137594397</v>
      </c>
      <c r="AM8422">
        <v>87.073060338180895</v>
      </c>
      <c r="AN8422">
        <v>0.99999997245656103</v>
      </c>
    </row>
    <row r="8423" spans="1:40" x14ac:dyDescent="0.25">
      <c r="A8423" t="str">
        <f>"20190303155014623"</f>
        <v>20190303155014623</v>
      </c>
      <c r="B8423" t="str">
        <f>"1551599414618720"</f>
        <v>1551599414618720</v>
      </c>
      <c r="C8423" t="s">
        <v>40</v>
      </c>
      <c r="D8423">
        <v>5.0423600000000004</v>
      </c>
      <c r="E8423">
        <v>0.46975850000000002</v>
      </c>
      <c r="F8423" t="s">
        <v>41</v>
      </c>
      <c r="G8423">
        <v>-188.85</v>
      </c>
      <c r="H8423" s="1">
        <v>-2.6743669999999999E-6</v>
      </c>
      <c r="I8423">
        <v>95.391300000000001</v>
      </c>
      <c r="J8423">
        <v>-188.43969999999999</v>
      </c>
      <c r="K8423">
        <v>1.1201080000000001</v>
      </c>
      <c r="L8423">
        <v>79.763490000000004</v>
      </c>
      <c r="M8423">
        <v>2.6024469999999999E-3</v>
      </c>
      <c r="N8423">
        <v>-1.439725E-2</v>
      </c>
      <c r="O8423">
        <v>0.99989300000000003</v>
      </c>
      <c r="P8423">
        <v>5.4036809999999998E-2</v>
      </c>
      <c r="Q8423">
        <v>-0.11339050000000001</v>
      </c>
      <c r="R8423">
        <v>0.99207999999999996</v>
      </c>
      <c r="S8423">
        <v>-7.6919559999999998E-2</v>
      </c>
      <c r="T8423">
        <v>-0.2106256</v>
      </c>
      <c r="U8423">
        <v>3.0035400000000001</v>
      </c>
      <c r="V8423">
        <v>5.1329149999999997E-2</v>
      </c>
      <c r="W8423">
        <v>-9.9158540000000003E-2</v>
      </c>
      <c r="X8423">
        <v>0.99374689999999999</v>
      </c>
      <c r="Y8423">
        <v>-2.8146339999999999E-2</v>
      </c>
      <c r="Z8423">
        <v>-5.5558669999999998E-2</v>
      </c>
      <c r="AA8423">
        <v>0.99805860000000002</v>
      </c>
      <c r="AB8423">
        <v>34</v>
      </c>
      <c r="AC8423">
        <v>-0.41030000000000599</v>
      </c>
      <c r="AD8423">
        <v>-1.120110674367</v>
      </c>
      <c r="AE8423">
        <v>15.627809999999901</v>
      </c>
      <c r="AF8423">
        <v>-0.44867005633225399</v>
      </c>
      <c r="AG8423">
        <v>-1.120110674367</v>
      </c>
      <c r="AH8423">
        <v>15.546876926821801</v>
      </c>
      <c r="AI8423">
        <v>94.119177357158193</v>
      </c>
      <c r="AJ8423">
        <v>91.653050167269001</v>
      </c>
      <c r="AK8423">
        <v>15.593631229448199</v>
      </c>
      <c r="AL8423">
        <v>95.690717543225901</v>
      </c>
      <c r="AM8423">
        <v>87.043178281900495</v>
      </c>
      <c r="AN8423">
        <v>0.99999999947713203</v>
      </c>
    </row>
    <row r="8424" spans="1:40" x14ac:dyDescent="0.25">
      <c r="A8424" t="str">
        <f>"20190303155014645"</f>
        <v>20190303155014645</v>
      </c>
      <c r="B8424" t="str">
        <f>"1551599414639215"</f>
        <v>1551599414639215</v>
      </c>
      <c r="C8424" t="s">
        <v>40</v>
      </c>
      <c r="D8424">
        <v>5.0588680000000004</v>
      </c>
      <c r="E8424">
        <v>0.46951959999999998</v>
      </c>
      <c r="F8424" t="s">
        <v>41</v>
      </c>
      <c r="G8424">
        <v>-188.83439999999999</v>
      </c>
      <c r="H8424" s="1">
        <v>-2.6988939999999999E-6</v>
      </c>
      <c r="I8424">
        <v>95.442009999999996</v>
      </c>
      <c r="J8424">
        <v>-188.43809999999999</v>
      </c>
      <c r="K8424">
        <v>1.1200730000000001</v>
      </c>
      <c r="L8424">
        <v>80.116579999999999</v>
      </c>
      <c r="M8424">
        <v>3.2537619999999999E-3</v>
      </c>
      <c r="N8424">
        <v>-1.439092E-2</v>
      </c>
      <c r="O8424">
        <v>0.99989119999999998</v>
      </c>
      <c r="P8424">
        <v>5.5092580000000002E-2</v>
      </c>
      <c r="Q8424">
        <v>-0.1145123</v>
      </c>
      <c r="R8424">
        <v>0.99189300000000002</v>
      </c>
      <c r="S8424">
        <v>-7.5622560000000005E-2</v>
      </c>
      <c r="T8424">
        <v>-0.21457989999999999</v>
      </c>
      <c r="U8424">
        <v>3.0035400000000001</v>
      </c>
      <c r="V8424">
        <v>5.1729369999999997E-2</v>
      </c>
      <c r="W8424">
        <v>-0.10029349999999999</v>
      </c>
      <c r="X8424">
        <v>0.99361219999999995</v>
      </c>
      <c r="Y8424">
        <v>-2.8364509999999999E-2</v>
      </c>
      <c r="Z8424">
        <v>-5.6872279999999997E-2</v>
      </c>
      <c r="AA8424">
        <v>0.99797840000000004</v>
      </c>
      <c r="AB8424">
        <v>34</v>
      </c>
      <c r="AC8424">
        <v>-0.39629999999999599</v>
      </c>
      <c r="AD8424">
        <v>-1.1200756988939999</v>
      </c>
      <c r="AE8424">
        <v>15.3254299999999</v>
      </c>
      <c r="AF8424">
        <v>-0.44379936151184901</v>
      </c>
      <c r="AG8424">
        <v>-1.1200756988939999</v>
      </c>
      <c r="AH8424">
        <v>15.2426936601286</v>
      </c>
      <c r="AI8424">
        <v>94.200926442634994</v>
      </c>
      <c r="AJ8424">
        <v>91.6677268073107</v>
      </c>
      <c r="AK8424">
        <v>15.2902334011308</v>
      </c>
      <c r="AL8424">
        <v>95.756071994028304</v>
      </c>
      <c r="AM8424">
        <v>87.019761715630693</v>
      </c>
      <c r="AN8424">
        <v>0.99999995892584204</v>
      </c>
    </row>
    <row r="8425" spans="1:40" x14ac:dyDescent="0.25">
      <c r="A8425" t="str">
        <f>"20190303155014667"</f>
        <v>20190303155014667</v>
      </c>
      <c r="B8425" t="str">
        <f>"1551599414659712"</f>
        <v>1551599414659712</v>
      </c>
      <c r="C8425" t="s">
        <v>40</v>
      </c>
      <c r="D8425">
        <v>5.0344660000000001</v>
      </c>
      <c r="E8425">
        <v>0.46922409999999998</v>
      </c>
      <c r="F8425" t="s">
        <v>41</v>
      </c>
      <c r="G8425">
        <v>-188.82419999999999</v>
      </c>
      <c r="H8425" s="1">
        <v>-2.7610019999999898E-6</v>
      </c>
      <c r="I8425">
        <v>95.582560000000001</v>
      </c>
      <c r="J8425">
        <v>-188.43639999999999</v>
      </c>
      <c r="K8425">
        <v>1.120053</v>
      </c>
      <c r="L8425">
        <v>80.443939999999998</v>
      </c>
      <c r="M8425">
        <v>3.8992160000000001E-3</v>
      </c>
      <c r="N8425">
        <v>-1.4388639999999999E-2</v>
      </c>
      <c r="O8425">
        <v>0.99988889999999997</v>
      </c>
      <c r="P8425">
        <v>5.5308839999999998E-2</v>
      </c>
      <c r="Q8425">
        <v>-0.11372989999999999</v>
      </c>
      <c r="R8425">
        <v>0.99197100000000005</v>
      </c>
      <c r="S8425">
        <v>-7.4981690000000004E-2</v>
      </c>
      <c r="T8425">
        <v>-0.2175243</v>
      </c>
      <c r="U8425">
        <v>3.003571</v>
      </c>
      <c r="V8425">
        <v>5.1298070000000001E-2</v>
      </c>
      <c r="W8425">
        <v>-9.9515329999999999E-2</v>
      </c>
      <c r="X8425">
        <v>0.99371279999999995</v>
      </c>
      <c r="Y8425">
        <v>-2.8794839999999999E-2</v>
      </c>
      <c r="Z8425">
        <v>-5.7846500000000002E-2</v>
      </c>
      <c r="AA8425">
        <v>0.99791010000000002</v>
      </c>
      <c r="AB8425">
        <v>34</v>
      </c>
      <c r="AC8425">
        <v>-0.38779999999999798</v>
      </c>
      <c r="AD8425">
        <v>-1.1200557610020001</v>
      </c>
      <c r="AE8425">
        <v>15.13862</v>
      </c>
      <c r="AF8425">
        <v>-0.44440084492360798</v>
      </c>
      <c r="AG8425">
        <v>-1.1200557610020001</v>
      </c>
      <c r="AH8425">
        <v>15.054637214392701</v>
      </c>
      <c r="AI8425">
        <v>94.253085797394803</v>
      </c>
      <c r="AJ8425">
        <v>91.6908345597178</v>
      </c>
      <c r="AK8425">
        <v>15.102785129760001</v>
      </c>
      <c r="AL8425">
        <v>95.711261940134307</v>
      </c>
      <c r="AM8425">
        <v>87.044864250288995</v>
      </c>
      <c r="AN8425">
        <v>0.99999996088728604</v>
      </c>
    </row>
    <row r="8426" spans="1:40" x14ac:dyDescent="0.25">
      <c r="A8426" t="str">
        <f>"20190303155014688"</f>
        <v>20190303155014688</v>
      </c>
      <c r="B8426" t="str">
        <f>"1551599414679231"</f>
        <v>1551599414679231</v>
      </c>
      <c r="C8426" t="s">
        <v>40</v>
      </c>
      <c r="D8426">
        <v>5.0488999999999997</v>
      </c>
      <c r="E8426">
        <v>0.4690648</v>
      </c>
      <c r="F8426" t="s">
        <v>41</v>
      </c>
      <c r="G8426">
        <v>-188.8398</v>
      </c>
      <c r="H8426" s="1">
        <v>-3.023343E-6</v>
      </c>
      <c r="I8426">
        <v>96.200530000000001</v>
      </c>
      <c r="J8426">
        <v>-188.43450000000001</v>
      </c>
      <c r="K8426">
        <v>1.120025</v>
      </c>
      <c r="L8426">
        <v>80.775509999999997</v>
      </c>
      <c r="M8426">
        <v>4.608043E-3</v>
      </c>
      <c r="N8426">
        <v>-1.438938E-2</v>
      </c>
      <c r="O8426">
        <v>0.99988589999999999</v>
      </c>
      <c r="P8426">
        <v>5.4829959999999997E-2</v>
      </c>
      <c r="Q8426">
        <v>-0.11091620000000001</v>
      </c>
      <c r="R8426">
        <v>0.99231610000000003</v>
      </c>
      <c r="S8426">
        <v>-7.6904299999999995E-2</v>
      </c>
      <c r="T8426">
        <v>-0.2135454</v>
      </c>
      <c r="U8426">
        <v>3.004089</v>
      </c>
      <c r="V8426">
        <v>5.0108840000000002E-2</v>
      </c>
      <c r="W8426">
        <v>-9.6698939999999997E-2</v>
      </c>
      <c r="X8426">
        <v>0.99405149999999998</v>
      </c>
      <c r="Y8426">
        <v>-3.013878E-2</v>
      </c>
      <c r="Z8426">
        <v>-5.6515849999999999E-2</v>
      </c>
      <c r="AA8426">
        <v>0.99794669999999996</v>
      </c>
      <c r="AB8426">
        <v>34</v>
      </c>
      <c r="AC8426">
        <v>-0.40529999999998201</v>
      </c>
      <c r="AD8426">
        <v>-1.120028023343</v>
      </c>
      <c r="AE8426">
        <v>15.42502</v>
      </c>
      <c r="AF8426">
        <v>-0.47388542960683699</v>
      </c>
      <c r="AG8426">
        <v>-1.120028023343</v>
      </c>
      <c r="AH8426">
        <v>15.342154577098899</v>
      </c>
      <c r="AI8426">
        <v>94.173391062543303</v>
      </c>
      <c r="AJ8426">
        <v>91.769178192199803</v>
      </c>
      <c r="AK8426">
        <v>15.390280609562099</v>
      </c>
      <c r="AL8426">
        <v>95.549112263854198</v>
      </c>
      <c r="AM8426">
        <v>87.114237083430893</v>
      </c>
      <c r="AN8426">
        <v>0.99999998274775903</v>
      </c>
    </row>
    <row r="8427" spans="1:40" x14ac:dyDescent="0.25">
      <c r="A8427" t="str">
        <f>"20190303155014711"</f>
        <v>20190303155014711</v>
      </c>
      <c r="B8427" t="str">
        <f>"1551599414698751"</f>
        <v>1551599414698751</v>
      </c>
      <c r="C8427" t="s">
        <v>40</v>
      </c>
      <c r="D8427">
        <v>5.0655140000000003</v>
      </c>
      <c r="E8427">
        <v>0.46889560000000002</v>
      </c>
      <c r="F8427" t="s">
        <v>41</v>
      </c>
      <c r="G8427">
        <v>-188.8723</v>
      </c>
      <c r="H8427" s="1">
        <v>-3.4655979999999998E-6</v>
      </c>
      <c r="I8427">
        <v>97.244870000000006</v>
      </c>
      <c r="J8427">
        <v>-188.43219999999999</v>
      </c>
      <c r="K8427">
        <v>1.119988</v>
      </c>
      <c r="L8427">
        <v>81.111789999999999</v>
      </c>
      <c r="M8427">
        <v>5.4032860000000002E-3</v>
      </c>
      <c r="N8427">
        <v>-1.4396829999999999E-2</v>
      </c>
      <c r="O8427">
        <v>0.99988169999999998</v>
      </c>
      <c r="P8427">
        <v>5.422635E-2</v>
      </c>
      <c r="Q8427">
        <v>-0.1082598</v>
      </c>
      <c r="R8427">
        <v>0.99264260000000004</v>
      </c>
      <c r="S8427">
        <v>-7.9879759999999994E-2</v>
      </c>
      <c r="T8427">
        <v>-0.20434630000000001</v>
      </c>
      <c r="U8427">
        <v>3.004791</v>
      </c>
      <c r="V8427">
        <v>4.8705560000000002E-2</v>
      </c>
      <c r="W8427">
        <v>-9.4034599999999996E-2</v>
      </c>
      <c r="X8427">
        <v>0.99437679999999995</v>
      </c>
      <c r="Y8427">
        <v>-3.1919370000000002E-2</v>
      </c>
      <c r="Z8427">
        <v>-5.3447679999999997E-2</v>
      </c>
      <c r="AA8427">
        <v>0.99806030000000001</v>
      </c>
      <c r="AB8427">
        <v>34</v>
      </c>
      <c r="AC8427">
        <v>-0.44010000000000099</v>
      </c>
      <c r="AD8427">
        <v>-1.1199914655979999</v>
      </c>
      <c r="AE8427">
        <v>16.1330799999999</v>
      </c>
      <c r="AF8427">
        <v>-0.52474716329779003</v>
      </c>
      <c r="AG8427">
        <v>-1.1199914655979999</v>
      </c>
      <c r="AH8427">
        <v>16.0531568221184</v>
      </c>
      <c r="AI8427">
        <v>93.9888029356853</v>
      </c>
      <c r="AJ8427">
        <v>91.872223414299</v>
      </c>
      <c r="AK8427">
        <v>16.100732418866102</v>
      </c>
      <c r="AL8427">
        <v>95.395757839147805</v>
      </c>
      <c r="AM8427">
        <v>87.195837093327796</v>
      </c>
      <c r="AN8427">
        <v>0.99999997897515602</v>
      </c>
    </row>
    <row r="8428" spans="1:40" x14ac:dyDescent="0.25">
      <c r="A8428" t="str">
        <f>"20190303155014736"</f>
        <v>20190303155014736</v>
      </c>
      <c r="B8428" t="str">
        <f>"1551599414729007"</f>
        <v>1551599414729007</v>
      </c>
      <c r="C8428" t="s">
        <v>40</v>
      </c>
      <c r="D8428">
        <v>5.0815469999999996</v>
      </c>
      <c r="E8428">
        <v>0.46890029999999999</v>
      </c>
      <c r="F8428" t="s">
        <v>41</v>
      </c>
      <c r="G8428">
        <v>-188.90969999999999</v>
      </c>
      <c r="H8428" s="1">
        <v>-3.9335009999999999E-6</v>
      </c>
      <c r="I8428">
        <v>98.351029999999994</v>
      </c>
      <c r="J8428">
        <v>-188.42920000000001</v>
      </c>
      <c r="K8428">
        <v>1.11992</v>
      </c>
      <c r="L8428">
        <v>81.481290000000001</v>
      </c>
      <c r="M8428">
        <v>6.3839689999999998E-3</v>
      </c>
      <c r="N8428">
        <v>-1.4411119999999999E-2</v>
      </c>
      <c r="O8428">
        <v>0.99987579999999998</v>
      </c>
      <c r="P8428">
        <v>5.2887629999999998E-2</v>
      </c>
      <c r="Q8428">
        <v>-0.106849</v>
      </c>
      <c r="R8428">
        <v>0.99286759999999996</v>
      </c>
      <c r="S8428">
        <v>-8.3251950000000005E-2</v>
      </c>
      <c r="T8428">
        <v>-0.19525960000000001</v>
      </c>
      <c r="U8428">
        <v>3.005493</v>
      </c>
      <c r="V8428">
        <v>4.637587E-2</v>
      </c>
      <c r="W8428">
        <v>-9.2611109999999996E-2</v>
      </c>
      <c r="X8428">
        <v>0.9946218</v>
      </c>
      <c r="Y8428">
        <v>-3.4016270000000001E-2</v>
      </c>
      <c r="Z8428">
        <v>-5.0408969999999997E-2</v>
      </c>
      <c r="AA8428">
        <v>0.99814919999999996</v>
      </c>
      <c r="AB8428">
        <v>34</v>
      </c>
      <c r="AC8428">
        <v>-0.480499999999977</v>
      </c>
      <c r="AD8428">
        <v>-1.1199239335010001</v>
      </c>
      <c r="AE8428">
        <v>16.86974</v>
      </c>
      <c r="AF8428">
        <v>-0.58561845509483301</v>
      </c>
      <c r="AG8428">
        <v>-1.1199239335010001</v>
      </c>
      <c r="AH8428">
        <v>16.7923813778762</v>
      </c>
      <c r="AI8428">
        <v>93.813230485131498</v>
      </c>
      <c r="AJ8428">
        <v>91.997326791935095</v>
      </c>
      <c r="AK8428">
        <v>16.839870870402201</v>
      </c>
      <c r="AL8428">
        <v>95.313840082327701</v>
      </c>
      <c r="AM8428">
        <v>87.330423936208803</v>
      </c>
      <c r="AN8428">
        <v>1.00000003202446</v>
      </c>
    </row>
    <row r="8429" spans="1:40" x14ac:dyDescent="0.25">
      <c r="A8429" t="str">
        <f>"20190303155014759"</f>
        <v>20190303155014759</v>
      </c>
      <c r="B8429" t="str">
        <f>"1551599414749503"</f>
        <v>1551599414749503</v>
      </c>
      <c r="C8429" t="s">
        <v>40</v>
      </c>
      <c r="D8429">
        <v>5.0895349999999997</v>
      </c>
      <c r="E8429">
        <v>0.4689316</v>
      </c>
      <c r="F8429" t="s">
        <v>41</v>
      </c>
      <c r="G8429">
        <v>-188.9434</v>
      </c>
      <c r="H8429" s="1">
        <v>-4.2415E-6</v>
      </c>
      <c r="I8429">
        <v>99.082920000000001</v>
      </c>
      <c r="J8429">
        <v>-188.42599999999999</v>
      </c>
      <c r="K8429">
        <v>1.1198300000000001</v>
      </c>
      <c r="L8429">
        <v>81.826229999999995</v>
      </c>
      <c r="M8429">
        <v>7.4190890000000002E-3</v>
      </c>
      <c r="N8429">
        <v>-1.4426100000000001E-2</v>
      </c>
      <c r="O8429">
        <v>0.99986839999999999</v>
      </c>
      <c r="P8429">
        <v>5.0485330000000002E-2</v>
      </c>
      <c r="Q8429">
        <v>-0.10831590000000001</v>
      </c>
      <c r="R8429">
        <v>0.99283379999999999</v>
      </c>
      <c r="S8429">
        <v>-8.7799070000000007E-2</v>
      </c>
      <c r="T8429">
        <v>-0.19123780000000001</v>
      </c>
      <c r="U8429">
        <v>3.005646</v>
      </c>
      <c r="V8429">
        <v>4.2921750000000002E-2</v>
      </c>
      <c r="W8429">
        <v>-9.4066330000000004E-2</v>
      </c>
      <c r="X8429">
        <v>0.99464030000000003</v>
      </c>
      <c r="Y8429">
        <v>-3.6559090000000002E-2</v>
      </c>
      <c r="Z8429">
        <v>-4.9055309999999998E-2</v>
      </c>
      <c r="AA8429">
        <v>0.99812670000000003</v>
      </c>
      <c r="AB8429">
        <v>34</v>
      </c>
      <c r="AC8429">
        <v>-0.51740000000000896</v>
      </c>
      <c r="AD8429">
        <v>-1.11983424149999</v>
      </c>
      <c r="AE8429">
        <v>17.256689999999899</v>
      </c>
      <c r="AF8429">
        <v>-0.64272387769668604</v>
      </c>
      <c r="AG8429">
        <v>-1.11983424149999</v>
      </c>
      <c r="AH8429">
        <v>17.1800943224947</v>
      </c>
      <c r="AI8429">
        <v>93.726782539508307</v>
      </c>
      <c r="AJ8429">
        <v>92.142491146361706</v>
      </c>
      <c r="AK8429">
        <v>17.228545023919299</v>
      </c>
      <c r="AL8429">
        <v>95.397583605083696</v>
      </c>
      <c r="AM8429">
        <v>87.529046117449596</v>
      </c>
      <c r="AN8429">
        <v>1.00000003872341</v>
      </c>
    </row>
    <row r="8430" spans="1:40" x14ac:dyDescent="0.25">
      <c r="A8430" t="str">
        <f>"20190303155014780"</f>
        <v>20190303155014780</v>
      </c>
      <c r="B8430" t="str">
        <f>"1551599414769024"</f>
        <v>1551599414769024</v>
      </c>
      <c r="C8430" t="s">
        <v>40</v>
      </c>
      <c r="D8430">
        <v>5.1125639999999999</v>
      </c>
      <c r="E8430">
        <v>0.49629119999999999</v>
      </c>
      <c r="F8430" t="s">
        <v>41</v>
      </c>
      <c r="G8430">
        <v>-188.96629999999999</v>
      </c>
      <c r="H8430" s="1">
        <v>-4.1533240000000004E-6</v>
      </c>
      <c r="I8430">
        <v>98.886840000000007</v>
      </c>
      <c r="J8430">
        <v>-188.42269999999999</v>
      </c>
      <c r="K8430">
        <v>1.119734</v>
      </c>
      <c r="L8430">
        <v>82.143190000000004</v>
      </c>
      <c r="M8430">
        <v>8.4877549999999996E-3</v>
      </c>
      <c r="N8430">
        <v>-1.443961E-2</v>
      </c>
      <c r="O8430">
        <v>0.99985970000000002</v>
      </c>
      <c r="P8430">
        <v>4.8423939999999999E-2</v>
      </c>
      <c r="Q8430">
        <v>-0.1097344</v>
      </c>
      <c r="R8430">
        <v>0.99278069999999896</v>
      </c>
      <c r="S8430">
        <v>-9.5153810000000005E-2</v>
      </c>
      <c r="T8430">
        <v>-0.19724430000000001</v>
      </c>
      <c r="U8430">
        <v>3.0050050000000001</v>
      </c>
      <c r="V8430">
        <v>3.9773969999999999E-2</v>
      </c>
      <c r="W8430">
        <v>-9.5474439999999994E-2</v>
      </c>
      <c r="X8430">
        <v>0.99463699999999999</v>
      </c>
      <c r="Y8430">
        <v>-4.0068079999999999E-2</v>
      </c>
      <c r="Z8430">
        <v>-5.1034089999999997E-2</v>
      </c>
      <c r="AA8430">
        <v>0.99789280000000002</v>
      </c>
      <c r="AB8430">
        <v>34</v>
      </c>
      <c r="AC8430">
        <v>-0.54359999999999697</v>
      </c>
      <c r="AD8430">
        <v>-1.1197381533239901</v>
      </c>
      <c r="AE8430">
        <v>16.743649999999999</v>
      </c>
      <c r="AF8430">
        <v>-0.68266137013214001</v>
      </c>
      <c r="AG8430">
        <v>-1.1197381533239901</v>
      </c>
      <c r="AH8430">
        <v>16.663984150612801</v>
      </c>
      <c r="AI8430">
        <v>93.841005002331698</v>
      </c>
      <c r="AJ8430">
        <v>92.345882975851694</v>
      </c>
      <c r="AK8430">
        <v>16.715508004549399</v>
      </c>
      <c r="AL8430">
        <v>95.478627073383194</v>
      </c>
      <c r="AM8430">
        <v>87.710051928767001</v>
      </c>
      <c r="AN8430">
        <v>1.00000004957593</v>
      </c>
    </row>
    <row r="8431" spans="1:40" x14ac:dyDescent="0.25">
      <c r="A8431" t="str">
        <f>"20190303155014803"</f>
        <v>20190303155014803</v>
      </c>
      <c r="B8431" t="str">
        <f>"1551599414799279"</f>
        <v>1551599414799279</v>
      </c>
      <c r="C8431" t="s">
        <v>40</v>
      </c>
      <c r="D8431">
        <v>5.0691290000000002</v>
      </c>
      <c r="E8431">
        <v>0.50358479999999906</v>
      </c>
      <c r="F8431" t="s">
        <v>41</v>
      </c>
      <c r="G8431">
        <v>-187.38380000000001</v>
      </c>
      <c r="H8431" s="1">
        <v>-4.4036669999999996E-6</v>
      </c>
      <c r="I8431">
        <v>108.81610000000001</v>
      </c>
      <c r="J8431">
        <v>-188.4186</v>
      </c>
      <c r="K8431">
        <v>1.1196390000000001</v>
      </c>
      <c r="L8431">
        <v>82.481960000000001</v>
      </c>
      <c r="M8431">
        <v>9.7529320000000006E-3</v>
      </c>
      <c r="N8431">
        <v>-1.445337E-2</v>
      </c>
      <c r="O8431">
        <v>0.99984799999999996</v>
      </c>
      <c r="P8431">
        <v>4.6164770000000001E-2</v>
      </c>
      <c r="Q8431">
        <v>-0.10975849999999999</v>
      </c>
      <c r="R8431">
        <v>0.99288560000000003</v>
      </c>
      <c r="S8431">
        <v>0.11692809999999999</v>
      </c>
      <c r="T8431">
        <v>-0.12603210000000001</v>
      </c>
      <c r="U8431">
        <v>3.002167</v>
      </c>
      <c r="V8431">
        <v>3.6232840000000002E-2</v>
      </c>
      <c r="W8431">
        <v>-9.5484070000000004E-2</v>
      </c>
      <c r="X8431">
        <v>0.99477130000000002</v>
      </c>
      <c r="Y8431">
        <v>2.914342E-2</v>
      </c>
      <c r="Z8431">
        <v>-2.7473379999999999E-2</v>
      </c>
      <c r="AA8431">
        <v>0.99919760000000002</v>
      </c>
      <c r="AB8431">
        <v>34</v>
      </c>
      <c r="AC8431">
        <v>1.03479999999999</v>
      </c>
      <c r="AD8431">
        <v>-1.119643403667</v>
      </c>
      <c r="AE8431">
        <v>26.334140000000001</v>
      </c>
      <c r="AF8431">
        <v>0.77648739630525998</v>
      </c>
      <c r="AG8431">
        <v>-1.119643403667</v>
      </c>
      <c r="AH8431">
        <v>26.2955200888881</v>
      </c>
      <c r="AI8431">
        <v>92.437077302882102</v>
      </c>
      <c r="AJ8431">
        <v>88.308589219864601</v>
      </c>
      <c r="AK8431">
        <v>26.330797761805801</v>
      </c>
      <c r="AL8431">
        <v>95.479181730970197</v>
      </c>
      <c r="AM8431">
        <v>87.914021543471193</v>
      </c>
      <c r="AN8431">
        <v>0.99999998281096003</v>
      </c>
    </row>
    <row r="8432" spans="1:40" x14ac:dyDescent="0.25">
      <c r="A8432" t="str">
        <f>"20190303155014825"</f>
        <v>20190303155014825</v>
      </c>
      <c r="B8432" t="str">
        <f>"1551599414818799"</f>
        <v>1551599414818799</v>
      </c>
      <c r="C8432" t="s">
        <v>40</v>
      </c>
      <c r="D8432">
        <v>5.0589959999999996</v>
      </c>
      <c r="E8432">
        <v>0.50601019999999997</v>
      </c>
      <c r="F8432" t="s">
        <v>41</v>
      </c>
      <c r="G8432">
        <v>-186.86080000000001</v>
      </c>
      <c r="H8432" s="1">
        <v>-1.063029E-6</v>
      </c>
      <c r="I8432">
        <v>110.31740000000001</v>
      </c>
      <c r="J8432">
        <v>-188.4136</v>
      </c>
      <c r="K8432">
        <v>1.11955</v>
      </c>
      <c r="L8432">
        <v>82.837590000000006</v>
      </c>
      <c r="M8432">
        <v>1.1198960000000001E-2</v>
      </c>
      <c r="N8432">
        <v>-1.446661E-2</v>
      </c>
      <c r="O8432">
        <v>0.99983259999999996</v>
      </c>
      <c r="P8432">
        <v>4.5762890000000001E-2</v>
      </c>
      <c r="Q8432">
        <v>-0.1084396</v>
      </c>
      <c r="R8432">
        <v>0.99304910000000002</v>
      </c>
      <c r="S8432">
        <v>0.16790769999999999</v>
      </c>
      <c r="T8432">
        <v>-0.1206855</v>
      </c>
      <c r="U8432">
        <v>3.0003660000000001</v>
      </c>
      <c r="V8432">
        <v>3.4373889999999997E-2</v>
      </c>
      <c r="W8432">
        <v>-9.41523999999999E-2</v>
      </c>
      <c r="X8432">
        <v>0.99496419999999997</v>
      </c>
      <c r="Y8432">
        <v>4.4652780000000003E-2</v>
      </c>
      <c r="Z8432">
        <v>-2.5681289999999999E-2</v>
      </c>
      <c r="AA8432">
        <v>0.99867240000000002</v>
      </c>
      <c r="AB8432">
        <v>34</v>
      </c>
      <c r="AC8432">
        <v>1.55279999999999</v>
      </c>
      <c r="AD8432">
        <v>-1.119551063029</v>
      </c>
      <c r="AE8432">
        <v>27.479809999999901</v>
      </c>
      <c r="AF8432">
        <v>1.2428687216140399</v>
      </c>
      <c r="AG8432">
        <v>-1.119551063029</v>
      </c>
      <c r="AH8432">
        <v>27.450060861668899</v>
      </c>
      <c r="AI8432">
        <v>92.333127012900206</v>
      </c>
      <c r="AJ8432">
        <v>87.407563855700204</v>
      </c>
      <c r="AK8432">
        <v>27.5009810470685</v>
      </c>
      <c r="AL8432">
        <v>95.402537251820505</v>
      </c>
      <c r="AM8432">
        <v>88.021340041546793</v>
      </c>
      <c r="AN8432">
        <v>0.99999999901056602</v>
      </c>
    </row>
    <row r="8433" spans="1:40" x14ac:dyDescent="0.25">
      <c r="A8433" t="str">
        <f>"20190303155014848"</f>
        <v>20190303155014848</v>
      </c>
      <c r="B8433" t="str">
        <f>"1551599414839295"</f>
        <v>1551599414839295</v>
      </c>
      <c r="C8433" t="s">
        <v>40</v>
      </c>
      <c r="D8433">
        <v>5.087974</v>
      </c>
      <c r="E8433">
        <v>0.50765289999999996</v>
      </c>
      <c r="F8433" t="s">
        <v>41</v>
      </c>
      <c r="G8433">
        <v>-186.56620000000001</v>
      </c>
      <c r="H8433" s="1">
        <v>-1.9486490000000002E-6</v>
      </c>
      <c r="I8433">
        <v>112.6895</v>
      </c>
      <c r="J8433">
        <v>-188.4084</v>
      </c>
      <c r="K8433">
        <v>1.1194850000000001</v>
      </c>
      <c r="L8433">
        <v>83.173950000000005</v>
      </c>
      <c r="M8433">
        <v>1.264466E-2</v>
      </c>
      <c r="N8433">
        <v>-1.4477510000000001E-2</v>
      </c>
      <c r="O8433">
        <v>0.99981520000000002</v>
      </c>
      <c r="P8433">
        <v>4.5265439999999997E-2</v>
      </c>
      <c r="Q8433">
        <v>-0.1079751</v>
      </c>
      <c r="R8433">
        <v>0.99312259999999997</v>
      </c>
      <c r="S8433">
        <v>0.1856689</v>
      </c>
      <c r="T8433">
        <v>-0.1125164</v>
      </c>
      <c r="U8433">
        <v>3.0001530000000001</v>
      </c>
      <c r="V8433">
        <v>3.2424189999999999E-2</v>
      </c>
      <c r="W8433">
        <v>-9.3675560000000005E-2</v>
      </c>
      <c r="X8433">
        <v>0.99507460000000003</v>
      </c>
      <c r="Y8433">
        <v>4.9106850000000001E-2</v>
      </c>
      <c r="Z8433">
        <v>-2.294875E-2</v>
      </c>
      <c r="AA8433">
        <v>0.99852989999999997</v>
      </c>
      <c r="AB8433">
        <v>34</v>
      </c>
      <c r="AC8433">
        <v>1.8421999999999901</v>
      </c>
      <c r="AD8433">
        <v>-1.119486948649</v>
      </c>
      <c r="AE8433">
        <v>29.515549999999902</v>
      </c>
      <c r="AF8433">
        <v>1.46669767742028</v>
      </c>
      <c r="AG8433">
        <v>-1.119486948649</v>
      </c>
      <c r="AH8433">
        <v>29.494220891203099</v>
      </c>
      <c r="AI8433">
        <v>92.171003396484807</v>
      </c>
      <c r="AJ8433">
        <v>87.153123013998893</v>
      </c>
      <c r="AK8433">
        <v>29.551878435798699</v>
      </c>
      <c r="AL8433">
        <v>95.375095315181596</v>
      </c>
      <c r="AM8433">
        <v>88.133695547011101</v>
      </c>
      <c r="AN8433">
        <v>0.999999949101813</v>
      </c>
    </row>
    <row r="8434" spans="1:40" x14ac:dyDescent="0.25">
      <c r="A8434" t="str">
        <f>"20190303155014870"</f>
        <v>20190303155014870</v>
      </c>
      <c r="B8434" t="str">
        <f>"1551599414858816"</f>
        <v>1551599414858816</v>
      </c>
      <c r="C8434" t="s">
        <v>40</v>
      </c>
      <c r="D8434">
        <v>5.2832189999999999</v>
      </c>
      <c r="E8434">
        <v>0.50849440000000001</v>
      </c>
      <c r="F8434" t="s">
        <v>41</v>
      </c>
      <c r="G8434">
        <v>-186.38</v>
      </c>
      <c r="H8434" s="1">
        <v>-2.5228440000000002E-6</v>
      </c>
      <c r="I8434">
        <v>114.0168</v>
      </c>
      <c r="J8434">
        <v>-188.40280000000001</v>
      </c>
      <c r="K8434">
        <v>1.119442</v>
      </c>
      <c r="L8434">
        <v>83.497990000000001</v>
      </c>
      <c r="M8434">
        <v>1.408687E-2</v>
      </c>
      <c r="N8434">
        <v>-1.448635E-2</v>
      </c>
      <c r="O8434">
        <v>0.99979589999999996</v>
      </c>
      <c r="P8434">
        <v>4.6949339999999999E-2</v>
      </c>
      <c r="Q8434">
        <v>-0.1083633</v>
      </c>
      <c r="R8434">
        <v>0.9930021</v>
      </c>
      <c r="S8434">
        <v>0.1972961</v>
      </c>
      <c r="T8434">
        <v>-0.1088874</v>
      </c>
      <c r="U8434">
        <v>2.9999389999999999</v>
      </c>
      <c r="V8434">
        <v>3.2664230000000002E-2</v>
      </c>
      <c r="W8434">
        <v>-9.4060260000000007E-2</v>
      </c>
      <c r="X8434">
        <v>0.99503050000000004</v>
      </c>
      <c r="Y8434">
        <v>5.1526049999999997E-2</v>
      </c>
      <c r="Z8434">
        <v>-2.1730200000000002E-2</v>
      </c>
      <c r="AA8434">
        <v>0.99843519999999997</v>
      </c>
      <c r="AB8434">
        <v>34</v>
      </c>
      <c r="AC8434">
        <v>2.0228000000000099</v>
      </c>
      <c r="AD8434">
        <v>-1.119444522844</v>
      </c>
      <c r="AE8434">
        <v>30.518809999999998</v>
      </c>
      <c r="AF8434">
        <v>1.5905090469299099</v>
      </c>
      <c r="AG8434">
        <v>-1.119444522844</v>
      </c>
      <c r="AH8434">
        <v>30.503417507694301</v>
      </c>
      <c r="AI8434">
        <v>92.098905101804206</v>
      </c>
      <c r="AJ8434">
        <v>87.015186810079996</v>
      </c>
      <c r="AK8434">
        <v>30.565362008600601</v>
      </c>
      <c r="AL8434">
        <v>95.397234533613897</v>
      </c>
      <c r="AM8434">
        <v>88.119805693307995</v>
      </c>
      <c r="AN8434">
        <v>0.99999999018150498</v>
      </c>
    </row>
    <row r="8435" spans="1:40" x14ac:dyDescent="0.25">
      <c r="A8435" t="str">
        <f>"20190303155014892"</f>
        <v>20190303155014892</v>
      </c>
      <c r="B8435" t="str">
        <f>"1551599414879311"</f>
        <v>1551599414879311</v>
      </c>
      <c r="C8435" t="s">
        <v>40</v>
      </c>
      <c r="D8435">
        <v>5.0855259999999998</v>
      </c>
      <c r="E8435">
        <v>0.5095018</v>
      </c>
      <c r="F8435" t="s">
        <v>41</v>
      </c>
      <c r="G8435">
        <v>-186.39410000000001</v>
      </c>
      <c r="H8435" s="1">
        <v>-1.8751329999999999E-6</v>
      </c>
      <c r="I8435">
        <v>112.3389</v>
      </c>
      <c r="J8435">
        <v>-188.39680000000001</v>
      </c>
      <c r="K8435">
        <v>1.119413</v>
      </c>
      <c r="L8435">
        <v>83.823300000000003</v>
      </c>
      <c r="M8435">
        <v>1.555665E-2</v>
      </c>
      <c r="N8435">
        <v>-1.449372E-2</v>
      </c>
      <c r="O8435">
        <v>0.99977389999999999</v>
      </c>
      <c r="P8435">
        <v>4.9982289999999999E-2</v>
      </c>
      <c r="Q8435">
        <v>-0.1088103</v>
      </c>
      <c r="R8435">
        <v>0.99280520000000005</v>
      </c>
      <c r="S8435">
        <v>0.208847</v>
      </c>
      <c r="T8435">
        <v>-0.1163867</v>
      </c>
      <c r="U8435">
        <v>2.998535</v>
      </c>
      <c r="V8435">
        <v>3.4231379999999999E-2</v>
      </c>
      <c r="W8435">
        <v>-9.450857E-2</v>
      </c>
      <c r="X8435">
        <v>0.99493529999999997</v>
      </c>
      <c r="Y8435">
        <v>5.391112E-2</v>
      </c>
      <c r="Z8435">
        <v>-2.4224180000000001E-2</v>
      </c>
      <c r="AA8435">
        <v>0.99825189999999997</v>
      </c>
      <c r="AB8435">
        <v>34</v>
      </c>
      <c r="AC8435">
        <v>2.0026999999999999</v>
      </c>
      <c r="AD8435">
        <v>-1.119414875133</v>
      </c>
      <c r="AE8435">
        <v>28.5155999999999</v>
      </c>
      <c r="AF8435">
        <v>1.5564170265397399</v>
      </c>
      <c r="AG8435">
        <v>-1.119414875133</v>
      </c>
      <c r="AH8435">
        <v>28.499603337442799</v>
      </c>
      <c r="AI8435">
        <v>92.245979013156301</v>
      </c>
      <c r="AJ8435">
        <v>86.874074724605904</v>
      </c>
      <c r="AK8435">
        <v>28.564014318977499</v>
      </c>
      <c r="AL8435">
        <v>95.423035937390097</v>
      </c>
      <c r="AM8435">
        <v>88.029479655638497</v>
      </c>
      <c r="AN8435">
        <v>0.99999995418311804</v>
      </c>
    </row>
    <row r="8436" spans="1:40" x14ac:dyDescent="0.25">
      <c r="A8436" t="str">
        <f>"20190303155014913"</f>
        <v>20190303155014913</v>
      </c>
      <c r="B8436" t="str">
        <f>"1551599414908592"</f>
        <v>1551599414908592</v>
      </c>
      <c r="C8436" t="s">
        <v>40</v>
      </c>
      <c r="D8436">
        <v>5.2276119999999997</v>
      </c>
      <c r="E8436">
        <v>0.51023759999999996</v>
      </c>
      <c r="F8436" t="s">
        <v>41</v>
      </c>
      <c r="G8436">
        <v>-186.2448</v>
      </c>
      <c r="H8436" s="1">
        <v>-1.9280239999999998E-6</v>
      </c>
      <c r="I8436">
        <v>112.3776</v>
      </c>
      <c r="J8436">
        <v>-188.39019999999999</v>
      </c>
      <c r="K8436">
        <v>1.11941</v>
      </c>
      <c r="L8436">
        <v>84.151309999999995</v>
      </c>
      <c r="M8436">
        <v>1.7028890000000001E-2</v>
      </c>
      <c r="N8436">
        <v>-1.4499690000000001E-2</v>
      </c>
      <c r="O8436">
        <v>0.99974980000000002</v>
      </c>
      <c r="P8436">
        <v>5.384365E-2</v>
      </c>
      <c r="Q8436">
        <v>-0.1082991</v>
      </c>
      <c r="R8436">
        <v>0.99265919999999996</v>
      </c>
      <c r="S8436">
        <v>0.22590640000000001</v>
      </c>
      <c r="T8436">
        <v>-0.1175112</v>
      </c>
      <c r="U8436">
        <v>2.9974980000000002</v>
      </c>
      <c r="V8436">
        <v>3.6631419999999998E-2</v>
      </c>
      <c r="W8436">
        <v>-9.4000280000000005E-2</v>
      </c>
      <c r="X8436">
        <v>0.99489799999999995</v>
      </c>
      <c r="Y8436">
        <v>5.8113169999999999E-2</v>
      </c>
      <c r="Z8436">
        <v>-2.4592650000000001E-2</v>
      </c>
      <c r="AA8436">
        <v>0.99800710000000004</v>
      </c>
      <c r="AB8436">
        <v>34</v>
      </c>
      <c r="AC8436">
        <v>2.1453999999999902</v>
      </c>
      <c r="AD8436">
        <v>-1.119411928024</v>
      </c>
      <c r="AE8436">
        <v>28.226289999999999</v>
      </c>
      <c r="AF8436">
        <v>1.6617772735581799</v>
      </c>
      <c r="AG8436">
        <v>-1.119411928024</v>
      </c>
      <c r="AH8436">
        <v>28.2146129660544</v>
      </c>
      <c r="AI8436">
        <v>92.268086246685499</v>
      </c>
      <c r="AJ8436">
        <v>86.629301385718605</v>
      </c>
      <c r="AK8436">
        <v>28.2856672467836</v>
      </c>
      <c r="AL8436">
        <v>95.393782736971104</v>
      </c>
      <c r="AM8436">
        <v>87.891363633512597</v>
      </c>
      <c r="AN8436">
        <v>0.99999997198764601</v>
      </c>
    </row>
    <row r="8437" spans="1:40" x14ac:dyDescent="0.25">
      <c r="A8437" t="str">
        <f>"20190303155014936"</f>
        <v>20190303155014936</v>
      </c>
      <c r="B8437" t="str">
        <f>"1551599414929087"</f>
        <v>1551599414929087</v>
      </c>
      <c r="C8437" t="s">
        <v>40</v>
      </c>
      <c r="D8437">
        <v>5.1146349999999998</v>
      </c>
      <c r="E8437">
        <v>0.51037469999999996</v>
      </c>
      <c r="F8437" t="s">
        <v>41</v>
      </c>
      <c r="G8437">
        <v>-186.14320000000001</v>
      </c>
      <c r="H8437" s="1">
        <v>-1.7562020000000001E-6</v>
      </c>
      <c r="I8437">
        <v>111.7933</v>
      </c>
      <c r="J8437">
        <v>-188.38249999999999</v>
      </c>
      <c r="K8437">
        <v>1.1194329999999999</v>
      </c>
      <c r="L8437">
        <v>84.507840000000002</v>
      </c>
      <c r="M8437">
        <v>1.8587220000000002E-2</v>
      </c>
      <c r="N8437">
        <v>-1.4504619999999999E-2</v>
      </c>
      <c r="O8437">
        <v>0.999722</v>
      </c>
      <c r="P8437">
        <v>5.7551339999999999E-2</v>
      </c>
      <c r="Q8437">
        <v>-0.10728269999999999</v>
      </c>
      <c r="R8437">
        <v>0.99256149999999999</v>
      </c>
      <c r="S8437">
        <v>0.24351500000000001</v>
      </c>
      <c r="T8437">
        <v>-0.12131749999999999</v>
      </c>
      <c r="U8437">
        <v>2.9957280000000002</v>
      </c>
      <c r="V8437">
        <v>3.8797959999999999E-2</v>
      </c>
      <c r="W8437">
        <v>-9.2984310000000001E-2</v>
      </c>
      <c r="X8437">
        <v>0.9949114</v>
      </c>
      <c r="Y8437">
        <v>6.2426240000000001E-2</v>
      </c>
      <c r="Z8437">
        <v>-2.5861220000000001E-2</v>
      </c>
      <c r="AA8437">
        <v>0.99771449999999995</v>
      </c>
      <c r="AB8437">
        <v>33</v>
      </c>
      <c r="AC8437">
        <v>2.2392999999999801</v>
      </c>
      <c r="AD8437">
        <v>-1.1194347562019999</v>
      </c>
      <c r="AE8437">
        <v>27.285459999999901</v>
      </c>
      <c r="AF8437">
        <v>1.7288083867541599</v>
      </c>
      <c r="AG8437">
        <v>-1.1194347562019999</v>
      </c>
      <c r="AH8437">
        <v>27.2767669751188</v>
      </c>
      <c r="AI8437">
        <v>92.345391295558102</v>
      </c>
      <c r="AJ8437">
        <v>86.373429864143802</v>
      </c>
      <c r="AK8437">
        <v>27.354413340929799</v>
      </c>
      <c r="AL8437">
        <v>95.335315551258901</v>
      </c>
      <c r="AM8437">
        <v>87.766802595093793</v>
      </c>
      <c r="AN8437">
        <v>1.0000000287281401</v>
      </c>
    </row>
    <row r="8438" spans="1:40" x14ac:dyDescent="0.25">
      <c r="A8438" t="str">
        <f>"20190303155014960"</f>
        <v>20190303155014960</v>
      </c>
      <c r="B8438" t="str">
        <f>"1551599414949584"</f>
        <v>1551599414949584</v>
      </c>
      <c r="C8438" t="s">
        <v>40</v>
      </c>
      <c r="D8438">
        <v>5.1017150000000004</v>
      </c>
      <c r="E8438">
        <v>0.51082729999999998</v>
      </c>
      <c r="F8438" t="s">
        <v>41</v>
      </c>
      <c r="G8438">
        <v>-186.10659999999999</v>
      </c>
      <c r="H8438" s="1">
        <v>-1.5568479999999999E-6</v>
      </c>
      <c r="I8438">
        <v>111.1788</v>
      </c>
      <c r="J8438">
        <v>-188.3749</v>
      </c>
      <c r="K8438">
        <v>1.1194710000000001</v>
      </c>
      <c r="L8438">
        <v>84.843959999999996</v>
      </c>
      <c r="M8438">
        <v>1.9989949999999999E-2</v>
      </c>
      <c r="N8438">
        <v>-1.4507880000000001E-2</v>
      </c>
      <c r="O8438">
        <v>0.99969490000000005</v>
      </c>
      <c r="P8438">
        <v>6.041738E-2</v>
      </c>
      <c r="Q8438">
        <v>-0.1060893</v>
      </c>
      <c r="R8438">
        <v>0.99251940000000005</v>
      </c>
      <c r="S8438">
        <v>0.25549319999999998</v>
      </c>
      <c r="T8438">
        <v>-0.12566759999999999</v>
      </c>
      <c r="U8438">
        <v>2.9940799999999999</v>
      </c>
      <c r="V8438">
        <v>4.0281369999999997E-2</v>
      </c>
      <c r="W8438">
        <v>-9.1788190000000006E-2</v>
      </c>
      <c r="X8438">
        <v>0.9949635</v>
      </c>
      <c r="Y8438">
        <v>6.5028890000000006E-2</v>
      </c>
      <c r="Z8438">
        <v>-2.7315119999999998E-2</v>
      </c>
      <c r="AA8438">
        <v>0.99750950000000005</v>
      </c>
      <c r="AB8438">
        <v>33</v>
      </c>
      <c r="AC8438">
        <v>2.2683</v>
      </c>
      <c r="AD8438">
        <v>-1.119472556848</v>
      </c>
      <c r="AE8438">
        <v>26.33484</v>
      </c>
      <c r="AF8438">
        <v>1.73824117854369</v>
      </c>
      <c r="AG8438">
        <v>-1.119472556848</v>
      </c>
      <c r="AH8438">
        <v>26.327700059069901</v>
      </c>
      <c r="AI8438">
        <v>92.429507596338894</v>
      </c>
      <c r="AJ8438">
        <v>86.222626813872907</v>
      </c>
      <c r="AK8438">
        <v>26.408757857965799</v>
      </c>
      <c r="AL8438">
        <v>95.266488645699297</v>
      </c>
      <c r="AM8438">
        <v>87.681630756233204</v>
      </c>
      <c r="AN8438">
        <v>1.0000000134624001</v>
      </c>
    </row>
    <row r="8439" spans="1:40" x14ac:dyDescent="0.25">
      <c r="A8439" t="str">
        <f>"20190303155014980"</f>
        <v>20190303155014980</v>
      </c>
      <c r="B8439" t="str">
        <f>"1551599414969103"</f>
        <v>1551599414969103</v>
      </c>
      <c r="C8439" t="s">
        <v>40</v>
      </c>
      <c r="D8439">
        <v>5.1333840000000004</v>
      </c>
      <c r="E8439">
        <v>0.51118640000000004</v>
      </c>
      <c r="F8439" t="s">
        <v>41</v>
      </c>
      <c r="G8439">
        <v>-185.90620000000001</v>
      </c>
      <c r="H8439" s="1">
        <v>-2.0507530000000001E-6</v>
      </c>
      <c r="I8439">
        <v>112.4734</v>
      </c>
      <c r="J8439">
        <v>-188.3674</v>
      </c>
      <c r="K8439">
        <v>1.1195219999999999</v>
      </c>
      <c r="L8439">
        <v>85.153719999999893</v>
      </c>
      <c r="M8439">
        <v>2.1204870000000001E-2</v>
      </c>
      <c r="N8439">
        <v>-1.4509889999999999E-2</v>
      </c>
      <c r="O8439">
        <v>0.99966980000000005</v>
      </c>
      <c r="P8439">
        <v>6.2000739999999999E-2</v>
      </c>
      <c r="Q8439">
        <v>-0.1055089</v>
      </c>
      <c r="R8439">
        <v>0.99248369999999997</v>
      </c>
      <c r="S8439">
        <v>0.26745609999999997</v>
      </c>
      <c r="T8439">
        <v>-0.1212825</v>
      </c>
      <c r="U8439">
        <v>2.993347</v>
      </c>
      <c r="V8439">
        <v>4.0670030000000003E-2</v>
      </c>
      <c r="W8439">
        <v>-9.1201539999999998E-2</v>
      </c>
      <c r="X8439">
        <v>0.99500160000000004</v>
      </c>
      <c r="Y8439">
        <v>6.7795980000000006E-2</v>
      </c>
      <c r="Z8439">
        <v>-2.5855110000000001E-2</v>
      </c>
      <c r="AA8439">
        <v>0.99736420000000003</v>
      </c>
      <c r="AB8439">
        <v>33</v>
      </c>
      <c r="AC8439">
        <v>2.4611999999999901</v>
      </c>
      <c r="AD8439">
        <v>-1.119524050753</v>
      </c>
      <c r="AE8439">
        <v>27.319680000000002</v>
      </c>
      <c r="AF8439">
        <v>1.8781467103821201</v>
      </c>
      <c r="AG8439">
        <v>-1.119524050753</v>
      </c>
      <c r="AH8439">
        <v>27.3202226702304</v>
      </c>
      <c r="AI8439">
        <v>92.341026038614004</v>
      </c>
      <c r="AJ8439">
        <v>86.067351281073002</v>
      </c>
      <c r="AK8439">
        <v>27.407578074629399</v>
      </c>
      <c r="AL8439">
        <v>95.232734681901704</v>
      </c>
      <c r="AM8439">
        <v>87.659375962777702</v>
      </c>
      <c r="AN8439">
        <v>0.99999997812056596</v>
      </c>
    </row>
    <row r="8440" spans="1:40" x14ac:dyDescent="0.25">
      <c r="A8440" t="str">
        <f>"20190303155015003"</f>
        <v>20190303155015003</v>
      </c>
      <c r="B8440" t="str">
        <f>"1551599414999360"</f>
        <v>1551599414999360</v>
      </c>
      <c r="C8440" t="s">
        <v>40</v>
      </c>
      <c r="D8440">
        <v>5.2041680000000001</v>
      </c>
      <c r="E8440">
        <v>0.51172790000000001</v>
      </c>
      <c r="F8440" t="s">
        <v>41</v>
      </c>
      <c r="G8440">
        <v>-185.78489999999999</v>
      </c>
      <c r="H8440" s="1">
        <v>-2.3579470000000001E-6</v>
      </c>
      <c r="I8440">
        <v>113.2813</v>
      </c>
      <c r="J8440">
        <v>-188.35919999999999</v>
      </c>
      <c r="K8440">
        <v>1.1195930000000001</v>
      </c>
      <c r="L8440">
        <v>85.482849999999999</v>
      </c>
      <c r="M8440">
        <v>2.239323E-2</v>
      </c>
      <c r="N8440">
        <v>-1.451094E-2</v>
      </c>
      <c r="O8440">
        <v>0.99964390000000003</v>
      </c>
      <c r="P8440">
        <v>6.3173510000000002E-2</v>
      </c>
      <c r="Q8440">
        <v>-0.1055551</v>
      </c>
      <c r="R8440">
        <v>0.99240479999999998</v>
      </c>
      <c r="S8440">
        <v>0.27479550000000003</v>
      </c>
      <c r="T8440">
        <v>-0.1191219</v>
      </c>
      <c r="U8440">
        <v>2.9928889999999999</v>
      </c>
      <c r="V8440">
        <v>4.0677909999999998E-2</v>
      </c>
      <c r="W8440">
        <v>-9.1240119999999994E-2</v>
      </c>
      <c r="X8440">
        <v>0.99499769999999998</v>
      </c>
      <c r="Y8440">
        <v>6.9050879999999995E-2</v>
      </c>
      <c r="Z8440">
        <v>-2.513574E-2</v>
      </c>
      <c r="AA8440">
        <v>0.99729650000000003</v>
      </c>
      <c r="AB8440">
        <v>33</v>
      </c>
      <c r="AC8440">
        <v>2.5742999999999898</v>
      </c>
      <c r="AD8440">
        <v>-1.1195953579469999</v>
      </c>
      <c r="AE8440">
        <v>27.798449999999999</v>
      </c>
      <c r="AF8440">
        <v>1.9479587431648799</v>
      </c>
      <c r="AG8440">
        <v>-1.1195953579469999</v>
      </c>
      <c r="AH8440">
        <v>27.804412369440399</v>
      </c>
      <c r="AI8440">
        <v>92.300241142575302</v>
      </c>
      <c r="AJ8440">
        <v>85.992443795054001</v>
      </c>
      <c r="AK8440">
        <v>27.895042287842099</v>
      </c>
      <c r="AL8440">
        <v>95.234954621448395</v>
      </c>
      <c r="AM8440">
        <v>87.658913795056606</v>
      </c>
      <c r="AN8440">
        <v>0.99999993743243398</v>
      </c>
    </row>
    <row r="8441" spans="1:40" x14ac:dyDescent="0.25">
      <c r="A8441" t="str">
        <f>"20190303155015024"</f>
        <v>20190303155015024</v>
      </c>
      <c r="B8441" t="str">
        <f>"1551599415018880"</f>
        <v>1551599415018880</v>
      </c>
      <c r="C8441" t="s">
        <v>40</v>
      </c>
      <c r="D8441">
        <v>5.1246970000000003</v>
      </c>
      <c r="E8441">
        <v>0.51198359999999998</v>
      </c>
      <c r="F8441" t="s">
        <v>41</v>
      </c>
      <c r="G8441">
        <v>-185.68379999999999</v>
      </c>
      <c r="H8441" s="1">
        <v>-2.5677009999999998E-6</v>
      </c>
      <c r="I8441">
        <v>113.81870000000001</v>
      </c>
      <c r="J8441">
        <v>-188.35079999999999</v>
      </c>
      <c r="K8441">
        <v>1.119678</v>
      </c>
      <c r="L8441">
        <v>85.808809999999994</v>
      </c>
      <c r="M8441">
        <v>2.3463439999999999E-2</v>
      </c>
      <c r="N8441">
        <v>-1.45112E-2</v>
      </c>
      <c r="O8441">
        <v>0.99961940000000005</v>
      </c>
      <c r="P8441">
        <v>6.4093090000000005E-2</v>
      </c>
      <c r="Q8441">
        <v>-0.1051005</v>
      </c>
      <c r="R8441">
        <v>0.992394</v>
      </c>
      <c r="S8441">
        <v>0.2825317</v>
      </c>
      <c r="T8441">
        <v>-0.1182348</v>
      </c>
      <c r="U8441">
        <v>2.9924010000000001</v>
      </c>
      <c r="V8441">
        <v>4.0552270000000001E-2</v>
      </c>
      <c r="W8441">
        <v>-9.0776430000000005E-2</v>
      </c>
      <c r="X8441">
        <v>0.99504530000000002</v>
      </c>
      <c r="Y8441">
        <v>7.0553939999999996E-2</v>
      </c>
      <c r="Z8441">
        <v>-2.4840000000000001E-2</v>
      </c>
      <c r="AA8441">
        <v>0.99719860000000005</v>
      </c>
      <c r="AB8441">
        <v>33</v>
      </c>
      <c r="AC8441">
        <v>2.6669999999999998</v>
      </c>
      <c r="AD8441">
        <v>-1.119680567701</v>
      </c>
      <c r="AE8441">
        <v>28.009889999999999</v>
      </c>
      <c r="AF8441">
        <v>2.0058116399144601</v>
      </c>
      <c r="AG8441">
        <v>-1.119680567701</v>
      </c>
      <c r="AH8441">
        <v>28.0203875916838</v>
      </c>
      <c r="AI8441">
        <v>92.282458747183</v>
      </c>
      <c r="AJ8441">
        <v>85.905522685409295</v>
      </c>
      <c r="AK8441">
        <v>28.114392856625798</v>
      </c>
      <c r="AL8441">
        <v>95.208276112601297</v>
      </c>
      <c r="AM8441">
        <v>87.666248114483196</v>
      </c>
      <c r="AN8441">
        <v>0.99999999794889305</v>
      </c>
    </row>
    <row r="8442" spans="1:40" x14ac:dyDescent="0.25">
      <c r="A8442" t="str">
        <f>"20190303155015048"</f>
        <v>20190303155015048</v>
      </c>
      <c r="B8442" t="str">
        <f>"1551599415039376"</f>
        <v>1551599415039376</v>
      </c>
      <c r="C8442" t="s">
        <v>40</v>
      </c>
      <c r="D8442">
        <v>5.1262319999999999</v>
      </c>
      <c r="E8442">
        <v>0.51208189999999998</v>
      </c>
      <c r="F8442" t="s">
        <v>41</v>
      </c>
      <c r="G8442">
        <v>-185.60339999999999</v>
      </c>
      <c r="H8442" s="1">
        <v>-2.848819E-6</v>
      </c>
      <c r="I8442">
        <v>114.4555</v>
      </c>
      <c r="J8442">
        <v>-188.34129999999999</v>
      </c>
      <c r="K8442">
        <v>1.1197729999999999</v>
      </c>
      <c r="L8442">
        <v>86.165530000000004</v>
      </c>
      <c r="M8442">
        <v>2.45294E-2</v>
      </c>
      <c r="N8442">
        <v>-1.4510749999999999E-2</v>
      </c>
      <c r="O8442">
        <v>0.99959379999999998</v>
      </c>
      <c r="P8442">
        <v>6.4077090000000003E-2</v>
      </c>
      <c r="Q8442">
        <v>-0.10430589999999999</v>
      </c>
      <c r="R8442">
        <v>0.99247890000000005</v>
      </c>
      <c r="S8442">
        <v>0.28695680000000001</v>
      </c>
      <c r="T8442">
        <v>-0.1169486</v>
      </c>
      <c r="U8442">
        <v>2.9920960000000001</v>
      </c>
      <c r="V8442">
        <v>3.949511E-2</v>
      </c>
      <c r="W8442">
        <v>-8.9969629999999995E-2</v>
      </c>
      <c r="X8442">
        <v>0.99516110000000002</v>
      </c>
      <c r="Y8442">
        <v>7.0962339999999999E-2</v>
      </c>
      <c r="Z8442">
        <v>-2.4413270000000001E-2</v>
      </c>
      <c r="AA8442">
        <v>0.99718019999999996</v>
      </c>
      <c r="AB8442">
        <v>33</v>
      </c>
      <c r="AC8442">
        <v>2.73789999999999</v>
      </c>
      <c r="AD8442">
        <v>-1.1197758488189999</v>
      </c>
      <c r="AE8442">
        <v>28.28997</v>
      </c>
      <c r="AF8442">
        <v>2.0399006245012998</v>
      </c>
      <c r="AG8442">
        <v>-1.1197758488189999</v>
      </c>
      <c r="AH8442">
        <v>28.304687516379801</v>
      </c>
      <c r="AI8442">
        <v>92.259670789545794</v>
      </c>
      <c r="AJ8442">
        <v>85.877856956391</v>
      </c>
      <c r="AK8442">
        <v>28.400183589359902</v>
      </c>
      <c r="AL8442">
        <v>95.161859896415294</v>
      </c>
      <c r="AM8442">
        <v>87.727286407241294</v>
      </c>
      <c r="AN8442">
        <v>1.0000000064947201</v>
      </c>
    </row>
    <row r="8443" spans="1:40" x14ac:dyDescent="0.25">
      <c r="A8443" t="str">
        <f>"20190303155015069"</f>
        <v>20190303155015069</v>
      </c>
      <c r="B8443" t="str">
        <f>"1551599415058896"</f>
        <v>1551599415058896</v>
      </c>
      <c r="C8443" t="s">
        <v>40</v>
      </c>
      <c r="D8443">
        <v>5.1141319999999997</v>
      </c>
      <c r="E8443">
        <v>0.51214329999999997</v>
      </c>
      <c r="F8443" t="s">
        <v>41</v>
      </c>
      <c r="G8443">
        <v>-185.52940000000001</v>
      </c>
      <c r="H8443" s="1">
        <v>-3.282964E-6</v>
      </c>
      <c r="I8443">
        <v>115.43689999999999</v>
      </c>
      <c r="J8443">
        <v>-188.33269999999999</v>
      </c>
      <c r="K8443">
        <v>1.119847</v>
      </c>
      <c r="L8443">
        <v>86.477170000000001</v>
      </c>
      <c r="M8443">
        <v>2.5369530000000001E-2</v>
      </c>
      <c r="N8443">
        <v>-1.4509930000000001E-2</v>
      </c>
      <c r="O8443">
        <v>0.99957280000000004</v>
      </c>
      <c r="P8443">
        <v>6.3377420000000004E-2</v>
      </c>
      <c r="Q8443">
        <v>-0.1028458</v>
      </c>
      <c r="R8443">
        <v>0.99267620000000001</v>
      </c>
      <c r="S8443">
        <v>0.28742980000000001</v>
      </c>
      <c r="T8443">
        <v>-0.11446489999999999</v>
      </c>
      <c r="U8443">
        <v>2.9921570000000002</v>
      </c>
      <c r="V8443">
        <v>3.797449E-2</v>
      </c>
      <c r="W8443">
        <v>-8.849709E-2</v>
      </c>
      <c r="X8443">
        <v>0.99535229999999997</v>
      </c>
      <c r="Y8443">
        <v>7.0280819999999994E-2</v>
      </c>
      <c r="Z8443">
        <v>-2.3588049999999999E-2</v>
      </c>
      <c r="AA8443">
        <v>0.99724829999999998</v>
      </c>
      <c r="AB8443">
        <v>33</v>
      </c>
      <c r="AC8443">
        <v>2.8032999999999801</v>
      </c>
      <c r="AD8443">
        <v>-1.119850282964</v>
      </c>
      <c r="AE8443">
        <v>28.95973</v>
      </c>
      <c r="AF8443">
        <v>2.0645669218910299</v>
      </c>
      <c r="AG8443">
        <v>-1.119850282964</v>
      </c>
      <c r="AH8443">
        <v>28.978603298033399</v>
      </c>
      <c r="AI8443">
        <v>92.207449547390198</v>
      </c>
      <c r="AJ8443">
        <v>85.924874725972401</v>
      </c>
      <c r="AK8443">
        <v>29.073629810122</v>
      </c>
      <c r="AL8443">
        <v>95.077151677529699</v>
      </c>
      <c r="AM8443">
        <v>87.815122074532397</v>
      </c>
      <c r="AN8443">
        <v>0.999999998972259</v>
      </c>
    </row>
    <row r="8444" spans="1:40" x14ac:dyDescent="0.25">
      <c r="A8444" t="str">
        <f>"20190303155015091"</f>
        <v>20190303155015091</v>
      </c>
      <c r="B8444" t="str">
        <f>"1551599415079391"</f>
        <v>1551599415079391</v>
      </c>
      <c r="C8444" t="s">
        <v>40</v>
      </c>
      <c r="D8444">
        <v>5.1245830000000003</v>
      </c>
      <c r="E8444">
        <v>0.51216519999999999</v>
      </c>
      <c r="F8444" t="s">
        <v>41</v>
      </c>
      <c r="G8444">
        <v>-185.4383</v>
      </c>
      <c r="H8444" s="1">
        <v>-3.8723689999999998E-6</v>
      </c>
      <c r="I8444">
        <v>116.7732</v>
      </c>
      <c r="J8444">
        <v>-188.32390000000001</v>
      </c>
      <c r="K8444">
        <v>1.119936</v>
      </c>
      <c r="L8444">
        <v>86.793850000000006</v>
      </c>
      <c r="M8444">
        <v>2.6129739999999999E-2</v>
      </c>
      <c r="N8444">
        <v>-1.4508679999999999E-2</v>
      </c>
      <c r="O8444">
        <v>0.99955329999999998</v>
      </c>
      <c r="P8444">
        <v>6.2104199999999901E-2</v>
      </c>
      <c r="Q8444">
        <v>-0.10201499999999999</v>
      </c>
      <c r="R8444">
        <v>0.99284240000000001</v>
      </c>
      <c r="S8444">
        <v>0.2858887</v>
      </c>
      <c r="T8444">
        <v>-0.11061120000000001</v>
      </c>
      <c r="U8444">
        <v>2.992432</v>
      </c>
      <c r="V8444">
        <v>3.59593E-2</v>
      </c>
      <c r="W8444">
        <v>-8.7654190000000007E-2</v>
      </c>
      <c r="X8444">
        <v>0.99550170000000004</v>
      </c>
      <c r="Y8444">
        <v>6.9008390000000003E-2</v>
      </c>
      <c r="Z8444">
        <v>-2.2307199999999999E-2</v>
      </c>
      <c r="AA8444">
        <v>0.99736670000000005</v>
      </c>
      <c r="AB8444">
        <v>33</v>
      </c>
      <c r="AC8444">
        <v>2.8856000000000099</v>
      </c>
      <c r="AD8444">
        <v>-1.1199398723689999</v>
      </c>
      <c r="AE8444">
        <v>29.97935</v>
      </c>
      <c r="AF8444">
        <v>2.09827810721421</v>
      </c>
      <c r="AG8444">
        <v>-1.1199398723689999</v>
      </c>
      <c r="AH8444">
        <v>30.003033271943799</v>
      </c>
      <c r="AI8444">
        <v>92.132515009433405</v>
      </c>
      <c r="AJ8444">
        <v>85.999502782926697</v>
      </c>
      <c r="AK8444">
        <v>30.0971600296491</v>
      </c>
      <c r="AL8444">
        <v>95.028668736324903</v>
      </c>
      <c r="AM8444">
        <v>87.931273511330204</v>
      </c>
      <c r="AN8444">
        <v>0.999999981491968</v>
      </c>
    </row>
    <row r="8445" spans="1:40" x14ac:dyDescent="0.25">
      <c r="A8445" t="str">
        <f>"20190303155015113"</f>
        <v>20190303155015113</v>
      </c>
      <c r="B8445" t="str">
        <f>"1551599415108672"</f>
        <v>1551599415108672</v>
      </c>
      <c r="C8445" t="s">
        <v>40</v>
      </c>
      <c r="D8445">
        <v>5.1564439999999996</v>
      </c>
      <c r="E8445">
        <v>0.51221229999999995</v>
      </c>
      <c r="F8445" t="s">
        <v>41</v>
      </c>
      <c r="G8445">
        <v>-185.42449999999999</v>
      </c>
      <c r="H8445" s="1">
        <v>-4.2157680000000003E-6</v>
      </c>
      <c r="I8445">
        <v>117.56789999999999</v>
      </c>
      <c r="J8445">
        <v>-188.3143</v>
      </c>
      <c r="K8445">
        <v>1.120028</v>
      </c>
      <c r="L8445">
        <v>87.130430000000004</v>
      </c>
      <c r="M8445">
        <v>2.683487E-2</v>
      </c>
      <c r="N8445">
        <v>-1.4506939999999999E-2</v>
      </c>
      <c r="O8445">
        <v>0.99953460000000005</v>
      </c>
      <c r="P8445">
        <v>6.0665829999999997E-2</v>
      </c>
      <c r="Q8445">
        <v>-0.1012463</v>
      </c>
      <c r="R8445">
        <v>0.99300999999999995</v>
      </c>
      <c r="S8445">
        <v>0.28196719999999997</v>
      </c>
      <c r="T8445">
        <v>-0.108915</v>
      </c>
      <c r="U8445">
        <v>2.9927980000000001</v>
      </c>
      <c r="V8445">
        <v>3.3835179999999999E-2</v>
      </c>
      <c r="W8445">
        <v>-8.6873679999999995E-2</v>
      </c>
      <c r="X8445">
        <v>0.99564459999999999</v>
      </c>
      <c r="Y8445">
        <v>6.6999920000000004E-2</v>
      </c>
      <c r="Z8445">
        <v>-2.174477E-2</v>
      </c>
      <c r="AA8445">
        <v>0.99751599999999996</v>
      </c>
      <c r="AB8445">
        <v>33</v>
      </c>
      <c r="AC8445">
        <v>2.8898000000000001</v>
      </c>
      <c r="AD8445">
        <v>-1.1200322157680001</v>
      </c>
      <c r="AE8445">
        <v>30.437469999999902</v>
      </c>
      <c r="AF8445">
        <v>2.0691108765437001</v>
      </c>
      <c r="AG8445">
        <v>-1.1200322157680001</v>
      </c>
      <c r="AH8445">
        <v>30.4631810766491</v>
      </c>
      <c r="AI8445">
        <v>92.100795318522302</v>
      </c>
      <c r="AJ8445">
        <v>86.114341547652998</v>
      </c>
      <c r="AK8445">
        <v>30.553904714332401</v>
      </c>
      <c r="AL8445">
        <v>94.983777400363806</v>
      </c>
      <c r="AM8445">
        <v>88.053655635763604</v>
      </c>
      <c r="AN8445">
        <v>1.00000001259576</v>
      </c>
    </row>
    <row r="8446" spans="1:40" x14ac:dyDescent="0.25">
      <c r="A8446" t="str">
        <f>"20190303155015136"</f>
        <v>20190303155015136</v>
      </c>
      <c r="B8446" t="str">
        <f>"1551599415129168"</f>
        <v>1551599415129168</v>
      </c>
      <c r="C8446" t="s">
        <v>40</v>
      </c>
      <c r="D8446">
        <v>5.1423920000000001</v>
      </c>
      <c r="E8446">
        <v>0.51223390000000002</v>
      </c>
      <c r="F8446" t="s">
        <v>41</v>
      </c>
      <c r="G8446">
        <v>-185.4135</v>
      </c>
      <c r="H8446" s="1">
        <v>-4.5589279999999996E-6</v>
      </c>
      <c r="I8446">
        <v>118.3633</v>
      </c>
      <c r="J8446">
        <v>-188.30410000000001</v>
      </c>
      <c r="K8446">
        <v>1.1201239999999999</v>
      </c>
      <c r="L8446">
        <v>87.482389999999995</v>
      </c>
      <c r="M8446">
        <v>2.7463399999999999E-2</v>
      </c>
      <c r="N8446">
        <v>-1.4504680000000001E-2</v>
      </c>
      <c r="O8446">
        <v>0.99951760000000001</v>
      </c>
      <c r="P8446">
        <v>5.8751539999999998E-2</v>
      </c>
      <c r="Q8446">
        <v>-0.10045999999999999</v>
      </c>
      <c r="R8446">
        <v>0.993205</v>
      </c>
      <c r="S8446">
        <v>0.27799990000000002</v>
      </c>
      <c r="T8446">
        <v>-0.10733819999999999</v>
      </c>
      <c r="U8446">
        <v>2.9931950000000001</v>
      </c>
      <c r="V8446">
        <v>3.131229E-2</v>
      </c>
      <c r="W8446">
        <v>-8.6075440000000003E-2</v>
      </c>
      <c r="X8446">
        <v>0.99579640000000003</v>
      </c>
      <c r="Y8446">
        <v>6.5051369999999997E-2</v>
      </c>
      <c r="Z8446">
        <v>-2.1222049999999999E-2</v>
      </c>
      <c r="AA8446">
        <v>0.99765619999999999</v>
      </c>
      <c r="AB8446">
        <v>33</v>
      </c>
      <c r="AC8446">
        <v>2.8906000000000001</v>
      </c>
      <c r="AD8446">
        <v>-1.1201285589279999</v>
      </c>
      <c r="AE8446">
        <v>30.880909999999901</v>
      </c>
      <c r="AF8446">
        <v>2.0386665091434901</v>
      </c>
      <c r="AG8446">
        <v>-1.1201285589279999</v>
      </c>
      <c r="AH8446">
        <v>30.9083408564899</v>
      </c>
      <c r="AI8446">
        <v>92.071013633181195</v>
      </c>
      <c r="AJ8446">
        <v>86.226324866987696</v>
      </c>
      <c r="AK8446">
        <v>30.9957478313557</v>
      </c>
      <c r="AL8446">
        <v>94.937869931247405</v>
      </c>
      <c r="AM8446">
        <v>88.198958021269206</v>
      </c>
      <c r="AN8446">
        <v>0.99999995556459698</v>
      </c>
    </row>
    <row r="8447" spans="1:40" x14ac:dyDescent="0.25">
      <c r="A8447" t="str">
        <f>"20190303155015160"</f>
        <v>20190303155015160</v>
      </c>
      <c r="B8447" t="str">
        <f>"1551599415148687"</f>
        <v>1551599415148687</v>
      </c>
      <c r="C8447" t="s">
        <v>40</v>
      </c>
      <c r="D8447">
        <v>5.1383720000000004</v>
      </c>
      <c r="E8447">
        <v>0.51218430000000004</v>
      </c>
      <c r="F8447" t="s">
        <v>41</v>
      </c>
      <c r="G8447">
        <v>-185.4332</v>
      </c>
      <c r="H8447" s="1">
        <v>-4.8415080000000004E-6</v>
      </c>
      <c r="I8447">
        <v>119.03019999999999</v>
      </c>
      <c r="J8447">
        <v>-188.2945</v>
      </c>
      <c r="K8447">
        <v>1.1202209999999999</v>
      </c>
      <c r="L8447">
        <v>87.811980000000005</v>
      </c>
      <c r="M8447">
        <v>2.794961E-2</v>
      </c>
      <c r="N8447">
        <v>-1.450224E-2</v>
      </c>
      <c r="O8447">
        <v>0.99950410000000001</v>
      </c>
      <c r="P8447">
        <v>5.7078549999999999E-2</v>
      </c>
      <c r="Q8447">
        <v>-0.100075</v>
      </c>
      <c r="R8447">
        <v>0.99334129999999998</v>
      </c>
      <c r="S8447">
        <v>0.27243040000000002</v>
      </c>
      <c r="T8447">
        <v>-0.1062931</v>
      </c>
      <c r="U8447">
        <v>2.9936829999999999</v>
      </c>
      <c r="V8447">
        <v>2.9172210000000001E-2</v>
      </c>
      <c r="W8447">
        <v>-8.5681430000000003E-2</v>
      </c>
      <c r="X8447">
        <v>0.99589539999999999</v>
      </c>
      <c r="Y8447">
        <v>6.2711970000000006E-2</v>
      </c>
      <c r="Z8447">
        <v>-2.0876309999999999E-2</v>
      </c>
      <c r="AA8447">
        <v>0.99781330000000001</v>
      </c>
      <c r="AB8447">
        <v>33</v>
      </c>
      <c r="AC8447">
        <v>2.8613</v>
      </c>
      <c r="AD8447">
        <v>-1.120225841508</v>
      </c>
      <c r="AE8447">
        <v>31.218219999999899</v>
      </c>
      <c r="AF8447">
        <v>1.9850183839016</v>
      </c>
      <c r="AG8447">
        <v>-1.120225841508</v>
      </c>
      <c r="AH8447">
        <v>31.2461035467317</v>
      </c>
      <c r="AI8447">
        <v>92.049144170939798</v>
      </c>
      <c r="AJ8447">
        <v>86.3649694509662</v>
      </c>
      <c r="AK8447">
        <v>31.329126875377298</v>
      </c>
      <c r="AL8447">
        <v>94.915210957283307</v>
      </c>
      <c r="AM8447">
        <v>88.322146383470596</v>
      </c>
      <c r="AN8447">
        <v>0.99999998651214395</v>
      </c>
    </row>
    <row r="8448" spans="1:40" x14ac:dyDescent="0.25">
      <c r="A8448" t="str">
        <f>"20190303155015181"</f>
        <v>20190303155015181</v>
      </c>
      <c r="B8448" t="str">
        <f>"1551599415169183"</f>
        <v>1551599415169183</v>
      </c>
      <c r="C8448" t="s">
        <v>40</v>
      </c>
      <c r="D8448">
        <v>5.1705969999999999</v>
      </c>
      <c r="E8448">
        <v>0.51224139999999996</v>
      </c>
      <c r="F8448" t="s">
        <v>41</v>
      </c>
      <c r="G8448">
        <v>-185.50049999999999</v>
      </c>
      <c r="H8448" s="1">
        <v>-4.8732509999999997E-6</v>
      </c>
      <c r="I8448">
        <v>119.13200000000001</v>
      </c>
      <c r="J8448">
        <v>-188.28530000000001</v>
      </c>
      <c r="K8448">
        <v>1.1203160000000001</v>
      </c>
      <c r="L8448">
        <v>88.126009999999994</v>
      </c>
      <c r="M8448">
        <v>2.8319069999999998E-2</v>
      </c>
      <c r="N8448">
        <v>-1.449977E-2</v>
      </c>
      <c r="O8448">
        <v>0.99949379999999999</v>
      </c>
      <c r="P8448">
        <v>5.5537469999999999E-2</v>
      </c>
      <c r="Q8448">
        <v>-9.9316210000000002E-2</v>
      </c>
      <c r="R8448">
        <v>0.99350479999999997</v>
      </c>
      <c r="S8448">
        <v>0.26708979999999999</v>
      </c>
      <c r="T8448">
        <v>-0.1070864</v>
      </c>
      <c r="U8448">
        <v>2.9939879999999999</v>
      </c>
      <c r="V8448">
        <v>2.72786E-2</v>
      </c>
      <c r="W8448">
        <v>-8.4914859999999995E-2</v>
      </c>
      <c r="X8448">
        <v>0.99601470000000003</v>
      </c>
      <c r="Y8448">
        <v>6.056835E-2</v>
      </c>
      <c r="Z8448">
        <v>-2.114334E-2</v>
      </c>
      <c r="AA8448">
        <v>0.9979401</v>
      </c>
      <c r="AB8448">
        <v>33</v>
      </c>
      <c r="AC8448">
        <v>2.7848000000000099</v>
      </c>
      <c r="AD8448">
        <v>-1.1203208732509999</v>
      </c>
      <c r="AE8448">
        <v>31.005990000000001</v>
      </c>
      <c r="AF8448">
        <v>1.9030651242585701</v>
      </c>
      <c r="AG8448">
        <v>-1.1203208732509999</v>
      </c>
      <c r="AH8448">
        <v>31.032233249525799</v>
      </c>
      <c r="AI8448">
        <v>92.063711793350194</v>
      </c>
      <c r="AJ8448">
        <v>86.4907064004923</v>
      </c>
      <c r="AK8448">
        <v>31.110709991563802</v>
      </c>
      <c r="AL8448">
        <v>94.871129157518695</v>
      </c>
      <c r="AM8448">
        <v>88.431189777220695</v>
      </c>
      <c r="AN8448">
        <v>0.99999996904143396</v>
      </c>
    </row>
    <row r="8449" spans="1:40" x14ac:dyDescent="0.25">
      <c r="A8449" t="str">
        <f>"20190303155015203"</f>
        <v>20190303155015203</v>
      </c>
      <c r="B8449" t="str">
        <f>"1551599415199440"</f>
        <v>1551599415199440</v>
      </c>
      <c r="C8449" t="s">
        <v>40</v>
      </c>
      <c r="D8449">
        <v>5.1850310000000004</v>
      </c>
      <c r="E8449">
        <v>0.51230520000000002</v>
      </c>
      <c r="F8449" t="s">
        <v>59</v>
      </c>
      <c r="G8449">
        <v>-185.50899999999999</v>
      </c>
      <c r="H8449" s="1">
        <v>-1.224849E-6</v>
      </c>
      <c r="I8449">
        <v>119.756</v>
      </c>
      <c r="J8449">
        <v>-188.2757</v>
      </c>
      <c r="K8449">
        <v>1.120409</v>
      </c>
      <c r="L8449">
        <v>88.448909999999998</v>
      </c>
      <c r="M8449">
        <v>2.8604660000000001E-2</v>
      </c>
      <c r="N8449">
        <v>-1.4497090000000001E-2</v>
      </c>
      <c r="O8449">
        <v>0.99948570000000003</v>
      </c>
      <c r="P8449">
        <v>5.4267639999999999E-2</v>
      </c>
      <c r="Q8449">
        <v>-9.8220539999999995E-2</v>
      </c>
      <c r="R8449">
        <v>0.99368389999999995</v>
      </c>
      <c r="S8449">
        <v>0.26281739999999998</v>
      </c>
      <c r="T8449">
        <v>-0.1060562</v>
      </c>
      <c r="U8449">
        <v>2.9942929999999999</v>
      </c>
      <c r="V8449">
        <v>2.573887E-2</v>
      </c>
      <c r="W8449">
        <v>-8.3812570000000003E-2</v>
      </c>
      <c r="X8449">
        <v>0.99614910000000001</v>
      </c>
      <c r="Y8449">
        <v>5.8862579999999998E-2</v>
      </c>
      <c r="Z8449">
        <v>-2.0803519999999999E-2</v>
      </c>
      <c r="AA8449">
        <v>0.99804930000000003</v>
      </c>
      <c r="AB8449">
        <v>33</v>
      </c>
      <c r="AC8449">
        <v>2.7666999999999802</v>
      </c>
      <c r="AD8449">
        <v>-1.120410224849</v>
      </c>
      <c r="AE8449">
        <v>31.307089999999999</v>
      </c>
      <c r="AF8449">
        <v>1.8675714968968999</v>
      </c>
      <c r="AG8449">
        <v>-1.120410224849</v>
      </c>
      <c r="AH8449">
        <v>31.333605434783099</v>
      </c>
      <c r="AI8449">
        <v>92.044254389208305</v>
      </c>
      <c r="AJ8449">
        <v>86.589044822562897</v>
      </c>
      <c r="AK8449">
        <v>31.409202026008799</v>
      </c>
      <c r="AL8449">
        <v>94.807746322863395</v>
      </c>
      <c r="AM8449">
        <v>88.519899716786199</v>
      </c>
      <c r="AN8449">
        <v>1.00000003287484</v>
      </c>
    </row>
    <row r="8450" spans="1:40" x14ac:dyDescent="0.25">
      <c r="A8450" t="str">
        <f>"20190303155015226"</f>
        <v>20190303155015226</v>
      </c>
      <c r="B8450" t="str">
        <f>"1551599415218960"</f>
        <v>1551599415218960</v>
      </c>
      <c r="C8450" t="s">
        <v>40</v>
      </c>
      <c r="D8450">
        <v>5.1977500000000001</v>
      </c>
      <c r="E8450">
        <v>0.51228989999999996</v>
      </c>
      <c r="F8450" t="s">
        <v>59</v>
      </c>
      <c r="G8450">
        <v>-185.505</v>
      </c>
      <c r="H8450" s="1">
        <v>-1.4150819999999999E-6</v>
      </c>
      <c r="I8450">
        <v>120.39830000000001</v>
      </c>
      <c r="J8450">
        <v>-188.26560000000001</v>
      </c>
      <c r="K8450">
        <v>1.1204959999999999</v>
      </c>
      <c r="L8450">
        <v>88.791659999999993</v>
      </c>
      <c r="M8450">
        <v>2.8828220000000002E-2</v>
      </c>
      <c r="N8450">
        <v>-1.449427E-2</v>
      </c>
      <c r="O8450">
        <v>0.99947929999999996</v>
      </c>
      <c r="P8450">
        <v>5.3208690000000003E-2</v>
      </c>
      <c r="Q8450">
        <v>-9.7640420000000006E-2</v>
      </c>
      <c r="R8450">
        <v>0.99379839999999997</v>
      </c>
      <c r="S8450">
        <v>0.25968930000000001</v>
      </c>
      <c r="T8450">
        <v>-0.1050122</v>
      </c>
      <c r="U8450">
        <v>2.994507</v>
      </c>
      <c r="V8450">
        <v>2.447119E-2</v>
      </c>
      <c r="W8450">
        <v>-8.3228070000000001E-2</v>
      </c>
      <c r="X8450">
        <v>0.99622999999999995</v>
      </c>
      <c r="Y8450">
        <v>5.7599579999999997E-2</v>
      </c>
      <c r="Z8450">
        <v>-2.0459330000000001E-2</v>
      </c>
      <c r="AA8450">
        <v>0.99813010000000002</v>
      </c>
      <c r="AB8450">
        <v>33</v>
      </c>
      <c r="AC8450">
        <v>2.7606000000000099</v>
      </c>
      <c r="AD8450">
        <v>-1.120497415082</v>
      </c>
      <c r="AE8450">
        <v>31.606639999999999</v>
      </c>
      <c r="AF8450">
        <v>1.84589116639523</v>
      </c>
      <c r="AG8450">
        <v>-1.120497415082</v>
      </c>
      <c r="AH8450">
        <v>31.633636393508599</v>
      </c>
      <c r="AI8450">
        <v>92.0251879411842</v>
      </c>
      <c r="AJ8450">
        <v>86.660454148653102</v>
      </c>
      <c r="AK8450">
        <v>31.707251223215401</v>
      </c>
      <c r="AL8450">
        <v>94.774139764909805</v>
      </c>
      <c r="AM8450">
        <v>88.592881152132605</v>
      </c>
      <c r="AN8450">
        <v>0.99999998183797001</v>
      </c>
    </row>
    <row r="8451" spans="1:40" x14ac:dyDescent="0.25">
      <c r="A8451" t="str">
        <f>"20190303155015248"</f>
        <v>20190303155015248</v>
      </c>
      <c r="B8451" t="str">
        <f>"1551599415239455"</f>
        <v>1551599415239455</v>
      </c>
      <c r="C8451" t="s">
        <v>40</v>
      </c>
      <c r="D8451">
        <v>5.1697959999999998</v>
      </c>
      <c r="E8451">
        <v>0.51229469999999999</v>
      </c>
      <c r="F8451" t="s">
        <v>59</v>
      </c>
      <c r="G8451">
        <v>-185.53319999999999</v>
      </c>
      <c r="H8451" s="1">
        <v>-1.504385E-6</v>
      </c>
      <c r="I8451">
        <v>120.727</v>
      </c>
      <c r="J8451">
        <v>-188.2561</v>
      </c>
      <c r="K8451">
        <v>1.1205620000000001</v>
      </c>
      <c r="L8451">
        <v>89.114230000000006</v>
      </c>
      <c r="M8451">
        <v>2.8975999999999998E-2</v>
      </c>
      <c r="N8451">
        <v>-1.449131E-2</v>
      </c>
      <c r="O8451">
        <v>0.99947509999999995</v>
      </c>
      <c r="P8451">
        <v>5.2291150000000002E-2</v>
      </c>
      <c r="Q8451">
        <v>-9.739275E-2</v>
      </c>
      <c r="R8451">
        <v>0.99387139999999996</v>
      </c>
      <c r="S8451">
        <v>0.2562256</v>
      </c>
      <c r="T8451">
        <v>-0.105073</v>
      </c>
      <c r="U8451">
        <v>2.9946899999999999</v>
      </c>
      <c r="V8451">
        <v>2.3417810000000001E-2</v>
      </c>
      <c r="W8451">
        <v>-8.297823E-2</v>
      </c>
      <c r="X8451">
        <v>0.99627619999999895</v>
      </c>
      <c r="Y8451">
        <v>5.630114E-2</v>
      </c>
      <c r="Z8451">
        <v>-2.0483020000000001E-2</v>
      </c>
      <c r="AA8451">
        <v>0.99820370000000003</v>
      </c>
      <c r="AB8451">
        <v>33</v>
      </c>
      <c r="AC8451">
        <v>2.7229000000000001</v>
      </c>
      <c r="AD8451">
        <v>-1.120563504385</v>
      </c>
      <c r="AE8451">
        <v>31.612770000000001</v>
      </c>
      <c r="AF8451">
        <v>1.8033994450317401</v>
      </c>
      <c r="AG8451">
        <v>-1.120563504385</v>
      </c>
      <c r="AH8451">
        <v>31.638940045364301</v>
      </c>
      <c r="AI8451">
        <v>92.025125417841096</v>
      </c>
      <c r="AJ8451">
        <v>86.737706964119198</v>
      </c>
      <c r="AK8451">
        <v>31.710099957582202</v>
      </c>
      <c r="AL8451">
        <v>94.759775100508705</v>
      </c>
      <c r="AM8451">
        <v>88.653491214789696</v>
      </c>
      <c r="AN8451">
        <v>1.00000002358278</v>
      </c>
    </row>
    <row r="8452" spans="1:40" x14ac:dyDescent="0.25">
      <c r="A8452" t="str">
        <f>"20190303155015270"</f>
        <v>20190303155015270</v>
      </c>
      <c r="B8452" t="str">
        <f>"1551599415258976"</f>
        <v>1551599415258976</v>
      </c>
      <c r="C8452" t="s">
        <v>40</v>
      </c>
      <c r="D8452">
        <v>5.2135590000000001</v>
      </c>
      <c r="E8452">
        <v>0.5122274</v>
      </c>
      <c r="F8452" t="s">
        <v>59</v>
      </c>
      <c r="G8452">
        <v>-185.58519999999999</v>
      </c>
      <c r="H8452" s="1">
        <v>-1.4626359999999999E-6</v>
      </c>
      <c r="I8452">
        <v>120.6322</v>
      </c>
      <c r="J8452">
        <v>-188.24639999999999</v>
      </c>
      <c r="K8452">
        <v>1.1206199999999999</v>
      </c>
      <c r="L8452">
        <v>89.445250000000001</v>
      </c>
      <c r="M8452">
        <v>2.9071449999999999E-2</v>
      </c>
      <c r="N8452">
        <v>-1.448793E-2</v>
      </c>
      <c r="O8452">
        <v>0.99947229999999998</v>
      </c>
      <c r="P8452">
        <v>5.0930389999999999E-2</v>
      </c>
      <c r="Q8452">
        <v>-9.7088229999999998E-2</v>
      </c>
      <c r="R8452">
        <v>0.99397179999999996</v>
      </c>
      <c r="S8452">
        <v>0.25378420000000002</v>
      </c>
      <c r="T8452">
        <v>-0.10647189999999999</v>
      </c>
      <c r="U8452">
        <v>2.99472</v>
      </c>
      <c r="V8452">
        <v>2.197116E-2</v>
      </c>
      <c r="W8452">
        <v>-8.2672319999999994E-2</v>
      </c>
      <c r="X8452">
        <v>0.99633459999999996</v>
      </c>
      <c r="Y8452">
        <v>5.5396290000000001E-2</v>
      </c>
      <c r="Z8452">
        <v>-2.095284E-2</v>
      </c>
      <c r="AA8452">
        <v>0.99824460000000004</v>
      </c>
      <c r="AB8452">
        <v>33</v>
      </c>
      <c r="AC8452">
        <v>2.6612</v>
      </c>
      <c r="AD8452">
        <v>-1.120621462636</v>
      </c>
      <c r="AE8452">
        <v>31.18695</v>
      </c>
      <c r="AF8452">
        <v>1.75108536571761</v>
      </c>
      <c r="AG8452">
        <v>-1.120621462636</v>
      </c>
      <c r="AH8452">
        <v>31.2111321751579</v>
      </c>
      <c r="AI8452">
        <v>92.0530695823022</v>
      </c>
      <c r="AJ8452">
        <v>86.788814679597095</v>
      </c>
      <c r="AK8452">
        <v>31.280295140483101</v>
      </c>
      <c r="AL8452">
        <v>94.742187241907601</v>
      </c>
      <c r="AM8452">
        <v>88.7367188269194</v>
      </c>
      <c r="AN8452">
        <v>1.0000000397615401</v>
      </c>
    </row>
    <row r="8453" spans="1:40" x14ac:dyDescent="0.25">
      <c r="A8453" t="str">
        <f>"20190303155015292"</f>
        <v>20190303155015292</v>
      </c>
      <c r="B8453" t="str">
        <f>"1551599415289232"</f>
        <v>1551599415289232</v>
      </c>
      <c r="C8453" t="s">
        <v>40</v>
      </c>
      <c r="D8453">
        <v>5.2690890000000001</v>
      </c>
      <c r="E8453">
        <v>0.49380360000000001</v>
      </c>
      <c r="F8453" t="s">
        <v>59</v>
      </c>
      <c r="G8453">
        <v>-185.65719999999999</v>
      </c>
      <c r="H8453" s="1">
        <v>-1.4341829999999999E-6</v>
      </c>
      <c r="I8453">
        <v>120.6007</v>
      </c>
      <c r="J8453">
        <v>-188.2372</v>
      </c>
      <c r="K8453">
        <v>1.1206739999999999</v>
      </c>
      <c r="L8453">
        <v>89.755889999999994</v>
      </c>
      <c r="M8453">
        <v>2.9121149999999998E-2</v>
      </c>
      <c r="N8453">
        <v>-1.448465E-2</v>
      </c>
      <c r="O8453">
        <v>0.99947090000000005</v>
      </c>
      <c r="P8453">
        <v>4.9345380000000001E-2</v>
      </c>
      <c r="Q8453">
        <v>-9.7724459999999999E-2</v>
      </c>
      <c r="R8453">
        <v>0.99398940000000002</v>
      </c>
      <c r="S8453">
        <v>0.2488861</v>
      </c>
      <c r="T8453">
        <v>-0.1077229</v>
      </c>
      <c r="U8453">
        <v>2.994904</v>
      </c>
      <c r="V8453">
        <v>2.0345729999999999E-2</v>
      </c>
      <c r="W8453">
        <v>-8.3309140000000004E-2</v>
      </c>
      <c r="X8453">
        <v>0.99631599999999998</v>
      </c>
      <c r="Y8453">
        <v>5.3719980000000001E-2</v>
      </c>
      <c r="Z8453">
        <v>-2.1373409999999999E-2</v>
      </c>
      <c r="AA8453">
        <v>0.99832730000000003</v>
      </c>
      <c r="AB8453">
        <v>33</v>
      </c>
      <c r="AC8453">
        <v>2.5800000000000098</v>
      </c>
      <c r="AD8453">
        <v>-1.1206754341830001</v>
      </c>
      <c r="AE8453">
        <v>30.844809999999899</v>
      </c>
      <c r="AF8453">
        <v>1.6783747794786801</v>
      </c>
      <c r="AG8453">
        <v>-1.1206754341830001</v>
      </c>
      <c r="AH8453">
        <v>30.866403510412798</v>
      </c>
      <c r="AI8453">
        <v>92.0762765758423</v>
      </c>
      <c r="AJ8453">
        <v>86.887580908588006</v>
      </c>
      <c r="AK8453">
        <v>30.932308691670599</v>
      </c>
      <c r="AL8453">
        <v>94.778800993915098</v>
      </c>
      <c r="AM8453">
        <v>88.830127731696095</v>
      </c>
      <c r="AN8453">
        <v>0.99999996669638502</v>
      </c>
    </row>
    <row r="8454" spans="1:40" x14ac:dyDescent="0.25">
      <c r="A8454" t="str">
        <f>"20190303155015316"</f>
        <v>20190303155015316</v>
      </c>
      <c r="B8454" t="str">
        <f>"1551599415308752"</f>
        <v>1551599415308752</v>
      </c>
      <c r="C8454" t="s">
        <v>40</v>
      </c>
      <c r="D8454">
        <v>5.3371729999999999</v>
      </c>
      <c r="E8454">
        <v>0.48697629999999997</v>
      </c>
      <c r="F8454" t="s">
        <v>41</v>
      </c>
      <c r="G8454">
        <v>-187.65289999999999</v>
      </c>
      <c r="H8454" s="1">
        <v>-3.8373770000000003E-6</v>
      </c>
      <c r="I8454">
        <v>107.6073</v>
      </c>
      <c r="J8454">
        <v>-188.227</v>
      </c>
      <c r="K8454">
        <v>1.120722</v>
      </c>
      <c r="L8454">
        <v>90.10333</v>
      </c>
      <c r="M8454">
        <v>2.914719E-2</v>
      </c>
      <c r="N8454">
        <v>-1.4480959999999999E-2</v>
      </c>
      <c r="O8454">
        <v>0.99947019999999998</v>
      </c>
      <c r="P8454">
        <v>4.7818930000000003E-2</v>
      </c>
      <c r="Q8454">
        <v>-9.6939380000000006E-2</v>
      </c>
      <c r="R8454">
        <v>0.99414089999999999</v>
      </c>
      <c r="S8454">
        <v>9.8022460000000006E-2</v>
      </c>
      <c r="T8454">
        <v>-0.1880068</v>
      </c>
      <c r="U8454">
        <v>2.9947810000000001</v>
      </c>
      <c r="V8454">
        <v>1.8798189999999999E-2</v>
      </c>
      <c r="W8454">
        <v>-8.2523819999999998E-2</v>
      </c>
      <c r="X8454">
        <v>0.99641179999999996</v>
      </c>
      <c r="Y8454">
        <v>3.525083E-3</v>
      </c>
      <c r="Z8454">
        <v>-4.8145800000000002E-2</v>
      </c>
      <c r="AA8454">
        <v>0.99883409999999995</v>
      </c>
      <c r="AB8454">
        <v>33</v>
      </c>
      <c r="AC8454">
        <v>0.57410000000001504</v>
      </c>
      <c r="AD8454">
        <v>-1.1207258373769999</v>
      </c>
      <c r="AE8454">
        <v>17.503969999999899</v>
      </c>
      <c r="AF8454">
        <v>6.3351546906202302E-2</v>
      </c>
      <c r="AG8454">
        <v>-1.1207258373769999</v>
      </c>
      <c r="AH8454">
        <v>17.4418415593221</v>
      </c>
      <c r="AI8454">
        <v>93.676462985437794</v>
      </c>
      <c r="AJ8454">
        <v>89.791893517144203</v>
      </c>
      <c r="AK8454">
        <v>17.4779254146925</v>
      </c>
      <c r="AL8454">
        <v>94.733649767752993</v>
      </c>
      <c r="AM8454">
        <v>88.919192652921794</v>
      </c>
      <c r="AN8454">
        <v>1.00000001399695</v>
      </c>
    </row>
    <row r="8455" spans="1:40" x14ac:dyDescent="0.25">
      <c r="A8455" t="str">
        <f>"20190303155015339"</f>
        <v>20190303155015339</v>
      </c>
      <c r="B8455" t="str">
        <f>"1551599415329248"</f>
        <v>1551599415329248</v>
      </c>
      <c r="C8455" t="s">
        <v>40</v>
      </c>
      <c r="D8455">
        <v>5.3012639999999998</v>
      </c>
      <c r="E8455">
        <v>0.48473359999999899</v>
      </c>
      <c r="F8455" t="s">
        <v>41</v>
      </c>
      <c r="G8455">
        <v>-188.00550000000001</v>
      </c>
      <c r="H8455" s="1">
        <v>-3.5176340000000001E-6</v>
      </c>
      <c r="I8455">
        <v>107.0078</v>
      </c>
      <c r="J8455">
        <v>-188.21709999999999</v>
      </c>
      <c r="K8455">
        <v>1.1207579999999999</v>
      </c>
      <c r="L8455">
        <v>90.441220000000001</v>
      </c>
      <c r="M8455">
        <v>2.9154340000000001E-2</v>
      </c>
      <c r="N8455">
        <v>-1.447731E-2</v>
      </c>
      <c r="O8455">
        <v>0.99947010000000003</v>
      </c>
      <c r="P8455">
        <v>4.5355850000000003E-2</v>
      </c>
      <c r="Q8455">
        <v>-9.708253E-2</v>
      </c>
      <c r="R8455">
        <v>0.99424239999999997</v>
      </c>
      <c r="S8455">
        <v>3.9260860000000002E-2</v>
      </c>
      <c r="T8455">
        <v>-0.19865450000000001</v>
      </c>
      <c r="U8455">
        <v>2.9963989999999998</v>
      </c>
      <c r="V8455">
        <v>1.6332030000000001E-2</v>
      </c>
      <c r="W8455">
        <v>-8.2668340000000007E-2</v>
      </c>
      <c r="X8455">
        <v>0.99644330000000003</v>
      </c>
      <c r="Y8455">
        <v>-1.6067020000000001E-2</v>
      </c>
      <c r="Z8455">
        <v>-5.1653530000000003E-2</v>
      </c>
      <c r="AA8455">
        <v>0.99853579999999997</v>
      </c>
      <c r="AB8455">
        <v>33</v>
      </c>
      <c r="AC8455">
        <v>0.211599999999975</v>
      </c>
      <c r="AD8455">
        <v>-1.120761517634</v>
      </c>
      <c r="AE8455">
        <v>16.566579999999998</v>
      </c>
      <c r="AF8455">
        <v>-0.27029141834958798</v>
      </c>
      <c r="AG8455">
        <v>-1.120761517634</v>
      </c>
      <c r="AH8455">
        <v>16.490246105311599</v>
      </c>
      <c r="AI8455">
        <v>93.887614395190198</v>
      </c>
      <c r="AJ8455">
        <v>90.939050317304606</v>
      </c>
      <c r="AK8455">
        <v>16.530498493511502</v>
      </c>
      <c r="AL8455">
        <v>94.741958515950301</v>
      </c>
      <c r="AM8455">
        <v>89.060987605962396</v>
      </c>
      <c r="AN8455">
        <v>1.0000000198785799</v>
      </c>
    </row>
    <row r="8456" spans="1:40" x14ac:dyDescent="0.25">
      <c r="A8456" t="str">
        <f>"20190303155015374"</f>
        <v>20190303155015374</v>
      </c>
      <c r="B8456" t="str">
        <f>"1551599415369263"</f>
        <v>1551599415369263</v>
      </c>
      <c r="C8456" t="s">
        <v>40</v>
      </c>
      <c r="D8456">
        <v>5.3383240000000001</v>
      </c>
      <c r="E8456">
        <v>0.48268699999999998</v>
      </c>
      <c r="F8456" t="s">
        <v>41</v>
      </c>
      <c r="G8456">
        <v>-188.142</v>
      </c>
      <c r="H8456" s="1">
        <v>-3.2186829999999999E-6</v>
      </c>
      <c r="I8456">
        <v>106.3673</v>
      </c>
      <c r="J8456">
        <v>-188.20249999999999</v>
      </c>
      <c r="K8456">
        <v>1.1207819999999999</v>
      </c>
      <c r="L8456">
        <v>90.937380000000005</v>
      </c>
      <c r="M8456">
        <v>2.9145959999999999E-2</v>
      </c>
      <c r="N8456">
        <v>-1.447171E-2</v>
      </c>
      <c r="O8456">
        <v>0.99947039999999998</v>
      </c>
      <c r="P8456">
        <v>4.4752100000000003E-2</v>
      </c>
      <c r="Q8456">
        <v>-9.794158E-2</v>
      </c>
      <c r="R8456">
        <v>0.9941854</v>
      </c>
      <c r="S8456">
        <v>1.4129640000000001E-2</v>
      </c>
      <c r="T8456">
        <v>-0.21084700000000001</v>
      </c>
      <c r="U8456">
        <v>2.9961549999999999</v>
      </c>
      <c r="V8456">
        <v>1.5743899999999901E-2</v>
      </c>
      <c r="W8456">
        <v>-8.3532809999999999E-2</v>
      </c>
      <c r="X8456">
        <v>0.99638059999999995</v>
      </c>
      <c r="Y8456">
        <v>-2.442714E-2</v>
      </c>
      <c r="Z8456">
        <v>-5.5701010000000002E-2</v>
      </c>
      <c r="AA8456">
        <v>0.99814860000000005</v>
      </c>
      <c r="AB8456">
        <v>33</v>
      </c>
      <c r="AC8456">
        <v>6.0499999999990402E-2</v>
      </c>
      <c r="AD8456">
        <v>-1.1207852186830001</v>
      </c>
      <c r="AE8456">
        <v>15.4299199999999</v>
      </c>
      <c r="AF8456">
        <v>-0.387249482939932</v>
      </c>
      <c r="AG8456">
        <v>-1.1207852186830001</v>
      </c>
      <c r="AH8456">
        <v>15.344170036008</v>
      </c>
      <c r="AI8456">
        <v>94.1763151823952</v>
      </c>
      <c r="AJ8456">
        <v>91.445699051847996</v>
      </c>
      <c r="AK8456">
        <v>15.3899212396419</v>
      </c>
      <c r="AL8456">
        <v>94.791661245142706</v>
      </c>
      <c r="AM8456">
        <v>89.094739539669206</v>
      </c>
      <c r="AN8456">
        <v>0.99999995039503098</v>
      </c>
    </row>
    <row r="8457" spans="1:40" x14ac:dyDescent="0.25">
      <c r="A8457" t="str">
        <f>"20190303155015393"</f>
        <v>20190303155015393</v>
      </c>
      <c r="B8457" t="str">
        <f>"1551599415388785"</f>
        <v>1551599415388785</v>
      </c>
      <c r="C8457" t="s">
        <v>40</v>
      </c>
      <c r="D8457">
        <v>5.293113</v>
      </c>
      <c r="E8457">
        <v>0.48242669999999999</v>
      </c>
      <c r="F8457" t="s">
        <v>41</v>
      </c>
      <c r="G8457">
        <v>-188.22149999999999</v>
      </c>
      <c r="H8457" s="1">
        <v>-2.935664E-6</v>
      </c>
      <c r="I8457">
        <v>105.7405</v>
      </c>
      <c r="J8457">
        <v>-188.19409999999999</v>
      </c>
      <c r="K8457">
        <v>1.120789</v>
      </c>
      <c r="L8457">
        <v>91.225189999999998</v>
      </c>
      <c r="M8457">
        <v>2.9135020000000001E-2</v>
      </c>
      <c r="N8457">
        <v>-1.446854E-2</v>
      </c>
      <c r="O8457">
        <v>0.99947079999999999</v>
      </c>
      <c r="P8457">
        <v>4.5579330000000001E-2</v>
      </c>
      <c r="Q8457">
        <v>-9.850246E-2</v>
      </c>
      <c r="R8457">
        <v>0.99409250000000005</v>
      </c>
      <c r="S8457">
        <v>-3.8452149999999999E-3</v>
      </c>
      <c r="T8457">
        <v>-0.22678670000000001</v>
      </c>
      <c r="U8457">
        <v>2.9953609999999999</v>
      </c>
      <c r="V8457">
        <v>1.6586529999999999E-2</v>
      </c>
      <c r="W8457">
        <v>-8.4097469999999994E-2</v>
      </c>
      <c r="X8457">
        <v>0.99631950000000002</v>
      </c>
      <c r="Y8457">
        <v>-3.0398990000000001E-2</v>
      </c>
      <c r="Z8457">
        <v>-6.0995639999999997E-2</v>
      </c>
      <c r="AA8457">
        <v>0.99767499999999998</v>
      </c>
      <c r="AB8457">
        <v>33</v>
      </c>
      <c r="AC8457">
        <v>-2.7400000000000001E-2</v>
      </c>
      <c r="AD8457">
        <v>-1.1207919356639999</v>
      </c>
      <c r="AE8457">
        <v>14.515309999999999</v>
      </c>
      <c r="AF8457">
        <v>-0.44766745363580801</v>
      </c>
      <c r="AG8457">
        <v>-1.1207919356639999</v>
      </c>
      <c r="AH8457">
        <v>14.422361482484201</v>
      </c>
      <c r="AI8457">
        <v>94.441513601274295</v>
      </c>
      <c r="AJ8457">
        <v>91.777879649809293</v>
      </c>
      <c r="AK8457">
        <v>14.4727706899384</v>
      </c>
      <c r="AL8457">
        <v>94.824127777508707</v>
      </c>
      <c r="AM8457">
        <v>89.046239298566604</v>
      </c>
      <c r="AN8457">
        <v>1.0000000217590399</v>
      </c>
    </row>
    <row r="8458" spans="1:40" x14ac:dyDescent="0.25">
      <c r="A8458" t="str">
        <f>"20190303155015416"</f>
        <v>20190303155015416</v>
      </c>
      <c r="B8458" t="str">
        <f>"1551599415409280"</f>
        <v>1551599415409280</v>
      </c>
      <c r="C8458" t="s">
        <v>40</v>
      </c>
      <c r="D8458">
        <v>5.2881179999999999</v>
      </c>
      <c r="E8458">
        <v>0.48255799999999999</v>
      </c>
      <c r="F8458" t="s">
        <v>41</v>
      </c>
      <c r="G8458">
        <v>-188.21010000000001</v>
      </c>
      <c r="H8458" s="1">
        <v>-2.8572919999999999E-6</v>
      </c>
      <c r="I8458">
        <v>105.5531</v>
      </c>
      <c r="J8458">
        <v>-188.18430000000001</v>
      </c>
      <c r="K8458">
        <v>1.1208</v>
      </c>
      <c r="L8458">
        <v>91.5625</v>
      </c>
      <c r="M8458">
        <v>2.9103750000000001E-2</v>
      </c>
      <c r="N8458">
        <v>-1.446486E-2</v>
      </c>
      <c r="O8458">
        <v>0.99947169999999996</v>
      </c>
      <c r="P8458">
        <v>4.6939189999999999E-2</v>
      </c>
      <c r="Q8458">
        <v>-9.9311930000000007E-2</v>
      </c>
      <c r="R8458">
        <v>0.99394859999999896</v>
      </c>
      <c r="S8458">
        <v>-3.3416750000000001E-3</v>
      </c>
      <c r="T8458">
        <v>-0.234265</v>
      </c>
      <c r="U8458">
        <v>2.9947810000000001</v>
      </c>
      <c r="V8458">
        <v>1.7984569999999998E-2</v>
      </c>
      <c r="W8458">
        <v>-8.4911420000000001E-2</v>
      </c>
      <c r="X8458">
        <v>0.99622619999999895</v>
      </c>
      <c r="Y8458">
        <v>-3.0199630000000002E-2</v>
      </c>
      <c r="Z8458">
        <v>-6.3489649999999995E-2</v>
      </c>
      <c r="AA8458">
        <v>0.99752549999999995</v>
      </c>
      <c r="AB8458">
        <v>33</v>
      </c>
      <c r="AC8458">
        <v>-2.5800000000003799E-2</v>
      </c>
      <c r="AD8458">
        <v>-1.1208028572919999</v>
      </c>
      <c r="AE8458">
        <v>13.990600000000001</v>
      </c>
      <c r="AF8458">
        <v>-0.430249367490042</v>
      </c>
      <c r="AG8458">
        <v>-1.1208028572919999</v>
      </c>
      <c r="AH8458">
        <v>13.894748003378499</v>
      </c>
      <c r="AI8458">
        <v>94.609509240253502</v>
      </c>
      <c r="AJ8458">
        <v>91.773590899718201</v>
      </c>
      <c r="AK8458">
        <v>13.9465169716504</v>
      </c>
      <c r="AL8458">
        <v>94.870931107602601</v>
      </c>
      <c r="AM8458">
        <v>88.965768979820396</v>
      </c>
      <c r="AN8458">
        <v>1.00000001778547</v>
      </c>
    </row>
    <row r="8459" spans="1:40" x14ac:dyDescent="0.25">
      <c r="A8459" t="str">
        <f>"20190303155015438"</f>
        <v>20190303155015438</v>
      </c>
      <c r="B8459" t="str">
        <f>"1551599415428800"</f>
        <v>1551599415428800</v>
      </c>
      <c r="C8459" t="s">
        <v>40</v>
      </c>
      <c r="D8459">
        <v>5.2754589999999997</v>
      </c>
      <c r="E8459">
        <v>0.48259229999999997</v>
      </c>
      <c r="F8459" t="s">
        <v>41</v>
      </c>
      <c r="G8459">
        <v>-188.17490000000001</v>
      </c>
      <c r="H8459" s="1">
        <v>-2.9053840000000002E-6</v>
      </c>
      <c r="I8459">
        <v>105.6506</v>
      </c>
      <c r="J8459">
        <v>-188.1748</v>
      </c>
      <c r="K8459">
        <v>1.1208209999999901</v>
      </c>
      <c r="L8459">
        <v>91.888490000000004</v>
      </c>
      <c r="M8459">
        <v>2.9032909999999999E-2</v>
      </c>
      <c r="N8459">
        <v>-1.44613E-2</v>
      </c>
      <c r="O8459">
        <v>0.99947390000000003</v>
      </c>
      <c r="P8459">
        <v>4.8531209999999998E-2</v>
      </c>
      <c r="Q8459">
        <v>-0.1000432</v>
      </c>
      <c r="R8459">
        <v>0.99379879999999998</v>
      </c>
      <c r="S8459">
        <v>1.998901E-3</v>
      </c>
      <c r="T8459">
        <v>-0.23822299999999999</v>
      </c>
      <c r="U8459">
        <v>2.9943849999999999</v>
      </c>
      <c r="V8459">
        <v>1.9656980000000001E-2</v>
      </c>
      <c r="W8459">
        <v>-8.5646310000000003E-2</v>
      </c>
      <c r="X8459">
        <v>0.99613169999999995</v>
      </c>
      <c r="Y8459">
        <v>-2.8350799999999999E-2</v>
      </c>
      <c r="Z8459">
        <v>-6.4816040000000005E-2</v>
      </c>
      <c r="AA8459">
        <v>0.9974944</v>
      </c>
      <c r="AB8459">
        <v>33</v>
      </c>
      <c r="AC8459">
        <v>-1.0000000000331901E-4</v>
      </c>
      <c r="AD8459">
        <v>-1.1208239053839999</v>
      </c>
      <c r="AE8459">
        <v>13.7621099999999</v>
      </c>
      <c r="AF8459">
        <v>-0.39706214031767001</v>
      </c>
      <c r="AG8459">
        <v>-1.1208239053839999</v>
      </c>
      <c r="AH8459">
        <v>13.6656613212166</v>
      </c>
      <c r="AI8459">
        <v>94.686794915434504</v>
      </c>
      <c r="AJ8459">
        <v>91.664287263768003</v>
      </c>
      <c r="AK8459">
        <v>13.7172957945926</v>
      </c>
      <c r="AL8459">
        <v>94.913191113344794</v>
      </c>
      <c r="AM8459">
        <v>88.869511093838796</v>
      </c>
      <c r="AN8459">
        <v>1.00000002551211</v>
      </c>
    </row>
    <row r="8460" spans="1:40" x14ac:dyDescent="0.25">
      <c r="A8460" t="str">
        <f>"20190303155015460"</f>
        <v>20190303155015460</v>
      </c>
      <c r="B8460" t="str">
        <f>"1551599415449296"</f>
        <v>1551599415449296</v>
      </c>
      <c r="C8460" t="s">
        <v>40</v>
      </c>
      <c r="D8460">
        <v>5.3001230000000001</v>
      </c>
      <c r="E8460">
        <v>0.48258289999999998</v>
      </c>
      <c r="F8460" t="s">
        <v>41</v>
      </c>
      <c r="G8460">
        <v>-188.1422</v>
      </c>
      <c r="H8460" s="1">
        <v>-2.9598609999999998E-6</v>
      </c>
      <c r="I8460">
        <v>105.7641</v>
      </c>
      <c r="J8460">
        <v>-188.166</v>
      </c>
      <c r="K8460">
        <v>1.120859</v>
      </c>
      <c r="L8460">
        <v>92.194339999999997</v>
      </c>
      <c r="M8460">
        <v>2.8910789999999999E-2</v>
      </c>
      <c r="N8460">
        <v>-1.445803E-2</v>
      </c>
      <c r="O8460">
        <v>0.99947739999999996</v>
      </c>
      <c r="P8460">
        <v>4.9556299999999998E-2</v>
      </c>
      <c r="Q8460">
        <v>-0.1008</v>
      </c>
      <c r="R8460">
        <v>0.99367179999999999</v>
      </c>
      <c r="S8460">
        <v>7.019043E-3</v>
      </c>
      <c r="T8460">
        <v>-0.24184849999999999</v>
      </c>
      <c r="U8460">
        <v>2.994049</v>
      </c>
      <c r="V8460">
        <v>2.081628E-2</v>
      </c>
      <c r="W8460">
        <v>-8.6405389999999999E-2</v>
      </c>
      <c r="X8460">
        <v>0.99604250000000005</v>
      </c>
      <c r="Y8460">
        <v>-2.6557219999999999E-2</v>
      </c>
      <c r="Z8460">
        <v>-6.603038E-2</v>
      </c>
      <c r="AA8460">
        <v>0.99746409999999996</v>
      </c>
      <c r="AB8460">
        <v>32</v>
      </c>
      <c r="AC8460">
        <v>2.3799999999994201E-2</v>
      </c>
      <c r="AD8460">
        <v>-1.1208619598609999</v>
      </c>
      <c r="AE8460">
        <v>13.56976</v>
      </c>
      <c r="AF8460">
        <v>-0.36606588262914302</v>
      </c>
      <c r="AG8460">
        <v>-1.1208619598609999</v>
      </c>
      <c r="AH8460">
        <v>13.472853020383701</v>
      </c>
      <c r="AI8460">
        <v>94.753973041026597</v>
      </c>
      <c r="AJ8460">
        <v>91.556379412809306</v>
      </c>
      <c r="AK8460">
        <v>13.524352268125501</v>
      </c>
      <c r="AL8460">
        <v>94.956845470729704</v>
      </c>
      <c r="AM8460">
        <v>88.802750492509603</v>
      </c>
      <c r="AN8460">
        <v>0.99999993537016796</v>
      </c>
    </row>
    <row r="8461" spans="1:40" x14ac:dyDescent="0.25">
      <c r="A8461" t="str">
        <f>"20190303155015482"</f>
        <v>20190303155015482</v>
      </c>
      <c r="B8461" t="str">
        <f>"1551599415479551"</f>
        <v>1551599415479551</v>
      </c>
      <c r="C8461" t="s">
        <v>40</v>
      </c>
      <c r="D8461">
        <v>5.282559</v>
      </c>
      <c r="E8461">
        <v>0.48273250000000001</v>
      </c>
      <c r="F8461" t="s">
        <v>41</v>
      </c>
      <c r="G8461">
        <v>-188.12020000000001</v>
      </c>
      <c r="H8461" s="1">
        <v>-3.0276649999999999E-6</v>
      </c>
      <c r="I8461">
        <v>105.913</v>
      </c>
      <c r="J8461">
        <v>-188.15690000000001</v>
      </c>
      <c r="K8461">
        <v>1.120919</v>
      </c>
      <c r="L8461">
        <v>92.512630000000001</v>
      </c>
      <c r="M8461">
        <v>2.8707090000000001E-2</v>
      </c>
      <c r="N8461">
        <v>-1.4454760000000001E-2</v>
      </c>
      <c r="O8461">
        <v>0.99948329999999996</v>
      </c>
      <c r="P8461">
        <v>5.0105299999999998E-2</v>
      </c>
      <c r="Q8461">
        <v>-0.1019669</v>
      </c>
      <c r="R8461">
        <v>0.99352510000000005</v>
      </c>
      <c r="S8461">
        <v>9.9945069999999997E-3</v>
      </c>
      <c r="T8461">
        <v>-0.2446034</v>
      </c>
      <c r="U8461">
        <v>2.993805</v>
      </c>
      <c r="V8461">
        <v>2.1585549999999998E-2</v>
      </c>
      <c r="W8461">
        <v>-8.7574029999999997E-2</v>
      </c>
      <c r="X8461">
        <v>0.99592409999999998</v>
      </c>
      <c r="Y8461">
        <v>-2.5362800000000001E-2</v>
      </c>
      <c r="Z8461">
        <v>-6.6953670000000007E-2</v>
      </c>
      <c r="AA8461">
        <v>0.99743369999999998</v>
      </c>
      <c r="AB8461">
        <v>32</v>
      </c>
      <c r="AC8461">
        <v>3.6699999999996097E-2</v>
      </c>
      <c r="AD8461">
        <v>-1.120922027665</v>
      </c>
      <c r="AE8461">
        <v>13.400369999999899</v>
      </c>
      <c r="AF8461">
        <v>-0.34562263570650198</v>
      </c>
      <c r="AG8461">
        <v>-1.120922027665</v>
      </c>
      <c r="AH8461">
        <v>13.3028194876496</v>
      </c>
      <c r="AI8461">
        <v>94.814861557591897</v>
      </c>
      <c r="AJ8461">
        <v>91.488275805395801</v>
      </c>
      <c r="AK8461">
        <v>13.3544347510259</v>
      </c>
      <c r="AL8461">
        <v>95.024058184969306</v>
      </c>
      <c r="AM8461">
        <v>88.758371939406103</v>
      </c>
      <c r="AN8461">
        <v>0.99999997983002598</v>
      </c>
    </row>
    <row r="8462" spans="1:40" x14ac:dyDescent="0.25">
      <c r="A8462" t="str">
        <f>"20190303155015505"</f>
        <v>20190303155015505</v>
      </c>
      <c r="B8462" t="str">
        <f>"1551599415499072"</f>
        <v>1551599415499072</v>
      </c>
      <c r="C8462" t="s">
        <v>40</v>
      </c>
      <c r="D8462">
        <v>5.3262530000000003</v>
      </c>
      <c r="E8462">
        <v>0.48238589999999998</v>
      </c>
      <c r="F8462" t="s">
        <v>41</v>
      </c>
      <c r="G8462">
        <v>-188.09780000000001</v>
      </c>
      <c r="H8462" s="1">
        <v>-3.095269E-6</v>
      </c>
      <c r="I8462">
        <v>106.06140000000001</v>
      </c>
      <c r="J8462">
        <v>-188.14709999999999</v>
      </c>
      <c r="K8462">
        <v>1.1209979999999999</v>
      </c>
      <c r="L8462">
        <v>92.862790000000004</v>
      </c>
      <c r="M8462">
        <v>2.8376439999999999E-2</v>
      </c>
      <c r="N8462">
        <v>-1.445142E-2</v>
      </c>
      <c r="O8462">
        <v>0.99949279999999996</v>
      </c>
      <c r="P8462">
        <v>5.0096469999999997E-2</v>
      </c>
      <c r="Q8462">
        <v>-0.1031827</v>
      </c>
      <c r="R8462">
        <v>0.99339999999999995</v>
      </c>
      <c r="S8462">
        <v>1.306152E-2</v>
      </c>
      <c r="T8462">
        <v>-0.24765719999999999</v>
      </c>
      <c r="U8462">
        <v>2.9934690000000002</v>
      </c>
      <c r="V8462">
        <v>2.1926999999999999E-2</v>
      </c>
      <c r="W8462">
        <v>-8.8790549999999996E-2</v>
      </c>
      <c r="X8462">
        <v>0.99580900000000006</v>
      </c>
      <c r="Y8462">
        <v>-2.4010839999999999E-2</v>
      </c>
      <c r="Z8462">
        <v>-6.7978849999999993E-2</v>
      </c>
      <c r="AA8462">
        <v>0.9973978</v>
      </c>
      <c r="AB8462">
        <v>32</v>
      </c>
      <c r="AC8462">
        <v>4.9299999999988103E-2</v>
      </c>
      <c r="AD8462">
        <v>-1.1210010952689999</v>
      </c>
      <c r="AE8462">
        <v>13.19861</v>
      </c>
      <c r="AF8462">
        <v>-0.32295886815934699</v>
      </c>
      <c r="AG8462">
        <v>-1.1210010952689999</v>
      </c>
      <c r="AH8462">
        <v>13.1001939861923</v>
      </c>
      <c r="AI8462">
        <v>94.889483240710703</v>
      </c>
      <c r="AJ8462">
        <v>91.412225859280497</v>
      </c>
      <c r="AK8462">
        <v>13.152035141451901</v>
      </c>
      <c r="AL8462">
        <v>95.094031838304701</v>
      </c>
      <c r="AM8462">
        <v>88.738591864565706</v>
      </c>
      <c r="AN8462">
        <v>1.0000000597896399</v>
      </c>
    </row>
    <row r="8463" spans="1:40" x14ac:dyDescent="0.25">
      <c r="A8463" t="str">
        <f>"20190303155015527"</f>
        <v>20190303155015527</v>
      </c>
      <c r="B8463" t="str">
        <f>"1551599415519568"</f>
        <v>1551599415519568</v>
      </c>
      <c r="C8463" t="s">
        <v>40</v>
      </c>
      <c r="D8463">
        <v>5.2776389999999997</v>
      </c>
      <c r="E8463">
        <v>0.48232449999999999</v>
      </c>
      <c r="F8463" t="s">
        <v>41</v>
      </c>
      <c r="G8463">
        <v>-188.1019</v>
      </c>
      <c r="H8463" s="1">
        <v>-3.0894430000000001E-6</v>
      </c>
      <c r="I8463">
        <v>106.04949999999999</v>
      </c>
      <c r="J8463">
        <v>-188.1387</v>
      </c>
      <c r="K8463">
        <v>1.1210709999999999</v>
      </c>
      <c r="L8463">
        <v>93.173550000000006</v>
      </c>
      <c r="M8463">
        <v>2.8003690000000001E-2</v>
      </c>
      <c r="N8463">
        <v>-1.4448610000000001E-2</v>
      </c>
      <c r="O8463">
        <v>0.99950340000000004</v>
      </c>
      <c r="P8463">
        <v>4.8896540000000002E-2</v>
      </c>
      <c r="Q8463">
        <v>-0.1040345</v>
      </c>
      <c r="R8463">
        <v>0.993371</v>
      </c>
      <c r="S8463">
        <v>1.0269169999999999E-2</v>
      </c>
      <c r="T8463">
        <v>-0.25443320000000003</v>
      </c>
      <c r="U8463">
        <v>2.9929809999999999</v>
      </c>
      <c r="V8463">
        <v>2.1114540000000001E-2</v>
      </c>
      <c r="W8463">
        <v>-8.9642979999999997E-2</v>
      </c>
      <c r="X8463">
        <v>0.99575009999999997</v>
      </c>
      <c r="Y8463">
        <v>-2.456757E-2</v>
      </c>
      <c r="Z8463">
        <v>-7.0236809999999997E-2</v>
      </c>
      <c r="AA8463">
        <v>0.9972278</v>
      </c>
      <c r="AB8463">
        <v>32</v>
      </c>
      <c r="AC8463">
        <v>3.67999999999995E-2</v>
      </c>
      <c r="AD8463">
        <v>-1.121074089443</v>
      </c>
      <c r="AE8463">
        <v>12.8759499999999</v>
      </c>
      <c r="AF8463">
        <v>-0.32138984339732601</v>
      </c>
      <c r="AG8463">
        <v>-1.121074089443</v>
      </c>
      <c r="AH8463">
        <v>12.7750864204198</v>
      </c>
      <c r="AI8463">
        <v>95.013549376524296</v>
      </c>
      <c r="AJ8463">
        <v>91.441117316989605</v>
      </c>
      <c r="AK8463">
        <v>12.828208432772399</v>
      </c>
      <c r="AL8463">
        <v>95.143068462109795</v>
      </c>
      <c r="AM8463">
        <v>88.785244653919307</v>
      </c>
      <c r="AN8463">
        <v>0.99999997465635004</v>
      </c>
    </row>
    <row r="8464" spans="1:40" x14ac:dyDescent="0.25">
      <c r="A8464" t="str">
        <f>"20190303155015550"</f>
        <v>20190303155015550</v>
      </c>
      <c r="B8464" t="str">
        <f>"1551599415539087"</f>
        <v>1551599415539087</v>
      </c>
      <c r="C8464" t="s">
        <v>40</v>
      </c>
      <c r="D8464">
        <v>5.2360439999999997</v>
      </c>
      <c r="E8464">
        <v>0.48231069999999998</v>
      </c>
      <c r="F8464" t="s">
        <v>41</v>
      </c>
      <c r="G8464">
        <v>-188.1114</v>
      </c>
      <c r="H8464" s="1">
        <v>-3.1712319999999998E-6</v>
      </c>
      <c r="I8464">
        <v>106.2441</v>
      </c>
      <c r="J8464">
        <v>-188.12989999999999</v>
      </c>
      <c r="K8464">
        <v>1.1211370000000001</v>
      </c>
      <c r="L8464">
        <v>93.50421</v>
      </c>
      <c r="M8464">
        <v>2.7514819999999999E-2</v>
      </c>
      <c r="N8464">
        <v>-1.444553E-2</v>
      </c>
      <c r="O8464">
        <v>0.99951699999999999</v>
      </c>
      <c r="P8464">
        <v>4.7494109999999999E-2</v>
      </c>
      <c r="Q8464">
        <v>-0.1037858</v>
      </c>
      <c r="R8464">
        <v>0.99346509999999999</v>
      </c>
      <c r="S8464">
        <v>6.2561040000000002E-3</v>
      </c>
      <c r="T8464">
        <v>-0.2566986</v>
      </c>
      <c r="U8464">
        <v>2.9928279999999998</v>
      </c>
      <c r="V8464">
        <v>2.0211300000000001E-2</v>
      </c>
      <c r="W8464">
        <v>-8.9393909999999993E-2</v>
      </c>
      <c r="X8464">
        <v>0.99579130000000005</v>
      </c>
      <c r="Y8464">
        <v>-2.541494E-2</v>
      </c>
      <c r="Z8464">
        <v>-7.0993920000000002E-2</v>
      </c>
      <c r="AA8464">
        <v>0.99715290000000001</v>
      </c>
      <c r="AB8464">
        <v>32</v>
      </c>
      <c r="AC8464">
        <v>1.84999999999888E-2</v>
      </c>
      <c r="AD8464">
        <v>-1.1211401712319999</v>
      </c>
      <c r="AE8464">
        <v>12.739890000000001</v>
      </c>
      <c r="AF8464">
        <v>-0.32952737964871098</v>
      </c>
      <c r="AG8464">
        <v>-1.1211401712319999</v>
      </c>
      <c r="AH8464">
        <v>12.637703312905201</v>
      </c>
      <c r="AI8464">
        <v>95.067947596586393</v>
      </c>
      <c r="AJ8464">
        <v>91.493645672151203</v>
      </c>
      <c r="AK8464">
        <v>12.691614893405101</v>
      </c>
      <c r="AL8464">
        <v>95.128739938129399</v>
      </c>
      <c r="AM8464">
        <v>88.837243095682695</v>
      </c>
      <c r="AN8464">
        <v>1.00000004047423</v>
      </c>
    </row>
    <row r="8465" spans="1:40" x14ac:dyDescent="0.25">
      <c r="A8465" t="str">
        <f>"20190303155015572"</f>
        <v>20190303155015572</v>
      </c>
      <c r="B8465" t="str">
        <f>"1551599415569344"</f>
        <v>1551599415569344</v>
      </c>
      <c r="C8465" t="s">
        <v>40</v>
      </c>
      <c r="D8465">
        <v>5.2269180000000004</v>
      </c>
      <c r="E8465">
        <v>0.48233429999999999</v>
      </c>
      <c r="F8465" t="s">
        <v>41</v>
      </c>
      <c r="G8465">
        <v>-188.1207</v>
      </c>
      <c r="H8465" s="1">
        <v>-3.365706E-6</v>
      </c>
      <c r="I8465">
        <v>106.7013</v>
      </c>
      <c r="J8465">
        <v>-188.12209999999999</v>
      </c>
      <c r="K8465">
        <v>1.1212029999999999</v>
      </c>
      <c r="L8465">
        <v>93.808009999999996</v>
      </c>
      <c r="M8465">
        <v>2.6978769999999999E-2</v>
      </c>
      <c r="N8465">
        <v>-1.4442730000000001E-2</v>
      </c>
      <c r="O8465">
        <v>0.99953170000000002</v>
      </c>
      <c r="P8465">
        <v>4.6767940000000001E-2</v>
      </c>
      <c r="Q8465">
        <v>-0.1041832</v>
      </c>
      <c r="R8465">
        <v>0.9934579</v>
      </c>
      <c r="S8465">
        <v>2.0751950000000002E-3</v>
      </c>
      <c r="T8465">
        <v>-0.25427309999999997</v>
      </c>
      <c r="U8465">
        <v>2.9930729999999999</v>
      </c>
      <c r="V8465">
        <v>2.003315E-2</v>
      </c>
      <c r="W8465">
        <v>-8.9791629999999997E-2</v>
      </c>
      <c r="X8465">
        <v>0.99575910000000001</v>
      </c>
      <c r="Y8465">
        <v>-2.6271360000000001E-2</v>
      </c>
      <c r="Z8465">
        <v>-7.0188570000000006E-2</v>
      </c>
      <c r="AA8465">
        <v>0.99718770000000001</v>
      </c>
      <c r="AB8465">
        <v>32</v>
      </c>
      <c r="AC8465">
        <v>1.39999999998963E-3</v>
      </c>
      <c r="AD8465">
        <v>-1.1212063657060001</v>
      </c>
      <c r="AE8465">
        <v>12.89329</v>
      </c>
      <c r="AF8465">
        <v>-0.34388141555712398</v>
      </c>
      <c r="AG8465">
        <v>-1.1212063657060001</v>
      </c>
      <c r="AH8465">
        <v>12.791899834561599</v>
      </c>
      <c r="AI8465">
        <v>95.007357472669398</v>
      </c>
      <c r="AJ8465">
        <v>91.539897103010802</v>
      </c>
      <c r="AK8465">
        <v>12.845546291221799</v>
      </c>
      <c r="AL8465">
        <v>95.151619707999501</v>
      </c>
      <c r="AM8465">
        <v>88.847452036850896</v>
      </c>
      <c r="AN8465">
        <v>1.0000000245748899</v>
      </c>
    </row>
    <row r="8466" spans="1:40" x14ac:dyDescent="0.25">
      <c r="A8466" t="str">
        <f>"20190303155015594"</f>
        <v>20190303155015594</v>
      </c>
      <c r="B8466" t="str">
        <f>"1551599415588865"</f>
        <v>1551599415588865</v>
      </c>
      <c r="C8466" t="s">
        <v>40</v>
      </c>
      <c r="D8466">
        <v>5.2422740000000001</v>
      </c>
      <c r="E8466">
        <v>0.48234470000000002</v>
      </c>
      <c r="F8466" t="s">
        <v>41</v>
      </c>
      <c r="G8466">
        <v>-188.1215</v>
      </c>
      <c r="H8466" s="1">
        <v>-3.5184419999999999E-6</v>
      </c>
      <c r="I8466">
        <v>107.05759999999999</v>
      </c>
      <c r="J8466">
        <v>-188.114</v>
      </c>
      <c r="K8466">
        <v>1.121267</v>
      </c>
      <c r="L8466">
        <v>94.131870000000006</v>
      </c>
      <c r="M8466">
        <v>2.631872E-2</v>
      </c>
      <c r="N8466">
        <v>-1.443988E-2</v>
      </c>
      <c r="O8466">
        <v>0.99954929999999997</v>
      </c>
      <c r="P8466">
        <v>4.5105510000000001E-2</v>
      </c>
      <c r="Q8466">
        <v>-0.1034283</v>
      </c>
      <c r="R8466">
        <v>0.99361370000000004</v>
      </c>
      <c r="S8466">
        <v>1.220703E-4</v>
      </c>
      <c r="T8466">
        <v>-0.25328970000000001</v>
      </c>
      <c r="U8466">
        <v>2.9931950000000001</v>
      </c>
      <c r="V8466">
        <v>1.903852E-2</v>
      </c>
      <c r="W8466">
        <v>-8.9035939999999994E-2</v>
      </c>
      <c r="X8466">
        <v>0.99584649999999997</v>
      </c>
      <c r="Y8466">
        <v>-2.6262020000000001E-2</v>
      </c>
      <c r="Z8466">
        <v>-6.9864960000000004E-2</v>
      </c>
      <c r="AA8466">
        <v>0.99721070000000001</v>
      </c>
      <c r="AB8466">
        <v>32</v>
      </c>
      <c r="AC8466">
        <v>-7.4999999999931797E-3</v>
      </c>
      <c r="AD8466">
        <v>-1.121270518442</v>
      </c>
      <c r="AE8466">
        <v>12.92573</v>
      </c>
      <c r="AF8466">
        <v>-0.34512445862466401</v>
      </c>
      <c r="AG8466">
        <v>-1.121270518442</v>
      </c>
      <c r="AH8466">
        <v>12.824548598093299</v>
      </c>
      <c r="AI8466">
        <v>94.9949548288795</v>
      </c>
      <c r="AJ8466">
        <v>91.541528204721502</v>
      </c>
      <c r="AK8466">
        <v>12.878097887977299</v>
      </c>
      <c r="AL8466">
        <v>95.108147566561698</v>
      </c>
      <c r="AM8466">
        <v>88.904756931895903</v>
      </c>
      <c r="AN8466">
        <v>1.0000000577088599</v>
      </c>
    </row>
    <row r="8467" spans="1:40" x14ac:dyDescent="0.25">
      <c r="A8467" t="str">
        <f>"20190303155015616"</f>
        <v>20190303155015616</v>
      </c>
      <c r="B8467" t="str">
        <f>"1551599415608891"</f>
        <v>1551599415608891</v>
      </c>
      <c r="C8467" t="s">
        <v>40</v>
      </c>
      <c r="D8467">
        <v>5.2497099999999897</v>
      </c>
      <c r="E8467">
        <v>0.4824233</v>
      </c>
      <c r="F8467" t="s">
        <v>41</v>
      </c>
      <c r="G8467">
        <v>-188.13480000000001</v>
      </c>
      <c r="H8467" s="1">
        <v>-3.725142E-6</v>
      </c>
      <c r="I8467">
        <v>107.5449</v>
      </c>
      <c r="J8467">
        <v>-188.1061</v>
      </c>
      <c r="K8467">
        <v>1.121343</v>
      </c>
      <c r="L8467">
        <v>94.460300000000004</v>
      </c>
      <c r="M8467">
        <v>2.5562910000000001E-2</v>
      </c>
      <c r="N8467">
        <v>-1.443709E-2</v>
      </c>
      <c r="O8467">
        <v>0.99956889999999998</v>
      </c>
      <c r="P8467">
        <v>4.4135510000000003E-2</v>
      </c>
      <c r="Q8467">
        <v>-0.102793</v>
      </c>
      <c r="R8467">
        <v>0.99372320000000003</v>
      </c>
      <c r="S8467">
        <v>-4.653931E-3</v>
      </c>
      <c r="T8467">
        <v>-0.2502376</v>
      </c>
      <c r="U8467">
        <v>2.993439</v>
      </c>
      <c r="V8467">
        <v>1.8833369999999999E-2</v>
      </c>
      <c r="W8467">
        <v>-8.8399270000000002E-2</v>
      </c>
      <c r="X8467">
        <v>0.99590710000000005</v>
      </c>
      <c r="Y8467">
        <v>-2.709688E-2</v>
      </c>
      <c r="Z8467">
        <v>-6.8852769999999994E-2</v>
      </c>
      <c r="AA8467">
        <v>0.9972588</v>
      </c>
      <c r="AB8467">
        <v>32</v>
      </c>
      <c r="AC8467">
        <v>-2.87000000000148E-2</v>
      </c>
      <c r="AD8467">
        <v>-1.121346725142</v>
      </c>
      <c r="AE8467">
        <v>13.084599999999901</v>
      </c>
      <c r="AF8467">
        <v>-0.36055787078625101</v>
      </c>
      <c r="AG8467">
        <v>-1.121346725142</v>
      </c>
      <c r="AH8467">
        <v>12.9842280505529</v>
      </c>
      <c r="AI8467">
        <v>94.934050816432205</v>
      </c>
      <c r="AJ8467">
        <v>91.590632623444193</v>
      </c>
      <c r="AK8467">
        <v>13.0375457247496</v>
      </c>
      <c r="AL8467">
        <v>95.071524746952093</v>
      </c>
      <c r="AM8467">
        <v>88.916621830537196</v>
      </c>
      <c r="AN8467">
        <v>1.00000003929624</v>
      </c>
    </row>
    <row r="8468" spans="1:40" x14ac:dyDescent="0.25">
      <c r="A8468" t="str">
        <f>"20190303155015639"</f>
        <v>20190303155015639</v>
      </c>
      <c r="B8468" t="str">
        <f>"1551599415629387"</f>
        <v>1551599415629387</v>
      </c>
      <c r="C8468" t="s">
        <v>40</v>
      </c>
      <c r="D8468">
        <v>5.2253489999999996</v>
      </c>
      <c r="E8468">
        <v>0.48231459999999998</v>
      </c>
      <c r="F8468" t="s">
        <v>41</v>
      </c>
      <c r="G8468">
        <v>-188.1379</v>
      </c>
      <c r="H8468" s="1">
        <v>-3.9333500000000002E-6</v>
      </c>
      <c r="I8468">
        <v>108.03149999999999</v>
      </c>
      <c r="J8468">
        <v>-188.09889999999999</v>
      </c>
      <c r="K8468">
        <v>1.1214150000000001</v>
      </c>
      <c r="L8468">
        <v>94.770139999999998</v>
      </c>
      <c r="M8468">
        <v>2.4774939999999999E-2</v>
      </c>
      <c r="N8468">
        <v>-1.443448E-2</v>
      </c>
      <c r="O8468">
        <v>0.99958880000000006</v>
      </c>
      <c r="P8468">
        <v>4.3398029999999997E-2</v>
      </c>
      <c r="Q8468">
        <v>-0.1020474</v>
      </c>
      <c r="R8468">
        <v>0.99383250000000001</v>
      </c>
      <c r="S8468">
        <v>-7.019043E-3</v>
      </c>
      <c r="T8468">
        <v>-0.24735799999999999</v>
      </c>
      <c r="U8468">
        <v>2.9936829999999999</v>
      </c>
      <c r="V8468">
        <v>1.8891120000000001E-2</v>
      </c>
      <c r="W8468">
        <v>-8.7652069999999999E-2</v>
      </c>
      <c r="X8468">
        <v>0.99597199999999997</v>
      </c>
      <c r="Y8468">
        <v>-2.7096950000000002E-2</v>
      </c>
      <c r="Z8468">
        <v>-6.7898470000000002E-2</v>
      </c>
      <c r="AA8468">
        <v>0.99732419999999999</v>
      </c>
      <c r="AB8468">
        <v>32</v>
      </c>
      <c r="AC8468">
        <v>-3.9000000000015599E-2</v>
      </c>
      <c r="AD8468">
        <v>-1.12141893335</v>
      </c>
      <c r="AE8468">
        <v>13.2613599999999</v>
      </c>
      <c r="AF8468">
        <v>-0.36496189356874598</v>
      </c>
      <c r="AG8468">
        <v>-1.12141893335</v>
      </c>
      <c r="AH8468">
        <v>13.162201763826101</v>
      </c>
      <c r="AI8468">
        <v>94.867974845443996</v>
      </c>
      <c r="AJ8468">
        <v>91.588291988855104</v>
      </c>
      <c r="AK8468">
        <v>13.214928409927101</v>
      </c>
      <c r="AL8468">
        <v>95.028546745520501</v>
      </c>
      <c r="AM8468">
        <v>88.913371387319003</v>
      </c>
      <c r="AN8468">
        <v>0.99999999228706904</v>
      </c>
    </row>
    <row r="8469" spans="1:40" x14ac:dyDescent="0.25">
      <c r="A8469" t="str">
        <f>"20190303155015660"</f>
        <v>20190303155015660</v>
      </c>
      <c r="B8469" t="str">
        <f>"1551599415648907"</f>
        <v>1551599415648907</v>
      </c>
      <c r="C8469" t="s">
        <v>40</v>
      </c>
      <c r="D8469">
        <v>5.3138529999999999</v>
      </c>
      <c r="E8469">
        <v>0.4823479</v>
      </c>
      <c r="F8469" t="s">
        <v>41</v>
      </c>
      <c r="G8469">
        <v>-188.14449999999999</v>
      </c>
      <c r="H8469" s="1">
        <v>-4.1134960000000004E-6</v>
      </c>
      <c r="I8469">
        <v>108.4542</v>
      </c>
      <c r="J8469">
        <v>-188.09219999999999</v>
      </c>
      <c r="K8469">
        <v>1.121469</v>
      </c>
      <c r="L8469">
        <v>95.072749999999999</v>
      </c>
      <c r="M8469">
        <v>2.3943949999999999E-2</v>
      </c>
      <c r="N8469">
        <v>-1.4431879999999999E-2</v>
      </c>
      <c r="O8469">
        <v>0.99960910000000003</v>
      </c>
      <c r="P8469">
        <v>4.271954E-2</v>
      </c>
      <c r="Q8469">
        <v>-0.10134</v>
      </c>
      <c r="R8469">
        <v>0.99393419999999999</v>
      </c>
      <c r="S8469">
        <v>-9.9792479999999996E-3</v>
      </c>
      <c r="T8469">
        <v>-0.24534929999999999</v>
      </c>
      <c r="U8469">
        <v>2.9938660000000001</v>
      </c>
      <c r="V8469">
        <v>1.9048989999999998E-2</v>
      </c>
      <c r="W8469">
        <v>-8.6943279999999998E-2</v>
      </c>
      <c r="X8469">
        <v>0.99603109999999995</v>
      </c>
      <c r="Y8469">
        <v>-2.725207E-2</v>
      </c>
      <c r="Z8469">
        <v>-6.7233630000000003E-2</v>
      </c>
      <c r="AA8469">
        <v>0.99736499999999995</v>
      </c>
      <c r="AB8469">
        <v>32</v>
      </c>
      <c r="AC8469">
        <v>-5.23000000000024E-2</v>
      </c>
      <c r="AD8469">
        <v>-1.1214731134960001</v>
      </c>
      <c r="AE8469">
        <v>13.381449999999999</v>
      </c>
      <c r="AF8469">
        <v>-0.37012352384549202</v>
      </c>
      <c r="AG8469">
        <v>-1.1214731134960001</v>
      </c>
      <c r="AH8469">
        <v>13.2830643735275</v>
      </c>
      <c r="AI8469">
        <v>94.824104896779005</v>
      </c>
      <c r="AJ8469">
        <v>91.596094800491599</v>
      </c>
      <c r="AK8469">
        <v>13.335459966513101</v>
      </c>
      <c r="AL8469">
        <v>94.987780520146501</v>
      </c>
      <c r="AM8469">
        <v>88.904357812871098</v>
      </c>
      <c r="AN8469">
        <v>0.99999997506219296</v>
      </c>
    </row>
    <row r="8470" spans="1:40" x14ac:dyDescent="0.25">
      <c r="A8470" t="str">
        <f>"20190303155015684"</f>
        <v>20190303155015684</v>
      </c>
      <c r="B8470" t="str">
        <f>"1551599415679163"</f>
        <v>1551599415679163</v>
      </c>
      <c r="C8470" t="s">
        <v>40</v>
      </c>
      <c r="D8470">
        <v>5.3109539999999997</v>
      </c>
      <c r="E8470">
        <v>0.48222290000000001</v>
      </c>
      <c r="F8470" t="s">
        <v>41</v>
      </c>
      <c r="G8470">
        <v>-188.14599999999999</v>
      </c>
      <c r="H8470" s="1">
        <v>-4.299411E-6</v>
      </c>
      <c r="I8470">
        <v>108.8882</v>
      </c>
      <c r="J8470">
        <v>-188.08539999999999</v>
      </c>
      <c r="K8470">
        <v>1.1215170000000001</v>
      </c>
      <c r="L8470">
        <v>95.401309999999995</v>
      </c>
      <c r="M8470">
        <v>2.2986820000000002E-2</v>
      </c>
      <c r="N8470">
        <v>-1.4428959999999999E-2</v>
      </c>
      <c r="O8470">
        <v>0.99963159999999895</v>
      </c>
      <c r="P8470">
        <v>4.0819609999999999E-2</v>
      </c>
      <c r="Q8470">
        <v>-0.10018639999999999</v>
      </c>
      <c r="R8470">
        <v>0.99413099999999999</v>
      </c>
      <c r="S8470">
        <v>-1.165771E-2</v>
      </c>
      <c r="T8470">
        <v>-0.24304029999999999</v>
      </c>
      <c r="U8470">
        <v>2.9940190000000002</v>
      </c>
      <c r="V8470">
        <v>1.8106299999999999E-2</v>
      </c>
      <c r="W8470">
        <v>-8.5790019999999995E-2</v>
      </c>
      <c r="X8470">
        <v>0.9961487</v>
      </c>
      <c r="Y8470">
        <v>-2.6854510000000002E-2</v>
      </c>
      <c r="Z8470">
        <v>-6.6471489999999994E-2</v>
      </c>
      <c r="AA8470">
        <v>0.99742690000000001</v>
      </c>
      <c r="AB8470">
        <v>32</v>
      </c>
      <c r="AC8470">
        <v>-6.0599999999993701E-2</v>
      </c>
      <c r="AD8470">
        <v>-1.121521299411</v>
      </c>
      <c r="AE8470">
        <v>13.486890000000001</v>
      </c>
      <c r="AF8470">
        <v>-0.36809168795373698</v>
      </c>
      <c r="AG8470">
        <v>-1.121521299411</v>
      </c>
      <c r="AH8470">
        <v>13.389347141682601</v>
      </c>
      <c r="AI8470">
        <v>94.786244228301598</v>
      </c>
      <c r="AJ8470">
        <v>91.574743656019805</v>
      </c>
      <c r="AK8470">
        <v>13.441276665416</v>
      </c>
      <c r="AL8470">
        <v>94.9214556377854</v>
      </c>
      <c r="AM8470">
        <v>88.958689250979603</v>
      </c>
      <c r="AN8470">
        <v>0.99999999907148995</v>
      </c>
    </row>
    <row r="8471" spans="1:40" x14ac:dyDescent="0.25">
      <c r="A8471" t="str">
        <f>"20190303155015706"</f>
        <v>20190303155015706</v>
      </c>
      <c r="B8471" t="str">
        <f>"1551599415699660"</f>
        <v>1551599415699660</v>
      </c>
      <c r="C8471" t="s">
        <v>40</v>
      </c>
      <c r="D8471">
        <v>5.317876</v>
      </c>
      <c r="E8471">
        <v>0.48201670000000002</v>
      </c>
      <c r="F8471" t="s">
        <v>41</v>
      </c>
      <c r="G8471">
        <v>-188.172</v>
      </c>
      <c r="H8471" s="1">
        <v>-4.4804170000000002E-6</v>
      </c>
      <c r="I8471">
        <v>109.32089999999999</v>
      </c>
      <c r="J8471">
        <v>-188.0787</v>
      </c>
      <c r="K8471">
        <v>1.121545</v>
      </c>
      <c r="L8471">
        <v>95.738249999999994</v>
      </c>
      <c r="M8471">
        <v>2.1966630000000001E-2</v>
      </c>
      <c r="N8471">
        <v>-1.4425830000000001E-2</v>
      </c>
      <c r="O8471">
        <v>0.99965470000000001</v>
      </c>
      <c r="P8471">
        <v>3.8100429999999998E-2</v>
      </c>
      <c r="Q8471">
        <v>-9.9777589999999999E-2</v>
      </c>
      <c r="R8471">
        <v>0.99428000000000005</v>
      </c>
      <c r="S8471">
        <v>-1.8630979999999998E-2</v>
      </c>
      <c r="T8471">
        <v>-0.2412426</v>
      </c>
      <c r="U8471">
        <v>2.9941409999999999</v>
      </c>
      <c r="V8471">
        <v>1.6406540000000001E-2</v>
      </c>
      <c r="W8471">
        <v>-8.5384950000000001E-2</v>
      </c>
      <c r="X8471">
        <v>0.99621300000000002</v>
      </c>
      <c r="Y8471">
        <v>-2.8156520000000001E-2</v>
      </c>
      <c r="Z8471">
        <v>-6.587701E-2</v>
      </c>
      <c r="AA8471">
        <v>0.99743040000000005</v>
      </c>
      <c r="AB8471">
        <v>32</v>
      </c>
      <c r="AC8471">
        <v>-9.3299999999999203E-2</v>
      </c>
      <c r="AD8471">
        <v>-1.1215494804170001</v>
      </c>
      <c r="AE8471">
        <v>13.582649999999999</v>
      </c>
      <c r="AF8471">
        <v>-0.38902126826074901</v>
      </c>
      <c r="AG8471">
        <v>-1.1215494804170001</v>
      </c>
      <c r="AH8471">
        <v>13.4853808977629</v>
      </c>
      <c r="AI8471">
        <v>94.752254781997195</v>
      </c>
      <c r="AJ8471">
        <v>91.652389141044296</v>
      </c>
      <c r="AK8471">
        <v>13.5375296395587</v>
      </c>
      <c r="AL8471">
        <v>94.898161097715004</v>
      </c>
      <c r="AM8471">
        <v>89.056486387824904</v>
      </c>
      <c r="AN8471">
        <v>1.00000005280513</v>
      </c>
    </row>
    <row r="8472" spans="1:40" x14ac:dyDescent="0.25">
      <c r="A8472" t="str">
        <f>"20190303155015727"</f>
        <v>20190303155015727</v>
      </c>
      <c r="B8472" t="str">
        <f>"1551599415719179"</f>
        <v>1551599415719179</v>
      </c>
      <c r="C8472" t="s">
        <v>40</v>
      </c>
      <c r="D8472">
        <v>5.308478</v>
      </c>
      <c r="E8472">
        <v>0.48212769999999999</v>
      </c>
      <c r="F8472" t="s">
        <v>41</v>
      </c>
      <c r="G8472">
        <v>-188.21100000000001</v>
      </c>
      <c r="H8472" s="1">
        <v>-4.5719399999999996E-6</v>
      </c>
      <c r="I8472">
        <v>109.55029999999999</v>
      </c>
      <c r="J8472">
        <v>-188.07300000000001</v>
      </c>
      <c r="K8472">
        <v>1.1215440000000001</v>
      </c>
      <c r="L8472">
        <v>96.039609999999996</v>
      </c>
      <c r="M8472">
        <v>2.103623E-2</v>
      </c>
      <c r="N8472">
        <v>-1.4422890000000001E-2</v>
      </c>
      <c r="O8472">
        <v>0.99967470000000003</v>
      </c>
      <c r="P8472">
        <v>3.5318790000000003E-2</v>
      </c>
      <c r="Q8472">
        <v>-0.1026797</v>
      </c>
      <c r="R8472">
        <v>0.99408730000000001</v>
      </c>
      <c r="S8472">
        <v>-2.867126E-2</v>
      </c>
      <c r="T8472">
        <v>-0.24311099999999999</v>
      </c>
      <c r="U8472">
        <v>2.9939580000000001</v>
      </c>
      <c r="V8472">
        <v>1.456529E-2</v>
      </c>
      <c r="W8472">
        <v>-8.8296239999999998E-2</v>
      </c>
      <c r="X8472">
        <v>0.99598779999999998</v>
      </c>
      <c r="Y8472">
        <v>-3.0568979999999999E-2</v>
      </c>
      <c r="Z8472">
        <v>-6.6501130000000006E-2</v>
      </c>
      <c r="AA8472">
        <v>0.99731800000000004</v>
      </c>
      <c r="AB8472">
        <v>32</v>
      </c>
      <c r="AC8472">
        <v>-0.13800000000000501</v>
      </c>
      <c r="AD8472">
        <v>-1.12154857194</v>
      </c>
      <c r="AE8472">
        <v>13.510689999999901</v>
      </c>
      <c r="AF8472">
        <v>-0.419323746302742</v>
      </c>
      <c r="AG8472">
        <v>-1.12154857194</v>
      </c>
      <c r="AH8472">
        <v>13.4123815122901</v>
      </c>
      <c r="AI8472">
        <v>94.777651471337094</v>
      </c>
      <c r="AJ8472">
        <v>91.790707914928902</v>
      </c>
      <c r="AK8472">
        <v>13.465722462410101</v>
      </c>
      <c r="AL8472">
        <v>95.065598407349199</v>
      </c>
      <c r="AM8472">
        <v>89.162168290527305</v>
      </c>
      <c r="AN8472">
        <v>1.0000000357098799</v>
      </c>
    </row>
    <row r="8473" spans="1:40" x14ac:dyDescent="0.25">
      <c r="A8473" t="str">
        <f>"20190303155015751"</f>
        <v>20190303155015751</v>
      </c>
      <c r="B8473" t="str">
        <f>"1551599415738700"</f>
        <v>1551599415738700</v>
      </c>
      <c r="C8473" t="s">
        <v>40</v>
      </c>
      <c r="D8473">
        <v>5.4044379999999999</v>
      </c>
      <c r="E8473">
        <v>0.51227230000000001</v>
      </c>
      <c r="F8473" t="s">
        <v>41</v>
      </c>
      <c r="G8473">
        <v>-188.23339999999999</v>
      </c>
      <c r="H8473" s="1">
        <v>-4.4909340000000002E-6</v>
      </c>
      <c r="I8473">
        <v>109.3708</v>
      </c>
      <c r="J8473">
        <v>-188.06729999999999</v>
      </c>
      <c r="K8473">
        <v>1.1215299999999999</v>
      </c>
      <c r="L8473">
        <v>96.361599999999996</v>
      </c>
      <c r="M8473">
        <v>2.0041110000000001E-2</v>
      </c>
      <c r="N8473">
        <v>-1.4419599999999999E-2</v>
      </c>
      <c r="O8473">
        <v>0.99969520000000001</v>
      </c>
      <c r="P8473">
        <v>3.4018600000000003E-2</v>
      </c>
      <c r="Q8473">
        <v>-0.1076424</v>
      </c>
      <c r="R8473">
        <v>0.99360749999999998</v>
      </c>
      <c r="S8473">
        <v>-3.6010739999999999E-2</v>
      </c>
      <c r="T8473">
        <v>-0.2518089</v>
      </c>
      <c r="U8473">
        <v>2.9931030000000001</v>
      </c>
      <c r="V8473">
        <v>1.427675E-2</v>
      </c>
      <c r="W8473">
        <v>-9.3269469999999993E-2</v>
      </c>
      <c r="X8473">
        <v>0.99553849999999999</v>
      </c>
      <c r="Y8473">
        <v>-3.2017919999999998E-2</v>
      </c>
      <c r="Z8473">
        <v>-6.9404519999999997E-2</v>
      </c>
      <c r="AA8473">
        <v>0.99707469999999998</v>
      </c>
      <c r="AB8473">
        <v>32</v>
      </c>
      <c r="AC8473">
        <v>-0.1661</v>
      </c>
      <c r="AD8473">
        <v>-1.1215344909339999</v>
      </c>
      <c r="AE8473">
        <v>13.0092</v>
      </c>
      <c r="AF8473">
        <v>-0.42366424930490199</v>
      </c>
      <c r="AG8473">
        <v>-1.1215344909339999</v>
      </c>
      <c r="AH8473">
        <v>12.9073416842161</v>
      </c>
      <c r="AI8473">
        <v>94.963366861283404</v>
      </c>
      <c r="AJ8473">
        <v>91.879973592938796</v>
      </c>
      <c r="AK8473">
        <v>12.9629009239288</v>
      </c>
      <c r="AL8473">
        <v>95.351725684667002</v>
      </c>
      <c r="AM8473">
        <v>89.178392948579898</v>
      </c>
      <c r="AN8473">
        <v>0.99999996230344601</v>
      </c>
    </row>
    <row r="8474" spans="1:40" x14ac:dyDescent="0.25">
      <c r="A8474" t="str">
        <f>"20190303155015773"</f>
        <v>20190303155015773</v>
      </c>
      <c r="B8474" t="str">
        <f>"1551599415768956"</f>
        <v>1551599415768956</v>
      </c>
      <c r="C8474" t="s">
        <v>40</v>
      </c>
      <c r="D8474">
        <v>5.4033309999999997</v>
      </c>
      <c r="E8474">
        <v>0.51867220000000003</v>
      </c>
      <c r="F8474" t="s">
        <v>42</v>
      </c>
      <c r="G8474">
        <v>-188.00829999999999</v>
      </c>
      <c r="H8474">
        <v>1.047226</v>
      </c>
      <c r="I8474">
        <v>97.237359999999995</v>
      </c>
      <c r="J8474">
        <v>-188.06180000000001</v>
      </c>
      <c r="K8474">
        <v>1.1215040000000001</v>
      </c>
      <c r="L8474">
        <v>96.689480000000003</v>
      </c>
      <c r="M8474">
        <v>1.9048410000000002E-2</v>
      </c>
      <c r="N8474">
        <v>-1.4416119999999999E-2</v>
      </c>
      <c r="O8474">
        <v>0.99971460000000001</v>
      </c>
      <c r="P8474">
        <v>3.4343470000000001E-2</v>
      </c>
      <c r="Q8474">
        <v>-0.111781199999999</v>
      </c>
      <c r="R8474">
        <v>0.9931392</v>
      </c>
      <c r="S8474">
        <v>0.20031740000000001</v>
      </c>
      <c r="T8474">
        <v>-0.2533724</v>
      </c>
      <c r="U8474">
        <v>2.984985</v>
      </c>
      <c r="V8474">
        <v>1.5604750000000001E-2</v>
      </c>
      <c r="W8474">
        <v>-9.7415760000000004E-2</v>
      </c>
      <c r="X8474">
        <v>0.99512140000000004</v>
      </c>
      <c r="Y8474">
        <v>4.7739330000000003E-2</v>
      </c>
      <c r="Z8474">
        <v>-7.0048609999999997E-2</v>
      </c>
      <c r="AA8474">
        <v>0.99640059999999997</v>
      </c>
      <c r="AB8474">
        <v>32</v>
      </c>
      <c r="AC8474">
        <v>5.35000000000138E-2</v>
      </c>
      <c r="AD8474">
        <v>-7.4277999999999997E-2</v>
      </c>
      <c r="AE8474">
        <v>0.54787999999999204</v>
      </c>
      <c r="AF8474">
        <v>4.2283132776783902E-2</v>
      </c>
      <c r="AG8474">
        <v>-7.4277999999999997E-2</v>
      </c>
      <c r="AH8474">
        <v>0.538986674217379</v>
      </c>
      <c r="AI8474">
        <v>97.822797565407697</v>
      </c>
      <c r="AJ8474">
        <v>85.514372526112993</v>
      </c>
      <c r="AK8474">
        <v>0.54572128379359597</v>
      </c>
      <c r="AL8474">
        <v>95.590377923204301</v>
      </c>
      <c r="AM8474">
        <v>89.101604045103102</v>
      </c>
      <c r="AN8474">
        <v>0.99999996962844895</v>
      </c>
    </row>
    <row r="8475" spans="1:40" x14ac:dyDescent="0.25">
      <c r="A8475" t="str">
        <f>"20190303155015796"</f>
        <v>20190303155015796</v>
      </c>
      <c r="B8475" t="str">
        <f>"1551599415788476"</f>
        <v>1551599415788476</v>
      </c>
      <c r="C8475" t="s">
        <v>40</v>
      </c>
      <c r="D8475">
        <v>5.3579150000000002</v>
      </c>
      <c r="E8475">
        <v>0.52051119999999995</v>
      </c>
      <c r="F8475" t="s">
        <v>42</v>
      </c>
      <c r="G8475">
        <v>-187.99170000000001</v>
      </c>
      <c r="H8475">
        <v>1.04094</v>
      </c>
      <c r="I8475">
        <v>97.515799999999999</v>
      </c>
      <c r="J8475">
        <v>-188.0566</v>
      </c>
      <c r="K8475">
        <v>1.1214740000000001</v>
      </c>
      <c r="L8475">
        <v>97.011840000000007</v>
      </c>
      <c r="M8475">
        <v>1.8108240000000001E-2</v>
      </c>
      <c r="N8475">
        <v>-1.4412619999999999E-2</v>
      </c>
      <c r="O8475">
        <v>0.99973210000000001</v>
      </c>
      <c r="P8475">
        <v>3.4796239999999999E-2</v>
      </c>
      <c r="Q8475">
        <v>-0.1124908</v>
      </c>
      <c r="R8475">
        <v>0.99304329999999996</v>
      </c>
      <c r="S8475">
        <v>0.25224299999999999</v>
      </c>
      <c r="T8475">
        <v>-0.29050169999999997</v>
      </c>
      <c r="U8475">
        <v>2.9793090000000002</v>
      </c>
      <c r="V8475">
        <v>1.69909E-2</v>
      </c>
      <c r="W8475">
        <v>-9.8128290000000007E-2</v>
      </c>
      <c r="X8475">
        <v>0.99502869999999999</v>
      </c>
      <c r="Y8475">
        <v>6.596378E-2</v>
      </c>
      <c r="Z8475">
        <v>-8.2401500000000003E-2</v>
      </c>
      <c r="AA8475">
        <v>0.99441380000000001</v>
      </c>
      <c r="AB8475">
        <v>32</v>
      </c>
      <c r="AC8475">
        <v>6.4899999999994407E-2</v>
      </c>
      <c r="AD8475">
        <v>-8.0534000000000106E-2</v>
      </c>
      <c r="AE8475">
        <v>0.50395999999999197</v>
      </c>
      <c r="AF8475">
        <v>5.4396137662191299E-2</v>
      </c>
      <c r="AG8475">
        <v>-8.0534000000000106E-2</v>
      </c>
      <c r="AH8475">
        <v>0.49267656522905001</v>
      </c>
      <c r="AI8475">
        <v>99.2284854044686</v>
      </c>
      <c r="AJ8475">
        <v>83.699524511678803</v>
      </c>
      <c r="AK8475">
        <v>0.502170153309074</v>
      </c>
      <c r="AL8475">
        <v>95.631399352813503</v>
      </c>
      <c r="AM8475">
        <v>89.021724441244999</v>
      </c>
      <c r="AN8475">
        <v>0.99999998290241199</v>
      </c>
    </row>
    <row r="8476" spans="1:40" x14ac:dyDescent="0.25">
      <c r="A8476" t="str">
        <f>"20190303155015820"</f>
        <v>20190303155015820</v>
      </c>
      <c r="B8476" t="str">
        <f>"1551599415808972"</f>
        <v>1551599415808972</v>
      </c>
      <c r="C8476" t="s">
        <v>40</v>
      </c>
      <c r="D8476">
        <v>5.3490869999999999</v>
      </c>
      <c r="E8476">
        <v>0.52173789999999998</v>
      </c>
      <c r="F8476" t="s">
        <v>42</v>
      </c>
      <c r="G8476">
        <v>-187.9854</v>
      </c>
      <c r="H8476">
        <v>1.042724</v>
      </c>
      <c r="I8476">
        <v>97.800299999999993</v>
      </c>
      <c r="J8476">
        <v>-188.0515</v>
      </c>
      <c r="K8476">
        <v>1.121451</v>
      </c>
      <c r="L8476">
        <v>97.344880000000003</v>
      </c>
      <c r="M8476">
        <v>1.7185889999999999E-2</v>
      </c>
      <c r="N8476">
        <v>-1.440892E-2</v>
      </c>
      <c r="O8476">
        <v>0.99974850000000004</v>
      </c>
      <c r="P8476">
        <v>3.4788050000000001E-2</v>
      </c>
      <c r="Q8476">
        <v>-0.11092050000000001</v>
      </c>
      <c r="R8476">
        <v>0.9932202</v>
      </c>
      <c r="S8476">
        <v>0.26826480000000003</v>
      </c>
      <c r="T8476">
        <v>-0.29751070000000002</v>
      </c>
      <c r="U8476">
        <v>2.9779049999999998</v>
      </c>
      <c r="V8476">
        <v>1.7886309999999999E-2</v>
      </c>
      <c r="W8476">
        <v>-9.6559049999999993E-2</v>
      </c>
      <c r="X8476">
        <v>0.99516649999999995</v>
      </c>
      <c r="Y8476">
        <v>7.2208289999999994E-2</v>
      </c>
      <c r="Z8476">
        <v>-8.4724019999999997E-2</v>
      </c>
      <c r="AA8476">
        <v>0.99378460000000002</v>
      </c>
      <c r="AB8476">
        <v>32</v>
      </c>
      <c r="AC8476">
        <v>6.6100000000005807E-2</v>
      </c>
      <c r="AD8476">
        <v>-7.8726999999999894E-2</v>
      </c>
      <c r="AE8476">
        <v>0.455419999999989</v>
      </c>
      <c r="AF8476">
        <v>5.6605971666124903E-2</v>
      </c>
      <c r="AG8476">
        <v>-7.8726999999999894E-2</v>
      </c>
      <c r="AH8476">
        <v>0.44350891701332301</v>
      </c>
      <c r="AI8476">
        <v>99.986331524758896</v>
      </c>
      <c r="AJ8476">
        <v>82.726544329202298</v>
      </c>
      <c r="AK8476">
        <v>0.45398495132283501</v>
      </c>
      <c r="AL8476">
        <v>95.541059564302103</v>
      </c>
      <c r="AM8476">
        <v>88.9703233122341</v>
      </c>
      <c r="AN8476">
        <v>0.99999996647228295</v>
      </c>
    </row>
    <row r="8477" spans="1:40" x14ac:dyDescent="0.25">
      <c r="A8477" t="str">
        <f>"20190303155015840"</f>
        <v>20190303155015840</v>
      </c>
      <c r="B8477" t="str">
        <f>"1551599415829468"</f>
        <v>1551599415829468</v>
      </c>
      <c r="C8477" t="s">
        <v>40</v>
      </c>
      <c r="D8477">
        <v>5.3715109999999999</v>
      </c>
      <c r="E8477">
        <v>0.5229743</v>
      </c>
      <c r="F8477" t="s">
        <v>42</v>
      </c>
      <c r="G8477">
        <v>-187.9821</v>
      </c>
      <c r="H8477">
        <v>1.047777</v>
      </c>
      <c r="I8477">
        <v>98.087720000000004</v>
      </c>
      <c r="J8477">
        <v>-188.04730000000001</v>
      </c>
      <c r="K8477">
        <v>1.121426</v>
      </c>
      <c r="L8477">
        <v>97.635409999999993</v>
      </c>
      <c r="M8477">
        <v>1.6433610000000001E-2</v>
      </c>
      <c r="N8477">
        <v>-1.4405599999999999E-2</v>
      </c>
      <c r="O8477">
        <v>0.99976120000000002</v>
      </c>
      <c r="P8477">
        <v>3.4854999999999997E-2</v>
      </c>
      <c r="Q8477">
        <v>-0.10981639999999999</v>
      </c>
      <c r="R8477">
        <v>0.99334060000000002</v>
      </c>
      <c r="S8477">
        <v>0.27803040000000001</v>
      </c>
      <c r="T8477">
        <v>-0.29539840000000001</v>
      </c>
      <c r="U8477">
        <v>2.9777529999999999</v>
      </c>
      <c r="V8477">
        <v>1.868879E-2</v>
      </c>
      <c r="W8477">
        <v>-9.5457020000000004E-2</v>
      </c>
      <c r="X8477">
        <v>0.99525810000000003</v>
      </c>
      <c r="Y8477">
        <v>7.6197470000000003E-2</v>
      </c>
      <c r="Z8477">
        <v>-8.4007440000000003E-2</v>
      </c>
      <c r="AA8477">
        <v>0.99354759999999998</v>
      </c>
      <c r="AB8477">
        <v>32</v>
      </c>
      <c r="AC8477">
        <v>6.5200000000004296E-2</v>
      </c>
      <c r="AD8477">
        <v>-7.3649000000000006E-2</v>
      </c>
      <c r="AE8477">
        <v>0.45230999999999699</v>
      </c>
      <c r="AF8477">
        <v>5.6295156703203598E-2</v>
      </c>
      <c r="AG8477">
        <v>-7.3649000000000006E-2</v>
      </c>
      <c r="AH8477">
        <v>0.44184426947895</v>
      </c>
      <c r="AI8477">
        <v>99.388836877087698</v>
      </c>
      <c r="AJ8477">
        <v>82.739094029896194</v>
      </c>
      <c r="AK8477">
        <v>0.45146392806139601</v>
      </c>
      <c r="AL8477">
        <v>95.477624676179104</v>
      </c>
      <c r="AM8477">
        <v>88.924235872129302</v>
      </c>
      <c r="AN8477">
        <v>0.99999999957727703</v>
      </c>
    </row>
    <row r="8478" spans="1:40" x14ac:dyDescent="0.25">
      <c r="A8478" t="str">
        <f>"20190303155015863"</f>
        <v>20190303155015863</v>
      </c>
      <c r="B8478" t="str">
        <f>"1551599415858748"</f>
        <v>1551599415858748</v>
      </c>
      <c r="C8478" t="s">
        <v>40</v>
      </c>
      <c r="D8478">
        <v>5.3188870000000001</v>
      </c>
      <c r="E8478">
        <v>0.52420610000000001</v>
      </c>
      <c r="F8478" t="s">
        <v>42</v>
      </c>
      <c r="G8478">
        <v>-187.97579999999999</v>
      </c>
      <c r="H8478">
        <v>1.049817</v>
      </c>
      <c r="I8478">
        <v>98.372489999999999</v>
      </c>
      <c r="J8478">
        <v>-188.04300000000001</v>
      </c>
      <c r="K8478">
        <v>1.121386</v>
      </c>
      <c r="L8478">
        <v>97.946110000000004</v>
      </c>
      <c r="M8478">
        <v>1.5691239999999999E-2</v>
      </c>
      <c r="N8478">
        <v>-1.440202E-2</v>
      </c>
      <c r="O8478">
        <v>0.99977309999999997</v>
      </c>
      <c r="P8478">
        <v>3.4574889999999997E-2</v>
      </c>
      <c r="Q8478">
        <v>-0.1102721</v>
      </c>
      <c r="R8478">
        <v>0.99329990000000001</v>
      </c>
      <c r="S8478">
        <v>0.28807070000000001</v>
      </c>
      <c r="T8478">
        <v>-0.2894119</v>
      </c>
      <c r="U8478">
        <v>2.9779969999999998</v>
      </c>
      <c r="V8478">
        <v>1.9137640000000001E-2</v>
      </c>
      <c r="W8478">
        <v>-9.5918359999999994E-2</v>
      </c>
      <c r="X8478">
        <v>0.99520520000000001</v>
      </c>
      <c r="Y8478">
        <v>8.0263390000000004E-2</v>
      </c>
      <c r="Z8478">
        <v>-8.1997379999999995E-2</v>
      </c>
      <c r="AA8478">
        <v>0.99339529999999998</v>
      </c>
      <c r="AB8478">
        <v>32</v>
      </c>
      <c r="AC8478">
        <v>6.7200000000013901E-2</v>
      </c>
      <c r="AD8478">
        <v>-7.1568999999999994E-2</v>
      </c>
      <c r="AE8478">
        <v>0.42637999999999399</v>
      </c>
      <c r="AF8478">
        <v>5.8881842412147098E-2</v>
      </c>
      <c r="AG8478">
        <v>-7.1568999999999994E-2</v>
      </c>
      <c r="AH8478">
        <v>0.41594699896051202</v>
      </c>
      <c r="AI8478">
        <v>99.668327753899405</v>
      </c>
      <c r="AJ8478">
        <v>81.942693207289295</v>
      </c>
      <c r="AK8478">
        <v>0.42614680460036902</v>
      </c>
      <c r="AL8478">
        <v>95.504179437323202</v>
      </c>
      <c r="AM8478">
        <v>88.898346919831894</v>
      </c>
      <c r="AN8478">
        <v>0.99999998557844905</v>
      </c>
    </row>
    <row r="8479" spans="1:40" x14ac:dyDescent="0.25">
      <c r="A8479" t="str">
        <f>"20190303155015885"</f>
        <v>20190303155015885</v>
      </c>
      <c r="B8479" t="str">
        <f>"1551599415879244"</f>
        <v>1551599415879244</v>
      </c>
      <c r="C8479" t="s">
        <v>40</v>
      </c>
      <c r="D8479">
        <v>5.1290290000000001</v>
      </c>
      <c r="E8479">
        <v>0.52519369999999999</v>
      </c>
      <c r="F8479" t="s">
        <v>42</v>
      </c>
      <c r="G8479">
        <v>-187.9453</v>
      </c>
      <c r="H8479">
        <v>1.0268010000000001</v>
      </c>
      <c r="I8479">
        <v>98.923810000000003</v>
      </c>
      <c r="J8479">
        <v>-188.03880000000001</v>
      </c>
      <c r="K8479">
        <v>1.1213310000000001</v>
      </c>
      <c r="L8479">
        <v>98.268919999999994</v>
      </c>
      <c r="M8479">
        <v>1.4985460000000001E-2</v>
      </c>
      <c r="N8479">
        <v>-1.439824E-2</v>
      </c>
      <c r="O8479">
        <v>0.99978409999999995</v>
      </c>
      <c r="P8479">
        <v>3.4238129999999999E-2</v>
      </c>
      <c r="Q8479">
        <v>-0.1105348</v>
      </c>
      <c r="R8479">
        <v>0.99328229999999995</v>
      </c>
      <c r="S8479">
        <v>0.29730220000000002</v>
      </c>
      <c r="T8479">
        <v>-0.28813509999999998</v>
      </c>
      <c r="U8479">
        <v>2.9779049999999998</v>
      </c>
      <c r="V8479">
        <v>1.949153E-2</v>
      </c>
      <c r="W8479">
        <v>-9.6187030000000007E-2</v>
      </c>
      <c r="X8479">
        <v>0.99517239999999996</v>
      </c>
      <c r="Y8479">
        <v>8.4020349999999994E-2</v>
      </c>
      <c r="Z8479">
        <v>-8.1554580000000002E-2</v>
      </c>
      <c r="AA8479">
        <v>0.99312100000000003</v>
      </c>
      <c r="AB8479">
        <v>32</v>
      </c>
      <c r="AC8479">
        <v>9.3500000000005898E-2</v>
      </c>
      <c r="AD8479">
        <v>-9.4529999999999698E-2</v>
      </c>
      <c r="AE8479">
        <v>0.65489000000000797</v>
      </c>
      <c r="AF8479">
        <v>8.2000273044388394E-2</v>
      </c>
      <c r="AG8479">
        <v>-9.4529999999999698E-2</v>
      </c>
      <c r="AH8479">
        <v>0.64308641496860797</v>
      </c>
      <c r="AI8479">
        <v>98.296039815544901</v>
      </c>
      <c r="AJ8479">
        <v>82.733399332301403</v>
      </c>
      <c r="AK8479">
        <v>0.65514891650412699</v>
      </c>
      <c r="AL8479">
        <v>95.519644604364203</v>
      </c>
      <c r="AM8479">
        <v>88.877943526764497</v>
      </c>
      <c r="AN8479">
        <v>0.99999998510185995</v>
      </c>
    </row>
    <row r="8480" spans="1:40" x14ac:dyDescent="0.25">
      <c r="A8480" t="str">
        <f>"20190303155015907"</f>
        <v>20190303155015907</v>
      </c>
      <c r="B8480" t="str">
        <f>"1551599415899739"</f>
        <v>1551599415899739</v>
      </c>
      <c r="C8480" t="s">
        <v>40</v>
      </c>
      <c r="D8480">
        <v>5.2715860000000001</v>
      </c>
      <c r="E8480">
        <v>0.5256653</v>
      </c>
      <c r="F8480" t="s">
        <v>42</v>
      </c>
      <c r="G8480">
        <v>-187.9426</v>
      </c>
      <c r="H8480">
        <v>1.0365059999999999</v>
      </c>
      <c r="I8480">
        <v>99.210809999999995</v>
      </c>
      <c r="J8480">
        <v>-188.03469999999999</v>
      </c>
      <c r="K8480">
        <v>1.121292</v>
      </c>
      <c r="L8480">
        <v>98.592010000000002</v>
      </c>
      <c r="M8480">
        <v>1.4332330000000001E-2</v>
      </c>
      <c r="N8480">
        <v>-1.439462E-2</v>
      </c>
      <c r="O8480">
        <v>0.99979359999999995</v>
      </c>
      <c r="P8480">
        <v>3.3799089999999997E-2</v>
      </c>
      <c r="Q8480">
        <v>-0.10993410000000001</v>
      </c>
      <c r="R8480">
        <v>0.99336400000000002</v>
      </c>
      <c r="S8480">
        <v>0.30435180000000001</v>
      </c>
      <c r="T8480">
        <v>-0.2683799</v>
      </c>
      <c r="U8480">
        <v>2.9799190000000002</v>
      </c>
      <c r="V8480">
        <v>1.9689160000000001E-2</v>
      </c>
      <c r="W8480">
        <v>-9.5590919999999996E-2</v>
      </c>
      <c r="X8480">
        <v>0.99522600000000006</v>
      </c>
      <c r="Y8480">
        <v>8.6984839999999994E-2</v>
      </c>
      <c r="Z8480">
        <v>-7.4950089999999997E-2</v>
      </c>
      <c r="AA8480">
        <v>0.9933862</v>
      </c>
      <c r="AB8480">
        <v>32</v>
      </c>
      <c r="AC8480">
        <v>9.2099999999987803E-2</v>
      </c>
      <c r="AD8480">
        <v>-8.4786E-2</v>
      </c>
      <c r="AE8480">
        <v>0.61879999999999302</v>
      </c>
      <c r="AF8480">
        <v>8.1719845618604098E-2</v>
      </c>
      <c r="AG8480">
        <v>-8.4786E-2</v>
      </c>
      <c r="AH8480">
        <v>0.60887355024013201</v>
      </c>
      <c r="AI8480">
        <v>97.857926299544104</v>
      </c>
      <c r="AJ8480">
        <v>82.355739869379704</v>
      </c>
      <c r="AK8480">
        <v>0.62015626994004602</v>
      </c>
      <c r="AL8480">
        <v>95.485331607713206</v>
      </c>
      <c r="AM8480">
        <v>88.8666306669477</v>
      </c>
      <c r="AN8480">
        <v>1.0000000390419701</v>
      </c>
    </row>
    <row r="8481" spans="1:40" x14ac:dyDescent="0.25">
      <c r="A8481" t="str">
        <f>"20190303155015929"</f>
        <v>20190303155015929</v>
      </c>
      <c r="B8481" t="str">
        <f>"1551599415919260"</f>
        <v>1551599415919260</v>
      </c>
      <c r="C8481" t="s">
        <v>40</v>
      </c>
      <c r="D8481">
        <v>5.3058610000000002</v>
      </c>
      <c r="E8481">
        <v>0.52616130000000005</v>
      </c>
      <c r="F8481" t="s">
        <v>42</v>
      </c>
      <c r="G8481">
        <v>-187.9418</v>
      </c>
      <c r="H8481">
        <v>1.0386439999999999</v>
      </c>
      <c r="I8481">
        <v>99.493729999999999</v>
      </c>
      <c r="J8481">
        <v>-188.03110000000001</v>
      </c>
      <c r="K8481">
        <v>1.121265</v>
      </c>
      <c r="L8481">
        <v>98.88391</v>
      </c>
      <c r="M8481">
        <v>1.378472E-2</v>
      </c>
      <c r="N8481">
        <v>-1.43912999999999E-2</v>
      </c>
      <c r="O8481">
        <v>0.99980139999999995</v>
      </c>
      <c r="P8481">
        <v>3.3392970000000001E-2</v>
      </c>
      <c r="Q8481">
        <v>-0.10926429999999999</v>
      </c>
      <c r="R8481">
        <v>0.99345170000000005</v>
      </c>
      <c r="S8481">
        <v>0.3067474</v>
      </c>
      <c r="T8481">
        <v>-0.27309739999999999</v>
      </c>
      <c r="U8481">
        <v>2.9794010000000002</v>
      </c>
      <c r="V8481">
        <v>1.9816899999999998E-2</v>
      </c>
      <c r="W8481">
        <v>-9.4925090000000004E-2</v>
      </c>
      <c r="X8481">
        <v>0.99528720000000004</v>
      </c>
      <c r="Y8481">
        <v>8.8324079999999999E-2</v>
      </c>
      <c r="Z8481">
        <v>-7.6519119999999996E-2</v>
      </c>
      <c r="AA8481">
        <v>0.99314840000000004</v>
      </c>
      <c r="AB8481">
        <v>32</v>
      </c>
      <c r="AC8481">
        <v>8.9300000000008595E-2</v>
      </c>
      <c r="AD8481">
        <v>-8.2620999999999806E-2</v>
      </c>
      <c r="AE8481">
        <v>0.60981999999999903</v>
      </c>
      <c r="AF8481">
        <v>7.9456560880472801E-2</v>
      </c>
      <c r="AG8481">
        <v>-8.2620999999999806E-2</v>
      </c>
      <c r="AH8481">
        <v>0.60020705494592497</v>
      </c>
      <c r="AI8481">
        <v>97.770788683211194</v>
      </c>
      <c r="AJ8481">
        <v>82.458923222847702</v>
      </c>
      <c r="AK8481">
        <v>0.61105489402738</v>
      </c>
      <c r="AL8481">
        <v>95.447008047901406</v>
      </c>
      <c r="AM8481">
        <v>88.859349615759598</v>
      </c>
      <c r="AN8481">
        <v>1.0000000463604699</v>
      </c>
    </row>
    <row r="8482" spans="1:40" x14ac:dyDescent="0.25">
      <c r="A8482" t="str">
        <f>"20190303155015951"</f>
        <v>20190303155015951</v>
      </c>
      <c r="B8482" t="str">
        <f>"1551599415938780"</f>
        <v>1551599415938780</v>
      </c>
      <c r="C8482" t="s">
        <v>40</v>
      </c>
      <c r="D8482">
        <v>5.2787230000000003</v>
      </c>
      <c r="E8482">
        <v>0.52640089999999995</v>
      </c>
      <c r="F8482" t="s">
        <v>42</v>
      </c>
      <c r="G8482">
        <v>-187.9383</v>
      </c>
      <c r="H8482">
        <v>1.040049</v>
      </c>
      <c r="I8482">
        <v>99.775980000000004</v>
      </c>
      <c r="J8482">
        <v>-188.0273</v>
      </c>
      <c r="K8482">
        <v>1.121229</v>
      </c>
      <c r="L8482">
        <v>99.205200000000005</v>
      </c>
      <c r="M8482">
        <v>1.3225860000000001E-2</v>
      </c>
      <c r="N8482">
        <v>-1.4387469999999999E-2</v>
      </c>
      <c r="O8482">
        <v>0.99980899999999995</v>
      </c>
      <c r="P8482">
        <v>3.3014620000000001E-2</v>
      </c>
      <c r="Q8482">
        <v>-0.1090685</v>
      </c>
      <c r="R8482">
        <v>0.99348579999999997</v>
      </c>
      <c r="S8482">
        <v>0.30941770000000002</v>
      </c>
      <c r="T8482">
        <v>-0.2713139</v>
      </c>
      <c r="U8482">
        <v>2.9795229999999999</v>
      </c>
      <c r="V8482">
        <v>1.9985099999999999E-2</v>
      </c>
      <c r="W8482">
        <v>-9.4734349999999995E-2</v>
      </c>
      <c r="X8482">
        <v>0.99530200000000002</v>
      </c>
      <c r="Y8482">
        <v>8.9761320000000006E-2</v>
      </c>
      <c r="Z8482">
        <v>-7.5920890000000005E-2</v>
      </c>
      <c r="AA8482">
        <v>0.99306539999999999</v>
      </c>
      <c r="AB8482">
        <v>32</v>
      </c>
      <c r="AC8482">
        <v>8.8999999999998594E-2</v>
      </c>
      <c r="AD8482">
        <v>-8.1180000000000002E-2</v>
      </c>
      <c r="AE8482">
        <v>0.57077999999999895</v>
      </c>
      <c r="AF8482">
        <v>7.9865181308689401E-2</v>
      </c>
      <c r="AG8482">
        <v>-8.1180000000000002E-2</v>
      </c>
      <c r="AH8482">
        <v>0.560831861978907</v>
      </c>
      <c r="AI8482">
        <v>98.155164904727499</v>
      </c>
      <c r="AJ8482">
        <v>81.895295021396507</v>
      </c>
      <c r="AK8482">
        <v>0.57227704566599402</v>
      </c>
      <c r="AL8482">
        <v>95.436030033966702</v>
      </c>
      <c r="AM8482">
        <v>88.849687803006205</v>
      </c>
      <c r="AN8482">
        <v>1.00000003624796</v>
      </c>
    </row>
    <row r="8483" spans="1:40" x14ac:dyDescent="0.25">
      <c r="A8483" t="str">
        <f>"20190303155015974"</f>
        <v>20190303155015974</v>
      </c>
      <c r="B8483" t="str">
        <f>"1551599415969036"</f>
        <v>1551599415969036</v>
      </c>
      <c r="C8483" t="s">
        <v>40</v>
      </c>
      <c r="D8483">
        <v>5.3280599999999998</v>
      </c>
      <c r="E8483">
        <v>0.52688330000000005</v>
      </c>
      <c r="F8483" t="s">
        <v>42</v>
      </c>
      <c r="G8483">
        <v>-187.9383</v>
      </c>
      <c r="H8483">
        <v>1.0429809999999999</v>
      </c>
      <c r="I8483">
        <v>100.0586</v>
      </c>
      <c r="J8483">
        <v>-188.02350000000001</v>
      </c>
      <c r="K8483">
        <v>1.121189</v>
      </c>
      <c r="L8483">
        <v>99.532499999999999</v>
      </c>
      <c r="M8483">
        <v>1.269554E-2</v>
      </c>
      <c r="N8483">
        <v>-1.438355E-2</v>
      </c>
      <c r="O8483">
        <v>0.99981589999999998</v>
      </c>
      <c r="P8483">
        <v>3.2585540000000003E-2</v>
      </c>
      <c r="Q8483">
        <v>-0.1093876</v>
      </c>
      <c r="R8483">
        <v>0.99346489999999998</v>
      </c>
      <c r="S8483">
        <v>0.31018069999999998</v>
      </c>
      <c r="T8483">
        <v>-0.27321580000000001</v>
      </c>
      <c r="U8483">
        <v>2.9793699999999999</v>
      </c>
      <c r="V8483">
        <v>2.0075880000000001E-2</v>
      </c>
      <c r="W8483">
        <v>-9.5059450000000004E-2</v>
      </c>
      <c r="X8483">
        <v>0.99526910000000002</v>
      </c>
      <c r="Y8483">
        <v>9.0540369999999995E-2</v>
      </c>
      <c r="Z8483">
        <v>-7.6553739999999995E-2</v>
      </c>
      <c r="AA8483">
        <v>0.99294610000000005</v>
      </c>
      <c r="AB8483">
        <v>32</v>
      </c>
      <c r="AC8483">
        <v>8.5200000000014597E-2</v>
      </c>
      <c r="AD8483">
        <v>-7.8208E-2</v>
      </c>
      <c r="AE8483">
        <v>0.52609999999999901</v>
      </c>
      <c r="AF8483">
        <v>7.6858259965545406E-2</v>
      </c>
      <c r="AG8483">
        <v>-7.8208E-2</v>
      </c>
      <c r="AH8483">
        <v>0.51602728948254095</v>
      </c>
      <c r="AI8483">
        <v>98.525401532643698</v>
      </c>
      <c r="AJ8483">
        <v>81.528515187817504</v>
      </c>
      <c r="AK8483">
        <v>0.52754890472792204</v>
      </c>
      <c r="AL8483">
        <v>95.454741746724906</v>
      </c>
      <c r="AM8483">
        <v>88.844425869267596</v>
      </c>
      <c r="AN8483">
        <v>0.99999996070344199</v>
      </c>
    </row>
    <row r="8484" spans="1:40" x14ac:dyDescent="0.25">
      <c r="A8484" t="str">
        <f>"20190303155015998"</f>
        <v>20190303155015998</v>
      </c>
      <c r="B8484" t="str">
        <f>"1551599415988557"</f>
        <v>1551599415988557</v>
      </c>
      <c r="C8484" t="s">
        <v>40</v>
      </c>
      <c r="D8484">
        <v>5.3277919999999996</v>
      </c>
      <c r="E8484">
        <v>0.52714280000000002</v>
      </c>
      <c r="F8484" t="s">
        <v>42</v>
      </c>
      <c r="G8484">
        <v>-187.9385</v>
      </c>
      <c r="H8484">
        <v>1.0459879999999999</v>
      </c>
      <c r="I8484">
        <v>100.3419</v>
      </c>
      <c r="J8484">
        <v>-188.01990000000001</v>
      </c>
      <c r="K8484">
        <v>1.1211530000000001</v>
      </c>
      <c r="L8484">
        <v>99.856840000000005</v>
      </c>
      <c r="M8484">
        <v>1.220122E-2</v>
      </c>
      <c r="N8484">
        <v>-1.4379650000000001E-2</v>
      </c>
      <c r="O8484">
        <v>0.99982210000000005</v>
      </c>
      <c r="P8484">
        <v>3.2231709999999997E-2</v>
      </c>
      <c r="Q8484">
        <v>-0.1112571</v>
      </c>
      <c r="R8484">
        <v>0.99326879999999995</v>
      </c>
      <c r="S8484">
        <v>0.31277470000000002</v>
      </c>
      <c r="T8484">
        <v>-0.27679120000000002</v>
      </c>
      <c r="U8484">
        <v>2.9789729999999999</v>
      </c>
      <c r="V8484">
        <v>2.021044E-2</v>
      </c>
      <c r="W8484">
        <v>-9.6937049999999997E-2</v>
      </c>
      <c r="X8484">
        <v>0.99508529999999995</v>
      </c>
      <c r="Y8484">
        <v>9.1890159999999999E-2</v>
      </c>
      <c r="Z8484">
        <v>-7.7741099999999994E-2</v>
      </c>
      <c r="AA8484">
        <v>0.9927298</v>
      </c>
      <c r="AB8484">
        <v>31</v>
      </c>
      <c r="AC8484">
        <v>8.1400000000002096E-2</v>
      </c>
      <c r="AD8484">
        <v>-7.5165000000000107E-2</v>
      </c>
      <c r="AE8484">
        <v>0.48505999999999</v>
      </c>
      <c r="AF8484">
        <v>7.3752516818331698E-2</v>
      </c>
      <c r="AG8484">
        <v>-7.5165000000000107E-2</v>
      </c>
      <c r="AH8484">
        <v>0.474925309431247</v>
      </c>
      <c r="AI8484">
        <v>98.888626542350096</v>
      </c>
      <c r="AJ8484">
        <v>81.172880919967696</v>
      </c>
      <c r="AK8484">
        <v>0.48645992692143097</v>
      </c>
      <c r="AL8484">
        <v>95.562819238594599</v>
      </c>
      <c r="AM8484">
        <v>88.836467858915398</v>
      </c>
      <c r="AN8484">
        <v>1.0000000039118899</v>
      </c>
    </row>
    <row r="8485" spans="1:40" x14ac:dyDescent="0.25">
      <c r="A8485" t="str">
        <f>"20190303155016018"</f>
        <v>20190303155016018</v>
      </c>
      <c r="B8485" t="str">
        <f>"1551599416009051"</f>
        <v>1551599416009051</v>
      </c>
      <c r="C8485" t="s">
        <v>40</v>
      </c>
      <c r="D8485">
        <v>5.3239510000000001</v>
      </c>
      <c r="E8485">
        <v>0.52742460000000002</v>
      </c>
      <c r="F8485" t="s">
        <v>42</v>
      </c>
      <c r="G8485">
        <v>-187.93889999999999</v>
      </c>
      <c r="H8485">
        <v>1.0481469999999999</v>
      </c>
      <c r="I8485">
        <v>100.62439999999999</v>
      </c>
      <c r="J8485">
        <v>-188.01689999999999</v>
      </c>
      <c r="K8485">
        <v>1.1211249999999999</v>
      </c>
      <c r="L8485">
        <v>100.1477</v>
      </c>
      <c r="M8485">
        <v>1.178004E-2</v>
      </c>
      <c r="N8485">
        <v>-1.4376170000000001E-2</v>
      </c>
      <c r="O8485">
        <v>0.99982729999999997</v>
      </c>
      <c r="P8485">
        <v>3.2401099999999898E-2</v>
      </c>
      <c r="Q8485">
        <v>-0.11227819999999999</v>
      </c>
      <c r="R8485">
        <v>0.99314840000000004</v>
      </c>
      <c r="S8485">
        <v>0.31382749999999998</v>
      </c>
      <c r="T8485">
        <v>-0.28337410000000002</v>
      </c>
      <c r="U8485">
        <v>2.978424</v>
      </c>
      <c r="V8485">
        <v>2.079479E-2</v>
      </c>
      <c r="W8485">
        <v>-9.7964029999999994E-2</v>
      </c>
      <c r="X8485">
        <v>0.99497270000000004</v>
      </c>
      <c r="Y8485">
        <v>9.2655520000000005E-2</v>
      </c>
      <c r="Z8485">
        <v>-7.9929929999999996E-2</v>
      </c>
      <c r="AA8485">
        <v>0.9924849</v>
      </c>
      <c r="AB8485">
        <v>31</v>
      </c>
      <c r="AC8485">
        <v>7.80000000000029E-2</v>
      </c>
      <c r="AD8485">
        <v>-7.2977999999999904E-2</v>
      </c>
      <c r="AE8485">
        <v>0.47669999999999302</v>
      </c>
      <c r="AF8485">
        <v>7.07632590543366E-2</v>
      </c>
      <c r="AG8485">
        <v>-7.2977999999999904E-2</v>
      </c>
      <c r="AH8485">
        <v>0.46692801782932097</v>
      </c>
      <c r="AI8485">
        <v>98.784399582082301</v>
      </c>
      <c r="AJ8485">
        <v>81.382361824094303</v>
      </c>
      <c r="AK8485">
        <v>0.47786504491332099</v>
      </c>
      <c r="AL8485">
        <v>95.621942150583095</v>
      </c>
      <c r="AM8485">
        <v>88.802700545444296</v>
      </c>
      <c r="AN8485">
        <v>1.0000000241051299</v>
      </c>
    </row>
    <row r="8486" spans="1:40" x14ac:dyDescent="0.25">
      <c r="A8486" t="str">
        <f>"20190303155016040"</f>
        <v>20190303155016040</v>
      </c>
      <c r="B8486" t="str">
        <f>"1551599416028572"</f>
        <v>1551599416028572</v>
      </c>
      <c r="C8486" t="s">
        <v>40</v>
      </c>
      <c r="D8486">
        <v>5.3345940000000001</v>
      </c>
      <c r="E8486">
        <v>0.52773800000000004</v>
      </c>
      <c r="F8486" t="s">
        <v>42</v>
      </c>
      <c r="G8486">
        <v>-187.93629999999999</v>
      </c>
      <c r="H8486">
        <v>1.0480590000000001</v>
      </c>
      <c r="I8486">
        <v>100.9045</v>
      </c>
      <c r="J8486">
        <v>-188.0138</v>
      </c>
      <c r="K8486">
        <v>1.121094</v>
      </c>
      <c r="L8486">
        <v>100.44240000000001</v>
      </c>
      <c r="M8486">
        <v>1.137054E-2</v>
      </c>
      <c r="N8486">
        <v>-1.4372619999999999E-2</v>
      </c>
      <c r="O8486">
        <v>0.99983200000000005</v>
      </c>
      <c r="P8486">
        <v>3.2928930000000002E-2</v>
      </c>
      <c r="Q8486">
        <v>-0.1125833</v>
      </c>
      <c r="R8486">
        <v>0.99309650000000005</v>
      </c>
      <c r="S8486">
        <v>0.31671139999999998</v>
      </c>
      <c r="T8486">
        <v>-0.28752060000000002</v>
      </c>
      <c r="U8486">
        <v>2.9778440000000002</v>
      </c>
      <c r="V8486">
        <v>2.172518E-2</v>
      </c>
      <c r="W8486">
        <v>-9.8273659999999999E-2</v>
      </c>
      <c r="X8486">
        <v>0.99492230000000004</v>
      </c>
      <c r="Y8486">
        <v>9.4020069999999997E-2</v>
      </c>
      <c r="Z8486">
        <v>-8.1309530000000005E-2</v>
      </c>
      <c r="AA8486">
        <v>0.99224440000000003</v>
      </c>
      <c r="AB8486">
        <v>31</v>
      </c>
      <c r="AC8486">
        <v>7.7500000000014696E-2</v>
      </c>
      <c r="AD8486">
        <v>-7.3034999999999906E-2</v>
      </c>
      <c r="AE8486">
        <v>0.46209999999999202</v>
      </c>
      <c r="AF8486">
        <v>7.0526572620905795E-2</v>
      </c>
      <c r="AG8486">
        <v>-7.3034999999999906E-2</v>
      </c>
      <c r="AH8486">
        <v>0.451970150208308</v>
      </c>
      <c r="AI8486">
        <v>99.071304668560998</v>
      </c>
      <c r="AJ8486">
        <v>81.130944220935604</v>
      </c>
      <c r="AK8486">
        <v>0.46323333790863103</v>
      </c>
      <c r="AL8486">
        <v>95.639768574266199</v>
      </c>
      <c r="AM8486">
        <v>88.749084888181798</v>
      </c>
      <c r="AN8486">
        <v>1.00000003936655</v>
      </c>
    </row>
    <row r="8487" spans="1:40" x14ac:dyDescent="0.25">
      <c r="A8487" t="str">
        <f>"20190303155016063"</f>
        <v>20190303155016063</v>
      </c>
      <c r="B8487" t="str">
        <f>"1551599416058828"</f>
        <v>1551599416058828</v>
      </c>
      <c r="C8487" t="s">
        <v>40</v>
      </c>
      <c r="D8487">
        <v>5.2951629999999996</v>
      </c>
      <c r="E8487">
        <v>0.52813269999999901</v>
      </c>
      <c r="F8487" t="s">
        <v>42</v>
      </c>
      <c r="G8487">
        <v>-187.93360000000001</v>
      </c>
      <c r="H8487">
        <v>1.0489850000000001</v>
      </c>
      <c r="I8487">
        <v>101.1853</v>
      </c>
      <c r="J8487">
        <v>-188.01060000000001</v>
      </c>
      <c r="K8487">
        <v>1.121076</v>
      </c>
      <c r="L8487">
        <v>100.7676</v>
      </c>
      <c r="M8487">
        <v>1.093299E-2</v>
      </c>
      <c r="N8487">
        <v>-1.436874E-2</v>
      </c>
      <c r="O8487">
        <v>0.99983699999999998</v>
      </c>
      <c r="P8487">
        <v>3.3323060000000002E-2</v>
      </c>
      <c r="Q8487">
        <v>-0.1131759</v>
      </c>
      <c r="R8487">
        <v>0.99301600000000001</v>
      </c>
      <c r="S8487">
        <v>0.32087710000000003</v>
      </c>
      <c r="T8487">
        <v>-0.28902420000000001</v>
      </c>
      <c r="U8487">
        <v>2.9774479999999999</v>
      </c>
      <c r="V8487">
        <v>2.2551080000000001E-2</v>
      </c>
      <c r="W8487">
        <v>-9.8871410000000007E-2</v>
      </c>
      <c r="X8487">
        <v>0.99484470000000003</v>
      </c>
      <c r="Y8487">
        <v>9.583585E-2</v>
      </c>
      <c r="Z8487">
        <v>-8.180714E-2</v>
      </c>
      <c r="AA8487">
        <v>0.99202979999999996</v>
      </c>
      <c r="AB8487">
        <v>31</v>
      </c>
      <c r="AC8487">
        <v>7.6999999999998098E-2</v>
      </c>
      <c r="AD8487">
        <v>-7.2090999999999905E-2</v>
      </c>
      <c r="AE8487">
        <v>0.41769999999999602</v>
      </c>
      <c r="AF8487">
        <v>7.0400097184990407E-2</v>
      </c>
      <c r="AG8487">
        <v>-7.2090999999999905E-2</v>
      </c>
      <c r="AH8487">
        <v>0.406797740619533</v>
      </c>
      <c r="AI8487">
        <v>99.905131457636301</v>
      </c>
      <c r="AJ8487">
        <v>80.181684517615096</v>
      </c>
      <c r="AK8487">
        <v>0.41909150282225099</v>
      </c>
      <c r="AL8487">
        <v>95.674184721760497</v>
      </c>
      <c r="AM8487">
        <v>88.701445090025899</v>
      </c>
      <c r="AN8487">
        <v>1.00000004202132</v>
      </c>
    </row>
    <row r="8488" spans="1:40" x14ac:dyDescent="0.25">
      <c r="A8488" t="str">
        <f>"20190303155016085"</f>
        <v>20190303155016085</v>
      </c>
      <c r="B8488" t="str">
        <f>"1551599416079324"</f>
        <v>1551599416079324</v>
      </c>
      <c r="C8488" t="s">
        <v>40</v>
      </c>
      <c r="D8488">
        <v>5.3996420000000001</v>
      </c>
      <c r="E8488">
        <v>0.52819249999999995</v>
      </c>
      <c r="F8488" t="s">
        <v>42</v>
      </c>
      <c r="G8488">
        <v>-187.90530000000001</v>
      </c>
      <c r="H8488">
        <v>1.02637</v>
      </c>
      <c r="I8488">
        <v>101.7308</v>
      </c>
      <c r="J8488">
        <v>-188.0076</v>
      </c>
      <c r="K8488">
        <v>1.1210580000000001</v>
      </c>
      <c r="L8488">
        <v>101.08069999999999</v>
      </c>
      <c r="M8488">
        <v>1.052048E-2</v>
      </c>
      <c r="N8488">
        <v>-1.4365040000000001E-2</v>
      </c>
      <c r="O8488">
        <v>0.99984150000000005</v>
      </c>
      <c r="P8488">
        <v>3.3726430000000002E-2</v>
      </c>
      <c r="Q8488">
        <v>-0.1138521</v>
      </c>
      <c r="R8488">
        <v>0.9929251</v>
      </c>
      <c r="S8488">
        <v>0.32496639999999999</v>
      </c>
      <c r="T8488">
        <v>-0.29278159999999998</v>
      </c>
      <c r="U8488">
        <v>2.9768370000000002</v>
      </c>
      <c r="V8488">
        <v>2.3362879999999999E-2</v>
      </c>
      <c r="W8488">
        <v>-9.9552650000000006E-2</v>
      </c>
      <c r="X8488">
        <v>0.99475800000000003</v>
      </c>
      <c r="Y8488">
        <v>9.7601469999999996E-2</v>
      </c>
      <c r="Z8488">
        <v>-8.3054680000000006E-2</v>
      </c>
      <c r="AA8488">
        <v>0.99175389999999997</v>
      </c>
      <c r="AB8488">
        <v>31</v>
      </c>
      <c r="AC8488">
        <v>0.102299999999985</v>
      </c>
      <c r="AD8488">
        <v>-9.46879999999998E-2</v>
      </c>
      <c r="AE8488">
        <v>0.650100000000009</v>
      </c>
      <c r="AF8488">
        <v>9.3518278593511403E-2</v>
      </c>
      <c r="AG8488">
        <v>-9.46879999999998E-2</v>
      </c>
      <c r="AH8488">
        <v>0.63793403957845196</v>
      </c>
      <c r="AI8488">
        <v>98.354707332922104</v>
      </c>
      <c r="AJ8488">
        <v>81.660098461946106</v>
      </c>
      <c r="AK8488">
        <v>0.65166810926112895</v>
      </c>
      <c r="AL8488">
        <v>95.713410571686296</v>
      </c>
      <c r="AM8488">
        <v>88.654599024671896</v>
      </c>
      <c r="AN8488">
        <v>1.00000001642395</v>
      </c>
    </row>
    <row r="8489" spans="1:40" x14ac:dyDescent="0.25">
      <c r="A8489" t="str">
        <f>"20190303155016107"</f>
        <v>20190303155016107</v>
      </c>
      <c r="B8489" t="str">
        <f>"1551599416098844"</f>
        <v>1551599416098844</v>
      </c>
      <c r="C8489" t="s">
        <v>40</v>
      </c>
      <c r="D8489">
        <v>5.2893379999999999</v>
      </c>
      <c r="E8489">
        <v>0.50582870000000002</v>
      </c>
      <c r="F8489" t="s">
        <v>42</v>
      </c>
      <c r="G8489">
        <v>-187.90549999999999</v>
      </c>
      <c r="H8489">
        <v>1.028816</v>
      </c>
      <c r="I8489">
        <v>102.01090000000001</v>
      </c>
      <c r="J8489">
        <v>-188.00489999999999</v>
      </c>
      <c r="K8489">
        <v>1.12104</v>
      </c>
      <c r="L8489">
        <v>101.3891</v>
      </c>
      <c r="M8489">
        <v>1.0118179999999999E-2</v>
      </c>
      <c r="N8489">
        <v>-1.436167E-2</v>
      </c>
      <c r="O8489">
        <v>0.99984569999999995</v>
      </c>
      <c r="P8489">
        <v>3.3904150000000001E-2</v>
      </c>
      <c r="Q8489">
        <v>-0.11446919999999999</v>
      </c>
      <c r="R8489">
        <v>0.99284810000000001</v>
      </c>
      <c r="S8489">
        <v>0.32688899999999999</v>
      </c>
      <c r="T8489">
        <v>-0.29513339999999999</v>
      </c>
      <c r="U8489">
        <v>2.9764400000000002</v>
      </c>
      <c r="V8489">
        <v>2.393959E-2</v>
      </c>
      <c r="W8489">
        <v>-0.1001742</v>
      </c>
      <c r="X8489">
        <v>0.99468190000000001</v>
      </c>
      <c r="Y8489">
        <v>9.8640580000000005E-2</v>
      </c>
      <c r="Z8489">
        <v>-8.3838289999999996E-2</v>
      </c>
      <c r="AA8489">
        <v>0.99158520000000006</v>
      </c>
      <c r="AB8489">
        <v>31</v>
      </c>
      <c r="AC8489">
        <v>9.9400000000002806E-2</v>
      </c>
      <c r="AD8489">
        <v>-9.2224E-2</v>
      </c>
      <c r="AE8489">
        <v>0.62180000000000701</v>
      </c>
      <c r="AF8489">
        <v>9.1147658795039305E-2</v>
      </c>
      <c r="AG8489">
        <v>-9.2224E-2</v>
      </c>
      <c r="AH8489">
        <v>0.60969602443017801</v>
      </c>
      <c r="AI8489">
        <v>98.508337594772598</v>
      </c>
      <c r="AJ8489">
        <v>81.497428298153906</v>
      </c>
      <c r="AK8489">
        <v>0.623331696679851</v>
      </c>
      <c r="AL8489">
        <v>95.749201609450495</v>
      </c>
      <c r="AM8489">
        <v>88.621295187346007</v>
      </c>
      <c r="AN8489">
        <v>1.0000000282513</v>
      </c>
    </row>
    <row r="8490" spans="1:40" x14ac:dyDescent="0.25">
      <c r="A8490" t="str">
        <f>"20190303155016129"</f>
        <v>20190303155016129</v>
      </c>
      <c r="B8490" t="str">
        <f>"1551599416119339"</f>
        <v>1551599416119339</v>
      </c>
      <c r="C8490" t="s">
        <v>40</v>
      </c>
      <c r="D8490">
        <v>5.2534510000000001</v>
      </c>
      <c r="E8490">
        <v>0.50133030000000001</v>
      </c>
      <c r="F8490" t="s">
        <v>42</v>
      </c>
      <c r="G8490">
        <v>-187.959</v>
      </c>
      <c r="H8490">
        <v>1.0440689999999999</v>
      </c>
      <c r="I8490">
        <v>102.2989</v>
      </c>
      <c r="J8490">
        <v>-188.00219999999999</v>
      </c>
      <c r="K8490">
        <v>1.1210359999999999</v>
      </c>
      <c r="L8490">
        <v>101.6932</v>
      </c>
      <c r="M8490">
        <v>9.722596E-3</v>
      </c>
      <c r="N8490">
        <v>-1.4358310000000001E-2</v>
      </c>
      <c r="O8490">
        <v>0.99984960000000001</v>
      </c>
      <c r="P8490">
        <v>3.3983359999999997E-2</v>
      </c>
      <c r="Q8490">
        <v>-0.1147898</v>
      </c>
      <c r="R8490">
        <v>0.99280829999999998</v>
      </c>
      <c r="S8490">
        <v>0.15023800000000001</v>
      </c>
      <c r="T8490">
        <v>-0.25278460000000003</v>
      </c>
      <c r="U8490">
        <v>2.9873349999999999</v>
      </c>
      <c r="V8490">
        <v>2.4411160000000001E-2</v>
      </c>
      <c r="W8490">
        <v>-0.1004987</v>
      </c>
      <c r="X8490">
        <v>0.99463769999999996</v>
      </c>
      <c r="Y8490">
        <v>4.03629E-2</v>
      </c>
      <c r="Z8490">
        <v>-6.9911890000000004E-2</v>
      </c>
      <c r="AA8490">
        <v>0.99673619999999996</v>
      </c>
      <c r="AB8490">
        <v>31</v>
      </c>
      <c r="AC8490">
        <v>4.3199999999984501E-2</v>
      </c>
      <c r="AD8490">
        <v>-7.6966999999999994E-2</v>
      </c>
      <c r="AE8490">
        <v>0.60569999999999802</v>
      </c>
      <c r="AF8490">
        <v>3.6718478478845802E-2</v>
      </c>
      <c r="AG8490">
        <v>-7.6966999999999994E-2</v>
      </c>
      <c r="AH8490">
        <v>0.59650830632293095</v>
      </c>
      <c r="AI8490">
        <v>97.3384698723345</v>
      </c>
      <c r="AJ8490">
        <v>86.477563412614998</v>
      </c>
      <c r="AK8490">
        <v>0.60257308707164503</v>
      </c>
      <c r="AL8490">
        <v>95.767888416568198</v>
      </c>
      <c r="AM8490">
        <v>88.594085347054303</v>
      </c>
      <c r="AN8490">
        <v>1.00000002384776</v>
      </c>
    </row>
    <row r="8491" spans="1:40" x14ac:dyDescent="0.25">
      <c r="A8491" t="str">
        <f>"20190303155016152"</f>
        <v>20190303155016152</v>
      </c>
      <c r="B8491" t="str">
        <f>"1551599416148620"</f>
        <v>1551599416148620</v>
      </c>
      <c r="C8491" t="s">
        <v>40</v>
      </c>
      <c r="D8491">
        <v>5.2977160000000003</v>
      </c>
      <c r="E8491">
        <v>0.4994362</v>
      </c>
      <c r="F8491" t="s">
        <v>42</v>
      </c>
      <c r="G8491">
        <v>-187.96780000000001</v>
      </c>
      <c r="H8491">
        <v>1.0491029999999999</v>
      </c>
      <c r="I8491">
        <v>102.58799999999999</v>
      </c>
      <c r="J8491">
        <v>-187.99959999999999</v>
      </c>
      <c r="K8491">
        <v>1.121032</v>
      </c>
      <c r="L8491">
        <v>102.00879999999999</v>
      </c>
      <c r="M8491">
        <v>9.3112149999999994E-3</v>
      </c>
      <c r="N8491">
        <v>-1.4354799999999999E-2</v>
      </c>
      <c r="O8491">
        <v>0.99985360000000001</v>
      </c>
      <c r="P8491">
        <v>3.392237E-2</v>
      </c>
      <c r="Q8491">
        <v>-0.11452909999999999</v>
      </c>
      <c r="R8491">
        <v>0.99284050000000001</v>
      </c>
      <c r="S8491">
        <v>0.1147919</v>
      </c>
      <c r="T8491">
        <v>-0.24034920000000001</v>
      </c>
      <c r="U8491">
        <v>2.9899900000000001</v>
      </c>
      <c r="V8491">
        <v>2.4757390000000001E-2</v>
      </c>
      <c r="W8491">
        <v>-0.1002412</v>
      </c>
      <c r="X8491">
        <v>0.99465510000000001</v>
      </c>
      <c r="Y8491">
        <v>2.8954069999999998E-2</v>
      </c>
      <c r="Z8491">
        <v>-6.5760509999999994E-2</v>
      </c>
      <c r="AA8491">
        <v>0.99741519999999995</v>
      </c>
      <c r="AB8491">
        <v>31</v>
      </c>
      <c r="AC8491">
        <v>3.1799999999975598E-2</v>
      </c>
      <c r="AD8491">
        <v>-7.1928999999999896E-2</v>
      </c>
      <c r="AE8491">
        <v>0.57920000000000005</v>
      </c>
      <c r="AF8491">
        <v>2.6005154034975001E-2</v>
      </c>
      <c r="AG8491">
        <v>-7.1928999999999896E-2</v>
      </c>
      <c r="AH8491">
        <v>0.57069598372105901</v>
      </c>
      <c r="AI8491">
        <v>97.176160658669602</v>
      </c>
      <c r="AJ8491">
        <v>87.390982882795498</v>
      </c>
      <c r="AK8491">
        <v>0.57579853674069903</v>
      </c>
      <c r="AL8491">
        <v>95.753060025824695</v>
      </c>
      <c r="AM8491">
        <v>88.574177991114396</v>
      </c>
      <c r="AN8491">
        <v>0.99999999724653099</v>
      </c>
    </row>
    <row r="8492" spans="1:40" x14ac:dyDescent="0.25">
      <c r="A8492" t="str">
        <f>"20190303155016176"</f>
        <v>20190303155016176</v>
      </c>
      <c r="B8492" t="str">
        <f>"1551599416169116"</f>
        <v>1551599416169116</v>
      </c>
      <c r="C8492" t="s">
        <v>40</v>
      </c>
      <c r="D8492">
        <v>5.2854359999999998</v>
      </c>
      <c r="E8492">
        <v>0.4986429</v>
      </c>
      <c r="F8492" t="s">
        <v>41</v>
      </c>
      <c r="G8492">
        <v>-187.5188</v>
      </c>
      <c r="H8492" s="1">
        <v>-3.359241E-6</v>
      </c>
      <c r="I8492">
        <v>116.43729999999999</v>
      </c>
      <c r="J8492">
        <v>-187.99690000000001</v>
      </c>
      <c r="K8492">
        <v>1.121022</v>
      </c>
      <c r="L8492">
        <v>102.3515</v>
      </c>
      <c r="M8492">
        <v>8.8626099999999999E-3</v>
      </c>
      <c r="N8492">
        <v>-1.4350979999999999E-2</v>
      </c>
      <c r="O8492">
        <v>0.99985769999999996</v>
      </c>
      <c r="P8492">
        <v>3.391305E-2</v>
      </c>
      <c r="Q8492">
        <v>-0.1148759</v>
      </c>
      <c r="R8492">
        <v>0.99280080000000004</v>
      </c>
      <c r="S8492">
        <v>9.9685670000000004E-2</v>
      </c>
      <c r="T8492">
        <v>-0.2324214</v>
      </c>
      <c r="U8492">
        <v>2.991425</v>
      </c>
      <c r="V8492">
        <v>2.51936E-2</v>
      </c>
      <c r="W8492">
        <v>-0.1005923</v>
      </c>
      <c r="X8492">
        <v>0.99460870000000001</v>
      </c>
      <c r="Y8492">
        <v>2.4362910000000002E-2</v>
      </c>
      <c r="Z8492">
        <v>-6.311129E-2</v>
      </c>
      <c r="AA8492">
        <v>0.99770910000000002</v>
      </c>
      <c r="AB8492">
        <v>31</v>
      </c>
      <c r="AC8492">
        <v>0.47810000000001202</v>
      </c>
      <c r="AD8492">
        <v>-1.121025359241</v>
      </c>
      <c r="AE8492">
        <v>14.0857999999999</v>
      </c>
      <c r="AF8492">
        <v>0.35101071395135902</v>
      </c>
      <c r="AG8492">
        <v>-1.121025359241</v>
      </c>
      <c r="AH8492">
        <v>14.000906725227701</v>
      </c>
      <c r="AI8492">
        <v>94.5763638018488</v>
      </c>
      <c r="AJ8492">
        <v>88.563862977833196</v>
      </c>
      <c r="AK8492">
        <v>14.0500994838434</v>
      </c>
      <c r="AL8492">
        <v>95.773278770771896</v>
      </c>
      <c r="AM8492">
        <v>88.548998870058995</v>
      </c>
      <c r="AN8492">
        <v>0.99999999720796995</v>
      </c>
    </row>
    <row r="8493" spans="1:40" x14ac:dyDescent="0.25">
      <c r="A8493" t="str">
        <f>"20190303155016197"</f>
        <v>20190303155016197</v>
      </c>
      <c r="B8493" t="str">
        <f>"1551599416189612"</f>
        <v>1551599416189612</v>
      </c>
      <c r="C8493" t="s">
        <v>40</v>
      </c>
      <c r="D8493">
        <v>5.3240119999999997</v>
      </c>
      <c r="E8493">
        <v>0.49834390000000001</v>
      </c>
      <c r="F8493" t="s">
        <v>41</v>
      </c>
      <c r="G8493">
        <v>-187.5506</v>
      </c>
      <c r="H8493" s="1">
        <v>-3.4553490000000001E-6</v>
      </c>
      <c r="I8493">
        <v>116.67449999999999</v>
      </c>
      <c r="J8493">
        <v>-187.9948</v>
      </c>
      <c r="K8493">
        <v>1.1210260000000001</v>
      </c>
      <c r="L8493">
        <v>102.63639999999999</v>
      </c>
      <c r="M8493">
        <v>8.4881339999999996E-3</v>
      </c>
      <c r="N8493">
        <v>-1.434795E-2</v>
      </c>
      <c r="O8493">
        <v>0.99986109999999995</v>
      </c>
      <c r="P8493">
        <v>3.4268920000000001E-2</v>
      </c>
      <c r="Q8493">
        <v>-0.11563950000000001</v>
      </c>
      <c r="R8493">
        <v>0.99269989999999997</v>
      </c>
      <c r="S8493">
        <v>9.3200679999999994E-2</v>
      </c>
      <c r="T8493">
        <v>-0.23413619999999999</v>
      </c>
      <c r="U8493">
        <v>2.9914860000000001</v>
      </c>
      <c r="V8493">
        <v>2.5922420000000002E-2</v>
      </c>
      <c r="W8493">
        <v>-0.1013598</v>
      </c>
      <c r="X8493">
        <v>0.99451199999999995</v>
      </c>
      <c r="Y8493">
        <v>2.2575970000000001E-2</v>
      </c>
      <c r="Z8493">
        <v>-6.3685610000000004E-2</v>
      </c>
      <c r="AA8493">
        <v>0.99771460000000001</v>
      </c>
      <c r="AB8493">
        <v>31</v>
      </c>
      <c r="AC8493">
        <v>0.44419999999999499</v>
      </c>
      <c r="AD8493">
        <v>-1.1210294553489999</v>
      </c>
      <c r="AE8493">
        <v>14.0381</v>
      </c>
      <c r="AF8493">
        <v>0.32295701991869302</v>
      </c>
      <c r="AG8493">
        <v>-1.1210294553489999</v>
      </c>
      <c r="AH8493">
        <v>13.952478833533499</v>
      </c>
      <c r="AI8493">
        <v>94.592408807469198</v>
      </c>
      <c r="AJ8493">
        <v>88.674015507766299</v>
      </c>
      <c r="AK8493">
        <v>14.0011668755384</v>
      </c>
      <c r="AL8493">
        <v>95.817479475834702</v>
      </c>
      <c r="AM8493">
        <v>88.506896814696901</v>
      </c>
      <c r="AN8493">
        <v>0.99999994952934701</v>
      </c>
    </row>
    <row r="8494" spans="1:40" x14ac:dyDescent="0.25">
      <c r="A8494" t="str">
        <f>"20190303155016219"</f>
        <v>20190303155016219</v>
      </c>
      <c r="B8494" t="str">
        <f>"1551599416209132"</f>
        <v>1551599416209132</v>
      </c>
      <c r="C8494" t="s">
        <v>40</v>
      </c>
      <c r="D8494">
        <v>5.313485</v>
      </c>
      <c r="E8494">
        <v>0.49815340000000002</v>
      </c>
      <c r="F8494" t="s">
        <v>41</v>
      </c>
      <c r="G8494">
        <v>-187.56030000000001</v>
      </c>
      <c r="H8494" s="1">
        <v>-3.488243E-6</v>
      </c>
      <c r="I8494">
        <v>116.7552</v>
      </c>
      <c r="J8494">
        <v>-187.99260000000001</v>
      </c>
      <c r="K8494">
        <v>1.121024</v>
      </c>
      <c r="L8494">
        <v>102.9396</v>
      </c>
      <c r="M8494">
        <v>8.0886359999999997E-3</v>
      </c>
      <c r="N8494">
        <v>-1.434473E-2</v>
      </c>
      <c r="O8494">
        <v>0.99986439999999999</v>
      </c>
      <c r="P8494">
        <v>3.4635020000000002E-2</v>
      </c>
      <c r="Q8494">
        <v>-0.11604</v>
      </c>
      <c r="R8494">
        <v>0.99264050000000004</v>
      </c>
      <c r="S8494">
        <v>9.2041020000000001E-2</v>
      </c>
      <c r="T8494">
        <v>-0.23750250000000001</v>
      </c>
      <c r="U8494">
        <v>2.9912109999999998</v>
      </c>
      <c r="V8494">
        <v>2.668568E-2</v>
      </c>
      <c r="W8494">
        <v>-0.1017639</v>
      </c>
      <c r="X8494">
        <v>0.99445059999999996</v>
      </c>
      <c r="Y8494">
        <v>2.2589410000000001E-2</v>
      </c>
      <c r="Z8494">
        <v>-6.4812309999999998E-2</v>
      </c>
      <c r="AA8494">
        <v>0.99764169999999996</v>
      </c>
      <c r="AB8494">
        <v>31</v>
      </c>
      <c r="AC8494">
        <v>0.43229999999999702</v>
      </c>
      <c r="AD8494">
        <v>-1.121027488243</v>
      </c>
      <c r="AE8494">
        <v>13.8156</v>
      </c>
      <c r="AF8494">
        <v>0.31843048618276099</v>
      </c>
      <c r="AG8494">
        <v>-1.121027488243</v>
      </c>
      <c r="AH8494">
        <v>13.728345348192301</v>
      </c>
      <c r="AI8494">
        <v>94.667044079978396</v>
      </c>
      <c r="AJ8494">
        <v>88.671256327489502</v>
      </c>
      <c r="AK8494">
        <v>13.7777199348499</v>
      </c>
      <c r="AL8494">
        <v>95.840752710990301</v>
      </c>
      <c r="AM8494">
        <v>88.462859801392796</v>
      </c>
      <c r="AN8494">
        <v>1.0000000063503101</v>
      </c>
    </row>
    <row r="8495" spans="1:40" x14ac:dyDescent="0.25">
      <c r="A8495" t="str">
        <f>"20190303155016241"</f>
        <v>20190303155016241</v>
      </c>
      <c r="B8495" t="str">
        <f>"1551599416228652"</f>
        <v>1551599416228652</v>
      </c>
      <c r="C8495" t="s">
        <v>40</v>
      </c>
      <c r="D8495">
        <v>5.3219260000000004</v>
      </c>
      <c r="E8495">
        <v>0.49788759999999999</v>
      </c>
      <c r="F8495" t="s">
        <v>41</v>
      </c>
      <c r="G8495">
        <v>-187.56399999999999</v>
      </c>
      <c r="H8495" s="1">
        <v>-3.5607250000000001E-6</v>
      </c>
      <c r="I8495">
        <v>116.92570000000001</v>
      </c>
      <c r="J8495">
        <v>-187.9906</v>
      </c>
      <c r="K8495">
        <v>1.1210290000000001</v>
      </c>
      <c r="L8495">
        <v>103.2379</v>
      </c>
      <c r="M8495">
        <v>7.6951750000000003E-3</v>
      </c>
      <c r="N8495">
        <v>-1.434156E-2</v>
      </c>
      <c r="O8495">
        <v>0.99986759999999997</v>
      </c>
      <c r="P8495">
        <v>3.449878E-2</v>
      </c>
      <c r="Q8495">
        <v>-0.1161739</v>
      </c>
      <c r="R8495">
        <v>0.9926296</v>
      </c>
      <c r="S8495">
        <v>9.1659550000000006E-2</v>
      </c>
      <c r="T8495">
        <v>-0.23974100000000001</v>
      </c>
      <c r="U8495">
        <v>2.991028</v>
      </c>
      <c r="V8495">
        <v>2.694007E-2</v>
      </c>
      <c r="W8495">
        <v>-0.1019012</v>
      </c>
      <c r="X8495">
        <v>0.99442960000000002</v>
      </c>
      <c r="Y8495">
        <v>2.2855779999999999E-2</v>
      </c>
      <c r="Z8495">
        <v>-6.5562289999999995E-2</v>
      </c>
      <c r="AA8495">
        <v>0.99758670000000005</v>
      </c>
      <c r="AB8495">
        <v>31</v>
      </c>
      <c r="AC8495">
        <v>0.426599999999979</v>
      </c>
      <c r="AD8495">
        <v>-1.121032560725</v>
      </c>
      <c r="AE8495">
        <v>13.687799999999999</v>
      </c>
      <c r="AF8495">
        <v>0.31910813980851499</v>
      </c>
      <c r="AG8495">
        <v>-1.121032560725</v>
      </c>
      <c r="AH8495">
        <v>13.5995455334275</v>
      </c>
      <c r="AI8495">
        <v>94.711038871987995</v>
      </c>
      <c r="AJ8495">
        <v>88.6558230851915</v>
      </c>
      <c r="AK8495">
        <v>13.6494022844543</v>
      </c>
      <c r="AL8495">
        <v>95.848661003509704</v>
      </c>
      <c r="AM8495">
        <v>88.448180885004007</v>
      </c>
      <c r="AN8495">
        <v>0.99999992564459905</v>
      </c>
    </row>
    <row r="8496" spans="1:40" x14ac:dyDescent="0.25">
      <c r="A8496" t="str">
        <f>"20190303155016264"</f>
        <v>20190303155016264</v>
      </c>
      <c r="B8496" t="str">
        <f>"1551599416258908"</f>
        <v>1551599416258908</v>
      </c>
      <c r="C8496" t="s">
        <v>40</v>
      </c>
      <c r="D8496">
        <v>5.4984669999999998</v>
      </c>
      <c r="E8496">
        <v>0.49764130000000001</v>
      </c>
      <c r="F8496" t="s">
        <v>42</v>
      </c>
      <c r="G8496">
        <v>-187.96080000000001</v>
      </c>
      <c r="H8496">
        <v>1.0403819999999999</v>
      </c>
      <c r="I8496">
        <v>104.2381</v>
      </c>
      <c r="J8496">
        <v>-187.98859999999999</v>
      </c>
      <c r="K8496">
        <v>1.121024</v>
      </c>
      <c r="L8496">
        <v>103.5578</v>
      </c>
      <c r="M8496">
        <v>7.2727369999999996E-3</v>
      </c>
      <c r="N8496">
        <v>-1.4338139999999999E-2</v>
      </c>
      <c r="O8496">
        <v>0.99987079999999995</v>
      </c>
      <c r="P8496">
        <v>3.3913390000000002E-2</v>
      </c>
      <c r="Q8496">
        <v>-0.1157175</v>
      </c>
      <c r="R8496">
        <v>0.99270309999999995</v>
      </c>
      <c r="S8496">
        <v>8.9019780000000007E-2</v>
      </c>
      <c r="T8496">
        <v>-0.24116080000000001</v>
      </c>
      <c r="U8496">
        <v>2.9909669999999999</v>
      </c>
      <c r="V8496">
        <v>2.677301E-2</v>
      </c>
      <c r="W8496">
        <v>-0.1014476</v>
      </c>
      <c r="X8496">
        <v>0.99448060000000005</v>
      </c>
      <c r="Y8496">
        <v>2.2398439999999999E-2</v>
      </c>
      <c r="Z8496">
        <v>-6.6039470000000003E-2</v>
      </c>
      <c r="AA8496">
        <v>0.99756560000000005</v>
      </c>
      <c r="AB8496">
        <v>31</v>
      </c>
      <c r="AC8496">
        <v>2.7799999999984899E-2</v>
      </c>
      <c r="AD8496">
        <v>-8.0642000000000102E-2</v>
      </c>
      <c r="AE8496">
        <v>0.68030000000000201</v>
      </c>
      <c r="AF8496">
        <v>2.2534991446359901E-2</v>
      </c>
      <c r="AG8496">
        <v>-8.0642000000000102E-2</v>
      </c>
      <c r="AH8496">
        <v>0.67107040451425504</v>
      </c>
      <c r="AI8496">
        <v>96.848506967598993</v>
      </c>
      <c r="AJ8496">
        <v>88.076692266005693</v>
      </c>
      <c r="AK8496">
        <v>0.67627394287996501</v>
      </c>
      <c r="AL8496">
        <v>95.822535601398599</v>
      </c>
      <c r="AM8496">
        <v>88.457878370617706</v>
      </c>
      <c r="AN8496">
        <v>1.00000003669328</v>
      </c>
    </row>
    <row r="8497" spans="1:40" x14ac:dyDescent="0.25">
      <c r="A8497" t="str">
        <f>"20190303155016288"</f>
        <v>20190303155016288</v>
      </c>
      <c r="B8497" t="str">
        <f>"1551599416279404"</f>
        <v>1551599416279404</v>
      </c>
      <c r="C8497" t="s">
        <v>40</v>
      </c>
      <c r="D8497">
        <v>5.3534430000000004</v>
      </c>
      <c r="E8497">
        <v>0.49769170000000001</v>
      </c>
      <c r="F8497" t="s">
        <v>42</v>
      </c>
      <c r="G8497">
        <v>-187.96119999999999</v>
      </c>
      <c r="H8497">
        <v>1.0440119999999999</v>
      </c>
      <c r="I8497">
        <v>104.5175</v>
      </c>
      <c r="J8497">
        <v>-187.98670000000001</v>
      </c>
      <c r="K8497">
        <v>1.121027</v>
      </c>
      <c r="L8497">
        <v>103.8871</v>
      </c>
      <c r="M8497">
        <v>6.8377569999999999E-3</v>
      </c>
      <c r="N8497">
        <v>-1.433458E-2</v>
      </c>
      <c r="O8497">
        <v>0.99987389999999998</v>
      </c>
      <c r="P8497">
        <v>3.3325510000000003E-2</v>
      </c>
      <c r="Q8497">
        <v>-0.1153715</v>
      </c>
      <c r="R8497">
        <v>0.99276319999999996</v>
      </c>
      <c r="S8497">
        <v>8.5433960000000003E-2</v>
      </c>
      <c r="T8497">
        <v>-0.24005009999999999</v>
      </c>
      <c r="U8497">
        <v>2.9911500000000002</v>
      </c>
      <c r="V8497">
        <v>2.661616E-2</v>
      </c>
      <c r="W8497">
        <v>-0.10110470000000001</v>
      </c>
      <c r="X8497">
        <v>0.99451970000000001</v>
      </c>
      <c r="Y8497">
        <v>2.163795E-2</v>
      </c>
      <c r="Z8497">
        <v>-6.5672419999999995E-2</v>
      </c>
      <c r="AA8497">
        <v>0.99760660000000001</v>
      </c>
      <c r="AB8497">
        <v>31</v>
      </c>
      <c r="AC8497">
        <v>2.5500000000022199E-2</v>
      </c>
      <c r="AD8497">
        <v>-7.7014999999999806E-2</v>
      </c>
      <c r="AE8497">
        <v>0.63039999999999397</v>
      </c>
      <c r="AF8497">
        <v>2.0877350676558999E-2</v>
      </c>
      <c r="AG8497">
        <v>-7.7014999999999806E-2</v>
      </c>
      <c r="AH8497">
        <v>0.62130177639764494</v>
      </c>
      <c r="AI8497">
        <v>97.062249845426294</v>
      </c>
      <c r="AJ8497">
        <v>88.0754373898464</v>
      </c>
      <c r="AK8497">
        <v>0.62640487813485402</v>
      </c>
      <c r="AL8497">
        <v>95.802787513462604</v>
      </c>
      <c r="AM8497">
        <v>88.466968829756496</v>
      </c>
      <c r="AN8497">
        <v>1.0000000070116599</v>
      </c>
    </row>
    <row r="8498" spans="1:40" x14ac:dyDescent="0.25">
      <c r="A8498" t="str">
        <f>"20190303155016309"</f>
        <v>20190303155016309</v>
      </c>
      <c r="B8498" t="str">
        <f>"1551599416298924"</f>
        <v>1551599416298924</v>
      </c>
      <c r="C8498" t="s">
        <v>40</v>
      </c>
      <c r="D8498">
        <v>5.3502970000000003</v>
      </c>
      <c r="E8498">
        <v>0.49769350000000001</v>
      </c>
      <c r="F8498" t="s">
        <v>41</v>
      </c>
      <c r="G8498">
        <v>-187.5917</v>
      </c>
      <c r="H8498" s="1">
        <v>-4.0039489999999998E-6</v>
      </c>
      <c r="I8498">
        <v>117.97029999999999</v>
      </c>
      <c r="J8498">
        <v>-187.98519999999999</v>
      </c>
      <c r="K8498">
        <v>1.1210329999999999</v>
      </c>
      <c r="L8498">
        <v>104.179</v>
      </c>
      <c r="M8498">
        <v>6.4519959999999998E-3</v>
      </c>
      <c r="N8498">
        <v>-1.4331389999999999E-2</v>
      </c>
      <c r="O8498">
        <v>0.99987649999999995</v>
      </c>
      <c r="P8498">
        <v>3.2327599999999998E-2</v>
      </c>
      <c r="Q8498">
        <v>-0.1151476</v>
      </c>
      <c r="R8498">
        <v>0.99282219999999999</v>
      </c>
      <c r="S8498">
        <v>8.3908079999999996E-2</v>
      </c>
      <c r="T8498">
        <v>-0.2381144</v>
      </c>
      <c r="U8498">
        <v>2.9913639999999999</v>
      </c>
      <c r="V8498">
        <v>2.6000590000000001E-2</v>
      </c>
      <c r="W8498">
        <v>-0.100884</v>
      </c>
      <c r="X8498">
        <v>0.99455839999999995</v>
      </c>
      <c r="Y8498">
        <v>2.151453E-2</v>
      </c>
      <c r="Z8498">
        <v>-6.5029390000000006E-2</v>
      </c>
      <c r="AA8498">
        <v>0.99765139999999997</v>
      </c>
      <c r="AB8498">
        <v>31</v>
      </c>
      <c r="AC8498">
        <v>0.39349999999998803</v>
      </c>
      <c r="AD8498">
        <v>-1.1210370039490001</v>
      </c>
      <c r="AE8498">
        <v>13.7912999999999</v>
      </c>
      <c r="AF8498">
        <v>0.30250412283316602</v>
      </c>
      <c r="AG8498">
        <v>-1.1210370039490001</v>
      </c>
      <c r="AH8498">
        <v>13.703084129589101</v>
      </c>
      <c r="AI8498">
        <v>94.675766932467397</v>
      </c>
      <c r="AJ8498">
        <v>88.735365362812402</v>
      </c>
      <c r="AK8498">
        <v>13.7521906389909</v>
      </c>
      <c r="AL8498">
        <v>95.790077321397405</v>
      </c>
      <c r="AM8498">
        <v>88.502466192331696</v>
      </c>
      <c r="AN8498">
        <v>1.00000001157345</v>
      </c>
    </row>
    <row r="8499" spans="1:40" x14ac:dyDescent="0.25">
      <c r="A8499" t="str">
        <f>"20190303155016330"</f>
        <v>20190303155016330</v>
      </c>
      <c r="B8499" t="str">
        <f>"1551599416318444"</f>
        <v>1551599416318444</v>
      </c>
      <c r="C8499" t="s">
        <v>40</v>
      </c>
      <c r="D8499">
        <v>5.35663</v>
      </c>
      <c r="E8499">
        <v>0.49765740000000003</v>
      </c>
      <c r="F8499" t="s">
        <v>41</v>
      </c>
      <c r="G8499">
        <v>-187.60329999999999</v>
      </c>
      <c r="H8499" s="1">
        <v>-4.1540380000000002E-6</v>
      </c>
      <c r="I8499">
        <v>118.3249</v>
      </c>
      <c r="J8499">
        <v>-187.9837</v>
      </c>
      <c r="K8499">
        <v>1.12103</v>
      </c>
      <c r="L8499">
        <v>104.4637</v>
      </c>
      <c r="M8499">
        <v>6.0757939999999998E-3</v>
      </c>
      <c r="N8499">
        <v>-1.4328280000000001E-2</v>
      </c>
      <c r="O8499">
        <v>0.99987890000000001</v>
      </c>
      <c r="P8499">
        <v>3.1225269999999999E-2</v>
      </c>
      <c r="Q8499">
        <v>-0.11579440000000001</v>
      </c>
      <c r="R8499">
        <v>0.99278230000000001</v>
      </c>
      <c r="S8499">
        <v>8.076477E-2</v>
      </c>
      <c r="T8499">
        <v>-0.23707639999999999</v>
      </c>
      <c r="U8499">
        <v>2.9915620000000001</v>
      </c>
      <c r="V8499">
        <v>2.527244E-2</v>
      </c>
      <c r="W8499">
        <v>-0.10153520000000001</v>
      </c>
      <c r="X8499">
        <v>0.99451089999999998</v>
      </c>
      <c r="Y8499">
        <v>2.084248E-2</v>
      </c>
      <c r="Z8499">
        <v>-6.4685179999999995E-2</v>
      </c>
      <c r="AA8499">
        <v>0.99768809999999997</v>
      </c>
      <c r="AB8499">
        <v>31</v>
      </c>
      <c r="AC8499">
        <v>0.38040000000000801</v>
      </c>
      <c r="AD8499">
        <v>-1.121034154038</v>
      </c>
      <c r="AE8499">
        <v>13.861199999999901</v>
      </c>
      <c r="AF8499">
        <v>0.29424337488251201</v>
      </c>
      <c r="AG8499">
        <v>-1.121034154038</v>
      </c>
      <c r="AH8499">
        <v>13.773234327340299</v>
      </c>
      <c r="AI8499">
        <v>94.652116823700993</v>
      </c>
      <c r="AJ8499">
        <v>88.776152423236596</v>
      </c>
      <c r="AK8499">
        <v>13.8219130576779</v>
      </c>
      <c r="AL8499">
        <v>95.827580909111902</v>
      </c>
      <c r="AM8499">
        <v>88.544317030575002</v>
      </c>
      <c r="AN8499">
        <v>1.0000000116407</v>
      </c>
    </row>
    <row r="8500" spans="1:40" x14ac:dyDescent="0.25">
      <c r="A8500" t="str">
        <f>"20190303155016353"</f>
        <v>20190303155016353</v>
      </c>
      <c r="B8500" t="str">
        <f>"1551599416348701"</f>
        <v>1551599416348701</v>
      </c>
      <c r="C8500" t="s">
        <v>40</v>
      </c>
      <c r="D8500">
        <v>5.3863699999999897</v>
      </c>
      <c r="E8500">
        <v>0.49749100000000002</v>
      </c>
      <c r="F8500" t="s">
        <v>41</v>
      </c>
      <c r="G8500">
        <v>-187.6217</v>
      </c>
      <c r="H8500" s="1">
        <v>-4.2296129999999999E-6</v>
      </c>
      <c r="I8500">
        <v>118.5087</v>
      </c>
      <c r="J8500">
        <v>-187.98230000000001</v>
      </c>
      <c r="K8500">
        <v>1.1210230000000001</v>
      </c>
      <c r="L8500">
        <v>104.7837</v>
      </c>
      <c r="M8500">
        <v>5.6528380000000003E-3</v>
      </c>
      <c r="N8500">
        <v>-1.432482E-2</v>
      </c>
      <c r="O8500">
        <v>0.99988140000000003</v>
      </c>
      <c r="P8500">
        <v>3.042249E-2</v>
      </c>
      <c r="Q8500">
        <v>-0.116413</v>
      </c>
      <c r="R8500">
        <v>0.99273480000000003</v>
      </c>
      <c r="S8500">
        <v>7.7117920000000006E-2</v>
      </c>
      <c r="T8500">
        <v>-0.2387763</v>
      </c>
      <c r="U8500">
        <v>2.9915310000000002</v>
      </c>
      <c r="V8500">
        <v>2.4890220000000001E-2</v>
      </c>
      <c r="W8500">
        <v>-0.1021584</v>
      </c>
      <c r="X8500">
        <v>0.99445669999999997</v>
      </c>
      <c r="Y8500">
        <v>2.0049770000000001E-2</v>
      </c>
      <c r="Z8500">
        <v>-6.5254820000000005E-2</v>
      </c>
      <c r="AA8500">
        <v>0.99766719999999998</v>
      </c>
      <c r="AB8500">
        <v>31</v>
      </c>
      <c r="AC8500">
        <v>0.36060000000000503</v>
      </c>
      <c r="AD8500">
        <v>-1.1210272296129999</v>
      </c>
      <c r="AE8500">
        <v>13.725</v>
      </c>
      <c r="AF8500">
        <v>0.28112689729106499</v>
      </c>
      <c r="AG8500">
        <v>-1.1210272296129999</v>
      </c>
      <c r="AH8500">
        <v>13.635913367171501</v>
      </c>
      <c r="AI8500">
        <v>94.698801796684194</v>
      </c>
      <c r="AJ8500">
        <v>88.818920101501107</v>
      </c>
      <c r="AK8500">
        <v>13.6848042638147</v>
      </c>
      <c r="AL8500">
        <v>95.863474379364206</v>
      </c>
      <c r="AM8500">
        <v>88.566245392973599</v>
      </c>
      <c r="AN8500">
        <v>0.99999999495854897</v>
      </c>
    </row>
    <row r="8501" spans="1:40" x14ac:dyDescent="0.25">
      <c r="A8501" t="str">
        <f>"20190303155016377"</f>
        <v>20190303155016377</v>
      </c>
      <c r="B8501" t="str">
        <f>"1551599416369196"</f>
        <v>1551599416369196</v>
      </c>
      <c r="C8501" t="s">
        <v>40</v>
      </c>
      <c r="D8501">
        <v>5.360284</v>
      </c>
      <c r="E8501">
        <v>0.49754789999999999</v>
      </c>
      <c r="F8501" t="s">
        <v>41</v>
      </c>
      <c r="G8501">
        <v>-187.64070000000001</v>
      </c>
      <c r="H8501" s="1">
        <v>-4.3118680000000001E-6</v>
      </c>
      <c r="I8501">
        <v>118.70829999999999</v>
      </c>
      <c r="J8501">
        <v>-187.98079999999999</v>
      </c>
      <c r="K8501">
        <v>1.121019</v>
      </c>
      <c r="L8501">
        <v>105.12</v>
      </c>
      <c r="M8501">
        <v>5.2082930000000001E-3</v>
      </c>
      <c r="N8501">
        <v>-1.432115E-2</v>
      </c>
      <c r="O8501">
        <v>0.99988390000000005</v>
      </c>
      <c r="P8501">
        <v>3.0067960000000001E-2</v>
      </c>
      <c r="Q8501">
        <v>-0.1177501</v>
      </c>
      <c r="R8501">
        <v>0.99258789999999997</v>
      </c>
      <c r="S8501">
        <v>7.3379520000000004E-2</v>
      </c>
      <c r="T8501">
        <v>-0.2408352</v>
      </c>
      <c r="U8501">
        <v>2.9914860000000001</v>
      </c>
      <c r="V8501">
        <v>2.49787E-2</v>
      </c>
      <c r="W8501">
        <v>-0.10350139999999999</v>
      </c>
      <c r="X8501">
        <v>0.99431559999999997</v>
      </c>
      <c r="Y8501">
        <v>1.9248020000000001E-2</v>
      </c>
      <c r="Z8501">
        <v>-6.59439E-2</v>
      </c>
      <c r="AA8501">
        <v>0.99763769999999996</v>
      </c>
      <c r="AB8501">
        <v>31</v>
      </c>
      <c r="AC8501">
        <v>0.34009999999997798</v>
      </c>
      <c r="AD8501">
        <v>-1.121023311868</v>
      </c>
      <c r="AE8501">
        <v>13.588299999999901</v>
      </c>
      <c r="AF8501">
        <v>0.26749680786390601</v>
      </c>
      <c r="AG8501">
        <v>-1.121023311868</v>
      </c>
      <c r="AH8501">
        <v>13.498075297643499</v>
      </c>
      <c r="AI8501">
        <v>94.746626140301501</v>
      </c>
      <c r="AJ8501">
        <v>88.864695011907997</v>
      </c>
      <c r="AK8501">
        <v>13.5471873298047</v>
      </c>
      <c r="AL8501">
        <v>95.940832704309102</v>
      </c>
      <c r="AM8501">
        <v>88.560946710261803</v>
      </c>
      <c r="AN8501">
        <v>0.999999993829504</v>
      </c>
    </row>
    <row r="8502" spans="1:40" x14ac:dyDescent="0.25">
      <c r="A8502" t="str">
        <f>"20190303155016409"</f>
        <v>20190303155016409</v>
      </c>
      <c r="B8502" t="str">
        <f>"1551599416399452"</f>
        <v>1551599416399452</v>
      </c>
      <c r="C8502" t="s">
        <v>40</v>
      </c>
      <c r="D8502">
        <v>5.3494109999999999</v>
      </c>
      <c r="E8502">
        <v>0.49755460000000001</v>
      </c>
      <c r="F8502" t="s">
        <v>41</v>
      </c>
      <c r="G8502">
        <v>-187.64619999999999</v>
      </c>
      <c r="H8502" s="1">
        <v>-4.376608E-6</v>
      </c>
      <c r="I8502">
        <v>118.86150000000001</v>
      </c>
      <c r="J8502">
        <v>-187.97929999999999</v>
      </c>
      <c r="K8502">
        <v>1.1210169999999999</v>
      </c>
      <c r="L8502">
        <v>105.55119999999999</v>
      </c>
      <c r="M8502">
        <v>4.6382990000000002E-3</v>
      </c>
      <c r="N8502">
        <v>-1.4316519999999999E-2</v>
      </c>
      <c r="O8502">
        <v>0.99988679999999996</v>
      </c>
      <c r="P8502">
        <v>2.9432259999999998E-2</v>
      </c>
      <c r="Q8502">
        <v>-0.1175626</v>
      </c>
      <c r="R8502">
        <v>0.99262919999999999</v>
      </c>
      <c r="S8502">
        <v>7.2845460000000001E-2</v>
      </c>
      <c r="T8502">
        <v>-0.24402389999999999</v>
      </c>
      <c r="U8502">
        <v>2.991241</v>
      </c>
      <c r="V8502">
        <v>2.490825E-2</v>
      </c>
      <c r="W8502">
        <v>-0.1033183</v>
      </c>
      <c r="X8502">
        <v>0.99433640000000001</v>
      </c>
      <c r="Y8502">
        <v>1.9639819999999999E-2</v>
      </c>
      <c r="Z8502">
        <v>-6.7011589999999996E-2</v>
      </c>
      <c r="AA8502">
        <v>0.99755890000000003</v>
      </c>
      <c r="AB8502">
        <v>31</v>
      </c>
      <c r="AC8502">
        <v>0.33310000000000101</v>
      </c>
      <c r="AD8502">
        <v>-1.1210213766079999</v>
      </c>
      <c r="AE8502">
        <v>13.3103</v>
      </c>
      <c r="AF8502">
        <v>0.26944288028257202</v>
      </c>
      <c r="AG8502">
        <v>-1.1210213766079999</v>
      </c>
      <c r="AH8502">
        <v>13.2180005939073</v>
      </c>
      <c r="AI8502">
        <v>94.846664391584497</v>
      </c>
      <c r="AJ8502">
        <v>88.832213542682496</v>
      </c>
      <c r="AK8502">
        <v>13.2681885761803</v>
      </c>
      <c r="AL8502">
        <v>95.930285357895997</v>
      </c>
      <c r="AM8502">
        <v>88.5650337263707</v>
      </c>
      <c r="AN8502">
        <v>0.99999998419895597</v>
      </c>
    </row>
    <row r="8503" spans="1:40" x14ac:dyDescent="0.25">
      <c r="A8503" t="str">
        <f>"20190303155016430"</f>
        <v>20190303155016430</v>
      </c>
      <c r="B8503" t="str">
        <f>"1551599416418972"</f>
        <v>1551599416418972</v>
      </c>
      <c r="C8503" t="s">
        <v>40</v>
      </c>
      <c r="D8503">
        <v>5.3370240000000004</v>
      </c>
      <c r="E8503">
        <v>0.49760199999999999</v>
      </c>
      <c r="F8503" t="s">
        <v>41</v>
      </c>
      <c r="G8503">
        <v>-187.65389999999999</v>
      </c>
      <c r="H8503" s="1">
        <v>-4.5402110000000003E-6</v>
      </c>
      <c r="I8503">
        <v>119.246</v>
      </c>
      <c r="J8503">
        <v>-187.97829999999999</v>
      </c>
      <c r="K8503">
        <v>1.1210180000000001</v>
      </c>
      <c r="L8503">
        <v>105.8421</v>
      </c>
      <c r="M8503">
        <v>4.2541439999999996E-3</v>
      </c>
      <c r="N8503">
        <v>-1.4313380000000001E-2</v>
      </c>
      <c r="O8503">
        <v>0.99988849999999996</v>
      </c>
      <c r="P8503">
        <v>2.9770609999999999E-2</v>
      </c>
      <c r="Q8503">
        <v>-0.1169555</v>
      </c>
      <c r="R8503">
        <v>0.99269090000000004</v>
      </c>
      <c r="S8503">
        <v>7.1075440000000004E-2</v>
      </c>
      <c r="T8503">
        <v>-0.2448497</v>
      </c>
      <c r="U8503">
        <v>2.9911799999999999</v>
      </c>
      <c r="V8503">
        <v>2.562702E-2</v>
      </c>
      <c r="W8503">
        <v>-0.102713</v>
      </c>
      <c r="X8503">
        <v>0.99438079999999995</v>
      </c>
      <c r="Y8503">
        <v>1.9434139999999999E-2</v>
      </c>
      <c r="Z8503">
        <v>-6.7290790000000003E-2</v>
      </c>
      <c r="AA8503">
        <v>0.99754410000000004</v>
      </c>
      <c r="AB8503">
        <v>31</v>
      </c>
      <c r="AC8503">
        <v>0.32439999999999702</v>
      </c>
      <c r="AD8503">
        <v>-1.1210225402109999</v>
      </c>
      <c r="AE8503">
        <v>13.4039</v>
      </c>
      <c r="AF8503">
        <v>0.26551301573006397</v>
      </c>
      <c r="AG8503">
        <v>-1.1210225402109999</v>
      </c>
      <c r="AH8503">
        <v>13.3120998251354</v>
      </c>
      <c r="AI8503">
        <v>94.812613644618494</v>
      </c>
      <c r="AJ8503">
        <v>88.857373471460804</v>
      </c>
      <c r="AK8503">
        <v>13.361855801180999</v>
      </c>
      <c r="AL8503">
        <v>95.895418983414302</v>
      </c>
      <c r="AM8503">
        <v>88.523709290251702</v>
      </c>
      <c r="AN8503">
        <v>0.99999993996585801</v>
      </c>
    </row>
    <row r="8504" spans="1:40" x14ac:dyDescent="0.25">
      <c r="A8504" t="str">
        <f>"20190303155016454"</f>
        <v>20190303155016454</v>
      </c>
      <c r="B8504" t="str">
        <f>"1551599416449229"</f>
        <v>1551599416449229</v>
      </c>
      <c r="C8504" t="s">
        <v>40</v>
      </c>
      <c r="D8504">
        <v>5.3503679999999996</v>
      </c>
      <c r="E8504">
        <v>0.4975929</v>
      </c>
      <c r="F8504" t="s">
        <v>41</v>
      </c>
      <c r="G8504">
        <v>-187.64599999999999</v>
      </c>
      <c r="H8504" s="1">
        <v>-4.6828950000000002E-6</v>
      </c>
      <c r="I8504">
        <v>119.5754</v>
      </c>
      <c r="J8504">
        <v>-187.97739999999999</v>
      </c>
      <c r="K8504">
        <v>1.1210199999999999</v>
      </c>
      <c r="L8504">
        <v>106.1622</v>
      </c>
      <c r="M8504">
        <v>3.8332430000000001E-3</v>
      </c>
      <c r="N8504">
        <v>-1.430989E-2</v>
      </c>
      <c r="O8504">
        <v>0.99989030000000001</v>
      </c>
      <c r="P8504">
        <v>3.034806E-2</v>
      </c>
      <c r="Q8504">
        <v>-0.11677170000000001</v>
      </c>
      <c r="R8504">
        <v>0.99269499999999999</v>
      </c>
      <c r="S8504">
        <v>7.2372439999999996E-2</v>
      </c>
      <c r="T8504">
        <v>-0.24416280000000001</v>
      </c>
      <c r="U8504">
        <v>2.9911500000000002</v>
      </c>
      <c r="V8504">
        <v>2.6621760000000001E-2</v>
      </c>
      <c r="W8504">
        <v>-0.1025321</v>
      </c>
      <c r="X8504">
        <v>0.99437339999999996</v>
      </c>
      <c r="Y8504">
        <v>2.0287349999999999E-2</v>
      </c>
      <c r="Z8504">
        <v>-6.7066589999999995E-2</v>
      </c>
      <c r="AA8504">
        <v>0.99754219999999905</v>
      </c>
      <c r="AB8504">
        <v>31</v>
      </c>
      <c r="AC8504">
        <v>0.33140000000000203</v>
      </c>
      <c r="AD8504">
        <v>-1.1210246828949999</v>
      </c>
      <c r="AE8504">
        <v>13.4132</v>
      </c>
      <c r="AF8504">
        <v>0.27803535829793602</v>
      </c>
      <c r="AG8504">
        <v>-1.1210246828949999</v>
      </c>
      <c r="AH8504">
        <v>13.321379019314801</v>
      </c>
      <c r="AI8504">
        <v>94.809195795320207</v>
      </c>
      <c r="AJ8504">
        <v>88.804332492836593</v>
      </c>
      <c r="AK8504">
        <v>13.3713551660392</v>
      </c>
      <c r="AL8504">
        <v>95.884998784501207</v>
      </c>
      <c r="AM8504">
        <v>88.466420945018996</v>
      </c>
      <c r="AN8504">
        <v>1.0000000041317301</v>
      </c>
    </row>
    <row r="8505" spans="1:40" x14ac:dyDescent="0.25">
      <c r="A8505" t="str">
        <f>"20190303155016476"</f>
        <v>20190303155016476</v>
      </c>
      <c r="B8505" t="str">
        <f>"1551599416468748"</f>
        <v>1551599416468748</v>
      </c>
      <c r="C8505" t="s">
        <v>40</v>
      </c>
      <c r="D8505">
        <v>5.3254070000000002</v>
      </c>
      <c r="E8505">
        <v>0.49759629999999999</v>
      </c>
      <c r="F8505" t="s">
        <v>59</v>
      </c>
      <c r="G8505">
        <v>-187.6371</v>
      </c>
      <c r="H8505" s="1">
        <v>-6.9972489999999996E-7</v>
      </c>
      <c r="I8505">
        <v>119.8956</v>
      </c>
      <c r="J8505">
        <v>-187.97669999999999</v>
      </c>
      <c r="K8505">
        <v>1.1210059999999999</v>
      </c>
      <c r="L8505">
        <v>106.47410000000001</v>
      </c>
      <c r="M8505">
        <v>3.428207E-3</v>
      </c>
      <c r="N8505">
        <v>-1.430647E-2</v>
      </c>
      <c r="O8505">
        <v>0.9998918</v>
      </c>
      <c r="P8505">
        <v>3.1281059999999999E-2</v>
      </c>
      <c r="Q8505">
        <v>-0.1174818</v>
      </c>
      <c r="R8505">
        <v>0.99258230000000003</v>
      </c>
      <c r="S8505">
        <v>7.4111940000000001E-2</v>
      </c>
      <c r="T8505">
        <v>-0.24415229999999999</v>
      </c>
      <c r="U8505">
        <v>2.9910739999999998</v>
      </c>
      <c r="V8505">
        <v>2.79569E-2</v>
      </c>
      <c r="W8505">
        <v>-0.10324659999999999</v>
      </c>
      <c r="X8505">
        <v>0.9942628</v>
      </c>
      <c r="Y8505">
        <v>2.1272070000000001E-2</v>
      </c>
      <c r="Z8505">
        <v>-6.7067299999999996E-2</v>
      </c>
      <c r="AA8505">
        <v>0.99752160000000001</v>
      </c>
      <c r="AB8505">
        <v>31</v>
      </c>
      <c r="AC8505">
        <v>0.33959999999999002</v>
      </c>
      <c r="AD8505">
        <v>-1.12100669972489</v>
      </c>
      <c r="AE8505">
        <v>13.421499999999901</v>
      </c>
      <c r="AF8505">
        <v>0.29154903377324598</v>
      </c>
      <c r="AG8505">
        <v>-1.12100669972489</v>
      </c>
      <c r="AH8505">
        <v>13.3296555946048</v>
      </c>
      <c r="AI8505">
        <v>94.806044676505195</v>
      </c>
      <c r="AJ8505">
        <v>88.747014427926501</v>
      </c>
      <c r="AK8505">
        <v>13.379886962553201</v>
      </c>
      <c r="AL8505">
        <v>95.926155175114602</v>
      </c>
      <c r="AM8505">
        <v>88.389369059012495</v>
      </c>
      <c r="AN8505">
        <v>0.99999998206650398</v>
      </c>
    </row>
    <row r="8506" spans="1:40" x14ac:dyDescent="0.25">
      <c r="A8506" t="str">
        <f>"20190303155016499"</f>
        <v>20190303155016499</v>
      </c>
      <c r="B8506" t="str">
        <f>"1551599416489244"</f>
        <v>1551599416489244</v>
      </c>
      <c r="C8506" t="s">
        <v>40</v>
      </c>
      <c r="D8506">
        <v>5.3459219999999998</v>
      </c>
      <c r="E8506">
        <v>0.49761480000000002</v>
      </c>
      <c r="F8506" t="s">
        <v>59</v>
      </c>
      <c r="G8506">
        <v>-187.6268</v>
      </c>
      <c r="H8506" s="1">
        <v>-7.5920189999999998E-7</v>
      </c>
      <c r="I8506">
        <v>120.0882</v>
      </c>
      <c r="J8506">
        <v>-187.9761</v>
      </c>
      <c r="K8506">
        <v>1.121005</v>
      </c>
      <c r="L8506">
        <v>106.7688</v>
      </c>
      <c r="M8506">
        <v>3.0554200000000001E-3</v>
      </c>
      <c r="N8506">
        <v>-1.430326E-2</v>
      </c>
      <c r="O8506">
        <v>0.99989300000000003</v>
      </c>
      <c r="P8506">
        <v>3.239355E-2</v>
      </c>
      <c r="Q8506">
        <v>-0.1181088</v>
      </c>
      <c r="R8506">
        <v>0.99247220000000003</v>
      </c>
      <c r="S8506">
        <v>7.685852E-2</v>
      </c>
      <c r="T8506">
        <v>-0.24626919999999999</v>
      </c>
      <c r="U8506">
        <v>2.9908450000000002</v>
      </c>
      <c r="V8506">
        <v>2.9438590000000001E-2</v>
      </c>
      <c r="W8506">
        <v>-0.1038777</v>
      </c>
      <c r="X8506">
        <v>0.99415430000000005</v>
      </c>
      <c r="Y8506">
        <v>2.2559929999999999E-2</v>
      </c>
      <c r="Z8506">
        <v>-6.777598E-2</v>
      </c>
      <c r="AA8506">
        <v>0.99744549999999998</v>
      </c>
      <c r="AB8506">
        <v>31</v>
      </c>
      <c r="AC8506">
        <v>0.349299999999999</v>
      </c>
      <c r="AD8506">
        <v>-1.1210057592018901</v>
      </c>
      <c r="AE8506">
        <v>13.3194</v>
      </c>
      <c r="AF8506">
        <v>0.30642875446359602</v>
      </c>
      <c r="AG8506">
        <v>-1.1210057592018901</v>
      </c>
      <c r="AH8506">
        <v>13.2267780227593</v>
      </c>
      <c r="AI8506">
        <v>94.843104292470002</v>
      </c>
      <c r="AJ8506">
        <v>88.6728488046802</v>
      </c>
      <c r="AK8506">
        <v>13.277733592638199</v>
      </c>
      <c r="AL8506">
        <v>95.962509977912603</v>
      </c>
      <c r="AM8506">
        <v>88.303870713601995</v>
      </c>
      <c r="AN8506">
        <v>0.99999998967348402</v>
      </c>
    </row>
    <row r="8507" spans="1:40" x14ac:dyDescent="0.25">
      <c r="A8507" t="str">
        <f>"20190303155016520"</f>
        <v>20190303155016520</v>
      </c>
      <c r="B8507" t="str">
        <f>"1551599416508764"</f>
        <v>1551599416508764</v>
      </c>
      <c r="C8507" t="s">
        <v>40</v>
      </c>
      <c r="D8507">
        <v>5.3544289999999997</v>
      </c>
      <c r="E8507">
        <v>0.4975926</v>
      </c>
      <c r="F8507" t="s">
        <v>59</v>
      </c>
      <c r="G8507">
        <v>-187.6121</v>
      </c>
      <c r="H8507" s="1">
        <v>-8.2587330000000003E-7</v>
      </c>
      <c r="I8507">
        <v>120.3013</v>
      </c>
      <c r="J8507">
        <v>-187.97559999999999</v>
      </c>
      <c r="K8507">
        <v>1.1209979999999999</v>
      </c>
      <c r="L8507">
        <v>107.0642</v>
      </c>
      <c r="M8507">
        <v>2.6975929999999999E-3</v>
      </c>
      <c r="N8507">
        <v>-1.430007E-2</v>
      </c>
      <c r="O8507">
        <v>0.99989410000000001</v>
      </c>
      <c r="P8507">
        <v>3.311476E-2</v>
      </c>
      <c r="Q8507">
        <v>-0.1172781</v>
      </c>
      <c r="R8507">
        <v>0.99254690000000001</v>
      </c>
      <c r="S8507">
        <v>8.0444340000000003E-2</v>
      </c>
      <c r="T8507">
        <v>-0.24773970000000001</v>
      </c>
      <c r="U8507">
        <v>2.9906619999999999</v>
      </c>
      <c r="V8507">
        <v>3.0511159999999999E-2</v>
      </c>
      <c r="W8507">
        <v>-0.1030494</v>
      </c>
      <c r="X8507">
        <v>0.99420819999999999</v>
      </c>
      <c r="Y8507">
        <v>2.4112290000000001E-2</v>
      </c>
      <c r="Z8507">
        <v>-6.8268519999999999E-2</v>
      </c>
      <c r="AA8507">
        <v>0.99737549999999997</v>
      </c>
      <c r="AB8507">
        <v>31</v>
      </c>
      <c r="AC8507">
        <v>0.363499999999987</v>
      </c>
      <c r="AD8507">
        <v>-1.1209988258732999</v>
      </c>
      <c r="AE8507">
        <v>13.2370999999999</v>
      </c>
      <c r="AF8507">
        <v>0.32545440088980898</v>
      </c>
      <c r="AG8507">
        <v>-1.1209988258732999</v>
      </c>
      <c r="AH8507">
        <v>13.1438393168752</v>
      </c>
      <c r="AI8507">
        <v>94.873302830776694</v>
      </c>
      <c r="AJ8507">
        <v>88.581589926000802</v>
      </c>
      <c r="AK8507">
        <v>13.1955701249511</v>
      </c>
      <c r="AL8507">
        <v>95.9147955880713</v>
      </c>
      <c r="AM8507">
        <v>88.242207019710705</v>
      </c>
      <c r="AN8507">
        <v>1.0000000273360701</v>
      </c>
    </row>
    <row r="8508" spans="1:40" x14ac:dyDescent="0.25">
      <c r="A8508" t="str">
        <f>"20190303155016543"</f>
        <v>20190303155016543</v>
      </c>
      <c r="B8508" t="str">
        <f>"1551599416539020"</f>
        <v>1551599416539020</v>
      </c>
      <c r="C8508" t="s">
        <v>40</v>
      </c>
      <c r="D8508">
        <v>5.382339</v>
      </c>
      <c r="E8508">
        <v>0.49760959999999899</v>
      </c>
      <c r="F8508" t="s">
        <v>59</v>
      </c>
      <c r="G8508">
        <v>-187.5993</v>
      </c>
      <c r="H8508" s="1">
        <v>-9.6057949999999992E-7</v>
      </c>
      <c r="I8508">
        <v>120.7471</v>
      </c>
      <c r="J8508">
        <v>-187.9751</v>
      </c>
      <c r="K8508">
        <v>1.120987</v>
      </c>
      <c r="L8508">
        <v>107.3817</v>
      </c>
      <c r="M8508">
        <v>2.343805E-3</v>
      </c>
      <c r="N8508">
        <v>-1.4296649999999999E-2</v>
      </c>
      <c r="O8508">
        <v>0.99989499999999998</v>
      </c>
      <c r="P8508">
        <v>3.2846380000000001E-2</v>
      </c>
      <c r="Q8508">
        <v>-0.1157827</v>
      </c>
      <c r="R8508">
        <v>0.99273129999999998</v>
      </c>
      <c r="S8508">
        <v>8.2244869999999998E-2</v>
      </c>
      <c r="T8508">
        <v>-0.24502869999999999</v>
      </c>
      <c r="U8508">
        <v>2.9908139999999999</v>
      </c>
      <c r="V8508">
        <v>3.0587429999999999E-2</v>
      </c>
      <c r="W8508">
        <v>-0.1015566</v>
      </c>
      <c r="X8508">
        <v>0.9943594</v>
      </c>
      <c r="Y8508">
        <v>2.5065830000000001E-2</v>
      </c>
      <c r="Z8508">
        <v>-6.7368239999999996E-2</v>
      </c>
      <c r="AA8508">
        <v>0.99741329999999995</v>
      </c>
      <c r="AB8508">
        <v>30</v>
      </c>
      <c r="AC8508">
        <v>0.37579999999999802</v>
      </c>
      <c r="AD8508">
        <v>-1.1209879605794999</v>
      </c>
      <c r="AE8508">
        <v>13.365399999999999</v>
      </c>
      <c r="AF8508">
        <v>0.342065487667221</v>
      </c>
      <c r="AG8508">
        <v>-1.1209879605794999</v>
      </c>
      <c r="AH8508">
        <v>13.27294835753</v>
      </c>
      <c r="AI8508">
        <v>94.825954949481002</v>
      </c>
      <c r="AJ8508">
        <v>88.523721262675195</v>
      </c>
      <c r="AK8508">
        <v>13.324593085992401</v>
      </c>
      <c r="AL8508">
        <v>95.828813623345994</v>
      </c>
      <c r="AM8508">
        <v>88.238083544137893</v>
      </c>
      <c r="AN8508">
        <v>0.99999997512296201</v>
      </c>
    </row>
    <row r="8509" spans="1:40" x14ac:dyDescent="0.25">
      <c r="A8509" t="str">
        <f>"20190303155016567"</f>
        <v>20190303155016567</v>
      </c>
      <c r="B8509" t="str">
        <f>"1551599416559516"</f>
        <v>1551599416559516</v>
      </c>
      <c r="C8509" t="s">
        <v>40</v>
      </c>
      <c r="D8509">
        <v>5.4105189999999999</v>
      </c>
      <c r="E8509">
        <v>0.49760789999999999</v>
      </c>
      <c r="F8509" t="s">
        <v>42</v>
      </c>
      <c r="G8509">
        <v>-187.9486</v>
      </c>
      <c r="H8509">
        <v>1.043482</v>
      </c>
      <c r="I8509">
        <v>108.34650000000001</v>
      </c>
      <c r="J8509">
        <v>-187.97470000000001</v>
      </c>
      <c r="K8509">
        <v>1.120973</v>
      </c>
      <c r="L8509">
        <v>107.7063</v>
      </c>
      <c r="M8509">
        <v>2.0231060000000002E-3</v>
      </c>
      <c r="N8509">
        <v>-1.429309E-2</v>
      </c>
      <c r="O8509">
        <v>0.9998958</v>
      </c>
      <c r="P8509">
        <v>3.2575430000000002E-2</v>
      </c>
      <c r="Q8509">
        <v>-0.11463760000000001</v>
      </c>
      <c r="R8509">
        <v>0.99287309999999995</v>
      </c>
      <c r="S8509">
        <v>8.1451419999999997E-2</v>
      </c>
      <c r="T8509">
        <v>-0.24037269999999999</v>
      </c>
      <c r="U8509">
        <v>2.9912260000000002</v>
      </c>
      <c r="V8509">
        <v>3.0626770000000001E-2</v>
      </c>
      <c r="W8509">
        <v>-0.1004154</v>
      </c>
      <c r="X8509">
        <v>0.99447410000000003</v>
      </c>
      <c r="Y8509">
        <v>2.5121379999999999E-2</v>
      </c>
      <c r="Z8509">
        <v>-6.5818450000000001E-2</v>
      </c>
      <c r="AA8509">
        <v>0.99751529999999999</v>
      </c>
      <c r="AB8509">
        <v>30</v>
      </c>
      <c r="AC8509">
        <v>2.6100000000013699E-2</v>
      </c>
      <c r="AD8509">
        <v>-7.7490999999999893E-2</v>
      </c>
      <c r="AE8509">
        <v>0.64020000000000699</v>
      </c>
      <c r="AF8509">
        <v>2.4447039312437701E-2</v>
      </c>
      <c r="AG8509">
        <v>-7.7490999999999893E-2</v>
      </c>
      <c r="AH8509">
        <v>0.631021656888891</v>
      </c>
      <c r="AI8509">
        <v>96.995813131773005</v>
      </c>
      <c r="AJ8509">
        <v>87.781356640821301</v>
      </c>
      <c r="AK8509">
        <v>0.63623175358900896</v>
      </c>
      <c r="AL8509">
        <v>95.763091587103105</v>
      </c>
      <c r="AM8509">
        <v>88.236022235104898</v>
      </c>
      <c r="AN8509">
        <v>0.99999999358430103</v>
      </c>
    </row>
    <row r="8510" spans="1:40" x14ac:dyDescent="0.25">
      <c r="A8510" t="str">
        <f>"20190303155016590"</f>
        <v>20190303155016590</v>
      </c>
      <c r="B8510" t="str">
        <f>"1551599416579036"</f>
        <v>1551599416579036</v>
      </c>
      <c r="C8510" t="s">
        <v>40</v>
      </c>
      <c r="D8510">
        <v>5.364617</v>
      </c>
      <c r="E8510">
        <v>0.49756820000000002</v>
      </c>
      <c r="F8510" t="s">
        <v>42</v>
      </c>
      <c r="G8510">
        <v>-187.94990000000001</v>
      </c>
      <c r="H8510">
        <v>1.04799</v>
      </c>
      <c r="I8510">
        <v>108.6275</v>
      </c>
      <c r="J8510">
        <v>-187.9744</v>
      </c>
      <c r="K8510">
        <v>1.1209439999999999</v>
      </c>
      <c r="L8510">
        <v>108.0179</v>
      </c>
      <c r="M8510">
        <v>1.7535249999999999E-3</v>
      </c>
      <c r="N8510">
        <v>-1.4289680000000001E-2</v>
      </c>
      <c r="O8510">
        <v>0.99989629999999996</v>
      </c>
      <c r="P8510">
        <v>3.2251290000000002E-2</v>
      </c>
      <c r="Q8510">
        <v>-0.1144251</v>
      </c>
      <c r="R8510">
        <v>0.99290820000000002</v>
      </c>
      <c r="S8510">
        <v>8.0459589999999998E-2</v>
      </c>
      <c r="T8510">
        <v>-0.2370466</v>
      </c>
      <c r="U8510">
        <v>2.9915159999999998</v>
      </c>
      <c r="V8510">
        <v>3.0562599999999999E-2</v>
      </c>
      <c r="W8510">
        <v>-0.1002082</v>
      </c>
      <c r="X8510">
        <v>0.99449699999999996</v>
      </c>
      <c r="Y8510">
        <v>2.5059979999999999E-2</v>
      </c>
      <c r="Z8510">
        <v>-6.4712480000000003E-2</v>
      </c>
      <c r="AA8510">
        <v>0.99758919999999995</v>
      </c>
      <c r="AB8510">
        <v>30</v>
      </c>
      <c r="AC8510">
        <v>2.4499999999988999E-2</v>
      </c>
      <c r="AD8510">
        <v>-7.2953999999999894E-2</v>
      </c>
      <c r="AE8510">
        <v>0.60960000000000003</v>
      </c>
      <c r="AF8510">
        <v>2.3100587669738399E-2</v>
      </c>
      <c r="AG8510">
        <v>-7.2953999999999894E-2</v>
      </c>
      <c r="AH8510">
        <v>0.60104761480793401</v>
      </c>
      <c r="AI8510">
        <v>96.915541167676295</v>
      </c>
      <c r="AJ8510">
        <v>87.798984615075099</v>
      </c>
      <c r="AK8510">
        <v>0.60589946239701598</v>
      </c>
      <c r="AL8510">
        <v>95.751159568557398</v>
      </c>
      <c r="AM8510">
        <v>88.239756347272106</v>
      </c>
      <c r="AN8510">
        <v>1.0000000194374901</v>
      </c>
    </row>
    <row r="8511" spans="1:40" x14ac:dyDescent="0.25">
      <c r="A8511" t="str">
        <f>"20190303155016609"</f>
        <v>20190303155016609</v>
      </c>
      <c r="B8511" t="str">
        <f>"1551599416599532"</f>
        <v>1551599416599532</v>
      </c>
      <c r="C8511" t="s">
        <v>40</v>
      </c>
      <c r="D8511">
        <v>5.3895410000000004</v>
      </c>
      <c r="E8511">
        <v>0.49755280000000002</v>
      </c>
      <c r="F8511" t="s">
        <v>59</v>
      </c>
      <c r="G8511">
        <v>-187.60159999999999</v>
      </c>
      <c r="H8511" s="1">
        <v>-1.705989E-6</v>
      </c>
      <c r="I8511">
        <v>122.1298</v>
      </c>
      <c r="J8511">
        <v>-187.9742</v>
      </c>
      <c r="K8511">
        <v>1.1209119999999999</v>
      </c>
      <c r="L8511">
        <v>108.28270000000001</v>
      </c>
      <c r="M8511">
        <v>1.5648249999999999E-3</v>
      </c>
      <c r="N8511">
        <v>-1.428682E-2</v>
      </c>
      <c r="O8511">
        <v>0.99989669999999997</v>
      </c>
      <c r="P8511">
        <v>3.272427E-2</v>
      </c>
      <c r="Q8511">
        <v>-0.11498</v>
      </c>
      <c r="R8511">
        <v>0.99282870000000001</v>
      </c>
      <c r="S8511">
        <v>7.9025269999999995E-2</v>
      </c>
      <c r="T8511">
        <v>-0.2376201</v>
      </c>
      <c r="U8511">
        <v>2.9914860000000001</v>
      </c>
      <c r="V8511">
        <v>3.121589E-2</v>
      </c>
      <c r="W8511">
        <v>-0.1007691</v>
      </c>
      <c r="X8511">
        <v>0.99441999999999997</v>
      </c>
      <c r="Y8511">
        <v>2.4770770000000001E-2</v>
      </c>
      <c r="Z8511">
        <v>-6.4906980000000003E-2</v>
      </c>
      <c r="AA8511">
        <v>0.99758380000000002</v>
      </c>
      <c r="AB8511">
        <v>30</v>
      </c>
      <c r="AC8511">
        <v>0.37260000000000498</v>
      </c>
      <c r="AD8511">
        <v>-1.120913705989</v>
      </c>
      <c r="AE8511">
        <v>13.8470999999999</v>
      </c>
      <c r="AF8511">
        <v>0.348646089418649</v>
      </c>
      <c r="AG8511">
        <v>-1.120913705989</v>
      </c>
      <c r="AH8511">
        <v>13.757580751216</v>
      </c>
      <c r="AI8511">
        <v>94.656458063462097</v>
      </c>
      <c r="AJ8511">
        <v>88.548314915135606</v>
      </c>
      <c r="AK8511">
        <v>13.8075714648946</v>
      </c>
      <c r="AL8511">
        <v>95.783460442327097</v>
      </c>
      <c r="AM8511">
        <v>88.202015623600502</v>
      </c>
      <c r="AN8511">
        <v>0.99999998985165095</v>
      </c>
    </row>
    <row r="8512" spans="1:40" x14ac:dyDescent="0.25">
      <c r="A8512" t="str">
        <f>"20190303155016632"</f>
        <v>20190303155016632</v>
      </c>
      <c r="B8512" t="str">
        <f>"1551599416619413"</f>
        <v>1551599416619413</v>
      </c>
      <c r="C8512" t="s">
        <v>40</v>
      </c>
      <c r="D8512">
        <v>5.4289019999999999</v>
      </c>
      <c r="E8512">
        <v>0.49753359999999902</v>
      </c>
      <c r="F8512" t="s">
        <v>59</v>
      </c>
      <c r="G8512">
        <v>-187.59970000000001</v>
      </c>
      <c r="H8512" s="1">
        <v>-1.7637799999999901E-6</v>
      </c>
      <c r="I8512">
        <v>122.23480000000001</v>
      </c>
      <c r="J8512">
        <v>-187.97389999999999</v>
      </c>
      <c r="K8512">
        <v>1.120865</v>
      </c>
      <c r="L8512">
        <v>108.5848</v>
      </c>
      <c r="M8512">
        <v>1.407965E-3</v>
      </c>
      <c r="N8512">
        <v>-1.428367E-2</v>
      </c>
      <c r="O8512">
        <v>0.99989700000000004</v>
      </c>
      <c r="P8512">
        <v>3.335258E-2</v>
      </c>
      <c r="Q8512">
        <v>-0.11481909999999999</v>
      </c>
      <c r="R8512">
        <v>0.99282630000000005</v>
      </c>
      <c r="S8512">
        <v>8.0276490000000006E-2</v>
      </c>
      <c r="T8512">
        <v>-0.24031359999999999</v>
      </c>
      <c r="U8512">
        <v>2.991196</v>
      </c>
      <c r="V8512">
        <v>3.1989620000000003E-2</v>
      </c>
      <c r="W8512">
        <v>-0.10061440000000001</v>
      </c>
      <c r="X8512">
        <v>0.99441109999999999</v>
      </c>
      <c r="Y8512">
        <v>2.5345010000000001E-2</v>
      </c>
      <c r="Z8512">
        <v>-6.5809290000000006E-2</v>
      </c>
      <c r="AA8512">
        <v>0.99751029999999996</v>
      </c>
      <c r="AB8512">
        <v>30</v>
      </c>
      <c r="AC8512">
        <v>0.374199999999973</v>
      </c>
      <c r="AD8512">
        <v>-1.1208667637799901</v>
      </c>
      <c r="AE8512">
        <v>13.65</v>
      </c>
      <c r="AF8512">
        <v>0.35260318562410498</v>
      </c>
      <c r="AG8512">
        <v>-1.1208667637799901</v>
      </c>
      <c r="AH8512">
        <v>13.5591548647373</v>
      </c>
      <c r="AI8512">
        <v>94.724017949375707</v>
      </c>
      <c r="AJ8512">
        <v>88.510370121987506</v>
      </c>
      <c r="AK8512">
        <v>13.6099725185097</v>
      </c>
      <c r="AL8512">
        <v>95.774551363949399</v>
      </c>
      <c r="AM8512">
        <v>88.157463904932996</v>
      </c>
      <c r="AN8512">
        <v>1.0000000145391501</v>
      </c>
    </row>
    <row r="8513" spans="1:40" x14ac:dyDescent="0.25">
      <c r="A8513" t="str">
        <f>"20190303155016655"</f>
        <v>20190303155016655</v>
      </c>
      <c r="B8513" t="str">
        <f>"1551599416649670"</f>
        <v>1551599416649670</v>
      </c>
      <c r="C8513" t="s">
        <v>40</v>
      </c>
      <c r="D8513">
        <v>5.5652809999999997</v>
      </c>
      <c r="E8513">
        <v>0.53648300000000004</v>
      </c>
      <c r="F8513" t="s">
        <v>59</v>
      </c>
      <c r="G8513">
        <v>-187.59059999999999</v>
      </c>
      <c r="H8513" s="1">
        <v>-1.9307899999999999E-6</v>
      </c>
      <c r="I8513">
        <v>122.5371</v>
      </c>
      <c r="J8513">
        <v>-187.9736</v>
      </c>
      <c r="K8513">
        <v>1.120817</v>
      </c>
      <c r="L8513">
        <v>108.9034</v>
      </c>
      <c r="M8513">
        <v>1.305467E-3</v>
      </c>
      <c r="N8513">
        <v>-1.4280320000000001E-2</v>
      </c>
      <c r="O8513">
        <v>0.99989720000000004</v>
      </c>
      <c r="P8513">
        <v>3.4722719999999999E-2</v>
      </c>
      <c r="Q8513">
        <v>-0.113547</v>
      </c>
      <c r="R8513">
        <v>0.99292570000000002</v>
      </c>
      <c r="S8513">
        <v>8.2183839999999994E-2</v>
      </c>
      <c r="T8513">
        <v>-0.2402928</v>
      </c>
      <c r="U8513">
        <v>2.9911189999999999</v>
      </c>
      <c r="V8513">
        <v>3.3449060000000003E-2</v>
      </c>
      <c r="W8513">
        <v>-9.9347850000000001E-2</v>
      </c>
      <c r="X8513">
        <v>0.9944904</v>
      </c>
      <c r="Y8513">
        <v>2.608328E-2</v>
      </c>
      <c r="Z8513">
        <v>-6.5806310000000007E-2</v>
      </c>
      <c r="AA8513">
        <v>0.99749149999999998</v>
      </c>
      <c r="AB8513">
        <v>30</v>
      </c>
      <c r="AC8513">
        <v>0.383000000000009</v>
      </c>
      <c r="AD8513">
        <v>-1.1208189307900001</v>
      </c>
      <c r="AE8513">
        <v>13.6336999999999</v>
      </c>
      <c r="AF8513">
        <v>0.36274984063388399</v>
      </c>
      <c r="AG8513">
        <v>-1.1208189307900001</v>
      </c>
      <c r="AH8513">
        <v>13.542733481863101</v>
      </c>
      <c r="AI8513">
        <v>94.7294222527497</v>
      </c>
      <c r="AJ8513">
        <v>88.465666740347899</v>
      </c>
      <c r="AK8513">
        <v>13.593875557885299</v>
      </c>
      <c r="AL8513">
        <v>95.701618055458496</v>
      </c>
      <c r="AM8513">
        <v>88.073618642277495</v>
      </c>
      <c r="AN8513">
        <v>0.99999999530333294</v>
      </c>
    </row>
    <row r="8514" spans="1:40" x14ac:dyDescent="0.25">
      <c r="A8514" t="str">
        <f>"20190303155016677"</f>
        <v>20190303155016677</v>
      </c>
      <c r="B8514" t="str">
        <f>"1551599416669189"</f>
        <v>1551599416669189</v>
      </c>
      <c r="C8514" t="s">
        <v>40</v>
      </c>
      <c r="D8514">
        <v>5.5588790000000001</v>
      </c>
      <c r="E8514">
        <v>0.53693740000000001</v>
      </c>
      <c r="F8514" t="s">
        <v>59</v>
      </c>
      <c r="G8514">
        <v>-186.107</v>
      </c>
      <c r="H8514" s="1">
        <v>-2.351752E-6</v>
      </c>
      <c r="I8514">
        <v>122.9282</v>
      </c>
      <c r="J8514">
        <v>-187.97329999999999</v>
      </c>
      <c r="K8514">
        <v>1.120776</v>
      </c>
      <c r="L8514">
        <v>109.1987</v>
      </c>
      <c r="M8514">
        <v>1.2642420000000001E-3</v>
      </c>
      <c r="N8514">
        <v>-1.427702E-2</v>
      </c>
      <c r="O8514">
        <v>0.99989729999999999</v>
      </c>
      <c r="P8514">
        <v>3.5783750000000003E-2</v>
      </c>
      <c r="Q8514">
        <v>-0.1129884</v>
      </c>
      <c r="R8514">
        <v>0.99295180000000005</v>
      </c>
      <c r="S8514">
        <v>0.39665220000000001</v>
      </c>
      <c r="T8514">
        <v>-0.2381723</v>
      </c>
      <c r="U8514">
        <v>2.9802550000000001</v>
      </c>
      <c r="V8514">
        <v>3.4540029999999999E-2</v>
      </c>
      <c r="W8514">
        <v>-9.87957E-2</v>
      </c>
      <c r="X8514">
        <v>0.99450810000000001</v>
      </c>
      <c r="Y8514">
        <v>0.13031319999999999</v>
      </c>
      <c r="Z8514">
        <v>-6.4738249999999997E-2</v>
      </c>
      <c r="AA8514">
        <v>0.98935709999999999</v>
      </c>
      <c r="AB8514">
        <v>30</v>
      </c>
      <c r="AC8514">
        <v>1.8662999999999901</v>
      </c>
      <c r="AD8514">
        <v>-1.120778351752</v>
      </c>
      <c r="AE8514">
        <v>13.7295</v>
      </c>
      <c r="AF8514">
        <v>1.83692031820166</v>
      </c>
      <c r="AG8514">
        <v>-1.120778351752</v>
      </c>
      <c r="AH8514">
        <v>13.6425849834853</v>
      </c>
      <c r="AI8514">
        <v>94.654652728990499</v>
      </c>
      <c r="AJ8514">
        <v>82.331469449605393</v>
      </c>
      <c r="AK8514">
        <v>13.811247061753599</v>
      </c>
      <c r="AL8514">
        <v>95.669825854359104</v>
      </c>
      <c r="AM8514">
        <v>88.0108731017623</v>
      </c>
      <c r="AN8514">
        <v>0.99999998248824995</v>
      </c>
    </row>
    <row r="8515" spans="1:40" x14ac:dyDescent="0.25">
      <c r="A8515" t="str">
        <f>"20190303155016699"</f>
        <v>20190303155016699</v>
      </c>
      <c r="B8515" t="str">
        <f>"1551599416689686"</f>
        <v>1551599416689686</v>
      </c>
      <c r="C8515" t="s">
        <v>40</v>
      </c>
      <c r="D8515">
        <v>5.5323479999999998</v>
      </c>
      <c r="E8515">
        <v>0.53755769999999903</v>
      </c>
      <c r="F8515" t="s">
        <v>59</v>
      </c>
      <c r="G8515">
        <v>-186.23249999999999</v>
      </c>
      <c r="H8515" s="1">
        <v>-1.8541350000000001E-6</v>
      </c>
      <c r="I8515">
        <v>122.0523</v>
      </c>
      <c r="J8515">
        <v>-187.97290000000001</v>
      </c>
      <c r="K8515">
        <v>1.1207320000000001</v>
      </c>
      <c r="L8515">
        <v>109.488</v>
      </c>
      <c r="M8515">
        <v>1.282444E-3</v>
      </c>
      <c r="N8515">
        <v>-1.427373E-2</v>
      </c>
      <c r="O8515">
        <v>0.99989729999999999</v>
      </c>
      <c r="P8515">
        <v>3.7993970000000002E-2</v>
      </c>
      <c r="Q8515">
        <v>-0.1117485</v>
      </c>
      <c r="R8515">
        <v>0.9930099</v>
      </c>
      <c r="S8515">
        <v>0.4032135</v>
      </c>
      <c r="T8515">
        <v>-0.25960100000000003</v>
      </c>
      <c r="U8515">
        <v>2.9772340000000002</v>
      </c>
      <c r="V8515">
        <v>3.6721190000000001E-2</v>
      </c>
      <c r="W8515">
        <v>-9.756215E-2</v>
      </c>
      <c r="X8515">
        <v>0.99455179999999999</v>
      </c>
      <c r="Y8515">
        <v>0.132494</v>
      </c>
      <c r="Z8515">
        <v>-7.1865079999999998E-2</v>
      </c>
      <c r="AA8515">
        <v>0.98857510000000004</v>
      </c>
      <c r="AB8515">
        <v>30</v>
      </c>
      <c r="AC8515">
        <v>1.7404000000000199</v>
      </c>
      <c r="AD8515">
        <v>-1.120733854135</v>
      </c>
      <c r="AE8515">
        <v>12.564299999999999</v>
      </c>
      <c r="AF8515">
        <v>1.7109270141866899</v>
      </c>
      <c r="AG8515">
        <v>-1.120733854135</v>
      </c>
      <c r="AH8515">
        <v>12.469177220448399</v>
      </c>
      <c r="AI8515">
        <v>95.088538941419202</v>
      </c>
      <c r="AJ8515">
        <v>82.187090841212793</v>
      </c>
      <c r="AK8515">
        <v>12.6358100719593</v>
      </c>
      <c r="AL8515">
        <v>95.5988051405037</v>
      </c>
      <c r="AM8515">
        <v>87.885465692869701</v>
      </c>
      <c r="AN8515">
        <v>1.0000000508954301</v>
      </c>
    </row>
    <row r="8516" spans="1:40" x14ac:dyDescent="0.25">
      <c r="A8516" t="str">
        <f>"20190303155016723"</f>
        <v>20190303155016723</v>
      </c>
      <c r="B8516" t="str">
        <f>"1551599416718966"</f>
        <v>1551599416718966</v>
      </c>
      <c r="C8516" t="s">
        <v>40</v>
      </c>
      <c r="D8516">
        <v>5.5364570000000004</v>
      </c>
      <c r="E8516">
        <v>0.53774599999999995</v>
      </c>
      <c r="F8516" t="s">
        <v>59</v>
      </c>
      <c r="G8516">
        <v>-186.17930000000001</v>
      </c>
      <c r="H8516" s="1">
        <v>-2.0314079999999999E-6</v>
      </c>
      <c r="I8516">
        <v>122.3622</v>
      </c>
      <c r="J8516">
        <v>-187.97239999999999</v>
      </c>
      <c r="K8516">
        <v>1.120684</v>
      </c>
      <c r="L8516">
        <v>109.80459999999999</v>
      </c>
      <c r="M8516">
        <v>1.3796240000000001E-3</v>
      </c>
      <c r="N8516">
        <v>-1.4270150000000001E-2</v>
      </c>
      <c r="O8516">
        <v>0.99989720000000004</v>
      </c>
      <c r="P8516">
        <v>4.1276899999999998E-2</v>
      </c>
      <c r="Q8516">
        <v>-0.1122827</v>
      </c>
      <c r="R8516">
        <v>0.9928186</v>
      </c>
      <c r="S8516">
        <v>0.41464230000000002</v>
      </c>
      <c r="T8516">
        <v>-0.2590789</v>
      </c>
      <c r="U8516">
        <v>2.976105</v>
      </c>
      <c r="V8516">
        <v>3.9894970000000002E-2</v>
      </c>
      <c r="W8516">
        <v>-9.8107689999999997E-2</v>
      </c>
      <c r="X8516">
        <v>0.99437580000000003</v>
      </c>
      <c r="Y8516">
        <v>0.13617199999999999</v>
      </c>
      <c r="Z8516">
        <v>-7.1685100000000002E-2</v>
      </c>
      <c r="AA8516">
        <v>0.98808830000000003</v>
      </c>
      <c r="AB8516">
        <v>30</v>
      </c>
      <c r="AC8516">
        <v>1.7930999999999799</v>
      </c>
      <c r="AD8516">
        <v>-1.120686031408</v>
      </c>
      <c r="AE8516">
        <v>12.557600000000001</v>
      </c>
      <c r="AF8516">
        <v>1.76201870095383</v>
      </c>
      <c r="AG8516">
        <v>-1.120686031408</v>
      </c>
      <c r="AH8516">
        <v>12.462786480320499</v>
      </c>
      <c r="AI8516">
        <v>95.088033718960403</v>
      </c>
      <c r="AJ8516">
        <v>81.952721129192</v>
      </c>
      <c r="AK8516">
        <v>12.6365222247881</v>
      </c>
      <c r="AL8516">
        <v>95.630213355910499</v>
      </c>
      <c r="AM8516">
        <v>87.702490221286297</v>
      </c>
      <c r="AN8516">
        <v>0.99999997954703801</v>
      </c>
    </row>
    <row r="8517" spans="1:40" x14ac:dyDescent="0.25">
      <c r="A8517" t="str">
        <f>"20190303155016744"</f>
        <v>20190303155016744</v>
      </c>
      <c r="B8517" t="str">
        <f>"1551599416739462"</f>
        <v>1551599416739462</v>
      </c>
      <c r="C8517" t="s">
        <v>40</v>
      </c>
      <c r="D8517">
        <v>5.5300250000000002</v>
      </c>
      <c r="E8517">
        <v>0.53788729999999996</v>
      </c>
      <c r="F8517" t="s">
        <v>42</v>
      </c>
      <c r="G8517">
        <v>-187.83369999999999</v>
      </c>
      <c r="H8517">
        <v>1.034964</v>
      </c>
      <c r="I8517">
        <v>110.77209999999999</v>
      </c>
      <c r="J8517">
        <v>-187.97190000000001</v>
      </c>
      <c r="K8517">
        <v>1.1206370000000001</v>
      </c>
      <c r="L8517">
        <v>110.0939</v>
      </c>
      <c r="M8517">
        <v>1.5359149999999999E-3</v>
      </c>
      <c r="N8517">
        <v>-1.4266890000000001E-2</v>
      </c>
      <c r="O8517">
        <v>0.99989709999999998</v>
      </c>
      <c r="P8517">
        <v>4.8597109999999999E-2</v>
      </c>
      <c r="Q8517">
        <v>-0.11126369999999999</v>
      </c>
      <c r="R8517">
        <v>0.99260199999999998</v>
      </c>
      <c r="S8517">
        <v>0.42604059999999999</v>
      </c>
      <c r="T8517">
        <v>-0.26352950000000003</v>
      </c>
      <c r="U8517">
        <v>2.9741819999999999</v>
      </c>
      <c r="V8517">
        <v>4.7048079999999999E-2</v>
      </c>
      <c r="W8517">
        <v>-9.7101759999999995E-2</v>
      </c>
      <c r="X8517">
        <v>0.99416179999999998</v>
      </c>
      <c r="Y8517">
        <v>0.139796799999999</v>
      </c>
      <c r="Z8517">
        <v>-7.3164980000000004E-2</v>
      </c>
      <c r="AA8517">
        <v>0.98747339999999995</v>
      </c>
      <c r="AB8517">
        <v>30</v>
      </c>
      <c r="AC8517">
        <v>0.13820000000001101</v>
      </c>
      <c r="AD8517">
        <v>-8.5673000000000096E-2</v>
      </c>
      <c r="AE8517">
        <v>0.67819999999998903</v>
      </c>
      <c r="AF8517">
        <v>0.13508830952258</v>
      </c>
      <c r="AG8517">
        <v>-8.5673000000000096E-2</v>
      </c>
      <c r="AH8517">
        <v>0.66817401531513299</v>
      </c>
      <c r="AI8517">
        <v>97.163194642277602</v>
      </c>
      <c r="AJ8517">
        <v>78.570273709388204</v>
      </c>
      <c r="AK8517">
        <v>0.68705547741140605</v>
      </c>
      <c r="AL8517">
        <v>95.572301296138406</v>
      </c>
      <c r="AM8517">
        <v>87.290534876370103</v>
      </c>
      <c r="AN8517">
        <v>0.99999997910301097</v>
      </c>
    </row>
    <row r="8518" spans="1:40" x14ac:dyDescent="0.25">
      <c r="A8518" t="str">
        <f>"20190303155016768"</f>
        <v>20190303155016768</v>
      </c>
      <c r="B8518" t="str">
        <f>"1551599416758982"</f>
        <v>1551599416758982</v>
      </c>
      <c r="C8518" t="s">
        <v>40</v>
      </c>
      <c r="D8518">
        <v>5.544492</v>
      </c>
      <c r="E8518">
        <v>0.53603449999999997</v>
      </c>
      <c r="F8518" t="s">
        <v>42</v>
      </c>
      <c r="G8518">
        <v>-187.82820000000001</v>
      </c>
      <c r="H8518">
        <v>1.0366820000000001</v>
      </c>
      <c r="I8518">
        <v>111.0428</v>
      </c>
      <c r="J8518">
        <v>-187.97110000000001</v>
      </c>
      <c r="K8518">
        <v>1.1205989999999999</v>
      </c>
      <c r="L8518">
        <v>110.41759999999999</v>
      </c>
      <c r="M8518">
        <v>1.7705310000000001E-3</v>
      </c>
      <c r="N8518">
        <v>-1.4263339999999999E-2</v>
      </c>
      <c r="O8518">
        <v>0.99989669999999997</v>
      </c>
      <c r="P8518">
        <v>6.1134760000000003E-2</v>
      </c>
      <c r="Q8518">
        <v>-0.1095088</v>
      </c>
      <c r="R8518">
        <v>0.99210399999999999</v>
      </c>
      <c r="S8518">
        <v>0.4489746</v>
      </c>
      <c r="T8518">
        <v>-0.26293490000000003</v>
      </c>
      <c r="U8518">
        <v>2.970901</v>
      </c>
      <c r="V8518">
        <v>5.9341570000000003E-2</v>
      </c>
      <c r="W8518">
        <v>-9.5368060000000004E-2</v>
      </c>
      <c r="X8518">
        <v>0.99367169999999905</v>
      </c>
      <c r="Y8518">
        <v>0.14717160000000001</v>
      </c>
      <c r="Z8518">
        <v>-7.297228E-2</v>
      </c>
      <c r="AA8518">
        <v>0.9864155</v>
      </c>
      <c r="AB8518">
        <v>30</v>
      </c>
      <c r="AC8518">
        <v>0.142899999999997</v>
      </c>
      <c r="AD8518">
        <v>-8.3917000000000005E-2</v>
      </c>
      <c r="AE8518">
        <v>0.62520000000000597</v>
      </c>
      <c r="AF8518">
        <v>0.13940586682683101</v>
      </c>
      <c r="AG8518">
        <v>-8.3917000000000005E-2</v>
      </c>
      <c r="AH8518">
        <v>0.614923539675169</v>
      </c>
      <c r="AI8518">
        <v>97.580952716321093</v>
      </c>
      <c r="AJ8518">
        <v>77.2267016078372</v>
      </c>
      <c r="AK8518">
        <v>0.636087272503844</v>
      </c>
      <c r="AL8518">
        <v>95.4725044563029</v>
      </c>
      <c r="AM8518">
        <v>86.582384129352107</v>
      </c>
      <c r="AN8518">
        <v>0.99999996808955804</v>
      </c>
    </row>
    <row r="8519" spans="1:40" x14ac:dyDescent="0.25">
      <c r="A8519" t="str">
        <f>"20190303155016791"</f>
        <v>20190303155016791</v>
      </c>
      <c r="B8519" t="str">
        <f>"1551599416779478"</f>
        <v>1551599416779478</v>
      </c>
      <c r="C8519" t="s">
        <v>40</v>
      </c>
      <c r="D8519">
        <v>5.5495489999999998</v>
      </c>
      <c r="E8519">
        <v>0.53528609999999999</v>
      </c>
      <c r="F8519" t="s">
        <v>42</v>
      </c>
      <c r="G8519">
        <v>-187.8306</v>
      </c>
      <c r="H8519">
        <v>1.022405</v>
      </c>
      <c r="I8519">
        <v>111.30110000000001</v>
      </c>
      <c r="J8519">
        <v>-187.97020000000001</v>
      </c>
      <c r="K8519">
        <v>1.1205670000000001</v>
      </c>
      <c r="L8519">
        <v>110.7145</v>
      </c>
      <c r="M8519">
        <v>2.0381570000000001E-3</v>
      </c>
      <c r="N8519">
        <v>-1.426006E-2</v>
      </c>
      <c r="O8519">
        <v>0.99989620000000001</v>
      </c>
      <c r="P8519">
        <v>8.1558610000000004E-2</v>
      </c>
      <c r="Q8519">
        <v>-0.1078935</v>
      </c>
      <c r="R8519">
        <v>0.99081140000000001</v>
      </c>
      <c r="S8519">
        <v>0.4701996</v>
      </c>
      <c r="T8519">
        <v>-0.32887860000000002</v>
      </c>
      <c r="U8519">
        <v>2.9585880000000002</v>
      </c>
      <c r="V8519">
        <v>7.9492989999999999E-2</v>
      </c>
      <c r="W8519">
        <v>-9.3790009999999993E-2</v>
      </c>
      <c r="X8519">
        <v>0.99241330000000005</v>
      </c>
      <c r="Y8519">
        <v>0.15409879999999901</v>
      </c>
      <c r="Z8519">
        <v>-9.496127E-2</v>
      </c>
      <c r="AA8519">
        <v>0.98348150000000001</v>
      </c>
      <c r="AB8519">
        <v>30</v>
      </c>
      <c r="AC8519">
        <v>0.139600000000001</v>
      </c>
      <c r="AD8519">
        <v>-9.8161999999999999E-2</v>
      </c>
      <c r="AE8519">
        <v>0.58660000000000401</v>
      </c>
      <c r="AF8519">
        <v>0.13483073016705099</v>
      </c>
      <c r="AG8519">
        <v>-9.8161999999999999E-2</v>
      </c>
      <c r="AH8519">
        <v>0.57173134976069495</v>
      </c>
      <c r="AI8519">
        <v>99.486952002981397</v>
      </c>
      <c r="AJ8519">
        <v>76.730454447099504</v>
      </c>
      <c r="AK8519">
        <v>0.59556010640452295</v>
      </c>
      <c r="AL8519">
        <v>95.381681919854401</v>
      </c>
      <c r="AM8519">
        <v>85.420346366937693</v>
      </c>
      <c r="AN8519">
        <v>0.99999992972591201</v>
      </c>
    </row>
    <row r="8520" spans="1:40" x14ac:dyDescent="0.25">
      <c r="A8520" t="str">
        <f>"20190303155016813"</f>
        <v>20190303155016813</v>
      </c>
      <c r="B8520" t="str">
        <f>"1551599416809733"</f>
        <v>1551599416809733</v>
      </c>
      <c r="C8520" t="s">
        <v>40</v>
      </c>
      <c r="D8520">
        <v>5.535571</v>
      </c>
      <c r="E8520">
        <v>0.535748</v>
      </c>
      <c r="F8520" t="s">
        <v>42</v>
      </c>
      <c r="G8520">
        <v>-187.8175</v>
      </c>
      <c r="H8520">
        <v>1.025525</v>
      </c>
      <c r="I8520">
        <v>111.5712</v>
      </c>
      <c r="J8520">
        <v>-187.9692</v>
      </c>
      <c r="K8520">
        <v>1.12053</v>
      </c>
      <c r="L8520">
        <v>111.0074</v>
      </c>
      <c r="M8520">
        <v>2.3511199999999999E-3</v>
      </c>
      <c r="N8520">
        <v>-1.4256889999999999E-2</v>
      </c>
      <c r="O8520">
        <v>0.9998956</v>
      </c>
      <c r="P8520">
        <v>0.10298889999999999</v>
      </c>
      <c r="Q8520">
        <v>-0.10734730000000001</v>
      </c>
      <c r="R8520">
        <v>0.988873</v>
      </c>
      <c r="S8520">
        <v>0.52511600000000003</v>
      </c>
      <c r="T8520">
        <v>-0.32718469999999999</v>
      </c>
      <c r="U8520">
        <v>2.9489589999999999</v>
      </c>
      <c r="V8520">
        <v>0.1006089</v>
      </c>
      <c r="W8520">
        <v>-9.3293550000000003E-2</v>
      </c>
      <c r="X8520">
        <v>0.99054240000000005</v>
      </c>
      <c r="Y8520">
        <v>0.1720612</v>
      </c>
      <c r="Z8520">
        <v>-9.44271E-2</v>
      </c>
      <c r="AA8520">
        <v>0.98055009999999998</v>
      </c>
      <c r="AB8520">
        <v>30</v>
      </c>
      <c r="AC8520">
        <v>0.151700000000005</v>
      </c>
      <c r="AD8520">
        <v>-9.5004999999999895E-2</v>
      </c>
      <c r="AE8520">
        <v>0.56379999999999997</v>
      </c>
      <c r="AF8520">
        <v>0.14649497283674001</v>
      </c>
      <c r="AG8520">
        <v>-9.5004999999999895E-2</v>
      </c>
      <c r="AH8520">
        <v>0.54960269593105904</v>
      </c>
      <c r="AI8520">
        <v>99.482550040441893</v>
      </c>
      <c r="AJ8520">
        <v>75.074981968145806</v>
      </c>
      <c r="AK8520">
        <v>0.57667135394965197</v>
      </c>
      <c r="AL8520">
        <v>95.353110982825598</v>
      </c>
      <c r="AM8520">
        <v>84.200385183488805</v>
      </c>
      <c r="AN8520">
        <v>1.00000004171428</v>
      </c>
    </row>
    <row r="8521" spans="1:40" x14ac:dyDescent="0.25">
      <c r="A8521" t="str">
        <f>"20190303155016834"</f>
        <v>20190303155016834</v>
      </c>
      <c r="B8521" t="str">
        <f>"1551599416829254"</f>
        <v>1551599416829254</v>
      </c>
      <c r="C8521" t="s">
        <v>40</v>
      </c>
      <c r="D8521">
        <v>5.560378</v>
      </c>
      <c r="E8521">
        <v>0.56382769999999904</v>
      </c>
      <c r="F8521" t="s">
        <v>59</v>
      </c>
      <c r="G8521">
        <v>-185.874</v>
      </c>
      <c r="H8521" s="1">
        <v>-1.6101109999999999E-6</v>
      </c>
      <c r="I8521">
        <v>121.3938</v>
      </c>
      <c r="J8521">
        <v>-187.96809999999999</v>
      </c>
      <c r="K8521">
        <v>1.120492</v>
      </c>
      <c r="L8521">
        <v>111.2924</v>
      </c>
      <c r="M8521">
        <v>2.6976270000000002E-3</v>
      </c>
      <c r="N8521">
        <v>-1.4253899999999899E-2</v>
      </c>
      <c r="O8521">
        <v>0.99989479999999997</v>
      </c>
      <c r="P8521">
        <v>0.12785239999999901</v>
      </c>
      <c r="Q8521">
        <v>-0.1077685</v>
      </c>
      <c r="R8521">
        <v>0.98592069999999998</v>
      </c>
      <c r="S8521">
        <v>0.59260559999999995</v>
      </c>
      <c r="T8521">
        <v>-0.31692710000000002</v>
      </c>
      <c r="U8521">
        <v>2.9376530000000001</v>
      </c>
      <c r="V8521">
        <v>0.1251292</v>
      </c>
      <c r="W8521">
        <v>-9.3783350000000001E-2</v>
      </c>
      <c r="X8521">
        <v>0.98769799999999996</v>
      </c>
      <c r="Y8521">
        <v>0.1941136</v>
      </c>
      <c r="Z8521">
        <v>-9.1014429999999993E-2</v>
      </c>
      <c r="AA8521">
        <v>0.97674780000000005</v>
      </c>
      <c r="AB8521">
        <v>30</v>
      </c>
      <c r="AC8521">
        <v>2.0940999999999601</v>
      </c>
      <c r="AD8521">
        <v>-1.1204936101109999</v>
      </c>
      <c r="AE8521">
        <v>10.1013999999999</v>
      </c>
      <c r="AF8521">
        <v>2.0427410581993701</v>
      </c>
      <c r="AG8521">
        <v>-1.1204936101109999</v>
      </c>
      <c r="AH8521">
        <v>9.9891681176384708</v>
      </c>
      <c r="AI8521">
        <v>96.271441747526694</v>
      </c>
      <c r="AJ8521">
        <v>78.442610257901904</v>
      </c>
      <c r="AK8521">
        <v>10.257279202770899</v>
      </c>
      <c r="AL8521">
        <v>95.381298335129699</v>
      </c>
      <c r="AM8521">
        <v>82.779792397190803</v>
      </c>
      <c r="AN8521">
        <v>0.99999998631693099</v>
      </c>
    </row>
    <row r="8522" spans="1:40" x14ac:dyDescent="0.25">
      <c r="A8522" t="str">
        <f>"20190303155016857"</f>
        <v>20190303155016857</v>
      </c>
      <c r="B8522" t="str">
        <f>"1551599416848774"</f>
        <v>1551599416848774</v>
      </c>
      <c r="C8522" t="s">
        <v>40</v>
      </c>
      <c r="D8522">
        <v>5.6593770000000001</v>
      </c>
      <c r="E8522">
        <v>0.60295869999999996</v>
      </c>
      <c r="F8522" t="s">
        <v>59</v>
      </c>
      <c r="G8522">
        <v>-184.6985</v>
      </c>
      <c r="H8522" s="1">
        <v>-2.083606E-6</v>
      </c>
      <c r="I8522">
        <v>121.9395</v>
      </c>
      <c r="J8522">
        <v>-187.96680000000001</v>
      </c>
      <c r="K8522">
        <v>1.120449</v>
      </c>
      <c r="L8522">
        <v>111.60250000000001</v>
      </c>
      <c r="M8522">
        <v>3.116733E-3</v>
      </c>
      <c r="N8522">
        <v>-1.425071E-2</v>
      </c>
      <c r="O8522">
        <v>0.99989360000000005</v>
      </c>
      <c r="P8522">
        <v>0.1516073</v>
      </c>
      <c r="Q8522">
        <v>-0.10785699999999999</v>
      </c>
      <c r="R8522">
        <v>0.98253860000000004</v>
      </c>
      <c r="S8522">
        <v>0.88880919999999897</v>
      </c>
      <c r="T8522">
        <v>-0.30459389999999997</v>
      </c>
      <c r="U8522">
        <v>2.8943020000000002</v>
      </c>
      <c r="V8522">
        <v>0.14847260000000001</v>
      </c>
      <c r="W8522">
        <v>-9.395017E-2</v>
      </c>
      <c r="X8522">
        <v>0.98444359999999997</v>
      </c>
      <c r="Y8522">
        <v>0.28925990000000001</v>
      </c>
      <c r="Z8522">
        <v>-8.5962259999999999E-2</v>
      </c>
      <c r="AA8522">
        <v>0.95338299999999998</v>
      </c>
      <c r="AB8522">
        <v>30</v>
      </c>
      <c r="AC8522">
        <v>3.2683</v>
      </c>
      <c r="AD8522">
        <v>-1.120451083606</v>
      </c>
      <c r="AE8522">
        <v>10.3369999999999</v>
      </c>
      <c r="AF8522">
        <v>3.2018636533883198</v>
      </c>
      <c r="AG8522">
        <v>-1.120451083606</v>
      </c>
      <c r="AH8522">
        <v>10.2377860909386</v>
      </c>
      <c r="AI8522">
        <v>95.963117812270696</v>
      </c>
      <c r="AJ8522">
        <v>72.632946839132998</v>
      </c>
      <c r="AK8522">
        <v>10.7851567225265</v>
      </c>
      <c r="AL8522">
        <v>95.390898869471101</v>
      </c>
      <c r="AM8522">
        <v>81.423358596444302</v>
      </c>
      <c r="AN8522">
        <v>0.99999997448737399</v>
      </c>
    </row>
    <row r="8523" spans="1:40" x14ac:dyDescent="0.25">
      <c r="A8523" t="str">
        <f>"20190303155016878"</f>
        <v>20190303155016878</v>
      </c>
      <c r="B8523" t="str">
        <f>"1551599416869270"</f>
        <v>1551599416869270</v>
      </c>
      <c r="C8523" t="s">
        <v>40</v>
      </c>
      <c r="D8523">
        <v>5.4975139999999998</v>
      </c>
      <c r="E8523">
        <v>0.61909989999999904</v>
      </c>
      <c r="F8523" t="s">
        <v>59</v>
      </c>
      <c r="G8523">
        <v>-183.3433</v>
      </c>
      <c r="H8523" s="1">
        <v>-2.4358769999999998E-6</v>
      </c>
      <c r="I8523">
        <v>121.9113</v>
      </c>
      <c r="J8523">
        <v>-187.96539999999999</v>
      </c>
      <c r="K8523">
        <v>1.1204149999999999</v>
      </c>
      <c r="L8523">
        <v>111.88420000000001</v>
      </c>
      <c r="M8523">
        <v>3.5373470000000001E-3</v>
      </c>
      <c r="N8523">
        <v>-1.4247799999999901E-2</v>
      </c>
      <c r="O8523">
        <v>0.99989220000000001</v>
      </c>
      <c r="P8523">
        <v>0.17575729999999901</v>
      </c>
      <c r="Q8523">
        <v>-0.1071294</v>
      </c>
      <c r="R8523">
        <v>0.97858710000000004</v>
      </c>
      <c r="S8523">
        <v>1.2666470000000001</v>
      </c>
      <c r="T8523">
        <v>-0.30695820000000001</v>
      </c>
      <c r="U8523">
        <v>2.824173</v>
      </c>
      <c r="V8523">
        <v>0.17221589999999901</v>
      </c>
      <c r="W8523">
        <v>-9.3311839999999993E-2</v>
      </c>
      <c r="X8523">
        <v>0.98062969999999905</v>
      </c>
      <c r="Y8523">
        <v>0.4042191</v>
      </c>
      <c r="Z8523">
        <v>-8.4587560000000006E-2</v>
      </c>
      <c r="AA8523">
        <v>0.91074250000000001</v>
      </c>
      <c r="AB8523">
        <v>30</v>
      </c>
      <c r="AC8523">
        <v>4.6220999999999801</v>
      </c>
      <c r="AD8523">
        <v>-1.120417435877</v>
      </c>
      <c r="AE8523">
        <v>10.0270999999999</v>
      </c>
      <c r="AF8523">
        <v>4.5398489505309696</v>
      </c>
      <c r="AG8523">
        <v>-1.120417435877</v>
      </c>
      <c r="AH8523">
        <v>9.9410210090110596</v>
      </c>
      <c r="AI8523">
        <v>95.853607231112605</v>
      </c>
      <c r="AJ8523">
        <v>65.4548469762818</v>
      </c>
      <c r="AK8523">
        <v>10.985875587582999</v>
      </c>
      <c r="AL8523">
        <v>95.354163672923207</v>
      </c>
      <c r="AM8523">
        <v>80.0394199967036</v>
      </c>
      <c r="AN8523">
        <v>1.00000001210954</v>
      </c>
    </row>
    <row r="8524" spans="1:40" x14ac:dyDescent="0.25">
      <c r="A8524" t="str">
        <f>"20190303155016898"</f>
        <v>20190303155016898</v>
      </c>
      <c r="B8524" t="str">
        <f>"1551599416888790"</f>
        <v>1551599416888790</v>
      </c>
      <c r="C8524" t="s">
        <v>40</v>
      </c>
      <c r="D8524">
        <v>5.53566</v>
      </c>
      <c r="E8524">
        <v>0.62424849999999998</v>
      </c>
      <c r="F8524" t="s">
        <v>59</v>
      </c>
      <c r="G8524">
        <v>-182.5437</v>
      </c>
      <c r="H8524" s="1">
        <v>-2.7194390000000002E-6</v>
      </c>
      <c r="I8524">
        <v>122.15170000000001</v>
      </c>
      <c r="J8524">
        <v>-187.96379999999999</v>
      </c>
      <c r="K8524">
        <v>1.1203780000000001</v>
      </c>
      <c r="L8524">
        <v>112.1626</v>
      </c>
      <c r="M8524">
        <v>3.999102E-3</v>
      </c>
      <c r="N8524">
        <v>-1.4245010000000001E-2</v>
      </c>
      <c r="O8524">
        <v>0.99989059999999996</v>
      </c>
      <c r="P8524">
        <v>0.1891506</v>
      </c>
      <c r="Q8524">
        <v>-0.1068313</v>
      </c>
      <c r="R8524">
        <v>0.97611950000000003</v>
      </c>
      <c r="S8524">
        <v>1.4626159999999999</v>
      </c>
      <c r="T8524">
        <v>-0.30225560000000001</v>
      </c>
      <c r="U8524">
        <v>2.7698520000000002</v>
      </c>
      <c r="V8524">
        <v>0.1851584</v>
      </c>
      <c r="W8524">
        <v>-9.3077450000000006E-2</v>
      </c>
      <c r="X8524">
        <v>0.97829089999999996</v>
      </c>
      <c r="Y8524">
        <v>0.46149250000000003</v>
      </c>
      <c r="Z8524">
        <v>-8.1973840000000006E-2</v>
      </c>
      <c r="AA8524">
        <v>0.88334869999999899</v>
      </c>
      <c r="AB8524">
        <v>30</v>
      </c>
      <c r="AC8524">
        <v>5.4200999999999899</v>
      </c>
      <c r="AD8524">
        <v>-1.1203807194390001</v>
      </c>
      <c r="AE8524">
        <v>9.9891000000000005</v>
      </c>
      <c r="AF8524">
        <v>5.3283212451897199</v>
      </c>
      <c r="AG8524">
        <v>-1.1203807194390001</v>
      </c>
      <c r="AH8524">
        <v>9.9143441055274604</v>
      </c>
      <c r="AI8524">
        <v>95.684561915169198</v>
      </c>
      <c r="AJ8524">
        <v>61.744834258186799</v>
      </c>
      <c r="AK8524">
        <v>11.311077724568801</v>
      </c>
      <c r="AL8524">
        <v>95.340675130369803</v>
      </c>
      <c r="AM8524">
        <v>79.282560638665998</v>
      </c>
      <c r="AN8524">
        <v>1.00000006490593</v>
      </c>
    </row>
    <row r="8525" spans="1:40" x14ac:dyDescent="0.25">
      <c r="A8525" t="str">
        <f>"20190303155016921"</f>
        <v>20190303155016921</v>
      </c>
      <c r="B8525" t="str">
        <f>"1551599416919046"</f>
        <v>1551599416919046</v>
      </c>
      <c r="C8525" t="s">
        <v>40</v>
      </c>
      <c r="D8525">
        <v>5.4822480000000002</v>
      </c>
      <c r="E8525">
        <v>0.62993129999999997</v>
      </c>
      <c r="F8525" t="s">
        <v>59</v>
      </c>
      <c r="G8525">
        <v>-182.33920000000001</v>
      </c>
      <c r="H8525" s="1">
        <v>-2.779545E-6</v>
      </c>
      <c r="I8525">
        <v>122.1711</v>
      </c>
      <c r="J8525">
        <v>-187.96190000000001</v>
      </c>
      <c r="K8525">
        <v>1.120331</v>
      </c>
      <c r="L8525">
        <v>112.4667</v>
      </c>
      <c r="M8525">
        <v>4.5826440000000003E-3</v>
      </c>
      <c r="N8525">
        <v>-1.424217E-2</v>
      </c>
      <c r="O8525">
        <v>0.99988809999999995</v>
      </c>
      <c r="P8525">
        <v>0.21172650000000001</v>
      </c>
      <c r="Q8525">
        <v>-0.10600859999999999</v>
      </c>
      <c r="R8525">
        <v>0.9715627</v>
      </c>
      <c r="S8525">
        <v>1.5405580000000001</v>
      </c>
      <c r="T8525">
        <v>-0.30686750000000002</v>
      </c>
      <c r="U8525">
        <v>2.7412869999999998</v>
      </c>
      <c r="V8525">
        <v>0.2071732</v>
      </c>
      <c r="W8525">
        <v>-9.2367900000000003E-2</v>
      </c>
      <c r="X8525">
        <v>0.97393399999999997</v>
      </c>
      <c r="Y8525">
        <v>0.48386649999999998</v>
      </c>
      <c r="Z8525">
        <v>-8.3079089999999994E-2</v>
      </c>
      <c r="AA8525">
        <v>0.87118949999999995</v>
      </c>
      <c r="AB8525">
        <v>30</v>
      </c>
      <c r="AC8525">
        <v>5.6227</v>
      </c>
      <c r="AD8525">
        <v>-1.1203337795449999</v>
      </c>
      <c r="AE8525">
        <v>9.7043999999999908</v>
      </c>
      <c r="AF8525">
        <v>5.5230549782311904</v>
      </c>
      <c r="AG8525">
        <v>-1.1203337795449999</v>
      </c>
      <c r="AH8525">
        <v>9.6339390234049596</v>
      </c>
      <c r="AI8525">
        <v>95.760918643927198</v>
      </c>
      <c r="AJ8525">
        <v>60.174720967086401</v>
      </c>
      <c r="AK8525">
        <v>11.1611856528255</v>
      </c>
      <c r="AL8525">
        <v>95.2998453592608</v>
      </c>
      <c r="AM8525">
        <v>77.991155608892498</v>
      </c>
      <c r="AN8525">
        <v>1.0000000000523199</v>
      </c>
    </row>
    <row r="8526" spans="1:40" x14ac:dyDescent="0.25">
      <c r="A8526" t="str">
        <f>"20190303155016934"</f>
        <v>20190303155016934</v>
      </c>
      <c r="B8526" t="str">
        <f>"1551599416928806"</f>
        <v>1551599416928806</v>
      </c>
      <c r="C8526" t="s">
        <v>40</v>
      </c>
      <c r="D8526">
        <v>5.4079600000000001</v>
      </c>
      <c r="E8526">
        <v>0.63080029999999998</v>
      </c>
      <c r="F8526" t="s">
        <v>59</v>
      </c>
      <c r="G8526">
        <v>-181.91720000000001</v>
      </c>
      <c r="H8526" s="1">
        <v>-2.945638E-6</v>
      </c>
      <c r="I8526">
        <v>122.3537</v>
      </c>
      <c r="J8526">
        <v>-187.9607</v>
      </c>
      <c r="K8526">
        <v>1.12029</v>
      </c>
      <c r="L8526">
        <v>112.6417</v>
      </c>
      <c r="M8526">
        <v>4.9755069999999997E-3</v>
      </c>
      <c r="N8526">
        <v>-1.424069E-2</v>
      </c>
      <c r="O8526">
        <v>0.99988619999999995</v>
      </c>
      <c r="P8526">
        <v>0.22273689999999999</v>
      </c>
      <c r="Q8526">
        <v>-0.1052935</v>
      </c>
      <c r="R8526">
        <v>0.96917569999999997</v>
      </c>
      <c r="S8526">
        <v>1.647888</v>
      </c>
      <c r="T8526">
        <v>-0.30541980000000002</v>
      </c>
      <c r="U8526">
        <v>2.6953580000000001</v>
      </c>
      <c r="V8526">
        <v>0.2178042</v>
      </c>
      <c r="W8526">
        <v>-9.1720910000000003E-2</v>
      </c>
      <c r="X8526">
        <v>0.97167309999999996</v>
      </c>
      <c r="Y8526">
        <v>0.51522590000000001</v>
      </c>
      <c r="Z8526">
        <v>-8.2202040000000004E-2</v>
      </c>
      <c r="AA8526">
        <v>0.85310319999999995</v>
      </c>
      <c r="AB8526">
        <v>30</v>
      </c>
      <c r="AC8526">
        <v>6.0434999999999901</v>
      </c>
      <c r="AD8526">
        <v>-1.120292945638</v>
      </c>
      <c r="AE8526">
        <v>9.7119999999999997</v>
      </c>
      <c r="AF8526">
        <v>5.9381407136155504</v>
      </c>
      <c r="AG8526">
        <v>-1.120292945638</v>
      </c>
      <c r="AH8526">
        <v>9.6493972290191508</v>
      </c>
      <c r="AI8526">
        <v>95.646886700610906</v>
      </c>
      <c r="AJ8526">
        <v>58.392281936316202</v>
      </c>
      <c r="AK8526">
        <v>11.385404617410201</v>
      </c>
      <c r="AL8526">
        <v>95.262617505274505</v>
      </c>
      <c r="AM8526">
        <v>77.365773330449201</v>
      </c>
      <c r="AN8526">
        <v>1.00000000406623</v>
      </c>
    </row>
    <row r="8527" spans="1:40" x14ac:dyDescent="0.25">
      <c r="A8527" t="str">
        <f>"20190303155016948"</f>
        <v>20190303155016948</v>
      </c>
      <c r="B8527" t="str">
        <f>"1551599416939542"</f>
        <v>1551599416939542</v>
      </c>
      <c r="C8527" t="s">
        <v>40</v>
      </c>
      <c r="D8527">
        <v>5.4441329999999999</v>
      </c>
      <c r="E8527">
        <v>0.631749</v>
      </c>
      <c r="F8527" t="s">
        <v>59</v>
      </c>
      <c r="G8527">
        <v>-181.70099999999999</v>
      </c>
      <c r="H8527" s="1">
        <v>-3.0695809999999999E-6</v>
      </c>
      <c r="I8527">
        <v>122.5792</v>
      </c>
      <c r="J8527">
        <v>-187.95939999999999</v>
      </c>
      <c r="K8527">
        <v>1.12025</v>
      </c>
      <c r="L8527">
        <v>112.81480000000001</v>
      </c>
      <c r="M8527">
        <v>5.3908890000000003E-3</v>
      </c>
      <c r="N8527">
        <v>-1.423934E-2</v>
      </c>
      <c r="O8527">
        <v>0.99988410000000005</v>
      </c>
      <c r="P8527">
        <v>0.23403160000000001</v>
      </c>
      <c r="Q8527">
        <v>-0.1045671</v>
      </c>
      <c r="R8527">
        <v>0.96658929999999998</v>
      </c>
      <c r="S8527">
        <v>1.6852259999999999</v>
      </c>
      <c r="T8527">
        <v>-0.30160239999999999</v>
      </c>
      <c r="U8527">
        <v>2.6753390000000001</v>
      </c>
      <c r="V8527">
        <v>0.2287003</v>
      </c>
      <c r="W8527">
        <v>-9.1068629999999998E-2</v>
      </c>
      <c r="X8527">
        <v>0.96922790000000003</v>
      </c>
      <c r="Y8527">
        <v>0.52628989999999998</v>
      </c>
      <c r="Z8527">
        <v>-8.0945160000000002E-2</v>
      </c>
      <c r="AA8527">
        <v>0.84644370000000002</v>
      </c>
      <c r="AB8527">
        <v>30</v>
      </c>
      <c r="AC8527">
        <v>6.2583999999999902</v>
      </c>
      <c r="AD8527">
        <v>-1.120253069581</v>
      </c>
      <c r="AE8527">
        <v>9.7643999999999895</v>
      </c>
      <c r="AF8527">
        <v>6.1483022272802001</v>
      </c>
      <c r="AG8527">
        <v>-1.120253069581</v>
      </c>
      <c r="AH8527">
        <v>9.7074310591350805</v>
      </c>
      <c r="AI8527">
        <v>95.568298948934697</v>
      </c>
      <c r="AJ8527">
        <v>57.651450480008002</v>
      </c>
      <c r="AK8527">
        <v>11.545163705454501</v>
      </c>
      <c r="AL8527">
        <v>95.225087445141696</v>
      </c>
      <c r="AM8527">
        <v>76.723262696316496</v>
      </c>
      <c r="AN8527">
        <v>1.00000002236428</v>
      </c>
    </row>
    <row r="8528" spans="1:40" x14ac:dyDescent="0.25">
      <c r="A8528" t="str">
        <f>"20190303155016960"</f>
        <v>20190303155016960</v>
      </c>
      <c r="B8528" t="str">
        <f>"1551599416949303"</f>
        <v>1551599416949303</v>
      </c>
      <c r="C8528" t="s">
        <v>40</v>
      </c>
      <c r="D8528">
        <v>5.4160539999999999</v>
      </c>
      <c r="E8528">
        <v>0.63190469999999999</v>
      </c>
      <c r="F8528" t="s">
        <v>59</v>
      </c>
      <c r="G8528">
        <v>-181.34059999999999</v>
      </c>
      <c r="H8528" s="1">
        <v>-3.2915580000000001E-6</v>
      </c>
      <c r="I8528">
        <v>123.0073</v>
      </c>
      <c r="J8528">
        <v>-187.9581</v>
      </c>
      <c r="K8528">
        <v>1.1202099999999999</v>
      </c>
      <c r="L8528">
        <v>112.9751</v>
      </c>
      <c r="M8528">
        <v>5.7951299999999999E-3</v>
      </c>
      <c r="N8528">
        <v>-1.423814E-2</v>
      </c>
      <c r="O8528">
        <v>0.99988189999999999</v>
      </c>
      <c r="P8528">
        <v>0.2451383</v>
      </c>
      <c r="Q8528">
        <v>-0.10373640000000001</v>
      </c>
      <c r="R8528">
        <v>0.96392219999999995</v>
      </c>
      <c r="S8528">
        <v>1.7239070000000001</v>
      </c>
      <c r="T8528">
        <v>-0.29177890000000001</v>
      </c>
      <c r="U8528">
        <v>2.6547239999999999</v>
      </c>
      <c r="V8528">
        <v>0.2394223</v>
      </c>
      <c r="W8528">
        <v>-9.0314080000000005E-2</v>
      </c>
      <c r="X8528">
        <v>0.96670590000000001</v>
      </c>
      <c r="Y8528">
        <v>0.53772819999999899</v>
      </c>
      <c r="Z8528">
        <v>-7.7787780000000001E-2</v>
      </c>
      <c r="AA8528">
        <v>0.8395222</v>
      </c>
      <c r="AB8528">
        <v>30</v>
      </c>
      <c r="AC8528">
        <v>6.6174999999999997</v>
      </c>
      <c r="AD8528">
        <v>-1.1202132915580001</v>
      </c>
      <c r="AE8528">
        <v>10.0322</v>
      </c>
      <c r="AF8528">
        <v>6.5027485149543196</v>
      </c>
      <c r="AG8528">
        <v>-1.1202132915580001</v>
      </c>
      <c r="AH8528">
        <v>9.9836457224302499</v>
      </c>
      <c r="AI8528">
        <v>95.371149051872493</v>
      </c>
      <c r="AJ8528">
        <v>56.922189800546697</v>
      </c>
      <c r="AK8528">
        <v>11.9671967468711</v>
      </c>
      <c r="AL8528">
        <v>95.181676217867107</v>
      </c>
      <c r="AM8528">
        <v>76.0895692664743</v>
      </c>
      <c r="AN8528">
        <v>0.999999983939173</v>
      </c>
    </row>
    <row r="8529" spans="1:40" x14ac:dyDescent="0.25">
      <c r="A8529" t="str">
        <f>"20190303155016978"</f>
        <v>20190303155016978</v>
      </c>
      <c r="B8529" t="str">
        <f>"1551599416968822"</f>
        <v>1551599416968822</v>
      </c>
      <c r="C8529" t="s">
        <v>40</v>
      </c>
      <c r="D8529">
        <v>5.4434719999999999</v>
      </c>
      <c r="E8529">
        <v>0.63179490000000005</v>
      </c>
      <c r="F8529" t="s">
        <v>59</v>
      </c>
      <c r="G8529">
        <v>-181.12870000000001</v>
      </c>
      <c r="H8529" s="1">
        <v>-3.4117450000000001E-6</v>
      </c>
      <c r="I8529">
        <v>123.224</v>
      </c>
      <c r="J8529">
        <v>-187.95580000000001</v>
      </c>
      <c r="K8529">
        <v>1.1201299999999901</v>
      </c>
      <c r="L8529">
        <v>113.2216</v>
      </c>
      <c r="M8529">
        <v>6.5251750000000002E-3</v>
      </c>
      <c r="N8529">
        <v>-1.4236489999999999E-2</v>
      </c>
      <c r="O8529">
        <v>0.99987740000000003</v>
      </c>
      <c r="P8529">
        <v>0.2668759</v>
      </c>
      <c r="Q8529">
        <v>-0.1026353</v>
      </c>
      <c r="R8529">
        <v>0.95825009999999999</v>
      </c>
      <c r="S8529">
        <v>1.7557069999999999</v>
      </c>
      <c r="T8529">
        <v>-0.28798659999999998</v>
      </c>
      <c r="U8529">
        <v>2.6347960000000001</v>
      </c>
      <c r="V8529">
        <v>0.2604747</v>
      </c>
      <c r="W8529">
        <v>-8.9373830000000001E-2</v>
      </c>
      <c r="X8529">
        <v>0.9613351</v>
      </c>
      <c r="Y8529">
        <v>0.54707720000000004</v>
      </c>
      <c r="Z8529">
        <v>-7.6605590000000001E-2</v>
      </c>
      <c r="AA8529">
        <v>0.83356949999999996</v>
      </c>
      <c r="AB8529">
        <v>30</v>
      </c>
      <c r="AC8529">
        <v>6.8270999999999997</v>
      </c>
      <c r="AD8529">
        <v>-1.1201334117449999</v>
      </c>
      <c r="AE8529">
        <v>10.0023999999999</v>
      </c>
      <c r="AF8529">
        <v>6.7043230332046502</v>
      </c>
      <c r="AG8529">
        <v>-1.1201334117449999</v>
      </c>
      <c r="AH8529">
        <v>9.9615156818791402</v>
      </c>
      <c r="AI8529">
        <v>95.329484422047102</v>
      </c>
      <c r="AJ8529">
        <v>56.058563609061203</v>
      </c>
      <c r="AK8529">
        <v>12.059620262429</v>
      </c>
      <c r="AL8529">
        <v>95.127585215321901</v>
      </c>
      <c r="AM8529">
        <v>74.839651425413606</v>
      </c>
      <c r="AN8529">
        <v>0.99999996266048297</v>
      </c>
    </row>
    <row r="8530" spans="1:40" x14ac:dyDescent="0.25">
      <c r="A8530" t="str">
        <f>"20190303155017000"</f>
        <v>20190303155017000</v>
      </c>
      <c r="B8530" t="str">
        <f>"1551599416989318"</f>
        <v>1551599416989318</v>
      </c>
      <c r="C8530" t="s">
        <v>40</v>
      </c>
      <c r="D8530">
        <v>5.2841420000000001</v>
      </c>
      <c r="E8530">
        <v>0.63132239999999995</v>
      </c>
      <c r="F8530" t="s">
        <v>59</v>
      </c>
      <c r="G8530">
        <v>-180.66409999999999</v>
      </c>
      <c r="H8530" s="1">
        <v>-3.6623410000000001E-6</v>
      </c>
      <c r="I8530">
        <v>123.6551</v>
      </c>
      <c r="J8530">
        <v>-187.9529</v>
      </c>
      <c r="K8530">
        <v>1.1199870000000001</v>
      </c>
      <c r="L8530">
        <v>113.5043</v>
      </c>
      <c r="M8530">
        <v>7.5330789999999998E-3</v>
      </c>
      <c r="N8530">
        <v>-1.423511E-2</v>
      </c>
      <c r="O8530">
        <v>0.99987029999999999</v>
      </c>
      <c r="P8530">
        <v>0.28710910000000001</v>
      </c>
      <c r="Q8530">
        <v>-0.10454140000000001</v>
      </c>
      <c r="R8530">
        <v>0.95217620000000003</v>
      </c>
      <c r="S8530">
        <v>1.814041</v>
      </c>
      <c r="T8530">
        <v>-0.27866780000000002</v>
      </c>
      <c r="U8530">
        <v>2.5956419999999998</v>
      </c>
      <c r="V8530">
        <v>0.27975339999999999</v>
      </c>
      <c r="W8530">
        <v>-9.1479690000000002E-2</v>
      </c>
      <c r="X8530">
        <v>0.95570370000000004</v>
      </c>
      <c r="Y8530">
        <v>0.56472719999999998</v>
      </c>
      <c r="Z8530">
        <v>-7.3713849999999997E-2</v>
      </c>
      <c r="AA8530">
        <v>0.82197900000000002</v>
      </c>
      <c r="AB8530">
        <v>30</v>
      </c>
      <c r="AC8530">
        <v>7.2888000000000002</v>
      </c>
      <c r="AD8530">
        <v>-1.1199906623410001</v>
      </c>
      <c r="AE8530">
        <v>10.1508</v>
      </c>
      <c r="AF8530">
        <v>7.1546497673250897</v>
      </c>
      <c r="AG8530">
        <v>-1.1199906623410001</v>
      </c>
      <c r="AH8530">
        <v>10.124103963011599</v>
      </c>
      <c r="AI8530">
        <v>95.162282644841397</v>
      </c>
      <c r="AJ8530">
        <v>54.751356908524897</v>
      </c>
      <c r="AK8530">
        <v>12.4475247913263</v>
      </c>
      <c r="AL8530">
        <v>95.248738128722195</v>
      </c>
      <c r="AM8530">
        <v>73.684201389809104</v>
      </c>
      <c r="AN8530">
        <v>1.0000000303438701</v>
      </c>
    </row>
    <row r="8531" spans="1:40" x14ac:dyDescent="0.25">
      <c r="A8531" t="str">
        <f>"20190303155017044"</f>
        <v>20190303155017044</v>
      </c>
      <c r="B8531" t="str">
        <f>"1551599417039095"</f>
        <v>1551599417039095</v>
      </c>
      <c r="C8531" t="s">
        <v>40</v>
      </c>
      <c r="D8531">
        <v>5.3189640000000002</v>
      </c>
      <c r="E8531">
        <v>0.62997749999999997</v>
      </c>
      <c r="F8531" t="s">
        <v>59</v>
      </c>
      <c r="G8531">
        <v>-180.4453</v>
      </c>
      <c r="H8531" s="1">
        <v>-3.7632299999999998E-6</v>
      </c>
      <c r="I8531">
        <v>123.79989999999999</v>
      </c>
      <c r="J8531">
        <v>-187.94489999999999</v>
      </c>
      <c r="K8531">
        <v>1.119553</v>
      </c>
      <c r="L8531">
        <v>114.1028</v>
      </c>
      <c r="M8531">
        <v>1.0461410000000001E-2</v>
      </c>
      <c r="N8531">
        <v>-1.4239450000000001E-2</v>
      </c>
      <c r="O8531">
        <v>0.99984390000000001</v>
      </c>
      <c r="P8531">
        <v>0.32107269999999999</v>
      </c>
      <c r="Q8531">
        <v>-0.1098063</v>
      </c>
      <c r="R8531">
        <v>0.94066729999999998</v>
      </c>
      <c r="S8531">
        <v>1.8651120000000001</v>
      </c>
      <c r="T8531">
        <v>-0.27823910000000002</v>
      </c>
      <c r="U8531">
        <v>2.5577390000000002</v>
      </c>
      <c r="V8531">
        <v>0.31093730000000003</v>
      </c>
      <c r="W8531">
        <v>-9.7240869999999993E-2</v>
      </c>
      <c r="X8531">
        <v>0.94544289999999997</v>
      </c>
      <c r="Y8531">
        <v>0.57872919999999906</v>
      </c>
      <c r="Z8531">
        <v>-7.370844E-2</v>
      </c>
      <c r="AA8531">
        <v>0.81218190000000001</v>
      </c>
      <c r="AB8531">
        <v>30</v>
      </c>
      <c r="AC8531">
        <v>7.4995999999999796</v>
      </c>
      <c r="AD8531">
        <v>-1.1195567632300001</v>
      </c>
      <c r="AE8531">
        <v>9.6970999999999901</v>
      </c>
      <c r="AF8531">
        <v>7.3365426946806096</v>
      </c>
      <c r="AG8531">
        <v>-1.1195567632300001</v>
      </c>
      <c r="AH8531">
        <v>9.6941782796385301</v>
      </c>
      <c r="AI8531">
        <v>95.261450671199398</v>
      </c>
      <c r="AJ8531">
        <v>52.881606858794399</v>
      </c>
      <c r="AK8531">
        <v>12.208822980712799</v>
      </c>
      <c r="AL8531">
        <v>95.580309301497493</v>
      </c>
      <c r="AM8531">
        <v>71.794996502817995</v>
      </c>
      <c r="AN8531">
        <v>1.0000000342450199</v>
      </c>
    </row>
    <row r="8532" spans="1:40" x14ac:dyDescent="0.25">
      <c r="A8532" t="str">
        <f>"20190303155017056"</f>
        <v>20190303155017056</v>
      </c>
      <c r="B8532" t="str">
        <f>"1551599417048854"</f>
        <v>1551599417048854</v>
      </c>
      <c r="C8532" t="s">
        <v>40</v>
      </c>
      <c r="D8532">
        <v>5.3338130000000001</v>
      </c>
      <c r="E8532">
        <v>0.62881709999999902</v>
      </c>
      <c r="F8532" t="s">
        <v>59</v>
      </c>
      <c r="G8532">
        <v>-180.3707</v>
      </c>
      <c r="H8532" s="1">
        <v>-3.783557E-6</v>
      </c>
      <c r="I8532">
        <v>123.80159999999999</v>
      </c>
      <c r="J8532">
        <v>-187.94229999999999</v>
      </c>
      <c r="K8532">
        <v>1.1194329999999999</v>
      </c>
      <c r="L8532">
        <v>114.2594</v>
      </c>
      <c r="M8532">
        <v>1.140963E-2</v>
      </c>
      <c r="N8532">
        <v>-1.4247330000000001E-2</v>
      </c>
      <c r="O8532">
        <v>0.99983339999999998</v>
      </c>
      <c r="P8532">
        <v>0.32830880000000001</v>
      </c>
      <c r="Q8532">
        <v>-0.10943369999999999</v>
      </c>
      <c r="R8532">
        <v>0.93820979999999998</v>
      </c>
      <c r="S8532">
        <v>1.94574</v>
      </c>
      <c r="T8532">
        <v>-0.28760520000000001</v>
      </c>
      <c r="U8532">
        <v>2.4915310000000002</v>
      </c>
      <c r="V8532">
        <v>0.31727899999999998</v>
      </c>
      <c r="W8532">
        <v>-9.6998539999999994E-2</v>
      </c>
      <c r="X8532">
        <v>0.94335849999999999</v>
      </c>
      <c r="Y8532">
        <v>0.60424489999999997</v>
      </c>
      <c r="Z8532">
        <v>-7.6812539999999999E-2</v>
      </c>
      <c r="AA8532">
        <v>0.7930876</v>
      </c>
      <c r="AB8532">
        <v>30</v>
      </c>
      <c r="AC8532">
        <v>7.5715999999999797</v>
      </c>
      <c r="AD8532">
        <v>-1.1194367835569901</v>
      </c>
      <c r="AE8532">
        <v>9.5421999999999905</v>
      </c>
      <c r="AF8532">
        <v>7.3997299755260402</v>
      </c>
      <c r="AG8532">
        <v>-1.1194367835569901</v>
      </c>
      <c r="AH8532">
        <v>9.5473463298605097</v>
      </c>
      <c r="AI8532">
        <v>95.294734577100499</v>
      </c>
      <c r="AJ8532">
        <v>52.222303986543899</v>
      </c>
      <c r="AK8532">
        <v>12.130991895363699</v>
      </c>
      <c r="AL8532">
        <v>95.566359226307199</v>
      </c>
      <c r="AM8532">
        <v>71.410705331534501</v>
      </c>
      <c r="AN8532">
        <v>0.99999997006269004</v>
      </c>
    </row>
    <row r="8533" spans="1:40" x14ac:dyDescent="0.25">
      <c r="A8533" t="str">
        <f>"20190303155017070"</f>
        <v>20190303155017070</v>
      </c>
      <c r="B8533" t="str">
        <f>"1551599417059590"</f>
        <v>1551599417059590</v>
      </c>
      <c r="C8533" t="s">
        <v>40</v>
      </c>
      <c r="D8533">
        <v>5.3357659999999996</v>
      </c>
      <c r="E8533">
        <v>0.62759940000000003</v>
      </c>
      <c r="F8533" t="s">
        <v>59</v>
      </c>
      <c r="G8533">
        <v>-180.22909999999999</v>
      </c>
      <c r="H8533" s="1">
        <v>-3.8906770000000003E-6</v>
      </c>
      <c r="I8533">
        <v>124.03740000000001</v>
      </c>
      <c r="J8533">
        <v>-187.9391</v>
      </c>
      <c r="K8533">
        <v>1.1193150000000001</v>
      </c>
      <c r="L8533">
        <v>114.4323</v>
      </c>
      <c r="M8533">
        <v>1.2558379999999999E-2</v>
      </c>
      <c r="N8533">
        <v>-1.428312E-2</v>
      </c>
      <c r="O8533">
        <v>0.99981909999999896</v>
      </c>
      <c r="P8533">
        <v>0.33542759999999999</v>
      </c>
      <c r="Q8533">
        <v>-0.108433</v>
      </c>
      <c r="R8533">
        <v>0.93580479999999999</v>
      </c>
      <c r="S8533">
        <v>1.956253</v>
      </c>
      <c r="T8533">
        <v>-0.28391670000000002</v>
      </c>
      <c r="U8533">
        <v>2.4799190000000002</v>
      </c>
      <c r="V8533">
        <v>0.32331890000000002</v>
      </c>
      <c r="W8533">
        <v>-9.6109730000000004E-2</v>
      </c>
      <c r="X8533">
        <v>0.94139669999999998</v>
      </c>
      <c r="Y8533">
        <v>0.60725379999999995</v>
      </c>
      <c r="Z8533">
        <v>-7.5735109999999994E-2</v>
      </c>
      <c r="AA8533">
        <v>0.79088999999999998</v>
      </c>
      <c r="AB8533">
        <v>30</v>
      </c>
      <c r="AC8533">
        <v>7.71</v>
      </c>
      <c r="AD8533">
        <v>-1.119318890677</v>
      </c>
      <c r="AE8533">
        <v>9.6051000000000002</v>
      </c>
      <c r="AF8533">
        <v>7.5265945283051403</v>
      </c>
      <c r="AG8533">
        <v>-1.119318890677</v>
      </c>
      <c r="AH8533">
        <v>9.6217137042048897</v>
      </c>
      <c r="AI8533">
        <v>95.235302128493004</v>
      </c>
      <c r="AJ8533">
        <v>51.965671957180099</v>
      </c>
      <c r="AK8533">
        <v>12.267023868005699</v>
      </c>
      <c r="AL8533">
        <v>95.515195114586504</v>
      </c>
      <c r="AM8533">
        <v>71.045172582539095</v>
      </c>
      <c r="AN8533">
        <v>0.99999996903438504</v>
      </c>
    </row>
    <row r="8534" spans="1:40" x14ac:dyDescent="0.25">
      <c r="A8534" t="str">
        <f>"20190303155017082"</f>
        <v>20190303155017082</v>
      </c>
      <c r="B8534" t="str">
        <f>"1551599417079110"</f>
        <v>1551599417079110</v>
      </c>
      <c r="C8534" t="s">
        <v>40</v>
      </c>
      <c r="D8534">
        <v>5.3769660000000004</v>
      </c>
      <c r="E8534">
        <v>0.62614969999999903</v>
      </c>
      <c r="F8534" t="s">
        <v>59</v>
      </c>
      <c r="G8534">
        <v>-180.05619999999999</v>
      </c>
      <c r="H8534" s="1">
        <v>-4.0230669999999901E-6</v>
      </c>
      <c r="I8534">
        <v>124.33069999999999</v>
      </c>
      <c r="J8534">
        <v>-187.93610000000001</v>
      </c>
      <c r="K8534">
        <v>1.119216</v>
      </c>
      <c r="L8534">
        <v>114.58969999999999</v>
      </c>
      <c r="M8534">
        <v>1.365807E-2</v>
      </c>
      <c r="N8534">
        <v>-1.4331959999999999E-2</v>
      </c>
      <c r="O8534">
        <v>0.99980400000000003</v>
      </c>
      <c r="P8534">
        <v>0.3426575</v>
      </c>
      <c r="Q8534">
        <v>-0.1078601</v>
      </c>
      <c r="R8534">
        <v>0.93324810000000002</v>
      </c>
      <c r="S8534">
        <v>1.9660489999999999</v>
      </c>
      <c r="T8534">
        <v>-0.27916669999999999</v>
      </c>
      <c r="U8534">
        <v>2.46875</v>
      </c>
      <c r="V8534">
        <v>0.329524599999999</v>
      </c>
      <c r="W8534">
        <v>-9.5633380000000004E-2</v>
      </c>
      <c r="X8534">
        <v>0.93929110000000005</v>
      </c>
      <c r="Y8534">
        <v>0.61010799999999998</v>
      </c>
      <c r="Z8534">
        <v>-7.4306670000000005E-2</v>
      </c>
      <c r="AA8534">
        <v>0.78882629999999998</v>
      </c>
      <c r="AB8534">
        <v>29</v>
      </c>
      <c r="AC8534">
        <v>7.8799000000000099</v>
      </c>
      <c r="AD8534">
        <v>-1.119220023067</v>
      </c>
      <c r="AE8534">
        <v>9.7409999999999997</v>
      </c>
      <c r="AF8534">
        <v>7.68478559011103</v>
      </c>
      <c r="AG8534">
        <v>-1.119220023067</v>
      </c>
      <c r="AH8534">
        <v>9.76976663181477</v>
      </c>
      <c r="AI8534">
        <v>95.145152762599395</v>
      </c>
      <c r="AJ8534">
        <v>51.8118186142434</v>
      </c>
      <c r="AK8534">
        <v>12.4802613380543</v>
      </c>
      <c r="AL8534">
        <v>95.487775864289603</v>
      </c>
      <c r="AM8534">
        <v>70.667973633822299</v>
      </c>
      <c r="AN8534">
        <v>0.99999998795729705</v>
      </c>
    </row>
    <row r="8535" spans="1:40" x14ac:dyDescent="0.25">
      <c r="A8535" t="str">
        <f>"20190303155017098"</f>
        <v>20190303155017098</v>
      </c>
      <c r="B8535" t="str">
        <f>"1551599417088871"</f>
        <v>1551599417088871</v>
      </c>
      <c r="C8535" t="s">
        <v>40</v>
      </c>
      <c r="D8535">
        <v>5.3719049999999999</v>
      </c>
      <c r="E8535">
        <v>0.59603660000000003</v>
      </c>
      <c r="F8535" t="s">
        <v>59</v>
      </c>
      <c r="G8535">
        <v>-179.95769999999999</v>
      </c>
      <c r="H8535">
        <v>6.0392650000000003E-3</v>
      </c>
      <c r="I8535">
        <v>124.5232</v>
      </c>
      <c r="J8535">
        <v>-187.93119999999999</v>
      </c>
      <c r="K8535">
        <v>1.1191040000000001</v>
      </c>
      <c r="L8535">
        <v>114.815</v>
      </c>
      <c r="M8535">
        <v>1.541474E-2</v>
      </c>
      <c r="N8535">
        <v>-1.4474519999999999E-2</v>
      </c>
      <c r="O8535">
        <v>0.99977640000000001</v>
      </c>
      <c r="P8535">
        <v>0.35517019999999999</v>
      </c>
      <c r="Q8535">
        <v>-0.1061551</v>
      </c>
      <c r="R8535">
        <v>0.92875469999999904</v>
      </c>
      <c r="S8535">
        <v>1.9741359999999999</v>
      </c>
      <c r="T8535">
        <v>-0.27544200000000002</v>
      </c>
      <c r="U8535">
        <v>2.457916</v>
      </c>
      <c r="V8535">
        <v>0.3404258</v>
      </c>
      <c r="W8535">
        <v>-9.4025040000000004E-2</v>
      </c>
      <c r="X8535">
        <v>0.93555840000000001</v>
      </c>
      <c r="Y8535">
        <v>0.61204049999999999</v>
      </c>
      <c r="Z8535">
        <v>-7.3146699999999995E-2</v>
      </c>
      <c r="AA8535">
        <v>0.78743640000000004</v>
      </c>
      <c r="AB8535">
        <v>29</v>
      </c>
      <c r="AC8535">
        <v>7.9734999999999996</v>
      </c>
      <c r="AD8535">
        <v>-1.113064735</v>
      </c>
      <c r="AE8535">
        <v>9.7081999999999997</v>
      </c>
      <c r="AF8535">
        <v>7.7619569890362596</v>
      </c>
      <c r="AG8535">
        <v>-1.113064735</v>
      </c>
      <c r="AH8535">
        <v>9.7534055856014295</v>
      </c>
      <c r="AI8535">
        <v>95.102693777135002</v>
      </c>
      <c r="AJ8535">
        <v>51.486517853340402</v>
      </c>
      <c r="AK8535">
        <v>12.5146238425767</v>
      </c>
      <c r="AL8535">
        <v>95.395207666504106</v>
      </c>
      <c r="AM8535">
        <v>70.004846110297095</v>
      </c>
      <c r="AN8535">
        <v>0.99999997663160001</v>
      </c>
    </row>
    <row r="8536" spans="1:40" x14ac:dyDescent="0.25">
      <c r="A8536" t="str">
        <f>"20190303155017112"</f>
        <v>20190303155017112</v>
      </c>
      <c r="B8536" t="str">
        <f>"1551599417109366"</f>
        <v>1551599417109366</v>
      </c>
      <c r="C8536" t="s">
        <v>40</v>
      </c>
      <c r="D8536">
        <v>5.3692820000000001</v>
      </c>
      <c r="E8536">
        <v>0.59294460000000004</v>
      </c>
      <c r="F8536" t="s">
        <v>59</v>
      </c>
      <c r="G8536">
        <v>-180.33150000000001</v>
      </c>
      <c r="H8536" s="1">
        <v>-4.3234629999999998E-6</v>
      </c>
      <c r="I8536">
        <v>125.5485</v>
      </c>
      <c r="J8536">
        <v>-187.92740000000001</v>
      </c>
      <c r="K8536">
        <v>1.1190519999999999</v>
      </c>
      <c r="L8536">
        <v>114.9688</v>
      </c>
      <c r="M8536">
        <v>1.6727619999999999E-2</v>
      </c>
      <c r="N8536">
        <v>-1.4677279999999999E-2</v>
      </c>
      <c r="O8536">
        <v>0.99975230000000004</v>
      </c>
      <c r="P8536">
        <v>0.36143259999999999</v>
      </c>
      <c r="Q8536">
        <v>-0.105556399999999</v>
      </c>
      <c r="R8536">
        <v>0.92640389999999995</v>
      </c>
      <c r="S8536">
        <v>1.78302</v>
      </c>
      <c r="T8536">
        <v>-0.26256190000000001</v>
      </c>
      <c r="U8536">
        <v>2.518265</v>
      </c>
      <c r="V8536">
        <v>0.34547860000000002</v>
      </c>
      <c r="W8536">
        <v>-9.3373659999999997E-2</v>
      </c>
      <c r="X8536">
        <v>0.93376979999999998</v>
      </c>
      <c r="Y8536">
        <v>0.56230970000000002</v>
      </c>
      <c r="Z8536">
        <v>-7.0663089999999998E-2</v>
      </c>
      <c r="AA8536">
        <v>0.82390200000000002</v>
      </c>
      <c r="AB8536">
        <v>29</v>
      </c>
      <c r="AC8536">
        <v>7.5959000000000003</v>
      </c>
      <c r="AD8536">
        <v>-1.119056323463</v>
      </c>
      <c r="AE8536">
        <v>10.579700000000001</v>
      </c>
      <c r="AF8536">
        <v>7.3634833456809199</v>
      </c>
      <c r="AG8536">
        <v>-1.119056323463</v>
      </c>
      <c r="AH8536">
        <v>10.6268411368965</v>
      </c>
      <c r="AI8536">
        <v>94.946972412672693</v>
      </c>
      <c r="AJ8536">
        <v>55.281382964036702</v>
      </c>
      <c r="AK8536">
        <v>12.9770153188643</v>
      </c>
      <c r="AL8536">
        <v>95.357720911465194</v>
      </c>
      <c r="AM8536">
        <v>69.696402028593496</v>
      </c>
      <c r="AN8536">
        <v>1.0000000714158901</v>
      </c>
    </row>
    <row r="8537" spans="1:40" x14ac:dyDescent="0.25">
      <c r="A8537" t="str">
        <f>"20190303155017124"</f>
        <v>20190303155017124</v>
      </c>
      <c r="B8537" t="str">
        <f>"1551599417119126"</f>
        <v>1551599417119126</v>
      </c>
      <c r="C8537" t="s">
        <v>40</v>
      </c>
      <c r="D8537">
        <v>5.4036939999999998</v>
      </c>
      <c r="E8537">
        <v>0.591368</v>
      </c>
      <c r="F8537" t="s">
        <v>59</v>
      </c>
      <c r="G8537">
        <v>-180.6361</v>
      </c>
      <c r="H8537" s="1">
        <v>-4.2133090000000004E-6</v>
      </c>
      <c r="I8537">
        <v>125.2877</v>
      </c>
      <c r="J8537">
        <v>-187.923</v>
      </c>
      <c r="K8537">
        <v>1.119008</v>
      </c>
      <c r="L8537">
        <v>115.1431</v>
      </c>
      <c r="M8537">
        <v>1.8275610000000001E-2</v>
      </c>
      <c r="N8537">
        <v>-1.4960029999999999E-2</v>
      </c>
      <c r="O8537">
        <v>0.99972110000000003</v>
      </c>
      <c r="P8537">
        <v>0.36807889999999999</v>
      </c>
      <c r="Q8537">
        <v>-0.1055383</v>
      </c>
      <c r="R8537">
        <v>0.92378550000000004</v>
      </c>
      <c r="S8537">
        <v>1.776489</v>
      </c>
      <c r="T8537">
        <v>-0.27265349999999999</v>
      </c>
      <c r="U8537">
        <v>2.51416</v>
      </c>
      <c r="V8537">
        <v>0.3507015</v>
      </c>
      <c r="W8537">
        <v>-9.3245770000000006E-2</v>
      </c>
      <c r="X8537">
        <v>0.93183349999999998</v>
      </c>
      <c r="Y8537">
        <v>0.56008409999999997</v>
      </c>
      <c r="Z8537">
        <v>-7.3885019999999996E-2</v>
      </c>
      <c r="AA8537">
        <v>0.82513449999999899</v>
      </c>
      <c r="AB8537">
        <v>29</v>
      </c>
      <c r="AC8537">
        <v>7.2869000000000002</v>
      </c>
      <c r="AD8537">
        <v>-1.1190122133089999</v>
      </c>
      <c r="AE8537">
        <v>10.144599999999899</v>
      </c>
      <c r="AF8537">
        <v>7.0437285687366504</v>
      </c>
      <c r="AG8537">
        <v>-1.1190122133089999</v>
      </c>
      <c r="AH8537">
        <v>10.194271115945</v>
      </c>
      <c r="AI8537">
        <v>95.160289320272497</v>
      </c>
      <c r="AJ8537">
        <v>55.3574775912669</v>
      </c>
      <c r="AK8537">
        <v>12.4414413983654</v>
      </c>
      <c r="AL8537">
        <v>95.350361662382994</v>
      </c>
      <c r="AM8537">
        <v>69.375850690210697</v>
      </c>
      <c r="AN8537">
        <v>0.99999999372369597</v>
      </c>
    </row>
    <row r="8538" spans="1:40" x14ac:dyDescent="0.25">
      <c r="A8538" t="str">
        <f>"20190303155017135"</f>
        <v>20190303155017135</v>
      </c>
      <c r="B8538" t="str">
        <f>"1551599417128887"</f>
        <v>1551599417128887</v>
      </c>
      <c r="C8538" t="s">
        <v>40</v>
      </c>
      <c r="D8538">
        <v>5.3993180000000001</v>
      </c>
      <c r="E8538">
        <v>0.59018870000000001</v>
      </c>
      <c r="F8538" t="s">
        <v>59</v>
      </c>
      <c r="G8538">
        <v>-180.75810000000001</v>
      </c>
      <c r="H8538" s="1">
        <v>-4.1767579999999997E-6</v>
      </c>
      <c r="I8538">
        <v>125.2124</v>
      </c>
      <c r="J8538">
        <v>-187.9187</v>
      </c>
      <c r="K8538">
        <v>1.1189880000000001</v>
      </c>
      <c r="L8538">
        <v>115.2958</v>
      </c>
      <c r="M8538">
        <v>1.972983E-2</v>
      </c>
      <c r="N8538">
        <v>-1.529282E-2</v>
      </c>
      <c r="O8538">
        <v>0.99968840000000003</v>
      </c>
      <c r="P8538">
        <v>0.37398799999999999</v>
      </c>
      <c r="Q8538">
        <v>-0.105605</v>
      </c>
      <c r="R8538">
        <v>0.92140140000000004</v>
      </c>
      <c r="S8538">
        <v>1.7827299999999999</v>
      </c>
      <c r="T8538">
        <v>-0.27842929999999999</v>
      </c>
      <c r="U8538">
        <v>2.5054020000000001</v>
      </c>
      <c r="V8538">
        <v>0.35528019999999999</v>
      </c>
      <c r="W8538">
        <v>-9.3140000000000001E-2</v>
      </c>
      <c r="X8538">
        <v>0.93010800000000005</v>
      </c>
      <c r="Y8538">
        <v>0.56151219999999902</v>
      </c>
      <c r="Z8538">
        <v>-7.5572239999999999E-2</v>
      </c>
      <c r="AA8538">
        <v>0.82401029999999997</v>
      </c>
      <c r="AB8538">
        <v>29</v>
      </c>
      <c r="AC8538">
        <v>7.1605999999999801</v>
      </c>
      <c r="AD8538">
        <v>-1.11899217675799</v>
      </c>
      <c r="AE8538">
        <v>9.9166000000000007</v>
      </c>
      <c r="AF8538">
        <v>6.90573461051605</v>
      </c>
      <c r="AG8538">
        <v>-1.11899217675799</v>
      </c>
      <c r="AH8538">
        <v>9.9725012703481593</v>
      </c>
      <c r="AI8538">
        <v>95.270562471664604</v>
      </c>
      <c r="AJ8538">
        <v>55.298262777965903</v>
      </c>
      <c r="AK8538">
        <v>12.1816294308118</v>
      </c>
      <c r="AL8538">
        <v>95.344275041028695</v>
      </c>
      <c r="AM8538">
        <v>69.094275019630999</v>
      </c>
      <c r="AN8538">
        <v>0.99999998588801997</v>
      </c>
    </row>
    <row r="8539" spans="1:40" x14ac:dyDescent="0.25">
      <c r="A8539" t="str">
        <f>"20190303155017148"</f>
        <v>20190303155017148</v>
      </c>
      <c r="B8539" t="str">
        <f>"1551599417139622"</f>
        <v>1551599417139622</v>
      </c>
      <c r="C8539" t="s">
        <v>40</v>
      </c>
      <c r="D8539">
        <v>5.3996510000000004</v>
      </c>
      <c r="E8539">
        <v>0.59018870000000001</v>
      </c>
      <c r="F8539" t="s">
        <v>59</v>
      </c>
      <c r="G8539">
        <v>-180.81389999999999</v>
      </c>
      <c r="H8539" s="1">
        <v>-4.1680349999999996E-6</v>
      </c>
      <c r="I8539">
        <v>125.20869999999999</v>
      </c>
      <c r="J8539">
        <v>-187.91409999999999</v>
      </c>
      <c r="K8539">
        <v>1.118978</v>
      </c>
      <c r="L8539">
        <v>115.44880000000001</v>
      </c>
      <c r="M8539">
        <v>2.1261059999999998E-2</v>
      </c>
      <c r="N8539">
        <v>-1.568717E-2</v>
      </c>
      <c r="O8539">
        <v>0.99965090000000001</v>
      </c>
      <c r="P8539">
        <v>0.37956770000000001</v>
      </c>
      <c r="Q8539">
        <v>-0.1057442</v>
      </c>
      <c r="R8539">
        <v>0.9191009</v>
      </c>
      <c r="S8539">
        <v>1.789749</v>
      </c>
      <c r="T8539">
        <v>-0.28188419999999997</v>
      </c>
      <c r="U8539">
        <v>2.497147</v>
      </c>
      <c r="V8539">
        <v>0.35946230000000001</v>
      </c>
      <c r="W8539">
        <v>-9.3048560000000002E-2</v>
      </c>
      <c r="X8539">
        <v>0.92850889999999997</v>
      </c>
      <c r="Y8539">
        <v>0.56300729999999999</v>
      </c>
      <c r="Z8539">
        <v>-7.6428309999999999E-2</v>
      </c>
      <c r="AA8539">
        <v>0.82291039999999904</v>
      </c>
      <c r="AB8539">
        <v>29</v>
      </c>
      <c r="AC8539">
        <v>7.1002000000000001</v>
      </c>
      <c r="AD8539">
        <v>-1.1189821680350001</v>
      </c>
      <c r="AE8539">
        <v>9.7598999999999805</v>
      </c>
      <c r="AF8539">
        <v>6.8323346827949898</v>
      </c>
      <c r="AG8539">
        <v>-1.1189821680350001</v>
      </c>
      <c r="AH8539">
        <v>9.82422368735131</v>
      </c>
      <c r="AI8539">
        <v>95.3421863443116</v>
      </c>
      <c r="AJ8539">
        <v>55.183009811486599</v>
      </c>
      <c r="AK8539">
        <v>12.018664209021599</v>
      </c>
      <c r="AL8539">
        <v>95.339013103183404</v>
      </c>
      <c r="AM8539">
        <v>68.836620414121995</v>
      </c>
      <c r="AN8539">
        <v>0.99999997850928601</v>
      </c>
    </row>
    <row r="8540" spans="1:40" x14ac:dyDescent="0.25">
      <c r="A8540" t="str">
        <f>"20190303155017159"</f>
        <v>20190303155017159</v>
      </c>
      <c r="B8540" t="str">
        <f>"1551599417149383"</f>
        <v>1551599417149383</v>
      </c>
      <c r="C8540" t="s">
        <v>40</v>
      </c>
      <c r="D8540">
        <v>5.4433879999999997</v>
      </c>
      <c r="E8540">
        <v>0.57868129999999995</v>
      </c>
      <c r="F8540" t="s">
        <v>59</v>
      </c>
      <c r="G8540">
        <v>-180.755</v>
      </c>
      <c r="H8540" s="1">
        <v>-4.2027870000000001E-6</v>
      </c>
      <c r="I8540">
        <v>125.3109</v>
      </c>
      <c r="J8540">
        <v>-187.9093</v>
      </c>
      <c r="K8540">
        <v>1.1189690000000001</v>
      </c>
      <c r="L8540">
        <v>115.60380000000001</v>
      </c>
      <c r="M8540">
        <v>2.2860309999999998E-2</v>
      </c>
      <c r="N8540">
        <v>-1.6125879999999999E-2</v>
      </c>
      <c r="O8540">
        <v>0.99960859999999996</v>
      </c>
      <c r="P8540">
        <v>0.3852448</v>
      </c>
      <c r="Q8540">
        <v>-0.1053173</v>
      </c>
      <c r="R8540">
        <v>0.91678499999999996</v>
      </c>
      <c r="S8540">
        <v>1.8048249999999999</v>
      </c>
      <c r="T8540">
        <v>-0.28209659999999998</v>
      </c>
      <c r="U8540">
        <v>2.4862519999999999</v>
      </c>
      <c r="V8540">
        <v>0.36368810000000001</v>
      </c>
      <c r="W8540">
        <v>-9.2353909999999997E-2</v>
      </c>
      <c r="X8540">
        <v>0.92693139999999996</v>
      </c>
      <c r="Y8540">
        <v>0.56666059999999996</v>
      </c>
      <c r="Z8540">
        <v>-7.6119989999999998E-2</v>
      </c>
      <c r="AA8540">
        <v>0.82042760000000003</v>
      </c>
      <c r="AB8540">
        <v>29</v>
      </c>
      <c r="AC8540">
        <v>7.1543000000000001</v>
      </c>
      <c r="AD8540">
        <v>-1.1189732027869901</v>
      </c>
      <c r="AE8540">
        <v>9.7070999999999898</v>
      </c>
      <c r="AF8540">
        <v>6.8713265938622001</v>
      </c>
      <c r="AG8540">
        <v>-1.1189732027869901</v>
      </c>
      <c r="AH8540">
        <v>9.7838869978495193</v>
      </c>
      <c r="AI8540">
        <v>95.346908781703604</v>
      </c>
      <c r="AJ8540">
        <v>54.919229200781501</v>
      </c>
      <c r="AK8540">
        <v>12.007983801403199</v>
      </c>
      <c r="AL8540">
        <v>95.299040087385507</v>
      </c>
      <c r="AM8540">
        <v>68.577088499746495</v>
      </c>
      <c r="AN8540">
        <v>1.0000000495399199</v>
      </c>
    </row>
    <row r="8541" spans="1:40" x14ac:dyDescent="0.25">
      <c r="A8541" t="str">
        <f>"20190303155017178"</f>
        <v>20190303155017178</v>
      </c>
      <c r="B8541" t="str">
        <f>"1551599417168902"</f>
        <v>1551599417168902</v>
      </c>
      <c r="C8541" t="s">
        <v>40</v>
      </c>
      <c r="D8541">
        <v>5.4298440000000001</v>
      </c>
      <c r="E8541">
        <v>0.57741529999999996</v>
      </c>
      <c r="F8541" t="s">
        <v>59</v>
      </c>
      <c r="G8541">
        <v>-179.6669</v>
      </c>
      <c r="H8541">
        <v>7.2436230000000004E-2</v>
      </c>
      <c r="I8541">
        <v>127.53879999999999</v>
      </c>
      <c r="J8541">
        <v>-187.90110000000001</v>
      </c>
      <c r="K8541">
        <v>1.118949</v>
      </c>
      <c r="L8541">
        <v>115.8386</v>
      </c>
      <c r="M8541">
        <v>2.54617E-2</v>
      </c>
      <c r="N8541">
        <v>-1.686122E-2</v>
      </c>
      <c r="O8541">
        <v>0.99953360000000002</v>
      </c>
      <c r="P8541">
        <v>0.39531870000000002</v>
      </c>
      <c r="Q8541">
        <v>-0.1039673</v>
      </c>
      <c r="R8541">
        <v>0.91264120000000004</v>
      </c>
      <c r="S8541">
        <v>1.7380070000000001</v>
      </c>
      <c r="T8541">
        <v>-0.22067490000000001</v>
      </c>
      <c r="U8541">
        <v>2.5166469999999999</v>
      </c>
      <c r="V8541">
        <v>0.37142839999999999</v>
      </c>
      <c r="W8541">
        <v>-9.0565010000000001E-2</v>
      </c>
      <c r="X8541">
        <v>0.92403409999999997</v>
      </c>
      <c r="Y8541">
        <v>0.54587189999999997</v>
      </c>
      <c r="Z8541">
        <v>-5.5797810000000003E-2</v>
      </c>
      <c r="AA8541">
        <v>0.83600869999999905</v>
      </c>
      <c r="AB8541">
        <v>29</v>
      </c>
      <c r="AC8541">
        <v>8.2342000000000102</v>
      </c>
      <c r="AD8541">
        <v>-1.0465127700000001</v>
      </c>
      <c r="AE8541">
        <v>11.700199999999899</v>
      </c>
      <c r="AF8541">
        <v>7.8913592213777797</v>
      </c>
      <c r="AG8541">
        <v>-1.0465127700000001</v>
      </c>
      <c r="AH8541">
        <v>11.8427300722635</v>
      </c>
      <c r="AI8541">
        <v>94.205795067933593</v>
      </c>
      <c r="AJ8541">
        <v>56.322642599280002</v>
      </c>
      <c r="AK8541">
        <v>14.2695127773548</v>
      </c>
      <c r="AL8541">
        <v>95.196112277157994</v>
      </c>
      <c r="AM8541">
        <v>68.101650871355105</v>
      </c>
      <c r="AN8541">
        <v>1.0000000476628299</v>
      </c>
    </row>
    <row r="8542" spans="1:40" x14ac:dyDescent="0.25">
      <c r="A8542" t="str">
        <f>"20190303155017193"</f>
        <v>20190303155017193</v>
      </c>
      <c r="B8542" t="str">
        <f>"1551599417189398"</f>
        <v>1551599417189398</v>
      </c>
      <c r="C8542" t="s">
        <v>40</v>
      </c>
      <c r="D8542">
        <v>5.4555449999999999</v>
      </c>
      <c r="E8542">
        <v>0.57596840000000005</v>
      </c>
      <c r="F8542" t="s">
        <v>59</v>
      </c>
      <c r="G8542">
        <v>-180.28</v>
      </c>
      <c r="H8542" s="1">
        <v>-4.6262720000000001E-6</v>
      </c>
      <c r="I8542">
        <v>126.68680000000001</v>
      </c>
      <c r="J8542">
        <v>-187.8937</v>
      </c>
      <c r="K8542">
        <v>1.118908</v>
      </c>
      <c r="L8542">
        <v>116.0305</v>
      </c>
      <c r="M8542">
        <v>2.7719500000000001E-2</v>
      </c>
      <c r="N8542">
        <v>-1.746818E-2</v>
      </c>
      <c r="O8542">
        <v>0.99946310000000005</v>
      </c>
      <c r="P8542">
        <v>0.40098600000000001</v>
      </c>
      <c r="Q8542">
        <v>-0.1034622</v>
      </c>
      <c r="R8542">
        <v>0.91022289999999995</v>
      </c>
      <c r="S8542">
        <v>1.7546999999999999</v>
      </c>
      <c r="T8542">
        <v>-0.25763180000000002</v>
      </c>
      <c r="U8542">
        <v>2.4977420000000001</v>
      </c>
      <c r="V8542">
        <v>0.37504959999999998</v>
      </c>
      <c r="W8542">
        <v>-8.9679750000000003E-2</v>
      </c>
      <c r="X8542">
        <v>0.9226567</v>
      </c>
      <c r="Y8542">
        <v>0.55018919999999905</v>
      </c>
      <c r="Z8542">
        <v>-6.7510189999999998E-2</v>
      </c>
      <c r="AA8542">
        <v>0.83230659999999901</v>
      </c>
      <c r="AB8542">
        <v>29</v>
      </c>
      <c r="AC8542">
        <v>7.6136999999999899</v>
      </c>
      <c r="AD8542">
        <v>-1.1189126262719999</v>
      </c>
      <c r="AE8542">
        <v>10.6563</v>
      </c>
      <c r="AF8542">
        <v>7.2623331759055603</v>
      </c>
      <c r="AG8542">
        <v>-1.1189126262719999</v>
      </c>
      <c r="AH8542">
        <v>10.7845673658439</v>
      </c>
      <c r="AI8542">
        <v>94.918635134622605</v>
      </c>
      <c r="AJ8542">
        <v>56.043655215224398</v>
      </c>
      <c r="AK8542">
        <v>13.0499173135891</v>
      </c>
      <c r="AL8542">
        <v>95.145183498092393</v>
      </c>
      <c r="AM8542">
        <v>67.878809411219194</v>
      </c>
      <c r="AN8542">
        <v>1.0000000230375501</v>
      </c>
    </row>
    <row r="8543" spans="1:40" x14ac:dyDescent="0.25">
      <c r="A8543" t="str">
        <f>"20190303155017208"</f>
        <v>20190303155017208</v>
      </c>
      <c r="B8543" t="str">
        <f>"1551599417199159"</f>
        <v>1551599417199159</v>
      </c>
      <c r="C8543" t="s">
        <v>40</v>
      </c>
      <c r="D8543">
        <v>5.4696689999999997</v>
      </c>
      <c r="E8543">
        <v>0.57532749999999999</v>
      </c>
      <c r="F8543" t="s">
        <v>59</v>
      </c>
      <c r="G8543">
        <v>-180.7124</v>
      </c>
      <c r="H8543" s="1">
        <v>-4.4388840000000004E-6</v>
      </c>
      <c r="I8543">
        <v>126.19710000000001</v>
      </c>
      <c r="J8543">
        <v>-187.88579999999999</v>
      </c>
      <c r="K8543">
        <v>1.1188499999999999</v>
      </c>
      <c r="L8543">
        <v>116.2235</v>
      </c>
      <c r="M8543">
        <v>3.0089950000000001E-2</v>
      </c>
      <c r="N8543">
        <v>-1.8067529999999998E-2</v>
      </c>
      <c r="O8543">
        <v>0.99938389999999999</v>
      </c>
      <c r="P8543">
        <v>0.40678520000000001</v>
      </c>
      <c r="Q8543">
        <v>-0.1029544</v>
      </c>
      <c r="R8543">
        <v>0.90770379999999995</v>
      </c>
      <c r="S8543">
        <v>1.7587889999999999</v>
      </c>
      <c r="T8543">
        <v>-0.2740358</v>
      </c>
      <c r="U8543">
        <v>2.4899439999999999</v>
      </c>
      <c r="V8543">
        <v>0.37871009999999999</v>
      </c>
      <c r="W8543">
        <v>-8.8807140000000007E-2</v>
      </c>
      <c r="X8543">
        <v>0.92124479999999997</v>
      </c>
      <c r="Y8543">
        <v>0.55010630000000005</v>
      </c>
      <c r="Z8543">
        <v>-7.2471399999999894E-2</v>
      </c>
      <c r="AA8543">
        <v>0.83194409999999896</v>
      </c>
      <c r="AB8543">
        <v>29</v>
      </c>
      <c r="AC8543">
        <v>7.1733999999999796</v>
      </c>
      <c r="AD8543">
        <v>-1.1188544388839901</v>
      </c>
      <c r="AE8543">
        <v>9.9735999999999994</v>
      </c>
      <c r="AF8543">
        <v>6.8134847785748098</v>
      </c>
      <c r="AG8543">
        <v>-1.1188544388839901</v>
      </c>
      <c r="AH8543">
        <v>10.1011844297</v>
      </c>
      <c r="AI8543">
        <v>95.246611267639096</v>
      </c>
      <c r="AJ8543">
        <v>55.999415810022398</v>
      </c>
      <c r="AK8543">
        <v>12.235576691194201</v>
      </c>
      <c r="AL8543">
        <v>95.0949863752667</v>
      </c>
      <c r="AM8543">
        <v>67.653161774284897</v>
      </c>
      <c r="AN8543">
        <v>1.0000000147420101</v>
      </c>
    </row>
    <row r="8544" spans="1:40" x14ac:dyDescent="0.25">
      <c r="A8544" t="str">
        <f>"20190303155017224"</f>
        <v>20190303155017224</v>
      </c>
      <c r="B8544" t="str">
        <f>"1551599417219654"</f>
        <v>1551599417219654</v>
      </c>
      <c r="C8544" t="s">
        <v>40</v>
      </c>
      <c r="D8544">
        <v>5.4521519999999999</v>
      </c>
      <c r="E8544">
        <v>0.57431499999999902</v>
      </c>
      <c r="F8544" t="s">
        <v>59</v>
      </c>
      <c r="G8544">
        <v>-180.67609999999999</v>
      </c>
      <c r="H8544" s="1">
        <v>-4.4779690000000004E-6</v>
      </c>
      <c r="I8544">
        <v>126.3282</v>
      </c>
      <c r="J8544">
        <v>-187.87729999999999</v>
      </c>
      <c r="K8544">
        <v>1.118779</v>
      </c>
      <c r="L8544">
        <v>116.4145</v>
      </c>
      <c r="M8544">
        <v>3.2533590000000001E-2</v>
      </c>
      <c r="N8544">
        <v>-1.8645419999999999E-2</v>
      </c>
      <c r="O8544">
        <v>0.99929670000000004</v>
      </c>
      <c r="P8544">
        <v>0.41509309999999999</v>
      </c>
      <c r="Q8544">
        <v>-0.1025933</v>
      </c>
      <c r="R8544">
        <v>0.9039758</v>
      </c>
      <c r="S8544">
        <v>1.7699739999999999</v>
      </c>
      <c r="T8544">
        <v>-0.27467819999999998</v>
      </c>
      <c r="U8544">
        <v>2.4806819999999998</v>
      </c>
      <c r="V8544">
        <v>0.38485900000000001</v>
      </c>
      <c r="W8544">
        <v>-8.8137779999999999E-2</v>
      </c>
      <c r="X8544">
        <v>0.9187575</v>
      </c>
      <c r="Y8544">
        <v>0.55200819999999995</v>
      </c>
      <c r="Z8544">
        <v>-7.2221480000000005E-2</v>
      </c>
      <c r="AA8544">
        <v>0.83070519999999903</v>
      </c>
      <c r="AB8544">
        <v>28</v>
      </c>
      <c r="AC8544">
        <v>7.2012</v>
      </c>
      <c r="AD8544">
        <v>-1.118783477969</v>
      </c>
      <c r="AE8544">
        <v>9.9136999999999897</v>
      </c>
      <c r="AF8544">
        <v>6.8179623484929204</v>
      </c>
      <c r="AG8544">
        <v>-1.118783477969</v>
      </c>
      <c r="AH8544">
        <v>10.058912771446099</v>
      </c>
      <c r="AI8544">
        <v>95.260237193873394</v>
      </c>
      <c r="AJ8544">
        <v>55.8704584310833</v>
      </c>
      <c r="AK8544">
        <v>12.2031968434343</v>
      </c>
      <c r="AL8544">
        <v>95.056483807075296</v>
      </c>
      <c r="AM8544">
        <v>67.271641908663696</v>
      </c>
      <c r="AN8544">
        <v>1.0000000309752799</v>
      </c>
    </row>
    <row r="8545" spans="1:40" x14ac:dyDescent="0.25">
      <c r="A8545" t="str">
        <f>"20190303155017237"</f>
        <v>20190303155017237</v>
      </c>
      <c r="B8545" t="str">
        <f>"1551599417229414"</f>
        <v>1551599417229414</v>
      </c>
      <c r="C8545" t="s">
        <v>40</v>
      </c>
      <c r="D8545">
        <v>5.3130290000000002</v>
      </c>
      <c r="E8545">
        <v>0.57321769999999905</v>
      </c>
      <c r="F8545" t="s">
        <v>59</v>
      </c>
      <c r="G8545">
        <v>-180.54480000000001</v>
      </c>
      <c r="H8545" s="1">
        <v>-4.5539370000000001E-6</v>
      </c>
      <c r="I8545">
        <v>126.55029999999999</v>
      </c>
      <c r="J8545">
        <v>-187.869</v>
      </c>
      <c r="K8545">
        <v>1.118722</v>
      </c>
      <c r="L8545">
        <v>116.5877</v>
      </c>
      <c r="M8545">
        <v>3.4855299999999999E-2</v>
      </c>
      <c r="N8545">
        <v>-1.9155209999999999E-2</v>
      </c>
      <c r="O8545">
        <v>0.99920880000000001</v>
      </c>
      <c r="P8545">
        <v>0.4198113</v>
      </c>
      <c r="Q8545">
        <v>-0.1034916</v>
      </c>
      <c r="R8545">
        <v>0.90169169999999998</v>
      </c>
      <c r="S8545">
        <v>1.78538499999999</v>
      </c>
      <c r="T8545">
        <v>-0.27241209999999999</v>
      </c>
      <c r="U8545">
        <v>2.4679570000000002</v>
      </c>
      <c r="V8545">
        <v>0.38749359999999999</v>
      </c>
      <c r="W8545">
        <v>-8.8719839999999994E-2</v>
      </c>
      <c r="X8545">
        <v>0.9175934</v>
      </c>
      <c r="Y8545">
        <v>0.555536699999999</v>
      </c>
      <c r="Z8545">
        <v>-7.1094210000000005E-2</v>
      </c>
      <c r="AA8545">
        <v>0.82844709999999999</v>
      </c>
      <c r="AB8545">
        <v>28</v>
      </c>
      <c r="AC8545">
        <v>7.32420000000001</v>
      </c>
      <c r="AD8545">
        <v>-1.1187265539369999</v>
      </c>
      <c r="AE8545">
        <v>9.9625999999999895</v>
      </c>
      <c r="AF8545">
        <v>6.9158249721631799</v>
      </c>
      <c r="AG8545">
        <v>-1.1187265539369999</v>
      </c>
      <c r="AH8545">
        <v>10.128967024522</v>
      </c>
      <c r="AI8545">
        <v>95.211791054482902</v>
      </c>
      <c r="AJ8545">
        <v>55.675640324923599</v>
      </c>
      <c r="AK8545">
        <v>12.315687440493701</v>
      </c>
      <c r="AL8545">
        <v>95.089964329773906</v>
      </c>
      <c r="AM8545">
        <v>67.105989217246801</v>
      </c>
      <c r="AN8545">
        <v>1.00000007388707</v>
      </c>
    </row>
    <row r="8546" spans="1:40" x14ac:dyDescent="0.25">
      <c r="A8546" t="str">
        <f>"20190303155017248"</f>
        <v>20190303155017248</v>
      </c>
      <c r="B8546" t="str">
        <f>"1551599417239175"</f>
        <v>1551599417239175</v>
      </c>
      <c r="C8546" t="s">
        <v>40</v>
      </c>
      <c r="D8546">
        <v>5.4659649999999997</v>
      </c>
      <c r="E8546">
        <v>0.57236589999999998</v>
      </c>
      <c r="F8546" t="s">
        <v>59</v>
      </c>
      <c r="G8546">
        <v>-179.93260000000001</v>
      </c>
      <c r="H8546" s="1">
        <v>-4.8672340000000003E-6</v>
      </c>
      <c r="I8546">
        <v>127.505</v>
      </c>
      <c r="J8546">
        <v>-187.86189999999999</v>
      </c>
      <c r="K8546">
        <v>1.1186830000000001</v>
      </c>
      <c r="L8546">
        <v>116.7283</v>
      </c>
      <c r="M8546">
        <v>3.682531E-2</v>
      </c>
      <c r="N8546">
        <v>-1.955641E-2</v>
      </c>
      <c r="O8546">
        <v>0.99913039999999997</v>
      </c>
      <c r="P8546">
        <v>0.42087170000000002</v>
      </c>
      <c r="Q8546">
        <v>-0.1042811</v>
      </c>
      <c r="R8546">
        <v>0.90110619999999997</v>
      </c>
      <c r="S8546">
        <v>1.7913060000000001</v>
      </c>
      <c r="T8546">
        <v>-0.2525039</v>
      </c>
      <c r="U8546">
        <v>2.4641109999999999</v>
      </c>
      <c r="V8546">
        <v>0.38674789999999998</v>
      </c>
      <c r="W8546">
        <v>-8.9206489999999999E-2</v>
      </c>
      <c r="X8546">
        <v>0.91786069999999997</v>
      </c>
      <c r="Y8546">
        <v>0.55610899999999996</v>
      </c>
      <c r="Z8546">
        <v>-6.4207639999999996E-2</v>
      </c>
      <c r="AA8546">
        <v>0.82862549999999902</v>
      </c>
      <c r="AB8546">
        <v>28</v>
      </c>
      <c r="AC8546">
        <v>7.92929999999998</v>
      </c>
      <c r="AD8546">
        <v>-1.1186878672339999</v>
      </c>
      <c r="AE8546">
        <v>10.7766999999999</v>
      </c>
      <c r="AF8546">
        <v>7.4747327371796297</v>
      </c>
      <c r="AG8546">
        <v>-1.1186878672339999</v>
      </c>
      <c r="AH8546">
        <v>10.9846488841936</v>
      </c>
      <c r="AI8546">
        <v>94.812758810506807</v>
      </c>
      <c r="AJ8546">
        <v>55.7658565738897</v>
      </c>
      <c r="AK8546">
        <v>13.3336267813966</v>
      </c>
      <c r="AL8546">
        <v>95.117958695151799</v>
      </c>
      <c r="AM8546">
        <v>67.151488452400699</v>
      </c>
      <c r="AN8546">
        <v>1.0000000003084999</v>
      </c>
    </row>
    <row r="8547" spans="1:40" x14ac:dyDescent="0.25">
      <c r="A8547" t="str">
        <f>"20190303155017266"</f>
        <v>20190303155017266</v>
      </c>
      <c r="B8547" t="str">
        <f>"1551599417259670"</f>
        <v>1551599417259670</v>
      </c>
      <c r="C8547" t="s">
        <v>40</v>
      </c>
      <c r="D8547">
        <v>5.4828590000000004</v>
      </c>
      <c r="E8547">
        <v>0.57104489999999997</v>
      </c>
      <c r="F8547" t="s">
        <v>59</v>
      </c>
      <c r="G8547">
        <v>-180.28059999999999</v>
      </c>
      <c r="H8547" s="1">
        <v>-4.7534939999999997E-6</v>
      </c>
      <c r="I8547">
        <v>127.17700000000001</v>
      </c>
      <c r="J8547">
        <v>-187.84979999999999</v>
      </c>
      <c r="K8547">
        <v>1.118622</v>
      </c>
      <c r="L8547">
        <v>116.95269999999999</v>
      </c>
      <c r="M8547">
        <v>4.0093509999999999E-2</v>
      </c>
      <c r="N8547">
        <v>-2.0174560000000001E-2</v>
      </c>
      <c r="O8547">
        <v>0.99899230000000006</v>
      </c>
      <c r="P8547">
        <v>0.42852390000000001</v>
      </c>
      <c r="Q8547">
        <v>-0.10506509999999999</v>
      </c>
      <c r="R8547">
        <v>0.897401</v>
      </c>
      <c r="S8547">
        <v>1.787674</v>
      </c>
      <c r="T8547">
        <v>-0.26378570000000001</v>
      </c>
      <c r="U8547">
        <v>2.4637760000000002</v>
      </c>
      <c r="V8547">
        <v>0.3915169</v>
      </c>
      <c r="W8547">
        <v>-8.9608610000000005E-2</v>
      </c>
      <c r="X8547">
        <v>0.91579739999999998</v>
      </c>
      <c r="Y8547">
        <v>0.55248339999999996</v>
      </c>
      <c r="Z8547">
        <v>-6.7462739999999993E-2</v>
      </c>
      <c r="AA8547">
        <v>0.83078929999999995</v>
      </c>
      <c r="AB8547">
        <v>28</v>
      </c>
      <c r="AC8547">
        <v>7.5691999999999897</v>
      </c>
      <c r="AD8547">
        <v>-1.118626753494</v>
      </c>
      <c r="AE8547">
        <v>10.224299999999999</v>
      </c>
      <c r="AF8547">
        <v>7.0982137098584497</v>
      </c>
      <c r="AG8547">
        <v>-1.118626753494</v>
      </c>
      <c r="AH8547">
        <v>10.438895557075901</v>
      </c>
      <c r="AI8547">
        <v>95.0639783168874</v>
      </c>
      <c r="AJ8547">
        <v>55.785180888645897</v>
      </c>
      <c r="AK8547">
        <v>12.6730621451958</v>
      </c>
      <c r="AL8547">
        <v>95.141090953708002</v>
      </c>
      <c r="AM8547">
        <v>66.852577449161203</v>
      </c>
      <c r="AN8547">
        <v>1.0000000319092499</v>
      </c>
    </row>
    <row r="8548" spans="1:40" x14ac:dyDescent="0.25">
      <c r="A8548" t="str">
        <f>"20190303155017278"</f>
        <v>20190303155017278</v>
      </c>
      <c r="B8548" t="str">
        <f>"1551599417269431"</f>
        <v>1551599417269431</v>
      </c>
      <c r="C8548" t="s">
        <v>40</v>
      </c>
      <c r="D8548">
        <v>5.4189999999999996</v>
      </c>
      <c r="E8548">
        <v>0.57079499999999905</v>
      </c>
      <c r="F8548" t="s">
        <v>59</v>
      </c>
      <c r="G8548">
        <v>-180.67500000000001</v>
      </c>
      <c r="H8548" s="1">
        <v>-4.5831640000000003E-6</v>
      </c>
      <c r="I8548">
        <v>126.73260000000001</v>
      </c>
      <c r="J8548">
        <v>-187.84190000000001</v>
      </c>
      <c r="K8548">
        <v>1.118584</v>
      </c>
      <c r="L8548">
        <v>117.092</v>
      </c>
      <c r="M8548">
        <v>4.2207939999999999E-2</v>
      </c>
      <c r="N8548">
        <v>-2.0541799999999999E-2</v>
      </c>
      <c r="O8548">
        <v>0.9988977</v>
      </c>
      <c r="P8548">
        <v>0.43287229999999999</v>
      </c>
      <c r="Q8548">
        <v>-0.10552110000000001</v>
      </c>
      <c r="R8548">
        <v>0.895258</v>
      </c>
      <c r="S8548">
        <v>1.7984009999999999</v>
      </c>
      <c r="T8548">
        <v>-0.28038839999999998</v>
      </c>
      <c r="U8548">
        <v>2.4513699999999998</v>
      </c>
      <c r="V8548">
        <v>0.3940013</v>
      </c>
      <c r="W8548">
        <v>-8.9831770000000005E-2</v>
      </c>
      <c r="X8548">
        <v>0.91470940000000001</v>
      </c>
      <c r="Y8548">
        <v>0.55482109999999996</v>
      </c>
      <c r="Z8548">
        <v>-7.2746749999999999E-2</v>
      </c>
      <c r="AA8548">
        <v>0.82878309999999999</v>
      </c>
      <c r="AB8548">
        <v>28</v>
      </c>
      <c r="AC8548">
        <v>7.1668999999999903</v>
      </c>
      <c r="AD8548">
        <v>-1.1185885831639999</v>
      </c>
      <c r="AE8548">
        <v>9.6405999999999903</v>
      </c>
      <c r="AF8548">
        <v>6.6954600061118201</v>
      </c>
      <c r="AG8548">
        <v>-1.1185885831639999</v>
      </c>
      <c r="AH8548">
        <v>9.8491691951080398</v>
      </c>
      <c r="AI8548">
        <v>95.365727245189106</v>
      </c>
      <c r="AJ8548">
        <v>55.792155192053599</v>
      </c>
      <c r="AK8548">
        <v>11.961879406919801</v>
      </c>
      <c r="AL8548">
        <v>95.153928870267094</v>
      </c>
      <c r="AM8548">
        <v>66.696555264194402</v>
      </c>
      <c r="AN8548">
        <v>1.0000000288756901</v>
      </c>
    </row>
    <row r="8549" spans="1:40" x14ac:dyDescent="0.25">
      <c r="A8549" t="str">
        <f>"20190303155017291"</f>
        <v>20190303155017291</v>
      </c>
      <c r="B8549" t="str">
        <f>"1551599417279191"</f>
        <v>1551599417279191</v>
      </c>
      <c r="C8549" t="s">
        <v>40</v>
      </c>
      <c r="D8549">
        <v>5.4412279999999997</v>
      </c>
      <c r="E8549">
        <v>0.5704129</v>
      </c>
      <c r="F8549" t="s">
        <v>59</v>
      </c>
      <c r="G8549">
        <v>-180.63900000000001</v>
      </c>
      <c r="H8549" s="1">
        <v>-4.6117530000000002E-6</v>
      </c>
      <c r="I8549">
        <v>126.8233</v>
      </c>
      <c r="J8549">
        <v>-187.83240000000001</v>
      </c>
      <c r="K8549">
        <v>1.1185320000000001</v>
      </c>
      <c r="L8549">
        <v>117.2482</v>
      </c>
      <c r="M8549">
        <v>4.468225E-2</v>
      </c>
      <c r="N8549">
        <v>-2.092697E-2</v>
      </c>
      <c r="O8549">
        <v>0.99878199999999995</v>
      </c>
      <c r="P8549">
        <v>0.43716690000000002</v>
      </c>
      <c r="Q8549">
        <v>-0.1061759</v>
      </c>
      <c r="R8549">
        <v>0.89309110000000003</v>
      </c>
      <c r="S8549">
        <v>1.808578</v>
      </c>
      <c r="T8549">
        <v>-0.28086450000000002</v>
      </c>
      <c r="U8549">
        <v>2.4434200000000001</v>
      </c>
      <c r="V8549">
        <v>0.39610830000000002</v>
      </c>
      <c r="W8549">
        <v>-9.0237919999999999E-2</v>
      </c>
      <c r="X8549">
        <v>0.91375890000000004</v>
      </c>
      <c r="Y8549">
        <v>0.55627209999999905</v>
      </c>
      <c r="Z8549">
        <v>-7.2617840000000003E-2</v>
      </c>
      <c r="AA8549">
        <v>0.82782119999999904</v>
      </c>
      <c r="AB8549">
        <v>28</v>
      </c>
      <c r="AC8549">
        <v>7.1933999999999898</v>
      </c>
      <c r="AD8549">
        <v>-1.118536611753</v>
      </c>
      <c r="AE8549">
        <v>9.5751000000000008</v>
      </c>
      <c r="AF8549">
        <v>6.69983873752774</v>
      </c>
      <c r="AG8549">
        <v>-1.118536611753</v>
      </c>
      <c r="AH8549">
        <v>9.8015213249855506</v>
      </c>
      <c r="AI8549">
        <v>95.382059512661002</v>
      </c>
      <c r="AJ8549">
        <v>55.645405704894699</v>
      </c>
      <c r="AK8549">
        <v>11.9251324330112</v>
      </c>
      <c r="AL8549">
        <v>95.1772946104238</v>
      </c>
      <c r="AM8549">
        <v>66.563594420544604</v>
      </c>
      <c r="AN8549">
        <v>0.99999999743201295</v>
      </c>
    </row>
    <row r="8550" spans="1:40" x14ac:dyDescent="0.25">
      <c r="A8550" t="str">
        <f>"20190303155017304"</f>
        <v>20190303155017304</v>
      </c>
      <c r="B8550" t="str">
        <f>"1551599417299687"</f>
        <v>1551599417299687</v>
      </c>
      <c r="C8550" t="s">
        <v>40</v>
      </c>
      <c r="D8550">
        <v>5.5147430000000002</v>
      </c>
      <c r="E8550">
        <v>0.56960390000000005</v>
      </c>
      <c r="F8550" t="s">
        <v>59</v>
      </c>
      <c r="G8550">
        <v>-180.6337</v>
      </c>
      <c r="H8550" s="1">
        <v>-4.6313400000000003E-6</v>
      </c>
      <c r="I8550">
        <v>126.8959</v>
      </c>
      <c r="J8550">
        <v>-187.8228</v>
      </c>
      <c r="K8550">
        <v>1.1184810000000001</v>
      </c>
      <c r="L8550">
        <v>117.40219999999999</v>
      </c>
      <c r="M8550">
        <v>4.7175929999999998E-2</v>
      </c>
      <c r="N8550">
        <v>-2.1289240000000001E-2</v>
      </c>
      <c r="O8550">
        <v>0.99865970000000004</v>
      </c>
      <c r="P8550">
        <v>0.44096200000000002</v>
      </c>
      <c r="Q8550">
        <v>-0.10684489999999899</v>
      </c>
      <c r="R8550">
        <v>0.89114340000000003</v>
      </c>
      <c r="S8550">
        <v>1.8175349999999999</v>
      </c>
      <c r="T8550">
        <v>-0.28240799999999999</v>
      </c>
      <c r="U8550">
        <v>2.4358520000000001</v>
      </c>
      <c r="V8550">
        <v>0.39769490000000002</v>
      </c>
      <c r="W8550">
        <v>-9.0671790000000002E-2</v>
      </c>
      <c r="X8550">
        <v>0.91302649999999996</v>
      </c>
      <c r="Y8550">
        <v>0.55736019999999997</v>
      </c>
      <c r="Z8550">
        <v>-7.2875120000000002E-2</v>
      </c>
      <c r="AA8550">
        <v>0.82706639999999998</v>
      </c>
      <c r="AB8550">
        <v>27</v>
      </c>
      <c r="AC8550">
        <v>7.1890999999999901</v>
      </c>
      <c r="AD8550">
        <v>-1.11848563134</v>
      </c>
      <c r="AE8550">
        <v>9.4937000000000005</v>
      </c>
      <c r="AF8550">
        <v>6.6742394255336901</v>
      </c>
      <c r="AG8550">
        <v>-1.11848563134</v>
      </c>
      <c r="AH8550">
        <v>9.7364638669847103</v>
      </c>
      <c r="AI8550">
        <v>95.412699858613195</v>
      </c>
      <c r="AJ8550">
        <v>55.569789108074303</v>
      </c>
      <c r="AK8550">
        <v>11.8572851298246</v>
      </c>
      <c r="AL8550">
        <v>95.202255852997595</v>
      </c>
      <c r="AM8550">
        <v>66.463084224288394</v>
      </c>
      <c r="AN8550">
        <v>0.99999999834503195</v>
      </c>
    </row>
    <row r="8551" spans="1:40" x14ac:dyDescent="0.25">
      <c r="A8551" t="str">
        <f>"20190303155017314"</f>
        <v>20190303155017314</v>
      </c>
      <c r="B8551" t="str">
        <f>"1551599417309955"</f>
        <v>1551599417309955</v>
      </c>
      <c r="C8551" t="s">
        <v>40</v>
      </c>
      <c r="D8551">
        <v>5.5121140000000004</v>
      </c>
      <c r="E8551">
        <v>0.56958739999999997</v>
      </c>
      <c r="F8551" t="s">
        <v>59</v>
      </c>
      <c r="G8551">
        <v>-180.7809</v>
      </c>
      <c r="H8551" s="1">
        <v>-4.5849239999999997E-6</v>
      </c>
      <c r="I8551">
        <v>126.7961</v>
      </c>
      <c r="J8551">
        <v>-187.8134</v>
      </c>
      <c r="K8551">
        <v>1.118422</v>
      </c>
      <c r="L8551">
        <v>117.54349999999999</v>
      </c>
      <c r="M8551">
        <v>4.9553750000000001E-2</v>
      </c>
      <c r="N8551">
        <v>-2.15885E-2</v>
      </c>
      <c r="O8551">
        <v>0.99853809999999998</v>
      </c>
      <c r="P8551">
        <v>0.44492169999999998</v>
      </c>
      <c r="Q8551">
        <v>-0.1074692</v>
      </c>
      <c r="R8551">
        <v>0.889097899999999</v>
      </c>
      <c r="S8551">
        <v>1.8218080000000001</v>
      </c>
      <c r="T8551">
        <v>-0.28936309999999998</v>
      </c>
      <c r="U8551">
        <v>2.4302980000000001</v>
      </c>
      <c r="V8551">
        <v>0.39956239999999998</v>
      </c>
      <c r="W8551">
        <v>-9.1123339999999997E-2</v>
      </c>
      <c r="X8551">
        <v>0.91216580000000003</v>
      </c>
      <c r="Y8551">
        <v>0.55710669999999995</v>
      </c>
      <c r="Z8551">
        <v>-7.5008950000000005E-2</v>
      </c>
      <c r="AA8551">
        <v>0.82704650000000002</v>
      </c>
      <c r="AB8551">
        <v>27</v>
      </c>
      <c r="AC8551">
        <v>7.03249999999999</v>
      </c>
      <c r="AD8551">
        <v>-1.118426584924</v>
      </c>
      <c r="AE8551">
        <v>9.2525999999999993</v>
      </c>
      <c r="AF8551">
        <v>6.5050042531827597</v>
      </c>
      <c r="AG8551">
        <v>-1.118426584924</v>
      </c>
      <c r="AH8551">
        <v>9.5017975270706696</v>
      </c>
      <c r="AI8551">
        <v>95.547528094458897</v>
      </c>
      <c r="AJ8551">
        <v>55.604155985200698</v>
      </c>
      <c r="AK8551">
        <v>11.569361028390301</v>
      </c>
      <c r="AL8551">
        <v>95.228235246581903</v>
      </c>
      <c r="AM8551">
        <v>66.344801005123301</v>
      </c>
      <c r="AN8551">
        <v>1.00000001063807</v>
      </c>
    </row>
    <row r="8552" spans="1:40" x14ac:dyDescent="0.25">
      <c r="A8552" t="str">
        <f>"20190303155017326"</f>
        <v>20190303155017326</v>
      </c>
      <c r="B8552" t="str">
        <f>"1551599417318739"</f>
        <v>1551599417318739</v>
      </c>
      <c r="C8552" t="s">
        <v>40</v>
      </c>
      <c r="D8552">
        <v>5.4713750000000001</v>
      </c>
      <c r="E8552">
        <v>0.56974389999999997</v>
      </c>
      <c r="F8552" t="s">
        <v>59</v>
      </c>
      <c r="G8552">
        <v>-180.81469999999999</v>
      </c>
      <c r="H8552" s="1">
        <v>-4.5793320000000004E-6</v>
      </c>
      <c r="I8552">
        <v>126.7927</v>
      </c>
      <c r="J8552">
        <v>-187.80359999999999</v>
      </c>
      <c r="K8552">
        <v>1.118349</v>
      </c>
      <c r="L8552">
        <v>117.68429999999999</v>
      </c>
      <c r="M8552">
        <v>5.1986789999999998E-2</v>
      </c>
      <c r="N8552">
        <v>-2.1854789999999999E-2</v>
      </c>
      <c r="O8552">
        <v>0.99840859999999998</v>
      </c>
      <c r="P8552">
        <v>0.44849430000000001</v>
      </c>
      <c r="Q8552">
        <v>-0.1078001</v>
      </c>
      <c r="R8552">
        <v>0.88726099999999997</v>
      </c>
      <c r="S8552">
        <v>1.8325039999999999</v>
      </c>
      <c r="T8552">
        <v>-0.29284379999999999</v>
      </c>
      <c r="U8552">
        <v>2.421783</v>
      </c>
      <c r="V8552">
        <v>0.40099030000000002</v>
      </c>
      <c r="W8552">
        <v>-9.1306189999999995E-2</v>
      </c>
      <c r="X8552">
        <v>0.91152069999999996</v>
      </c>
      <c r="Y8552">
        <v>0.55874480000000004</v>
      </c>
      <c r="Z8552">
        <v>-7.599301E-2</v>
      </c>
      <c r="AA8552">
        <v>0.82585069999999905</v>
      </c>
      <c r="AB8552">
        <v>27</v>
      </c>
      <c r="AC8552">
        <v>6.9889000000000001</v>
      </c>
      <c r="AD8552">
        <v>-1.1183535793320001</v>
      </c>
      <c r="AE8552">
        <v>9.1083999999999996</v>
      </c>
      <c r="AF8552">
        <v>6.4446622991832099</v>
      </c>
      <c r="AG8552">
        <v>-1.1183535793320001</v>
      </c>
      <c r="AH8552">
        <v>9.3705779356792593</v>
      </c>
      <c r="AI8552">
        <v>95.616153310389095</v>
      </c>
      <c r="AJ8552">
        <v>55.481555101543201</v>
      </c>
      <c r="AK8552">
        <v>11.4276908309403</v>
      </c>
      <c r="AL8552">
        <v>95.238755620215002</v>
      </c>
      <c r="AM8552">
        <v>66.254655825704006</v>
      </c>
      <c r="AN8552">
        <v>1.0000000137774401</v>
      </c>
    </row>
    <row r="8553" spans="1:40" x14ac:dyDescent="0.25">
      <c r="A8553" t="str">
        <f>"20190303155017337"</f>
        <v>20190303155017337</v>
      </c>
      <c r="B8553" t="str">
        <f>"1551599417329475"</f>
        <v>1551599417329475</v>
      </c>
      <c r="C8553" t="s">
        <v>40</v>
      </c>
      <c r="D8553">
        <v>5.4943489999999997</v>
      </c>
      <c r="E8553">
        <v>0.56980529999999996</v>
      </c>
      <c r="F8553" t="s">
        <v>59</v>
      </c>
      <c r="G8553">
        <v>-180.78819999999999</v>
      </c>
      <c r="H8553" s="1">
        <v>-4.603323E-6</v>
      </c>
      <c r="I8553">
        <v>126.87090000000001</v>
      </c>
      <c r="J8553">
        <v>-187.79400000000001</v>
      </c>
      <c r="K8553">
        <v>1.1182799999999999</v>
      </c>
      <c r="L8553">
        <v>117.8193</v>
      </c>
      <c r="M8553">
        <v>5.4369210000000001E-2</v>
      </c>
      <c r="N8553">
        <v>-2.2084070000000001E-2</v>
      </c>
      <c r="O8553">
        <v>0.99827670000000002</v>
      </c>
      <c r="P8553">
        <v>0.4519862</v>
      </c>
      <c r="Q8553">
        <v>-0.1084924</v>
      </c>
      <c r="R8553">
        <v>0.88540269999999999</v>
      </c>
      <c r="S8553">
        <v>1.8432770000000001</v>
      </c>
      <c r="T8553">
        <v>-0.29384120000000002</v>
      </c>
      <c r="U8553">
        <v>2.4137270000000002</v>
      </c>
      <c r="V8553">
        <v>0.40238679999999999</v>
      </c>
      <c r="W8553">
        <v>-9.1884060000000004E-2</v>
      </c>
      <c r="X8553">
        <v>0.91084690000000001</v>
      </c>
      <c r="Y8553">
        <v>0.56040570000000001</v>
      </c>
      <c r="Z8553">
        <v>-7.6178480000000007E-2</v>
      </c>
      <c r="AA8553">
        <v>0.82470739999999998</v>
      </c>
      <c r="AB8553">
        <v>27</v>
      </c>
      <c r="AC8553">
        <v>7.0058000000000202</v>
      </c>
      <c r="AD8553">
        <v>-1.1182846033229901</v>
      </c>
      <c r="AE8553">
        <v>9.0516000000000005</v>
      </c>
      <c r="AF8553">
        <v>6.4416961296638702</v>
      </c>
      <c r="AG8553">
        <v>-1.1182846033229901</v>
      </c>
      <c r="AH8553">
        <v>9.3301386343491401</v>
      </c>
      <c r="AI8553">
        <v>95.633025017454202</v>
      </c>
      <c r="AJ8553">
        <v>55.378100705888698</v>
      </c>
      <c r="AK8553">
        <v>11.392870420448499</v>
      </c>
      <c r="AL8553">
        <v>95.272005258224894</v>
      </c>
      <c r="AM8553">
        <v>66.165493131005405</v>
      </c>
      <c r="AN8553">
        <v>0.99999994626796496</v>
      </c>
    </row>
    <row r="8554" spans="1:40" x14ac:dyDescent="0.25">
      <c r="A8554" t="str">
        <f>"20190303155017348"</f>
        <v>20190303155017348</v>
      </c>
      <c r="B8554" t="str">
        <f>"1551599417339235"</f>
        <v>1551599417339235</v>
      </c>
      <c r="C8554" t="s">
        <v>40</v>
      </c>
      <c r="D8554">
        <v>5.4694659999999997</v>
      </c>
      <c r="E8554">
        <v>0.5698358</v>
      </c>
      <c r="F8554" t="s">
        <v>59</v>
      </c>
      <c r="G8554">
        <v>-180.7792</v>
      </c>
      <c r="H8554" s="1">
        <v>-4.6186680000000003E-6</v>
      </c>
      <c r="I8554">
        <v>126.9251</v>
      </c>
      <c r="J8554">
        <v>-187.7843</v>
      </c>
      <c r="K8554">
        <v>1.118207</v>
      </c>
      <c r="L8554">
        <v>117.9464</v>
      </c>
      <c r="M8554">
        <v>5.6697320000000002E-2</v>
      </c>
      <c r="N8554">
        <v>-2.2262810000000001E-2</v>
      </c>
      <c r="O8554">
        <v>0.99814320000000001</v>
      </c>
      <c r="P8554">
        <v>0.45511079999999998</v>
      </c>
      <c r="Q8554">
        <v>-0.10873679999999999</v>
      </c>
      <c r="R8554">
        <v>0.88377059999999996</v>
      </c>
      <c r="S8554">
        <v>1.853424</v>
      </c>
      <c r="T8554">
        <v>-0.29546879999999998</v>
      </c>
      <c r="U8554">
        <v>2.4059140000000001</v>
      </c>
      <c r="V8554">
        <v>0.40346330000000002</v>
      </c>
      <c r="W8554">
        <v>-9.2048980000000002E-2</v>
      </c>
      <c r="X8554">
        <v>0.910354</v>
      </c>
      <c r="Y8554">
        <v>0.56192219999999904</v>
      </c>
      <c r="Z8554">
        <v>-7.6624380000000006E-2</v>
      </c>
      <c r="AA8554">
        <v>0.82363349999999902</v>
      </c>
      <c r="AB8554">
        <v>27</v>
      </c>
      <c r="AC8554">
        <v>7.0050999999999899</v>
      </c>
      <c r="AD8554">
        <v>-1.118211618668</v>
      </c>
      <c r="AE8554">
        <v>8.9786999999999999</v>
      </c>
      <c r="AF8554">
        <v>6.4227068715665299</v>
      </c>
      <c r="AG8554">
        <v>-1.118211618668</v>
      </c>
      <c r="AH8554">
        <v>9.2721210933210205</v>
      </c>
      <c r="AI8554">
        <v>95.661693676512499</v>
      </c>
      <c r="AJ8554">
        <v>55.290036120501703</v>
      </c>
      <c r="AK8554">
        <v>11.334627931758501</v>
      </c>
      <c r="AL8554">
        <v>95.281494265114105</v>
      </c>
      <c r="AM8554">
        <v>66.097373081648996</v>
      </c>
      <c r="AN8554">
        <v>1.0000000272409599</v>
      </c>
    </row>
    <row r="8555" spans="1:40" x14ac:dyDescent="0.25">
      <c r="A8555" t="str">
        <f>"20190303155017359"</f>
        <v>20190303155017359</v>
      </c>
      <c r="B8555" t="str">
        <f>"1551599417348996"</f>
        <v>1551599417348996</v>
      </c>
      <c r="C8555" t="s">
        <v>40</v>
      </c>
      <c r="D8555">
        <v>5.4794609999999997</v>
      </c>
      <c r="E8555">
        <v>0.56988359999999905</v>
      </c>
      <c r="F8555" t="s">
        <v>59</v>
      </c>
      <c r="G8555">
        <v>-180.76249999999999</v>
      </c>
      <c r="H8555" s="1">
        <v>-4.6386449999999997E-6</v>
      </c>
      <c r="I8555">
        <v>126.9931</v>
      </c>
      <c r="J8555">
        <v>-187.77379999999999</v>
      </c>
      <c r="K8555">
        <v>1.118139</v>
      </c>
      <c r="L8555">
        <v>118.08369999999999</v>
      </c>
      <c r="M8555">
        <v>5.923933E-2</v>
      </c>
      <c r="N8555">
        <v>-2.2443810000000002E-2</v>
      </c>
      <c r="O8555">
        <v>0.99799139999999997</v>
      </c>
      <c r="P8555">
        <v>0.4582986</v>
      </c>
      <c r="Q8555">
        <v>-0.10941869999999999</v>
      </c>
      <c r="R8555">
        <v>0.88203739999999997</v>
      </c>
      <c r="S8555">
        <v>1.8621369999999999</v>
      </c>
      <c r="T8555">
        <v>-0.29654069999999999</v>
      </c>
      <c r="U8555">
        <v>2.399124</v>
      </c>
      <c r="V8555">
        <v>0.40441339999999998</v>
      </c>
      <c r="W8555">
        <v>-9.2653589999999994E-2</v>
      </c>
      <c r="X8555">
        <v>0.90987090000000004</v>
      </c>
      <c r="Y8555">
        <v>0.56279279999999998</v>
      </c>
      <c r="Z8555">
        <v>-7.6889910000000006E-2</v>
      </c>
      <c r="AA8555">
        <v>0.82301409999999997</v>
      </c>
      <c r="AB8555">
        <v>27</v>
      </c>
      <c r="AC8555">
        <v>7.0113000000000003</v>
      </c>
      <c r="AD8555">
        <v>-1.1181436386450001</v>
      </c>
      <c r="AE8555">
        <v>8.9093999999999998</v>
      </c>
      <c r="AF8555">
        <v>6.4087241321788202</v>
      </c>
      <c r="AG8555">
        <v>-1.1181436386450001</v>
      </c>
      <c r="AH8555">
        <v>9.2195182063754295</v>
      </c>
      <c r="AI8555">
        <v>95.686992883868001</v>
      </c>
      <c r="AJ8555">
        <v>55.195843074767502</v>
      </c>
      <c r="AK8555">
        <v>11.2836831822194</v>
      </c>
      <c r="AL8555">
        <v>95.316284846442102</v>
      </c>
      <c r="AM8555">
        <v>66.036126320253302</v>
      </c>
      <c r="AN8555">
        <v>0.99999997025312803</v>
      </c>
    </row>
    <row r="8556" spans="1:40" x14ac:dyDescent="0.25">
      <c r="A8556" t="str">
        <f>"20190303155017372"</f>
        <v>20190303155017372</v>
      </c>
      <c r="B8556" t="str">
        <f>"1551599417369490"</f>
        <v>1551599417369490</v>
      </c>
      <c r="C8556" t="s">
        <v>40</v>
      </c>
      <c r="D8556">
        <v>5.460051</v>
      </c>
      <c r="E8556">
        <v>0.56996080000000005</v>
      </c>
      <c r="F8556" t="s">
        <v>59</v>
      </c>
      <c r="G8556">
        <v>-180.77420000000001</v>
      </c>
      <c r="H8556" s="1">
        <v>-4.6468820000000003E-6</v>
      </c>
      <c r="I8556">
        <v>127.0311</v>
      </c>
      <c r="J8556">
        <v>-187.76249999999999</v>
      </c>
      <c r="K8556">
        <v>1.1180619999999999</v>
      </c>
      <c r="L8556">
        <v>118.2201</v>
      </c>
      <c r="M8556">
        <v>6.1897859999999999E-2</v>
      </c>
      <c r="N8556">
        <v>-2.257315E-2</v>
      </c>
      <c r="O8556">
        <v>0.99782720000000003</v>
      </c>
      <c r="P8556">
        <v>0.46164179999999999</v>
      </c>
      <c r="Q8556">
        <v>-0.1096617</v>
      </c>
      <c r="R8556">
        <v>0.88026199999999999</v>
      </c>
      <c r="S8556">
        <v>1.87117</v>
      </c>
      <c r="T8556">
        <v>-0.29891190000000001</v>
      </c>
      <c r="U8556">
        <v>2.3919069999999998</v>
      </c>
      <c r="V8556">
        <v>0.40542440000000002</v>
      </c>
      <c r="W8556">
        <v>-9.2864139999999998E-2</v>
      </c>
      <c r="X8556">
        <v>0.90939939999999997</v>
      </c>
      <c r="Y8556">
        <v>0.56368200000000002</v>
      </c>
      <c r="Z8556">
        <v>-7.7643589999999998E-2</v>
      </c>
      <c r="AA8556">
        <v>0.82233449999999997</v>
      </c>
      <c r="AB8556">
        <v>27</v>
      </c>
      <c r="AC8556">
        <v>6.9882999999999802</v>
      </c>
      <c r="AD8556">
        <v>-1.118066646882</v>
      </c>
      <c r="AE8556">
        <v>8.8109999999999893</v>
      </c>
      <c r="AF8556">
        <v>6.3664438827285004</v>
      </c>
      <c r="AG8556">
        <v>-1.118066646882</v>
      </c>
      <c r="AH8556">
        <v>9.1364593798612894</v>
      </c>
      <c r="AI8556">
        <v>95.733437830428997</v>
      </c>
      <c r="AJ8556">
        <v>55.130545066476003</v>
      </c>
      <c r="AK8556">
        <v>11.191808197903301</v>
      </c>
      <c r="AL8556">
        <v>95.328400653857599</v>
      </c>
      <c r="AM8556">
        <v>65.971943638288295</v>
      </c>
      <c r="AN8556">
        <v>0.99999998066682905</v>
      </c>
    </row>
    <row r="8557" spans="1:40" x14ac:dyDescent="0.25">
      <c r="A8557" t="str">
        <f>"20190303155017389"</f>
        <v>20190303155017389</v>
      </c>
      <c r="B8557" t="str">
        <f>"1551599417379250"</f>
        <v>1551599417379250</v>
      </c>
      <c r="C8557" t="s">
        <v>40</v>
      </c>
      <c r="D8557">
        <v>5.4561229999999998</v>
      </c>
      <c r="E8557">
        <v>0.57000360000000005</v>
      </c>
      <c r="F8557" t="s">
        <v>59</v>
      </c>
      <c r="G8557">
        <v>-180.75729999999999</v>
      </c>
      <c r="H8557" s="1">
        <v>-4.6678509999999999E-6</v>
      </c>
      <c r="I8557">
        <v>127.1028</v>
      </c>
      <c r="J8557">
        <v>-187.74440000000001</v>
      </c>
      <c r="K8557">
        <v>1.1179380000000001</v>
      </c>
      <c r="L8557">
        <v>118.4325</v>
      </c>
      <c r="M8557">
        <v>6.6158960000000003E-2</v>
      </c>
      <c r="N8557">
        <v>-2.2734710000000002E-2</v>
      </c>
      <c r="O8557">
        <v>0.9975501</v>
      </c>
      <c r="P8557">
        <v>0.466972</v>
      </c>
      <c r="Q8557">
        <v>-0.10922220000000001</v>
      </c>
      <c r="R8557">
        <v>0.87750079999999997</v>
      </c>
      <c r="S8557">
        <v>1.8804780000000001</v>
      </c>
      <c r="T8557">
        <v>-0.30013319999999999</v>
      </c>
      <c r="U8557">
        <v>2.3844759999999998</v>
      </c>
      <c r="V8557">
        <v>0.40702919999999998</v>
      </c>
      <c r="W8557">
        <v>-9.2410759999999995E-2</v>
      </c>
      <c r="X8557">
        <v>0.90872850000000005</v>
      </c>
      <c r="Y8557">
        <v>0.56336030000000004</v>
      </c>
      <c r="Z8557">
        <v>-7.8030429999999998E-2</v>
      </c>
      <c r="AA8557">
        <v>0.82251839999999998</v>
      </c>
      <c r="AB8557">
        <v>27</v>
      </c>
      <c r="AC8557">
        <v>6.9871000000000203</v>
      </c>
      <c r="AD8557">
        <v>-1.1179426678509901</v>
      </c>
      <c r="AE8557">
        <v>8.6702999999999903</v>
      </c>
      <c r="AF8557">
        <v>6.3341723291540397</v>
      </c>
      <c r="AG8557">
        <v>-1.1179426678509901</v>
      </c>
      <c r="AH8557">
        <v>9.0227284238148595</v>
      </c>
      <c r="AI8557">
        <v>95.790497021171603</v>
      </c>
      <c r="AJ8557">
        <v>54.930221983849201</v>
      </c>
      <c r="AK8557">
        <v>11.080666185475399</v>
      </c>
      <c r="AL8557">
        <v>95.302311591776601</v>
      </c>
      <c r="AM8557">
        <v>65.871882782266894</v>
      </c>
      <c r="AN8557">
        <v>1.0000000024643301</v>
      </c>
    </row>
    <row r="8558" spans="1:40" x14ac:dyDescent="0.25">
      <c r="A8558" t="str">
        <f>"20190303155017412"</f>
        <v>20190303155017412</v>
      </c>
      <c r="B8558" t="str">
        <f>"1551599417409506"</f>
        <v>1551599417409506</v>
      </c>
      <c r="C8558" t="s">
        <v>40</v>
      </c>
      <c r="D8558">
        <v>5.4916729999999996</v>
      </c>
      <c r="E8558">
        <v>0.5702739</v>
      </c>
      <c r="F8558" t="s">
        <v>59</v>
      </c>
      <c r="G8558">
        <v>-180.66810000000001</v>
      </c>
      <c r="H8558" s="1">
        <v>-4.7295079999999996E-6</v>
      </c>
      <c r="I8558">
        <v>127.2923</v>
      </c>
      <c r="J8558">
        <v>-187.7208</v>
      </c>
      <c r="K8558">
        <v>1.1177840000000001</v>
      </c>
      <c r="L8558">
        <v>118.6913</v>
      </c>
      <c r="M8558">
        <v>7.1612780000000001E-2</v>
      </c>
      <c r="N8558">
        <v>-2.2848190000000001E-2</v>
      </c>
      <c r="O8558">
        <v>0.99717080000000002</v>
      </c>
      <c r="P8558">
        <v>0.4734546</v>
      </c>
      <c r="Q8558">
        <v>-0.1081569</v>
      </c>
      <c r="R8558">
        <v>0.8741527</v>
      </c>
      <c r="S8558">
        <v>1.8952640000000001</v>
      </c>
      <c r="T8558">
        <v>-0.2994214</v>
      </c>
      <c r="U8558">
        <v>2.3729550000000001</v>
      </c>
      <c r="V8558">
        <v>0.40875440000000002</v>
      </c>
      <c r="W8558">
        <v>-9.1400380000000003E-2</v>
      </c>
      <c r="X8558">
        <v>0.90805610000000003</v>
      </c>
      <c r="Y8558">
        <v>0.56393309999999996</v>
      </c>
      <c r="Z8558">
        <v>-7.7857609999999994E-2</v>
      </c>
      <c r="AA8558">
        <v>0.82214219999999905</v>
      </c>
      <c r="AB8558">
        <v>26</v>
      </c>
      <c r="AC8558">
        <v>7.0526999999999802</v>
      </c>
      <c r="AD8558">
        <v>-1.117788729508</v>
      </c>
      <c r="AE8558">
        <v>8.6009999999999902</v>
      </c>
      <c r="AF8558">
        <v>6.3543069684398397</v>
      </c>
      <c r="AG8558">
        <v>-1.117788729508</v>
      </c>
      <c r="AH8558">
        <v>8.9932758204660299</v>
      </c>
      <c r="AI8558">
        <v>95.796225359950398</v>
      </c>
      <c r="AJ8558">
        <v>54.756424692981398</v>
      </c>
      <c r="AK8558">
        <v>11.0682283440466</v>
      </c>
      <c r="AL8558">
        <v>95.244174859477198</v>
      </c>
      <c r="AM8558">
        <v>65.7654780645356</v>
      </c>
      <c r="AN8558">
        <v>1.0000000348653499</v>
      </c>
    </row>
    <row r="8559" spans="1:40" x14ac:dyDescent="0.25">
      <c r="A8559" t="str">
        <f>"20190303155017426"</f>
        <v>20190303155017426</v>
      </c>
      <c r="B8559" t="str">
        <f>"1551599417419267"</f>
        <v>1551599417419267</v>
      </c>
      <c r="C8559" t="s">
        <v>40</v>
      </c>
      <c r="D8559">
        <v>5.4742329999999999</v>
      </c>
      <c r="E8559">
        <v>0.57035880000000005</v>
      </c>
      <c r="F8559" t="s">
        <v>59</v>
      </c>
      <c r="G8559">
        <v>-180.5163</v>
      </c>
      <c r="H8559" s="1">
        <v>-4.8211350000000002E-6</v>
      </c>
      <c r="I8559">
        <v>127.5638</v>
      </c>
      <c r="J8559">
        <v>-187.70500000000001</v>
      </c>
      <c r="K8559">
        <v>1.117688</v>
      </c>
      <c r="L8559">
        <v>118.8548</v>
      </c>
      <c r="M8559">
        <v>7.5194880000000006E-2</v>
      </c>
      <c r="N8559">
        <v>-2.2881829999999999E-2</v>
      </c>
      <c r="O8559">
        <v>0.99690630000000002</v>
      </c>
      <c r="P8559">
        <v>0.4777749</v>
      </c>
      <c r="Q8559">
        <v>-0.1075585</v>
      </c>
      <c r="R8559">
        <v>0.87187289999999995</v>
      </c>
      <c r="S8559">
        <v>1.9147639999999999</v>
      </c>
      <c r="T8559">
        <v>-0.29707909999999998</v>
      </c>
      <c r="U8559">
        <v>2.3580779999999999</v>
      </c>
      <c r="V8559">
        <v>0.40996529999999998</v>
      </c>
      <c r="W8559">
        <v>-9.0873659999999995E-2</v>
      </c>
      <c r="X8559">
        <v>0.90756289999999995</v>
      </c>
      <c r="Y8559">
        <v>0.56763569999999997</v>
      </c>
      <c r="Z8559">
        <v>-7.7163289999999995E-2</v>
      </c>
      <c r="AA8559">
        <v>0.81965580000000005</v>
      </c>
      <c r="AB8559">
        <v>26</v>
      </c>
      <c r="AC8559">
        <v>7.1887000000000096</v>
      </c>
      <c r="AD8559">
        <v>-1.1176928211349999</v>
      </c>
      <c r="AE8559">
        <v>8.7089999999999996</v>
      </c>
      <c r="AF8559">
        <v>6.4501075553194198</v>
      </c>
      <c r="AG8559">
        <v>-1.1176928211349999</v>
      </c>
      <c r="AH8559">
        <v>9.1355331494599294</v>
      </c>
      <c r="AI8559">
        <v>95.707459461360301</v>
      </c>
      <c r="AJ8559">
        <v>54.776145599888402</v>
      </c>
      <c r="AK8559">
        <v>11.238820696251301</v>
      </c>
      <c r="AL8559">
        <v>95.213870125908798</v>
      </c>
      <c r="AM8559">
        <v>65.690302497998502</v>
      </c>
      <c r="AN8559">
        <v>0.99999999337114698</v>
      </c>
    </row>
    <row r="8560" spans="1:40" x14ac:dyDescent="0.25">
      <c r="A8560" t="str">
        <f>"20190303155017435"</f>
        <v>20190303155017435</v>
      </c>
      <c r="B8560" t="str">
        <f>"1551599417429026"</f>
        <v>1551599417429026</v>
      </c>
      <c r="C8560" t="s">
        <v>40</v>
      </c>
      <c r="D8560">
        <v>5.4567480000000002</v>
      </c>
      <c r="E8560">
        <v>0.57048030000000005</v>
      </c>
      <c r="F8560" t="s">
        <v>59</v>
      </c>
      <c r="G8560">
        <v>-180.40989999999999</v>
      </c>
      <c r="H8560" s="1">
        <v>-4.8830779999999997E-6</v>
      </c>
      <c r="I8560">
        <v>127.7453</v>
      </c>
      <c r="J8560">
        <v>-187.69290000000001</v>
      </c>
      <c r="K8560">
        <v>1.1176159999999999</v>
      </c>
      <c r="L8560">
        <v>118.9755</v>
      </c>
      <c r="M8560">
        <v>7.7908790000000006E-2</v>
      </c>
      <c r="N8560">
        <v>-2.2889590000000001E-2</v>
      </c>
      <c r="O8560">
        <v>0.99669770000000002</v>
      </c>
      <c r="P8560">
        <v>0.4811203</v>
      </c>
      <c r="Q8560">
        <v>-0.1067433</v>
      </c>
      <c r="R8560">
        <v>0.87013169999999995</v>
      </c>
      <c r="S8560">
        <v>1.927017</v>
      </c>
      <c r="T8560">
        <v>-0.29524270000000002</v>
      </c>
      <c r="U8560">
        <v>2.3484500000000001</v>
      </c>
      <c r="V8560">
        <v>0.41096510000000003</v>
      </c>
      <c r="W8560">
        <v>-9.0127659999999998E-2</v>
      </c>
      <c r="X8560">
        <v>0.90718509999999997</v>
      </c>
      <c r="Y8560">
        <v>0.56962760000000001</v>
      </c>
      <c r="Z8560">
        <v>-7.6635149999999999E-2</v>
      </c>
      <c r="AA8560">
        <v>0.81832240000000001</v>
      </c>
      <c r="AB8560">
        <v>26</v>
      </c>
      <c r="AC8560">
        <v>7.2830000000000101</v>
      </c>
      <c r="AD8560">
        <v>-1.1176208830779999</v>
      </c>
      <c r="AE8560">
        <v>8.7698</v>
      </c>
      <c r="AF8560">
        <v>6.5148085976631203</v>
      </c>
      <c r="AG8560">
        <v>-1.1176208830779999</v>
      </c>
      <c r="AH8560">
        <v>9.2220474329501592</v>
      </c>
      <c r="AI8560">
        <v>95.652865059920799</v>
      </c>
      <c r="AJ8560">
        <v>54.761147961458903</v>
      </c>
      <c r="AK8560">
        <v>11.3462754398992</v>
      </c>
      <c r="AL8560">
        <v>95.1709510210285</v>
      </c>
      <c r="AM8560">
        <v>65.628936496117205</v>
      </c>
      <c r="AN8560">
        <v>1.0000000570885399</v>
      </c>
    </row>
    <row r="8561" spans="1:40" x14ac:dyDescent="0.25">
      <c r="A8561" t="str">
        <f>"20190303155017445"</f>
        <v>20190303155017445</v>
      </c>
      <c r="B8561" t="str">
        <f>"1551599417438787"</f>
        <v>1551599417438787</v>
      </c>
      <c r="C8561" t="s">
        <v>40</v>
      </c>
      <c r="D8561">
        <v>5.31846</v>
      </c>
      <c r="E8561">
        <v>0.57058609999999998</v>
      </c>
      <c r="F8561" t="s">
        <v>59</v>
      </c>
      <c r="G8561">
        <v>-180.29320000000001</v>
      </c>
      <c r="H8561" s="1">
        <v>-4.9444700000000003E-6</v>
      </c>
      <c r="I8561">
        <v>127.9191</v>
      </c>
      <c r="J8561">
        <v>-187.68109999999999</v>
      </c>
      <c r="K8561">
        <v>1.1175440000000001</v>
      </c>
      <c r="L8561">
        <v>119.0895</v>
      </c>
      <c r="M8561">
        <v>8.0531599999999995E-2</v>
      </c>
      <c r="N8561">
        <v>-2.2885800000000001E-2</v>
      </c>
      <c r="O8561">
        <v>0.99648930000000002</v>
      </c>
      <c r="P8561">
        <v>0.48446210000000001</v>
      </c>
      <c r="Q8561">
        <v>-0.10585020000000001</v>
      </c>
      <c r="R8561">
        <v>0.86838479999999996</v>
      </c>
      <c r="S8561">
        <v>1.9368289999999999</v>
      </c>
      <c r="T8561">
        <v>-0.29253220000000002</v>
      </c>
      <c r="U8561">
        <v>2.3409270000000002</v>
      </c>
      <c r="V8561">
        <v>0.41205059999999899</v>
      </c>
      <c r="W8561">
        <v>-8.9313149999999994E-2</v>
      </c>
      <c r="X8561">
        <v>0.9067731</v>
      </c>
      <c r="Y8561">
        <v>0.57083989999999996</v>
      </c>
      <c r="Z8561">
        <v>-7.5814430000000002E-2</v>
      </c>
      <c r="AA8561">
        <v>0.81755359999999999</v>
      </c>
      <c r="AB8561">
        <v>26</v>
      </c>
      <c r="AC8561">
        <v>7.3878999999999699</v>
      </c>
      <c r="AD8561">
        <v>-1.11754894447</v>
      </c>
      <c r="AE8561">
        <v>8.8295999999999992</v>
      </c>
      <c r="AF8561">
        <v>6.5905429383895102</v>
      </c>
      <c r="AG8561">
        <v>-1.11754894447</v>
      </c>
      <c r="AH8561">
        <v>9.3083124812076896</v>
      </c>
      <c r="AI8561">
        <v>95.596285559244293</v>
      </c>
      <c r="AJ8561">
        <v>54.700449646621202</v>
      </c>
      <c r="AK8561">
        <v>11.459880152682601</v>
      </c>
      <c r="AL8561">
        <v>95.124094379956503</v>
      </c>
      <c r="AM8561">
        <v>65.562276707671302</v>
      </c>
      <c r="AN8561">
        <v>0.99999999530344597</v>
      </c>
    </row>
    <row r="8562" spans="1:40" x14ac:dyDescent="0.25">
      <c r="A8562" t="str">
        <f>"20190303155017456"</f>
        <v>20190303155017456</v>
      </c>
      <c r="B8562" t="str">
        <f>"1551599417449523"</f>
        <v>1551599417449523</v>
      </c>
      <c r="C8562" t="s">
        <v>40</v>
      </c>
      <c r="D8562">
        <v>5.4862789999999997</v>
      </c>
      <c r="E8562">
        <v>0.57067840000000003</v>
      </c>
      <c r="F8562" t="s">
        <v>59</v>
      </c>
      <c r="G8562">
        <v>-179.89959999999999</v>
      </c>
      <c r="H8562" s="1">
        <v>-5.082868E-6</v>
      </c>
      <c r="I8562">
        <v>128.41829999999999</v>
      </c>
      <c r="J8562">
        <v>-187.66800000000001</v>
      </c>
      <c r="K8562">
        <v>1.11747</v>
      </c>
      <c r="L8562">
        <v>119.212</v>
      </c>
      <c r="M8562">
        <v>8.340053E-2</v>
      </c>
      <c r="N8562">
        <v>-2.2872610000000002E-2</v>
      </c>
      <c r="O8562">
        <v>0.99625359999999996</v>
      </c>
      <c r="P8562">
        <v>0.48822460000000001</v>
      </c>
      <c r="Q8562">
        <v>-0.1059022</v>
      </c>
      <c r="R8562">
        <v>0.86626879999999995</v>
      </c>
      <c r="S8562">
        <v>1.947144</v>
      </c>
      <c r="T8562">
        <v>-0.27964040000000001</v>
      </c>
      <c r="U8562">
        <v>2.3343050000000001</v>
      </c>
      <c r="V8562">
        <v>0.41335620000000001</v>
      </c>
      <c r="W8562">
        <v>-8.9463860000000006E-2</v>
      </c>
      <c r="X8562">
        <v>0.90616379999999996</v>
      </c>
      <c r="Y8562">
        <v>0.57197509999999996</v>
      </c>
      <c r="Z8562">
        <v>-7.1586440000000001E-2</v>
      </c>
      <c r="AA8562">
        <v>0.81714129999999996</v>
      </c>
      <c r="AB8562">
        <v>26</v>
      </c>
      <c r="AC8562">
        <v>7.7684000000000104</v>
      </c>
      <c r="AD8562">
        <v>-1.117475082868</v>
      </c>
      <c r="AE8562">
        <v>9.2062999999999793</v>
      </c>
      <c r="AF8562">
        <v>6.9138107638659196</v>
      </c>
      <c r="AG8562">
        <v>-1.117475082868</v>
      </c>
      <c r="AH8562">
        <v>9.7384594120502808</v>
      </c>
      <c r="AI8562">
        <v>95.345393863727594</v>
      </c>
      <c r="AJ8562">
        <v>54.6271860878743</v>
      </c>
      <c r="AK8562">
        <v>11.9952958095884</v>
      </c>
      <c r="AL8562">
        <v>95.132764205060894</v>
      </c>
      <c r="AM8562">
        <v>65.479398136869605</v>
      </c>
      <c r="AN8562">
        <v>0.99999998137748902</v>
      </c>
    </row>
    <row r="8563" spans="1:40" x14ac:dyDescent="0.25">
      <c r="A8563" t="str">
        <f>"20190303155017468"</f>
        <v>20190303155017468</v>
      </c>
      <c r="B8563" t="str">
        <f>"1551599417459283"</f>
        <v>1551599417459283</v>
      </c>
      <c r="C8563" t="s">
        <v>40</v>
      </c>
      <c r="D8563">
        <v>5.4490429999999996</v>
      </c>
      <c r="E8563">
        <v>0.57077069999999996</v>
      </c>
      <c r="F8563" t="s">
        <v>59</v>
      </c>
      <c r="G8563">
        <v>-179.86600000000001</v>
      </c>
      <c r="H8563" s="1">
        <v>-5.0768219999999996E-6</v>
      </c>
      <c r="I8563">
        <v>128.4794</v>
      </c>
      <c r="J8563">
        <v>-187.6541</v>
      </c>
      <c r="K8563">
        <v>1.1173949999999999</v>
      </c>
      <c r="L8563">
        <v>119.33759999999999</v>
      </c>
      <c r="M8563">
        <v>8.6424719999999997E-2</v>
      </c>
      <c r="N8563">
        <v>-2.284808E-2</v>
      </c>
      <c r="O8563">
        <v>0.9959964</v>
      </c>
      <c r="P8563">
        <v>0.49165140000000002</v>
      </c>
      <c r="Q8563">
        <v>-0.1062536</v>
      </c>
      <c r="R8563">
        <v>0.86428530000000003</v>
      </c>
      <c r="S8563">
        <v>1.9577789999999999</v>
      </c>
      <c r="T8563">
        <v>-0.28040859999999901</v>
      </c>
      <c r="U8563">
        <v>2.3254549999999998</v>
      </c>
      <c r="V8563">
        <v>0.41417759999999998</v>
      </c>
      <c r="W8563">
        <v>-8.9919659999999998E-2</v>
      </c>
      <c r="X8563">
        <v>0.90574350000000003</v>
      </c>
      <c r="Y8563">
        <v>0.5731887</v>
      </c>
      <c r="Z8563">
        <v>-7.1964059999999996E-2</v>
      </c>
      <c r="AA8563">
        <v>0.81625729999999996</v>
      </c>
      <c r="AB8563">
        <v>26</v>
      </c>
      <c r="AC8563">
        <v>7.7881000000000098</v>
      </c>
      <c r="AD8563">
        <v>-1.117400076822</v>
      </c>
      <c r="AE8563">
        <v>9.1417999999999999</v>
      </c>
      <c r="AF8563">
        <v>6.9088505183560498</v>
      </c>
      <c r="AG8563">
        <v>-1.117400076822</v>
      </c>
      <c r="AH8563">
        <v>9.6968904505926901</v>
      </c>
      <c r="AI8563">
        <v>95.361439078039396</v>
      </c>
      <c r="AJ8563">
        <v>54.530848672508803</v>
      </c>
      <c r="AK8563">
        <v>11.958699044104501</v>
      </c>
      <c r="AL8563">
        <v>95.158985421681194</v>
      </c>
      <c r="AM8563">
        <v>65.426370772800894</v>
      </c>
      <c r="AN8563">
        <v>0.99999995869426195</v>
      </c>
    </row>
    <row r="8564" spans="1:40" x14ac:dyDescent="0.25">
      <c r="A8564" t="str">
        <f>"20190303155017478"</f>
        <v>20190303155017478</v>
      </c>
      <c r="B8564" t="str">
        <f>"1551599417469043"</f>
        <v>1551599417469043</v>
      </c>
      <c r="C8564" t="s">
        <v>40</v>
      </c>
      <c r="D8564">
        <v>5.4469409999999998</v>
      </c>
      <c r="E8564">
        <v>0.57085649999999999</v>
      </c>
      <c r="F8564" t="s">
        <v>59</v>
      </c>
      <c r="G8564">
        <v>-179.85599999999999</v>
      </c>
      <c r="H8564" s="1">
        <v>-5.0811130000000001E-6</v>
      </c>
      <c r="I8564">
        <v>128.52090000000001</v>
      </c>
      <c r="J8564">
        <v>-187.6395</v>
      </c>
      <c r="K8564">
        <v>1.1173139999999999</v>
      </c>
      <c r="L8564">
        <v>119.4675</v>
      </c>
      <c r="M8564">
        <v>8.9594460000000001E-2</v>
      </c>
      <c r="N8564">
        <v>-2.281654E-2</v>
      </c>
      <c r="O8564">
        <v>0.99571690000000002</v>
      </c>
      <c r="P8564">
        <v>0.49549219999999999</v>
      </c>
      <c r="Q8564">
        <v>-0.1060758</v>
      </c>
      <c r="R8564">
        <v>0.86211099999999996</v>
      </c>
      <c r="S8564">
        <v>1.9676210000000001</v>
      </c>
      <c r="T8564">
        <v>-0.281943</v>
      </c>
      <c r="U8564">
        <v>2.317123</v>
      </c>
      <c r="V8564">
        <v>0.41530660000000003</v>
      </c>
      <c r="W8564">
        <v>-8.9861590000000005E-2</v>
      </c>
      <c r="X8564">
        <v>0.90523220000000004</v>
      </c>
      <c r="Y8564">
        <v>0.57401480000000005</v>
      </c>
      <c r="Z8564">
        <v>-7.2607519999999995E-2</v>
      </c>
      <c r="AA8564">
        <v>0.81561949999999905</v>
      </c>
      <c r="AB8564">
        <v>26</v>
      </c>
      <c r="AC8564">
        <v>7.7835000000000001</v>
      </c>
      <c r="AD8564">
        <v>-1.1173190811129901</v>
      </c>
      <c r="AE8564">
        <v>9.0533999999999999</v>
      </c>
      <c r="AF8564">
        <v>6.8805763188429996</v>
      </c>
      <c r="AG8564">
        <v>-1.1173190811129901</v>
      </c>
      <c r="AH8564">
        <v>9.6301718829408394</v>
      </c>
      <c r="AI8564">
        <v>95.392903730559297</v>
      </c>
      <c r="AJ8564">
        <v>54.454908092201698</v>
      </c>
      <c r="AK8564">
        <v>11.888269129836599</v>
      </c>
      <c r="AL8564">
        <v>95.155644483464599</v>
      </c>
      <c r="AM8564">
        <v>65.355071388555501</v>
      </c>
      <c r="AN8564">
        <v>1.0000000066388599</v>
      </c>
    </row>
    <row r="8565" spans="1:40" x14ac:dyDescent="0.25">
      <c r="A8565" t="str">
        <f>"20190303155017491"</f>
        <v>20190303155017491</v>
      </c>
      <c r="B8565" t="str">
        <f>"1551599417479779"</f>
        <v>1551599417479779</v>
      </c>
      <c r="C8565" t="s">
        <v>40</v>
      </c>
      <c r="D8565">
        <v>5.4447929999999998</v>
      </c>
      <c r="E8565">
        <v>0.57094769999999995</v>
      </c>
      <c r="F8565" t="s">
        <v>59</v>
      </c>
      <c r="G8565">
        <v>-179.79159999999999</v>
      </c>
      <c r="H8565" s="1">
        <v>-5.0654959999999999E-6</v>
      </c>
      <c r="I8565">
        <v>128.6225</v>
      </c>
      <c r="J8565">
        <v>-187.62389999999999</v>
      </c>
      <c r="K8565">
        <v>1.117229</v>
      </c>
      <c r="L8565">
        <v>119.5988</v>
      </c>
      <c r="M8565">
        <v>9.2917910000000006E-2</v>
      </c>
      <c r="N8565">
        <v>-2.2772520000000001E-2</v>
      </c>
      <c r="O8565">
        <v>0.99541329999999995</v>
      </c>
      <c r="P8565">
        <v>0.49952059999999998</v>
      </c>
      <c r="Q8565">
        <v>-0.1060812</v>
      </c>
      <c r="R8565">
        <v>0.85978250000000001</v>
      </c>
      <c r="S8565">
        <v>1.9784999999999999</v>
      </c>
      <c r="T8565">
        <v>-0.28168500000000002</v>
      </c>
      <c r="U8565">
        <v>2.3080440000000002</v>
      </c>
      <c r="V8565">
        <v>0.4165005</v>
      </c>
      <c r="W8565">
        <v>-9.0006130000000004E-2</v>
      </c>
      <c r="X8565">
        <v>0.9046691</v>
      </c>
      <c r="Y8565">
        <v>0.57508590000000004</v>
      </c>
      <c r="Z8565">
        <v>-7.2666750000000002E-2</v>
      </c>
      <c r="AA8565">
        <v>0.81485940000000001</v>
      </c>
      <c r="AB8565">
        <v>26</v>
      </c>
      <c r="AC8565">
        <v>7.8323</v>
      </c>
      <c r="AD8565">
        <v>-1.117234065496</v>
      </c>
      <c r="AE8565">
        <v>9.0236999999999998</v>
      </c>
      <c r="AF8565">
        <v>6.8993979266733296</v>
      </c>
      <c r="AG8565">
        <v>-1.117234065496</v>
      </c>
      <c r="AH8565">
        <v>9.6284126419375795</v>
      </c>
      <c r="AI8565">
        <v>95.388186607433298</v>
      </c>
      <c r="AJ8565">
        <v>54.375884648717701</v>
      </c>
      <c r="AK8565">
        <v>11.897740697759</v>
      </c>
      <c r="AL8565">
        <v>95.163959873556294</v>
      </c>
      <c r="AM8565">
        <v>65.279135244626602</v>
      </c>
      <c r="AN8565">
        <v>0.999999975216318</v>
      </c>
    </row>
    <row r="8566" spans="1:40" x14ac:dyDescent="0.25">
      <c r="A8566" t="str">
        <f>"20190303155017502"</f>
        <v>20190303155017502</v>
      </c>
      <c r="B8566" t="str">
        <f>"1551599417499299"</f>
        <v>1551599417499299</v>
      </c>
      <c r="C8566" t="s">
        <v>40</v>
      </c>
      <c r="D8566">
        <v>5.3372460000000004</v>
      </c>
      <c r="E8566">
        <v>0.57128330000000005</v>
      </c>
      <c r="F8566" t="s">
        <v>59</v>
      </c>
      <c r="G8566">
        <v>-179.74119999999999</v>
      </c>
      <c r="H8566" s="1">
        <v>-5.0537319999999996E-6</v>
      </c>
      <c r="I8566">
        <v>128.7039</v>
      </c>
      <c r="J8566">
        <v>-187.60910000000001</v>
      </c>
      <c r="K8566">
        <v>1.1171489999999999</v>
      </c>
      <c r="L8566">
        <v>119.72190000000001</v>
      </c>
      <c r="M8566">
        <v>9.6059050000000007E-2</v>
      </c>
      <c r="N8566">
        <v>-2.272832E-2</v>
      </c>
      <c r="O8566">
        <v>0.99511609999999995</v>
      </c>
      <c r="P8566">
        <v>0.5032103</v>
      </c>
      <c r="Q8566">
        <v>-0.106169</v>
      </c>
      <c r="R8566">
        <v>0.85761730000000003</v>
      </c>
      <c r="S8566">
        <v>1.989838</v>
      </c>
      <c r="T8566">
        <v>-0.28202559999999999</v>
      </c>
      <c r="U8566">
        <v>2.298416</v>
      </c>
      <c r="V8566">
        <v>0.4175141</v>
      </c>
      <c r="W8566">
        <v>-9.0226490000000006E-2</v>
      </c>
      <c r="X8566">
        <v>0.90417979999999998</v>
      </c>
      <c r="Y8566">
        <v>0.57648180000000004</v>
      </c>
      <c r="Z8566">
        <v>-7.2924059999999999E-2</v>
      </c>
      <c r="AA8566">
        <v>0.81384939999999995</v>
      </c>
      <c r="AB8566">
        <v>26</v>
      </c>
      <c r="AC8566">
        <v>7.8679000000000103</v>
      </c>
      <c r="AD8566">
        <v>-1.1171540537319999</v>
      </c>
      <c r="AE8566">
        <v>8.9819999999999993</v>
      </c>
      <c r="AF8566">
        <v>6.9080046220020996</v>
      </c>
      <c r="AG8566">
        <v>-1.1171540537319999</v>
      </c>
      <c r="AH8566">
        <v>9.6122824920442405</v>
      </c>
      <c r="AI8566">
        <v>95.391462235459301</v>
      </c>
      <c r="AJ8566">
        <v>54.296545006937897</v>
      </c>
      <c r="AK8566">
        <v>11.8896819025671</v>
      </c>
      <c r="AL8566">
        <v>95.176637143513503</v>
      </c>
      <c r="AM8566">
        <v>65.214394290569601</v>
      </c>
      <c r="AN8566">
        <v>0.99999997696228404</v>
      </c>
    </row>
    <row r="8567" spans="1:40" x14ac:dyDescent="0.25">
      <c r="A8567" t="str">
        <f>"20190303155017511"</f>
        <v>20190303155017511</v>
      </c>
      <c r="B8567" t="str">
        <f>"1551599417499299"</f>
        <v>1551599417499299</v>
      </c>
      <c r="C8567" t="s">
        <v>40</v>
      </c>
      <c r="D8567">
        <v>5.3372460000000004</v>
      </c>
      <c r="E8567">
        <v>0.57128330000000005</v>
      </c>
      <c r="F8567" t="s">
        <v>59</v>
      </c>
      <c r="G8567">
        <v>-179.62719999999999</v>
      </c>
      <c r="H8567" s="1">
        <v>-5.0162619999999999E-6</v>
      </c>
      <c r="I8567">
        <v>128.8458</v>
      </c>
      <c r="J8567">
        <v>-187.59469999999999</v>
      </c>
      <c r="K8567">
        <v>1.1170690000000001</v>
      </c>
      <c r="L8567">
        <v>119.83499999999999</v>
      </c>
      <c r="M8567">
        <v>9.905419E-2</v>
      </c>
      <c r="N8567">
        <v>-2.267889E-2</v>
      </c>
      <c r="O8567">
        <v>0.99482360000000003</v>
      </c>
      <c r="P8567">
        <v>0.50705169999999999</v>
      </c>
      <c r="Q8567">
        <v>-0.1059454</v>
      </c>
      <c r="R8567">
        <v>0.85537960000000002</v>
      </c>
      <c r="S8567">
        <v>2.0021209999999998</v>
      </c>
      <c r="T8567">
        <v>-0.28022089999999999</v>
      </c>
      <c r="U8567">
        <v>2.288605</v>
      </c>
      <c r="V8567">
        <v>0.41882809999999998</v>
      </c>
      <c r="W8567">
        <v>-9.0145069999999994E-2</v>
      </c>
      <c r="X8567">
        <v>0.9035801</v>
      </c>
      <c r="Y8567">
        <v>0.57825550000000003</v>
      </c>
      <c r="Z8567">
        <v>-7.2451000000000002E-2</v>
      </c>
      <c r="AA8567">
        <v>0.81263240000000003</v>
      </c>
      <c r="AB8567">
        <v>25</v>
      </c>
      <c r="AC8567">
        <v>7.9675000000000002</v>
      </c>
      <c r="AD8567">
        <v>-1.1170740162620001</v>
      </c>
      <c r="AE8567">
        <v>9.0107999999999997</v>
      </c>
      <c r="AF8567">
        <v>6.9753451741404398</v>
      </c>
      <c r="AG8567">
        <v>-1.1170740162620001</v>
      </c>
      <c r="AH8567">
        <v>9.6724529180331107</v>
      </c>
      <c r="AI8567">
        <v>95.351448314557302</v>
      </c>
      <c r="AJ8567">
        <v>54.202524681549598</v>
      </c>
      <c r="AK8567">
        <v>11.9774638428917</v>
      </c>
      <c r="AL8567">
        <v>95.171952633287802</v>
      </c>
      <c r="AM8567">
        <v>65.131299844561894</v>
      </c>
      <c r="AN8567">
        <v>1.0000000540554601</v>
      </c>
    </row>
    <row r="8568" spans="1:40" x14ac:dyDescent="0.25">
      <c r="A8568" t="str">
        <f>"20190303155017523"</f>
        <v>20190303155017523</v>
      </c>
      <c r="B8568" t="str">
        <f>"1551599417518818"</f>
        <v>1551599417518818</v>
      </c>
      <c r="C8568" t="s">
        <v>40</v>
      </c>
      <c r="D8568">
        <v>5.3826090000000004</v>
      </c>
      <c r="E8568">
        <v>0.57141209999999998</v>
      </c>
      <c r="F8568" t="s">
        <v>59</v>
      </c>
      <c r="G8568">
        <v>-179.54740000000001</v>
      </c>
      <c r="H8568" s="1">
        <v>-4.9916319999999998E-6</v>
      </c>
      <c r="I8568">
        <v>128.95150000000001</v>
      </c>
      <c r="J8568">
        <v>-187.57810000000001</v>
      </c>
      <c r="K8568">
        <v>1.1169789999999999</v>
      </c>
      <c r="L8568">
        <v>119.9645</v>
      </c>
      <c r="M8568">
        <v>0.1025089</v>
      </c>
      <c r="N8568">
        <v>-2.2620870000000001E-2</v>
      </c>
      <c r="O8568">
        <v>0.99447479999999999</v>
      </c>
      <c r="P8568">
        <v>0.5112468</v>
      </c>
      <c r="Q8568">
        <v>-0.10622910000000001</v>
      </c>
      <c r="R8568">
        <v>0.85284349999999998</v>
      </c>
      <c r="S8568">
        <v>2.0123600000000001</v>
      </c>
      <c r="T8568">
        <v>-0.27934219999999998</v>
      </c>
      <c r="U8568">
        <v>2.2797239999999999</v>
      </c>
      <c r="V8568">
        <v>0.4201066</v>
      </c>
      <c r="W8568">
        <v>-9.0589699999999995E-2</v>
      </c>
      <c r="X8568">
        <v>0.90294180000000002</v>
      </c>
      <c r="Y8568">
        <v>0.57905810000000002</v>
      </c>
      <c r="Z8568">
        <v>-7.2318549999999995E-2</v>
      </c>
      <c r="AA8568">
        <v>0.81207259999999903</v>
      </c>
      <c r="AB8568">
        <v>25</v>
      </c>
      <c r="AC8568">
        <v>8.0306999999999906</v>
      </c>
      <c r="AD8568">
        <v>-1.1169839916319999</v>
      </c>
      <c r="AE8568">
        <v>8.9870000000000001</v>
      </c>
      <c r="AF8568">
        <v>7.0067078902380402</v>
      </c>
      <c r="AG8568">
        <v>-1.1169839916319999</v>
      </c>
      <c r="AH8568">
        <v>9.6799191284064499</v>
      </c>
      <c r="AI8568">
        <v>95.340148054962796</v>
      </c>
      <c r="AJ8568">
        <v>54.101495190764801</v>
      </c>
      <c r="AK8568">
        <v>12.0017683292577</v>
      </c>
      <c r="AL8568">
        <v>95.197533145019094</v>
      </c>
      <c r="AM8568">
        <v>65.049121748283298</v>
      </c>
      <c r="AN8568">
        <v>0.99999997164844401</v>
      </c>
    </row>
    <row r="8569" spans="1:40" x14ac:dyDescent="0.25">
      <c r="A8569" t="str">
        <f>"20190303155017534"</f>
        <v>20190303155017534</v>
      </c>
      <c r="B8569" t="str">
        <f>"1551599417529555"</f>
        <v>1551599417529555</v>
      </c>
      <c r="C8569" t="s">
        <v>40</v>
      </c>
      <c r="D8569">
        <v>5.3931290000000001</v>
      </c>
      <c r="E8569">
        <v>0.57141209999999998</v>
      </c>
      <c r="F8569" t="s">
        <v>59</v>
      </c>
      <c r="G8569">
        <v>-179.53</v>
      </c>
      <c r="H8569" s="1">
        <v>-4.9889940000000003E-6</v>
      </c>
      <c r="I8569">
        <v>128.98490000000001</v>
      </c>
      <c r="J8569">
        <v>-187.56049999999999</v>
      </c>
      <c r="K8569">
        <v>1.1168899999999999</v>
      </c>
      <c r="L8569">
        <v>120.0958</v>
      </c>
      <c r="M8569">
        <v>0.106114</v>
      </c>
      <c r="N8569">
        <v>-2.2558169999999999E-2</v>
      </c>
      <c r="O8569">
        <v>0.99409809999999998</v>
      </c>
      <c r="P8569">
        <v>0.51545299999999905</v>
      </c>
      <c r="Q8569">
        <v>-0.1065174</v>
      </c>
      <c r="R8569">
        <v>0.85027189999999997</v>
      </c>
      <c r="S8569">
        <v>2.0244599999999999</v>
      </c>
      <c r="T8569">
        <v>-0.2809741</v>
      </c>
      <c r="U8569">
        <v>2.2690579999999998</v>
      </c>
      <c r="V8569">
        <v>0.42127189999999998</v>
      </c>
      <c r="W8569">
        <v>-9.1041339999999998E-2</v>
      </c>
      <c r="X8569">
        <v>0.90235330000000002</v>
      </c>
      <c r="Y8569">
        <v>0.58037749999999999</v>
      </c>
      <c r="Z8569">
        <v>-7.3039469999999995E-2</v>
      </c>
      <c r="AA8569">
        <v>0.81106540000000005</v>
      </c>
      <c r="AB8569">
        <v>25</v>
      </c>
      <c r="AC8569">
        <v>8.0304999999999893</v>
      </c>
      <c r="AD8569">
        <v>-1.1168949889940001</v>
      </c>
      <c r="AE8569">
        <v>8.8891000000000098</v>
      </c>
      <c r="AF8569">
        <v>6.9809546621860603</v>
      </c>
      <c r="AG8569">
        <v>-1.1168949889940001</v>
      </c>
      <c r="AH8569">
        <v>9.6077338999242698</v>
      </c>
      <c r="AI8569">
        <v>95.372603851490496</v>
      </c>
      <c r="AJ8569">
        <v>53.9979415784263</v>
      </c>
      <c r="AK8569">
        <v>11.928526023934801</v>
      </c>
      <c r="AL8569">
        <v>95.223517392580504</v>
      </c>
      <c r="AM8569">
        <v>64.974050674643493</v>
      </c>
      <c r="AN8569">
        <v>1.00000000866974</v>
      </c>
    </row>
    <row r="8570" spans="1:40" x14ac:dyDescent="0.25">
      <c r="A8570" t="str">
        <f>"20190303155017546"</f>
        <v>20190303155017546</v>
      </c>
      <c r="B8570" t="str">
        <f>"1551599417539314"</f>
        <v>1551599417539314</v>
      </c>
      <c r="C8570" t="s">
        <v>40</v>
      </c>
      <c r="D8570">
        <v>5.4093019999999896</v>
      </c>
      <c r="E8570">
        <v>0.54965419999999998</v>
      </c>
      <c r="F8570" t="s">
        <v>59</v>
      </c>
      <c r="G8570">
        <v>-179.48099999999999</v>
      </c>
      <c r="H8570" s="1">
        <v>-4.9771010000000004E-6</v>
      </c>
      <c r="I8570">
        <v>129.06209999999999</v>
      </c>
      <c r="J8570">
        <v>-187.54300000000001</v>
      </c>
      <c r="K8570">
        <v>1.1168049999999901</v>
      </c>
      <c r="L8570">
        <v>120.2227</v>
      </c>
      <c r="M8570">
        <v>0.1096568</v>
      </c>
      <c r="N8570">
        <v>-2.2497610000000001E-2</v>
      </c>
      <c r="O8570">
        <v>0.99371489999999996</v>
      </c>
      <c r="P8570">
        <v>0.51979640000000005</v>
      </c>
      <c r="Q8570">
        <v>-0.1070281</v>
      </c>
      <c r="R8570">
        <v>0.84755930000000002</v>
      </c>
      <c r="S8570">
        <v>2.0355829999999999</v>
      </c>
      <c r="T8570">
        <v>-0.28139769999999997</v>
      </c>
      <c r="U8570">
        <v>2.2590330000000001</v>
      </c>
      <c r="V8570">
        <v>0.42265219999999998</v>
      </c>
      <c r="W8570">
        <v>-9.171493E-2</v>
      </c>
      <c r="X8570">
        <v>0.90163930000000003</v>
      </c>
      <c r="Y8570">
        <v>0.5814589</v>
      </c>
      <c r="Z8570">
        <v>-7.3353119999999994E-2</v>
      </c>
      <c r="AA8570">
        <v>0.81026229999999999</v>
      </c>
      <c r="AB8570">
        <v>25</v>
      </c>
      <c r="AC8570">
        <v>8.06200000000001</v>
      </c>
      <c r="AD8570">
        <v>-1.1168099771009901</v>
      </c>
      <c r="AE8570">
        <v>8.8393999999999799</v>
      </c>
      <c r="AF8570">
        <v>6.9829611932313602</v>
      </c>
      <c r="AG8570">
        <v>-1.1168099771009901</v>
      </c>
      <c r="AH8570">
        <v>9.5868030172432697</v>
      </c>
      <c r="AI8570">
        <v>95.379287412758302</v>
      </c>
      <c r="AJ8570">
        <v>53.930663441554699</v>
      </c>
      <c r="AK8570">
        <v>11.9128419632996</v>
      </c>
      <c r="AL8570">
        <v>95.262273611664497</v>
      </c>
      <c r="AM8570">
        <v>64.884707786211806</v>
      </c>
      <c r="AN8570">
        <v>0.99999996892711696</v>
      </c>
    </row>
    <row r="8571" spans="1:40" x14ac:dyDescent="0.25">
      <c r="A8571" t="str">
        <f>"20190303155017556"</f>
        <v>20190303155017556</v>
      </c>
      <c r="B8571" t="str">
        <f>"1551599417549074"</f>
        <v>1551599417549074</v>
      </c>
      <c r="C8571" t="s">
        <v>40</v>
      </c>
      <c r="D8571">
        <v>5.3769729999999996</v>
      </c>
      <c r="E8571">
        <v>0.54629050000000001</v>
      </c>
      <c r="F8571" t="s">
        <v>59</v>
      </c>
      <c r="G8571">
        <v>-180.36</v>
      </c>
      <c r="H8571" s="1">
        <v>-5.2338270000000003E-6</v>
      </c>
      <c r="I8571">
        <v>129.06899999999999</v>
      </c>
      <c r="J8571">
        <v>-187.5249</v>
      </c>
      <c r="K8571">
        <v>1.116717</v>
      </c>
      <c r="L8571">
        <v>120.35080000000001</v>
      </c>
      <c r="M8571">
        <v>0.11329880000000001</v>
      </c>
      <c r="N8571">
        <v>-2.2436589999999999E-2</v>
      </c>
      <c r="O8571">
        <v>0.99330759999999996</v>
      </c>
      <c r="P8571">
        <v>0.52451879999999995</v>
      </c>
      <c r="Q8571">
        <v>-0.10746169999999999</v>
      </c>
      <c r="R8571">
        <v>0.84458979999999995</v>
      </c>
      <c r="S8571">
        <v>1.8984220000000001</v>
      </c>
      <c r="T8571">
        <v>-0.29516690000000001</v>
      </c>
      <c r="U8571">
        <v>2.338028</v>
      </c>
      <c r="V8571">
        <v>0.42435840000000002</v>
      </c>
      <c r="W8571">
        <v>-9.2318419999999998E-2</v>
      </c>
      <c r="X8571">
        <v>0.90077589999999996</v>
      </c>
      <c r="Y8571">
        <v>0.53573819999999905</v>
      </c>
      <c r="Z8571">
        <v>-7.8671619999999998E-2</v>
      </c>
      <c r="AA8571">
        <v>0.84071119999999899</v>
      </c>
      <c r="AB8571">
        <v>25</v>
      </c>
      <c r="AC8571">
        <v>7.1648999999999798</v>
      </c>
      <c r="AD8571">
        <v>-1.116722233827</v>
      </c>
      <c r="AE8571">
        <v>8.71819999999998</v>
      </c>
      <c r="AF8571">
        <v>6.0712752835713903</v>
      </c>
      <c r="AG8571">
        <v>-1.116722233827</v>
      </c>
      <c r="AH8571">
        <v>9.3821344919400609</v>
      </c>
      <c r="AI8571">
        <v>95.706549409187303</v>
      </c>
      <c r="AJ8571">
        <v>57.092680675234803</v>
      </c>
      <c r="AK8571">
        <v>11.2308459049743</v>
      </c>
      <c r="AL8571">
        <v>95.296998293849896</v>
      </c>
      <c r="AM8571">
        <v>64.774725713969602</v>
      </c>
      <c r="AN8571">
        <v>0.99999998217133301</v>
      </c>
    </row>
    <row r="8572" spans="1:40" x14ac:dyDescent="0.25">
      <c r="A8572" t="str">
        <f>"20190303155017567"</f>
        <v>20190303155017567</v>
      </c>
      <c r="B8572" t="str">
        <f>"1551599417558835"</f>
        <v>1551599417558835</v>
      </c>
      <c r="C8572" t="s">
        <v>40</v>
      </c>
      <c r="D8572">
        <v>5.4268229999999997</v>
      </c>
      <c r="E8572">
        <v>0.54532239999999998</v>
      </c>
      <c r="F8572" t="s">
        <v>59</v>
      </c>
      <c r="G8572">
        <v>-180.30119999999999</v>
      </c>
      <c r="H8572" s="1">
        <v>-5.3034610000000001E-6</v>
      </c>
      <c r="I8572">
        <v>129.3056</v>
      </c>
      <c r="J8572">
        <v>-187.50829999999999</v>
      </c>
      <c r="K8572">
        <v>1.11664599999999</v>
      </c>
      <c r="L8572">
        <v>120.4637</v>
      </c>
      <c r="M8572">
        <v>0.11659360000000001</v>
      </c>
      <c r="N8572">
        <v>-2.2384769999999998E-2</v>
      </c>
      <c r="O8572">
        <v>0.99292740000000002</v>
      </c>
      <c r="P8572">
        <v>0.52864549999999999</v>
      </c>
      <c r="Q8572">
        <v>-0.10810939999999999</v>
      </c>
      <c r="R8572">
        <v>0.84193009999999902</v>
      </c>
      <c r="S8572">
        <v>1.889008</v>
      </c>
      <c r="T8572">
        <v>-0.29202410000000001</v>
      </c>
      <c r="U8572">
        <v>2.3416899999999998</v>
      </c>
      <c r="V8572">
        <v>0.42576079999999999</v>
      </c>
      <c r="W8572">
        <v>-9.3112029999999998E-2</v>
      </c>
      <c r="X8572">
        <v>0.90003219999999995</v>
      </c>
      <c r="Y8572">
        <v>0.53029910000000002</v>
      </c>
      <c r="Z8572">
        <v>-7.7800359999999999E-2</v>
      </c>
      <c r="AA8572">
        <v>0.84423340000000002</v>
      </c>
      <c r="AB8572">
        <v>25</v>
      </c>
      <c r="AC8572">
        <v>7.2070999999999898</v>
      </c>
      <c r="AD8572">
        <v>-1.11665130346099</v>
      </c>
      <c r="AE8572">
        <v>8.8418999999999901</v>
      </c>
      <c r="AF8572">
        <v>6.0686000569608698</v>
      </c>
      <c r="AG8572">
        <v>-1.11665130346099</v>
      </c>
      <c r="AH8572">
        <v>9.5307477500907005</v>
      </c>
      <c r="AI8572">
        <v>95.644163529954696</v>
      </c>
      <c r="AJ8572">
        <v>57.513497152225902</v>
      </c>
      <c r="AK8572">
        <v>11.3538526263434</v>
      </c>
      <c r="AL8572">
        <v>95.342665220337395</v>
      </c>
      <c r="AM8572">
        <v>64.683480239263304</v>
      </c>
      <c r="AN8572">
        <v>1.0000000349920899</v>
      </c>
    </row>
    <row r="8573" spans="1:40" x14ac:dyDescent="0.25">
      <c r="A8573" t="str">
        <f>"20190303155017579"</f>
        <v>20190303155017579</v>
      </c>
      <c r="B8573" t="str">
        <f>"1551599417569571"</f>
        <v>1551599417569571</v>
      </c>
      <c r="C8573" t="s">
        <v>40</v>
      </c>
      <c r="D8573">
        <v>5.3127219999999999</v>
      </c>
      <c r="E8573">
        <v>0.54419430000000002</v>
      </c>
      <c r="F8573" t="s">
        <v>59</v>
      </c>
      <c r="G8573">
        <v>-180.078</v>
      </c>
      <c r="H8573" s="1">
        <v>-5.429757E-6</v>
      </c>
      <c r="I8573">
        <v>129.6311</v>
      </c>
      <c r="J8573">
        <v>-187.48920000000001</v>
      </c>
      <c r="K8573">
        <v>1.1165659999999999</v>
      </c>
      <c r="L8573">
        <v>120.5919</v>
      </c>
      <c r="M8573">
        <v>0.12037639999999999</v>
      </c>
      <c r="N8573">
        <v>-2.2326579999999999E-2</v>
      </c>
      <c r="O8573">
        <v>0.99247719999999995</v>
      </c>
      <c r="P8573">
        <v>0.53355940000000002</v>
      </c>
      <c r="Q8573">
        <v>-0.1082143</v>
      </c>
      <c r="R8573">
        <v>0.83881109999999903</v>
      </c>
      <c r="S8573">
        <v>1.894363</v>
      </c>
      <c r="T8573">
        <v>-0.28468860000000001</v>
      </c>
      <c r="U8573">
        <v>2.337234</v>
      </c>
      <c r="V8573">
        <v>0.4275717</v>
      </c>
      <c r="W8573">
        <v>-9.3385380000000004E-2</v>
      </c>
      <c r="X8573">
        <v>0.89914490000000002</v>
      </c>
      <c r="Y8573">
        <v>0.52915630000000002</v>
      </c>
      <c r="Z8573">
        <v>-7.5468430000000003E-2</v>
      </c>
      <c r="AA8573">
        <v>0.84516159999999996</v>
      </c>
      <c r="AB8573">
        <v>25</v>
      </c>
      <c r="AC8573">
        <v>7.4112</v>
      </c>
      <c r="AD8573">
        <v>-1.116571429757</v>
      </c>
      <c r="AE8573">
        <v>9.0391999999999992</v>
      </c>
      <c r="AF8573">
        <v>6.2122190100861401</v>
      </c>
      <c r="AG8573">
        <v>-1.116571429757</v>
      </c>
      <c r="AH8573">
        <v>9.7765848368266504</v>
      </c>
      <c r="AI8573">
        <v>95.506002055648096</v>
      </c>
      <c r="AJ8573">
        <v>57.567384047680399</v>
      </c>
      <c r="AK8573">
        <v>11.6370102628937</v>
      </c>
      <c r="AL8573">
        <v>95.358395912528906</v>
      </c>
      <c r="AM8573">
        <v>64.567441530081894</v>
      </c>
      <c r="AN8573">
        <v>0.99999996951732095</v>
      </c>
    </row>
    <row r="8574" spans="1:40" x14ac:dyDescent="0.25">
      <c r="A8574" t="str">
        <f>"20190303155017592"</f>
        <v>20190303155017592</v>
      </c>
      <c r="B8574" t="str">
        <f>"1551599417589091"</f>
        <v>1551599417589091</v>
      </c>
      <c r="C8574" t="s">
        <v>40</v>
      </c>
      <c r="D8574">
        <v>5.3295839999999997</v>
      </c>
      <c r="E8574">
        <v>0.54297890000000004</v>
      </c>
      <c r="F8574" t="s">
        <v>59</v>
      </c>
      <c r="G8574">
        <v>-180.0067</v>
      </c>
      <c r="H8574" s="1">
        <v>-5.4811979999999997E-6</v>
      </c>
      <c r="I8574">
        <v>129.76929999999999</v>
      </c>
      <c r="J8574">
        <v>-187.46789999999999</v>
      </c>
      <c r="K8574">
        <v>1.116482</v>
      </c>
      <c r="L8574">
        <v>120.7282</v>
      </c>
      <c r="M8574">
        <v>0.1245368</v>
      </c>
      <c r="N8574">
        <v>-2.226523E-2</v>
      </c>
      <c r="O8574">
        <v>0.99196510000000004</v>
      </c>
      <c r="P8574">
        <v>0.53835029999999995</v>
      </c>
      <c r="Q8574">
        <v>-0.10813689999999999</v>
      </c>
      <c r="R8574">
        <v>0.83575440000000001</v>
      </c>
      <c r="S8574">
        <v>1.9004970000000001</v>
      </c>
      <c r="T8574">
        <v>-0.28360069999999998</v>
      </c>
      <c r="U8574">
        <v>2.330994</v>
      </c>
      <c r="V8574">
        <v>0.42892340000000001</v>
      </c>
      <c r="W8574">
        <v>-9.3477069999999995E-2</v>
      </c>
      <c r="X8574">
        <v>0.89849140000000005</v>
      </c>
      <c r="Y8574">
        <v>0.528061</v>
      </c>
      <c r="Z8574">
        <v>-7.5282409999999994E-2</v>
      </c>
      <c r="AA8574">
        <v>0.84586299999999903</v>
      </c>
      <c r="AB8574">
        <v>25</v>
      </c>
      <c r="AC8574">
        <v>7.4611999999999901</v>
      </c>
      <c r="AD8574">
        <v>-1.1164874811979999</v>
      </c>
      <c r="AE8574">
        <v>9.0410999999999806</v>
      </c>
      <c r="AF8574">
        <v>6.2204271177064099</v>
      </c>
      <c r="AG8574">
        <v>-1.1164874811979999</v>
      </c>
      <c r="AH8574">
        <v>9.8111014384135995</v>
      </c>
      <c r="AI8574">
        <v>95.489791932115693</v>
      </c>
      <c r="AJ8574">
        <v>57.624516177971699</v>
      </c>
      <c r="AK8574">
        <v>11.6703885649626</v>
      </c>
      <c r="AL8574">
        <v>95.363672167901001</v>
      </c>
      <c r="AM8574">
        <v>64.481041992851203</v>
      </c>
      <c r="AN8574">
        <v>1.0000000207786499</v>
      </c>
    </row>
    <row r="8575" spans="1:40" x14ac:dyDescent="0.25">
      <c r="A8575" t="str">
        <f>"20190303155017605"</f>
        <v>20190303155017605</v>
      </c>
      <c r="B8575" t="str">
        <f>"1551599417599827"</f>
        <v>1551599417599827</v>
      </c>
      <c r="C8575" t="s">
        <v>40</v>
      </c>
      <c r="D8575">
        <v>5.2802230000000003</v>
      </c>
      <c r="E8575">
        <v>0.54236700000000004</v>
      </c>
      <c r="F8575" t="s">
        <v>59</v>
      </c>
      <c r="G8575">
        <v>-179.9436</v>
      </c>
      <c r="H8575" s="1">
        <v>-5.52578099999999E-6</v>
      </c>
      <c r="I8575">
        <v>129.90979999999999</v>
      </c>
      <c r="J8575">
        <v>-187.44319999999999</v>
      </c>
      <c r="K8575">
        <v>1.1163890000000001</v>
      </c>
      <c r="L8575">
        <v>120.88209999999999</v>
      </c>
      <c r="M8575">
        <v>0.12931780000000001</v>
      </c>
      <c r="N8575">
        <v>-2.2196199999999999E-2</v>
      </c>
      <c r="O8575">
        <v>0.99135479999999998</v>
      </c>
      <c r="P8575">
        <v>0.54363439999999996</v>
      </c>
      <c r="Q8575">
        <v>-0.10790039999999999</v>
      </c>
      <c r="R8575">
        <v>0.83235759999999903</v>
      </c>
      <c r="S8575">
        <v>1.9057010000000001</v>
      </c>
      <c r="T8575">
        <v>-0.28277529999999901</v>
      </c>
      <c r="U8575">
        <v>2.3254389999999998</v>
      </c>
      <c r="V8575">
        <v>0.43025730000000001</v>
      </c>
      <c r="W8575">
        <v>-9.3430299999999994E-2</v>
      </c>
      <c r="X8575">
        <v>0.8978583</v>
      </c>
      <c r="Y8575">
        <v>0.52610389999999996</v>
      </c>
      <c r="Z8575">
        <v>-7.5197310000000003E-2</v>
      </c>
      <c r="AA8575">
        <v>0.84708919999999999</v>
      </c>
      <c r="AB8575">
        <v>25</v>
      </c>
      <c r="AC8575">
        <v>7.4995999999999796</v>
      </c>
      <c r="AD8575">
        <v>-1.116394525781</v>
      </c>
      <c r="AE8575">
        <v>9.0276999999999905</v>
      </c>
      <c r="AF8575">
        <v>6.2126526157560802</v>
      </c>
      <c r="AG8575">
        <v>-1.116394525781</v>
      </c>
      <c r="AH8575">
        <v>9.8329583224610193</v>
      </c>
      <c r="AI8575">
        <v>95.482624867914296</v>
      </c>
      <c r="AJ8575">
        <v>57.714513348515297</v>
      </c>
      <c r="AK8575">
        <v>11.684624881976699</v>
      </c>
      <c r="AL8575">
        <v>95.360980529617393</v>
      </c>
      <c r="AM8575">
        <v>64.3960722686341</v>
      </c>
      <c r="AN8575">
        <v>1.0000000460201299</v>
      </c>
    </row>
    <row r="8576" spans="1:40" x14ac:dyDescent="0.25">
      <c r="A8576" t="str">
        <f>"20190303155017617"</f>
        <v>20190303155017617</v>
      </c>
      <c r="B8576" t="str">
        <f>"1551599417609587"</f>
        <v>1551599417609587</v>
      </c>
      <c r="C8576" t="s">
        <v>40</v>
      </c>
      <c r="D8576">
        <v>5.2472599999999998</v>
      </c>
      <c r="E8576">
        <v>0.54167869999999996</v>
      </c>
      <c r="F8576" t="s">
        <v>59</v>
      </c>
      <c r="G8576">
        <v>-179.8715</v>
      </c>
      <c r="H8576" s="1">
        <v>-5.5244150000000002E-6</v>
      </c>
      <c r="I8576">
        <v>130.0342</v>
      </c>
      <c r="J8576">
        <v>-187.4211</v>
      </c>
      <c r="K8576">
        <v>1.116303</v>
      </c>
      <c r="L8576">
        <v>121.0157</v>
      </c>
      <c r="M8576">
        <v>0.1335645</v>
      </c>
      <c r="N8576">
        <v>-2.2137009999999999E-2</v>
      </c>
      <c r="O8576">
        <v>0.99079289999999998</v>
      </c>
      <c r="P8576">
        <v>0.54824569999999995</v>
      </c>
      <c r="Q8576">
        <v>-0.1069657</v>
      </c>
      <c r="R8576">
        <v>0.82944859999999898</v>
      </c>
      <c r="S8576">
        <v>1.916153</v>
      </c>
      <c r="T8576">
        <v>-0.28252149999999998</v>
      </c>
      <c r="U8576">
        <v>2.3160859999999999</v>
      </c>
      <c r="V8576">
        <v>0.43136609999999997</v>
      </c>
      <c r="W8576">
        <v>-9.2661370000000007E-2</v>
      </c>
      <c r="X8576">
        <v>0.89740580000000003</v>
      </c>
      <c r="Y8576">
        <v>0.52641199999999999</v>
      </c>
      <c r="Z8576">
        <v>-7.5289030000000007E-2</v>
      </c>
      <c r="AA8576">
        <v>0.84688960000000002</v>
      </c>
      <c r="AB8576">
        <v>25</v>
      </c>
      <c r="AC8576">
        <v>7.5495999999999901</v>
      </c>
      <c r="AD8576">
        <v>-1.1163085244149999</v>
      </c>
      <c r="AE8576">
        <v>9.0184999999999995</v>
      </c>
      <c r="AF8576">
        <v>6.2210343420738603</v>
      </c>
      <c r="AG8576">
        <v>-1.1163085244149999</v>
      </c>
      <c r="AH8576">
        <v>9.8574602396556905</v>
      </c>
      <c r="AI8576">
        <v>95.470428584612193</v>
      </c>
      <c r="AJ8576">
        <v>57.744013283966801</v>
      </c>
      <c r="AK8576">
        <v>11.7096940772736</v>
      </c>
      <c r="AL8576">
        <v>95.316732344031905</v>
      </c>
      <c r="AM8576">
        <v>64.327281144245404</v>
      </c>
      <c r="AN8576">
        <v>1.0000000057965599</v>
      </c>
    </row>
    <row r="8577" spans="1:40" x14ac:dyDescent="0.25">
      <c r="A8577" t="str">
        <f>"20190303155017630"</f>
        <v>20190303155017630</v>
      </c>
      <c r="B8577" t="str">
        <f>"1551599417619347"</f>
        <v>1551599417619347</v>
      </c>
      <c r="C8577" t="s">
        <v>40</v>
      </c>
      <c r="D8577">
        <v>5.2701779999999996</v>
      </c>
      <c r="E8577">
        <v>0.54150159999999903</v>
      </c>
      <c r="F8577" t="s">
        <v>59</v>
      </c>
      <c r="G8577">
        <v>-179.77549999999999</v>
      </c>
      <c r="H8577" s="1">
        <v>-5.5187509999999997E-6</v>
      </c>
      <c r="I8577">
        <v>130.18889999999999</v>
      </c>
      <c r="J8577">
        <v>-187.39869999999999</v>
      </c>
      <c r="K8577">
        <v>1.1162240000000001</v>
      </c>
      <c r="L8577">
        <v>121.146</v>
      </c>
      <c r="M8577">
        <v>0.13782049999999901</v>
      </c>
      <c r="N8577">
        <v>-2.2082919999999999E-2</v>
      </c>
      <c r="O8577">
        <v>0.99021099999999995</v>
      </c>
      <c r="P8577">
        <v>0.55258350000000001</v>
      </c>
      <c r="Q8577">
        <v>-0.1056285</v>
      </c>
      <c r="R8577">
        <v>0.82673700000000006</v>
      </c>
      <c r="S8577">
        <v>1.924255</v>
      </c>
      <c r="T8577">
        <v>-0.28095300000000001</v>
      </c>
      <c r="U8577">
        <v>2.3087309999999999</v>
      </c>
      <c r="V8577">
        <v>0.4321835</v>
      </c>
      <c r="W8577">
        <v>-9.1476580000000002E-2</v>
      </c>
      <c r="X8577">
        <v>0.89713410000000005</v>
      </c>
      <c r="Y8577">
        <v>0.52586750000000004</v>
      </c>
      <c r="Z8577">
        <v>-7.4917440000000002E-2</v>
      </c>
      <c r="AA8577">
        <v>0.84726069999999998</v>
      </c>
      <c r="AB8577">
        <v>25</v>
      </c>
      <c r="AC8577">
        <v>7.62319999999999</v>
      </c>
      <c r="AD8577">
        <v>-1.1162295187509901</v>
      </c>
      <c r="AE8577">
        <v>9.04289999999998</v>
      </c>
      <c r="AF8577">
        <v>6.2481647370915399</v>
      </c>
      <c r="AG8577">
        <v>-1.1162295187509901</v>
      </c>
      <c r="AH8577">
        <v>9.9191038752059804</v>
      </c>
      <c r="AI8577">
        <v>95.439147980522606</v>
      </c>
      <c r="AJ8577">
        <v>57.7926728587166</v>
      </c>
      <c r="AK8577">
        <v>11.7759990067718</v>
      </c>
      <c r="AL8577">
        <v>95.248558991052406</v>
      </c>
      <c r="AM8577">
        <v>64.278120497308294</v>
      </c>
      <c r="AN8577">
        <v>1.00000006787177</v>
      </c>
    </row>
    <row r="8578" spans="1:40" x14ac:dyDescent="0.25">
      <c r="A8578" t="str">
        <f>"20190303155017640"</f>
        <v>20190303155017640</v>
      </c>
      <c r="B8578" t="str">
        <f>"1551599417629106"</f>
        <v>1551599417629106</v>
      </c>
      <c r="C8578" t="s">
        <v>40</v>
      </c>
      <c r="D8578">
        <v>5.2440230000000003</v>
      </c>
      <c r="E8578">
        <v>0.54118849999999996</v>
      </c>
      <c r="F8578" t="s">
        <v>59</v>
      </c>
      <c r="G8578">
        <v>-179.55090000000001</v>
      </c>
      <c r="H8578" s="1">
        <v>-5.4780220000000001E-6</v>
      </c>
      <c r="I8578">
        <v>130.47229999999999</v>
      </c>
      <c r="J8578">
        <v>-187.3776</v>
      </c>
      <c r="K8578">
        <v>1.116153</v>
      </c>
      <c r="L8578">
        <v>121.2668</v>
      </c>
      <c r="M8578">
        <v>0.141797799999999</v>
      </c>
      <c r="N8578">
        <v>-2.2033489999999999E-2</v>
      </c>
      <c r="O8578">
        <v>0.98965040000000004</v>
      </c>
      <c r="P8578">
        <v>0.55643039999999999</v>
      </c>
      <c r="Q8578">
        <v>-0.1041324</v>
      </c>
      <c r="R8578">
        <v>0.8243431</v>
      </c>
      <c r="S8578">
        <v>1.935349</v>
      </c>
      <c r="T8578">
        <v>-0.27527390000000002</v>
      </c>
      <c r="U8578">
        <v>2.299973</v>
      </c>
      <c r="V8578">
        <v>0.4327336</v>
      </c>
      <c r="W8578">
        <v>-9.0116089999999996E-2</v>
      </c>
      <c r="X8578">
        <v>0.89700659999999899</v>
      </c>
      <c r="Y8578">
        <v>0.52653339999999904</v>
      </c>
      <c r="Z8578">
        <v>-7.3122800000000002E-2</v>
      </c>
      <c r="AA8578">
        <v>0.84700390000000003</v>
      </c>
      <c r="AB8578">
        <v>24</v>
      </c>
      <c r="AC8578">
        <v>7.8266999999999802</v>
      </c>
      <c r="AD8578">
        <v>-1.116158478022</v>
      </c>
      <c r="AE8578">
        <v>9.2054999999999794</v>
      </c>
      <c r="AF8578">
        <v>6.3874368002423596</v>
      </c>
      <c r="AG8578">
        <v>-1.116158478022</v>
      </c>
      <c r="AH8578">
        <v>10.1360262116408</v>
      </c>
      <c r="AI8578">
        <v>95.322463923290002</v>
      </c>
      <c r="AJ8578">
        <v>57.782030587760502</v>
      </c>
      <c r="AK8578">
        <v>12.032630052828001</v>
      </c>
      <c r="AL8578">
        <v>95.170285388620101</v>
      </c>
      <c r="AM8578">
        <v>64.246425763335495</v>
      </c>
      <c r="AN8578">
        <v>1.0000000593447</v>
      </c>
    </row>
    <row r="8579" spans="1:40" x14ac:dyDescent="0.25">
      <c r="A8579" t="str">
        <f>"20190303155017651"</f>
        <v>20190303155017651</v>
      </c>
      <c r="B8579" t="str">
        <f>"1551599417638867"</f>
        <v>1551599417638867</v>
      </c>
      <c r="C8579" t="s">
        <v>40</v>
      </c>
      <c r="D8579">
        <v>5.2665670000000002</v>
      </c>
      <c r="E8579">
        <v>0.54098959999999996</v>
      </c>
      <c r="F8579" t="s">
        <v>59</v>
      </c>
      <c r="G8579">
        <v>-179.34870000000001</v>
      </c>
      <c r="H8579" s="1">
        <v>-5.4420690000000002E-6</v>
      </c>
      <c r="I8579">
        <v>130.73769999999999</v>
      </c>
      <c r="J8579">
        <v>-187.35659999999999</v>
      </c>
      <c r="K8579">
        <v>1.1160859999999999</v>
      </c>
      <c r="L8579">
        <v>121.3819</v>
      </c>
      <c r="M8579">
        <v>0.1457251</v>
      </c>
      <c r="N8579">
        <v>-2.1991960000000001E-2</v>
      </c>
      <c r="O8579">
        <v>0.98908070000000003</v>
      </c>
      <c r="P8579">
        <v>0.56008999999999998</v>
      </c>
      <c r="Q8579">
        <v>-0.1024915</v>
      </c>
      <c r="R8579">
        <v>0.8220674</v>
      </c>
      <c r="S8579">
        <v>1.943878</v>
      </c>
      <c r="T8579">
        <v>-0.27023239999999998</v>
      </c>
      <c r="U8579">
        <v>2.292999</v>
      </c>
      <c r="V8579">
        <v>0.43313469999999998</v>
      </c>
      <c r="W8579">
        <v>-8.8598109999999994E-2</v>
      </c>
      <c r="X8579">
        <v>0.89696409999999904</v>
      </c>
      <c r="Y8579">
        <v>0.52635189999999998</v>
      </c>
      <c r="Z8579">
        <v>-7.1530689999999994E-2</v>
      </c>
      <c r="AA8579">
        <v>0.84725269999999997</v>
      </c>
      <c r="AB8579">
        <v>24</v>
      </c>
      <c r="AC8579">
        <v>8.0078999999999692</v>
      </c>
      <c r="AD8579">
        <v>-1.116091442069</v>
      </c>
      <c r="AE8579">
        <v>9.3557999999999808</v>
      </c>
      <c r="AF8579">
        <v>6.5052387032813597</v>
      </c>
      <c r="AG8579">
        <v>-1.116091442069</v>
      </c>
      <c r="AH8579">
        <v>10.338199395359901</v>
      </c>
      <c r="AI8579">
        <v>95.220820814369802</v>
      </c>
      <c r="AJ8579">
        <v>57.820135844685801</v>
      </c>
      <c r="AK8579">
        <v>12.265486432748901</v>
      </c>
      <c r="AL8579">
        <v>95.082962797228305</v>
      </c>
      <c r="AM8579">
        <v>64.2245831959725</v>
      </c>
      <c r="AN8579">
        <v>0.99999994506423395</v>
      </c>
    </row>
    <row r="8580" spans="1:40" x14ac:dyDescent="0.25">
      <c r="A8580" t="str">
        <f>"20190303155017668"</f>
        <v>20190303155017668</v>
      </c>
      <c r="B8580" t="str">
        <f>"1551599417659363"</f>
        <v>1551599417659363</v>
      </c>
      <c r="C8580" t="s">
        <v>40</v>
      </c>
      <c r="D8580">
        <v>5.2061479999999998</v>
      </c>
      <c r="E8580">
        <v>0.54056530000000003</v>
      </c>
      <c r="F8580" t="s">
        <v>59</v>
      </c>
      <c r="G8580">
        <v>-179.1309</v>
      </c>
      <c r="H8580" s="1">
        <v>-5.3974110000000003E-6</v>
      </c>
      <c r="I8580">
        <v>131.01150000000001</v>
      </c>
      <c r="J8580">
        <v>-187.3236</v>
      </c>
      <c r="K8580">
        <v>1.1159920000000001</v>
      </c>
      <c r="L8580">
        <v>121.55800000000001</v>
      </c>
      <c r="M8580">
        <v>0.151817799999999</v>
      </c>
      <c r="N8580">
        <v>-2.1931699999999998E-2</v>
      </c>
      <c r="O8580">
        <v>0.98816510000000002</v>
      </c>
      <c r="P8580">
        <v>0.56535869999999999</v>
      </c>
      <c r="Q8580">
        <v>-9.9558750000000001E-2</v>
      </c>
      <c r="R8580">
        <v>0.81881479999999995</v>
      </c>
      <c r="S8580">
        <v>1.9526669999999999</v>
      </c>
      <c r="T8580">
        <v>-0.26494679999999998</v>
      </c>
      <c r="U8580">
        <v>2.2859340000000001</v>
      </c>
      <c r="V8580">
        <v>0.43332779999999999</v>
      </c>
      <c r="W8580">
        <v>-8.5837919999999998E-2</v>
      </c>
      <c r="X8580">
        <v>0.89713929999999997</v>
      </c>
      <c r="Y8580">
        <v>0.52438260000000003</v>
      </c>
      <c r="Z8580">
        <v>-6.9892510000000005E-2</v>
      </c>
      <c r="AA8580">
        <v>0.84860939999999996</v>
      </c>
      <c r="AB8580">
        <v>24</v>
      </c>
      <c r="AC8580">
        <v>8.1927000000000003</v>
      </c>
      <c r="AD8580">
        <v>-1.115997397411</v>
      </c>
      <c r="AE8580">
        <v>9.4535000000000196</v>
      </c>
      <c r="AF8580">
        <v>6.6095300620875301</v>
      </c>
      <c r="AG8580">
        <v>-1.115997397411</v>
      </c>
      <c r="AH8580">
        <v>10.5043625030714</v>
      </c>
      <c r="AI8580">
        <v>95.138308578678902</v>
      </c>
      <c r="AJ8580">
        <v>57.821173649580999</v>
      </c>
      <c r="AK8580">
        <v>12.460857491705699</v>
      </c>
      <c r="AL8580">
        <v>94.924210128192897</v>
      </c>
      <c r="AM8580">
        <v>64.218964500394705</v>
      </c>
      <c r="AN8580">
        <v>1.00000002718362</v>
      </c>
    </row>
    <row r="8581" spans="1:40" x14ac:dyDescent="0.25">
      <c r="A8581" t="str">
        <f>"20190303155017678"</f>
        <v>20190303155017678</v>
      </c>
      <c r="B8581" t="str">
        <f>"1551599417669123"</f>
        <v>1551599417669123</v>
      </c>
      <c r="C8581" t="s">
        <v>40</v>
      </c>
      <c r="D8581">
        <v>5.2293779999999996</v>
      </c>
      <c r="E8581">
        <v>0.5404137</v>
      </c>
      <c r="F8581" t="s">
        <v>59</v>
      </c>
      <c r="G8581">
        <v>-178.78829999999999</v>
      </c>
      <c r="H8581" s="1">
        <v>-5.329778E-6</v>
      </c>
      <c r="I8581">
        <v>131.44919999999999</v>
      </c>
      <c r="J8581">
        <v>-187.3014</v>
      </c>
      <c r="K8581">
        <v>1.1159269999999999</v>
      </c>
      <c r="L8581">
        <v>121.67359999999999</v>
      </c>
      <c r="M8581">
        <v>0.15589649999999999</v>
      </c>
      <c r="N8581">
        <v>-2.189487E-2</v>
      </c>
      <c r="O8581">
        <v>0.98753069999999998</v>
      </c>
      <c r="P8581">
        <v>0.56902589999999997</v>
      </c>
      <c r="Q8581">
        <v>-9.8210350000000002E-2</v>
      </c>
      <c r="R8581">
        <v>0.81643390000000005</v>
      </c>
      <c r="S8581">
        <v>1.964294</v>
      </c>
      <c r="T8581">
        <v>-0.25683240000000002</v>
      </c>
      <c r="U8581">
        <v>2.2763369999999998</v>
      </c>
      <c r="V8581">
        <v>0.43362450000000002</v>
      </c>
      <c r="W8581">
        <v>-8.4604849999999995E-2</v>
      </c>
      <c r="X8581">
        <v>0.89711299999999905</v>
      </c>
      <c r="Y8581">
        <v>0.52525790000000006</v>
      </c>
      <c r="Z8581">
        <v>-6.7253370000000007E-2</v>
      </c>
      <c r="AA8581">
        <v>0.84828130000000002</v>
      </c>
      <c r="AB8581">
        <v>24</v>
      </c>
      <c r="AC8581">
        <v>8.5130999999999997</v>
      </c>
      <c r="AD8581">
        <v>-1.1159323297779999</v>
      </c>
      <c r="AE8581">
        <v>9.7755999999999901</v>
      </c>
      <c r="AF8581">
        <v>6.8339698261491204</v>
      </c>
      <c r="AG8581">
        <v>-1.1159323297779999</v>
      </c>
      <c r="AH8581">
        <v>10.902701002997301</v>
      </c>
      <c r="AI8581">
        <v>94.956575489544704</v>
      </c>
      <c r="AJ8581">
        <v>57.919922426129901</v>
      </c>
      <c r="AK8581">
        <v>12.915778633521001</v>
      </c>
      <c r="AL8581">
        <v>94.853302780416598</v>
      </c>
      <c r="AM8581">
        <v>64.202944109131394</v>
      </c>
      <c r="AN8581">
        <v>0.99999996120638501</v>
      </c>
    </row>
    <row r="8582" spans="1:40" x14ac:dyDescent="0.25">
      <c r="A8582" t="str">
        <f>"20190303155017690"</f>
        <v>20190303155017690</v>
      </c>
      <c r="B8582" t="str">
        <f>"1551599417678883"</f>
        <v>1551599417678883</v>
      </c>
      <c r="C8582" t="s">
        <v>40</v>
      </c>
      <c r="D8582">
        <v>5.2153210000000003</v>
      </c>
      <c r="E8582">
        <v>0.54025789999999996</v>
      </c>
      <c r="F8582" t="s">
        <v>59</v>
      </c>
      <c r="G8582">
        <v>-178.60980000000001</v>
      </c>
      <c r="H8582" s="1">
        <v>-5.2899349999999999E-6</v>
      </c>
      <c r="I8582">
        <v>131.66489999999999</v>
      </c>
      <c r="J8582">
        <v>-187.27709999999999</v>
      </c>
      <c r="K8582">
        <v>1.1158589999999999</v>
      </c>
      <c r="L8582">
        <v>121.79510000000001</v>
      </c>
      <c r="M8582">
        <v>0.1603049</v>
      </c>
      <c r="N8582">
        <v>-2.1860999999999998E-2</v>
      </c>
      <c r="O8582">
        <v>0.98682539999999996</v>
      </c>
      <c r="P8582">
        <v>0.57283019999999996</v>
      </c>
      <c r="Q8582">
        <v>-9.7258330000000004E-2</v>
      </c>
      <c r="R8582">
        <v>0.81388359999999904</v>
      </c>
      <c r="S8582">
        <v>1.973465</v>
      </c>
      <c r="T8582">
        <v>-0.25337900000000002</v>
      </c>
      <c r="U8582">
        <v>2.2685849999999999</v>
      </c>
      <c r="V8582">
        <v>0.433784</v>
      </c>
      <c r="W8582">
        <v>-8.3765249999999999E-2</v>
      </c>
      <c r="X8582">
        <v>0.89711479999999999</v>
      </c>
      <c r="Y8582">
        <v>0.52490349999999997</v>
      </c>
      <c r="Z8582">
        <v>-6.6191009999999995E-2</v>
      </c>
      <c r="AA8582">
        <v>0.84858419999999901</v>
      </c>
      <c r="AB8582">
        <v>24</v>
      </c>
      <c r="AC8582">
        <v>8.6672999999999796</v>
      </c>
      <c r="AD8582">
        <v>-1.115864289935</v>
      </c>
      <c r="AE8582">
        <v>9.8697999999999801</v>
      </c>
      <c r="AF8582">
        <v>6.9226416205494603</v>
      </c>
      <c r="AG8582">
        <v>-1.115864289935</v>
      </c>
      <c r="AH8582">
        <v>11.052079855181301</v>
      </c>
      <c r="AI8582">
        <v>94.890596079630896</v>
      </c>
      <c r="AJ8582">
        <v>57.938390365998501</v>
      </c>
      <c r="AK8582">
        <v>13.0887963253089</v>
      </c>
      <c r="AL8582">
        <v>94.805025339881595</v>
      </c>
      <c r="AM8582">
        <v>64.194732204061694</v>
      </c>
      <c r="AN8582">
        <v>1.0000000700712901</v>
      </c>
    </row>
    <row r="8583" spans="1:40" x14ac:dyDescent="0.25">
      <c r="A8583" t="str">
        <f>"20190303155017701"</f>
        <v>20190303155017701</v>
      </c>
      <c r="B8583" t="str">
        <f>"1551599417689619"</f>
        <v>1551599417689619</v>
      </c>
      <c r="C8583" t="s">
        <v>40</v>
      </c>
      <c r="D8583">
        <v>5.2145210000000004</v>
      </c>
      <c r="E8583">
        <v>0.53999219999999903</v>
      </c>
      <c r="F8583" t="s">
        <v>59</v>
      </c>
      <c r="G8583">
        <v>-178.47149999999999</v>
      </c>
      <c r="H8583" s="1">
        <v>-5.2588350000000003E-6</v>
      </c>
      <c r="I8583">
        <v>131.83170000000001</v>
      </c>
      <c r="J8583">
        <v>-187.25399999999999</v>
      </c>
      <c r="K8583">
        <v>1.1157999999999999</v>
      </c>
      <c r="L8583">
        <v>121.9091</v>
      </c>
      <c r="M8583">
        <v>0.1644659</v>
      </c>
      <c r="N8583">
        <v>-2.1829660000000001E-2</v>
      </c>
      <c r="O8583">
        <v>0.98614120000000005</v>
      </c>
      <c r="P8583">
        <v>0.57647280000000001</v>
      </c>
      <c r="Q8583">
        <v>-9.628755E-2</v>
      </c>
      <c r="R8583">
        <v>0.81142340000000002</v>
      </c>
      <c r="S8583">
        <v>1.983047</v>
      </c>
      <c r="T8583">
        <v>-0.25129659999999998</v>
      </c>
      <c r="U8583">
        <v>2.2602690000000001</v>
      </c>
      <c r="V8583">
        <v>0.43400090000000002</v>
      </c>
      <c r="W8583">
        <v>-8.2900840000000003E-2</v>
      </c>
      <c r="X8583">
        <v>0.8970901</v>
      </c>
      <c r="Y8583">
        <v>0.52492859999999997</v>
      </c>
      <c r="Z8583">
        <v>-6.5592709999999999E-2</v>
      </c>
      <c r="AA8583">
        <v>0.84861509999999996</v>
      </c>
      <c r="AB8583">
        <v>24</v>
      </c>
      <c r="AC8583">
        <v>8.7825000000000202</v>
      </c>
      <c r="AD8583">
        <v>-1.11580525883499</v>
      </c>
      <c r="AE8583">
        <v>9.9226000000000099</v>
      </c>
      <c r="AF8583">
        <v>6.9810320351449198</v>
      </c>
      <c r="AG8583">
        <v>-1.11580525883499</v>
      </c>
      <c r="AH8583">
        <v>11.1531018666058</v>
      </c>
      <c r="AI8583">
        <v>94.847205624988206</v>
      </c>
      <c r="AJ8583">
        <v>57.956422550847599</v>
      </c>
      <c r="AK8583">
        <v>13.204980533808101</v>
      </c>
      <c r="AL8583">
        <v>94.755325814867803</v>
      </c>
      <c r="AM8583">
        <v>64.182887198983906</v>
      </c>
      <c r="AN8583">
        <v>0.99999998899576203</v>
      </c>
    </row>
    <row r="8584" spans="1:40" x14ac:dyDescent="0.25">
      <c r="A8584" t="str">
        <f>"20190303155017713"</f>
        <v>20190303155017713</v>
      </c>
      <c r="B8584" t="str">
        <f>"1551599417709139"</f>
        <v>1551599417709139</v>
      </c>
      <c r="C8584" t="s">
        <v>40</v>
      </c>
      <c r="D8584">
        <v>5.2153029999999996</v>
      </c>
      <c r="E8584">
        <v>0.53970499999999999</v>
      </c>
      <c r="F8584" t="s">
        <v>59</v>
      </c>
      <c r="G8584">
        <v>-178.3297</v>
      </c>
      <c r="H8584" s="1">
        <v>-5.2281790000000002E-6</v>
      </c>
      <c r="I8584">
        <v>132.00579999999999</v>
      </c>
      <c r="J8584">
        <v>-187.2269</v>
      </c>
      <c r="K8584">
        <v>1.1157269999999999</v>
      </c>
      <c r="L8584">
        <v>122.03789999999999</v>
      </c>
      <c r="M8584">
        <v>0.16933509999999999</v>
      </c>
      <c r="N8584">
        <v>-2.180004E-2</v>
      </c>
      <c r="O8584">
        <v>0.98531740000000001</v>
      </c>
      <c r="P8584">
        <v>0.58069799999999905</v>
      </c>
      <c r="Q8584">
        <v>-9.5054239999999998E-2</v>
      </c>
      <c r="R8584">
        <v>0.80855089999999996</v>
      </c>
      <c r="S8584">
        <v>1.991333</v>
      </c>
      <c r="T8584">
        <v>-0.24897469999999999</v>
      </c>
      <c r="U8584">
        <v>2.2529300000000001</v>
      </c>
      <c r="V8584">
        <v>0.43422519999999998</v>
      </c>
      <c r="W8584">
        <v>-8.1784430000000005E-2</v>
      </c>
      <c r="X8584">
        <v>0.89708410000000005</v>
      </c>
      <c r="Y8584">
        <v>0.52388789999999996</v>
      </c>
      <c r="Z8584">
        <v>-6.4912880000000006E-2</v>
      </c>
      <c r="AA8584">
        <v>0.84931019999999902</v>
      </c>
      <c r="AB8584">
        <v>24</v>
      </c>
      <c r="AC8584">
        <v>8.8971999999999891</v>
      </c>
      <c r="AD8584">
        <v>-1.1157322281790001</v>
      </c>
      <c r="AE8584">
        <v>9.9679000000000002</v>
      </c>
      <c r="AF8584">
        <v>7.0313022698601202</v>
      </c>
      <c r="AG8584">
        <v>-1.1157322281790001</v>
      </c>
      <c r="AH8584">
        <v>11.2523807217095</v>
      </c>
      <c r="AI8584">
        <v>94.806595693825699</v>
      </c>
      <c r="AJ8584">
        <v>57.999873950781797</v>
      </c>
      <c r="AK8584">
        <v>13.315409941922001</v>
      </c>
      <c r="AL8584">
        <v>94.691141980989102</v>
      </c>
      <c r="AM8584">
        <v>64.171129372829995</v>
      </c>
      <c r="AN8584">
        <v>1.0000000498891299</v>
      </c>
    </row>
    <row r="8585" spans="1:40" x14ac:dyDescent="0.25">
      <c r="A8585" t="str">
        <f>"20190303155017723"</f>
        <v>20190303155017723</v>
      </c>
      <c r="B8585" t="str">
        <f>"1551599417719875"</f>
        <v>1551599417719875</v>
      </c>
      <c r="C8585" t="s">
        <v>40</v>
      </c>
      <c r="D8585">
        <v>5.1706089999999998</v>
      </c>
      <c r="E8585">
        <v>0.53951289999999996</v>
      </c>
      <c r="F8585" t="s">
        <v>59</v>
      </c>
      <c r="G8585">
        <v>-178.24250000000001</v>
      </c>
      <c r="H8585" s="1">
        <v>-5.2093859999999997E-6</v>
      </c>
      <c r="I8585">
        <v>132.113</v>
      </c>
      <c r="J8585">
        <v>-187.20230000000001</v>
      </c>
      <c r="K8585">
        <v>1.1156680000000001</v>
      </c>
      <c r="L8585">
        <v>122.1523</v>
      </c>
      <c r="M8585">
        <v>0.17370369999999999</v>
      </c>
      <c r="N8585">
        <v>-2.1775030000000001E-2</v>
      </c>
      <c r="O8585">
        <v>0.98455720000000002</v>
      </c>
      <c r="P8585">
        <v>0.58479179999999997</v>
      </c>
      <c r="Q8585">
        <v>-9.408975E-2</v>
      </c>
      <c r="R8585">
        <v>0.80570819999999999</v>
      </c>
      <c r="S8585">
        <v>2.0010530000000002</v>
      </c>
      <c r="T8585">
        <v>-0.2485031</v>
      </c>
      <c r="U8585">
        <v>2.2439879999999999</v>
      </c>
      <c r="V8585">
        <v>0.43477500000000002</v>
      </c>
      <c r="W8585">
        <v>-8.0931450000000002E-2</v>
      </c>
      <c r="X8585">
        <v>0.89689509999999995</v>
      </c>
      <c r="Y8585">
        <v>0.52384790000000003</v>
      </c>
      <c r="Z8585">
        <v>-6.4864539999999998E-2</v>
      </c>
      <c r="AA8585">
        <v>0.8493385</v>
      </c>
      <c r="AB8585">
        <v>24</v>
      </c>
      <c r="AC8585">
        <v>8.9597999999999995</v>
      </c>
      <c r="AD8585">
        <v>-1.115673209386</v>
      </c>
      <c r="AE8585">
        <v>9.9606999999999992</v>
      </c>
      <c r="AF8585">
        <v>7.0440587385784701</v>
      </c>
      <c r="AG8585">
        <v>-1.115673209386</v>
      </c>
      <c r="AH8585">
        <v>11.2876481824067</v>
      </c>
      <c r="AI8585">
        <v>94.7931576349106</v>
      </c>
      <c r="AJ8585">
        <v>58.033767985545602</v>
      </c>
      <c r="AK8585">
        <v>13.3519471131545</v>
      </c>
      <c r="AL8585">
        <v>94.642107459429596</v>
      </c>
      <c r="AM8585">
        <v>64.137948312141106</v>
      </c>
      <c r="AN8585">
        <v>1.0000000103140501</v>
      </c>
    </row>
    <row r="8586" spans="1:40" x14ac:dyDescent="0.25">
      <c r="A8586" t="str">
        <f>"20190303155017736"</f>
        <v>20190303155017736</v>
      </c>
      <c r="B8586" t="str">
        <f>"1551599417729635"</f>
        <v>1551599417729635</v>
      </c>
      <c r="C8586" t="s">
        <v>40</v>
      </c>
      <c r="D8586">
        <v>5.2620469999999999</v>
      </c>
      <c r="E8586">
        <v>0.53962270000000001</v>
      </c>
      <c r="F8586" t="s">
        <v>59</v>
      </c>
      <c r="G8586">
        <v>-178.1583</v>
      </c>
      <c r="H8586" s="1">
        <v>-5.1857799999999998E-6</v>
      </c>
      <c r="I8586">
        <v>132.2021</v>
      </c>
      <c r="J8586">
        <v>-187.17339999999999</v>
      </c>
      <c r="K8586">
        <v>1.11559599999999</v>
      </c>
      <c r="L8586">
        <v>122.283</v>
      </c>
      <c r="M8586">
        <v>0.17880560000000001</v>
      </c>
      <c r="N8586">
        <v>-2.1750720000000001E-2</v>
      </c>
      <c r="O8586">
        <v>0.98364390000000002</v>
      </c>
      <c r="P8586">
        <v>0.58949200000000002</v>
      </c>
      <c r="Q8586">
        <v>-9.3187800000000001E-2</v>
      </c>
      <c r="R8586">
        <v>0.80238100000000001</v>
      </c>
      <c r="S8586">
        <v>2.0111080000000001</v>
      </c>
      <c r="T8586">
        <v>-0.24809220000000001</v>
      </c>
      <c r="U8586">
        <v>2.234772</v>
      </c>
      <c r="V8586">
        <v>0.43534479999999998</v>
      </c>
      <c r="W8586">
        <v>-8.0151529999999999E-2</v>
      </c>
      <c r="X8586">
        <v>0.89668869999999901</v>
      </c>
      <c r="Y8586">
        <v>0.52329300000000001</v>
      </c>
      <c r="Z8586">
        <v>-6.4840030000000007E-2</v>
      </c>
      <c r="AA8586">
        <v>0.84968250000000001</v>
      </c>
      <c r="AB8586">
        <v>24</v>
      </c>
      <c r="AC8586">
        <v>9.0150999999999897</v>
      </c>
      <c r="AD8586">
        <v>-1.1156011857799999</v>
      </c>
      <c r="AE8586">
        <v>9.9191000000000091</v>
      </c>
      <c r="AF8586">
        <v>7.0469204095507401</v>
      </c>
      <c r="AG8586">
        <v>-1.1156011857799999</v>
      </c>
      <c r="AH8586">
        <v>11.293271502147601</v>
      </c>
      <c r="AI8586">
        <v>94.790597026300802</v>
      </c>
      <c r="AJ8586">
        <v>58.036132578976002</v>
      </c>
      <c r="AK8586">
        <v>13.358204762821799</v>
      </c>
      <c r="AL8586">
        <v>94.597275764114201</v>
      </c>
      <c r="AM8586">
        <v>64.103300910507301</v>
      </c>
      <c r="AN8586">
        <v>0.99999999367803505</v>
      </c>
    </row>
    <row r="8587" spans="1:40" x14ac:dyDescent="0.25">
      <c r="A8587" t="str">
        <f>"20190303155017747"</f>
        <v>20190303155017747</v>
      </c>
      <c r="B8587" t="str">
        <f>"1551599417739395"</f>
        <v>1551599417739395</v>
      </c>
      <c r="C8587" t="s">
        <v>40</v>
      </c>
      <c r="D8587">
        <v>5.1788220000000003</v>
      </c>
      <c r="E8587">
        <v>0.53950750000000003</v>
      </c>
      <c r="F8587" t="s">
        <v>59</v>
      </c>
      <c r="G8587">
        <v>-178.04599999999999</v>
      </c>
      <c r="H8587" s="1">
        <v>-5.1467159999999998E-6</v>
      </c>
      <c r="I8587">
        <v>132.30099999999999</v>
      </c>
      <c r="J8587">
        <v>-187.149</v>
      </c>
      <c r="K8587">
        <v>1.1155389999999901</v>
      </c>
      <c r="L8587">
        <v>122.3899</v>
      </c>
      <c r="M8587">
        <v>0.18306239999999999</v>
      </c>
      <c r="N8587">
        <v>-2.1733590000000001E-2</v>
      </c>
      <c r="O8587">
        <v>0.98286099999999998</v>
      </c>
      <c r="P8587">
        <v>0.59390359999999998</v>
      </c>
      <c r="Q8587">
        <v>-9.2034939999999996E-2</v>
      </c>
      <c r="R8587">
        <v>0.79925469999999998</v>
      </c>
      <c r="S8587">
        <v>2.024902</v>
      </c>
      <c r="T8587">
        <v>-0.24749579999999999</v>
      </c>
      <c r="U8587">
        <v>2.2225039999999998</v>
      </c>
      <c r="V8587">
        <v>0.43637989999999999</v>
      </c>
      <c r="W8587">
        <v>-7.9109269999999995E-2</v>
      </c>
      <c r="X8587">
        <v>0.89627800000000002</v>
      </c>
      <c r="Y8587">
        <v>0.52482830000000003</v>
      </c>
      <c r="Z8587">
        <v>-6.4744259999999998E-2</v>
      </c>
      <c r="AA8587">
        <v>0.84874229999999995</v>
      </c>
      <c r="AB8587">
        <v>24</v>
      </c>
      <c r="AC8587">
        <v>9.1029999999999998</v>
      </c>
      <c r="AD8587">
        <v>-1.1155441467160001</v>
      </c>
      <c r="AE8587">
        <v>9.91110000000001</v>
      </c>
      <c r="AF8587">
        <v>7.0856285330067896</v>
      </c>
      <c r="AG8587">
        <v>-1.1155441467160001</v>
      </c>
      <c r="AH8587">
        <v>11.3324721235442</v>
      </c>
      <c r="AI8587">
        <v>94.771175967034793</v>
      </c>
      <c r="AJ8587">
        <v>57.984316356664998</v>
      </c>
      <c r="AK8587">
        <v>13.411767030557099</v>
      </c>
      <c r="AL8587">
        <v>94.537368515239393</v>
      </c>
      <c r="AM8587">
        <v>64.039472084226105</v>
      </c>
      <c r="AN8587">
        <v>0.99999997350397096</v>
      </c>
    </row>
    <row r="8588" spans="1:40" x14ac:dyDescent="0.25">
      <c r="A8588" t="str">
        <f>"20190303155017756"</f>
        <v>20190303155017756</v>
      </c>
      <c r="B8588" t="str">
        <f>"1551599417749155"</f>
        <v>1551599417749155</v>
      </c>
      <c r="C8588" t="s">
        <v>40</v>
      </c>
      <c r="D8588">
        <v>5.1775609999999999</v>
      </c>
      <c r="E8588">
        <v>0.53941130000000004</v>
      </c>
      <c r="F8588" t="s">
        <v>59</v>
      </c>
      <c r="G8588">
        <v>-177.8888</v>
      </c>
      <c r="H8588" s="1">
        <v>-5.096492E-6</v>
      </c>
      <c r="I8588">
        <v>132.45140000000001</v>
      </c>
      <c r="J8588">
        <v>-187.1241</v>
      </c>
      <c r="K8588">
        <v>1.115483</v>
      </c>
      <c r="L8588">
        <v>122.49760000000001</v>
      </c>
      <c r="M8588">
        <v>0.18740229999999999</v>
      </c>
      <c r="N8588">
        <v>-2.1717920000000002E-2</v>
      </c>
      <c r="O8588">
        <v>0.98204309999999995</v>
      </c>
      <c r="P8588">
        <v>0.59850819999999905</v>
      </c>
      <c r="Q8588">
        <v>-9.0835180000000001E-2</v>
      </c>
      <c r="R8588">
        <v>0.7959503</v>
      </c>
      <c r="S8588">
        <v>2.0361180000000001</v>
      </c>
      <c r="T8588">
        <v>-0.24528179999999999</v>
      </c>
      <c r="U8588">
        <v>2.2122799999999998</v>
      </c>
      <c r="V8588">
        <v>0.4375716</v>
      </c>
      <c r="W8588">
        <v>-7.8023229999999999E-2</v>
      </c>
      <c r="X8588">
        <v>0.89579209999999998</v>
      </c>
      <c r="Y8588">
        <v>0.52538850000000004</v>
      </c>
      <c r="Z8588">
        <v>-6.4087019999999995E-2</v>
      </c>
      <c r="AA8588">
        <v>0.84844549999999996</v>
      </c>
      <c r="AB8588">
        <v>24</v>
      </c>
      <c r="AC8588">
        <v>9.2352999999999899</v>
      </c>
      <c r="AD8588">
        <v>-1.115488096492</v>
      </c>
      <c r="AE8588">
        <v>9.9537999999999993</v>
      </c>
      <c r="AF8588">
        <v>7.1574911972515496</v>
      </c>
      <c r="AG8588">
        <v>-1.115488096492</v>
      </c>
      <c r="AH8588">
        <v>11.4313412104959</v>
      </c>
      <c r="AI8588">
        <v>94.728001784990894</v>
      </c>
      <c r="AJ8588">
        <v>57.948134904181003</v>
      </c>
      <c r="AK8588">
        <v>13.5332758710865</v>
      </c>
      <c r="AL8588">
        <v>94.474949905434599</v>
      </c>
      <c r="AM8588">
        <v>63.965670356524399</v>
      </c>
      <c r="AN8588">
        <v>1.0000000079843001</v>
      </c>
    </row>
    <row r="8589" spans="1:40" x14ac:dyDescent="0.25">
      <c r="A8589" t="str">
        <f>"20190303155017768"</f>
        <v>20190303155017768</v>
      </c>
      <c r="B8589" t="str">
        <f>"1551599417758915"</f>
        <v>1551599417758915</v>
      </c>
      <c r="C8589" t="s">
        <v>40</v>
      </c>
      <c r="D8589">
        <v>5.1714859999999998</v>
      </c>
      <c r="E8589">
        <v>0.53923109999999996</v>
      </c>
      <c r="F8589" t="s">
        <v>59</v>
      </c>
      <c r="G8589">
        <v>-177.7396</v>
      </c>
      <c r="H8589" s="1">
        <v>-5.0446750000000001E-6</v>
      </c>
      <c r="I8589">
        <v>132.583</v>
      </c>
      <c r="J8589">
        <v>-187.09710000000001</v>
      </c>
      <c r="K8589">
        <v>1.1154200000000001</v>
      </c>
      <c r="L8589">
        <v>122.61060000000001</v>
      </c>
      <c r="M8589">
        <v>0.19205700000000001</v>
      </c>
      <c r="N8589">
        <v>-2.1704459999999998E-2</v>
      </c>
      <c r="O8589">
        <v>0.98114369999999995</v>
      </c>
      <c r="P8589">
        <v>0.60332519999999901</v>
      </c>
      <c r="Q8589">
        <v>-8.9855019999999994E-2</v>
      </c>
      <c r="R8589">
        <v>0.79241709999999999</v>
      </c>
      <c r="S8589">
        <v>2.048203</v>
      </c>
      <c r="T8589">
        <v>-0.24345839999999999</v>
      </c>
      <c r="U8589">
        <v>2.2011720000000001</v>
      </c>
      <c r="V8589">
        <v>0.43873430000000002</v>
      </c>
      <c r="W8589">
        <v>-7.7158320000000002E-2</v>
      </c>
      <c r="X8589">
        <v>0.89529820000000004</v>
      </c>
      <c r="Y8589">
        <v>0.52601560000000003</v>
      </c>
      <c r="Z8589">
        <v>-6.3565330000000003E-2</v>
      </c>
      <c r="AA8589">
        <v>0.84809609999999902</v>
      </c>
      <c r="AB8589">
        <v>24</v>
      </c>
      <c r="AC8589">
        <v>9.3575000000000106</v>
      </c>
      <c r="AD8589">
        <v>-1.115425044675</v>
      </c>
      <c r="AE8589">
        <v>9.9723999999999897</v>
      </c>
      <c r="AF8589">
        <v>7.2194646611496296</v>
      </c>
      <c r="AG8589">
        <v>-1.115425044675</v>
      </c>
      <c r="AH8589">
        <v>11.507700276317699</v>
      </c>
      <c r="AI8589">
        <v>94.693917139511299</v>
      </c>
      <c r="AJ8589">
        <v>57.8975065611492</v>
      </c>
      <c r="AK8589">
        <v>13.6305542320714</v>
      </c>
      <c r="AL8589">
        <v>94.425244267887905</v>
      </c>
      <c r="AM8589">
        <v>63.8931756128163</v>
      </c>
      <c r="AN8589">
        <v>1.00000002963247</v>
      </c>
    </row>
    <row r="8590" spans="1:40" x14ac:dyDescent="0.25">
      <c r="A8590" t="str">
        <f>"20190303155017778"</f>
        <v>20190303155017778</v>
      </c>
      <c r="B8590" t="str">
        <f>"1551599417769651"</f>
        <v>1551599417769651</v>
      </c>
      <c r="C8590" t="s">
        <v>40</v>
      </c>
      <c r="D8590">
        <v>5.1715939999999998</v>
      </c>
      <c r="E8590">
        <v>0.539107</v>
      </c>
      <c r="F8590" t="s">
        <v>59</v>
      </c>
      <c r="G8590">
        <v>-177.6174</v>
      </c>
      <c r="H8590" s="1">
        <v>-5.0005060000000004E-6</v>
      </c>
      <c r="I8590">
        <v>132.68620000000001</v>
      </c>
      <c r="J8590">
        <v>-187.07</v>
      </c>
      <c r="K8590">
        <v>1.1153569999999999</v>
      </c>
      <c r="L8590">
        <v>122.72239999999999</v>
      </c>
      <c r="M8590">
        <v>0.1967073</v>
      </c>
      <c r="N8590">
        <v>-2.169198E-2</v>
      </c>
      <c r="O8590">
        <v>0.98022229999999999</v>
      </c>
      <c r="P8590">
        <v>0.60821409999999998</v>
      </c>
      <c r="Q8590">
        <v>-8.9096449999999994E-2</v>
      </c>
      <c r="R8590">
        <v>0.78875689999999998</v>
      </c>
      <c r="S8590">
        <v>2.0602420000000001</v>
      </c>
      <c r="T8590">
        <v>-0.2424171</v>
      </c>
      <c r="U8590">
        <v>2.1897579999999999</v>
      </c>
      <c r="V8590">
        <v>0.44000410000000001</v>
      </c>
      <c r="W8590">
        <v>-7.6517009999999996E-2</v>
      </c>
      <c r="X8590">
        <v>0.89472989999999997</v>
      </c>
      <c r="Y8590">
        <v>0.52667900000000001</v>
      </c>
      <c r="Z8590">
        <v>-6.3313499999999995E-2</v>
      </c>
      <c r="AA8590">
        <v>0.84770319999999899</v>
      </c>
      <c r="AB8590">
        <v>23</v>
      </c>
      <c r="AC8590">
        <v>9.4525999999999897</v>
      </c>
      <c r="AD8590">
        <v>-1.1153620005060001</v>
      </c>
      <c r="AE8590">
        <v>9.9638000000000098</v>
      </c>
      <c r="AF8590">
        <v>7.2595387210163196</v>
      </c>
      <c r="AG8590">
        <v>-1.1153620005060001</v>
      </c>
      <c r="AH8590">
        <v>11.552678865425399</v>
      </c>
      <c r="AI8590">
        <v>94.673309367203899</v>
      </c>
      <c r="AJ8590">
        <v>57.855331360464398</v>
      </c>
      <c r="AK8590">
        <v>13.6897525106101</v>
      </c>
      <c r="AL8590">
        <v>94.388390969304496</v>
      </c>
      <c r="AM8590">
        <v>63.813281487574102</v>
      </c>
      <c r="AN8590">
        <v>1.00000002739507</v>
      </c>
    </row>
    <row r="8591" spans="1:40" x14ac:dyDescent="0.25">
      <c r="A8591" t="str">
        <f>"20190303155017791"</f>
        <v>20190303155017791</v>
      </c>
      <c r="B8591" t="str">
        <f>"1551599417779411"</f>
        <v>1551599417779411</v>
      </c>
      <c r="C8591" t="s">
        <v>40</v>
      </c>
      <c r="D8591">
        <v>4.9433530000000001</v>
      </c>
      <c r="E8591">
        <v>0.54011960000000003</v>
      </c>
      <c r="F8591" t="s">
        <v>59</v>
      </c>
      <c r="G8591">
        <v>-177.4913</v>
      </c>
      <c r="H8591" s="1">
        <v>-4.9522019999999901E-6</v>
      </c>
      <c r="I8591">
        <v>132.78559999999999</v>
      </c>
      <c r="J8591">
        <v>-187.04</v>
      </c>
      <c r="K8591">
        <v>1.115291</v>
      </c>
      <c r="L8591">
        <v>122.8417</v>
      </c>
      <c r="M8591">
        <v>0.20180870000000001</v>
      </c>
      <c r="N8591">
        <v>-2.1678909999999999E-2</v>
      </c>
      <c r="O8591">
        <v>0.97918499999999997</v>
      </c>
      <c r="P8591">
        <v>0.61340410000000001</v>
      </c>
      <c r="Q8591">
        <v>-8.8275090000000001E-2</v>
      </c>
      <c r="R8591">
        <v>0.78482030000000003</v>
      </c>
      <c r="S8591">
        <v>2.0729060000000001</v>
      </c>
      <c r="T8591">
        <v>-0.24137310000000001</v>
      </c>
      <c r="U8591">
        <v>2.1777500000000001</v>
      </c>
      <c r="V8591">
        <v>0.44122440000000002</v>
      </c>
      <c r="W8591">
        <v>-7.5817040000000002E-2</v>
      </c>
      <c r="X8591">
        <v>0.89418829999999905</v>
      </c>
      <c r="Y8591">
        <v>0.52719090000000002</v>
      </c>
      <c r="Z8591">
        <v>-6.3063099999999997E-2</v>
      </c>
      <c r="AA8591">
        <v>0.84740360000000003</v>
      </c>
      <c r="AB8591">
        <v>23</v>
      </c>
      <c r="AC8591">
        <v>9.5486999999999895</v>
      </c>
      <c r="AD8591">
        <v>-1.1152959522020001</v>
      </c>
      <c r="AE8591">
        <v>9.9438999999999798</v>
      </c>
      <c r="AF8591">
        <v>7.2971465675186202</v>
      </c>
      <c r="AG8591">
        <v>-1.1152959522020001</v>
      </c>
      <c r="AH8591">
        <v>11.590811536001199</v>
      </c>
      <c r="AI8591">
        <v>94.655267965938094</v>
      </c>
      <c r="AJ8591">
        <v>57.806998251469999</v>
      </c>
      <c r="AK8591">
        <v>13.741875605314799</v>
      </c>
      <c r="AL8591">
        <v>94.348169114472697</v>
      </c>
      <c r="AM8591">
        <v>63.736625036699103</v>
      </c>
      <c r="AN8591">
        <v>0.99999995528330399</v>
      </c>
    </row>
    <row r="8592" spans="1:40" x14ac:dyDescent="0.25">
      <c r="A8592" t="str">
        <f>"20190303155017803"</f>
        <v>20190303155017803</v>
      </c>
      <c r="B8592" t="str">
        <f>"1551599417798931"</f>
        <v>1551599417798931</v>
      </c>
      <c r="C8592" t="s">
        <v>40</v>
      </c>
      <c r="D8592">
        <v>4.9088399999999996</v>
      </c>
      <c r="E8592">
        <v>0.54065569999999996</v>
      </c>
      <c r="F8592" t="s">
        <v>59</v>
      </c>
      <c r="G8592">
        <v>-176.97499999999999</v>
      </c>
      <c r="H8592" s="1">
        <v>-4.7660760000000002E-6</v>
      </c>
      <c r="I8592">
        <v>133.22309999999999</v>
      </c>
      <c r="J8592">
        <v>-187.0067</v>
      </c>
      <c r="K8592">
        <v>1.115216</v>
      </c>
      <c r="L8592">
        <v>122.97190000000001</v>
      </c>
      <c r="M8592">
        <v>0.20743400000000001</v>
      </c>
      <c r="N8592">
        <v>-2.1663979999999999E-2</v>
      </c>
      <c r="O8592">
        <v>0.97800909999999996</v>
      </c>
      <c r="P8592">
        <v>0.61920949999999997</v>
      </c>
      <c r="Q8592">
        <v>-8.7854459999999995E-2</v>
      </c>
      <c r="R8592">
        <v>0.78029559999999998</v>
      </c>
      <c r="S8592">
        <v>2.0939640000000002</v>
      </c>
      <c r="T8592">
        <v>-0.2320313</v>
      </c>
      <c r="U8592">
        <v>2.159805</v>
      </c>
      <c r="V8592">
        <v>0.44269609999999898</v>
      </c>
      <c r="W8592">
        <v>-7.5534279999999995E-2</v>
      </c>
      <c r="X8592">
        <v>0.89348459999999996</v>
      </c>
      <c r="Y8592">
        <v>0.53023589999999998</v>
      </c>
      <c r="Z8592">
        <v>-5.9968189999999998E-2</v>
      </c>
      <c r="AA8592">
        <v>0.84572669999999905</v>
      </c>
      <c r="AB8592">
        <v>23</v>
      </c>
      <c r="AC8592">
        <v>10.031700000000001</v>
      </c>
      <c r="AD8592">
        <v>-1.1152207660760001</v>
      </c>
      <c r="AE8592">
        <v>10.2511999999999</v>
      </c>
      <c r="AF8592">
        <v>7.6402603444324804</v>
      </c>
      <c r="AG8592">
        <v>-1.1152207660760001</v>
      </c>
      <c r="AH8592">
        <v>12.0367549672668</v>
      </c>
      <c r="AI8592">
        <v>94.472776585586402</v>
      </c>
      <c r="AJ8592">
        <v>57.594898772858102</v>
      </c>
      <c r="AK8592">
        <v>14.300376415668801</v>
      </c>
      <c r="AL8592">
        <v>94.331921386110594</v>
      </c>
      <c r="AM8592">
        <v>63.642898567782296</v>
      </c>
      <c r="AN8592">
        <v>0.99999999742374401</v>
      </c>
    </row>
    <row r="8593" spans="1:40" x14ac:dyDescent="0.25">
      <c r="A8593" t="str">
        <f>"20190303155017818"</f>
        <v>20190303155017818</v>
      </c>
      <c r="B8593" t="str">
        <f>"1551599417809667"</f>
        <v>1551599417809667</v>
      </c>
      <c r="C8593" t="s">
        <v>40</v>
      </c>
      <c r="D8593">
        <v>5.135084</v>
      </c>
      <c r="E8593">
        <v>0.54059419999999903</v>
      </c>
      <c r="F8593" t="s">
        <v>59</v>
      </c>
      <c r="G8593">
        <v>-176.6225</v>
      </c>
      <c r="H8593" s="1">
        <v>-4.62952E-6</v>
      </c>
      <c r="I8593">
        <v>133.49700000000001</v>
      </c>
      <c r="J8593">
        <v>-186.96680000000001</v>
      </c>
      <c r="K8593">
        <v>1.1151279999999999</v>
      </c>
      <c r="L8593">
        <v>123.1228</v>
      </c>
      <c r="M8593">
        <v>0.21410799999999999</v>
      </c>
      <c r="N8593">
        <v>-2.1646200000000001E-2</v>
      </c>
      <c r="O8593">
        <v>0.9765701</v>
      </c>
      <c r="P8593">
        <v>0.62586079999999999</v>
      </c>
      <c r="Q8593">
        <v>-8.7521719999999997E-2</v>
      </c>
      <c r="R8593">
        <v>0.77500849999999999</v>
      </c>
      <c r="S8593">
        <v>2.1133730000000002</v>
      </c>
      <c r="T8593">
        <v>-0.22696730000000001</v>
      </c>
      <c r="U8593">
        <v>2.1420439999999998</v>
      </c>
      <c r="V8593">
        <v>0.44421300000000002</v>
      </c>
      <c r="W8593">
        <v>-7.5356259999999994E-2</v>
      </c>
      <c r="X8593">
        <v>0.89274639999999905</v>
      </c>
      <c r="Y8593">
        <v>0.53191659999999996</v>
      </c>
      <c r="Z8593">
        <v>-5.8357979999999997E-2</v>
      </c>
      <c r="AA8593">
        <v>0.84478339999999996</v>
      </c>
      <c r="AB8593">
        <v>23</v>
      </c>
      <c r="AC8593">
        <v>10.3443</v>
      </c>
      <c r="AD8593">
        <v>-1.1151326295199999</v>
      </c>
      <c r="AE8593">
        <v>10.3742</v>
      </c>
      <c r="AF8593">
        <v>7.8371747591542196</v>
      </c>
      <c r="AG8593">
        <v>-1.1151326295199999</v>
      </c>
      <c r="AH8593">
        <v>12.2776897999181</v>
      </c>
      <c r="AI8593">
        <v>94.377921959455094</v>
      </c>
      <c r="AJ8593">
        <v>57.448831096641101</v>
      </c>
      <c r="AK8593">
        <v>14.6084391982839</v>
      </c>
      <c r="AL8593">
        <v>94.321692665312796</v>
      </c>
      <c r="AM8593">
        <v>63.545968122423901</v>
      </c>
      <c r="AN8593">
        <v>0.99999994500157197</v>
      </c>
    </row>
    <row r="8594" spans="1:40" x14ac:dyDescent="0.25">
      <c r="A8594" t="str">
        <f>"20190303155017833"</f>
        <v>20190303155017833</v>
      </c>
      <c r="B8594" t="str">
        <f>"1551599417829187"</f>
        <v>1551599417829187</v>
      </c>
      <c r="C8594" t="s">
        <v>40</v>
      </c>
      <c r="D8594">
        <v>5.1512469999999997</v>
      </c>
      <c r="E8594">
        <v>0.54042449999999997</v>
      </c>
      <c r="F8594" t="s">
        <v>59</v>
      </c>
      <c r="G8594">
        <v>-176.38120000000001</v>
      </c>
      <c r="H8594" s="1">
        <v>-4.5319529999999997E-6</v>
      </c>
      <c r="I8594">
        <v>133.67359999999999</v>
      </c>
      <c r="J8594">
        <v>-186.92760000000001</v>
      </c>
      <c r="K8594">
        <v>1.115051</v>
      </c>
      <c r="L8594">
        <v>123.26600000000001</v>
      </c>
      <c r="M8594">
        <v>0.22059010000000001</v>
      </c>
      <c r="N8594">
        <v>-2.1631069999999999E-2</v>
      </c>
      <c r="O8594">
        <v>0.97512670000000001</v>
      </c>
      <c r="P8594">
        <v>0.63226939999999998</v>
      </c>
      <c r="Q8594">
        <v>-8.7994000000000003E-2</v>
      </c>
      <c r="R8594">
        <v>0.76973530000000001</v>
      </c>
      <c r="S8594">
        <v>2.1313930000000001</v>
      </c>
      <c r="T8594">
        <v>-0.22453049999999999</v>
      </c>
      <c r="U8594">
        <v>2.12439</v>
      </c>
      <c r="V8594">
        <v>0.44567570000000001</v>
      </c>
      <c r="W8594">
        <v>-7.5967699999999999E-2</v>
      </c>
      <c r="X8594">
        <v>0.89196529999999996</v>
      </c>
      <c r="Y8594">
        <v>0.53341070000000002</v>
      </c>
      <c r="Z8594">
        <v>-5.7655129999999999E-2</v>
      </c>
      <c r="AA8594">
        <v>0.84388909999999995</v>
      </c>
      <c r="AB8594">
        <v>23</v>
      </c>
      <c r="AC8594">
        <v>10.5464</v>
      </c>
      <c r="AD8594">
        <v>-1.115055531953</v>
      </c>
      <c r="AE8594">
        <v>10.407599999999899</v>
      </c>
      <c r="AF8594">
        <v>7.9451365787220896</v>
      </c>
      <c r="AG8594">
        <v>-1.115055531953</v>
      </c>
      <c r="AH8594">
        <v>12.4078105962557</v>
      </c>
      <c r="AI8594">
        <v>94.327959166968697</v>
      </c>
      <c r="AJ8594">
        <v>57.367203941906297</v>
      </c>
      <c r="AK8594">
        <v>14.7757337512031</v>
      </c>
      <c r="AL8594">
        <v>94.356826030880995</v>
      </c>
      <c r="AM8594">
        <v>63.450724647628903</v>
      </c>
      <c r="AN8594">
        <v>1.00000000870893</v>
      </c>
    </row>
    <row r="8595" spans="1:40" x14ac:dyDescent="0.25">
      <c r="A8595" t="str">
        <f>"20190303155017848"</f>
        <v>20190303155017848</v>
      </c>
      <c r="B8595" t="str">
        <f>"1551599417838947"</f>
        <v>1551599417838947</v>
      </c>
      <c r="C8595" t="s">
        <v>40</v>
      </c>
      <c r="D8595">
        <v>5.1329140000000004</v>
      </c>
      <c r="E8595">
        <v>0.54034609999999905</v>
      </c>
      <c r="F8595" t="s">
        <v>59</v>
      </c>
      <c r="G8595">
        <v>-176.2826</v>
      </c>
      <c r="H8595" s="1">
        <v>-4.4785910000000002E-6</v>
      </c>
      <c r="I8595">
        <v>133.71029999999999</v>
      </c>
      <c r="J8595">
        <v>-186.88560000000001</v>
      </c>
      <c r="K8595">
        <v>1.1149770000000001</v>
      </c>
      <c r="L8595">
        <v>123.41540000000001</v>
      </c>
      <c r="M8595">
        <v>0.22745879999999999</v>
      </c>
      <c r="N8595">
        <v>-2.161683E-2</v>
      </c>
      <c r="O8595">
        <v>0.97354779999999996</v>
      </c>
      <c r="P8595">
        <v>0.64067940000000001</v>
      </c>
      <c r="Q8595">
        <v>-8.8021240000000001E-2</v>
      </c>
      <c r="R8595">
        <v>0.76274640000000005</v>
      </c>
      <c r="S8595">
        <v>2.147888</v>
      </c>
      <c r="T8595">
        <v>-0.2249892</v>
      </c>
      <c r="U8595">
        <v>2.1073909999999998</v>
      </c>
      <c r="V8595">
        <v>0.44915280000000002</v>
      </c>
      <c r="W8595">
        <v>-7.6184650000000007E-2</v>
      </c>
      <c r="X8595">
        <v>0.89020089999999996</v>
      </c>
      <c r="Y8595">
        <v>0.53408239999999996</v>
      </c>
      <c r="Z8595">
        <v>-5.7948329999999999E-2</v>
      </c>
      <c r="AA8595">
        <v>0.84344419999999898</v>
      </c>
      <c r="AB8595">
        <v>23</v>
      </c>
      <c r="AC8595">
        <v>10.603</v>
      </c>
      <c r="AD8595">
        <v>-1.1149814785909999</v>
      </c>
      <c r="AE8595">
        <v>10.294899999999901</v>
      </c>
      <c r="AF8595">
        <v>7.9375460200781802</v>
      </c>
      <c r="AG8595">
        <v>-1.1149814785909999</v>
      </c>
      <c r="AH8595">
        <v>12.3668362753558</v>
      </c>
      <c r="AI8595">
        <v>94.338994547428797</v>
      </c>
      <c r="AJ8595">
        <v>57.305977295818899</v>
      </c>
      <c r="AK8595">
        <v>14.7372473678064</v>
      </c>
      <c r="AL8595">
        <v>94.369292557523593</v>
      </c>
      <c r="AM8595">
        <v>63.226672668192897</v>
      </c>
      <c r="AN8595">
        <v>0.99999999050213595</v>
      </c>
    </row>
    <row r="8596" spans="1:40" x14ac:dyDescent="0.25">
      <c r="A8596" t="str">
        <f>"20190303155017863"</f>
        <v>20190303155017863</v>
      </c>
      <c r="B8596" t="str">
        <f>"1551599417859443"</f>
        <v>1551599417859443</v>
      </c>
      <c r="C8596" t="s">
        <v>40</v>
      </c>
      <c r="D8596">
        <v>5.4075259999999998</v>
      </c>
      <c r="E8596">
        <v>0.54036580000000001</v>
      </c>
      <c r="F8596" t="s">
        <v>59</v>
      </c>
      <c r="G8596">
        <v>-176.14689999999999</v>
      </c>
      <c r="H8596" s="1">
        <v>-4.3920060000000002E-6</v>
      </c>
      <c r="I8596">
        <v>133.7261</v>
      </c>
      <c r="J8596">
        <v>-186.8426</v>
      </c>
      <c r="K8596">
        <v>1.1149039999999999</v>
      </c>
      <c r="L8596">
        <v>123.5642</v>
      </c>
      <c r="M8596">
        <v>0.23441790000000001</v>
      </c>
      <c r="N8596">
        <v>-2.1604519999999999E-2</v>
      </c>
      <c r="O8596">
        <v>0.97189579999999998</v>
      </c>
      <c r="P8596">
        <v>0.64758570000000004</v>
      </c>
      <c r="Q8596">
        <v>-8.8178850000000003E-2</v>
      </c>
      <c r="R8596">
        <v>0.75687329999999997</v>
      </c>
      <c r="S8596">
        <v>2.1705019999999999</v>
      </c>
      <c r="T8596">
        <v>-0.22535939999999999</v>
      </c>
      <c r="U8596">
        <v>2.0840000000000001</v>
      </c>
      <c r="V8596">
        <v>0.45085960000000003</v>
      </c>
      <c r="W8596">
        <v>-7.6474920000000002E-2</v>
      </c>
      <c r="X8596">
        <v>0.88931269999999996</v>
      </c>
      <c r="Y8596">
        <v>0.53714110000000004</v>
      </c>
      <c r="Z8596">
        <v>-5.8239399999999997E-2</v>
      </c>
      <c r="AA8596">
        <v>0.84147939999999999</v>
      </c>
      <c r="AB8596">
        <v>23</v>
      </c>
      <c r="AC8596">
        <v>10.6957</v>
      </c>
      <c r="AD8596">
        <v>-1.1149083920059999</v>
      </c>
      <c r="AE8596">
        <v>10.161899999999999</v>
      </c>
      <c r="AF8596">
        <v>7.9693344360899498</v>
      </c>
      <c r="AG8596">
        <v>-1.1149083920059999</v>
      </c>
      <c r="AH8596">
        <v>12.3161281312239</v>
      </c>
      <c r="AI8596">
        <v>94.346195928276103</v>
      </c>
      <c r="AJ8596">
        <v>57.094510953684797</v>
      </c>
      <c r="AK8596">
        <v>14.7119109643016</v>
      </c>
      <c r="AL8596">
        <v>94.385972707591193</v>
      </c>
      <c r="AM8596">
        <v>63.116116109851198</v>
      </c>
      <c r="AN8596">
        <v>0.999999935341226</v>
      </c>
    </row>
    <row r="8597" spans="1:40" x14ac:dyDescent="0.25">
      <c r="A8597" t="str">
        <f>"20190303155017876"</f>
        <v>20190303155017876</v>
      </c>
      <c r="B8597" t="str">
        <f>"1551599417869202"</f>
        <v>1551599417869202</v>
      </c>
      <c r="C8597" t="s">
        <v>40</v>
      </c>
      <c r="D8597">
        <v>5.2127610000000004</v>
      </c>
      <c r="E8597">
        <v>0.54036580000000001</v>
      </c>
      <c r="F8597" t="s">
        <v>59</v>
      </c>
      <c r="G8597">
        <v>-176.09530000000001</v>
      </c>
      <c r="H8597" s="1">
        <v>-4.345393E-6</v>
      </c>
      <c r="I8597">
        <v>133.696</v>
      </c>
      <c r="J8597">
        <v>-186.803</v>
      </c>
      <c r="K8597">
        <v>1.1148559999999901</v>
      </c>
      <c r="L8597">
        <v>123.6964</v>
      </c>
      <c r="M8597">
        <v>0.24073259999999999</v>
      </c>
      <c r="N8597">
        <v>-2.1595840000000002E-2</v>
      </c>
      <c r="O8597">
        <v>0.97035119999999997</v>
      </c>
      <c r="P8597">
        <v>0.65383269999999905</v>
      </c>
      <c r="Q8597">
        <v>-8.7894840000000002E-2</v>
      </c>
      <c r="R8597">
        <v>0.75151679999999998</v>
      </c>
      <c r="S8597">
        <v>2.189346</v>
      </c>
      <c r="T8597">
        <v>-0.22711990000000001</v>
      </c>
      <c r="U8597">
        <v>2.063965</v>
      </c>
      <c r="V8597">
        <v>0.4524261</v>
      </c>
      <c r="W8597">
        <v>-7.6296569999999994E-2</v>
      </c>
      <c r="X8597">
        <v>0.88853219999999999</v>
      </c>
      <c r="Y8597">
        <v>0.53931560000000001</v>
      </c>
      <c r="Z8597">
        <v>-5.8984549999999997E-2</v>
      </c>
      <c r="AA8597">
        <v>0.84003539999999999</v>
      </c>
      <c r="AB8597">
        <v>23</v>
      </c>
      <c r="AC8597">
        <v>10.7076999999999</v>
      </c>
      <c r="AD8597">
        <v>-1.1148603453929999</v>
      </c>
      <c r="AE8597">
        <v>9.9995999999999992</v>
      </c>
      <c r="AF8597">
        <v>7.9388917880028096</v>
      </c>
      <c r="AG8597">
        <v>-1.1148603453929999</v>
      </c>
      <c r="AH8597">
        <v>12.2129617718149</v>
      </c>
      <c r="AI8597">
        <v>94.376657183551998</v>
      </c>
      <c r="AJ8597">
        <v>56.974593509055602</v>
      </c>
      <c r="AK8597">
        <v>14.609084558970901</v>
      </c>
      <c r="AL8597">
        <v>94.375723749627099</v>
      </c>
      <c r="AM8597">
        <v>63.015547878680003</v>
      </c>
      <c r="AN8597">
        <v>1.0000000064959</v>
      </c>
    </row>
    <row r="8598" spans="1:40" x14ac:dyDescent="0.25">
      <c r="A8598" t="str">
        <f>"20190303155017888"</f>
        <v>20190303155017888</v>
      </c>
      <c r="B8598" t="str">
        <f>"1551599417878963"</f>
        <v>1551599417878963</v>
      </c>
      <c r="C8598" t="s">
        <v>40</v>
      </c>
      <c r="D8598">
        <v>5.1861730000000001</v>
      </c>
      <c r="E8598">
        <v>0.57068459999999999</v>
      </c>
      <c r="F8598" t="s">
        <v>59</v>
      </c>
      <c r="G8598">
        <v>-175.9417</v>
      </c>
      <c r="H8598" s="1">
        <v>-4.2674159999999996E-6</v>
      </c>
      <c r="I8598">
        <v>133.76660000000001</v>
      </c>
      <c r="J8598">
        <v>-186.76560000000001</v>
      </c>
      <c r="K8598">
        <v>1.114819</v>
      </c>
      <c r="L8598">
        <v>123.8182</v>
      </c>
      <c r="M8598">
        <v>0.24662729999999999</v>
      </c>
      <c r="N8598">
        <v>-2.1585779999999999E-2</v>
      </c>
      <c r="O8598">
        <v>0.96887000000000001</v>
      </c>
      <c r="P8598">
        <v>0.65963760000000005</v>
      </c>
      <c r="Q8598">
        <v>-8.7398340000000005E-2</v>
      </c>
      <c r="R8598">
        <v>0.74648510000000001</v>
      </c>
      <c r="S8598">
        <v>2.2064819999999998</v>
      </c>
      <c r="T8598">
        <v>-0.22648509999999999</v>
      </c>
      <c r="U8598">
        <v>2.0457610000000002</v>
      </c>
      <c r="V8598">
        <v>0.45389360000000001</v>
      </c>
      <c r="W8598">
        <v>-7.5891959999999994E-2</v>
      </c>
      <c r="X8598">
        <v>0.887818199999999</v>
      </c>
      <c r="Y8598">
        <v>0.54118359999999999</v>
      </c>
      <c r="Z8598">
        <v>-5.888997E-2</v>
      </c>
      <c r="AA8598">
        <v>0.83883989999999997</v>
      </c>
      <c r="AB8598">
        <v>23</v>
      </c>
      <c r="AC8598">
        <v>10.8239</v>
      </c>
      <c r="AD8598">
        <v>-1.1148232674159999</v>
      </c>
      <c r="AE8598">
        <v>9.9483999999999995</v>
      </c>
      <c r="AF8598">
        <v>7.9893346944138504</v>
      </c>
      <c r="AG8598">
        <v>-1.1148232674159999</v>
      </c>
      <c r="AH8598">
        <v>12.240654409864099</v>
      </c>
      <c r="AI8598">
        <v>94.361380274346004</v>
      </c>
      <c r="AJ8598">
        <v>56.867976345024204</v>
      </c>
      <c r="AK8598">
        <v>14.659669851625701</v>
      </c>
      <c r="AL8598">
        <v>94.352473604355197</v>
      </c>
      <c r="AM8598">
        <v>62.921787381700597</v>
      </c>
      <c r="AN8598">
        <v>1.0000000729824099</v>
      </c>
    </row>
    <row r="8599" spans="1:40" x14ac:dyDescent="0.25">
      <c r="A8599" t="str">
        <f>"20190303155017903"</f>
        <v>20190303155017903</v>
      </c>
      <c r="B8599" t="str">
        <f>"1551599417899459"</f>
        <v>1551599417899459</v>
      </c>
      <c r="C8599" t="s">
        <v>40</v>
      </c>
      <c r="D8599">
        <v>5.2184589999999904</v>
      </c>
      <c r="E8599">
        <v>0.57273779999999996</v>
      </c>
      <c r="F8599" t="s">
        <v>41</v>
      </c>
      <c r="G8599">
        <v>-167.71369999999999</v>
      </c>
      <c r="H8599" s="1">
        <v>-1.2331980000000001E-6</v>
      </c>
      <c r="I8599">
        <v>138.64680000000001</v>
      </c>
      <c r="J8599">
        <v>-186.721</v>
      </c>
      <c r="K8599">
        <v>1.114792</v>
      </c>
      <c r="L8599">
        <v>123.9605</v>
      </c>
      <c r="M8599">
        <v>0.25359080000000001</v>
      </c>
      <c r="N8599">
        <v>-2.1571690000000001E-2</v>
      </c>
      <c r="O8599">
        <v>0.96707100000000001</v>
      </c>
      <c r="P8599">
        <v>0.66678319999999902</v>
      </c>
      <c r="Q8599">
        <v>-8.6045759999999999E-2</v>
      </c>
      <c r="R8599">
        <v>0.74026780000000003</v>
      </c>
      <c r="S8599">
        <v>2.4081570000000001</v>
      </c>
      <c r="T8599">
        <v>-0.14091300000000001</v>
      </c>
      <c r="U8599">
        <v>1.8743289999999999</v>
      </c>
      <c r="V8599">
        <v>0.456011</v>
      </c>
      <c r="W8599">
        <v>-7.4651289999999995E-2</v>
      </c>
      <c r="X8599">
        <v>0.88683769999999995</v>
      </c>
      <c r="Y8599">
        <v>0.60684569999999904</v>
      </c>
      <c r="Z8599">
        <v>-2.9578259999999999E-2</v>
      </c>
      <c r="AA8599">
        <v>0.79426909999999995</v>
      </c>
      <c r="AB8599">
        <v>23</v>
      </c>
      <c r="AC8599">
        <v>19.007299999999901</v>
      </c>
      <c r="AD8599">
        <v>-1.1147932331979999</v>
      </c>
      <c r="AE8599">
        <v>14.686299999999999</v>
      </c>
      <c r="AF8599">
        <v>14.628999456081299</v>
      </c>
      <c r="AG8599">
        <v>-1.1147932331979999</v>
      </c>
      <c r="AH8599">
        <v>18.9863033687121</v>
      </c>
      <c r="AI8599">
        <v>92.662955164184496</v>
      </c>
      <c r="AJ8599">
        <v>52.385648649405901</v>
      </c>
      <c r="AK8599">
        <v>23.9943765213348</v>
      </c>
      <c r="AL8599">
        <v>94.281186625652197</v>
      </c>
      <c r="AM8599">
        <v>62.787820714624203</v>
      </c>
      <c r="AN8599">
        <v>0.99999997668047602</v>
      </c>
    </row>
    <row r="8600" spans="1:40" x14ac:dyDescent="0.25">
      <c r="A8600" t="str">
        <f>"20190303155017914"</f>
        <v>20190303155017914</v>
      </c>
      <c r="B8600" t="str">
        <f>"1551599417909219"</f>
        <v>1551599417909219</v>
      </c>
      <c r="C8600" t="s">
        <v>40</v>
      </c>
      <c r="D8600">
        <v>5.2336989999999997</v>
      </c>
      <c r="E8600">
        <v>0.5722756</v>
      </c>
      <c r="F8600" t="s">
        <v>41</v>
      </c>
      <c r="G8600">
        <v>-168.99590000000001</v>
      </c>
      <c r="H8600" s="1">
        <v>-9.7609599999999995E-7</v>
      </c>
      <c r="I8600">
        <v>137.33760000000001</v>
      </c>
      <c r="J8600">
        <v>-186.6858</v>
      </c>
      <c r="K8600">
        <v>1.1147720000000001</v>
      </c>
      <c r="L8600">
        <v>124.06959999999999</v>
      </c>
      <c r="M8600">
        <v>0.25901190000000002</v>
      </c>
      <c r="N8600">
        <v>-2.1557779999999999E-2</v>
      </c>
      <c r="O8600">
        <v>0.96563350000000003</v>
      </c>
      <c r="P8600">
        <v>0.67198409999999997</v>
      </c>
      <c r="Q8600">
        <v>-8.500241E-2</v>
      </c>
      <c r="R8600">
        <v>0.73567099999999996</v>
      </c>
      <c r="S8600">
        <v>2.4372859999999998</v>
      </c>
      <c r="T8600">
        <v>-0.15328939999999999</v>
      </c>
      <c r="U8600">
        <v>1.8394170000000001</v>
      </c>
      <c r="V8600">
        <v>0.45726559999999999</v>
      </c>
      <c r="W8600">
        <v>-7.3678049999999995E-2</v>
      </c>
      <c r="X8600">
        <v>0.88627299999999998</v>
      </c>
      <c r="Y8600">
        <v>0.61404709999999996</v>
      </c>
      <c r="Z8600">
        <v>-3.4003579999999999E-2</v>
      </c>
      <c r="AA8600">
        <v>0.78853660000000003</v>
      </c>
      <c r="AB8600">
        <v>22</v>
      </c>
      <c r="AC8600">
        <v>17.689899999999898</v>
      </c>
      <c r="AD8600">
        <v>-1.1147729760959999</v>
      </c>
      <c r="AE8600">
        <v>13.268000000000001</v>
      </c>
      <c r="AF8600">
        <v>13.613962556256901</v>
      </c>
      <c r="AG8600">
        <v>-1.1147729760959999</v>
      </c>
      <c r="AH8600">
        <v>17.353858793339299</v>
      </c>
      <c r="AI8600">
        <v>92.893342661569903</v>
      </c>
      <c r="AJ8600">
        <v>51.886101267046399</v>
      </c>
      <c r="AK8600">
        <v>22.084816283830801</v>
      </c>
      <c r="AL8600">
        <v>94.225269742870793</v>
      </c>
      <c r="AM8600">
        <v>62.708883477735</v>
      </c>
      <c r="AN8600">
        <v>1.00000005726207</v>
      </c>
    </row>
    <row r="8601" spans="1:40" x14ac:dyDescent="0.25">
      <c r="A8601" t="str">
        <f>"20190303155017925"</f>
        <v>20190303155017925</v>
      </c>
      <c r="B8601" t="str">
        <f>"1551599417918979"</f>
        <v>1551599417918979</v>
      </c>
      <c r="C8601" t="s">
        <v>40</v>
      </c>
      <c r="D8601">
        <v>5.2359540000000004</v>
      </c>
      <c r="E8601">
        <v>0.57255239999999996</v>
      </c>
      <c r="F8601" t="s">
        <v>59</v>
      </c>
      <c r="G8601">
        <v>-170.30719999999999</v>
      </c>
      <c r="H8601" s="1">
        <v>-2.3209659999999998E-6</v>
      </c>
      <c r="I8601">
        <v>136.28049999999999</v>
      </c>
      <c r="J8601">
        <v>-186.6499</v>
      </c>
      <c r="K8601">
        <v>1.114757</v>
      </c>
      <c r="L8601">
        <v>124.1786</v>
      </c>
      <c r="M8601">
        <v>0.26446609999999998</v>
      </c>
      <c r="N8601">
        <v>-2.1543059999999999E-2</v>
      </c>
      <c r="O8601">
        <v>0.96415439999999997</v>
      </c>
      <c r="P8601">
        <v>0.67692200000000002</v>
      </c>
      <c r="Q8601">
        <v>-8.4018220000000005E-2</v>
      </c>
      <c r="R8601">
        <v>0.7312438</v>
      </c>
      <c r="S8601">
        <v>2.4465029999999999</v>
      </c>
      <c r="T8601">
        <v>-0.16651679999999999</v>
      </c>
      <c r="U8601">
        <v>1.8239749999999999</v>
      </c>
      <c r="V8601">
        <v>0.4582041</v>
      </c>
      <c r="W8601">
        <v>-7.2750019999999999E-2</v>
      </c>
      <c r="X8601">
        <v>0.88586480000000001</v>
      </c>
      <c r="Y8601">
        <v>0.61404899999999996</v>
      </c>
      <c r="Z8601">
        <v>-3.870183E-2</v>
      </c>
      <c r="AA8601">
        <v>0.78831850000000003</v>
      </c>
      <c r="AB8601">
        <v>22</v>
      </c>
      <c r="AC8601">
        <v>16.342700000000001</v>
      </c>
      <c r="AD8601">
        <v>-1.1147593209660001</v>
      </c>
      <c r="AE8601">
        <v>12.101899999999899</v>
      </c>
      <c r="AF8601">
        <v>12.521630211550701</v>
      </c>
      <c r="AG8601">
        <v>-1.1147593209660001</v>
      </c>
      <c r="AH8601">
        <v>15.945983355867799</v>
      </c>
      <c r="AI8601">
        <v>93.147104096697902</v>
      </c>
      <c r="AJ8601">
        <v>51.859120830419897</v>
      </c>
      <c r="AK8601">
        <v>20.3053760537478</v>
      </c>
      <c r="AL8601">
        <v>94.17195468253</v>
      </c>
      <c r="AM8601">
        <v>62.650217650902199</v>
      </c>
      <c r="AN8601">
        <v>1.0000000032729199</v>
      </c>
    </row>
    <row r="8602" spans="1:40" x14ac:dyDescent="0.25">
      <c r="A8602" t="str">
        <f>"20190303155017936"</f>
        <v>20190303155017936</v>
      </c>
      <c r="B8602" t="str">
        <f>"1551599417928740"</f>
        <v>1551599417928740</v>
      </c>
      <c r="C8602" t="s">
        <v>40</v>
      </c>
      <c r="D8602">
        <v>5.2375910000000001</v>
      </c>
      <c r="E8602">
        <v>0.57314679999999996</v>
      </c>
      <c r="F8602" t="s">
        <v>59</v>
      </c>
      <c r="G8602">
        <v>-170.04</v>
      </c>
      <c r="H8602" s="1">
        <v>-2.209287E-6</v>
      </c>
      <c r="I8602">
        <v>136.3723</v>
      </c>
      <c r="J8602">
        <v>-186.6148</v>
      </c>
      <c r="K8602">
        <v>1.114752</v>
      </c>
      <c r="L8602">
        <v>124.2833</v>
      </c>
      <c r="M8602">
        <v>0.26974520000000002</v>
      </c>
      <c r="N8602">
        <v>-2.1528140000000001E-2</v>
      </c>
      <c r="O8602">
        <v>0.96269110000000002</v>
      </c>
      <c r="P8602">
        <v>0.68178839999999996</v>
      </c>
      <c r="Q8602">
        <v>-8.2901760000000005E-2</v>
      </c>
      <c r="R8602">
        <v>0.72683699999999996</v>
      </c>
      <c r="S8602">
        <v>2.460251</v>
      </c>
      <c r="T8602">
        <v>-0.1651175</v>
      </c>
      <c r="U8602">
        <v>1.806122</v>
      </c>
      <c r="V8602">
        <v>0.45924340000000002</v>
      </c>
      <c r="W8602">
        <v>-7.1684520000000002E-2</v>
      </c>
      <c r="X8602">
        <v>0.88541329999999996</v>
      </c>
      <c r="Y8602">
        <v>0.61555890000000002</v>
      </c>
      <c r="Z8602">
        <v>-3.8335760000000003E-2</v>
      </c>
      <c r="AA8602">
        <v>0.78715800000000002</v>
      </c>
      <c r="AB8602">
        <v>22</v>
      </c>
      <c r="AC8602">
        <v>16.5748</v>
      </c>
      <c r="AD8602">
        <v>-1.114754209287</v>
      </c>
      <c r="AE8602">
        <v>12.089</v>
      </c>
      <c r="AF8602">
        <v>12.6610215076711</v>
      </c>
      <c r="AG8602">
        <v>-1.114754209287</v>
      </c>
      <c r="AH8602">
        <v>16.0652438803066</v>
      </c>
      <c r="AI8602">
        <v>93.119463146937207</v>
      </c>
      <c r="AJ8602">
        <v>51.758349347592699</v>
      </c>
      <c r="AK8602">
        <v>20.485023883280199</v>
      </c>
      <c r="AL8602">
        <v>94.110746461787798</v>
      </c>
      <c r="AM8602">
        <v>62.585274575370903</v>
      </c>
      <c r="AN8602">
        <v>0.99999994133403802</v>
      </c>
    </row>
    <row r="8603" spans="1:40" x14ac:dyDescent="0.25">
      <c r="A8603" t="str">
        <f>"20190303155017947"</f>
        <v>20190303155017947</v>
      </c>
      <c r="B8603" t="str">
        <f>"1551599417939475"</f>
        <v>1551599417939475</v>
      </c>
      <c r="C8603" t="s">
        <v>40</v>
      </c>
      <c r="D8603">
        <v>5.2076469999999997</v>
      </c>
      <c r="E8603">
        <v>0.57329259999999904</v>
      </c>
      <c r="F8603" t="s">
        <v>41</v>
      </c>
      <c r="G8603">
        <v>-168.88030000000001</v>
      </c>
      <c r="H8603" s="1">
        <v>-1.08764E-6</v>
      </c>
      <c r="I8603">
        <v>137.08519999999999</v>
      </c>
      <c r="J8603">
        <v>-186.5804</v>
      </c>
      <c r="K8603">
        <v>1.114754</v>
      </c>
      <c r="L8603">
        <v>124.38379999999999</v>
      </c>
      <c r="M8603">
        <v>0.27485330000000002</v>
      </c>
      <c r="N8603">
        <v>-2.151376E-2</v>
      </c>
      <c r="O8603">
        <v>0.96124549999999997</v>
      </c>
      <c r="P8603">
        <v>0.68662290000000004</v>
      </c>
      <c r="Q8603">
        <v>-8.204794E-2</v>
      </c>
      <c r="R8603">
        <v>0.72236929999999999</v>
      </c>
      <c r="S8603">
        <v>2.4759370000000001</v>
      </c>
      <c r="T8603">
        <v>-0.155632299999999</v>
      </c>
      <c r="U8603">
        <v>1.7872920000000001</v>
      </c>
      <c r="V8603">
        <v>0.46043400000000001</v>
      </c>
      <c r="W8603">
        <v>-7.0876640000000005E-2</v>
      </c>
      <c r="X8603">
        <v>0.88485990000000003</v>
      </c>
      <c r="Y8603">
        <v>0.61779019999999996</v>
      </c>
      <c r="Z8603">
        <v>-3.5164910000000001E-2</v>
      </c>
      <c r="AA8603">
        <v>0.78555629999999999</v>
      </c>
      <c r="AB8603">
        <v>22</v>
      </c>
      <c r="AC8603">
        <v>17.7000999999999</v>
      </c>
      <c r="AD8603">
        <v>-1.1147550876400001</v>
      </c>
      <c r="AE8603">
        <v>12.7013999999999</v>
      </c>
      <c r="AF8603">
        <v>13.4909269520391</v>
      </c>
      <c r="AG8603">
        <v>-1.1147550876400001</v>
      </c>
      <c r="AH8603">
        <v>17.033448305021501</v>
      </c>
      <c r="AI8603">
        <v>92.9368685926746</v>
      </c>
      <c r="AJ8603">
        <v>51.619875054949603</v>
      </c>
      <c r="AK8603">
        <v>21.757438959825102</v>
      </c>
      <c r="AL8603">
        <v>94.064340042939804</v>
      </c>
      <c r="AM8603">
        <v>62.509930599467502</v>
      </c>
      <c r="AN8603">
        <v>1.0000000045408399</v>
      </c>
    </row>
    <row r="8604" spans="1:40" x14ac:dyDescent="0.25">
      <c r="A8604" t="str">
        <f>"20190303155017958"</f>
        <v>20190303155017958</v>
      </c>
      <c r="B8604" t="str">
        <f>"1551599417949235"</f>
        <v>1551599417949235</v>
      </c>
      <c r="C8604" t="s">
        <v>40</v>
      </c>
      <c r="D8604">
        <v>5.2481470000000003</v>
      </c>
      <c r="E8604">
        <v>0.57277800000000001</v>
      </c>
      <c r="F8604" t="s">
        <v>41</v>
      </c>
      <c r="G8604">
        <v>-167.91849999999999</v>
      </c>
      <c r="H8604" s="1">
        <v>-1.3119230000000001E-6</v>
      </c>
      <c r="I8604">
        <v>137.65710000000001</v>
      </c>
      <c r="J8604">
        <v>-186.54300000000001</v>
      </c>
      <c r="K8604">
        <v>1.11476</v>
      </c>
      <c r="L8604">
        <v>124.4913</v>
      </c>
      <c r="M8604">
        <v>0.28034029999999999</v>
      </c>
      <c r="N8604">
        <v>-2.149846E-2</v>
      </c>
      <c r="O8604">
        <v>0.95965990000000001</v>
      </c>
      <c r="P8604">
        <v>0.69171499999999997</v>
      </c>
      <c r="Q8604">
        <v>-8.134806E-2</v>
      </c>
      <c r="R8604">
        <v>0.7175743</v>
      </c>
      <c r="S8604">
        <v>2.4889830000000002</v>
      </c>
      <c r="T8604">
        <v>-0.14867830000000001</v>
      </c>
      <c r="U8604">
        <v>1.77029399999999</v>
      </c>
      <c r="V8604">
        <v>0.4616249</v>
      </c>
      <c r="W8604">
        <v>-7.0218009999999997E-2</v>
      </c>
      <c r="X8604">
        <v>0.88429169999999901</v>
      </c>
      <c r="Y8604">
        <v>0.61888409999999905</v>
      </c>
      <c r="Z8604">
        <v>-3.2871909999999997E-2</v>
      </c>
      <c r="AA8604">
        <v>0.784794199999999</v>
      </c>
      <c r="AB8604">
        <v>22</v>
      </c>
      <c r="AC8604">
        <v>18.624500000000001</v>
      </c>
      <c r="AD8604">
        <v>-1.114761311923</v>
      </c>
      <c r="AE8604">
        <v>13.165800000000001</v>
      </c>
      <c r="AF8604">
        <v>14.151753991814299</v>
      </c>
      <c r="AG8604">
        <v>-1.114761311923</v>
      </c>
      <c r="AH8604">
        <v>17.817453261784198</v>
      </c>
      <c r="AI8604">
        <v>92.804814585848703</v>
      </c>
      <c r="AJ8604">
        <v>51.541163888082203</v>
      </c>
      <c r="AK8604">
        <v>22.781055167907802</v>
      </c>
      <c r="AL8604">
        <v>94.026509228432403</v>
      </c>
      <c r="AM8604">
        <v>62.434186827439</v>
      </c>
      <c r="AN8604">
        <v>0.999999963958629</v>
      </c>
    </row>
    <row r="8605" spans="1:40" x14ac:dyDescent="0.25">
      <c r="A8605" t="str">
        <f>"20190303155017968"</f>
        <v>20190303155017968</v>
      </c>
      <c r="B8605" t="str">
        <f>"1551599417958996"</f>
        <v>1551599417958996</v>
      </c>
      <c r="C8605" t="s">
        <v>40</v>
      </c>
      <c r="D8605">
        <v>5.2900210000000003</v>
      </c>
      <c r="E8605">
        <v>0.57233639999999997</v>
      </c>
      <c r="F8605" t="s">
        <v>41</v>
      </c>
      <c r="G8605">
        <v>-168.761</v>
      </c>
      <c r="H8605" s="1">
        <v>-1.1599229999999999E-6</v>
      </c>
      <c r="I8605">
        <v>136.98580000000001</v>
      </c>
      <c r="J8605">
        <v>-186.50790000000001</v>
      </c>
      <c r="K8605">
        <v>1.1147750000000001</v>
      </c>
      <c r="L8605">
        <v>124.5895</v>
      </c>
      <c r="M8605">
        <v>0.28539100000000001</v>
      </c>
      <c r="N8605">
        <v>-2.1481130000000001E-2</v>
      </c>
      <c r="O8605">
        <v>0.95817039999999998</v>
      </c>
      <c r="P8605">
        <v>0.69634940000000001</v>
      </c>
      <c r="Q8605">
        <v>-8.1147880000000006E-2</v>
      </c>
      <c r="R8605">
        <v>0.71310059999999997</v>
      </c>
      <c r="S8605">
        <v>2.4978790000000002</v>
      </c>
      <c r="T8605">
        <v>-0.15659319999999999</v>
      </c>
      <c r="U8605">
        <v>1.7551270000000001</v>
      </c>
      <c r="V8605">
        <v>0.46269300000000002</v>
      </c>
      <c r="W8605">
        <v>-7.0046979999999995E-2</v>
      </c>
      <c r="X8605">
        <v>0.8837469</v>
      </c>
      <c r="Y8605">
        <v>0.619158599999999</v>
      </c>
      <c r="Z8605">
        <v>-3.5732689999999998E-2</v>
      </c>
      <c r="AA8605">
        <v>0.78445259999999895</v>
      </c>
      <c r="AB8605">
        <v>22</v>
      </c>
      <c r="AC8605">
        <v>17.7469</v>
      </c>
      <c r="AD8605">
        <v>-1.1147761599229999</v>
      </c>
      <c r="AE8605">
        <v>12.3963</v>
      </c>
      <c r="AF8605">
        <v>13.4342440886345</v>
      </c>
      <c r="AG8605">
        <v>-1.1147761599229999</v>
      </c>
      <c r="AH8605">
        <v>16.901662614399999</v>
      </c>
      <c r="AI8605">
        <v>92.955726493517204</v>
      </c>
      <c r="AJ8605">
        <v>51.520655179446301</v>
      </c>
      <c r="AK8605">
        <v>21.619154452724299</v>
      </c>
      <c r="AL8605">
        <v>94.016685647834905</v>
      </c>
      <c r="AM8605">
        <v>62.365322040200702</v>
      </c>
      <c r="AN8605">
        <v>0.999999987457865</v>
      </c>
    </row>
    <row r="8606" spans="1:40" x14ac:dyDescent="0.25">
      <c r="A8606" t="str">
        <f>"20190303155017979"</f>
        <v>20190303155017979</v>
      </c>
      <c r="B8606" t="str">
        <f>"1551599417968756"</f>
        <v>1551599417968756</v>
      </c>
      <c r="C8606" t="s">
        <v>40</v>
      </c>
      <c r="D8606">
        <v>5.2933789999999998</v>
      </c>
      <c r="E8606">
        <v>0.57181070000000001</v>
      </c>
      <c r="F8606" t="s">
        <v>41</v>
      </c>
      <c r="G8606">
        <v>-169.66030000000001</v>
      </c>
      <c r="H8606" s="1">
        <v>-9.9934109999999991E-7</v>
      </c>
      <c r="I8606">
        <v>136.29150000000001</v>
      </c>
      <c r="J8606">
        <v>-186.47030000000001</v>
      </c>
      <c r="K8606">
        <v>1.1147879999999999</v>
      </c>
      <c r="L8606">
        <v>124.6942</v>
      </c>
      <c r="M8606">
        <v>0.290780599999999</v>
      </c>
      <c r="N8606">
        <v>-2.1461930000000001E-2</v>
      </c>
      <c r="O8606">
        <v>0.95654899999999998</v>
      </c>
      <c r="P8606">
        <v>0.701219699999999</v>
      </c>
      <c r="Q8606">
        <v>-8.0845860000000005E-2</v>
      </c>
      <c r="R8606">
        <v>0.70834649999999999</v>
      </c>
      <c r="S8606">
        <v>2.5062259999999998</v>
      </c>
      <c r="T8606">
        <v>-0.1658317</v>
      </c>
      <c r="U8606">
        <v>1.74075299999999</v>
      </c>
      <c r="V8606">
        <v>0.4637694</v>
      </c>
      <c r="W8606">
        <v>-6.9771379999999994E-2</v>
      </c>
      <c r="X8606">
        <v>0.88320429999999905</v>
      </c>
      <c r="Y8606">
        <v>0.61888080000000001</v>
      </c>
      <c r="Z8606">
        <v>-3.9050059999999998E-2</v>
      </c>
      <c r="AA8606">
        <v>0.78451369999999998</v>
      </c>
      <c r="AB8606">
        <v>22</v>
      </c>
      <c r="AC8606">
        <v>16.809999999999999</v>
      </c>
      <c r="AD8606">
        <v>-1.1147889993411</v>
      </c>
      <c r="AE8606">
        <v>11.597300000000001</v>
      </c>
      <c r="AF8606">
        <v>12.672486453907201</v>
      </c>
      <c r="AG8606">
        <v>-1.1147889993411</v>
      </c>
      <c r="AH8606">
        <v>15.937600524564299</v>
      </c>
      <c r="AI8606">
        <v>93.133774928137399</v>
      </c>
      <c r="AJ8606">
        <v>51.510688125229898</v>
      </c>
      <c r="AK8606">
        <v>20.392198947590401</v>
      </c>
      <c r="AL8606">
        <v>94.000856277005198</v>
      </c>
      <c r="AM8606">
        <v>62.296095691323302</v>
      </c>
      <c r="AN8606">
        <v>0.99999996869097596</v>
      </c>
    </row>
    <row r="8607" spans="1:40" x14ac:dyDescent="0.25">
      <c r="A8607" t="str">
        <f>"20190303155017992"</f>
        <v>20190303155017992</v>
      </c>
      <c r="B8607" t="str">
        <f>"1551599417989252"</f>
        <v>1551599417989252</v>
      </c>
      <c r="C8607" t="s">
        <v>40</v>
      </c>
      <c r="D8607">
        <v>5.2861909999999996</v>
      </c>
      <c r="E8607">
        <v>0.57145259999999998</v>
      </c>
      <c r="F8607" t="s">
        <v>59</v>
      </c>
      <c r="G8607">
        <v>-170.2542</v>
      </c>
      <c r="H8607" s="1">
        <v>-2.0892159999999999E-6</v>
      </c>
      <c r="I8607">
        <v>135.82550000000001</v>
      </c>
      <c r="J8607">
        <v>-186.42920000000001</v>
      </c>
      <c r="K8607">
        <v>1.114808</v>
      </c>
      <c r="L8607">
        <v>124.8049</v>
      </c>
      <c r="M8607">
        <v>0.296514099999999</v>
      </c>
      <c r="N8607">
        <v>-2.1435659999999999E-2</v>
      </c>
      <c r="O8607">
        <v>0.95478790000000002</v>
      </c>
      <c r="P8607">
        <v>0.70629629999999999</v>
      </c>
      <c r="Q8607">
        <v>-8.1358970000000003E-2</v>
      </c>
      <c r="R8607">
        <v>0.70322569999999995</v>
      </c>
      <c r="S8607">
        <v>2.5146329999999999</v>
      </c>
      <c r="T8607">
        <v>-0.17287040000000001</v>
      </c>
      <c r="U8607">
        <v>1.7261200000000001</v>
      </c>
      <c r="V8607">
        <v>0.46483459999999899</v>
      </c>
      <c r="W8607">
        <v>-7.0301639999999999E-2</v>
      </c>
      <c r="X8607">
        <v>0.88260209999999995</v>
      </c>
      <c r="Y8607">
        <v>0.61839999999999995</v>
      </c>
      <c r="Z8607">
        <v>-4.1616920000000002E-2</v>
      </c>
      <c r="AA8607">
        <v>0.78476080000000004</v>
      </c>
      <c r="AB8607">
        <v>22</v>
      </c>
      <c r="AC8607">
        <v>16.175000000000001</v>
      </c>
      <c r="AD8607">
        <v>-1.114810089216</v>
      </c>
      <c r="AE8607">
        <v>11.0206</v>
      </c>
      <c r="AF8607">
        <v>12.1393466433874</v>
      </c>
      <c r="AG8607">
        <v>-1.114810089216</v>
      </c>
      <c r="AH8607">
        <v>15.272424592656</v>
      </c>
      <c r="AI8607">
        <v>93.270476263403097</v>
      </c>
      <c r="AJ8607">
        <v>51.520429169332999</v>
      </c>
      <c r="AK8607">
        <v>19.541071910253599</v>
      </c>
      <c r="AL8607">
        <v>94.031312614324804</v>
      </c>
      <c r="AM8607">
        <v>62.225846156710602</v>
      </c>
      <c r="AN8607">
        <v>0.99999999643412896</v>
      </c>
    </row>
    <row r="8608" spans="1:40" x14ac:dyDescent="0.25">
      <c r="A8608" t="str">
        <f>"20190303155018005"</f>
        <v>20190303155018005</v>
      </c>
      <c r="B8608" t="str">
        <f>"1551599417999011"</f>
        <v>1551599417999011</v>
      </c>
      <c r="C8608" t="s">
        <v>40</v>
      </c>
      <c r="D8608">
        <v>5.30206</v>
      </c>
      <c r="E8608">
        <v>0.5713049</v>
      </c>
      <c r="F8608" t="s">
        <v>41</v>
      </c>
      <c r="G8608">
        <v>-169.44030000000001</v>
      </c>
      <c r="H8608" s="1">
        <v>-1.0787900000000001E-6</v>
      </c>
      <c r="I8608">
        <v>136.31039999999999</v>
      </c>
      <c r="J8608">
        <v>-186.3836</v>
      </c>
      <c r="K8608">
        <v>1.114843</v>
      </c>
      <c r="L8608">
        <v>124.9265</v>
      </c>
      <c r="M8608">
        <v>0.30282029999999999</v>
      </c>
      <c r="N8608">
        <v>-2.1405339999999998E-2</v>
      </c>
      <c r="O8608">
        <v>0.95280730000000002</v>
      </c>
      <c r="P8608">
        <v>0.7116789</v>
      </c>
      <c r="Q8608">
        <v>-8.2181299999999999E-2</v>
      </c>
      <c r="R8608">
        <v>0.69768140000000001</v>
      </c>
      <c r="S8608">
        <v>2.5254819999999998</v>
      </c>
      <c r="T8608">
        <v>-0.16572089999999901</v>
      </c>
      <c r="U8608">
        <v>1.71034199999999</v>
      </c>
      <c r="V8608">
        <v>0.46580110000000002</v>
      </c>
      <c r="W8608">
        <v>-7.1131650000000005E-2</v>
      </c>
      <c r="X8608">
        <v>0.88202579999999997</v>
      </c>
      <c r="Y8608">
        <v>0.61822690000000002</v>
      </c>
      <c r="Z8608">
        <v>-3.9267410000000003E-2</v>
      </c>
      <c r="AA8608">
        <v>0.78501809999999905</v>
      </c>
      <c r="AB8608">
        <v>22</v>
      </c>
      <c r="AC8608">
        <v>16.943299999999901</v>
      </c>
      <c r="AD8608">
        <v>-1.11484407879</v>
      </c>
      <c r="AE8608">
        <v>11.383899999999899</v>
      </c>
      <c r="AF8608">
        <v>12.6615650453175</v>
      </c>
      <c r="AG8608">
        <v>-1.11484407879</v>
      </c>
      <c r="AH8608">
        <v>15.9335711031262</v>
      </c>
      <c r="AI8608">
        <v>93.135458605199602</v>
      </c>
      <c r="AJ8608">
        <v>51.527694259590298</v>
      </c>
      <c r="AK8608">
        <v>20.382266675107601</v>
      </c>
      <c r="AL8608">
        <v>94.078988257653606</v>
      </c>
      <c r="AM8608">
        <v>62.161299405678498</v>
      </c>
      <c r="AN8608">
        <v>0.99999994412928395</v>
      </c>
    </row>
    <row r="8609" spans="1:40" x14ac:dyDescent="0.25">
      <c r="A8609" t="str">
        <f>"20190303155018018"</f>
        <v>20190303155018018</v>
      </c>
      <c r="B8609" t="str">
        <f>"1551599418008771"</f>
        <v>1551599418008771</v>
      </c>
      <c r="C8609" t="s">
        <v>40</v>
      </c>
      <c r="D8609">
        <v>5.3177300000000001</v>
      </c>
      <c r="E8609">
        <v>0.57126460000000001</v>
      </c>
      <c r="F8609" t="s">
        <v>41</v>
      </c>
      <c r="G8609">
        <v>-169.2782</v>
      </c>
      <c r="H8609" s="1">
        <v>-1.1365099999999999E-6</v>
      </c>
      <c r="I8609">
        <v>136.32730000000001</v>
      </c>
      <c r="J8609">
        <v>-186.3372</v>
      </c>
      <c r="K8609">
        <v>1.1148880000000001</v>
      </c>
      <c r="L8609">
        <v>125.0474</v>
      </c>
      <c r="M8609">
        <v>0.30909890000000001</v>
      </c>
      <c r="N8609">
        <v>-2.1372720000000001E-2</v>
      </c>
      <c r="O8609">
        <v>0.95078969999999896</v>
      </c>
      <c r="P8609">
        <v>0.71730389999999999</v>
      </c>
      <c r="Q8609">
        <v>-8.2623299999999997E-2</v>
      </c>
      <c r="R8609">
        <v>0.69184440000000003</v>
      </c>
      <c r="S8609">
        <v>2.537979</v>
      </c>
      <c r="T8609">
        <v>-0.16541310000000001</v>
      </c>
      <c r="U8609">
        <v>1.6915739999999999</v>
      </c>
      <c r="V8609">
        <v>0.46713779999999999</v>
      </c>
      <c r="W8609">
        <v>-7.1580889999999994E-2</v>
      </c>
      <c r="X8609">
        <v>0.88128229999999996</v>
      </c>
      <c r="Y8609">
        <v>0.61884910000000004</v>
      </c>
      <c r="Z8609">
        <v>-3.9298930000000003E-2</v>
      </c>
      <c r="AA8609">
        <v>0.78452619999999995</v>
      </c>
      <c r="AB8609">
        <v>22</v>
      </c>
      <c r="AC8609">
        <v>17.058999999999902</v>
      </c>
      <c r="AD8609">
        <v>-1.11488913651</v>
      </c>
      <c r="AE8609">
        <v>11.2799</v>
      </c>
      <c r="AF8609">
        <v>12.6980888531789</v>
      </c>
      <c r="AG8609">
        <v>-1.11488913651</v>
      </c>
      <c r="AH8609">
        <v>15.9539727693013</v>
      </c>
      <c r="AI8609">
        <v>93.129645492797707</v>
      </c>
      <c r="AJ8609">
        <v>51.483010167889503</v>
      </c>
      <c r="AK8609">
        <v>20.420912943194899</v>
      </c>
      <c r="AL8609">
        <v>94.104793283317704</v>
      </c>
      <c r="AM8609">
        <v>62.073457296896997</v>
      </c>
      <c r="AN8609">
        <v>1.00000002014766</v>
      </c>
    </row>
    <row r="8610" spans="1:40" x14ac:dyDescent="0.25">
      <c r="A8610" t="str">
        <f>"20190303155018032"</f>
        <v>20190303155018032</v>
      </c>
      <c r="B8610" t="str">
        <f>"1551599418019507"</f>
        <v>1551599418019507</v>
      </c>
      <c r="C8610" t="s">
        <v>40</v>
      </c>
      <c r="D8610">
        <v>5.3231199999999896</v>
      </c>
      <c r="E8610">
        <v>0.57111080000000003</v>
      </c>
      <c r="F8610" t="s">
        <v>41</v>
      </c>
      <c r="G8610">
        <v>-169.19239999999999</v>
      </c>
      <c r="H8610" s="1">
        <v>-1.182971E-6</v>
      </c>
      <c r="I8610">
        <v>136.2765</v>
      </c>
      <c r="J8610">
        <v>-186.2911</v>
      </c>
      <c r="K8610">
        <v>1.1149450000000001</v>
      </c>
      <c r="L8610">
        <v>125.1647</v>
      </c>
      <c r="M8610">
        <v>0.315195</v>
      </c>
      <c r="N8610">
        <v>-2.1336020000000001E-2</v>
      </c>
      <c r="O8610">
        <v>0.94878700000000005</v>
      </c>
      <c r="P8610">
        <v>0.72278619999999905</v>
      </c>
      <c r="Q8610">
        <v>-8.3079050000000002E-2</v>
      </c>
      <c r="R8610">
        <v>0.6860598</v>
      </c>
      <c r="S8610">
        <v>2.551437</v>
      </c>
      <c r="T8610">
        <v>-0.16591449999999999</v>
      </c>
      <c r="U8610">
        <v>1.671082</v>
      </c>
      <c r="V8610">
        <v>0.46851090000000001</v>
      </c>
      <c r="W8610">
        <v>-7.2037669999999998E-2</v>
      </c>
      <c r="X8610">
        <v>0.88051579999999996</v>
      </c>
      <c r="Y8610">
        <v>0.62010540000000003</v>
      </c>
      <c r="Z8610">
        <v>-3.9619969999999997E-2</v>
      </c>
      <c r="AA8610">
        <v>0.78351740000000003</v>
      </c>
      <c r="AB8610">
        <v>22</v>
      </c>
      <c r="AC8610">
        <v>17.098700000000001</v>
      </c>
      <c r="AD8610">
        <v>-1.1149461829709999</v>
      </c>
      <c r="AE8610">
        <v>11.111800000000001</v>
      </c>
      <c r="AF8610">
        <v>12.685615200916301</v>
      </c>
      <c r="AG8610">
        <v>-1.1149461829709999</v>
      </c>
      <c r="AH8610">
        <v>15.888288204382</v>
      </c>
      <c r="AI8610">
        <v>93.138890723384094</v>
      </c>
      <c r="AJ8610">
        <v>51.395239806316901</v>
      </c>
      <c r="AK8610">
        <v>20.361867303421501</v>
      </c>
      <c r="AL8610">
        <v>94.1310327482406</v>
      </c>
      <c r="AM8610">
        <v>61.983143175724997</v>
      </c>
      <c r="AN8610">
        <v>0.99999998168373905</v>
      </c>
    </row>
    <row r="8611" spans="1:40" x14ac:dyDescent="0.25">
      <c r="A8611" t="str">
        <f>"20190303155018045"</f>
        <v>20190303155018045</v>
      </c>
      <c r="B8611" t="str">
        <f>"1551599418039027"</f>
        <v>1551599418039027</v>
      </c>
      <c r="C8611" t="s">
        <v>40</v>
      </c>
      <c r="D8611">
        <v>5.3296000000000001</v>
      </c>
      <c r="E8611">
        <v>0.57066329999999998</v>
      </c>
      <c r="F8611" t="s">
        <v>41</v>
      </c>
      <c r="G8611">
        <v>-169.57329999999999</v>
      </c>
      <c r="H8611" s="1">
        <v>-1.1283610000000001E-6</v>
      </c>
      <c r="I8611">
        <v>135.93209999999999</v>
      </c>
      <c r="J8611">
        <v>-186.23830000000001</v>
      </c>
      <c r="K8611">
        <v>1.115016</v>
      </c>
      <c r="L8611">
        <v>125.2972</v>
      </c>
      <c r="M8611">
        <v>0.32207029999999998</v>
      </c>
      <c r="N8611">
        <v>-2.1291379999999999E-2</v>
      </c>
      <c r="O8611">
        <v>0.94647630000000005</v>
      </c>
      <c r="P8611">
        <v>0.7289641</v>
      </c>
      <c r="Q8611">
        <v>-8.3596100000000007E-2</v>
      </c>
      <c r="R8611">
        <v>0.67942849999999999</v>
      </c>
      <c r="S8611">
        <v>2.5636749999999999</v>
      </c>
      <c r="T8611">
        <v>-0.1709765</v>
      </c>
      <c r="U8611">
        <v>1.6511690000000001</v>
      </c>
      <c r="V8611">
        <v>0.4701109</v>
      </c>
      <c r="W8611">
        <v>-7.2550909999999996E-2</v>
      </c>
      <c r="X8611">
        <v>0.87962050000000003</v>
      </c>
      <c r="Y8611">
        <v>0.62034769999999995</v>
      </c>
      <c r="Z8611">
        <v>-4.1529099999999999E-2</v>
      </c>
      <c r="AA8611">
        <v>0.78322669999999905</v>
      </c>
      <c r="AB8611">
        <v>22</v>
      </c>
      <c r="AC8611">
        <v>16.664999999999999</v>
      </c>
      <c r="AD8611">
        <v>-1.115017128361</v>
      </c>
      <c r="AE8611">
        <v>10.634899999999901</v>
      </c>
      <c r="AF8611">
        <v>12.311477397784101</v>
      </c>
      <c r="AG8611">
        <v>-1.115017128361</v>
      </c>
      <c r="AH8611">
        <v>15.3875318278339</v>
      </c>
      <c r="AI8611">
        <v>93.238399941761003</v>
      </c>
      <c r="AJ8611">
        <v>51.3368953667539</v>
      </c>
      <c r="AK8611">
        <v>19.7380818385498</v>
      </c>
      <c r="AL8611">
        <v>94.160516063640699</v>
      </c>
      <c r="AM8611">
        <v>61.877839845122097</v>
      </c>
      <c r="AN8611">
        <v>1.00000005843044</v>
      </c>
    </row>
    <row r="8612" spans="1:40" x14ac:dyDescent="0.25">
      <c r="A8612" t="str">
        <f>"20190303155018057"</f>
        <v>20190303155018057</v>
      </c>
      <c r="B8612" t="str">
        <f>"1551599418048787"</f>
        <v>1551599418048787</v>
      </c>
      <c r="C8612" t="s">
        <v>40</v>
      </c>
      <c r="D8612">
        <v>5.3491869999999997</v>
      </c>
      <c r="E8612">
        <v>0.57033710000000004</v>
      </c>
      <c r="F8612" t="s">
        <v>59</v>
      </c>
      <c r="G8612">
        <v>-169.99799999999999</v>
      </c>
      <c r="H8612" s="1">
        <v>-1.8316350000000001E-6</v>
      </c>
      <c r="I8612">
        <v>135.5736</v>
      </c>
      <c r="J8612">
        <v>-186.19149999999999</v>
      </c>
      <c r="K8612">
        <v>1.1150850000000001</v>
      </c>
      <c r="L8612">
        <v>125.4122</v>
      </c>
      <c r="M8612">
        <v>0.32802310000000001</v>
      </c>
      <c r="N8612">
        <v>-2.1249029999999999E-2</v>
      </c>
      <c r="O8612">
        <v>0.94443069999999896</v>
      </c>
      <c r="P8612">
        <v>0.73551029999999995</v>
      </c>
      <c r="Q8612">
        <v>-8.4710359999999998E-2</v>
      </c>
      <c r="R8612">
        <v>0.67219719999999905</v>
      </c>
      <c r="S8612">
        <v>2.5759430000000001</v>
      </c>
      <c r="T8612">
        <v>-0.17685770000000001</v>
      </c>
      <c r="U8612">
        <v>1.629974</v>
      </c>
      <c r="V8612">
        <v>0.47312330000000002</v>
      </c>
      <c r="W8612">
        <v>-7.3701729999999993E-2</v>
      </c>
      <c r="X8612">
        <v>0.87790800000000002</v>
      </c>
      <c r="Y8612">
        <v>0.62160780000000004</v>
      </c>
      <c r="Z8612">
        <v>-4.3733300000000003E-2</v>
      </c>
      <c r="AA8612">
        <v>0.78210679999999999</v>
      </c>
      <c r="AB8612">
        <v>21</v>
      </c>
      <c r="AC8612">
        <v>16.1935</v>
      </c>
      <c r="AD8612">
        <v>-1.115086831635</v>
      </c>
      <c r="AE8612">
        <v>10.1614</v>
      </c>
      <c r="AF8612">
        <v>11.922603468385001</v>
      </c>
      <c r="AG8612">
        <v>-1.115086831635</v>
      </c>
      <c r="AH8612">
        <v>14.8613867090396</v>
      </c>
      <c r="AI8612">
        <v>93.3494794770223</v>
      </c>
      <c r="AJ8612">
        <v>51.261539649375202</v>
      </c>
      <c r="AK8612">
        <v>19.085405602764901</v>
      </c>
      <c r="AL8612">
        <v>94.226630324343702</v>
      </c>
      <c r="AM8612">
        <v>61.678827798717897</v>
      </c>
      <c r="AN8612">
        <v>1.0000000292359399</v>
      </c>
    </row>
    <row r="8613" spans="1:40" x14ac:dyDescent="0.25">
      <c r="A8613" t="str">
        <f>"20190303155018070"</f>
        <v>20190303155018070</v>
      </c>
      <c r="B8613" t="str">
        <f>"1551599418059524"</f>
        <v>1551599418059524</v>
      </c>
      <c r="C8613" t="s">
        <v>40</v>
      </c>
      <c r="D8613">
        <v>5.3739850000000002</v>
      </c>
      <c r="E8613">
        <v>0.56998599999999999</v>
      </c>
      <c r="F8613" t="s">
        <v>59</v>
      </c>
      <c r="G8613">
        <v>-170.39070000000001</v>
      </c>
      <c r="H8613" s="1">
        <v>-1.895206E-6</v>
      </c>
      <c r="I8613">
        <v>135.2115</v>
      </c>
      <c r="J8613">
        <v>-186.14769999999999</v>
      </c>
      <c r="K8613">
        <v>1.1151519999999999</v>
      </c>
      <c r="L8613">
        <v>125.5176</v>
      </c>
      <c r="M8613">
        <v>0.3334589</v>
      </c>
      <c r="N8613">
        <v>-2.1207710000000001E-2</v>
      </c>
      <c r="O8613">
        <v>0.94252599999999997</v>
      </c>
      <c r="P8613">
        <v>0.74036259999999998</v>
      </c>
      <c r="Q8613">
        <v>-8.5579409999999995E-2</v>
      </c>
      <c r="R8613">
        <v>0.66673800000000005</v>
      </c>
      <c r="S8613">
        <v>2.5898279999999998</v>
      </c>
      <c r="T8613">
        <v>-0.18276770000000001</v>
      </c>
      <c r="U8613">
        <v>1.606155</v>
      </c>
      <c r="V8613">
        <v>0.47446100000000002</v>
      </c>
      <c r="W8613">
        <v>-7.4557990000000005E-2</v>
      </c>
      <c r="X8613">
        <v>0.87711340000000004</v>
      </c>
      <c r="Y8613">
        <v>0.62407060000000003</v>
      </c>
      <c r="Z8613">
        <v>-4.5959760000000002E-2</v>
      </c>
      <c r="AA8613">
        <v>0.78001509999999996</v>
      </c>
      <c r="AB8613">
        <v>21</v>
      </c>
      <c r="AC8613">
        <v>15.7569999999999</v>
      </c>
      <c r="AD8613">
        <v>-1.1151538952060001</v>
      </c>
      <c r="AE8613">
        <v>9.6938999999999993</v>
      </c>
      <c r="AF8613">
        <v>11.579406220007799</v>
      </c>
      <c r="AG8613">
        <v>-1.1151538952060001</v>
      </c>
      <c r="AH8613">
        <v>14.342191302823601</v>
      </c>
      <c r="AI8613">
        <v>93.462014172672497</v>
      </c>
      <c r="AJ8613">
        <v>51.0837521325371</v>
      </c>
      <c r="AK8613">
        <v>18.466853223674502</v>
      </c>
      <c r="AL8613">
        <v>94.275825781409495</v>
      </c>
      <c r="AM8613">
        <v>61.589510061301603</v>
      </c>
      <c r="AN8613">
        <v>1.0000000254266901</v>
      </c>
    </row>
    <row r="8614" spans="1:40" x14ac:dyDescent="0.25">
      <c r="A8614" t="str">
        <f>"20190303155018082"</f>
        <v>20190303155018082</v>
      </c>
      <c r="B8614" t="str">
        <f>"1551599418079043"</f>
        <v>1551599418079043</v>
      </c>
      <c r="C8614" t="s">
        <v>40</v>
      </c>
      <c r="D8614">
        <v>5.3687279999999999</v>
      </c>
      <c r="E8614">
        <v>0.56929430000000003</v>
      </c>
      <c r="F8614" t="s">
        <v>59</v>
      </c>
      <c r="G8614">
        <v>-170.61269999999999</v>
      </c>
      <c r="H8614" s="1">
        <v>-1.934568E-6</v>
      </c>
      <c r="I8614">
        <v>135.0146</v>
      </c>
      <c r="J8614">
        <v>-186.10230000000001</v>
      </c>
      <c r="K8614">
        <v>1.1152219999999999</v>
      </c>
      <c r="L8614">
        <v>125.6258</v>
      </c>
      <c r="M8614">
        <v>0.33902270000000001</v>
      </c>
      <c r="N8614">
        <v>-2.1165179999999999E-2</v>
      </c>
      <c r="O8614">
        <v>0.94054009999999999</v>
      </c>
      <c r="P8614">
        <v>0.74524729999999995</v>
      </c>
      <c r="Q8614">
        <v>-8.6583419999999994E-2</v>
      </c>
      <c r="R8614">
        <v>0.66114289999999998</v>
      </c>
      <c r="S8614">
        <v>2.5994109999999999</v>
      </c>
      <c r="T8614">
        <v>-0.18659419999999999</v>
      </c>
      <c r="U8614">
        <v>1.5890959999999901</v>
      </c>
      <c r="V8614">
        <v>0.47577000000000003</v>
      </c>
      <c r="W8614">
        <v>-7.5543280000000004E-2</v>
      </c>
      <c r="X8614">
        <v>0.87631970000000003</v>
      </c>
      <c r="Y8614">
        <v>0.62439789999999995</v>
      </c>
      <c r="Z8614">
        <v>-4.7424800000000003E-2</v>
      </c>
      <c r="AA8614">
        <v>0.77966539999999995</v>
      </c>
      <c r="AB8614">
        <v>21</v>
      </c>
      <c r="AC8614">
        <v>15.489599999999999</v>
      </c>
      <c r="AD8614">
        <v>-1.115223934568</v>
      </c>
      <c r="AE8614">
        <v>9.3887999999999998</v>
      </c>
      <c r="AF8614">
        <v>11.3451156672556</v>
      </c>
      <c r="AG8614">
        <v>-1.115223934568</v>
      </c>
      <c r="AH8614">
        <v>14.031829844309</v>
      </c>
      <c r="AI8614">
        <v>93.536615648334404</v>
      </c>
      <c r="AJ8614">
        <v>51.043519405484098</v>
      </c>
      <c r="AK8614">
        <v>18.0789275873123</v>
      </c>
      <c r="AL8614">
        <v>94.332438304693</v>
      </c>
      <c r="AM8614">
        <v>61.501655074131399</v>
      </c>
      <c r="AN8614">
        <v>1.00000004833062</v>
      </c>
    </row>
    <row r="8615" spans="1:40" x14ac:dyDescent="0.25">
      <c r="A8615" t="str">
        <f>"20190303155018094"</f>
        <v>20190303155018094</v>
      </c>
      <c r="B8615" t="str">
        <f>"1551599418088803"</f>
        <v>1551599418088803</v>
      </c>
      <c r="C8615" t="s">
        <v>40</v>
      </c>
      <c r="D8615">
        <v>5.37357</v>
      </c>
      <c r="E8615">
        <v>0.56880030000000004</v>
      </c>
      <c r="F8615" t="s">
        <v>59</v>
      </c>
      <c r="G8615">
        <v>-171.13419999999999</v>
      </c>
      <c r="H8615" s="1">
        <v>-2.0743589999999999E-6</v>
      </c>
      <c r="I8615">
        <v>134.65889999999999</v>
      </c>
      <c r="J8615">
        <v>-186.05199999999999</v>
      </c>
      <c r="K8615">
        <v>1.1153090000000001</v>
      </c>
      <c r="L8615">
        <v>125.7432</v>
      </c>
      <c r="M8615">
        <v>0.3450203</v>
      </c>
      <c r="N8615">
        <v>-2.1117919999999998E-2</v>
      </c>
      <c r="O8615">
        <v>0.93835760000000001</v>
      </c>
      <c r="P8615">
        <v>0.75029950000000001</v>
      </c>
      <c r="Q8615">
        <v>-8.7885439999999995E-2</v>
      </c>
      <c r="R8615">
        <v>0.65523030000000004</v>
      </c>
      <c r="S8615">
        <v>2.6071469999999999</v>
      </c>
      <c r="T8615">
        <v>-0.1942497</v>
      </c>
      <c r="U8615">
        <v>1.57338</v>
      </c>
      <c r="V8615">
        <v>0.47695549999999998</v>
      </c>
      <c r="W8615">
        <v>-7.6808559999999998E-2</v>
      </c>
      <c r="X8615">
        <v>0.87556489999999998</v>
      </c>
      <c r="Y8615">
        <v>0.62375259999999999</v>
      </c>
      <c r="Z8615">
        <v>-5.0221740000000001E-2</v>
      </c>
      <c r="AA8615">
        <v>0.78000669999999905</v>
      </c>
      <c r="AB8615">
        <v>21</v>
      </c>
      <c r="AC8615">
        <v>14.9178</v>
      </c>
      <c r="AD8615">
        <v>-1.115311074359</v>
      </c>
      <c r="AE8615">
        <v>8.9156999999999798</v>
      </c>
      <c r="AF8615">
        <v>10.879761480567799</v>
      </c>
      <c r="AG8615">
        <v>-1.115311074359</v>
      </c>
      <c r="AH8615">
        <v>13.4606352458384</v>
      </c>
      <c r="AI8615">
        <v>93.687042901558698</v>
      </c>
      <c r="AJ8615">
        <v>51.0526009555537</v>
      </c>
      <c r="AK8615">
        <v>17.343639464891499</v>
      </c>
      <c r="AL8615">
        <v>94.405144984178904</v>
      </c>
      <c r="AM8615">
        <v>61.421088686958598</v>
      </c>
      <c r="AN8615">
        <v>0.99999999899076597</v>
      </c>
    </row>
    <row r="8616" spans="1:40" x14ac:dyDescent="0.25">
      <c r="A8616" t="str">
        <f>"20190303155018105"</f>
        <v>20190303155018105</v>
      </c>
      <c r="B8616" t="str">
        <f>"1551599418099540"</f>
        <v>1551599418099540</v>
      </c>
      <c r="C8616" t="s">
        <v>40</v>
      </c>
      <c r="D8616">
        <v>5.4228899999999998</v>
      </c>
      <c r="E8616">
        <v>0.56838429999999995</v>
      </c>
      <c r="F8616" t="s">
        <v>59</v>
      </c>
      <c r="G8616">
        <v>-171.5712</v>
      </c>
      <c r="H8616" s="1">
        <v>-2.18835E-6</v>
      </c>
      <c r="I8616">
        <v>134.3537</v>
      </c>
      <c r="J8616">
        <v>-186.0127</v>
      </c>
      <c r="K8616">
        <v>1.1153740000000001</v>
      </c>
      <c r="L8616">
        <v>125.8336</v>
      </c>
      <c r="M8616">
        <v>0.34962189999999999</v>
      </c>
      <c r="N8616">
        <v>-2.1079609999999999E-2</v>
      </c>
      <c r="O8616">
        <v>0.93665370000000003</v>
      </c>
      <c r="P8616">
        <v>0.7541658</v>
      </c>
      <c r="Q8616">
        <v>-8.8900350000000003E-2</v>
      </c>
      <c r="R8616">
        <v>0.65063859999999996</v>
      </c>
      <c r="S8616">
        <v>2.616241</v>
      </c>
      <c r="T8616">
        <v>-0.2015034</v>
      </c>
      <c r="U8616">
        <v>1.5556639999999999</v>
      </c>
      <c r="V8616">
        <v>0.47788659999999999</v>
      </c>
      <c r="W8616">
        <v>-7.7794100000000005E-2</v>
      </c>
      <c r="X8616">
        <v>0.87497000000000003</v>
      </c>
      <c r="Y8616">
        <v>0.62487869999999901</v>
      </c>
      <c r="Z8616">
        <v>-5.2884189999999998E-2</v>
      </c>
      <c r="AA8616">
        <v>0.77892869999999903</v>
      </c>
      <c r="AB8616">
        <v>21</v>
      </c>
      <c r="AC8616">
        <v>14.4414999999999</v>
      </c>
      <c r="AD8616">
        <v>-1.11537618835</v>
      </c>
      <c r="AE8616">
        <v>8.5200999999999993</v>
      </c>
      <c r="AF8616">
        <v>10.503736961976999</v>
      </c>
      <c r="AG8616">
        <v>-1.11537618835</v>
      </c>
      <c r="AH8616">
        <v>12.9749306661323</v>
      </c>
      <c r="AI8616">
        <v>93.822506063275299</v>
      </c>
      <c r="AJ8616">
        <v>51.008414642859798</v>
      </c>
      <c r="AK8616">
        <v>16.730851143886301</v>
      </c>
      <c r="AL8616">
        <v>94.461781677814599</v>
      </c>
      <c r="AM8616">
        <v>61.357743263032198</v>
      </c>
      <c r="AN8616">
        <v>1.00000001267718</v>
      </c>
    </row>
    <row r="8617" spans="1:40" x14ac:dyDescent="0.25">
      <c r="A8617" t="str">
        <f>"20190303155018116"</f>
        <v>20190303155018116</v>
      </c>
      <c r="B8617" t="str">
        <f>"1551599418109299"</f>
        <v>1551599418109299</v>
      </c>
      <c r="C8617" t="s">
        <v>40</v>
      </c>
      <c r="D8617">
        <v>5.4286589999999997</v>
      </c>
      <c r="E8617">
        <v>0.56797379999999997</v>
      </c>
      <c r="F8617" t="s">
        <v>59</v>
      </c>
      <c r="G8617">
        <v>-171.89869999999999</v>
      </c>
      <c r="H8617" s="1">
        <v>-2.276434E-6</v>
      </c>
      <c r="I8617">
        <v>134.1309</v>
      </c>
      <c r="J8617">
        <v>-185.97020000000001</v>
      </c>
      <c r="K8617">
        <v>1.1154489999999999</v>
      </c>
      <c r="L8617">
        <v>125.9302</v>
      </c>
      <c r="M8617">
        <v>0.35450920000000002</v>
      </c>
      <c r="N8617">
        <v>-2.103665E-2</v>
      </c>
      <c r="O8617">
        <v>0.93481579999999997</v>
      </c>
      <c r="P8617">
        <v>0.75839909999999999</v>
      </c>
      <c r="Q8617">
        <v>-9.0072299999999994E-2</v>
      </c>
      <c r="R8617">
        <v>0.64553680000000002</v>
      </c>
      <c r="S8617">
        <v>2.6230769999999999</v>
      </c>
      <c r="T8617">
        <v>-0.2072929</v>
      </c>
      <c r="U8617">
        <v>1.5420529999999999</v>
      </c>
      <c r="V8617">
        <v>0.47908400000000001</v>
      </c>
      <c r="W8617">
        <v>-7.8938809999999998E-2</v>
      </c>
      <c r="X8617">
        <v>0.87421229999999905</v>
      </c>
      <c r="Y8617">
        <v>0.62458590000000003</v>
      </c>
      <c r="Z8617">
        <v>-5.5009750000000003E-2</v>
      </c>
      <c r="AA8617">
        <v>0.77901629999999999</v>
      </c>
      <c r="AB8617">
        <v>21</v>
      </c>
      <c r="AC8617">
        <v>14.0715</v>
      </c>
      <c r="AD8617">
        <v>-1.1154512764340001</v>
      </c>
      <c r="AE8617">
        <v>8.2006999999999906</v>
      </c>
      <c r="AF8617">
        <v>10.2014542869936</v>
      </c>
      <c r="AG8617">
        <v>-1.1154512764340001</v>
      </c>
      <c r="AH8617">
        <v>12.598327663563699</v>
      </c>
      <c r="AI8617">
        <v>93.936287753882397</v>
      </c>
      <c r="AJ8617">
        <v>51.001291807361497</v>
      </c>
      <c r="AK8617">
        <v>16.2490541582651</v>
      </c>
      <c r="AL8617">
        <v>94.527571207424799</v>
      </c>
      <c r="AM8617">
        <v>61.276469422085398</v>
      </c>
      <c r="AN8617">
        <v>0.99999998012575197</v>
      </c>
    </row>
    <row r="8618" spans="1:40" x14ac:dyDescent="0.25">
      <c r="A8618" t="str">
        <f>"20190303155018127"</f>
        <v>20190303155018127</v>
      </c>
      <c r="B8618" t="str">
        <f>"1551599418119058"</f>
        <v>1551599418119058</v>
      </c>
      <c r="C8618" t="s">
        <v>40</v>
      </c>
      <c r="D8618">
        <v>5.394857</v>
      </c>
      <c r="E8618">
        <v>0.567492</v>
      </c>
      <c r="F8618" t="s">
        <v>59</v>
      </c>
      <c r="G8618">
        <v>-172.2047</v>
      </c>
      <c r="H8618" s="1">
        <v>-2.3568419999999999E-6</v>
      </c>
      <c r="I8618">
        <v>133.9186</v>
      </c>
      <c r="J8618">
        <v>-185.9281</v>
      </c>
      <c r="K8618">
        <v>1.115526</v>
      </c>
      <c r="L8618">
        <v>126.0244</v>
      </c>
      <c r="M8618">
        <v>0.35924119999999998</v>
      </c>
      <c r="N8618">
        <v>-2.0991559999999999E-2</v>
      </c>
      <c r="O8618">
        <v>0.93300870000000002</v>
      </c>
      <c r="P8618">
        <v>0.76261480000000004</v>
      </c>
      <c r="Q8618">
        <v>-9.0954209999999994E-2</v>
      </c>
      <c r="R8618">
        <v>0.64042650000000001</v>
      </c>
      <c r="S8618">
        <v>2.6308440000000002</v>
      </c>
      <c r="T8618">
        <v>-0.2131835</v>
      </c>
      <c r="U8618">
        <v>1.5267329999999999</v>
      </c>
      <c r="V8618">
        <v>0.48043000000000002</v>
      </c>
      <c r="W8618">
        <v>-7.9797839999999995E-2</v>
      </c>
      <c r="X8618">
        <v>0.87339529999999999</v>
      </c>
      <c r="Y8618">
        <v>0.62490789999999996</v>
      </c>
      <c r="Z8618">
        <v>-5.7182160000000003E-2</v>
      </c>
      <c r="AA8618">
        <v>0.77860149999999995</v>
      </c>
      <c r="AB8618">
        <v>21</v>
      </c>
      <c r="AC8618">
        <v>13.7233999999999</v>
      </c>
      <c r="AD8618">
        <v>-1.115528356842</v>
      </c>
      <c r="AE8618">
        <v>7.8941999999999899</v>
      </c>
      <c r="AF8618">
        <v>9.9210708696683803</v>
      </c>
      <c r="AG8618">
        <v>-1.115528356842</v>
      </c>
      <c r="AH8618">
        <v>12.2373223918091</v>
      </c>
      <c r="AI8618">
        <v>94.050380442417307</v>
      </c>
      <c r="AJ8618">
        <v>50.967544979432503</v>
      </c>
      <c r="AK8618">
        <v>15.793166561426901</v>
      </c>
      <c r="AL8618">
        <v>94.5769456019638</v>
      </c>
      <c r="AM8618">
        <v>61.186054221054299</v>
      </c>
      <c r="AN8618">
        <v>1.0000000151153701</v>
      </c>
    </row>
    <row r="8619" spans="1:40" x14ac:dyDescent="0.25">
      <c r="A8619" t="str">
        <f>"20190303155018139"</f>
        <v>20190303155018139</v>
      </c>
      <c r="B8619" t="str">
        <f>"1551599418128820"</f>
        <v>1551599418128820</v>
      </c>
      <c r="C8619" t="s">
        <v>40</v>
      </c>
      <c r="D8619">
        <v>5.3803349999999996</v>
      </c>
      <c r="E8619">
        <v>0.5671503</v>
      </c>
      <c r="F8619" t="s">
        <v>59</v>
      </c>
      <c r="G8619">
        <v>-172.48269999999999</v>
      </c>
      <c r="H8619" s="1">
        <v>-2.431479E-6</v>
      </c>
      <c r="I8619">
        <v>133.72919999999999</v>
      </c>
      <c r="J8619">
        <v>-185.8819</v>
      </c>
      <c r="K8619">
        <v>1.115613</v>
      </c>
      <c r="L8619">
        <v>126.1271</v>
      </c>
      <c r="M8619">
        <v>0.36437910000000001</v>
      </c>
      <c r="N8619">
        <v>-2.0941029999999999E-2</v>
      </c>
      <c r="O8619">
        <v>0.93101529999999999</v>
      </c>
      <c r="P8619">
        <v>0.76684079999999999</v>
      </c>
      <c r="Q8619">
        <v>-9.2060080000000002E-2</v>
      </c>
      <c r="R8619">
        <v>0.63520089999999996</v>
      </c>
      <c r="S8619">
        <v>2.6381679999999998</v>
      </c>
      <c r="T8619">
        <v>-0.21888179999999999</v>
      </c>
      <c r="U8619">
        <v>1.511795</v>
      </c>
      <c r="V8619">
        <v>0.48145870000000002</v>
      </c>
      <c r="W8619">
        <v>-8.0866359999999998E-2</v>
      </c>
      <c r="X8619">
        <v>0.87273029999999996</v>
      </c>
      <c r="Y8619">
        <v>0.62474300000000005</v>
      </c>
      <c r="Z8619">
        <v>-5.9287100000000002E-2</v>
      </c>
      <c r="AA8619">
        <v>0.77857639999999995</v>
      </c>
      <c r="AB8619">
        <v>21</v>
      </c>
      <c r="AC8619">
        <v>13.3992</v>
      </c>
      <c r="AD8619">
        <v>-1.1156154314790001</v>
      </c>
      <c r="AE8619">
        <v>7.6020999999999903</v>
      </c>
      <c r="AF8619">
        <v>9.6563026170522193</v>
      </c>
      <c r="AG8619">
        <v>-1.1156154314790001</v>
      </c>
      <c r="AH8619">
        <v>11.9002753668392</v>
      </c>
      <c r="AI8619">
        <v>94.163576435374594</v>
      </c>
      <c r="AJ8619">
        <v>50.9429080909471</v>
      </c>
      <c r="AK8619">
        <v>15.3657193723445</v>
      </c>
      <c r="AL8619">
        <v>94.638365804176402</v>
      </c>
      <c r="AM8619">
        <v>61.115817668823603</v>
      </c>
      <c r="AN8619">
        <v>1.0000000122617101</v>
      </c>
    </row>
    <row r="8620" spans="1:40" x14ac:dyDescent="0.25">
      <c r="A8620" t="str">
        <f>"20190303155018150"</f>
        <v>20190303155018150</v>
      </c>
      <c r="B8620" t="str">
        <f>"1551599418139556"</f>
        <v>1551599418139556</v>
      </c>
      <c r="C8620" t="s">
        <v>40</v>
      </c>
      <c r="D8620">
        <v>5.4226669999999997</v>
      </c>
      <c r="E8620">
        <v>0.56673709999999999</v>
      </c>
      <c r="F8620" t="s">
        <v>59</v>
      </c>
      <c r="G8620">
        <v>-172.64060000000001</v>
      </c>
      <c r="H8620" s="1">
        <v>-2.4694020000000001E-6</v>
      </c>
      <c r="I8620">
        <v>133.61160000000001</v>
      </c>
      <c r="J8620">
        <v>-185.84119999999999</v>
      </c>
      <c r="K8620">
        <v>1.115686</v>
      </c>
      <c r="L8620">
        <v>126.21550000000001</v>
      </c>
      <c r="M8620">
        <v>0.36875920000000001</v>
      </c>
      <c r="N8620">
        <v>-2.0895520000000001E-2</v>
      </c>
      <c r="O8620">
        <v>0.92929010000000001</v>
      </c>
      <c r="P8620">
        <v>0.77058019999999905</v>
      </c>
      <c r="Q8620">
        <v>-9.2695159999999999E-2</v>
      </c>
      <c r="R8620">
        <v>0.63056630000000002</v>
      </c>
      <c r="S8620">
        <v>2.6463320000000001</v>
      </c>
      <c r="T8620">
        <v>-0.22296170000000001</v>
      </c>
      <c r="U8620">
        <v>1.495819</v>
      </c>
      <c r="V8620">
        <v>0.48254360000000002</v>
      </c>
      <c r="W8620">
        <v>-8.1472269999999999E-2</v>
      </c>
      <c r="X8620">
        <v>0.87207449999999997</v>
      </c>
      <c r="Y8620">
        <v>0.62557189999999996</v>
      </c>
      <c r="Z8620">
        <v>-6.0832940000000002E-2</v>
      </c>
      <c r="AA8620">
        <v>0.77779109999999996</v>
      </c>
      <c r="AB8620">
        <v>21</v>
      </c>
      <c r="AC8620">
        <v>13.2005999999999</v>
      </c>
      <c r="AD8620">
        <v>-1.1156884694019999</v>
      </c>
      <c r="AE8620">
        <v>7.3960999999999997</v>
      </c>
      <c r="AF8620">
        <v>9.4902947925875694</v>
      </c>
      <c r="AG8620">
        <v>-1.1156884694019999</v>
      </c>
      <c r="AH8620">
        <v>11.680028875784201</v>
      </c>
      <c r="AI8620">
        <v>94.239830701787795</v>
      </c>
      <c r="AJ8620">
        <v>50.905339390942501</v>
      </c>
      <c r="AK8620">
        <v>15.090842605703701</v>
      </c>
      <c r="AL8620">
        <v>94.673196901323394</v>
      </c>
      <c r="AM8620">
        <v>61.042998188049701</v>
      </c>
      <c r="AN8620">
        <v>0.99999999511508098</v>
      </c>
    </row>
    <row r="8621" spans="1:40" x14ac:dyDescent="0.25">
      <c r="A8621" t="str">
        <f>"20190303155018160"</f>
        <v>20190303155018160</v>
      </c>
      <c r="B8621" t="str">
        <f>"1551599418149316"</f>
        <v>1551599418149316</v>
      </c>
      <c r="C8621" t="s">
        <v>40</v>
      </c>
      <c r="D8621">
        <v>5.4146700000000001</v>
      </c>
      <c r="E8621">
        <v>0.56632539999999998</v>
      </c>
      <c r="F8621" t="s">
        <v>59</v>
      </c>
      <c r="G8621">
        <v>-172.7731</v>
      </c>
      <c r="H8621" s="1">
        <v>-2.5035639999999999E-6</v>
      </c>
      <c r="I8621">
        <v>133.51820000000001</v>
      </c>
      <c r="J8621">
        <v>-185.7988</v>
      </c>
      <c r="K8621">
        <v>1.115761</v>
      </c>
      <c r="L8621">
        <v>126.30759999999999</v>
      </c>
      <c r="M8621">
        <v>0.373305</v>
      </c>
      <c r="N8621">
        <v>-2.0848780000000001E-2</v>
      </c>
      <c r="O8621">
        <v>0.92747440000000003</v>
      </c>
      <c r="P8621">
        <v>0.77422340000000001</v>
      </c>
      <c r="Q8621">
        <v>-9.3983230000000001E-2</v>
      </c>
      <c r="R8621">
        <v>0.62589569999999894</v>
      </c>
      <c r="S8621">
        <v>2.652847</v>
      </c>
      <c r="T8621">
        <v>-0.22648740000000001</v>
      </c>
      <c r="U8621">
        <v>1.4824520000000001</v>
      </c>
      <c r="V8621">
        <v>0.48339840000000001</v>
      </c>
      <c r="W8621">
        <v>-8.2722829999999997E-2</v>
      </c>
      <c r="X8621">
        <v>0.87148320000000001</v>
      </c>
      <c r="Y8621">
        <v>0.62547839999999999</v>
      </c>
      <c r="Z8621">
        <v>-6.2167119999999999E-2</v>
      </c>
      <c r="AA8621">
        <v>0.77776089999999998</v>
      </c>
      <c r="AB8621">
        <v>21</v>
      </c>
      <c r="AC8621">
        <v>13.025700000000001</v>
      </c>
      <c r="AD8621">
        <v>-1.1157635035639999</v>
      </c>
      <c r="AE8621">
        <v>7.2106000000000101</v>
      </c>
      <c r="AF8621">
        <v>9.3388411176670107</v>
      </c>
      <c r="AG8621">
        <v>-1.1157635035639999</v>
      </c>
      <c r="AH8621">
        <v>11.4881949363823</v>
      </c>
      <c r="AI8621">
        <v>94.309845207476698</v>
      </c>
      <c r="AJ8621">
        <v>50.892076282593401</v>
      </c>
      <c r="AK8621">
        <v>14.8471379232912</v>
      </c>
      <c r="AL8621">
        <v>94.745091274462993</v>
      </c>
      <c r="AM8621">
        <v>60.983538204595099</v>
      </c>
      <c r="AN8621">
        <v>1.0000000238040001</v>
      </c>
    </row>
    <row r="8622" spans="1:40" x14ac:dyDescent="0.25">
      <c r="A8622" t="str">
        <f>"20190303155018170"</f>
        <v>20190303155018170</v>
      </c>
      <c r="B8622" t="str">
        <f>"1551599418159075"</f>
        <v>1551599418159075</v>
      </c>
      <c r="C8622" t="s">
        <v>40</v>
      </c>
      <c r="D8622">
        <v>5.3973610000000001</v>
      </c>
      <c r="E8622">
        <v>0.56608749999999997</v>
      </c>
      <c r="F8622" t="s">
        <v>59</v>
      </c>
      <c r="G8622">
        <v>-172.983</v>
      </c>
      <c r="H8622" s="1">
        <v>-2.5647990000000002E-6</v>
      </c>
      <c r="I8622">
        <v>133.38630000000001</v>
      </c>
      <c r="J8622">
        <v>-185.75880000000001</v>
      </c>
      <c r="K8622">
        <v>1.115834</v>
      </c>
      <c r="L8622">
        <v>126.39239999999999</v>
      </c>
      <c r="M8622">
        <v>0.3774439</v>
      </c>
      <c r="N8622">
        <v>-2.0802020000000001E-2</v>
      </c>
      <c r="O8622">
        <v>0.92579880000000003</v>
      </c>
      <c r="P8622">
        <v>0.77735609999999999</v>
      </c>
      <c r="Q8622">
        <v>-9.5160830000000002E-2</v>
      </c>
      <c r="R8622">
        <v>0.62182150000000003</v>
      </c>
      <c r="S8622">
        <v>2.6593019999999998</v>
      </c>
      <c r="T8622">
        <v>-0.23152339999999999</v>
      </c>
      <c r="U8622">
        <v>1.468842</v>
      </c>
      <c r="V8622">
        <v>0.48394769999999998</v>
      </c>
      <c r="W8622">
        <v>-8.3861309999999994E-2</v>
      </c>
      <c r="X8622">
        <v>0.87106939999999999</v>
      </c>
      <c r="Y8622">
        <v>0.62573369999999995</v>
      </c>
      <c r="Z8622">
        <v>-6.4029710000000004E-2</v>
      </c>
      <c r="AA8622">
        <v>0.7774044</v>
      </c>
      <c r="AB8622">
        <v>21</v>
      </c>
      <c r="AC8622">
        <v>12.7758</v>
      </c>
      <c r="AD8622">
        <v>-1.1158365647990001</v>
      </c>
      <c r="AE8622">
        <v>6.9939000000000098</v>
      </c>
      <c r="AF8622">
        <v>9.1363795285895399</v>
      </c>
      <c r="AG8622">
        <v>-1.1158365647990001</v>
      </c>
      <c r="AH8622">
        <v>11.2336032803629</v>
      </c>
      <c r="AI8622">
        <v>94.4065675075217</v>
      </c>
      <c r="AJ8622">
        <v>50.878265872315701</v>
      </c>
      <c r="AK8622">
        <v>14.5228222047353</v>
      </c>
      <c r="AL8622">
        <v>94.810548955101098</v>
      </c>
      <c r="AM8622">
        <v>60.944377804526198</v>
      </c>
      <c r="AN8622">
        <v>0.99999999763328296</v>
      </c>
    </row>
    <row r="8623" spans="1:40" x14ac:dyDescent="0.25">
      <c r="A8623" t="str">
        <f>"20190303155018181"</f>
        <v>20190303155018181</v>
      </c>
      <c r="B8623" t="str">
        <f>"1551599418168836"</f>
        <v>1551599418168836</v>
      </c>
      <c r="C8623" t="s">
        <v>40</v>
      </c>
      <c r="D8623">
        <v>5.4884529999999998</v>
      </c>
      <c r="E8623">
        <v>0.56635179999999996</v>
      </c>
      <c r="F8623" t="s">
        <v>59</v>
      </c>
      <c r="G8623">
        <v>-173.05779999999999</v>
      </c>
      <c r="H8623" s="1">
        <v>-2.58364E-6</v>
      </c>
      <c r="I8623">
        <v>133.33240000000001</v>
      </c>
      <c r="J8623">
        <v>-185.7165</v>
      </c>
      <c r="K8623">
        <v>1.1159129999999999</v>
      </c>
      <c r="L8623">
        <v>126.4821</v>
      </c>
      <c r="M8623">
        <v>0.38181670000000001</v>
      </c>
      <c r="N8623">
        <v>-2.0753250000000001E-2</v>
      </c>
      <c r="O8623">
        <v>0.92400499999999997</v>
      </c>
      <c r="P8623">
        <v>0.78083059999999904</v>
      </c>
      <c r="Q8623">
        <v>-9.6150089999999994E-2</v>
      </c>
      <c r="R8623">
        <v>0.61729959999999995</v>
      </c>
      <c r="S8623">
        <v>2.6654969999999998</v>
      </c>
      <c r="T8623">
        <v>-0.23417540000000001</v>
      </c>
      <c r="U8623">
        <v>1.4564820000000001</v>
      </c>
      <c r="V8623">
        <v>0.48477409999999999</v>
      </c>
      <c r="W8623">
        <v>-8.4813830000000007E-2</v>
      </c>
      <c r="X8623">
        <v>0.8705176</v>
      </c>
      <c r="Y8623">
        <v>0.62552529999999995</v>
      </c>
      <c r="Z8623">
        <v>-6.5045110000000003E-2</v>
      </c>
      <c r="AA8623">
        <v>0.77748779999999995</v>
      </c>
      <c r="AB8623">
        <v>21</v>
      </c>
      <c r="AC8623">
        <v>12.6587</v>
      </c>
      <c r="AD8623">
        <v>-1.1159155836400001</v>
      </c>
      <c r="AE8623">
        <v>6.8502999999999998</v>
      </c>
      <c r="AF8623">
        <v>9.0288286066529793</v>
      </c>
      <c r="AG8623">
        <v>-1.1159155836400001</v>
      </c>
      <c r="AH8623">
        <v>11.098706743962801</v>
      </c>
      <c r="AI8623">
        <v>94.459802341585004</v>
      </c>
      <c r="AJ8623">
        <v>50.8715504404461</v>
      </c>
      <c r="AK8623">
        <v>14.350829418072401</v>
      </c>
      <c r="AL8623">
        <v>94.865318954271402</v>
      </c>
      <c r="AM8623">
        <v>60.887427846352402</v>
      </c>
      <c r="AN8623">
        <v>1.0000001028499099</v>
      </c>
    </row>
    <row r="8624" spans="1:40" x14ac:dyDescent="0.25">
      <c r="A8624" t="str">
        <f>"20190303155018192"</f>
        <v>20190303155018192</v>
      </c>
      <c r="B8624" t="str">
        <f>"1551599418189331"</f>
        <v>1551599418189331</v>
      </c>
      <c r="C8624" t="s">
        <v>40</v>
      </c>
      <c r="D8624">
        <v>5.5349579999999996</v>
      </c>
      <c r="E8624">
        <v>0.604178199999999</v>
      </c>
      <c r="F8624" t="s">
        <v>59</v>
      </c>
      <c r="G8624">
        <v>-173.1799</v>
      </c>
      <c r="H8624" s="1">
        <v>-2.6035409999999998E-6</v>
      </c>
      <c r="I8624">
        <v>133.22829999999999</v>
      </c>
      <c r="J8624">
        <v>-185.67</v>
      </c>
      <c r="K8624">
        <v>1.1159969999999999</v>
      </c>
      <c r="L8624">
        <v>126.5788</v>
      </c>
      <c r="M8624">
        <v>0.38647019999999999</v>
      </c>
      <c r="N8624">
        <v>-2.0697050000000002E-2</v>
      </c>
      <c r="O8624">
        <v>0.92206960000000004</v>
      </c>
      <c r="P8624">
        <v>0.78426890000000005</v>
      </c>
      <c r="Q8624">
        <v>-9.7159250000000003E-2</v>
      </c>
      <c r="R8624">
        <v>0.61276609999999998</v>
      </c>
      <c r="S8624">
        <v>2.6748500000000002</v>
      </c>
      <c r="T8624">
        <v>-0.2380958</v>
      </c>
      <c r="U8624">
        <v>1.4393769999999999</v>
      </c>
      <c r="V8624">
        <v>0.48531659999999999</v>
      </c>
      <c r="W8624">
        <v>-8.577891E-2</v>
      </c>
      <c r="X8624">
        <v>0.87012060000000002</v>
      </c>
      <c r="Y8624">
        <v>0.62649449999999995</v>
      </c>
      <c r="Z8624">
        <v>-6.6522869999999998E-2</v>
      </c>
      <c r="AA8624">
        <v>0.77658190000000005</v>
      </c>
      <c r="AB8624">
        <v>21</v>
      </c>
      <c r="AC8624">
        <v>12.490099999999901</v>
      </c>
      <c r="AD8624">
        <v>-1.11599960354099</v>
      </c>
      <c r="AE8624">
        <v>6.6494999999999802</v>
      </c>
      <c r="AF8624">
        <v>8.8935032557534104</v>
      </c>
      <c r="AG8624">
        <v>-1.11599960354099</v>
      </c>
      <c r="AH8624">
        <v>10.8929421452507</v>
      </c>
      <c r="AI8624">
        <v>94.537519599873605</v>
      </c>
      <c r="AJ8624">
        <v>50.770205106974302</v>
      </c>
      <c r="AK8624">
        <v>14.106595757126501</v>
      </c>
      <c r="AL8624">
        <v>94.920816519190396</v>
      </c>
      <c r="AM8624">
        <v>60.849063580345003</v>
      </c>
      <c r="AN8624">
        <v>1.00000004109035</v>
      </c>
    </row>
    <row r="8625" spans="1:40" x14ac:dyDescent="0.25">
      <c r="A8625" t="str">
        <f>"20190303155018204"</f>
        <v>20190303155018204</v>
      </c>
      <c r="B8625" t="str">
        <f>"1551599418199092"</f>
        <v>1551599418199092</v>
      </c>
      <c r="C8625" t="s">
        <v>40</v>
      </c>
      <c r="D8625">
        <v>5.4106189999999996</v>
      </c>
      <c r="E8625">
        <v>0.604178199999999</v>
      </c>
      <c r="F8625" t="s">
        <v>59</v>
      </c>
      <c r="G8625">
        <v>-172.773</v>
      </c>
      <c r="H8625" s="1">
        <v>-1.791848E-6</v>
      </c>
      <c r="I8625">
        <v>131.9109</v>
      </c>
      <c r="J8625">
        <v>-185.62039999999999</v>
      </c>
      <c r="K8625">
        <v>1.116085</v>
      </c>
      <c r="L8625">
        <v>126.681</v>
      </c>
      <c r="M8625">
        <v>0.3913702</v>
      </c>
      <c r="N8625">
        <v>-2.0638150000000001E-2</v>
      </c>
      <c r="O8625">
        <v>0.92000190000000004</v>
      </c>
      <c r="P8625">
        <v>0.78787819999999997</v>
      </c>
      <c r="Q8625">
        <v>-9.7895549999999998E-2</v>
      </c>
      <c r="R8625">
        <v>0.60800050000000005</v>
      </c>
      <c r="S8625">
        <v>2.8679960000000002</v>
      </c>
      <c r="T8625">
        <v>-0.24817400000000001</v>
      </c>
      <c r="U8625">
        <v>1.1857599999999999</v>
      </c>
      <c r="V8625">
        <v>0.48588680000000001</v>
      </c>
      <c r="W8625">
        <v>-8.6468980000000001E-2</v>
      </c>
      <c r="X8625">
        <v>0.86973389999999995</v>
      </c>
      <c r="Y8625">
        <v>0.69797219999999904</v>
      </c>
      <c r="Z8625">
        <v>-7.0445019999999997E-2</v>
      </c>
      <c r="AA8625">
        <v>0.71265159999999905</v>
      </c>
      <c r="AB8625">
        <v>21</v>
      </c>
      <c r="AC8625">
        <v>12.847399999999899</v>
      </c>
      <c r="AD8625">
        <v>-1.116086791848</v>
      </c>
      <c r="AE8625">
        <v>5.2298999999999998</v>
      </c>
      <c r="AF8625">
        <v>9.7120113127690395</v>
      </c>
      <c r="AG8625">
        <v>-1.116086791848</v>
      </c>
      <c r="AH8625">
        <v>9.7783977977900101</v>
      </c>
      <c r="AI8625">
        <v>94.629834078594001</v>
      </c>
      <c r="AJ8625">
        <v>45.195154995332103</v>
      </c>
      <c r="AK8625">
        <v>13.8269981181063</v>
      </c>
      <c r="AL8625">
        <v>94.960502465357806</v>
      </c>
      <c r="AM8625">
        <v>60.809591095984302</v>
      </c>
      <c r="AN8625">
        <v>0.99999996186284401</v>
      </c>
    </row>
    <row r="8626" spans="1:40" x14ac:dyDescent="0.25">
      <c r="A8626" t="str">
        <f>"20190303155018217"</f>
        <v>20190303155018217</v>
      </c>
      <c r="B8626" t="str">
        <f>"1551599418208851"</f>
        <v>1551599418208851</v>
      </c>
      <c r="C8626" t="s">
        <v>40</v>
      </c>
      <c r="D8626">
        <v>5.2558009999999999</v>
      </c>
      <c r="E8626">
        <v>0.64472089999999904</v>
      </c>
      <c r="F8626" t="s">
        <v>59</v>
      </c>
      <c r="G8626">
        <v>-172.82159999999999</v>
      </c>
      <c r="H8626" s="1">
        <v>-1.8068419999999999E-6</v>
      </c>
      <c r="I8626">
        <v>131.88229999999999</v>
      </c>
      <c r="J8626">
        <v>-185.56700000000001</v>
      </c>
      <c r="K8626">
        <v>1.116177</v>
      </c>
      <c r="L8626">
        <v>126.7897</v>
      </c>
      <c r="M8626">
        <v>0.39653709999999998</v>
      </c>
      <c r="N8626">
        <v>-2.0575449999999999E-2</v>
      </c>
      <c r="O8626">
        <v>0.9177881</v>
      </c>
      <c r="P8626">
        <v>0.79156000000000004</v>
      </c>
      <c r="Q8626">
        <v>-9.829881E-2</v>
      </c>
      <c r="R8626">
        <v>0.60313359999999905</v>
      </c>
      <c r="S8626">
        <v>2.874908</v>
      </c>
      <c r="T8626">
        <v>-0.25069789999999997</v>
      </c>
      <c r="U8626">
        <v>1.1683349999999999</v>
      </c>
      <c r="V8626">
        <v>0.48632399999999998</v>
      </c>
      <c r="W8626">
        <v>-8.6822490000000002E-2</v>
      </c>
      <c r="X8626">
        <v>0.86945430000000001</v>
      </c>
      <c r="Y8626">
        <v>0.69819069999999905</v>
      </c>
      <c r="Z8626">
        <v>-7.145878E-2</v>
      </c>
      <c r="AA8626">
        <v>0.71233659999999999</v>
      </c>
      <c r="AB8626">
        <v>20</v>
      </c>
      <c r="AC8626">
        <v>12.7454</v>
      </c>
      <c r="AD8626">
        <v>-1.116178806842</v>
      </c>
      <c r="AE8626">
        <v>5.0925999999999902</v>
      </c>
      <c r="AF8626">
        <v>9.6166210078568408</v>
      </c>
      <c r="AG8626">
        <v>-1.116178806842</v>
      </c>
      <c r="AH8626">
        <v>9.6660844382549698</v>
      </c>
      <c r="AI8626">
        <v>94.679879816319598</v>
      </c>
      <c r="AJ8626">
        <v>45.146973130606298</v>
      </c>
      <c r="AK8626">
        <v>13.680586358233001</v>
      </c>
      <c r="AL8626">
        <v>94.980833474301704</v>
      </c>
      <c r="AM8626">
        <v>60.7797969689504</v>
      </c>
      <c r="AN8626">
        <v>0.99999997876714397</v>
      </c>
    </row>
    <row r="8627" spans="1:40" x14ac:dyDescent="0.25">
      <c r="A8627" t="str">
        <f>"20190303155018230"</f>
        <v>20190303155018230</v>
      </c>
      <c r="B8627" t="str">
        <f>"1551599418219118"</f>
        <v>1551599418219118</v>
      </c>
      <c r="C8627" t="s">
        <v>40</v>
      </c>
      <c r="D8627">
        <v>5.4585509999999999</v>
      </c>
      <c r="E8627">
        <v>0.64340189999999997</v>
      </c>
      <c r="F8627" t="s">
        <v>41</v>
      </c>
      <c r="G8627">
        <v>-159.559</v>
      </c>
      <c r="H8627" s="1">
        <v>-1.5330009999999901E-6</v>
      </c>
      <c r="I8627">
        <v>134.36619999999999</v>
      </c>
      <c r="J8627">
        <v>-185.51679999999999</v>
      </c>
      <c r="K8627">
        <v>1.116266</v>
      </c>
      <c r="L8627">
        <v>126.8905</v>
      </c>
      <c r="M8627">
        <v>0.40129280000000001</v>
      </c>
      <c r="N8627">
        <v>-2.0519200000000001E-2</v>
      </c>
      <c r="O8627">
        <v>0.91571999999999998</v>
      </c>
      <c r="P8627">
        <v>0.79479960000000005</v>
      </c>
      <c r="Q8627">
        <v>-9.8568749999999997E-2</v>
      </c>
      <c r="R8627">
        <v>0.5988137</v>
      </c>
      <c r="S8627">
        <v>3.0880890000000001</v>
      </c>
      <c r="T8627">
        <v>-0.1325307</v>
      </c>
      <c r="U8627">
        <v>0.89961239999999998</v>
      </c>
      <c r="V8627">
        <v>0.48653220000000003</v>
      </c>
      <c r="W8627">
        <v>-8.7045559999999994E-2</v>
      </c>
      <c r="X8627">
        <v>0.86931559999999897</v>
      </c>
      <c r="Y8627">
        <v>0.76634740000000001</v>
      </c>
      <c r="Z8627">
        <v>-3.0488850000000001E-2</v>
      </c>
      <c r="AA8627">
        <v>0.64170249999999995</v>
      </c>
      <c r="AB8627">
        <v>20</v>
      </c>
      <c r="AC8627">
        <v>25.957799999999899</v>
      </c>
      <c r="AD8627">
        <v>-1.1162675330009999</v>
      </c>
      <c r="AE8627">
        <v>7.4756999999999802</v>
      </c>
      <c r="AF8627">
        <v>20.7390903313858</v>
      </c>
      <c r="AG8627">
        <v>-1.1162675330009999</v>
      </c>
      <c r="AH8627">
        <v>17.236527088454899</v>
      </c>
      <c r="AI8627">
        <v>92.370357294865599</v>
      </c>
      <c r="AJ8627">
        <v>39.730410120262199</v>
      </c>
      <c r="AK8627">
        <v>26.989883049943899</v>
      </c>
      <c r="AL8627">
        <v>94.993662600290804</v>
      </c>
      <c r="AM8627">
        <v>60.765452073047598</v>
      </c>
      <c r="AN8627">
        <v>1.0000000617779501</v>
      </c>
    </row>
    <row r="8628" spans="1:40" x14ac:dyDescent="0.25">
      <c r="A8628" t="str">
        <f>"20190303155018244"</f>
        <v>20190303155018244</v>
      </c>
      <c r="B8628" t="str">
        <f>"1551599418239614"</f>
        <v>1551599418239614</v>
      </c>
      <c r="C8628" t="s">
        <v>40</v>
      </c>
      <c r="D8628">
        <v>5.2335779999999996</v>
      </c>
      <c r="E8628">
        <v>0.64622179999999996</v>
      </c>
      <c r="F8628" t="s">
        <v>41</v>
      </c>
      <c r="G8628">
        <v>-161.30359999999999</v>
      </c>
      <c r="H8628" s="1">
        <v>-5.108605E-6</v>
      </c>
      <c r="I8628">
        <v>133.88130000000001</v>
      </c>
      <c r="J8628">
        <v>-185.4572</v>
      </c>
      <c r="K8628">
        <v>1.1163620000000001</v>
      </c>
      <c r="L8628">
        <v>127.0086</v>
      </c>
      <c r="M8628">
        <v>0.40683269999999999</v>
      </c>
      <c r="N8628">
        <v>-2.0455419999999998E-2</v>
      </c>
      <c r="O8628">
        <v>0.91327360000000002</v>
      </c>
      <c r="P8628">
        <v>0.79852860000000003</v>
      </c>
      <c r="Q8628">
        <v>-9.8196950000000005E-2</v>
      </c>
      <c r="R8628">
        <v>0.59389360000000002</v>
      </c>
      <c r="S8628">
        <v>3.0856629999999998</v>
      </c>
      <c r="T8628">
        <v>-0.14225470000000001</v>
      </c>
      <c r="U8628">
        <v>0.89089969999999996</v>
      </c>
      <c r="V8628">
        <v>0.4867013</v>
      </c>
      <c r="W8628">
        <v>-8.6618520000000004E-2</v>
      </c>
      <c r="X8628">
        <v>0.86926360000000003</v>
      </c>
      <c r="Y8628">
        <v>0.76386739999999997</v>
      </c>
      <c r="Z8628">
        <v>-3.3985330000000001E-2</v>
      </c>
      <c r="AA8628">
        <v>0.64447779999999999</v>
      </c>
      <c r="AB8628">
        <v>20</v>
      </c>
      <c r="AC8628">
        <v>24.153600000000001</v>
      </c>
      <c r="AD8628">
        <v>-1.116367108605</v>
      </c>
      <c r="AE8628">
        <v>6.8727</v>
      </c>
      <c r="AF8628">
        <v>19.2288372464728</v>
      </c>
      <c r="AG8628">
        <v>-1.116367108605</v>
      </c>
      <c r="AH8628">
        <v>16.074732804766199</v>
      </c>
      <c r="AI8628">
        <v>92.5504256144756</v>
      </c>
      <c r="AJ8628">
        <v>39.894614587392397</v>
      </c>
      <c r="AK8628">
        <v>25.0876761003714</v>
      </c>
      <c r="AL8628">
        <v>94.969102231296304</v>
      </c>
      <c r="AM8628">
        <v>60.755504957702101</v>
      </c>
      <c r="AN8628">
        <v>1.0000000648568099</v>
      </c>
    </row>
    <row r="8629" spans="1:40" x14ac:dyDescent="0.25">
      <c r="A8629" t="str">
        <f>"20190303155018256"</f>
        <v>20190303155018256</v>
      </c>
      <c r="B8629" t="str">
        <f>"1551599418249375"</f>
        <v>1551599418249375</v>
      </c>
      <c r="C8629" t="s">
        <v>40</v>
      </c>
      <c r="D8629">
        <v>5.1860499999999998</v>
      </c>
      <c r="E8629">
        <v>0.64743390000000001</v>
      </c>
      <c r="F8629" t="s">
        <v>41</v>
      </c>
      <c r="G8629">
        <v>-152.7381</v>
      </c>
      <c r="H8629" s="1">
        <v>-3.7359000000000001E-6</v>
      </c>
      <c r="I8629">
        <v>136.0181</v>
      </c>
      <c r="J8629">
        <v>-185.40549999999999</v>
      </c>
      <c r="K8629">
        <v>1.11643799999999</v>
      </c>
      <c r="L8629">
        <v>127.10980000000001</v>
      </c>
      <c r="M8629">
        <v>0.41154829999999998</v>
      </c>
      <c r="N8629">
        <v>-2.040314E-2</v>
      </c>
      <c r="O8629">
        <v>0.91115950000000001</v>
      </c>
      <c r="P8629">
        <v>0.80150619999999995</v>
      </c>
      <c r="Q8629">
        <v>-9.7347420000000004E-2</v>
      </c>
      <c r="R8629">
        <v>0.59000969999999997</v>
      </c>
      <c r="S8629">
        <v>3.1074519999999999</v>
      </c>
      <c r="T8629">
        <v>-0.10602499999999999</v>
      </c>
      <c r="U8629">
        <v>0.85566710000000001</v>
      </c>
      <c r="V8629">
        <v>0.48654960000000003</v>
      </c>
      <c r="W8629">
        <v>-8.5718180000000005E-2</v>
      </c>
      <c r="X8629">
        <v>0.86943769999999998</v>
      </c>
      <c r="Y8629">
        <v>0.76888269999999903</v>
      </c>
      <c r="Z8629">
        <v>-2.1667740000000001E-2</v>
      </c>
      <c r="AA8629">
        <v>0.63902269999999906</v>
      </c>
      <c r="AB8629">
        <v>20</v>
      </c>
      <c r="AC8629">
        <v>32.667399999999901</v>
      </c>
      <c r="AD8629">
        <v>-1.1164417358999901</v>
      </c>
      <c r="AE8629">
        <v>8.9082999999999899</v>
      </c>
      <c r="AF8629">
        <v>26.0761023705052</v>
      </c>
      <c r="AG8629">
        <v>-1.1164417358999901</v>
      </c>
      <c r="AH8629">
        <v>21.542165440327398</v>
      </c>
      <c r="AI8629">
        <v>91.890526274957693</v>
      </c>
      <c r="AJ8629">
        <v>39.561022788188403</v>
      </c>
      <c r="AK8629">
        <v>33.841903741444</v>
      </c>
      <c r="AL8629">
        <v>94.917324202526899</v>
      </c>
      <c r="AM8629">
        <v>60.768008175088902</v>
      </c>
      <c r="AN8629">
        <v>1.00000001691198</v>
      </c>
    </row>
    <row r="8630" spans="1:40" x14ac:dyDescent="0.25">
      <c r="A8630" t="str">
        <f>"20190303155018271"</f>
        <v>20190303155018271</v>
      </c>
      <c r="B8630" t="str">
        <f>"1551599418259134"</f>
        <v>1551599418259134</v>
      </c>
      <c r="C8630" t="s">
        <v>40</v>
      </c>
      <c r="D8630">
        <v>5.1741489999999999</v>
      </c>
      <c r="E8630">
        <v>0.64861099999999905</v>
      </c>
      <c r="F8630" t="s">
        <v>41</v>
      </c>
      <c r="G8630">
        <v>-144.3434</v>
      </c>
      <c r="H8630" s="1">
        <v>-2.6800409999999998E-6</v>
      </c>
      <c r="I8630">
        <v>138.0881</v>
      </c>
      <c r="J8630">
        <v>-185.3451</v>
      </c>
      <c r="K8630">
        <v>1.116517</v>
      </c>
      <c r="L8630">
        <v>127.22620000000001</v>
      </c>
      <c r="M8630">
        <v>0.41694189999999998</v>
      </c>
      <c r="N8630">
        <v>-2.0345459999999999E-2</v>
      </c>
      <c r="O8630">
        <v>0.9087054</v>
      </c>
      <c r="P8630">
        <v>0.80470160000000002</v>
      </c>
      <c r="Q8630">
        <v>-9.5949989999999999E-2</v>
      </c>
      <c r="R8630">
        <v>0.58587460000000002</v>
      </c>
      <c r="S8630">
        <v>3.1188349999999998</v>
      </c>
      <c r="T8630">
        <v>-8.4798219999999994E-2</v>
      </c>
      <c r="U8630">
        <v>0.83384699999999901</v>
      </c>
      <c r="V8630">
        <v>0.48606110000000002</v>
      </c>
      <c r="W8630">
        <v>-8.4260870000000002E-2</v>
      </c>
      <c r="X8630">
        <v>0.86985330000000005</v>
      </c>
      <c r="Y8630">
        <v>0.77001430000000004</v>
      </c>
      <c r="Z8630">
        <v>-1.451714E-2</v>
      </c>
      <c r="AA8630">
        <v>0.63786129999999996</v>
      </c>
      <c r="AB8630">
        <v>20</v>
      </c>
      <c r="AC8630">
        <v>41.0017</v>
      </c>
      <c r="AD8630">
        <v>-1.116519680041</v>
      </c>
      <c r="AE8630">
        <v>10.861899999999901</v>
      </c>
      <c r="AF8630">
        <v>32.713793781408697</v>
      </c>
      <c r="AG8630">
        <v>-1.116519680041</v>
      </c>
      <c r="AH8630">
        <v>26.952501321707999</v>
      </c>
      <c r="AI8630">
        <v>91.508896040692903</v>
      </c>
      <c r="AJ8630">
        <v>39.484699481340897</v>
      </c>
      <c r="AK8630">
        <v>42.401370818231001</v>
      </c>
      <c r="AL8630">
        <v>94.8335232383521</v>
      </c>
      <c r="AM8630">
        <v>60.804190006714101</v>
      </c>
      <c r="AN8630">
        <v>1.0000000253336201</v>
      </c>
    </row>
    <row r="8631" spans="1:40" x14ac:dyDescent="0.25">
      <c r="A8631" t="str">
        <f>"20190303155018283"</f>
        <v>20190303155018283</v>
      </c>
      <c r="B8631" t="str">
        <f>"1551599418279630"</f>
        <v>1551599418279630</v>
      </c>
      <c r="C8631" t="s">
        <v>40</v>
      </c>
      <c r="D8631">
        <v>5.2338199999999997</v>
      </c>
      <c r="E8631">
        <v>0.65005480000000004</v>
      </c>
      <c r="F8631" t="s">
        <v>41</v>
      </c>
      <c r="G8631">
        <v>-137.0119</v>
      </c>
      <c r="H8631" s="1">
        <v>-1.298011E-6</v>
      </c>
      <c r="I8631">
        <v>139.7433</v>
      </c>
      <c r="J8631">
        <v>-185.2938</v>
      </c>
      <c r="K8631">
        <v>1.1165799999999999</v>
      </c>
      <c r="L8631">
        <v>127.32429999999999</v>
      </c>
      <c r="M8631">
        <v>0.42146499999999998</v>
      </c>
      <c r="N8631">
        <v>-2.0298469999999999E-2</v>
      </c>
      <c r="O8631">
        <v>0.90661749999999997</v>
      </c>
      <c r="P8631">
        <v>0.80737590000000004</v>
      </c>
      <c r="Q8631">
        <v>-9.507728E-2</v>
      </c>
      <c r="R8631">
        <v>0.58232689999999998</v>
      </c>
      <c r="S8631">
        <v>3.12941</v>
      </c>
      <c r="T8631">
        <v>-7.2290660000000007E-2</v>
      </c>
      <c r="U8631">
        <v>0.8104401</v>
      </c>
      <c r="V8631">
        <v>0.48567329999999997</v>
      </c>
      <c r="W8631">
        <v>-8.3342700000000006E-2</v>
      </c>
      <c r="X8631">
        <v>0.87015830000000005</v>
      </c>
      <c r="Y8631">
        <v>0.77190209999999904</v>
      </c>
      <c r="Z8631">
        <v>-1.035782E-2</v>
      </c>
      <c r="AA8631">
        <v>0.63565709999999997</v>
      </c>
      <c r="AB8631">
        <v>20</v>
      </c>
      <c r="AC8631">
        <v>48.2819</v>
      </c>
      <c r="AD8631">
        <v>-1.1165812980109999</v>
      </c>
      <c r="AE8631">
        <v>12.419</v>
      </c>
      <c r="AF8631">
        <v>38.527655536510899</v>
      </c>
      <c r="AG8631">
        <v>-1.1165812980109999</v>
      </c>
      <c r="AH8631">
        <v>31.599075221863099</v>
      </c>
      <c r="AI8631">
        <v>91.2836962818659</v>
      </c>
      <c r="AJ8631">
        <v>39.357441118581299</v>
      </c>
      <c r="AK8631">
        <v>49.841032792389697</v>
      </c>
      <c r="AL8631">
        <v>94.7807303263059</v>
      </c>
      <c r="AM8631">
        <v>60.832208333552103</v>
      </c>
      <c r="AN8631">
        <v>1.00000001351753</v>
      </c>
    </row>
    <row r="8632" spans="1:40" x14ac:dyDescent="0.25">
      <c r="A8632" t="str">
        <f>"20190303155018294"</f>
        <v>20190303155018294</v>
      </c>
      <c r="B8632" t="str">
        <f>"1551599418289390"</f>
        <v>1551599418289390</v>
      </c>
      <c r="C8632" t="s">
        <v>40</v>
      </c>
      <c r="D8632">
        <v>5.2083659999999998</v>
      </c>
      <c r="E8632">
        <v>0.65061819999999904</v>
      </c>
      <c r="F8632" t="s">
        <v>41</v>
      </c>
      <c r="G8632">
        <v>-124.895</v>
      </c>
      <c r="H8632" s="1">
        <v>-2.9327310000000001E-6</v>
      </c>
      <c r="I8632">
        <v>142.47409999999999</v>
      </c>
      <c r="J8632">
        <v>-185.24629999999999</v>
      </c>
      <c r="K8632">
        <v>1.116636</v>
      </c>
      <c r="L8632">
        <v>127.41370000000001</v>
      </c>
      <c r="M8632">
        <v>0.42557410000000001</v>
      </c>
      <c r="N8632">
        <v>-2.0257310000000001E-2</v>
      </c>
      <c r="O8632">
        <v>0.90469690000000003</v>
      </c>
      <c r="P8632">
        <v>0.8098668</v>
      </c>
      <c r="Q8632">
        <v>-9.4614710000000005E-2</v>
      </c>
      <c r="R8632">
        <v>0.57893339999999904</v>
      </c>
      <c r="S8632">
        <v>3.140701</v>
      </c>
      <c r="T8632">
        <v>-5.8061599999999998E-2</v>
      </c>
      <c r="U8632">
        <v>0.78778079999999995</v>
      </c>
      <c r="V8632">
        <v>0.48544300000000001</v>
      </c>
      <c r="W8632">
        <v>-8.2847859999999995E-2</v>
      </c>
      <c r="X8632">
        <v>0.87033400000000005</v>
      </c>
      <c r="Y8632">
        <v>0.77393279999999998</v>
      </c>
      <c r="Z8632">
        <v>-5.598726E-3</v>
      </c>
      <c r="AA8632">
        <v>0.633243</v>
      </c>
      <c r="AB8632">
        <v>20</v>
      </c>
      <c r="AC8632">
        <v>60.351300000000002</v>
      </c>
      <c r="AD8632">
        <v>-1.116638932731</v>
      </c>
      <c r="AE8632">
        <v>15.0603999999999</v>
      </c>
      <c r="AF8632">
        <v>48.184676489066398</v>
      </c>
      <c r="AG8632">
        <v>-1.116638932731</v>
      </c>
      <c r="AH8632">
        <v>39.304445695775001</v>
      </c>
      <c r="AI8632">
        <v>91.028783423796</v>
      </c>
      <c r="AJ8632">
        <v>39.204271791116</v>
      </c>
      <c r="AK8632">
        <v>62.192036325515197</v>
      </c>
      <c r="AL8632">
        <v>94.752279883056303</v>
      </c>
      <c r="AM8632">
        <v>60.8486932985412</v>
      </c>
      <c r="AN8632">
        <v>0.99999997285578901</v>
      </c>
    </row>
    <row r="8633" spans="1:40" x14ac:dyDescent="0.25">
      <c r="A8633" t="str">
        <f>"20190303155018305"</f>
        <v>20190303155018305</v>
      </c>
      <c r="B8633" t="str">
        <f>"1551599418299151"</f>
        <v>1551599418299151</v>
      </c>
      <c r="C8633" t="s">
        <v>40</v>
      </c>
      <c r="D8633">
        <v>5.2423570000000002</v>
      </c>
      <c r="E8633">
        <v>0.65084370000000002</v>
      </c>
      <c r="F8633" t="s">
        <v>41</v>
      </c>
      <c r="G8633">
        <v>-117.76309999999999</v>
      </c>
      <c r="H8633" s="1">
        <v>-2.0953870000000002E-6</v>
      </c>
      <c r="I8633">
        <v>143.9513</v>
      </c>
      <c r="J8633">
        <v>-185.20070000000001</v>
      </c>
      <c r="K8633">
        <v>1.1166799999999999</v>
      </c>
      <c r="L8633">
        <v>127.4988</v>
      </c>
      <c r="M8633">
        <v>0.42947489999999999</v>
      </c>
      <c r="N8633">
        <v>-2.0219399999999998E-2</v>
      </c>
      <c r="O8633">
        <v>0.9028524</v>
      </c>
      <c r="P8633">
        <v>0.81218650000000003</v>
      </c>
      <c r="Q8633">
        <v>-9.4258149999999999E-2</v>
      </c>
      <c r="R8633">
        <v>0.5757331</v>
      </c>
      <c r="S8633">
        <v>3.1469420000000001</v>
      </c>
      <c r="T8633">
        <v>-5.2072050000000002E-2</v>
      </c>
      <c r="U8633">
        <v>0.77119450000000001</v>
      </c>
      <c r="V8633">
        <v>0.4851724</v>
      </c>
      <c r="W8633">
        <v>-8.2461590000000001E-2</v>
      </c>
      <c r="X8633">
        <v>0.87052160000000001</v>
      </c>
      <c r="Y8633">
        <v>0.77465759999999995</v>
      </c>
      <c r="Z8633">
        <v>-3.6531609999999998E-3</v>
      </c>
      <c r="AA8633">
        <v>0.6323704</v>
      </c>
      <c r="AB8633">
        <v>20</v>
      </c>
      <c r="AC8633">
        <v>67.437600000000003</v>
      </c>
      <c r="AD8633">
        <v>-1.11668209538699</v>
      </c>
      <c r="AE8633">
        <v>16.452500000000001</v>
      </c>
      <c r="AF8633">
        <v>53.817341570593001</v>
      </c>
      <c r="AG8633">
        <v>-1.11668209538699</v>
      </c>
      <c r="AH8633">
        <v>43.814557013159202</v>
      </c>
      <c r="AI8633">
        <v>90.921871716376998</v>
      </c>
      <c r="AJ8633">
        <v>39.150225730541997</v>
      </c>
      <c r="AK8633">
        <v>69.406546080952694</v>
      </c>
      <c r="AL8633">
        <v>94.730072058321895</v>
      </c>
      <c r="AM8633">
        <v>60.867533755023601</v>
      </c>
      <c r="AN8633">
        <v>1.0000000138068199</v>
      </c>
    </row>
    <row r="8634" spans="1:40" x14ac:dyDescent="0.25">
      <c r="A8634" t="str">
        <f>"20190303155018315"</f>
        <v>20190303155018315</v>
      </c>
      <c r="B8634" t="str">
        <f>"1551599418308911"</f>
        <v>1551599418308911</v>
      </c>
      <c r="C8634" t="s">
        <v>40</v>
      </c>
      <c r="D8634">
        <v>5.279655</v>
      </c>
      <c r="E8634">
        <v>0.65082969999999996</v>
      </c>
      <c r="F8634" t="s">
        <v>41</v>
      </c>
      <c r="G8634">
        <v>-111.8137</v>
      </c>
      <c r="H8634" s="1">
        <v>-4.6382540000000001E-6</v>
      </c>
      <c r="I8634">
        <v>145.13800000000001</v>
      </c>
      <c r="J8634">
        <v>-185.1542</v>
      </c>
      <c r="K8634">
        <v>1.1167210000000001</v>
      </c>
      <c r="L8634">
        <v>127.5849</v>
      </c>
      <c r="M8634">
        <v>0.43340869999999998</v>
      </c>
      <c r="N8634">
        <v>-2.0182579999999999E-2</v>
      </c>
      <c r="O8634">
        <v>0.90097139999999998</v>
      </c>
      <c r="P8634">
        <v>0.81448540000000003</v>
      </c>
      <c r="Q8634">
        <v>-9.4533519999999996E-2</v>
      </c>
      <c r="R8634">
        <v>0.57243080000000002</v>
      </c>
      <c r="S8634">
        <v>3.1512600000000002</v>
      </c>
      <c r="T8634">
        <v>-4.7950739999999999E-2</v>
      </c>
      <c r="U8634">
        <v>0.75743099999999997</v>
      </c>
      <c r="V8634">
        <v>0.48488730000000002</v>
      </c>
      <c r="W8634">
        <v>-8.2711199999999999E-2</v>
      </c>
      <c r="X8634">
        <v>0.87065680000000001</v>
      </c>
      <c r="Y8634">
        <v>0.77471840000000003</v>
      </c>
      <c r="Z8634">
        <v>-2.3427000000000001E-3</v>
      </c>
      <c r="AA8634">
        <v>0.63230209999999998</v>
      </c>
      <c r="AB8634">
        <v>20</v>
      </c>
      <c r="AC8634">
        <v>73.340500000000006</v>
      </c>
      <c r="AD8634">
        <v>-1.1167256382539901</v>
      </c>
      <c r="AE8634">
        <v>17.553100000000001</v>
      </c>
      <c r="AF8634">
        <v>58.4691201628195</v>
      </c>
      <c r="AG8634">
        <v>-1.1167256382539901</v>
      </c>
      <c r="AH8634">
        <v>47.6005138113985</v>
      </c>
      <c r="AI8634">
        <v>90.848580905682596</v>
      </c>
      <c r="AJ8634">
        <v>39.149508601860099</v>
      </c>
      <c r="AK8634">
        <v>75.403541056601</v>
      </c>
      <c r="AL8634">
        <v>94.744422509340595</v>
      </c>
      <c r="AM8634">
        <v>60.885635545894502</v>
      </c>
      <c r="AN8634">
        <v>1.0000000498464801</v>
      </c>
    </row>
    <row r="8635" spans="1:40" x14ac:dyDescent="0.25">
      <c r="A8635" t="str">
        <f>"20190303155018326"</f>
        <v>20190303155018326</v>
      </c>
      <c r="B8635" t="str">
        <f>"1551599418319646"</f>
        <v>1551599418319646</v>
      </c>
      <c r="C8635" t="s">
        <v>40</v>
      </c>
      <c r="D8635">
        <v>5.244961</v>
      </c>
      <c r="E8635">
        <v>0.65091199999999905</v>
      </c>
      <c r="F8635" t="s">
        <v>41</v>
      </c>
      <c r="G8635">
        <v>-109.1041</v>
      </c>
      <c r="H8635" s="1">
        <v>-1.9818370000000002E-6</v>
      </c>
      <c r="I8635">
        <v>145.54650000000001</v>
      </c>
      <c r="J8635">
        <v>-185.1095</v>
      </c>
      <c r="K8635">
        <v>1.1167579999999999</v>
      </c>
      <c r="L8635">
        <v>127.6666</v>
      </c>
      <c r="M8635">
        <v>0.43714510000000001</v>
      </c>
      <c r="N8635">
        <v>-2.0144760000000001E-2</v>
      </c>
      <c r="O8635">
        <v>0.89916529999999995</v>
      </c>
      <c r="P8635">
        <v>0.81664009999999998</v>
      </c>
      <c r="Q8635">
        <v>-9.497237E-2</v>
      </c>
      <c r="R8635">
        <v>0.569279599999999</v>
      </c>
      <c r="S8635">
        <v>3.1543269999999999</v>
      </c>
      <c r="T8635">
        <v>-4.6318289999999998E-2</v>
      </c>
      <c r="U8635">
        <v>0.74499510000000002</v>
      </c>
      <c r="V8635">
        <v>0.48459419999999997</v>
      </c>
      <c r="W8635">
        <v>-8.3132029999999996E-2</v>
      </c>
      <c r="X8635">
        <v>0.87077990000000005</v>
      </c>
      <c r="Y8635">
        <v>0.77459630000000002</v>
      </c>
      <c r="Z8635">
        <v>-1.8809219999999999E-3</v>
      </c>
      <c r="AA8635">
        <v>0.63245319999999905</v>
      </c>
      <c r="AB8635">
        <v>20</v>
      </c>
      <c r="AC8635">
        <v>76.005399999999995</v>
      </c>
      <c r="AD8635">
        <v>-1.116759981837</v>
      </c>
      <c r="AE8635">
        <v>17.879899999999999</v>
      </c>
      <c r="AF8635">
        <v>60.525214184142101</v>
      </c>
      <c r="AG8635">
        <v>-1.116759981837</v>
      </c>
      <c r="AH8635">
        <v>49.302297721248799</v>
      </c>
      <c r="AI8635">
        <v>90.819598172301099</v>
      </c>
      <c r="AJ8635">
        <v>39.165382893471403</v>
      </c>
      <c r="AK8635">
        <v>78.072179843321706</v>
      </c>
      <c r="AL8635">
        <v>94.768617599151995</v>
      </c>
      <c r="AM8635">
        <v>60.903801700985099</v>
      </c>
      <c r="AN8635">
        <v>1.00000005366478</v>
      </c>
    </row>
    <row r="8636" spans="1:40" x14ac:dyDescent="0.25">
      <c r="A8636" t="str">
        <f>"20190303155018337"</f>
        <v>20190303155018337</v>
      </c>
      <c r="B8636" t="str">
        <f>"1551599418329406"</f>
        <v>1551599418329406</v>
      </c>
      <c r="C8636" t="s">
        <v>40</v>
      </c>
      <c r="D8636">
        <v>5.4579129999999996</v>
      </c>
      <c r="E8636">
        <v>0.64961930000000001</v>
      </c>
      <c r="F8636" t="s">
        <v>41</v>
      </c>
      <c r="G8636">
        <v>-106.14019999999999</v>
      </c>
      <c r="H8636" s="1">
        <v>-3.4830259999999998E-6</v>
      </c>
      <c r="I8636">
        <v>145.98480000000001</v>
      </c>
      <c r="J8636">
        <v>-185.06100000000001</v>
      </c>
      <c r="K8636">
        <v>1.116792</v>
      </c>
      <c r="L8636">
        <v>127.7546</v>
      </c>
      <c r="M8636">
        <v>0.44116119999999998</v>
      </c>
      <c r="N8636">
        <v>-2.0101569999999999E-2</v>
      </c>
      <c r="O8636">
        <v>0.89720270000000002</v>
      </c>
      <c r="P8636">
        <v>0.81906140000000005</v>
      </c>
      <c r="Q8636">
        <v>-9.5643069999999997E-2</v>
      </c>
      <c r="R8636">
        <v>0.56567730000000005</v>
      </c>
      <c r="S8636">
        <v>3.1577760000000001</v>
      </c>
      <c r="T8636">
        <v>-4.4656399999999999E-2</v>
      </c>
      <c r="U8636">
        <v>0.73249819999999999</v>
      </c>
      <c r="V8636">
        <v>0.4844656</v>
      </c>
      <c r="W8636">
        <v>-8.3793899999999893E-2</v>
      </c>
      <c r="X8636">
        <v>0.87078789999999995</v>
      </c>
      <c r="Y8636">
        <v>0.77430019999999999</v>
      </c>
      <c r="Z8636">
        <v>-1.4136439999999999E-3</v>
      </c>
      <c r="AA8636">
        <v>0.63281699999999996</v>
      </c>
      <c r="AB8636">
        <v>20</v>
      </c>
      <c r="AC8636">
        <v>78.9207999999999</v>
      </c>
      <c r="AD8636">
        <v>-1.1167954830260001</v>
      </c>
      <c r="AE8636">
        <v>18.2302</v>
      </c>
      <c r="AF8636">
        <v>62.766251853465697</v>
      </c>
      <c r="AG8636">
        <v>-1.1167954830260001</v>
      </c>
      <c r="AH8636">
        <v>51.173594165075897</v>
      </c>
      <c r="AI8636">
        <v>90.790081364502399</v>
      </c>
      <c r="AJ8636">
        <v>39.1905084619872</v>
      </c>
      <c r="AK8636">
        <v>80.991273256169293</v>
      </c>
      <c r="AL8636">
        <v>94.806673228867098</v>
      </c>
      <c r="AM8636">
        <v>60.910486502997898</v>
      </c>
      <c r="AN8636">
        <v>0.99999995102348804</v>
      </c>
    </row>
    <row r="8637" spans="1:40" x14ac:dyDescent="0.25">
      <c r="A8637" t="str">
        <f>"20190303155018349"</f>
        <v>20190303155018349</v>
      </c>
      <c r="B8637" t="str">
        <f>"1551599418339167"</f>
        <v>1551599418339167</v>
      </c>
      <c r="C8637" t="s">
        <v>40</v>
      </c>
      <c r="D8637">
        <v>5.4707129999999999</v>
      </c>
      <c r="E8637">
        <v>0.64852710000000002</v>
      </c>
      <c r="F8637" t="s">
        <v>41</v>
      </c>
      <c r="G8637">
        <v>-125.80240000000001</v>
      </c>
      <c r="H8637" s="1">
        <v>-2.2593449999999999E-6</v>
      </c>
      <c r="I8637">
        <v>141.40629999999999</v>
      </c>
      <c r="J8637">
        <v>-185.01259999999999</v>
      </c>
      <c r="K8637">
        <v>1.1168119999999999</v>
      </c>
      <c r="L8637">
        <v>127.8411</v>
      </c>
      <c r="M8637">
        <v>0.44511590000000001</v>
      </c>
      <c r="N8637">
        <v>-2.0042069999999999E-2</v>
      </c>
      <c r="O8637">
        <v>0.89524869999999901</v>
      </c>
      <c r="P8637">
        <v>0.821557599999999</v>
      </c>
      <c r="Q8637">
        <v>-9.6573019999999996E-2</v>
      </c>
      <c r="R8637">
        <v>0.56188680000000002</v>
      </c>
      <c r="S8637">
        <v>3.1539609999999998</v>
      </c>
      <c r="T8637">
        <v>-5.9439899999999997E-2</v>
      </c>
      <c r="U8637">
        <v>0.72659300000000004</v>
      </c>
      <c r="V8637">
        <v>0.48454449999999999</v>
      </c>
      <c r="W8637">
        <v>-8.4742769999999995E-2</v>
      </c>
      <c r="X8637">
        <v>0.87065230000000005</v>
      </c>
      <c r="Y8637">
        <v>0.77242449999999996</v>
      </c>
      <c r="Z8637">
        <v>-6.5765340000000002E-3</v>
      </c>
      <c r="AA8637">
        <v>0.63507259999999999</v>
      </c>
      <c r="AB8637">
        <v>20</v>
      </c>
      <c r="AC8637">
        <v>59.210199999999901</v>
      </c>
      <c r="AD8637">
        <v>-1.1168142593449999</v>
      </c>
      <c r="AE8637">
        <v>13.5651999999999</v>
      </c>
      <c r="AF8637">
        <v>46.963327873033698</v>
      </c>
      <c r="AG8637">
        <v>-1.1168142593449999</v>
      </c>
      <c r="AH8637">
        <v>38.494350056317103</v>
      </c>
      <c r="AI8637">
        <v>91.053649858968697</v>
      </c>
      <c r="AJ8637">
        <v>39.340386087517601</v>
      </c>
      <c r="AK8637">
        <v>60.733980811883399</v>
      </c>
      <c r="AL8637">
        <v>94.861232973089599</v>
      </c>
      <c r="AM8637">
        <v>60.902730949669802</v>
      </c>
      <c r="AN8637">
        <v>1.0000000685214001</v>
      </c>
    </row>
    <row r="8638" spans="1:40" x14ac:dyDescent="0.25">
      <c r="A8638" t="str">
        <f>"20190303155018362"</f>
        <v>20190303155018362</v>
      </c>
      <c r="B8638" t="str">
        <f>"1551599418358687"</f>
        <v>1551599418358687</v>
      </c>
      <c r="C8638" t="s">
        <v>40</v>
      </c>
      <c r="D8638">
        <v>5.5953679999999997</v>
      </c>
      <c r="E8638">
        <v>0.64605190000000001</v>
      </c>
      <c r="F8638" t="s">
        <v>41</v>
      </c>
      <c r="G8638">
        <v>-137.84190000000001</v>
      </c>
      <c r="H8638" s="1">
        <v>-1.088705E-6</v>
      </c>
      <c r="I8638">
        <v>138.59809999999999</v>
      </c>
      <c r="J8638">
        <v>-184.95500000000001</v>
      </c>
      <c r="K8638">
        <v>1.116832</v>
      </c>
      <c r="L8638">
        <v>127.94329999999999</v>
      </c>
      <c r="M8638">
        <v>0.44978370000000001</v>
      </c>
      <c r="N8638">
        <v>-1.9960729999999999E-2</v>
      </c>
      <c r="O8638">
        <v>0.89291450000000006</v>
      </c>
      <c r="P8638">
        <v>0.82454699999999903</v>
      </c>
      <c r="Q8638">
        <v>-9.7588530000000007E-2</v>
      </c>
      <c r="R8638">
        <v>0.55731399999999998</v>
      </c>
      <c r="S8638">
        <v>3.1513209999999998</v>
      </c>
      <c r="T8638">
        <v>-7.4610709999999997E-2</v>
      </c>
      <c r="U8638">
        <v>0.71864319999999904</v>
      </c>
      <c r="V8638">
        <v>0.48472330000000002</v>
      </c>
      <c r="W8638">
        <v>-8.5796360000000002E-2</v>
      </c>
      <c r="X8638">
        <v>0.87044949999999999</v>
      </c>
      <c r="Y8638">
        <v>0.77044569999999901</v>
      </c>
      <c r="Z8638">
        <v>-1.189893E-2</v>
      </c>
      <c r="AA8638">
        <v>0.63739469999999898</v>
      </c>
      <c r="AB8638">
        <v>20</v>
      </c>
      <c r="AC8638">
        <v>47.113100000000003</v>
      </c>
      <c r="AD8638">
        <v>-1.116833088705</v>
      </c>
      <c r="AE8638">
        <v>10.6547999999999</v>
      </c>
      <c r="AF8638">
        <v>37.263119844563697</v>
      </c>
      <c r="AG8638">
        <v>-1.116833088705</v>
      </c>
      <c r="AH8638">
        <v>30.694237583473999</v>
      </c>
      <c r="AI8638">
        <v>91.325233685629996</v>
      </c>
      <c r="AJ8638">
        <v>39.478838365925597</v>
      </c>
      <c r="AK8638">
        <v>48.289995211524797</v>
      </c>
      <c r="AL8638">
        <v>94.921820171056595</v>
      </c>
      <c r="AM8638">
        <v>60.888074792823097</v>
      </c>
      <c r="AN8638">
        <v>1.0000000125011901</v>
      </c>
    </row>
    <row r="8639" spans="1:40" x14ac:dyDescent="0.25">
      <c r="A8639" t="str">
        <f>"20190303155018371"</f>
        <v>20190303155018371</v>
      </c>
      <c r="B8639" t="str">
        <f>"1551599418369423"</f>
        <v>1551599418369423</v>
      </c>
      <c r="C8639" t="s">
        <v>40</v>
      </c>
      <c r="D8639">
        <v>5.6169750000000001</v>
      </c>
      <c r="E8639">
        <v>0.64462169999999996</v>
      </c>
      <c r="F8639" t="s">
        <v>41</v>
      </c>
      <c r="G8639">
        <v>-150.81440000000001</v>
      </c>
      <c r="H8639" s="1">
        <v>-4.6126809999999996E-6</v>
      </c>
      <c r="I8639">
        <v>135.7276</v>
      </c>
      <c r="J8639">
        <v>-184.90969999999999</v>
      </c>
      <c r="K8639">
        <v>1.116835</v>
      </c>
      <c r="L8639">
        <v>128.02250000000001</v>
      </c>
      <c r="M8639">
        <v>0.45340970000000003</v>
      </c>
      <c r="N8639">
        <v>-1.9870639999999998E-2</v>
      </c>
      <c r="O8639">
        <v>0.89108069999999895</v>
      </c>
      <c r="P8639">
        <v>0.82677730000000005</v>
      </c>
      <c r="Q8639">
        <v>-9.8634529999999998E-2</v>
      </c>
      <c r="R8639">
        <v>0.55381459999999905</v>
      </c>
      <c r="S8639">
        <v>3.1419679999999999</v>
      </c>
      <c r="T8639">
        <v>-0.1027825</v>
      </c>
      <c r="U8639">
        <v>0.71638489999999999</v>
      </c>
      <c r="V8639">
        <v>0.48475489999999999</v>
      </c>
      <c r="W8639">
        <v>-8.6901690000000004E-2</v>
      </c>
      <c r="X8639">
        <v>0.87032229999999999</v>
      </c>
      <c r="Y8639">
        <v>0.76767289999999999</v>
      </c>
      <c r="Z8639">
        <v>-2.1693529999999999E-2</v>
      </c>
      <c r="AA8639">
        <v>0.64047469999999995</v>
      </c>
      <c r="AB8639">
        <v>20</v>
      </c>
      <c r="AC8639">
        <v>34.095299999999902</v>
      </c>
      <c r="AD8639">
        <v>-1.1168396126809901</v>
      </c>
      <c r="AE8639">
        <v>7.7050999999999803</v>
      </c>
      <c r="AF8639">
        <v>26.865980329109501</v>
      </c>
      <c r="AG8639">
        <v>-1.1168396126809901</v>
      </c>
      <c r="AH8639">
        <v>22.306642562819601</v>
      </c>
      <c r="AI8639">
        <v>91.8318848377222</v>
      </c>
      <c r="AJ8639">
        <v>39.7026207533454</v>
      </c>
      <c r="AK8639">
        <v>34.937294288338201</v>
      </c>
      <c r="AL8639">
        <v>94.985388103932294</v>
      </c>
      <c r="AM8639">
        <v>60.882927750414296</v>
      </c>
      <c r="AN8639">
        <v>1.00000006133807</v>
      </c>
    </row>
    <row r="8640" spans="1:40" x14ac:dyDescent="0.25">
      <c r="A8640" t="str">
        <f>"20190303155018382"</f>
        <v>20190303155018382</v>
      </c>
      <c r="B8640" t="str">
        <f>"1551599418379183"</f>
        <v>1551599418379183</v>
      </c>
      <c r="C8640" t="s">
        <v>40</v>
      </c>
      <c r="D8640">
        <v>5.6014330000000001</v>
      </c>
      <c r="E8640">
        <v>0.64330180000000003</v>
      </c>
      <c r="F8640" t="s">
        <v>41</v>
      </c>
      <c r="G8640">
        <v>-155.42529999999999</v>
      </c>
      <c r="H8640" s="1">
        <v>-2.8470949999999999E-6</v>
      </c>
      <c r="I8640">
        <v>134.71440000000001</v>
      </c>
      <c r="J8640">
        <v>-184.86529999999999</v>
      </c>
      <c r="K8640">
        <v>1.1168340000000001</v>
      </c>
      <c r="L8640">
        <v>128.1</v>
      </c>
      <c r="M8640">
        <v>0.45695249999999998</v>
      </c>
      <c r="N8640">
        <v>-1.977864E-2</v>
      </c>
      <c r="O8640">
        <v>0.88927119999999904</v>
      </c>
      <c r="P8640">
        <v>0.82899230000000002</v>
      </c>
      <c r="Q8640">
        <v>-9.8856609999999998E-2</v>
      </c>
      <c r="R8640">
        <v>0.55045350000000004</v>
      </c>
      <c r="S8640">
        <v>3.137375</v>
      </c>
      <c r="T8640">
        <v>-0.1188401</v>
      </c>
      <c r="U8640">
        <v>0.71206669999999905</v>
      </c>
      <c r="V8640">
        <v>0.48480200000000001</v>
      </c>
      <c r="W8640">
        <v>-8.7184200000000003E-2</v>
      </c>
      <c r="X8640">
        <v>0.87026769999999998</v>
      </c>
      <c r="Y8640">
        <v>0.76559630000000001</v>
      </c>
      <c r="Z8640">
        <v>-2.7330360000000001E-2</v>
      </c>
      <c r="AA8640">
        <v>0.64274039999999999</v>
      </c>
      <c r="AB8640">
        <v>20</v>
      </c>
      <c r="AC8640">
        <v>29.44</v>
      </c>
      <c r="AD8640">
        <v>-1.1168368470950001</v>
      </c>
      <c r="AE8640">
        <v>6.6144000000000096</v>
      </c>
      <c r="AF8640">
        <v>23.130519320374699</v>
      </c>
      <c r="AG8640">
        <v>-1.1168368470950001</v>
      </c>
      <c r="AH8640">
        <v>19.312002261656001</v>
      </c>
      <c r="AI8640">
        <v>92.122642343392698</v>
      </c>
      <c r="AJ8640">
        <v>39.858989531668499</v>
      </c>
      <c r="AK8640">
        <v>30.153302968787099</v>
      </c>
      <c r="AL8640">
        <v>95.001636877156699</v>
      </c>
      <c r="AM8640">
        <v>60.879033080873697</v>
      </c>
      <c r="AN8640">
        <v>0.99999996679846404</v>
      </c>
    </row>
    <row r="8641" spans="1:40" x14ac:dyDescent="0.25">
      <c r="A8641" t="str">
        <f>"20190303155018393"</f>
        <v>20190303155018393</v>
      </c>
      <c r="B8641" t="str">
        <f>"1551599418388942"</f>
        <v>1551599418388942</v>
      </c>
      <c r="C8641" t="s">
        <v>40</v>
      </c>
      <c r="D8641">
        <v>5.6099100000000002</v>
      </c>
      <c r="E8641">
        <v>0.64209539999999998</v>
      </c>
      <c r="F8641" t="s">
        <v>41</v>
      </c>
      <c r="G8641">
        <v>-157.81</v>
      </c>
      <c r="H8641" s="1">
        <v>-2.1697650000000001E-6</v>
      </c>
      <c r="I8641">
        <v>134.21010000000001</v>
      </c>
      <c r="J8641">
        <v>-184.81219999999999</v>
      </c>
      <c r="K8641">
        <v>1.116822</v>
      </c>
      <c r="L8641">
        <v>128.19110000000001</v>
      </c>
      <c r="M8641">
        <v>0.46112969999999998</v>
      </c>
      <c r="N8641">
        <v>-1.9644229999999999E-2</v>
      </c>
      <c r="O8641">
        <v>0.88711530000000005</v>
      </c>
      <c r="P8641">
        <v>0.8314106</v>
      </c>
      <c r="Q8641">
        <v>-9.9366599999999999E-2</v>
      </c>
      <c r="R8641">
        <v>0.54670169999999996</v>
      </c>
      <c r="S8641">
        <v>3.1335449999999998</v>
      </c>
      <c r="T8641">
        <v>-0.12935160000000001</v>
      </c>
      <c r="U8641">
        <v>0.70767209999999903</v>
      </c>
      <c r="V8641">
        <v>0.48458590000000001</v>
      </c>
      <c r="W8641">
        <v>-8.7786719999999999E-2</v>
      </c>
      <c r="X8641">
        <v>0.87032749999999903</v>
      </c>
      <c r="Y8641">
        <v>0.76313379999999997</v>
      </c>
      <c r="Z8641">
        <v>-3.1092129999999999E-2</v>
      </c>
      <c r="AA8641">
        <v>0.64549219999999996</v>
      </c>
      <c r="AB8641">
        <v>19</v>
      </c>
      <c r="AC8641">
        <v>27.002199999999899</v>
      </c>
      <c r="AD8641">
        <v>-1.1168241697650001</v>
      </c>
      <c r="AE8641">
        <v>6.0190000000000001</v>
      </c>
      <c r="AF8641">
        <v>21.148146668961001</v>
      </c>
      <c r="AG8641">
        <v>-1.1168241697650001</v>
      </c>
      <c r="AH8641">
        <v>17.7655439217672</v>
      </c>
      <c r="AI8641">
        <v>92.315521775345999</v>
      </c>
      <c r="AJ8641">
        <v>40.032007663820302</v>
      </c>
      <c r="AK8641">
        <v>27.642466507066601</v>
      </c>
      <c r="AL8641">
        <v>95.036291538683201</v>
      </c>
      <c r="AM8641">
        <v>60.8915653947031</v>
      </c>
      <c r="AN8641">
        <v>0.99999997997170897</v>
      </c>
    </row>
    <row r="8642" spans="1:40" x14ac:dyDescent="0.25">
      <c r="A8642" t="str">
        <f>"20190303155018405"</f>
        <v>20190303155018405</v>
      </c>
      <c r="B8642" t="str">
        <f>"1551599418398703"</f>
        <v>1551599418398703</v>
      </c>
      <c r="C8642" t="s">
        <v>40</v>
      </c>
      <c r="D8642">
        <v>5.5571760000000001</v>
      </c>
      <c r="E8642">
        <v>0.64148400000000005</v>
      </c>
      <c r="F8642" t="s">
        <v>41</v>
      </c>
      <c r="G8642">
        <v>-159.93170000000001</v>
      </c>
      <c r="H8642" s="1">
        <v>-1.5662609999999999E-6</v>
      </c>
      <c r="I8642">
        <v>133.7646</v>
      </c>
      <c r="J8642">
        <v>-184.7621</v>
      </c>
      <c r="K8642">
        <v>1.1168169999999999</v>
      </c>
      <c r="L8642">
        <v>128.2765</v>
      </c>
      <c r="M8642">
        <v>0.4650456</v>
      </c>
      <c r="N8642">
        <v>-1.9510300000000001E-2</v>
      </c>
      <c r="O8642">
        <v>0.88507169999999902</v>
      </c>
      <c r="P8642">
        <v>0.83371139999999999</v>
      </c>
      <c r="Q8642">
        <v>-9.9352570000000001E-2</v>
      </c>
      <c r="R8642">
        <v>0.54318919999999904</v>
      </c>
      <c r="S8642">
        <v>3.130417</v>
      </c>
      <c r="T8642">
        <v>-0.14051640000000001</v>
      </c>
      <c r="U8642">
        <v>0.70124819999999999</v>
      </c>
      <c r="V8642">
        <v>0.48441699999999999</v>
      </c>
      <c r="W8642">
        <v>-8.7865579999999999E-2</v>
      </c>
      <c r="X8642">
        <v>0.87041360000000001</v>
      </c>
      <c r="Y8642">
        <v>0.76125330000000002</v>
      </c>
      <c r="Z8642">
        <v>-3.5084560000000001E-2</v>
      </c>
      <c r="AA8642">
        <v>0.64750479999999999</v>
      </c>
      <c r="AB8642">
        <v>19</v>
      </c>
      <c r="AC8642">
        <v>24.830400000000001</v>
      </c>
      <c r="AD8642">
        <v>-1.116818566261</v>
      </c>
      <c r="AE8642">
        <v>5.4881000000000002</v>
      </c>
      <c r="AF8642">
        <v>19.390765228483801</v>
      </c>
      <c r="AG8642">
        <v>-1.116818566261</v>
      </c>
      <c r="AH8642">
        <v>16.3761674672431</v>
      </c>
      <c r="AI8642">
        <v>92.519540598757501</v>
      </c>
      <c r="AJ8642">
        <v>40.182241038374798</v>
      </c>
      <c r="AK8642">
        <v>25.405273483497801</v>
      </c>
      <c r="AL8642">
        <v>95.0408272467335</v>
      </c>
      <c r="AM8642">
        <v>60.9024623739978</v>
      </c>
      <c r="AN8642">
        <v>1.00000001255134</v>
      </c>
    </row>
    <row r="8643" spans="1:40" x14ac:dyDescent="0.25">
      <c r="A8643" t="str">
        <f>"20190303155018416"</f>
        <v>20190303155018416</v>
      </c>
      <c r="B8643" t="str">
        <f>"1551599418409438"</f>
        <v>1551599418409438</v>
      </c>
      <c r="C8643" t="s">
        <v>40</v>
      </c>
      <c r="D8643">
        <v>5.5236140000000002</v>
      </c>
      <c r="E8643">
        <v>0.64105900000000005</v>
      </c>
      <c r="F8643" t="s">
        <v>41</v>
      </c>
      <c r="G8643">
        <v>-160.67439999999999</v>
      </c>
      <c r="H8643" s="1">
        <v>-5.4556790000000002E-6</v>
      </c>
      <c r="I8643">
        <v>133.60149999999999</v>
      </c>
      <c r="J8643">
        <v>-184.7139</v>
      </c>
      <c r="K8643">
        <v>1.116814</v>
      </c>
      <c r="L8643">
        <v>128.35769999999999</v>
      </c>
      <c r="M8643">
        <v>0.46877400000000002</v>
      </c>
      <c r="N8643">
        <v>-1.9372299999999999E-2</v>
      </c>
      <c r="O8643">
        <v>0.88310569999999899</v>
      </c>
      <c r="P8643">
        <v>0.83590949999999997</v>
      </c>
      <c r="Q8643">
        <v>-9.8822999999999994E-2</v>
      </c>
      <c r="R8643">
        <v>0.53989750000000003</v>
      </c>
      <c r="S8643">
        <v>3.1302189999999999</v>
      </c>
      <c r="T8643">
        <v>-0.14513229999999999</v>
      </c>
      <c r="U8643">
        <v>0.69198609999999905</v>
      </c>
      <c r="V8643">
        <v>0.4842439</v>
      </c>
      <c r="W8643">
        <v>-8.7431789999999995E-2</v>
      </c>
      <c r="X8643">
        <v>0.87055360000000004</v>
      </c>
      <c r="Y8643">
        <v>0.76027089999999997</v>
      </c>
      <c r="Z8643">
        <v>-3.6824370000000002E-2</v>
      </c>
      <c r="AA8643">
        <v>0.64856150000000001</v>
      </c>
      <c r="AB8643">
        <v>19</v>
      </c>
      <c r="AC8643">
        <v>24.0395</v>
      </c>
      <c r="AD8643">
        <v>-1.1168194556790001</v>
      </c>
      <c r="AE8643">
        <v>5.2437999999999896</v>
      </c>
      <c r="AF8643">
        <v>18.736183552001499</v>
      </c>
      <c r="AG8643">
        <v>-1.1168194556790001</v>
      </c>
      <c r="AH8643">
        <v>15.870209241465201</v>
      </c>
      <c r="AI8643">
        <v>92.604238888152395</v>
      </c>
      <c r="AJ8643">
        <v>40.265777606261899</v>
      </c>
      <c r="AK8643">
        <v>24.579572843293299</v>
      </c>
      <c r="AL8643">
        <v>95.015876842748796</v>
      </c>
      <c r="AM8643">
        <v>60.915077670158198</v>
      </c>
      <c r="AN8643">
        <v>1.00000002153138</v>
      </c>
    </row>
    <row r="8644" spans="1:40" x14ac:dyDescent="0.25">
      <c r="A8644" t="str">
        <f>"20190303155018438"</f>
        <v>20190303155018438</v>
      </c>
      <c r="B8644" t="str">
        <f>"1551599418428957"</f>
        <v>1551599418428957</v>
      </c>
      <c r="C8644" t="s">
        <v>40</v>
      </c>
      <c r="D8644">
        <v>5.5417880000000004</v>
      </c>
      <c r="E8644">
        <v>0.64021909999999904</v>
      </c>
      <c r="F8644" t="s">
        <v>41</v>
      </c>
      <c r="G8644">
        <v>-161.23140000000001</v>
      </c>
      <c r="H8644" s="1">
        <v>-5.2150850000000001E-6</v>
      </c>
      <c r="I8644">
        <v>133.4735</v>
      </c>
      <c r="J8644">
        <v>-184.61269999999999</v>
      </c>
      <c r="K8644">
        <v>1.1168149999999999</v>
      </c>
      <c r="L8644">
        <v>128.52590000000001</v>
      </c>
      <c r="M8644">
        <v>0.47650799999999999</v>
      </c>
      <c r="N8644">
        <v>-1.9066530000000002E-2</v>
      </c>
      <c r="O8644">
        <v>0.87896339999999995</v>
      </c>
      <c r="P8644">
        <v>0.840637999999999</v>
      </c>
      <c r="Q8644">
        <v>-9.7210299999999999E-2</v>
      </c>
      <c r="R8644">
        <v>0.532802</v>
      </c>
      <c r="S8644">
        <v>3.1307830000000001</v>
      </c>
      <c r="T8644">
        <v>-0.14889910000000001</v>
      </c>
      <c r="U8644">
        <v>0.68205260000000001</v>
      </c>
      <c r="V8644">
        <v>0.4841628</v>
      </c>
      <c r="W8644">
        <v>-8.6036290000000001E-2</v>
      </c>
      <c r="X8644">
        <v>0.87073769999999995</v>
      </c>
      <c r="Y8644">
        <v>0.75649519999999904</v>
      </c>
      <c r="Z8644">
        <v>-3.8353600000000002E-2</v>
      </c>
      <c r="AA8644">
        <v>0.65287359999999905</v>
      </c>
      <c r="AB8644">
        <v>19</v>
      </c>
      <c r="AC8644">
        <v>23.3812999999999</v>
      </c>
      <c r="AD8644">
        <v>-1.116820215085</v>
      </c>
      <c r="AE8644">
        <v>4.9475999999999898</v>
      </c>
      <c r="AF8644">
        <v>18.157391816713801</v>
      </c>
      <c r="AG8644">
        <v>-1.116820215085</v>
      </c>
      <c r="AH8644">
        <v>15.4591924335003</v>
      </c>
      <c r="AI8644">
        <v>92.681363292831904</v>
      </c>
      <c r="AJ8644">
        <v>40.411052777041</v>
      </c>
      <c r="AK8644">
        <v>23.8730977393903</v>
      </c>
      <c r="AL8644">
        <v>94.935618223529602</v>
      </c>
      <c r="AM8644">
        <v>60.924300122625802</v>
      </c>
      <c r="AN8644">
        <v>1.0000000011510399</v>
      </c>
    </row>
    <row r="8645" spans="1:40" x14ac:dyDescent="0.25">
      <c r="A8645" t="str">
        <f>"20190303155018452"</f>
        <v>20190303155018452</v>
      </c>
      <c r="B8645" t="str">
        <f>"1551599418439695"</f>
        <v>1551599418439695</v>
      </c>
      <c r="C8645" t="s">
        <v>40</v>
      </c>
      <c r="D8645">
        <v>5.5582859999999998</v>
      </c>
      <c r="E8645">
        <v>0.63978950000000001</v>
      </c>
      <c r="F8645" t="s">
        <v>41</v>
      </c>
      <c r="G8645">
        <v>-161.67080000000001</v>
      </c>
      <c r="H8645" s="1">
        <v>-5.0269479999999997E-6</v>
      </c>
      <c r="I8645">
        <v>133.36320000000001</v>
      </c>
      <c r="J8645">
        <v>-184.5504</v>
      </c>
      <c r="K8645">
        <v>1.1168100000000001</v>
      </c>
      <c r="L8645">
        <v>128.6276</v>
      </c>
      <c r="M8645">
        <v>0.48120689999999999</v>
      </c>
      <c r="N8645">
        <v>-1.8857559999999999E-2</v>
      </c>
      <c r="O8645">
        <v>0.87640419999999997</v>
      </c>
      <c r="P8645">
        <v>0.84342680000000003</v>
      </c>
      <c r="Q8645">
        <v>-9.6001589999999998E-2</v>
      </c>
      <c r="R8645">
        <v>0.52859719999999999</v>
      </c>
      <c r="S8645">
        <v>3.1324770000000002</v>
      </c>
      <c r="T8645">
        <v>-0.15248999999999999</v>
      </c>
      <c r="U8645">
        <v>0.66047670000000003</v>
      </c>
      <c r="V8645">
        <v>0.48398960000000002</v>
      </c>
      <c r="W8645">
        <v>-8.4978300000000007E-2</v>
      </c>
      <c r="X8645">
        <v>0.87093790000000004</v>
      </c>
      <c r="Y8645">
        <v>0.75730980000000003</v>
      </c>
      <c r="Z8645">
        <v>-3.9859449999999998E-2</v>
      </c>
      <c r="AA8645">
        <v>0.65183819999999904</v>
      </c>
      <c r="AB8645">
        <v>19</v>
      </c>
      <c r="AC8645">
        <v>22.8795999999999</v>
      </c>
      <c r="AD8645">
        <v>-1.1168150269479999</v>
      </c>
      <c r="AE8645">
        <v>4.7355999999999998</v>
      </c>
      <c r="AF8645">
        <v>17.7356127029189</v>
      </c>
      <c r="AG8645">
        <v>-1.1168150269479999</v>
      </c>
      <c r="AH8645">
        <v>15.1282522887662</v>
      </c>
      <c r="AI8645">
        <v>92.742873249245307</v>
      </c>
      <c r="AJ8645">
        <v>40.463757027517602</v>
      </c>
      <c r="AK8645">
        <v>23.338021575637399</v>
      </c>
      <c r="AL8645">
        <v>94.874776865266398</v>
      </c>
      <c r="AM8645">
        <v>60.938599196968298</v>
      </c>
      <c r="AN8645">
        <v>1.0000000350177201</v>
      </c>
    </row>
    <row r="8646" spans="1:40" x14ac:dyDescent="0.25">
      <c r="A8646" t="str">
        <f>"20190303155018464"</f>
        <v>20190303155018464</v>
      </c>
      <c r="B8646" t="str">
        <f>"1551599418459214"</f>
        <v>1551599418459214</v>
      </c>
      <c r="C8646" t="s">
        <v>40</v>
      </c>
      <c r="D8646">
        <v>5.5588490000000004</v>
      </c>
      <c r="E8646">
        <v>0.63891690000000001</v>
      </c>
      <c r="F8646" t="s">
        <v>41</v>
      </c>
      <c r="G8646">
        <v>-161.66210000000001</v>
      </c>
      <c r="H8646" s="1">
        <v>-5.0324310000000001E-6</v>
      </c>
      <c r="I8646">
        <v>133.35550000000001</v>
      </c>
      <c r="J8646">
        <v>-184.49440000000001</v>
      </c>
      <c r="K8646">
        <v>1.1168020000000001</v>
      </c>
      <c r="L8646">
        <v>128.7182</v>
      </c>
      <c r="M8646">
        <v>0.48539939999999998</v>
      </c>
      <c r="N8646">
        <v>-1.8660860000000001E-2</v>
      </c>
      <c r="O8646">
        <v>0.87409340000000002</v>
      </c>
      <c r="P8646">
        <v>0.84586909999999904</v>
      </c>
      <c r="Q8646">
        <v>-9.5165949999999999E-2</v>
      </c>
      <c r="R8646">
        <v>0.52483259999999998</v>
      </c>
      <c r="S8646">
        <v>3.1338200000000001</v>
      </c>
      <c r="T8646">
        <v>-0.15291189999999999</v>
      </c>
      <c r="U8646">
        <v>0.64733890000000005</v>
      </c>
      <c r="V8646">
        <v>0.48379529999999898</v>
      </c>
      <c r="W8646">
        <v>-8.4287989999999993E-2</v>
      </c>
      <c r="X8646">
        <v>0.87111289999999997</v>
      </c>
      <c r="Y8646">
        <v>0.75685089999999999</v>
      </c>
      <c r="Z8646">
        <v>-4.0201809999999998E-2</v>
      </c>
      <c r="AA8646">
        <v>0.65234999999999999</v>
      </c>
      <c r="AB8646">
        <v>19</v>
      </c>
      <c r="AC8646">
        <v>22.8323</v>
      </c>
      <c r="AD8646">
        <v>-1.116807032431</v>
      </c>
      <c r="AE8646">
        <v>4.6372999999999998</v>
      </c>
      <c r="AF8646">
        <v>17.669104109343898</v>
      </c>
      <c r="AG8646">
        <v>-1.116807032431</v>
      </c>
      <c r="AH8646">
        <v>15.104148106787701</v>
      </c>
      <c r="AI8646">
        <v>92.750656668830004</v>
      </c>
      <c r="AJ8646">
        <v>40.524942268921798</v>
      </c>
      <c r="AK8646">
        <v>23.271866878407</v>
      </c>
      <c r="AL8646">
        <v>94.835082668066207</v>
      </c>
      <c r="AM8646">
        <v>60.953252783684803</v>
      </c>
      <c r="AN8646">
        <v>1.0000000210533699</v>
      </c>
    </row>
    <row r="8647" spans="1:40" x14ac:dyDescent="0.25">
      <c r="A8647" t="str">
        <f>"20190303155018474"</f>
        <v>20190303155018474</v>
      </c>
      <c r="B8647" t="str">
        <f>"1551599418468974"</f>
        <v>1551599418468974</v>
      </c>
      <c r="C8647" t="s">
        <v>40</v>
      </c>
      <c r="D8647">
        <v>5.5193450000000004</v>
      </c>
      <c r="E8647">
        <v>0.63870300000000002</v>
      </c>
      <c r="F8647" t="s">
        <v>41</v>
      </c>
      <c r="G8647">
        <v>-162.32599999999999</v>
      </c>
      <c r="H8647" s="1">
        <v>-4.73893E-6</v>
      </c>
      <c r="I8647">
        <v>133.2407</v>
      </c>
      <c r="J8647">
        <v>-184.44130000000001</v>
      </c>
      <c r="K8647">
        <v>1.1167860000000001</v>
      </c>
      <c r="L8647">
        <v>128.80330000000001</v>
      </c>
      <c r="M8647">
        <v>0.48934490000000003</v>
      </c>
      <c r="N8647">
        <v>-1.846047E-2</v>
      </c>
      <c r="O8647">
        <v>0.87189499999999998</v>
      </c>
      <c r="P8647">
        <v>0.84795239999999905</v>
      </c>
      <c r="Q8647">
        <v>-9.4128749999999997E-2</v>
      </c>
      <c r="R8647">
        <v>0.52164820000000001</v>
      </c>
      <c r="S8647">
        <v>3.1324010000000002</v>
      </c>
      <c r="T8647">
        <v>-0.15780520000000001</v>
      </c>
      <c r="U8647">
        <v>0.6390228</v>
      </c>
      <c r="V8647">
        <v>0.48325010000000002</v>
      </c>
      <c r="W8647">
        <v>-8.3397509999999994E-2</v>
      </c>
      <c r="X8647">
        <v>0.87150110000000003</v>
      </c>
      <c r="Y8647">
        <v>0.75542149999999997</v>
      </c>
      <c r="Z8647">
        <v>-4.2068630000000003E-2</v>
      </c>
      <c r="AA8647">
        <v>0.65388729999999995</v>
      </c>
      <c r="AB8647">
        <v>19</v>
      </c>
      <c r="AC8647">
        <v>22.115300000000001</v>
      </c>
      <c r="AD8647">
        <v>-1.11679073893</v>
      </c>
      <c r="AE8647">
        <v>4.4373999999999896</v>
      </c>
      <c r="AF8647">
        <v>17.071865655372299</v>
      </c>
      <c r="AG8647">
        <v>-1.11679073893</v>
      </c>
      <c r="AH8647">
        <v>14.6575275969358</v>
      </c>
      <c r="AI8647">
        <v>92.841435402307198</v>
      </c>
      <c r="AJ8647">
        <v>40.648661551889603</v>
      </c>
      <c r="AK8647">
        <v>22.528624764165599</v>
      </c>
      <c r="AL8647">
        <v>94.783881812934993</v>
      </c>
      <c r="AM8647">
        <v>60.991493823396503</v>
      </c>
      <c r="AN8647">
        <v>0.99999998556270997</v>
      </c>
    </row>
    <row r="8648" spans="1:40" x14ac:dyDescent="0.25">
      <c r="A8648" t="str">
        <f>"20190303155018485"</f>
        <v>20190303155018485</v>
      </c>
      <c r="B8648" t="str">
        <f>"1551599418478734"</f>
        <v>1551599418478734</v>
      </c>
      <c r="C8648" t="s">
        <v>40</v>
      </c>
      <c r="D8648">
        <v>5.5267210000000002</v>
      </c>
      <c r="E8648">
        <v>0.6384495</v>
      </c>
      <c r="F8648" t="s">
        <v>41</v>
      </c>
      <c r="G8648">
        <v>-161.989</v>
      </c>
      <c r="H8648" s="1">
        <v>-4.8863689999999997E-6</v>
      </c>
      <c r="I8648">
        <v>133.30760000000001</v>
      </c>
      <c r="J8648">
        <v>-184.39490000000001</v>
      </c>
      <c r="K8648">
        <v>1.116765</v>
      </c>
      <c r="L8648">
        <v>128.87690000000001</v>
      </c>
      <c r="M8648">
        <v>0.49276419999999999</v>
      </c>
      <c r="N8648">
        <v>-1.8278349999999999E-2</v>
      </c>
      <c r="O8648">
        <v>0.86997089999999999</v>
      </c>
      <c r="P8648">
        <v>0.84968899999999903</v>
      </c>
      <c r="Q8648">
        <v>-9.3203889999999998E-2</v>
      </c>
      <c r="R8648">
        <v>0.51898149999999998</v>
      </c>
      <c r="S8648">
        <v>3.1338499999999998</v>
      </c>
      <c r="T8648">
        <v>-0.15588009999999999</v>
      </c>
      <c r="U8648">
        <v>0.62870789999999999</v>
      </c>
      <c r="V8648">
        <v>0.48266809999999899</v>
      </c>
      <c r="W8648">
        <v>-8.2608580000000001E-2</v>
      </c>
      <c r="X8648">
        <v>0.87189869999999903</v>
      </c>
      <c r="Y8648">
        <v>0.75500829999999997</v>
      </c>
      <c r="Z8648">
        <v>-4.157201E-2</v>
      </c>
      <c r="AA8648">
        <v>0.65439609999999904</v>
      </c>
      <c r="AB8648">
        <v>19</v>
      </c>
      <c r="AC8648">
        <v>22.405899999999999</v>
      </c>
      <c r="AD8648">
        <v>-1.1167698863689901</v>
      </c>
      <c r="AE8648">
        <v>4.4306999999999999</v>
      </c>
      <c r="AF8648">
        <v>17.270791622217601</v>
      </c>
      <c r="AG8648">
        <v>-1.1167698863689901</v>
      </c>
      <c r="AH8648">
        <v>14.862361215480499</v>
      </c>
      <c r="AI8648">
        <v>92.805977104251994</v>
      </c>
      <c r="AJ8648">
        <v>40.713605724206197</v>
      </c>
      <c r="AK8648">
        <v>22.812654364115101</v>
      </c>
      <c r="AL8648">
        <v>94.738522826636597</v>
      </c>
      <c r="AM8648">
        <v>61.031841836915497</v>
      </c>
      <c r="AN8648">
        <v>1.00000000765445</v>
      </c>
    </row>
    <row r="8649" spans="1:40" x14ac:dyDescent="0.25">
      <c r="A8649" t="str">
        <f>"20190303155018494"</f>
        <v>20190303155018494</v>
      </c>
      <c r="B8649" t="str">
        <f>"1551599418489471"</f>
        <v>1551599418489471</v>
      </c>
      <c r="C8649" t="s">
        <v>40</v>
      </c>
      <c r="D8649">
        <v>5.501417</v>
      </c>
      <c r="E8649">
        <v>0.63795999999999997</v>
      </c>
      <c r="F8649" t="s">
        <v>41</v>
      </c>
      <c r="G8649">
        <v>-161.67330000000001</v>
      </c>
      <c r="H8649" s="1">
        <v>-5.0236319999999997E-6</v>
      </c>
      <c r="I8649">
        <v>133.3751</v>
      </c>
      <c r="J8649">
        <v>-184.34899999999999</v>
      </c>
      <c r="K8649">
        <v>1.116736</v>
      </c>
      <c r="L8649">
        <v>128.94899999999899</v>
      </c>
      <c r="M8649">
        <v>0.49611909999999998</v>
      </c>
      <c r="N8649">
        <v>-1.8091179999999998E-2</v>
      </c>
      <c r="O8649">
        <v>0.868066</v>
      </c>
      <c r="P8649">
        <v>0.85124449999999996</v>
      </c>
      <c r="Q8649">
        <v>-9.2785919999999994E-2</v>
      </c>
      <c r="R8649">
        <v>0.51650119999999999</v>
      </c>
      <c r="S8649">
        <v>3.134735</v>
      </c>
      <c r="T8649">
        <v>-0.15407319999999999</v>
      </c>
      <c r="U8649">
        <v>0.62059019999999898</v>
      </c>
      <c r="V8649">
        <v>0.48189130000000002</v>
      </c>
      <c r="W8649">
        <v>-8.2331860000000007E-2</v>
      </c>
      <c r="X8649">
        <v>0.87235439999999997</v>
      </c>
      <c r="Y8649">
        <v>0.75417259999999997</v>
      </c>
      <c r="Z8649">
        <v>-4.1105410000000002E-2</v>
      </c>
      <c r="AA8649">
        <v>0.65538850000000004</v>
      </c>
      <c r="AB8649">
        <v>19</v>
      </c>
      <c r="AC8649">
        <v>22.675699999999999</v>
      </c>
      <c r="AD8649">
        <v>-1.1167410236319999</v>
      </c>
      <c r="AE8649">
        <v>4.4261000000000204</v>
      </c>
      <c r="AF8649">
        <v>17.450223270606401</v>
      </c>
      <c r="AG8649">
        <v>-1.1167410236319999</v>
      </c>
      <c r="AH8649">
        <v>15.059280610960901</v>
      </c>
      <c r="AI8649">
        <v>92.773760179162906</v>
      </c>
      <c r="AJ8649">
        <v>40.793699975857898</v>
      </c>
      <c r="AK8649">
        <v>23.076813801466201</v>
      </c>
      <c r="AL8649">
        <v>94.722613877130797</v>
      </c>
      <c r="AM8649">
        <v>61.083602108162303</v>
      </c>
      <c r="AN8649">
        <v>0.99999997969305399</v>
      </c>
    </row>
    <row r="8650" spans="1:40" x14ac:dyDescent="0.25">
      <c r="A8650" t="str">
        <f>"20190303155018526"</f>
        <v>20190303155018526</v>
      </c>
      <c r="B8650" t="str">
        <f>"1551599418518751"</f>
        <v>1551599418518751</v>
      </c>
      <c r="C8650" t="s">
        <v>40</v>
      </c>
      <c r="D8650">
        <v>5.4378380000000002</v>
      </c>
      <c r="E8650">
        <v>0.63795999999999997</v>
      </c>
      <c r="F8650" t="s">
        <v>41</v>
      </c>
      <c r="G8650">
        <v>-161.5419</v>
      </c>
      <c r="H8650" s="1">
        <v>-5.0771220000000002E-6</v>
      </c>
      <c r="I8650">
        <v>133.4238</v>
      </c>
      <c r="J8650">
        <v>-184.1994</v>
      </c>
      <c r="K8650">
        <v>1.1166430000000001</v>
      </c>
      <c r="L8650">
        <v>129.1799</v>
      </c>
      <c r="M8650">
        <v>0.50689910000000005</v>
      </c>
      <c r="N8650">
        <v>-1.748941E-2</v>
      </c>
      <c r="O8650">
        <v>0.86182789999999998</v>
      </c>
      <c r="P8650">
        <v>0.856917499999999</v>
      </c>
      <c r="Q8650">
        <v>-9.2517089999999996E-2</v>
      </c>
      <c r="R8650">
        <v>0.5070829</v>
      </c>
      <c r="S8650">
        <v>3.1344150000000002</v>
      </c>
      <c r="T8650">
        <v>-0.15347559999999999</v>
      </c>
      <c r="U8650">
        <v>0.61497500000000005</v>
      </c>
      <c r="V8650">
        <v>0.4806667</v>
      </c>
      <c r="W8650">
        <v>-8.2573099999999997E-2</v>
      </c>
      <c r="X8650">
        <v>0.87300699999999998</v>
      </c>
      <c r="Y8650">
        <v>0.74708450000000004</v>
      </c>
      <c r="Z8650">
        <v>-4.122638E-2</v>
      </c>
      <c r="AA8650">
        <v>0.66344950000000003</v>
      </c>
      <c r="AB8650">
        <v>19</v>
      </c>
      <c r="AC8650">
        <v>22.657499999999999</v>
      </c>
      <c r="AD8650">
        <v>-1.116648077122</v>
      </c>
      <c r="AE8650">
        <v>4.2438999999999902</v>
      </c>
      <c r="AF8650">
        <v>17.337611516970799</v>
      </c>
      <c r="AG8650">
        <v>-1.116648077122</v>
      </c>
      <c r="AH8650">
        <v>15.1094395969853</v>
      </c>
      <c r="AI8650">
        <v>92.779816798677501</v>
      </c>
      <c r="AJ8650">
        <v>41.071607993978198</v>
      </c>
      <c r="AK8650">
        <v>23.024657239066201</v>
      </c>
      <c r="AL8650">
        <v>94.736483003249305</v>
      </c>
      <c r="AM8650">
        <v>61.163371178442397</v>
      </c>
      <c r="AN8650">
        <v>1.00000000769075</v>
      </c>
    </row>
    <row r="8651" spans="1:40" x14ac:dyDescent="0.25">
      <c r="A8651" t="str">
        <f>"20190303155018549"</f>
        <v>20190303155018549</v>
      </c>
      <c r="B8651" t="str">
        <f>"1551599418539247"</f>
        <v>1551599418539247</v>
      </c>
      <c r="C8651" t="s">
        <v>40</v>
      </c>
      <c r="D8651">
        <v>5.259944</v>
      </c>
      <c r="E8651">
        <v>0.63734029999999997</v>
      </c>
      <c r="F8651" t="s">
        <v>41</v>
      </c>
      <c r="G8651">
        <v>-160.607</v>
      </c>
      <c r="H8651" s="1">
        <v>-5.4978699999999898E-6</v>
      </c>
      <c r="I8651">
        <v>133.54320000000001</v>
      </c>
      <c r="J8651">
        <v>-184.09309999999999</v>
      </c>
      <c r="K8651">
        <v>1.1165689999999999</v>
      </c>
      <c r="L8651">
        <v>129.34030000000001</v>
      </c>
      <c r="M8651">
        <v>0.51444809999999996</v>
      </c>
      <c r="N8651">
        <v>-1.710238E-2</v>
      </c>
      <c r="O8651">
        <v>0.85735090000000003</v>
      </c>
      <c r="P8651">
        <v>0.86138909999999902</v>
      </c>
      <c r="Q8651">
        <v>-9.2376059999999996E-2</v>
      </c>
      <c r="R8651">
        <v>0.49947520000000001</v>
      </c>
      <c r="S8651">
        <v>3.1410830000000001</v>
      </c>
      <c r="T8651">
        <v>-0.14866979999999999</v>
      </c>
      <c r="U8651">
        <v>0.58093260000000002</v>
      </c>
      <c r="V8651">
        <v>0.48073900000000003</v>
      </c>
      <c r="W8651">
        <v>-8.2803310000000005E-2</v>
      </c>
      <c r="X8651">
        <v>0.87294539999999998</v>
      </c>
      <c r="Y8651">
        <v>0.7485271</v>
      </c>
      <c r="Z8651">
        <v>-3.9959160000000001E-2</v>
      </c>
      <c r="AA8651">
        <v>0.66189909999999996</v>
      </c>
      <c r="AB8651">
        <v>19</v>
      </c>
      <c r="AC8651">
        <v>23.4861</v>
      </c>
      <c r="AD8651">
        <v>-1.1165744978700001</v>
      </c>
      <c r="AE8651">
        <v>4.2028999999999996</v>
      </c>
      <c r="AF8651">
        <v>17.9370012448232</v>
      </c>
      <c r="AG8651">
        <v>-1.1165744978700001</v>
      </c>
      <c r="AH8651">
        <v>15.653751573772</v>
      </c>
      <c r="AI8651">
        <v>92.685260929544</v>
      </c>
      <c r="AJ8651">
        <v>41.111440202714597</v>
      </c>
      <c r="AK8651">
        <v>23.833226609073499</v>
      </c>
      <c r="AL8651">
        <v>94.749718317554098</v>
      </c>
      <c r="AM8651">
        <v>61.158021709439701</v>
      </c>
      <c r="AN8651">
        <v>1.00000002282455</v>
      </c>
    </row>
    <row r="8652" spans="1:40" x14ac:dyDescent="0.25">
      <c r="A8652" t="str">
        <f>"20190303155018559"</f>
        <v>20190303155018559</v>
      </c>
      <c r="B8652" t="str">
        <f>"1551599418549008"</f>
        <v>1551599418549008</v>
      </c>
      <c r="C8652" t="s">
        <v>40</v>
      </c>
      <c r="D8652">
        <v>5.2816419999999997</v>
      </c>
      <c r="E8652">
        <v>0.63728219999999902</v>
      </c>
      <c r="F8652" t="s">
        <v>41</v>
      </c>
      <c r="G8652">
        <v>-159.99860000000001</v>
      </c>
      <c r="H8652" s="1">
        <v>-5.7727760000000002E-6</v>
      </c>
      <c r="I8652">
        <v>133.6147</v>
      </c>
      <c r="J8652">
        <v>-184.03800000000001</v>
      </c>
      <c r="K8652">
        <v>1.1165290000000001</v>
      </c>
      <c r="L8652">
        <v>129.42250000000001</v>
      </c>
      <c r="M8652">
        <v>0.51832959999999995</v>
      </c>
      <c r="N8652">
        <v>-1.691552E-2</v>
      </c>
      <c r="O8652">
        <v>0.85501360000000004</v>
      </c>
      <c r="P8652">
        <v>0.86395059999999901</v>
      </c>
      <c r="Q8652">
        <v>-9.2297030000000002E-2</v>
      </c>
      <c r="R8652">
        <v>0.49504619999999999</v>
      </c>
      <c r="S8652">
        <v>3.1437680000000001</v>
      </c>
      <c r="T8652">
        <v>-0.14568719999999999</v>
      </c>
      <c r="U8652">
        <v>0.55770869999999995</v>
      </c>
      <c r="V8652">
        <v>0.48126629999999998</v>
      </c>
      <c r="W8652">
        <v>-8.2920980000000005E-2</v>
      </c>
      <c r="X8652">
        <v>0.87264359999999996</v>
      </c>
      <c r="Y8652">
        <v>0.7503976</v>
      </c>
      <c r="Z8652">
        <v>-3.9181390000000003E-2</v>
      </c>
      <c r="AA8652">
        <v>0.65982439999999998</v>
      </c>
      <c r="AB8652">
        <v>19</v>
      </c>
      <c r="AC8652">
        <v>24.039399999999901</v>
      </c>
      <c r="AD8652">
        <v>-1.116534772776</v>
      </c>
      <c r="AE8652">
        <v>4.1921999999999802</v>
      </c>
      <c r="AF8652">
        <v>18.345296120573899</v>
      </c>
      <c r="AG8652">
        <v>-1.116534772776</v>
      </c>
      <c r="AH8652">
        <v>16.013491551873098</v>
      </c>
      <c r="AI8652">
        <v>92.625246782029294</v>
      </c>
      <c r="AJ8652">
        <v>41.117499562181997</v>
      </c>
      <c r="AK8652">
        <v>24.376801499217901</v>
      </c>
      <c r="AL8652">
        <v>94.756483702733107</v>
      </c>
      <c r="AM8652">
        <v>61.123095542812401</v>
      </c>
      <c r="AN8652">
        <v>0.99999999653040506</v>
      </c>
    </row>
    <row r="8653" spans="1:40" x14ac:dyDescent="0.25">
      <c r="A8653" t="str">
        <f>"20190303155018571"</f>
        <v>20190303155018571</v>
      </c>
      <c r="B8653" t="str">
        <f>"1551599418569503"</f>
        <v>1551599418569503</v>
      </c>
      <c r="C8653" t="s">
        <v>40</v>
      </c>
      <c r="D8653">
        <v>5.2988019999999896</v>
      </c>
      <c r="E8653">
        <v>0.63717139999999906</v>
      </c>
      <c r="F8653" t="s">
        <v>41</v>
      </c>
      <c r="G8653">
        <v>-159.8339</v>
      </c>
      <c r="H8653" s="1">
        <v>-1.6454759999999999E-6</v>
      </c>
      <c r="I8653">
        <v>133.59190000000001</v>
      </c>
      <c r="J8653">
        <v>-183.98240000000001</v>
      </c>
      <c r="K8653">
        <v>1.1164849999999999</v>
      </c>
      <c r="L8653">
        <v>129.50380000000001</v>
      </c>
      <c r="M8653">
        <v>0.52223220000000004</v>
      </c>
      <c r="N8653">
        <v>-1.674666E-2</v>
      </c>
      <c r="O8653">
        <v>0.85263880000000003</v>
      </c>
      <c r="P8653">
        <v>0.86665609999999904</v>
      </c>
      <c r="Q8653">
        <v>-9.1643180000000005E-2</v>
      </c>
      <c r="R8653">
        <v>0.4904172</v>
      </c>
      <c r="S8653">
        <v>3.1463619999999999</v>
      </c>
      <c r="T8653">
        <v>-0.1451412</v>
      </c>
      <c r="U8653">
        <v>0.54200740000000003</v>
      </c>
      <c r="V8653">
        <v>0.48200470000000001</v>
      </c>
      <c r="W8653">
        <v>-8.2465250000000004E-2</v>
      </c>
      <c r="X8653">
        <v>0.87227919999999903</v>
      </c>
      <c r="Y8653">
        <v>0.75067450000000002</v>
      </c>
      <c r="Z8653">
        <v>-3.9152260000000001E-2</v>
      </c>
      <c r="AA8653">
        <v>0.65951110000000002</v>
      </c>
      <c r="AB8653">
        <v>19</v>
      </c>
      <c r="AC8653">
        <v>24.148499999999999</v>
      </c>
      <c r="AD8653">
        <v>-1.1164866454760001</v>
      </c>
      <c r="AE8653">
        <v>4.0880999999999901</v>
      </c>
      <c r="AF8653">
        <v>18.4193242305561</v>
      </c>
      <c r="AG8653">
        <v>-1.1164866454760001</v>
      </c>
      <c r="AH8653">
        <v>16.0656706531122</v>
      </c>
      <c r="AI8653">
        <v>92.615471598032002</v>
      </c>
      <c r="AJ8653">
        <v>41.095530706842503</v>
      </c>
      <c r="AK8653">
        <v>24.466790166961999</v>
      </c>
      <c r="AL8653">
        <v>94.730282422025894</v>
      </c>
      <c r="AM8653">
        <v>61.075804886991399</v>
      </c>
      <c r="AN8653">
        <v>1.0000000255161401</v>
      </c>
    </row>
    <row r="8654" spans="1:40" x14ac:dyDescent="0.25">
      <c r="A8654" t="str">
        <f>"20190303155018584"</f>
        <v>20190303155018584</v>
      </c>
      <c r="B8654" t="str">
        <f>"1551599418579262"</f>
        <v>1551599418579262</v>
      </c>
      <c r="C8654" t="s">
        <v>40</v>
      </c>
      <c r="D8654">
        <v>5.3064229999999997</v>
      </c>
      <c r="E8654">
        <v>0.63709989999999905</v>
      </c>
      <c r="F8654" t="s">
        <v>41</v>
      </c>
      <c r="G8654">
        <v>-159.41249999999999</v>
      </c>
      <c r="H8654" s="1">
        <v>-1.7846429999999999E-6</v>
      </c>
      <c r="I8654">
        <v>133.6079</v>
      </c>
      <c r="J8654">
        <v>-183.92330000000001</v>
      </c>
      <c r="K8654">
        <v>1.11643799999999</v>
      </c>
      <c r="L8654">
        <v>129.59</v>
      </c>
      <c r="M8654">
        <v>0.52637709999999904</v>
      </c>
      <c r="N8654">
        <v>-1.6572150000000001E-2</v>
      </c>
      <c r="O8654">
        <v>0.85008969999999995</v>
      </c>
      <c r="P8654">
        <v>0.86952209999999996</v>
      </c>
      <c r="Q8654">
        <v>-9.1204919999999995E-2</v>
      </c>
      <c r="R8654">
        <v>0.4854002</v>
      </c>
      <c r="S8654">
        <v>3.1488339999999999</v>
      </c>
      <c r="T8654">
        <v>-0.1430864</v>
      </c>
      <c r="U8654">
        <v>0.52597050000000001</v>
      </c>
      <c r="V8654">
        <v>0.48283419999999999</v>
      </c>
      <c r="W8654">
        <v>-8.2239229999999997E-2</v>
      </c>
      <c r="X8654">
        <v>0.871841599999999</v>
      </c>
      <c r="Y8654">
        <v>0.75084229999999996</v>
      </c>
      <c r="Z8654">
        <v>-3.861179E-2</v>
      </c>
      <c r="AA8654">
        <v>0.65935200000000005</v>
      </c>
      <c r="AB8654">
        <v>19</v>
      </c>
      <c r="AC8654">
        <v>24.5108</v>
      </c>
      <c r="AD8654">
        <v>-1.1164397846430001</v>
      </c>
      <c r="AE8654">
        <v>4.0178999999999903</v>
      </c>
      <c r="AF8654">
        <v>18.686265586601898</v>
      </c>
      <c r="AG8654">
        <v>-1.1164397846430001</v>
      </c>
      <c r="AH8654">
        <v>16.286834392882199</v>
      </c>
      <c r="AI8654">
        <v>92.5788475636638</v>
      </c>
      <c r="AJ8654">
        <v>41.075206831615901</v>
      </c>
      <c r="AK8654">
        <v>24.812979142112798</v>
      </c>
      <c r="AL8654">
        <v>94.717288576342</v>
      </c>
      <c r="AM8654">
        <v>61.0218974747768</v>
      </c>
      <c r="AN8654">
        <v>0.99999996556559501</v>
      </c>
    </row>
    <row r="8655" spans="1:40" x14ac:dyDescent="0.25">
      <c r="A8655" t="str">
        <f>"20190303155018593"</f>
        <v>20190303155018593</v>
      </c>
      <c r="B8655" t="str">
        <f>"1551599418589022"</f>
        <v>1551599418589022</v>
      </c>
      <c r="C8655" t="s">
        <v>40</v>
      </c>
      <c r="D8655">
        <v>5.4683539999999997</v>
      </c>
      <c r="E8655">
        <v>0.63650109999999904</v>
      </c>
      <c r="F8655" t="s">
        <v>41</v>
      </c>
      <c r="G8655">
        <v>-159.06219999999999</v>
      </c>
      <c r="H8655" s="1">
        <v>-1.9061709999999999E-6</v>
      </c>
      <c r="I8655">
        <v>133.5992</v>
      </c>
      <c r="J8655">
        <v>-183.86930000000001</v>
      </c>
      <c r="K8655">
        <v>1.1163909999999999</v>
      </c>
      <c r="L8655">
        <v>129.66759999999999</v>
      </c>
      <c r="M8655">
        <v>0.53015829999999997</v>
      </c>
      <c r="N8655">
        <v>-1.6425639999999998E-2</v>
      </c>
      <c r="O8655">
        <v>0.84773949999999998</v>
      </c>
      <c r="P8655">
        <v>0.87237730000000002</v>
      </c>
      <c r="Q8655">
        <v>-9.0206330000000001E-2</v>
      </c>
      <c r="R8655">
        <v>0.48043809999999898</v>
      </c>
      <c r="S8655">
        <v>3.1515810000000002</v>
      </c>
      <c r="T8655">
        <v>-0.14152779999999901</v>
      </c>
      <c r="U8655">
        <v>0.50823969999999996</v>
      </c>
      <c r="V8655">
        <v>0.48400680000000001</v>
      </c>
      <c r="W8655">
        <v>-8.1442470000000003E-2</v>
      </c>
      <c r="X8655">
        <v>0.87126610000000004</v>
      </c>
      <c r="Y8655">
        <v>0.7516294</v>
      </c>
      <c r="Z8655">
        <v>-3.8234829999999997E-2</v>
      </c>
      <c r="AA8655">
        <v>0.65847659999999997</v>
      </c>
      <c r="AB8655">
        <v>19</v>
      </c>
      <c r="AC8655">
        <v>24.807099999999998</v>
      </c>
      <c r="AD8655">
        <v>-1.1163929061709901</v>
      </c>
      <c r="AE8655">
        <v>3.9316</v>
      </c>
      <c r="AF8655">
        <v>18.9107846250708</v>
      </c>
      <c r="AG8655">
        <v>-1.1163929061709901</v>
      </c>
      <c r="AH8655">
        <v>16.454379815287201</v>
      </c>
      <c r="AI8655">
        <v>92.550040216831306</v>
      </c>
      <c r="AJ8655">
        <v>41.026713024046302</v>
      </c>
      <c r="AK8655">
        <v>25.092045021530101</v>
      </c>
      <c r="AL8655">
        <v>94.671483594814802</v>
      </c>
      <c r="AM8655">
        <v>60.946899566111099</v>
      </c>
      <c r="AN8655">
        <v>1.00000003768757</v>
      </c>
    </row>
    <row r="8656" spans="1:40" x14ac:dyDescent="0.25">
      <c r="A8656" t="str">
        <f>"20190303155018605"</f>
        <v>20190303155018605</v>
      </c>
      <c r="B8656" t="str">
        <f>"1551599418598783"</f>
        <v>1551599418598783</v>
      </c>
      <c r="C8656" t="s">
        <v>40</v>
      </c>
      <c r="D8656">
        <v>5.485042</v>
      </c>
      <c r="E8656">
        <v>0.63592360000000003</v>
      </c>
      <c r="F8656" t="s">
        <v>41</v>
      </c>
      <c r="G8656">
        <v>-158.44640000000001</v>
      </c>
      <c r="H8656" s="1">
        <v>-2.1007620000000001E-6</v>
      </c>
      <c r="I8656">
        <v>133.65549999999999</v>
      </c>
      <c r="J8656">
        <v>-183.81389999999999</v>
      </c>
      <c r="K8656">
        <v>1.116336</v>
      </c>
      <c r="L8656">
        <v>129.7465</v>
      </c>
      <c r="M8656">
        <v>0.53403299999999998</v>
      </c>
      <c r="N8656">
        <v>-1.6283309999999999E-2</v>
      </c>
      <c r="O8656">
        <v>0.84530680000000002</v>
      </c>
      <c r="P8656">
        <v>0.87531890000000001</v>
      </c>
      <c r="Q8656">
        <v>-8.9198040000000006E-2</v>
      </c>
      <c r="R8656">
        <v>0.4752479</v>
      </c>
      <c r="S8656">
        <v>3.1522670000000002</v>
      </c>
      <c r="T8656">
        <v>-0.13842449999999901</v>
      </c>
      <c r="U8656">
        <v>0.49447629999999998</v>
      </c>
      <c r="V8656">
        <v>0.4852805</v>
      </c>
      <c r="W8656">
        <v>-8.0640950000000003E-2</v>
      </c>
      <c r="X8656">
        <v>0.87063189999999901</v>
      </c>
      <c r="Y8656">
        <v>0.75148419999999905</v>
      </c>
      <c r="Z8656">
        <v>-3.7321500000000001E-2</v>
      </c>
      <c r="AA8656">
        <v>0.65869460000000002</v>
      </c>
      <c r="AB8656">
        <v>19</v>
      </c>
      <c r="AC8656">
        <v>25.3674999999999</v>
      </c>
      <c r="AD8656">
        <v>-1.1163381007619999</v>
      </c>
      <c r="AE8656">
        <v>3.90899999999999</v>
      </c>
      <c r="AF8656">
        <v>19.3218016577101</v>
      </c>
      <c r="AG8656">
        <v>-1.1163381007619999</v>
      </c>
      <c r="AH8656">
        <v>16.821799870542002</v>
      </c>
      <c r="AI8656">
        <v>92.495116772767005</v>
      </c>
      <c r="AJ8656">
        <v>41.043234063602902</v>
      </c>
      <c r="AK8656">
        <v>25.642760790126999</v>
      </c>
      <c r="AL8656">
        <v>94.625408428232703</v>
      </c>
      <c r="AM8656">
        <v>60.865192612196701</v>
      </c>
      <c r="AN8656">
        <v>1.0000000158973801</v>
      </c>
    </row>
    <row r="8657" spans="1:40" x14ac:dyDescent="0.25">
      <c r="A8657" t="str">
        <f>"20190303155018616"</f>
        <v>20190303155018616</v>
      </c>
      <c r="B8657" t="str">
        <f>"1551599418609519"</f>
        <v>1551599418609519</v>
      </c>
      <c r="C8657" t="s">
        <v>40</v>
      </c>
      <c r="D8657">
        <v>5.462917</v>
      </c>
      <c r="E8657">
        <v>0.63533580000000001</v>
      </c>
      <c r="F8657" t="s">
        <v>41</v>
      </c>
      <c r="G8657">
        <v>-157.75559999999999</v>
      </c>
      <c r="H8657" s="1">
        <v>-2.3208540000000001E-6</v>
      </c>
      <c r="I8657">
        <v>133.71180000000001</v>
      </c>
      <c r="J8657">
        <v>-183.75890000000001</v>
      </c>
      <c r="K8657">
        <v>1.116279</v>
      </c>
      <c r="L8657">
        <v>129.82409999999999</v>
      </c>
      <c r="M8657">
        <v>0.53788130000000001</v>
      </c>
      <c r="N8657">
        <v>-1.6151189999999999E-2</v>
      </c>
      <c r="O8657">
        <v>0.84286589999999995</v>
      </c>
      <c r="P8657">
        <v>0.87811729999999999</v>
      </c>
      <c r="Q8657">
        <v>-8.8102559999999996E-2</v>
      </c>
      <c r="R8657">
        <v>0.47026390000000001</v>
      </c>
      <c r="S8657">
        <v>3.153076</v>
      </c>
      <c r="T8657">
        <v>-0.13507720000000001</v>
      </c>
      <c r="U8657">
        <v>0.47981259999999998</v>
      </c>
      <c r="V8657">
        <v>0.48635410000000001</v>
      </c>
      <c r="W8657">
        <v>-7.9744869999999995E-2</v>
      </c>
      <c r="X8657">
        <v>0.87011519999999998</v>
      </c>
      <c r="Y8657">
        <v>0.75154359999999998</v>
      </c>
      <c r="Z8657">
        <v>-3.6322529999999999E-2</v>
      </c>
      <c r="AA8657">
        <v>0.65868269999999995</v>
      </c>
      <c r="AB8657">
        <v>19</v>
      </c>
      <c r="AC8657">
        <v>26.003299999999999</v>
      </c>
      <c r="AD8657">
        <v>-1.1162813208539999</v>
      </c>
      <c r="AE8657">
        <v>3.8877000000000201</v>
      </c>
      <c r="AF8657">
        <v>19.793081173984501</v>
      </c>
      <c r="AG8657">
        <v>-1.1162813208539999</v>
      </c>
      <c r="AH8657">
        <v>17.234683464141298</v>
      </c>
      <c r="AI8657">
        <v>92.435498791038896</v>
      </c>
      <c r="AJ8657">
        <v>41.047485099706101</v>
      </c>
      <c r="AK8657">
        <v>26.268735417914002</v>
      </c>
      <c r="AL8657">
        <v>94.573900974080502</v>
      </c>
      <c r="AM8657">
        <v>60.796831400248898</v>
      </c>
      <c r="AN8657">
        <v>1.0000000080745799</v>
      </c>
    </row>
    <row r="8658" spans="1:40" x14ac:dyDescent="0.25">
      <c r="A8658" t="str">
        <f>"20190303155018628"</f>
        <v>20190303155018628</v>
      </c>
      <c r="B8658" t="str">
        <f>"1551599418619213"</f>
        <v>1551599418619213</v>
      </c>
      <c r="C8658" t="s">
        <v>40</v>
      </c>
      <c r="D8658">
        <v>5.395581</v>
      </c>
      <c r="E8658">
        <v>0.63408989999999998</v>
      </c>
      <c r="F8658" t="s">
        <v>41</v>
      </c>
      <c r="G8658">
        <v>-157.065</v>
      </c>
      <c r="H8658" s="1">
        <v>-2.540797E-6</v>
      </c>
      <c r="I8658">
        <v>133.76840000000001</v>
      </c>
      <c r="J8658">
        <v>-183.69829999999999</v>
      </c>
      <c r="K8658">
        <v>1.116215</v>
      </c>
      <c r="L8658">
        <v>129.9084</v>
      </c>
      <c r="M8658">
        <v>0.5421184</v>
      </c>
      <c r="N8658">
        <v>-1.6019039999999998E-2</v>
      </c>
      <c r="O8658">
        <v>0.84014949999999999</v>
      </c>
      <c r="P8658">
        <v>0.880963099999999</v>
      </c>
      <c r="Q8658">
        <v>-8.7478620000000007E-2</v>
      </c>
      <c r="R8658">
        <v>0.46502860000000001</v>
      </c>
      <c r="S8658">
        <v>3.15361</v>
      </c>
      <c r="T8658">
        <v>-0.1318771</v>
      </c>
      <c r="U8658">
        <v>0.46598820000000002</v>
      </c>
      <c r="V8658">
        <v>0.48719780000000001</v>
      </c>
      <c r="W8658">
        <v>-7.9329239999999995E-2</v>
      </c>
      <c r="X8658">
        <v>0.86968109999999998</v>
      </c>
      <c r="Y8658">
        <v>0.75110940000000004</v>
      </c>
      <c r="Z8658">
        <v>-3.5363079999999998E-2</v>
      </c>
      <c r="AA8658">
        <v>0.65922999999999998</v>
      </c>
      <c r="AB8658">
        <v>19</v>
      </c>
      <c r="AC8658">
        <v>26.633299999999899</v>
      </c>
      <c r="AD8658">
        <v>-1.1162175407970001</v>
      </c>
      <c r="AE8658">
        <v>3.8600000000000101</v>
      </c>
      <c r="AF8658">
        <v>20.251138784656401</v>
      </c>
      <c r="AG8658">
        <v>-1.1162175407970001</v>
      </c>
      <c r="AH8658">
        <v>17.6532767301325</v>
      </c>
      <c r="AI8658">
        <v>92.379191078389695</v>
      </c>
      <c r="AJ8658">
        <v>41.079239769256098</v>
      </c>
      <c r="AK8658">
        <v>26.888524373502499</v>
      </c>
      <c r="AL8658">
        <v>94.550011389929693</v>
      </c>
      <c r="AM8658">
        <v>60.742328189741599</v>
      </c>
      <c r="AN8658">
        <v>1.0000000201705099</v>
      </c>
    </row>
    <row r="8659" spans="1:40" x14ac:dyDescent="0.25">
      <c r="A8659" t="str">
        <f>"20190303155018642"</f>
        <v>20190303155018642</v>
      </c>
      <c r="B8659" t="str">
        <f>"1551599418638733"</f>
        <v>1551599418638733</v>
      </c>
      <c r="C8659" t="s">
        <v>40</v>
      </c>
      <c r="D8659">
        <v>5.503406</v>
      </c>
      <c r="E8659">
        <v>0.63228830000000003</v>
      </c>
      <c r="F8659" t="s">
        <v>41</v>
      </c>
      <c r="G8659">
        <v>-155.0069</v>
      </c>
      <c r="H8659" s="1">
        <v>-3.1630449999999998E-6</v>
      </c>
      <c r="I8659">
        <v>134.06200000000001</v>
      </c>
      <c r="J8659">
        <v>-183.6319</v>
      </c>
      <c r="K8659">
        <v>1.116142</v>
      </c>
      <c r="L8659">
        <v>130</v>
      </c>
      <c r="M8659">
        <v>0.54675640000000003</v>
      </c>
      <c r="N8659">
        <v>-1.588262E-2</v>
      </c>
      <c r="O8659">
        <v>0.83714109999999997</v>
      </c>
      <c r="P8659">
        <v>0.88398690000000002</v>
      </c>
      <c r="Q8659">
        <v>-8.6342870000000002E-2</v>
      </c>
      <c r="R8659">
        <v>0.45946959999999998</v>
      </c>
      <c r="S8659">
        <v>3.152298</v>
      </c>
      <c r="T8659">
        <v>-0.122638</v>
      </c>
      <c r="U8659">
        <v>0.45635989999999999</v>
      </c>
      <c r="V8659">
        <v>0.48795830000000001</v>
      </c>
      <c r="W8659">
        <v>-7.841439E-2</v>
      </c>
      <c r="X8659">
        <v>0.86933769999999999</v>
      </c>
      <c r="Y8659">
        <v>0.74951509999999999</v>
      </c>
      <c r="Z8659">
        <v>-3.2339319999999998E-2</v>
      </c>
      <c r="AA8659">
        <v>0.66119689999999998</v>
      </c>
      <c r="AB8659">
        <v>19</v>
      </c>
      <c r="AC8659">
        <v>28.625</v>
      </c>
      <c r="AD8659">
        <v>-1.1161451630450001</v>
      </c>
      <c r="AE8659">
        <v>4.06200000000001</v>
      </c>
      <c r="AF8659">
        <v>21.712622215300101</v>
      </c>
      <c r="AG8659">
        <v>-1.1161451630450001</v>
      </c>
      <c r="AH8659">
        <v>19.025417326048501</v>
      </c>
      <c r="AI8659">
        <v>92.214109758759705</v>
      </c>
      <c r="AJ8659">
        <v>41.2260635473165</v>
      </c>
      <c r="AK8659">
        <v>28.8903140848216</v>
      </c>
      <c r="AL8659">
        <v>94.497430283562906</v>
      </c>
      <c r="AM8659">
        <v>60.694550168222797</v>
      </c>
      <c r="AN8659">
        <v>1.0000000778696201</v>
      </c>
    </row>
    <row r="8660" spans="1:40" x14ac:dyDescent="0.25">
      <c r="A8660" t="str">
        <f>"20190303155018654"</f>
        <v>20190303155018654</v>
      </c>
      <c r="B8660" t="str">
        <f>"1551599418649469"</f>
        <v>1551599418649469</v>
      </c>
      <c r="C8660" t="s">
        <v>40</v>
      </c>
      <c r="D8660">
        <v>5.6091709999999999</v>
      </c>
      <c r="E8660">
        <v>0.63143470000000002</v>
      </c>
      <c r="F8660" t="s">
        <v>41</v>
      </c>
      <c r="G8660">
        <v>-152.98070000000001</v>
      </c>
      <c r="H8660" s="1">
        <v>-3.9232180000000001E-6</v>
      </c>
      <c r="I8660">
        <v>134.37520000000001</v>
      </c>
      <c r="J8660">
        <v>-183.5669</v>
      </c>
      <c r="K8660">
        <v>1.116063</v>
      </c>
      <c r="L8660">
        <v>130.08789999999999</v>
      </c>
      <c r="M8660">
        <v>0.55130760000000001</v>
      </c>
      <c r="N8660">
        <v>-1.576806E-2</v>
      </c>
      <c r="O8660">
        <v>0.83415309999999898</v>
      </c>
      <c r="P8660">
        <v>0.8868511</v>
      </c>
      <c r="Q8660">
        <v>-8.5033659999999997E-2</v>
      </c>
      <c r="R8660">
        <v>0.4541636</v>
      </c>
      <c r="S8660">
        <v>3.148895</v>
      </c>
      <c r="T8660">
        <v>-0.1146653</v>
      </c>
      <c r="U8660">
        <v>0.44947809999999999</v>
      </c>
      <c r="V8660">
        <v>0.4885391</v>
      </c>
      <c r="W8660">
        <v>-7.7308360000000007E-2</v>
      </c>
      <c r="X8660">
        <v>0.86911050000000001</v>
      </c>
      <c r="Y8660">
        <v>0.74732119999999902</v>
      </c>
      <c r="Z8660">
        <v>-2.9738500000000001E-2</v>
      </c>
      <c r="AA8660">
        <v>0.66379709999999903</v>
      </c>
      <c r="AB8660">
        <v>19</v>
      </c>
      <c r="AC8660">
        <v>30.586199999999899</v>
      </c>
      <c r="AD8660">
        <v>-1.1160669232179901</v>
      </c>
      <c r="AE8660">
        <v>4.2873000000000099</v>
      </c>
      <c r="AF8660">
        <v>23.1226360941628</v>
      </c>
      <c r="AG8660">
        <v>-1.1160669232179901</v>
      </c>
      <c r="AH8660">
        <v>20.414551969458198</v>
      </c>
      <c r="AI8660">
        <v>92.072237550187893</v>
      </c>
      <c r="AJ8660">
        <v>41.440694683057302</v>
      </c>
      <c r="AK8660">
        <v>30.865123317976401</v>
      </c>
      <c r="AL8660">
        <v>94.433866599637298</v>
      </c>
      <c r="AM8660">
        <v>60.6590536303612</v>
      </c>
      <c r="AN8660">
        <v>1.00000004798247</v>
      </c>
    </row>
    <row r="8661" spans="1:40" x14ac:dyDescent="0.25">
      <c r="A8661" t="str">
        <f>"20190303155018667"</f>
        <v>20190303155018667</v>
      </c>
      <c r="B8661" t="str">
        <f>"1551599418659229"</f>
        <v>1551599418659229</v>
      </c>
      <c r="C8661" t="s">
        <v>40</v>
      </c>
      <c r="D8661">
        <v>5.6453249999999997</v>
      </c>
      <c r="E8661">
        <v>0.63054219999999905</v>
      </c>
      <c r="F8661" t="s">
        <v>41</v>
      </c>
      <c r="G8661">
        <v>-152.61959999999999</v>
      </c>
      <c r="H8661" s="1">
        <v>-4.0775910000000001E-6</v>
      </c>
      <c r="I8661">
        <v>134.3784</v>
      </c>
      <c r="J8661">
        <v>-183.49860000000001</v>
      </c>
      <c r="K8661">
        <v>1.115985</v>
      </c>
      <c r="L8661">
        <v>130.17939999999999</v>
      </c>
      <c r="M8661">
        <v>0.55610019999999905</v>
      </c>
      <c r="N8661">
        <v>-1.5657190000000001E-2</v>
      </c>
      <c r="O8661">
        <v>0.83096780000000003</v>
      </c>
      <c r="P8661">
        <v>0.88972430000000002</v>
      </c>
      <c r="Q8661">
        <v>-8.3897459999999993E-2</v>
      </c>
      <c r="R8661">
        <v>0.44872250000000002</v>
      </c>
      <c r="S8661">
        <v>3.1483460000000001</v>
      </c>
      <c r="T8661">
        <v>-0.1135399</v>
      </c>
      <c r="U8661">
        <v>0.43647770000000002</v>
      </c>
      <c r="V8661">
        <v>0.48894759999999998</v>
      </c>
      <c r="W8661">
        <v>-7.6374070000000002E-2</v>
      </c>
      <c r="X8661">
        <v>0.86896340000000005</v>
      </c>
      <c r="Y8661">
        <v>0.74618169999999995</v>
      </c>
      <c r="Z8661">
        <v>-2.9466949999999999E-2</v>
      </c>
      <c r="AA8661">
        <v>0.66508979999999995</v>
      </c>
      <c r="AB8661">
        <v>19</v>
      </c>
      <c r="AC8661">
        <v>30.879000000000001</v>
      </c>
      <c r="AD8661">
        <v>-1.115989077591</v>
      </c>
      <c r="AE8661">
        <v>4.1990000000000096</v>
      </c>
      <c r="AF8661">
        <v>23.297371268288899</v>
      </c>
      <c r="AG8661">
        <v>-1.115989077591</v>
      </c>
      <c r="AH8661">
        <v>20.637118358162802</v>
      </c>
      <c r="AI8661">
        <v>92.053578366922096</v>
      </c>
      <c r="AJ8661">
        <v>41.534945613509898</v>
      </c>
      <c r="AK8661">
        <v>31.143275257471199</v>
      </c>
      <c r="AL8661">
        <v>94.380176877765606</v>
      </c>
      <c r="AM8661">
        <v>60.634449023210699</v>
      </c>
      <c r="AN8661">
        <v>1.0000000723268301</v>
      </c>
    </row>
    <row r="8662" spans="1:40" x14ac:dyDescent="0.25">
      <c r="A8662" t="str">
        <f>"20190303155018677"</f>
        <v>20190303155018677</v>
      </c>
      <c r="B8662" t="str">
        <f>"1551599418668989"</f>
        <v>1551599418668989</v>
      </c>
      <c r="C8662" t="s">
        <v>40</v>
      </c>
      <c r="D8662">
        <v>5.5319609999999999</v>
      </c>
      <c r="E8662">
        <v>0.63054219999999905</v>
      </c>
      <c r="F8662" t="s">
        <v>41</v>
      </c>
      <c r="G8662">
        <v>-152.42250000000001</v>
      </c>
      <c r="H8662" s="1">
        <v>-4.1653459999999997E-6</v>
      </c>
      <c r="I8662">
        <v>134.36019999999999</v>
      </c>
      <c r="J8662">
        <v>-183.4408</v>
      </c>
      <c r="K8662">
        <v>1.11592</v>
      </c>
      <c r="L8662">
        <v>130.25620000000001</v>
      </c>
      <c r="M8662">
        <v>0.56016549999999998</v>
      </c>
      <c r="N8662">
        <v>-1.5570530000000001E-2</v>
      </c>
      <c r="O8662">
        <v>0.82823440000000004</v>
      </c>
      <c r="P8662">
        <v>0.89202150000000002</v>
      </c>
      <c r="Q8662">
        <v>-8.2232390000000002E-2</v>
      </c>
      <c r="R8662">
        <v>0.44444980000000001</v>
      </c>
      <c r="S8662">
        <v>3.1475979999999999</v>
      </c>
      <c r="T8662">
        <v>-0.1130347</v>
      </c>
      <c r="U8662">
        <v>0.4234619</v>
      </c>
      <c r="V8662">
        <v>0.48899359999999997</v>
      </c>
      <c r="W8662">
        <v>-7.486661E-2</v>
      </c>
      <c r="X8662">
        <v>0.86906870000000003</v>
      </c>
      <c r="Y8662">
        <v>0.74560419999999905</v>
      </c>
      <c r="Z8662">
        <v>-2.9399620000000001E-2</v>
      </c>
      <c r="AA8662">
        <v>0.66574029999999995</v>
      </c>
      <c r="AB8662">
        <v>19</v>
      </c>
      <c r="AC8662">
        <v>31.018299999999901</v>
      </c>
      <c r="AD8662">
        <v>-1.1159241653459999</v>
      </c>
      <c r="AE8662">
        <v>4.1039999999999797</v>
      </c>
      <c r="AF8662">
        <v>23.364618900448001</v>
      </c>
      <c r="AG8662">
        <v>-1.1159241653459999</v>
      </c>
      <c r="AH8662">
        <v>20.750578428363301</v>
      </c>
      <c r="AI8662">
        <v>92.045212675629898</v>
      </c>
      <c r="AJ8662">
        <v>41.6089109412044</v>
      </c>
      <c r="AK8662">
        <v>31.268789682647402</v>
      </c>
      <c r="AL8662">
        <v>94.293557738663594</v>
      </c>
      <c r="AM8662">
        <v>60.635112513540101</v>
      </c>
      <c r="AN8662">
        <v>1.0000000777267599</v>
      </c>
    </row>
    <row r="8663" spans="1:40" x14ac:dyDescent="0.25">
      <c r="A8663" t="str">
        <f>"20190303155018688"</f>
        <v>20190303155018688</v>
      </c>
      <c r="B8663" t="str">
        <f>"1551599418678750"</f>
        <v>1551599418678750</v>
      </c>
      <c r="C8663" t="s">
        <v>40</v>
      </c>
      <c r="D8663">
        <v>5.5348100000000002</v>
      </c>
      <c r="E8663">
        <v>0.60551630000000001</v>
      </c>
      <c r="F8663" t="s">
        <v>41</v>
      </c>
      <c r="G8663">
        <v>-150.7176</v>
      </c>
      <c r="H8663" s="1">
        <v>-4.8722349999999996E-6</v>
      </c>
      <c r="I8663">
        <v>134.4983</v>
      </c>
      <c r="J8663">
        <v>-183.387</v>
      </c>
      <c r="K8663">
        <v>1.1158600000000001</v>
      </c>
      <c r="L8663">
        <v>130.3263</v>
      </c>
      <c r="M8663">
        <v>0.56396329999999995</v>
      </c>
      <c r="N8663">
        <v>-1.5501030000000001E-2</v>
      </c>
      <c r="O8663">
        <v>0.82565429999999995</v>
      </c>
      <c r="P8663">
        <v>0.89401299999999995</v>
      </c>
      <c r="Q8663">
        <v>-7.9873390000000002E-2</v>
      </c>
      <c r="R8663">
        <v>0.44086409999999998</v>
      </c>
      <c r="S8663">
        <v>3.1497799999999998</v>
      </c>
      <c r="T8663">
        <v>-0.1074138</v>
      </c>
      <c r="U8663">
        <v>0.4083252</v>
      </c>
      <c r="V8663">
        <v>0.48868729999999999</v>
      </c>
      <c r="W8663">
        <v>-7.2637300000000002E-2</v>
      </c>
      <c r="X8663">
        <v>0.86942999999999904</v>
      </c>
      <c r="Y8663">
        <v>0.74581560000000002</v>
      </c>
      <c r="Z8663">
        <v>-2.7571269999999998E-2</v>
      </c>
      <c r="AA8663">
        <v>0.66558169999999905</v>
      </c>
      <c r="AB8663">
        <v>19</v>
      </c>
      <c r="AC8663">
        <v>32.669400000000003</v>
      </c>
      <c r="AD8663">
        <v>-1.115864872235</v>
      </c>
      <c r="AE8663">
        <v>4.1719999999999899</v>
      </c>
      <c r="AF8663">
        <v>24.595501403477702</v>
      </c>
      <c r="AG8663">
        <v>-1.115864872235</v>
      </c>
      <c r="AH8663">
        <v>21.8465229211067</v>
      </c>
      <c r="AI8663">
        <v>91.942728620825903</v>
      </c>
      <c r="AJ8663">
        <v>41.612522691367197</v>
      </c>
      <c r="AK8663">
        <v>32.915868626606297</v>
      </c>
      <c r="AL8663">
        <v>94.165479226691602</v>
      </c>
      <c r="AM8663">
        <v>60.660625852761001</v>
      </c>
      <c r="AN8663">
        <v>0.99999998971628901</v>
      </c>
    </row>
    <row r="8664" spans="1:40" x14ac:dyDescent="0.25">
      <c r="A8664" t="str">
        <f>"20190303155018698"</f>
        <v>20190303155018698</v>
      </c>
      <c r="B8664" t="str">
        <f>"1551599418689486"</f>
        <v>1551599418689486</v>
      </c>
      <c r="C8664" t="s">
        <v>40</v>
      </c>
      <c r="D8664">
        <v>5.5592069999999998</v>
      </c>
      <c r="E8664">
        <v>0.60593459999999999</v>
      </c>
      <c r="F8664" t="s">
        <v>41</v>
      </c>
      <c r="G8664">
        <v>-161.58179999999999</v>
      </c>
      <c r="H8664" s="1">
        <v>-4.8848030000000001E-6</v>
      </c>
      <c r="I8664">
        <v>134.40170000000001</v>
      </c>
      <c r="J8664">
        <v>-183.33240000000001</v>
      </c>
      <c r="K8664">
        <v>1.115793</v>
      </c>
      <c r="L8664">
        <v>130.3973</v>
      </c>
      <c r="M8664">
        <v>0.56781709999999996</v>
      </c>
      <c r="N8664">
        <v>-1.543248E-2</v>
      </c>
      <c r="O8664">
        <v>0.82301009999999997</v>
      </c>
      <c r="P8664">
        <v>0.89588989999999902</v>
      </c>
      <c r="Q8664">
        <v>-7.7443419999999999E-2</v>
      </c>
      <c r="R8664">
        <v>0.43747449999999999</v>
      </c>
      <c r="S8664">
        <v>3.0596920000000001</v>
      </c>
      <c r="T8664">
        <v>-0.1565773</v>
      </c>
      <c r="U8664">
        <v>0.57185359999999996</v>
      </c>
      <c r="V8664">
        <v>0.48811209999999999</v>
      </c>
      <c r="W8664">
        <v>-7.0331889999999994E-2</v>
      </c>
      <c r="X8664">
        <v>0.86994249999999995</v>
      </c>
      <c r="Y8664">
        <v>0.70349220000000001</v>
      </c>
      <c r="Z8664">
        <v>-4.4023920000000001E-2</v>
      </c>
      <c r="AA8664">
        <v>0.70933819999999903</v>
      </c>
      <c r="AB8664">
        <v>19</v>
      </c>
      <c r="AC8664">
        <v>21.750599999999999</v>
      </c>
      <c r="AD8664">
        <v>-1.1157978848029999</v>
      </c>
      <c r="AE8664">
        <v>4.0044000000000004</v>
      </c>
      <c r="AF8664">
        <v>15.589376709224601</v>
      </c>
      <c r="AG8664">
        <v>-1.1157978848029999</v>
      </c>
      <c r="AH8664">
        <v>15.608158717772801</v>
      </c>
      <c r="AI8664">
        <v>92.895561871873895</v>
      </c>
      <c r="AJ8664">
        <v>45.034494061016098</v>
      </c>
      <c r="AK8664">
        <v>22.0881934449387</v>
      </c>
      <c r="AL8664">
        <v>94.033050198604599</v>
      </c>
      <c r="AM8664">
        <v>60.703850048405499</v>
      </c>
      <c r="AN8664">
        <v>0.99999997511181504</v>
      </c>
    </row>
    <row r="8665" spans="1:40" x14ac:dyDescent="0.25">
      <c r="A8665" t="str">
        <f>"20190303155018709"</f>
        <v>20190303155018709</v>
      </c>
      <c r="B8665" t="str">
        <f>"1551599418699245"</f>
        <v>1551599418699245</v>
      </c>
      <c r="C8665" t="s">
        <v>40</v>
      </c>
      <c r="D8665">
        <v>5.5384200000000003</v>
      </c>
      <c r="E8665">
        <v>0.60606949999999904</v>
      </c>
      <c r="F8665" t="s">
        <v>41</v>
      </c>
      <c r="G8665">
        <v>-158.0984</v>
      </c>
      <c r="H8665" s="1">
        <v>-1.863806E-6</v>
      </c>
      <c r="I8665">
        <v>134.99109999999999</v>
      </c>
      <c r="J8665">
        <v>-183.27860000000001</v>
      </c>
      <c r="K8665">
        <v>1.115731</v>
      </c>
      <c r="L8665">
        <v>130.4659</v>
      </c>
      <c r="M8665">
        <v>0.57164169999999903</v>
      </c>
      <c r="N8665">
        <v>-1.537588E-2</v>
      </c>
      <c r="O8665">
        <v>0.82035930000000001</v>
      </c>
      <c r="P8665">
        <v>0.89783310000000005</v>
      </c>
      <c r="Q8665">
        <v>-7.5362360000000003E-2</v>
      </c>
      <c r="R8665">
        <v>0.43383909999999998</v>
      </c>
      <c r="S8665">
        <v>3.0644840000000002</v>
      </c>
      <c r="T8665">
        <v>-0.13550479999999901</v>
      </c>
      <c r="U8665">
        <v>0.55789180000000005</v>
      </c>
      <c r="V8665">
        <v>0.48775069999999998</v>
      </c>
      <c r="W8665">
        <v>-6.8371730000000006E-2</v>
      </c>
      <c r="X8665">
        <v>0.8703014</v>
      </c>
      <c r="Y8665">
        <v>0.70385559999999903</v>
      </c>
      <c r="Z8665">
        <v>-3.6911159999999998E-2</v>
      </c>
      <c r="AA8665">
        <v>0.70938349999999994</v>
      </c>
      <c r="AB8665">
        <v>19</v>
      </c>
      <c r="AC8665">
        <v>25.180199999999999</v>
      </c>
      <c r="AD8665">
        <v>-1.115732863806</v>
      </c>
      <c r="AE8665">
        <v>4.5251999999999803</v>
      </c>
      <c r="AF8665">
        <v>18.037847385966099</v>
      </c>
      <c r="AG8665">
        <v>-1.115732863806</v>
      </c>
      <c r="AH8665">
        <v>18.074106730425299</v>
      </c>
      <c r="AI8665">
        <v>92.501903140750002</v>
      </c>
      <c r="AJ8665">
        <v>45.057529611955097</v>
      </c>
      <c r="AK8665">
        <v>25.5593844261866</v>
      </c>
      <c r="AL8665">
        <v>93.920470189201495</v>
      </c>
      <c r="AM8665">
        <v>60.732036551036899</v>
      </c>
      <c r="AN8665">
        <v>0.99999998282782099</v>
      </c>
    </row>
    <row r="8666" spans="1:40" x14ac:dyDescent="0.25">
      <c r="A8666" t="str">
        <f>"20190303155018718"</f>
        <v>20190303155018718</v>
      </c>
      <c r="B8666" t="str">
        <f>"1551599418709007"</f>
        <v>1551599418709007</v>
      </c>
      <c r="C8666" t="s">
        <v>40</v>
      </c>
      <c r="D8666">
        <v>5.7063119999999996</v>
      </c>
      <c r="E8666">
        <v>0.60339180000000003</v>
      </c>
      <c r="F8666" t="s">
        <v>41</v>
      </c>
      <c r="G8666">
        <v>-155.571</v>
      </c>
      <c r="H8666" s="1">
        <v>-2.6327749999999898E-6</v>
      </c>
      <c r="I8666">
        <v>135.38560000000001</v>
      </c>
      <c r="J8666">
        <v>-183.22730000000001</v>
      </c>
      <c r="K8666">
        <v>1.115669</v>
      </c>
      <c r="L8666">
        <v>130.53100000000001</v>
      </c>
      <c r="M8666">
        <v>0.57528140000000005</v>
      </c>
      <c r="N8666">
        <v>-1.532293E-2</v>
      </c>
      <c r="O8666">
        <v>0.81781199999999998</v>
      </c>
      <c r="P8666">
        <v>0.89948130000000004</v>
      </c>
      <c r="Q8666">
        <v>-7.3721919999999996E-2</v>
      </c>
      <c r="R8666">
        <v>0.43069550000000001</v>
      </c>
      <c r="S8666">
        <v>3.0678100000000001</v>
      </c>
      <c r="T8666">
        <v>-0.1235349</v>
      </c>
      <c r="U8666">
        <v>0.54472349999999903</v>
      </c>
      <c r="V8666">
        <v>0.4870506</v>
      </c>
      <c r="W8666">
        <v>-6.6838700000000001E-2</v>
      </c>
      <c r="X8666">
        <v>0.87081249999999999</v>
      </c>
      <c r="Y8666">
        <v>0.70395540000000001</v>
      </c>
      <c r="Z8666">
        <v>-3.2900329999999998E-2</v>
      </c>
      <c r="AA8666">
        <v>0.70948180000000005</v>
      </c>
      <c r="AB8666">
        <v>19</v>
      </c>
      <c r="AC8666">
        <v>27.656300000000002</v>
      </c>
      <c r="AD8666">
        <v>-1.115671632775</v>
      </c>
      <c r="AE8666">
        <v>4.8545999999999996</v>
      </c>
      <c r="AF8666">
        <v>19.7959689164812</v>
      </c>
      <c r="AG8666">
        <v>-1.115671632775</v>
      </c>
      <c r="AH8666">
        <v>19.851300258369601</v>
      </c>
      <c r="AI8666">
        <v>92.278931181007096</v>
      </c>
      <c r="AJ8666">
        <v>45.079961378747598</v>
      </c>
      <c r="AK8666">
        <v>28.0570709533696</v>
      </c>
      <c r="AL8666">
        <v>93.832432338357094</v>
      </c>
      <c r="AM8666">
        <v>60.781455887907597</v>
      </c>
      <c r="AN8666">
        <v>1.0000000544671399</v>
      </c>
    </row>
    <row r="8667" spans="1:40" x14ac:dyDescent="0.25">
      <c r="A8667" t="str">
        <f>"20190303155018728"</f>
        <v>20190303155018728</v>
      </c>
      <c r="B8667" t="str">
        <f>"1551599418719453"</f>
        <v>1551599418719453</v>
      </c>
      <c r="C8667" t="s">
        <v>40</v>
      </c>
      <c r="D8667">
        <v>5.5975599999999996</v>
      </c>
      <c r="E8667">
        <v>0.60290849999999996</v>
      </c>
      <c r="F8667" t="s">
        <v>41</v>
      </c>
      <c r="G8667">
        <v>-160.18430000000001</v>
      </c>
      <c r="H8667" s="1">
        <v>-5.4944749999999996E-6</v>
      </c>
      <c r="I8667">
        <v>134.68889999999999</v>
      </c>
      <c r="J8667">
        <v>-183.17869999999999</v>
      </c>
      <c r="K8667">
        <v>1.115602</v>
      </c>
      <c r="L8667">
        <v>130.5916</v>
      </c>
      <c r="M8667">
        <v>0.57875010000000005</v>
      </c>
      <c r="N8667">
        <v>-1.528146E-2</v>
      </c>
      <c r="O8667">
        <v>0.81536169999999997</v>
      </c>
      <c r="P8667">
        <v>0.90083400000000002</v>
      </c>
      <c r="Q8667">
        <v>-7.2781020000000002E-2</v>
      </c>
      <c r="R8667">
        <v>0.42802010000000001</v>
      </c>
      <c r="S8667">
        <v>3.0588229999999998</v>
      </c>
      <c r="T8667">
        <v>-0.14809929999999999</v>
      </c>
      <c r="U8667">
        <v>0.55192569999999996</v>
      </c>
      <c r="V8667">
        <v>0.48600539999999998</v>
      </c>
      <c r="W8667">
        <v>-6.5985710000000003E-2</v>
      </c>
      <c r="X8667">
        <v>0.87146119999999905</v>
      </c>
      <c r="Y8667">
        <v>0.69857930000000001</v>
      </c>
      <c r="Z8667">
        <v>-4.120091E-2</v>
      </c>
      <c r="AA8667">
        <v>0.71434549999999997</v>
      </c>
      <c r="AB8667">
        <v>19</v>
      </c>
      <c r="AC8667">
        <v>22.994399999999899</v>
      </c>
      <c r="AD8667">
        <v>-1.1156074944750001</v>
      </c>
      <c r="AE8667">
        <v>4.09729999999999</v>
      </c>
      <c r="AF8667">
        <v>16.3420706557519</v>
      </c>
      <c r="AG8667">
        <v>-1.1156074944750001</v>
      </c>
      <c r="AH8667">
        <v>16.6128371308432</v>
      </c>
      <c r="AI8667">
        <v>92.740834713225794</v>
      </c>
      <c r="AJ8667">
        <v>45.470747097038803</v>
      </c>
      <c r="AK8667">
        <v>23.3301138217378</v>
      </c>
      <c r="AL8667">
        <v>93.783451709322705</v>
      </c>
      <c r="AM8667">
        <v>60.852018808901803</v>
      </c>
      <c r="AN8667">
        <v>0.999999992929402</v>
      </c>
    </row>
    <row r="8668" spans="1:40" x14ac:dyDescent="0.25">
      <c r="A8668" t="str">
        <f>"20190303155018738"</f>
        <v>20190303155018738</v>
      </c>
      <c r="B8668" t="str">
        <f>"1551599418729213"</f>
        <v>1551599418729213</v>
      </c>
      <c r="C8668" t="s">
        <v>40</v>
      </c>
      <c r="D8668">
        <v>5.6056470000000003</v>
      </c>
      <c r="E8668">
        <v>0.6025798</v>
      </c>
      <c r="F8668" t="s">
        <v>41</v>
      </c>
      <c r="G8668">
        <v>-160.7379</v>
      </c>
      <c r="H8668" s="1">
        <v>-5.2489620000000003E-6</v>
      </c>
      <c r="I8668">
        <v>134.5976</v>
      </c>
      <c r="J8668">
        <v>-183.12</v>
      </c>
      <c r="K8668">
        <v>1.115523</v>
      </c>
      <c r="L8668">
        <v>130.66470000000001</v>
      </c>
      <c r="M8668">
        <v>0.58294460000000003</v>
      </c>
      <c r="N8668">
        <v>-1.5232900000000001E-2</v>
      </c>
      <c r="O8668">
        <v>0.81236909999999996</v>
      </c>
      <c r="P8668">
        <v>0.90263280000000001</v>
      </c>
      <c r="Q8668">
        <v>-7.2438660000000002E-2</v>
      </c>
      <c r="R8668">
        <v>0.42427199999999998</v>
      </c>
      <c r="S8668">
        <v>3.0585330000000002</v>
      </c>
      <c r="T8668">
        <v>-0.15204970000000001</v>
      </c>
      <c r="U8668">
        <v>0.54598999999999998</v>
      </c>
      <c r="V8668">
        <v>0.48515190000000002</v>
      </c>
      <c r="W8668">
        <v>-6.5758579999999997E-2</v>
      </c>
      <c r="X8668">
        <v>0.8719538</v>
      </c>
      <c r="Y8668">
        <v>0.69615729999999998</v>
      </c>
      <c r="Z8668">
        <v>-4.2520049999999997E-2</v>
      </c>
      <c r="AA8668">
        <v>0.71662899999999996</v>
      </c>
      <c r="AB8668">
        <v>19</v>
      </c>
      <c r="AC8668">
        <v>22.382100000000001</v>
      </c>
      <c r="AD8668">
        <v>-1.115528248962</v>
      </c>
      <c r="AE8668">
        <v>3.9328999999999801</v>
      </c>
      <c r="AF8668">
        <v>15.8535061557162</v>
      </c>
      <c r="AG8668">
        <v>-1.115528248962</v>
      </c>
      <c r="AH8668">
        <v>16.205326461853701</v>
      </c>
      <c r="AI8668">
        <v>92.817047700973305</v>
      </c>
      <c r="AJ8668">
        <v>45.628750577531797</v>
      </c>
      <c r="AK8668">
        <v>22.697811930642601</v>
      </c>
      <c r="AL8668">
        <v>93.770409791950499</v>
      </c>
      <c r="AM8668">
        <v>60.908597440570901</v>
      </c>
      <c r="AN8668">
        <v>0.99999999312583299</v>
      </c>
    </row>
    <row r="8669" spans="1:40" x14ac:dyDescent="0.25">
      <c r="A8669" t="str">
        <f>"20190303155018750"</f>
        <v>20190303155018750</v>
      </c>
      <c r="B8669" t="str">
        <f>"1551599418738973"</f>
        <v>1551599418738973</v>
      </c>
      <c r="C8669" t="s">
        <v>40</v>
      </c>
      <c r="D8669">
        <v>5.6120830000000002</v>
      </c>
      <c r="E8669">
        <v>0.6021746</v>
      </c>
      <c r="F8669" t="s">
        <v>41</v>
      </c>
      <c r="G8669">
        <v>-161.50640000000001</v>
      </c>
      <c r="H8669" s="1">
        <v>-4.9125129999999997E-6</v>
      </c>
      <c r="I8669">
        <v>134.44640000000001</v>
      </c>
      <c r="J8669">
        <v>-183.0558</v>
      </c>
      <c r="K8669">
        <v>1.1154360000000001</v>
      </c>
      <c r="L8669">
        <v>130.74289999999999</v>
      </c>
      <c r="M8669">
        <v>0.58755400000000002</v>
      </c>
      <c r="N8669">
        <v>-1.519012E-2</v>
      </c>
      <c r="O8669">
        <v>0.80904229999999999</v>
      </c>
      <c r="P8669">
        <v>0.90456400000000003</v>
      </c>
      <c r="Q8669">
        <v>-7.2488579999999997E-2</v>
      </c>
      <c r="R8669">
        <v>0.42013040000000001</v>
      </c>
      <c r="S8669">
        <v>3.0593409999999999</v>
      </c>
      <c r="T8669">
        <v>-0.15789990000000001</v>
      </c>
      <c r="U8669">
        <v>0.53529359999999904</v>
      </c>
      <c r="V8669">
        <v>0.4841744</v>
      </c>
      <c r="W8669">
        <v>-6.5924579999999997E-2</v>
      </c>
      <c r="X8669">
        <v>0.87248440000000005</v>
      </c>
      <c r="Y8669">
        <v>0.69443869999999996</v>
      </c>
      <c r="Z8669">
        <v>-4.4485150000000001E-2</v>
      </c>
      <c r="AA8669">
        <v>0.71817540000000002</v>
      </c>
      <c r="AB8669">
        <v>19</v>
      </c>
      <c r="AC8669">
        <v>21.549399999999899</v>
      </c>
      <c r="AD8669">
        <v>-1.115440912513</v>
      </c>
      <c r="AE8669">
        <v>3.70350000000002</v>
      </c>
      <c r="AF8669">
        <v>15.2205209005753</v>
      </c>
      <c r="AG8669">
        <v>-1.115440912513</v>
      </c>
      <c r="AH8669">
        <v>15.6188847108969</v>
      </c>
      <c r="AI8669">
        <v>92.927950256188097</v>
      </c>
      <c r="AJ8669">
        <v>45.740069246715898</v>
      </c>
      <c r="AK8669">
        <v>21.837079120762599</v>
      </c>
      <c r="AL8669">
        <v>93.779941684598796</v>
      </c>
      <c r="AM8669">
        <v>60.9724586627351</v>
      </c>
      <c r="AN8669">
        <v>0.99999996405344704</v>
      </c>
    </row>
    <row r="8670" spans="1:40" x14ac:dyDescent="0.25">
      <c r="A8670" t="str">
        <f>"20190303155018762"</f>
        <v>20190303155018762</v>
      </c>
      <c r="B8670" t="str">
        <f>"1551599418759469"</f>
        <v>1551599418759469</v>
      </c>
      <c r="C8670" t="s">
        <v>40</v>
      </c>
      <c r="D8670">
        <v>5.6509489999999998</v>
      </c>
      <c r="E8670">
        <v>0.60148109999999999</v>
      </c>
      <c r="F8670" t="s">
        <v>41</v>
      </c>
      <c r="G8670">
        <v>-162.5147</v>
      </c>
      <c r="H8670" s="1">
        <v>-4.4691119999999996E-6</v>
      </c>
      <c r="I8670">
        <v>134.25909999999999</v>
      </c>
      <c r="J8670">
        <v>-182.99379999999999</v>
      </c>
      <c r="K8670">
        <v>1.115354</v>
      </c>
      <c r="L8670">
        <v>130.81809999999999</v>
      </c>
      <c r="M8670">
        <v>0.59199939999999995</v>
      </c>
      <c r="N8670">
        <v>-1.515093E-2</v>
      </c>
      <c r="O8670">
        <v>0.80579599999999996</v>
      </c>
      <c r="P8670">
        <v>0.90630480000000002</v>
      </c>
      <c r="Q8670">
        <v>-7.2989349999999995E-2</v>
      </c>
      <c r="R8670">
        <v>0.41627449999999999</v>
      </c>
      <c r="S8670">
        <v>3.0599370000000001</v>
      </c>
      <c r="T8670">
        <v>-0.16616359999999999</v>
      </c>
      <c r="U8670">
        <v>0.52378849999999999</v>
      </c>
      <c r="V8670">
        <v>0.48303449999999998</v>
      </c>
      <c r="W8670">
        <v>-6.6531049999999994E-2</v>
      </c>
      <c r="X8670">
        <v>0.87307009999999996</v>
      </c>
      <c r="Y8670">
        <v>0.69297369999999903</v>
      </c>
      <c r="Z8670">
        <v>-4.7262150000000003E-2</v>
      </c>
      <c r="AA8670">
        <v>0.7194121</v>
      </c>
      <c r="AB8670">
        <v>19</v>
      </c>
      <c r="AC8670">
        <v>20.479099999999899</v>
      </c>
      <c r="AD8670">
        <v>-1.115358469112</v>
      </c>
      <c r="AE8670">
        <v>3.4409999999999998</v>
      </c>
      <c r="AF8670">
        <v>14.4249540552554</v>
      </c>
      <c r="AG8670">
        <v>-1.115358469112</v>
      </c>
      <c r="AH8670">
        <v>14.855214381253001</v>
      </c>
      <c r="AI8670">
        <v>93.083274147267105</v>
      </c>
      <c r="AJ8670">
        <v>45.841877896594802</v>
      </c>
      <c r="AK8670">
        <v>20.736458673646201</v>
      </c>
      <c r="AL8670">
        <v>93.814765970047503</v>
      </c>
      <c r="AM8670">
        <v>61.046012525193802</v>
      </c>
      <c r="AN8670">
        <v>1.00000005415917</v>
      </c>
    </row>
    <row r="8671" spans="1:40" x14ac:dyDescent="0.25">
      <c r="A8671" t="str">
        <f>"20190303155018773"</f>
        <v>20190303155018773</v>
      </c>
      <c r="B8671" t="str">
        <f>"1551599418769229"</f>
        <v>1551599418769229</v>
      </c>
      <c r="C8671" t="s">
        <v>40</v>
      </c>
      <c r="D8671">
        <v>5.6259819999999996</v>
      </c>
      <c r="E8671">
        <v>0.60125249999999997</v>
      </c>
      <c r="F8671" t="s">
        <v>41</v>
      </c>
      <c r="G8671">
        <v>-164.07429999999999</v>
      </c>
      <c r="H8671" s="1">
        <v>-3.7770940000000001E-6</v>
      </c>
      <c r="I8671">
        <v>134.00409999999999</v>
      </c>
      <c r="J8671">
        <v>-182.93170000000001</v>
      </c>
      <c r="K8671">
        <v>1.115275</v>
      </c>
      <c r="L8671">
        <v>130.89169999999999</v>
      </c>
      <c r="M8671">
        <v>0.59646929999999998</v>
      </c>
      <c r="N8671">
        <v>-1.512032E-2</v>
      </c>
      <c r="O8671">
        <v>0.80249349999999997</v>
      </c>
      <c r="P8671">
        <v>0.9080956</v>
      </c>
      <c r="Q8671">
        <v>-7.3374789999999995E-2</v>
      </c>
      <c r="R8671">
        <v>0.4122846</v>
      </c>
      <c r="S8671">
        <v>3.0590060000000001</v>
      </c>
      <c r="T8671">
        <v>-0.18033740000000001</v>
      </c>
      <c r="U8671">
        <v>0.5151367</v>
      </c>
      <c r="V8671">
        <v>0.48197899999999999</v>
      </c>
      <c r="W8671">
        <v>-6.7013000000000003E-2</v>
      </c>
      <c r="X8671">
        <v>0.87361630000000001</v>
      </c>
      <c r="Y8671">
        <v>0.69062819999999903</v>
      </c>
      <c r="Z8671">
        <v>-5.1990679999999997E-2</v>
      </c>
      <c r="AA8671">
        <v>0.7213387</v>
      </c>
      <c r="AB8671">
        <v>19</v>
      </c>
      <c r="AC8671">
        <v>18.857399999999998</v>
      </c>
      <c r="AD8671">
        <v>-1.115278777094</v>
      </c>
      <c r="AE8671">
        <v>3.1124000000000001</v>
      </c>
      <c r="AF8671">
        <v>13.232947746277301</v>
      </c>
      <c r="AG8671">
        <v>-1.115278777094</v>
      </c>
      <c r="AH8671">
        <v>13.700460496418</v>
      </c>
      <c r="AI8671">
        <v>93.350956345824997</v>
      </c>
      <c r="AJ8671">
        <v>45.9944459091966</v>
      </c>
      <c r="AK8671">
        <v>19.0802874878827</v>
      </c>
      <c r="AL8671">
        <v>93.842441761506606</v>
      </c>
      <c r="AM8671">
        <v>61.114232767981598</v>
      </c>
      <c r="AN8671">
        <v>0.99999996911784395</v>
      </c>
    </row>
    <row r="8672" spans="1:40" x14ac:dyDescent="0.25">
      <c r="A8672" t="str">
        <f>"20190303155018784"</f>
        <v>20190303155018784</v>
      </c>
      <c r="B8672" t="str">
        <f>"1551599418778988"</f>
        <v>1551599418778988</v>
      </c>
      <c r="C8672" t="s">
        <v>40</v>
      </c>
      <c r="D8672">
        <v>5.6402109999999999</v>
      </c>
      <c r="E8672">
        <v>0.60095350000000003</v>
      </c>
      <c r="F8672" t="s">
        <v>41</v>
      </c>
      <c r="G8672">
        <v>-164.3852</v>
      </c>
      <c r="H8672" s="1">
        <v>-3.6500950000000001E-6</v>
      </c>
      <c r="I8672">
        <v>133.94229999999999</v>
      </c>
      <c r="J8672">
        <v>-182.86930000000001</v>
      </c>
      <c r="K8672">
        <v>1.115197</v>
      </c>
      <c r="L8672">
        <v>130.96530000000001</v>
      </c>
      <c r="M8672">
        <v>0.6009603</v>
      </c>
      <c r="N8672">
        <v>-1.5091419999999999E-2</v>
      </c>
      <c r="O8672">
        <v>0.79913639999999997</v>
      </c>
      <c r="P8672">
        <v>0.9098832</v>
      </c>
      <c r="Q8672">
        <v>-7.3221469999999997E-2</v>
      </c>
      <c r="R8672">
        <v>0.40835189999999999</v>
      </c>
      <c r="S8672">
        <v>3.0602420000000001</v>
      </c>
      <c r="T8672">
        <v>-0.18402499999999999</v>
      </c>
      <c r="U8672">
        <v>0.5033569</v>
      </c>
      <c r="V8672">
        <v>0.48086010000000001</v>
      </c>
      <c r="W8672">
        <v>-6.6949460000000002E-2</v>
      </c>
      <c r="X8672">
        <v>0.8742375</v>
      </c>
      <c r="Y8672">
        <v>0.68925019999999904</v>
      </c>
      <c r="Z8672">
        <v>-5.3192820000000002E-2</v>
      </c>
      <c r="AA8672">
        <v>0.72256809999999905</v>
      </c>
      <c r="AB8672">
        <v>19</v>
      </c>
      <c r="AC8672">
        <v>18.484100000000002</v>
      </c>
      <c r="AD8672">
        <v>-1.115200650095</v>
      </c>
      <c r="AE8672">
        <v>2.9769999999999701</v>
      </c>
      <c r="AF8672">
        <v>12.937832948110801</v>
      </c>
      <c r="AG8672">
        <v>-1.115200650095</v>
      </c>
      <c r="AH8672">
        <v>13.441085925737999</v>
      </c>
      <c r="AI8672">
        <v>93.420882442465896</v>
      </c>
      <c r="AJ8672">
        <v>46.0929475287599</v>
      </c>
      <c r="AK8672">
        <v>18.6894083573094</v>
      </c>
      <c r="AL8672">
        <v>93.838793119896295</v>
      </c>
      <c r="AM8672">
        <v>61.1877231820757</v>
      </c>
      <c r="AN8672">
        <v>0.99999993618627303</v>
      </c>
    </row>
    <row r="8673" spans="1:40" x14ac:dyDescent="0.25">
      <c r="A8673" t="str">
        <f>"20190303155018795"</f>
        <v>20190303155018795</v>
      </c>
      <c r="B8673" t="str">
        <f>"1551599418789725"</f>
        <v>1551599418789725</v>
      </c>
      <c r="C8673" t="s">
        <v>40</v>
      </c>
      <c r="D8673">
        <v>5.6649279999999997</v>
      </c>
      <c r="E8673">
        <v>0.60065469999999999</v>
      </c>
      <c r="F8673" t="s">
        <v>41</v>
      </c>
      <c r="G8673">
        <v>-164.55619999999999</v>
      </c>
      <c r="H8673" s="1">
        <v>-3.593346E-6</v>
      </c>
      <c r="I8673">
        <v>133.90880000000001</v>
      </c>
      <c r="J8673">
        <v>-182.80520000000001</v>
      </c>
      <c r="K8673">
        <v>1.1151310000000001</v>
      </c>
      <c r="L8673">
        <v>131.03960000000001</v>
      </c>
      <c r="M8673">
        <v>0.60557169999999905</v>
      </c>
      <c r="N8673">
        <v>-1.506674E-2</v>
      </c>
      <c r="O8673">
        <v>0.79564809999999997</v>
      </c>
      <c r="P8673">
        <v>0.91178369999999997</v>
      </c>
      <c r="Q8673">
        <v>-7.2749830000000001E-2</v>
      </c>
      <c r="R8673">
        <v>0.40417579999999997</v>
      </c>
      <c r="S8673">
        <v>3.0612949999999999</v>
      </c>
      <c r="T8673">
        <v>-0.1864218</v>
      </c>
      <c r="U8673">
        <v>0.49205019999999999</v>
      </c>
      <c r="V8673">
        <v>0.47983880000000001</v>
      </c>
      <c r="W8673">
        <v>-6.6561090000000003E-2</v>
      </c>
      <c r="X8673">
        <v>0.87482819999999994</v>
      </c>
      <c r="Y8673">
        <v>0.68765500000000002</v>
      </c>
      <c r="Z8673">
        <v>-5.3947189999999999E-2</v>
      </c>
      <c r="AA8673">
        <v>0.72403059999999997</v>
      </c>
      <c r="AB8673">
        <v>19</v>
      </c>
      <c r="AC8673">
        <v>18.248999999999999</v>
      </c>
      <c r="AD8673">
        <v>-1.115134593346</v>
      </c>
      <c r="AE8673">
        <v>2.8692000000000002</v>
      </c>
      <c r="AF8673">
        <v>12.7373129825279</v>
      </c>
      <c r="AG8673">
        <v>-1.115134593346</v>
      </c>
      <c r="AH8673">
        <v>13.287048037528701</v>
      </c>
      <c r="AI8673">
        <v>93.467028788132197</v>
      </c>
      <c r="AJ8673">
        <v>46.210128264768898</v>
      </c>
      <c r="AK8673">
        <v>18.439856635227599</v>
      </c>
      <c r="AL8673">
        <v>93.816491104323504</v>
      </c>
      <c r="AM8673">
        <v>61.255456606269</v>
      </c>
      <c r="AN8673">
        <v>1.00000001610133</v>
      </c>
    </row>
    <row r="8674" spans="1:40" x14ac:dyDescent="0.25">
      <c r="A8674" t="str">
        <f>"20190303155018807"</f>
        <v>20190303155018807</v>
      </c>
      <c r="B8674" t="str">
        <f>"1551599418799485"</f>
        <v>1551599418799485</v>
      </c>
      <c r="C8674" t="s">
        <v>40</v>
      </c>
      <c r="D8674">
        <v>5.6723730000000003</v>
      </c>
      <c r="E8674">
        <v>0.60033939999999997</v>
      </c>
      <c r="F8674" t="s">
        <v>41</v>
      </c>
      <c r="G8674">
        <v>-164.72210000000001</v>
      </c>
      <c r="H8674" s="1">
        <v>-3.5388310000000001E-6</v>
      </c>
      <c r="I8674">
        <v>133.87430000000001</v>
      </c>
      <c r="J8674">
        <v>-182.7422</v>
      </c>
      <c r="K8674">
        <v>1.1150659999999999</v>
      </c>
      <c r="L8674">
        <v>131.11160000000001</v>
      </c>
      <c r="M8674">
        <v>0.61010410000000004</v>
      </c>
      <c r="N8674">
        <v>-1.5045660000000001E-2</v>
      </c>
      <c r="O8674">
        <v>0.79217850000000001</v>
      </c>
      <c r="P8674">
        <v>0.91366139999999996</v>
      </c>
      <c r="Q8674">
        <v>-7.1930889999999997E-2</v>
      </c>
      <c r="R8674">
        <v>0.40006130000000001</v>
      </c>
      <c r="S8674">
        <v>3.062408</v>
      </c>
      <c r="T8674">
        <v>-0.18884999999999999</v>
      </c>
      <c r="U8674">
        <v>0.48005680000000001</v>
      </c>
      <c r="V8674">
        <v>0.47884189999999999</v>
      </c>
      <c r="W8674">
        <v>-6.5814849999999994E-2</v>
      </c>
      <c r="X8674">
        <v>0.87543059999999995</v>
      </c>
      <c r="Y8674">
        <v>0.68627099999999996</v>
      </c>
      <c r="Z8674">
        <v>-5.4712089999999998E-2</v>
      </c>
      <c r="AA8674">
        <v>0.72528519999999996</v>
      </c>
      <c r="AB8674">
        <v>19</v>
      </c>
      <c r="AC8674">
        <v>18.0200999999999</v>
      </c>
      <c r="AD8674">
        <v>-1.1150695388309999</v>
      </c>
      <c r="AE8674">
        <v>2.7626999999999899</v>
      </c>
      <c r="AF8674">
        <v>12.544096625397801</v>
      </c>
      <c r="AG8674">
        <v>-1.1150695388309999</v>
      </c>
      <c r="AH8674">
        <v>13.1350401809575</v>
      </c>
      <c r="AI8674">
        <v>93.513172253833503</v>
      </c>
      <c r="AJ8674">
        <v>46.318291844569004</v>
      </c>
      <c r="AK8674">
        <v>18.196895910542398</v>
      </c>
      <c r="AL8674">
        <v>93.773640997098397</v>
      </c>
      <c r="AM8674">
        <v>61.322279579205798</v>
      </c>
      <c r="AN8674">
        <v>0.99999994754624499</v>
      </c>
    </row>
    <row r="8675" spans="1:40" x14ac:dyDescent="0.25">
      <c r="A8675" t="str">
        <f>"20190303155018821"</f>
        <v>20190303155018821</v>
      </c>
      <c r="B8675" t="str">
        <f>"1551599418809246"</f>
        <v>1551599418809246</v>
      </c>
      <c r="C8675" t="s">
        <v>40</v>
      </c>
      <c r="D8675">
        <v>5.6722289999999997</v>
      </c>
      <c r="E8675">
        <v>0.60016389999999997</v>
      </c>
      <c r="F8675" t="s">
        <v>41</v>
      </c>
      <c r="G8675">
        <v>-164.7045</v>
      </c>
      <c r="H8675" s="1">
        <v>-3.547035E-6</v>
      </c>
      <c r="I8675">
        <v>133.86879999999999</v>
      </c>
      <c r="J8675">
        <v>-182.6609</v>
      </c>
      <c r="K8675">
        <v>1.114989</v>
      </c>
      <c r="L8675">
        <v>131.20359999999999</v>
      </c>
      <c r="M8675">
        <v>0.61594669999999996</v>
      </c>
      <c r="N8675">
        <v>-1.5021609999999999E-2</v>
      </c>
      <c r="O8675">
        <v>0.78764460000000003</v>
      </c>
      <c r="P8675">
        <v>0.91629249999999995</v>
      </c>
      <c r="Q8675">
        <v>-7.0999510000000002E-2</v>
      </c>
      <c r="R8675">
        <v>0.39416649999999998</v>
      </c>
      <c r="S8675">
        <v>3.0635219999999999</v>
      </c>
      <c r="T8675">
        <v>-0.18938289999999999</v>
      </c>
      <c r="U8675">
        <v>0.468277</v>
      </c>
      <c r="V8675">
        <v>0.47806599999999999</v>
      </c>
      <c r="W8675">
        <v>-6.4980120000000002E-2</v>
      </c>
      <c r="X8675">
        <v>0.8759169</v>
      </c>
      <c r="Y8675">
        <v>0.68365200000000004</v>
      </c>
      <c r="Z8675">
        <v>-5.4787679999999998E-2</v>
      </c>
      <c r="AA8675">
        <v>0.72774879999999997</v>
      </c>
      <c r="AB8675">
        <v>19</v>
      </c>
      <c r="AC8675">
        <v>17.956399999999999</v>
      </c>
      <c r="AD8675">
        <v>-1.1149925470349999</v>
      </c>
      <c r="AE8675">
        <v>2.6651999999999898</v>
      </c>
      <c r="AF8675">
        <v>12.456059247185999</v>
      </c>
      <c r="AG8675">
        <v>-1.1149925470349999</v>
      </c>
      <c r="AH8675">
        <v>13.1114363529634</v>
      </c>
      <c r="AI8675">
        <v>93.528006750272098</v>
      </c>
      <c r="AJ8675">
        <v>46.468353478231101</v>
      </c>
      <c r="AK8675">
        <v>18.119226903683298</v>
      </c>
      <c r="AL8675">
        <v>93.725711815999105</v>
      </c>
      <c r="AM8675">
        <v>61.374763972697998</v>
      </c>
      <c r="AN8675">
        <v>0.99999996602841101</v>
      </c>
    </row>
    <row r="8676" spans="1:40" x14ac:dyDescent="0.25">
      <c r="A8676" t="str">
        <f>"20190303155018835"</f>
        <v>20190303155018835</v>
      </c>
      <c r="B8676" t="str">
        <f>"1551599418829271"</f>
        <v>1551599418829271</v>
      </c>
      <c r="C8676" t="s">
        <v>40</v>
      </c>
      <c r="D8676">
        <v>5.6625040000000002</v>
      </c>
      <c r="E8676">
        <v>0.59986159999999999</v>
      </c>
      <c r="F8676" t="s">
        <v>41</v>
      </c>
      <c r="G8676">
        <v>-164.57419999999999</v>
      </c>
      <c r="H8676" s="1">
        <v>-3.6003480000000001E-6</v>
      </c>
      <c r="I8676">
        <v>133.85640000000001</v>
      </c>
      <c r="J8676">
        <v>-182.57839999999999</v>
      </c>
      <c r="K8676">
        <v>1.1149209999999901</v>
      </c>
      <c r="L8676">
        <v>131.29490000000001</v>
      </c>
      <c r="M8676">
        <v>0.6218804</v>
      </c>
      <c r="N8676">
        <v>-1.500404E-2</v>
      </c>
      <c r="O8676">
        <v>0.78296849999999996</v>
      </c>
      <c r="P8676">
        <v>0.91884239999999995</v>
      </c>
      <c r="Q8676">
        <v>-7.0419739999999995E-2</v>
      </c>
      <c r="R8676">
        <v>0.38829079999999999</v>
      </c>
      <c r="S8676">
        <v>3.0659640000000001</v>
      </c>
      <c r="T8676">
        <v>-0.18900790000000001</v>
      </c>
      <c r="U8676">
        <v>0.44969179999999997</v>
      </c>
      <c r="V8676">
        <v>0.47708970000000001</v>
      </c>
      <c r="W8676">
        <v>-6.4478549999999996E-2</v>
      </c>
      <c r="X8676">
        <v>0.87648609999999905</v>
      </c>
      <c r="Y8676">
        <v>0.68255690000000002</v>
      </c>
      <c r="Z8676">
        <v>-5.4602480000000002E-2</v>
      </c>
      <c r="AA8676">
        <v>0.72878980000000004</v>
      </c>
      <c r="AB8676">
        <v>19</v>
      </c>
      <c r="AC8676">
        <v>18.004199999999901</v>
      </c>
      <c r="AD8676">
        <v>-1.11492460034799</v>
      </c>
      <c r="AE8676">
        <v>2.5614999999999899</v>
      </c>
      <c r="AF8676">
        <v>12.4583548244401</v>
      </c>
      <c r="AG8676">
        <v>-1.11492460034799</v>
      </c>
      <c r="AH8676">
        <v>13.154076487223101</v>
      </c>
      <c r="AI8676">
        <v>93.521476759722503</v>
      </c>
      <c r="AJ8676">
        <v>46.555967677484503</v>
      </c>
      <c r="AK8676">
        <v>18.151677333729399</v>
      </c>
      <c r="AL8676">
        <v>93.696913545674505</v>
      </c>
      <c r="AM8676">
        <v>61.439623725394704</v>
      </c>
      <c r="AN8676">
        <v>0.99999997437470001</v>
      </c>
    </row>
    <row r="8677" spans="1:40" x14ac:dyDescent="0.25">
      <c r="A8677" t="str">
        <f>"20190303155018848"</f>
        <v>20190303155018848</v>
      </c>
      <c r="B8677" t="str">
        <f>"1551599418839031"</f>
        <v>1551599418839031</v>
      </c>
      <c r="C8677" t="s">
        <v>40</v>
      </c>
      <c r="D8677">
        <v>5.6441619999999997</v>
      </c>
      <c r="E8677">
        <v>0.5996224</v>
      </c>
      <c r="F8677" t="s">
        <v>41</v>
      </c>
      <c r="G8677">
        <v>-164.71979999999999</v>
      </c>
      <c r="H8677" s="1">
        <v>-3.556876E-6</v>
      </c>
      <c r="I8677">
        <v>133.8098</v>
      </c>
      <c r="J8677">
        <v>-182.50460000000001</v>
      </c>
      <c r="K8677">
        <v>1.114865</v>
      </c>
      <c r="L8677">
        <v>131.37540000000001</v>
      </c>
      <c r="M8677">
        <v>0.62717400000000001</v>
      </c>
      <c r="N8677">
        <v>-1.4991350000000001E-2</v>
      </c>
      <c r="O8677">
        <v>0.77873490000000001</v>
      </c>
      <c r="P8677">
        <v>0.92116109999999896</v>
      </c>
      <c r="Q8677">
        <v>-6.9663210000000003E-2</v>
      </c>
      <c r="R8677">
        <v>0.38289620000000002</v>
      </c>
      <c r="S8677">
        <v>3.0677340000000002</v>
      </c>
      <c r="T8677">
        <v>-0.19151989999999999</v>
      </c>
      <c r="U8677">
        <v>0.43200680000000002</v>
      </c>
      <c r="V8677">
        <v>0.47633520000000001</v>
      </c>
      <c r="W8677">
        <v>-6.3784149999999998E-2</v>
      </c>
      <c r="X8677">
        <v>0.87694719999999904</v>
      </c>
      <c r="Y8677">
        <v>0.68173139999999999</v>
      </c>
      <c r="Z8677">
        <v>-5.5387680000000002E-2</v>
      </c>
      <c r="AA8677">
        <v>0.72950289999999995</v>
      </c>
      <c r="AB8677">
        <v>19</v>
      </c>
      <c r="AC8677">
        <v>17.784800000000001</v>
      </c>
      <c r="AD8677">
        <v>-1.1148685568759999</v>
      </c>
      <c r="AE8677">
        <v>2.4343999999999801</v>
      </c>
      <c r="AF8677">
        <v>12.2768808874282</v>
      </c>
      <c r="AG8677">
        <v>-1.1148685568759999</v>
      </c>
      <c r="AH8677">
        <v>13.0012328599421</v>
      </c>
      <c r="AI8677">
        <v>93.567603851205902</v>
      </c>
      <c r="AJ8677">
        <v>46.641378679142399</v>
      </c>
      <c r="AK8677">
        <v>17.916383343232201</v>
      </c>
      <c r="AL8677">
        <v>93.657045131695</v>
      </c>
      <c r="AM8677">
        <v>61.490326745408403</v>
      </c>
      <c r="AN8677">
        <v>1.0000000160690501</v>
      </c>
    </row>
    <row r="8678" spans="1:40" x14ac:dyDescent="0.25">
      <c r="A8678" t="str">
        <f>"20190303155018864"</f>
        <v>20190303155018864</v>
      </c>
      <c r="B8678" t="str">
        <f>"1551599418859527"</f>
        <v>1551599418859527</v>
      </c>
      <c r="C8678" t="s">
        <v>40</v>
      </c>
      <c r="D8678">
        <v>5.6782760000000003</v>
      </c>
      <c r="E8678">
        <v>0.59927379999999997</v>
      </c>
      <c r="F8678" t="s">
        <v>41</v>
      </c>
      <c r="G8678">
        <v>-164.6294</v>
      </c>
      <c r="H8678" s="1">
        <v>-3.5952319999999999E-6</v>
      </c>
      <c r="I8678">
        <v>133.7961</v>
      </c>
      <c r="J8678">
        <v>-182.4161</v>
      </c>
      <c r="K8678">
        <v>1.114806</v>
      </c>
      <c r="L8678">
        <v>131.47049999999999</v>
      </c>
      <c r="M8678">
        <v>0.63350119999999999</v>
      </c>
      <c r="N8678">
        <v>-1.497943E-2</v>
      </c>
      <c r="O8678">
        <v>0.77359669999999903</v>
      </c>
      <c r="P8678">
        <v>0.9236742</v>
      </c>
      <c r="Q8678">
        <v>-6.7712770000000005E-2</v>
      </c>
      <c r="R8678">
        <v>0.3771485</v>
      </c>
      <c r="S8678">
        <v>3.0695039999999998</v>
      </c>
      <c r="T8678">
        <v>-0.19144330000000001</v>
      </c>
      <c r="U8678">
        <v>0.41567989999999999</v>
      </c>
      <c r="V8678">
        <v>0.4747847</v>
      </c>
      <c r="W8678">
        <v>-6.188105E-2</v>
      </c>
      <c r="X8678">
        <v>0.87792380000000003</v>
      </c>
      <c r="Y8678">
        <v>0.67964609999999903</v>
      </c>
      <c r="Z8678">
        <v>-5.5249930000000003E-2</v>
      </c>
      <c r="AA8678">
        <v>0.73145649999999995</v>
      </c>
      <c r="AB8678">
        <v>19</v>
      </c>
      <c r="AC8678">
        <v>17.7866999999999</v>
      </c>
      <c r="AD8678">
        <v>-1.1148095952320001</v>
      </c>
      <c r="AE8678">
        <v>2.3256000000000001</v>
      </c>
      <c r="AF8678">
        <v>12.240563605740601</v>
      </c>
      <c r="AG8678">
        <v>-1.1148095952320001</v>
      </c>
      <c r="AH8678">
        <v>13.0181581069141</v>
      </c>
      <c r="AI8678">
        <v>93.569922210701705</v>
      </c>
      <c r="AJ8678">
        <v>46.7633044508609</v>
      </c>
      <c r="AK8678">
        <v>17.9038163059281</v>
      </c>
      <c r="AL8678">
        <v>93.547789741351707</v>
      </c>
      <c r="AM8678">
        <v>61.595300142936502</v>
      </c>
      <c r="AN8678">
        <v>0.99999998715481597</v>
      </c>
    </row>
    <row r="8679" spans="1:40" x14ac:dyDescent="0.25">
      <c r="A8679" t="str">
        <f>"20190303155018877"</f>
        <v>20190303155018877</v>
      </c>
      <c r="B8679" t="str">
        <f>"1551599418869287"</f>
        <v>1551599418869287</v>
      </c>
      <c r="C8679" t="s">
        <v>40</v>
      </c>
      <c r="D8679">
        <v>5.6696210000000002</v>
      </c>
      <c r="E8679">
        <v>0.59915450000000003</v>
      </c>
      <c r="F8679" t="s">
        <v>41</v>
      </c>
      <c r="G8679">
        <v>-163.27099999999999</v>
      </c>
      <c r="H8679" s="1">
        <v>-4.1646279999999998E-6</v>
      </c>
      <c r="I8679">
        <v>133.96019999999999</v>
      </c>
      <c r="J8679">
        <v>-182.33690000000001</v>
      </c>
      <c r="K8679">
        <v>1.1147560000000001</v>
      </c>
      <c r="L8679">
        <v>131.554</v>
      </c>
      <c r="M8679">
        <v>0.63913730000000002</v>
      </c>
      <c r="N8679">
        <v>-1.4972589999999999E-2</v>
      </c>
      <c r="O8679">
        <v>0.76894689999999999</v>
      </c>
      <c r="P8679">
        <v>0.9260815</v>
      </c>
      <c r="Q8679">
        <v>-6.7304470000000005E-2</v>
      </c>
      <c r="R8679">
        <v>0.37127280000000001</v>
      </c>
      <c r="S8679">
        <v>3.0716860000000001</v>
      </c>
      <c r="T8679">
        <v>-0.17886289999999999</v>
      </c>
      <c r="U8679">
        <v>0.39944459999999998</v>
      </c>
      <c r="V8679">
        <v>0.47396880000000002</v>
      </c>
      <c r="W8679">
        <v>-6.1519659999999997E-2</v>
      </c>
      <c r="X8679">
        <v>0.87839</v>
      </c>
      <c r="Y8679">
        <v>0.67843659999999995</v>
      </c>
      <c r="Z8679">
        <v>-5.1030060000000002E-2</v>
      </c>
      <c r="AA8679">
        <v>0.73288450000000005</v>
      </c>
      <c r="AB8679">
        <v>19</v>
      </c>
      <c r="AC8679">
        <v>19.065899999999999</v>
      </c>
      <c r="AD8679">
        <v>-1.1147601646280001</v>
      </c>
      <c r="AE8679">
        <v>2.4061999999999801</v>
      </c>
      <c r="AF8679">
        <v>13.0802286711675</v>
      </c>
      <c r="AG8679">
        <v>-1.1147601646280001</v>
      </c>
      <c r="AH8679">
        <v>13.990463453092699</v>
      </c>
      <c r="AI8679">
        <v>93.331076790328098</v>
      </c>
      <c r="AJ8679">
        <v>46.925808542707998</v>
      </c>
      <c r="AK8679">
        <v>19.185102031185501</v>
      </c>
      <c r="AL8679">
        <v>93.527043899145795</v>
      </c>
      <c r="AM8679">
        <v>61.649228419303199</v>
      </c>
      <c r="AN8679">
        <v>1.0000000420199699</v>
      </c>
    </row>
    <row r="8680" spans="1:40" x14ac:dyDescent="0.25">
      <c r="A8680" t="str">
        <f>"20190303155018890"</f>
        <v>20190303155018890</v>
      </c>
      <c r="B8680" t="str">
        <f>"1551599418879047"</f>
        <v>1551599418879047</v>
      </c>
      <c r="C8680" t="s">
        <v>40</v>
      </c>
      <c r="D8680">
        <v>5.7138960000000001</v>
      </c>
      <c r="E8680">
        <v>0.59900100000000001</v>
      </c>
      <c r="F8680" t="s">
        <v>41</v>
      </c>
      <c r="G8680">
        <v>-163.3262</v>
      </c>
      <c r="H8680" s="1">
        <v>-4.1477439999999996E-6</v>
      </c>
      <c r="I8680">
        <v>133.9083</v>
      </c>
      <c r="J8680">
        <v>-182.25970000000001</v>
      </c>
      <c r="K8680">
        <v>1.1147100000000001</v>
      </c>
      <c r="L8680">
        <v>131.63399999999999</v>
      </c>
      <c r="M8680">
        <v>0.64460799999999996</v>
      </c>
      <c r="N8680">
        <v>-1.496805E-2</v>
      </c>
      <c r="O8680">
        <v>0.76436669999999995</v>
      </c>
      <c r="P8680">
        <v>0.92846779999999995</v>
      </c>
      <c r="Q8680">
        <v>-6.7011760000000004E-2</v>
      </c>
      <c r="R8680">
        <v>0.36531799999999998</v>
      </c>
      <c r="S8680">
        <v>3.0737459999999999</v>
      </c>
      <c r="T8680">
        <v>-0.18023939999999999</v>
      </c>
      <c r="U8680">
        <v>0.38066100000000003</v>
      </c>
      <c r="V8680">
        <v>0.47335660000000002</v>
      </c>
      <c r="W8680">
        <v>-6.1268019999999999E-2</v>
      </c>
      <c r="X8680">
        <v>0.87873760000000001</v>
      </c>
      <c r="Y8680">
        <v>0.67764409999999997</v>
      </c>
      <c r="Z8680">
        <v>-5.1420210000000001E-2</v>
      </c>
      <c r="AA8680">
        <v>0.73359010000000002</v>
      </c>
      <c r="AB8680">
        <v>19</v>
      </c>
      <c r="AC8680">
        <v>18.933499999999999</v>
      </c>
      <c r="AD8680">
        <v>-1.1147141477439999</v>
      </c>
      <c r="AE8680">
        <v>2.27430000000001</v>
      </c>
      <c r="AF8680">
        <v>12.963267009128099</v>
      </c>
      <c r="AG8680">
        <v>-1.1147141477439999</v>
      </c>
      <c r="AH8680">
        <v>13.897160712425199</v>
      </c>
      <c r="AI8680">
        <v>93.356824036701497</v>
      </c>
      <c r="AJ8680">
        <v>46.991279623058901</v>
      </c>
      <c r="AK8680">
        <v>19.037330565184401</v>
      </c>
      <c r="AL8680">
        <v>93.512598869668594</v>
      </c>
      <c r="AM8680">
        <v>61.689631102014303</v>
      </c>
      <c r="AN8680">
        <v>1.0000000053460201</v>
      </c>
    </row>
    <row r="8681" spans="1:40" x14ac:dyDescent="0.25">
      <c r="A8681" t="str">
        <f>"20190303155018903"</f>
        <v>20190303155018903</v>
      </c>
      <c r="B8681" t="str">
        <f>"1551599418899544"</f>
        <v>1551599418899544</v>
      </c>
      <c r="C8681" t="s">
        <v>40</v>
      </c>
      <c r="D8681">
        <v>5.7348369999999997</v>
      </c>
      <c r="E8681">
        <v>0.59922359999999997</v>
      </c>
      <c r="F8681" t="s">
        <v>41</v>
      </c>
      <c r="G8681">
        <v>-163.50749999999999</v>
      </c>
      <c r="H8681" s="1">
        <v>-4.0741529999999996E-6</v>
      </c>
      <c r="I8681">
        <v>133.8399</v>
      </c>
      <c r="J8681">
        <v>-182.18440000000001</v>
      </c>
      <c r="K8681">
        <v>1.1146659999999999</v>
      </c>
      <c r="L8681">
        <v>131.71119999999999</v>
      </c>
      <c r="M8681">
        <v>0.64991919999999903</v>
      </c>
      <c r="N8681">
        <v>-1.496451E-2</v>
      </c>
      <c r="O8681">
        <v>0.75985590000000003</v>
      </c>
      <c r="P8681">
        <v>0.9306797</v>
      </c>
      <c r="Q8681">
        <v>-6.7354300000000006E-2</v>
      </c>
      <c r="R8681">
        <v>0.35958119999999999</v>
      </c>
      <c r="S8681">
        <v>3.075577</v>
      </c>
      <c r="T8681">
        <v>-0.18282580000000001</v>
      </c>
      <c r="U8681">
        <v>0.36180109999999999</v>
      </c>
      <c r="V8681">
        <v>0.47262609999999999</v>
      </c>
      <c r="W8681">
        <v>-6.164335E-2</v>
      </c>
      <c r="X8681">
        <v>0.87910449999999996</v>
      </c>
      <c r="Y8681">
        <v>0.67695930000000004</v>
      </c>
      <c r="Z8681">
        <v>-5.2206710000000003E-2</v>
      </c>
      <c r="AA8681">
        <v>0.7341666</v>
      </c>
      <c r="AB8681">
        <v>19</v>
      </c>
      <c r="AC8681">
        <v>18.6769</v>
      </c>
      <c r="AD8681">
        <v>-1.114670074153</v>
      </c>
      <c r="AE8681">
        <v>2.1286999999999998</v>
      </c>
      <c r="AF8681">
        <v>12.7648206110887</v>
      </c>
      <c r="AG8681">
        <v>-1.114670074153</v>
      </c>
      <c r="AH8681">
        <v>13.7093172255399</v>
      </c>
      <c r="AI8681">
        <v>93.405446882955999</v>
      </c>
      <c r="AJ8681">
        <v>47.043229067851499</v>
      </c>
      <c r="AK8681">
        <v>18.765087620311601</v>
      </c>
      <c r="AL8681">
        <v>93.534144341470395</v>
      </c>
      <c r="AM8681">
        <v>61.736538266043802</v>
      </c>
      <c r="AN8681">
        <v>1.00000002746034</v>
      </c>
    </row>
    <row r="8682" spans="1:40" x14ac:dyDescent="0.25">
      <c r="A8682" t="str">
        <f>"20190303155018912"</f>
        <v>20190303155018912</v>
      </c>
      <c r="B8682" t="str">
        <f>"1551599418909303"</f>
        <v>1551599418909303</v>
      </c>
      <c r="C8682" t="s">
        <v>40</v>
      </c>
      <c r="D8682">
        <v>5.7677569999999996</v>
      </c>
      <c r="E8682">
        <v>0.59935249999999995</v>
      </c>
      <c r="F8682" t="s">
        <v>41</v>
      </c>
      <c r="G8682">
        <v>-163.9341</v>
      </c>
      <c r="H8682" s="1">
        <v>-3.8915220000000001E-6</v>
      </c>
      <c r="I8682">
        <v>133.7328</v>
      </c>
      <c r="J8682">
        <v>-182.11940000000001</v>
      </c>
      <c r="K8682">
        <v>1.1146339999999999</v>
      </c>
      <c r="L8682">
        <v>131.7765</v>
      </c>
      <c r="M8682">
        <v>0.65447290000000002</v>
      </c>
      <c r="N8682">
        <v>-1.496314E-2</v>
      </c>
      <c r="O8682">
        <v>0.75593739999999998</v>
      </c>
      <c r="P8682">
        <v>0.93254159999999997</v>
      </c>
      <c r="Q8682">
        <v>-6.768478E-2</v>
      </c>
      <c r="R8682">
        <v>0.35466189999999997</v>
      </c>
      <c r="S8682">
        <v>3.0781100000000001</v>
      </c>
      <c r="T8682">
        <v>-0.1880009</v>
      </c>
      <c r="U8682">
        <v>0.34095760000000003</v>
      </c>
      <c r="V8682">
        <v>0.47195900000000002</v>
      </c>
      <c r="W8682">
        <v>-6.1993449999999999E-2</v>
      </c>
      <c r="X8682">
        <v>0.87943819999999995</v>
      </c>
      <c r="Y8682">
        <v>0.6774076</v>
      </c>
      <c r="Z8682">
        <v>-5.3867150000000003E-2</v>
      </c>
      <c r="AA8682">
        <v>0.73363299999999998</v>
      </c>
      <c r="AB8682">
        <v>19</v>
      </c>
      <c r="AC8682">
        <v>18.185300000000002</v>
      </c>
      <c r="AD8682">
        <v>-1.1146378915219901</v>
      </c>
      <c r="AE8682">
        <v>1.9562999999999899</v>
      </c>
      <c r="AF8682">
        <v>12.4218652492661</v>
      </c>
      <c r="AG8682">
        <v>-1.1146378915219901</v>
      </c>
      <c r="AH8682">
        <v>13.3326084712071</v>
      </c>
      <c r="AI8682">
        <v>93.500310834326996</v>
      </c>
      <c r="AJ8682">
        <v>47.025279509763301</v>
      </c>
      <c r="AK8682">
        <v>18.256604354223299</v>
      </c>
      <c r="AL8682">
        <v>93.554242070747193</v>
      </c>
      <c r="AM8682">
        <v>61.779339402319103</v>
      </c>
      <c r="AN8682">
        <v>1.0000000165715699</v>
      </c>
    </row>
    <row r="8683" spans="1:40" x14ac:dyDescent="0.25">
      <c r="A8683" t="str">
        <f>"20190303155018925"</f>
        <v>20190303155018925</v>
      </c>
      <c r="B8683" t="str">
        <f>"1551599418919382"</f>
        <v>1551599418919382</v>
      </c>
      <c r="C8683" t="s">
        <v>40</v>
      </c>
      <c r="D8683">
        <v>5.5517779999999997</v>
      </c>
      <c r="E8683">
        <v>0.59908289999999997</v>
      </c>
      <c r="F8683" t="s">
        <v>41</v>
      </c>
      <c r="G8683">
        <v>-164.11259999999999</v>
      </c>
      <c r="H8683" s="1">
        <v>-3.8276270000000001E-6</v>
      </c>
      <c r="I8683">
        <v>133.66849999999999</v>
      </c>
      <c r="J8683">
        <v>-182.0505</v>
      </c>
      <c r="K8683">
        <v>1.114603</v>
      </c>
      <c r="L8683">
        <v>131.8451</v>
      </c>
      <c r="M8683">
        <v>0.65927119999999995</v>
      </c>
      <c r="N8683">
        <v>-1.4961820000000001E-2</v>
      </c>
      <c r="O8683">
        <v>0.75175630000000004</v>
      </c>
      <c r="P8683">
        <v>0.93454099999999996</v>
      </c>
      <c r="Q8683">
        <v>-6.8117380000000005E-2</v>
      </c>
      <c r="R8683">
        <v>0.34927520000000001</v>
      </c>
      <c r="S8683">
        <v>3.0800930000000002</v>
      </c>
      <c r="T8683">
        <v>-0.1906612</v>
      </c>
      <c r="U8683">
        <v>0.32362370000000001</v>
      </c>
      <c r="V8683">
        <v>0.47140169999999998</v>
      </c>
      <c r="W8683">
        <v>-6.2446689999999999E-2</v>
      </c>
      <c r="X8683">
        <v>0.87970499999999996</v>
      </c>
      <c r="Y8683">
        <v>0.67680779999999996</v>
      </c>
      <c r="Z8683">
        <v>-5.465772E-2</v>
      </c>
      <c r="AA8683">
        <v>0.73412790000000006</v>
      </c>
      <c r="AB8683">
        <v>19</v>
      </c>
      <c r="AC8683">
        <v>17.937899999999999</v>
      </c>
      <c r="AD8683">
        <v>-1.114606827627</v>
      </c>
      <c r="AE8683">
        <v>1.8233999999999899</v>
      </c>
      <c r="AF8683">
        <v>12.237424311479201</v>
      </c>
      <c r="AG8683">
        <v>-1.114606827627</v>
      </c>
      <c r="AH8683">
        <v>13.1479262306447</v>
      </c>
      <c r="AI8683">
        <v>93.550916531080702</v>
      </c>
      <c r="AJ8683">
        <v>47.054159692261599</v>
      </c>
      <c r="AK8683">
        <v>17.996245895348501</v>
      </c>
      <c r="AL8683">
        <v>93.580261212658399</v>
      </c>
      <c r="AM8683">
        <v>61.814772472907599</v>
      </c>
      <c r="AN8683">
        <v>1.0000000194399199</v>
      </c>
    </row>
    <row r="8684" spans="1:40" x14ac:dyDescent="0.25">
      <c r="A8684" t="str">
        <f>"20190303155018934"</f>
        <v>20190303155018934</v>
      </c>
      <c r="B8684" t="str">
        <f>"1551599418929143"</f>
        <v>1551599418929143</v>
      </c>
      <c r="C8684" t="s">
        <v>40</v>
      </c>
      <c r="D8684">
        <v>5.5666539999999998</v>
      </c>
      <c r="E8684">
        <v>0.59880719999999898</v>
      </c>
      <c r="F8684" t="s">
        <v>41</v>
      </c>
      <c r="G8684">
        <v>-163.66839999999999</v>
      </c>
      <c r="H8684" s="1">
        <v>-4.0257880000000002E-6</v>
      </c>
      <c r="I8684">
        <v>133.68379999999999</v>
      </c>
      <c r="J8684">
        <v>-181.9854</v>
      </c>
      <c r="K8684">
        <v>1.1145769999999999</v>
      </c>
      <c r="L8684">
        <v>131.90889999999999</v>
      </c>
      <c r="M8684">
        <v>0.66377649999999999</v>
      </c>
      <c r="N8684">
        <v>-1.4961169999999999E-2</v>
      </c>
      <c r="O8684">
        <v>0.74778140000000004</v>
      </c>
      <c r="P8684">
        <v>0.93634519999999999</v>
      </c>
      <c r="Q8684">
        <v>-6.8556710000000007E-2</v>
      </c>
      <c r="R8684">
        <v>0.34432220000000002</v>
      </c>
      <c r="S8684">
        <v>3.0813449999999998</v>
      </c>
      <c r="T8684">
        <v>-0.18683920000000001</v>
      </c>
      <c r="U8684">
        <v>0.30821229999999999</v>
      </c>
      <c r="V8684">
        <v>0.47073999999999999</v>
      </c>
      <c r="W8684">
        <v>-6.2896030000000006E-2</v>
      </c>
      <c r="X8684">
        <v>0.88002719999999901</v>
      </c>
      <c r="Y8684">
        <v>0.67614240000000003</v>
      </c>
      <c r="Z8684">
        <v>-5.3348819999999998E-2</v>
      </c>
      <c r="AA8684">
        <v>0.73483699999999996</v>
      </c>
      <c r="AB8684">
        <v>19</v>
      </c>
      <c r="AC8684">
        <v>18.317</v>
      </c>
      <c r="AD8684">
        <v>-1.114581025788</v>
      </c>
      <c r="AE8684">
        <v>1.7748999999999999</v>
      </c>
      <c r="AF8684">
        <v>12.474616014875</v>
      </c>
      <c r="AG8684">
        <v>-1.114581025788</v>
      </c>
      <c r="AH8684">
        <v>13.437847186572601</v>
      </c>
      <c r="AI8684">
        <v>93.478617306621899</v>
      </c>
      <c r="AJ8684">
        <v>47.128847476136002</v>
      </c>
      <c r="AK8684">
        <v>18.369378666446501</v>
      </c>
      <c r="AL8684">
        <v>93.606057402134596</v>
      </c>
      <c r="AM8684">
        <v>61.856992632034398</v>
      </c>
      <c r="AN8684">
        <v>0.99999996546479897</v>
      </c>
    </row>
    <row r="8685" spans="1:40" x14ac:dyDescent="0.25">
      <c r="A8685" t="str">
        <f>"20190303155018945"</f>
        <v>20190303155018945</v>
      </c>
      <c r="B8685" t="str">
        <f>"1551599418939878"</f>
        <v>1551599418939878</v>
      </c>
      <c r="C8685" t="s">
        <v>40</v>
      </c>
      <c r="D8685">
        <v>5.7569589999999904</v>
      </c>
      <c r="E8685">
        <v>0.59861850000000005</v>
      </c>
      <c r="F8685" t="s">
        <v>41</v>
      </c>
      <c r="G8685">
        <v>-163.1927</v>
      </c>
      <c r="H8685" s="1">
        <v>-4.2473010000000002E-6</v>
      </c>
      <c r="I8685">
        <v>133.70269999999999</v>
      </c>
      <c r="J8685">
        <v>-181.92099999999999</v>
      </c>
      <c r="K8685">
        <v>1.1145510000000001</v>
      </c>
      <c r="L8685">
        <v>131.97130000000001</v>
      </c>
      <c r="M8685">
        <v>0.66820429999999997</v>
      </c>
      <c r="N8685">
        <v>-1.496069E-2</v>
      </c>
      <c r="O8685">
        <v>0.74382740000000003</v>
      </c>
      <c r="P8685">
        <v>0.93819859999999999</v>
      </c>
      <c r="Q8685">
        <v>-6.9817889999999994E-2</v>
      </c>
      <c r="R8685">
        <v>0.33898260000000002</v>
      </c>
      <c r="S8685">
        <v>3.0823670000000001</v>
      </c>
      <c r="T8685">
        <v>-0.18281339999999999</v>
      </c>
      <c r="U8685">
        <v>0.29420469999999999</v>
      </c>
      <c r="V8685">
        <v>0.47043689999999999</v>
      </c>
      <c r="W8685">
        <v>-6.417146E-2</v>
      </c>
      <c r="X8685">
        <v>0.88009720000000002</v>
      </c>
      <c r="Y8685">
        <v>0.67519609999999997</v>
      </c>
      <c r="Z8685">
        <v>-5.1967579999999999E-2</v>
      </c>
      <c r="AA8685">
        <v>0.7358055</v>
      </c>
      <c r="AB8685">
        <v>19</v>
      </c>
      <c r="AC8685">
        <v>18.728299999999901</v>
      </c>
      <c r="AD8685">
        <v>-1.1145552473010001</v>
      </c>
      <c r="AE8685">
        <v>1.7313999999999701</v>
      </c>
      <c r="AF8685">
        <v>12.730418768206301</v>
      </c>
      <c r="AG8685">
        <v>-1.1145552473010001</v>
      </c>
      <c r="AH8685">
        <v>13.7554339762324</v>
      </c>
      <c r="AI8685">
        <v>93.403212992590397</v>
      </c>
      <c r="AJ8685">
        <v>47.216268141888698</v>
      </c>
      <c r="AK8685">
        <v>18.775456300385201</v>
      </c>
      <c r="AL8685">
        <v>93.679282095525906</v>
      </c>
      <c r="AM8685">
        <v>61.874233092382703</v>
      </c>
      <c r="AN8685">
        <v>0.99999996730398999</v>
      </c>
    </row>
    <row r="8686" spans="1:40" x14ac:dyDescent="0.25">
      <c r="A8686" t="str">
        <f>"20190303155018956"</f>
        <v>20190303155018956</v>
      </c>
      <c r="B8686" t="str">
        <f>"1551599418949639"</f>
        <v>1551599418949639</v>
      </c>
      <c r="C8686" t="s">
        <v>40</v>
      </c>
      <c r="D8686">
        <v>5.786759</v>
      </c>
      <c r="E8686">
        <v>0.59856999999999905</v>
      </c>
      <c r="F8686" t="s">
        <v>41</v>
      </c>
      <c r="G8686">
        <v>-163.8254</v>
      </c>
      <c r="H8686" s="1">
        <v>-3.96599E-6</v>
      </c>
      <c r="I8686">
        <v>133.60239999999999</v>
      </c>
      <c r="J8686">
        <v>-181.85050000000001</v>
      </c>
      <c r="K8686">
        <v>1.114525</v>
      </c>
      <c r="L8686">
        <v>132.03870000000001</v>
      </c>
      <c r="M8686">
        <v>0.67301109999999997</v>
      </c>
      <c r="N8686">
        <v>-1.4960370000000001E-2</v>
      </c>
      <c r="O8686">
        <v>0.7394811</v>
      </c>
      <c r="P8686">
        <v>0.94014880000000001</v>
      </c>
      <c r="Q8686">
        <v>-7.0820309999999997E-2</v>
      </c>
      <c r="R8686">
        <v>0.3333237</v>
      </c>
      <c r="S8686">
        <v>3.0830839999999999</v>
      </c>
      <c r="T8686">
        <v>-0.18989590000000001</v>
      </c>
      <c r="U8686">
        <v>0.2779083</v>
      </c>
      <c r="V8686">
        <v>0.4699623</v>
      </c>
      <c r="W8686">
        <v>-6.5180450000000001E-2</v>
      </c>
      <c r="X8686">
        <v>0.88027659999999996</v>
      </c>
      <c r="Y8686">
        <v>0.67414010000000002</v>
      </c>
      <c r="Z8686">
        <v>-5.4172959999999999E-2</v>
      </c>
      <c r="AA8686">
        <v>0.7366142</v>
      </c>
      <c r="AB8686">
        <v>18</v>
      </c>
      <c r="AC8686">
        <v>18.025099999999998</v>
      </c>
      <c r="AD8686">
        <v>-1.11452896599</v>
      </c>
      <c r="AE8686">
        <v>1.5636999999999801</v>
      </c>
      <c r="AF8686">
        <v>12.231791782384301</v>
      </c>
      <c r="AG8686">
        <v>-1.11452896599</v>
      </c>
      <c r="AH8686">
        <v>13.238669777990999</v>
      </c>
      <c r="AI8686">
        <v>93.538347702374793</v>
      </c>
      <c r="AJ8686">
        <v>47.263792381033802</v>
      </c>
      <c r="AK8686">
        <v>18.0588283815514</v>
      </c>
      <c r="AL8686">
        <v>93.737214236807702</v>
      </c>
      <c r="AM8686">
        <v>61.903121610005897</v>
      </c>
      <c r="AN8686">
        <v>0.99999997349552505</v>
      </c>
    </row>
    <row r="8687" spans="1:40" x14ac:dyDescent="0.25">
      <c r="A8687" t="str">
        <f>"20190303155018967"</f>
        <v>20190303155018967</v>
      </c>
      <c r="B8687" t="str">
        <f>"1551599418959398"</f>
        <v>1551599418959398</v>
      </c>
      <c r="C8687" t="s">
        <v>40</v>
      </c>
      <c r="D8687">
        <v>5.7603939999999998</v>
      </c>
      <c r="E8687">
        <v>0.59831889999999999</v>
      </c>
      <c r="F8687" t="s">
        <v>41</v>
      </c>
      <c r="G8687">
        <v>-164.22200000000001</v>
      </c>
      <c r="H8687" s="1">
        <v>-3.8243769999999998E-6</v>
      </c>
      <c r="I8687">
        <v>133.52289999999999</v>
      </c>
      <c r="J8687">
        <v>-181.7886</v>
      </c>
      <c r="K8687">
        <v>1.1145069999999999</v>
      </c>
      <c r="L8687">
        <v>132.09700000000001</v>
      </c>
      <c r="M8687">
        <v>0.67720599999999997</v>
      </c>
      <c r="N8687">
        <v>-1.4960070000000001E-2</v>
      </c>
      <c r="O8687">
        <v>0.7356414</v>
      </c>
      <c r="P8687">
        <v>0.94181530000000002</v>
      </c>
      <c r="Q8687">
        <v>-7.2419910000000004E-2</v>
      </c>
      <c r="R8687">
        <v>0.3282369</v>
      </c>
      <c r="S8687">
        <v>3.084244</v>
      </c>
      <c r="T8687">
        <v>-0.19499469999999999</v>
      </c>
      <c r="U8687">
        <v>0.25967410000000002</v>
      </c>
      <c r="V8687">
        <v>0.46959790000000001</v>
      </c>
      <c r="W8687">
        <v>-6.6782010000000003E-2</v>
      </c>
      <c r="X8687">
        <v>0.88035110000000005</v>
      </c>
      <c r="Y8687">
        <v>0.67417629999999995</v>
      </c>
      <c r="Z8687">
        <v>-5.5770359999999998E-2</v>
      </c>
      <c r="AA8687">
        <v>0.73646180000000006</v>
      </c>
      <c r="AB8687">
        <v>18</v>
      </c>
      <c r="AC8687">
        <v>17.566599999999902</v>
      </c>
      <c r="AD8687">
        <v>-1.1145108243770001</v>
      </c>
      <c r="AE8687">
        <v>1.42589999999998</v>
      </c>
      <c r="AF8687">
        <v>11.910798040750599</v>
      </c>
      <c r="AG8687">
        <v>-1.1145108243770001</v>
      </c>
      <c r="AH8687">
        <v>12.895040524226101</v>
      </c>
      <c r="AI8687">
        <v>93.632820099552205</v>
      </c>
      <c r="AJ8687">
        <v>47.2721817831141</v>
      </c>
      <c r="AK8687">
        <v>17.5895228606872</v>
      </c>
      <c r="AL8687">
        <v>93.829177015457006</v>
      </c>
      <c r="AM8687">
        <v>61.923595735960099</v>
      </c>
      <c r="AN8687">
        <v>1.00000004190762</v>
      </c>
    </row>
    <row r="8688" spans="1:40" x14ac:dyDescent="0.25">
      <c r="A8688" t="str">
        <f>"20190303155018978"</f>
        <v>20190303155018978</v>
      </c>
      <c r="B8688" t="str">
        <f>"1551599418969158"</f>
        <v>1551599418969158</v>
      </c>
      <c r="C8688" t="s">
        <v>40</v>
      </c>
      <c r="D8688">
        <v>5.8075089999999996</v>
      </c>
      <c r="E8688">
        <v>0.59807690000000002</v>
      </c>
      <c r="F8688" t="s">
        <v>41</v>
      </c>
      <c r="G8688">
        <v>-164.7955</v>
      </c>
      <c r="H8688" s="1">
        <v>-3.6249420000000001E-6</v>
      </c>
      <c r="I8688">
        <v>133.44470000000001</v>
      </c>
      <c r="J8688">
        <v>-181.7158</v>
      </c>
      <c r="K8688">
        <v>1.1144879999999999</v>
      </c>
      <c r="L8688">
        <v>132.16499999999999</v>
      </c>
      <c r="M8688">
        <v>0.68209409999999904</v>
      </c>
      <c r="N8688">
        <v>-1.4959689999999999E-2</v>
      </c>
      <c r="O8688">
        <v>0.73111139999999997</v>
      </c>
      <c r="P8688">
        <v>0.94382759999999999</v>
      </c>
      <c r="Q8688">
        <v>-7.4172520000000006E-2</v>
      </c>
      <c r="R8688">
        <v>0.32200649999999997</v>
      </c>
      <c r="S8688">
        <v>3.084549</v>
      </c>
      <c r="T8688">
        <v>-0.2023035</v>
      </c>
      <c r="U8688">
        <v>0.24462890000000001</v>
      </c>
      <c r="V8688">
        <v>0.46941889999999997</v>
      </c>
      <c r="W8688">
        <v>-6.8539760000000005E-2</v>
      </c>
      <c r="X8688">
        <v>0.88031139999999997</v>
      </c>
      <c r="Y8688">
        <v>0.67266579999999998</v>
      </c>
      <c r="Z8688">
        <v>-5.8001530000000003E-2</v>
      </c>
      <c r="AA8688">
        <v>0.73766969999999898</v>
      </c>
      <c r="AB8688">
        <v>18</v>
      </c>
      <c r="AC8688">
        <v>16.920299999999902</v>
      </c>
      <c r="AD8688">
        <v>-1.1144916249419901</v>
      </c>
      <c r="AE8688">
        <v>1.2797000000000101</v>
      </c>
      <c r="AF8688">
        <v>11.4496434673219</v>
      </c>
      <c r="AG8688">
        <v>-1.1144916249419901</v>
      </c>
      <c r="AH8688">
        <v>12.424638745067099</v>
      </c>
      <c r="AI8688">
        <v>93.773927539685204</v>
      </c>
      <c r="AJ8688">
        <v>47.338587137700003</v>
      </c>
      <c r="AK8688">
        <v>16.932456261755899</v>
      </c>
      <c r="AL8688">
        <v>93.930120241278004</v>
      </c>
      <c r="AM8688">
        <v>61.9315930182877</v>
      </c>
      <c r="AN8688">
        <v>0.99999998167401305</v>
      </c>
    </row>
    <row r="8689" spans="1:40" x14ac:dyDescent="0.25">
      <c r="A8689" t="str">
        <f>"20190303155018990"</f>
        <v>20190303155018990</v>
      </c>
      <c r="B8689" t="str">
        <f>"1551599418978919"</f>
        <v>1551599418978919</v>
      </c>
      <c r="C8689" t="s">
        <v>40</v>
      </c>
      <c r="D8689">
        <v>5.9270250000000004</v>
      </c>
      <c r="E8689">
        <v>0.59807690000000002</v>
      </c>
      <c r="F8689" t="s">
        <v>41</v>
      </c>
      <c r="G8689">
        <v>-165.3655</v>
      </c>
      <c r="H8689" s="1">
        <v>-3.4278169999999999E-6</v>
      </c>
      <c r="I8689">
        <v>133.3629</v>
      </c>
      <c r="J8689">
        <v>-181.64750000000001</v>
      </c>
      <c r="K8689">
        <v>1.114468</v>
      </c>
      <c r="L8689">
        <v>132.22749999999999</v>
      </c>
      <c r="M8689">
        <v>0.68663890000000005</v>
      </c>
      <c r="N8689">
        <v>-1.495895E-2</v>
      </c>
      <c r="O8689">
        <v>0.72684469999999901</v>
      </c>
      <c r="P8689">
        <v>0.94563410000000003</v>
      </c>
      <c r="Q8689">
        <v>-7.5982850000000005E-2</v>
      </c>
      <c r="R8689">
        <v>0.31623220000000002</v>
      </c>
      <c r="S8689">
        <v>3.0848849999999999</v>
      </c>
      <c r="T8689">
        <v>-0.21027580000000001</v>
      </c>
      <c r="U8689">
        <v>0.2260132</v>
      </c>
      <c r="V8689">
        <v>0.46917789999999998</v>
      </c>
      <c r="W8689">
        <v>-7.0345489999999997E-2</v>
      </c>
      <c r="X8689">
        <v>0.88029749999999996</v>
      </c>
      <c r="Y8689">
        <v>0.67229689999999998</v>
      </c>
      <c r="Z8689">
        <v>-6.0485829999999997E-2</v>
      </c>
      <c r="AA8689">
        <v>0.73780639999999997</v>
      </c>
      <c r="AB8689">
        <v>18</v>
      </c>
      <c r="AC8689">
        <v>16.282</v>
      </c>
      <c r="AD8689">
        <v>-1.114471427817</v>
      </c>
      <c r="AE8689">
        <v>1.1354</v>
      </c>
      <c r="AF8689">
        <v>11.004803348143501</v>
      </c>
      <c r="AG8689">
        <v>-1.114471427817</v>
      </c>
      <c r="AH8689">
        <v>11.9507377564761</v>
      </c>
      <c r="AI8689">
        <v>93.9243771570804</v>
      </c>
      <c r="AJ8689">
        <v>47.359665734336097</v>
      </c>
      <c r="AK8689">
        <v>16.283976056810999</v>
      </c>
      <c r="AL8689">
        <v>94.033831097238703</v>
      </c>
      <c r="AM8689">
        <v>61.943431856324601</v>
      </c>
      <c r="AN8689">
        <v>1.0000000391589901</v>
      </c>
    </row>
    <row r="8690" spans="1:40" x14ac:dyDescent="0.25">
      <c r="A8690" t="str">
        <f>"20190303155019002"</f>
        <v>20190303155019002</v>
      </c>
      <c r="B8690" t="str">
        <f>"1551599418999415"</f>
        <v>1551599418999415</v>
      </c>
      <c r="C8690" t="s">
        <v>40</v>
      </c>
      <c r="D8690">
        <v>6.0169800000000002</v>
      </c>
      <c r="E8690">
        <v>0.56682469999999996</v>
      </c>
      <c r="F8690" t="s">
        <v>41</v>
      </c>
      <c r="G8690">
        <v>-165.643</v>
      </c>
      <c r="H8690" s="1">
        <v>-3.3373670000000002E-6</v>
      </c>
      <c r="I8690">
        <v>133.3023</v>
      </c>
      <c r="J8690">
        <v>-181.57429999999999</v>
      </c>
      <c r="K8690">
        <v>1.1144579999999999</v>
      </c>
      <c r="L8690">
        <v>132.29409999999999</v>
      </c>
      <c r="M8690">
        <v>0.69146600000000003</v>
      </c>
      <c r="N8690">
        <v>-1.4958050000000001E-2</v>
      </c>
      <c r="O8690">
        <v>0.72225410000000001</v>
      </c>
      <c r="P8690">
        <v>0.94748220000000005</v>
      </c>
      <c r="Q8690">
        <v>-7.795241E-2</v>
      </c>
      <c r="R8690">
        <v>0.31016319999999997</v>
      </c>
      <c r="S8690">
        <v>3.0859070000000002</v>
      </c>
      <c r="T8690">
        <v>-0.2148871</v>
      </c>
      <c r="U8690">
        <v>0.20722960000000001</v>
      </c>
      <c r="V8690">
        <v>0.46881070000000002</v>
      </c>
      <c r="W8690">
        <v>-7.2305460000000002E-2</v>
      </c>
      <c r="X8690">
        <v>0.88033430000000001</v>
      </c>
      <c r="Y8690">
        <v>0.67174659999999997</v>
      </c>
      <c r="Z8690">
        <v>-6.1850919999999997E-2</v>
      </c>
      <c r="AA8690">
        <v>0.73819449999999998</v>
      </c>
      <c r="AB8690">
        <v>18</v>
      </c>
      <c r="AC8690">
        <v>15.931299999999901</v>
      </c>
      <c r="AD8690">
        <v>-1.114461337367</v>
      </c>
      <c r="AE8690">
        <v>1.00820000000001</v>
      </c>
      <c r="AF8690">
        <v>10.758084753759899</v>
      </c>
      <c r="AG8690">
        <v>-1.114461337367</v>
      </c>
      <c r="AH8690">
        <v>11.688472742080901</v>
      </c>
      <c r="AI8690">
        <v>94.013000134181496</v>
      </c>
      <c r="AJ8690">
        <v>47.373495747578303</v>
      </c>
      <c r="AK8690">
        <v>15.924785922703601</v>
      </c>
      <c r="AL8690">
        <v>94.146415959584701</v>
      </c>
      <c r="AM8690">
        <v>61.963041477668298</v>
      </c>
      <c r="AN8690">
        <v>1.0000000158683899</v>
      </c>
    </row>
    <row r="8691" spans="1:40" x14ac:dyDescent="0.25">
      <c r="A8691" t="str">
        <f>"20190303155019013"</f>
        <v>20190303155019013</v>
      </c>
      <c r="B8691" t="str">
        <f>"1551599419009175"</f>
        <v>1551599419009175</v>
      </c>
      <c r="C8691" t="s">
        <v>40</v>
      </c>
      <c r="D8691">
        <v>5.8828909999999999</v>
      </c>
      <c r="E8691">
        <v>0.56494869999999997</v>
      </c>
      <c r="F8691" t="s">
        <v>59</v>
      </c>
      <c r="G8691">
        <v>-172.70769999999999</v>
      </c>
      <c r="H8691" s="1">
        <v>-2.4674709999999999E-6</v>
      </c>
      <c r="I8691">
        <v>133.52080000000001</v>
      </c>
      <c r="J8691">
        <v>-181.5</v>
      </c>
      <c r="K8691">
        <v>1.114455</v>
      </c>
      <c r="L8691">
        <v>132.3603</v>
      </c>
      <c r="M8691">
        <v>0.6963068</v>
      </c>
      <c r="N8691">
        <v>-1.495637E-2</v>
      </c>
      <c r="O8691">
        <v>0.71758840000000002</v>
      </c>
      <c r="P8691">
        <v>0.94926390000000005</v>
      </c>
      <c r="Q8691">
        <v>-7.9958860000000007E-2</v>
      </c>
      <c r="R8691">
        <v>0.30414590000000002</v>
      </c>
      <c r="S8691">
        <v>2.9994049999999999</v>
      </c>
      <c r="T8691">
        <v>-0.37700210000000001</v>
      </c>
      <c r="U8691">
        <v>0.41497800000000001</v>
      </c>
      <c r="V8691">
        <v>0.46832689999999999</v>
      </c>
      <c r="W8691">
        <v>-7.4291640000000006E-2</v>
      </c>
      <c r="X8691">
        <v>0.88042640000000005</v>
      </c>
      <c r="Y8691">
        <v>0.60721119999999995</v>
      </c>
      <c r="Z8691">
        <v>-0.1110435</v>
      </c>
      <c r="AA8691">
        <v>0.78674259999999996</v>
      </c>
      <c r="AB8691">
        <v>18</v>
      </c>
      <c r="AC8691">
        <v>8.7923000000000098</v>
      </c>
      <c r="AD8691">
        <v>-1.1144574674709999</v>
      </c>
      <c r="AE8691">
        <v>1.1605000000000101</v>
      </c>
      <c r="AF8691">
        <v>5.4162733085088304</v>
      </c>
      <c r="AG8691">
        <v>-1.1144574674709999</v>
      </c>
      <c r="AH8691">
        <v>6.8475453093913803</v>
      </c>
      <c r="AI8691">
        <v>97.274370175642204</v>
      </c>
      <c r="AJ8691">
        <v>51.656698118351798</v>
      </c>
      <c r="AK8691">
        <v>8.8015287742206993</v>
      </c>
      <c r="AL8691">
        <v>94.260522763146398</v>
      </c>
      <c r="AM8691">
        <v>61.9900631718954</v>
      </c>
      <c r="AN8691">
        <v>0.99999998942722901</v>
      </c>
    </row>
    <row r="8692" spans="1:40" x14ac:dyDescent="0.25">
      <c r="A8692" t="str">
        <f>"20190303155019024"</f>
        <v>20190303155019024</v>
      </c>
      <c r="B8692" t="str">
        <f>"1551599419019443"</f>
        <v>1551599419019443</v>
      </c>
      <c r="C8692" t="s">
        <v>40</v>
      </c>
      <c r="D8692">
        <v>5.8925400000000003</v>
      </c>
      <c r="E8692">
        <v>0.56359930000000003</v>
      </c>
      <c r="F8692" t="s">
        <v>59</v>
      </c>
      <c r="G8692">
        <v>-172.8048</v>
      </c>
      <c r="H8692" s="1">
        <v>-2.535533E-6</v>
      </c>
      <c r="I8692">
        <v>133.5496</v>
      </c>
      <c r="J8692">
        <v>-181.43119999999999</v>
      </c>
      <c r="K8692">
        <v>1.114452</v>
      </c>
      <c r="L8692">
        <v>132.4211</v>
      </c>
      <c r="M8692">
        <v>0.70074650000000005</v>
      </c>
      <c r="N8692">
        <v>-1.4954449999999999E-2</v>
      </c>
      <c r="O8692">
        <v>0.71325369999999999</v>
      </c>
      <c r="P8692">
        <v>0.95080569999999998</v>
      </c>
      <c r="Q8692">
        <v>-8.1332740000000001E-2</v>
      </c>
      <c r="R8692">
        <v>0.2989214</v>
      </c>
      <c r="S8692">
        <v>2.9966740000000001</v>
      </c>
      <c r="T8692">
        <v>-0.38407829999999998</v>
      </c>
      <c r="U8692">
        <v>0.40988160000000001</v>
      </c>
      <c r="V8692">
        <v>0.46760289999999999</v>
      </c>
      <c r="W8692">
        <v>-7.5636889999999998E-2</v>
      </c>
      <c r="X8692">
        <v>0.880696699999999</v>
      </c>
      <c r="Y8692">
        <v>0.60321999999999998</v>
      </c>
      <c r="Z8692">
        <v>-0.11283360000000001</v>
      </c>
      <c r="AA8692">
        <v>0.78955319999999996</v>
      </c>
      <c r="AB8692">
        <v>18</v>
      </c>
      <c r="AC8692">
        <v>8.6263999999999896</v>
      </c>
      <c r="AD8692">
        <v>-1.114454535533</v>
      </c>
      <c r="AE8692">
        <v>1.1285000000000001</v>
      </c>
      <c r="AF8692">
        <v>5.2760412706129998</v>
      </c>
      <c r="AG8692">
        <v>-1.114454535533</v>
      </c>
      <c r="AH8692">
        <v>6.7399919422946502</v>
      </c>
      <c r="AI8692">
        <v>97.418277741380606</v>
      </c>
      <c r="AJ8692">
        <v>51.946289249135901</v>
      </c>
      <c r="AK8692">
        <v>8.6316922896485693</v>
      </c>
      <c r="AL8692">
        <v>94.337817168859502</v>
      </c>
      <c r="AM8692">
        <v>62.034085561659602</v>
      </c>
      <c r="AN8692">
        <v>1.00000004430408</v>
      </c>
    </row>
    <row r="8693" spans="1:40" x14ac:dyDescent="0.25">
      <c r="A8693" t="str">
        <f>"20190303155019036"</f>
        <v>20190303155019036</v>
      </c>
      <c r="B8693" t="str">
        <f>"1551599419029202"</f>
        <v>1551599419029202</v>
      </c>
      <c r="C8693" t="s">
        <v>40</v>
      </c>
      <c r="D8693">
        <v>5.8896139999999999</v>
      </c>
      <c r="E8693">
        <v>0.56275629999999999</v>
      </c>
      <c r="F8693" t="s">
        <v>59</v>
      </c>
      <c r="G8693">
        <v>-172.886</v>
      </c>
      <c r="H8693" s="1">
        <v>-2.591604E-6</v>
      </c>
      <c r="I8693">
        <v>133.57169999999999</v>
      </c>
      <c r="J8693">
        <v>-181.3578</v>
      </c>
      <c r="K8693">
        <v>1.11446</v>
      </c>
      <c r="L8693">
        <v>132.48490000000001</v>
      </c>
      <c r="M8693">
        <v>0.70542729999999998</v>
      </c>
      <c r="N8693">
        <v>-1.495165E-2</v>
      </c>
      <c r="O8693">
        <v>0.70862460000000005</v>
      </c>
      <c r="P8693">
        <v>0.9524184</v>
      </c>
      <c r="Q8693">
        <v>-8.2213079999999994E-2</v>
      </c>
      <c r="R8693">
        <v>0.29349710000000001</v>
      </c>
      <c r="S8693">
        <v>2.9950100000000002</v>
      </c>
      <c r="T8693">
        <v>-0.39060329999999999</v>
      </c>
      <c r="U8693">
        <v>0.40328979999999998</v>
      </c>
      <c r="V8693">
        <v>0.46676109999999998</v>
      </c>
      <c r="W8693">
        <v>-7.6479489999999997E-2</v>
      </c>
      <c r="X8693">
        <v>0.88107029999999997</v>
      </c>
      <c r="Y8693">
        <v>0.59936919999999905</v>
      </c>
      <c r="Z8693">
        <v>-0.1143866</v>
      </c>
      <c r="AA8693">
        <v>0.79225769999999995</v>
      </c>
      <c r="AB8693">
        <v>18</v>
      </c>
      <c r="AC8693">
        <v>8.4718</v>
      </c>
      <c r="AD8693">
        <v>-1.1144625916040001</v>
      </c>
      <c r="AE8693">
        <v>1.08679999999998</v>
      </c>
      <c r="AF8693">
        <v>5.1495804768615701</v>
      </c>
      <c r="AG8693">
        <v>-1.1144625916040001</v>
      </c>
      <c r="AH8693">
        <v>6.63417844888163</v>
      </c>
      <c r="AI8693">
        <v>97.559091574099497</v>
      </c>
      <c r="AJ8693">
        <v>52.180678695987098</v>
      </c>
      <c r="AK8693">
        <v>8.4718669517033902</v>
      </c>
      <c r="AL8693">
        <v>94.386235231132105</v>
      </c>
      <c r="AM8693">
        <v>62.086877741927097</v>
      </c>
      <c r="AN8693">
        <v>0.99999995520297902</v>
      </c>
    </row>
    <row r="8694" spans="1:40" x14ac:dyDescent="0.25">
      <c r="A8694" t="str">
        <f>"20190303155019049"</f>
        <v>20190303155019049</v>
      </c>
      <c r="B8694" t="str">
        <f>"1551599419038962"</f>
        <v>1551599419038962</v>
      </c>
      <c r="C8694" t="s">
        <v>40</v>
      </c>
      <c r="D8694">
        <v>5.9054489999999999</v>
      </c>
      <c r="E8694">
        <v>0.5623011</v>
      </c>
      <c r="F8694" t="s">
        <v>59</v>
      </c>
      <c r="G8694">
        <v>-172.80199999999999</v>
      </c>
      <c r="H8694" s="1">
        <v>-2.559094E-6</v>
      </c>
      <c r="I8694">
        <v>133.60640000000001</v>
      </c>
      <c r="J8694">
        <v>-181.27379999999999</v>
      </c>
      <c r="K8694">
        <v>1.114479</v>
      </c>
      <c r="L8694">
        <v>132.55690000000001</v>
      </c>
      <c r="M8694">
        <v>0.71071450000000003</v>
      </c>
      <c r="N8694">
        <v>-1.494734E-2</v>
      </c>
      <c r="O8694">
        <v>0.7033218</v>
      </c>
      <c r="P8694">
        <v>0.95427260000000003</v>
      </c>
      <c r="Q8694">
        <v>-8.2718089999999994E-2</v>
      </c>
      <c r="R8694">
        <v>0.28726590000000002</v>
      </c>
      <c r="S8694">
        <v>2.9952390000000002</v>
      </c>
      <c r="T8694">
        <v>-0.39015290000000002</v>
      </c>
      <c r="U8694">
        <v>0.39259339999999998</v>
      </c>
      <c r="V8694">
        <v>0.46588869999999999</v>
      </c>
      <c r="W8694">
        <v>-7.6938870000000006E-2</v>
      </c>
      <c r="X8694">
        <v>0.88149200000000005</v>
      </c>
      <c r="Y8694">
        <v>0.59625169999999905</v>
      </c>
      <c r="Z8694">
        <v>-0.1137286</v>
      </c>
      <c r="AA8694">
        <v>0.79470099999999999</v>
      </c>
      <c r="AB8694">
        <v>18</v>
      </c>
      <c r="AC8694">
        <v>8.4717999999999698</v>
      </c>
      <c r="AD8694">
        <v>-1.114481559094</v>
      </c>
      <c r="AE8694">
        <v>1.0494999999999901</v>
      </c>
      <c r="AF8694">
        <v>5.1257243886196999</v>
      </c>
      <c r="AG8694">
        <v>-1.114481559094</v>
      </c>
      <c r="AH8694">
        <v>6.6466348041437699</v>
      </c>
      <c r="AI8694">
        <v>97.5634437718155</v>
      </c>
      <c r="AJ8694">
        <v>52.361457400055201</v>
      </c>
      <c r="AK8694">
        <v>8.4671644529503904</v>
      </c>
      <c r="AL8694">
        <v>94.412633315439606</v>
      </c>
      <c r="AM8694">
        <v>62.142523054597198</v>
      </c>
      <c r="AN8694">
        <v>1.0000000082842799</v>
      </c>
    </row>
    <row r="8695" spans="1:40" x14ac:dyDescent="0.25">
      <c r="A8695" t="str">
        <f>"20190303155019064"</f>
        <v>20190303155019064</v>
      </c>
      <c r="B8695" t="str">
        <f>"1551599419059458"</f>
        <v>1551599419059458</v>
      </c>
      <c r="C8695" t="s">
        <v>40</v>
      </c>
      <c r="D8695">
        <v>6.1458839999999997</v>
      </c>
      <c r="E8695">
        <v>0.56054820000000005</v>
      </c>
      <c r="F8695" t="s">
        <v>59</v>
      </c>
      <c r="G8695">
        <v>-172.62360000000001</v>
      </c>
      <c r="H8695" s="1">
        <v>-2.4740529999999999E-6</v>
      </c>
      <c r="I8695">
        <v>133.64400000000001</v>
      </c>
      <c r="J8695">
        <v>-181.1781</v>
      </c>
      <c r="K8695">
        <v>1.114501</v>
      </c>
      <c r="L8695">
        <v>132.6378</v>
      </c>
      <c r="M8695">
        <v>0.7166536</v>
      </c>
      <c r="N8695">
        <v>-1.4941589999999999E-2</v>
      </c>
      <c r="O8695">
        <v>0.69726919999999903</v>
      </c>
      <c r="P8695">
        <v>0.95633670000000004</v>
      </c>
      <c r="Q8695">
        <v>-8.2618559999999994E-2</v>
      </c>
      <c r="R8695">
        <v>0.2803466</v>
      </c>
      <c r="S8695">
        <v>2.996902</v>
      </c>
      <c r="T8695">
        <v>-0.38611590000000001</v>
      </c>
      <c r="U8695">
        <v>0.37663269999999999</v>
      </c>
      <c r="V8695">
        <v>0.46481260000000002</v>
      </c>
      <c r="W8695">
        <v>-7.6780989999999993E-2</v>
      </c>
      <c r="X8695">
        <v>0.88207359999999901</v>
      </c>
      <c r="Y8695">
        <v>0.59392609999999901</v>
      </c>
      <c r="Z8695">
        <v>-0.1119462</v>
      </c>
      <c r="AA8695">
        <v>0.79669309999999904</v>
      </c>
      <c r="AB8695">
        <v>18</v>
      </c>
      <c r="AC8695">
        <v>8.5544999999999902</v>
      </c>
      <c r="AD8695">
        <v>-1.114503474053</v>
      </c>
      <c r="AE8695">
        <v>1.0062</v>
      </c>
      <c r="AF8695">
        <v>5.1579242603881497</v>
      </c>
      <c r="AG8695">
        <v>-1.114503474053</v>
      </c>
      <c r="AH8695">
        <v>6.7204547791160198</v>
      </c>
      <c r="AI8695">
        <v>97.494620524785503</v>
      </c>
      <c r="AJ8695">
        <v>52.493894237097798</v>
      </c>
      <c r="AK8695">
        <v>8.5446365111525004</v>
      </c>
      <c r="AL8695">
        <v>94.403560856412</v>
      </c>
      <c r="AM8695">
        <v>62.212812480974101</v>
      </c>
      <c r="AN8695">
        <v>0.99999995468054803</v>
      </c>
    </row>
    <row r="8696" spans="1:40" x14ac:dyDescent="0.25">
      <c r="A8696" t="str">
        <f>"20190303155019077"</f>
        <v>20190303155019077</v>
      </c>
      <c r="B8696" t="str">
        <f>"1551599419069218"</f>
        <v>1551599419069218</v>
      </c>
      <c r="C8696" t="s">
        <v>40</v>
      </c>
      <c r="D8696">
        <v>5.9047280000000004</v>
      </c>
      <c r="E8696">
        <v>0.56024680000000004</v>
      </c>
      <c r="F8696" t="s">
        <v>59</v>
      </c>
      <c r="G8696">
        <v>-171.92359999999999</v>
      </c>
      <c r="H8696" s="1">
        <v>-2.13488E-6</v>
      </c>
      <c r="I8696">
        <v>133.7792</v>
      </c>
      <c r="J8696">
        <v>-181.09190000000001</v>
      </c>
      <c r="K8696">
        <v>1.1145259999999999</v>
      </c>
      <c r="L8696">
        <v>132.70949999999999</v>
      </c>
      <c r="M8696">
        <v>0.72192060000000002</v>
      </c>
      <c r="N8696">
        <v>-1.493533E-2</v>
      </c>
      <c r="O8696">
        <v>0.6918147</v>
      </c>
      <c r="P8696">
        <v>0.95755299999999999</v>
      </c>
      <c r="Q8696">
        <v>-8.2207530000000001E-2</v>
      </c>
      <c r="R8696">
        <v>0.27628709999999901</v>
      </c>
      <c r="S8696">
        <v>2.9974210000000001</v>
      </c>
      <c r="T8696">
        <v>-0.36097360000000001</v>
      </c>
      <c r="U8696">
        <v>0.36968990000000002</v>
      </c>
      <c r="V8696">
        <v>0.46190439999999999</v>
      </c>
      <c r="W8696">
        <v>-7.6268420000000003E-2</v>
      </c>
      <c r="X8696">
        <v>0.88364449999999894</v>
      </c>
      <c r="Y8696">
        <v>0.59084530000000002</v>
      </c>
      <c r="Z8696">
        <v>-0.1037397</v>
      </c>
      <c r="AA8696">
        <v>0.80008749999999995</v>
      </c>
      <c r="AB8696">
        <v>18</v>
      </c>
      <c r="AC8696">
        <v>9.1683000000000092</v>
      </c>
      <c r="AD8696">
        <v>-1.11452813487999</v>
      </c>
      <c r="AE8696">
        <v>1.0697000000000101</v>
      </c>
      <c r="AF8696">
        <v>5.4910921687789198</v>
      </c>
      <c r="AG8696">
        <v>-1.11452813487999</v>
      </c>
      <c r="AH8696">
        <v>7.2538842116964499</v>
      </c>
      <c r="AI8696">
        <v>96.984192726273207</v>
      </c>
      <c r="AJ8696">
        <v>52.874771520259898</v>
      </c>
      <c r="AK8696">
        <v>9.1658661525337202</v>
      </c>
      <c r="AL8696">
        <v>94.374105862129895</v>
      </c>
      <c r="AM8696">
        <v>62.402738737414303</v>
      </c>
      <c r="AN8696">
        <v>1.0000000745044499</v>
      </c>
    </row>
    <row r="8697" spans="1:40" x14ac:dyDescent="0.25">
      <c r="A8697" t="str">
        <f>"20190303155019089"</f>
        <v>20190303155019089</v>
      </c>
      <c r="B8697" t="str">
        <f>"1551599419078978"</f>
        <v>1551599419078978</v>
      </c>
      <c r="C8697" t="s">
        <v>40</v>
      </c>
      <c r="D8697">
        <v>5.9313250000000002</v>
      </c>
      <c r="E8697">
        <v>0.56003130000000001</v>
      </c>
      <c r="F8697" t="s">
        <v>59</v>
      </c>
      <c r="G8697">
        <v>-171.51740000000001</v>
      </c>
      <c r="H8697" s="1">
        <v>-1.9383589999999999E-6</v>
      </c>
      <c r="I8697">
        <v>133.85839999999999</v>
      </c>
      <c r="J8697">
        <v>-181.01169999999999</v>
      </c>
      <c r="K8697">
        <v>1.1145480000000001</v>
      </c>
      <c r="L8697">
        <v>132.77500000000001</v>
      </c>
      <c r="M8697">
        <v>0.72674459999999996</v>
      </c>
      <c r="N8697">
        <v>-1.4928739999999999E-2</v>
      </c>
      <c r="O8697">
        <v>0.68674550000000001</v>
      </c>
      <c r="P8697">
        <v>0.95897980000000005</v>
      </c>
      <c r="Q8697">
        <v>-8.2423880000000005E-2</v>
      </c>
      <c r="R8697">
        <v>0.27122689999999999</v>
      </c>
      <c r="S8697">
        <v>2.9991910000000002</v>
      </c>
      <c r="T8697">
        <v>-0.34912399999999999</v>
      </c>
      <c r="U8697">
        <v>0.35989379999999999</v>
      </c>
      <c r="V8697">
        <v>0.4603778</v>
      </c>
      <c r="W8697">
        <v>-7.6418650000000005E-2</v>
      </c>
      <c r="X8697">
        <v>0.88442770000000004</v>
      </c>
      <c r="Y8697">
        <v>0.58838869999999999</v>
      </c>
      <c r="Z8697">
        <v>-9.9656889999999998E-2</v>
      </c>
      <c r="AA8697">
        <v>0.80241340000000005</v>
      </c>
      <c r="AB8697">
        <v>18</v>
      </c>
      <c r="AC8697">
        <v>9.4942999999999795</v>
      </c>
      <c r="AD8697">
        <v>-1.1145499383589901</v>
      </c>
      <c r="AE8697">
        <v>1.0833999999999799</v>
      </c>
      <c r="AF8697">
        <v>5.6565028056676701</v>
      </c>
      <c r="AG8697">
        <v>-1.1145499383589901</v>
      </c>
      <c r="AH8697">
        <v>7.5422021269994604</v>
      </c>
      <c r="AI8697">
        <v>96.742282975179805</v>
      </c>
      <c r="AJ8697">
        <v>53.1308257584381</v>
      </c>
      <c r="AK8697">
        <v>9.4933165163781101</v>
      </c>
      <c r="AL8697">
        <v>94.382739179411701</v>
      </c>
      <c r="AM8697">
        <v>62.501331323266797</v>
      </c>
      <c r="AN8697">
        <v>0.99999994266397396</v>
      </c>
    </row>
    <row r="8698" spans="1:40" x14ac:dyDescent="0.25">
      <c r="A8698" t="str">
        <f>"20190303155019107"</f>
        <v>20190303155019107</v>
      </c>
      <c r="B8698" t="str">
        <f>"1551599419099473"</f>
        <v>1551599419099473</v>
      </c>
      <c r="C8698" t="s">
        <v>40</v>
      </c>
      <c r="D8698">
        <v>6.0431759999999999</v>
      </c>
      <c r="E8698">
        <v>0.55971680000000001</v>
      </c>
      <c r="F8698" t="s">
        <v>59</v>
      </c>
      <c r="G8698">
        <v>-171.2817</v>
      </c>
      <c r="H8698" s="1">
        <v>-1.8210260000000001E-6</v>
      </c>
      <c r="I8698">
        <v>133.89680000000001</v>
      </c>
      <c r="J8698">
        <v>-180.89449999999999</v>
      </c>
      <c r="K8698">
        <v>1.114584</v>
      </c>
      <c r="L8698">
        <v>132.86930000000001</v>
      </c>
      <c r="M8698">
        <v>0.73368040000000001</v>
      </c>
      <c r="N8698">
        <v>-1.491847E-2</v>
      </c>
      <c r="O8698">
        <v>0.67933089999999996</v>
      </c>
      <c r="P8698">
        <v>0.96021650000000003</v>
      </c>
      <c r="Q8698">
        <v>-8.2786750000000006E-2</v>
      </c>
      <c r="R8698">
        <v>0.26670339999999998</v>
      </c>
      <c r="S8698">
        <v>3.0009160000000001</v>
      </c>
      <c r="T8698">
        <v>-0.34374919999999998</v>
      </c>
      <c r="U8698">
        <v>0.34600829999999999</v>
      </c>
      <c r="V8698">
        <v>0.45554899999999998</v>
      </c>
      <c r="W8698">
        <v>-7.6624890000000001E-2</v>
      </c>
      <c r="X8698">
        <v>0.88690689999999905</v>
      </c>
      <c r="Y8698">
        <v>0.58419200000000004</v>
      </c>
      <c r="Z8698">
        <v>-9.7322339999999993E-2</v>
      </c>
      <c r="AA8698">
        <v>0.80575929999999996</v>
      </c>
      <c r="AB8698">
        <v>18</v>
      </c>
      <c r="AC8698">
        <v>9.6127999999999894</v>
      </c>
      <c r="AD8698">
        <v>-1.114585821026</v>
      </c>
      <c r="AE8698">
        <v>1.0275000000000001</v>
      </c>
      <c r="AF8698">
        <v>5.7012765727568304</v>
      </c>
      <c r="AG8698">
        <v>-1.114585821026</v>
      </c>
      <c r="AH8698">
        <v>7.6499148490439097</v>
      </c>
      <c r="AI8698">
        <v>96.663307797109198</v>
      </c>
      <c r="AJ8698">
        <v>53.303824159201099</v>
      </c>
      <c r="AK8698">
        <v>9.6056261279065307</v>
      </c>
      <c r="AL8698">
        <v>94.394590106728799</v>
      </c>
      <c r="AM8698">
        <v>62.813249414175502</v>
      </c>
      <c r="AN8698">
        <v>1.0000000572180501</v>
      </c>
    </row>
    <row r="8699" spans="1:40" x14ac:dyDescent="0.25">
      <c r="A8699" t="str">
        <f>"20190303155019120"</f>
        <v>20190303155019120</v>
      </c>
      <c r="B8699" t="str">
        <f>"1551599419109234"</f>
        <v>1551599419109234</v>
      </c>
      <c r="C8699" t="s">
        <v>40</v>
      </c>
      <c r="D8699">
        <v>5.9556230000000001</v>
      </c>
      <c r="E8699">
        <v>0.55936919999999901</v>
      </c>
      <c r="F8699" t="s">
        <v>59</v>
      </c>
      <c r="G8699">
        <v>-170.60480000000001</v>
      </c>
      <c r="H8699" s="1">
        <v>-1.4890569999999999E-6</v>
      </c>
      <c r="I8699">
        <v>134.0187</v>
      </c>
      <c r="J8699">
        <v>-180.80799999999999</v>
      </c>
      <c r="K8699">
        <v>1.114622</v>
      </c>
      <c r="L8699">
        <v>132.93780000000001</v>
      </c>
      <c r="M8699">
        <v>0.73871249999999999</v>
      </c>
      <c r="N8699">
        <v>-1.491059E-2</v>
      </c>
      <c r="O8699">
        <v>0.67385569999999995</v>
      </c>
      <c r="P8699">
        <v>0.96125669999999996</v>
      </c>
      <c r="Q8699">
        <v>-8.2576899999999995E-2</v>
      </c>
      <c r="R8699">
        <v>0.26299600000000001</v>
      </c>
      <c r="S8699">
        <v>3.003082</v>
      </c>
      <c r="T8699">
        <v>-0.32529439999999998</v>
      </c>
      <c r="U8699">
        <v>0.3354645</v>
      </c>
      <c r="V8699">
        <v>0.45239889999999999</v>
      </c>
      <c r="W8699">
        <v>-7.6309479999999999E-2</v>
      </c>
      <c r="X8699">
        <v>0.88854500000000003</v>
      </c>
      <c r="Y8699">
        <v>0.581794699999999</v>
      </c>
      <c r="Z8699">
        <v>-9.1293479999999996E-2</v>
      </c>
      <c r="AA8699">
        <v>0.80819580000000002</v>
      </c>
      <c r="AB8699">
        <v>18</v>
      </c>
      <c r="AC8699">
        <v>10.203199999999899</v>
      </c>
      <c r="AD8699">
        <v>-1.1146234890569999</v>
      </c>
      <c r="AE8699">
        <v>1.08089999999998</v>
      </c>
      <c r="AF8699">
        <v>6.0067966866005804</v>
      </c>
      <c r="AG8699">
        <v>-1.1146234890569999</v>
      </c>
      <c r="AH8699">
        <v>8.1701016822349306</v>
      </c>
      <c r="AI8699">
        <v>96.272582966398701</v>
      </c>
      <c r="AJ8699">
        <v>53.676046473918497</v>
      </c>
      <c r="AK8699">
        <v>10.2016936561813</v>
      </c>
      <c r="AL8699">
        <v>94.376465369581894</v>
      </c>
      <c r="AM8699">
        <v>63.017274462703099</v>
      </c>
      <c r="AN8699">
        <v>1.0000000592420299</v>
      </c>
    </row>
    <row r="8700" spans="1:40" x14ac:dyDescent="0.25">
      <c r="A8700" t="str">
        <f>"20190303155019133"</f>
        <v>20190303155019133</v>
      </c>
      <c r="B8700" t="str">
        <f>"1551599419129261"</f>
        <v>1551599419129261</v>
      </c>
      <c r="C8700" t="s">
        <v>40</v>
      </c>
      <c r="D8700">
        <v>6.0694189999999999</v>
      </c>
      <c r="E8700">
        <v>0.55944769999999999</v>
      </c>
      <c r="F8700" t="s">
        <v>59</v>
      </c>
      <c r="G8700">
        <v>-170.22810000000001</v>
      </c>
      <c r="H8700" s="1">
        <v>-1.3056930000000001E-6</v>
      </c>
      <c r="I8700">
        <v>134.08949999999999</v>
      </c>
      <c r="J8700">
        <v>-180.72470000000001</v>
      </c>
      <c r="K8700">
        <v>1.1146560000000001</v>
      </c>
      <c r="L8700">
        <v>133.0025</v>
      </c>
      <c r="M8700">
        <v>0.74347240000000003</v>
      </c>
      <c r="N8700">
        <v>-1.490212E-2</v>
      </c>
      <c r="O8700">
        <v>0.66860059999999999</v>
      </c>
      <c r="P8700">
        <v>0.96215839999999997</v>
      </c>
      <c r="Q8700">
        <v>-8.2481429999999994E-2</v>
      </c>
      <c r="R8700">
        <v>0.2597082</v>
      </c>
      <c r="S8700">
        <v>3.0042270000000002</v>
      </c>
      <c r="T8700">
        <v>-0.31650409999999901</v>
      </c>
      <c r="U8700">
        <v>0.32702639999999999</v>
      </c>
      <c r="V8700">
        <v>0.44915070000000001</v>
      </c>
      <c r="W8700">
        <v>-7.6110230000000001E-2</v>
      </c>
      <c r="X8700">
        <v>0.89020829999999995</v>
      </c>
      <c r="Y8700">
        <v>0.57868120000000001</v>
      </c>
      <c r="Z8700">
        <v>-8.8186959999999995E-2</v>
      </c>
      <c r="AA8700">
        <v>0.81077189999999999</v>
      </c>
      <c r="AB8700">
        <v>18</v>
      </c>
      <c r="AC8700">
        <v>10.496600000000001</v>
      </c>
      <c r="AD8700">
        <v>-1.11465730569299</v>
      </c>
      <c r="AE8700">
        <v>1.08699999999998</v>
      </c>
      <c r="AF8700">
        <v>6.1420404643583604</v>
      </c>
      <c r="AG8700">
        <v>-1.11465730569299</v>
      </c>
      <c r="AH8700">
        <v>8.4375099679272001</v>
      </c>
      <c r="AI8700">
        <v>96.096413152065395</v>
      </c>
      <c r="AJ8700">
        <v>53.947453675160197</v>
      </c>
      <c r="AK8700">
        <v>10.4956513106057</v>
      </c>
      <c r="AL8700">
        <v>94.365016288257706</v>
      </c>
      <c r="AM8700">
        <v>63.226971949293898</v>
      </c>
      <c r="AN8700">
        <v>0.999999967905016</v>
      </c>
    </row>
    <row r="8701" spans="1:40" x14ac:dyDescent="0.25">
      <c r="A8701" t="str">
        <f>"20190303155019143"</f>
        <v>20190303155019143</v>
      </c>
      <c r="B8701" t="str">
        <f>"1551599419139021"</f>
        <v>1551599419139021</v>
      </c>
      <c r="C8701" t="s">
        <v>40</v>
      </c>
      <c r="D8701">
        <v>5.9127910000000004</v>
      </c>
      <c r="E8701">
        <v>0.55930290000000005</v>
      </c>
      <c r="F8701" t="s">
        <v>59</v>
      </c>
      <c r="G8701">
        <v>-170.1748</v>
      </c>
      <c r="H8701" s="1">
        <v>-1.2853899999999999E-6</v>
      </c>
      <c r="I8701">
        <v>134.1123</v>
      </c>
      <c r="J8701">
        <v>-180.65389999999999</v>
      </c>
      <c r="K8701">
        <v>1.1146860000000001</v>
      </c>
      <c r="L8701">
        <v>133.05690000000001</v>
      </c>
      <c r="M8701">
        <v>0.74746699999999999</v>
      </c>
      <c r="N8701">
        <v>-1.489504E-2</v>
      </c>
      <c r="O8701">
        <v>0.6641319</v>
      </c>
      <c r="P8701">
        <v>0.96274329999999997</v>
      </c>
      <c r="Q8701">
        <v>-8.2248390000000005E-2</v>
      </c>
      <c r="R8701">
        <v>0.2576058</v>
      </c>
      <c r="S8701">
        <v>3.005417</v>
      </c>
      <c r="T8701">
        <v>-0.31754060000000001</v>
      </c>
      <c r="U8701">
        <v>0.316162099999999</v>
      </c>
      <c r="V8701">
        <v>0.44578269999999998</v>
      </c>
      <c r="W8701">
        <v>-7.5775919999999997E-2</v>
      </c>
      <c r="X8701">
        <v>0.891928099999999</v>
      </c>
      <c r="Y8701">
        <v>0.57672309999999904</v>
      </c>
      <c r="Z8701">
        <v>-8.8130860000000005E-2</v>
      </c>
      <c r="AA8701">
        <v>0.81217209999999995</v>
      </c>
      <c r="AB8701">
        <v>18</v>
      </c>
      <c r="AC8701">
        <v>10.479099999999899</v>
      </c>
      <c r="AD8701">
        <v>-1.1146872853899901</v>
      </c>
      <c r="AE8701">
        <v>1.0553999999999899</v>
      </c>
      <c r="AF8701">
        <v>6.1029506506823497</v>
      </c>
      <c r="AG8701">
        <v>-1.1146872853899901</v>
      </c>
      <c r="AH8701">
        <v>8.4401115664807005</v>
      </c>
      <c r="AI8701">
        <v>96.108687673344406</v>
      </c>
      <c r="AJ8701">
        <v>54.129727367471702</v>
      </c>
      <c r="AK8701">
        <v>10.4749232762591</v>
      </c>
      <c r="AL8701">
        <v>94.345806248088905</v>
      </c>
      <c r="AM8701">
        <v>63.444269246532301</v>
      </c>
      <c r="AN8701">
        <v>0.99999997062037205</v>
      </c>
    </row>
    <row r="8702" spans="1:40" x14ac:dyDescent="0.25">
      <c r="A8702" t="str">
        <f>"20190303155019154"</f>
        <v>20190303155019154</v>
      </c>
      <c r="B8702" t="str">
        <f>"1551599419149758"</f>
        <v>1551599419149758</v>
      </c>
      <c r="C8702" t="s">
        <v>40</v>
      </c>
      <c r="D8702">
        <v>5.9143829999999999</v>
      </c>
      <c r="E8702">
        <v>0.55919839999999998</v>
      </c>
      <c r="F8702" t="s">
        <v>59</v>
      </c>
      <c r="G8702">
        <v>-170.10239999999999</v>
      </c>
      <c r="H8702" s="1">
        <v>-1.259631E-6</v>
      </c>
      <c r="I8702">
        <v>134.1473</v>
      </c>
      <c r="J8702">
        <v>-180.58240000000001</v>
      </c>
      <c r="K8702">
        <v>1.1147119999999999</v>
      </c>
      <c r="L8702">
        <v>133.11109999999999</v>
      </c>
      <c r="M8702">
        <v>0.7514535</v>
      </c>
      <c r="N8702">
        <v>-1.488747E-2</v>
      </c>
      <c r="O8702">
        <v>0.65961809999999998</v>
      </c>
      <c r="P8702">
        <v>0.96341270000000001</v>
      </c>
      <c r="Q8702">
        <v>-8.2243179999999999E-2</v>
      </c>
      <c r="R8702">
        <v>0.25509179999999998</v>
      </c>
      <c r="S8702">
        <v>3.0058590000000001</v>
      </c>
      <c r="T8702">
        <v>-0.3175462</v>
      </c>
      <c r="U8702">
        <v>0.31063839999999998</v>
      </c>
      <c r="V8702">
        <v>0.44274649999999999</v>
      </c>
      <c r="W8702">
        <v>-7.5678839999999997E-2</v>
      </c>
      <c r="X8702">
        <v>0.8934474</v>
      </c>
      <c r="Y8702">
        <v>0.573333599999999</v>
      </c>
      <c r="Z8702">
        <v>-8.7680820000000007E-2</v>
      </c>
      <c r="AA8702">
        <v>0.81461689999999998</v>
      </c>
      <c r="AB8702">
        <v>18</v>
      </c>
      <c r="AC8702">
        <v>10.48</v>
      </c>
      <c r="AD8702">
        <v>-1.1147132596310001</v>
      </c>
      <c r="AE8702">
        <v>1.0362</v>
      </c>
      <c r="AF8702">
        <v>6.0668475109521296</v>
      </c>
      <c r="AG8702">
        <v>-1.1147132596310001</v>
      </c>
      <c r="AH8702">
        <v>8.4648361723230003</v>
      </c>
      <c r="AI8702">
        <v>96.109427005899406</v>
      </c>
      <c r="AJ8702">
        <v>54.370386333162401</v>
      </c>
      <c r="AK8702">
        <v>10.473904515347201</v>
      </c>
      <c r="AL8702">
        <v>94.340227813688699</v>
      </c>
      <c r="AM8702">
        <v>63.639354623546197</v>
      </c>
      <c r="AN8702">
        <v>1.0000000033263701</v>
      </c>
    </row>
    <row r="8703" spans="1:40" x14ac:dyDescent="0.25">
      <c r="A8703" t="str">
        <f>"20190303155019166"</f>
        <v>20190303155019166</v>
      </c>
      <c r="B8703" t="str">
        <f>"1551599419159517"</f>
        <v>1551599419159517</v>
      </c>
      <c r="C8703" t="s">
        <v>40</v>
      </c>
      <c r="D8703">
        <v>6.046576</v>
      </c>
      <c r="E8703">
        <v>0.55927969999999905</v>
      </c>
      <c r="F8703" t="s">
        <v>59</v>
      </c>
      <c r="G8703">
        <v>-170.05090000000001</v>
      </c>
      <c r="H8703" s="1">
        <v>-1.2421539999999999E-6</v>
      </c>
      <c r="I8703">
        <v>134.17420000000001</v>
      </c>
      <c r="J8703">
        <v>-180.5078</v>
      </c>
      <c r="K8703">
        <v>1.114741</v>
      </c>
      <c r="L8703">
        <v>133.167</v>
      </c>
      <c r="M8703">
        <v>0.75554960000000004</v>
      </c>
      <c r="N8703">
        <v>-1.4879369999999999E-2</v>
      </c>
      <c r="O8703">
        <v>0.65492249999999996</v>
      </c>
      <c r="P8703">
        <v>0.9641634</v>
      </c>
      <c r="Q8703">
        <v>-8.2211140000000002E-2</v>
      </c>
      <c r="R8703">
        <v>0.2522509</v>
      </c>
      <c r="S8703">
        <v>3.0064090000000001</v>
      </c>
      <c r="T8703">
        <v>-0.31821549999999998</v>
      </c>
      <c r="U8703">
        <v>0.30348209999999998</v>
      </c>
      <c r="V8703">
        <v>0.43982149999999998</v>
      </c>
      <c r="W8703">
        <v>-7.5557050000000001E-2</v>
      </c>
      <c r="X8703">
        <v>0.89490119999999895</v>
      </c>
      <c r="Y8703">
        <v>0.57017980000000001</v>
      </c>
      <c r="Z8703">
        <v>-8.7427499999999894E-2</v>
      </c>
      <c r="AA8703">
        <v>0.81685469999999905</v>
      </c>
      <c r="AB8703">
        <v>18</v>
      </c>
      <c r="AC8703">
        <v>10.4568999999999</v>
      </c>
      <c r="AD8703">
        <v>-1.1147422421539901</v>
      </c>
      <c r="AE8703">
        <v>1.0072000000000101</v>
      </c>
      <c r="AF8703">
        <v>6.0203550144789197</v>
      </c>
      <c r="AG8703">
        <v>-1.1147422421539901</v>
      </c>
      <c r="AH8703">
        <v>8.4659665206221995</v>
      </c>
      <c r="AI8703">
        <v>96.124814556892403</v>
      </c>
      <c r="AJ8703">
        <v>54.582440606880503</v>
      </c>
      <c r="AK8703">
        <v>10.447962188632699</v>
      </c>
      <c r="AL8703">
        <v>94.333229787680807</v>
      </c>
      <c r="AM8703">
        <v>63.827040429048097</v>
      </c>
      <c r="AN8703">
        <v>0.99999998871419604</v>
      </c>
    </row>
    <row r="8704" spans="1:40" x14ac:dyDescent="0.25">
      <c r="A8704" t="str">
        <f>"20190303155019177"</f>
        <v>20190303155019177</v>
      </c>
      <c r="B8704" t="str">
        <f>"1551599419169277"</f>
        <v>1551599419169277</v>
      </c>
      <c r="C8704" t="s">
        <v>40</v>
      </c>
      <c r="D8704">
        <v>5.951473</v>
      </c>
      <c r="E8704">
        <v>0.55906959999999895</v>
      </c>
      <c r="F8704" t="s">
        <v>59</v>
      </c>
      <c r="G8704">
        <v>-170.07650000000001</v>
      </c>
      <c r="H8704" s="1">
        <v>-1.2619980000000001E-6</v>
      </c>
      <c r="I8704">
        <v>134.18600000000001</v>
      </c>
      <c r="J8704">
        <v>-180.42850000000001</v>
      </c>
      <c r="K8704">
        <v>1.1147689999999999</v>
      </c>
      <c r="L8704">
        <v>133.22569999999999</v>
      </c>
      <c r="M8704">
        <v>0.75985559999999996</v>
      </c>
      <c r="N8704">
        <v>-1.4870410000000001E-2</v>
      </c>
      <c r="O8704">
        <v>0.649922</v>
      </c>
      <c r="P8704">
        <v>0.96509440000000002</v>
      </c>
      <c r="Q8704">
        <v>-8.2774699999999896E-2</v>
      </c>
      <c r="R8704">
        <v>0.248478</v>
      </c>
      <c r="S8704">
        <v>3.0072480000000001</v>
      </c>
      <c r="T8704">
        <v>-0.32136949999999997</v>
      </c>
      <c r="U8704">
        <v>0.29377750000000002</v>
      </c>
      <c r="V8704">
        <v>0.43738329999999997</v>
      </c>
      <c r="W8704">
        <v>-7.6041739999999997E-2</v>
      </c>
      <c r="X8704">
        <v>0.89605440000000003</v>
      </c>
      <c r="Y8704">
        <v>0.56731860000000001</v>
      </c>
      <c r="Z8704">
        <v>-8.789073E-2</v>
      </c>
      <c r="AA8704">
        <v>0.81879480000000004</v>
      </c>
      <c r="AB8704">
        <v>18</v>
      </c>
      <c r="AC8704">
        <v>10.352</v>
      </c>
      <c r="AD8704">
        <v>-1.114770261998</v>
      </c>
      <c r="AE8704">
        <v>0.96030000000001803</v>
      </c>
      <c r="AF8704">
        <v>5.9307769908121299</v>
      </c>
      <c r="AG8704">
        <v>-1.114770261998</v>
      </c>
      <c r="AH8704">
        <v>8.3945670015304401</v>
      </c>
      <c r="AI8704">
        <v>96.190042214525405</v>
      </c>
      <c r="AJ8704">
        <v>54.758724148766298</v>
      </c>
      <c r="AK8704">
        <v>10.3385484278483</v>
      </c>
      <c r="AL8704">
        <v>94.361080587244999</v>
      </c>
      <c r="AM8704">
        <v>63.982007962814599</v>
      </c>
      <c r="AN8704">
        <v>0.99999999255023797</v>
      </c>
    </row>
    <row r="8705" spans="1:40" x14ac:dyDescent="0.25">
      <c r="A8705" t="str">
        <f>"20190303155019188"</f>
        <v>20190303155019188</v>
      </c>
      <c r="B8705" t="str">
        <f>"1551599419179037"</f>
        <v>1551599419179037</v>
      </c>
      <c r="C8705" t="s">
        <v>40</v>
      </c>
      <c r="D8705">
        <v>6.0888540000000004</v>
      </c>
      <c r="E8705">
        <v>0.55891150000000001</v>
      </c>
      <c r="F8705" t="s">
        <v>59</v>
      </c>
      <c r="G8705">
        <v>-170.07380000000001</v>
      </c>
      <c r="H8705" s="1">
        <v>-1.2673360000000001E-6</v>
      </c>
      <c r="I8705">
        <v>134.20160000000001</v>
      </c>
      <c r="J8705">
        <v>-180.35550000000001</v>
      </c>
      <c r="K8705">
        <v>1.1148</v>
      </c>
      <c r="L8705">
        <v>133.27889999999999</v>
      </c>
      <c r="M8705">
        <v>0.7637507</v>
      </c>
      <c r="N8705">
        <v>-1.486144E-2</v>
      </c>
      <c r="O8705">
        <v>0.64534019999999903</v>
      </c>
      <c r="P8705">
        <v>0.96592619999999896</v>
      </c>
      <c r="Q8705">
        <v>-8.3425920000000001E-2</v>
      </c>
      <c r="R8705">
        <v>0.24500359999999999</v>
      </c>
      <c r="S8705">
        <v>3.0077509999999998</v>
      </c>
      <c r="T8705">
        <v>-0.32381079999999901</v>
      </c>
      <c r="U8705">
        <v>0.28346250000000001</v>
      </c>
      <c r="V8705">
        <v>0.43517980000000001</v>
      </c>
      <c r="W8705">
        <v>-7.6620560000000004E-2</v>
      </c>
      <c r="X8705">
        <v>0.89707739999999903</v>
      </c>
      <c r="Y8705">
        <v>0.56510890000000003</v>
      </c>
      <c r="Z8705">
        <v>-8.8210200000000002E-2</v>
      </c>
      <c r="AA8705">
        <v>0.82028709999999905</v>
      </c>
      <c r="AB8705">
        <v>18</v>
      </c>
      <c r="AC8705">
        <v>10.281700000000001</v>
      </c>
      <c r="AD8705">
        <v>-1.1148012673359999</v>
      </c>
      <c r="AE8705">
        <v>0.92270000000001995</v>
      </c>
      <c r="AF8705">
        <v>5.8627638064842502</v>
      </c>
      <c r="AG8705">
        <v>-1.1148012673359999</v>
      </c>
      <c r="AH8705">
        <v>8.3516454314709101</v>
      </c>
      <c r="AI8705">
        <v>96.234905272925701</v>
      </c>
      <c r="AJ8705">
        <v>54.931564478122098</v>
      </c>
      <c r="AK8705">
        <v>10.264733933682001</v>
      </c>
      <c r="AL8705">
        <v>94.394341470111002</v>
      </c>
      <c r="AM8705">
        <v>64.121585944510599</v>
      </c>
      <c r="AN8705">
        <v>1.0000000150667501</v>
      </c>
    </row>
    <row r="8706" spans="1:40" x14ac:dyDescent="0.25">
      <c r="A8706" t="str">
        <f>"20190303155019200"</f>
        <v>20190303155019200</v>
      </c>
      <c r="B8706" t="str">
        <f>"1551599419189773"</f>
        <v>1551599419189773</v>
      </c>
      <c r="C8706" t="s">
        <v>40</v>
      </c>
      <c r="D8706">
        <v>5.9115010000000003</v>
      </c>
      <c r="E8706">
        <v>0.55879599999999996</v>
      </c>
      <c r="F8706" t="s">
        <v>59</v>
      </c>
      <c r="G8706">
        <v>-170.0009</v>
      </c>
      <c r="H8706" s="1">
        <v>-1.234553E-6</v>
      </c>
      <c r="I8706">
        <v>134.22130000000001</v>
      </c>
      <c r="J8706">
        <v>-180.27510000000001</v>
      </c>
      <c r="K8706">
        <v>1.1148340000000001</v>
      </c>
      <c r="L8706">
        <v>133.33709999999999</v>
      </c>
      <c r="M8706">
        <v>0.7679935</v>
      </c>
      <c r="N8706">
        <v>-1.485159E-2</v>
      </c>
      <c r="O8706">
        <v>0.64028549999999995</v>
      </c>
      <c r="P8706">
        <v>0.96681010000000001</v>
      </c>
      <c r="Q8706">
        <v>-8.4453059999999996E-2</v>
      </c>
      <c r="R8706">
        <v>0.24113480000000001</v>
      </c>
      <c r="S8706">
        <v>3.0084080000000002</v>
      </c>
      <c r="T8706">
        <v>-0.32389449999999997</v>
      </c>
      <c r="U8706">
        <v>0.27381899999999998</v>
      </c>
      <c r="V8706">
        <v>0.43278630000000001</v>
      </c>
      <c r="W8706">
        <v>-7.7568810000000002E-2</v>
      </c>
      <c r="X8706">
        <v>0.89815319999999899</v>
      </c>
      <c r="Y8706">
        <v>0.56232910000000003</v>
      </c>
      <c r="Z8706">
        <v>-8.7768730000000003E-2</v>
      </c>
      <c r="AA8706">
        <v>0.82224249999999899</v>
      </c>
      <c r="AB8706">
        <v>18</v>
      </c>
      <c r="AC8706">
        <v>10.2742</v>
      </c>
      <c r="AD8706">
        <v>-1.1148352345529999</v>
      </c>
      <c r="AE8706">
        <v>0.88420000000002097</v>
      </c>
      <c r="AF8706">
        <v>5.8318522126139403</v>
      </c>
      <c r="AG8706">
        <v>-1.1148352345529999</v>
      </c>
      <c r="AH8706">
        <v>8.3598856539948603</v>
      </c>
      <c r="AI8706">
        <v>96.241752261519295</v>
      </c>
      <c r="AJ8706">
        <v>55.100390930577397</v>
      </c>
      <c r="AK8706">
        <v>10.2538307952608</v>
      </c>
      <c r="AL8706">
        <v>94.448834283145302</v>
      </c>
      <c r="AM8706">
        <v>64.272328964734697</v>
      </c>
      <c r="AN8706">
        <v>1.0000000362113699</v>
      </c>
    </row>
    <row r="8707" spans="1:40" x14ac:dyDescent="0.25">
      <c r="A8707" t="str">
        <f>"20190303155019212"</f>
        <v>20190303155019212</v>
      </c>
      <c r="B8707" t="str">
        <f>"1551599419209293"</f>
        <v>1551599419209293</v>
      </c>
      <c r="C8707" t="s">
        <v>40</v>
      </c>
      <c r="D8707">
        <v>5.9293519999999997</v>
      </c>
      <c r="E8707">
        <v>0.55853140000000001</v>
      </c>
      <c r="F8707" t="s">
        <v>59</v>
      </c>
      <c r="G8707">
        <v>-170.05529999999999</v>
      </c>
      <c r="H8707" s="1">
        <v>-1.268976E-6</v>
      </c>
      <c r="I8707">
        <v>134.22909999999999</v>
      </c>
      <c r="J8707">
        <v>-180.1986</v>
      </c>
      <c r="K8707">
        <v>1.114868</v>
      </c>
      <c r="L8707">
        <v>133.3912</v>
      </c>
      <c r="M8707">
        <v>0.77194839999999998</v>
      </c>
      <c r="N8707">
        <v>-1.4840539999999999E-2</v>
      </c>
      <c r="O8707">
        <v>0.63551190000000002</v>
      </c>
      <c r="P8707">
        <v>0.9676669</v>
      </c>
      <c r="Q8707">
        <v>-8.5093879999999997E-2</v>
      </c>
      <c r="R8707">
        <v>0.23744470000000001</v>
      </c>
      <c r="S8707">
        <v>3.0088200000000001</v>
      </c>
      <c r="T8707">
        <v>-0.32822040000000002</v>
      </c>
      <c r="U8707">
        <v>0.26263429999999999</v>
      </c>
      <c r="V8707">
        <v>0.4306082</v>
      </c>
      <c r="W8707">
        <v>-7.8132989999999999E-2</v>
      </c>
      <c r="X8707">
        <v>0.89915059999999902</v>
      </c>
      <c r="Y8707">
        <v>0.5601235</v>
      </c>
      <c r="Z8707">
        <v>-8.8602699999999895E-2</v>
      </c>
      <c r="AA8707">
        <v>0.82365730000000004</v>
      </c>
      <c r="AB8707">
        <v>18</v>
      </c>
      <c r="AC8707">
        <v>10.1433</v>
      </c>
      <c r="AD8707">
        <v>-1.114869268976</v>
      </c>
      <c r="AE8707">
        <v>0.83789999999998999</v>
      </c>
      <c r="AF8707">
        <v>5.7312434390122098</v>
      </c>
      <c r="AG8707">
        <v>-1.114869268976</v>
      </c>
      <c r="AH8707">
        <v>8.2643589408642004</v>
      </c>
      <c r="AI8707">
        <v>96.325589688625001</v>
      </c>
      <c r="AJ8707">
        <v>55.2591107584729</v>
      </c>
      <c r="AK8707">
        <v>10.1187802401064</v>
      </c>
      <c r="AL8707">
        <v>94.481258010940707</v>
      </c>
      <c r="AM8707">
        <v>64.409981610478596</v>
      </c>
      <c r="AN8707">
        <v>0.99999999375697002</v>
      </c>
    </row>
    <row r="8708" spans="1:40" x14ac:dyDescent="0.25">
      <c r="A8708" t="str">
        <f>"20190303155019224"</f>
        <v>20190303155019224</v>
      </c>
      <c r="B8708" t="str">
        <f>"1551599419219562"</f>
        <v>1551599419219562</v>
      </c>
      <c r="C8708" t="s">
        <v>40</v>
      </c>
      <c r="D8708">
        <v>6.0901769999999997</v>
      </c>
      <c r="E8708">
        <v>0.55868469999999903</v>
      </c>
      <c r="F8708" t="s">
        <v>59</v>
      </c>
      <c r="G8708">
        <v>-170.1086</v>
      </c>
      <c r="H8708" s="1">
        <v>-1.3039140000000001E-6</v>
      </c>
      <c r="I8708">
        <v>134.23939999999999</v>
      </c>
      <c r="J8708">
        <v>-180.11359999999999</v>
      </c>
      <c r="K8708">
        <v>1.1149039999999999</v>
      </c>
      <c r="L8708">
        <v>133.45089999999999</v>
      </c>
      <c r="M8708">
        <v>0.77628680000000005</v>
      </c>
      <c r="N8708">
        <v>-1.4828040000000001E-2</v>
      </c>
      <c r="O8708">
        <v>0.63020540000000003</v>
      </c>
      <c r="P8708">
        <v>0.96856240000000005</v>
      </c>
      <c r="Q8708">
        <v>-8.5688299999999995E-2</v>
      </c>
      <c r="R8708">
        <v>0.23354810000000001</v>
      </c>
      <c r="S8708">
        <v>3.0089419999999998</v>
      </c>
      <c r="T8708">
        <v>-0.33246520000000002</v>
      </c>
      <c r="U8708">
        <v>0.25294489999999997</v>
      </c>
      <c r="V8708">
        <v>0.42803170000000001</v>
      </c>
      <c r="W8708">
        <v>-7.8637250000000006E-2</v>
      </c>
      <c r="X8708">
        <v>0.90033600000000003</v>
      </c>
      <c r="Y8708">
        <v>0.55696889999999999</v>
      </c>
      <c r="Z8708">
        <v>-8.9306880000000005E-2</v>
      </c>
      <c r="AA8708">
        <v>0.82571779999999995</v>
      </c>
      <c r="AB8708">
        <v>18</v>
      </c>
      <c r="AC8708">
        <v>10.0049999999999</v>
      </c>
      <c r="AD8708">
        <v>-1.114905303914</v>
      </c>
      <c r="AE8708">
        <v>0.78849999999999898</v>
      </c>
      <c r="AF8708">
        <v>5.6243190188891301</v>
      </c>
      <c r="AG8708">
        <v>-1.114905303914</v>
      </c>
      <c r="AH8708">
        <v>8.1638250688464993</v>
      </c>
      <c r="AI8708">
        <v>96.416598397658703</v>
      </c>
      <c r="AJ8708">
        <v>55.4358065115388</v>
      </c>
      <c r="AK8708">
        <v>9.9761725134271799</v>
      </c>
      <c r="AL8708">
        <v>94.510239425919707</v>
      </c>
      <c r="AM8708">
        <v>64.572964409675393</v>
      </c>
      <c r="AN8708">
        <v>0.99999993309422397</v>
      </c>
    </row>
    <row r="8709" spans="1:40" x14ac:dyDescent="0.25">
      <c r="A8709" t="str">
        <f>"20190303155019236"</f>
        <v>20190303155019236</v>
      </c>
      <c r="B8709" t="str">
        <f>"1551599419229322"</f>
        <v>1551599419229322</v>
      </c>
      <c r="C8709" t="s">
        <v>40</v>
      </c>
      <c r="D8709">
        <v>5.9676299999999998</v>
      </c>
      <c r="E8709">
        <v>0.55855290000000002</v>
      </c>
      <c r="F8709" t="s">
        <v>59</v>
      </c>
      <c r="G8709">
        <v>-170.15979999999999</v>
      </c>
      <c r="H8709" s="1">
        <v>-1.3346910000000001E-6</v>
      </c>
      <c r="I8709">
        <v>134.24299999999999</v>
      </c>
      <c r="J8709">
        <v>-180.02629999999999</v>
      </c>
      <c r="K8709">
        <v>1.114954</v>
      </c>
      <c r="L8709">
        <v>133.51130000000001</v>
      </c>
      <c r="M8709">
        <v>0.78066190000000002</v>
      </c>
      <c r="N8709">
        <v>-1.481376E-2</v>
      </c>
      <c r="O8709">
        <v>0.6247779</v>
      </c>
      <c r="P8709">
        <v>0.96948239999999997</v>
      </c>
      <c r="Q8709">
        <v>-8.5912859999999994E-2</v>
      </c>
      <c r="R8709">
        <v>0.2296147</v>
      </c>
      <c r="S8709">
        <v>3.0097960000000001</v>
      </c>
      <c r="T8709">
        <v>-0.33712120000000001</v>
      </c>
      <c r="U8709">
        <v>0.2394867</v>
      </c>
      <c r="V8709">
        <v>0.42540509999999898</v>
      </c>
      <c r="W8709">
        <v>-7.8765379999999996E-2</v>
      </c>
      <c r="X8709">
        <v>0.90156890000000001</v>
      </c>
      <c r="Y8709">
        <v>0.55473629999999996</v>
      </c>
      <c r="Z8709">
        <v>-9.0146100000000007E-2</v>
      </c>
      <c r="AA8709">
        <v>0.82712839999999999</v>
      </c>
      <c r="AB8709">
        <v>18</v>
      </c>
      <c r="AC8709">
        <v>9.8665000000000003</v>
      </c>
      <c r="AD8709">
        <v>-1.1149553346909999</v>
      </c>
      <c r="AE8709">
        <v>0.73169999999998903</v>
      </c>
      <c r="AF8709">
        <v>5.5236244744306102</v>
      </c>
      <c r="AG8709">
        <v>-1.1149553346909999</v>
      </c>
      <c r="AH8709">
        <v>8.0581079002303806</v>
      </c>
      <c r="AI8709">
        <v>96.510763065483104</v>
      </c>
      <c r="AJ8709">
        <v>55.570371057513597</v>
      </c>
      <c r="AK8709">
        <v>9.8329372857066506</v>
      </c>
      <c r="AL8709">
        <v>94.517603351360506</v>
      </c>
      <c r="AM8709">
        <v>64.7397280710031</v>
      </c>
      <c r="AN8709">
        <v>0.99999998281988201</v>
      </c>
    </row>
    <row r="8710" spans="1:40" x14ac:dyDescent="0.25">
      <c r="A8710" t="str">
        <f>"20190303155019250"</f>
        <v>20190303155019250</v>
      </c>
      <c r="B8710" t="str">
        <f>"1551599419239082"</f>
        <v>1551599419239082</v>
      </c>
      <c r="C8710" t="s">
        <v>40</v>
      </c>
      <c r="D8710">
        <v>5.9772480000000003</v>
      </c>
      <c r="E8710">
        <v>0.55836830000000004</v>
      </c>
      <c r="F8710" t="s">
        <v>59</v>
      </c>
      <c r="G8710">
        <v>-170.14590000000001</v>
      </c>
      <c r="H8710" s="1">
        <v>-1.3345469999999999E-6</v>
      </c>
      <c r="I8710">
        <v>134.26060000000001</v>
      </c>
      <c r="J8710">
        <v>-179.93799999999999</v>
      </c>
      <c r="K8710">
        <v>1.1150059999999999</v>
      </c>
      <c r="L8710">
        <v>133.57149999999999</v>
      </c>
      <c r="M8710">
        <v>0.78500329999999996</v>
      </c>
      <c r="N8710">
        <v>-1.479808E-2</v>
      </c>
      <c r="O8710">
        <v>0.6193149</v>
      </c>
      <c r="P8710">
        <v>0.97040599999999999</v>
      </c>
      <c r="Q8710">
        <v>-8.5881579999999999E-2</v>
      </c>
      <c r="R8710">
        <v>0.22569139999999999</v>
      </c>
      <c r="S8710">
        <v>3.010284</v>
      </c>
      <c r="T8710">
        <v>-0.33969519999999997</v>
      </c>
      <c r="U8710">
        <v>0.22827149999999999</v>
      </c>
      <c r="V8710">
        <v>0.42277490000000001</v>
      </c>
      <c r="W8710">
        <v>-7.8634720000000005E-2</v>
      </c>
      <c r="X8710">
        <v>0.90281670000000003</v>
      </c>
      <c r="Y8710">
        <v>0.55195649999999996</v>
      </c>
      <c r="Z8710">
        <v>-9.0346609999999994E-2</v>
      </c>
      <c r="AA8710">
        <v>0.82896409999999998</v>
      </c>
      <c r="AB8710">
        <v>18</v>
      </c>
      <c r="AC8710">
        <v>9.7920999999999694</v>
      </c>
      <c r="AD8710">
        <v>-1.115007334547</v>
      </c>
      <c r="AE8710">
        <v>0.68910000000002403</v>
      </c>
      <c r="AF8710">
        <v>5.4536885334764804</v>
      </c>
      <c r="AG8710">
        <v>-1.115007334547</v>
      </c>
      <c r="AH8710">
        <v>8.01112890052495</v>
      </c>
      <c r="AI8710">
        <v>96.5631730911294</v>
      </c>
      <c r="AJ8710">
        <v>55.754373679631499</v>
      </c>
      <c r="AK8710">
        <v>9.7552112348781392</v>
      </c>
      <c r="AL8710">
        <v>94.510093649275206</v>
      </c>
      <c r="AM8710">
        <v>64.907044243291807</v>
      </c>
      <c r="AN8710">
        <v>1.0000000145291801</v>
      </c>
    </row>
    <row r="8711" spans="1:40" x14ac:dyDescent="0.25">
      <c r="A8711" t="str">
        <f>"20190303155019266"</f>
        <v>20190303155019266</v>
      </c>
      <c r="B8711" t="str">
        <f>"1551599419259578"</f>
        <v>1551599419259578</v>
      </c>
      <c r="C8711" t="s">
        <v>40</v>
      </c>
      <c r="D8711">
        <v>5.9511690000000002</v>
      </c>
      <c r="E8711">
        <v>0.5580271</v>
      </c>
      <c r="F8711" t="s">
        <v>59</v>
      </c>
      <c r="G8711">
        <v>-170.09450000000001</v>
      </c>
      <c r="H8711" s="1">
        <v>-1.3148980000000001E-6</v>
      </c>
      <c r="I8711">
        <v>134.28229999999999</v>
      </c>
      <c r="J8711">
        <v>-179.82640000000001</v>
      </c>
      <c r="K8711">
        <v>1.1150819999999999</v>
      </c>
      <c r="L8711">
        <v>133.6465</v>
      </c>
      <c r="M8711">
        <v>0.79038209999999998</v>
      </c>
      <c r="N8711">
        <v>-1.477732E-2</v>
      </c>
      <c r="O8711">
        <v>0.61243599999999998</v>
      </c>
      <c r="P8711">
        <v>0.9710858</v>
      </c>
      <c r="Q8711">
        <v>-8.5262630000000006E-2</v>
      </c>
      <c r="R8711">
        <v>0.2229863</v>
      </c>
      <c r="S8711">
        <v>3.0107729999999999</v>
      </c>
      <c r="T8711">
        <v>-0.3410435</v>
      </c>
      <c r="U8711">
        <v>0.21740719999999999</v>
      </c>
      <c r="V8711">
        <v>0.41746290000000003</v>
      </c>
      <c r="W8711">
        <v>-7.7844930000000007E-2</v>
      </c>
      <c r="X8711">
        <v>0.90535350000000003</v>
      </c>
      <c r="Y8711">
        <v>0.54767619999999995</v>
      </c>
      <c r="Z8711">
        <v>-8.9995980000000003E-2</v>
      </c>
      <c r="AA8711">
        <v>0.83183619999999903</v>
      </c>
      <c r="AB8711">
        <v>18</v>
      </c>
      <c r="AC8711">
        <v>9.7318999999999907</v>
      </c>
      <c r="AD8711">
        <v>-1.1150833148979999</v>
      </c>
      <c r="AE8711">
        <v>0.63579999999998904</v>
      </c>
      <c r="AF8711">
        <v>5.3878028827602398</v>
      </c>
      <c r="AG8711">
        <v>-1.1150833148979999</v>
      </c>
      <c r="AH8711">
        <v>7.9778948432861698</v>
      </c>
      <c r="AI8711">
        <v>96.607193616323897</v>
      </c>
      <c r="AJ8711">
        <v>55.967213038447397</v>
      </c>
      <c r="AK8711">
        <v>9.6911628215181391</v>
      </c>
      <c r="AL8711">
        <v>94.464702790063797</v>
      </c>
      <c r="AM8711">
        <v>65.245343521164799</v>
      </c>
      <c r="AN8711">
        <v>1.0000000329826799</v>
      </c>
    </row>
    <row r="8712" spans="1:40" x14ac:dyDescent="0.25">
      <c r="A8712" t="str">
        <f>"20190303155019282"</f>
        <v>20190303155019282</v>
      </c>
      <c r="B8712" t="str">
        <f>"1551599419269337"</f>
        <v>1551599419269337</v>
      </c>
      <c r="C8712" t="s">
        <v>40</v>
      </c>
      <c r="D8712">
        <v>6.0634420000000002</v>
      </c>
      <c r="E8712">
        <v>0.55794259999999996</v>
      </c>
      <c r="F8712" t="s">
        <v>59</v>
      </c>
      <c r="G8712">
        <v>-170.01159999999999</v>
      </c>
      <c r="H8712" s="1">
        <v>-1.2916780000000001E-6</v>
      </c>
      <c r="I8712">
        <v>134.3366</v>
      </c>
      <c r="J8712">
        <v>-179.72020000000001</v>
      </c>
      <c r="K8712">
        <v>1.115156</v>
      </c>
      <c r="L8712">
        <v>133.7167</v>
      </c>
      <c r="M8712">
        <v>0.79538619999999904</v>
      </c>
      <c r="N8712">
        <v>-1.475657E-2</v>
      </c>
      <c r="O8712">
        <v>0.60592330000000005</v>
      </c>
      <c r="P8712">
        <v>0.97242680000000004</v>
      </c>
      <c r="Q8712">
        <v>-8.5005419999999998E-2</v>
      </c>
      <c r="R8712">
        <v>0.2171641</v>
      </c>
      <c r="S8712">
        <v>3.0106809999999999</v>
      </c>
      <c r="T8712">
        <v>-0.3420532</v>
      </c>
      <c r="U8712">
        <v>0.21170040000000001</v>
      </c>
      <c r="V8712">
        <v>0.41548370000000001</v>
      </c>
      <c r="W8712">
        <v>-7.7488150000000006E-2</v>
      </c>
      <c r="X8712">
        <v>0.90629400000000004</v>
      </c>
      <c r="Y8712">
        <v>0.54240119999999903</v>
      </c>
      <c r="Z8712">
        <v>-8.9503810000000003E-2</v>
      </c>
      <c r="AA8712">
        <v>0.83533829999999998</v>
      </c>
      <c r="AB8712">
        <v>18</v>
      </c>
      <c r="AC8712">
        <v>9.7086000000000094</v>
      </c>
      <c r="AD8712">
        <v>-1.1151572916779999</v>
      </c>
      <c r="AE8712">
        <v>0.61990000000000101</v>
      </c>
      <c r="AF8712">
        <v>5.3202859017597897</v>
      </c>
      <c r="AG8712">
        <v>-1.1151572916779999</v>
      </c>
      <c r="AH8712">
        <v>7.9935456930784996</v>
      </c>
      <c r="AI8712">
        <v>96.624405195935495</v>
      </c>
      <c r="AJ8712">
        <v>56.353347448719703</v>
      </c>
      <c r="AK8712">
        <v>9.6667362956160297</v>
      </c>
      <c r="AL8712">
        <v>94.444199164629893</v>
      </c>
      <c r="AM8712">
        <v>65.371265802738705</v>
      </c>
      <c r="AN8712">
        <v>0.99999996639605504</v>
      </c>
    </row>
    <row r="8713" spans="1:40" x14ac:dyDescent="0.25">
      <c r="A8713" t="str">
        <f>"20190303155019295"</f>
        <v>20190303155019295</v>
      </c>
      <c r="B8713" t="str">
        <f>"1551599419289834"</f>
        <v>1551599419289834</v>
      </c>
      <c r="C8713" t="s">
        <v>40</v>
      </c>
      <c r="D8713">
        <v>5.9333039999999997</v>
      </c>
      <c r="E8713">
        <v>0.55788990000000005</v>
      </c>
      <c r="F8713" t="s">
        <v>41</v>
      </c>
      <c r="G8713">
        <v>-169.798</v>
      </c>
      <c r="H8713" s="1">
        <v>-1.4610679999999901E-6</v>
      </c>
      <c r="I8713">
        <v>134.35730000000001</v>
      </c>
      <c r="J8713">
        <v>-179.61959999999999</v>
      </c>
      <c r="K8713">
        <v>1.1152340000000001</v>
      </c>
      <c r="L8713">
        <v>133.78190000000001</v>
      </c>
      <c r="M8713">
        <v>0.79999790000000004</v>
      </c>
      <c r="N8713">
        <v>-1.4735109999999999E-2</v>
      </c>
      <c r="O8713">
        <v>0.59982179999999996</v>
      </c>
      <c r="P8713">
        <v>0.97333590000000003</v>
      </c>
      <c r="Q8713">
        <v>-8.4804370000000004E-2</v>
      </c>
      <c r="R8713">
        <v>0.21313260000000001</v>
      </c>
      <c r="S8713">
        <v>3.0120390000000001</v>
      </c>
      <c r="T8713">
        <v>-0.33852450000000001</v>
      </c>
      <c r="U8713">
        <v>0.19447329999999999</v>
      </c>
      <c r="V8713">
        <v>0.41233619999999999</v>
      </c>
      <c r="W8713">
        <v>-7.7165769999999995E-2</v>
      </c>
      <c r="X8713">
        <v>0.90775790000000001</v>
      </c>
      <c r="Y8713">
        <v>0.54094200000000003</v>
      </c>
      <c r="Z8713">
        <v>-8.8017250000000005E-2</v>
      </c>
      <c r="AA8713">
        <v>0.83644169999999995</v>
      </c>
      <c r="AB8713">
        <v>18</v>
      </c>
      <c r="AC8713">
        <v>9.8215999999999894</v>
      </c>
      <c r="AD8713">
        <v>-1.115235461068</v>
      </c>
      <c r="AE8713">
        <v>0.57540000000000102</v>
      </c>
      <c r="AF8713">
        <v>5.3625752838038698</v>
      </c>
      <c r="AG8713">
        <v>-1.115235461068</v>
      </c>
      <c r="AH8713">
        <v>8.0992180766761397</v>
      </c>
      <c r="AI8713">
        <v>96.549533328682898</v>
      </c>
      <c r="AJ8713">
        <v>56.491049090988497</v>
      </c>
      <c r="AK8713">
        <v>9.7774381747800092</v>
      </c>
      <c r="AL8713">
        <v>94.425672301118993</v>
      </c>
      <c r="AM8713">
        <v>65.570747483728098</v>
      </c>
      <c r="AN8713">
        <v>1.0000000514512699</v>
      </c>
    </row>
    <row r="8714" spans="1:40" x14ac:dyDescent="0.25">
      <c r="A8714" t="str">
        <f>"20190303155019307"</f>
        <v>20190303155019307</v>
      </c>
      <c r="B8714" t="str">
        <f>"1551599419299595"</f>
        <v>1551599419299595</v>
      </c>
      <c r="C8714" t="s">
        <v>40</v>
      </c>
      <c r="D8714">
        <v>6.0874379999999997</v>
      </c>
      <c r="E8714">
        <v>0.55773790000000001</v>
      </c>
      <c r="F8714" t="s">
        <v>41</v>
      </c>
      <c r="G8714">
        <v>-169.50120000000001</v>
      </c>
      <c r="H8714" s="1">
        <v>-1.564883E-6</v>
      </c>
      <c r="I8714">
        <v>134.3955</v>
      </c>
      <c r="J8714">
        <v>-179.53870000000001</v>
      </c>
      <c r="K8714">
        <v>1.115294</v>
      </c>
      <c r="L8714">
        <v>133.83359999999999</v>
      </c>
      <c r="M8714">
        <v>0.80363769999999901</v>
      </c>
      <c r="N8714">
        <v>-1.471742E-2</v>
      </c>
      <c r="O8714">
        <v>0.59493689999999999</v>
      </c>
      <c r="P8714">
        <v>0.97405870000000006</v>
      </c>
      <c r="Q8714">
        <v>-8.4932919999999995E-2</v>
      </c>
      <c r="R8714">
        <v>0.20975289999999999</v>
      </c>
      <c r="S8714">
        <v>3.0132289999999999</v>
      </c>
      <c r="T8714">
        <v>-0.33211449999999998</v>
      </c>
      <c r="U8714">
        <v>0.18273929999999999</v>
      </c>
      <c r="V8714">
        <v>0.40996110000000002</v>
      </c>
      <c r="W8714">
        <v>-7.7201110000000003E-2</v>
      </c>
      <c r="X8714">
        <v>0.90882989999999997</v>
      </c>
      <c r="Y8714">
        <v>0.53936509999999904</v>
      </c>
      <c r="Z8714">
        <v>-8.5819640000000003E-2</v>
      </c>
      <c r="AA8714">
        <v>0.83768739999999997</v>
      </c>
      <c r="AB8714">
        <v>18</v>
      </c>
      <c r="AC8714">
        <v>10.0374999999999</v>
      </c>
      <c r="AD8714">
        <v>-1.1152955648829901</v>
      </c>
      <c r="AE8714">
        <v>0.56190000000000795</v>
      </c>
      <c r="AF8714">
        <v>5.4535927343645803</v>
      </c>
      <c r="AG8714">
        <v>-1.1152955648829901</v>
      </c>
      <c r="AH8714">
        <v>8.2995711239032399</v>
      </c>
      <c r="AI8714">
        <v>96.407729391661306</v>
      </c>
      <c r="AJ8714">
        <v>56.691351526380998</v>
      </c>
      <c r="AK8714">
        <v>9.9934197725348408</v>
      </c>
      <c r="AL8714">
        <v>94.427703637779302</v>
      </c>
      <c r="AM8714">
        <v>65.720496488300498</v>
      </c>
      <c r="AN8714">
        <v>0.99999995101622396</v>
      </c>
    </row>
    <row r="8715" spans="1:40" x14ac:dyDescent="0.25">
      <c r="A8715" t="str">
        <f>"20190303155019319"</f>
        <v>20190303155019319</v>
      </c>
      <c r="B8715" t="str">
        <f>"1551599419309353"</f>
        <v>1551599419309353</v>
      </c>
      <c r="C8715" t="s">
        <v>40</v>
      </c>
      <c r="D8715">
        <v>5.9722850000000003</v>
      </c>
      <c r="E8715">
        <v>0.55766499999999997</v>
      </c>
      <c r="F8715" t="s">
        <v>41</v>
      </c>
      <c r="G8715">
        <v>-169.37200000000001</v>
      </c>
      <c r="H8715" s="1">
        <v>-1.6080999999999999E-6</v>
      </c>
      <c r="I8715">
        <v>134.4196</v>
      </c>
      <c r="J8715">
        <v>-179.45079999999999</v>
      </c>
      <c r="K8715">
        <v>1.115361</v>
      </c>
      <c r="L8715">
        <v>133.88939999999999</v>
      </c>
      <c r="M8715">
        <v>0.80752550000000001</v>
      </c>
      <c r="N8715">
        <v>-1.46981E-2</v>
      </c>
      <c r="O8715">
        <v>0.5896496</v>
      </c>
      <c r="P8715">
        <v>0.97411879999999995</v>
      </c>
      <c r="Q8715">
        <v>-8.6245489999999994E-2</v>
      </c>
      <c r="R8715">
        <v>0.2089365</v>
      </c>
      <c r="S8715">
        <v>3.0136720000000001</v>
      </c>
      <c r="T8715">
        <v>-0.3306019</v>
      </c>
      <c r="U8715">
        <v>0.17369079999999901</v>
      </c>
      <c r="V8715">
        <v>0.40468490000000001</v>
      </c>
      <c r="W8715">
        <v>-7.8360540000000006E-2</v>
      </c>
      <c r="X8715">
        <v>0.91109260000000003</v>
      </c>
      <c r="Y8715">
        <v>0.53645659999999995</v>
      </c>
      <c r="Z8715">
        <v>-8.4871139999999998E-2</v>
      </c>
      <c r="AA8715">
        <v>0.83964939999999999</v>
      </c>
      <c r="AB8715">
        <v>18</v>
      </c>
      <c r="AC8715">
        <v>10.0787999999999</v>
      </c>
      <c r="AD8715">
        <v>-1.1153626081000001</v>
      </c>
      <c r="AE8715">
        <v>0.530200000000007</v>
      </c>
      <c r="AF8715">
        <v>5.4488601342687399</v>
      </c>
      <c r="AG8715">
        <v>-1.1153626081000001</v>
      </c>
      <c r="AH8715">
        <v>8.3504506165164205</v>
      </c>
      <c r="AI8715">
        <v>96.382633836033406</v>
      </c>
      <c r="AJ8715">
        <v>56.874632190269601</v>
      </c>
      <c r="AK8715">
        <v>10.033151848210499</v>
      </c>
      <c r="AL8715">
        <v>94.494335805063002</v>
      </c>
      <c r="AM8715">
        <v>66.050385775776206</v>
      </c>
      <c r="AN8715">
        <v>0.99999998414593005</v>
      </c>
    </row>
    <row r="8716" spans="1:40" x14ac:dyDescent="0.25">
      <c r="A8716" t="str">
        <f>"20190303155019334"</f>
        <v>20190303155019334</v>
      </c>
      <c r="B8716" t="str">
        <f>"1551599419329383"</f>
        <v>1551599419329383</v>
      </c>
      <c r="C8716" t="s">
        <v>40</v>
      </c>
      <c r="D8716">
        <v>5.9856239999999996</v>
      </c>
      <c r="E8716">
        <v>0.55738279999999996</v>
      </c>
      <c r="F8716" t="s">
        <v>41</v>
      </c>
      <c r="G8716">
        <v>-169.3655</v>
      </c>
      <c r="H8716" s="1">
        <v>-1.5985919999999901E-6</v>
      </c>
      <c r="I8716">
        <v>134.46469999999999</v>
      </c>
      <c r="J8716">
        <v>-179.35579999999999</v>
      </c>
      <c r="K8716">
        <v>1.115435</v>
      </c>
      <c r="L8716">
        <v>133.9485</v>
      </c>
      <c r="M8716">
        <v>0.81160969999999999</v>
      </c>
      <c r="N8716">
        <v>-1.4674950000000001E-2</v>
      </c>
      <c r="O8716">
        <v>0.58401579999999997</v>
      </c>
      <c r="P8716">
        <v>0.97488019999999997</v>
      </c>
      <c r="Q8716">
        <v>-8.6863109999999993E-2</v>
      </c>
      <c r="R8716">
        <v>0.20509450000000001</v>
      </c>
      <c r="S8716">
        <v>3.0133359999999998</v>
      </c>
      <c r="T8716">
        <v>-0.33325369999999999</v>
      </c>
      <c r="U8716">
        <v>0.171890299999999</v>
      </c>
      <c r="V8716">
        <v>0.40191260000000001</v>
      </c>
      <c r="W8716">
        <v>-7.8869190000000006E-2</v>
      </c>
      <c r="X8716">
        <v>0.91227510000000001</v>
      </c>
      <c r="Y8716">
        <v>0.53104189999999996</v>
      </c>
      <c r="Z8716">
        <v>-8.4869879999999995E-2</v>
      </c>
      <c r="AA8716">
        <v>0.84308459999999996</v>
      </c>
      <c r="AB8716">
        <v>18</v>
      </c>
      <c r="AC8716">
        <v>9.9902999999999906</v>
      </c>
      <c r="AD8716">
        <v>-1.1154365985920001</v>
      </c>
      <c r="AE8716">
        <v>0.51619999999999699</v>
      </c>
      <c r="AF8716">
        <v>5.3496114909155601</v>
      </c>
      <c r="AG8716">
        <v>-1.1154365985920001</v>
      </c>
      <c r="AH8716">
        <v>8.3073139785116705</v>
      </c>
      <c r="AI8716">
        <v>96.440825352443895</v>
      </c>
      <c r="AJ8716">
        <v>57.219921044157701</v>
      </c>
      <c r="AK8716">
        <v>9.9435409913566399</v>
      </c>
      <c r="AL8716">
        <v>94.523569833662606</v>
      </c>
      <c r="AM8716">
        <v>66.223593791303102</v>
      </c>
      <c r="AN8716">
        <v>0.99999997262501195</v>
      </c>
    </row>
    <row r="8717" spans="1:40" x14ac:dyDescent="0.25">
      <c r="A8717" t="str">
        <f>"20190303155019344"</f>
        <v>20190303155019344</v>
      </c>
      <c r="B8717" t="str">
        <f>"1551599419339140"</f>
        <v>1551599419339140</v>
      </c>
      <c r="C8717" t="s">
        <v>40</v>
      </c>
      <c r="D8717">
        <v>5.9742129999999998</v>
      </c>
      <c r="E8717">
        <v>0.55721009999999904</v>
      </c>
      <c r="F8717" t="s">
        <v>41</v>
      </c>
      <c r="G8717">
        <v>-169.23429999999999</v>
      </c>
      <c r="H8717" s="1">
        <v>-1.6411710000000001E-6</v>
      </c>
      <c r="I8717">
        <v>134.4939</v>
      </c>
      <c r="J8717">
        <v>-179.27529999999999</v>
      </c>
      <c r="K8717">
        <v>1.1154999999999999</v>
      </c>
      <c r="L8717">
        <v>133.99809999999999</v>
      </c>
      <c r="M8717">
        <v>0.81500640000000002</v>
      </c>
      <c r="N8717">
        <v>-1.4654739999999999E-2</v>
      </c>
      <c r="O8717">
        <v>0.57926659999999996</v>
      </c>
      <c r="P8717">
        <v>0.97539469999999995</v>
      </c>
      <c r="Q8717">
        <v>-8.7637129999999994E-2</v>
      </c>
      <c r="R8717">
        <v>0.2022989</v>
      </c>
      <c r="S8717">
        <v>3.01355</v>
      </c>
      <c r="T8717">
        <v>-0.33210830000000002</v>
      </c>
      <c r="U8717">
        <v>0.16241459999999999</v>
      </c>
      <c r="V8717">
        <v>0.3991653</v>
      </c>
      <c r="W8717">
        <v>-7.9541840000000003E-2</v>
      </c>
      <c r="X8717">
        <v>0.91342219999999996</v>
      </c>
      <c r="Y8717">
        <v>0.5288233</v>
      </c>
      <c r="Z8717">
        <v>-8.4105390000000002E-2</v>
      </c>
      <c r="AA8717">
        <v>0.84455449999999999</v>
      </c>
      <c r="AB8717">
        <v>18</v>
      </c>
      <c r="AC8717">
        <v>10.040999999999899</v>
      </c>
      <c r="AD8717">
        <v>-1.1155016411709999</v>
      </c>
      <c r="AE8717">
        <v>0.49580000000000202</v>
      </c>
      <c r="AF8717">
        <v>5.34708372508873</v>
      </c>
      <c r="AG8717">
        <v>-1.1155016411709999</v>
      </c>
      <c r="AH8717">
        <v>8.3685557007837001</v>
      </c>
      <c r="AI8717">
        <v>96.408920453357098</v>
      </c>
      <c r="AJ8717">
        <v>57.423480471072203</v>
      </c>
      <c r="AK8717">
        <v>9.9934164724424104</v>
      </c>
      <c r="AL8717">
        <v>94.562231278299294</v>
      </c>
      <c r="AM8717">
        <v>66.394682732964796</v>
      </c>
      <c r="AN8717">
        <v>0.99999997824375697</v>
      </c>
    </row>
    <row r="8718" spans="1:40" x14ac:dyDescent="0.25">
      <c r="A8718" t="str">
        <f>"20190303155019355"</f>
        <v>20190303155019355</v>
      </c>
      <c r="B8718" t="str">
        <f>"1551599419349877"</f>
        <v>1551599419349877</v>
      </c>
      <c r="C8718" t="s">
        <v>40</v>
      </c>
      <c r="D8718">
        <v>5.9867970000000001</v>
      </c>
      <c r="E8718">
        <v>0.55707620000000002</v>
      </c>
      <c r="F8718" t="s">
        <v>41</v>
      </c>
      <c r="G8718">
        <v>-169.1962</v>
      </c>
      <c r="H8718" s="1">
        <v>-1.6495559999999999E-6</v>
      </c>
      <c r="I8718">
        <v>134.51750000000001</v>
      </c>
      <c r="J8718">
        <v>-179.19739999999999</v>
      </c>
      <c r="K8718">
        <v>1.115564</v>
      </c>
      <c r="L8718">
        <v>134.0455</v>
      </c>
      <c r="M8718">
        <v>0.8182218</v>
      </c>
      <c r="N8718">
        <v>-1.4633790000000001E-2</v>
      </c>
      <c r="O8718">
        <v>0.57471640000000002</v>
      </c>
      <c r="P8718">
        <v>0.9758945</v>
      </c>
      <c r="Q8718">
        <v>-8.8523770000000002E-2</v>
      </c>
      <c r="R8718">
        <v>0.1994833</v>
      </c>
      <c r="S8718">
        <v>3.0135190000000001</v>
      </c>
      <c r="T8718">
        <v>-0.33351950000000002</v>
      </c>
      <c r="U8718">
        <v>0.155304</v>
      </c>
      <c r="V8718">
        <v>0.39666940000000001</v>
      </c>
      <c r="W8718">
        <v>-8.0331529999999998E-2</v>
      </c>
      <c r="X8718">
        <v>0.91443989999999997</v>
      </c>
      <c r="Y8718">
        <v>0.52607289999999995</v>
      </c>
      <c r="Z8718">
        <v>-8.4002830000000001E-2</v>
      </c>
      <c r="AA8718">
        <v>0.84628060000000005</v>
      </c>
      <c r="AB8718">
        <v>18</v>
      </c>
      <c r="AC8718">
        <v>10.0011999999999</v>
      </c>
      <c r="AD8718">
        <v>-1.115565649556</v>
      </c>
      <c r="AE8718">
        <v>0.47200000000000802</v>
      </c>
      <c r="AF8718">
        <v>5.2964754810665902</v>
      </c>
      <c r="AG8718">
        <v>-1.115565649556</v>
      </c>
      <c r="AH8718">
        <v>8.3516915699798702</v>
      </c>
      <c r="AI8718">
        <v>96.435893012099996</v>
      </c>
      <c r="AJ8718">
        <v>57.617948287939797</v>
      </c>
      <c r="AK8718">
        <v>9.9522807094696493</v>
      </c>
      <c r="AL8718">
        <v>94.6076221114578</v>
      </c>
      <c r="AM8718">
        <v>66.549571472695703</v>
      </c>
      <c r="AN8718">
        <v>1.0000000491602501</v>
      </c>
    </row>
    <row r="8719" spans="1:40" x14ac:dyDescent="0.25">
      <c r="A8719" t="str">
        <f>"20190303155019367"</f>
        <v>20190303155019367</v>
      </c>
      <c r="B8719" t="str">
        <f>"1551599419359637"</f>
        <v>1551599419359637</v>
      </c>
      <c r="C8719" t="s">
        <v>40</v>
      </c>
      <c r="D8719">
        <v>6.0973730000000002</v>
      </c>
      <c r="E8719">
        <v>0.5569904</v>
      </c>
      <c r="F8719" t="s">
        <v>41</v>
      </c>
      <c r="G8719">
        <v>-169.16820000000001</v>
      </c>
      <c r="H8719" s="1">
        <v>-1.654944E-6</v>
      </c>
      <c r="I8719">
        <v>134.5376</v>
      </c>
      <c r="J8719">
        <v>-179.11539999999999</v>
      </c>
      <c r="K8719">
        <v>1.1156360000000001</v>
      </c>
      <c r="L8719">
        <v>134.09479999999999</v>
      </c>
      <c r="M8719">
        <v>0.82152760000000002</v>
      </c>
      <c r="N8719">
        <v>-1.461054E-2</v>
      </c>
      <c r="O8719">
        <v>0.56998159999999998</v>
      </c>
      <c r="P8719">
        <v>0.9764195</v>
      </c>
      <c r="Q8719">
        <v>-8.9176549999999993E-2</v>
      </c>
      <c r="R8719">
        <v>0.19660349999999999</v>
      </c>
      <c r="S8719">
        <v>3.013474</v>
      </c>
      <c r="T8719">
        <v>-0.335196299999999</v>
      </c>
      <c r="U8719">
        <v>0.14785770000000001</v>
      </c>
      <c r="V8719">
        <v>0.39406049999999998</v>
      </c>
      <c r="W8719">
        <v>-8.088149E-2</v>
      </c>
      <c r="X8719">
        <v>0.91551870000000002</v>
      </c>
      <c r="Y8719">
        <v>0.52323109999999995</v>
      </c>
      <c r="Z8719">
        <v>-8.3945240000000004E-2</v>
      </c>
      <c r="AA8719">
        <v>0.84804619999999997</v>
      </c>
      <c r="AB8719">
        <v>18</v>
      </c>
      <c r="AC8719">
        <v>9.9471999999999792</v>
      </c>
      <c r="AD8719">
        <v>-1.1156376549439999</v>
      </c>
      <c r="AE8719">
        <v>0.44280000000000502</v>
      </c>
      <c r="AF8719">
        <v>5.2407222814573204</v>
      </c>
      <c r="AG8719">
        <v>-1.1156376549439999</v>
      </c>
      <c r="AH8719">
        <v>8.32072704649263</v>
      </c>
      <c r="AI8719">
        <v>96.472622940687003</v>
      </c>
      <c r="AJ8719">
        <v>57.795657267715697</v>
      </c>
      <c r="AK8719">
        <v>9.8966820698012796</v>
      </c>
      <c r="AL8719">
        <v>94.6392356344804</v>
      </c>
      <c r="AM8719">
        <v>66.711833912093397</v>
      </c>
      <c r="AN8719">
        <v>0.99999999156727903</v>
      </c>
    </row>
    <row r="8720" spans="1:40" x14ac:dyDescent="0.25">
      <c r="A8720" t="str">
        <f>"20190303155019379"</f>
        <v>20190303155019379</v>
      </c>
      <c r="B8720" t="str">
        <f>"1551599419369397"</f>
        <v>1551599419369397</v>
      </c>
      <c r="C8720" t="s">
        <v>40</v>
      </c>
      <c r="D8720">
        <v>6.085661</v>
      </c>
      <c r="E8720">
        <v>0.55692430000000004</v>
      </c>
      <c r="F8720" t="s">
        <v>41</v>
      </c>
      <c r="G8720">
        <v>-169.19589999999999</v>
      </c>
      <c r="H8720" s="1">
        <v>-1.639978E-6</v>
      </c>
      <c r="I8720">
        <v>134.554</v>
      </c>
      <c r="J8720">
        <v>-179.02889999999999</v>
      </c>
      <c r="K8720">
        <v>1.115718</v>
      </c>
      <c r="L8720">
        <v>134.1464</v>
      </c>
      <c r="M8720">
        <v>0.82495529999999995</v>
      </c>
      <c r="N8720">
        <v>-1.458563E-2</v>
      </c>
      <c r="O8720">
        <v>0.56500980000000001</v>
      </c>
      <c r="P8720">
        <v>0.97714199999999996</v>
      </c>
      <c r="Q8720">
        <v>-8.9804529999999994E-2</v>
      </c>
      <c r="R8720">
        <v>0.19268830000000001</v>
      </c>
      <c r="S8720">
        <v>3.0134120000000002</v>
      </c>
      <c r="T8720">
        <v>-0.3389142</v>
      </c>
      <c r="U8720">
        <v>0.139495799999999</v>
      </c>
      <c r="V8720">
        <v>0.39217859999999899</v>
      </c>
      <c r="W8720">
        <v>-8.1416999999999906E-2</v>
      </c>
      <c r="X8720">
        <v>0.91627899999999995</v>
      </c>
      <c r="Y8720">
        <v>0.52034399999999903</v>
      </c>
      <c r="Z8720">
        <v>-8.4395319999999996E-2</v>
      </c>
      <c r="AA8720">
        <v>0.84977619999999898</v>
      </c>
      <c r="AB8720">
        <v>18</v>
      </c>
      <c r="AC8720">
        <v>9.8329999999999895</v>
      </c>
      <c r="AD8720">
        <v>-1.1157196399779901</v>
      </c>
      <c r="AE8720">
        <v>0.40760000000000202</v>
      </c>
      <c r="AF8720">
        <v>5.1538046929510797</v>
      </c>
      <c r="AG8720">
        <v>-1.1157196399779901</v>
      </c>
      <c r="AH8720">
        <v>8.2371021528588795</v>
      </c>
      <c r="AI8720">
        <v>96.550390762597999</v>
      </c>
      <c r="AJ8720">
        <v>57.966535288311597</v>
      </c>
      <c r="AK8720">
        <v>9.7804082228069493</v>
      </c>
      <c r="AL8720">
        <v>94.670019613338297</v>
      </c>
      <c r="AM8720">
        <v>66.828483959692804</v>
      </c>
      <c r="AN8720">
        <v>0.99999999401397899</v>
      </c>
    </row>
    <row r="8721" spans="1:40" x14ac:dyDescent="0.25">
      <c r="A8721" t="str">
        <f>"20190303155019392"</f>
        <v>20190303155019392</v>
      </c>
      <c r="B8721" t="str">
        <f>"1551599419388918"</f>
        <v>1551599419388918</v>
      </c>
      <c r="C8721" t="s">
        <v>40</v>
      </c>
      <c r="D8721">
        <v>6.0986260000000003</v>
      </c>
      <c r="E8721">
        <v>0.55660459999999901</v>
      </c>
      <c r="F8721" t="s">
        <v>41</v>
      </c>
      <c r="G8721">
        <v>-169.2088</v>
      </c>
      <c r="H8721" s="1">
        <v>-1.632506E-6</v>
      </c>
      <c r="I8721">
        <v>134.5633</v>
      </c>
      <c r="J8721">
        <v>-178.9383</v>
      </c>
      <c r="K8721">
        <v>1.115804</v>
      </c>
      <c r="L8721">
        <v>134.1995</v>
      </c>
      <c r="M8721">
        <v>0.82843419999999901</v>
      </c>
      <c r="N8721">
        <v>-1.4557540000000001E-2</v>
      </c>
      <c r="O8721">
        <v>0.55989709999999904</v>
      </c>
      <c r="P8721">
        <v>0.97758120000000004</v>
      </c>
      <c r="Q8721">
        <v>-9.0601379999999995E-2</v>
      </c>
      <c r="R8721">
        <v>0.19007009999999999</v>
      </c>
      <c r="S8721">
        <v>3.013474</v>
      </c>
      <c r="T8721">
        <v>-0.34237889999999999</v>
      </c>
      <c r="U8721">
        <v>0.127944899999999</v>
      </c>
      <c r="V8721">
        <v>0.38893509999999998</v>
      </c>
      <c r="W8721">
        <v>-8.2091880000000006E-2</v>
      </c>
      <c r="X8721">
        <v>0.91760039999999998</v>
      </c>
      <c r="Y8721">
        <v>0.51823260000000004</v>
      </c>
      <c r="Z8721">
        <v>-8.4805630000000007E-2</v>
      </c>
      <c r="AA8721">
        <v>0.85102459999999902</v>
      </c>
      <c r="AB8721">
        <v>18</v>
      </c>
      <c r="AC8721">
        <v>9.7294999999999998</v>
      </c>
      <c r="AD8721">
        <v>-1.115805632506</v>
      </c>
      <c r="AE8721">
        <v>0.36379999999999701</v>
      </c>
      <c r="AF8721">
        <v>5.0799610635805497</v>
      </c>
      <c r="AG8721">
        <v>-1.115805632506</v>
      </c>
      <c r="AH8721">
        <v>8.1576762742308002</v>
      </c>
      <c r="AI8721">
        <v>96.622832829280796</v>
      </c>
      <c r="AJ8721">
        <v>58.088587138316299</v>
      </c>
      <c r="AK8721">
        <v>9.6746425676701193</v>
      </c>
      <c r="AL8721">
        <v>94.708817041265803</v>
      </c>
      <c r="AM8721">
        <v>67.029802296011894</v>
      </c>
      <c r="AN8721">
        <v>1.00000004142705</v>
      </c>
    </row>
    <row r="8722" spans="1:40" x14ac:dyDescent="0.25">
      <c r="A8722" t="str">
        <f>"20190303155019409"</f>
        <v>20190303155019409</v>
      </c>
      <c r="B8722" t="str">
        <f>"1551599419399653"</f>
        <v>1551599419399653</v>
      </c>
      <c r="C8722" t="s">
        <v>40</v>
      </c>
      <c r="D8722">
        <v>5.9717760000000002</v>
      </c>
      <c r="E8722">
        <v>0.55641470000000004</v>
      </c>
      <c r="F8722" t="s">
        <v>41</v>
      </c>
      <c r="G8722">
        <v>-169.23079999999999</v>
      </c>
      <c r="H8722" s="1">
        <v>-1.6159859999999999E-6</v>
      </c>
      <c r="I8722">
        <v>134.59370000000001</v>
      </c>
      <c r="J8722">
        <v>-178.81950000000001</v>
      </c>
      <c r="K8722">
        <v>1.1159239999999999</v>
      </c>
      <c r="L8722">
        <v>134.26820000000001</v>
      </c>
      <c r="M8722">
        <v>0.83287330000000004</v>
      </c>
      <c r="N8722">
        <v>-1.452032E-2</v>
      </c>
      <c r="O8722">
        <v>0.55327320000000002</v>
      </c>
      <c r="P8722">
        <v>0.97787460000000004</v>
      </c>
      <c r="Q8722">
        <v>-9.1002269999999996E-2</v>
      </c>
      <c r="R8722">
        <v>0.1883618</v>
      </c>
      <c r="S8722">
        <v>3.0129090000000001</v>
      </c>
      <c r="T8722">
        <v>-0.34631260000000003</v>
      </c>
      <c r="U8722">
        <v>0.1223602</v>
      </c>
      <c r="V8722">
        <v>0.38322099999999998</v>
      </c>
      <c r="W8722">
        <v>-8.2303920000000003E-2</v>
      </c>
      <c r="X8722">
        <v>0.91998250000000004</v>
      </c>
      <c r="Y8722">
        <v>0.512907</v>
      </c>
      <c r="Z8722">
        <v>-8.5002690000000006E-2</v>
      </c>
      <c r="AA8722">
        <v>0.85422540000000002</v>
      </c>
      <c r="AB8722">
        <v>18</v>
      </c>
      <c r="AC8722">
        <v>9.58870000000001</v>
      </c>
      <c r="AD8722">
        <v>-1.11592561598599</v>
      </c>
      <c r="AE8722">
        <v>0.32550000000000501</v>
      </c>
      <c r="AF8722">
        <v>4.9673995765477699</v>
      </c>
      <c r="AG8722">
        <v>-1.11592561598599</v>
      </c>
      <c r="AH8722">
        <v>8.0581091948410002</v>
      </c>
      <c r="AI8722">
        <v>96.723327293019693</v>
      </c>
      <c r="AJ8722">
        <v>58.3483561882381</v>
      </c>
      <c r="AK8722">
        <v>9.5317087832917906</v>
      </c>
      <c r="AL8722">
        <v>94.721007318818394</v>
      </c>
      <c r="AM8722">
        <v>67.385709451091998</v>
      </c>
      <c r="AN8722">
        <v>1.0000000351973</v>
      </c>
    </row>
    <row r="8723" spans="1:40" x14ac:dyDescent="0.25">
      <c r="A8723" t="str">
        <f>"20190303155019422"</f>
        <v>20190303155019422</v>
      </c>
      <c r="B8723" t="str">
        <f>"1551599419419679"</f>
        <v>1551599419419679</v>
      </c>
      <c r="C8723" t="s">
        <v>40</v>
      </c>
      <c r="D8723">
        <v>6.0502739999999999</v>
      </c>
      <c r="E8723">
        <v>0.55598700000000001</v>
      </c>
      <c r="F8723" t="s">
        <v>41</v>
      </c>
      <c r="G8723">
        <v>-169.15190000000001</v>
      </c>
      <c r="H8723" s="1">
        <v>-1.6317030000000001E-6</v>
      </c>
      <c r="I8723">
        <v>134.64859999999999</v>
      </c>
      <c r="J8723">
        <v>-178.72799999999901</v>
      </c>
      <c r="K8723">
        <v>1.1160159999999999</v>
      </c>
      <c r="L8723">
        <v>134.32069999999999</v>
      </c>
      <c r="M8723">
        <v>0.83620519999999998</v>
      </c>
      <c r="N8723">
        <v>-1.449134E-2</v>
      </c>
      <c r="O8723">
        <v>0.54822519999999997</v>
      </c>
      <c r="P8723">
        <v>0.97842790000000002</v>
      </c>
      <c r="Q8723">
        <v>-9.1138010000000005E-2</v>
      </c>
      <c r="R8723">
        <v>0.18539900000000001</v>
      </c>
      <c r="S8723">
        <v>3.0126949999999999</v>
      </c>
      <c r="T8723">
        <v>-0.34775070000000002</v>
      </c>
      <c r="U8723">
        <v>0.118515</v>
      </c>
      <c r="V8723">
        <v>0.38045610000000002</v>
      </c>
      <c r="W8723">
        <v>-8.232341E-2</v>
      </c>
      <c r="X8723">
        <v>0.92112760000000005</v>
      </c>
      <c r="Y8723">
        <v>0.50880530000000002</v>
      </c>
      <c r="Z8723">
        <v>-8.4726930000000006E-2</v>
      </c>
      <c r="AA8723">
        <v>0.85670210000000002</v>
      </c>
      <c r="AB8723">
        <v>18</v>
      </c>
      <c r="AC8723">
        <v>9.5760999999999594</v>
      </c>
      <c r="AD8723">
        <v>-1.1160176317029999</v>
      </c>
      <c r="AE8723">
        <v>0.32789999999999903</v>
      </c>
      <c r="AF8723">
        <v>4.9095860978503403</v>
      </c>
      <c r="AG8723">
        <v>-1.1160176317029999</v>
      </c>
      <c r="AH8723">
        <v>8.0786119672973893</v>
      </c>
      <c r="AI8723">
        <v>96.732822870259994</v>
      </c>
      <c r="AJ8723">
        <v>58.711843580625199</v>
      </c>
      <c r="AK8723">
        <v>9.51911247567954</v>
      </c>
      <c r="AL8723">
        <v>94.722127879975204</v>
      </c>
      <c r="AM8723">
        <v>67.557759287778595</v>
      </c>
      <c r="AN8723">
        <v>1.0000000216714899</v>
      </c>
    </row>
    <row r="8724" spans="1:40" x14ac:dyDescent="0.25">
      <c r="A8724" t="str">
        <f>"20190303155019434"</f>
        <v>20190303155019434</v>
      </c>
      <c r="B8724" t="str">
        <f>"1551599419429439"</f>
        <v>1551599419429439</v>
      </c>
      <c r="C8724" t="s">
        <v>40</v>
      </c>
      <c r="D8724">
        <v>6.0341839999999998</v>
      </c>
      <c r="E8724">
        <v>0.55574699999999999</v>
      </c>
      <c r="F8724" t="s">
        <v>41</v>
      </c>
      <c r="G8724">
        <v>-169.1103</v>
      </c>
      <c r="H8724" s="1">
        <v>-1.6391849999999999E-6</v>
      </c>
      <c r="I8724">
        <v>134.68049999999999</v>
      </c>
      <c r="J8724">
        <v>-178.64349999999999</v>
      </c>
      <c r="K8724">
        <v>1.116107</v>
      </c>
      <c r="L8724">
        <v>134.36840000000001</v>
      </c>
      <c r="M8724">
        <v>0.83918159999999897</v>
      </c>
      <c r="N8724">
        <v>-1.44636E-2</v>
      </c>
      <c r="O8724">
        <v>0.543659</v>
      </c>
      <c r="P8724">
        <v>0.9788907</v>
      </c>
      <c r="Q8724">
        <v>-9.075946E-2</v>
      </c>
      <c r="R8724">
        <v>0.18312880000000001</v>
      </c>
      <c r="S8724">
        <v>3.012238</v>
      </c>
      <c r="T8724">
        <v>-0.34953319999999999</v>
      </c>
      <c r="U8724">
        <v>0.11267089999999901</v>
      </c>
      <c r="V8724">
        <v>0.3776157</v>
      </c>
      <c r="W8724">
        <v>-8.1833920000000004E-2</v>
      </c>
      <c r="X8724">
        <v>0.92233920000000003</v>
      </c>
      <c r="Y8724">
        <v>0.50574989999999997</v>
      </c>
      <c r="Z8724">
        <v>-8.4647529999999999E-2</v>
      </c>
      <c r="AA8724">
        <v>0.85851719999999898</v>
      </c>
      <c r="AB8724">
        <v>18</v>
      </c>
      <c r="AC8724">
        <v>9.5331999999999901</v>
      </c>
      <c r="AD8724">
        <v>-1.1161086391849999</v>
      </c>
      <c r="AE8724">
        <v>0.312099999999986</v>
      </c>
      <c r="AF8724">
        <v>4.8549416617003303</v>
      </c>
      <c r="AG8724">
        <v>-1.1161086391849999</v>
      </c>
      <c r="AH8724">
        <v>8.0602545507274908</v>
      </c>
      <c r="AI8724">
        <v>96.764557251289801</v>
      </c>
      <c r="AJ8724">
        <v>58.9381386768722</v>
      </c>
      <c r="AK8724">
        <v>9.4754345787145908</v>
      </c>
      <c r="AL8724">
        <v>94.693987303488001</v>
      </c>
      <c r="AM8724">
        <v>67.735273577458202</v>
      </c>
      <c r="AN8724">
        <v>1.00000000360284</v>
      </c>
    </row>
    <row r="8725" spans="1:40" x14ac:dyDescent="0.25">
      <c r="A8725" t="str">
        <f>"20190303155019448"</f>
        <v>20190303155019448</v>
      </c>
      <c r="B8725" t="str">
        <f>"1551599419439200"</f>
        <v>1551599419439200</v>
      </c>
      <c r="C8725" t="s">
        <v>40</v>
      </c>
      <c r="D8725">
        <v>6.0321009999999999</v>
      </c>
      <c r="E8725">
        <v>0.55551909999999904</v>
      </c>
      <c r="F8725" t="s">
        <v>41</v>
      </c>
      <c r="G8725">
        <v>-169.00630000000001</v>
      </c>
      <c r="H8725" s="1">
        <v>-1.6706069999999999E-6</v>
      </c>
      <c r="I8725">
        <v>134.7124</v>
      </c>
      <c r="J8725">
        <v>-178.54220000000001</v>
      </c>
      <c r="K8725">
        <v>1.116212</v>
      </c>
      <c r="L8725">
        <v>134.42490000000001</v>
      </c>
      <c r="M8725">
        <v>0.84266529999999995</v>
      </c>
      <c r="N8725">
        <v>-1.4424579999999999E-2</v>
      </c>
      <c r="O8725">
        <v>0.53824459999999996</v>
      </c>
      <c r="P8725">
        <v>0.97957169999999905</v>
      </c>
      <c r="Q8725">
        <v>-9.0105060000000001E-2</v>
      </c>
      <c r="R8725">
        <v>0.17977879999999999</v>
      </c>
      <c r="S8725">
        <v>3.0122070000000001</v>
      </c>
      <c r="T8725">
        <v>-0.34885169999999999</v>
      </c>
      <c r="U8725">
        <v>0.107543899999999</v>
      </c>
      <c r="V8725">
        <v>0.37489549999999999</v>
      </c>
      <c r="W8725">
        <v>-8.1068559999999998E-2</v>
      </c>
      <c r="X8725">
        <v>0.92351570000000005</v>
      </c>
      <c r="Y8725">
        <v>0.50173990000000002</v>
      </c>
      <c r="Z8725">
        <v>-8.3796869999999996E-2</v>
      </c>
      <c r="AA8725">
        <v>0.8609502</v>
      </c>
      <c r="AB8725">
        <v>18</v>
      </c>
      <c r="AC8725">
        <v>9.5358999999999892</v>
      </c>
      <c r="AD8725">
        <v>-1.1162136706070001</v>
      </c>
      <c r="AE8725">
        <v>0.28749999999999398</v>
      </c>
      <c r="AF8725">
        <v>4.8248409396560596</v>
      </c>
      <c r="AG8725">
        <v>-1.1162136706070001</v>
      </c>
      <c r="AH8725">
        <v>8.0805530858098802</v>
      </c>
      <c r="AI8725">
        <v>96.763815638401695</v>
      </c>
      <c r="AJ8725">
        <v>59.158874167486601</v>
      </c>
      <c r="AK8725">
        <v>9.4773604565840301</v>
      </c>
      <c r="AL8725">
        <v>94.649989240809305</v>
      </c>
      <c r="AM8725">
        <v>67.905610500253005</v>
      </c>
      <c r="AN8725">
        <v>0.99999999774360604</v>
      </c>
    </row>
    <row r="8726" spans="1:40" x14ac:dyDescent="0.25">
      <c r="A8726" t="str">
        <f>"20190303155019464"</f>
        <v>20190303155019464</v>
      </c>
      <c r="B8726" t="str">
        <f>"1551599419459695"</f>
        <v>1551599419459695</v>
      </c>
      <c r="C8726" t="s">
        <v>40</v>
      </c>
      <c r="D8726">
        <v>6.0510830000000002</v>
      </c>
      <c r="E8726">
        <v>0.55507240000000002</v>
      </c>
      <c r="F8726" t="s">
        <v>41</v>
      </c>
      <c r="G8726">
        <v>-168.86920000000001</v>
      </c>
      <c r="H8726" s="1">
        <v>-1.7151750000000001E-6</v>
      </c>
      <c r="I8726">
        <v>134.74279999999999</v>
      </c>
      <c r="J8726">
        <v>-178.43549999999999</v>
      </c>
      <c r="K8726">
        <v>1.1163149999999999</v>
      </c>
      <c r="L8726">
        <v>134.48390000000001</v>
      </c>
      <c r="M8726">
        <v>0.84623630000000005</v>
      </c>
      <c r="N8726">
        <v>-1.437131E-2</v>
      </c>
      <c r="O8726">
        <v>0.53261389999999997</v>
      </c>
      <c r="P8726">
        <v>0.98026150000000001</v>
      </c>
      <c r="Q8726">
        <v>-8.9567069999999999E-2</v>
      </c>
      <c r="R8726">
        <v>0.1762542</v>
      </c>
      <c r="S8726">
        <v>3.0124050000000002</v>
      </c>
      <c r="T8726">
        <v>-0.34761599999999998</v>
      </c>
      <c r="U8726">
        <v>9.8983760000000004E-2</v>
      </c>
      <c r="V8726">
        <v>0.37211440000000001</v>
      </c>
      <c r="W8726">
        <v>-8.0431920000000004E-2</v>
      </c>
      <c r="X8726">
        <v>0.92469539999999995</v>
      </c>
      <c r="Y8726">
        <v>0.49851980000000001</v>
      </c>
      <c r="Z8726">
        <v>-8.2845139999999998E-2</v>
      </c>
      <c r="AA8726">
        <v>0.86291059999999997</v>
      </c>
      <c r="AB8726">
        <v>18</v>
      </c>
      <c r="AC8726">
        <v>9.5662999999999805</v>
      </c>
      <c r="AD8726">
        <v>-1.116316715175</v>
      </c>
      <c r="AE8726">
        <v>0.25889999999998198</v>
      </c>
      <c r="AF8726">
        <v>4.8110919383631696</v>
      </c>
      <c r="AG8726">
        <v>-1.116316715175</v>
      </c>
      <c r="AH8726">
        <v>8.1235556336120602</v>
      </c>
      <c r="AI8726">
        <v>96.743185400432907</v>
      </c>
      <c r="AJ8726">
        <v>59.364299773599598</v>
      </c>
      <c r="AK8726">
        <v>9.5070986520784793</v>
      </c>
      <c r="AL8726">
        <v>94.613392927076902</v>
      </c>
      <c r="AM8726">
        <v>68.079240708131493</v>
      </c>
      <c r="AN8726">
        <v>1.0000000016117001</v>
      </c>
    </row>
    <row r="8727" spans="1:40" x14ac:dyDescent="0.25">
      <c r="A8727" t="str">
        <f>"20190303155019477"</f>
        <v>20190303155019477</v>
      </c>
      <c r="B8727" t="str">
        <f>"1551599419469456"</f>
        <v>1551599419469456</v>
      </c>
      <c r="C8727" t="s">
        <v>40</v>
      </c>
      <c r="D8727">
        <v>6.0547950000000004</v>
      </c>
      <c r="E8727">
        <v>0.55484719999999998</v>
      </c>
      <c r="F8727" t="s">
        <v>41</v>
      </c>
      <c r="G8727">
        <v>-168.7576</v>
      </c>
      <c r="H8727" s="1">
        <v>-1.7486949999999999E-6</v>
      </c>
      <c r="I8727">
        <v>134.77789999999999</v>
      </c>
      <c r="J8727">
        <v>-178.3373</v>
      </c>
      <c r="K8727">
        <v>1.116401</v>
      </c>
      <c r="L8727">
        <v>134.53729999999999</v>
      </c>
      <c r="M8727">
        <v>0.84941119999999903</v>
      </c>
      <c r="N8727">
        <v>-1.42931E-2</v>
      </c>
      <c r="O8727">
        <v>0.5275379</v>
      </c>
      <c r="P8727">
        <v>0.98035680000000003</v>
      </c>
      <c r="Q8727">
        <v>-8.8030949999999997E-2</v>
      </c>
      <c r="R8727">
        <v>0.17649719999999999</v>
      </c>
      <c r="S8727">
        <v>3.0122070000000001</v>
      </c>
      <c r="T8727">
        <v>-0.34744989999999998</v>
      </c>
      <c r="U8727">
        <v>9.1522220000000001E-2</v>
      </c>
      <c r="V8727">
        <v>0.36645749999999999</v>
      </c>
      <c r="W8727">
        <v>-7.8784610000000005E-2</v>
      </c>
      <c r="X8727">
        <v>0.92709330000000001</v>
      </c>
      <c r="Y8727">
        <v>0.4955193</v>
      </c>
      <c r="Z8727">
        <v>-8.2235630000000004E-2</v>
      </c>
      <c r="AA8727">
        <v>0.86469529999999994</v>
      </c>
      <c r="AB8727">
        <v>18</v>
      </c>
      <c r="AC8727">
        <v>9.5797000000000008</v>
      </c>
      <c r="AD8727">
        <v>-1.1164027486949999</v>
      </c>
      <c r="AE8727">
        <v>0.24060000000000001</v>
      </c>
      <c r="AF8727">
        <v>4.7848392362113001</v>
      </c>
      <c r="AG8727">
        <v>-1.1164027486949999</v>
      </c>
      <c r="AH8727">
        <v>8.1542007355842205</v>
      </c>
      <c r="AI8727">
        <v>96.7344653062042</v>
      </c>
      <c r="AJ8727">
        <v>59.595828417236298</v>
      </c>
      <c r="AK8727">
        <v>9.52008567450331</v>
      </c>
      <c r="AL8727">
        <v>94.518708277390004</v>
      </c>
      <c r="AM8727">
        <v>68.432314410777593</v>
      </c>
      <c r="AN8727">
        <v>1.0000000504919899</v>
      </c>
    </row>
    <row r="8728" spans="1:40" x14ac:dyDescent="0.25">
      <c r="A8728" t="str">
        <f>"20190303155019489"</f>
        <v>20190303155019489</v>
      </c>
      <c r="B8728" t="str">
        <f>"1551599419479216"</f>
        <v>1551599419479216</v>
      </c>
      <c r="C8728" t="s">
        <v>40</v>
      </c>
      <c r="D8728">
        <v>6.0555909999999997</v>
      </c>
      <c r="E8728">
        <v>0.55468930000000005</v>
      </c>
      <c r="F8728" t="s">
        <v>41</v>
      </c>
      <c r="G8728">
        <v>-168.55590000000001</v>
      </c>
      <c r="H8728" s="1">
        <v>-1.808931E-6</v>
      </c>
      <c r="I8728">
        <v>134.84270000000001</v>
      </c>
      <c r="J8728">
        <v>-178.24379999999999</v>
      </c>
      <c r="K8728">
        <v>1.1164609999999999</v>
      </c>
      <c r="L8728">
        <v>134.58760000000001</v>
      </c>
      <c r="M8728">
        <v>0.85234460000000001</v>
      </c>
      <c r="N8728">
        <v>-1.4189190000000001E-2</v>
      </c>
      <c r="O8728">
        <v>0.52278789999999997</v>
      </c>
      <c r="P8728">
        <v>0.98087690000000005</v>
      </c>
      <c r="Q8728">
        <v>-8.7461830000000004E-2</v>
      </c>
      <c r="R8728">
        <v>0.1738711</v>
      </c>
      <c r="S8728">
        <v>3.0123139999999999</v>
      </c>
      <c r="T8728">
        <v>-0.34380949999999999</v>
      </c>
      <c r="U8728">
        <v>9.4039919999999999E-2</v>
      </c>
      <c r="V8728">
        <v>0.36381429999999998</v>
      </c>
      <c r="W8728">
        <v>-7.8191259999999999E-2</v>
      </c>
      <c r="X8728">
        <v>0.92818389999999995</v>
      </c>
      <c r="Y8728">
        <v>0.49013820000000002</v>
      </c>
      <c r="Z8728">
        <v>-8.0625100000000005E-2</v>
      </c>
      <c r="AA8728">
        <v>0.86790789999999995</v>
      </c>
      <c r="AB8728">
        <v>18</v>
      </c>
      <c r="AC8728">
        <v>9.6878999999999795</v>
      </c>
      <c r="AD8728">
        <v>-1.116462808931</v>
      </c>
      <c r="AE8728">
        <v>0.255099999999998</v>
      </c>
      <c r="AF8728">
        <v>4.7842764895899901</v>
      </c>
      <c r="AG8728">
        <v>-1.116462808931</v>
      </c>
      <c r="AH8728">
        <v>8.2817249339932193</v>
      </c>
      <c r="AI8728">
        <v>96.658119773439495</v>
      </c>
      <c r="AJ8728">
        <v>59.985367953574197</v>
      </c>
      <c r="AK8728">
        <v>9.6292657360202991</v>
      </c>
      <c r="AL8728">
        <v>94.484606695477297</v>
      </c>
      <c r="AM8728">
        <v>68.596628523982304</v>
      </c>
      <c r="AN8728">
        <v>1.0000000351220399</v>
      </c>
    </row>
    <row r="8729" spans="1:40" x14ac:dyDescent="0.25">
      <c r="A8729" t="str">
        <f>"20190303155019502"</f>
        <v>20190303155019502</v>
      </c>
      <c r="B8729" t="str">
        <f>"1551599419499712"</f>
        <v>1551599419499712</v>
      </c>
      <c r="C8729" t="s">
        <v>40</v>
      </c>
      <c r="D8729">
        <v>6.0330589999999997</v>
      </c>
      <c r="E8729">
        <v>0.55430950000000001</v>
      </c>
      <c r="F8729" t="s">
        <v>41</v>
      </c>
      <c r="G8729">
        <v>-168.4316</v>
      </c>
      <c r="H8729" s="1">
        <v>-1.8488500000000001E-6</v>
      </c>
      <c r="I8729">
        <v>134.87190000000001</v>
      </c>
      <c r="J8729">
        <v>-178.15379999999999</v>
      </c>
      <c r="K8729">
        <v>1.1165210000000001</v>
      </c>
      <c r="L8729">
        <v>134.63570000000001</v>
      </c>
      <c r="M8729">
        <v>0.85510750000000002</v>
      </c>
      <c r="N8729">
        <v>-1.407403E-2</v>
      </c>
      <c r="O8729">
        <v>0.51825969999999999</v>
      </c>
      <c r="P8729">
        <v>0.98141780000000001</v>
      </c>
      <c r="Q8729">
        <v>-8.6674550000000003E-2</v>
      </c>
      <c r="R8729">
        <v>0.17119239999999999</v>
      </c>
      <c r="S8729">
        <v>3.012451</v>
      </c>
      <c r="T8729">
        <v>-0.34276699999999999</v>
      </c>
      <c r="U8729">
        <v>8.7295529999999996E-2</v>
      </c>
      <c r="V8729">
        <v>0.36148520000000001</v>
      </c>
      <c r="W8729">
        <v>-7.7400590000000005E-2</v>
      </c>
      <c r="X8729">
        <v>0.92915959999999997</v>
      </c>
      <c r="Y8729">
        <v>0.48753669999999999</v>
      </c>
      <c r="Z8729">
        <v>-7.9874310000000004E-2</v>
      </c>
      <c r="AA8729">
        <v>0.86944120000000003</v>
      </c>
      <c r="AB8729">
        <v>18</v>
      </c>
      <c r="AC8729">
        <v>9.7221999999999795</v>
      </c>
      <c r="AD8729">
        <v>-1.1165228488500001</v>
      </c>
      <c r="AE8729">
        <v>0.236199999999996</v>
      </c>
      <c r="AF8729">
        <v>4.77419815245735</v>
      </c>
      <c r="AG8729">
        <v>-1.1165228488500001</v>
      </c>
      <c r="AH8729">
        <v>8.3270157818214106</v>
      </c>
      <c r="AI8729">
        <v>96.6349434512682</v>
      </c>
      <c r="AJ8729">
        <v>60.172695583833601</v>
      </c>
      <c r="AK8729">
        <v>9.6632697934826499</v>
      </c>
      <c r="AL8729">
        <v>94.439167165353396</v>
      </c>
      <c r="AM8729">
        <v>68.741709160185096</v>
      </c>
      <c r="AN8729">
        <v>0.99999998171177296</v>
      </c>
    </row>
    <row r="8730" spans="1:40" x14ac:dyDescent="0.25">
      <c r="A8730" t="str">
        <f>"20190303155019515"</f>
        <v>20190303155019515</v>
      </c>
      <c r="B8730" t="str">
        <f>"1551599419509472"</f>
        <v>1551599419509472</v>
      </c>
      <c r="C8730" t="s">
        <v>40</v>
      </c>
      <c r="D8730">
        <v>6.0432169999999896</v>
      </c>
      <c r="E8730">
        <v>0.5541547</v>
      </c>
      <c r="F8730" t="s">
        <v>41</v>
      </c>
      <c r="G8730">
        <v>-168.32169999999999</v>
      </c>
      <c r="H8730" s="1">
        <v>-1.882799E-6</v>
      </c>
      <c r="I8730">
        <v>134.90309999999999</v>
      </c>
      <c r="J8730">
        <v>-178.05549999999999</v>
      </c>
      <c r="K8730">
        <v>1.1165860000000001</v>
      </c>
      <c r="L8730">
        <v>134.6874</v>
      </c>
      <c r="M8730">
        <v>0.85801329999999998</v>
      </c>
      <c r="N8730">
        <v>-1.391972E-2</v>
      </c>
      <c r="O8730">
        <v>0.51343890000000003</v>
      </c>
      <c r="P8730">
        <v>0.98203459999999998</v>
      </c>
      <c r="Q8730">
        <v>-8.5978819999999997E-2</v>
      </c>
      <c r="R8730">
        <v>0.16797479999999901</v>
      </c>
      <c r="S8730">
        <v>3.0122990000000001</v>
      </c>
      <c r="T8730">
        <v>-0.34207330000000002</v>
      </c>
      <c r="U8730">
        <v>8.1924440000000001E-2</v>
      </c>
      <c r="V8730">
        <v>0.35935620000000001</v>
      </c>
      <c r="W8730">
        <v>-7.6733990000000002E-2</v>
      </c>
      <c r="X8730">
        <v>0.93004039999999999</v>
      </c>
      <c r="Y8730">
        <v>0.48424080000000003</v>
      </c>
      <c r="Z8730">
        <v>-7.9156980000000002E-2</v>
      </c>
      <c r="AA8730">
        <v>0.87134669999999903</v>
      </c>
      <c r="AB8730">
        <v>18</v>
      </c>
      <c r="AC8730">
        <v>9.7338000000000005</v>
      </c>
      <c r="AD8730">
        <v>-1.1165878827989999</v>
      </c>
      <c r="AE8730">
        <v>0.215699999999998</v>
      </c>
      <c r="AF8730">
        <v>4.7506217280155099</v>
      </c>
      <c r="AG8730">
        <v>-1.1165878827989999</v>
      </c>
      <c r="AH8730">
        <v>8.3534298760502601</v>
      </c>
      <c r="AI8730">
        <v>96.627629773616704</v>
      </c>
      <c r="AJ8730">
        <v>60.372974665362698</v>
      </c>
      <c r="AK8730">
        <v>9.67444913143874</v>
      </c>
      <c r="AL8730">
        <v>94.400859501539401</v>
      </c>
      <c r="AM8730">
        <v>68.874079649632606</v>
      </c>
      <c r="AN8730">
        <v>1.0000000646659499</v>
      </c>
    </row>
    <row r="8731" spans="1:40" x14ac:dyDescent="0.25">
      <c r="A8731" t="str">
        <f>"20190303155019527"</f>
        <v>20190303155019527</v>
      </c>
      <c r="B8731" t="str">
        <f>"1551599419519741"</f>
        <v>1551599419519741</v>
      </c>
      <c r="C8731" t="s">
        <v>40</v>
      </c>
      <c r="D8731">
        <v>6.1392429999999996</v>
      </c>
      <c r="E8731">
        <v>0.5541547</v>
      </c>
      <c r="F8731" t="s">
        <v>41</v>
      </c>
      <c r="G8731">
        <v>-168.17189999999999</v>
      </c>
      <c r="H8731" s="1">
        <v>-1.9338149999999998E-6</v>
      </c>
      <c r="I8731">
        <v>134.92750000000001</v>
      </c>
      <c r="J8731">
        <v>-177.97389999999999</v>
      </c>
      <c r="K8731">
        <v>1.11664599999999</v>
      </c>
      <c r="L8731">
        <v>134.72989999999999</v>
      </c>
      <c r="M8731">
        <v>0.86036000000000001</v>
      </c>
      <c r="N8731">
        <v>-1.378645E-2</v>
      </c>
      <c r="O8731">
        <v>0.50950059999999997</v>
      </c>
      <c r="P8731">
        <v>0.98247050000000002</v>
      </c>
      <c r="Q8731">
        <v>-8.5518460000000004E-2</v>
      </c>
      <c r="R8731">
        <v>0.16564599999999999</v>
      </c>
      <c r="S8731">
        <v>3.0125730000000002</v>
      </c>
      <c r="T8731">
        <v>-0.34034039999999999</v>
      </c>
      <c r="U8731">
        <v>7.318115E-2</v>
      </c>
      <c r="V8731">
        <v>0.35733720000000002</v>
      </c>
      <c r="W8731">
        <v>-7.6297539999999997E-2</v>
      </c>
      <c r="X8731">
        <v>0.93085379999999995</v>
      </c>
      <c r="Y8731">
        <v>0.48285</v>
      </c>
      <c r="Z8731">
        <v>-7.8370690000000007E-2</v>
      </c>
      <c r="AA8731">
        <v>0.8721892</v>
      </c>
      <c r="AB8731">
        <v>18</v>
      </c>
      <c r="AC8731">
        <v>9.8019999999999907</v>
      </c>
      <c r="AD8731">
        <v>-1.1166479338149899</v>
      </c>
      <c r="AE8731">
        <v>0.19760000000002201</v>
      </c>
      <c r="AF8731">
        <v>4.7627899218165499</v>
      </c>
      <c r="AG8731">
        <v>-1.1166479338149899</v>
      </c>
      <c r="AH8731">
        <v>8.4254363340164602</v>
      </c>
      <c r="AI8731">
        <v>96.581390748602402</v>
      </c>
      <c r="AJ8731">
        <v>60.521086937904101</v>
      </c>
      <c r="AK8731">
        <v>9.7426407029108599</v>
      </c>
      <c r="AL8731">
        <v>94.375779547982404</v>
      </c>
      <c r="AM8731">
        <v>68.999146788272498</v>
      </c>
      <c r="AN8731">
        <v>0.99999999304416498</v>
      </c>
    </row>
    <row r="8732" spans="1:40" x14ac:dyDescent="0.25">
      <c r="A8732" t="str">
        <f>"20190303155019539"</f>
        <v>20190303155019539</v>
      </c>
      <c r="B8732" t="str">
        <f>"1551599419529501"</f>
        <v>1551599419529501</v>
      </c>
      <c r="C8732" t="s">
        <v>40</v>
      </c>
      <c r="D8732">
        <v>5.9318809999999997</v>
      </c>
      <c r="E8732">
        <v>0.53901949999999998</v>
      </c>
      <c r="F8732" t="s">
        <v>41</v>
      </c>
      <c r="G8732">
        <v>-168.05879999999999</v>
      </c>
      <c r="H8732" s="1">
        <v>-1.9718840000000001E-6</v>
      </c>
      <c r="I8732">
        <v>134.94759999999999</v>
      </c>
      <c r="J8732">
        <v>-177.8837</v>
      </c>
      <c r="K8732">
        <v>1.116709</v>
      </c>
      <c r="L8732">
        <v>134.77670000000001</v>
      </c>
      <c r="M8732">
        <v>0.86289959999999899</v>
      </c>
      <c r="N8732">
        <v>-1.363587E-2</v>
      </c>
      <c r="O8732">
        <v>0.50519139999999996</v>
      </c>
      <c r="P8732">
        <v>0.98300790000000005</v>
      </c>
      <c r="Q8732">
        <v>-8.5264889999999996E-2</v>
      </c>
      <c r="R8732">
        <v>0.16255910000000001</v>
      </c>
      <c r="S8732">
        <v>3.012848</v>
      </c>
      <c r="T8732">
        <v>-0.33930969999999999</v>
      </c>
      <c r="U8732">
        <v>6.6146849999999993E-2</v>
      </c>
      <c r="V8732">
        <v>0.35563479999999997</v>
      </c>
      <c r="W8732">
        <v>-7.6081300000000004E-2</v>
      </c>
      <c r="X8732">
        <v>0.9315232</v>
      </c>
      <c r="Y8732">
        <v>0.48058109999999998</v>
      </c>
      <c r="Z8732">
        <v>-7.7670310000000006E-2</v>
      </c>
      <c r="AA8732">
        <v>0.87350399999999995</v>
      </c>
      <c r="AB8732">
        <v>18</v>
      </c>
      <c r="AC8732">
        <v>9.8249000000000102</v>
      </c>
      <c r="AD8732">
        <v>-1.116710971884</v>
      </c>
      <c r="AE8732">
        <v>0.17089999999998801</v>
      </c>
      <c r="AF8732">
        <v>4.7550221841492304</v>
      </c>
      <c r="AG8732">
        <v>-1.116710971884</v>
      </c>
      <c r="AH8732">
        <v>8.4558288720780794</v>
      </c>
      <c r="AI8732">
        <v>96.566519921582696</v>
      </c>
      <c r="AJ8732">
        <v>60.6493581902836</v>
      </c>
      <c r="AK8732">
        <v>9.7651585384133295</v>
      </c>
      <c r="AL8732">
        <v>94.363353876077099</v>
      </c>
      <c r="AM8732">
        <v>69.104258033475602</v>
      </c>
      <c r="AN8732">
        <v>0.99999997365948401</v>
      </c>
    </row>
    <row r="8733" spans="1:40" x14ac:dyDescent="0.25">
      <c r="A8733" t="str">
        <f>"20190303155019552"</f>
        <v>20190303155019552</v>
      </c>
      <c r="B8733" t="str">
        <f>"1551599419549021"</f>
        <v>1551599419549021</v>
      </c>
      <c r="C8733" t="s">
        <v>40</v>
      </c>
      <c r="D8733">
        <v>6.1504799999999999</v>
      </c>
      <c r="E8733">
        <v>0.53762759999999998</v>
      </c>
      <c r="F8733" t="s">
        <v>41</v>
      </c>
      <c r="G8733">
        <v>-158.3947</v>
      </c>
      <c r="H8733" s="1">
        <v>-1.501226E-6</v>
      </c>
      <c r="I8733">
        <v>135.97479999999999</v>
      </c>
      <c r="J8733">
        <v>-177.78749999999999</v>
      </c>
      <c r="K8733">
        <v>1.116787</v>
      </c>
      <c r="L8733">
        <v>134.82579999999999</v>
      </c>
      <c r="M8733">
        <v>0.86549900000000002</v>
      </c>
      <c r="N8733">
        <v>-1.347725E-2</v>
      </c>
      <c r="O8733">
        <v>0.50072939999999999</v>
      </c>
      <c r="P8733">
        <v>0.98349509999999996</v>
      </c>
      <c r="Q8733">
        <v>-8.5268869999999997E-2</v>
      </c>
      <c r="R8733">
        <v>0.1595828</v>
      </c>
      <c r="S8733">
        <v>3.006348</v>
      </c>
      <c r="T8733">
        <v>-0.17226140000000001</v>
      </c>
      <c r="U8733">
        <v>0.18482970000000001</v>
      </c>
      <c r="V8733">
        <v>0.35366249999999999</v>
      </c>
      <c r="W8733">
        <v>-7.6116080000000003E-2</v>
      </c>
      <c r="X8733">
        <v>0.93227099999999996</v>
      </c>
      <c r="Y8733">
        <v>0.44541900000000001</v>
      </c>
      <c r="Z8733">
        <v>-3.6238899999999998E-2</v>
      </c>
      <c r="AA8733">
        <v>0.89458850000000001</v>
      </c>
      <c r="AB8733">
        <v>18</v>
      </c>
      <c r="AC8733">
        <v>19.392799999999902</v>
      </c>
      <c r="AD8733">
        <v>-1.1167885012259999</v>
      </c>
      <c r="AE8733">
        <v>1.149</v>
      </c>
      <c r="AF8733">
        <v>8.68816582535786</v>
      </c>
      <c r="AG8733">
        <v>-1.1167885012259999</v>
      </c>
      <c r="AH8733">
        <v>17.304177105057601</v>
      </c>
      <c r="AI8733">
        <v>93.300989078850094</v>
      </c>
      <c r="AJ8733">
        <v>63.339464310349904</v>
      </c>
      <c r="AK8733">
        <v>19.394999026774499</v>
      </c>
      <c r="AL8733">
        <v>94.3653522180756</v>
      </c>
      <c r="AM8733">
        <v>69.225463761393797</v>
      </c>
      <c r="AN8733">
        <v>1.0000000194909</v>
      </c>
    </row>
    <row r="8734" spans="1:40" x14ac:dyDescent="0.25">
      <c r="A8734" t="str">
        <f>"20190303155019565"</f>
        <v>20190303155019565</v>
      </c>
      <c r="B8734" t="str">
        <f>"1551599419559756"</f>
        <v>1551599419559756</v>
      </c>
      <c r="C8734" t="s">
        <v>40</v>
      </c>
      <c r="D8734">
        <v>5.9305580000000004</v>
      </c>
      <c r="E8734">
        <v>0.53417109999999901</v>
      </c>
      <c r="F8734" t="s">
        <v>41</v>
      </c>
      <c r="G8734">
        <v>-165.97810000000001</v>
      </c>
      <c r="H8734" s="1">
        <v>-2.6136799999999999E-6</v>
      </c>
      <c r="I8734">
        <v>135.5386</v>
      </c>
      <c r="J8734">
        <v>-177.6934</v>
      </c>
      <c r="K8734">
        <v>1.116857</v>
      </c>
      <c r="L8734">
        <v>134.87360000000001</v>
      </c>
      <c r="M8734">
        <v>0.86797990000000003</v>
      </c>
      <c r="N8734">
        <v>-1.332387E-2</v>
      </c>
      <c r="O8734">
        <v>0.49642069999999999</v>
      </c>
      <c r="P8734">
        <v>0.9835429</v>
      </c>
      <c r="Q8734">
        <v>-8.566928E-2</v>
      </c>
      <c r="R8734">
        <v>0.1590742</v>
      </c>
      <c r="S8734">
        <v>2.996429</v>
      </c>
      <c r="T8734">
        <v>-0.28336450000000002</v>
      </c>
      <c r="U8734">
        <v>0.18084720000000001</v>
      </c>
      <c r="V8734">
        <v>0.3495066</v>
      </c>
      <c r="W8734">
        <v>-7.651405E-2</v>
      </c>
      <c r="X8734">
        <v>0.93380450000000004</v>
      </c>
      <c r="Y8734">
        <v>0.43961169999999999</v>
      </c>
      <c r="Z8734">
        <v>-6.1776440000000002E-2</v>
      </c>
      <c r="AA8734">
        <v>0.89606090000000005</v>
      </c>
      <c r="AB8734">
        <v>18</v>
      </c>
      <c r="AC8734">
        <v>11.7152999999999</v>
      </c>
      <c r="AD8734">
        <v>-1.11685961367999</v>
      </c>
      <c r="AE8734">
        <v>0.66499999999999204</v>
      </c>
      <c r="AF8734">
        <v>5.1919402681559497</v>
      </c>
      <c r="AG8734">
        <v>-1.11685961367999</v>
      </c>
      <c r="AH8734">
        <v>10.4054303410079</v>
      </c>
      <c r="AI8734">
        <v>95.486001412032607</v>
      </c>
      <c r="AJ8734">
        <v>63.482432652764203</v>
      </c>
      <c r="AK8734">
        <v>11.682319963360801</v>
      </c>
      <c r="AL8734">
        <v>94.388220759249506</v>
      </c>
      <c r="AM8734">
        <v>69.480009134013997</v>
      </c>
      <c r="AN8734">
        <v>1.0000000537556</v>
      </c>
    </row>
    <row r="8735" spans="1:40" x14ac:dyDescent="0.25">
      <c r="A8735" t="str">
        <f>"20190303155019578"</f>
        <v>20190303155019578</v>
      </c>
      <c r="B8735" t="str">
        <f>"1551599419569518"</f>
        <v>1551599419569518</v>
      </c>
      <c r="C8735" t="s">
        <v>40</v>
      </c>
      <c r="D8735">
        <v>5.959632</v>
      </c>
      <c r="E8735">
        <v>0.53072830000000004</v>
      </c>
      <c r="F8735" t="s">
        <v>41</v>
      </c>
      <c r="G8735">
        <v>-166.5257</v>
      </c>
      <c r="H8735" s="1">
        <v>-2.3759259999999999E-6</v>
      </c>
      <c r="I8735">
        <v>135.64169999999999</v>
      </c>
      <c r="J8735">
        <v>-177.60140000000001</v>
      </c>
      <c r="K8735">
        <v>1.116935</v>
      </c>
      <c r="L8735">
        <v>134.91990000000001</v>
      </c>
      <c r="M8735">
        <v>0.87033890000000003</v>
      </c>
      <c r="N8735">
        <v>-1.317569E-2</v>
      </c>
      <c r="O8735">
        <v>0.49227690000000002</v>
      </c>
      <c r="P8735">
        <v>0.98393050000000004</v>
      </c>
      <c r="Q8735">
        <v>-8.5937260000000001E-2</v>
      </c>
      <c r="R8735">
        <v>0.15651080000000001</v>
      </c>
      <c r="S8735">
        <v>2.9909059999999998</v>
      </c>
      <c r="T8735">
        <v>-0.29911470000000001</v>
      </c>
      <c r="U8735">
        <v>0.20571900000000001</v>
      </c>
      <c r="V8735">
        <v>0.34749170000000001</v>
      </c>
      <c r="W8735">
        <v>-7.6809089999999997E-2</v>
      </c>
      <c r="X8735">
        <v>0.93453189999999997</v>
      </c>
      <c r="Y8735">
        <v>0.42741079999999998</v>
      </c>
      <c r="Z8735">
        <v>-6.4549419999999996E-2</v>
      </c>
      <c r="AA8735">
        <v>0.90175019999999995</v>
      </c>
      <c r="AB8735">
        <v>18</v>
      </c>
      <c r="AC8735">
        <v>11.075699999999999</v>
      </c>
      <c r="AD8735">
        <v>-1.116937375926</v>
      </c>
      <c r="AE8735">
        <v>0.72179999999997302</v>
      </c>
      <c r="AF8735">
        <v>4.7761521451911504</v>
      </c>
      <c r="AG8735">
        <v>-1.116937375926</v>
      </c>
      <c r="AH8735">
        <v>9.8955946818749307</v>
      </c>
      <c r="AI8735">
        <v>95.804257892055105</v>
      </c>
      <c r="AJ8735">
        <v>64.235516134846804</v>
      </c>
      <c r="AK8735">
        <v>11.0445449215305</v>
      </c>
      <c r="AL8735">
        <v>94.405175458546097</v>
      </c>
      <c r="AM8735">
        <v>69.603102321189994</v>
      </c>
      <c r="AN8735">
        <v>0.999999994996564</v>
      </c>
    </row>
    <row r="8736" spans="1:40" x14ac:dyDescent="0.25">
      <c r="A8736" t="str">
        <f>"20190303155019592"</f>
        <v>20190303155019592</v>
      </c>
      <c r="B8736" t="str">
        <f>"1551599419589037"</f>
        <v>1551599419589037</v>
      </c>
      <c r="C8736" t="s">
        <v>40</v>
      </c>
      <c r="D8736">
        <v>5.9509309999999997</v>
      </c>
      <c r="E8736">
        <v>0.52623050000000005</v>
      </c>
      <c r="F8736" t="s">
        <v>41</v>
      </c>
      <c r="G8736">
        <v>-166.70359999999999</v>
      </c>
      <c r="H8736" s="1">
        <v>-2.2815999999999999E-6</v>
      </c>
      <c r="I8736">
        <v>135.7396</v>
      </c>
      <c r="J8736">
        <v>-177.5027</v>
      </c>
      <c r="K8736">
        <v>1.1170089999999999</v>
      </c>
      <c r="L8736">
        <v>134.96889999999999</v>
      </c>
      <c r="M8736">
        <v>0.87278230000000001</v>
      </c>
      <c r="N8736">
        <v>-1.3020260000000001E-2</v>
      </c>
      <c r="O8736">
        <v>0.48793609999999998</v>
      </c>
      <c r="P8736">
        <v>0.98437129999999995</v>
      </c>
      <c r="Q8736">
        <v>-8.5941909999999996E-2</v>
      </c>
      <c r="R8736">
        <v>0.15371099999999999</v>
      </c>
      <c r="S8736">
        <v>2.986526</v>
      </c>
      <c r="T8736">
        <v>-0.3060949</v>
      </c>
      <c r="U8736">
        <v>0.22462460000000001</v>
      </c>
      <c r="V8736">
        <v>0.34551169999999998</v>
      </c>
      <c r="W8736">
        <v>-7.6855409999999999E-2</v>
      </c>
      <c r="X8736">
        <v>0.93526200000000004</v>
      </c>
      <c r="Y8736">
        <v>0.41698269999999998</v>
      </c>
      <c r="Z8736">
        <v>-6.5325350000000004E-2</v>
      </c>
      <c r="AA8736">
        <v>0.90656380000000003</v>
      </c>
      <c r="AB8736">
        <v>18</v>
      </c>
      <c r="AC8736">
        <v>10.799099999999999</v>
      </c>
      <c r="AD8736">
        <v>-1.1170112816</v>
      </c>
      <c r="AE8736">
        <v>0.77070000000000505</v>
      </c>
      <c r="AF8736">
        <v>4.5485884630606197</v>
      </c>
      <c r="AG8736">
        <v>-1.1170112816</v>
      </c>
      <c r="AH8736">
        <v>9.6989040851762702</v>
      </c>
      <c r="AI8736">
        <v>95.952800950882207</v>
      </c>
      <c r="AJ8736">
        <v>64.874379294660599</v>
      </c>
      <c r="AK8736">
        <v>10.770613337361899</v>
      </c>
      <c r="AL8736">
        <v>94.407837029818495</v>
      </c>
      <c r="AM8736">
        <v>69.724373013864295</v>
      </c>
      <c r="AN8736">
        <v>1.0000000487635701</v>
      </c>
    </row>
    <row r="8737" spans="1:40" x14ac:dyDescent="0.25">
      <c r="A8737" t="str">
        <f>"20190303155019606"</f>
        <v>20190303155019606</v>
      </c>
      <c r="B8737" t="str">
        <f>"1551599419599772"</f>
        <v>1551599419599772</v>
      </c>
      <c r="C8737" t="s">
        <v>40</v>
      </c>
      <c r="D8737">
        <v>5.9702999999999999</v>
      </c>
      <c r="E8737">
        <v>0.5247079</v>
      </c>
      <c r="F8737" t="s">
        <v>41</v>
      </c>
      <c r="G8737">
        <v>-167.11089999999999</v>
      </c>
      <c r="H8737" s="1">
        <v>-2.0975249999999999E-6</v>
      </c>
      <c r="I8737">
        <v>135.84350000000001</v>
      </c>
      <c r="J8737">
        <v>-177.3955</v>
      </c>
      <c r="K8737">
        <v>1.1170709999999999</v>
      </c>
      <c r="L8737">
        <v>135.02180000000001</v>
      </c>
      <c r="M8737">
        <v>0.87537359999999897</v>
      </c>
      <c r="N8737">
        <v>-1.285498E-2</v>
      </c>
      <c r="O8737">
        <v>0.48327619999999999</v>
      </c>
      <c r="P8737">
        <v>0.98481300000000005</v>
      </c>
      <c r="Q8737">
        <v>-8.6298420000000001E-2</v>
      </c>
      <c r="R8737">
        <v>0.15065200000000001</v>
      </c>
      <c r="S8737">
        <v>2.980499</v>
      </c>
      <c r="T8737">
        <v>-0.32037189999999999</v>
      </c>
      <c r="U8737">
        <v>0.25082399999999999</v>
      </c>
      <c r="V8737">
        <v>0.3434277</v>
      </c>
      <c r="W8737">
        <v>-7.7269539999999998E-2</v>
      </c>
      <c r="X8737">
        <v>0.93599509999999997</v>
      </c>
      <c r="Y8737">
        <v>0.40371990000000002</v>
      </c>
      <c r="Z8737">
        <v>-6.7510020000000004E-2</v>
      </c>
      <c r="AA8737">
        <v>0.91238839999999999</v>
      </c>
      <c r="AB8737">
        <v>18</v>
      </c>
      <c r="AC8737">
        <v>10.284599999999999</v>
      </c>
      <c r="AD8737">
        <v>-1.1170730975249901</v>
      </c>
      <c r="AE8737">
        <v>0.82169999999999199</v>
      </c>
      <c r="AF8737">
        <v>4.20209940283703</v>
      </c>
      <c r="AG8737">
        <v>-1.1170730975249901</v>
      </c>
      <c r="AH8737">
        <v>9.2918271808291504</v>
      </c>
      <c r="AI8737">
        <v>96.251273108377802</v>
      </c>
      <c r="AJ8737">
        <v>65.6658013916946</v>
      </c>
      <c r="AK8737">
        <v>10.258827616006201</v>
      </c>
      <c r="AL8737">
        <v>94.431635930410806</v>
      </c>
      <c r="AM8737">
        <v>69.851314087509195</v>
      </c>
      <c r="AN8737">
        <v>0.99999999708155496</v>
      </c>
    </row>
    <row r="8738" spans="1:40" x14ac:dyDescent="0.25">
      <c r="A8738" t="str">
        <f>"20190303155019618"</f>
        <v>20190303155019618</v>
      </c>
      <c r="B8738" t="str">
        <f>"1551599419609532"</f>
        <v>1551599419609532</v>
      </c>
      <c r="C8738" t="s">
        <v>40</v>
      </c>
      <c r="D8738">
        <v>5.9487680000000003</v>
      </c>
      <c r="E8738">
        <v>0.52346459999999995</v>
      </c>
      <c r="F8738" t="s">
        <v>41</v>
      </c>
      <c r="G8738">
        <v>-167.15620000000001</v>
      </c>
      <c r="H8738" s="1">
        <v>-2.0670510000000002E-6</v>
      </c>
      <c r="I8738">
        <v>135.89269999999999</v>
      </c>
      <c r="J8738">
        <v>-177.30269999999999</v>
      </c>
      <c r="K8738">
        <v>1.1171139999999999</v>
      </c>
      <c r="L8738">
        <v>135.06720000000001</v>
      </c>
      <c r="M8738">
        <v>0.87756089999999998</v>
      </c>
      <c r="N8738">
        <v>-1.2715290000000001E-2</v>
      </c>
      <c r="O8738">
        <v>0.47929670000000002</v>
      </c>
      <c r="P8738">
        <v>0.98508200000000001</v>
      </c>
      <c r="Q8738">
        <v>-8.7498909999999999E-2</v>
      </c>
      <c r="R8738">
        <v>0.1481807</v>
      </c>
      <c r="S8738">
        <v>2.9790040000000002</v>
      </c>
      <c r="T8738">
        <v>-0.32499800000000001</v>
      </c>
      <c r="U8738">
        <v>0.25337219999999999</v>
      </c>
      <c r="V8738">
        <v>0.34147509999999998</v>
      </c>
      <c r="W8738">
        <v>-7.8529860000000007E-2</v>
      </c>
      <c r="X8738">
        <v>0.9366044</v>
      </c>
      <c r="Y8738">
        <v>0.39865790000000001</v>
      </c>
      <c r="Z8738">
        <v>-6.7974839999999995E-2</v>
      </c>
      <c r="AA8738">
        <v>0.91457710000000003</v>
      </c>
      <c r="AB8738">
        <v>18</v>
      </c>
      <c r="AC8738">
        <v>10.1464999999999</v>
      </c>
      <c r="AD8738">
        <v>-1.1171160670510001</v>
      </c>
      <c r="AE8738">
        <v>0.82549999999997603</v>
      </c>
      <c r="AF8738">
        <v>4.0898418655489204</v>
      </c>
      <c r="AG8738">
        <v>-1.1171160670510001</v>
      </c>
      <c r="AH8738">
        <v>9.1899172841651993</v>
      </c>
      <c r="AI8738">
        <v>96.337158840284602</v>
      </c>
      <c r="AJ8738">
        <v>66.009225562217097</v>
      </c>
      <c r="AK8738">
        <v>10.120737842778899</v>
      </c>
      <c r="AL8738">
        <v>94.5040670768051</v>
      </c>
      <c r="AM8738">
        <v>69.968731060423096</v>
      </c>
      <c r="AN8738">
        <v>0.99999999246549398</v>
      </c>
    </row>
    <row r="8739" spans="1:40" x14ac:dyDescent="0.25">
      <c r="A8739" t="str">
        <f>"20190303155019633"</f>
        <v>20190303155019633</v>
      </c>
      <c r="B8739" t="str">
        <f>"1551599419629559"</f>
        <v>1551599419629559</v>
      </c>
      <c r="C8739" t="s">
        <v>40</v>
      </c>
      <c r="D8739">
        <v>6.0472599999999996</v>
      </c>
      <c r="E8739">
        <v>0.52034119999999995</v>
      </c>
      <c r="F8739" t="s">
        <v>41</v>
      </c>
      <c r="G8739">
        <v>-167.3049</v>
      </c>
      <c r="H8739" s="1">
        <v>-2.001177E-6</v>
      </c>
      <c r="I8739">
        <v>135.9255</v>
      </c>
      <c r="J8739">
        <v>-177.1986</v>
      </c>
      <c r="K8739">
        <v>1.117137</v>
      </c>
      <c r="L8739">
        <v>135.1174</v>
      </c>
      <c r="M8739">
        <v>0.87994660000000002</v>
      </c>
      <c r="N8739">
        <v>-1.256547E-2</v>
      </c>
      <c r="O8739">
        <v>0.47490640000000001</v>
      </c>
      <c r="P8739">
        <v>0.9850892</v>
      </c>
      <c r="Q8739">
        <v>-8.9148000000000005E-2</v>
      </c>
      <c r="R8739">
        <v>0.14714579999999999</v>
      </c>
      <c r="S8739">
        <v>2.9774319999999999</v>
      </c>
      <c r="T8739">
        <v>-0.33268700000000001</v>
      </c>
      <c r="U8739">
        <v>0.25563049999999998</v>
      </c>
      <c r="V8739">
        <v>0.33770090000000003</v>
      </c>
      <c r="W8739">
        <v>-8.0246579999999998E-2</v>
      </c>
      <c r="X8739">
        <v>0.93782650000000001</v>
      </c>
      <c r="Y8739">
        <v>0.39316600000000002</v>
      </c>
      <c r="Z8739">
        <v>-6.9029869999999993E-2</v>
      </c>
      <c r="AA8739">
        <v>0.91687260000000004</v>
      </c>
      <c r="AB8739">
        <v>18</v>
      </c>
      <c r="AC8739">
        <v>9.8936999999999902</v>
      </c>
      <c r="AD8739">
        <v>-1.1171390011769999</v>
      </c>
      <c r="AE8739">
        <v>0.80809999999999504</v>
      </c>
      <c r="AF8739">
        <v>3.93793699919194</v>
      </c>
      <c r="AG8739">
        <v>-1.1171390011769999</v>
      </c>
      <c r="AH8739">
        <v>8.9767259245621993</v>
      </c>
      <c r="AI8739">
        <v>96.501647316519694</v>
      </c>
      <c r="AJ8739">
        <v>66.313755795054504</v>
      </c>
      <c r="AK8739">
        <v>9.8659493046671791</v>
      </c>
      <c r="AL8739">
        <v>94.602739400172197</v>
      </c>
      <c r="AM8739">
        <v>70.196615261982302</v>
      </c>
      <c r="AN8739">
        <v>0.99999997778237704</v>
      </c>
    </row>
    <row r="8740" spans="1:40" x14ac:dyDescent="0.25">
      <c r="A8740" t="str">
        <f>"20190303155019646"</f>
        <v>20190303155019646</v>
      </c>
      <c r="B8740" t="str">
        <f>"1551599419639320"</f>
        <v>1551599419639320</v>
      </c>
      <c r="C8740" t="s">
        <v>40</v>
      </c>
      <c r="D8740">
        <v>6.0447360000000003</v>
      </c>
      <c r="E8740">
        <v>0.51922230000000003</v>
      </c>
      <c r="F8740" t="s">
        <v>41</v>
      </c>
      <c r="G8740">
        <v>-167.8477</v>
      </c>
      <c r="H8740" s="1">
        <v>-1.7763700000000001E-6</v>
      </c>
      <c r="I8740">
        <v>135.98699999999999</v>
      </c>
      <c r="J8740">
        <v>-177.10810000000001</v>
      </c>
      <c r="K8740">
        <v>1.1171409999999999</v>
      </c>
      <c r="L8740">
        <v>135.16069999999999</v>
      </c>
      <c r="M8740">
        <v>0.88198140000000003</v>
      </c>
      <c r="N8740">
        <v>-1.243907E-2</v>
      </c>
      <c r="O8740">
        <v>0.47111999999999998</v>
      </c>
      <c r="P8740">
        <v>0.98536769999999996</v>
      </c>
      <c r="Q8740">
        <v>-8.9565359999999997E-2</v>
      </c>
      <c r="R8740">
        <v>0.145013</v>
      </c>
      <c r="S8740">
        <v>2.972</v>
      </c>
      <c r="T8740">
        <v>-0.35506169999999998</v>
      </c>
      <c r="U8740">
        <v>0.27639770000000002</v>
      </c>
      <c r="V8740">
        <v>0.33568109999999901</v>
      </c>
      <c r="W8740">
        <v>-8.0745720000000007E-2</v>
      </c>
      <c r="X8740">
        <v>0.93850860000000003</v>
      </c>
      <c r="Y8740">
        <v>0.3820984</v>
      </c>
      <c r="Z8740">
        <v>-7.2947289999999998E-2</v>
      </c>
      <c r="AA8740">
        <v>0.92123809999999995</v>
      </c>
      <c r="AB8740">
        <v>18</v>
      </c>
      <c r="AC8740">
        <v>9.2604000000000006</v>
      </c>
      <c r="AD8740">
        <v>-1.1171427763699999</v>
      </c>
      <c r="AE8740">
        <v>0.82630000000000303</v>
      </c>
      <c r="AF8740">
        <v>3.5825342096224699</v>
      </c>
      <c r="AG8740">
        <v>-1.1171427763699999</v>
      </c>
      <c r="AH8740">
        <v>8.4356533467631394</v>
      </c>
      <c r="AI8740">
        <v>96.949729522269394</v>
      </c>
      <c r="AJ8740">
        <v>66.989573606066401</v>
      </c>
      <c r="AK8740">
        <v>9.2327031108266002</v>
      </c>
      <c r="AL8740">
        <v>94.631430870707007</v>
      </c>
      <c r="AM8740">
        <v>70.319138028759795</v>
      </c>
      <c r="AN8740">
        <v>1.00000003223474</v>
      </c>
    </row>
    <row r="8741" spans="1:40" x14ac:dyDescent="0.25">
      <c r="A8741" t="str">
        <f>"20190303155019662"</f>
        <v>20190303155019662</v>
      </c>
      <c r="B8741" t="str">
        <f>"1551599419649080"</f>
        <v>1551599419649080</v>
      </c>
      <c r="C8741" t="s">
        <v>40</v>
      </c>
      <c r="D8741">
        <v>5.9496079999999996</v>
      </c>
      <c r="E8741">
        <v>0.51872109999999905</v>
      </c>
      <c r="F8741" t="s">
        <v>41</v>
      </c>
      <c r="G8741">
        <v>-167.97040000000001</v>
      </c>
      <c r="H8741" s="1">
        <v>-1.72102E-6</v>
      </c>
      <c r="I8741">
        <v>136.0181</v>
      </c>
      <c r="J8741">
        <v>-176.9881</v>
      </c>
      <c r="K8741">
        <v>1.1171310000000001</v>
      </c>
      <c r="L8741">
        <v>135.2175</v>
      </c>
      <c r="M8741">
        <v>0.8846231</v>
      </c>
      <c r="N8741">
        <v>-1.22775E-2</v>
      </c>
      <c r="O8741">
        <v>0.46614519999999998</v>
      </c>
      <c r="P8741">
        <v>0.98582150000000002</v>
      </c>
      <c r="Q8741">
        <v>-8.9484209999999995E-2</v>
      </c>
      <c r="R8741">
        <v>0.14194709999999999</v>
      </c>
      <c r="S8741">
        <v>2.97052</v>
      </c>
      <c r="T8741">
        <v>-0.36316189999999998</v>
      </c>
      <c r="U8741">
        <v>0.27873229999999999</v>
      </c>
      <c r="V8741">
        <v>0.3333178</v>
      </c>
      <c r="W8741">
        <v>-8.0788199999999893E-2</v>
      </c>
      <c r="X8741">
        <v>0.93934680000000004</v>
      </c>
      <c r="Y8741">
        <v>0.37594319999999998</v>
      </c>
      <c r="Z8741">
        <v>-7.3882420000000004E-2</v>
      </c>
      <c r="AA8741">
        <v>0.92369259999999997</v>
      </c>
      <c r="AB8741">
        <v>18</v>
      </c>
      <c r="AC8741">
        <v>9.0176999999999907</v>
      </c>
      <c r="AD8741">
        <v>-1.1171327210199999</v>
      </c>
      <c r="AE8741">
        <v>0.80060000000000198</v>
      </c>
      <c r="AF8741">
        <v>3.4431632723298899</v>
      </c>
      <c r="AG8741">
        <v>-1.1171327210199999</v>
      </c>
      <c r="AH8741">
        <v>8.2258374620652202</v>
      </c>
      <c r="AI8741">
        <v>97.140575142262904</v>
      </c>
      <c r="AJ8741">
        <v>67.286835538358105</v>
      </c>
      <c r="AK8741">
        <v>8.9870885601851391</v>
      </c>
      <c r="AL8741">
        <v>94.633873155540101</v>
      </c>
      <c r="AM8741">
        <v>70.463280402324898</v>
      </c>
      <c r="AN8741">
        <v>0.99999994986315799</v>
      </c>
    </row>
    <row r="8742" spans="1:40" x14ac:dyDescent="0.25">
      <c r="A8742" t="str">
        <f>"20190303155019678"</f>
        <v>20190303155019678</v>
      </c>
      <c r="B8742" t="str">
        <f>"1551599419669575"</f>
        <v>1551599419669575</v>
      </c>
      <c r="C8742" t="s">
        <v>40</v>
      </c>
      <c r="D8742">
        <v>5.9966970000000002</v>
      </c>
      <c r="E8742">
        <v>0.5178912</v>
      </c>
      <c r="F8742" t="s">
        <v>41</v>
      </c>
      <c r="G8742">
        <v>-167.87909999999999</v>
      </c>
      <c r="H8742" s="1">
        <v>-1.745943E-6</v>
      </c>
      <c r="I8742">
        <v>136.05609999999999</v>
      </c>
      <c r="J8742">
        <v>-176.8648</v>
      </c>
      <c r="K8742">
        <v>1.1171070000000001</v>
      </c>
      <c r="L8742">
        <v>135.2749</v>
      </c>
      <c r="M8742">
        <v>0.88727140000000004</v>
      </c>
      <c r="N8742">
        <v>-1.211742E-2</v>
      </c>
      <c r="O8742">
        <v>0.46108870000000002</v>
      </c>
      <c r="P8742">
        <v>0.9859793</v>
      </c>
      <c r="Q8742">
        <v>-8.7894399999999998E-2</v>
      </c>
      <c r="R8742">
        <v>0.14184269999999999</v>
      </c>
      <c r="S8742">
        <v>2.970688</v>
      </c>
      <c r="T8742">
        <v>-0.36432799999999999</v>
      </c>
      <c r="U8742">
        <v>0.27349849999999998</v>
      </c>
      <c r="V8742">
        <v>0.32812980000000003</v>
      </c>
      <c r="W8742">
        <v>-7.9299830000000002E-2</v>
      </c>
      <c r="X8742">
        <v>0.94129819999999997</v>
      </c>
      <c r="Y8742">
        <v>0.37229030000000002</v>
      </c>
      <c r="Z8742">
        <v>-7.3456919999999995E-2</v>
      </c>
      <c r="AA8742">
        <v>0.92520480000000005</v>
      </c>
      <c r="AB8742">
        <v>18</v>
      </c>
      <c r="AC8742">
        <v>8.9856999999999996</v>
      </c>
      <c r="AD8742">
        <v>-1.117108745943</v>
      </c>
      <c r="AE8742">
        <v>0.78119999999998402</v>
      </c>
      <c r="AF8742">
        <v>3.3981940749691</v>
      </c>
      <c r="AG8742">
        <v>-1.117108745943</v>
      </c>
      <c r="AH8742">
        <v>8.2076651551594892</v>
      </c>
      <c r="AI8742">
        <v>97.1675164068687</v>
      </c>
      <c r="AJ8742">
        <v>67.509129836326693</v>
      </c>
      <c r="AK8742">
        <v>8.9532911390525296</v>
      </c>
      <c r="AL8742">
        <v>94.548321247178393</v>
      </c>
      <c r="AM8742">
        <v>70.781811650066302</v>
      </c>
      <c r="AN8742">
        <v>0.99999996500465305</v>
      </c>
    </row>
    <row r="8743" spans="1:40" x14ac:dyDescent="0.25">
      <c r="A8743" t="str">
        <f>"20190303155019696"</f>
        <v>20190303155019696</v>
      </c>
      <c r="B8743" t="str">
        <f>"1551599419689095"</f>
        <v>1551599419689095</v>
      </c>
      <c r="C8743" t="s">
        <v>40</v>
      </c>
      <c r="D8743">
        <v>6.046189</v>
      </c>
      <c r="E8743">
        <v>0.51644109999999999</v>
      </c>
      <c r="F8743" t="s">
        <v>41</v>
      </c>
      <c r="G8743">
        <v>-167.70169999999999</v>
      </c>
      <c r="H8743" s="1">
        <v>-1.7922970000000001E-6</v>
      </c>
      <c r="I8743">
        <v>136.1379</v>
      </c>
      <c r="J8743">
        <v>-176.72540000000001</v>
      </c>
      <c r="K8743">
        <v>1.1170580000000001</v>
      </c>
      <c r="L8743">
        <v>135.33879999999999</v>
      </c>
      <c r="M8743">
        <v>0.89020999999999995</v>
      </c>
      <c r="N8743">
        <v>-1.194198E-2</v>
      </c>
      <c r="O8743">
        <v>0.45539390000000002</v>
      </c>
      <c r="P8743">
        <v>0.98661160000000003</v>
      </c>
      <c r="Q8743">
        <v>-8.6594959999999999E-2</v>
      </c>
      <c r="R8743">
        <v>0.13819870000000001</v>
      </c>
      <c r="S8743">
        <v>2.9701390000000001</v>
      </c>
      <c r="T8743">
        <v>-0.36210160000000002</v>
      </c>
      <c r="U8743">
        <v>0.27973940000000003</v>
      </c>
      <c r="V8743">
        <v>0.32563150000000002</v>
      </c>
      <c r="W8743">
        <v>-7.8162410000000002E-2</v>
      </c>
      <c r="X8743">
        <v>0.9422604</v>
      </c>
      <c r="Y8743">
        <v>0.3645504</v>
      </c>
      <c r="Z8743">
        <v>-7.1983000000000005E-2</v>
      </c>
      <c r="AA8743">
        <v>0.92839720000000003</v>
      </c>
      <c r="AB8743">
        <v>18</v>
      </c>
      <c r="AC8743">
        <v>9.0237000000000194</v>
      </c>
      <c r="AD8743">
        <v>-1.11705979229699</v>
      </c>
      <c r="AE8743">
        <v>0.79910000000000903</v>
      </c>
      <c r="AF8743">
        <v>3.34731684976177</v>
      </c>
      <c r="AG8743">
        <v>-1.11705979229699</v>
      </c>
      <c r="AH8743">
        <v>8.2717189778805</v>
      </c>
      <c r="AI8743">
        <v>97.135404705588897</v>
      </c>
      <c r="AJ8743">
        <v>67.968295731174294</v>
      </c>
      <c r="AK8743">
        <v>8.9929799021956107</v>
      </c>
      <c r="AL8743">
        <v>94.482949025733902</v>
      </c>
      <c r="AM8743">
        <v>70.935594278292697</v>
      </c>
      <c r="AN8743">
        <v>0.99999994876870701</v>
      </c>
    </row>
    <row r="8744" spans="1:40" x14ac:dyDescent="0.25">
      <c r="A8744" t="str">
        <f>"20190303155019714"</f>
        <v>20190303155019714</v>
      </c>
      <c r="B8744" t="str">
        <f>"1551599419709592"</f>
        <v>1551599419709592</v>
      </c>
      <c r="C8744" t="s">
        <v>40</v>
      </c>
      <c r="D8744">
        <v>6.0115309999999997</v>
      </c>
      <c r="E8744">
        <v>0.51598109999999997</v>
      </c>
      <c r="F8744" t="s">
        <v>41</v>
      </c>
      <c r="G8744">
        <v>-167.66040000000001</v>
      </c>
      <c r="H8744" s="1">
        <v>-1.793369E-6</v>
      </c>
      <c r="I8744">
        <v>136.1935</v>
      </c>
      <c r="J8744">
        <v>-176.59780000000001</v>
      </c>
      <c r="K8744">
        <v>1.117011</v>
      </c>
      <c r="L8744">
        <v>135.3964</v>
      </c>
      <c r="M8744">
        <v>0.89286119999999902</v>
      </c>
      <c r="N8744">
        <v>-1.177431E-2</v>
      </c>
      <c r="O8744">
        <v>0.45017800000000002</v>
      </c>
      <c r="P8744">
        <v>0.98711519999999997</v>
      </c>
      <c r="Q8744">
        <v>-8.5039249999999997E-2</v>
      </c>
      <c r="R8744">
        <v>0.13554369999999999</v>
      </c>
      <c r="S8744">
        <v>2.969376</v>
      </c>
      <c r="T8744">
        <v>-0.36591010000000002</v>
      </c>
      <c r="U8744">
        <v>0.27995300000000001</v>
      </c>
      <c r="V8744">
        <v>0.32272060000000002</v>
      </c>
      <c r="W8744">
        <v>-7.6756930000000001E-2</v>
      </c>
      <c r="X8744">
        <v>0.94337680000000002</v>
      </c>
      <c r="Y8744">
        <v>0.35896289999999997</v>
      </c>
      <c r="Z8744">
        <v>-7.1956500000000007E-2</v>
      </c>
      <c r="AA8744">
        <v>0.93057389999999995</v>
      </c>
      <c r="AB8744">
        <v>18</v>
      </c>
      <c r="AC8744">
        <v>8.9373999999999896</v>
      </c>
      <c r="AD8744">
        <v>-1.1170127933689999</v>
      </c>
      <c r="AE8744">
        <v>0.79710000000000003</v>
      </c>
      <c r="AF8744">
        <v>3.2614081244667301</v>
      </c>
      <c r="AG8744">
        <v>-1.1170127933689999</v>
      </c>
      <c r="AH8744">
        <v>8.2120095950326704</v>
      </c>
      <c r="AI8744">
        <v>97.204937707912705</v>
      </c>
      <c r="AJ8744">
        <v>68.339447202945806</v>
      </c>
      <c r="AK8744">
        <v>8.9062675753536702</v>
      </c>
      <c r="AL8744">
        <v>94.4021780425347</v>
      </c>
      <c r="AM8744">
        <v>71.114650367165495</v>
      </c>
      <c r="AN8744">
        <v>0.99999999937281203</v>
      </c>
    </row>
    <row r="8745" spans="1:40" x14ac:dyDescent="0.25">
      <c r="A8745" t="str">
        <f>"20190303155019725"</f>
        <v>20190303155019725</v>
      </c>
      <c r="B8745" t="str">
        <f>"1551599419719860"</f>
        <v>1551599419719860</v>
      </c>
      <c r="C8745" t="s">
        <v>40</v>
      </c>
      <c r="D8745">
        <v>6.0089620000000004</v>
      </c>
      <c r="E8745">
        <v>0.51581460000000001</v>
      </c>
      <c r="F8745" t="s">
        <v>41</v>
      </c>
      <c r="G8745">
        <v>-167.4229</v>
      </c>
      <c r="H8745" s="1">
        <v>-1.870111E-6</v>
      </c>
      <c r="I8745">
        <v>136.24799999999999</v>
      </c>
      <c r="J8745">
        <v>-176.5103</v>
      </c>
      <c r="K8745">
        <v>1.116987</v>
      </c>
      <c r="L8745">
        <v>135.43549999999999</v>
      </c>
      <c r="M8745">
        <v>0.89466109999999899</v>
      </c>
      <c r="N8745">
        <v>-1.1650219999999999E-2</v>
      </c>
      <c r="O8745">
        <v>0.44659349999999998</v>
      </c>
      <c r="P8745">
        <v>0.98698799999999998</v>
      </c>
      <c r="Q8745">
        <v>-8.2769159999999994E-2</v>
      </c>
      <c r="R8745">
        <v>0.13785430000000001</v>
      </c>
      <c r="S8745">
        <v>2.970154</v>
      </c>
      <c r="T8745">
        <v>-0.36160419999999999</v>
      </c>
      <c r="U8745">
        <v>0.2756653</v>
      </c>
      <c r="V8745">
        <v>0.31682739999999998</v>
      </c>
      <c r="W8745">
        <v>-7.454848E-2</v>
      </c>
      <c r="X8745">
        <v>0.94554899999999997</v>
      </c>
      <c r="Y8745">
        <v>0.35674299999999998</v>
      </c>
      <c r="Z8745">
        <v>-7.0609950000000005E-2</v>
      </c>
      <c r="AA8745">
        <v>0.93153030000000003</v>
      </c>
      <c r="AB8745">
        <v>18</v>
      </c>
      <c r="AC8745">
        <v>9.0874000000000006</v>
      </c>
      <c r="AD8745">
        <v>-1.116988870111</v>
      </c>
      <c r="AE8745">
        <v>0.8125</v>
      </c>
      <c r="AF8745">
        <v>3.2824879674485401</v>
      </c>
      <c r="AG8745">
        <v>-1.116988870111</v>
      </c>
      <c r="AH8745">
        <v>8.3681503966839799</v>
      </c>
      <c r="AI8745">
        <v>97.083427733649401</v>
      </c>
      <c r="AJ8745">
        <v>68.581925087169196</v>
      </c>
      <c r="AK8745">
        <v>9.0580534583274801</v>
      </c>
      <c r="AL8745">
        <v>94.275279511128502</v>
      </c>
      <c r="AM8745">
        <v>71.475419465172806</v>
      </c>
      <c r="AN8745">
        <v>0.99999999433103504</v>
      </c>
    </row>
    <row r="8746" spans="1:40" x14ac:dyDescent="0.25">
      <c r="A8746" t="str">
        <f>"20190303155019737"</f>
        <v>20190303155019737</v>
      </c>
      <c r="B8746" t="str">
        <f>"1551599419729620"</f>
        <v>1551599419729620</v>
      </c>
      <c r="C8746" t="s">
        <v>40</v>
      </c>
      <c r="D8746">
        <v>6.0178839999999996</v>
      </c>
      <c r="E8746">
        <v>0.51564929999999998</v>
      </c>
      <c r="F8746" t="s">
        <v>41</v>
      </c>
      <c r="G8746">
        <v>-167.16460000000001</v>
      </c>
      <c r="H8746" s="1">
        <v>-1.9477710000000001E-6</v>
      </c>
      <c r="I8746">
        <v>136.3288</v>
      </c>
      <c r="J8746">
        <v>-176.4153</v>
      </c>
      <c r="K8746">
        <v>1.116941</v>
      </c>
      <c r="L8746">
        <v>135.47739999999999</v>
      </c>
      <c r="M8746">
        <v>0.89659920000000004</v>
      </c>
      <c r="N8746">
        <v>-1.1504179999999999E-2</v>
      </c>
      <c r="O8746">
        <v>0.44269350000000002</v>
      </c>
      <c r="P8746">
        <v>0.98719869999999998</v>
      </c>
      <c r="Q8746">
        <v>-8.2035999999999998E-2</v>
      </c>
      <c r="R8746">
        <v>0.1367815</v>
      </c>
      <c r="S8746">
        <v>2.9701080000000002</v>
      </c>
      <c r="T8746">
        <v>-0.35498400000000002</v>
      </c>
      <c r="U8746">
        <v>0.28390500000000002</v>
      </c>
      <c r="V8746">
        <v>0.31376520000000002</v>
      </c>
      <c r="W8746">
        <v>-7.3938069999999995E-2</v>
      </c>
      <c r="X8746">
        <v>0.94661740000000005</v>
      </c>
      <c r="Y8746">
        <v>0.35037160000000001</v>
      </c>
      <c r="Z8746">
        <v>-6.8507589999999993E-2</v>
      </c>
      <c r="AA8746">
        <v>0.93410199999999999</v>
      </c>
      <c r="AB8746">
        <v>18</v>
      </c>
      <c r="AC8746">
        <v>9.2506999999999895</v>
      </c>
      <c r="AD8746">
        <v>-1.116942947771</v>
      </c>
      <c r="AE8746">
        <v>0.85140000000001204</v>
      </c>
      <c r="AF8746">
        <v>3.2845983876559699</v>
      </c>
      <c r="AG8746">
        <v>-1.116942947771</v>
      </c>
      <c r="AH8746">
        <v>8.5480818245832193</v>
      </c>
      <c r="AI8746">
        <v>96.954096492651502</v>
      </c>
      <c r="AJ8746">
        <v>68.980740387417598</v>
      </c>
      <c r="AK8746">
        <v>9.2252832474963995</v>
      </c>
      <c r="AL8746">
        <v>94.240208905477203</v>
      </c>
      <c r="AM8746">
        <v>71.661738996587303</v>
      </c>
      <c r="AN8746">
        <v>0.99999997045456201</v>
      </c>
    </row>
    <row r="8747" spans="1:40" x14ac:dyDescent="0.25">
      <c r="A8747" t="str">
        <f>"20190303155019751"</f>
        <v>20190303155019751</v>
      </c>
      <c r="B8747" t="str">
        <f>"1551599419739379"</f>
        <v>1551599419739379</v>
      </c>
      <c r="C8747" t="s">
        <v>40</v>
      </c>
      <c r="D8747">
        <v>6.0020030000000002</v>
      </c>
      <c r="E8747">
        <v>0.51548369999999999</v>
      </c>
      <c r="F8747" t="s">
        <v>41</v>
      </c>
      <c r="G8747">
        <v>-167.0093</v>
      </c>
      <c r="H8747" s="1">
        <v>-1.9964480000000001E-6</v>
      </c>
      <c r="I8747">
        <v>136.37</v>
      </c>
      <c r="J8747">
        <v>-176.3169</v>
      </c>
      <c r="K8747">
        <v>1.1168849999999999</v>
      </c>
      <c r="L8747">
        <v>135.52019999999999</v>
      </c>
      <c r="M8747">
        <v>0.89859480000000003</v>
      </c>
      <c r="N8747">
        <v>-1.1332139999999999E-2</v>
      </c>
      <c r="O8747">
        <v>0.4386331</v>
      </c>
      <c r="P8747">
        <v>0.98744290000000001</v>
      </c>
      <c r="Q8747">
        <v>-8.1508189999999994E-2</v>
      </c>
      <c r="R8747">
        <v>0.13532659999999999</v>
      </c>
      <c r="S8747">
        <v>2.9705349999999999</v>
      </c>
      <c r="T8747">
        <v>-0.352744</v>
      </c>
      <c r="U8747">
        <v>0.2818909</v>
      </c>
      <c r="V8747">
        <v>0.31089470000000002</v>
      </c>
      <c r="W8747">
        <v>-7.3562340000000004E-2</v>
      </c>
      <c r="X8747">
        <v>0.94759329999999997</v>
      </c>
      <c r="Y8747">
        <v>0.34688469999999999</v>
      </c>
      <c r="Z8747">
        <v>-6.749173E-2</v>
      </c>
      <c r="AA8747">
        <v>0.93547630000000004</v>
      </c>
      <c r="AB8747">
        <v>18</v>
      </c>
      <c r="AC8747">
        <v>9.3076000000000008</v>
      </c>
      <c r="AD8747">
        <v>-1.1168869964479999</v>
      </c>
      <c r="AE8747">
        <v>0.84980000000001599</v>
      </c>
      <c r="AF8747">
        <v>3.2724766663382199</v>
      </c>
      <c r="AG8747">
        <v>-1.1168869964479999</v>
      </c>
      <c r="AH8747">
        <v>8.6140607621158107</v>
      </c>
      <c r="AI8747">
        <v>96.910925028066004</v>
      </c>
      <c r="AJ8747">
        <v>69.198244937898295</v>
      </c>
      <c r="AK8747">
        <v>9.2821647748779998</v>
      </c>
      <c r="AL8747">
        <v>94.218622262489703</v>
      </c>
      <c r="AM8747">
        <v>71.835918650848001</v>
      </c>
      <c r="AN8747">
        <v>0.99999999727962696</v>
      </c>
    </row>
    <row r="8748" spans="1:40" x14ac:dyDescent="0.25">
      <c r="A8748" t="str">
        <f>"20190303155019764"</f>
        <v>20190303155019764</v>
      </c>
      <c r="B8748" t="str">
        <f>"1551599419759876"</f>
        <v>1551599419759876</v>
      </c>
      <c r="C8748" t="s">
        <v>40</v>
      </c>
      <c r="D8748">
        <v>5.9931769999999904</v>
      </c>
      <c r="E8748">
        <v>0.51520719999999998</v>
      </c>
      <c r="F8748" t="s">
        <v>41</v>
      </c>
      <c r="G8748">
        <v>-166.88749999999999</v>
      </c>
      <c r="H8748" s="1">
        <v>-2.0340290000000001E-6</v>
      </c>
      <c r="I8748">
        <v>136.40459999999999</v>
      </c>
      <c r="J8748">
        <v>-176.2184</v>
      </c>
      <c r="K8748">
        <v>1.1168129999999901</v>
      </c>
      <c r="L8748">
        <v>135.56270000000001</v>
      </c>
      <c r="M8748">
        <v>0.90057549999999997</v>
      </c>
      <c r="N8748">
        <v>-1.1146120000000001E-2</v>
      </c>
      <c r="O8748">
        <v>0.43455680000000002</v>
      </c>
      <c r="P8748">
        <v>0.98760859999999995</v>
      </c>
      <c r="Q8748">
        <v>-8.1433920000000007E-2</v>
      </c>
      <c r="R8748">
        <v>0.13415589999999999</v>
      </c>
      <c r="S8748">
        <v>2.9709319999999999</v>
      </c>
      <c r="T8748">
        <v>-0.35189740000000003</v>
      </c>
      <c r="U8748">
        <v>0.27864070000000002</v>
      </c>
      <c r="V8748">
        <v>0.307720099999999</v>
      </c>
      <c r="W8748">
        <v>-7.36507E-2</v>
      </c>
      <c r="X8748">
        <v>0.94862210000000002</v>
      </c>
      <c r="Y8748">
        <v>0.3437267</v>
      </c>
      <c r="Z8748">
        <v>-6.6783350000000005E-2</v>
      </c>
      <c r="AA8748">
        <v>0.93669199999999997</v>
      </c>
      <c r="AB8748">
        <v>18</v>
      </c>
      <c r="AC8748">
        <v>9.3309000000000104</v>
      </c>
      <c r="AD8748">
        <v>-1.11681503402899</v>
      </c>
      <c r="AE8748">
        <v>0.841899999999981</v>
      </c>
      <c r="AF8748">
        <v>3.2506248083370402</v>
      </c>
      <c r="AG8748">
        <v>-1.11681503402899</v>
      </c>
      <c r="AH8748">
        <v>8.6467079683491708</v>
      </c>
      <c r="AI8748">
        <v>96.893581460043194</v>
      </c>
      <c r="AJ8748">
        <v>69.396859279654393</v>
      </c>
      <c r="AK8748">
        <v>9.3048050035840397</v>
      </c>
      <c r="AL8748">
        <v>94.223698731245804</v>
      </c>
      <c r="AM8748">
        <v>72.027642587305195</v>
      </c>
      <c r="AN8748">
        <v>0.99999998708145399</v>
      </c>
    </row>
    <row r="8749" spans="1:40" x14ac:dyDescent="0.25">
      <c r="A8749" t="str">
        <f>"20190303155019776"</f>
        <v>20190303155019776</v>
      </c>
      <c r="B8749" t="str">
        <f>"1551599419769636"</f>
        <v>1551599419769636</v>
      </c>
      <c r="C8749" t="s">
        <v>40</v>
      </c>
      <c r="D8749">
        <v>5.9965820000000001</v>
      </c>
      <c r="E8749">
        <v>0.51514170000000004</v>
      </c>
      <c r="F8749" t="s">
        <v>41</v>
      </c>
      <c r="G8749">
        <v>-166.8279</v>
      </c>
      <c r="H8749" s="1">
        <v>-2.047826E-6</v>
      </c>
      <c r="I8749">
        <v>136.43879999999999</v>
      </c>
      <c r="J8749">
        <v>-176.11680000000001</v>
      </c>
      <c r="K8749">
        <v>1.1167400000000001</v>
      </c>
      <c r="L8749">
        <v>135.60589999999999</v>
      </c>
      <c r="M8749">
        <v>0.90260370000000001</v>
      </c>
      <c r="N8749">
        <v>-1.092746E-2</v>
      </c>
      <c r="O8749">
        <v>0.43033389999999999</v>
      </c>
      <c r="P8749">
        <v>0.98776699999999995</v>
      </c>
      <c r="Q8749">
        <v>-8.1515889999999994E-2</v>
      </c>
      <c r="R8749">
        <v>0.13293529999999901</v>
      </c>
      <c r="S8749">
        <v>2.9708559999999999</v>
      </c>
      <c r="T8749">
        <v>-0.35332329999999901</v>
      </c>
      <c r="U8749">
        <v>0.27716059999999998</v>
      </c>
      <c r="V8749">
        <v>0.30443700000000001</v>
      </c>
      <c r="W8749">
        <v>-7.3927510000000002E-2</v>
      </c>
      <c r="X8749">
        <v>0.94965929999999998</v>
      </c>
      <c r="Y8749">
        <v>0.33979389999999998</v>
      </c>
      <c r="Z8749">
        <v>-6.6472110000000001E-2</v>
      </c>
      <c r="AA8749">
        <v>0.93814799999999998</v>
      </c>
      <c r="AB8749">
        <v>18</v>
      </c>
      <c r="AC8749">
        <v>9.2889000000000106</v>
      </c>
      <c r="AD8749">
        <v>-1.116742047826</v>
      </c>
      <c r="AE8749">
        <v>0.83289999999999498</v>
      </c>
      <c r="AF8749">
        <v>3.1998627740227699</v>
      </c>
      <c r="AG8749">
        <v>-1.116742047826</v>
      </c>
      <c r="AH8749">
        <v>8.6195519252567507</v>
      </c>
      <c r="AI8749">
        <v>96.925211870455698</v>
      </c>
      <c r="AJ8749">
        <v>69.633408534513606</v>
      </c>
      <c r="AK8749">
        <v>9.26190638940799</v>
      </c>
      <c r="AL8749">
        <v>94.239602182776906</v>
      </c>
      <c r="AM8749">
        <v>72.225450148281894</v>
      </c>
      <c r="AN8749">
        <v>0.99999997489014403</v>
      </c>
    </row>
    <row r="8750" spans="1:40" x14ac:dyDescent="0.25">
      <c r="A8750" t="str">
        <f>"20190303155019789"</f>
        <v>20190303155019789</v>
      </c>
      <c r="B8750" t="str">
        <f>"1551599419779395"</f>
        <v>1551599419779395</v>
      </c>
      <c r="C8750" t="s">
        <v>40</v>
      </c>
      <c r="D8750">
        <v>5.9884829999999996</v>
      </c>
      <c r="E8750">
        <v>0.51508949999999998</v>
      </c>
      <c r="F8750" t="s">
        <v>41</v>
      </c>
      <c r="G8750">
        <v>-166.7439</v>
      </c>
      <c r="H8750" s="1">
        <v>-2.0777060000000002E-6</v>
      </c>
      <c r="I8750">
        <v>136.47030000000001</v>
      </c>
      <c r="J8750">
        <v>-176.02510000000001</v>
      </c>
      <c r="K8750">
        <v>1.1166670000000001</v>
      </c>
      <c r="L8750">
        <v>135.64439999999999</v>
      </c>
      <c r="M8750">
        <v>0.90441850000000001</v>
      </c>
      <c r="N8750">
        <v>-1.071443E-2</v>
      </c>
      <c r="O8750">
        <v>0.426512</v>
      </c>
      <c r="P8750">
        <v>0.98742819999999998</v>
      </c>
      <c r="Q8750">
        <v>-8.1524120000000005E-2</v>
      </c>
      <c r="R8750">
        <v>0.13542499999999999</v>
      </c>
      <c r="S8750">
        <v>2.971069</v>
      </c>
      <c r="T8750">
        <v>-0.35399009999999997</v>
      </c>
      <c r="U8750">
        <v>0.27400210000000003</v>
      </c>
      <c r="V8750">
        <v>0.29801539999999999</v>
      </c>
      <c r="W8750">
        <v>-7.4083670000000004E-2</v>
      </c>
      <c r="X8750">
        <v>0.95168189999999997</v>
      </c>
      <c r="Y8750">
        <v>0.33683000000000002</v>
      </c>
      <c r="Z8750">
        <v>-6.6102530000000007E-2</v>
      </c>
      <c r="AA8750">
        <v>0.93924220000000003</v>
      </c>
      <c r="AB8750">
        <v>18</v>
      </c>
      <c r="AC8750">
        <v>9.2812000000000108</v>
      </c>
      <c r="AD8750">
        <v>-1.116669077706</v>
      </c>
      <c r="AE8750">
        <v>0.82590000000001795</v>
      </c>
      <c r="AF8750">
        <v>3.1662937728243001</v>
      </c>
      <c r="AG8750">
        <v>-1.116669077706</v>
      </c>
      <c r="AH8750">
        <v>8.6230031773174698</v>
      </c>
      <c r="AI8750">
        <v>96.931026462311806</v>
      </c>
      <c r="AJ8750">
        <v>69.837192289049696</v>
      </c>
      <c r="AK8750">
        <v>9.2535695750860398</v>
      </c>
      <c r="AL8750">
        <v>94.248573971458498</v>
      </c>
      <c r="AM8750">
        <v>72.612260390163897</v>
      </c>
      <c r="AN8750">
        <v>1.0000000037927099</v>
      </c>
    </row>
    <row r="8751" spans="1:40" x14ac:dyDescent="0.25">
      <c r="A8751" t="str">
        <f>"20190303155019804"</f>
        <v>20190303155019804</v>
      </c>
      <c r="B8751" t="str">
        <f>"1551599419799892"</f>
        <v>1551599419799892</v>
      </c>
      <c r="C8751" t="s">
        <v>40</v>
      </c>
      <c r="D8751">
        <v>6.0113329999999996</v>
      </c>
      <c r="E8751">
        <v>0.51505610000000002</v>
      </c>
      <c r="F8751" t="s">
        <v>41</v>
      </c>
      <c r="G8751">
        <v>-166.67429999999999</v>
      </c>
      <c r="H8751" s="1">
        <v>-2.099693E-6</v>
      </c>
      <c r="I8751">
        <v>136.53190000000001</v>
      </c>
      <c r="J8751">
        <v>-175.9034</v>
      </c>
      <c r="K8751">
        <v>1.1165719999999999</v>
      </c>
      <c r="L8751">
        <v>135.69489999999999</v>
      </c>
      <c r="M8751">
        <v>0.90680320000000003</v>
      </c>
      <c r="N8751">
        <v>-1.041775E-2</v>
      </c>
      <c r="O8751">
        <v>0.42142540000000001</v>
      </c>
      <c r="P8751">
        <v>0.98783770000000004</v>
      </c>
      <c r="Q8751">
        <v>-8.0634780000000003E-2</v>
      </c>
      <c r="R8751">
        <v>0.13294690000000001</v>
      </c>
      <c r="S8751">
        <v>2.9702299999999999</v>
      </c>
      <c r="T8751">
        <v>-0.35470269999999998</v>
      </c>
      <c r="U8751">
        <v>0.28190609999999999</v>
      </c>
      <c r="V8751">
        <v>0.29508570000000001</v>
      </c>
      <c r="W8751">
        <v>-7.3474300000000006E-2</v>
      </c>
      <c r="X8751">
        <v>0.95264150000000003</v>
      </c>
      <c r="Y8751">
        <v>0.32908939999999998</v>
      </c>
      <c r="Z8751">
        <v>-6.5331280000000005E-2</v>
      </c>
      <c r="AA8751">
        <v>0.94203610000000004</v>
      </c>
      <c r="AB8751">
        <v>18</v>
      </c>
      <c r="AC8751">
        <v>9.2291000000000096</v>
      </c>
      <c r="AD8751">
        <v>-1.11657409969299</v>
      </c>
      <c r="AE8751">
        <v>0.83700000000001695</v>
      </c>
      <c r="AF8751">
        <v>3.0857546777729201</v>
      </c>
      <c r="AG8751">
        <v>-1.11657409969299</v>
      </c>
      <c r="AH8751">
        <v>8.5973696877719092</v>
      </c>
      <c r="AI8751">
        <v>96.969193374294505</v>
      </c>
      <c r="AJ8751">
        <v>70.256000677868698</v>
      </c>
      <c r="AK8751">
        <v>9.2023575892116902</v>
      </c>
      <c r="AL8751">
        <v>94.213564515971498</v>
      </c>
      <c r="AM8751">
        <v>72.789358693499196</v>
      </c>
      <c r="AN8751">
        <v>0.99999993531361198</v>
      </c>
    </row>
    <row r="8752" spans="1:40" x14ac:dyDescent="0.25">
      <c r="A8752" t="str">
        <f>"20190303155019820"</f>
        <v>20190303155019820</v>
      </c>
      <c r="B8752" t="str">
        <f>"1551599419809651"</f>
        <v>1551599419809651</v>
      </c>
      <c r="C8752" t="s">
        <v>40</v>
      </c>
      <c r="D8752">
        <v>5.9873609999999999</v>
      </c>
      <c r="E8752">
        <v>0.51500199999999996</v>
      </c>
      <c r="F8752" t="s">
        <v>41</v>
      </c>
      <c r="G8752">
        <v>-166.51859999999999</v>
      </c>
      <c r="H8752" s="1">
        <v>-2.167861E-6</v>
      </c>
      <c r="I8752">
        <v>136.5624</v>
      </c>
      <c r="J8752">
        <v>-175.77619999999999</v>
      </c>
      <c r="K8752">
        <v>1.1164769999999999</v>
      </c>
      <c r="L8752">
        <v>135.74680000000001</v>
      </c>
      <c r="M8752">
        <v>0.90926479999999998</v>
      </c>
      <c r="N8752">
        <v>-1.009316E-2</v>
      </c>
      <c r="O8752">
        <v>0.41609590000000002</v>
      </c>
      <c r="P8752">
        <v>0.98831329999999995</v>
      </c>
      <c r="Q8752">
        <v>-7.9386449999999997E-2</v>
      </c>
      <c r="R8752">
        <v>0.13013350000000001</v>
      </c>
      <c r="S8752">
        <v>2.9711150000000002</v>
      </c>
      <c r="T8752">
        <v>-0.35349439999999999</v>
      </c>
      <c r="U8752">
        <v>0.27464290000000002</v>
      </c>
      <c r="V8752">
        <v>0.29224879999999998</v>
      </c>
      <c r="W8752">
        <v>-7.2535429999999998E-2</v>
      </c>
      <c r="X8752">
        <v>0.95358759999999998</v>
      </c>
      <c r="Y8752">
        <v>0.32593640000000001</v>
      </c>
      <c r="Z8752">
        <v>-6.4460770000000001E-2</v>
      </c>
      <c r="AA8752">
        <v>0.94319149999999996</v>
      </c>
      <c r="AB8752">
        <v>18</v>
      </c>
      <c r="AC8752">
        <v>9.2575999999999894</v>
      </c>
      <c r="AD8752">
        <v>-1.116479167861</v>
      </c>
      <c r="AE8752">
        <v>0.815599999999989</v>
      </c>
      <c r="AF8752">
        <v>3.0663555646737599</v>
      </c>
      <c r="AG8752">
        <v>-1.116479167861</v>
      </c>
      <c r="AH8752">
        <v>8.6328283360648292</v>
      </c>
      <c r="AI8752">
        <v>96.948367317610902</v>
      </c>
      <c r="AJ8752">
        <v>70.4451093615654</v>
      </c>
      <c r="AK8752">
        <v>9.2290187593935098</v>
      </c>
      <c r="AL8752">
        <v>94.159626899270805</v>
      </c>
      <c r="AM8752">
        <v>72.961114906189096</v>
      </c>
      <c r="AN8752">
        <v>1.0000000302902401</v>
      </c>
    </row>
    <row r="8753" spans="1:40" x14ac:dyDescent="0.25">
      <c r="A8753" t="str">
        <f>"20190303155019836"</f>
        <v>20190303155019836</v>
      </c>
      <c r="B8753" t="str">
        <f>"1551599419829677"</f>
        <v>1551599419829677</v>
      </c>
      <c r="C8753" t="s">
        <v>40</v>
      </c>
      <c r="D8753">
        <v>6.0912660000000001</v>
      </c>
      <c r="E8753">
        <v>0.5149241</v>
      </c>
      <c r="F8753" t="s">
        <v>41</v>
      </c>
      <c r="G8753">
        <v>-166.3201</v>
      </c>
      <c r="H8753" s="1">
        <v>-2.255922E-6</v>
      </c>
      <c r="I8753">
        <v>136.595</v>
      </c>
      <c r="J8753">
        <v>-175.64920000000001</v>
      </c>
      <c r="K8753">
        <v>1.116406</v>
      </c>
      <c r="L8753">
        <v>135.79769999999999</v>
      </c>
      <c r="M8753">
        <v>0.91168729999999998</v>
      </c>
      <c r="N8753">
        <v>-9.7679740000000004E-3</v>
      </c>
      <c r="O8753">
        <v>0.41076879999999999</v>
      </c>
      <c r="P8753">
        <v>0.98871209999999998</v>
      </c>
      <c r="Q8753">
        <v>-7.4703749999999999E-2</v>
      </c>
      <c r="R8753">
        <v>0.1298764</v>
      </c>
      <c r="S8753">
        <v>2.9721679999999999</v>
      </c>
      <c r="T8753">
        <v>-0.3509216</v>
      </c>
      <c r="U8753">
        <v>0.2665863</v>
      </c>
      <c r="V8753">
        <v>0.28709889999999999</v>
      </c>
      <c r="W8753">
        <v>-6.8130709999999997E-2</v>
      </c>
      <c r="X8753">
        <v>0.95547499999999996</v>
      </c>
      <c r="Y8753">
        <v>0.32308609999999999</v>
      </c>
      <c r="Z8753">
        <v>-6.3353900000000005E-2</v>
      </c>
      <c r="AA8753">
        <v>0.94424660000000005</v>
      </c>
      <c r="AB8753">
        <v>19</v>
      </c>
      <c r="AC8753">
        <v>9.3291000000000093</v>
      </c>
      <c r="AD8753">
        <v>-1.1164082559219899</v>
      </c>
      <c r="AE8753">
        <v>0.797300000000007</v>
      </c>
      <c r="AF8753">
        <v>3.0618329573349601</v>
      </c>
      <c r="AG8753">
        <v>-1.1164082559219899</v>
      </c>
      <c r="AH8753">
        <v>8.7093287207755807</v>
      </c>
      <c r="AI8753">
        <v>96.895293221540399</v>
      </c>
      <c r="AJ8753">
        <v>70.630474631195895</v>
      </c>
      <c r="AK8753">
        <v>9.2991179807033202</v>
      </c>
      <c r="AL8753">
        <v>93.906628323189807</v>
      </c>
      <c r="AM8753">
        <v>73.275650471407104</v>
      </c>
      <c r="AN8753">
        <v>1.0000000238256499</v>
      </c>
    </row>
    <row r="8754" spans="1:40" x14ac:dyDescent="0.25">
      <c r="A8754" t="str">
        <f>"20190303155019853"</f>
        <v>20190303155019853</v>
      </c>
      <c r="B8754" t="str">
        <f>"1551599419849197"</f>
        <v>1551599419849197</v>
      </c>
      <c r="C8754" t="s">
        <v>40</v>
      </c>
      <c r="D8754">
        <v>6.0209780000000004</v>
      </c>
      <c r="E8754">
        <v>0.51500800000000002</v>
      </c>
      <c r="F8754" t="s">
        <v>41</v>
      </c>
      <c r="G8754">
        <v>-165.8965</v>
      </c>
      <c r="H8754" s="1">
        <v>-2.442594E-6</v>
      </c>
      <c r="I8754">
        <v>136.67150000000001</v>
      </c>
      <c r="J8754">
        <v>-175.52260000000001</v>
      </c>
      <c r="K8754">
        <v>1.116333</v>
      </c>
      <c r="L8754">
        <v>135.8476</v>
      </c>
      <c r="M8754">
        <v>0.91406670000000001</v>
      </c>
      <c r="N8754">
        <v>-9.4536670000000007E-3</v>
      </c>
      <c r="O8754">
        <v>0.40545369999999997</v>
      </c>
      <c r="P8754">
        <v>0.98931990000000003</v>
      </c>
      <c r="Q8754">
        <v>-7.094143E-2</v>
      </c>
      <c r="R8754">
        <v>0.12733330000000001</v>
      </c>
      <c r="S8754">
        <v>2.973541</v>
      </c>
      <c r="T8754">
        <v>-0.34038410000000002</v>
      </c>
      <c r="U8754">
        <v>0.2664185</v>
      </c>
      <c r="V8754">
        <v>0.2841301</v>
      </c>
      <c r="W8754">
        <v>-6.4663810000000002E-2</v>
      </c>
      <c r="X8754">
        <v>0.95660270000000003</v>
      </c>
      <c r="Y8754">
        <v>0.31800390000000001</v>
      </c>
      <c r="Z8754">
        <v>-6.0624949999999997E-2</v>
      </c>
      <c r="AA8754">
        <v>0.94614909999999997</v>
      </c>
      <c r="AB8754">
        <v>19</v>
      </c>
      <c r="AC8754">
        <v>9.6260999999999992</v>
      </c>
      <c r="AD8754">
        <v>-1.116335442594</v>
      </c>
      <c r="AE8754">
        <v>0.82390000000000896</v>
      </c>
      <c r="AF8754">
        <v>3.1084773028643502</v>
      </c>
      <c r="AG8754">
        <v>-1.116335442594</v>
      </c>
      <c r="AH8754">
        <v>9.0130246025478193</v>
      </c>
      <c r="AI8754">
        <v>96.678346534632198</v>
      </c>
      <c r="AJ8754">
        <v>70.9713386266925</v>
      </c>
      <c r="AK8754">
        <v>9.5991379013402405</v>
      </c>
      <c r="AL8754">
        <v>93.707550176320098</v>
      </c>
      <c r="AM8754">
        <v>73.457529332751605</v>
      </c>
      <c r="AN8754">
        <v>1.0000000238485001</v>
      </c>
    </row>
    <row r="8755" spans="1:40" x14ac:dyDescent="0.25">
      <c r="A8755" t="str">
        <f>"20190303155019868"</f>
        <v>20190303155019868</v>
      </c>
      <c r="B8755" t="str">
        <f>"1551599419858957"</f>
        <v>1551599419858957</v>
      </c>
      <c r="C8755" t="s">
        <v>40</v>
      </c>
      <c r="D8755">
        <v>6.0186809999999999</v>
      </c>
      <c r="E8755">
        <v>0.51505040000000002</v>
      </c>
      <c r="F8755" t="s">
        <v>41</v>
      </c>
      <c r="G8755">
        <v>-165.49639999999999</v>
      </c>
      <c r="H8755" s="1">
        <v>-2.62361E-6</v>
      </c>
      <c r="I8755">
        <v>136.71719999999999</v>
      </c>
      <c r="J8755">
        <v>-175.3973</v>
      </c>
      <c r="K8755">
        <v>1.116282</v>
      </c>
      <c r="L8755">
        <v>135.89619999999999</v>
      </c>
      <c r="M8755">
        <v>0.91638509999999995</v>
      </c>
      <c r="N8755">
        <v>-9.1549419999999992E-3</v>
      </c>
      <c r="O8755">
        <v>0.40019310000000002</v>
      </c>
      <c r="P8755">
        <v>0.9896123</v>
      </c>
      <c r="Q8755">
        <v>-6.5014329999999995E-2</v>
      </c>
      <c r="R8755">
        <v>0.12822039999999901</v>
      </c>
      <c r="S8755">
        <v>2.9754179999999999</v>
      </c>
      <c r="T8755">
        <v>-0.3312889</v>
      </c>
      <c r="U8755">
        <v>0.25807190000000002</v>
      </c>
      <c r="V8755">
        <v>0.27798200000000001</v>
      </c>
      <c r="W8755">
        <v>-5.897554E-2</v>
      </c>
      <c r="X8755">
        <v>0.95877409999999996</v>
      </c>
      <c r="Y8755">
        <v>0.31551210000000002</v>
      </c>
      <c r="Z8755">
        <v>-5.8367380000000003E-2</v>
      </c>
      <c r="AA8755">
        <v>0.94712479999999999</v>
      </c>
      <c r="AB8755">
        <v>19</v>
      </c>
      <c r="AC8755">
        <v>9.9009</v>
      </c>
      <c r="AD8755">
        <v>-1.1162846236099999</v>
      </c>
      <c r="AE8755">
        <v>0.82099999999999795</v>
      </c>
      <c r="AF8755">
        <v>3.1700332124945501</v>
      </c>
      <c r="AG8755">
        <v>-1.1162846236099999</v>
      </c>
      <c r="AH8755">
        <v>9.2847714780647799</v>
      </c>
      <c r="AI8755">
        <v>96.491122832835401</v>
      </c>
      <c r="AJ8755">
        <v>71.148922345436503</v>
      </c>
      <c r="AK8755">
        <v>9.8743193856139708</v>
      </c>
      <c r="AL8755">
        <v>93.381011596030902</v>
      </c>
      <c r="AM8755">
        <v>73.831285658324106</v>
      </c>
      <c r="AN8755">
        <v>0.99999994073654896</v>
      </c>
    </row>
    <row r="8756" spans="1:40" x14ac:dyDescent="0.25">
      <c r="A8756" t="str">
        <f>"20190303155019886"</f>
        <v>20190303155019886</v>
      </c>
      <c r="B8756" t="str">
        <f>"1551599419879453"</f>
        <v>1551599419879453</v>
      </c>
      <c r="C8756" t="s">
        <v>40</v>
      </c>
      <c r="D8756">
        <v>6.057963</v>
      </c>
      <c r="E8756">
        <v>0.51498900000000003</v>
      </c>
      <c r="F8756" t="s">
        <v>41</v>
      </c>
      <c r="G8756">
        <v>-164.82429999999999</v>
      </c>
      <c r="H8756" s="1">
        <v>-2.9229220000000002E-6</v>
      </c>
      <c r="I8756">
        <v>136.82089999999999</v>
      </c>
      <c r="J8756">
        <v>-175.26</v>
      </c>
      <c r="K8756">
        <v>1.116198</v>
      </c>
      <c r="L8756">
        <v>135.9485</v>
      </c>
      <c r="M8756">
        <v>0.91888429999999999</v>
      </c>
      <c r="N8756">
        <v>-8.8442809999999903E-3</v>
      </c>
      <c r="O8756">
        <v>0.3944281</v>
      </c>
      <c r="P8756">
        <v>0.99007869999999998</v>
      </c>
      <c r="Q8756">
        <v>-6.3009109999999993E-2</v>
      </c>
      <c r="R8756">
        <v>0.1255954</v>
      </c>
      <c r="S8756">
        <v>2.9770970000000001</v>
      </c>
      <c r="T8756">
        <v>-0.31431880000000001</v>
      </c>
      <c r="U8756">
        <v>0.260376</v>
      </c>
      <c r="V8756">
        <v>0.274561</v>
      </c>
      <c r="W8756">
        <v>-5.7260520000000002E-2</v>
      </c>
      <c r="X8756">
        <v>0.95986320000000003</v>
      </c>
      <c r="Y8756">
        <v>0.309334</v>
      </c>
      <c r="Z8756">
        <v>-5.4462049999999998E-2</v>
      </c>
      <c r="AA8756">
        <v>0.94939260000000003</v>
      </c>
      <c r="AB8756">
        <v>19</v>
      </c>
      <c r="AC8756">
        <v>10.435699999999899</v>
      </c>
      <c r="AD8756">
        <v>-1.116200922922</v>
      </c>
      <c r="AE8756">
        <v>0.87239999999999895</v>
      </c>
      <c r="AF8756">
        <v>3.27739361669465</v>
      </c>
      <c r="AG8756">
        <v>-1.116200922922</v>
      </c>
      <c r="AH8756">
        <v>9.8220989765119597</v>
      </c>
      <c r="AI8756">
        <v>96.152668488654598</v>
      </c>
      <c r="AJ8756">
        <v>71.547409647446798</v>
      </c>
      <c r="AK8756">
        <v>10.414453500951399</v>
      </c>
      <c r="AL8756">
        <v>93.282581810760107</v>
      </c>
      <c r="AM8756">
        <v>74.037256515615198</v>
      </c>
      <c r="AN8756">
        <v>0.99999993629295303</v>
      </c>
    </row>
    <row r="8757" spans="1:40" x14ac:dyDescent="0.25">
      <c r="A8757" t="str">
        <f>"20190303155019901"</f>
        <v>20190303155019901</v>
      </c>
      <c r="B8757" t="str">
        <f>"1551599419889213"</f>
        <v>1551599419889213</v>
      </c>
      <c r="C8757" t="s">
        <v>40</v>
      </c>
      <c r="D8757">
        <v>5.9267279999999998</v>
      </c>
      <c r="E8757">
        <v>0.51461170000000001</v>
      </c>
      <c r="F8757" t="s">
        <v>41</v>
      </c>
      <c r="G8757">
        <v>-164.62629999999999</v>
      </c>
      <c r="H8757" s="1">
        <v>-3.0111380000000001E-6</v>
      </c>
      <c r="I8757">
        <v>136.85130000000001</v>
      </c>
      <c r="J8757">
        <v>-175.12809999999999</v>
      </c>
      <c r="K8757">
        <v>1.1161099999999999</v>
      </c>
      <c r="L8757">
        <v>135.99799999999999</v>
      </c>
      <c r="M8757">
        <v>0.92124609999999996</v>
      </c>
      <c r="N8757">
        <v>-8.5630319999999999E-3</v>
      </c>
      <c r="O8757">
        <v>0.38888610000000001</v>
      </c>
      <c r="P8757">
        <v>0.98981520000000001</v>
      </c>
      <c r="Q8757">
        <v>-6.5255170000000001E-2</v>
      </c>
      <c r="R8757">
        <v>0.1265221</v>
      </c>
      <c r="S8757">
        <v>2.9780880000000001</v>
      </c>
      <c r="T8757">
        <v>-0.31260339999999998</v>
      </c>
      <c r="U8757">
        <v>0.25285340000000001</v>
      </c>
      <c r="V8757">
        <v>0.26778829999999998</v>
      </c>
      <c r="W8757">
        <v>-5.9727719999999998E-2</v>
      </c>
      <c r="X8757">
        <v>0.9616247</v>
      </c>
      <c r="Y8757">
        <v>0.30609209999999998</v>
      </c>
      <c r="Z8757">
        <v>-5.3547810000000001E-2</v>
      </c>
      <c r="AA8757">
        <v>0.95049479999999997</v>
      </c>
      <c r="AB8757">
        <v>19</v>
      </c>
      <c r="AC8757">
        <v>10.501799999999999</v>
      </c>
      <c r="AD8757">
        <v>-1.116113011138</v>
      </c>
      <c r="AE8757">
        <v>0.85330000000001804</v>
      </c>
      <c r="AF8757">
        <v>3.2614290448596801</v>
      </c>
      <c r="AG8757">
        <v>-1.116113011138</v>
      </c>
      <c r="AH8757">
        <v>9.8959033811255992</v>
      </c>
      <c r="AI8757">
        <v>96.114083652914204</v>
      </c>
      <c r="AJ8757">
        <v>71.759141691966505</v>
      </c>
      <c r="AK8757">
        <v>10.479099741717199</v>
      </c>
      <c r="AL8757">
        <v>93.424184178858397</v>
      </c>
      <c r="AM8757">
        <v>74.438817030355295</v>
      </c>
      <c r="AN8757">
        <v>1.00000001890168</v>
      </c>
    </row>
    <row r="8758" spans="1:40" x14ac:dyDescent="0.25">
      <c r="A8758" t="str">
        <f>"20190303155019917"</f>
        <v>20190303155019917</v>
      </c>
      <c r="B8758" t="str">
        <f>"1551599419909710"</f>
        <v>1551599419909710</v>
      </c>
      <c r="C8758" t="s">
        <v>40</v>
      </c>
      <c r="D8758">
        <v>6.0301799999999997</v>
      </c>
      <c r="E8758">
        <v>0.51473780000000002</v>
      </c>
      <c r="F8758" t="s">
        <v>41</v>
      </c>
      <c r="G8758">
        <v>-164.66560000000001</v>
      </c>
      <c r="H8758" s="1">
        <v>-2.9825580000000002E-6</v>
      </c>
      <c r="I8758">
        <v>136.9076</v>
      </c>
      <c r="J8758">
        <v>-175.00129999999999</v>
      </c>
      <c r="K8758">
        <v>1.1160350000000001</v>
      </c>
      <c r="L8758">
        <v>136.0445</v>
      </c>
      <c r="M8758">
        <v>0.9234774</v>
      </c>
      <c r="N8758">
        <v>-8.3146039999999997E-3</v>
      </c>
      <c r="O8758">
        <v>0.38356299999999999</v>
      </c>
      <c r="P8758">
        <v>0.98996810000000002</v>
      </c>
      <c r="Q8758">
        <v>-6.7064090000000007E-2</v>
      </c>
      <c r="R8758">
        <v>0.12436220000000001</v>
      </c>
      <c r="S8758">
        <v>2.9768370000000002</v>
      </c>
      <c r="T8758">
        <v>-0.31756250000000003</v>
      </c>
      <c r="U8758">
        <v>0.25880429999999999</v>
      </c>
      <c r="V8758">
        <v>0.26426159999999999</v>
      </c>
      <c r="W8758">
        <v>-6.1764859999999998E-2</v>
      </c>
      <c r="X8758">
        <v>0.96247119999999997</v>
      </c>
      <c r="Y8758">
        <v>0.29861890000000002</v>
      </c>
      <c r="Z8758">
        <v>-5.3595919999999998E-2</v>
      </c>
      <c r="AA8758">
        <v>0.95286630000000005</v>
      </c>
      <c r="AB8758">
        <v>19</v>
      </c>
      <c r="AC8758">
        <v>10.3356999999999</v>
      </c>
      <c r="AD8758">
        <v>-1.116037982558</v>
      </c>
      <c r="AE8758">
        <v>0.86310000000000198</v>
      </c>
      <c r="AF8758">
        <v>3.13119272953496</v>
      </c>
      <c r="AG8758">
        <v>-1.116037982558</v>
      </c>
      <c r="AH8758">
        <v>9.7631344092676198</v>
      </c>
      <c r="AI8758">
        <v>96.212206925298602</v>
      </c>
      <c r="AJ8758">
        <v>72.218126610034005</v>
      </c>
      <c r="AK8758">
        <v>10.313520358317501</v>
      </c>
      <c r="AL8758">
        <v>93.541119914094295</v>
      </c>
      <c r="AM8758">
        <v>74.646884187901193</v>
      </c>
      <c r="AN8758">
        <v>0.99999995099740802</v>
      </c>
    </row>
    <row r="8759" spans="1:40" x14ac:dyDescent="0.25">
      <c r="A8759" t="str">
        <f>"20190303155019934"</f>
        <v>20190303155019934</v>
      </c>
      <c r="B8759" t="str">
        <f>"1551599419929735"</f>
        <v>1551599419929735</v>
      </c>
      <c r="C8759" t="s">
        <v>40</v>
      </c>
      <c r="D8759">
        <v>6.0943649999999998</v>
      </c>
      <c r="E8759">
        <v>0.5145805</v>
      </c>
      <c r="F8759" t="s">
        <v>41</v>
      </c>
      <c r="G8759">
        <v>-164.81379999999999</v>
      </c>
      <c r="H8759" s="1">
        <v>-2.9130420000000002E-6</v>
      </c>
      <c r="I8759">
        <v>136.90450000000001</v>
      </c>
      <c r="J8759">
        <v>-174.8569</v>
      </c>
      <c r="K8759">
        <v>1.115958</v>
      </c>
      <c r="L8759">
        <v>136.09649999999999</v>
      </c>
      <c r="M8759">
        <v>0.92597649999999998</v>
      </c>
      <c r="N8759">
        <v>-8.0539010000000005E-3</v>
      </c>
      <c r="O8759">
        <v>0.37749549999999998</v>
      </c>
      <c r="P8759">
        <v>0.98995889999999997</v>
      </c>
      <c r="Q8759">
        <v>-6.5375559999999999E-2</v>
      </c>
      <c r="R8759">
        <v>0.12533059999999999</v>
      </c>
      <c r="S8759">
        <v>2.9767459999999999</v>
      </c>
      <c r="T8759">
        <v>-0.32610169999999999</v>
      </c>
      <c r="U8759">
        <v>0.25129699999999999</v>
      </c>
      <c r="V8759">
        <v>0.25705029999999901</v>
      </c>
      <c r="W8759">
        <v>-6.0271869999999998E-2</v>
      </c>
      <c r="X8759">
        <v>0.9645167</v>
      </c>
      <c r="Y8759">
        <v>0.29459049999999998</v>
      </c>
      <c r="Z8759">
        <v>-5.4359119999999997E-2</v>
      </c>
      <c r="AA8759">
        <v>0.95407620000000004</v>
      </c>
      <c r="AB8759">
        <v>19</v>
      </c>
      <c r="AC8759">
        <v>10.043100000000001</v>
      </c>
      <c r="AD8759">
        <v>-1.1159609130419901</v>
      </c>
      <c r="AE8759">
        <v>0.80800000000002103</v>
      </c>
      <c r="AF8759">
        <v>3.00625484591143</v>
      </c>
      <c r="AG8759">
        <v>-1.1159609130419901</v>
      </c>
      <c r="AH8759">
        <v>9.4885989838449998</v>
      </c>
      <c r="AI8759">
        <v>96.3971752236165</v>
      </c>
      <c r="AJ8759">
        <v>72.4203348260761</v>
      </c>
      <c r="AK8759">
        <v>10.015809884089601</v>
      </c>
      <c r="AL8759">
        <v>93.4554179796189</v>
      </c>
      <c r="AM8759">
        <v>75.077132476155995</v>
      </c>
      <c r="AN8759">
        <v>1.0000000098111299</v>
      </c>
    </row>
    <row r="8760" spans="1:40" x14ac:dyDescent="0.25">
      <c r="A8760" t="str">
        <f>"20190303155019949"</f>
        <v>20190303155019949</v>
      </c>
      <c r="B8760" t="str">
        <f>"1551599419939497"</f>
        <v>1551599419939497</v>
      </c>
      <c r="C8760" t="s">
        <v>40</v>
      </c>
      <c r="D8760">
        <v>6.138693</v>
      </c>
      <c r="E8760">
        <v>0.5145267</v>
      </c>
      <c r="F8760" t="s">
        <v>41</v>
      </c>
      <c r="G8760">
        <v>-164.64879999999999</v>
      </c>
      <c r="H8760" s="1">
        <v>-2.9791009999999998E-6</v>
      </c>
      <c r="I8760">
        <v>136.97190000000001</v>
      </c>
      <c r="J8760">
        <v>-174.73779999999999</v>
      </c>
      <c r="K8760">
        <v>1.1158939999999999</v>
      </c>
      <c r="L8760">
        <v>136.13849999999999</v>
      </c>
      <c r="M8760">
        <v>0.92800360000000004</v>
      </c>
      <c r="N8760">
        <v>-7.8567689999999996E-3</v>
      </c>
      <c r="O8760">
        <v>0.3724885</v>
      </c>
      <c r="P8760">
        <v>0.99027339999999997</v>
      </c>
      <c r="Q8760">
        <v>-6.3824829999999999E-2</v>
      </c>
      <c r="R8760">
        <v>0.1236331</v>
      </c>
      <c r="S8760">
        <v>2.9766240000000002</v>
      </c>
      <c r="T8760">
        <v>-0.32540760000000002</v>
      </c>
      <c r="U8760">
        <v>0.2552643</v>
      </c>
      <c r="V8760">
        <v>0.25353949999999997</v>
      </c>
      <c r="W8760">
        <v>-5.8894820000000001E-2</v>
      </c>
      <c r="X8760">
        <v>0.96553049999999996</v>
      </c>
      <c r="Y8760">
        <v>0.28823520000000002</v>
      </c>
      <c r="Z8760">
        <v>-5.3446540000000001E-2</v>
      </c>
      <c r="AA8760">
        <v>0.95606690000000005</v>
      </c>
      <c r="AB8760">
        <v>19</v>
      </c>
      <c r="AC8760">
        <v>10.089</v>
      </c>
      <c r="AD8760">
        <v>-1.1158969791009901</v>
      </c>
      <c r="AE8760">
        <v>0.83340000000001102</v>
      </c>
      <c r="AF8760">
        <v>2.9488992933752001</v>
      </c>
      <c r="AG8760">
        <v>-1.1158969791009901</v>
      </c>
      <c r="AH8760">
        <v>9.5572320178594605</v>
      </c>
      <c r="AI8760">
        <v>96.366118726906194</v>
      </c>
      <c r="AJ8760">
        <v>72.852305795145497</v>
      </c>
      <c r="AK8760">
        <v>10.063891739959899</v>
      </c>
      <c r="AL8760">
        <v>93.376378386039306</v>
      </c>
      <c r="AM8760">
        <v>75.286825039892307</v>
      </c>
      <c r="AN8760">
        <v>1.0000000121566599</v>
      </c>
    </row>
    <row r="8761" spans="1:40" x14ac:dyDescent="0.25">
      <c r="A8761" t="str">
        <f>"20190303155019963"</f>
        <v>20190303155019963</v>
      </c>
      <c r="B8761" t="str">
        <f>"1551599419959016"</f>
        <v>1551599419959016</v>
      </c>
      <c r="C8761" t="s">
        <v>40</v>
      </c>
      <c r="D8761">
        <v>6.1375909999999996</v>
      </c>
      <c r="E8761">
        <v>0.51439399999999902</v>
      </c>
      <c r="F8761" t="s">
        <v>41</v>
      </c>
      <c r="G8761">
        <v>-164.43289999999999</v>
      </c>
      <c r="H8761" s="1">
        <v>-3.0751180000000001E-6</v>
      </c>
      <c r="I8761">
        <v>137.006</v>
      </c>
      <c r="J8761">
        <v>-174.6122</v>
      </c>
      <c r="K8761">
        <v>1.115831</v>
      </c>
      <c r="L8761">
        <v>136.1823</v>
      </c>
      <c r="M8761">
        <v>0.93010890000000002</v>
      </c>
      <c r="N8761">
        <v>-7.6631809999999998E-3</v>
      </c>
      <c r="O8761">
        <v>0.36720390000000003</v>
      </c>
      <c r="P8761">
        <v>0.99057200000000001</v>
      </c>
      <c r="Q8761">
        <v>-6.3440990000000003E-2</v>
      </c>
      <c r="R8761">
        <v>0.1214191</v>
      </c>
      <c r="S8761">
        <v>2.977417</v>
      </c>
      <c r="T8761">
        <v>-0.32241819999999999</v>
      </c>
      <c r="U8761">
        <v>0.2506256</v>
      </c>
      <c r="V8761">
        <v>0.25020999999999999</v>
      </c>
      <c r="W8761">
        <v>-5.8684920000000002E-2</v>
      </c>
      <c r="X8761">
        <v>0.96641140000000003</v>
      </c>
      <c r="Y8761">
        <v>0.284402299999999</v>
      </c>
      <c r="Z8761">
        <v>-5.2268210000000002E-2</v>
      </c>
      <c r="AA8761">
        <v>0.95727910000000005</v>
      </c>
      <c r="AB8761">
        <v>19</v>
      </c>
      <c r="AC8761">
        <v>10.1793</v>
      </c>
      <c r="AD8761">
        <v>-1.115834075118</v>
      </c>
      <c r="AE8761">
        <v>0.82370000000000199</v>
      </c>
      <c r="AF8761">
        <v>2.9367762040314598</v>
      </c>
      <c r="AG8761">
        <v>-1.115834075118</v>
      </c>
      <c r="AH8761">
        <v>9.6553454751317407</v>
      </c>
      <c r="AI8761">
        <v>96.309291489460406</v>
      </c>
      <c r="AJ8761">
        <v>73.082302422842105</v>
      </c>
      <c r="AK8761">
        <v>10.1535922904116</v>
      </c>
      <c r="AL8761">
        <v>93.364331276629898</v>
      </c>
      <c r="AM8761">
        <v>75.484495921508</v>
      </c>
      <c r="AN8761">
        <v>0.999999978992683</v>
      </c>
    </row>
    <row r="8762" spans="1:40" x14ac:dyDescent="0.25">
      <c r="A8762" t="str">
        <f>"20190303155019976"</f>
        <v>20190303155019976</v>
      </c>
      <c r="B8762" t="str">
        <f>"1551599419969752"</f>
        <v>1551599419969752</v>
      </c>
      <c r="C8762" t="s">
        <v>40</v>
      </c>
      <c r="D8762">
        <v>6.1506829999999999</v>
      </c>
      <c r="E8762">
        <v>0.51432509999999998</v>
      </c>
      <c r="F8762" t="s">
        <v>41</v>
      </c>
      <c r="G8762">
        <v>-164.38669999999999</v>
      </c>
      <c r="H8762" s="1">
        <v>-3.0938590000000001E-6</v>
      </c>
      <c r="I8762">
        <v>137.02350000000001</v>
      </c>
      <c r="J8762">
        <v>-174.5034</v>
      </c>
      <c r="K8762">
        <v>1.115777</v>
      </c>
      <c r="L8762">
        <v>136.21940000000001</v>
      </c>
      <c r="M8762">
        <v>0.93190629999999997</v>
      </c>
      <c r="N8762">
        <v>-7.5083800000000003E-3</v>
      </c>
      <c r="O8762">
        <v>0.36262129999999998</v>
      </c>
      <c r="P8762">
        <v>0.99078040000000001</v>
      </c>
      <c r="Q8762">
        <v>-6.3363340000000004E-2</v>
      </c>
      <c r="R8762">
        <v>0.11974700000000001</v>
      </c>
      <c r="S8762">
        <v>2.977722</v>
      </c>
      <c r="T8762">
        <v>-0.32493689999999997</v>
      </c>
      <c r="U8762">
        <v>0.2449646</v>
      </c>
      <c r="V8762">
        <v>0.24707960000000001</v>
      </c>
      <c r="W8762">
        <v>-5.8741549999999997E-2</v>
      </c>
      <c r="X8762">
        <v>0.96721299999999999</v>
      </c>
      <c r="Y8762">
        <v>0.28148060000000003</v>
      </c>
      <c r="Z8762">
        <v>-5.2126499999999999E-2</v>
      </c>
      <c r="AA8762">
        <v>0.9581501</v>
      </c>
      <c r="AB8762">
        <v>19</v>
      </c>
      <c r="AC8762">
        <v>10.1167</v>
      </c>
      <c r="AD8762">
        <v>-1.1157800938589999</v>
      </c>
      <c r="AE8762">
        <v>0.80410000000000503</v>
      </c>
      <c r="AF8762">
        <v>2.8844015890487</v>
      </c>
      <c r="AG8762">
        <v>-1.1157800938589999</v>
      </c>
      <c r="AH8762">
        <v>9.6035890339254895</v>
      </c>
      <c r="AI8762">
        <v>96.3493626171567</v>
      </c>
      <c r="AJ8762">
        <v>73.282558883121297</v>
      </c>
      <c r="AK8762">
        <v>10.0892844184953</v>
      </c>
      <c r="AL8762">
        <v>93.367581665443396</v>
      </c>
      <c r="AM8762">
        <v>75.669961623876404</v>
      </c>
      <c r="AN8762">
        <v>0.99999994290077898</v>
      </c>
    </row>
    <row r="8763" spans="1:40" x14ac:dyDescent="0.25">
      <c r="A8763" t="str">
        <f>"20190303155019991"</f>
        <v>20190303155019991</v>
      </c>
      <c r="B8763" t="str">
        <f>"1551599419979512"</f>
        <v>1551599419979512</v>
      </c>
      <c r="C8763" t="s">
        <v>40</v>
      </c>
      <c r="D8763">
        <v>6.2175089999999997</v>
      </c>
      <c r="E8763">
        <v>0.51424360000000002</v>
      </c>
      <c r="F8763" t="s">
        <v>41</v>
      </c>
      <c r="G8763">
        <v>-164.32169999999999</v>
      </c>
      <c r="H8763" s="1">
        <v>-3.1213909999999998E-6</v>
      </c>
      <c r="I8763">
        <v>137.04140000000001</v>
      </c>
      <c r="J8763">
        <v>-174.3921</v>
      </c>
      <c r="K8763">
        <v>1.1157349999999999</v>
      </c>
      <c r="L8763">
        <v>136.2567</v>
      </c>
      <c r="M8763">
        <v>0.93371820000000005</v>
      </c>
      <c r="N8763">
        <v>-7.3613669999999997E-3</v>
      </c>
      <c r="O8763">
        <v>0.357933</v>
      </c>
      <c r="P8763">
        <v>0.99085659999999998</v>
      </c>
      <c r="Q8763">
        <v>-6.14894E-2</v>
      </c>
      <c r="R8763">
        <v>0.1200929</v>
      </c>
      <c r="S8763">
        <v>2.9779969999999998</v>
      </c>
      <c r="T8763">
        <v>-0.32634999999999997</v>
      </c>
      <c r="U8763">
        <v>0.2404327</v>
      </c>
      <c r="V8763">
        <v>0.24193490000000001</v>
      </c>
      <c r="W8763">
        <v>-5.696735E-2</v>
      </c>
      <c r="X8763">
        <v>0.9686188</v>
      </c>
      <c r="Y8763">
        <v>0.27812369999999997</v>
      </c>
      <c r="Z8763">
        <v>-5.1754969999999997E-2</v>
      </c>
      <c r="AA8763">
        <v>0.95914999999999995</v>
      </c>
      <c r="AB8763">
        <v>19</v>
      </c>
      <c r="AC8763">
        <v>10.070399999999999</v>
      </c>
      <c r="AD8763">
        <v>-1.115738121391</v>
      </c>
      <c r="AE8763">
        <v>0.78470000000001505</v>
      </c>
      <c r="AF8763">
        <v>2.8372993466677698</v>
      </c>
      <c r="AG8763">
        <v>-1.115738121391</v>
      </c>
      <c r="AH8763">
        <v>9.5673160367134393</v>
      </c>
      <c r="AI8763">
        <v>96.379558283542096</v>
      </c>
      <c r="AJ8763">
        <v>73.481661266063995</v>
      </c>
      <c r="AK8763">
        <v>10.041348280210199</v>
      </c>
      <c r="AL8763">
        <v>93.2657564812977</v>
      </c>
      <c r="AM8763">
        <v>75.975994002917801</v>
      </c>
      <c r="AN8763">
        <v>1.0000000772587301</v>
      </c>
    </row>
    <row r="8764" spans="1:40" x14ac:dyDescent="0.25">
      <c r="A8764" t="str">
        <f>"20190303155020005"</f>
        <v>20190303155020005</v>
      </c>
      <c r="B8764" t="str">
        <f>"1551599419999033"</f>
        <v>1551599419999033</v>
      </c>
      <c r="C8764" t="s">
        <v>40</v>
      </c>
      <c r="D8764">
        <v>6.1148989999999896</v>
      </c>
      <c r="E8764">
        <v>0.53432380000000002</v>
      </c>
      <c r="F8764" t="s">
        <v>41</v>
      </c>
      <c r="G8764">
        <v>-164.08090000000001</v>
      </c>
      <c r="H8764" s="1">
        <v>-3.225966E-6</v>
      </c>
      <c r="I8764">
        <v>137.09370000000001</v>
      </c>
      <c r="J8764">
        <v>-174.268</v>
      </c>
      <c r="K8764">
        <v>1.115693</v>
      </c>
      <c r="L8764">
        <v>136.29769999999999</v>
      </c>
      <c r="M8764">
        <v>0.93570830000000005</v>
      </c>
      <c r="N8764">
        <v>-7.2067619999999898E-3</v>
      </c>
      <c r="O8764">
        <v>0.35270099999999999</v>
      </c>
      <c r="P8764">
        <v>0.99138389999999998</v>
      </c>
      <c r="Q8764">
        <v>-5.9096349999999999E-2</v>
      </c>
      <c r="R8764">
        <v>0.1169013</v>
      </c>
      <c r="S8764">
        <v>2.9783940000000002</v>
      </c>
      <c r="T8764">
        <v>-0.32228040000000002</v>
      </c>
      <c r="U8764">
        <v>0.24176030000000001</v>
      </c>
      <c r="V8764">
        <v>0.2397022</v>
      </c>
      <c r="W8764">
        <v>-5.4719370000000003E-2</v>
      </c>
      <c r="X8764">
        <v>0.96930320000000003</v>
      </c>
      <c r="Y8764">
        <v>0.27247670000000002</v>
      </c>
      <c r="Z8764">
        <v>-5.0304250000000002E-2</v>
      </c>
      <c r="AA8764">
        <v>0.96084650000000005</v>
      </c>
      <c r="AB8764">
        <v>19</v>
      </c>
      <c r="AC8764">
        <v>10.1870999999999</v>
      </c>
      <c r="AD8764">
        <v>-1.1156962259659999</v>
      </c>
      <c r="AE8764">
        <v>0.79600000000002002</v>
      </c>
      <c r="AF8764">
        <v>2.81469394362979</v>
      </c>
      <c r="AG8764">
        <v>-1.1156962259659999</v>
      </c>
      <c r="AH8764">
        <v>9.6975454378323995</v>
      </c>
      <c r="AI8764">
        <v>96.305002655354102</v>
      </c>
      <c r="AJ8764">
        <v>73.8147305782731</v>
      </c>
      <c r="AK8764">
        <v>10.1592158941409</v>
      </c>
      <c r="AL8764">
        <v>93.136755564370105</v>
      </c>
      <c r="AM8764">
        <v>76.109808497238902</v>
      </c>
      <c r="AN8764">
        <v>1.00000002383413</v>
      </c>
    </row>
    <row r="8765" spans="1:40" x14ac:dyDescent="0.25">
      <c r="A8765" t="str">
        <f>"20190303155020018"</f>
        <v>20190303155020018</v>
      </c>
      <c r="B8765" t="str">
        <f>"1551599420009768"</f>
        <v>1551599420009768</v>
      </c>
      <c r="C8765" t="s">
        <v>40</v>
      </c>
      <c r="D8765">
        <v>6.2386869999999996</v>
      </c>
      <c r="E8765">
        <v>0.53800509999999901</v>
      </c>
      <c r="F8765" t="s">
        <v>41</v>
      </c>
      <c r="G8765">
        <v>-163.46039999999999</v>
      </c>
      <c r="H8765" s="1">
        <v>-3.6137580000000001E-6</v>
      </c>
      <c r="I8765">
        <v>136.5609</v>
      </c>
      <c r="J8765">
        <v>-174.1491</v>
      </c>
      <c r="K8765">
        <v>1.115661</v>
      </c>
      <c r="L8765">
        <v>136.33629999999999</v>
      </c>
      <c r="M8765">
        <v>0.93758529999999995</v>
      </c>
      <c r="N8765">
        <v>-7.0698549999999999E-3</v>
      </c>
      <c r="O8765">
        <v>0.34768339999999998</v>
      </c>
      <c r="P8765">
        <v>0.99201450000000002</v>
      </c>
      <c r="Q8765">
        <v>-5.4882189999999997E-2</v>
      </c>
      <c r="R8765">
        <v>0.1135567</v>
      </c>
      <c r="S8765">
        <v>2.9990079999999999</v>
      </c>
      <c r="T8765">
        <v>-0.30959500000000001</v>
      </c>
      <c r="U8765">
        <v>7.3043819999999995E-2</v>
      </c>
      <c r="V8765">
        <v>0.23790349999999999</v>
      </c>
      <c r="W8765">
        <v>-5.0635560000000003E-2</v>
      </c>
      <c r="X8765">
        <v>0.96996800000000005</v>
      </c>
      <c r="Y8765">
        <v>0.3214033</v>
      </c>
      <c r="Z8765">
        <v>-5.0365409999999999E-2</v>
      </c>
      <c r="AA8765">
        <v>0.9456021</v>
      </c>
      <c r="AB8765">
        <v>20</v>
      </c>
      <c r="AC8765">
        <v>10.688700000000001</v>
      </c>
      <c r="AD8765">
        <v>-1.115664613758</v>
      </c>
      <c r="AE8765">
        <v>0.22460000000000899</v>
      </c>
      <c r="AF8765">
        <v>3.4680230553226501</v>
      </c>
      <c r="AG8765">
        <v>-1.115664613758</v>
      </c>
      <c r="AH8765">
        <v>9.9911078349179192</v>
      </c>
      <c r="AI8765">
        <v>96.021935998024006</v>
      </c>
      <c r="AJ8765">
        <v>70.857551593419004</v>
      </c>
      <c r="AK8765">
        <v>10.634572262747501</v>
      </c>
      <c r="AL8765">
        <v>92.902445139148497</v>
      </c>
      <c r="AM8765">
        <v>76.219137082352205</v>
      </c>
      <c r="AN8765">
        <v>0.99999997813638097</v>
      </c>
    </row>
    <row r="8766" spans="1:40" x14ac:dyDescent="0.25">
      <c r="A8766" t="str">
        <f>"20190303155020032"</f>
        <v>20190303155020032</v>
      </c>
      <c r="B8766" t="str">
        <f>"1551599420029287"</f>
        <v>1551599420029287</v>
      </c>
      <c r="C8766" t="s">
        <v>40</v>
      </c>
      <c r="D8766">
        <v>6.0574279999999998</v>
      </c>
      <c r="E8766">
        <v>0.53970099999999999</v>
      </c>
      <c r="F8766" t="s">
        <v>41</v>
      </c>
      <c r="G8766">
        <v>-162.75749999999999</v>
      </c>
      <c r="H8766" s="1">
        <v>-3.9631049999999997E-6</v>
      </c>
      <c r="I8766">
        <v>136.46459999999999</v>
      </c>
      <c r="J8766">
        <v>-174.03309999999999</v>
      </c>
      <c r="K8766">
        <v>1.11564</v>
      </c>
      <c r="L8766">
        <v>136.37309999999999</v>
      </c>
      <c r="M8766">
        <v>0.93938569999999999</v>
      </c>
      <c r="N8766">
        <v>-6.9499820000000004E-3</v>
      </c>
      <c r="O8766">
        <v>0.34279189999999998</v>
      </c>
      <c r="P8766">
        <v>0.99257890000000004</v>
      </c>
      <c r="Q8766">
        <v>-5.0723070000000002E-2</v>
      </c>
      <c r="R8766">
        <v>0.1105182</v>
      </c>
      <c r="S8766">
        <v>3.0039980000000002</v>
      </c>
      <c r="T8766">
        <v>-0.29420499999999999</v>
      </c>
      <c r="U8766">
        <v>3.3828740000000003E-2</v>
      </c>
      <c r="V8766">
        <v>0.23593439999999999</v>
      </c>
      <c r="W8766">
        <v>-4.6586250000000003E-2</v>
      </c>
      <c r="X8766">
        <v>0.97065170000000001</v>
      </c>
      <c r="Y8766">
        <v>0.3291558</v>
      </c>
      <c r="Z8766">
        <v>-4.7761449999999997E-2</v>
      </c>
      <c r="AA8766">
        <v>0.94306699999999999</v>
      </c>
      <c r="AB8766">
        <v>20</v>
      </c>
      <c r="AC8766">
        <v>11.275599999999899</v>
      </c>
      <c r="AD8766">
        <v>-1.1156439631049999</v>
      </c>
      <c r="AE8766">
        <v>9.1499999999996307E-2</v>
      </c>
      <c r="AF8766">
        <v>3.7426841205773802</v>
      </c>
      <c r="AG8766">
        <v>-1.1156439631049999</v>
      </c>
      <c r="AH8766">
        <v>10.5207699981713</v>
      </c>
      <c r="AI8766">
        <v>95.705401194783505</v>
      </c>
      <c r="AJ8766">
        <v>70.417370081948604</v>
      </c>
      <c r="AK8766">
        <v>11.2222523244337</v>
      </c>
      <c r="AL8766">
        <v>92.670161878708697</v>
      </c>
      <c r="AM8766">
        <v>76.338171237203696</v>
      </c>
      <c r="AN8766">
        <v>1.0000000212526501</v>
      </c>
    </row>
    <row r="8767" spans="1:40" x14ac:dyDescent="0.25">
      <c r="A8767" t="str">
        <f>"20190303155020045"</f>
        <v>20190303155020045</v>
      </c>
      <c r="B8767" t="str">
        <f>"1551599420039048"</f>
        <v>1551599420039048</v>
      </c>
      <c r="C8767" t="s">
        <v>40</v>
      </c>
      <c r="D8767">
        <v>6.0836079999999999</v>
      </c>
      <c r="E8767">
        <v>0.54043699999999995</v>
      </c>
      <c r="F8767" t="s">
        <v>41</v>
      </c>
      <c r="G8767">
        <v>-154.5069</v>
      </c>
      <c r="H8767" s="1">
        <v>-2.8958860000000001E-6</v>
      </c>
      <c r="I8767">
        <v>136.47569999999999</v>
      </c>
      <c r="J8767">
        <v>-173.9136</v>
      </c>
      <c r="K8767">
        <v>1.1156410000000001</v>
      </c>
      <c r="L8767">
        <v>136.41040000000001</v>
      </c>
      <c r="M8767">
        <v>0.94120990000000004</v>
      </c>
      <c r="N8767">
        <v>-6.8343669999999896E-3</v>
      </c>
      <c r="O8767">
        <v>0.33775339999999998</v>
      </c>
      <c r="P8767">
        <v>0.99313879999999999</v>
      </c>
      <c r="Q8767">
        <v>-4.3407910000000001E-2</v>
      </c>
      <c r="R8767">
        <v>0.10858660000000001</v>
      </c>
      <c r="S8767">
        <v>3.0118710000000002</v>
      </c>
      <c r="T8767">
        <v>-0.1720853</v>
      </c>
      <c r="U8767">
        <v>1.5838620000000001E-2</v>
      </c>
      <c r="V8767">
        <v>0.2328151</v>
      </c>
      <c r="W8767">
        <v>-3.9360550000000001E-2</v>
      </c>
      <c r="X8767">
        <v>0.97172420000000004</v>
      </c>
      <c r="Y8767">
        <v>0.33179320000000001</v>
      </c>
      <c r="Z8767">
        <v>-2.724909E-2</v>
      </c>
      <c r="AA8767">
        <v>0.94295850000000003</v>
      </c>
      <c r="AB8767">
        <v>20</v>
      </c>
      <c r="AC8767">
        <v>19.406700000000001</v>
      </c>
      <c r="AD8767">
        <v>-1.115643895886</v>
      </c>
      <c r="AE8767">
        <v>6.5299999999979194E-2</v>
      </c>
      <c r="AF8767">
        <v>6.4719805963361603</v>
      </c>
      <c r="AG8767">
        <v>-1.115643895886</v>
      </c>
      <c r="AH8767">
        <v>18.228019623359501</v>
      </c>
      <c r="AI8767">
        <v>93.301004122954396</v>
      </c>
      <c r="AJ8767">
        <v>70.452252363431896</v>
      </c>
      <c r="AK8767">
        <v>19.375032736265499</v>
      </c>
      <c r="AL8767">
        <v>92.255776061197395</v>
      </c>
      <c r="AM8767">
        <v>76.526497439741703</v>
      </c>
      <c r="AN8767">
        <v>1.0000000222749701</v>
      </c>
    </row>
    <row r="8768" spans="1:40" x14ac:dyDescent="0.25">
      <c r="A8768" t="str">
        <f>"20190303155020062"</f>
        <v>20190303155020062</v>
      </c>
      <c r="B8768" t="str">
        <f>"1551599420059544"</f>
        <v>1551599420059544</v>
      </c>
      <c r="C8768" t="s">
        <v>40</v>
      </c>
      <c r="D8768">
        <v>5.9535109999999998</v>
      </c>
      <c r="E8768">
        <v>0.54328169999999898</v>
      </c>
      <c r="F8768" t="s">
        <v>41</v>
      </c>
      <c r="G8768">
        <v>-146.7157</v>
      </c>
      <c r="H8768" s="1">
        <v>-1.9516099999999999E-6</v>
      </c>
      <c r="I8768">
        <v>136.4573</v>
      </c>
      <c r="J8768">
        <v>-173.78059999999999</v>
      </c>
      <c r="K8768">
        <v>1.115615</v>
      </c>
      <c r="L8768">
        <v>136.4513</v>
      </c>
      <c r="M8768">
        <v>0.94320459999999995</v>
      </c>
      <c r="N8768">
        <v>-6.7160269999999899E-3</v>
      </c>
      <c r="O8768">
        <v>0.33214440000000001</v>
      </c>
      <c r="P8768">
        <v>0.99377570000000004</v>
      </c>
      <c r="Q8768">
        <v>-3.9329660000000002E-2</v>
      </c>
      <c r="R8768">
        <v>0.10422629999999999</v>
      </c>
      <c r="S8768">
        <v>3.014786</v>
      </c>
      <c r="T8768">
        <v>-0.12366439999999999</v>
      </c>
      <c r="U8768">
        <v>5.2032470000000003E-3</v>
      </c>
      <c r="V8768">
        <v>0.23139299999999999</v>
      </c>
      <c r="W8768">
        <v>-3.5398390000000002E-2</v>
      </c>
      <c r="X8768">
        <v>0.97221610000000003</v>
      </c>
      <c r="Y8768">
        <v>0.33001469999999999</v>
      </c>
      <c r="Z8768">
        <v>-1.9030310000000002E-2</v>
      </c>
      <c r="AA8768">
        <v>0.94378390000000001</v>
      </c>
      <c r="AB8768">
        <v>20</v>
      </c>
      <c r="AC8768">
        <v>27.064899999999898</v>
      </c>
      <c r="AD8768">
        <v>-1.1156169516100001</v>
      </c>
      <c r="AE8768">
        <v>6.0000000000002196E-3</v>
      </c>
      <c r="AF8768">
        <v>8.9687599315095596</v>
      </c>
      <c r="AG8768">
        <v>-1.1156169516100001</v>
      </c>
      <c r="AH8768">
        <v>25.487002975553501</v>
      </c>
      <c r="AI8768">
        <v>92.364405478928305</v>
      </c>
      <c r="AJ8768">
        <v>70.613262443596199</v>
      </c>
      <c r="AK8768">
        <v>27.0420150241738</v>
      </c>
      <c r="AL8768">
        <v>92.028602244112193</v>
      </c>
      <c r="AM8768">
        <v>76.612355794433597</v>
      </c>
      <c r="AN8768">
        <v>0.9999999557814</v>
      </c>
    </row>
    <row r="8769" spans="1:40" x14ac:dyDescent="0.25">
      <c r="A8769" t="str">
        <f>"20190303155020078"</f>
        <v>20190303155020078</v>
      </c>
      <c r="B8769" t="str">
        <f>"1551599420069303"</f>
        <v>1551599420069303</v>
      </c>
      <c r="C8769" t="s">
        <v>40</v>
      </c>
      <c r="D8769">
        <v>6.1612960000000001</v>
      </c>
      <c r="E8769">
        <v>0.54499549999999997</v>
      </c>
      <c r="F8769" t="s">
        <v>41</v>
      </c>
      <c r="G8769">
        <v>-122.4662</v>
      </c>
      <c r="H8769" s="1">
        <v>-3.8619529999999901E-6</v>
      </c>
      <c r="I8769">
        <v>135.965</v>
      </c>
      <c r="J8769">
        <v>-173.63210000000001</v>
      </c>
      <c r="K8769">
        <v>1.1155900000000001</v>
      </c>
      <c r="L8769">
        <v>136.4957</v>
      </c>
      <c r="M8769">
        <v>0.94538469999999997</v>
      </c>
      <c r="N8769">
        <v>-6.5986760000000004E-3</v>
      </c>
      <c r="O8769">
        <v>0.3258897</v>
      </c>
      <c r="P8769">
        <v>0.99448190000000003</v>
      </c>
      <c r="Q8769">
        <v>-3.4734050000000002E-2</v>
      </c>
      <c r="R8769">
        <v>9.899165E-2</v>
      </c>
      <c r="S8769">
        <v>3.019196</v>
      </c>
      <c r="T8769">
        <v>-6.563985E-2</v>
      </c>
      <c r="U8769">
        <v>-2.861023E-2</v>
      </c>
      <c r="V8769">
        <v>0.2301764</v>
      </c>
      <c r="W8769">
        <v>-3.0920860000000001E-2</v>
      </c>
      <c r="X8769">
        <v>0.97265760000000001</v>
      </c>
      <c r="Y8769">
        <v>0.33470290000000003</v>
      </c>
      <c r="Z8769">
        <v>-9.5502150000000008E-3</v>
      </c>
      <c r="AA8769">
        <v>0.94227530000000004</v>
      </c>
      <c r="AB8769">
        <v>20</v>
      </c>
      <c r="AC8769">
        <v>51.165900000000001</v>
      </c>
      <c r="AD8769">
        <v>-1.1155938619529999</v>
      </c>
      <c r="AE8769">
        <v>-0.53069999999999595</v>
      </c>
      <c r="AF8769">
        <v>17.168369724836499</v>
      </c>
      <c r="AG8769">
        <v>-1.1155938619529999</v>
      </c>
      <c r="AH8769">
        <v>48.176661575807401</v>
      </c>
      <c r="AI8769">
        <v>91.249574907940797</v>
      </c>
      <c r="AJ8769">
        <v>70.385824138382006</v>
      </c>
      <c r="AK8769">
        <v>51.156506812558902</v>
      </c>
      <c r="AL8769">
        <v>91.771917136062797</v>
      </c>
      <c r="AM8769">
        <v>76.686059904303207</v>
      </c>
      <c r="AN8769">
        <v>1.00000004076892</v>
      </c>
    </row>
    <row r="8770" spans="1:40" x14ac:dyDescent="0.25">
      <c r="A8770" t="str">
        <f>"20190303155020096"</f>
        <v>20190303155020096</v>
      </c>
      <c r="B8770" t="str">
        <f>"1551599420088824"</f>
        <v>1551599420088824</v>
      </c>
      <c r="C8770" t="s">
        <v>40</v>
      </c>
      <c r="D8770">
        <v>5.989242</v>
      </c>
      <c r="E8770">
        <v>0.54695400000000005</v>
      </c>
      <c r="F8770" t="s">
        <v>41</v>
      </c>
      <c r="G8770">
        <v>-122.1472</v>
      </c>
      <c r="H8770" s="1">
        <v>-4.0821159999999999E-6</v>
      </c>
      <c r="I8770">
        <v>135.49529999999999</v>
      </c>
      <c r="J8770">
        <v>-173.4787</v>
      </c>
      <c r="K8770">
        <v>1.115583</v>
      </c>
      <c r="L8770">
        <v>136.54050000000001</v>
      </c>
      <c r="M8770">
        <v>0.94758560000000003</v>
      </c>
      <c r="N8770">
        <v>-6.4899129999999999E-3</v>
      </c>
      <c r="O8770">
        <v>0.3194362</v>
      </c>
      <c r="P8770">
        <v>0.995089</v>
      </c>
      <c r="Q8770">
        <v>-2.763788E-2</v>
      </c>
      <c r="R8770">
        <v>9.5047530000000005E-2</v>
      </c>
      <c r="S8770">
        <v>3.020203</v>
      </c>
      <c r="T8770">
        <v>-6.5442799999999995E-2</v>
      </c>
      <c r="U8770">
        <v>-5.8685300000000003E-2</v>
      </c>
      <c r="V8770">
        <v>0.2275489</v>
      </c>
      <c r="W8770">
        <v>-2.39148E-2</v>
      </c>
      <c r="X8770">
        <v>0.97347300000000003</v>
      </c>
      <c r="Y8770">
        <v>0.33765479999999998</v>
      </c>
      <c r="Z8770">
        <v>-9.4868169999999998E-3</v>
      </c>
      <c r="AA8770">
        <v>0.94122229999999996</v>
      </c>
      <c r="AB8770">
        <v>20</v>
      </c>
      <c r="AC8770">
        <v>51.331499999999998</v>
      </c>
      <c r="AD8770">
        <v>-1.1155870821160001</v>
      </c>
      <c r="AE8770">
        <v>-1.0452000000000199</v>
      </c>
      <c r="AF8770">
        <v>17.3797158725373</v>
      </c>
      <c r="AG8770">
        <v>-1.1155870821160001</v>
      </c>
      <c r="AH8770">
        <v>48.285334254109998</v>
      </c>
      <c r="AI8770">
        <v>91.245342296989094</v>
      </c>
      <c r="AJ8770">
        <v>70.204279795158499</v>
      </c>
      <c r="AK8770">
        <v>51.330035674827201</v>
      </c>
      <c r="AL8770">
        <v>91.370347680677696</v>
      </c>
      <c r="AM8770">
        <v>76.843362285313404</v>
      </c>
      <c r="AN8770">
        <v>1.0000000506396201</v>
      </c>
    </row>
    <row r="8771" spans="1:40" x14ac:dyDescent="0.25">
      <c r="A8771" t="str">
        <f>"20190303155020114"</f>
        <v>20190303155020114</v>
      </c>
      <c r="B8771" t="str">
        <f>"1551599420109320"</f>
        <v>1551599420109320</v>
      </c>
      <c r="C8771" t="s">
        <v>40</v>
      </c>
      <c r="D8771">
        <v>6.2759140000000002</v>
      </c>
      <c r="E8771">
        <v>0.54743180000000002</v>
      </c>
      <c r="F8771" t="s">
        <v>41</v>
      </c>
      <c r="G8771">
        <v>-91.540469999999999</v>
      </c>
      <c r="H8771" s="1">
        <v>-4.5710209999999999E-6</v>
      </c>
      <c r="I8771">
        <v>134.20660000000001</v>
      </c>
      <c r="J8771">
        <v>-173.32149999999999</v>
      </c>
      <c r="K8771">
        <v>1.115578</v>
      </c>
      <c r="L8771">
        <v>136.58529999999999</v>
      </c>
      <c r="M8771">
        <v>0.94978530000000005</v>
      </c>
      <c r="N8771">
        <v>-6.3895159999999996E-3</v>
      </c>
      <c r="O8771">
        <v>0.31283709999999998</v>
      </c>
      <c r="P8771">
        <v>0.99558440000000004</v>
      </c>
      <c r="Q8771">
        <v>-2.0671869999999998E-2</v>
      </c>
      <c r="R8771">
        <v>9.1566289999999995E-2</v>
      </c>
      <c r="S8771">
        <v>3.021881</v>
      </c>
      <c r="T8771">
        <v>-4.1142819999999997E-2</v>
      </c>
      <c r="U8771">
        <v>-8.6074830000000005E-2</v>
      </c>
      <c r="V8771">
        <v>0.22431139999999999</v>
      </c>
      <c r="W8771">
        <v>-1.7021410000000001E-2</v>
      </c>
      <c r="X8771">
        <v>0.97436889999999998</v>
      </c>
      <c r="Y8771">
        <v>0.33970640000000002</v>
      </c>
      <c r="Z8771">
        <v>-5.5837509999999996E-3</v>
      </c>
      <c r="AA8771">
        <v>0.94051499999999999</v>
      </c>
      <c r="AB8771">
        <v>20</v>
      </c>
      <c r="AC8771">
        <v>81.781029999999902</v>
      </c>
      <c r="AD8771">
        <v>-1.1155825710209999</v>
      </c>
      <c r="AE8771">
        <v>-2.3786999999999798</v>
      </c>
      <c r="AF8771">
        <v>27.838787186243</v>
      </c>
      <c r="AG8771">
        <v>-1.1155825710209999</v>
      </c>
      <c r="AH8771">
        <v>76.917544517400103</v>
      </c>
      <c r="AI8771">
        <v>90.781343423454501</v>
      </c>
      <c r="AJ8771">
        <v>70.103276731206705</v>
      </c>
      <c r="AK8771">
        <v>81.808014589402703</v>
      </c>
      <c r="AL8771">
        <v>90.975302011807102</v>
      </c>
      <c r="AM8771">
        <v>77.035700330317596</v>
      </c>
      <c r="AN8771">
        <v>1.00000004292777</v>
      </c>
    </row>
    <row r="8772" spans="1:40" x14ac:dyDescent="0.25">
      <c r="A8772" t="str">
        <f>"20190303155020128"</f>
        <v>20190303155020128</v>
      </c>
      <c r="B8772" t="str">
        <f>"1551599420119079"</f>
        <v>1551599420119079</v>
      </c>
      <c r="C8772" t="s">
        <v>40</v>
      </c>
      <c r="D8772">
        <v>6.2768240000000004</v>
      </c>
      <c r="E8772">
        <v>0.54734519999999998</v>
      </c>
      <c r="F8772" t="s">
        <v>41</v>
      </c>
      <c r="G8772">
        <v>-96.811210000000003</v>
      </c>
      <c r="H8772" s="1">
        <v>-2.5615240000000002E-6</v>
      </c>
      <c r="I8772">
        <v>134.0153</v>
      </c>
      <c r="J8772">
        <v>-173.18369999999999</v>
      </c>
      <c r="K8772">
        <v>1.115564</v>
      </c>
      <c r="L8772">
        <v>136.62370000000001</v>
      </c>
      <c r="M8772">
        <v>0.95166810000000002</v>
      </c>
      <c r="N8772">
        <v>-6.3097750000000001E-3</v>
      </c>
      <c r="O8772">
        <v>0.3070638</v>
      </c>
      <c r="P8772">
        <v>0.99602009999999996</v>
      </c>
      <c r="Q8772">
        <v>-1.6968259999999999E-2</v>
      </c>
      <c r="R8772">
        <v>8.7500190000000005E-2</v>
      </c>
      <c r="S8772">
        <v>3.0217290000000001</v>
      </c>
      <c r="T8772">
        <v>-4.405916E-2</v>
      </c>
      <c r="U8772">
        <v>-0.10150149999999999</v>
      </c>
      <c r="V8772">
        <v>0.22243550000000001</v>
      </c>
      <c r="W8772">
        <v>-1.338434E-2</v>
      </c>
      <c r="X8772">
        <v>0.97485549999999999</v>
      </c>
      <c r="Y8772">
        <v>0.33878540000000001</v>
      </c>
      <c r="Z8772">
        <v>-6.0059830000000003E-3</v>
      </c>
      <c r="AA8772">
        <v>0.94084449999999997</v>
      </c>
      <c r="AB8772">
        <v>20</v>
      </c>
      <c r="AC8772">
        <v>76.3724899999999</v>
      </c>
      <c r="AD8772">
        <v>-1.115566561524</v>
      </c>
      <c r="AE8772">
        <v>-2.6084000000000098</v>
      </c>
      <c r="AF8772">
        <v>25.928546496249901</v>
      </c>
      <c r="AG8772">
        <v>-1.115566561524</v>
      </c>
      <c r="AH8772">
        <v>71.866426611257197</v>
      </c>
      <c r="AI8772">
        <v>90.836545763199496</v>
      </c>
      <c r="AJ8772">
        <v>70.161163073464706</v>
      </c>
      <c r="AK8772">
        <v>76.408882245669602</v>
      </c>
      <c r="AL8772">
        <v>90.766889115291093</v>
      </c>
      <c r="AM8772">
        <v>77.146706545049199</v>
      </c>
      <c r="AN8772">
        <v>0.99999996904886701</v>
      </c>
    </row>
    <row r="8773" spans="1:40" x14ac:dyDescent="0.25">
      <c r="A8773" t="str">
        <f>"20190303155020143"</f>
        <v>20190303155020143</v>
      </c>
      <c r="B8773" t="str">
        <f>"1551599420139576"</f>
        <v>1551599420139576</v>
      </c>
      <c r="C8773" t="s">
        <v>40</v>
      </c>
      <c r="D8773">
        <v>5.9748320000000001</v>
      </c>
      <c r="E8773">
        <v>0.54755669999999901</v>
      </c>
      <c r="F8773" t="s">
        <v>41</v>
      </c>
      <c r="G8773">
        <v>-97.879390000000001</v>
      </c>
      <c r="H8773" s="1">
        <v>-2.2583099999999999E-6</v>
      </c>
      <c r="I8773">
        <v>133.78870000000001</v>
      </c>
      <c r="J8773">
        <v>-173.0583</v>
      </c>
      <c r="K8773">
        <v>1.115556</v>
      </c>
      <c r="L8773">
        <v>136.65790000000001</v>
      </c>
      <c r="M8773">
        <v>0.95334149999999995</v>
      </c>
      <c r="N8773">
        <v>-6.2426699999999996E-3</v>
      </c>
      <c r="O8773">
        <v>0.30182940000000003</v>
      </c>
      <c r="P8773">
        <v>0.99637010000000004</v>
      </c>
      <c r="Q8773">
        <v>-1.3236380000000001E-2</v>
      </c>
      <c r="R8773">
        <v>8.4092589999999995E-2</v>
      </c>
      <c r="S8773">
        <v>3.02121</v>
      </c>
      <c r="T8773">
        <v>-4.4756530000000003E-2</v>
      </c>
      <c r="U8773">
        <v>-0.11373900000000001</v>
      </c>
      <c r="V8773">
        <v>0.22047149999999999</v>
      </c>
      <c r="W8773">
        <v>-9.7027099999999998E-3</v>
      </c>
      <c r="X8773">
        <v>0.97534509999999996</v>
      </c>
      <c r="Y8773">
        <v>0.33742460000000002</v>
      </c>
      <c r="Z8773">
        <v>-6.071155E-3</v>
      </c>
      <c r="AA8773">
        <v>0.94133299999999998</v>
      </c>
      <c r="AB8773">
        <v>20</v>
      </c>
      <c r="AC8773">
        <v>75.178910000000002</v>
      </c>
      <c r="AD8773">
        <v>-1.1155582583100001</v>
      </c>
      <c r="AE8773">
        <v>-2.8692000000000002</v>
      </c>
      <c r="AF8773">
        <v>25.4214391927154</v>
      </c>
      <c r="AG8773">
        <v>-1.1155582583100001</v>
      </c>
      <c r="AH8773">
        <v>70.790981960681904</v>
      </c>
      <c r="AI8773">
        <v>90.849701609980499</v>
      </c>
      <c r="AJ8773">
        <v>70.246501674531501</v>
      </c>
      <c r="AK8773">
        <v>75.225375823682</v>
      </c>
      <c r="AL8773">
        <v>90.555933086759495</v>
      </c>
      <c r="AM8773">
        <v>77.262661670056602</v>
      </c>
      <c r="AN8773">
        <v>0.99999994449380003</v>
      </c>
    </row>
    <row r="8774" spans="1:40" x14ac:dyDescent="0.25">
      <c r="A8774" t="str">
        <f>"20190303155020157"</f>
        <v>20190303155020157</v>
      </c>
      <c r="B8774" t="str">
        <f>"1551599420149336"</f>
        <v>1551599420149336</v>
      </c>
      <c r="C8774" t="s">
        <v>40</v>
      </c>
      <c r="D8774">
        <v>6.2540190000000004</v>
      </c>
      <c r="E8774">
        <v>0.54743009999999903</v>
      </c>
      <c r="F8774" t="s">
        <v>41</v>
      </c>
      <c r="G8774">
        <v>-73.249119999999905</v>
      </c>
      <c r="H8774" s="1">
        <v>-4.1754480000000003E-6</v>
      </c>
      <c r="I8774">
        <v>132.50550000000001</v>
      </c>
      <c r="J8774">
        <v>-172.93180000000001</v>
      </c>
      <c r="K8774">
        <v>1.1155539999999999</v>
      </c>
      <c r="L8774">
        <v>136.69159999999999</v>
      </c>
      <c r="M8774">
        <v>0.95499259999999997</v>
      </c>
      <c r="N8774">
        <v>-6.1814189999999996E-3</v>
      </c>
      <c r="O8774">
        <v>0.29656539999999998</v>
      </c>
      <c r="P8774">
        <v>0.99666759999999999</v>
      </c>
      <c r="Q8774">
        <v>-1.024047E-2</v>
      </c>
      <c r="R8774">
        <v>8.0926940000000003E-2</v>
      </c>
      <c r="S8774">
        <v>3.0211030000000001</v>
      </c>
      <c r="T8774">
        <v>-3.3766629999999999E-2</v>
      </c>
      <c r="U8774">
        <v>-0.12568660000000001</v>
      </c>
      <c r="V8774">
        <v>0.2182328</v>
      </c>
      <c r="W8774">
        <v>-6.7457790000000004E-3</v>
      </c>
      <c r="X8774">
        <v>0.9758734</v>
      </c>
      <c r="Y8774">
        <v>0.335976</v>
      </c>
      <c r="Z8774">
        <v>-4.3451200000000001E-3</v>
      </c>
      <c r="AA8774">
        <v>0.94186049999999999</v>
      </c>
      <c r="AB8774">
        <v>20</v>
      </c>
      <c r="AC8774">
        <v>99.682680000000005</v>
      </c>
      <c r="AD8774">
        <v>-1.115558175448</v>
      </c>
      <c r="AE8774">
        <v>-4.1860999999999802</v>
      </c>
      <c r="AF8774">
        <v>33.556572440490001</v>
      </c>
      <c r="AG8774">
        <v>-1.115558175448</v>
      </c>
      <c r="AH8774">
        <v>93.944814108211503</v>
      </c>
      <c r="AI8774">
        <v>90.640691163950706</v>
      </c>
      <c r="AJ8774">
        <v>70.343550954712001</v>
      </c>
      <c r="AK8774">
        <v>99.764302843367204</v>
      </c>
      <c r="AL8774">
        <v>90.386507606652103</v>
      </c>
      <c r="AM8774">
        <v>77.394450155328002</v>
      </c>
      <c r="AN8774">
        <v>0.99999997667885798</v>
      </c>
    </row>
    <row r="8775" spans="1:40" x14ac:dyDescent="0.25">
      <c r="A8775" t="str">
        <f>"20190303155020168"</f>
        <v>20190303155020168</v>
      </c>
      <c r="B8775" t="str">
        <f>"1551599420159096"</f>
        <v>1551599420159096</v>
      </c>
      <c r="C8775" t="s">
        <v>40</v>
      </c>
      <c r="D8775">
        <v>6.2515000000000001</v>
      </c>
      <c r="E8775">
        <v>0.54728299999999996</v>
      </c>
      <c r="F8775" t="s">
        <v>41</v>
      </c>
      <c r="G8775">
        <v>-70.094840000000005</v>
      </c>
      <c r="H8775" s="1">
        <v>-5.5642430000000001E-6</v>
      </c>
      <c r="I8775">
        <v>132.1035</v>
      </c>
      <c r="J8775">
        <v>-172.82259999999999</v>
      </c>
      <c r="K8775">
        <v>1.1155820000000001</v>
      </c>
      <c r="L8775">
        <v>136.7201</v>
      </c>
      <c r="M8775">
        <v>0.95638639999999997</v>
      </c>
      <c r="N8775">
        <v>-6.13264E-3</v>
      </c>
      <c r="O8775">
        <v>0.29204029999999997</v>
      </c>
      <c r="P8775">
        <v>0.99665579999999998</v>
      </c>
      <c r="Q8775">
        <v>-3.9606729999999996E-3</v>
      </c>
      <c r="R8775">
        <v>8.1619639999999993E-2</v>
      </c>
      <c r="S8775">
        <v>3.0206599999999999</v>
      </c>
      <c r="T8775">
        <v>-3.2767650000000002E-2</v>
      </c>
      <c r="U8775">
        <v>-0.13476560000000001</v>
      </c>
      <c r="V8775">
        <v>0.21301700000000001</v>
      </c>
      <c r="W8775">
        <v>-4.5096479999999999E-4</v>
      </c>
      <c r="X8775">
        <v>0.97704840000000004</v>
      </c>
      <c r="Y8775">
        <v>0.33434930000000002</v>
      </c>
      <c r="Z8775">
        <v>-4.1674260000000001E-3</v>
      </c>
      <c r="AA8775">
        <v>0.94244000000000006</v>
      </c>
      <c r="AB8775">
        <v>20</v>
      </c>
      <c r="AC8775">
        <v>102.72776</v>
      </c>
      <c r="AD8775">
        <v>-1.115587564243</v>
      </c>
      <c r="AE8775">
        <v>-4.6166</v>
      </c>
      <c r="AF8775">
        <v>34.412494758163398</v>
      </c>
      <c r="AG8775">
        <v>-1.115587564243</v>
      </c>
      <c r="AH8775">
        <v>96.8896136994328</v>
      </c>
      <c r="AI8775">
        <v>90.621633536970606</v>
      </c>
      <c r="AJ8775">
        <v>70.446377369351595</v>
      </c>
      <c r="AK8775">
        <v>102.825393623946</v>
      </c>
      <c r="AL8775">
        <v>90.025838380345704</v>
      </c>
      <c r="AM8775">
        <v>77.700783859727295</v>
      </c>
      <c r="AN8775">
        <v>1.0000000108003999</v>
      </c>
    </row>
    <row r="8776" spans="1:40" x14ac:dyDescent="0.25">
      <c r="A8776" t="str">
        <f>"20190303155020184"</f>
        <v>20190303155020184</v>
      </c>
      <c r="B8776" t="str">
        <f>"1551599420179592"</f>
        <v>1551599420179592</v>
      </c>
      <c r="C8776" t="s">
        <v>40</v>
      </c>
      <c r="D8776">
        <v>6.2551220000000001</v>
      </c>
      <c r="E8776">
        <v>0.54711290000000001</v>
      </c>
      <c r="F8776" t="s">
        <v>72</v>
      </c>
      <c r="G8776">
        <v>-24.19669</v>
      </c>
      <c r="H8776">
        <v>-0.1</v>
      </c>
      <c r="I8776">
        <v>130.2321</v>
      </c>
      <c r="J8776">
        <v>-172.68799999999999</v>
      </c>
      <c r="K8776">
        <v>1.1155790000000001</v>
      </c>
      <c r="L8776">
        <v>136.75460000000001</v>
      </c>
      <c r="M8776">
        <v>0.9580649</v>
      </c>
      <c r="N8776">
        <v>-6.0759129999999996E-3</v>
      </c>
      <c r="O8776">
        <v>0.28648699999999999</v>
      </c>
      <c r="P8776">
        <v>0.99693379999999998</v>
      </c>
      <c r="Q8776">
        <v>-4.7389600000000002E-4</v>
      </c>
      <c r="R8776">
        <v>7.8249830000000006E-2</v>
      </c>
      <c r="S8776">
        <v>3.0207670000000002</v>
      </c>
      <c r="T8776">
        <v>-2.4706240000000001E-2</v>
      </c>
      <c r="U8776">
        <v>-0.1318665</v>
      </c>
      <c r="V8776">
        <v>0.2106934</v>
      </c>
      <c r="W8776">
        <v>3.0058020000000001E-3</v>
      </c>
      <c r="X8776">
        <v>0.97754759999999996</v>
      </c>
      <c r="Y8776">
        <v>0.327984</v>
      </c>
      <c r="Z8776">
        <v>-2.9023149999999999E-3</v>
      </c>
      <c r="AA8776">
        <v>0.94467880000000004</v>
      </c>
      <c r="AB8776">
        <v>21</v>
      </c>
      <c r="AC8776">
        <v>148.49131</v>
      </c>
      <c r="AD8776">
        <v>-1.215579</v>
      </c>
      <c r="AE8776">
        <v>-6.5225</v>
      </c>
      <c r="AF8776">
        <v>48.787443986563098</v>
      </c>
      <c r="AG8776">
        <v>-1.215579</v>
      </c>
      <c r="AH8776">
        <v>140.38889732767399</v>
      </c>
      <c r="AI8776">
        <v>90.468603557937996</v>
      </c>
      <c r="AJ8776">
        <v>70.836822318950396</v>
      </c>
      <c r="AK8776">
        <v>148.629522020114</v>
      </c>
      <c r="AL8776">
        <v>89.827779976659698</v>
      </c>
      <c r="AM8776">
        <v>77.836954205316204</v>
      </c>
      <c r="AN8776">
        <v>1.00000002695749</v>
      </c>
    </row>
    <row r="8777" spans="1:40" x14ac:dyDescent="0.25">
      <c r="A8777" t="str">
        <f>"20190303155020197"</f>
        <v>20190303155020197</v>
      </c>
      <c r="B8777" t="str">
        <f>"1551599420189352"</f>
        <v>1551599420189352</v>
      </c>
      <c r="C8777" t="s">
        <v>40</v>
      </c>
      <c r="D8777">
        <v>6.2709339999999996</v>
      </c>
      <c r="E8777">
        <v>0.54704119999999901</v>
      </c>
      <c r="F8777" t="s">
        <v>41</v>
      </c>
      <c r="G8777">
        <v>-52.009889999999999</v>
      </c>
      <c r="H8777" s="1">
        <v>-4.9698919999999901E-6</v>
      </c>
      <c r="I8777">
        <v>131.10470000000001</v>
      </c>
      <c r="J8777">
        <v>-172.5626</v>
      </c>
      <c r="K8777">
        <v>1.1155820000000001</v>
      </c>
      <c r="L8777">
        <v>136.786</v>
      </c>
      <c r="M8777">
        <v>0.95958750000000004</v>
      </c>
      <c r="N8777">
        <v>-6.0272819999999897E-3</v>
      </c>
      <c r="O8777">
        <v>0.28134579999999998</v>
      </c>
      <c r="P8777">
        <v>0.99717210000000001</v>
      </c>
      <c r="Q8777">
        <v>2.1573569999999999E-3</v>
      </c>
      <c r="R8777">
        <v>7.5122839999999996E-2</v>
      </c>
      <c r="S8777">
        <v>3.0203090000000001</v>
      </c>
      <c r="T8777">
        <v>-2.79206E-2</v>
      </c>
      <c r="U8777">
        <v>-0.14140320000000001</v>
      </c>
      <c r="V8777">
        <v>0.2085466</v>
      </c>
      <c r="W8777">
        <v>5.6159840000000001E-3</v>
      </c>
      <c r="X8777">
        <v>0.97799630000000004</v>
      </c>
      <c r="Y8777">
        <v>0.32589620000000002</v>
      </c>
      <c r="Z8777">
        <v>-3.355546E-3</v>
      </c>
      <c r="AA8777">
        <v>0.94539960000000001</v>
      </c>
      <c r="AB8777">
        <v>21</v>
      </c>
      <c r="AC8777">
        <v>120.55271</v>
      </c>
      <c r="AD8777">
        <v>-1.115586969892</v>
      </c>
      <c r="AE8777">
        <v>-5.6812999999999896</v>
      </c>
      <c r="AF8777">
        <v>39.366055399288598</v>
      </c>
      <c r="AG8777">
        <v>-1.115586969892</v>
      </c>
      <c r="AH8777">
        <v>114.07479121498601</v>
      </c>
      <c r="AI8777">
        <v>90.529653787411107</v>
      </c>
      <c r="AJ8777">
        <v>70.960964054917298</v>
      </c>
      <c r="AK8777">
        <v>120.681352506218</v>
      </c>
      <c r="AL8777">
        <v>89.678226125374493</v>
      </c>
      <c r="AM8777">
        <v>77.962614364913605</v>
      </c>
      <c r="AN8777">
        <v>0.99999999323076905</v>
      </c>
    </row>
    <row r="8778" spans="1:40" x14ac:dyDescent="0.25">
      <c r="A8778" t="str">
        <f>"20190303155020212"</f>
        <v>20190303155020212</v>
      </c>
      <c r="B8778" t="str">
        <f>"1551599420208872"</f>
        <v>1551599420208872</v>
      </c>
      <c r="C8778" t="s">
        <v>40</v>
      </c>
      <c r="D8778">
        <v>6.118932</v>
      </c>
      <c r="E8778">
        <v>0.54660940000000002</v>
      </c>
      <c r="F8778" t="s">
        <v>72</v>
      </c>
      <c r="G8778">
        <v>-32.790039999999998</v>
      </c>
      <c r="H8778">
        <v>-0.1</v>
      </c>
      <c r="I8778">
        <v>129.8211</v>
      </c>
      <c r="J8778">
        <v>-172.42570000000001</v>
      </c>
      <c r="K8778">
        <v>1.1155900000000001</v>
      </c>
      <c r="L8778">
        <v>136.8194</v>
      </c>
      <c r="M8778">
        <v>0.96120320000000004</v>
      </c>
      <c r="N8778">
        <v>-5.9781749999999996E-3</v>
      </c>
      <c r="O8778">
        <v>0.27577699999999999</v>
      </c>
      <c r="P8778">
        <v>0.99742929999999996</v>
      </c>
      <c r="Q8778">
        <v>4.9348270000000001E-3</v>
      </c>
      <c r="R8778">
        <v>7.1488780000000002E-2</v>
      </c>
      <c r="S8778">
        <v>3.0198969999999998</v>
      </c>
      <c r="T8778">
        <v>-2.626359E-2</v>
      </c>
      <c r="U8778">
        <v>-0.15048220000000001</v>
      </c>
      <c r="V8778">
        <v>0.20646829999999999</v>
      </c>
      <c r="W8778">
        <v>8.3739409999999993E-3</v>
      </c>
      <c r="X8778">
        <v>0.97841750000000005</v>
      </c>
      <c r="Y8778">
        <v>0.32325739999999997</v>
      </c>
      <c r="Z8778">
        <v>-3.087841E-3</v>
      </c>
      <c r="AA8778">
        <v>0.94630599999999998</v>
      </c>
      <c r="AB8778">
        <v>21</v>
      </c>
      <c r="AC8778">
        <v>139.63566</v>
      </c>
      <c r="AD8778">
        <v>-1.2155899999999999</v>
      </c>
      <c r="AE8778">
        <v>-6.9983000000000004</v>
      </c>
      <c r="AF8778">
        <v>45.232474338520703</v>
      </c>
      <c r="AG8778">
        <v>-1.2155899999999999</v>
      </c>
      <c r="AH8778">
        <v>132.280618492358</v>
      </c>
      <c r="AI8778">
        <v>90.4981848744237</v>
      </c>
      <c r="AJ8778">
        <v>71.1222193561062</v>
      </c>
      <c r="AK8778">
        <v>139.80563802133901</v>
      </c>
      <c r="AL8778">
        <v>89.520202935892996</v>
      </c>
      <c r="AM8778">
        <v>78.084111144768798</v>
      </c>
      <c r="AN8778">
        <v>1.0000000430495</v>
      </c>
    </row>
    <row r="8779" spans="1:40" x14ac:dyDescent="0.25">
      <c r="A8779" t="str">
        <f>"20190303155020225"</f>
        <v>20190303155020225</v>
      </c>
      <c r="B8779" t="str">
        <f>"1551599420219608"</f>
        <v>1551599420219608</v>
      </c>
      <c r="C8779" t="s">
        <v>40</v>
      </c>
      <c r="D8779">
        <v>6.2419149999999997</v>
      </c>
      <c r="E8779">
        <v>0.54667169999999998</v>
      </c>
      <c r="F8779" t="s">
        <v>72</v>
      </c>
      <c r="G8779">
        <v>-34.929959999999902</v>
      </c>
      <c r="H8779">
        <v>-0.1</v>
      </c>
      <c r="I8779">
        <v>129.60579999999999</v>
      </c>
      <c r="J8779">
        <v>-172.3032</v>
      </c>
      <c r="K8779">
        <v>1.115615</v>
      </c>
      <c r="L8779">
        <v>136.84880000000001</v>
      </c>
      <c r="M8779">
        <v>0.96260769999999996</v>
      </c>
      <c r="N8779">
        <v>-5.9364279999999997E-3</v>
      </c>
      <c r="O8779">
        <v>0.27083429999999997</v>
      </c>
      <c r="P8779">
        <v>0.99744480000000002</v>
      </c>
      <c r="Q8779">
        <v>1.039344E-2</v>
      </c>
      <c r="R8779">
        <v>7.0682380000000003E-2</v>
      </c>
      <c r="S8779">
        <v>3.0192109999999999</v>
      </c>
      <c r="T8779">
        <v>-2.6692629999999998E-2</v>
      </c>
      <c r="U8779">
        <v>-0.1584015</v>
      </c>
      <c r="V8779">
        <v>0.2022814</v>
      </c>
      <c r="W8779">
        <v>1.385055E-2</v>
      </c>
      <c r="X8779">
        <v>0.97922949999999997</v>
      </c>
      <c r="Y8779">
        <v>0.32087959999999999</v>
      </c>
      <c r="Z8779">
        <v>-3.1256389999999999E-3</v>
      </c>
      <c r="AA8779">
        <v>0.94711480000000003</v>
      </c>
      <c r="AB8779">
        <v>21</v>
      </c>
      <c r="AC8779">
        <v>137.37323999999899</v>
      </c>
      <c r="AD8779">
        <v>-1.2156149999999999</v>
      </c>
      <c r="AE8779">
        <v>-7.2430000000000199</v>
      </c>
      <c r="AF8779">
        <v>44.174880851745598</v>
      </c>
      <c r="AG8779">
        <v>-1.2156149999999999</v>
      </c>
      <c r="AH8779">
        <v>130.26700628061599</v>
      </c>
      <c r="AI8779">
        <v>90.5063331156217</v>
      </c>
      <c r="AJ8779">
        <v>71.267674083807506</v>
      </c>
      <c r="AK8779">
        <v>137.558681090682</v>
      </c>
      <c r="AL8779">
        <v>89.206396572263401</v>
      </c>
      <c r="AM8779">
        <v>78.328463882291501</v>
      </c>
      <c r="AN8779">
        <v>1.0000000080957501</v>
      </c>
    </row>
    <row r="8780" spans="1:40" x14ac:dyDescent="0.25">
      <c r="A8780" t="str">
        <f>"20190303155020240"</f>
        <v>20190303155020240</v>
      </c>
      <c r="B8780" t="str">
        <f>"1551599420229368"</f>
        <v>1551599420229368</v>
      </c>
      <c r="C8780" t="s">
        <v>40</v>
      </c>
      <c r="D8780">
        <v>6.1234159999999997</v>
      </c>
      <c r="E8780">
        <v>0.54663949999999994</v>
      </c>
      <c r="F8780" t="s">
        <v>72</v>
      </c>
      <c r="G8780">
        <v>26.93628</v>
      </c>
      <c r="H8780">
        <v>-0.1</v>
      </c>
      <c r="I8780">
        <v>126.17870000000001</v>
      </c>
      <c r="J8780">
        <v>-172.17310000000001</v>
      </c>
      <c r="K8780">
        <v>1.115634</v>
      </c>
      <c r="L8780">
        <v>136.8793</v>
      </c>
      <c r="M8780">
        <v>0.96405909999999995</v>
      </c>
      <c r="N8780">
        <v>-5.8942380000000004E-3</v>
      </c>
      <c r="O8780">
        <v>0.26562249999999998</v>
      </c>
      <c r="P8780">
        <v>0.99763420000000003</v>
      </c>
      <c r="Q8780">
        <v>1.2811319999999999E-2</v>
      </c>
      <c r="R8780">
        <v>6.7542340000000006E-2</v>
      </c>
      <c r="S8780">
        <v>3.019333</v>
      </c>
      <c r="T8780">
        <v>-1.8421770000000001E-2</v>
      </c>
      <c r="U8780">
        <v>-0.16169739999999999</v>
      </c>
      <c r="V8780">
        <v>0.20008509999999999</v>
      </c>
      <c r="W8780">
        <v>1.6264029999999999E-2</v>
      </c>
      <c r="X8780">
        <v>0.9796435</v>
      </c>
      <c r="Y8780">
        <v>0.31679190000000002</v>
      </c>
      <c r="Z8780">
        <v>-1.9314989999999999E-3</v>
      </c>
      <c r="AA8780">
        <v>0.94849309999999998</v>
      </c>
      <c r="AB8780">
        <v>21</v>
      </c>
      <c r="AC8780">
        <v>199.10937999999999</v>
      </c>
      <c r="AD8780">
        <v>-1.2156340000000001</v>
      </c>
      <c r="AE8780">
        <v>-10.7005999999999</v>
      </c>
      <c r="AF8780">
        <v>63.2026908299826</v>
      </c>
      <c r="AG8780">
        <v>-1.2156340000000001</v>
      </c>
      <c r="AH8780">
        <v>189.107145684447</v>
      </c>
      <c r="AI8780">
        <v>90.349315810346795</v>
      </c>
      <c r="AJ8780">
        <v>71.519531926517104</v>
      </c>
      <c r="AK8780">
        <v>199.393005000404</v>
      </c>
      <c r="AL8780">
        <v>89.068098613928996</v>
      </c>
      <c r="AM8780">
        <v>78.456516403504907</v>
      </c>
      <c r="AN8780">
        <v>0.99999997650304995</v>
      </c>
    </row>
    <row r="8781" spans="1:40" x14ac:dyDescent="0.25">
      <c r="A8781" t="str">
        <f>"20190303155020257"</f>
        <v>20190303155020257</v>
      </c>
      <c r="B8781" t="str">
        <f>"1551599420248888"</f>
        <v>1551599420248888</v>
      </c>
      <c r="C8781" t="s">
        <v>40</v>
      </c>
      <c r="D8781">
        <v>6.3136799999999997</v>
      </c>
      <c r="E8781">
        <v>0.54743609999999998</v>
      </c>
      <c r="F8781" t="s">
        <v>72</v>
      </c>
      <c r="G8781">
        <v>527.13099999999997</v>
      </c>
      <c r="H8781">
        <v>-0.1</v>
      </c>
      <c r="I8781">
        <v>97.346329999999995</v>
      </c>
      <c r="J8781">
        <v>-172.00540000000001</v>
      </c>
      <c r="K8781">
        <v>1.1156649999999999</v>
      </c>
      <c r="L8781">
        <v>136.91759999999999</v>
      </c>
      <c r="M8781">
        <v>0.96585739999999998</v>
      </c>
      <c r="N8781">
        <v>-5.8406309999999998E-3</v>
      </c>
      <c r="O8781">
        <v>0.25900830000000002</v>
      </c>
      <c r="P8781">
        <v>0.9979249</v>
      </c>
      <c r="Q8781">
        <v>1.4543230000000001E-2</v>
      </c>
      <c r="R8781">
        <v>6.27249E-2</v>
      </c>
      <c r="S8781">
        <v>3.018723</v>
      </c>
      <c r="T8781">
        <v>-5.247593E-3</v>
      </c>
      <c r="U8781">
        <v>-0.17065429999999901</v>
      </c>
      <c r="V8781">
        <v>0.19811139999999999</v>
      </c>
      <c r="W8781">
        <v>1.7983720000000002E-2</v>
      </c>
      <c r="X8781">
        <v>0.98001450000000001</v>
      </c>
      <c r="Y8781">
        <v>0.31311139999999998</v>
      </c>
      <c r="Z8781">
        <v>-1.119202E-4</v>
      </c>
      <c r="AA8781">
        <v>0.94971640000000002</v>
      </c>
      <c r="AB8781">
        <v>21</v>
      </c>
      <c r="AC8781">
        <v>699.13639999999998</v>
      </c>
      <c r="AD8781">
        <v>-1.215665</v>
      </c>
      <c r="AE8781">
        <v>-39.571269999999899</v>
      </c>
      <c r="AF8781">
        <v>219.30542179099101</v>
      </c>
      <c r="AG8781">
        <v>-1.215665</v>
      </c>
      <c r="AH8781">
        <v>665.02614047721795</v>
      </c>
      <c r="AI8781">
        <v>90.099467445967505</v>
      </c>
      <c r="AJ8781">
        <v>71.749014060362001</v>
      </c>
      <c r="AK8781">
        <v>700.25432050530196</v>
      </c>
      <c r="AL8781">
        <v>88.969553175455403</v>
      </c>
      <c r="AM8781">
        <v>78.571586139986096</v>
      </c>
      <c r="AN8781">
        <v>0.99999998060262396</v>
      </c>
    </row>
    <row r="8782" spans="1:40" x14ac:dyDescent="0.25">
      <c r="A8782" t="str">
        <f>"20190303155020276"</f>
        <v>20190303155020276</v>
      </c>
      <c r="B8782" t="str">
        <f>"1551599420269384"</f>
        <v>1551599420269384</v>
      </c>
      <c r="C8782" t="s">
        <v>40</v>
      </c>
      <c r="D8782">
        <v>6.3851279999999999</v>
      </c>
      <c r="E8782">
        <v>0.54871259999999999</v>
      </c>
      <c r="F8782" t="s">
        <v>62</v>
      </c>
      <c r="G8782">
        <v>0</v>
      </c>
      <c r="H8782">
        <v>0</v>
      </c>
      <c r="I8782">
        <v>0</v>
      </c>
      <c r="J8782">
        <v>-171.84209999999999</v>
      </c>
      <c r="K8782">
        <v>1.115715</v>
      </c>
      <c r="L8782">
        <v>136.9538</v>
      </c>
      <c r="M8782">
        <v>0.96753579999999995</v>
      </c>
      <c r="N8782">
        <v>-5.7831069999999896E-3</v>
      </c>
      <c r="O8782">
        <v>0.2526678</v>
      </c>
      <c r="P8782">
        <v>0.99801189999999995</v>
      </c>
      <c r="Q8782">
        <v>1.613885E-2</v>
      </c>
      <c r="R8782">
        <v>6.0924899999999997E-2</v>
      </c>
      <c r="S8782">
        <v>3.0181269999999998</v>
      </c>
      <c r="T8782">
        <v>1.0291099999999999E-2</v>
      </c>
      <c r="U8782">
        <v>-0.1911774</v>
      </c>
      <c r="V8782">
        <v>0.1934583</v>
      </c>
      <c r="W8782">
        <v>1.96023E-2</v>
      </c>
      <c r="X8782">
        <v>0.98091260000000002</v>
      </c>
      <c r="Y8782">
        <v>0.3133224</v>
      </c>
      <c r="Z8782">
        <v>1.9509110000000001E-3</v>
      </c>
      <c r="AA8782">
        <v>0.94964479999999996</v>
      </c>
      <c r="AB8782">
        <v>21</v>
      </c>
      <c r="AC8782">
        <v>3.0181269999999998</v>
      </c>
      <c r="AD8782">
        <v>1.0291099999999999E-2</v>
      </c>
      <c r="AE8782">
        <v>-0.1911774</v>
      </c>
      <c r="AF8782">
        <v>0.94755936740254598</v>
      </c>
      <c r="AG8782">
        <v>1.0291099999999999E-2</v>
      </c>
      <c r="AH8782">
        <v>2.87185633725786</v>
      </c>
      <c r="AI8782">
        <v>89.805024183873897</v>
      </c>
      <c r="AJ8782">
        <v>71.739866830284598</v>
      </c>
      <c r="AK8782">
        <v>3.0241583099003999</v>
      </c>
      <c r="AL8782">
        <v>88.876798941535796</v>
      </c>
      <c r="AM8782">
        <v>78.8431523483669</v>
      </c>
      <c r="AN8782">
        <v>0.99999994642146794</v>
      </c>
    </row>
    <row r="8783" spans="1:40" x14ac:dyDescent="0.25">
      <c r="A8783" t="str">
        <f>"20190303155020295"</f>
        <v>20190303155020295</v>
      </c>
      <c r="B8783" t="str">
        <f>"1551599420288904"</f>
        <v>1551599420288904</v>
      </c>
      <c r="C8783" t="s">
        <v>40</v>
      </c>
      <c r="D8783">
        <v>6.4081679999999999</v>
      </c>
      <c r="E8783">
        <v>0.54875240000000003</v>
      </c>
      <c r="F8783" t="s">
        <v>62</v>
      </c>
      <c r="G8783">
        <v>0</v>
      </c>
      <c r="H8783">
        <v>0</v>
      </c>
      <c r="I8783">
        <v>0</v>
      </c>
      <c r="J8783">
        <v>-171.6558</v>
      </c>
      <c r="K8783">
        <v>1.1157600000000001</v>
      </c>
      <c r="L8783">
        <v>136.994</v>
      </c>
      <c r="M8783">
        <v>0.96936540000000004</v>
      </c>
      <c r="N8783">
        <v>-5.7073430000000001E-3</v>
      </c>
      <c r="O8783">
        <v>0.2455572</v>
      </c>
      <c r="P8783">
        <v>0.99812940000000006</v>
      </c>
      <c r="Q8783">
        <v>1.75827E-2</v>
      </c>
      <c r="R8783">
        <v>5.8554910000000002E-2</v>
      </c>
      <c r="S8783">
        <v>3.0179140000000002</v>
      </c>
      <c r="T8783">
        <v>3.8969400000000001E-2</v>
      </c>
      <c r="U8783">
        <v>-0.2058411</v>
      </c>
      <c r="V8783">
        <v>0.1885896</v>
      </c>
      <c r="W8783">
        <v>2.1059689999999999E-2</v>
      </c>
      <c r="X8783">
        <v>0.98183019999999999</v>
      </c>
      <c r="Y8783">
        <v>0.31090000000000001</v>
      </c>
      <c r="Z8783">
        <v>5.6733670000000003E-3</v>
      </c>
      <c r="AA8783">
        <v>0.95042570000000004</v>
      </c>
      <c r="AB8783">
        <v>21</v>
      </c>
      <c r="AC8783">
        <v>3.0179140000000002</v>
      </c>
      <c r="AD8783">
        <v>3.8969400000000001E-2</v>
      </c>
      <c r="AE8783">
        <v>-0.2058411</v>
      </c>
      <c r="AF8783">
        <v>0.94046489722002202</v>
      </c>
      <c r="AG8783">
        <v>3.8969400000000001E-2</v>
      </c>
      <c r="AH8783">
        <v>2.8744851320914999</v>
      </c>
      <c r="AI8783">
        <v>89.261790414622794</v>
      </c>
      <c r="AJ8783">
        <v>71.883103485293802</v>
      </c>
      <c r="AK8783">
        <v>3.0246747943629502</v>
      </c>
      <c r="AL8783">
        <v>88.793279489002799</v>
      </c>
      <c r="AM8783">
        <v>79.127073433701597</v>
      </c>
      <c r="AN8783">
        <v>1.00000004470154</v>
      </c>
    </row>
    <row r="8784" spans="1:40" x14ac:dyDescent="0.25">
      <c r="A8784" t="str">
        <f>"20190303155020315"</f>
        <v>20190303155020315</v>
      </c>
      <c r="B8784" t="str">
        <f>"1551599420309400"</f>
        <v>1551599420309400</v>
      </c>
      <c r="C8784" t="s">
        <v>40</v>
      </c>
      <c r="D8784">
        <v>6.431673</v>
      </c>
      <c r="E8784">
        <v>0.54897489999999904</v>
      </c>
      <c r="F8784" t="s">
        <v>62</v>
      </c>
      <c r="G8784">
        <v>0</v>
      </c>
      <c r="H8784">
        <v>0</v>
      </c>
      <c r="I8784">
        <v>0</v>
      </c>
      <c r="J8784">
        <v>-171.46279999999999</v>
      </c>
      <c r="K8784">
        <v>1.11581</v>
      </c>
      <c r="L8784">
        <v>137.0343</v>
      </c>
      <c r="M8784">
        <v>0.97116619999999998</v>
      </c>
      <c r="N8784">
        <v>-5.613041E-3</v>
      </c>
      <c r="O8784">
        <v>0.2383373</v>
      </c>
      <c r="P8784">
        <v>0.99823050000000002</v>
      </c>
      <c r="Q8784">
        <v>1.7826749999999999E-2</v>
      </c>
      <c r="R8784">
        <v>5.6729059999999998E-2</v>
      </c>
      <c r="S8784">
        <v>3.0171969999999999</v>
      </c>
      <c r="T8784">
        <v>5.2717090000000001E-2</v>
      </c>
      <c r="U8784">
        <v>-0.2129364</v>
      </c>
      <c r="V8784">
        <v>0.1830735</v>
      </c>
      <c r="W8784">
        <v>2.1308549999999999E-2</v>
      </c>
      <c r="X8784">
        <v>0.98286830000000003</v>
      </c>
      <c r="Y8784">
        <v>0.3060254</v>
      </c>
      <c r="Z8784">
        <v>7.2900959999999898E-3</v>
      </c>
      <c r="AA8784">
        <v>0.95199540000000005</v>
      </c>
      <c r="AB8784">
        <v>21</v>
      </c>
      <c r="AC8784">
        <v>3.0171969999999999</v>
      </c>
      <c r="AD8784">
        <v>5.2717090000000001E-2</v>
      </c>
      <c r="AE8784">
        <v>-0.2129364</v>
      </c>
      <c r="AF8784">
        <v>0.92564064718765404</v>
      </c>
      <c r="AG8784">
        <v>5.2717090000000001E-2</v>
      </c>
      <c r="AH8784">
        <v>2.8786200492456602</v>
      </c>
      <c r="AI8784">
        <v>89.001197924069999</v>
      </c>
      <c r="AJ8784">
        <v>72.174438005079594</v>
      </c>
      <c r="AK8784">
        <v>3.0242425642172099</v>
      </c>
      <c r="AL8784">
        <v>88.779017640949704</v>
      </c>
      <c r="AM8784">
        <v>79.448743230279405</v>
      </c>
      <c r="AN8784">
        <v>1.00000002792512</v>
      </c>
    </row>
    <row r="8785" spans="1:40" x14ac:dyDescent="0.25">
      <c r="A8785" t="str">
        <f>"20190303155020330"</f>
        <v>20190303155020330</v>
      </c>
      <c r="B8785" t="str">
        <f>"1551599420319161"</f>
        <v>1551599420319161</v>
      </c>
      <c r="C8785" t="s">
        <v>40</v>
      </c>
      <c r="D8785">
        <v>6.4638549999999997</v>
      </c>
      <c r="E8785">
        <v>0.54907010000000001</v>
      </c>
      <c r="F8785" t="s">
        <v>62</v>
      </c>
      <c r="G8785">
        <v>0</v>
      </c>
      <c r="H8785">
        <v>0</v>
      </c>
      <c r="I8785">
        <v>0</v>
      </c>
      <c r="J8785">
        <v>-171.31659999999999</v>
      </c>
      <c r="K8785">
        <v>1.115845</v>
      </c>
      <c r="L8785">
        <v>137.06389999999999</v>
      </c>
      <c r="M8785">
        <v>0.97246600000000005</v>
      </c>
      <c r="N8785">
        <v>-5.52872E-3</v>
      </c>
      <c r="O8785">
        <v>0.2329794</v>
      </c>
      <c r="P8785">
        <v>0.99838260000000001</v>
      </c>
      <c r="Q8785">
        <v>1.7620859999999999E-2</v>
      </c>
      <c r="R8785">
        <v>5.4054409999999997E-2</v>
      </c>
      <c r="S8785">
        <v>3.0166629999999999</v>
      </c>
      <c r="T8785">
        <v>6.3527819999999999E-2</v>
      </c>
      <c r="U8785">
        <v>-0.21975710000000001</v>
      </c>
      <c r="V8785">
        <v>0.180282</v>
      </c>
      <c r="W8785">
        <v>2.1075900000000002E-2</v>
      </c>
      <c r="X8785">
        <v>0.98338910000000002</v>
      </c>
      <c r="Y8785">
        <v>0.30289189999999999</v>
      </c>
      <c r="Z8785">
        <v>8.5142140000000009E-3</v>
      </c>
      <c r="AA8785">
        <v>0.95298689999999997</v>
      </c>
      <c r="AB8785">
        <v>21</v>
      </c>
      <c r="AC8785">
        <v>3.0166629999999999</v>
      </c>
      <c r="AD8785">
        <v>6.3527819999999999E-2</v>
      </c>
      <c r="AE8785">
        <v>-0.21975710000000001</v>
      </c>
      <c r="AF8785">
        <v>0.91613646728045905</v>
      </c>
      <c r="AG8785">
        <v>6.3527819999999999E-2</v>
      </c>
      <c r="AH8785">
        <v>2.88117624971964</v>
      </c>
      <c r="AI8785">
        <v>88.796244966932804</v>
      </c>
      <c r="AJ8785">
        <v>72.360737097178699</v>
      </c>
      <c r="AK8785">
        <v>3.0239904749426101</v>
      </c>
      <c r="AL8785">
        <v>88.7923504129988</v>
      </c>
      <c r="AM8785">
        <v>79.611480492644304</v>
      </c>
      <c r="AN8785">
        <v>0.99999995754180904</v>
      </c>
    </row>
    <row r="8786" spans="1:40" x14ac:dyDescent="0.25">
      <c r="A8786" t="str">
        <f>"20190303155020347"</f>
        <v>20190303155020347</v>
      </c>
      <c r="B8786" t="str">
        <f>"1551599420339656"</f>
        <v>1551599420339656</v>
      </c>
      <c r="C8786" t="s">
        <v>40</v>
      </c>
      <c r="D8786">
        <v>6.4174309999999997</v>
      </c>
      <c r="E8786">
        <v>0.54937239999999998</v>
      </c>
      <c r="F8786" t="s">
        <v>62</v>
      </c>
      <c r="G8786">
        <v>0</v>
      </c>
      <c r="H8786">
        <v>0</v>
      </c>
      <c r="I8786">
        <v>0</v>
      </c>
      <c r="J8786">
        <v>-171.15049999999999</v>
      </c>
      <c r="K8786">
        <v>1.1158790000000001</v>
      </c>
      <c r="L8786">
        <v>137.0968</v>
      </c>
      <c r="M8786">
        <v>0.97388050000000004</v>
      </c>
      <c r="N8786">
        <v>-5.421403E-3</v>
      </c>
      <c r="O8786">
        <v>0.22699630000000001</v>
      </c>
      <c r="P8786">
        <v>0.99842299999999995</v>
      </c>
      <c r="Q8786">
        <v>1.804267E-2</v>
      </c>
      <c r="R8786">
        <v>5.3161479999999997E-2</v>
      </c>
      <c r="S8786">
        <v>3.0160680000000002</v>
      </c>
      <c r="T8786">
        <v>6.5775280000000005E-2</v>
      </c>
      <c r="U8786">
        <v>-0.22853090000000001</v>
      </c>
      <c r="V8786">
        <v>0.17511160000000001</v>
      </c>
      <c r="W8786">
        <v>2.1478259999999999E-2</v>
      </c>
      <c r="X8786">
        <v>0.98431429999999998</v>
      </c>
      <c r="Y8786">
        <v>0.29979609999999901</v>
      </c>
      <c r="Z8786">
        <v>8.6049509999999996E-3</v>
      </c>
      <c r="AA8786">
        <v>0.95396449999999999</v>
      </c>
      <c r="AB8786">
        <v>21</v>
      </c>
      <c r="AC8786">
        <v>3.0160680000000002</v>
      </c>
      <c r="AD8786">
        <v>6.5775280000000005E-2</v>
      </c>
      <c r="AE8786">
        <v>-0.22853090000000001</v>
      </c>
      <c r="AF8786">
        <v>0.90678261794874504</v>
      </c>
      <c r="AG8786">
        <v>6.5775280000000005E-2</v>
      </c>
      <c r="AH8786">
        <v>2.8840927855305298</v>
      </c>
      <c r="AI8786">
        <v>88.753656107754793</v>
      </c>
      <c r="AJ8786">
        <v>72.546421213745703</v>
      </c>
      <c r="AK8786">
        <v>3.0239993880988698</v>
      </c>
      <c r="AL8786">
        <v>88.7692917322059</v>
      </c>
      <c r="AM8786">
        <v>79.912496180680904</v>
      </c>
      <c r="AN8786">
        <v>1.0000000146458301</v>
      </c>
    </row>
    <row r="8787" spans="1:40" x14ac:dyDescent="0.25">
      <c r="A8787" t="str">
        <f>"20190303155020371"</f>
        <v>20190303155020371</v>
      </c>
      <c r="B8787" t="str">
        <f>"1551599420359176"</f>
        <v>1551599420359176</v>
      </c>
      <c r="C8787" t="s">
        <v>40</v>
      </c>
      <c r="D8787">
        <v>6.3872710000000001</v>
      </c>
      <c r="E8787">
        <v>0.54963609999999996</v>
      </c>
      <c r="F8787" t="s">
        <v>62</v>
      </c>
      <c r="G8787">
        <v>0</v>
      </c>
      <c r="H8787">
        <v>0</v>
      </c>
      <c r="I8787">
        <v>0</v>
      </c>
      <c r="J8787">
        <v>-170.93219999999999</v>
      </c>
      <c r="K8787">
        <v>1.115942</v>
      </c>
      <c r="L8787">
        <v>137.1386</v>
      </c>
      <c r="M8787">
        <v>0.97563820000000001</v>
      </c>
      <c r="N8787">
        <v>-5.2639160000000004E-3</v>
      </c>
      <c r="O8787">
        <v>0.21932289999999999</v>
      </c>
      <c r="P8787">
        <v>0.99856650000000002</v>
      </c>
      <c r="Q8787">
        <v>1.913757E-2</v>
      </c>
      <c r="R8787">
        <v>4.9990079999999999E-2</v>
      </c>
      <c r="S8787">
        <v>3.015854</v>
      </c>
      <c r="T8787">
        <v>7.3514819999999995E-2</v>
      </c>
      <c r="U8787">
        <v>-0.2332611</v>
      </c>
      <c r="V8787">
        <v>0.17048869999999999</v>
      </c>
      <c r="W8787">
        <v>2.250369E-2</v>
      </c>
      <c r="X8787">
        <v>0.9851027</v>
      </c>
      <c r="Y8787">
        <v>0.29374620000000001</v>
      </c>
      <c r="Z8787">
        <v>9.2731329999999994E-3</v>
      </c>
      <c r="AA8787">
        <v>0.95583839999999998</v>
      </c>
      <c r="AB8787">
        <v>22</v>
      </c>
      <c r="AC8787">
        <v>3.015854</v>
      </c>
      <c r="AD8787">
        <v>7.3514819999999995E-2</v>
      </c>
      <c r="AE8787">
        <v>-0.2332611</v>
      </c>
      <c r="AF8787">
        <v>0.88851172975733295</v>
      </c>
      <c r="AG8787">
        <v>7.3514819999999995E-2</v>
      </c>
      <c r="AH8787">
        <v>2.8895559706787699</v>
      </c>
      <c r="AI8787">
        <v>88.606962141450396</v>
      </c>
      <c r="AJ8787">
        <v>72.907821303991199</v>
      </c>
      <c r="AK8787">
        <v>3.0239694493101799</v>
      </c>
      <c r="AL8787">
        <v>88.710524780591498</v>
      </c>
      <c r="AM8787">
        <v>80.181255272060696</v>
      </c>
      <c r="AN8787">
        <v>1.00000007121929</v>
      </c>
    </row>
    <row r="8788" spans="1:40" x14ac:dyDescent="0.25">
      <c r="A8788" t="str">
        <f>"20190303155020386"</f>
        <v>20190303155020386</v>
      </c>
      <c r="B8788" t="str">
        <f>"1551599420379672"</f>
        <v>1551599420379672</v>
      </c>
      <c r="C8788" t="s">
        <v>40</v>
      </c>
      <c r="D8788">
        <v>6.4497999999999998</v>
      </c>
      <c r="E8788">
        <v>0.54991919999999905</v>
      </c>
      <c r="F8788" t="s">
        <v>62</v>
      </c>
      <c r="G8788">
        <v>0</v>
      </c>
      <c r="H8788">
        <v>0</v>
      </c>
      <c r="I8788">
        <v>0</v>
      </c>
      <c r="J8788">
        <v>-170.77690000000001</v>
      </c>
      <c r="K8788">
        <v>1.1159840000000001</v>
      </c>
      <c r="L8788">
        <v>137.16749999999999</v>
      </c>
      <c r="M8788">
        <v>0.97682230000000003</v>
      </c>
      <c r="N8788">
        <v>-5.1441880000000001E-3</v>
      </c>
      <c r="O8788">
        <v>0.21399009999999999</v>
      </c>
      <c r="P8788">
        <v>0.99867819999999996</v>
      </c>
      <c r="Q8788">
        <v>2.106717E-2</v>
      </c>
      <c r="R8788">
        <v>4.688022E-2</v>
      </c>
      <c r="S8788">
        <v>3.0149379999999999</v>
      </c>
      <c r="T8788">
        <v>8.3372470000000004E-2</v>
      </c>
      <c r="U8788">
        <v>-0.24453739999999999</v>
      </c>
      <c r="V8788">
        <v>0.16818250000000001</v>
      </c>
      <c r="W8788">
        <v>2.436284E-2</v>
      </c>
      <c r="X8788">
        <v>0.98545479999999996</v>
      </c>
      <c r="Y8788">
        <v>0.29205829999999999</v>
      </c>
      <c r="Z8788">
        <v>1.0265949999999999E-2</v>
      </c>
      <c r="AA8788">
        <v>0.95634540000000001</v>
      </c>
      <c r="AB8788">
        <v>22</v>
      </c>
      <c r="AC8788">
        <v>3.0149379999999999</v>
      </c>
      <c r="AD8788">
        <v>8.3372470000000004E-2</v>
      </c>
      <c r="AE8788">
        <v>-0.24453739999999999</v>
      </c>
      <c r="AF8788">
        <v>0.88337705337112804</v>
      </c>
      <c r="AG8788">
        <v>8.3372470000000004E-2</v>
      </c>
      <c r="AH8788">
        <v>2.8905723574731401</v>
      </c>
      <c r="AI8788">
        <v>88.419979338047597</v>
      </c>
      <c r="AJ8788">
        <v>73.006518837769207</v>
      </c>
      <c r="AK8788">
        <v>3.0236922034103202</v>
      </c>
      <c r="AL8788">
        <v>88.603974011178806</v>
      </c>
      <c r="AM8788">
        <v>80.3149353778159</v>
      </c>
      <c r="AN8788">
        <v>1.00000003206107</v>
      </c>
    </row>
    <row r="8789" spans="1:40" x14ac:dyDescent="0.25">
      <c r="A8789" t="str">
        <f>"20190303155020405"</f>
        <v>20190303155020405</v>
      </c>
      <c r="B8789" t="str">
        <f>"1551599420399192"</f>
        <v>1551599420399192</v>
      </c>
      <c r="C8789" t="s">
        <v>40</v>
      </c>
      <c r="D8789">
        <v>6.3693249999999999</v>
      </c>
      <c r="E8789">
        <v>0.55021369999999903</v>
      </c>
      <c r="F8789" t="s">
        <v>62</v>
      </c>
      <c r="G8789">
        <v>0</v>
      </c>
      <c r="H8789">
        <v>0</v>
      </c>
      <c r="I8789">
        <v>0</v>
      </c>
      <c r="J8789">
        <v>-170.59139999999999</v>
      </c>
      <c r="K8789">
        <v>1.116036</v>
      </c>
      <c r="L8789">
        <v>137.20099999999999</v>
      </c>
      <c r="M8789">
        <v>0.9781649</v>
      </c>
      <c r="N8789">
        <v>-4.9945129999999999E-3</v>
      </c>
      <c r="O8789">
        <v>0.20777010000000001</v>
      </c>
      <c r="P8789">
        <v>0.9986043</v>
      </c>
      <c r="Q8789">
        <v>2.6993159999999999E-2</v>
      </c>
      <c r="R8789">
        <v>4.5397689999999997E-2</v>
      </c>
      <c r="S8789">
        <v>3.0139619999999998</v>
      </c>
      <c r="T8789">
        <v>9.5548869999999994E-2</v>
      </c>
      <c r="U8789">
        <v>-0.25611879999999998</v>
      </c>
      <c r="V8789">
        <v>0.16339899999999999</v>
      </c>
      <c r="W8789">
        <v>3.022002E-2</v>
      </c>
      <c r="X8789">
        <v>0.98609709999999995</v>
      </c>
      <c r="Y8789">
        <v>0.28959049999999997</v>
      </c>
      <c r="Z8789">
        <v>1.144679E-2</v>
      </c>
      <c r="AA8789">
        <v>0.95708219999999999</v>
      </c>
      <c r="AB8789">
        <v>22</v>
      </c>
      <c r="AC8789">
        <v>3.0139619999999998</v>
      </c>
      <c r="AD8789">
        <v>9.5548869999999994E-2</v>
      </c>
      <c r="AE8789">
        <v>-0.25611879999999998</v>
      </c>
      <c r="AF8789">
        <v>0.87587460984975396</v>
      </c>
      <c r="AG8789">
        <v>9.5548869999999994E-2</v>
      </c>
      <c r="AH8789">
        <v>2.8920884434101501</v>
      </c>
      <c r="AI8789">
        <v>88.188924944215003</v>
      </c>
      <c r="AJ8789">
        <v>73.150961388849893</v>
      </c>
      <c r="AK8789">
        <v>3.0233196131478199</v>
      </c>
      <c r="AL8789">
        <v>88.268256720315094</v>
      </c>
      <c r="AM8789">
        <v>80.591421945460695</v>
      </c>
      <c r="AN8789">
        <v>0.99999998671910495</v>
      </c>
    </row>
    <row r="8790" spans="1:40" x14ac:dyDescent="0.25">
      <c r="A8790" t="str">
        <f>"20190303155020418"</f>
        <v>20190303155020418</v>
      </c>
      <c r="B8790" t="str">
        <f>"1551599420408952"</f>
        <v>1551599420408952</v>
      </c>
      <c r="C8790" t="s">
        <v>40</v>
      </c>
      <c r="D8790">
        <v>6.3723619999999999</v>
      </c>
      <c r="E8790">
        <v>0.55032769999999898</v>
      </c>
      <c r="F8790" t="s">
        <v>62</v>
      </c>
      <c r="G8790">
        <v>0</v>
      </c>
      <c r="H8790">
        <v>0</v>
      </c>
      <c r="I8790">
        <v>0</v>
      </c>
      <c r="J8790">
        <v>-170.4453</v>
      </c>
      <c r="K8790">
        <v>1.116079</v>
      </c>
      <c r="L8790">
        <v>137.22669999999999</v>
      </c>
      <c r="M8790">
        <v>0.97917149999999997</v>
      </c>
      <c r="N8790">
        <v>-4.8736999999999999E-3</v>
      </c>
      <c r="O8790">
        <v>0.2029763</v>
      </c>
      <c r="P8790">
        <v>0.99858800000000003</v>
      </c>
      <c r="Q8790">
        <v>3.071956E-2</v>
      </c>
      <c r="R8790">
        <v>4.3342829999999999E-2</v>
      </c>
      <c r="S8790">
        <v>3.0128629999999998</v>
      </c>
      <c r="T8790">
        <v>0.12117360000000001</v>
      </c>
      <c r="U8790">
        <v>-0.26240540000000001</v>
      </c>
      <c r="V8790">
        <v>0.16060829999999901</v>
      </c>
      <c r="W8790">
        <v>3.3877869999999997E-2</v>
      </c>
      <c r="X8790">
        <v>0.98643670000000006</v>
      </c>
      <c r="Y8790">
        <v>0.28676649999999998</v>
      </c>
      <c r="Z8790">
        <v>1.416301E-2</v>
      </c>
      <c r="AA8790">
        <v>0.95789579999999996</v>
      </c>
      <c r="AB8790">
        <v>22</v>
      </c>
      <c r="AC8790">
        <v>3.0128629999999998</v>
      </c>
      <c r="AD8790">
        <v>0.12117360000000001</v>
      </c>
      <c r="AE8790">
        <v>-0.26240540000000001</v>
      </c>
      <c r="AF8790">
        <v>0.86709799260395803</v>
      </c>
      <c r="AG8790">
        <v>0.12117360000000001</v>
      </c>
      <c r="AH8790">
        <v>2.8922388565566401</v>
      </c>
      <c r="AI8790">
        <v>87.701873375791195</v>
      </c>
      <c r="AJ8790">
        <v>73.311182386199206</v>
      </c>
      <c r="AK8790">
        <v>3.0218516795982602</v>
      </c>
      <c r="AL8790">
        <v>88.058569639066604</v>
      </c>
      <c r="AM8790">
        <v>80.752439761153298</v>
      </c>
      <c r="AN8790">
        <v>1.00000004960575</v>
      </c>
    </row>
    <row r="8791" spans="1:40" x14ac:dyDescent="0.25">
      <c r="A8791" t="str">
        <f>"20190303155020437"</f>
        <v>20190303155020437</v>
      </c>
      <c r="B8791" t="str">
        <f>"1551599420429448"</f>
        <v>1551599420429448</v>
      </c>
      <c r="C8791" t="s">
        <v>40</v>
      </c>
      <c r="D8791">
        <v>6.3804730000000003</v>
      </c>
      <c r="E8791">
        <v>0.55048609999999998</v>
      </c>
      <c r="F8791" t="s">
        <v>62</v>
      </c>
      <c r="G8791">
        <v>0</v>
      </c>
      <c r="H8791">
        <v>0</v>
      </c>
      <c r="I8791">
        <v>0</v>
      </c>
      <c r="J8791">
        <v>-170.2706</v>
      </c>
      <c r="K8791">
        <v>1.1161449999999999</v>
      </c>
      <c r="L8791">
        <v>137.25649999999999</v>
      </c>
      <c r="M8791">
        <v>0.98031270000000004</v>
      </c>
      <c r="N8791">
        <v>-4.7311280000000002E-3</v>
      </c>
      <c r="O8791">
        <v>0.1973945</v>
      </c>
      <c r="P8791">
        <v>0.99845729999999999</v>
      </c>
      <c r="Q8791">
        <v>3.5478889999999999E-2</v>
      </c>
      <c r="R8791">
        <v>4.2711510000000001E-2</v>
      </c>
      <c r="S8791">
        <v>3.0117340000000001</v>
      </c>
      <c r="T8791">
        <v>0.13593379999999999</v>
      </c>
      <c r="U8791">
        <v>-0.26937870000000003</v>
      </c>
      <c r="V8791">
        <v>0.155619799999999</v>
      </c>
      <c r="W8791">
        <v>3.8575440000000003E-2</v>
      </c>
      <c r="X8791">
        <v>0.98706349999999998</v>
      </c>
      <c r="Y8791">
        <v>0.28344649999999999</v>
      </c>
      <c r="Z8791">
        <v>1.550519E-2</v>
      </c>
      <c r="AA8791">
        <v>0.95886269999999996</v>
      </c>
      <c r="AB8791">
        <v>22</v>
      </c>
      <c r="AC8791">
        <v>3.0117340000000001</v>
      </c>
      <c r="AD8791">
        <v>0.13593379999999999</v>
      </c>
      <c r="AE8791">
        <v>-0.26937870000000003</v>
      </c>
      <c r="AF8791">
        <v>0.85685303392610601</v>
      </c>
      <c r="AG8791">
        <v>0.13593379999999999</v>
      </c>
      <c r="AH8791">
        <v>2.8934521220681599</v>
      </c>
      <c r="AI8791">
        <v>87.420791091705198</v>
      </c>
      <c r="AJ8791">
        <v>73.504123997763799</v>
      </c>
      <c r="AK8791">
        <v>3.0207185076454199</v>
      </c>
      <c r="AL8791">
        <v>87.789241505284807</v>
      </c>
      <c r="AM8791">
        <v>81.040531903802503</v>
      </c>
      <c r="AN8791">
        <v>0.99999996987774098</v>
      </c>
    </row>
    <row r="8792" spans="1:40" x14ac:dyDescent="0.25">
      <c r="A8792" t="str">
        <f>"20190303155020454"</f>
        <v>20190303155020454</v>
      </c>
      <c r="B8792" t="str">
        <f>"1551599420448967"</f>
        <v>1551599420448967</v>
      </c>
      <c r="C8792" t="s">
        <v>40</v>
      </c>
      <c r="D8792">
        <v>6.3740389999999998</v>
      </c>
      <c r="E8792">
        <v>0.55065500000000001</v>
      </c>
      <c r="F8792" t="s">
        <v>62</v>
      </c>
      <c r="G8792">
        <v>0</v>
      </c>
      <c r="H8792">
        <v>0</v>
      </c>
      <c r="I8792">
        <v>0</v>
      </c>
      <c r="J8792">
        <v>-170.08930000000001</v>
      </c>
      <c r="K8792">
        <v>1.116212</v>
      </c>
      <c r="L8792">
        <v>137.28659999999999</v>
      </c>
      <c r="M8792">
        <v>0.98142700000000005</v>
      </c>
      <c r="N8792">
        <v>-4.5889399999999997E-3</v>
      </c>
      <c r="O8792">
        <v>0.19178139999999999</v>
      </c>
      <c r="P8792">
        <v>0.9985117</v>
      </c>
      <c r="Q8792">
        <v>3.8114460000000003E-2</v>
      </c>
      <c r="R8792">
        <v>3.9009919999999997E-2</v>
      </c>
      <c r="S8792">
        <v>3.0107119999999998</v>
      </c>
      <c r="T8792">
        <v>0.15686129999999901</v>
      </c>
      <c r="U8792">
        <v>-0.27227780000000001</v>
      </c>
      <c r="V8792">
        <v>0.15362819999999999</v>
      </c>
      <c r="W8792">
        <v>4.1121640000000001E-2</v>
      </c>
      <c r="X8792">
        <v>0.9872727</v>
      </c>
      <c r="Y8792">
        <v>0.27875290000000003</v>
      </c>
      <c r="Z8792">
        <v>1.7420450000000001E-2</v>
      </c>
      <c r="AA8792">
        <v>0.96020479999999997</v>
      </c>
      <c r="AB8792">
        <v>22</v>
      </c>
      <c r="AC8792">
        <v>3.0107119999999998</v>
      </c>
      <c r="AD8792">
        <v>0.15686129999999901</v>
      </c>
      <c r="AE8792">
        <v>-0.27227780000000001</v>
      </c>
      <c r="AF8792">
        <v>0.84236013496101103</v>
      </c>
      <c r="AG8792">
        <v>0.15686129999999901</v>
      </c>
      <c r="AH8792">
        <v>2.8948123350208101</v>
      </c>
      <c r="AI8792">
        <v>87.021642630587195</v>
      </c>
      <c r="AJ8792">
        <v>73.775556190645801</v>
      </c>
      <c r="AK8792">
        <v>3.0189591781602201</v>
      </c>
      <c r="AL8792">
        <v>87.643239050042794</v>
      </c>
      <c r="AM8792">
        <v>81.155213663154797</v>
      </c>
      <c r="AN8792">
        <v>0.99999999863840905</v>
      </c>
    </row>
    <row r="8793" spans="1:40" x14ac:dyDescent="0.25">
      <c r="A8793" t="str">
        <f>"20190303155020470"</f>
        <v>20190303155020470</v>
      </c>
      <c r="B8793" t="str">
        <f>"1551599420459705"</f>
        <v>1551599420459705</v>
      </c>
      <c r="C8793" t="s">
        <v>40</v>
      </c>
      <c r="D8793">
        <v>6.3249339999999998</v>
      </c>
      <c r="E8793">
        <v>0.55051139999999998</v>
      </c>
      <c r="F8793" t="s">
        <v>62</v>
      </c>
      <c r="G8793">
        <v>0</v>
      </c>
      <c r="H8793">
        <v>0</v>
      </c>
      <c r="I8793">
        <v>0</v>
      </c>
      <c r="J8793">
        <v>-169.93369999999999</v>
      </c>
      <c r="K8793">
        <v>1.1162879999999999</v>
      </c>
      <c r="L8793">
        <v>137.3117</v>
      </c>
      <c r="M8793">
        <v>0.98232830000000004</v>
      </c>
      <c r="N8793">
        <v>-4.473047E-3</v>
      </c>
      <c r="O8793">
        <v>0.1871128</v>
      </c>
      <c r="P8793">
        <v>0.99852249999999998</v>
      </c>
      <c r="Q8793">
        <v>4.0389929999999998E-2</v>
      </c>
      <c r="R8793">
        <v>3.6354499999999998E-2</v>
      </c>
      <c r="S8793">
        <v>3.0090789999999998</v>
      </c>
      <c r="T8793">
        <v>0.17060159999999999</v>
      </c>
      <c r="U8793">
        <v>-0.28446959999999999</v>
      </c>
      <c r="V8793">
        <v>0.151555</v>
      </c>
      <c r="W8793">
        <v>4.3333139999999999E-2</v>
      </c>
      <c r="X8793">
        <v>0.98749849999999995</v>
      </c>
      <c r="Y8793">
        <v>0.27798440000000002</v>
      </c>
      <c r="Z8793">
        <v>1.8621869999999999E-2</v>
      </c>
      <c r="AA8793">
        <v>0.96040510000000001</v>
      </c>
      <c r="AB8793">
        <v>22</v>
      </c>
      <c r="AC8793">
        <v>3.0090789999999998</v>
      </c>
      <c r="AD8793">
        <v>0.17060159999999999</v>
      </c>
      <c r="AE8793">
        <v>-0.28446959999999999</v>
      </c>
      <c r="AF8793">
        <v>0.83981254761203095</v>
      </c>
      <c r="AG8793">
        <v>0.17060159999999999</v>
      </c>
      <c r="AH8793">
        <v>2.8934860385549799</v>
      </c>
      <c r="AI8793">
        <v>86.759157089274794</v>
      </c>
      <c r="AJ8793">
        <v>73.815026796192896</v>
      </c>
      <c r="AK8793">
        <v>3.0177228958871898</v>
      </c>
      <c r="AL8793">
        <v>87.516416246675803</v>
      </c>
      <c r="AM8793">
        <v>81.274688277269206</v>
      </c>
      <c r="AN8793">
        <v>0.99999998327475403</v>
      </c>
    </row>
    <row r="8794" spans="1:40" x14ac:dyDescent="0.25">
      <c r="A8794" t="str">
        <f>"20190303155020487"</f>
        <v>20190303155020487</v>
      </c>
      <c r="B8794" t="str">
        <f>"1551599420479224"</f>
        <v>1551599420479224</v>
      </c>
      <c r="C8794" t="s">
        <v>40</v>
      </c>
      <c r="D8794">
        <v>6.6025479999999996</v>
      </c>
      <c r="E8794">
        <v>0.54391109999999998</v>
      </c>
      <c r="F8794" t="s">
        <v>62</v>
      </c>
      <c r="G8794">
        <v>0</v>
      </c>
      <c r="H8794">
        <v>0</v>
      </c>
      <c r="I8794">
        <v>0</v>
      </c>
      <c r="J8794">
        <v>-169.7636</v>
      </c>
      <c r="K8794">
        <v>1.116404</v>
      </c>
      <c r="L8794">
        <v>137.33850000000001</v>
      </c>
      <c r="M8794">
        <v>0.98325969999999996</v>
      </c>
      <c r="N8794">
        <v>-4.353254E-3</v>
      </c>
      <c r="O8794">
        <v>0.1821576</v>
      </c>
      <c r="P8794">
        <v>0.9982567</v>
      </c>
      <c r="Q8794">
        <v>4.6664820000000003E-2</v>
      </c>
      <c r="R8794">
        <v>3.613802E-2</v>
      </c>
      <c r="S8794">
        <v>3.0076450000000001</v>
      </c>
      <c r="T8794">
        <v>0.18270719999999999</v>
      </c>
      <c r="U8794">
        <v>-0.291153</v>
      </c>
      <c r="V8794">
        <v>0.14678640000000001</v>
      </c>
      <c r="W8794">
        <v>4.9571999999999998E-2</v>
      </c>
      <c r="X8794">
        <v>0.98792530000000001</v>
      </c>
      <c r="Y8794">
        <v>0.275204</v>
      </c>
      <c r="Z8794">
        <v>1.953042E-2</v>
      </c>
      <c r="AA8794">
        <v>0.96118749999999997</v>
      </c>
      <c r="AB8794">
        <v>23</v>
      </c>
      <c r="AC8794">
        <v>3.0076450000000001</v>
      </c>
      <c r="AD8794">
        <v>0.18270719999999999</v>
      </c>
      <c r="AE8794">
        <v>-0.291153</v>
      </c>
      <c r="AF8794">
        <v>0.83111375888861805</v>
      </c>
      <c r="AG8794">
        <v>0.18270719999999999</v>
      </c>
      <c r="AH8794">
        <v>2.8937085116778301</v>
      </c>
      <c r="AI8794">
        <v>86.527207039264397</v>
      </c>
      <c r="AJ8794">
        <v>73.975190417916494</v>
      </c>
      <c r="AK8794">
        <v>3.0162362227953099</v>
      </c>
      <c r="AL8794">
        <v>87.158569100182504</v>
      </c>
      <c r="AM8794">
        <v>81.548794565607096</v>
      </c>
      <c r="AN8794">
        <v>1.00000001439452</v>
      </c>
    </row>
    <row r="8795" spans="1:40" x14ac:dyDescent="0.25">
      <c r="A8795" t="str">
        <f>"20190303155020505"</f>
        <v>20190303155020505</v>
      </c>
      <c r="B8795" t="str">
        <f>"1551599420498744"</f>
        <v>1551599420498744</v>
      </c>
      <c r="C8795" t="s">
        <v>40</v>
      </c>
      <c r="D8795">
        <v>6.4606919999999999</v>
      </c>
      <c r="E8795">
        <v>0.55574499999999905</v>
      </c>
      <c r="F8795" t="s">
        <v>62</v>
      </c>
      <c r="G8795">
        <v>0</v>
      </c>
      <c r="H8795">
        <v>0</v>
      </c>
      <c r="I8795">
        <v>0</v>
      </c>
      <c r="J8795">
        <v>-169.5812</v>
      </c>
      <c r="K8795">
        <v>1.116525</v>
      </c>
      <c r="L8795">
        <v>137.36660000000001</v>
      </c>
      <c r="M8795">
        <v>0.98419679999999998</v>
      </c>
      <c r="N8795">
        <v>-4.233789E-3</v>
      </c>
      <c r="O8795">
        <v>0.17702760000000001</v>
      </c>
      <c r="P8795">
        <v>0.99812840000000003</v>
      </c>
      <c r="Q8795">
        <v>5.1013549999999998E-2</v>
      </c>
      <c r="R8795">
        <v>3.3727180000000002E-2</v>
      </c>
      <c r="S8795">
        <v>2.9835210000000001</v>
      </c>
      <c r="T8795">
        <v>0.63511930000000005</v>
      </c>
      <c r="U8795">
        <v>-0.21990970000000001</v>
      </c>
      <c r="V8795">
        <v>0.14400789999999999</v>
      </c>
      <c r="W8795">
        <v>5.38673E-2</v>
      </c>
      <c r="X8795">
        <v>0.98810940000000003</v>
      </c>
      <c r="Y8795">
        <v>0.23956379999999999</v>
      </c>
      <c r="Z8795">
        <v>6.2540600000000002E-2</v>
      </c>
      <c r="AA8795">
        <v>0.96886419999999995</v>
      </c>
      <c r="AB8795">
        <v>23</v>
      </c>
      <c r="AC8795">
        <v>2.9835210000000001</v>
      </c>
      <c r="AD8795">
        <v>0.63511930000000005</v>
      </c>
      <c r="AE8795">
        <v>-0.21990970000000001</v>
      </c>
      <c r="AF8795">
        <v>0.71249368365747001</v>
      </c>
      <c r="AG8795">
        <v>0.63511930000000005</v>
      </c>
      <c r="AH8795">
        <v>2.7725073537792602</v>
      </c>
      <c r="AI8795">
        <v>77.490509309167393</v>
      </c>
      <c r="AJ8795">
        <v>75.587693702309906</v>
      </c>
      <c r="AK8795">
        <v>2.9322040858788001</v>
      </c>
      <c r="AL8795">
        <v>86.912136719773599</v>
      </c>
      <c r="AM8795">
        <v>81.708043874958307</v>
      </c>
      <c r="AN8795">
        <v>1.0000000738200201</v>
      </c>
    </row>
    <row r="8796" spans="1:40" x14ac:dyDescent="0.25">
      <c r="A8796" t="str">
        <f>"20190303155020526"</f>
        <v>20190303155020526</v>
      </c>
      <c r="B8796" t="str">
        <f>"1551599420519240"</f>
        <v>1551599420519240</v>
      </c>
      <c r="C8796" t="s">
        <v>40</v>
      </c>
      <c r="D8796">
        <v>6.3196019999999997</v>
      </c>
      <c r="E8796">
        <v>0.55413780000000001</v>
      </c>
      <c r="F8796" t="s">
        <v>62</v>
      </c>
      <c r="G8796">
        <v>0</v>
      </c>
      <c r="H8796">
        <v>0</v>
      </c>
      <c r="I8796">
        <v>0</v>
      </c>
      <c r="J8796">
        <v>-169.3631</v>
      </c>
      <c r="K8796">
        <v>1.1166590000000001</v>
      </c>
      <c r="L8796">
        <v>137.3991</v>
      </c>
      <c r="M8796">
        <v>0.98523810000000001</v>
      </c>
      <c r="N8796">
        <v>-4.1041619999999997E-3</v>
      </c>
      <c r="O8796">
        <v>0.1711404</v>
      </c>
      <c r="P8796">
        <v>0.99801220000000002</v>
      </c>
      <c r="Q8796">
        <v>5.4972689999999998E-2</v>
      </c>
      <c r="R8796">
        <v>3.0820380000000001E-2</v>
      </c>
      <c r="S8796">
        <v>2.9581149999999998</v>
      </c>
      <c r="T8796">
        <v>1.1291279999999999</v>
      </c>
      <c r="U8796">
        <v>-0.3016663</v>
      </c>
      <c r="V8796">
        <v>0.140958</v>
      </c>
      <c r="W8796">
        <v>5.7771280000000001E-2</v>
      </c>
      <c r="X8796">
        <v>0.98832850000000005</v>
      </c>
      <c r="Y8796">
        <v>0.24137069999999999</v>
      </c>
      <c r="Z8796">
        <v>0.1074097</v>
      </c>
      <c r="AA8796">
        <v>0.96447050000000001</v>
      </c>
      <c r="AB8796">
        <v>23</v>
      </c>
      <c r="AC8796">
        <v>2.9581149999999998</v>
      </c>
      <c r="AD8796">
        <v>1.1291279999999999</v>
      </c>
      <c r="AE8796">
        <v>-0.3016663</v>
      </c>
      <c r="AF8796">
        <v>0.70221413241362096</v>
      </c>
      <c r="AG8796">
        <v>1.1291279999999999</v>
      </c>
      <c r="AH8796">
        <v>2.5020506022392199</v>
      </c>
      <c r="AI8796">
        <v>66.515372719593003</v>
      </c>
      <c r="AJ8796">
        <v>74.322935290656702</v>
      </c>
      <c r="AK8796">
        <v>2.83342406715109</v>
      </c>
      <c r="AL8796">
        <v>86.688105319355699</v>
      </c>
      <c r="AM8796">
        <v>81.883066509654796</v>
      </c>
      <c r="AN8796">
        <v>0.99999995123454299</v>
      </c>
    </row>
    <row r="8797" spans="1:40" x14ac:dyDescent="0.25">
      <c r="A8797" t="str">
        <f>"20190303155020548"</f>
        <v>20190303155020548</v>
      </c>
      <c r="B8797" t="str">
        <f>"1551599420539736"</f>
        <v>1551599420539736</v>
      </c>
      <c r="C8797" t="s">
        <v>40</v>
      </c>
      <c r="D8797">
        <v>6.2569019999999904</v>
      </c>
      <c r="E8797">
        <v>0.55202600000000002</v>
      </c>
      <c r="F8797" t="s">
        <v>62</v>
      </c>
      <c r="G8797">
        <v>0</v>
      </c>
      <c r="H8797">
        <v>0</v>
      </c>
      <c r="I8797">
        <v>0</v>
      </c>
      <c r="J8797">
        <v>-169.13290000000001</v>
      </c>
      <c r="K8797">
        <v>1.1167959999999999</v>
      </c>
      <c r="L8797">
        <v>137.4323</v>
      </c>
      <c r="M8797">
        <v>0.98625090000000004</v>
      </c>
      <c r="N8797">
        <v>-3.9825109999999898E-3</v>
      </c>
      <c r="O8797">
        <v>0.165206399999999</v>
      </c>
      <c r="P8797">
        <v>0.99785170000000001</v>
      </c>
      <c r="Q8797">
        <v>5.8911480000000002E-2</v>
      </c>
      <c r="R8797">
        <v>2.865908E-2</v>
      </c>
      <c r="S8797">
        <v>2.9526669999999999</v>
      </c>
      <c r="T8797">
        <v>1.1358779999999999</v>
      </c>
      <c r="U8797">
        <v>-0.29965209999999998</v>
      </c>
      <c r="V8797">
        <v>0.13712489999999999</v>
      </c>
      <c r="W8797">
        <v>6.1668170000000001E-2</v>
      </c>
      <c r="X8797">
        <v>0.98863230000000002</v>
      </c>
      <c r="Y8797">
        <v>0.2354984</v>
      </c>
      <c r="Z8797">
        <v>0.104908399999999</v>
      </c>
      <c r="AA8797">
        <v>0.96619600000000005</v>
      </c>
      <c r="AB8797">
        <v>23</v>
      </c>
      <c r="AC8797">
        <v>2.9526669999999999</v>
      </c>
      <c r="AD8797">
        <v>1.1358779999999999</v>
      </c>
      <c r="AE8797">
        <v>-0.29965209999999998</v>
      </c>
      <c r="AF8797">
        <v>0.68325353172688996</v>
      </c>
      <c r="AG8797">
        <v>1.1358779999999999</v>
      </c>
      <c r="AH8797">
        <v>2.4968458578684398</v>
      </c>
      <c r="AI8797">
        <v>66.308481449989799</v>
      </c>
      <c r="AJ8797">
        <v>74.695862561843697</v>
      </c>
      <c r="AK8797">
        <v>2.8268875919385299</v>
      </c>
      <c r="AL8797">
        <v>86.464430815416904</v>
      </c>
      <c r="AM8797">
        <v>82.103364312661299</v>
      </c>
      <c r="AN8797">
        <v>1.00000001299722</v>
      </c>
    </row>
    <row r="8798" spans="1:40" x14ac:dyDescent="0.25">
      <c r="A8798" t="str">
        <f>"20190303155020565"</f>
        <v>20190303155020565</v>
      </c>
      <c r="B8798" t="str">
        <f>"1551599420559256"</f>
        <v>1551599420559256</v>
      </c>
      <c r="C8798" t="s">
        <v>40</v>
      </c>
      <c r="D8798">
        <v>6.2307379999999997</v>
      </c>
      <c r="E8798">
        <v>0.54904809999999904</v>
      </c>
      <c r="F8798" t="s">
        <v>62</v>
      </c>
      <c r="G8798">
        <v>0</v>
      </c>
      <c r="H8798">
        <v>0</v>
      </c>
      <c r="I8798">
        <v>0</v>
      </c>
      <c r="J8798">
        <v>-168.95259999999999</v>
      </c>
      <c r="K8798">
        <v>1.116884</v>
      </c>
      <c r="L8798">
        <v>137.45750000000001</v>
      </c>
      <c r="M8798">
        <v>0.98698810000000003</v>
      </c>
      <c r="N8798">
        <v>-3.8967799999999999E-3</v>
      </c>
      <c r="O8798">
        <v>0.16074659999999999</v>
      </c>
      <c r="P8798">
        <v>0.99785409999999997</v>
      </c>
      <c r="Q8798">
        <v>5.9911470000000001E-2</v>
      </c>
      <c r="R8798">
        <v>2.6420679999999998E-2</v>
      </c>
      <c r="S8798">
        <v>2.947632</v>
      </c>
      <c r="T8798">
        <v>1.1394420000000001</v>
      </c>
      <c r="U8798">
        <v>-0.2943115</v>
      </c>
      <c r="V8798">
        <v>0.13485639999999999</v>
      </c>
      <c r="W8798">
        <v>6.263523E-2</v>
      </c>
      <c r="X8798">
        <v>0.98888350000000003</v>
      </c>
      <c r="Y8798">
        <v>0.23000860000000001</v>
      </c>
      <c r="Z8798">
        <v>0.10270799999999999</v>
      </c>
      <c r="AA8798">
        <v>0.96775359999999999</v>
      </c>
      <c r="AB8798">
        <v>23</v>
      </c>
      <c r="AC8798">
        <v>2.947632</v>
      </c>
      <c r="AD8798">
        <v>1.1394420000000001</v>
      </c>
      <c r="AE8798">
        <v>-0.2943115</v>
      </c>
      <c r="AF8798">
        <v>0.66580091959017695</v>
      </c>
      <c r="AG8798">
        <v>1.1394420000000001</v>
      </c>
      <c r="AH8798">
        <v>2.4931199999024001</v>
      </c>
      <c r="AI8798">
        <v>66.175664363081907</v>
      </c>
      <c r="AJ8798">
        <v>75.047795878340906</v>
      </c>
      <c r="AK8798">
        <v>2.8208626818412199</v>
      </c>
      <c r="AL8798">
        <v>86.408914977821297</v>
      </c>
      <c r="AM8798">
        <v>82.234341951620195</v>
      </c>
      <c r="AN8798">
        <v>0.99999999861518096</v>
      </c>
    </row>
    <row r="8799" spans="1:40" x14ac:dyDescent="0.25">
      <c r="A8799" t="str">
        <f>"20190303155020582"</f>
        <v>20190303155020582</v>
      </c>
      <c r="B8799" t="str">
        <f>"1551599420579752"</f>
        <v>1551599420579752</v>
      </c>
      <c r="C8799" t="s">
        <v>40</v>
      </c>
      <c r="D8799">
        <v>6.0743919999999996</v>
      </c>
      <c r="E8799">
        <v>0.54787799999999998</v>
      </c>
      <c r="F8799" t="s">
        <v>62</v>
      </c>
      <c r="G8799">
        <v>0</v>
      </c>
      <c r="H8799">
        <v>0</v>
      </c>
      <c r="I8799">
        <v>0</v>
      </c>
      <c r="J8799">
        <v>-168.7748</v>
      </c>
      <c r="K8799">
        <v>1.1169659999999999</v>
      </c>
      <c r="L8799">
        <v>137.4819</v>
      </c>
      <c r="M8799">
        <v>0.98766799999999999</v>
      </c>
      <c r="N8799">
        <v>-3.8197159999999999E-3</v>
      </c>
      <c r="O8799">
        <v>0.1565165</v>
      </c>
      <c r="P8799">
        <v>0.99795599999999995</v>
      </c>
      <c r="Q8799">
        <v>5.8154570000000003E-2</v>
      </c>
      <c r="R8799">
        <v>2.6493039999999999E-2</v>
      </c>
      <c r="S8799">
        <v>2.9469599999999998</v>
      </c>
      <c r="T8799">
        <v>1.1150549999999999</v>
      </c>
      <c r="U8799">
        <v>-0.2807617</v>
      </c>
      <c r="V8799">
        <v>0.1305327</v>
      </c>
      <c r="W8799">
        <v>6.0870979999999998E-2</v>
      </c>
      <c r="X8799">
        <v>0.98957360000000005</v>
      </c>
      <c r="Y8799">
        <v>0.2233465</v>
      </c>
      <c r="Z8799">
        <v>9.7938449999999996E-2</v>
      </c>
      <c r="AA8799">
        <v>0.96980639999999996</v>
      </c>
      <c r="AB8799">
        <v>23</v>
      </c>
      <c r="AC8799">
        <v>2.9469599999999998</v>
      </c>
      <c r="AD8799">
        <v>1.1150549999999999</v>
      </c>
      <c r="AE8799">
        <v>-0.2807617</v>
      </c>
      <c r="AF8799">
        <v>0.64678673221112404</v>
      </c>
      <c r="AG8799">
        <v>1.1150549999999999</v>
      </c>
      <c r="AH8799">
        <v>2.5105055464146599</v>
      </c>
      <c r="AI8799">
        <v>66.726941254236294</v>
      </c>
      <c r="AJ8799">
        <v>75.552938775783403</v>
      </c>
      <c r="AK8799">
        <v>2.8221124762433001</v>
      </c>
      <c r="AL8799">
        <v>86.510192318208397</v>
      </c>
      <c r="AM8799">
        <v>82.485609220432394</v>
      </c>
      <c r="AN8799">
        <v>0.99999998589620498</v>
      </c>
    </row>
    <row r="8800" spans="1:40" x14ac:dyDescent="0.25">
      <c r="A8800" t="str">
        <f>"20190303155020598"</f>
        <v>20190303155020598</v>
      </c>
      <c r="B8800" t="str">
        <f>"1551599420589513"</f>
        <v>1551599420589513</v>
      </c>
      <c r="C8800" t="s">
        <v>40</v>
      </c>
      <c r="D8800">
        <v>6.0397669999999897</v>
      </c>
      <c r="E8800">
        <v>0.54765390000000003</v>
      </c>
      <c r="F8800" t="s">
        <v>62</v>
      </c>
      <c r="G8800">
        <v>0</v>
      </c>
      <c r="H8800">
        <v>0</v>
      </c>
      <c r="I8800">
        <v>0</v>
      </c>
      <c r="J8800">
        <v>-168.5993</v>
      </c>
      <c r="K8800">
        <v>1.117046</v>
      </c>
      <c r="L8800">
        <v>137.50530000000001</v>
      </c>
      <c r="M8800">
        <v>0.98829330000000004</v>
      </c>
      <c r="N8800">
        <v>-3.7504180000000002E-3</v>
      </c>
      <c r="O8800">
        <v>0.15251999999999999</v>
      </c>
      <c r="P8800">
        <v>0.99807659999999998</v>
      </c>
      <c r="Q8800">
        <v>5.6823400000000003E-2</v>
      </c>
      <c r="R8800">
        <v>2.4791529999999999E-2</v>
      </c>
      <c r="S8800">
        <v>2.9494319999999998</v>
      </c>
      <c r="T8800">
        <v>1.0991219999999999</v>
      </c>
      <c r="U8800">
        <v>-0.27668759999999998</v>
      </c>
      <c r="V8800">
        <v>0.12820219999999999</v>
      </c>
      <c r="W8800">
        <v>5.9521589999999999E-2</v>
      </c>
      <c r="X8800">
        <v>0.98996030000000002</v>
      </c>
      <c r="Y8800">
        <v>0.21931429999999999</v>
      </c>
      <c r="Z8800">
        <v>9.4394809999999996E-2</v>
      </c>
      <c r="AA8800">
        <v>0.97107710000000003</v>
      </c>
      <c r="AB8800">
        <v>23</v>
      </c>
      <c r="AC8800">
        <v>2.9494319999999998</v>
      </c>
      <c r="AD8800">
        <v>1.0991219999999999</v>
      </c>
      <c r="AE8800">
        <v>-0.27668759999999998</v>
      </c>
      <c r="AF8800">
        <v>0.63577916806868995</v>
      </c>
      <c r="AG8800">
        <v>1.0991219999999999</v>
      </c>
      <c r="AH8800">
        <v>2.5251147034076502</v>
      </c>
      <c r="AI8800">
        <v>67.115284644133993</v>
      </c>
      <c r="AJ8800">
        <v>75.8676860207689</v>
      </c>
      <c r="AK8800">
        <v>2.82639144259949</v>
      </c>
      <c r="AL8800">
        <v>86.587647218103399</v>
      </c>
      <c r="AM8800">
        <v>82.621128193171799</v>
      </c>
      <c r="AN8800">
        <v>1.00000000966852</v>
      </c>
    </row>
    <row r="8801" spans="1:40" x14ac:dyDescent="0.25">
      <c r="A8801" t="str">
        <f>"20190303155020613"</f>
        <v>20190303155020613</v>
      </c>
      <c r="B8801" t="str">
        <f>"1551599420609032"</f>
        <v>1551599420609032</v>
      </c>
      <c r="C8801" t="s">
        <v>40</v>
      </c>
      <c r="D8801">
        <v>6.4441850000000001</v>
      </c>
      <c r="E8801">
        <v>0.54792109999999905</v>
      </c>
      <c r="F8801" t="s">
        <v>62</v>
      </c>
      <c r="G8801">
        <v>0</v>
      </c>
      <c r="H8801">
        <v>0</v>
      </c>
      <c r="I8801">
        <v>0</v>
      </c>
      <c r="J8801">
        <v>-168.44720000000001</v>
      </c>
      <c r="K8801">
        <v>1.1171180000000001</v>
      </c>
      <c r="L8801">
        <v>137.52500000000001</v>
      </c>
      <c r="M8801">
        <v>0.98879799999999995</v>
      </c>
      <c r="N8801">
        <v>-3.6959050000000002E-3</v>
      </c>
      <c r="O8801">
        <v>0.14921409999999999</v>
      </c>
      <c r="P8801">
        <v>0.99818079999999998</v>
      </c>
      <c r="Q8801">
        <v>5.5578740000000001E-2</v>
      </c>
      <c r="R8801">
        <v>2.3372400000000002E-2</v>
      </c>
      <c r="S8801">
        <v>2.950272</v>
      </c>
      <c r="T8801">
        <v>1.09833799999999</v>
      </c>
      <c r="U8801">
        <v>-0.28239439999999999</v>
      </c>
      <c r="V8801">
        <v>0.12628639999999999</v>
      </c>
      <c r="W8801">
        <v>5.8266350000000001E-2</v>
      </c>
      <c r="X8801">
        <v>0.99028119999999997</v>
      </c>
      <c r="Y8801">
        <v>0.21825310000000001</v>
      </c>
      <c r="Z8801">
        <v>9.2916620000000005E-2</v>
      </c>
      <c r="AA8801">
        <v>0.97145870000000001</v>
      </c>
      <c r="AB8801">
        <v>23</v>
      </c>
      <c r="AC8801">
        <v>2.950272</v>
      </c>
      <c r="AD8801">
        <v>1.09833799999999</v>
      </c>
      <c r="AE8801">
        <v>-0.28239439999999999</v>
      </c>
      <c r="AF8801">
        <v>0.63258138970790301</v>
      </c>
      <c r="AG8801">
        <v>1.09833799999999</v>
      </c>
      <c r="AH8801">
        <v>2.52792786238685</v>
      </c>
      <c r="AI8801">
        <v>67.145283119541304</v>
      </c>
      <c r="AJ8801">
        <v>75.950970405837595</v>
      </c>
      <c r="AK8801">
        <v>2.8278834583979102</v>
      </c>
      <c r="AL8801">
        <v>86.659692326201196</v>
      </c>
      <c r="AM8801">
        <v>82.732537101078606</v>
      </c>
      <c r="AN8801">
        <v>1.00000003872036</v>
      </c>
    </row>
    <row r="8802" spans="1:40" x14ac:dyDescent="0.25">
      <c r="A8802" t="str">
        <f>"20190303155020626"</f>
        <v>20190303155020626</v>
      </c>
      <c r="B8802" t="str">
        <f>"1551599420618792"</f>
        <v>1551599420618792</v>
      </c>
      <c r="C8802" t="s">
        <v>40</v>
      </c>
      <c r="D8802">
        <v>6.0111520000000001</v>
      </c>
      <c r="E8802">
        <v>0.54834769999999999</v>
      </c>
      <c r="F8802" t="s">
        <v>62</v>
      </c>
      <c r="G8802">
        <v>0</v>
      </c>
      <c r="H8802">
        <v>0</v>
      </c>
      <c r="I8802">
        <v>0</v>
      </c>
      <c r="J8802">
        <v>-168.3065</v>
      </c>
      <c r="K8802">
        <v>1.1171879999999901</v>
      </c>
      <c r="L8802">
        <v>137.54310000000001</v>
      </c>
      <c r="M8802">
        <v>0.98924080000000003</v>
      </c>
      <c r="N8802">
        <v>-3.6485910000000001E-3</v>
      </c>
      <c r="O8802">
        <v>0.146251399999999</v>
      </c>
      <c r="P8802">
        <v>0.99828609999999895</v>
      </c>
      <c r="Q8802">
        <v>5.338126E-2</v>
      </c>
      <c r="R8802">
        <v>2.399101E-2</v>
      </c>
      <c r="S8802">
        <v>2.9516450000000001</v>
      </c>
      <c r="T8802">
        <v>1.089181</v>
      </c>
      <c r="U8802">
        <v>-0.29077150000000002</v>
      </c>
      <c r="V8802">
        <v>0.122693</v>
      </c>
      <c r="W8802">
        <v>5.6077439999999999E-2</v>
      </c>
      <c r="X8802">
        <v>0.99085909999999999</v>
      </c>
      <c r="Y8802">
        <v>0.21862989999999999</v>
      </c>
      <c r="Z8802">
        <v>9.1146199999999997E-2</v>
      </c>
      <c r="AA8802">
        <v>0.97154169999999995</v>
      </c>
      <c r="AB8802">
        <v>24</v>
      </c>
      <c r="AC8802">
        <v>2.9516450000000001</v>
      </c>
      <c r="AD8802">
        <v>1.089181</v>
      </c>
      <c r="AE8802">
        <v>-0.29077150000000002</v>
      </c>
      <c r="AF8802">
        <v>0.63385006363330398</v>
      </c>
      <c r="AG8802">
        <v>1.089181</v>
      </c>
      <c r="AH8802">
        <v>2.5354539557251998</v>
      </c>
      <c r="AI8802">
        <v>67.375842355441605</v>
      </c>
      <c r="AJ8802">
        <v>75.964042069105602</v>
      </c>
      <c r="AK8802">
        <v>2.83136149502876</v>
      </c>
      <c r="AL8802">
        <v>86.785313010734896</v>
      </c>
      <c r="AM8802">
        <v>82.941287311539099</v>
      </c>
      <c r="AN8802">
        <v>1.0000000037893799</v>
      </c>
    </row>
    <row r="8803" spans="1:40" x14ac:dyDescent="0.25">
      <c r="A8803" t="str">
        <f>"20190303155020649"</f>
        <v>20190303155020649</v>
      </c>
      <c r="B8803" t="str">
        <f>"1551599420639288"</f>
        <v>1551599420639288</v>
      </c>
      <c r="C8803" t="s">
        <v>40</v>
      </c>
      <c r="D8803">
        <v>6.1268919999999998</v>
      </c>
      <c r="E8803">
        <v>0.5478828</v>
      </c>
      <c r="F8803" t="s">
        <v>62</v>
      </c>
      <c r="G8803">
        <v>0</v>
      </c>
      <c r="H8803">
        <v>0</v>
      </c>
      <c r="I8803">
        <v>0</v>
      </c>
      <c r="J8803">
        <v>-168.07069999999999</v>
      </c>
      <c r="K8803">
        <v>1.117326</v>
      </c>
      <c r="L8803">
        <v>137.57259999999999</v>
      </c>
      <c r="M8803">
        <v>0.98992570000000002</v>
      </c>
      <c r="N8803">
        <v>-3.57705E-3</v>
      </c>
      <c r="O8803">
        <v>0.14154239999999901</v>
      </c>
      <c r="P8803">
        <v>0.99838919999999998</v>
      </c>
      <c r="Q8803">
        <v>5.2148399999999998E-2</v>
      </c>
      <c r="R8803">
        <v>2.2357200000000001E-2</v>
      </c>
      <c r="S8803">
        <v>2.9541469999999999</v>
      </c>
      <c r="T8803">
        <v>1.0857540000000001</v>
      </c>
      <c r="U8803">
        <v>-0.29335020000000001</v>
      </c>
      <c r="V8803">
        <v>0.1195773</v>
      </c>
      <c r="W8803">
        <v>5.4843379999999997E-2</v>
      </c>
      <c r="X8803">
        <v>0.991309</v>
      </c>
      <c r="Y8803">
        <v>0.2154713</v>
      </c>
      <c r="Z8803">
        <v>8.8565110000000002E-2</v>
      </c>
      <c r="AA8803">
        <v>0.97248570000000001</v>
      </c>
      <c r="AB8803">
        <v>24</v>
      </c>
      <c r="AC8803">
        <v>2.9541469999999999</v>
      </c>
      <c r="AD8803">
        <v>1.0857540000000001</v>
      </c>
      <c r="AE8803">
        <v>-0.29335020000000001</v>
      </c>
      <c r="AF8803">
        <v>0.62494214757683797</v>
      </c>
      <c r="AG8803">
        <v>1.0857540000000001</v>
      </c>
      <c r="AH8803">
        <v>2.54275553680286</v>
      </c>
      <c r="AI8803">
        <v>67.478223015372805</v>
      </c>
      <c r="AJ8803">
        <v>76.1918934103455</v>
      </c>
      <c r="AK8803">
        <v>2.8346111120002999</v>
      </c>
      <c r="AL8803">
        <v>86.856128520866903</v>
      </c>
      <c r="AM8803">
        <v>83.1218905445877</v>
      </c>
      <c r="AN8803">
        <v>1.0000000302430501</v>
      </c>
    </row>
    <row r="8804" spans="1:40" x14ac:dyDescent="0.25">
      <c r="A8804" t="str">
        <f>"20190303155020667"</f>
        <v>20190303155020667</v>
      </c>
      <c r="B8804" t="str">
        <f>"1551599420659179"</f>
        <v>1551599420659179</v>
      </c>
      <c r="C8804" t="s">
        <v>40</v>
      </c>
      <c r="D8804">
        <v>6.0530249999999999</v>
      </c>
      <c r="E8804">
        <v>0.54762789999999995</v>
      </c>
      <c r="F8804" t="s">
        <v>62</v>
      </c>
      <c r="G8804">
        <v>0</v>
      </c>
      <c r="H8804">
        <v>0</v>
      </c>
      <c r="I8804">
        <v>0</v>
      </c>
      <c r="J8804">
        <v>-167.86590000000001</v>
      </c>
      <c r="K8804">
        <v>1.1174440000000001</v>
      </c>
      <c r="L8804">
        <v>137.5975</v>
      </c>
      <c r="M8804">
        <v>0.99047099999999999</v>
      </c>
      <c r="N8804">
        <v>-3.5222970000000002E-3</v>
      </c>
      <c r="O8804">
        <v>0.13767699999999999</v>
      </c>
      <c r="P8804">
        <v>0.9984999</v>
      </c>
      <c r="Q8804">
        <v>5.1159549999999998E-2</v>
      </c>
      <c r="R8804">
        <v>1.952011E-2</v>
      </c>
      <c r="S8804">
        <v>2.9553829999999999</v>
      </c>
      <c r="T8804">
        <v>1.072195</v>
      </c>
      <c r="U8804">
        <v>-0.29246519999999998</v>
      </c>
      <c r="V8804">
        <v>0.11850670000000001</v>
      </c>
      <c r="W8804">
        <v>5.3845879999999999E-2</v>
      </c>
      <c r="X8804">
        <v>0.99149219999999905</v>
      </c>
      <c r="Y8804">
        <v>0.21236930000000001</v>
      </c>
      <c r="Z8804">
        <v>8.5590689999999997E-2</v>
      </c>
      <c r="AA8804">
        <v>0.97343389999999996</v>
      </c>
      <c r="AB8804">
        <v>24</v>
      </c>
      <c r="AC8804">
        <v>2.9553829999999999</v>
      </c>
      <c r="AD8804">
        <v>1.072195</v>
      </c>
      <c r="AE8804">
        <v>-0.29246519999999998</v>
      </c>
      <c r="AF8804">
        <v>0.61624732257435999</v>
      </c>
      <c r="AG8804">
        <v>1.072195</v>
      </c>
      <c r="AH8804">
        <v>2.5540682561987</v>
      </c>
      <c r="AI8804">
        <v>67.800208101389799</v>
      </c>
      <c r="AJ8804">
        <v>76.4349057739405</v>
      </c>
      <c r="AK8804">
        <v>2.8377151967607599</v>
      </c>
      <c r="AL8804">
        <v>86.913365550032395</v>
      </c>
      <c r="AM8804">
        <v>83.184137307918704</v>
      </c>
      <c r="AN8804">
        <v>0.99999999969935105</v>
      </c>
    </row>
    <row r="8805" spans="1:40" x14ac:dyDescent="0.25">
      <c r="A8805" t="str">
        <f>"20190303155020684"</f>
        <v>20190303155020684</v>
      </c>
      <c r="B8805" t="str">
        <f>"1551599420679675"</f>
        <v>1551599420679675</v>
      </c>
      <c r="C8805" t="s">
        <v>40</v>
      </c>
      <c r="D8805">
        <v>6.178382</v>
      </c>
      <c r="E8805">
        <v>0.54687669999999999</v>
      </c>
      <c r="F8805" t="s">
        <v>62</v>
      </c>
      <c r="G8805">
        <v>0</v>
      </c>
      <c r="H8805">
        <v>0</v>
      </c>
      <c r="I8805">
        <v>0</v>
      </c>
      <c r="J8805">
        <v>-167.69210000000001</v>
      </c>
      <c r="K8805">
        <v>1.1175440000000001</v>
      </c>
      <c r="L8805">
        <v>137.6183</v>
      </c>
      <c r="M8805">
        <v>0.99090259999999997</v>
      </c>
      <c r="N8805">
        <v>-3.481142E-3</v>
      </c>
      <c r="O8805">
        <v>0.1345364</v>
      </c>
      <c r="P8805">
        <v>0.99848680000000001</v>
      </c>
      <c r="Q8805">
        <v>5.2233969999999998E-2</v>
      </c>
      <c r="R8805">
        <v>1.7205580000000002E-2</v>
      </c>
      <c r="S8805">
        <v>2.9559630000000001</v>
      </c>
      <c r="T8805">
        <v>1.0611010000000001</v>
      </c>
      <c r="U8805">
        <v>-0.29786679999999999</v>
      </c>
      <c r="V8805">
        <v>0.11764769999999899</v>
      </c>
      <c r="W8805">
        <v>5.4914320000000003E-2</v>
      </c>
      <c r="X8805">
        <v>0.99153590000000003</v>
      </c>
      <c r="Y8805">
        <v>0.21172260000000001</v>
      </c>
      <c r="Z8805">
        <v>8.352822E-2</v>
      </c>
      <c r="AA8805">
        <v>0.97375389999999995</v>
      </c>
      <c r="AB8805">
        <v>24</v>
      </c>
      <c r="AC8805">
        <v>2.9559630000000001</v>
      </c>
      <c r="AD8805">
        <v>1.0611010000000001</v>
      </c>
      <c r="AE8805">
        <v>-0.29786679999999999</v>
      </c>
      <c r="AF8805">
        <v>0.61446252716411198</v>
      </c>
      <c r="AG8805">
        <v>1.0611010000000001</v>
      </c>
      <c r="AH8805">
        <v>2.5621739278403601</v>
      </c>
      <c r="AI8805">
        <v>68.064283132743597</v>
      </c>
      <c r="AJ8805">
        <v>76.513976888406901</v>
      </c>
      <c r="AK8805">
        <v>2.8404638293762501</v>
      </c>
      <c r="AL8805">
        <v>86.852057736268094</v>
      </c>
      <c r="AM8805">
        <v>83.233378008039196</v>
      </c>
      <c r="AN8805">
        <v>1.0000000024225799</v>
      </c>
    </row>
    <row r="8806" spans="1:40" x14ac:dyDescent="0.25">
      <c r="A8806" t="str">
        <f>"20190303155020707"</f>
        <v>20190303155020707</v>
      </c>
      <c r="B8806" t="str">
        <f>"1551599420699195"</f>
        <v>1551599420699195</v>
      </c>
      <c r="C8806" t="s">
        <v>40</v>
      </c>
      <c r="D8806">
        <v>5.9573419999999997</v>
      </c>
      <c r="E8806">
        <v>0.54595309999999997</v>
      </c>
      <c r="F8806" t="s">
        <v>62</v>
      </c>
      <c r="G8806">
        <v>0</v>
      </c>
      <c r="H8806">
        <v>0</v>
      </c>
      <c r="I8806">
        <v>0</v>
      </c>
      <c r="J8806">
        <v>-167.44909999999999</v>
      </c>
      <c r="K8806">
        <v>1.117675</v>
      </c>
      <c r="L8806">
        <v>137.64660000000001</v>
      </c>
      <c r="M8806">
        <v>0.99146020000000001</v>
      </c>
      <c r="N8806">
        <v>-3.4323579999999999E-3</v>
      </c>
      <c r="O8806">
        <v>0.13036489999999901</v>
      </c>
      <c r="P8806">
        <v>0.99832699999999996</v>
      </c>
      <c r="Q8806">
        <v>5.6261480000000003E-2</v>
      </c>
      <c r="R8806">
        <v>1.3347080000000001E-2</v>
      </c>
      <c r="S8806">
        <v>2.954529</v>
      </c>
      <c r="T8806">
        <v>1.0541</v>
      </c>
      <c r="U8806">
        <v>-0.2976685</v>
      </c>
      <c r="V8806">
        <v>0.11728710000000001</v>
      </c>
      <c r="W8806">
        <v>5.8928500000000002E-2</v>
      </c>
      <c r="X8806">
        <v>0.99134809999999995</v>
      </c>
      <c r="Y8806">
        <v>0.2083306</v>
      </c>
      <c r="Z8806">
        <v>8.1018099999999996E-2</v>
      </c>
      <c r="AA8806">
        <v>0.97469709999999998</v>
      </c>
      <c r="AB8806">
        <v>24</v>
      </c>
      <c r="AC8806">
        <v>2.954529</v>
      </c>
      <c r="AD8806">
        <v>1.0541</v>
      </c>
      <c r="AE8806">
        <v>-0.2976685</v>
      </c>
      <c r="AF8806">
        <v>0.60416694094969603</v>
      </c>
      <c r="AG8806">
        <v>1.0541</v>
      </c>
      <c r="AH8806">
        <v>2.56703957078139</v>
      </c>
      <c r="AI8806">
        <v>68.213039033463602</v>
      </c>
      <c r="AJ8806">
        <v>76.756146423375895</v>
      </c>
      <c r="AK8806">
        <v>2.8400416652742999</v>
      </c>
      <c r="AL8806">
        <v>86.621688303073199</v>
      </c>
      <c r="AM8806">
        <v>83.252660640189205</v>
      </c>
      <c r="AN8806">
        <v>0.99999994365613298</v>
      </c>
    </row>
    <row r="8807" spans="1:40" x14ac:dyDescent="0.25">
      <c r="A8807" t="str">
        <f>"20190303155020727"</f>
        <v>20190303155020727</v>
      </c>
      <c r="B8807" t="str">
        <f>"1551599420719690"</f>
        <v>1551599420719690</v>
      </c>
      <c r="C8807" t="s">
        <v>40</v>
      </c>
      <c r="D8807">
        <v>5.9192179999999999</v>
      </c>
      <c r="E8807">
        <v>0.54596199999999995</v>
      </c>
      <c r="F8807" t="s">
        <v>62</v>
      </c>
      <c r="G8807">
        <v>0</v>
      </c>
      <c r="H8807">
        <v>0</v>
      </c>
      <c r="I8807">
        <v>0</v>
      </c>
      <c r="J8807">
        <v>-167.21510000000001</v>
      </c>
      <c r="K8807">
        <v>1.117772</v>
      </c>
      <c r="L8807">
        <v>137.67320000000001</v>
      </c>
      <c r="M8807">
        <v>0.99195650000000002</v>
      </c>
      <c r="N8807">
        <v>-3.3932290000000002E-3</v>
      </c>
      <c r="O8807">
        <v>0.12653399999999901</v>
      </c>
      <c r="P8807">
        <v>0.99821230000000005</v>
      </c>
      <c r="Q8807">
        <v>5.8940480000000003E-2</v>
      </c>
      <c r="R8807">
        <v>9.9125280000000003E-3</v>
      </c>
      <c r="S8807">
        <v>2.9494929999999999</v>
      </c>
      <c r="T8807">
        <v>1.057021</v>
      </c>
      <c r="U8807">
        <v>-0.3023071</v>
      </c>
      <c r="V8807">
        <v>0.11685230000000001</v>
      </c>
      <c r="W8807">
        <v>6.1594870000000003E-2</v>
      </c>
      <c r="X8807">
        <v>0.99123740000000005</v>
      </c>
      <c r="Y8807">
        <v>0.2064327</v>
      </c>
      <c r="Z8807">
        <v>7.9691369999999997E-2</v>
      </c>
      <c r="AA8807">
        <v>0.97521009999999997</v>
      </c>
      <c r="AB8807">
        <v>24</v>
      </c>
      <c r="AC8807">
        <v>2.9494929999999999</v>
      </c>
      <c r="AD8807">
        <v>1.057021</v>
      </c>
      <c r="AE8807">
        <v>-0.3023071</v>
      </c>
      <c r="AF8807">
        <v>0.59718970657128301</v>
      </c>
      <c r="AG8807">
        <v>1.057021</v>
      </c>
      <c r="AH8807">
        <v>2.5619216073177999</v>
      </c>
      <c r="AI8807">
        <v>68.108908163233906</v>
      </c>
      <c r="AJ8807">
        <v>76.878534474694604</v>
      </c>
      <c r="AK8807">
        <v>2.83502579567056</v>
      </c>
      <c r="AL8807">
        <v>86.468638498213195</v>
      </c>
      <c r="AM8807">
        <v>83.276700743409606</v>
      </c>
      <c r="AN8807">
        <v>0.99999998559218295</v>
      </c>
    </row>
    <row r="8808" spans="1:40" x14ac:dyDescent="0.25">
      <c r="A8808" t="str">
        <f>"20190303155020749"</f>
        <v>20190303155020749</v>
      </c>
      <c r="B8808" t="str">
        <f>"1551599420739210"</f>
        <v>1551599420739210</v>
      </c>
      <c r="C8808" t="s">
        <v>40</v>
      </c>
      <c r="D8808">
        <v>5.941916</v>
      </c>
      <c r="E8808">
        <v>0.54572759999999998</v>
      </c>
      <c r="F8808" t="s">
        <v>62</v>
      </c>
      <c r="G8808">
        <v>0</v>
      </c>
      <c r="H8808">
        <v>0</v>
      </c>
      <c r="I8808">
        <v>0</v>
      </c>
      <c r="J8808">
        <v>-166.96969999999999</v>
      </c>
      <c r="K8808">
        <v>1.1178330000000001</v>
      </c>
      <c r="L8808">
        <v>137.7002</v>
      </c>
      <c r="M8808">
        <v>0.99244129999999997</v>
      </c>
      <c r="N8808">
        <v>-3.3595600000000002E-3</v>
      </c>
      <c r="O8808">
        <v>0.1226744</v>
      </c>
      <c r="P8808">
        <v>0.99817940000000005</v>
      </c>
      <c r="Q8808">
        <v>5.9825610000000001E-2</v>
      </c>
      <c r="R8808">
        <v>7.6751559999999998E-3</v>
      </c>
      <c r="S8808">
        <v>2.9456180000000001</v>
      </c>
      <c r="T8808">
        <v>1.0645789999999999</v>
      </c>
      <c r="U8808">
        <v>-0.31327820000000001</v>
      </c>
      <c r="V8808">
        <v>0.11520759999999999</v>
      </c>
      <c r="W8808">
        <v>6.2473420000000002E-2</v>
      </c>
      <c r="X8808">
        <v>0.99137500000000001</v>
      </c>
      <c r="Y8808">
        <v>0.20629169999999999</v>
      </c>
      <c r="Z8808">
        <v>7.8931619999999994E-2</v>
      </c>
      <c r="AA8808">
        <v>0.97530170000000005</v>
      </c>
      <c r="AB8808">
        <v>24</v>
      </c>
      <c r="AC8808">
        <v>2.9456180000000001</v>
      </c>
      <c r="AD8808">
        <v>1.0645789999999999</v>
      </c>
      <c r="AE8808">
        <v>-0.31327820000000001</v>
      </c>
      <c r="AF8808">
        <v>0.59536972782833197</v>
      </c>
      <c r="AG8808">
        <v>1.0645789999999999</v>
      </c>
      <c r="AH8808">
        <v>2.5549483717098198</v>
      </c>
      <c r="AI8808">
        <v>67.912622461037699</v>
      </c>
      <c r="AJ8808">
        <v>76.882671537443201</v>
      </c>
      <c r="AK8808">
        <v>2.8311755053613399</v>
      </c>
      <c r="AL8808">
        <v>86.418204402403504</v>
      </c>
      <c r="AM8808">
        <v>83.371395089285002</v>
      </c>
      <c r="AN8808">
        <v>1.00000005496462</v>
      </c>
    </row>
    <row r="8809" spans="1:40" x14ac:dyDescent="0.25">
      <c r="A8809" t="str">
        <f>"20190303155020772"</f>
        <v>20190303155020772</v>
      </c>
      <c r="B8809" t="str">
        <f>"1551599420769467"</f>
        <v>1551599420769467</v>
      </c>
      <c r="C8809" t="s">
        <v>40</v>
      </c>
      <c r="D8809">
        <v>6.1403089999999896</v>
      </c>
      <c r="E8809">
        <v>0.54541399999999995</v>
      </c>
      <c r="F8809" t="s">
        <v>62</v>
      </c>
      <c r="G8809">
        <v>0</v>
      </c>
      <c r="H8809">
        <v>0</v>
      </c>
      <c r="I8809">
        <v>0</v>
      </c>
      <c r="J8809">
        <v>-166.7199</v>
      </c>
      <c r="K8809">
        <v>1.117866</v>
      </c>
      <c r="L8809">
        <v>137.7269</v>
      </c>
      <c r="M8809">
        <v>0.99290509999999998</v>
      </c>
      <c r="N8809">
        <v>-3.3321420000000002E-3</v>
      </c>
      <c r="O8809">
        <v>0.11886339999999999</v>
      </c>
      <c r="P8809">
        <v>0.99807380000000001</v>
      </c>
      <c r="Q8809">
        <v>6.1662269999999998E-2</v>
      </c>
      <c r="R8809">
        <v>6.8244819999999998E-3</v>
      </c>
      <c r="S8809">
        <v>2.9441989999999998</v>
      </c>
      <c r="T8809">
        <v>1.0633300000000001</v>
      </c>
      <c r="U8809">
        <v>-0.31867980000000001</v>
      </c>
      <c r="V8809">
        <v>0.1122383</v>
      </c>
      <c r="W8809">
        <v>6.4309370000000005E-2</v>
      </c>
      <c r="X8809">
        <v>0.99159810000000004</v>
      </c>
      <c r="Y8809">
        <v>0.2047419</v>
      </c>
      <c r="Z8809">
        <v>7.7266370000000001E-2</v>
      </c>
      <c r="AA8809">
        <v>0.97576160000000001</v>
      </c>
      <c r="AB8809">
        <v>25</v>
      </c>
      <c r="AC8809">
        <v>2.9441989999999998</v>
      </c>
      <c r="AD8809">
        <v>1.0633300000000001</v>
      </c>
      <c r="AE8809">
        <v>-0.31867980000000001</v>
      </c>
      <c r="AF8809">
        <v>0.59027737173751904</v>
      </c>
      <c r="AG8809">
        <v>1.0633300000000001</v>
      </c>
      <c r="AH8809">
        <v>2.5559200199557401</v>
      </c>
      <c r="AI8809">
        <v>67.9344946160208</v>
      </c>
      <c r="AJ8809">
        <v>76.995812944388504</v>
      </c>
      <c r="AK8809">
        <v>2.83051677488332</v>
      </c>
      <c r="AL8809">
        <v>86.312799866740804</v>
      </c>
      <c r="AM8809">
        <v>83.542215584356896</v>
      </c>
      <c r="AN8809">
        <v>0.99999996149014703</v>
      </c>
    </row>
    <row r="8810" spans="1:40" x14ac:dyDescent="0.25">
      <c r="A8810" t="str">
        <f>"20190303155020794"</f>
        <v>20190303155020794</v>
      </c>
      <c r="B8810" t="str">
        <f>"1551599420788987"</f>
        <v>1551599420788987</v>
      </c>
      <c r="C8810" t="s">
        <v>40</v>
      </c>
      <c r="D8810">
        <v>5.9717909999999996</v>
      </c>
      <c r="E8810">
        <v>0.54463450000000002</v>
      </c>
      <c r="F8810" t="s">
        <v>62</v>
      </c>
      <c r="G8810">
        <v>0</v>
      </c>
      <c r="H8810">
        <v>0</v>
      </c>
      <c r="I8810">
        <v>0</v>
      </c>
      <c r="J8810">
        <v>-166.4682</v>
      </c>
      <c r="K8810">
        <v>1.117872</v>
      </c>
      <c r="L8810">
        <v>137.75290000000001</v>
      </c>
      <c r="M8810">
        <v>0.99334849999999997</v>
      </c>
      <c r="N8810">
        <v>-3.310768E-3</v>
      </c>
      <c r="O8810">
        <v>0.11509900000000001</v>
      </c>
      <c r="P8810">
        <v>0.99795109999999998</v>
      </c>
      <c r="Q8810">
        <v>6.3601110000000002E-2</v>
      </c>
      <c r="R8810">
        <v>6.9719419999999897E-3</v>
      </c>
      <c r="S8810">
        <v>2.9424130000000002</v>
      </c>
      <c r="T8810">
        <v>1.0615059999999901</v>
      </c>
      <c r="U8810">
        <v>-0.31906129999999999</v>
      </c>
      <c r="V8810">
        <v>0.1083277</v>
      </c>
      <c r="W8810">
        <v>6.6252599999999995E-2</v>
      </c>
      <c r="X8810">
        <v>0.99190509999999998</v>
      </c>
      <c r="Y8810">
        <v>0.20170730000000001</v>
      </c>
      <c r="Z8810">
        <v>7.5338870000000002E-2</v>
      </c>
      <c r="AA8810">
        <v>0.97654399999999997</v>
      </c>
      <c r="AB8810">
        <v>25</v>
      </c>
      <c r="AC8810">
        <v>2.9424130000000002</v>
      </c>
      <c r="AD8810">
        <v>1.0615059999999901</v>
      </c>
      <c r="AE8810">
        <v>-0.31906129999999999</v>
      </c>
      <c r="AF8810">
        <v>0.58088855428740205</v>
      </c>
      <c r="AG8810">
        <v>1.0615059999999901</v>
      </c>
      <c r="AH8810">
        <v>2.55718847299373</v>
      </c>
      <c r="AI8810">
        <v>67.9621882842236</v>
      </c>
      <c r="AJ8810">
        <v>77.201926344395801</v>
      </c>
      <c r="AK8810">
        <v>2.8290350628704002</v>
      </c>
      <c r="AL8810">
        <v>86.201223158760101</v>
      </c>
      <c r="AM8810">
        <v>83.767328311243205</v>
      </c>
      <c r="AN8810">
        <v>1.0000000125000299</v>
      </c>
    </row>
    <row r="8811" spans="1:40" x14ac:dyDescent="0.25">
      <c r="A8811" t="str">
        <f>"20190303155020818"</f>
        <v>20190303155020818</v>
      </c>
      <c r="B8811" t="str">
        <f>"1551599420809483"</f>
        <v>1551599420809483</v>
      </c>
      <c r="C8811" t="s">
        <v>40</v>
      </c>
      <c r="D8811">
        <v>5.8545530000000001</v>
      </c>
      <c r="E8811">
        <v>0.54384100000000002</v>
      </c>
      <c r="F8811" t="s">
        <v>62</v>
      </c>
      <c r="G8811">
        <v>0</v>
      </c>
      <c r="H8811">
        <v>0</v>
      </c>
      <c r="I8811">
        <v>0</v>
      </c>
      <c r="J8811">
        <v>-166.21190000000001</v>
      </c>
      <c r="K8811">
        <v>1.11785</v>
      </c>
      <c r="L8811">
        <v>137.77860000000001</v>
      </c>
      <c r="M8811">
        <v>0.99378060000000001</v>
      </c>
      <c r="N8811">
        <v>-3.2949440000000002E-3</v>
      </c>
      <c r="O8811">
        <v>0.1113077</v>
      </c>
      <c r="P8811">
        <v>0.99791269999999999</v>
      </c>
      <c r="Q8811">
        <v>6.4199660000000006E-2</v>
      </c>
      <c r="R8811">
        <v>6.983164E-3</v>
      </c>
      <c r="S8811">
        <v>2.9407040000000002</v>
      </c>
      <c r="T8811">
        <v>1.0616000000000001</v>
      </c>
      <c r="U8811">
        <v>-0.31242370000000003</v>
      </c>
      <c r="V8811">
        <v>0.1045316</v>
      </c>
      <c r="W8811">
        <v>6.6854949999999996E-2</v>
      </c>
      <c r="X8811">
        <v>0.99227189999999998</v>
      </c>
      <c r="Y8811">
        <v>0.19640450000000001</v>
      </c>
      <c r="Z8811">
        <v>7.3143840000000002E-2</v>
      </c>
      <c r="AA8811">
        <v>0.97779099999999997</v>
      </c>
      <c r="AB8811">
        <v>25</v>
      </c>
      <c r="AC8811">
        <v>2.9407040000000002</v>
      </c>
      <c r="AD8811">
        <v>1.0616000000000001</v>
      </c>
      <c r="AE8811">
        <v>-0.31242370000000003</v>
      </c>
      <c r="AF8811">
        <v>0.56499705341884598</v>
      </c>
      <c r="AG8811">
        <v>1.0616000000000001</v>
      </c>
      <c r="AH8811">
        <v>2.5580096091251399</v>
      </c>
      <c r="AI8811">
        <v>67.940095189274999</v>
      </c>
      <c r="AJ8811">
        <v>77.544841794594106</v>
      </c>
      <c r="AK8811">
        <v>2.8265932481962301</v>
      </c>
      <c r="AL8811">
        <v>86.166634238453298</v>
      </c>
      <c r="AM8811">
        <v>83.986315334218602</v>
      </c>
      <c r="AN8811">
        <v>0.99999998163383597</v>
      </c>
    </row>
    <row r="8812" spans="1:40" x14ac:dyDescent="0.25">
      <c r="A8812" t="str">
        <f>"20190303155020951"</f>
        <v>20190303155020951</v>
      </c>
      <c r="B8812" t="str">
        <f>"1551599420939292"</f>
        <v>1551599420939292</v>
      </c>
      <c r="C8812" t="s">
        <v>40</v>
      </c>
      <c r="D8812">
        <v>5.9925680000000003</v>
      </c>
      <c r="E8812">
        <v>0.54371959999999997</v>
      </c>
      <c r="F8812" t="s">
        <v>62</v>
      </c>
      <c r="G8812">
        <v>0</v>
      </c>
      <c r="H8812">
        <v>0</v>
      </c>
      <c r="I8812">
        <v>0</v>
      </c>
      <c r="J8812">
        <v>-164.6773</v>
      </c>
      <c r="K8812">
        <v>1.117594</v>
      </c>
      <c r="L8812">
        <v>137.9118</v>
      </c>
      <c r="M8812">
        <v>0.99604760000000003</v>
      </c>
      <c r="N8812">
        <v>-3.2746250000000002E-3</v>
      </c>
      <c r="O8812">
        <v>8.8760790000000006E-2</v>
      </c>
      <c r="P8812">
        <v>0.9982451</v>
      </c>
      <c r="Q8812">
        <v>5.9169039999999999E-2</v>
      </c>
      <c r="R8812">
        <v>2.4264529999999999E-3</v>
      </c>
      <c r="S8812">
        <v>2.9403079999999999</v>
      </c>
      <c r="T8812">
        <v>1.058665</v>
      </c>
      <c r="U8812">
        <v>-0.30473329999999998</v>
      </c>
      <c r="V8812">
        <v>8.6583469999999996E-2</v>
      </c>
      <c r="W8812">
        <v>6.1876609999999999E-2</v>
      </c>
      <c r="X8812">
        <v>0.99432120000000002</v>
      </c>
      <c r="Y8812">
        <v>0.17456820000000001</v>
      </c>
      <c r="Z8812">
        <v>6.1293390000000003E-2</v>
      </c>
      <c r="AA8812">
        <v>0.98273549999999998</v>
      </c>
      <c r="AB8812">
        <v>26</v>
      </c>
      <c r="AC8812">
        <v>2.9403079999999999</v>
      </c>
      <c r="AD8812">
        <v>1.058665</v>
      </c>
      <c r="AE8812">
        <v>-0.30473329999999998</v>
      </c>
      <c r="AF8812">
        <v>0.50034204691571205</v>
      </c>
      <c r="AG8812">
        <v>1.058665</v>
      </c>
      <c r="AH8812">
        <v>2.5717952426160702</v>
      </c>
      <c r="AI8812">
        <v>67.997919565942595</v>
      </c>
      <c r="AJ8812">
        <v>78.990647110290894</v>
      </c>
      <c r="AK8812">
        <v>2.8258174951824899</v>
      </c>
      <c r="AL8812">
        <v>86.452465294158898</v>
      </c>
      <c r="AM8812">
        <v>85.023353185590494</v>
      </c>
      <c r="AN8812">
        <v>1.00000003045588</v>
      </c>
    </row>
    <row r="8813" spans="1:40" x14ac:dyDescent="0.25">
      <c r="A8813" t="str">
        <f>"20190303155020985"</f>
        <v>20190303155020985</v>
      </c>
      <c r="B8813" t="str">
        <f>"1551599420979307"</f>
        <v>1551599420979307</v>
      </c>
      <c r="C8813" t="s">
        <v>40</v>
      </c>
      <c r="D8813">
        <v>5.7602460000000004</v>
      </c>
      <c r="E8813">
        <v>0.52291140000000003</v>
      </c>
      <c r="F8813" t="s">
        <v>62</v>
      </c>
      <c r="G8813">
        <v>0</v>
      </c>
      <c r="H8813">
        <v>0</v>
      </c>
      <c r="I8813">
        <v>0</v>
      </c>
      <c r="J8813">
        <v>-164.2749</v>
      </c>
      <c r="K8813">
        <v>1.1175539999999999</v>
      </c>
      <c r="L8813">
        <v>137.94130000000001</v>
      </c>
      <c r="M8813">
        <v>0.99654229999999999</v>
      </c>
      <c r="N8813">
        <v>-3.2786719999999998E-3</v>
      </c>
      <c r="O8813">
        <v>8.3023029999999998E-2</v>
      </c>
      <c r="P8813">
        <v>0.99866600000000005</v>
      </c>
      <c r="Q8813">
        <v>5.1637809999999999E-2</v>
      </c>
      <c r="R8813">
        <v>-1.9777649999999999E-4</v>
      </c>
      <c r="S8813">
        <v>2.9439389999999999</v>
      </c>
      <c r="T8813">
        <v>1.0477320000000001</v>
      </c>
      <c r="U8813">
        <v>-0.31620789999999999</v>
      </c>
      <c r="V8813">
        <v>8.3455879999999996E-2</v>
      </c>
      <c r="W8813">
        <v>5.437297E-2</v>
      </c>
      <c r="X8813">
        <v>0.99502699999999999</v>
      </c>
      <c r="Y8813">
        <v>0.17337929999999999</v>
      </c>
      <c r="Z8813">
        <v>5.8421229999999998E-2</v>
      </c>
      <c r="AA8813">
        <v>0.98312089999999996</v>
      </c>
      <c r="AB8813">
        <v>26</v>
      </c>
      <c r="AC8813">
        <v>2.9439389999999999</v>
      </c>
      <c r="AD8813">
        <v>1.0477320000000001</v>
      </c>
      <c r="AE8813">
        <v>-0.31620789999999999</v>
      </c>
      <c r="AF8813">
        <v>0.49726636871013702</v>
      </c>
      <c r="AG8813">
        <v>1.0477320000000001</v>
      </c>
      <c r="AH8813">
        <v>2.5839676154833202</v>
      </c>
      <c r="AI8813">
        <v>68.289125045308893</v>
      </c>
      <c r="AJ8813">
        <v>79.106999431283995</v>
      </c>
      <c r="AK8813">
        <v>2.8322967399516501</v>
      </c>
      <c r="AL8813">
        <v>86.883121264410093</v>
      </c>
      <c r="AM8813">
        <v>85.205653426002399</v>
      </c>
      <c r="AN8813">
        <v>1.0000000172510899</v>
      </c>
    </row>
    <row r="8814" spans="1:40" x14ac:dyDescent="0.25">
      <c r="A8814" t="str">
        <f>"20190303155021006"</f>
        <v>20190303155021006</v>
      </c>
      <c r="B8814" t="str">
        <f>"1551599420998827"</f>
        <v>1551599420998827</v>
      </c>
      <c r="C8814" t="s">
        <v>40</v>
      </c>
      <c r="D8814">
        <v>5.8057910000000001</v>
      </c>
      <c r="E8814">
        <v>0.51963879999999996</v>
      </c>
      <c r="F8814" t="s">
        <v>62</v>
      </c>
      <c r="G8814">
        <v>0</v>
      </c>
      <c r="H8814">
        <v>0</v>
      </c>
      <c r="I8814">
        <v>0</v>
      </c>
      <c r="J8814">
        <v>-164.01859999999999</v>
      </c>
      <c r="K8814">
        <v>1.1175630000000001</v>
      </c>
      <c r="L8814">
        <v>137.9589</v>
      </c>
      <c r="M8814">
        <v>0.99683149999999998</v>
      </c>
      <c r="N8814">
        <v>-3.2860860000000001E-3</v>
      </c>
      <c r="O8814">
        <v>7.9472749999999995E-2</v>
      </c>
      <c r="P8814">
        <v>0.99883149999999998</v>
      </c>
      <c r="Q8814">
        <v>4.8296869999999999E-2</v>
      </c>
      <c r="R8814">
        <v>-1.74032299999999E-3</v>
      </c>
      <c r="S8814">
        <v>2.9864649999999999</v>
      </c>
      <c r="T8814">
        <v>0.33847430000000001</v>
      </c>
      <c r="U8814">
        <v>-0.17799379999999901</v>
      </c>
      <c r="V8814">
        <v>8.143707E-2</v>
      </c>
      <c r="W8814">
        <v>5.1057850000000002E-2</v>
      </c>
      <c r="X8814">
        <v>0.99536990000000003</v>
      </c>
      <c r="Y8814">
        <v>0.13725109999999999</v>
      </c>
      <c r="Z8814">
        <v>1.6748519999999999E-2</v>
      </c>
      <c r="AA8814">
        <v>0.99039469999999996</v>
      </c>
      <c r="AB8814">
        <v>26</v>
      </c>
      <c r="AC8814">
        <v>2.9864649999999999</v>
      </c>
      <c r="AD8814">
        <v>0.33847430000000001</v>
      </c>
      <c r="AE8814">
        <v>-0.17799379999999901</v>
      </c>
      <c r="AF8814">
        <v>0.40953284428117798</v>
      </c>
      <c r="AG8814">
        <v>0.33847430000000001</v>
      </c>
      <c r="AH8814">
        <v>2.9254287542333</v>
      </c>
      <c r="AI8814">
        <v>83.463360957388701</v>
      </c>
      <c r="AJ8814">
        <v>82.030911730381604</v>
      </c>
      <c r="AK8814">
        <v>2.9732836054437399</v>
      </c>
      <c r="AL8814">
        <v>87.073328353857903</v>
      </c>
      <c r="AM8814">
        <v>85.322712822351704</v>
      </c>
      <c r="AN8814">
        <v>1.0000000691213999</v>
      </c>
    </row>
    <row r="8815" spans="1:40" x14ac:dyDescent="0.25">
      <c r="A8815" t="str">
        <f>"20190303155021029"</f>
        <v>20190303155021029</v>
      </c>
      <c r="B8815" t="str">
        <f>"1551599421019323"</f>
        <v>1551599421019323</v>
      </c>
      <c r="C8815" t="s">
        <v>40</v>
      </c>
      <c r="D8815">
        <v>5.798724</v>
      </c>
      <c r="E8815">
        <v>0.51767209999999997</v>
      </c>
      <c r="F8815" t="s">
        <v>62</v>
      </c>
      <c r="G8815">
        <v>0</v>
      </c>
      <c r="H8815">
        <v>0</v>
      </c>
      <c r="I8815">
        <v>0</v>
      </c>
      <c r="J8815">
        <v>-163.74979999999999</v>
      </c>
      <c r="K8815">
        <v>1.117583</v>
      </c>
      <c r="L8815">
        <v>137.97649999999999</v>
      </c>
      <c r="M8815">
        <v>0.99711470000000002</v>
      </c>
      <c r="N8815">
        <v>-3.298428E-3</v>
      </c>
      <c r="O8815">
        <v>7.5838489999999995E-2</v>
      </c>
      <c r="P8815">
        <v>0.99885760000000001</v>
      </c>
      <c r="Q8815">
        <v>4.7693899999999997E-2</v>
      </c>
      <c r="R8815">
        <v>-2.9979080000000001E-3</v>
      </c>
      <c r="S8815">
        <v>2.9879609999999999</v>
      </c>
      <c r="T8815">
        <v>0.31597399999999998</v>
      </c>
      <c r="U8815">
        <v>-0.157196</v>
      </c>
      <c r="V8815">
        <v>7.9056199999999993E-2</v>
      </c>
      <c r="W8815">
        <v>5.0488760000000001E-2</v>
      </c>
      <c r="X8815">
        <v>0.9955908</v>
      </c>
      <c r="Y8815">
        <v>0.12698709999999999</v>
      </c>
      <c r="Z8815">
        <v>1.472058E-2</v>
      </c>
      <c r="AA8815">
        <v>0.99179510000000004</v>
      </c>
      <c r="AB8815">
        <v>27</v>
      </c>
      <c r="AC8815">
        <v>2.9879609999999999</v>
      </c>
      <c r="AD8815">
        <v>0.31597399999999998</v>
      </c>
      <c r="AE8815">
        <v>-0.157196</v>
      </c>
      <c r="AF8815">
        <v>0.379119029981972</v>
      </c>
      <c r="AG8815">
        <v>0.31597399999999998</v>
      </c>
      <c r="AH8815">
        <v>2.9347065254160598</v>
      </c>
      <c r="AI8815">
        <v>83.905012992050203</v>
      </c>
      <c r="AJ8815">
        <v>82.639032485848404</v>
      </c>
      <c r="AK8815">
        <v>2.9759155226400602</v>
      </c>
      <c r="AL8815">
        <v>87.105976773015996</v>
      </c>
      <c r="AM8815">
        <v>85.459879470389097</v>
      </c>
      <c r="AN8815">
        <v>1.0000000193447001</v>
      </c>
    </row>
    <row r="8816" spans="1:40" x14ac:dyDescent="0.25">
      <c r="A8816" t="str">
        <f>"20190303155021052"</f>
        <v>20190303155021052</v>
      </c>
      <c r="B8816" t="str">
        <f>"1551599421049579"</f>
        <v>1551599421049579</v>
      </c>
      <c r="C8816" t="s">
        <v>40</v>
      </c>
      <c r="D8816">
        <v>5.8179189999999998</v>
      </c>
      <c r="E8816">
        <v>0.51610459999999903</v>
      </c>
      <c r="F8816" t="s">
        <v>62</v>
      </c>
      <c r="G8816">
        <v>0</v>
      </c>
      <c r="H8816">
        <v>0</v>
      </c>
      <c r="I8816">
        <v>0</v>
      </c>
      <c r="J8816">
        <v>-163.46770000000001</v>
      </c>
      <c r="K8816">
        <v>1.117618</v>
      </c>
      <c r="L8816">
        <v>137.9941</v>
      </c>
      <c r="M8816">
        <v>0.99738839999999995</v>
      </c>
      <c r="N8816">
        <v>-3.3153079999999999E-3</v>
      </c>
      <c r="O8816">
        <v>7.2148030000000002E-2</v>
      </c>
      <c r="P8816">
        <v>0.99883279999999997</v>
      </c>
      <c r="Q8816">
        <v>4.8051620000000003E-2</v>
      </c>
      <c r="R8816">
        <v>-4.9476299999999997E-3</v>
      </c>
      <c r="S8816">
        <v>2.988327</v>
      </c>
      <c r="T8816">
        <v>0.30720969999999997</v>
      </c>
      <c r="U8816">
        <v>-0.145813</v>
      </c>
      <c r="V8816">
        <v>7.7310409999999996E-2</v>
      </c>
      <c r="W8816">
        <v>5.0882599999999903E-2</v>
      </c>
      <c r="X8816">
        <v>0.99570780000000003</v>
      </c>
      <c r="Y8816">
        <v>0.1196586</v>
      </c>
      <c r="Z8816">
        <v>1.356195E-2</v>
      </c>
      <c r="AA8816">
        <v>0.99272249999999995</v>
      </c>
      <c r="AB8816">
        <v>27</v>
      </c>
      <c r="AC8816">
        <v>2.988327</v>
      </c>
      <c r="AD8816">
        <v>0.30720969999999997</v>
      </c>
      <c r="AE8816">
        <v>-0.145813</v>
      </c>
      <c r="AF8816">
        <v>0.35726925990401798</v>
      </c>
      <c r="AG8816">
        <v>0.30720969999999997</v>
      </c>
      <c r="AH8816">
        <v>2.93903156444118</v>
      </c>
      <c r="AI8816">
        <v>84.075979131611604</v>
      </c>
      <c r="AJ8816">
        <v>83.069119121017906</v>
      </c>
      <c r="AK8816">
        <v>2.9765627258010299</v>
      </c>
      <c r="AL8816">
        <v>87.083382249161801</v>
      </c>
      <c r="AM8816">
        <v>85.560252712341594</v>
      </c>
      <c r="AN8816">
        <v>0.999999980728983</v>
      </c>
    </row>
    <row r="8817" spans="1:40" x14ac:dyDescent="0.25">
      <c r="A8817" t="str">
        <f>"20190303155021075"</f>
        <v>20190303155021075</v>
      </c>
      <c r="B8817" t="str">
        <f>"1551599421069099"</f>
        <v>1551599421069099</v>
      </c>
      <c r="C8817" t="s">
        <v>40</v>
      </c>
      <c r="D8817">
        <v>5.8763360000000002</v>
      </c>
      <c r="E8817">
        <v>0.51591229999999999</v>
      </c>
      <c r="F8817" t="s">
        <v>62</v>
      </c>
      <c r="G8817">
        <v>0</v>
      </c>
      <c r="H8817">
        <v>0</v>
      </c>
      <c r="I8817">
        <v>0</v>
      </c>
      <c r="J8817">
        <v>-163.19799999999901</v>
      </c>
      <c r="K8817">
        <v>1.11768</v>
      </c>
      <c r="L8817">
        <v>138.01</v>
      </c>
      <c r="M8817">
        <v>0.9976275</v>
      </c>
      <c r="N8817">
        <v>-3.3356509999999998E-3</v>
      </c>
      <c r="O8817">
        <v>6.8762229999999994E-2</v>
      </c>
      <c r="P8817">
        <v>0.99877349999999998</v>
      </c>
      <c r="Q8817">
        <v>4.8944380000000003E-2</v>
      </c>
      <c r="R8817">
        <v>-7.4795109999999899E-3</v>
      </c>
      <c r="S8817">
        <v>2.9879760000000002</v>
      </c>
      <c r="T8817">
        <v>0.30841800000000003</v>
      </c>
      <c r="U8817">
        <v>-0.13916020000000001</v>
      </c>
      <c r="V8817">
        <v>7.6449760000000005E-2</v>
      </c>
      <c r="W8817">
        <v>5.1812150000000001E-2</v>
      </c>
      <c r="X8817">
        <v>0.99572629999999995</v>
      </c>
      <c r="Y8817">
        <v>0.1141268</v>
      </c>
      <c r="Z8817">
        <v>1.298266E-2</v>
      </c>
      <c r="AA8817">
        <v>0.99338139999999997</v>
      </c>
      <c r="AB8817">
        <v>27</v>
      </c>
      <c r="AC8817">
        <v>2.9879760000000002</v>
      </c>
      <c r="AD8817">
        <v>0.30841800000000003</v>
      </c>
      <c r="AE8817">
        <v>-0.13916020000000001</v>
      </c>
      <c r="AF8817">
        <v>0.34067010270617998</v>
      </c>
      <c r="AG8817">
        <v>0.30841800000000003</v>
      </c>
      <c r="AH8817">
        <v>2.9400778968713599</v>
      </c>
      <c r="AI8817">
        <v>84.051014841652005</v>
      </c>
      <c r="AJ8817">
        <v>83.390548755435802</v>
      </c>
      <c r="AK8817">
        <v>2.9757748270447801</v>
      </c>
      <c r="AL8817">
        <v>87.030052556792796</v>
      </c>
      <c r="AM8817">
        <v>85.609564649547593</v>
      </c>
      <c r="AN8817">
        <v>0.99999996460168405</v>
      </c>
    </row>
    <row r="8818" spans="1:40" x14ac:dyDescent="0.25">
      <c r="A8818" t="str">
        <f>"20190303155021097"</f>
        <v>20190303155021097</v>
      </c>
      <c r="B8818" t="str">
        <f>"1551599421089595"</f>
        <v>1551599421089595</v>
      </c>
      <c r="C8818" t="s">
        <v>40</v>
      </c>
      <c r="D8818">
        <v>5.8796390000000001</v>
      </c>
      <c r="E8818">
        <v>0.51538409999999901</v>
      </c>
      <c r="F8818" t="s">
        <v>62</v>
      </c>
      <c r="G8818">
        <v>0</v>
      </c>
      <c r="H8818">
        <v>0</v>
      </c>
      <c r="I8818">
        <v>0</v>
      </c>
      <c r="J8818">
        <v>-162.9228</v>
      </c>
      <c r="K8818">
        <v>1.1177629999999901</v>
      </c>
      <c r="L8818">
        <v>138.02549999999999</v>
      </c>
      <c r="M8818">
        <v>0.99784859999999997</v>
      </c>
      <c r="N8818">
        <v>-3.3584130000000002E-3</v>
      </c>
      <c r="O8818">
        <v>6.5476069999999997E-2</v>
      </c>
      <c r="P8818">
        <v>0.99875309999999995</v>
      </c>
      <c r="Q8818">
        <v>4.877215E-2</v>
      </c>
      <c r="R8818">
        <v>-1.0660269999999999E-2</v>
      </c>
      <c r="S8818">
        <v>2.9870610000000002</v>
      </c>
      <c r="T8818">
        <v>0.31672509999999998</v>
      </c>
      <c r="U8818">
        <v>-0.14497380000000001</v>
      </c>
      <c r="V8818">
        <v>7.6330599999999998E-2</v>
      </c>
      <c r="W8818">
        <v>5.1678340000000003E-2</v>
      </c>
      <c r="X8818">
        <v>0.99574240000000003</v>
      </c>
      <c r="Y8818">
        <v>0.1127716</v>
      </c>
      <c r="Z8818">
        <v>1.290587E-2</v>
      </c>
      <c r="AA8818">
        <v>0.99353709999999995</v>
      </c>
      <c r="AB8818">
        <v>27</v>
      </c>
      <c r="AC8818">
        <v>2.9870610000000002</v>
      </c>
      <c r="AD8818">
        <v>0.31672509999999998</v>
      </c>
      <c r="AE8818">
        <v>-0.14497380000000001</v>
      </c>
      <c r="AF8818">
        <v>0.336470795301887</v>
      </c>
      <c r="AG8818">
        <v>0.31672509999999998</v>
      </c>
      <c r="AH8818">
        <v>2.9382025775921501</v>
      </c>
      <c r="AI8818">
        <v>83.887173560612993</v>
      </c>
      <c r="AJ8818">
        <v>83.467182212825904</v>
      </c>
      <c r="AK8818">
        <v>2.9743170261473901</v>
      </c>
      <c r="AL8818">
        <v>87.037729603866197</v>
      </c>
      <c r="AM8818">
        <v>85.616451799859405</v>
      </c>
      <c r="AN8818">
        <v>0.99999996923963697</v>
      </c>
    </row>
    <row r="8819" spans="1:40" x14ac:dyDescent="0.25">
      <c r="A8819" t="str">
        <f>"20190303155021120"</f>
        <v>20190303155021120</v>
      </c>
      <c r="B8819" t="str">
        <f>"1551599421109115"</f>
        <v>1551599421109115</v>
      </c>
      <c r="C8819" t="s">
        <v>40</v>
      </c>
      <c r="D8819">
        <v>5.9054739999999999</v>
      </c>
      <c r="E8819">
        <v>0.51469929999999997</v>
      </c>
      <c r="F8819" t="s">
        <v>62</v>
      </c>
      <c r="G8819">
        <v>0</v>
      </c>
      <c r="H8819">
        <v>0</v>
      </c>
      <c r="I8819">
        <v>0</v>
      </c>
      <c r="J8819">
        <v>-162.6395</v>
      </c>
      <c r="K8819">
        <v>1.1178669999999999</v>
      </c>
      <c r="L8819">
        <v>138.04069999999999</v>
      </c>
      <c r="M8819">
        <v>0.99805239999999995</v>
      </c>
      <c r="N8819">
        <v>-3.3817769999999999E-3</v>
      </c>
      <c r="O8819">
        <v>6.2288759999999999E-2</v>
      </c>
      <c r="P8819">
        <v>0.99874070000000004</v>
      </c>
      <c r="Q8819">
        <v>4.7958439999999998E-2</v>
      </c>
      <c r="R8819">
        <v>-1.473083E-2</v>
      </c>
      <c r="S8819">
        <v>2.9864809999999999</v>
      </c>
      <c r="T8819">
        <v>0.32048009999999999</v>
      </c>
      <c r="U8819">
        <v>-0.1502686</v>
      </c>
      <c r="V8819">
        <v>7.7193390000000001E-2</v>
      </c>
      <c r="W8819">
        <v>5.0903080000000003E-2</v>
      </c>
      <c r="X8819">
        <v>0.99571589999999999</v>
      </c>
      <c r="Y8819">
        <v>0.11136799999999999</v>
      </c>
      <c r="Z8819">
        <v>1.263586E-2</v>
      </c>
      <c r="AA8819">
        <v>0.99369890000000005</v>
      </c>
      <c r="AB8819">
        <v>27</v>
      </c>
      <c r="AC8819">
        <v>2.9864809999999999</v>
      </c>
      <c r="AD8819">
        <v>0.32048009999999999</v>
      </c>
      <c r="AE8819">
        <v>-0.1502686</v>
      </c>
      <c r="AF8819">
        <v>0.332186438801996</v>
      </c>
      <c r="AG8819">
        <v>0.32048009999999999</v>
      </c>
      <c r="AH8819">
        <v>2.9375793406748301</v>
      </c>
      <c r="AI8819">
        <v>83.812969050077399</v>
      </c>
      <c r="AJ8819">
        <v>83.548303511418098</v>
      </c>
      <c r="AK8819">
        <v>2.97362198461397</v>
      </c>
      <c r="AL8819">
        <v>87.082207506213706</v>
      </c>
      <c r="AM8819">
        <v>85.566981994970007</v>
      </c>
      <c r="AN8819">
        <v>1.00000004826299</v>
      </c>
    </row>
    <row r="8820" spans="1:40" x14ac:dyDescent="0.25">
      <c r="A8820" t="str">
        <f>"20190303155021141"</f>
        <v>20190303155021141</v>
      </c>
      <c r="B8820" t="str">
        <f>"1551599421129611"</f>
        <v>1551599421129611</v>
      </c>
      <c r="C8820" t="s">
        <v>40</v>
      </c>
      <c r="D8820">
        <v>5.8875099999999998</v>
      </c>
      <c r="E8820">
        <v>0.51415559999999905</v>
      </c>
      <c r="F8820" t="s">
        <v>62</v>
      </c>
      <c r="G8820">
        <v>0</v>
      </c>
      <c r="H8820">
        <v>0</v>
      </c>
      <c r="I8820">
        <v>0</v>
      </c>
      <c r="J8820">
        <v>-162.3852</v>
      </c>
      <c r="K8820">
        <v>1.1179749999999999</v>
      </c>
      <c r="L8820">
        <v>138.05369999999999</v>
      </c>
      <c r="M8820">
        <v>0.99821530000000003</v>
      </c>
      <c r="N8820">
        <v>-3.4056529999999998E-3</v>
      </c>
      <c r="O8820">
        <v>5.9621159999999999E-2</v>
      </c>
      <c r="P8820">
        <v>0.99873369999999995</v>
      </c>
      <c r="Q8820">
        <v>4.6942699999999997E-2</v>
      </c>
      <c r="R8820">
        <v>-1.8091920000000001E-2</v>
      </c>
      <c r="S8820">
        <v>2.9861599999999999</v>
      </c>
      <c r="T8820">
        <v>0.31869130000000001</v>
      </c>
      <c r="U8820">
        <v>-0.15708920000000001</v>
      </c>
      <c r="V8820">
        <v>7.7867629999999993E-2</v>
      </c>
      <c r="W8820">
        <v>4.9928229999999997E-2</v>
      </c>
      <c r="X8820">
        <v>0.99571270000000001</v>
      </c>
      <c r="Y8820">
        <v>0.1110104</v>
      </c>
      <c r="Z8820">
        <v>1.2255719999999999E-2</v>
      </c>
      <c r="AA8820">
        <v>0.99374370000000001</v>
      </c>
      <c r="AB8820">
        <v>27</v>
      </c>
      <c r="AC8820">
        <v>2.9861599999999999</v>
      </c>
      <c r="AD8820">
        <v>0.31869130000000001</v>
      </c>
      <c r="AE8820">
        <v>-0.15708920000000001</v>
      </c>
      <c r="AF8820">
        <v>0.33108848802530799</v>
      </c>
      <c r="AG8820">
        <v>0.31869130000000001</v>
      </c>
      <c r="AH8820">
        <v>2.9381099030553202</v>
      </c>
      <c r="AI8820">
        <v>83.848071499831306</v>
      </c>
      <c r="AJ8820">
        <v>83.570600401756295</v>
      </c>
      <c r="AK8820">
        <v>2.9738314568970301</v>
      </c>
      <c r="AL8820">
        <v>87.138133244809296</v>
      </c>
      <c r="AM8820">
        <v>85.528404169538007</v>
      </c>
      <c r="AN8820">
        <v>0.99999998844701898</v>
      </c>
    </row>
    <row r="8821" spans="1:40" x14ac:dyDescent="0.25">
      <c r="A8821" t="str">
        <f>"20190303155021163"</f>
        <v>20190303155021163</v>
      </c>
      <c r="B8821" t="str">
        <f>"1551599421159867"</f>
        <v>1551599421159867</v>
      </c>
      <c r="C8821" t="s">
        <v>40</v>
      </c>
      <c r="D8821">
        <v>5.9372089999999904</v>
      </c>
      <c r="E8821">
        <v>0.51332440000000001</v>
      </c>
      <c r="F8821" t="s">
        <v>62</v>
      </c>
      <c r="G8821">
        <v>0</v>
      </c>
      <c r="H8821">
        <v>0</v>
      </c>
      <c r="I8821">
        <v>0</v>
      </c>
      <c r="J8821">
        <v>-162.1046</v>
      </c>
      <c r="K8821">
        <v>1.118098</v>
      </c>
      <c r="L8821">
        <v>138.0676</v>
      </c>
      <c r="M8821">
        <v>0.99837450000000005</v>
      </c>
      <c r="N8821">
        <v>-3.4353909999999999E-3</v>
      </c>
      <c r="O8821">
        <v>5.6890980000000001E-2</v>
      </c>
      <c r="P8821">
        <v>0.99872430000000001</v>
      </c>
      <c r="Q8821">
        <v>4.5747790000000003E-2</v>
      </c>
      <c r="R8821">
        <v>-2.1375000000000002E-2</v>
      </c>
      <c r="S8821">
        <v>2.9860380000000002</v>
      </c>
      <c r="T8821">
        <v>0.315243</v>
      </c>
      <c r="U8821">
        <v>-0.16305539999999999</v>
      </c>
      <c r="V8821">
        <v>7.8399449999999996E-2</v>
      </c>
      <c r="W8821">
        <v>4.878474E-2</v>
      </c>
      <c r="X8821">
        <v>0.99572769999999999</v>
      </c>
      <c r="Y8821">
        <v>0.11031530000000001</v>
      </c>
      <c r="Z8821">
        <v>1.1792240000000001E-2</v>
      </c>
      <c r="AA8821">
        <v>0.99382669999999995</v>
      </c>
      <c r="AB8821">
        <v>27</v>
      </c>
      <c r="AC8821">
        <v>2.9860380000000002</v>
      </c>
      <c r="AD8821">
        <v>0.315243</v>
      </c>
      <c r="AE8821">
        <v>-0.16305539999999999</v>
      </c>
      <c r="AF8821">
        <v>0.32901480167893499</v>
      </c>
      <c r="AG8821">
        <v>0.315243</v>
      </c>
      <c r="AH8821">
        <v>2.9392630935571602</v>
      </c>
      <c r="AI8821">
        <v>83.916002005611801</v>
      </c>
      <c r="AJ8821">
        <v>83.613021327004802</v>
      </c>
      <c r="AK8821">
        <v>2.9743732822092199</v>
      </c>
      <c r="AL8821">
        <v>87.203730488435596</v>
      </c>
      <c r="AM8821">
        <v>85.498056750093795</v>
      </c>
      <c r="AN8821">
        <v>1.0000000385822201</v>
      </c>
    </row>
    <row r="8822" spans="1:40" x14ac:dyDescent="0.25">
      <c r="A8822" t="str">
        <f>"20190303155021186"</f>
        <v>20190303155021186</v>
      </c>
      <c r="B8822" t="str">
        <f>"1551599421179387"</f>
        <v>1551599421179387</v>
      </c>
      <c r="C8822" t="s">
        <v>40</v>
      </c>
      <c r="D8822">
        <v>5.9461120000000003</v>
      </c>
      <c r="E8822">
        <v>0.51281399999999999</v>
      </c>
      <c r="F8822" t="s">
        <v>62</v>
      </c>
      <c r="G8822">
        <v>0</v>
      </c>
      <c r="H8822">
        <v>0</v>
      </c>
      <c r="I8822">
        <v>0</v>
      </c>
      <c r="J8822">
        <v>-161.82169999999999</v>
      </c>
      <c r="K8822">
        <v>1.1182080000000001</v>
      </c>
      <c r="L8822">
        <v>138.08090000000001</v>
      </c>
      <c r="M8822">
        <v>0.99851809999999996</v>
      </c>
      <c r="N8822">
        <v>-3.46678E-3</v>
      </c>
      <c r="O8822">
        <v>5.4312550000000001E-2</v>
      </c>
      <c r="P8822">
        <v>0.99868769999999996</v>
      </c>
      <c r="Q8822">
        <v>4.4914160000000002E-2</v>
      </c>
      <c r="R8822">
        <v>-2.461497E-2</v>
      </c>
      <c r="S8822">
        <v>2.9859469999999999</v>
      </c>
      <c r="T8822">
        <v>0.31266139999999998</v>
      </c>
      <c r="U8822">
        <v>-0.1666107</v>
      </c>
      <c r="V8822">
        <v>7.9043279999999994E-2</v>
      </c>
      <c r="W8822">
        <v>4.8001269999999999E-2</v>
      </c>
      <c r="X8822">
        <v>0.99571480000000001</v>
      </c>
      <c r="Y8822">
        <v>0.10896740000000001</v>
      </c>
      <c r="Z8822">
        <v>1.135048E-2</v>
      </c>
      <c r="AA8822">
        <v>0.99398050000000004</v>
      </c>
      <c r="AB8822">
        <v>28</v>
      </c>
      <c r="AC8822">
        <v>2.9859469999999999</v>
      </c>
      <c r="AD8822">
        <v>0.31266139999999998</v>
      </c>
      <c r="AE8822">
        <v>-0.1666107</v>
      </c>
      <c r="AF8822">
        <v>0.32498789240904002</v>
      </c>
      <c r="AG8822">
        <v>0.31266139999999998</v>
      </c>
      <c r="AH8822">
        <v>2.9403514507517401</v>
      </c>
      <c r="AI8822">
        <v>83.966745012256496</v>
      </c>
      <c r="AJ8822">
        <v>83.6928757347671</v>
      </c>
      <c r="AK8822">
        <v>2.9747337587085498</v>
      </c>
      <c r="AL8822">
        <v>87.248672458217101</v>
      </c>
      <c r="AM8822">
        <v>85.461181295705202</v>
      </c>
      <c r="AN8822">
        <v>0.99999996248690504</v>
      </c>
    </row>
    <row r="8823" spans="1:40" x14ac:dyDescent="0.25">
      <c r="A8823" t="str">
        <f>"20190303155021207"</f>
        <v>20190303155021207</v>
      </c>
      <c r="B8823" t="str">
        <f>"1551599421199883"</f>
        <v>1551599421199883</v>
      </c>
      <c r="C8823" t="s">
        <v>40</v>
      </c>
      <c r="D8823">
        <v>6.0813680000000003</v>
      </c>
      <c r="E8823">
        <v>0.51210739999999999</v>
      </c>
      <c r="F8823" t="s">
        <v>62</v>
      </c>
      <c r="G8823">
        <v>0</v>
      </c>
      <c r="H8823">
        <v>0</v>
      </c>
      <c r="I8823">
        <v>0</v>
      </c>
      <c r="J8823">
        <v>-161.55019999999999</v>
      </c>
      <c r="K8823">
        <v>1.118296</v>
      </c>
      <c r="L8823">
        <v>138.0932</v>
      </c>
      <c r="M8823">
        <v>0.99864169999999997</v>
      </c>
      <c r="N8823">
        <v>-3.4965949999999999E-3</v>
      </c>
      <c r="O8823">
        <v>5.1986020000000001E-2</v>
      </c>
      <c r="P8823">
        <v>0.99863239999999998</v>
      </c>
      <c r="Q8823">
        <v>4.4305589999999999E-2</v>
      </c>
      <c r="R8823">
        <v>-2.7758809999999998E-2</v>
      </c>
      <c r="S8823">
        <v>2.9857179999999999</v>
      </c>
      <c r="T8823">
        <v>0.31099199999999999</v>
      </c>
      <c r="U8823">
        <v>-0.17260739999999999</v>
      </c>
      <c r="V8823">
        <v>7.9846310000000004E-2</v>
      </c>
      <c r="W8823">
        <v>4.7435900000000003E-2</v>
      </c>
      <c r="X8823">
        <v>0.9956779</v>
      </c>
      <c r="Y8823">
        <v>0.1086703</v>
      </c>
      <c r="Z8823">
        <v>1.1026050000000001E-2</v>
      </c>
      <c r="AA8823">
        <v>0.99401669999999998</v>
      </c>
      <c r="AB8823">
        <v>28</v>
      </c>
      <c r="AC8823">
        <v>2.9857179999999999</v>
      </c>
      <c r="AD8823">
        <v>0.31099199999999999</v>
      </c>
      <c r="AE8823">
        <v>-0.17260739999999999</v>
      </c>
      <c r="AF8823">
        <v>0.32408615386300599</v>
      </c>
      <c r="AG8823">
        <v>0.31099199999999999</v>
      </c>
      <c r="AH8823">
        <v>2.9409070349737898</v>
      </c>
      <c r="AI8823">
        <v>83.999635556688602</v>
      </c>
      <c r="AJ8823">
        <v>83.711414273109099</v>
      </c>
      <c r="AK8823">
        <v>2.97500958780775</v>
      </c>
      <c r="AL8823">
        <v>87.281102927356997</v>
      </c>
      <c r="AM8823">
        <v>85.415096167152001</v>
      </c>
      <c r="AN8823">
        <v>1.0000000391889099</v>
      </c>
    </row>
    <row r="8824" spans="1:40" x14ac:dyDescent="0.25">
      <c r="A8824" t="str">
        <f>"20190303155021230"</f>
        <v>20190303155021230</v>
      </c>
      <c r="B8824" t="str">
        <f>"1551599421219403"</f>
        <v>1551599421219403</v>
      </c>
      <c r="C8824" t="s">
        <v>40</v>
      </c>
      <c r="D8824">
        <v>6.1060359999999996</v>
      </c>
      <c r="E8824">
        <v>0.51113620000000004</v>
      </c>
      <c r="F8824" t="s">
        <v>62</v>
      </c>
      <c r="G8824">
        <v>0</v>
      </c>
      <c r="H8824">
        <v>0</v>
      </c>
      <c r="I8824">
        <v>0</v>
      </c>
      <c r="J8824">
        <v>-161.27029999999999</v>
      </c>
      <c r="K8824">
        <v>1.118352</v>
      </c>
      <c r="L8824">
        <v>138.1054</v>
      </c>
      <c r="M8824">
        <v>0.99875659999999999</v>
      </c>
      <c r="N8824">
        <v>-3.5264020000000001E-3</v>
      </c>
      <c r="O8824">
        <v>4.9728620000000001E-2</v>
      </c>
      <c r="P8824">
        <v>0.998637</v>
      </c>
      <c r="Q8824">
        <v>4.2524779999999998E-2</v>
      </c>
      <c r="R8824">
        <v>-3.0259379999999999E-2</v>
      </c>
      <c r="S8824">
        <v>2.9856259999999999</v>
      </c>
      <c r="T8824">
        <v>0.30608059999999998</v>
      </c>
      <c r="U8824">
        <v>-0.1767273</v>
      </c>
      <c r="V8824">
        <v>8.0076449999999993E-2</v>
      </c>
      <c r="W8824">
        <v>4.5699240000000002E-2</v>
      </c>
      <c r="X8824">
        <v>0.99574059999999998</v>
      </c>
      <c r="Y8824">
        <v>0.10783619999999999</v>
      </c>
      <c r="Z8824">
        <v>1.0572929999999999E-2</v>
      </c>
      <c r="AA8824">
        <v>0.99411240000000001</v>
      </c>
      <c r="AB8824">
        <v>28</v>
      </c>
      <c r="AC8824">
        <v>2.9856259999999999</v>
      </c>
      <c r="AD8824">
        <v>0.30608059999999998</v>
      </c>
      <c r="AE8824">
        <v>-0.1767273</v>
      </c>
      <c r="AF8824">
        <v>0.32161229130747598</v>
      </c>
      <c r="AG8824">
        <v>0.30608059999999998</v>
      </c>
      <c r="AH8824">
        <v>2.9423278225659302</v>
      </c>
      <c r="AI8824">
        <v>84.095985789442096</v>
      </c>
      <c r="AJ8824">
        <v>83.76202687096</v>
      </c>
      <c r="AK8824">
        <v>2.97563653947554</v>
      </c>
      <c r="AL8824">
        <v>87.380714187089296</v>
      </c>
      <c r="AM8824">
        <v>85.402226032664302</v>
      </c>
      <c r="AN8824">
        <v>1.00000000043477</v>
      </c>
    </row>
    <row r="8825" spans="1:40" x14ac:dyDescent="0.25">
      <c r="A8825" t="str">
        <f>"20190303155021275"</f>
        <v>20190303155021275</v>
      </c>
      <c r="B8825" t="str">
        <f>"1551599421269180"</f>
        <v>1551599421269180</v>
      </c>
      <c r="C8825" t="s">
        <v>40</v>
      </c>
      <c r="D8825">
        <v>5.9780220000000002</v>
      </c>
      <c r="E8825">
        <v>0.50967879999999999</v>
      </c>
      <c r="F8825" t="s">
        <v>62</v>
      </c>
      <c r="G8825">
        <v>0</v>
      </c>
      <c r="H8825">
        <v>0</v>
      </c>
      <c r="I8825">
        <v>0</v>
      </c>
      <c r="J8825">
        <v>-160.7002</v>
      </c>
      <c r="K8825">
        <v>1.1184430000000001</v>
      </c>
      <c r="L8825">
        <v>138.12870000000001</v>
      </c>
      <c r="M8825">
        <v>0.99895809999999996</v>
      </c>
      <c r="N8825">
        <v>-3.5915119999999998E-3</v>
      </c>
      <c r="O8825">
        <v>4.5496509999999997E-2</v>
      </c>
      <c r="P8825">
        <v>0.99885630000000003</v>
      </c>
      <c r="Q8825">
        <v>3.3159569999999999E-2</v>
      </c>
      <c r="R8825">
        <v>-3.444734E-2</v>
      </c>
      <c r="S8825">
        <v>2.9861149999999999</v>
      </c>
      <c r="T8825">
        <v>0.29629060000000002</v>
      </c>
      <c r="U8825">
        <v>-0.17675779999999999</v>
      </c>
      <c r="V8825">
        <v>7.9998730000000004E-2</v>
      </c>
      <c r="W8825">
        <v>3.6426890000000003E-2</v>
      </c>
      <c r="X8825">
        <v>0.99612920000000005</v>
      </c>
      <c r="Y8825">
        <v>0.1037175</v>
      </c>
      <c r="Z8825">
        <v>9.6041589999999993E-3</v>
      </c>
      <c r="AA8825">
        <v>0.99456040000000001</v>
      </c>
      <c r="AB8825">
        <v>28</v>
      </c>
      <c r="AC8825">
        <v>2.9861149999999999</v>
      </c>
      <c r="AD8825">
        <v>0.29629060000000002</v>
      </c>
      <c r="AE8825">
        <v>-0.17675779999999999</v>
      </c>
      <c r="AF8825">
        <v>0.30939800720448302</v>
      </c>
      <c r="AG8825">
        <v>0.29629060000000002</v>
      </c>
      <c r="AH8825">
        <v>2.94607759030864</v>
      </c>
      <c r="AI8825">
        <v>84.288207248052899</v>
      </c>
      <c r="AJ8825">
        <v>84.004755577347098</v>
      </c>
      <c r="AK8825">
        <v>2.97706036462636</v>
      </c>
      <c r="AL8825">
        <v>87.912431198843194</v>
      </c>
      <c r="AM8825">
        <v>85.408453641637607</v>
      </c>
      <c r="AN8825">
        <v>1.0000000491046599</v>
      </c>
    </row>
    <row r="8826" spans="1:40" x14ac:dyDescent="0.25">
      <c r="A8826" t="str">
        <f>"20190303155021327"</f>
        <v>20190303155021327</v>
      </c>
      <c r="B8826" t="str">
        <f>"1551599421319931"</f>
        <v>1551599421319931</v>
      </c>
      <c r="C8826" t="s">
        <v>40</v>
      </c>
      <c r="D8826">
        <v>6.0765560000000001</v>
      </c>
      <c r="E8826">
        <v>0.50853899999999996</v>
      </c>
      <c r="F8826" t="s">
        <v>62</v>
      </c>
      <c r="G8826">
        <v>0</v>
      </c>
      <c r="H8826">
        <v>0</v>
      </c>
      <c r="I8826">
        <v>0</v>
      </c>
      <c r="J8826">
        <v>-160.02850000000001</v>
      </c>
      <c r="K8826">
        <v>1.1185320000000001</v>
      </c>
      <c r="L8826">
        <v>138.15369999999999</v>
      </c>
      <c r="M8826">
        <v>0.99915299999999996</v>
      </c>
      <c r="N8826">
        <v>-3.6779690000000001E-3</v>
      </c>
      <c r="O8826">
        <v>4.0984600000000003E-2</v>
      </c>
      <c r="P8826">
        <v>0.99906269999999997</v>
      </c>
      <c r="Q8826">
        <v>2.5269969999999999E-2</v>
      </c>
      <c r="R8826">
        <v>-3.5143510000000003E-2</v>
      </c>
      <c r="S8826">
        <v>2.9886469999999998</v>
      </c>
      <c r="T8826">
        <v>0.26065860000000002</v>
      </c>
      <c r="U8826">
        <v>-0.1777802</v>
      </c>
      <c r="V8826">
        <v>7.6163839999999997E-2</v>
      </c>
      <c r="W8826">
        <v>2.866287E-2</v>
      </c>
      <c r="X8826">
        <v>0.99668319999999999</v>
      </c>
      <c r="Y8826">
        <v>9.9713010000000005E-2</v>
      </c>
      <c r="Z8826">
        <v>7.8676319999999994E-3</v>
      </c>
      <c r="AA8826">
        <v>0.99498520000000001</v>
      </c>
      <c r="AB8826">
        <v>29</v>
      </c>
      <c r="AC8826">
        <v>2.9886469999999998</v>
      </c>
      <c r="AD8826">
        <v>0.26065860000000002</v>
      </c>
      <c r="AE8826">
        <v>-0.1777802</v>
      </c>
      <c r="AF8826">
        <v>0.29786240109045697</v>
      </c>
      <c r="AG8826">
        <v>0.26065860000000002</v>
      </c>
      <c r="AH8826">
        <v>2.9564401554468098</v>
      </c>
      <c r="AI8826">
        <v>84.986716885416897</v>
      </c>
      <c r="AJ8826">
        <v>84.246843409872</v>
      </c>
      <c r="AK8826">
        <v>2.9828180146424801</v>
      </c>
      <c r="AL8826">
        <v>88.3575134787894</v>
      </c>
      <c r="AM8826">
        <v>85.630104124419802</v>
      </c>
      <c r="AN8826">
        <v>0.999999945901209</v>
      </c>
    </row>
    <row r="8827" spans="1:40" x14ac:dyDescent="0.25">
      <c r="A8827" t="str">
        <f>"20190303155021346"</f>
        <v>20190303155021346</v>
      </c>
      <c r="B8827" t="str">
        <f>"1551599421339451"</f>
        <v>1551599421339451</v>
      </c>
      <c r="C8827" t="s">
        <v>40</v>
      </c>
      <c r="D8827">
        <v>6.0250640000000004</v>
      </c>
      <c r="E8827">
        <v>0.50819669999999995</v>
      </c>
      <c r="F8827" t="s">
        <v>62</v>
      </c>
      <c r="G8827">
        <v>0</v>
      </c>
      <c r="H8827">
        <v>0</v>
      </c>
      <c r="I8827">
        <v>0</v>
      </c>
      <c r="J8827">
        <v>-159.77510000000001</v>
      </c>
      <c r="K8827">
        <v>1.1185499999999999</v>
      </c>
      <c r="L8827">
        <v>138.16239999999999</v>
      </c>
      <c r="M8827">
        <v>0.99921780000000004</v>
      </c>
      <c r="N8827">
        <v>-3.7159099999999998E-3</v>
      </c>
      <c r="O8827">
        <v>3.9373390000000001E-2</v>
      </c>
      <c r="P8827">
        <v>0.99916879999999997</v>
      </c>
      <c r="Q8827">
        <v>2.2018820000000001E-2</v>
      </c>
      <c r="R8827">
        <v>-3.4312820000000001E-2</v>
      </c>
      <c r="S8827">
        <v>2.9908450000000002</v>
      </c>
      <c r="T8827">
        <v>0.23699629999999999</v>
      </c>
      <c r="U8827">
        <v>-0.17045589999999999</v>
      </c>
      <c r="V8827">
        <v>7.3716840000000006E-2</v>
      </c>
      <c r="W8827">
        <v>2.546495E-2</v>
      </c>
      <c r="X8827">
        <v>0.99695400000000001</v>
      </c>
      <c r="Y8827">
        <v>9.5745910000000004E-2</v>
      </c>
      <c r="Z8827">
        <v>6.8649669999999996E-3</v>
      </c>
      <c r="AA8827">
        <v>0.99538210000000005</v>
      </c>
      <c r="AB8827">
        <v>29</v>
      </c>
      <c r="AC8827">
        <v>2.9908450000000002</v>
      </c>
      <c r="AD8827">
        <v>0.23699629999999999</v>
      </c>
      <c r="AE8827">
        <v>-0.17045589999999999</v>
      </c>
      <c r="AF8827">
        <v>0.28629239426257602</v>
      </c>
      <c r="AG8827">
        <v>0.23699629999999999</v>
      </c>
      <c r="AH8827">
        <v>2.9632679724826301</v>
      </c>
      <c r="AI8827">
        <v>85.448433830168696</v>
      </c>
      <c r="AJ8827">
        <v>84.481568138318096</v>
      </c>
      <c r="AK8827">
        <v>2.98648416335456</v>
      </c>
      <c r="AL8827">
        <v>88.540808042468299</v>
      </c>
      <c r="AM8827">
        <v>85.771127417687097</v>
      </c>
      <c r="AN8827">
        <v>0.99999995714704304</v>
      </c>
    </row>
    <row r="8828" spans="1:40" x14ac:dyDescent="0.25">
      <c r="A8828" t="str">
        <f>"20190303155021364"</f>
        <v>20190303155021364</v>
      </c>
      <c r="B8828" t="str">
        <f>"1551599421359946"</f>
        <v>1551599421359946</v>
      </c>
      <c r="C8828" t="s">
        <v>40</v>
      </c>
      <c r="D8828">
        <v>6.0064479999999998</v>
      </c>
      <c r="E8828">
        <v>0.50781379999999998</v>
      </c>
      <c r="F8828" t="s">
        <v>62</v>
      </c>
      <c r="G8828">
        <v>0</v>
      </c>
      <c r="H8828">
        <v>0</v>
      </c>
      <c r="I8828">
        <v>0</v>
      </c>
      <c r="J8828">
        <v>-159.53970000000001</v>
      </c>
      <c r="K8828">
        <v>1.1185579999999999</v>
      </c>
      <c r="L8828">
        <v>138.1703</v>
      </c>
      <c r="M8828">
        <v>0.99927429999999995</v>
      </c>
      <c r="N8828">
        <v>-3.7583830000000001E-3</v>
      </c>
      <c r="O8828">
        <v>3.7910199999999998E-2</v>
      </c>
      <c r="P8828">
        <v>0.99922880000000003</v>
      </c>
      <c r="Q8828">
        <v>1.9638260000000001E-2</v>
      </c>
      <c r="R8828">
        <v>-3.4007099999999998E-2</v>
      </c>
      <c r="S8828">
        <v>2.9917600000000002</v>
      </c>
      <c r="T8828">
        <v>0.23039780000000001</v>
      </c>
      <c r="U8828">
        <v>-0.1654205</v>
      </c>
      <c r="V8828">
        <v>7.1944270000000005E-2</v>
      </c>
      <c r="W8828">
        <v>2.3137709999999999E-2</v>
      </c>
      <c r="X8828">
        <v>0.99714020000000003</v>
      </c>
      <c r="Y8828">
        <v>9.2637380000000005E-2</v>
      </c>
      <c r="Z8828">
        <v>6.4399409999999898E-3</v>
      </c>
      <c r="AA8828">
        <v>0.99567910000000004</v>
      </c>
      <c r="AB8828">
        <v>29</v>
      </c>
      <c r="AC8828">
        <v>2.9917600000000002</v>
      </c>
      <c r="AD8828">
        <v>0.23039780000000001</v>
      </c>
      <c r="AE8828">
        <v>-0.1654205</v>
      </c>
      <c r="AF8828">
        <v>0.27708230925546201</v>
      </c>
      <c r="AG8828">
        <v>0.23039780000000001</v>
      </c>
      <c r="AH8828">
        <v>2.9658026145367402</v>
      </c>
      <c r="AI8828">
        <v>85.577093584312394</v>
      </c>
      <c r="AJ8828">
        <v>84.662592272545993</v>
      </c>
      <c r="AK8828">
        <v>2.9876149184157099</v>
      </c>
      <c r="AL8828">
        <v>88.674188495498299</v>
      </c>
      <c r="AM8828">
        <v>85.873225785682706</v>
      </c>
      <c r="AN8828">
        <v>0.99999995503295702</v>
      </c>
    </row>
    <row r="8829" spans="1:40" x14ac:dyDescent="0.25">
      <c r="A8829" t="str">
        <f>"20190303155021386"</f>
        <v>20190303155021386</v>
      </c>
      <c r="B8829" t="str">
        <f>"1551599421379467"</f>
        <v>1551599421379467</v>
      </c>
      <c r="C8829" t="s">
        <v>40</v>
      </c>
      <c r="D8829">
        <v>6.0705179999999999</v>
      </c>
      <c r="E8829">
        <v>0.50761750000000005</v>
      </c>
      <c r="F8829" t="s">
        <v>62</v>
      </c>
      <c r="G8829">
        <v>0</v>
      </c>
      <c r="H8829">
        <v>0</v>
      </c>
      <c r="I8829">
        <v>0</v>
      </c>
      <c r="J8829">
        <v>-159.25960000000001</v>
      </c>
      <c r="K8829">
        <v>1.1185670000000001</v>
      </c>
      <c r="L8829">
        <v>138.17920000000001</v>
      </c>
      <c r="M8829">
        <v>0.99933709999999998</v>
      </c>
      <c r="N8829">
        <v>-3.823505E-3</v>
      </c>
      <c r="O8829">
        <v>3.6205000000000001E-2</v>
      </c>
      <c r="P8829">
        <v>0.99928300000000003</v>
      </c>
      <c r="Q8829">
        <v>1.6390140000000001E-2</v>
      </c>
      <c r="R8829">
        <v>-3.4132860000000001E-2</v>
      </c>
      <c r="S8829">
        <v>2.9923860000000002</v>
      </c>
      <c r="T8829">
        <v>0.22535559999999999</v>
      </c>
      <c r="U8829">
        <v>-0.16152949999999999</v>
      </c>
      <c r="V8829">
        <v>7.0358219999999999E-2</v>
      </c>
      <c r="W8829">
        <v>1.9963669999999999E-2</v>
      </c>
      <c r="X8829">
        <v>0.99732200000000004</v>
      </c>
      <c r="Y8829">
        <v>8.9665739999999994E-2</v>
      </c>
      <c r="Z8829">
        <v>6.056451E-3</v>
      </c>
      <c r="AA8829">
        <v>0.99595350000000005</v>
      </c>
      <c r="AB8829">
        <v>29</v>
      </c>
      <c r="AC8829">
        <v>2.9923860000000002</v>
      </c>
      <c r="AD8829">
        <v>0.22535559999999999</v>
      </c>
      <c r="AE8829">
        <v>-0.16152949999999999</v>
      </c>
      <c r="AF8829">
        <v>0.26824676714712198</v>
      </c>
      <c r="AG8829">
        <v>0.22535559999999999</v>
      </c>
      <c r="AH8829">
        <v>2.9677928264956699</v>
      </c>
      <c r="AI8829">
        <v>85.675213151767196</v>
      </c>
      <c r="AJ8829">
        <v>84.835300703190399</v>
      </c>
      <c r="AK8829">
        <v>2.9884001966830702</v>
      </c>
      <c r="AL8829">
        <v>88.856089972346197</v>
      </c>
      <c r="AM8829">
        <v>85.964631999067606</v>
      </c>
      <c r="AN8829">
        <v>0.999999999462718</v>
      </c>
    </row>
    <row r="8830" spans="1:40" x14ac:dyDescent="0.25">
      <c r="A8830" t="str">
        <f>"20190303155021411"</f>
        <v>20190303155021411</v>
      </c>
      <c r="B8830" t="str">
        <f>"1551599421399964"</f>
        <v>1551599421399964</v>
      </c>
      <c r="C8830" t="s">
        <v>40</v>
      </c>
      <c r="D8830">
        <v>6.1361759999999999</v>
      </c>
      <c r="E8830">
        <v>0.47859740000000001</v>
      </c>
      <c r="F8830" t="s">
        <v>62</v>
      </c>
      <c r="G8830">
        <v>0</v>
      </c>
      <c r="H8830">
        <v>0</v>
      </c>
      <c r="I8830">
        <v>0</v>
      </c>
      <c r="J8830">
        <v>-158.92660000000001</v>
      </c>
      <c r="K8830">
        <v>1.1185750000000001</v>
      </c>
      <c r="L8830">
        <v>138.1891</v>
      </c>
      <c r="M8830">
        <v>0.99940689999999999</v>
      </c>
      <c r="N8830">
        <v>-3.9291220000000002E-3</v>
      </c>
      <c r="O8830">
        <v>3.4213500000000001E-2</v>
      </c>
      <c r="P8830">
        <v>0.99931400000000004</v>
      </c>
      <c r="Q8830">
        <v>1.286093E-2</v>
      </c>
      <c r="R8830">
        <v>-3.4733939999999998E-2</v>
      </c>
      <c r="S8830">
        <v>2.9931030000000001</v>
      </c>
      <c r="T8830">
        <v>0.21588280000000001</v>
      </c>
      <c r="U8830">
        <v>-0.1606445</v>
      </c>
      <c r="V8830">
        <v>6.8960069999999998E-2</v>
      </c>
      <c r="W8830">
        <v>1.654723E-2</v>
      </c>
      <c r="X8830">
        <v>0.99748219999999999</v>
      </c>
      <c r="Y8830">
        <v>8.7414939999999997E-2</v>
      </c>
      <c r="Z8830">
        <v>5.5711500000000004E-3</v>
      </c>
      <c r="AA8830">
        <v>0.99615640000000005</v>
      </c>
      <c r="AB8830">
        <v>29</v>
      </c>
      <c r="AC8830">
        <v>2.9931030000000001</v>
      </c>
      <c r="AD8830">
        <v>0.21588280000000001</v>
      </c>
      <c r="AE8830">
        <v>-0.1606445</v>
      </c>
      <c r="AF8830">
        <v>0.26159876286263001</v>
      </c>
      <c r="AG8830">
        <v>0.21588280000000001</v>
      </c>
      <c r="AH8830">
        <v>2.9704457296034001</v>
      </c>
      <c r="AI8830">
        <v>85.859199015369398</v>
      </c>
      <c r="AJ8830">
        <v>84.9671071928408</v>
      </c>
      <c r="AK8830">
        <v>2.9897470007654801</v>
      </c>
      <c r="AL8830">
        <v>89.051870306605593</v>
      </c>
      <c r="AM8830">
        <v>86.045198476482895</v>
      </c>
      <c r="AN8830">
        <v>1.0000000206959501</v>
      </c>
    </row>
    <row r="8831" spans="1:40" x14ac:dyDescent="0.25">
      <c r="A8831" t="str">
        <f>"20190303155021433"</f>
        <v>20190303155021433</v>
      </c>
      <c r="B8831" t="str">
        <f>"1551599421429751"</f>
        <v>1551599421429751</v>
      </c>
      <c r="C8831" t="s">
        <v>40</v>
      </c>
      <c r="D8831">
        <v>5.9670579999999998</v>
      </c>
      <c r="E8831">
        <v>0.47869620000000002</v>
      </c>
      <c r="F8831" t="s">
        <v>41</v>
      </c>
      <c r="G8831">
        <v>-139.70419999999999</v>
      </c>
      <c r="H8831" s="1">
        <v>-3.5859430000000002E-7</v>
      </c>
      <c r="I8831">
        <v>138.59450000000001</v>
      </c>
      <c r="J8831">
        <v>-158.66829999999999</v>
      </c>
      <c r="K8831">
        <v>1.1185830000000001</v>
      </c>
      <c r="L8831">
        <v>138.19649999999999</v>
      </c>
      <c r="M8831">
        <v>0.99945740000000005</v>
      </c>
      <c r="N8831">
        <v>-4.048889E-3</v>
      </c>
      <c r="O8831">
        <v>3.2691100000000001E-2</v>
      </c>
      <c r="P8831">
        <v>0.99934909999999999</v>
      </c>
      <c r="Q8831">
        <v>8.6130700000000004E-3</v>
      </c>
      <c r="R8831">
        <v>-3.5039470000000003E-2</v>
      </c>
      <c r="S8831">
        <v>3.0065309999999998</v>
      </c>
      <c r="T8831">
        <v>-0.174953</v>
      </c>
      <c r="U8831">
        <v>6.3400269999999995E-2</v>
      </c>
      <c r="V8831">
        <v>6.773295E-2</v>
      </c>
      <c r="W8831">
        <v>1.242445E-2</v>
      </c>
      <c r="X8831">
        <v>0.99762609999999996</v>
      </c>
      <c r="Y8831">
        <v>1.154383E-2</v>
      </c>
      <c r="Z8831">
        <v>-2.1267629999999998E-3</v>
      </c>
      <c r="AA8831">
        <v>0.99993109999999996</v>
      </c>
      <c r="AB8831">
        <v>29</v>
      </c>
      <c r="AC8831">
        <v>18.964099999999998</v>
      </c>
      <c r="AD8831">
        <v>-1.1185833585942999</v>
      </c>
      <c r="AE8831">
        <v>0.398000000000024</v>
      </c>
      <c r="AF8831">
        <v>0.221405082933433</v>
      </c>
      <c r="AG8831">
        <v>-1.1185833585942999</v>
      </c>
      <c r="AH8831">
        <v>18.901243576355899</v>
      </c>
      <c r="AI8831">
        <v>93.386605727355203</v>
      </c>
      <c r="AJ8831">
        <v>89.328880313943799</v>
      </c>
      <c r="AK8831">
        <v>18.935608193918899</v>
      </c>
      <c r="AL8831">
        <v>89.288113120063102</v>
      </c>
      <c r="AM8831">
        <v>86.115913973866796</v>
      </c>
      <c r="AN8831">
        <v>0.99999997743735702</v>
      </c>
    </row>
    <row r="8832" spans="1:40" x14ac:dyDescent="0.25">
      <c r="A8832" t="str">
        <f>"20190303155021475"</f>
        <v>20190303155021475</v>
      </c>
      <c r="B8832" t="str">
        <f>"1551599421469766"</f>
        <v>1551599421469766</v>
      </c>
      <c r="C8832" t="s">
        <v>40</v>
      </c>
      <c r="D8832">
        <v>6.0916499999999996</v>
      </c>
      <c r="E8832">
        <v>0.47888019999999998</v>
      </c>
      <c r="F8832" t="s">
        <v>41</v>
      </c>
      <c r="G8832">
        <v>-141.30539999999999</v>
      </c>
      <c r="H8832" s="1">
        <v>-3.9008629999999998E-6</v>
      </c>
      <c r="I8832">
        <v>138.553</v>
      </c>
      <c r="J8832">
        <v>-158.07669999999999</v>
      </c>
      <c r="K8832">
        <v>1.118682</v>
      </c>
      <c r="L8832">
        <v>138.21190000000001</v>
      </c>
      <c r="M8832">
        <v>0.9995598</v>
      </c>
      <c r="N8832">
        <v>-4.5368520000000001E-3</v>
      </c>
      <c r="O8832">
        <v>2.9323109999999999E-2</v>
      </c>
      <c r="P8832">
        <v>0.99932350000000003</v>
      </c>
      <c r="Q8832">
        <v>1.3054939999999999E-3</v>
      </c>
      <c r="R8832">
        <v>-3.6754910000000002E-2</v>
      </c>
      <c r="S8832">
        <v>3.005798</v>
      </c>
      <c r="T8832">
        <v>-0.1936457</v>
      </c>
      <c r="U8832">
        <v>6.17218E-2</v>
      </c>
      <c r="V8832">
        <v>6.6061679999999998E-2</v>
      </c>
      <c r="W8832">
        <v>5.6145530000000004E-3</v>
      </c>
      <c r="X8832">
        <v>0.99779980000000001</v>
      </c>
      <c r="Y8832">
        <v>8.7243059999999994E-3</v>
      </c>
      <c r="Z8832">
        <v>-2.0542189999999999E-3</v>
      </c>
      <c r="AA8832">
        <v>0.99995979999999995</v>
      </c>
      <c r="AB8832">
        <v>29</v>
      </c>
      <c r="AC8832">
        <v>16.771299999999901</v>
      </c>
      <c r="AD8832">
        <v>-1.1186859008629999</v>
      </c>
      <c r="AE8832">
        <v>0.34109999999998297</v>
      </c>
      <c r="AF8832">
        <v>0.15017049883613501</v>
      </c>
      <c r="AG8832">
        <v>-1.1186859008629999</v>
      </c>
      <c r="AH8832">
        <v>16.699819881086398</v>
      </c>
      <c r="AI8832">
        <v>93.832243965932307</v>
      </c>
      <c r="AJ8832">
        <v>89.484790617702004</v>
      </c>
      <c r="AK8832">
        <v>16.737920820228499</v>
      </c>
      <c r="AL8832">
        <v>89.6783081367427</v>
      </c>
      <c r="AM8832">
        <v>86.212126456263206</v>
      </c>
      <c r="AN8832">
        <v>1.0000000548249199</v>
      </c>
    </row>
    <row r="8833" spans="1:40" x14ac:dyDescent="0.25">
      <c r="A8833" t="str">
        <f>"20190303155021500"</f>
        <v>20190303155021500</v>
      </c>
      <c r="B8833" t="str">
        <f>"1551599421489286"</f>
        <v>1551599421489286</v>
      </c>
      <c r="C8833" t="s">
        <v>40</v>
      </c>
      <c r="D8833">
        <v>5.935581</v>
      </c>
      <c r="E8833">
        <v>0.47930070000000002</v>
      </c>
      <c r="F8833" t="s">
        <v>41</v>
      </c>
      <c r="G8833">
        <v>-143.4521</v>
      </c>
      <c r="H8833" s="1">
        <v>-2.9926590000000001E-6</v>
      </c>
      <c r="I8833">
        <v>138.4811</v>
      </c>
      <c r="J8833">
        <v>-157.77340000000001</v>
      </c>
      <c r="K8833">
        <v>1.1187849999999999</v>
      </c>
      <c r="L8833">
        <v>138.2191</v>
      </c>
      <c r="M8833">
        <v>0.99960450000000001</v>
      </c>
      <c r="N8833">
        <v>-4.9124099999999999E-3</v>
      </c>
      <c r="O8833">
        <v>2.7694219999999999E-2</v>
      </c>
      <c r="P8833">
        <v>0.99927829999999995</v>
      </c>
      <c r="Q8833">
        <v>-2.2862590000000001E-3</v>
      </c>
      <c r="R8833">
        <v>-3.7918790000000001E-2</v>
      </c>
      <c r="S8833">
        <v>3.0043790000000001</v>
      </c>
      <c r="T8833">
        <v>-0.22981579999999999</v>
      </c>
      <c r="U8833">
        <v>5.5328370000000002E-2</v>
      </c>
      <c r="V8833">
        <v>6.5586909999999998E-2</v>
      </c>
      <c r="W8833">
        <v>2.4054670000000001E-3</v>
      </c>
      <c r="X8833">
        <v>0.99784399999999995</v>
      </c>
      <c r="Y8833">
        <v>9.1847830000000002E-3</v>
      </c>
      <c r="Z8833">
        <v>-2.3522980000000001E-3</v>
      </c>
      <c r="AA8833">
        <v>0.99995509999999999</v>
      </c>
      <c r="AB8833">
        <v>30</v>
      </c>
      <c r="AC8833">
        <v>14.321300000000001</v>
      </c>
      <c r="AD8833">
        <v>-1.1187879926590001</v>
      </c>
      <c r="AE8833">
        <v>0.26200000000000001</v>
      </c>
      <c r="AF8833">
        <v>0.13390553382777801</v>
      </c>
      <c r="AG8833">
        <v>-1.1187879926590001</v>
      </c>
      <c r="AH8833">
        <v>14.23621079182</v>
      </c>
      <c r="AI8833">
        <v>94.493297814005501</v>
      </c>
      <c r="AJ8833">
        <v>89.461092856393094</v>
      </c>
      <c r="AK8833">
        <v>14.280732298227599</v>
      </c>
      <c r="AL8833">
        <v>89.862176765559695</v>
      </c>
      <c r="AM8833">
        <v>86.239436730363806</v>
      </c>
      <c r="AN8833">
        <v>1.00000003868541</v>
      </c>
    </row>
    <row r="8834" spans="1:40" x14ac:dyDescent="0.25">
      <c r="A8834" t="str">
        <f>"20190303155021525"</f>
        <v>20190303155021525</v>
      </c>
      <c r="B8834" t="str">
        <f>"1551599421519542"</f>
        <v>1551599421519542</v>
      </c>
      <c r="C8834" t="s">
        <v>40</v>
      </c>
      <c r="D8834">
        <v>6.03207</v>
      </c>
      <c r="E8834">
        <v>0.47910540000000001</v>
      </c>
      <c r="F8834" t="s">
        <v>41</v>
      </c>
      <c r="G8834">
        <v>-143.5121</v>
      </c>
      <c r="H8834" s="1">
        <v>-2.9725590000000001E-6</v>
      </c>
      <c r="I8834">
        <v>138.44929999999999</v>
      </c>
      <c r="J8834">
        <v>-157.42920000000001</v>
      </c>
      <c r="K8834">
        <v>1.1189420000000001</v>
      </c>
      <c r="L8834">
        <v>138.22669999999999</v>
      </c>
      <c r="M8834">
        <v>0.99964770000000003</v>
      </c>
      <c r="N8834">
        <v>-5.4403300000000002E-3</v>
      </c>
      <c r="O8834">
        <v>2.5979220000000001E-2</v>
      </c>
      <c r="P8834">
        <v>0.99923209999999996</v>
      </c>
      <c r="Q8834">
        <v>-4.2205860000000001E-3</v>
      </c>
      <c r="R8834">
        <v>-3.8960920000000003E-2</v>
      </c>
      <c r="S8834">
        <v>3.003479</v>
      </c>
      <c r="T8834">
        <v>-0.23562069999999999</v>
      </c>
      <c r="U8834">
        <v>4.8507689999999999E-2</v>
      </c>
      <c r="V8834">
        <v>6.4910670000000004E-2</v>
      </c>
      <c r="W8834">
        <v>1.011674E-3</v>
      </c>
      <c r="X8834">
        <v>0.99789059999999896</v>
      </c>
      <c r="Y8834">
        <v>9.7322120000000005E-3</v>
      </c>
      <c r="Z8834">
        <v>-2.30102E-3</v>
      </c>
      <c r="AA8834">
        <v>0.99995000000000001</v>
      </c>
      <c r="AB8834">
        <v>30</v>
      </c>
      <c r="AC8834">
        <v>13.9171</v>
      </c>
      <c r="AD8834">
        <v>-1.1189449725589999</v>
      </c>
      <c r="AE8834">
        <v>0.22259999999999899</v>
      </c>
      <c r="AF8834">
        <v>0.138143112373416</v>
      </c>
      <c r="AG8834">
        <v>-1.1189449725589999</v>
      </c>
      <c r="AH8834">
        <v>13.828815235030801</v>
      </c>
      <c r="AI8834">
        <v>94.6257238795272</v>
      </c>
      <c r="AJ8834">
        <v>89.427662174360194</v>
      </c>
      <c r="AK8834">
        <v>13.8746982733223</v>
      </c>
      <c r="AL8834">
        <v>89.942035341643802</v>
      </c>
      <c r="AM8834">
        <v>86.278274140918398</v>
      </c>
      <c r="AN8834">
        <v>1.0000000340662401</v>
      </c>
    </row>
    <row r="8835" spans="1:40" x14ac:dyDescent="0.25">
      <c r="A8835" t="str">
        <f>"20190303155021549"</f>
        <v>20190303155021549</v>
      </c>
      <c r="B8835" t="str">
        <f>"1551599421539571"</f>
        <v>1551599421539571</v>
      </c>
      <c r="C8835" t="s">
        <v>40</v>
      </c>
      <c r="D8835">
        <v>5.9689620000000003</v>
      </c>
      <c r="E8835">
        <v>0.4792344</v>
      </c>
      <c r="F8835" t="s">
        <v>42</v>
      </c>
      <c r="G8835">
        <v>-156.48769999999999</v>
      </c>
      <c r="H8835">
        <v>1.0444169999999999</v>
      </c>
      <c r="I8835">
        <v>138.2414</v>
      </c>
      <c r="J8835">
        <v>-157.107</v>
      </c>
      <c r="K8835">
        <v>1.119119</v>
      </c>
      <c r="L8835">
        <v>138.23349999999999</v>
      </c>
      <c r="M8835">
        <v>0.9996815</v>
      </c>
      <c r="N8835">
        <v>-5.9958590000000001E-3</v>
      </c>
      <c r="O8835">
        <v>2.4517049999999999E-2</v>
      </c>
      <c r="P8835">
        <v>0.99919610000000003</v>
      </c>
      <c r="Q8835">
        <v>-5.8164089999999998E-3</v>
      </c>
      <c r="R8835">
        <v>-3.9668719999999998E-2</v>
      </c>
      <c r="S8835">
        <v>3.0031279999999998</v>
      </c>
      <c r="T8835">
        <v>-0.237756</v>
      </c>
      <c r="U8835">
        <v>4.7149660000000003E-2</v>
      </c>
      <c r="V8835">
        <v>6.4154829999999996E-2</v>
      </c>
      <c r="W8835" s="1">
        <v>-1.321817E-5</v>
      </c>
      <c r="X8835">
        <v>0.99793989999999999</v>
      </c>
      <c r="Y8835">
        <v>8.7260710000000002E-3</v>
      </c>
      <c r="Z8835">
        <v>-2.161877E-3</v>
      </c>
      <c r="AA8835">
        <v>0.99995959999999995</v>
      </c>
      <c r="AB8835">
        <v>30</v>
      </c>
      <c r="AC8835">
        <v>0.61930000000000895</v>
      </c>
      <c r="AD8835">
        <v>-7.4702000000000005E-2</v>
      </c>
      <c r="AE8835">
        <v>7.9000000000064505E-3</v>
      </c>
      <c r="AF8835">
        <v>7.1815808495972596E-3</v>
      </c>
      <c r="AG8835">
        <v>-7.4702000000000005E-2</v>
      </c>
      <c r="AH8835">
        <v>0.61042726978072603</v>
      </c>
      <c r="AI8835">
        <v>96.976492270559106</v>
      </c>
      <c r="AJ8835">
        <v>89.325955260194107</v>
      </c>
      <c r="AK8835">
        <v>0.61502310167948204</v>
      </c>
      <c r="AL8835">
        <v>90.000757345396906</v>
      </c>
      <c r="AM8835">
        <v>86.321672611642498</v>
      </c>
      <c r="AN8835">
        <v>0.99999994319952701</v>
      </c>
    </row>
    <row r="8836" spans="1:40" x14ac:dyDescent="0.25">
      <c r="A8836" t="str">
        <f>"20190303155021565"</f>
        <v>20190303155021565</v>
      </c>
      <c r="B8836" t="str">
        <f>"1551599421559091"</f>
        <v>1551599421559091</v>
      </c>
      <c r="C8836" t="s">
        <v>40</v>
      </c>
      <c r="D8836">
        <v>5.9841749999999996</v>
      </c>
      <c r="E8836">
        <v>0.47923919999999998</v>
      </c>
      <c r="F8836" t="s">
        <v>42</v>
      </c>
      <c r="G8836">
        <v>-156.2193</v>
      </c>
      <c r="H8836">
        <v>1.0468999999999999</v>
      </c>
      <c r="I8836">
        <v>138.2465</v>
      </c>
      <c r="J8836">
        <v>-156.8793</v>
      </c>
      <c r="K8836">
        <v>1.119235</v>
      </c>
      <c r="L8836">
        <v>138.2381</v>
      </c>
      <c r="M8836">
        <v>0.99970199999999998</v>
      </c>
      <c r="N8836">
        <v>-6.4000180000000004E-3</v>
      </c>
      <c r="O8836">
        <v>2.3558909999999999E-2</v>
      </c>
      <c r="P8836">
        <v>0.99916550000000004</v>
      </c>
      <c r="Q8836">
        <v>-7.935068E-3</v>
      </c>
      <c r="R8836">
        <v>-4.0067070000000003E-2</v>
      </c>
      <c r="S8836">
        <v>3.002777</v>
      </c>
      <c r="T8836">
        <v>-0.2443449</v>
      </c>
      <c r="U8836">
        <v>4.4387820000000001E-2</v>
      </c>
      <c r="V8836">
        <v>6.3591320000000007E-2</v>
      </c>
      <c r="W8836">
        <v>-1.7167230000000001E-3</v>
      </c>
      <c r="X8836">
        <v>0.99797460000000004</v>
      </c>
      <c r="Y8836">
        <v>8.6832579999999993E-3</v>
      </c>
      <c r="Z8836">
        <v>-2.1435450000000002E-3</v>
      </c>
      <c r="AA8836">
        <v>0.99995999999999996</v>
      </c>
      <c r="AB8836">
        <v>30</v>
      </c>
      <c r="AC8836">
        <v>0.65999999999999603</v>
      </c>
      <c r="AD8836">
        <v>-7.2334999999999997E-2</v>
      </c>
      <c r="AE8836">
        <v>8.3999999999946305E-3</v>
      </c>
      <c r="AF8836">
        <v>7.0666602516576502E-3</v>
      </c>
      <c r="AG8836">
        <v>-7.2334999999999997E-2</v>
      </c>
      <c r="AH8836">
        <v>0.65218207852029697</v>
      </c>
      <c r="AI8836">
        <v>96.328569651847701</v>
      </c>
      <c r="AJ8836">
        <v>89.379201028959599</v>
      </c>
      <c r="AK8836">
        <v>0.65621928762812798</v>
      </c>
      <c r="AL8836">
        <v>90.098361025625195</v>
      </c>
      <c r="AM8836">
        <v>86.354020442248896</v>
      </c>
      <c r="AN8836">
        <v>1.0000000526811701</v>
      </c>
    </row>
    <row r="8837" spans="1:40" x14ac:dyDescent="0.25">
      <c r="A8837" t="str">
        <f>"20190303155021587"</f>
        <v>20190303155021587</v>
      </c>
      <c r="B8837" t="str">
        <f>"1551599421579588"</f>
        <v>1551599421579588</v>
      </c>
      <c r="C8837" t="s">
        <v>40</v>
      </c>
      <c r="D8837">
        <v>6.187602</v>
      </c>
      <c r="E8837">
        <v>0.47951840000000001</v>
      </c>
      <c r="F8837" t="s">
        <v>42</v>
      </c>
      <c r="G8837">
        <v>-155.95590000000001</v>
      </c>
      <c r="H8837">
        <v>1.0433460000000001</v>
      </c>
      <c r="I8837">
        <v>138.25139999999999</v>
      </c>
      <c r="J8837">
        <v>-156.59559999999999</v>
      </c>
      <c r="K8837">
        <v>1.1193959999999901</v>
      </c>
      <c r="L8837">
        <v>138.24350000000001</v>
      </c>
      <c r="M8837">
        <v>0.99972340000000004</v>
      </c>
      <c r="N8837">
        <v>-6.9298609999999998E-3</v>
      </c>
      <c r="O8837">
        <v>2.248095E-2</v>
      </c>
      <c r="P8837">
        <v>0.99914179999999997</v>
      </c>
      <c r="Q8837">
        <v>-9.4638340000000008E-3</v>
      </c>
      <c r="R8837">
        <v>-4.0328929999999999E-2</v>
      </c>
      <c r="S8837">
        <v>3.0022739999999999</v>
      </c>
      <c r="T8837">
        <v>-0.24677850000000001</v>
      </c>
      <c r="U8837">
        <v>4.356384E-2</v>
      </c>
      <c r="V8837">
        <v>6.2774490000000002E-2</v>
      </c>
      <c r="W8837">
        <v>-2.7010269999999999E-3</v>
      </c>
      <c r="X8837">
        <v>0.99802409999999997</v>
      </c>
      <c r="Y8837">
        <v>7.881664E-3</v>
      </c>
      <c r="Z8837">
        <v>-2.0396360000000001E-3</v>
      </c>
      <c r="AA8837">
        <v>0.99996689999999999</v>
      </c>
      <c r="AB8837">
        <v>30</v>
      </c>
      <c r="AC8837">
        <v>0.63969999999997595</v>
      </c>
      <c r="AD8837">
        <v>-7.6049999999999895E-2</v>
      </c>
      <c r="AE8837">
        <v>7.8999999999780305E-3</v>
      </c>
      <c r="AF8837">
        <v>6.3930618526389701E-3</v>
      </c>
      <c r="AG8837">
        <v>-7.6049999999999895E-2</v>
      </c>
      <c r="AH8837">
        <v>0.63080192791007905</v>
      </c>
      <c r="AI8837">
        <v>96.8740983453891</v>
      </c>
      <c r="AJ8837">
        <v>89.419337662738798</v>
      </c>
      <c r="AK8837">
        <v>0.63540187755067601</v>
      </c>
      <c r="AL8837">
        <v>90.154757632814196</v>
      </c>
      <c r="AM8837">
        <v>86.4009071592521</v>
      </c>
      <c r="AN8837">
        <v>1.0000000181612101</v>
      </c>
    </row>
    <row r="8838" spans="1:40" x14ac:dyDescent="0.25">
      <c r="A8838" t="str">
        <f>"20190303155021609"</f>
        <v>20190303155021609</v>
      </c>
      <c r="B8838" t="str">
        <f>"1551599421599109"</f>
        <v>1551599421599109</v>
      </c>
      <c r="C8838" t="s">
        <v>40</v>
      </c>
      <c r="D8838">
        <v>6.0122159999999996</v>
      </c>
      <c r="E8838">
        <v>0.47982399999999997</v>
      </c>
      <c r="F8838" t="s">
        <v>42</v>
      </c>
      <c r="G8838">
        <v>-155.6885</v>
      </c>
      <c r="H8838">
        <v>1.044729</v>
      </c>
      <c r="I8838">
        <v>138.25579999999999</v>
      </c>
      <c r="J8838">
        <v>-156.298</v>
      </c>
      <c r="K8838">
        <v>1.119577</v>
      </c>
      <c r="L8838">
        <v>138.2491</v>
      </c>
      <c r="M8838">
        <v>0.99974070000000004</v>
      </c>
      <c r="N8838">
        <v>-7.5162739999999999E-3</v>
      </c>
      <c r="O8838">
        <v>2.1494300000000001E-2</v>
      </c>
      <c r="P8838">
        <v>0.999143</v>
      </c>
      <c r="Q8838">
        <v>-8.4768109999999904E-3</v>
      </c>
      <c r="R8838">
        <v>-4.0515059999999999E-2</v>
      </c>
      <c r="S8838">
        <v>3.0018919999999998</v>
      </c>
      <c r="T8838">
        <v>-0.24711050000000001</v>
      </c>
      <c r="U8838">
        <v>4.084778E-2</v>
      </c>
      <c r="V8838">
        <v>6.197979E-2</v>
      </c>
      <c r="W8838">
        <v>-1.1112979999999999E-3</v>
      </c>
      <c r="X8838">
        <v>0.99807679999999999</v>
      </c>
      <c r="Y8838">
        <v>7.8011729999999998E-3</v>
      </c>
      <c r="Z8838">
        <v>-1.954725E-3</v>
      </c>
      <c r="AA8838">
        <v>0.99996759999999996</v>
      </c>
      <c r="AB8838">
        <v>30</v>
      </c>
      <c r="AC8838">
        <v>0.60949999999999704</v>
      </c>
      <c r="AD8838">
        <v>-7.4847999999999998E-2</v>
      </c>
      <c r="AE8838">
        <v>6.6999999999950398E-3</v>
      </c>
      <c r="AF8838">
        <v>6.3075846942312998E-3</v>
      </c>
      <c r="AG8838">
        <v>-7.4847999999999998E-2</v>
      </c>
      <c r="AH8838">
        <v>0.60044927201744003</v>
      </c>
      <c r="AI8838">
        <v>97.105070244288399</v>
      </c>
      <c r="AJ8838">
        <v>89.398142847092501</v>
      </c>
      <c r="AK8838">
        <v>0.60512919033455004</v>
      </c>
      <c r="AL8838">
        <v>90.063672697394097</v>
      </c>
      <c r="AM8838">
        <v>86.446539891447799</v>
      </c>
      <c r="AN8838">
        <v>1.0000000140249601</v>
      </c>
    </row>
    <row r="8839" spans="1:40" x14ac:dyDescent="0.25">
      <c r="A8839" t="str">
        <f>"20190303155021633"</f>
        <v>20190303155021633</v>
      </c>
      <c r="B8839" t="str">
        <f>"1551599421629872"</f>
        <v>1551599421629872</v>
      </c>
      <c r="C8839" t="s">
        <v>40</v>
      </c>
      <c r="D8839">
        <v>6.0077199999999999</v>
      </c>
      <c r="E8839">
        <v>0.4796801</v>
      </c>
      <c r="F8839" t="s">
        <v>41</v>
      </c>
      <c r="G8839">
        <v>-142.36590000000001</v>
      </c>
      <c r="H8839" s="1">
        <v>-3.4688309999999999E-6</v>
      </c>
      <c r="I8839">
        <v>138.4238</v>
      </c>
      <c r="J8839">
        <v>-155.9879</v>
      </c>
      <c r="K8839">
        <v>1.1197820000000001</v>
      </c>
      <c r="L8839">
        <v>138.25470000000001</v>
      </c>
      <c r="M8839">
        <v>0.99975460000000005</v>
      </c>
      <c r="N8839">
        <v>-8.1462099999999992E-3</v>
      </c>
      <c r="O8839">
        <v>2.060151E-2</v>
      </c>
      <c r="P8839">
        <v>0.99911669999999997</v>
      </c>
      <c r="Q8839">
        <v>-6.7825619999999998E-3</v>
      </c>
      <c r="R8839">
        <v>-4.1472820000000001E-2</v>
      </c>
      <c r="S8839">
        <v>3.0020600000000002</v>
      </c>
      <c r="T8839">
        <v>-0.2412434</v>
      </c>
      <c r="U8839">
        <v>3.7658690000000002E-2</v>
      </c>
      <c r="V8839">
        <v>6.2050510000000003E-2</v>
      </c>
      <c r="W8839">
        <v>1.227681E-3</v>
      </c>
      <c r="X8839">
        <v>0.99807230000000002</v>
      </c>
      <c r="Y8839">
        <v>7.9780000000000007E-3</v>
      </c>
      <c r="Z8839">
        <v>-1.83764E-3</v>
      </c>
      <c r="AA8839">
        <v>0.99996649999999998</v>
      </c>
      <c r="AB8839">
        <v>30</v>
      </c>
      <c r="AC8839">
        <v>13.6219999999999</v>
      </c>
      <c r="AD8839">
        <v>-1.1197854688310001</v>
      </c>
      <c r="AE8839">
        <v>0.16909999999998601</v>
      </c>
      <c r="AF8839">
        <v>0.110830143753871</v>
      </c>
      <c r="AG8839">
        <v>-1.1197854688310001</v>
      </c>
      <c r="AH8839">
        <v>13.531169414475</v>
      </c>
      <c r="AI8839">
        <v>94.730631582852197</v>
      </c>
      <c r="AJ8839">
        <v>89.530716282836806</v>
      </c>
      <c r="AK8839">
        <v>13.577877173556701</v>
      </c>
      <c r="AL8839">
        <v>89.929659045572706</v>
      </c>
      <c r="AM8839">
        <v>86.442479741001094</v>
      </c>
      <c r="AN8839">
        <v>1.00000004450959</v>
      </c>
    </row>
    <row r="8840" spans="1:40" x14ac:dyDescent="0.25">
      <c r="A8840" t="str">
        <f>"20190303155021655"</f>
        <v>20190303155021655</v>
      </c>
      <c r="B8840" t="str">
        <f>"1551599421649392"</f>
        <v>1551599421649392</v>
      </c>
      <c r="C8840" t="s">
        <v>40</v>
      </c>
      <c r="D8840">
        <v>6.0455199999999998</v>
      </c>
      <c r="E8840">
        <v>0.47945589999999999</v>
      </c>
      <c r="F8840" t="s">
        <v>41</v>
      </c>
      <c r="G8840">
        <v>-141.7063</v>
      </c>
      <c r="H8840" s="1">
        <v>-3.751859E-6</v>
      </c>
      <c r="I8840">
        <v>138.42339999999999</v>
      </c>
      <c r="J8840">
        <v>-155.6962</v>
      </c>
      <c r="K8840">
        <v>1.1199589999999999</v>
      </c>
      <c r="L8840">
        <v>138.25980000000001</v>
      </c>
      <c r="M8840">
        <v>0.9997644</v>
      </c>
      <c r="N8840">
        <v>-8.7514069999999992E-3</v>
      </c>
      <c r="O8840">
        <v>1.9866490000000001E-2</v>
      </c>
      <c r="P8840">
        <v>0.9990578</v>
      </c>
      <c r="Q8840">
        <v>-5.6599969999999999E-3</v>
      </c>
      <c r="R8840">
        <v>-4.3031149999999997E-2</v>
      </c>
      <c r="S8840">
        <v>3.0025179999999998</v>
      </c>
      <c r="T8840">
        <v>-0.2354205</v>
      </c>
      <c r="U8840">
        <v>3.5476679999999997E-2</v>
      </c>
      <c r="V8840">
        <v>6.2876230000000005E-2</v>
      </c>
      <c r="W8840">
        <v>2.9662249999999999E-3</v>
      </c>
      <c r="X8840">
        <v>0.99801700000000004</v>
      </c>
      <c r="Y8840">
        <v>7.9780479999999997E-3</v>
      </c>
      <c r="Z8840">
        <v>-1.7287400000000001E-3</v>
      </c>
      <c r="AA8840">
        <v>0.99996669999999999</v>
      </c>
      <c r="AB8840">
        <v>30</v>
      </c>
      <c r="AC8840">
        <v>13.9899</v>
      </c>
      <c r="AD8840">
        <v>-1.1199627518589901</v>
      </c>
      <c r="AE8840">
        <v>0.16359999999997399</v>
      </c>
      <c r="AF8840">
        <v>0.11364489571927799</v>
      </c>
      <c r="AG8840">
        <v>-1.1199627518589901</v>
      </c>
      <c r="AH8840">
        <v>13.901310264101101</v>
      </c>
      <c r="AI8840">
        <v>94.6059479268486</v>
      </c>
      <c r="AJ8840">
        <v>89.531610494788296</v>
      </c>
      <c r="AK8840">
        <v>13.946815363611799</v>
      </c>
      <c r="AL8840">
        <v>89.830047590030503</v>
      </c>
      <c r="AM8840">
        <v>86.395063821555496</v>
      </c>
      <c r="AN8840">
        <v>1.0000000755393701</v>
      </c>
    </row>
    <row r="8841" spans="1:40" x14ac:dyDescent="0.25">
      <c r="A8841" t="str">
        <f>"20190303155021677"</f>
        <v>20190303155021677</v>
      </c>
      <c r="B8841" t="str">
        <f>"1551599421669887"</f>
        <v>1551599421669887</v>
      </c>
      <c r="C8841" t="s">
        <v>40</v>
      </c>
      <c r="D8841">
        <v>5.9919399999999996</v>
      </c>
      <c r="E8841">
        <v>0.47934100000000002</v>
      </c>
      <c r="F8841" t="s">
        <v>41</v>
      </c>
      <c r="G8841">
        <v>-141.2062</v>
      </c>
      <c r="H8841" s="1">
        <v>-3.9676940000000004E-6</v>
      </c>
      <c r="I8841">
        <v>138.4162</v>
      </c>
      <c r="J8841">
        <v>-155.40110000000001</v>
      </c>
      <c r="K8841">
        <v>1.1201139999999901</v>
      </c>
      <c r="L8841">
        <v>138.26490000000001</v>
      </c>
      <c r="M8841">
        <v>0.99977199999999999</v>
      </c>
      <c r="N8841">
        <v>-9.3584849999999997E-3</v>
      </c>
      <c r="O8841">
        <v>1.919848E-2</v>
      </c>
      <c r="P8841">
        <v>0.99900960000000005</v>
      </c>
      <c r="Q8841">
        <v>-4.3057599999999996E-3</v>
      </c>
      <c r="R8841">
        <v>-4.428878E-2</v>
      </c>
      <c r="S8841">
        <v>3.0029140000000001</v>
      </c>
      <c r="T8841">
        <v>-0.2321008</v>
      </c>
      <c r="U8841">
        <v>3.2409670000000002E-2</v>
      </c>
      <c r="V8841">
        <v>6.3468549999999999E-2</v>
      </c>
      <c r="W8841">
        <v>4.9369770000000004E-3</v>
      </c>
      <c r="X8841">
        <v>0.99797170000000002</v>
      </c>
      <c r="Y8841">
        <v>8.3359839999999994E-3</v>
      </c>
      <c r="Z8841">
        <v>-1.6628179999999999E-3</v>
      </c>
      <c r="AA8841">
        <v>0.99996390000000002</v>
      </c>
      <c r="AB8841">
        <v>30</v>
      </c>
      <c r="AC8841">
        <v>14.194900000000001</v>
      </c>
      <c r="AD8841">
        <v>-1.1201179676939901</v>
      </c>
      <c r="AE8841">
        <v>0.151299999999992</v>
      </c>
      <c r="AF8841">
        <v>0.120509994478204</v>
      </c>
      <c r="AG8841">
        <v>-1.1201179676939901</v>
      </c>
      <c r="AH8841">
        <v>14.1073551147934</v>
      </c>
      <c r="AI8841">
        <v>94.539571518130899</v>
      </c>
      <c r="AJ8841">
        <v>89.510571182609397</v>
      </c>
      <c r="AK8841">
        <v>14.1522667885822</v>
      </c>
      <c r="AL8841">
        <v>89.717130925691507</v>
      </c>
      <c r="AM8841">
        <v>86.361029926728506</v>
      </c>
      <c r="AN8841">
        <v>1.0000000722909399</v>
      </c>
    </row>
    <row r="8842" spans="1:40" x14ac:dyDescent="0.25">
      <c r="A8842" t="str">
        <f>"20190303155021767"</f>
        <v>20190303155021767</v>
      </c>
      <c r="B8842" t="str">
        <f>"1551599421759210"</f>
        <v>1551599421759210</v>
      </c>
      <c r="C8842" t="s">
        <v>40</v>
      </c>
      <c r="D8842">
        <v>6.0229439999999999</v>
      </c>
      <c r="E8842">
        <v>0.47880909999999899</v>
      </c>
      <c r="F8842" t="s">
        <v>41</v>
      </c>
      <c r="G8842">
        <v>-140.47479999999999</v>
      </c>
      <c r="H8842" s="1">
        <v>-4.2825169999999999E-6</v>
      </c>
      <c r="I8842">
        <v>138.4102</v>
      </c>
      <c r="J8842">
        <v>-154.19970000000001</v>
      </c>
      <c r="K8842">
        <v>1.120358</v>
      </c>
      <c r="L8842">
        <v>138.28389999999999</v>
      </c>
      <c r="M8842">
        <v>0.99979649999999998</v>
      </c>
      <c r="N8842">
        <v>-1.1366340000000001E-2</v>
      </c>
      <c r="O8842">
        <v>1.6670399999999998E-2</v>
      </c>
      <c r="P8842">
        <v>0.99899709999999997</v>
      </c>
      <c r="Q8842">
        <v>-2.923269E-3</v>
      </c>
      <c r="R8842">
        <v>-4.468225E-2</v>
      </c>
      <c r="S8842">
        <v>3.0033110000000001</v>
      </c>
      <c r="T8842">
        <v>-0.22537779999999999</v>
      </c>
      <c r="U8842">
        <v>2.9251099999999901E-2</v>
      </c>
      <c r="V8842">
        <v>6.1342180000000003E-2</v>
      </c>
      <c r="W8842">
        <v>8.3377030000000001E-3</v>
      </c>
      <c r="X8842">
        <v>0.99808200000000002</v>
      </c>
      <c r="Y8842">
        <v>6.8768739999999998E-3</v>
      </c>
      <c r="Z8842">
        <v>-1.3566870000000001E-3</v>
      </c>
      <c r="AA8842">
        <v>0.99997539999999996</v>
      </c>
      <c r="AB8842">
        <v>29</v>
      </c>
      <c r="AC8842">
        <v>13.7249</v>
      </c>
      <c r="AD8842">
        <v>-1.1203622825170001</v>
      </c>
      <c r="AE8842">
        <v>0.12630000000001401</v>
      </c>
      <c r="AF8842">
        <v>0.10185325568829801</v>
      </c>
      <c r="AG8842">
        <v>-1.1203622825170001</v>
      </c>
      <c r="AH8842">
        <v>13.6342547737554</v>
      </c>
      <c r="AI8842">
        <v>94.697458918606898</v>
      </c>
      <c r="AJ8842">
        <v>89.5719859117563</v>
      </c>
      <c r="AK8842">
        <v>13.6805880343446</v>
      </c>
      <c r="AL8842">
        <v>89.5222792862902</v>
      </c>
      <c r="AM8842">
        <v>86.483021752007105</v>
      </c>
      <c r="AN8842">
        <v>1.0000000295312299</v>
      </c>
    </row>
    <row r="8843" spans="1:40" x14ac:dyDescent="0.25">
      <c r="A8843" t="str">
        <f>"20190303155021788"</f>
        <v>20190303155021788</v>
      </c>
      <c r="B8843" t="str">
        <f>"1551599421779707"</f>
        <v>1551599421779707</v>
      </c>
      <c r="C8843" t="s">
        <v>40</v>
      </c>
      <c r="D8843">
        <v>6.0193770000000004</v>
      </c>
      <c r="E8843">
        <v>0.47859350000000001</v>
      </c>
      <c r="F8843" t="s">
        <v>41</v>
      </c>
      <c r="G8843">
        <v>-138.81700000000001</v>
      </c>
      <c r="H8843" s="1">
        <v>-7.00239E-7</v>
      </c>
      <c r="I8843">
        <v>138.4451</v>
      </c>
      <c r="J8843">
        <v>-153.9358</v>
      </c>
      <c r="K8843">
        <v>1.1203459999999901</v>
      </c>
      <c r="L8843">
        <v>138.2876</v>
      </c>
      <c r="M8843">
        <v>0.9998032</v>
      </c>
      <c r="N8843">
        <v>-1.1699620000000001E-2</v>
      </c>
      <c r="O8843">
        <v>1.6035649999999999E-2</v>
      </c>
      <c r="P8843">
        <v>0.99901660000000003</v>
      </c>
      <c r="Q8843">
        <v>-3.132143E-3</v>
      </c>
      <c r="R8843">
        <v>-4.4229879999999999E-2</v>
      </c>
      <c r="S8843">
        <v>3.0037989999999999</v>
      </c>
      <c r="T8843">
        <v>-0.2187742</v>
      </c>
      <c r="U8843">
        <v>3.1478880000000001E-2</v>
      </c>
      <c r="V8843">
        <v>6.0257430000000001E-2</v>
      </c>
      <c r="W8843">
        <v>8.4602449999999999E-3</v>
      </c>
      <c r="X8843">
        <v>0.99814700000000001</v>
      </c>
      <c r="Y8843">
        <v>5.5112349999999997E-3</v>
      </c>
      <c r="Z8843">
        <v>-1.2115819999999999E-3</v>
      </c>
      <c r="AA8843">
        <v>0.99998410000000004</v>
      </c>
      <c r="AB8843">
        <v>29</v>
      </c>
      <c r="AC8843">
        <v>15.118799999999901</v>
      </c>
      <c r="AD8843">
        <v>-1.12034670023899</v>
      </c>
      <c r="AE8843">
        <v>0.157499999999998</v>
      </c>
      <c r="AF8843">
        <v>8.4512549505622994E-2</v>
      </c>
      <c r="AG8843">
        <v>-1.12034670023899</v>
      </c>
      <c r="AH8843">
        <v>15.0368197671812</v>
      </c>
      <c r="AI8843">
        <v>94.260990250410799</v>
      </c>
      <c r="AJ8843">
        <v>89.677979686379103</v>
      </c>
      <c r="AK8843">
        <v>15.0787356171017</v>
      </c>
      <c r="AL8843">
        <v>89.515257877162298</v>
      </c>
      <c r="AM8843">
        <v>86.545286998225393</v>
      </c>
      <c r="AN8843">
        <v>0.999999983612332</v>
      </c>
    </row>
    <row r="8844" spans="1:40" x14ac:dyDescent="0.25">
      <c r="A8844" t="str">
        <f>"20190303155021811"</f>
        <v>20190303155021811</v>
      </c>
      <c r="B8844" t="str">
        <f>"1551599421800203"</f>
        <v>1551599421800203</v>
      </c>
      <c r="C8844" t="s">
        <v>40</v>
      </c>
      <c r="D8844">
        <v>6.0308099999999998</v>
      </c>
      <c r="E8844">
        <v>0.47836790000000001</v>
      </c>
      <c r="F8844" t="s">
        <v>41</v>
      </c>
      <c r="G8844">
        <v>-138.63030000000001</v>
      </c>
      <c r="H8844" s="1">
        <v>-7.7442589999999998E-7</v>
      </c>
      <c r="I8844">
        <v>138.4633</v>
      </c>
      <c r="J8844">
        <v>-153.6317</v>
      </c>
      <c r="K8844">
        <v>1.1203110000000001</v>
      </c>
      <c r="L8844">
        <v>138.29159999999999</v>
      </c>
      <c r="M8844">
        <v>0.99981160000000002</v>
      </c>
      <c r="N8844">
        <v>-1.2039559999999999E-2</v>
      </c>
      <c r="O8844">
        <v>1.5227009999999999E-2</v>
      </c>
      <c r="P8844">
        <v>0.9990137</v>
      </c>
      <c r="Q8844">
        <v>-4.387073E-3</v>
      </c>
      <c r="R8844">
        <v>-4.4188600000000001E-2</v>
      </c>
      <c r="S8844">
        <v>3.0037989999999999</v>
      </c>
      <c r="T8844">
        <v>-0.21987470000000001</v>
      </c>
      <c r="U8844">
        <v>3.4484859999999999E-2</v>
      </c>
      <c r="V8844">
        <v>5.9408170000000003E-2</v>
      </c>
      <c r="W8844">
        <v>7.5399799999999999E-3</v>
      </c>
      <c r="X8844">
        <v>0.99820529999999996</v>
      </c>
      <c r="Y8844">
        <v>3.7087909999999999E-3</v>
      </c>
      <c r="Z8844">
        <v>-1.0878019999999999E-3</v>
      </c>
      <c r="AA8844">
        <v>0.99999249999999995</v>
      </c>
      <c r="AB8844">
        <v>29</v>
      </c>
      <c r="AC8844">
        <v>15.001399999999901</v>
      </c>
      <c r="AD8844">
        <v>-1.1203117744258999</v>
      </c>
      <c r="AE8844">
        <v>0.17170000000001501</v>
      </c>
      <c r="AF8844">
        <v>5.6448148864041203E-2</v>
      </c>
      <c r="AG8844">
        <v>-1.1203117744258999</v>
      </c>
      <c r="AH8844">
        <v>14.919079778393201</v>
      </c>
      <c r="AI8844">
        <v>94.294395847466703</v>
      </c>
      <c r="AJ8844">
        <v>89.783215499492002</v>
      </c>
      <c r="AK8844">
        <v>14.9611906711828</v>
      </c>
      <c r="AL8844">
        <v>89.567986875531602</v>
      </c>
      <c r="AM8844">
        <v>86.594060265846807</v>
      </c>
      <c r="AN8844">
        <v>1.00000000145461</v>
      </c>
    </row>
    <row r="8845" spans="1:40" x14ac:dyDescent="0.25">
      <c r="A8845" t="str">
        <f>"20190303155021878"</f>
        <v>20190303155021878</v>
      </c>
      <c r="B8845" t="str">
        <f>"1551599421870007"</f>
        <v>1551599421870007</v>
      </c>
      <c r="C8845" t="s">
        <v>40</v>
      </c>
      <c r="D8845">
        <v>5.9440970000000002</v>
      </c>
      <c r="E8845">
        <v>0.47809220000000002</v>
      </c>
      <c r="F8845" t="s">
        <v>41</v>
      </c>
      <c r="G8845">
        <v>-138.6397</v>
      </c>
      <c r="H8845" s="1">
        <v>-7.6882819999999997E-7</v>
      </c>
      <c r="I8845">
        <v>138.47219999999999</v>
      </c>
      <c r="J8845">
        <v>-152.75640000000001</v>
      </c>
      <c r="K8845">
        <v>1.120174</v>
      </c>
      <c r="L8845">
        <v>138.30109999999999</v>
      </c>
      <c r="M8845">
        <v>0.99984130000000004</v>
      </c>
      <c r="N8845">
        <v>-1.279517E-2</v>
      </c>
      <c r="O8845">
        <v>1.240001E-2</v>
      </c>
      <c r="P8845">
        <v>0.99883230000000001</v>
      </c>
      <c r="Q8845">
        <v>-4.8703610000000001E-3</v>
      </c>
      <c r="R8845">
        <v>-4.8067579999999999E-2</v>
      </c>
      <c r="S8845">
        <v>3.003571</v>
      </c>
      <c r="T8845">
        <v>-0.22444749999999999</v>
      </c>
      <c r="U8845">
        <v>3.6178589999999997E-2</v>
      </c>
      <c r="V8845">
        <v>6.0465560000000002E-2</v>
      </c>
      <c r="W8845">
        <v>7.78363699999999E-3</v>
      </c>
      <c r="X8845">
        <v>0.99813989999999997</v>
      </c>
      <c r="Y8845">
        <v>3.3191019999999902E-4</v>
      </c>
      <c r="Z8845">
        <v>-7.8128270000000003E-4</v>
      </c>
      <c r="AA8845">
        <v>0.99999959999999999</v>
      </c>
      <c r="AB8845">
        <v>29</v>
      </c>
      <c r="AC8845">
        <v>14.1167</v>
      </c>
      <c r="AD8845">
        <v>-1.1201747688282</v>
      </c>
      <c r="AE8845">
        <v>0.17109999999999501</v>
      </c>
      <c r="AF8845">
        <v>3.9498330954069998E-3</v>
      </c>
      <c r="AG8845">
        <v>-1.1201747688282</v>
      </c>
      <c r="AH8845">
        <v>14.0294118665262</v>
      </c>
      <c r="AI8845">
        <v>94.565081904172501</v>
      </c>
      <c r="AJ8845">
        <v>89.9838689773797</v>
      </c>
      <c r="AK8845">
        <v>14.0740614051001</v>
      </c>
      <c r="AL8845">
        <v>89.554025931487899</v>
      </c>
      <c r="AM8845">
        <v>86.533358822957197</v>
      </c>
      <c r="AN8845">
        <v>0.99999996446153505</v>
      </c>
    </row>
    <row r="8846" spans="1:40" x14ac:dyDescent="0.25">
      <c r="A8846" t="str">
        <f>"20190303155021903"</f>
        <v>20190303155021903</v>
      </c>
      <c r="B8846" t="str">
        <f>"1551599421899286"</f>
        <v>1551599421899286</v>
      </c>
      <c r="C8846" t="s">
        <v>40</v>
      </c>
      <c r="D8846">
        <v>6.3066050000000002</v>
      </c>
      <c r="E8846">
        <v>0.51134599999999997</v>
      </c>
      <c r="F8846" t="s">
        <v>41</v>
      </c>
      <c r="G8846">
        <v>-138.0119</v>
      </c>
      <c r="H8846" s="1">
        <v>-1.0447379999999999E-6</v>
      </c>
      <c r="I8846">
        <v>138.43510000000001</v>
      </c>
      <c r="J8846">
        <v>-152.44149999999999</v>
      </c>
      <c r="K8846">
        <v>1.1201219999999901</v>
      </c>
      <c r="L8846">
        <v>138.30369999999999</v>
      </c>
      <c r="M8846">
        <v>0.99985279999999999</v>
      </c>
      <c r="N8846">
        <v>-1.299849E-2</v>
      </c>
      <c r="O8846">
        <v>1.1204520000000001E-2</v>
      </c>
      <c r="P8846">
        <v>0.99873330000000005</v>
      </c>
      <c r="Q8846">
        <v>-4.4417650000000003E-3</v>
      </c>
      <c r="R8846">
        <v>-5.0124420000000003E-2</v>
      </c>
      <c r="S8846">
        <v>3.003708</v>
      </c>
      <c r="T8846">
        <v>-0.2281976</v>
      </c>
      <c r="U8846">
        <v>2.7297970000000001E-2</v>
      </c>
      <c r="V8846">
        <v>6.1330280000000001E-2</v>
      </c>
      <c r="W8846">
        <v>8.4039800000000001E-3</v>
      </c>
      <c r="X8846">
        <v>0.99808220000000003</v>
      </c>
      <c r="Y8846">
        <v>2.0886310000000001E-3</v>
      </c>
      <c r="Z8846">
        <v>-7.9730890000000003E-4</v>
      </c>
      <c r="AA8846">
        <v>0.99999749999999998</v>
      </c>
      <c r="AB8846">
        <v>29</v>
      </c>
      <c r="AC8846">
        <v>14.429599999999899</v>
      </c>
      <c r="AD8846">
        <v>-1.12012304473799</v>
      </c>
      <c r="AE8846">
        <v>0.13140000000001301</v>
      </c>
      <c r="AF8846">
        <v>3.0117173319234501E-2</v>
      </c>
      <c r="AG8846">
        <v>-1.12012304473799</v>
      </c>
      <c r="AH8846">
        <v>14.343739497764799</v>
      </c>
      <c r="AI8846">
        <v>94.4652371682607</v>
      </c>
      <c r="AJ8846">
        <v>89.879697732484104</v>
      </c>
      <c r="AK8846">
        <v>14.387440545810099</v>
      </c>
      <c r="AL8846">
        <v>89.518481772774393</v>
      </c>
      <c r="AM8846">
        <v>86.483703014663206</v>
      </c>
      <c r="AN8846">
        <v>1.0000000540407701</v>
      </c>
    </row>
    <row r="8847" spans="1:40" x14ac:dyDescent="0.25">
      <c r="A8847" t="str">
        <f>"20190303155021927"</f>
        <v>20190303155021927</v>
      </c>
      <c r="B8847" t="str">
        <f>"1551599421919782"</f>
        <v>1551599421919782</v>
      </c>
      <c r="C8847" t="s">
        <v>40</v>
      </c>
      <c r="D8847">
        <v>6.2802790000000002</v>
      </c>
      <c r="E8847">
        <v>0.51793339999999999</v>
      </c>
      <c r="F8847" t="s">
        <v>42</v>
      </c>
      <c r="G8847">
        <v>-151.48779999999999</v>
      </c>
      <c r="H8847">
        <v>1.0192369999999999</v>
      </c>
      <c r="I8847">
        <v>138.22540000000001</v>
      </c>
      <c r="J8847">
        <v>-152.13329999999999</v>
      </c>
      <c r="K8847">
        <v>1.1200859999999999</v>
      </c>
      <c r="L8847">
        <v>138.3058</v>
      </c>
      <c r="M8847">
        <v>0.99986379999999997</v>
      </c>
      <c r="N8847">
        <v>-1.316837E-2</v>
      </c>
      <c r="O8847">
        <v>9.9541449999999993E-3</v>
      </c>
      <c r="P8847">
        <v>0.99864869999999994</v>
      </c>
      <c r="Q8847">
        <v>-3.8581819999999999E-3</v>
      </c>
      <c r="R8847">
        <v>-5.182846E-2</v>
      </c>
      <c r="S8847">
        <v>2.9901119999999999</v>
      </c>
      <c r="T8847">
        <v>-0.31633539999999999</v>
      </c>
      <c r="U8847">
        <v>-0.24525449999999999</v>
      </c>
      <c r="V8847">
        <v>6.1787910000000001E-2</v>
      </c>
      <c r="W8847">
        <v>9.1473430000000005E-3</v>
      </c>
      <c r="X8847">
        <v>0.99804740000000003</v>
      </c>
      <c r="Y8847">
        <v>9.1054289999999996E-2</v>
      </c>
      <c r="Z8847">
        <v>-6.3154869999999998E-3</v>
      </c>
      <c r="AA8847">
        <v>0.99582590000000004</v>
      </c>
      <c r="AB8847">
        <v>29</v>
      </c>
      <c r="AC8847">
        <v>0.64549999999999796</v>
      </c>
      <c r="AD8847">
        <v>-0.100848999999999</v>
      </c>
      <c r="AE8847">
        <v>-8.0399999999997293E-2</v>
      </c>
      <c r="AF8847">
        <v>8.4784090564857903E-2</v>
      </c>
      <c r="AG8847">
        <v>-0.100848999999999</v>
      </c>
      <c r="AH8847">
        <v>0.62953601137289605</v>
      </c>
      <c r="AI8847">
        <v>99.021125442647005</v>
      </c>
      <c r="AJ8847">
        <v>82.329722117541905</v>
      </c>
      <c r="AK8847">
        <v>0.64317528903806997</v>
      </c>
      <c r="AL8847">
        <v>89.475888551573107</v>
      </c>
      <c r="AM8847">
        <v>86.457408718597904</v>
      </c>
      <c r="AN8847">
        <v>1.00000001617644</v>
      </c>
    </row>
    <row r="8848" spans="1:40" x14ac:dyDescent="0.25">
      <c r="A8848" t="str">
        <f>"20190303155021956"</f>
        <v>20190303155021956</v>
      </c>
      <c r="B8848" t="str">
        <f>"1551599421949570"</f>
        <v>1551599421949570</v>
      </c>
      <c r="C8848" t="s">
        <v>40</v>
      </c>
      <c r="D8848">
        <v>6.2569119999999998</v>
      </c>
      <c r="E8848">
        <v>0.5215822</v>
      </c>
      <c r="F8848" t="s">
        <v>42</v>
      </c>
      <c r="G8848">
        <v>-151.2234</v>
      </c>
      <c r="H8848">
        <v>1.0261880000000001</v>
      </c>
      <c r="I8848">
        <v>138.21350000000001</v>
      </c>
      <c r="J8848">
        <v>-151.73820000000001</v>
      </c>
      <c r="K8848">
        <v>1.1200570000000001</v>
      </c>
      <c r="L8848">
        <v>138.30779999999999</v>
      </c>
      <c r="M8848">
        <v>0.99987680000000001</v>
      </c>
      <c r="N8848">
        <v>-1.335254E-2</v>
      </c>
      <c r="O8848">
        <v>8.2719879999999992E-3</v>
      </c>
      <c r="P8848">
        <v>0.99856840000000002</v>
      </c>
      <c r="Q8848">
        <v>-1.8462800000000001E-3</v>
      </c>
      <c r="R8848">
        <v>-5.3461019999999998E-2</v>
      </c>
      <c r="S8848">
        <v>2.987152</v>
      </c>
      <c r="T8848">
        <v>-0.30829489999999998</v>
      </c>
      <c r="U8848">
        <v>-0.3027802</v>
      </c>
      <c r="V8848">
        <v>6.1746969999999998E-2</v>
      </c>
      <c r="W8848">
        <v>1.1335430000000001E-2</v>
      </c>
      <c r="X8848">
        <v>0.99802740000000001</v>
      </c>
      <c r="Y8848">
        <v>0.1083935</v>
      </c>
      <c r="Z8848">
        <v>-7.0316880000000003E-3</v>
      </c>
      <c r="AA8848">
        <v>0.99408319999999994</v>
      </c>
      <c r="AB8848">
        <v>29</v>
      </c>
      <c r="AC8848">
        <v>0.51480000000000803</v>
      </c>
      <c r="AD8848">
        <v>-9.3869000000000202E-2</v>
      </c>
      <c r="AE8848">
        <v>-9.4299999999975598E-2</v>
      </c>
      <c r="AF8848">
        <v>9.5483972272828593E-2</v>
      </c>
      <c r="AG8848">
        <v>-9.3869000000000202E-2</v>
      </c>
      <c r="AH8848">
        <v>0.49798278642779398</v>
      </c>
      <c r="AI8848">
        <v>100.488205896493</v>
      </c>
      <c r="AJ8848">
        <v>79.145759076081902</v>
      </c>
      <c r="AK8848">
        <v>0.51566988830102201</v>
      </c>
      <c r="AL8848">
        <v>89.350513750812198</v>
      </c>
      <c r="AM8848">
        <v>86.459679264865599</v>
      </c>
      <c r="AN8848">
        <v>0.99999993571411006</v>
      </c>
    </row>
    <row r="8849" spans="1:40" x14ac:dyDescent="0.25">
      <c r="A8849" t="str">
        <f>"20190303155021977"</f>
        <v>20190303155021977</v>
      </c>
      <c r="B8849" t="str">
        <f>"1551599421969090"</f>
        <v>1551599421969090</v>
      </c>
      <c r="C8849" t="s">
        <v>40</v>
      </c>
      <c r="D8849">
        <v>6.1838360000000003</v>
      </c>
      <c r="E8849">
        <v>0.52293999999999996</v>
      </c>
      <c r="F8849" t="s">
        <v>42</v>
      </c>
      <c r="G8849">
        <v>-150.9556</v>
      </c>
      <c r="H8849">
        <v>1.0414429999999999</v>
      </c>
      <c r="I8849">
        <v>138.2193</v>
      </c>
      <c r="J8849">
        <v>-151.4563</v>
      </c>
      <c r="K8849">
        <v>1.1200410000000001</v>
      </c>
      <c r="L8849">
        <v>138.30879999999999</v>
      </c>
      <c r="M8849">
        <v>0.99988469999999996</v>
      </c>
      <c r="N8849">
        <v>-1.3463309999999999E-2</v>
      </c>
      <c r="O8849">
        <v>7.0270230000000003E-3</v>
      </c>
      <c r="P8849">
        <v>0.99857629999999997</v>
      </c>
      <c r="Q8849">
        <v>-5.9443339999999895E-4</v>
      </c>
      <c r="R8849">
        <v>-5.3339339999999999E-2</v>
      </c>
      <c r="S8849">
        <v>2.985703</v>
      </c>
      <c r="T8849">
        <v>-0.29996669999999998</v>
      </c>
      <c r="U8849">
        <v>-0.33723449999999999</v>
      </c>
      <c r="V8849">
        <v>6.0386639999999998E-2</v>
      </c>
      <c r="W8849">
        <v>1.269766E-2</v>
      </c>
      <c r="X8849">
        <v>0.99809429999999999</v>
      </c>
      <c r="Y8849">
        <v>0.118521</v>
      </c>
      <c r="Z8849">
        <v>-7.3307579999999997E-3</v>
      </c>
      <c r="AA8849">
        <v>0.99292449999999999</v>
      </c>
      <c r="AB8849">
        <v>29</v>
      </c>
      <c r="AC8849">
        <v>0.50069999999999404</v>
      </c>
      <c r="AD8849">
        <v>-7.8597999999999904E-2</v>
      </c>
      <c r="AE8849">
        <v>-8.9499999999986798E-2</v>
      </c>
      <c r="AF8849">
        <v>9.08472359349628E-2</v>
      </c>
      <c r="AG8849">
        <v>-7.8597999999999904E-2</v>
      </c>
      <c r="AH8849">
        <v>0.488396445469781</v>
      </c>
      <c r="AI8849">
        <v>98.990632330920803</v>
      </c>
      <c r="AJ8849">
        <v>79.462768738227794</v>
      </c>
      <c r="AK8849">
        <v>0.50295323224782995</v>
      </c>
      <c r="AL8849">
        <v>89.272458124194102</v>
      </c>
      <c r="AM8849">
        <v>86.537714700539098</v>
      </c>
      <c r="AN8849">
        <v>1.00000000427622</v>
      </c>
    </row>
    <row r="8850" spans="1:40" x14ac:dyDescent="0.25">
      <c r="A8850" t="str">
        <f>"20190303155022002"</f>
        <v>20190303155022002</v>
      </c>
      <c r="B8850" t="str">
        <f>"1551599421989585"</f>
        <v>1551599421989585</v>
      </c>
      <c r="C8850" t="s">
        <v>40</v>
      </c>
      <c r="D8850">
        <v>6.2691819999999998</v>
      </c>
      <c r="E8850">
        <v>0.52377240000000003</v>
      </c>
      <c r="F8850" t="s">
        <v>42</v>
      </c>
      <c r="G8850">
        <v>-150.69370000000001</v>
      </c>
      <c r="H8850">
        <v>1.043777</v>
      </c>
      <c r="I8850">
        <v>138.21979999999999</v>
      </c>
      <c r="J8850">
        <v>-151.15209999999999</v>
      </c>
      <c r="K8850">
        <v>1.1200300000000001</v>
      </c>
      <c r="L8850">
        <v>138.30950000000001</v>
      </c>
      <c r="M8850">
        <v>0.99989209999999995</v>
      </c>
      <c r="N8850">
        <v>-1.3566109999999999E-2</v>
      </c>
      <c r="O8850">
        <v>5.6528500000000001E-3</v>
      </c>
      <c r="P8850">
        <v>0.99860510000000002</v>
      </c>
      <c r="Q8850">
        <v>2.773246E-4</v>
      </c>
      <c r="R8850">
        <v>-5.2801830000000001E-2</v>
      </c>
      <c r="S8850">
        <v>2.9854889999999998</v>
      </c>
      <c r="T8850">
        <v>-0.29861880000000002</v>
      </c>
      <c r="U8850">
        <v>-0.3482208</v>
      </c>
      <c r="V8850">
        <v>5.8480669999999998E-2</v>
      </c>
      <c r="W8850">
        <v>1.367461E-2</v>
      </c>
      <c r="X8850">
        <v>0.9981949</v>
      </c>
      <c r="Y8850">
        <v>0.1207685</v>
      </c>
      <c r="Z8850">
        <v>-7.3147769999999997E-3</v>
      </c>
      <c r="AA8850">
        <v>0.99265369999999997</v>
      </c>
      <c r="AB8850">
        <v>29</v>
      </c>
      <c r="AC8850">
        <v>0.45839999999998299</v>
      </c>
      <c r="AD8850">
        <v>-7.6252999999999904E-2</v>
      </c>
      <c r="AE8850">
        <v>-8.9700000000021804E-2</v>
      </c>
      <c r="AF8850">
        <v>8.9894340763738798E-2</v>
      </c>
      <c r="AG8850">
        <v>-7.6252999999999904E-2</v>
      </c>
      <c r="AH8850">
        <v>0.44599945237251998</v>
      </c>
      <c r="AI8850">
        <v>99.514375515427204</v>
      </c>
      <c r="AJ8850">
        <v>78.604311275778301</v>
      </c>
      <c r="AK8850">
        <v>0.46131445243666003</v>
      </c>
      <c r="AL8850">
        <v>89.216478156609796</v>
      </c>
      <c r="AM8850">
        <v>86.647077798331196</v>
      </c>
      <c r="AN8850">
        <v>1.00000002105415</v>
      </c>
    </row>
    <row r="8851" spans="1:40" x14ac:dyDescent="0.25">
      <c r="A8851" t="str">
        <f>"20190303155022023"</f>
        <v>20190303155022023</v>
      </c>
      <c r="B8851" t="str">
        <f>"1551599422019841"</f>
        <v>1551599422019841</v>
      </c>
      <c r="C8851" t="s">
        <v>40</v>
      </c>
      <c r="D8851">
        <v>6.2752019999999904</v>
      </c>
      <c r="E8851">
        <v>0.52456639999999999</v>
      </c>
      <c r="F8851" t="s">
        <v>42</v>
      </c>
      <c r="G8851">
        <v>-150.18440000000001</v>
      </c>
      <c r="H8851">
        <v>1.024149</v>
      </c>
      <c r="I8851">
        <v>138.19479999999999</v>
      </c>
      <c r="J8851">
        <v>-150.86969999999999</v>
      </c>
      <c r="K8851">
        <v>1.120036</v>
      </c>
      <c r="L8851">
        <v>138.30959999999999</v>
      </c>
      <c r="M8851">
        <v>0.99989740000000005</v>
      </c>
      <c r="N8851">
        <v>-1.364776E-2</v>
      </c>
      <c r="O8851">
        <v>4.3577859999999998E-3</v>
      </c>
      <c r="P8851">
        <v>0.9986756</v>
      </c>
      <c r="Q8851">
        <v>1.6342119999999999E-3</v>
      </c>
      <c r="R8851">
        <v>-5.1426689999999997E-2</v>
      </c>
      <c r="S8851">
        <v>2.9855960000000001</v>
      </c>
      <c r="T8851">
        <v>-0.29586899999999999</v>
      </c>
      <c r="U8851">
        <v>-0.35334779999999999</v>
      </c>
      <c r="V8851">
        <v>5.5816959999999999E-2</v>
      </c>
      <c r="W8851">
        <v>1.5119280000000001E-2</v>
      </c>
      <c r="X8851">
        <v>0.99832650000000001</v>
      </c>
      <c r="Y8851">
        <v>0.1211745</v>
      </c>
      <c r="Z8851">
        <v>-7.1710360000000004E-3</v>
      </c>
      <c r="AA8851">
        <v>0.99260530000000002</v>
      </c>
      <c r="AB8851">
        <v>29</v>
      </c>
      <c r="AC8851">
        <v>0.68529999999998303</v>
      </c>
      <c r="AD8851">
        <v>-9.5887E-2</v>
      </c>
      <c r="AE8851">
        <v>-0.114800000000002</v>
      </c>
      <c r="AF8851">
        <v>0.11558448684362101</v>
      </c>
      <c r="AG8851">
        <v>-9.5887E-2</v>
      </c>
      <c r="AH8851">
        <v>0.671996251705402</v>
      </c>
      <c r="AI8851">
        <v>98.004716676191507</v>
      </c>
      <c r="AJ8851">
        <v>80.240525026257501</v>
      </c>
      <c r="AK8851">
        <v>0.68857320066497896</v>
      </c>
      <c r="AL8851">
        <v>89.133696027523996</v>
      </c>
      <c r="AM8851">
        <v>86.799894535508301</v>
      </c>
      <c r="AN8851">
        <v>0.99999996312680395</v>
      </c>
    </row>
    <row r="8852" spans="1:40" x14ac:dyDescent="0.25">
      <c r="A8852" t="str">
        <f>"20190303155022055"</f>
        <v>20190303155022055</v>
      </c>
      <c r="B8852" t="str">
        <f>"1551599422049121"</f>
        <v>1551599422049121</v>
      </c>
      <c r="C8852" t="s">
        <v>40</v>
      </c>
      <c r="D8852">
        <v>6.3006089999999997</v>
      </c>
      <c r="E8852">
        <v>0.52486119999999903</v>
      </c>
      <c r="F8852" t="s">
        <v>42</v>
      </c>
      <c r="G8852">
        <v>-149.92400000000001</v>
      </c>
      <c r="H8852">
        <v>1.026948</v>
      </c>
      <c r="I8852">
        <v>138.1969</v>
      </c>
      <c r="J8852">
        <v>-150.4419</v>
      </c>
      <c r="K8852">
        <v>1.120052</v>
      </c>
      <c r="L8852">
        <v>138.3092</v>
      </c>
      <c r="M8852">
        <v>0.99990270000000003</v>
      </c>
      <c r="N8852">
        <v>-1.375037E-2</v>
      </c>
      <c r="O8852">
        <v>2.3812709999999999E-3</v>
      </c>
      <c r="P8852">
        <v>0.99862459999999997</v>
      </c>
      <c r="Q8852">
        <v>4.4142069999999999E-3</v>
      </c>
      <c r="R8852">
        <v>-5.2243919999999999E-2</v>
      </c>
      <c r="S8852">
        <v>2.9861599999999999</v>
      </c>
      <c r="T8852">
        <v>-0.29399750000000002</v>
      </c>
      <c r="U8852">
        <v>-0.35536190000000001</v>
      </c>
      <c r="V8852">
        <v>5.4668389999999997E-2</v>
      </c>
      <c r="W8852">
        <v>1.8003269999999998E-2</v>
      </c>
      <c r="X8852">
        <v>0.99834230000000002</v>
      </c>
      <c r="Y8852">
        <v>0.1198726</v>
      </c>
      <c r="Z8852">
        <v>-6.895984E-3</v>
      </c>
      <c r="AA8852">
        <v>0.99276529999999996</v>
      </c>
      <c r="AB8852">
        <v>29</v>
      </c>
      <c r="AC8852">
        <v>0.51789999999999703</v>
      </c>
      <c r="AD8852">
        <v>-9.3104000000000006E-2</v>
      </c>
      <c r="AE8852">
        <v>-0.11230000000000399</v>
      </c>
      <c r="AF8852">
        <v>0.110133594932092</v>
      </c>
      <c r="AG8852">
        <v>-9.3104000000000006E-2</v>
      </c>
      <c r="AH8852">
        <v>0.50213192149548402</v>
      </c>
      <c r="AI8852">
        <v>100.265688321032</v>
      </c>
      <c r="AJ8852">
        <v>77.629093644069599</v>
      </c>
      <c r="AK8852">
        <v>0.52243107692155299</v>
      </c>
      <c r="AL8852">
        <v>88.968432932425401</v>
      </c>
      <c r="AM8852">
        <v>86.865661337235693</v>
      </c>
      <c r="AN8852">
        <v>1.00000004928258</v>
      </c>
    </row>
    <row r="8853" spans="1:40" x14ac:dyDescent="0.25">
      <c r="A8853" t="str">
        <f>"20190303155022078"</f>
        <v>20190303155022078</v>
      </c>
      <c r="B8853" t="str">
        <f>"1551599422069617"</f>
        <v>1551599422069617</v>
      </c>
      <c r="C8853" t="s">
        <v>40</v>
      </c>
      <c r="D8853">
        <v>6.2999320000000001</v>
      </c>
      <c r="E8853">
        <v>0.52505959999999996</v>
      </c>
      <c r="F8853" t="s">
        <v>42</v>
      </c>
      <c r="G8853">
        <v>-149.6576</v>
      </c>
      <c r="H8853">
        <v>1.0421849999999999</v>
      </c>
      <c r="I8853">
        <v>138.21449999999999</v>
      </c>
      <c r="J8853">
        <v>-150.15219999999999</v>
      </c>
      <c r="K8853">
        <v>1.1200760000000001</v>
      </c>
      <c r="L8853">
        <v>138.30840000000001</v>
      </c>
      <c r="M8853">
        <v>0.99990420000000002</v>
      </c>
      <c r="N8853">
        <v>-1.380791E-2</v>
      </c>
      <c r="O8853">
        <v>1.0386709999999999E-3</v>
      </c>
      <c r="P8853">
        <v>0.99856149999999999</v>
      </c>
      <c r="Q8853">
        <v>8.0904180000000003E-3</v>
      </c>
      <c r="R8853">
        <v>-5.3009670000000002E-2</v>
      </c>
      <c r="S8853">
        <v>2.9866030000000001</v>
      </c>
      <c r="T8853">
        <v>-0.29658899999999999</v>
      </c>
      <c r="U8853">
        <v>-0.3601837</v>
      </c>
      <c r="V8853">
        <v>5.4102989999999997E-2</v>
      </c>
      <c r="W8853">
        <v>2.1737599999999999E-2</v>
      </c>
      <c r="X8853">
        <v>0.99829869999999998</v>
      </c>
      <c r="Y8853">
        <v>0.1200951</v>
      </c>
      <c r="Z8853">
        <v>-6.849885E-3</v>
      </c>
      <c r="AA8853">
        <v>0.99273880000000003</v>
      </c>
      <c r="AB8853">
        <v>29</v>
      </c>
      <c r="AC8853">
        <v>0.49459999999999099</v>
      </c>
      <c r="AD8853">
        <v>-7.7890999999999905E-2</v>
      </c>
      <c r="AE8853">
        <v>-9.3900000000019204E-2</v>
      </c>
      <c r="AF8853">
        <v>9.2206483011348594E-2</v>
      </c>
      <c r="AG8853">
        <v>-7.7890999999999905E-2</v>
      </c>
      <c r="AH8853">
        <v>0.482941521969041</v>
      </c>
      <c r="AI8853">
        <v>99.002148783837697</v>
      </c>
      <c r="AJ8853">
        <v>79.190789670696603</v>
      </c>
      <c r="AK8853">
        <v>0.49779670251227598</v>
      </c>
      <c r="AL8853">
        <v>88.754429126193799</v>
      </c>
      <c r="AM8853">
        <v>86.897878936753798</v>
      </c>
      <c r="AN8853">
        <v>0.99999997560119402</v>
      </c>
    </row>
    <row r="8854" spans="1:40" x14ac:dyDescent="0.25">
      <c r="A8854" t="str">
        <f>"20190303155022102"</f>
        <v>20190303155022102</v>
      </c>
      <c r="B8854" t="str">
        <f>"1551599422089138"</f>
        <v>1551599422089138</v>
      </c>
      <c r="C8854" t="s">
        <v>40</v>
      </c>
      <c r="D8854">
        <v>6.3025370000000001</v>
      </c>
      <c r="E8854">
        <v>0.52526280000000003</v>
      </c>
      <c r="F8854" t="s">
        <v>42</v>
      </c>
      <c r="G8854">
        <v>-149.3963</v>
      </c>
      <c r="H8854">
        <v>1.045676</v>
      </c>
      <c r="I8854">
        <v>138.21619999999999</v>
      </c>
      <c r="J8854">
        <v>-149.85339999999999</v>
      </c>
      <c r="K8854">
        <v>1.120112</v>
      </c>
      <c r="L8854">
        <v>138.30719999999999</v>
      </c>
      <c r="M8854">
        <v>0.99990389999999996</v>
      </c>
      <c r="N8854">
        <v>-1.3858280000000001E-2</v>
      </c>
      <c r="O8854">
        <v>-3.4706560000000001E-4</v>
      </c>
      <c r="P8854">
        <v>0.99847379999999997</v>
      </c>
      <c r="Q8854">
        <v>1.345087E-2</v>
      </c>
      <c r="R8854">
        <v>-5.3564250000000001E-2</v>
      </c>
      <c r="S8854">
        <v>2.9873959999999999</v>
      </c>
      <c r="T8854">
        <v>-0.29408590000000001</v>
      </c>
      <c r="U8854">
        <v>-0.36381530000000001</v>
      </c>
      <c r="V8854">
        <v>5.3287859999999999E-2</v>
      </c>
      <c r="W8854">
        <v>2.7149980000000001E-2</v>
      </c>
      <c r="X8854">
        <v>0.99821000000000004</v>
      </c>
      <c r="Y8854">
        <v>0.1198941</v>
      </c>
      <c r="Z8854">
        <v>-6.6725179999999997E-3</v>
      </c>
      <c r="AA8854">
        <v>0.99276430000000004</v>
      </c>
      <c r="AB8854">
        <v>29</v>
      </c>
      <c r="AC8854">
        <v>0.45709999999999701</v>
      </c>
      <c r="AD8854">
        <v>-7.4435999999999905E-2</v>
      </c>
      <c r="AE8854">
        <v>-9.1000000000008199E-2</v>
      </c>
      <c r="AF8854">
        <v>8.8581857126602395E-2</v>
      </c>
      <c r="AG8854">
        <v>-7.4435999999999905E-2</v>
      </c>
      <c r="AH8854">
        <v>0.44576141615557502</v>
      </c>
      <c r="AI8854">
        <v>99.301525060389693</v>
      </c>
      <c r="AJ8854">
        <v>78.7605843720644</v>
      </c>
      <c r="AK8854">
        <v>0.460533064655538</v>
      </c>
      <c r="AL8854">
        <v>88.4442294992011</v>
      </c>
      <c r="AM8854">
        <v>86.944256088450402</v>
      </c>
      <c r="AN8854">
        <v>0.99999996076868902</v>
      </c>
    </row>
    <row r="8855" spans="1:40" x14ac:dyDescent="0.25">
      <c r="A8855" t="str">
        <f>"20190303155022126"</f>
        <v>20190303155022126</v>
      </c>
      <c r="B8855" t="str">
        <f>"1551599422119393"</f>
        <v>1551599422119393</v>
      </c>
      <c r="C8855" t="s">
        <v>40</v>
      </c>
      <c r="D8855">
        <v>6.0272170000000003</v>
      </c>
      <c r="E8855">
        <v>0.52497240000000001</v>
      </c>
      <c r="F8855" t="s">
        <v>42</v>
      </c>
      <c r="G8855">
        <v>-148.89019999999999</v>
      </c>
      <c r="H8855">
        <v>1.0280499999999999</v>
      </c>
      <c r="I8855">
        <v>138.18870000000001</v>
      </c>
      <c r="J8855">
        <v>-149.54830000000001</v>
      </c>
      <c r="K8855">
        <v>1.1201399999999999</v>
      </c>
      <c r="L8855">
        <v>138.30549999999999</v>
      </c>
      <c r="M8855">
        <v>0.99990199999999996</v>
      </c>
      <c r="N8855">
        <v>-1.390166E-2</v>
      </c>
      <c r="O8855">
        <v>-1.759587E-3</v>
      </c>
      <c r="P8855">
        <v>0.9983976</v>
      </c>
      <c r="Q8855">
        <v>1.7775909999999999E-2</v>
      </c>
      <c r="R8855">
        <v>-5.3726360000000001E-2</v>
      </c>
      <c r="S8855">
        <v>2.9887389999999998</v>
      </c>
      <c r="T8855">
        <v>-0.28572049999999999</v>
      </c>
      <c r="U8855">
        <v>-0.36700440000000001</v>
      </c>
      <c r="V8855">
        <v>5.2050550000000001E-2</v>
      </c>
      <c r="W8855">
        <v>3.1521170000000001E-2</v>
      </c>
      <c r="X8855">
        <v>0.9981468</v>
      </c>
      <c r="Y8855">
        <v>0.119523</v>
      </c>
      <c r="Z8855">
        <v>-6.3721560000000003E-3</v>
      </c>
      <c r="AA8855">
        <v>0.992811</v>
      </c>
      <c r="AB8855">
        <v>29</v>
      </c>
      <c r="AC8855">
        <v>0.658100000000018</v>
      </c>
      <c r="AD8855">
        <v>-9.2089999999999894E-2</v>
      </c>
      <c r="AE8855">
        <v>-0.116799999999983</v>
      </c>
      <c r="AF8855">
        <v>0.113487356307655</v>
      </c>
      <c r="AG8855">
        <v>-9.2089999999999894E-2</v>
      </c>
      <c r="AH8855">
        <v>0.64604052579084004</v>
      </c>
      <c r="AI8855">
        <v>97.991833800088301</v>
      </c>
      <c r="AJ8855">
        <v>80.036733477276698</v>
      </c>
      <c r="AK8855">
        <v>0.66236569137131895</v>
      </c>
      <c r="AL8855">
        <v>88.193670676101704</v>
      </c>
      <c r="AM8855">
        <v>87.0148900200588</v>
      </c>
      <c r="AN8855">
        <v>0.99999993913185303</v>
      </c>
    </row>
    <row r="8856" spans="1:40" x14ac:dyDescent="0.25">
      <c r="A8856" t="str">
        <f>"20190303155022153"</f>
        <v>20190303155022153</v>
      </c>
      <c r="B8856" t="str">
        <f>"1551599422139889"</f>
        <v>1551599422139889</v>
      </c>
      <c r="C8856" t="s">
        <v>40</v>
      </c>
      <c r="D8856">
        <v>6.0187819999999999</v>
      </c>
      <c r="E8856">
        <v>0.48865710000000001</v>
      </c>
      <c r="F8856" t="s">
        <v>42</v>
      </c>
      <c r="G8856">
        <v>-148.6285</v>
      </c>
      <c r="H8856">
        <v>1.036567</v>
      </c>
      <c r="I8856">
        <v>138.19309999999999</v>
      </c>
      <c r="J8856">
        <v>-149.1962</v>
      </c>
      <c r="K8856">
        <v>1.1201650000000001</v>
      </c>
      <c r="L8856">
        <v>138.303</v>
      </c>
      <c r="M8856">
        <v>0.99989709999999998</v>
      </c>
      <c r="N8856">
        <v>-1.3943509999999999E-2</v>
      </c>
      <c r="O8856">
        <v>-3.3891540000000001E-3</v>
      </c>
      <c r="P8856">
        <v>0.99830229999999998</v>
      </c>
      <c r="Q8856">
        <v>2.0863969999999999E-2</v>
      </c>
      <c r="R8856">
        <v>-5.4380709999999999E-2</v>
      </c>
      <c r="S8856">
        <v>2.990005</v>
      </c>
      <c r="T8856">
        <v>-0.27166449999999998</v>
      </c>
      <c r="U8856">
        <v>-0.36515809999999999</v>
      </c>
      <c r="V8856">
        <v>5.1085800000000001E-2</v>
      </c>
      <c r="W8856">
        <v>3.4653700000000003E-2</v>
      </c>
      <c r="X8856">
        <v>0.99809289999999995</v>
      </c>
      <c r="Y8856">
        <v>0.1173198</v>
      </c>
      <c r="Z8856">
        <v>-5.8629379999999998E-3</v>
      </c>
      <c r="AA8856">
        <v>0.99307690000000004</v>
      </c>
      <c r="AB8856">
        <v>29</v>
      </c>
      <c r="AC8856">
        <v>0.56770000000000198</v>
      </c>
      <c r="AD8856">
        <v>-8.3597999999999797E-2</v>
      </c>
      <c r="AE8856">
        <v>-0.10990000000001</v>
      </c>
      <c r="AF8856">
        <v>0.105764530270294</v>
      </c>
      <c r="AG8856">
        <v>-8.3597999999999797E-2</v>
      </c>
      <c r="AH8856">
        <v>0.55643888100927097</v>
      </c>
      <c r="AI8856">
        <v>98.395955035199407</v>
      </c>
      <c r="AJ8856">
        <v>79.237944145442995</v>
      </c>
      <c r="AK8856">
        <v>0.57253732608987695</v>
      </c>
      <c r="AL8856">
        <v>88.0140917119991</v>
      </c>
      <c r="AM8856">
        <v>87.069963379230899</v>
      </c>
      <c r="AN8856">
        <v>1.0000000374578599</v>
      </c>
    </row>
    <row r="8857" spans="1:40" x14ac:dyDescent="0.25">
      <c r="A8857" t="str">
        <f>"20190303155022172"</f>
        <v>20190303155022172</v>
      </c>
      <c r="B8857" t="str">
        <f>"1551599422159409"</f>
        <v>1551599422159409</v>
      </c>
      <c r="C8857" t="s">
        <v>40</v>
      </c>
      <c r="D8857">
        <v>5.9585330000000001</v>
      </c>
      <c r="E8857">
        <v>0.48275879999999999</v>
      </c>
      <c r="F8857" t="s">
        <v>41</v>
      </c>
      <c r="G8857">
        <v>-133.69550000000001</v>
      </c>
      <c r="H8857" s="1">
        <v>-2.9903349999999999E-6</v>
      </c>
      <c r="I8857">
        <v>137.9057</v>
      </c>
      <c r="J8857">
        <v>-148.95310000000001</v>
      </c>
      <c r="K8857">
        <v>1.1201909999999999</v>
      </c>
      <c r="L8857">
        <v>138.30099999999999</v>
      </c>
      <c r="M8857">
        <v>0.99989240000000001</v>
      </c>
      <c r="N8857">
        <v>-1.3968049999999999E-2</v>
      </c>
      <c r="O8857">
        <v>-4.5195469999999996E-3</v>
      </c>
      <c r="P8857">
        <v>0.99826009999999998</v>
      </c>
      <c r="Q8857">
        <v>2.2949000000000001E-2</v>
      </c>
      <c r="R8857">
        <v>-5.4317360000000002E-2</v>
      </c>
      <c r="S8857">
        <v>3.0054470000000002</v>
      </c>
      <c r="T8857">
        <v>-0.21718970000000001</v>
      </c>
      <c r="U8857">
        <v>-7.7026369999999997E-2</v>
      </c>
      <c r="V8857">
        <v>4.9899239999999997E-2</v>
      </c>
      <c r="W8857">
        <v>3.6765699999999998E-2</v>
      </c>
      <c r="X8857">
        <v>0.99807729999999995</v>
      </c>
      <c r="Y8857">
        <v>2.1043929999999999E-2</v>
      </c>
      <c r="Z8857">
        <v>-6.4342429999999996E-4</v>
      </c>
      <c r="AA8857">
        <v>0.99977830000000001</v>
      </c>
      <c r="AB8857">
        <v>29</v>
      </c>
      <c r="AC8857">
        <v>15.257599999999901</v>
      </c>
      <c r="AD8857">
        <v>-1.120193990335</v>
      </c>
      <c r="AE8857">
        <v>-0.39530000000002002</v>
      </c>
      <c r="AF8857">
        <v>0.324583372977375</v>
      </c>
      <c r="AG8857">
        <v>-1.120193990335</v>
      </c>
      <c r="AH8857">
        <v>15.1774744245016</v>
      </c>
      <c r="AI8857">
        <v>94.220177287971495</v>
      </c>
      <c r="AJ8857">
        <v>88.774867119129297</v>
      </c>
      <c r="AK8857">
        <v>15.222217934598</v>
      </c>
      <c r="AL8857">
        <v>87.893005645469998</v>
      </c>
      <c r="AM8857">
        <v>87.137859615309793</v>
      </c>
      <c r="AN8857">
        <v>0.99999997381217798</v>
      </c>
    </row>
    <row r="8858" spans="1:40" x14ac:dyDescent="0.25">
      <c r="A8858" t="str">
        <f>"20190303155022235"</f>
        <v>20190303155022235</v>
      </c>
      <c r="B8858" t="str">
        <f>"1551599422229681"</f>
        <v>1551599422229681</v>
      </c>
      <c r="C8858" t="s">
        <v>40</v>
      </c>
      <c r="D8858">
        <v>5.9443449999999904</v>
      </c>
      <c r="E8858">
        <v>0.47983300000000001</v>
      </c>
      <c r="F8858" t="s">
        <v>41</v>
      </c>
      <c r="G8858">
        <v>-133.62780000000001</v>
      </c>
      <c r="H8858" s="1">
        <v>-2.976453E-6</v>
      </c>
      <c r="I8858">
        <v>138.14769999999999</v>
      </c>
      <c r="J8858">
        <v>-148.13059999999999</v>
      </c>
      <c r="K8858">
        <v>1.1201460000000001</v>
      </c>
      <c r="L8858">
        <v>138.2919</v>
      </c>
      <c r="M8858">
        <v>0.99986540000000002</v>
      </c>
      <c r="N8858">
        <v>-1.403099E-2</v>
      </c>
      <c r="O8858">
        <v>-8.5208999999999997E-3</v>
      </c>
      <c r="P8858">
        <v>0.9982219</v>
      </c>
      <c r="Q8858">
        <v>2.1993760000000001E-2</v>
      </c>
      <c r="R8858">
        <v>-5.5405370000000002E-2</v>
      </c>
      <c r="S8858">
        <v>3.0086520000000001</v>
      </c>
      <c r="T8858">
        <v>-0.21991550000000001</v>
      </c>
      <c r="U8858">
        <v>-3.0090329999999998E-2</v>
      </c>
      <c r="V8858">
        <v>4.6994599999999997E-2</v>
      </c>
      <c r="W8858">
        <v>3.5875549999999999E-2</v>
      </c>
      <c r="X8858">
        <v>0.99825070000000005</v>
      </c>
      <c r="Y8858">
        <v>1.489195E-3</v>
      </c>
      <c r="Z8858">
        <v>4.3772249999999999E-4</v>
      </c>
      <c r="AA8858">
        <v>0.99999879999999997</v>
      </c>
      <c r="AB8858">
        <v>29</v>
      </c>
      <c r="AC8858">
        <v>14.502799999999899</v>
      </c>
      <c r="AD8858">
        <v>-1.1201489764529999</v>
      </c>
      <c r="AE8858">
        <v>-0.14420000000001201</v>
      </c>
      <c r="AF8858">
        <v>2.0483524882997199E-2</v>
      </c>
      <c r="AG8858">
        <v>-1.1201489764529999</v>
      </c>
      <c r="AH8858">
        <v>14.4175029172017</v>
      </c>
      <c r="AI8858">
        <v>94.442591346575995</v>
      </c>
      <c r="AJ8858">
        <v>89.918597641877597</v>
      </c>
      <c r="AK8858">
        <v>14.460966208098201</v>
      </c>
      <c r="AL8858">
        <v>87.944041222104005</v>
      </c>
      <c r="AM8858">
        <v>87.3046793377775</v>
      </c>
      <c r="AN8858">
        <v>1.00000000378372</v>
      </c>
    </row>
    <row r="8859" spans="1:40" x14ac:dyDescent="0.25">
      <c r="A8859" t="str">
        <f>"20190303155022257"</f>
        <v>20190303155022257</v>
      </c>
      <c r="B8859" t="str">
        <f>"1551599422250178"</f>
        <v>1551599422250178</v>
      </c>
      <c r="C8859" t="s">
        <v>40</v>
      </c>
      <c r="D8859">
        <v>5.8958389999999996</v>
      </c>
      <c r="E8859">
        <v>0.47951470000000002</v>
      </c>
      <c r="F8859" t="s">
        <v>41</v>
      </c>
      <c r="G8859">
        <v>-134.3409</v>
      </c>
      <c r="H8859" s="1">
        <v>-2.654993E-6</v>
      </c>
      <c r="I8859">
        <v>138.2354</v>
      </c>
      <c r="J8859">
        <v>-147.8501</v>
      </c>
      <c r="K8859">
        <v>1.1200859999999999</v>
      </c>
      <c r="L8859">
        <v>138.28790000000001</v>
      </c>
      <c r="M8859">
        <v>0.99985119999999905</v>
      </c>
      <c r="N8859">
        <v>-1.404714E-2</v>
      </c>
      <c r="O8859">
        <v>-1.000787E-2</v>
      </c>
      <c r="P8859">
        <v>0.99814460000000005</v>
      </c>
      <c r="Q8859">
        <v>2.1493370000000001E-2</v>
      </c>
      <c r="R8859">
        <v>-5.6965309999999998E-2</v>
      </c>
      <c r="S8859">
        <v>3.01004</v>
      </c>
      <c r="T8859">
        <v>-0.24450730000000001</v>
      </c>
      <c r="U8859">
        <v>-1.231384E-2</v>
      </c>
      <c r="V8859">
        <v>4.7073400000000001E-2</v>
      </c>
      <c r="W8859">
        <v>3.5385680000000003E-2</v>
      </c>
      <c r="X8859">
        <v>0.9982645</v>
      </c>
      <c r="Y8859">
        <v>-5.8728449999999998E-3</v>
      </c>
      <c r="Z8859">
        <v>9.5065540000000004E-4</v>
      </c>
      <c r="AA8859">
        <v>0.99998229999999999</v>
      </c>
      <c r="AB8859">
        <v>29</v>
      </c>
      <c r="AC8859">
        <v>13.5091999999999</v>
      </c>
      <c r="AD8859">
        <v>-1.120088654993</v>
      </c>
      <c r="AE8859">
        <v>-5.2500000000008998E-2</v>
      </c>
      <c r="AF8859">
        <v>-8.2149560184202303E-2</v>
      </c>
      <c r="AG8859">
        <v>-1.120088654993</v>
      </c>
      <c r="AH8859">
        <v>13.416815348538799</v>
      </c>
      <c r="AI8859">
        <v>94.772122361533405</v>
      </c>
      <c r="AJ8859">
        <v>90.350810840529803</v>
      </c>
      <c r="AK8859">
        <v>13.463739496962599</v>
      </c>
      <c r="AL8859">
        <v>87.972126595708204</v>
      </c>
      <c r="AM8859">
        <v>87.300203804064793</v>
      </c>
      <c r="AN8859">
        <v>1.0000000316484301</v>
      </c>
    </row>
    <row r="8860" spans="1:40" x14ac:dyDescent="0.25">
      <c r="A8860" t="str">
        <f>"20190303155022304"</f>
        <v>20190303155022304</v>
      </c>
      <c r="B8860" t="str">
        <f>"1551599422298977"</f>
        <v>1551599422298977</v>
      </c>
      <c r="C8860" t="s">
        <v>40</v>
      </c>
      <c r="D8860">
        <v>5.9728009999999996</v>
      </c>
      <c r="E8860">
        <v>0.4787903</v>
      </c>
      <c r="F8860" t="s">
        <v>41</v>
      </c>
      <c r="G8860">
        <v>-134.35169999999999</v>
      </c>
      <c r="H8860" s="1">
        <v>-2.653045E-6</v>
      </c>
      <c r="I8860">
        <v>138.22020000000001</v>
      </c>
      <c r="J8860">
        <v>-147.26089999999999</v>
      </c>
      <c r="K8860">
        <v>1.119929</v>
      </c>
      <c r="L8860">
        <v>138.27770000000001</v>
      </c>
      <c r="M8860">
        <v>0.99980999999999998</v>
      </c>
      <c r="N8860">
        <v>-1.4075209999999999E-2</v>
      </c>
      <c r="O8860">
        <v>-1.348662E-2</v>
      </c>
      <c r="P8860">
        <v>0.99800529999999998</v>
      </c>
      <c r="Q8860">
        <v>2.120739E-2</v>
      </c>
      <c r="R8860">
        <v>-5.9461140000000003E-2</v>
      </c>
      <c r="S8860">
        <v>3.0100859999999998</v>
      </c>
      <c r="T8860">
        <v>-0.24977489999999999</v>
      </c>
      <c r="U8860">
        <v>-1.5090940000000001E-2</v>
      </c>
      <c r="V8860">
        <v>4.6108950000000003E-2</v>
      </c>
      <c r="W8860">
        <v>3.5113099999999897E-2</v>
      </c>
      <c r="X8860">
        <v>0.99831910000000001</v>
      </c>
      <c r="Y8860">
        <v>-8.4090750000000002E-3</v>
      </c>
      <c r="Z8860">
        <v>1.3351700000000001E-3</v>
      </c>
      <c r="AA8860">
        <v>0.99996379999999996</v>
      </c>
      <c r="AB8860">
        <v>29</v>
      </c>
      <c r="AC8860">
        <v>12.909199999999901</v>
      </c>
      <c r="AD8860">
        <v>-1.1199316530450001</v>
      </c>
      <c r="AE8860">
        <v>-5.7500000000004499E-2</v>
      </c>
      <c r="AF8860">
        <v>-0.115752772087953</v>
      </c>
      <c r="AG8860">
        <v>-1.1199316530450001</v>
      </c>
      <c r="AH8860">
        <v>12.8123727692986</v>
      </c>
      <c r="AI8860">
        <v>94.995333829138403</v>
      </c>
      <c r="AJ8860">
        <v>90.5176219108141</v>
      </c>
      <c r="AK8860">
        <v>12.8617472215559</v>
      </c>
      <c r="AL8860">
        <v>87.987753917244405</v>
      </c>
      <c r="AM8860">
        <v>87.355582896576294</v>
      </c>
      <c r="AN8860">
        <v>0.999999995243261</v>
      </c>
    </row>
    <row r="8861" spans="1:40" x14ac:dyDescent="0.25">
      <c r="A8861" t="str">
        <f>"20190303155022334"</f>
        <v>20190303155022334</v>
      </c>
      <c r="B8861" t="str">
        <f>"1551599422329234"</f>
        <v>1551599422329234</v>
      </c>
      <c r="C8861" t="s">
        <v>40</v>
      </c>
      <c r="D8861">
        <v>5.838139</v>
      </c>
      <c r="E8861">
        <v>0.47807709999999998</v>
      </c>
      <c r="F8861" t="s">
        <v>41</v>
      </c>
      <c r="G8861">
        <v>-134.19399999999999</v>
      </c>
      <c r="H8861" s="1">
        <v>-2.724543E-6</v>
      </c>
      <c r="I8861">
        <v>138.1986</v>
      </c>
      <c r="J8861">
        <v>-146.9188</v>
      </c>
      <c r="K8861">
        <v>1.119823</v>
      </c>
      <c r="L8861">
        <v>138.2705</v>
      </c>
      <c r="M8861">
        <v>0.99977669999999996</v>
      </c>
      <c r="N8861">
        <v>-1.408853E-2</v>
      </c>
      <c r="O8861">
        <v>-1.5751020000000001E-2</v>
      </c>
      <c r="P8861">
        <v>0.99789490000000003</v>
      </c>
      <c r="Q8861">
        <v>2.0581169999999999E-2</v>
      </c>
      <c r="R8861">
        <v>-6.1499190000000002E-2</v>
      </c>
      <c r="S8861">
        <v>3.0103909999999998</v>
      </c>
      <c r="T8861">
        <v>-0.25801230000000003</v>
      </c>
      <c r="U8861">
        <v>-1.820374E-2</v>
      </c>
      <c r="V8861">
        <v>4.5893450000000002E-2</v>
      </c>
      <c r="W8861">
        <v>3.4489300000000001E-2</v>
      </c>
      <c r="X8861">
        <v>0.99835079999999998</v>
      </c>
      <c r="Y8861">
        <v>-9.6247680000000006E-3</v>
      </c>
      <c r="Z8861">
        <v>1.6054929999999999E-3</v>
      </c>
      <c r="AA8861">
        <v>0.99995239999999996</v>
      </c>
      <c r="AB8861">
        <v>28</v>
      </c>
      <c r="AC8861">
        <v>12.7248</v>
      </c>
      <c r="AD8861">
        <v>-1.1198257245429999</v>
      </c>
      <c r="AE8861">
        <v>-7.1899999999999395E-2</v>
      </c>
      <c r="AF8861">
        <v>-0.12756944894403399</v>
      </c>
      <c r="AG8861">
        <v>-1.1198257245429999</v>
      </c>
      <c r="AH8861">
        <v>12.626569126410599</v>
      </c>
      <c r="AI8861">
        <v>95.067933030073107</v>
      </c>
      <c r="AJ8861">
        <v>90.578854181549602</v>
      </c>
      <c r="AK8861">
        <v>12.6767713366487</v>
      </c>
      <c r="AL8861">
        <v>88.023516737758797</v>
      </c>
      <c r="AM8861">
        <v>87.368008178842302</v>
      </c>
      <c r="AN8861">
        <v>1.00000002021401</v>
      </c>
    </row>
    <row r="8862" spans="1:40" x14ac:dyDescent="0.25">
      <c r="A8862" t="str">
        <f>"20190303155022353"</f>
        <v>20190303155022353</v>
      </c>
      <c r="B8862" t="str">
        <f>"1551599422349730"</f>
        <v>1551599422349730</v>
      </c>
      <c r="C8862" t="s">
        <v>40</v>
      </c>
      <c r="D8862">
        <v>5.9564589999999997</v>
      </c>
      <c r="E8862">
        <v>0.47772920000000002</v>
      </c>
      <c r="F8862" t="s">
        <v>41</v>
      </c>
      <c r="G8862">
        <v>-134.22569999999999</v>
      </c>
      <c r="H8862" s="1">
        <v>-2.7123989999999998E-6</v>
      </c>
      <c r="I8862">
        <v>138.1902</v>
      </c>
      <c r="J8862">
        <v>-146.63210000000001</v>
      </c>
      <c r="K8862">
        <v>1.119748</v>
      </c>
      <c r="L8862">
        <v>138.2638</v>
      </c>
      <c r="M8862">
        <v>0.99974300000000005</v>
      </c>
      <c r="N8862">
        <v>-1.4098009999999999E-2</v>
      </c>
      <c r="O8862">
        <v>-1.7759810000000001E-2</v>
      </c>
      <c r="P8862">
        <v>0.99782409999999999</v>
      </c>
      <c r="Q8862">
        <v>2.056817E-2</v>
      </c>
      <c r="R8862">
        <v>-6.2642099999999895E-2</v>
      </c>
      <c r="S8862">
        <v>3.0106350000000002</v>
      </c>
      <c r="T8862">
        <v>-0.26560869999999998</v>
      </c>
      <c r="U8862">
        <v>-1.9042969999999999E-2</v>
      </c>
      <c r="V8862">
        <v>4.503712E-2</v>
      </c>
      <c r="W8862">
        <v>3.4480709999999998E-2</v>
      </c>
      <c r="X8862">
        <v>0.99839009999999995</v>
      </c>
      <c r="Y8862">
        <v>-1.133733E-2</v>
      </c>
      <c r="Z8862">
        <v>1.8929389999999999E-3</v>
      </c>
      <c r="AA8862">
        <v>0.99993399999999999</v>
      </c>
      <c r="AB8862">
        <v>28</v>
      </c>
      <c r="AC8862">
        <v>12.4064</v>
      </c>
      <c r="AD8862">
        <v>-1.119750712399</v>
      </c>
      <c r="AE8862">
        <v>-7.3599999999999E-2</v>
      </c>
      <c r="AF8862">
        <v>-0.14558289628879201</v>
      </c>
      <c r="AG8862">
        <v>-1.119750712399</v>
      </c>
      <c r="AH8862">
        <v>12.305511430494899</v>
      </c>
      <c r="AI8862">
        <v>95.198998328541407</v>
      </c>
      <c r="AJ8862">
        <v>90.677817938898897</v>
      </c>
      <c r="AK8862">
        <v>12.357210348766101</v>
      </c>
      <c r="AL8862">
        <v>88.024009214144996</v>
      </c>
      <c r="AM8862">
        <v>87.417153144270898</v>
      </c>
      <c r="AN8862">
        <v>1.0000000266589999</v>
      </c>
    </row>
    <row r="8863" spans="1:40" x14ac:dyDescent="0.25">
      <c r="A8863" t="str">
        <f>"20190303155022372"</f>
        <v>20190303155022372</v>
      </c>
      <c r="B8863" t="str">
        <f>"1551599422359490"</f>
        <v>1551599422359490</v>
      </c>
      <c r="C8863" t="s">
        <v>40</v>
      </c>
      <c r="D8863">
        <v>6.1443620000000001</v>
      </c>
      <c r="E8863">
        <v>0.47759770000000001</v>
      </c>
      <c r="F8863" t="s">
        <v>41</v>
      </c>
      <c r="G8863">
        <v>-134.10599999999999</v>
      </c>
      <c r="H8863" s="1">
        <v>-2.7651800000000001E-6</v>
      </c>
      <c r="I8863">
        <v>138.18219999999999</v>
      </c>
      <c r="J8863">
        <v>-146.4023</v>
      </c>
      <c r="K8863">
        <v>1.1197079999999999</v>
      </c>
      <c r="L8863">
        <v>138.25799999999899</v>
      </c>
      <c r="M8863">
        <v>0.99971160000000003</v>
      </c>
      <c r="N8863">
        <v>-1.410438E-2</v>
      </c>
      <c r="O8863">
        <v>-1.9438670000000002E-2</v>
      </c>
      <c r="P8863">
        <v>0.99779530000000005</v>
      </c>
      <c r="Q8863">
        <v>2.0652520000000001E-2</v>
      </c>
      <c r="R8863">
        <v>-6.3075199999999998E-2</v>
      </c>
      <c r="S8863">
        <v>3.0108640000000002</v>
      </c>
      <c r="T8863">
        <v>-0.26915169999999999</v>
      </c>
      <c r="U8863">
        <v>-1.960754E-2</v>
      </c>
      <c r="V8863">
        <v>4.3797780000000001E-2</v>
      </c>
      <c r="W8863">
        <v>3.4571259999999999E-2</v>
      </c>
      <c r="X8863">
        <v>0.9984421</v>
      </c>
      <c r="Y8863">
        <v>-1.2815129999999999E-2</v>
      </c>
      <c r="Z8863">
        <v>2.1226040000000002E-3</v>
      </c>
      <c r="AA8863">
        <v>0.99991569999999996</v>
      </c>
      <c r="AB8863">
        <v>28</v>
      </c>
      <c r="AC8863">
        <v>12.2963</v>
      </c>
      <c r="AD8863">
        <v>-1.11971076518</v>
      </c>
      <c r="AE8863">
        <v>-7.5799999999986697E-2</v>
      </c>
      <c r="AF8863">
        <v>-0.161919218157767</v>
      </c>
      <c r="AG8863">
        <v>-1.11971076518</v>
      </c>
      <c r="AH8863">
        <v>12.1943373435846</v>
      </c>
      <c r="AI8863">
        <v>95.245852691376498</v>
      </c>
      <c r="AJ8863">
        <v>90.760741841747105</v>
      </c>
      <c r="AK8863">
        <v>12.246707038220899</v>
      </c>
      <c r="AL8863">
        <v>88.018817977803096</v>
      </c>
      <c r="AM8863">
        <v>87.488266746478601</v>
      </c>
      <c r="AN8863">
        <v>1.0000000223016601</v>
      </c>
    </row>
    <row r="8864" spans="1:40" x14ac:dyDescent="0.25">
      <c r="A8864" t="str">
        <f>"20190303155022392"</f>
        <v>20190303155022392</v>
      </c>
      <c r="B8864" t="str">
        <f>"1551599422379010"</f>
        <v>1551599422379010</v>
      </c>
      <c r="C8864" t="s">
        <v>40</v>
      </c>
      <c r="D8864">
        <v>5.9897199999999904</v>
      </c>
      <c r="E8864">
        <v>0.47747410000000001</v>
      </c>
      <c r="F8864" t="s">
        <v>41</v>
      </c>
      <c r="G8864">
        <v>-133.90289999999999</v>
      </c>
      <c r="H8864" s="1">
        <v>-2.8534550000000001E-6</v>
      </c>
      <c r="I8864">
        <v>138.17570000000001</v>
      </c>
      <c r="J8864">
        <v>-146.13890000000001</v>
      </c>
      <c r="K8864">
        <v>1.1196759999999999</v>
      </c>
      <c r="L8864">
        <v>138.25069999999999</v>
      </c>
      <c r="M8864">
        <v>0.99967110000000003</v>
      </c>
      <c r="N8864">
        <v>-1.411051E-2</v>
      </c>
      <c r="O8864">
        <v>-2.14202E-2</v>
      </c>
      <c r="P8864">
        <v>0.99777349999999998</v>
      </c>
      <c r="Q8864">
        <v>2.180814E-2</v>
      </c>
      <c r="R8864">
        <v>-6.3031649999999995E-2</v>
      </c>
      <c r="S8864">
        <v>3.0109409999999999</v>
      </c>
      <c r="T8864">
        <v>-0.26972390000000002</v>
      </c>
      <c r="U8864">
        <v>-1.9805909999999999E-2</v>
      </c>
      <c r="V8864">
        <v>4.1783279999999999E-2</v>
      </c>
      <c r="W8864">
        <v>3.5736879999999999E-2</v>
      </c>
      <c r="X8864">
        <v>0.99848740000000002</v>
      </c>
      <c r="Y8864">
        <v>-1.4716430000000001E-2</v>
      </c>
      <c r="Z8864">
        <v>2.3749830000000002E-3</v>
      </c>
      <c r="AA8864">
        <v>0.99988889999999997</v>
      </c>
      <c r="AB8864">
        <v>28</v>
      </c>
      <c r="AC8864">
        <v>12.236000000000001</v>
      </c>
      <c r="AD8864">
        <v>-1.119678853455</v>
      </c>
      <c r="AE8864">
        <v>-7.4999999999988604E-2</v>
      </c>
      <c r="AF8864">
        <v>-0.18558688672176399</v>
      </c>
      <c r="AG8864">
        <v>-1.119678853455</v>
      </c>
      <c r="AH8864">
        <v>12.133204896958199</v>
      </c>
      <c r="AI8864">
        <v>95.271834560483597</v>
      </c>
      <c r="AJ8864">
        <v>90.876315556032907</v>
      </c>
      <c r="AK8864">
        <v>12.186171847588801</v>
      </c>
      <c r="AL8864">
        <v>87.951991574573896</v>
      </c>
      <c r="AM8864">
        <v>87.6037658013488</v>
      </c>
      <c r="AN8864">
        <v>1.00000002751922</v>
      </c>
    </row>
    <row r="8865" spans="1:40" x14ac:dyDescent="0.25">
      <c r="A8865" t="str">
        <f>"20190303155022415"</f>
        <v>20190303155022415</v>
      </c>
      <c r="B8865" t="str">
        <f>"1551599422409265"</f>
        <v>1551599422409265</v>
      </c>
      <c r="C8865" t="s">
        <v>40</v>
      </c>
      <c r="D8865">
        <v>6.1991540000000001</v>
      </c>
      <c r="E8865">
        <v>0.47716399999999998</v>
      </c>
      <c r="F8865" t="s">
        <v>41</v>
      </c>
      <c r="G8865">
        <v>-133.4907</v>
      </c>
      <c r="H8865" s="1">
        <v>-3.0304900000000002E-6</v>
      </c>
      <c r="I8865">
        <v>138.1747</v>
      </c>
      <c r="J8865">
        <v>-145.84909999999999</v>
      </c>
      <c r="K8865">
        <v>1.1196459999999999</v>
      </c>
      <c r="L8865">
        <v>138.24209999999999</v>
      </c>
      <c r="M8865">
        <v>0.99962070000000003</v>
      </c>
      <c r="N8865">
        <v>-1.411596E-2</v>
      </c>
      <c r="O8865">
        <v>-2.3647999999999999E-2</v>
      </c>
      <c r="P8865">
        <v>0.99770300000000001</v>
      </c>
      <c r="Q8865">
        <v>2.2663200000000001E-2</v>
      </c>
      <c r="R8865">
        <v>-6.3837489999999997E-2</v>
      </c>
      <c r="S8865">
        <v>3.0113829999999999</v>
      </c>
      <c r="T8865">
        <v>-0.2665807</v>
      </c>
      <c r="U8865">
        <v>-1.8096919999999999E-2</v>
      </c>
      <c r="V8865">
        <v>4.0371209999999998E-2</v>
      </c>
      <c r="W8865">
        <v>3.659987E-2</v>
      </c>
      <c r="X8865">
        <v>0.99851420000000002</v>
      </c>
      <c r="Y8865">
        <v>-1.7497519999999999E-2</v>
      </c>
      <c r="Z8865">
        <v>2.6525699999999999E-3</v>
      </c>
      <c r="AA8865">
        <v>0.99984340000000005</v>
      </c>
      <c r="AB8865">
        <v>28</v>
      </c>
      <c r="AC8865">
        <v>12.3583999999999</v>
      </c>
      <c r="AD8865">
        <v>-1.11964903049</v>
      </c>
      <c r="AE8865">
        <v>-6.7399999999992105E-2</v>
      </c>
      <c r="AF8865">
        <v>-0.223068512082262</v>
      </c>
      <c r="AG8865">
        <v>-1.11964903049</v>
      </c>
      <c r="AH8865">
        <v>12.2559430353972</v>
      </c>
      <c r="AI8865">
        <v>95.218941682497004</v>
      </c>
      <c r="AJ8865">
        <v>91.042716437007897</v>
      </c>
      <c r="AK8865">
        <v>12.309001307964101</v>
      </c>
      <c r="AL8865">
        <v>87.902513451222603</v>
      </c>
      <c r="AM8865">
        <v>87.684719173530397</v>
      </c>
      <c r="AN8865">
        <v>0.99999999634126002</v>
      </c>
    </row>
    <row r="8866" spans="1:40" x14ac:dyDescent="0.25">
      <c r="A8866" t="str">
        <f>"20190303155022436"</f>
        <v>20190303155022436</v>
      </c>
      <c r="B8866" t="str">
        <f>"1551599422429762"</f>
        <v>1551599422429762</v>
      </c>
      <c r="C8866" t="s">
        <v>40</v>
      </c>
      <c r="D8866">
        <v>6.1444749999999999</v>
      </c>
      <c r="E8866">
        <v>0.47693390000000002</v>
      </c>
      <c r="F8866" t="s">
        <v>41</v>
      </c>
      <c r="G8866">
        <v>-133.17570000000001</v>
      </c>
      <c r="H8866" s="1">
        <v>-3.1668549999999999E-6</v>
      </c>
      <c r="I8866">
        <v>138.1678</v>
      </c>
      <c r="J8866">
        <v>-145.57169999999999</v>
      </c>
      <c r="K8866">
        <v>1.1196360000000001</v>
      </c>
      <c r="L8866">
        <v>138.23320000000001</v>
      </c>
      <c r="M8866">
        <v>0.99956750000000005</v>
      </c>
      <c r="N8866">
        <v>-1.4119929999999999E-2</v>
      </c>
      <c r="O8866">
        <v>-2.5800420000000001E-2</v>
      </c>
      <c r="P8866">
        <v>0.99761650000000002</v>
      </c>
      <c r="Q8866">
        <v>2.2975269999999999E-2</v>
      </c>
      <c r="R8866">
        <v>-6.506787E-2</v>
      </c>
      <c r="S8866">
        <v>3.0118260000000001</v>
      </c>
      <c r="T8866">
        <v>-0.26608310000000002</v>
      </c>
      <c r="U8866">
        <v>-1.7654420000000001E-2</v>
      </c>
      <c r="V8866">
        <v>3.9455120000000003E-2</v>
      </c>
      <c r="W8866">
        <v>3.6918189999999997E-2</v>
      </c>
      <c r="X8866">
        <v>0.99853910000000001</v>
      </c>
      <c r="Y8866">
        <v>-1.9782580000000001E-2</v>
      </c>
      <c r="Z8866">
        <v>2.9230670000000001E-3</v>
      </c>
      <c r="AA8866">
        <v>0.99980000000000002</v>
      </c>
      <c r="AB8866">
        <v>28</v>
      </c>
      <c r="AC8866">
        <v>12.3959999999999</v>
      </c>
      <c r="AD8866">
        <v>-1.1196391668549901</v>
      </c>
      <c r="AE8866">
        <v>-6.5400000000010894E-2</v>
      </c>
      <c r="AF8866">
        <v>-0.25241643248376899</v>
      </c>
      <c r="AG8866">
        <v>-1.1196391668549901</v>
      </c>
      <c r="AH8866">
        <v>12.293272356956001</v>
      </c>
      <c r="AI8866">
        <v>95.202901943831804</v>
      </c>
      <c r="AJ8866">
        <v>91.176282759227405</v>
      </c>
      <c r="AK8866">
        <v>12.3467344331058</v>
      </c>
      <c r="AL8866">
        <v>87.884262724784094</v>
      </c>
      <c r="AM8866">
        <v>87.737257874292595</v>
      </c>
      <c r="AN8866">
        <v>0.99999999673795004</v>
      </c>
    </row>
    <row r="8867" spans="1:40" x14ac:dyDescent="0.25">
      <c r="A8867" t="str">
        <f>"20190303155022460"</f>
        <v>20190303155022460</v>
      </c>
      <c r="B8867" t="str">
        <f>"1551599422449281"</f>
        <v>1551599422449281</v>
      </c>
      <c r="C8867" t="s">
        <v>40</v>
      </c>
      <c r="D8867">
        <v>6.0166230000000001</v>
      </c>
      <c r="E8867">
        <v>0.47681190000000001</v>
      </c>
      <c r="F8867" t="s">
        <v>41</v>
      </c>
      <c r="G8867">
        <v>-132.9127</v>
      </c>
      <c r="H8867" s="1">
        <v>-3.2822850000000001E-6</v>
      </c>
      <c r="I8867">
        <v>138.15299999999999</v>
      </c>
      <c r="J8867">
        <v>-145.2884</v>
      </c>
      <c r="K8867">
        <v>1.1196410000000001</v>
      </c>
      <c r="L8867">
        <v>138.2235</v>
      </c>
      <c r="M8867">
        <v>0.99950850000000002</v>
      </c>
      <c r="N8867">
        <v>-1.4122819999999999E-2</v>
      </c>
      <c r="O8867">
        <v>-2.799097E-2</v>
      </c>
      <c r="P8867">
        <v>0.99755769999999999</v>
      </c>
      <c r="Q8867">
        <v>2.3879350000000001E-2</v>
      </c>
      <c r="R8867">
        <v>-6.5640030000000002E-2</v>
      </c>
      <c r="S8867">
        <v>3.012054</v>
      </c>
      <c r="T8867">
        <v>-0.26640399999999997</v>
      </c>
      <c r="U8867">
        <v>-1.9073489999999999E-2</v>
      </c>
      <c r="V8867">
        <v>3.7843160000000001E-2</v>
      </c>
      <c r="W8867">
        <v>3.7831629999999998E-2</v>
      </c>
      <c r="X8867">
        <v>0.99856730000000005</v>
      </c>
      <c r="Y8867">
        <v>-2.148897E-2</v>
      </c>
      <c r="Z8867">
        <v>3.176356E-3</v>
      </c>
      <c r="AA8867">
        <v>0.99976399999999999</v>
      </c>
      <c r="AB8867">
        <v>28</v>
      </c>
      <c r="AC8867">
        <v>12.375699999999901</v>
      </c>
      <c r="AD8867">
        <v>-1.1196442822849999</v>
      </c>
      <c r="AE8867">
        <v>-7.0500000000009694E-2</v>
      </c>
      <c r="AF8867">
        <v>-0.27372958125858998</v>
      </c>
      <c r="AG8867">
        <v>-1.1196442822849999</v>
      </c>
      <c r="AH8867">
        <v>12.272376911975201</v>
      </c>
      <c r="AI8867">
        <v>95.2115389703646</v>
      </c>
      <c r="AJ8867">
        <v>91.277743489223894</v>
      </c>
      <c r="AK8867">
        <v>12.326384963649801</v>
      </c>
      <c r="AL8867">
        <v>87.831889869579896</v>
      </c>
      <c r="AM8867">
        <v>87.829674356977506</v>
      </c>
      <c r="AN8867">
        <v>0.99999999480826596</v>
      </c>
    </row>
    <row r="8868" spans="1:40" x14ac:dyDescent="0.25">
      <c r="A8868" t="str">
        <f>"20190303155022481"</f>
        <v>20190303155022481</v>
      </c>
      <c r="B8868" t="str">
        <f>"1551599422469778"</f>
        <v>1551599422469778</v>
      </c>
      <c r="C8868" t="s">
        <v>40</v>
      </c>
      <c r="D8868">
        <v>5.9417229999999996</v>
      </c>
      <c r="E8868">
        <v>0.47662939999999998</v>
      </c>
      <c r="F8868" t="s">
        <v>41</v>
      </c>
      <c r="G8868">
        <v>-132.53399999999999</v>
      </c>
      <c r="H8868" s="1">
        <v>-3.4471029999999999E-6</v>
      </c>
      <c r="I8868">
        <v>138.13980000000001</v>
      </c>
      <c r="J8868">
        <v>-145.01220000000001</v>
      </c>
      <c r="K8868">
        <v>1.119664</v>
      </c>
      <c r="L8868">
        <v>138.21350000000001</v>
      </c>
      <c r="M8868">
        <v>0.99944730000000004</v>
      </c>
      <c r="N8868">
        <v>-1.4124360000000001E-2</v>
      </c>
      <c r="O8868">
        <v>-3.0089749999999998E-2</v>
      </c>
      <c r="P8868">
        <v>0.99752529999999995</v>
      </c>
      <c r="Q8868">
        <v>2.440175E-2</v>
      </c>
      <c r="R8868">
        <v>-6.5939570000000003E-2</v>
      </c>
      <c r="S8868">
        <v>3.012375</v>
      </c>
      <c r="T8868">
        <v>-0.26444089999999998</v>
      </c>
      <c r="U8868">
        <v>-1.9760130000000001E-2</v>
      </c>
      <c r="V8868">
        <v>3.604599E-2</v>
      </c>
      <c r="W8868">
        <v>3.8365789999999997E-2</v>
      </c>
      <c r="X8868">
        <v>0.99861339999999998</v>
      </c>
      <c r="Y8868">
        <v>-2.334984E-2</v>
      </c>
      <c r="Z8868">
        <v>3.3997559999999999E-3</v>
      </c>
      <c r="AA8868">
        <v>0.99972159999999999</v>
      </c>
      <c r="AB8868">
        <v>28</v>
      </c>
      <c r="AC8868">
        <v>12.478199999999999</v>
      </c>
      <c r="AD8868">
        <v>-1.1196674471029999</v>
      </c>
      <c r="AE8868">
        <v>-7.3700000000002305E-2</v>
      </c>
      <c r="AF8868">
        <v>-0.29942606203918998</v>
      </c>
      <c r="AG8868">
        <v>-1.1196674471029999</v>
      </c>
      <c r="AH8868">
        <v>12.375132279815601</v>
      </c>
      <c r="AI8868">
        <v>95.168381389558505</v>
      </c>
      <c r="AJ8868">
        <v>91.386046026350797</v>
      </c>
      <c r="AK8868">
        <v>12.429288398845101</v>
      </c>
      <c r="AL8868">
        <v>87.801262497729894</v>
      </c>
      <c r="AM8868">
        <v>87.932746719753396</v>
      </c>
      <c r="AN8868">
        <v>0.99999998494848097</v>
      </c>
    </row>
    <row r="8869" spans="1:40" x14ac:dyDescent="0.25">
      <c r="A8869" t="str">
        <f>"20190303155022532"</f>
        <v>20190303155022532</v>
      </c>
      <c r="B8869" t="str">
        <f>"1551599422519554"</f>
        <v>1551599422519554</v>
      </c>
      <c r="C8869" t="s">
        <v>40</v>
      </c>
      <c r="D8869">
        <v>6.1886409999999996</v>
      </c>
      <c r="E8869">
        <v>0.47633720000000002</v>
      </c>
      <c r="F8869" t="s">
        <v>41</v>
      </c>
      <c r="G8869">
        <v>-132.25839999999999</v>
      </c>
      <c r="H8869" s="1">
        <v>-3.5670349999999998E-6</v>
      </c>
      <c r="I8869">
        <v>138.1302</v>
      </c>
      <c r="J8869">
        <v>-144.374</v>
      </c>
      <c r="K8869">
        <v>1.1197589999999999</v>
      </c>
      <c r="L8869">
        <v>138.18819999999999</v>
      </c>
      <c r="M8869">
        <v>0.99929769999999896</v>
      </c>
      <c r="N8869">
        <v>-1.4124060000000001E-2</v>
      </c>
      <c r="O8869">
        <v>-3.4709759999999999E-2</v>
      </c>
      <c r="P8869">
        <v>0.99749849999999995</v>
      </c>
      <c r="Q8869">
        <v>2.306886E-2</v>
      </c>
      <c r="R8869">
        <v>-6.6819009999999998E-2</v>
      </c>
      <c r="S8869">
        <v>3.0126189999999999</v>
      </c>
      <c r="T8869">
        <v>-0.26447900000000002</v>
      </c>
      <c r="U8869">
        <v>-1.9653319999999998E-2</v>
      </c>
      <c r="V8869">
        <v>3.2292620000000001E-2</v>
      </c>
      <c r="W8869">
        <v>3.7057800000000002E-2</v>
      </c>
      <c r="X8869">
        <v>0.99879119999999999</v>
      </c>
      <c r="Y8869">
        <v>-2.7973979999999999E-2</v>
      </c>
      <c r="Z8869">
        <v>3.9747569999999998E-3</v>
      </c>
      <c r="AA8869">
        <v>0.99960079999999996</v>
      </c>
      <c r="AB8869">
        <v>28</v>
      </c>
      <c r="AC8869">
        <v>12.115600000000001</v>
      </c>
      <c r="AD8869">
        <v>-1.119762567035</v>
      </c>
      <c r="AE8869">
        <v>-5.7999999999992703E-2</v>
      </c>
      <c r="AF8869">
        <v>-0.35953534630606099</v>
      </c>
      <c r="AG8869">
        <v>-1.119762567035</v>
      </c>
      <c r="AH8869">
        <v>12.0077430967361</v>
      </c>
      <c r="AI8869">
        <v>95.325244290740201</v>
      </c>
      <c r="AJ8869">
        <v>91.715035457113501</v>
      </c>
      <c r="AK8869">
        <v>12.0651990513621</v>
      </c>
      <c r="AL8869">
        <v>87.876258142718399</v>
      </c>
      <c r="AM8869">
        <v>88.148174980581103</v>
      </c>
      <c r="AN8869">
        <v>0.99999997752237102</v>
      </c>
    </row>
    <row r="8870" spans="1:40" x14ac:dyDescent="0.25">
      <c r="A8870" t="str">
        <f>"20190303155022552"</f>
        <v>20190303155022552</v>
      </c>
      <c r="B8870" t="str">
        <f>"1551599422539074"</f>
        <v>1551599422539074</v>
      </c>
      <c r="C8870" t="s">
        <v>40</v>
      </c>
      <c r="D8870">
        <v>5.9478150000000003</v>
      </c>
      <c r="E8870">
        <v>0.47629460000000001</v>
      </c>
      <c r="F8870" t="s">
        <v>41</v>
      </c>
      <c r="G8870">
        <v>-131.9691</v>
      </c>
      <c r="H8870" s="1">
        <v>-3.6963960000000002E-6</v>
      </c>
      <c r="I8870">
        <v>138.10059999999999</v>
      </c>
      <c r="J8870">
        <v>-144.1207</v>
      </c>
      <c r="K8870">
        <v>1.1198030000000001</v>
      </c>
      <c r="L8870">
        <v>138.17750000000001</v>
      </c>
      <c r="M8870">
        <v>0.99923629999999997</v>
      </c>
      <c r="N8870">
        <v>-1.412305E-2</v>
      </c>
      <c r="O8870">
        <v>-3.6436209999999997E-2</v>
      </c>
      <c r="P8870">
        <v>0.99752220000000003</v>
      </c>
      <c r="Q8870">
        <v>2.201666E-2</v>
      </c>
      <c r="R8870">
        <v>-6.6822800000000002E-2</v>
      </c>
      <c r="S8870">
        <v>3.012375</v>
      </c>
      <c r="T8870">
        <v>-0.27191890000000002</v>
      </c>
      <c r="U8870">
        <v>-2.1270750000000001E-2</v>
      </c>
      <c r="V8870">
        <v>3.0560460000000001E-2</v>
      </c>
      <c r="W8870">
        <v>3.601613E-2</v>
      </c>
      <c r="X8870">
        <v>0.99888379999999999</v>
      </c>
      <c r="Y8870">
        <v>-2.9140249999999999E-2</v>
      </c>
      <c r="Z8870">
        <v>4.2865940000000003E-3</v>
      </c>
      <c r="AA8870">
        <v>0.99956610000000001</v>
      </c>
      <c r="AB8870">
        <v>28</v>
      </c>
      <c r="AC8870">
        <v>12.1516</v>
      </c>
      <c r="AD8870">
        <v>-1.1198066963959901</v>
      </c>
      <c r="AE8870">
        <v>-7.69000000000232E-2</v>
      </c>
      <c r="AF8870">
        <v>-0.36287198151590999</v>
      </c>
      <c r="AG8870">
        <v>-1.1198066963959901</v>
      </c>
      <c r="AH8870">
        <v>12.044055528850899</v>
      </c>
      <c r="AI8870">
        <v>95.309459196850099</v>
      </c>
      <c r="AJ8870">
        <v>91.725726477213996</v>
      </c>
      <c r="AK8870">
        <v>12.101442752593901</v>
      </c>
      <c r="AL8870">
        <v>87.935981312458694</v>
      </c>
      <c r="AM8870">
        <v>88.247604616704905</v>
      </c>
      <c r="AN8870">
        <v>0.99999997461901302</v>
      </c>
    </row>
    <row r="8871" spans="1:40" x14ac:dyDescent="0.25">
      <c r="A8871" t="str">
        <f>"20190303155022574"</f>
        <v>20190303155022574</v>
      </c>
      <c r="B8871" t="str">
        <f>"1551599422569330"</f>
        <v>1551599422569330</v>
      </c>
      <c r="C8871" t="s">
        <v>40</v>
      </c>
      <c r="D8871">
        <v>5.93764</v>
      </c>
      <c r="E8871">
        <v>0.47621790000000003</v>
      </c>
      <c r="F8871" t="s">
        <v>41</v>
      </c>
      <c r="G8871">
        <v>-131.92439999999999</v>
      </c>
      <c r="H8871" s="1">
        <v>-3.7172289999999999E-6</v>
      </c>
      <c r="I8871">
        <v>138.09110000000001</v>
      </c>
      <c r="J8871">
        <v>-143.84790000000001</v>
      </c>
      <c r="K8871">
        <v>1.1198709999999901</v>
      </c>
      <c r="L8871">
        <v>138.16550000000001</v>
      </c>
      <c r="M8871">
        <v>0.99917049999999996</v>
      </c>
      <c r="N8871">
        <v>-1.412127E-2</v>
      </c>
      <c r="O8871">
        <v>-3.8193150000000002E-2</v>
      </c>
      <c r="P8871">
        <v>0.99755130000000003</v>
      </c>
      <c r="Q8871">
        <v>2.1270259999999999E-2</v>
      </c>
      <c r="R8871">
        <v>-6.6626210000000005E-2</v>
      </c>
      <c r="S8871">
        <v>3.0121310000000001</v>
      </c>
      <c r="T8871">
        <v>-0.27655980000000002</v>
      </c>
      <c r="U8871">
        <v>-2.131653E-2</v>
      </c>
      <c r="V8871">
        <v>2.8596969999999999E-2</v>
      </c>
      <c r="W8871">
        <v>3.5281319999999998E-2</v>
      </c>
      <c r="X8871">
        <v>0.99896819999999997</v>
      </c>
      <c r="Y8871">
        <v>-3.0859669999999999E-2</v>
      </c>
      <c r="Z8871">
        <v>4.5921770000000002E-3</v>
      </c>
      <c r="AA8871">
        <v>0.99951310000000004</v>
      </c>
      <c r="AB8871">
        <v>28</v>
      </c>
      <c r="AC8871">
        <v>11.923500000000001</v>
      </c>
      <c r="AD8871">
        <v>-1.11987471722899</v>
      </c>
      <c r="AE8871">
        <v>-7.4399999999997093E-2</v>
      </c>
      <c r="AF8871">
        <v>-0.37776354672969098</v>
      </c>
      <c r="AG8871">
        <v>-1.11987471722899</v>
      </c>
      <c r="AH8871">
        <v>11.813434935903601</v>
      </c>
      <c r="AI8871">
        <v>95.412518409532893</v>
      </c>
      <c r="AJ8871">
        <v>91.831548912184203</v>
      </c>
      <c r="AK8871">
        <v>11.8724079134923</v>
      </c>
      <c r="AL8871">
        <v>87.978109678160493</v>
      </c>
      <c r="AM8871">
        <v>88.360269785622506</v>
      </c>
      <c r="AN8871">
        <v>1.0000000114226799</v>
      </c>
    </row>
    <row r="8872" spans="1:40" x14ac:dyDescent="0.25">
      <c r="A8872" t="str">
        <f>"20190303155022594"</f>
        <v>20190303155022594</v>
      </c>
      <c r="B8872" t="str">
        <f>"1551599422589827"</f>
        <v>1551599422589827</v>
      </c>
      <c r="C8872" t="s">
        <v>40</v>
      </c>
      <c r="D8872">
        <v>5.9959480000000003</v>
      </c>
      <c r="E8872">
        <v>0.47609669999999998</v>
      </c>
      <c r="F8872" t="s">
        <v>41</v>
      </c>
      <c r="G8872">
        <v>-131.8475</v>
      </c>
      <c r="H8872" s="1">
        <v>-3.7509450000000001E-6</v>
      </c>
      <c r="I8872">
        <v>138.0872</v>
      </c>
      <c r="J8872">
        <v>-143.58519999999999</v>
      </c>
      <c r="K8872">
        <v>1.119956</v>
      </c>
      <c r="L8872">
        <v>138.15369999999999</v>
      </c>
      <c r="M8872">
        <v>0.99910929999999998</v>
      </c>
      <c r="N8872">
        <v>-1.4118810000000001E-2</v>
      </c>
      <c r="O8872">
        <v>-3.9768959999999999E-2</v>
      </c>
      <c r="P8872">
        <v>0.99758849999999999</v>
      </c>
      <c r="Q8872">
        <v>1.9790789999999999E-2</v>
      </c>
      <c r="R8872">
        <v>-6.6528669999999998E-2</v>
      </c>
      <c r="S8872">
        <v>3.0120390000000001</v>
      </c>
      <c r="T8872">
        <v>-0.2810819</v>
      </c>
      <c r="U8872">
        <v>-1.9668580000000001E-2</v>
      </c>
      <c r="V8872">
        <v>2.690938E-2</v>
      </c>
      <c r="W8872">
        <v>3.3812099999999998E-2</v>
      </c>
      <c r="X8872">
        <v>0.99906589999999995</v>
      </c>
      <c r="Y8872">
        <v>-3.2958090000000002E-2</v>
      </c>
      <c r="Z8872">
        <v>4.9093970000000002E-3</v>
      </c>
      <c r="AA8872">
        <v>0.99944469999999996</v>
      </c>
      <c r="AB8872">
        <v>28</v>
      </c>
      <c r="AC8872">
        <v>11.737699999999901</v>
      </c>
      <c r="AD8872">
        <v>-1.1199597509450001</v>
      </c>
      <c r="AE8872">
        <v>-6.6499999999990594E-2</v>
      </c>
      <c r="AF8872">
        <v>-0.39678295125240598</v>
      </c>
      <c r="AG8872">
        <v>-1.1199597509450001</v>
      </c>
      <c r="AH8872">
        <v>11.6252231429507</v>
      </c>
      <c r="AI8872">
        <v>95.499640130419394</v>
      </c>
      <c r="AJ8872">
        <v>91.954815530631294</v>
      </c>
      <c r="AK8872">
        <v>11.6857845127119</v>
      </c>
      <c r="AL8872">
        <v>88.062340090269004</v>
      </c>
      <c r="AM8872">
        <v>88.457137588143695</v>
      </c>
      <c r="AN8872">
        <v>1.0000000226906001</v>
      </c>
    </row>
    <row r="8873" spans="1:40" x14ac:dyDescent="0.25">
      <c r="A8873" t="str">
        <f>"20190303155022617"</f>
        <v>20190303155022617</v>
      </c>
      <c r="B8873" t="str">
        <f>"1551599422609346"</f>
        <v>1551599422609346</v>
      </c>
      <c r="C8873" t="s">
        <v>40</v>
      </c>
      <c r="D8873">
        <v>6.0943239999999896</v>
      </c>
      <c r="E8873">
        <v>0.47615590000000002</v>
      </c>
      <c r="F8873" t="s">
        <v>41</v>
      </c>
      <c r="G8873">
        <v>-131.87970000000001</v>
      </c>
      <c r="H8873" s="1">
        <v>-3.7374809999999999E-6</v>
      </c>
      <c r="I8873">
        <v>138.08510000000001</v>
      </c>
      <c r="J8873">
        <v>-143.3083</v>
      </c>
      <c r="K8873">
        <v>1.12005</v>
      </c>
      <c r="L8873">
        <v>138.14089999999999</v>
      </c>
      <c r="M8873">
        <v>0.99904720000000002</v>
      </c>
      <c r="N8873">
        <v>-1.411565E-2</v>
      </c>
      <c r="O8873">
        <v>-4.129799E-2</v>
      </c>
      <c r="P8873">
        <v>0.99760170000000004</v>
      </c>
      <c r="Q8873">
        <v>1.8523769999999998E-2</v>
      </c>
      <c r="R8873">
        <v>-6.6692150000000006E-2</v>
      </c>
      <c r="S8873">
        <v>3.0117799999999999</v>
      </c>
      <c r="T8873">
        <v>-0.28816140000000001</v>
      </c>
      <c r="U8873">
        <v>-1.7654420000000001E-2</v>
      </c>
      <c r="V8873">
        <v>2.5530379999999998E-2</v>
      </c>
      <c r="W8873">
        <v>3.2553940000000003E-2</v>
      </c>
      <c r="X8873">
        <v>0.99914380000000003</v>
      </c>
      <c r="Y8873">
        <v>-3.512361E-2</v>
      </c>
      <c r="Z8873">
        <v>5.2843319999999897E-3</v>
      </c>
      <c r="AA8873">
        <v>0.99936899999999995</v>
      </c>
      <c r="AB8873">
        <v>28</v>
      </c>
      <c r="AC8873">
        <v>11.4285999999999</v>
      </c>
      <c r="AD8873">
        <v>-1.120053737481</v>
      </c>
      <c r="AE8873">
        <v>-5.57999999999765E-2</v>
      </c>
      <c r="AF8873">
        <v>-0.41231271387770602</v>
      </c>
      <c r="AG8873">
        <v>-1.120053737481</v>
      </c>
      <c r="AH8873">
        <v>11.312500135856499</v>
      </c>
      <c r="AI8873">
        <v>95.650714267785602</v>
      </c>
      <c r="AJ8873">
        <v>92.087365799249397</v>
      </c>
      <c r="AK8873">
        <v>11.3752881929481</v>
      </c>
      <c r="AL8873">
        <v>88.134466929514105</v>
      </c>
      <c r="AM8873">
        <v>88.536281975666995</v>
      </c>
      <c r="AN8873">
        <v>0.99999994619545196</v>
      </c>
    </row>
    <row r="8874" spans="1:40" x14ac:dyDescent="0.25">
      <c r="A8874" t="str">
        <f>"20190303155022638"</f>
        <v>20190303155022638</v>
      </c>
      <c r="B8874" t="str">
        <f>"1551599422629843"</f>
        <v>1551599422629843</v>
      </c>
      <c r="C8874" t="s">
        <v>40</v>
      </c>
      <c r="D8874">
        <v>5.9662389999999998</v>
      </c>
      <c r="E8874">
        <v>0.49706519999999998</v>
      </c>
      <c r="F8874" t="s">
        <v>41</v>
      </c>
      <c r="G8874">
        <v>-131.77760000000001</v>
      </c>
      <c r="H8874" s="1">
        <v>-3.7839319999999999E-6</v>
      </c>
      <c r="I8874">
        <v>138.0701</v>
      </c>
      <c r="J8874">
        <v>-143.0401</v>
      </c>
      <c r="K8874">
        <v>1.1201589999999999</v>
      </c>
      <c r="L8874">
        <v>138.1283</v>
      </c>
      <c r="M8874">
        <v>0.99899090000000001</v>
      </c>
      <c r="N8874">
        <v>-1.411226E-2</v>
      </c>
      <c r="O8874">
        <v>-4.2639879999999998E-2</v>
      </c>
      <c r="P8874">
        <v>0.99761160000000004</v>
      </c>
      <c r="Q8874">
        <v>1.7721529999999999E-2</v>
      </c>
      <c r="R8874">
        <v>-6.6762130000000003E-2</v>
      </c>
      <c r="S8874">
        <v>3.0113979999999998</v>
      </c>
      <c r="T8874">
        <v>-0.29251729999999998</v>
      </c>
      <c r="U8874">
        <v>-1.8478390000000001E-2</v>
      </c>
      <c r="V8874">
        <v>2.4246190000000001E-2</v>
      </c>
      <c r="W8874">
        <v>3.1759469999999998E-2</v>
      </c>
      <c r="X8874">
        <v>0.99920140000000002</v>
      </c>
      <c r="Y8874">
        <v>-3.6171290000000002E-2</v>
      </c>
      <c r="Z8874">
        <v>5.5389080000000004E-3</v>
      </c>
      <c r="AA8874">
        <v>0.9993303</v>
      </c>
      <c r="AB8874">
        <v>28</v>
      </c>
      <c r="AC8874">
        <v>11.2624999999999</v>
      </c>
      <c r="AD8874">
        <v>-1.1201627839320001</v>
      </c>
      <c r="AE8874">
        <v>-5.8199999999999301E-2</v>
      </c>
      <c r="AF8874">
        <v>-0.417997583882674</v>
      </c>
      <c r="AG8874">
        <v>-1.1201627839320001</v>
      </c>
      <c r="AH8874">
        <v>11.1444960947479</v>
      </c>
      <c r="AI8874">
        <v>95.735667180215003</v>
      </c>
      <c r="AJ8874">
        <v>92.147990909500393</v>
      </c>
      <c r="AK8874">
        <v>11.208446808032299</v>
      </c>
      <c r="AL8874">
        <v>88.180010343562699</v>
      </c>
      <c r="AM8874">
        <v>88.609958122753099</v>
      </c>
      <c r="AN8874">
        <v>0.99999998971307802</v>
      </c>
    </row>
    <row r="8875" spans="1:40" x14ac:dyDescent="0.25">
      <c r="A8875" t="str">
        <f>"20190303155022660"</f>
        <v>20190303155022660</v>
      </c>
      <c r="B8875" t="str">
        <f>"1551599422649361"</f>
        <v>1551599422649361</v>
      </c>
      <c r="C8875" t="s">
        <v>40</v>
      </c>
      <c r="D8875">
        <v>5.9880430000000002</v>
      </c>
      <c r="E8875">
        <v>0.49938660000000001</v>
      </c>
      <c r="F8875" t="s">
        <v>41</v>
      </c>
      <c r="G8875">
        <v>-130.91739999999999</v>
      </c>
      <c r="H8875" s="1">
        <v>-4.2752839999999999E-6</v>
      </c>
      <c r="I8875">
        <v>137.38040000000001</v>
      </c>
      <c r="J8875">
        <v>-142.77070000000001</v>
      </c>
      <c r="K8875">
        <v>1.1202700000000001</v>
      </c>
      <c r="L8875">
        <v>138.11529999999999</v>
      </c>
      <c r="M8875">
        <v>0.99893869999999896</v>
      </c>
      <c r="N8875">
        <v>-1.410865E-2</v>
      </c>
      <c r="O8875">
        <v>-4.3843430000000003E-2</v>
      </c>
      <c r="P8875">
        <v>0.99759450000000005</v>
      </c>
      <c r="Q8875">
        <v>1.8678650000000002E-2</v>
      </c>
      <c r="R8875">
        <v>-6.6754999999999995E-2</v>
      </c>
      <c r="S8875">
        <v>2.9997410000000002</v>
      </c>
      <c r="T8875">
        <v>-0.27718389999999998</v>
      </c>
      <c r="U8875">
        <v>-0.18504329999999999</v>
      </c>
      <c r="V8875">
        <v>2.302885E-2</v>
      </c>
      <c r="W8875">
        <v>3.2722660000000001E-2</v>
      </c>
      <c r="X8875">
        <v>0.99919919999999995</v>
      </c>
      <c r="Y8875">
        <v>1.779188E-2</v>
      </c>
      <c r="Z8875">
        <v>2.4737969999999998E-3</v>
      </c>
      <c r="AA8875">
        <v>0.99983869999999997</v>
      </c>
      <c r="AB8875">
        <v>28</v>
      </c>
      <c r="AC8875">
        <v>11.853300000000001</v>
      </c>
      <c r="AD8875">
        <v>-1.120274275284</v>
      </c>
      <c r="AE8875">
        <v>-0.73489999999998101</v>
      </c>
      <c r="AF8875">
        <v>0.21256067001524301</v>
      </c>
      <c r="AG8875">
        <v>-1.120274275284</v>
      </c>
      <c r="AH8875">
        <v>11.769396632748901</v>
      </c>
      <c r="AI8875">
        <v>95.436456517969205</v>
      </c>
      <c r="AJ8875">
        <v>88.965324582251597</v>
      </c>
      <c r="AK8875">
        <v>11.824503946858099</v>
      </c>
      <c r="AL8875">
        <v>88.124795065874494</v>
      </c>
      <c r="AM8875">
        <v>88.679720355720093</v>
      </c>
      <c r="AN8875">
        <v>1.0000000708452099</v>
      </c>
    </row>
    <row r="8876" spans="1:40" x14ac:dyDescent="0.25">
      <c r="A8876" t="str">
        <f>"20190303155022682"</f>
        <v>20190303155022682</v>
      </c>
      <c r="B8876" t="str">
        <f>"1551599422669858"</f>
        <v>1551599422669858</v>
      </c>
      <c r="C8876" t="s">
        <v>40</v>
      </c>
      <c r="D8876">
        <v>5.9398580000000001</v>
      </c>
      <c r="E8876">
        <v>0.50068089999999998</v>
      </c>
      <c r="F8876" t="s">
        <v>41</v>
      </c>
      <c r="G8876">
        <v>-130.00890000000001</v>
      </c>
      <c r="H8876" s="1">
        <v>-4.6881970000000004E-6</v>
      </c>
      <c r="I8876">
        <v>137.24979999999999</v>
      </c>
      <c r="J8876">
        <v>-142.49160000000001</v>
      </c>
      <c r="K8876">
        <v>1.1203959999999999</v>
      </c>
      <c r="L8876">
        <v>138.10169999999999</v>
      </c>
      <c r="M8876">
        <v>0.99889079999999997</v>
      </c>
      <c r="N8876">
        <v>-1.410463E-2</v>
      </c>
      <c r="O8876">
        <v>-4.4925369999999999E-2</v>
      </c>
      <c r="P8876">
        <v>0.99751970000000001</v>
      </c>
      <c r="Q8876">
        <v>1.9243340000000001E-2</v>
      </c>
      <c r="R8876">
        <v>-6.7706580000000002E-2</v>
      </c>
      <c r="S8876">
        <v>2.9985499999999998</v>
      </c>
      <c r="T8876">
        <v>-0.26322390000000001</v>
      </c>
      <c r="U8876">
        <v>-0.2033539</v>
      </c>
      <c r="V8876">
        <v>2.2891709999999999E-2</v>
      </c>
      <c r="W8876">
        <v>3.3290260000000002E-2</v>
      </c>
      <c r="X8876">
        <v>0.9991835</v>
      </c>
      <c r="Y8876">
        <v>2.278643E-2</v>
      </c>
      <c r="Z8876">
        <v>2.1384989999999999E-3</v>
      </c>
      <c r="AA8876">
        <v>0.99973809999999996</v>
      </c>
      <c r="AB8876">
        <v>28</v>
      </c>
      <c r="AC8876">
        <v>12.4826999999999</v>
      </c>
      <c r="AD8876">
        <v>-1.1204006881969999</v>
      </c>
      <c r="AE8876">
        <v>-0.85189999999999999</v>
      </c>
      <c r="AF8876">
        <v>0.28788550675671698</v>
      </c>
      <c r="AG8876">
        <v>-1.1204006881969999</v>
      </c>
      <c r="AH8876">
        <v>12.408865293114999</v>
      </c>
      <c r="AI8876">
        <v>95.157885411010199</v>
      </c>
      <c r="AJ8876">
        <v>88.670977101144004</v>
      </c>
      <c r="AK8876">
        <v>12.4626688004531</v>
      </c>
      <c r="AL8876">
        <v>88.092256060222496</v>
      </c>
      <c r="AM8876">
        <v>88.687559431583395</v>
      </c>
      <c r="AN8876">
        <v>0.99999996923491996</v>
      </c>
    </row>
    <row r="8877" spans="1:40" x14ac:dyDescent="0.25">
      <c r="A8877" t="str">
        <f>"20190303155022706"</f>
        <v>20190303155022706</v>
      </c>
      <c r="B8877" t="str">
        <f>"1551599422699138"</f>
        <v>1551599422699138</v>
      </c>
      <c r="C8877" t="s">
        <v>40</v>
      </c>
      <c r="D8877">
        <v>5.9260999999999999</v>
      </c>
      <c r="E8877">
        <v>0.50123759999999995</v>
      </c>
      <c r="F8877" t="s">
        <v>42</v>
      </c>
      <c r="G8877">
        <v>-141.5395</v>
      </c>
      <c r="H8877">
        <v>1.037712</v>
      </c>
      <c r="I8877">
        <v>138.03299999999999</v>
      </c>
      <c r="J8877">
        <v>-142.19730000000001</v>
      </c>
      <c r="K8877">
        <v>1.120525</v>
      </c>
      <c r="L8877">
        <v>138.0873</v>
      </c>
      <c r="M8877">
        <v>0.99884669999999998</v>
      </c>
      <c r="N8877">
        <v>-1.4100299999999901E-2</v>
      </c>
      <c r="O8877">
        <v>-4.5896600000000003E-2</v>
      </c>
      <c r="P8877">
        <v>0.99749219999999905</v>
      </c>
      <c r="Q8877">
        <v>1.96016E-2</v>
      </c>
      <c r="R8877">
        <v>-6.8006360000000002E-2</v>
      </c>
      <c r="S8877">
        <v>2.9977870000000002</v>
      </c>
      <c r="T8877">
        <v>-0.26033659999999997</v>
      </c>
      <c r="U8877">
        <v>-0.21650700000000001</v>
      </c>
      <c r="V8877">
        <v>2.2211450000000001E-2</v>
      </c>
      <c r="W8877">
        <v>3.3652460000000002E-2</v>
      </c>
      <c r="X8877">
        <v>0.99918680000000004</v>
      </c>
      <c r="Y8877">
        <v>2.6183120000000001E-2</v>
      </c>
      <c r="Z8877">
        <v>2.0061499999999999E-3</v>
      </c>
      <c r="AA8877">
        <v>0.99965510000000002</v>
      </c>
      <c r="AB8877">
        <v>28</v>
      </c>
      <c r="AC8877">
        <v>0.65780000000000804</v>
      </c>
      <c r="AD8877">
        <v>-8.2812999999999803E-2</v>
      </c>
      <c r="AE8877">
        <v>-5.4300000000011998E-2</v>
      </c>
      <c r="AF8877">
        <v>2.3676270662211601E-2</v>
      </c>
      <c r="AG8877">
        <v>-8.2812999999999803E-2</v>
      </c>
      <c r="AH8877">
        <v>0.64937661434114602</v>
      </c>
      <c r="AI8877">
        <v>97.262752088739902</v>
      </c>
      <c r="AJ8877">
        <v>87.911920862464896</v>
      </c>
      <c r="AK8877">
        <v>0.65506377247916803</v>
      </c>
      <c r="AL8877">
        <v>88.071492047250302</v>
      </c>
      <c r="AM8877">
        <v>88.726551650711698</v>
      </c>
      <c r="AN8877">
        <v>1.0000000489346901</v>
      </c>
    </row>
    <row r="8878" spans="1:40" x14ac:dyDescent="0.25">
      <c r="A8878" t="str">
        <f>"20190303155022731"</f>
        <v>20190303155022731</v>
      </c>
      <c r="B8878" t="str">
        <f>"1551599422719634"</f>
        <v>1551599422719634</v>
      </c>
      <c r="C8878" t="s">
        <v>40</v>
      </c>
      <c r="D8878">
        <v>5.9240170000000001</v>
      </c>
      <c r="E8878">
        <v>0.50162169999999995</v>
      </c>
      <c r="F8878" t="s">
        <v>42</v>
      </c>
      <c r="G8878">
        <v>-141.28720000000001</v>
      </c>
      <c r="H8878">
        <v>1.0423340000000001</v>
      </c>
      <c r="I8878">
        <v>138.0197</v>
      </c>
      <c r="J8878">
        <v>-141.886</v>
      </c>
      <c r="K8878">
        <v>1.1206430000000001</v>
      </c>
      <c r="L8878">
        <v>138.0718</v>
      </c>
      <c r="M8878">
        <v>0.99880579999999997</v>
      </c>
      <c r="N8878">
        <v>-1.4095649999999999E-2</v>
      </c>
      <c r="O8878">
        <v>-4.6780120000000001E-2</v>
      </c>
      <c r="P8878">
        <v>0.99750559999999999</v>
      </c>
      <c r="Q8878">
        <v>1.9660799999999999E-2</v>
      </c>
      <c r="R8878">
        <v>-6.7797499999999997E-2</v>
      </c>
      <c r="S8878">
        <v>2.9974669999999999</v>
      </c>
      <c r="T8878">
        <v>-0.25759599999999999</v>
      </c>
      <c r="U8878">
        <v>-0.22221369999999999</v>
      </c>
      <c r="V8878">
        <v>2.1108979999999999E-2</v>
      </c>
      <c r="W8878">
        <v>3.371536E-2</v>
      </c>
      <c r="X8878">
        <v>0.99920850000000005</v>
      </c>
      <c r="Y8878">
        <v>2.7196789999999998E-2</v>
      </c>
      <c r="Z8878">
        <v>1.9892719999999998E-3</v>
      </c>
      <c r="AA8878">
        <v>0.99962810000000002</v>
      </c>
      <c r="AB8878">
        <v>28</v>
      </c>
      <c r="AC8878">
        <v>0.59879999999998201</v>
      </c>
      <c r="AD8878">
        <v>-7.8308999999999906E-2</v>
      </c>
      <c r="AE8878">
        <v>-5.2099999999995802E-2</v>
      </c>
      <c r="AF8878">
        <v>2.3627184340494298E-2</v>
      </c>
      <c r="AG8878">
        <v>-7.8308999999999906E-2</v>
      </c>
      <c r="AH8878">
        <v>0.59055766525558695</v>
      </c>
      <c r="AI8878">
        <v>97.547488497659998</v>
      </c>
      <c r="AJ8878">
        <v>87.708917477128907</v>
      </c>
      <c r="AK8878">
        <v>0.59619535331381901</v>
      </c>
      <c r="AL8878">
        <v>88.0678859450544</v>
      </c>
      <c r="AM8878">
        <v>88.789766512944297</v>
      </c>
      <c r="AN8878">
        <v>0.99999997050440903</v>
      </c>
    </row>
    <row r="8879" spans="1:40" x14ac:dyDescent="0.25">
      <c r="A8879" t="str">
        <f>"20190303155022758"</f>
        <v>20190303155022758</v>
      </c>
      <c r="B8879" t="str">
        <f>"1551599422749890"</f>
        <v>1551599422749890</v>
      </c>
      <c r="C8879" t="s">
        <v>40</v>
      </c>
      <c r="D8879">
        <v>5.9436140000000002</v>
      </c>
      <c r="E8879">
        <v>0.50223830000000003</v>
      </c>
      <c r="F8879" t="s">
        <v>42</v>
      </c>
      <c r="G8879">
        <v>-141.035</v>
      </c>
      <c r="H8879">
        <v>1.046932</v>
      </c>
      <c r="I8879">
        <v>138.0078</v>
      </c>
      <c r="J8879">
        <v>-141.5566</v>
      </c>
      <c r="K8879">
        <v>1.1207480000000001</v>
      </c>
      <c r="L8879">
        <v>138.05539999999999</v>
      </c>
      <c r="M8879">
        <v>0.99876880000000001</v>
      </c>
      <c r="N8879">
        <v>-1.4090790000000001E-2</v>
      </c>
      <c r="O8879">
        <v>-4.7566070000000002E-2</v>
      </c>
      <c r="P8879">
        <v>0.99753519999999896</v>
      </c>
      <c r="Q8879">
        <v>2.0081189999999999E-2</v>
      </c>
      <c r="R8879">
        <v>-6.7235260000000005E-2</v>
      </c>
      <c r="S8879">
        <v>2.9972989999999999</v>
      </c>
      <c r="T8879">
        <v>-0.25968930000000001</v>
      </c>
      <c r="U8879">
        <v>-0.22517400000000001</v>
      </c>
      <c r="V8879">
        <v>1.9751390000000001E-2</v>
      </c>
      <c r="W8879">
        <v>3.4137599999999997E-2</v>
      </c>
      <c r="X8879">
        <v>0.99922200000000005</v>
      </c>
      <c r="Y8879">
        <v>2.739786E-2</v>
      </c>
      <c r="Z8879">
        <v>2.0592029999999999E-3</v>
      </c>
      <c r="AA8879">
        <v>0.99962249999999997</v>
      </c>
      <c r="AB8879">
        <v>28</v>
      </c>
      <c r="AC8879">
        <v>0.52160000000000595</v>
      </c>
      <c r="AD8879">
        <v>-7.3815999999999798E-2</v>
      </c>
      <c r="AE8879">
        <v>-4.7599999999988499E-2</v>
      </c>
      <c r="AF8879">
        <v>2.2290453411615899E-2</v>
      </c>
      <c r="AG8879">
        <v>-7.3815999999999798E-2</v>
      </c>
      <c r="AH8879">
        <v>0.51308297120972501</v>
      </c>
      <c r="AI8879">
        <v>98.179219095635105</v>
      </c>
      <c r="AJ8879">
        <v>87.512397819134407</v>
      </c>
      <c r="AK8879">
        <v>0.51884467956672298</v>
      </c>
      <c r="AL8879">
        <v>88.043679593327397</v>
      </c>
      <c r="AM8879">
        <v>88.867595058701596</v>
      </c>
      <c r="AN8879">
        <v>1.00000004921234</v>
      </c>
    </row>
    <row r="8880" spans="1:40" x14ac:dyDescent="0.25">
      <c r="A8880" t="str">
        <f>"20190303155022779"</f>
        <v>20190303155022779</v>
      </c>
      <c r="B8880" t="str">
        <f>"1551599422769411"</f>
        <v>1551599422769411</v>
      </c>
      <c r="C8880" t="s">
        <v>40</v>
      </c>
      <c r="D8880">
        <v>5.9134640000000003</v>
      </c>
      <c r="E8880">
        <v>0.50245269999999997</v>
      </c>
      <c r="F8880" t="s">
        <v>41</v>
      </c>
      <c r="G8880">
        <v>-128.613</v>
      </c>
      <c r="H8880" s="1">
        <v>-1.1360879999999999E-6</v>
      </c>
      <c r="I8880">
        <v>137.06809999999999</v>
      </c>
      <c r="J8880">
        <v>-141.2886</v>
      </c>
      <c r="K8880">
        <v>1.1208340000000001</v>
      </c>
      <c r="L8880">
        <v>138.0419</v>
      </c>
      <c r="M8880">
        <v>0.99874399999999997</v>
      </c>
      <c r="N8880">
        <v>-1.408683E-2</v>
      </c>
      <c r="O8880">
        <v>-4.8083380000000002E-2</v>
      </c>
      <c r="P8880">
        <v>0.9975948</v>
      </c>
      <c r="Q8880">
        <v>2.0108879999999999E-2</v>
      </c>
      <c r="R8880">
        <v>-6.6332840000000004E-2</v>
      </c>
      <c r="S8880">
        <v>2.9972379999999998</v>
      </c>
      <c r="T8880">
        <v>-0.25952049999999999</v>
      </c>
      <c r="U8880">
        <v>-0.2286224</v>
      </c>
      <c r="V8880">
        <v>1.832278E-2</v>
      </c>
      <c r="W8880">
        <v>3.4167620000000003E-2</v>
      </c>
      <c r="X8880">
        <v>0.99924809999999997</v>
      </c>
      <c r="Y8880">
        <v>2.802379E-2</v>
      </c>
      <c r="Z8880">
        <v>2.0633270000000002E-3</v>
      </c>
      <c r="AA8880">
        <v>0.99960510000000002</v>
      </c>
      <c r="AB8880">
        <v>28</v>
      </c>
      <c r="AC8880">
        <v>12.675599999999999</v>
      </c>
      <c r="AD8880">
        <v>-1.120835136088</v>
      </c>
      <c r="AE8880">
        <v>-0.97380000000001099</v>
      </c>
      <c r="AF8880">
        <v>0.360326411183574</v>
      </c>
      <c r="AG8880">
        <v>-1.120835136088</v>
      </c>
      <c r="AH8880">
        <v>12.6097477497133</v>
      </c>
      <c r="AI8880">
        <v>95.077404918917793</v>
      </c>
      <c r="AJ8880">
        <v>88.363205471020507</v>
      </c>
      <c r="AK8880">
        <v>12.664590196144699</v>
      </c>
      <c r="AL8880">
        <v>88.041958391329302</v>
      </c>
      <c r="AM8880">
        <v>88.949509809741002</v>
      </c>
      <c r="AN8880">
        <v>0.99999995793850005</v>
      </c>
    </row>
    <row r="8881" spans="1:40" x14ac:dyDescent="0.25">
      <c r="A8881" t="str">
        <f>"20190303155022797"</f>
        <v>20190303155022797</v>
      </c>
      <c r="B8881" t="str">
        <f>"1551599422789906"</f>
        <v>1551599422789906</v>
      </c>
      <c r="C8881" t="s">
        <v>40</v>
      </c>
      <c r="D8881">
        <v>5.9477630000000001</v>
      </c>
      <c r="E8881">
        <v>0.50268919999999995</v>
      </c>
      <c r="F8881" t="s">
        <v>41</v>
      </c>
      <c r="G8881">
        <v>-128.34549999999999</v>
      </c>
      <c r="H8881" s="1">
        <v>-1.229691E-6</v>
      </c>
      <c r="I8881">
        <v>137.0583</v>
      </c>
      <c r="J8881">
        <v>-141.0624</v>
      </c>
      <c r="K8881">
        <v>1.1209119999999999</v>
      </c>
      <c r="L8881">
        <v>138.03059999999999</v>
      </c>
      <c r="M8881">
        <v>0.99872740000000004</v>
      </c>
      <c r="N8881">
        <v>-1.4083689999999999E-2</v>
      </c>
      <c r="O8881">
        <v>-4.8429460000000001E-2</v>
      </c>
      <c r="P8881">
        <v>0.99769189999999996</v>
      </c>
      <c r="Q8881">
        <v>2.0487229999999999E-2</v>
      </c>
      <c r="R8881">
        <v>-6.4741179999999995E-2</v>
      </c>
      <c r="S8881">
        <v>2.9973139999999998</v>
      </c>
      <c r="T8881">
        <v>-0.2595576</v>
      </c>
      <c r="U8881">
        <v>-0.2277679</v>
      </c>
      <c r="V8881">
        <v>1.6375899999999999E-2</v>
      </c>
      <c r="W8881">
        <v>3.4548389999999998E-2</v>
      </c>
      <c r="X8881">
        <v>0.99926879999999996</v>
      </c>
      <c r="Y8881">
        <v>2.739579E-2</v>
      </c>
      <c r="Z8881">
        <v>2.1203889999999999E-3</v>
      </c>
      <c r="AA8881">
        <v>0.99962240000000002</v>
      </c>
      <c r="AB8881">
        <v>28</v>
      </c>
      <c r="AC8881">
        <v>12.716900000000001</v>
      </c>
      <c r="AD8881">
        <v>-1.120913229691</v>
      </c>
      <c r="AE8881">
        <v>-0.97229999999998995</v>
      </c>
      <c r="AF8881">
        <v>0.35250247176635902</v>
      </c>
      <c r="AG8881">
        <v>-1.120913229691</v>
      </c>
      <c r="AH8881">
        <v>12.651346959591599</v>
      </c>
      <c r="AI8881">
        <v>95.061248530322501</v>
      </c>
      <c r="AJ8881">
        <v>88.403989720855606</v>
      </c>
      <c r="AK8881">
        <v>12.7057972734128</v>
      </c>
      <c r="AL8881">
        <v>88.020128968324002</v>
      </c>
      <c r="AM8881">
        <v>89.061127521955498</v>
      </c>
      <c r="AN8881">
        <v>0.99999994800291903</v>
      </c>
    </row>
    <row r="8882" spans="1:40" x14ac:dyDescent="0.25">
      <c r="A8882" t="str">
        <f>"20190303155022824"</f>
        <v>20190303155022824</v>
      </c>
      <c r="B8882" t="str">
        <f>"1551599422819186"</f>
        <v>1551599422819186</v>
      </c>
      <c r="C8882" t="s">
        <v>40</v>
      </c>
      <c r="D8882">
        <v>5.8983869999999996</v>
      </c>
      <c r="E8882">
        <v>0.502973</v>
      </c>
      <c r="F8882" t="s">
        <v>41</v>
      </c>
      <c r="G8882">
        <v>-128.11959999999999</v>
      </c>
      <c r="H8882" s="1">
        <v>-1.3067759999999999E-6</v>
      </c>
      <c r="I8882">
        <v>137.05760000000001</v>
      </c>
      <c r="J8882">
        <v>-140.75649999999999</v>
      </c>
      <c r="K8882">
        <v>1.121022</v>
      </c>
      <c r="L8882">
        <v>138.01519999999999</v>
      </c>
      <c r="M8882">
        <v>0.99871019999999999</v>
      </c>
      <c r="N8882">
        <v>-1.4079499999999899E-2</v>
      </c>
      <c r="O8882">
        <v>-4.878296E-2</v>
      </c>
      <c r="P8882">
        <v>0.99783560000000004</v>
      </c>
      <c r="Q8882">
        <v>2.0871750000000001E-2</v>
      </c>
      <c r="R8882">
        <v>-6.235889E-2</v>
      </c>
      <c r="S8882">
        <v>2.9976500000000001</v>
      </c>
      <c r="T8882">
        <v>-0.2596118</v>
      </c>
      <c r="U8882">
        <v>-0.2253571</v>
      </c>
      <c r="V8882">
        <v>1.362706E-2</v>
      </c>
      <c r="W8882">
        <v>3.4935340000000002E-2</v>
      </c>
      <c r="X8882">
        <v>0.99929670000000004</v>
      </c>
      <c r="Y8882">
        <v>2.6240050000000001E-2</v>
      </c>
      <c r="Z8882">
        <v>2.2045749999999999E-3</v>
      </c>
      <c r="AA8882">
        <v>0.99965320000000002</v>
      </c>
      <c r="AB8882">
        <v>28</v>
      </c>
      <c r="AC8882">
        <v>12.636899999999899</v>
      </c>
      <c r="AD8882">
        <v>-1.121023306776</v>
      </c>
      <c r="AE8882">
        <v>-0.95759999999998502</v>
      </c>
      <c r="AF8882">
        <v>0.33729399596127402</v>
      </c>
      <c r="AG8882">
        <v>-1.121023306776</v>
      </c>
      <c r="AH8882">
        <v>12.570214006271</v>
      </c>
      <c r="AI8882">
        <v>95.094384680271403</v>
      </c>
      <c r="AJ8882">
        <v>88.462962818460895</v>
      </c>
      <c r="AK8882">
        <v>12.624608534821901</v>
      </c>
      <c r="AL8882">
        <v>87.997945146715097</v>
      </c>
      <c r="AM8882">
        <v>89.218725896411698</v>
      </c>
      <c r="AN8882">
        <v>1.00000003468802</v>
      </c>
    </row>
    <row r="8883" spans="1:40" x14ac:dyDescent="0.25">
      <c r="A8883" t="str">
        <f>"20190303155022848"</f>
        <v>20190303155022848</v>
      </c>
      <c r="B8883" t="str">
        <f>"1551599422839682"</f>
        <v>1551599422839682</v>
      </c>
      <c r="C8883" t="s">
        <v>40</v>
      </c>
      <c r="D8883">
        <v>6.0402380000000004</v>
      </c>
      <c r="E8883">
        <v>0.50304099999999996</v>
      </c>
      <c r="F8883" t="s">
        <v>42</v>
      </c>
      <c r="G8883">
        <v>-139.8075</v>
      </c>
      <c r="H8883">
        <v>1.03912</v>
      </c>
      <c r="I8883">
        <v>137.9453</v>
      </c>
      <c r="J8883">
        <v>-140.4434</v>
      </c>
      <c r="K8883">
        <v>1.1211230000000001</v>
      </c>
      <c r="L8883">
        <v>137.99959999999999</v>
      </c>
      <c r="M8883">
        <v>0.99869949999999996</v>
      </c>
      <c r="N8883">
        <v>-1.407511E-2</v>
      </c>
      <c r="O8883">
        <v>-4.9001959999999997E-2</v>
      </c>
      <c r="P8883">
        <v>0.99797089999999999</v>
      </c>
      <c r="Q8883">
        <v>2.0471079999999999E-2</v>
      </c>
      <c r="R8883">
        <v>-6.0292980000000003E-2</v>
      </c>
      <c r="S8883">
        <v>2.9981689999999999</v>
      </c>
      <c r="T8883">
        <v>-0.25885520000000001</v>
      </c>
      <c r="U8883">
        <v>-0.2204132</v>
      </c>
      <c r="V8883">
        <v>1.1328639999999999E-2</v>
      </c>
      <c r="W8883">
        <v>3.453552E-2</v>
      </c>
      <c r="X8883">
        <v>0.99933930000000004</v>
      </c>
      <c r="Y8883">
        <v>2.4376869999999998E-2</v>
      </c>
      <c r="Z8883">
        <v>2.3046579999999998E-3</v>
      </c>
      <c r="AA8883">
        <v>0.99970020000000004</v>
      </c>
      <c r="AB8883">
        <v>28</v>
      </c>
      <c r="AC8883">
        <v>0.63589999999999203</v>
      </c>
      <c r="AD8883">
        <v>-8.2002999999999798E-2</v>
      </c>
      <c r="AE8883">
        <v>-5.42999999999835E-2</v>
      </c>
      <c r="AF8883">
        <v>2.26966184766898E-2</v>
      </c>
      <c r="AG8883">
        <v>-8.2002999999999798E-2</v>
      </c>
      <c r="AH8883">
        <v>0.62743847912641504</v>
      </c>
      <c r="AI8883">
        <v>97.4412486403549</v>
      </c>
      <c r="AJ8883">
        <v>87.928316914221199</v>
      </c>
      <c r="AK8883">
        <v>0.63318139074655799</v>
      </c>
      <c r="AL8883">
        <v>88.020866984280005</v>
      </c>
      <c r="AM8883">
        <v>89.350515427871997</v>
      </c>
      <c r="AN8883">
        <v>1.0000000383751999</v>
      </c>
    </row>
    <row r="8884" spans="1:40" x14ac:dyDescent="0.25">
      <c r="A8884" t="str">
        <f>"20190303155022868"</f>
        <v>20190303155022868</v>
      </c>
      <c r="B8884" t="str">
        <f>"1551599422859203"</f>
        <v>1551599422859203</v>
      </c>
      <c r="C8884" t="s">
        <v>40</v>
      </c>
      <c r="D8884">
        <v>6.0735809999999999</v>
      </c>
      <c r="E8884">
        <v>0.50849560000000005</v>
      </c>
      <c r="F8884" t="s">
        <v>42</v>
      </c>
      <c r="G8884">
        <v>-139.5566</v>
      </c>
      <c r="H8884">
        <v>1.04404599999999</v>
      </c>
      <c r="I8884">
        <v>137.93600000000001</v>
      </c>
      <c r="J8884">
        <v>-140.19069999999999</v>
      </c>
      <c r="K8884">
        <v>1.121194</v>
      </c>
      <c r="L8884">
        <v>137.98699999999999</v>
      </c>
      <c r="M8884">
        <v>0.99869470000000005</v>
      </c>
      <c r="N8884">
        <v>-1.407164E-2</v>
      </c>
      <c r="O8884">
        <v>-4.9102149999999997E-2</v>
      </c>
      <c r="P8884">
        <v>0.99805549999999998</v>
      </c>
      <c r="Q8884">
        <v>2.097833E-2</v>
      </c>
      <c r="R8884">
        <v>-5.8698649999999998E-2</v>
      </c>
      <c r="S8884">
        <v>2.998459</v>
      </c>
      <c r="T8884">
        <v>-0.26061499999999999</v>
      </c>
      <c r="U8884">
        <v>-0.21504210000000001</v>
      </c>
      <c r="V8884">
        <v>9.6260860000000007E-3</v>
      </c>
      <c r="W8884">
        <v>3.5041620000000002E-2</v>
      </c>
      <c r="X8884">
        <v>0.99933950000000005</v>
      </c>
      <c r="Y8884">
        <v>2.2497329999999999E-2</v>
      </c>
      <c r="Z8884">
        <v>2.428188E-3</v>
      </c>
      <c r="AA8884">
        <v>0.99974390000000002</v>
      </c>
      <c r="AB8884">
        <v>28</v>
      </c>
      <c r="AC8884">
        <v>0.63409999999998901</v>
      </c>
      <c r="AD8884">
        <v>-7.7148000000000203E-2</v>
      </c>
      <c r="AE8884">
        <v>-5.0999999999987701E-2</v>
      </c>
      <c r="AF8884">
        <v>1.9512735392060599E-2</v>
      </c>
      <c r="AG8884">
        <v>-7.7148000000000203E-2</v>
      </c>
      <c r="AH8884">
        <v>0.62662347899067306</v>
      </c>
      <c r="AI8884">
        <v>97.015396881225499</v>
      </c>
      <c r="AJ8884">
        <v>88.2164150079618</v>
      </c>
      <c r="AK8884">
        <v>0.631656192219197</v>
      </c>
      <c r="AL8884">
        <v>87.991851964046504</v>
      </c>
      <c r="AM8884">
        <v>89.448118438106306</v>
      </c>
      <c r="AN8884">
        <v>1.00000000646207</v>
      </c>
    </row>
    <row r="8885" spans="1:40" x14ac:dyDescent="0.25">
      <c r="A8885" t="str">
        <f>"20190303155022907"</f>
        <v>20190303155022907</v>
      </c>
      <c r="B8885" t="str">
        <f>"1551599422899218"</f>
        <v>1551599422899218</v>
      </c>
      <c r="C8885" t="s">
        <v>40</v>
      </c>
      <c r="D8885">
        <v>6.1062419999999999</v>
      </c>
      <c r="E8885">
        <v>0.50804280000000002</v>
      </c>
      <c r="F8885" t="s">
        <v>42</v>
      </c>
      <c r="G8885">
        <v>-139.32159999999999</v>
      </c>
      <c r="H8885">
        <v>1.0297190000000001</v>
      </c>
      <c r="I8885">
        <v>137.9128</v>
      </c>
      <c r="J8885">
        <v>-139.72810000000001</v>
      </c>
      <c r="K8885">
        <v>1.121297</v>
      </c>
      <c r="L8885">
        <v>137.96420000000001</v>
      </c>
      <c r="M8885">
        <v>0.99869379999999996</v>
      </c>
      <c r="N8885">
        <v>-1.4065380000000001E-2</v>
      </c>
      <c r="O8885">
        <v>-4.9121230000000002E-2</v>
      </c>
      <c r="P8885">
        <v>0.99828760000000005</v>
      </c>
      <c r="Q8885">
        <v>2.0833440000000002E-2</v>
      </c>
      <c r="R8885">
        <v>-5.4661550000000003E-2</v>
      </c>
      <c r="S8885">
        <v>2.997452</v>
      </c>
      <c r="T8885">
        <v>-0.31557570000000001</v>
      </c>
      <c r="U8885">
        <v>-0.25567630000000002</v>
      </c>
      <c r="V8885">
        <v>5.5554799999999998E-3</v>
      </c>
      <c r="W8885">
        <v>3.4892930000000003E-2</v>
      </c>
      <c r="X8885">
        <v>0.99937560000000003</v>
      </c>
      <c r="Y8885">
        <v>3.5916669999999998E-2</v>
      </c>
      <c r="Z8885">
        <v>2.3192400000000002E-3</v>
      </c>
      <c r="AA8885">
        <v>0.99935209999999997</v>
      </c>
      <c r="AB8885">
        <v>28</v>
      </c>
      <c r="AC8885">
        <v>0.40650000000002201</v>
      </c>
      <c r="AD8885">
        <v>-9.1577999999999896E-2</v>
      </c>
      <c r="AE8885">
        <v>-5.1400000000000903E-2</v>
      </c>
      <c r="AF8885">
        <v>2.9875762414326601E-2</v>
      </c>
      <c r="AG8885">
        <v>-9.1577999999999896E-2</v>
      </c>
      <c r="AH8885">
        <v>0.38909720686392502</v>
      </c>
      <c r="AI8885">
        <v>103.206603393121</v>
      </c>
      <c r="AJ8885">
        <v>85.609315558102097</v>
      </c>
      <c r="AK8885">
        <v>0.400843769632441</v>
      </c>
      <c r="AL8885">
        <v>88.000376443423804</v>
      </c>
      <c r="AM8885">
        <v>89.681498849404093</v>
      </c>
      <c r="AN8885">
        <v>0.99999998489868702</v>
      </c>
    </row>
    <row r="8886" spans="1:40" x14ac:dyDescent="0.25">
      <c r="A8886" t="str">
        <f>"20190303155022931"</f>
        <v>20190303155022931</v>
      </c>
      <c r="B8886" t="str">
        <f>"1551599422919714"</f>
        <v>1551599422919714</v>
      </c>
      <c r="C8886" t="s">
        <v>40</v>
      </c>
      <c r="D8886">
        <v>5.9709050000000001</v>
      </c>
      <c r="E8886">
        <v>0.50789119999999999</v>
      </c>
      <c r="F8886" t="s">
        <v>42</v>
      </c>
      <c r="G8886">
        <v>-138.83340000000001</v>
      </c>
      <c r="H8886">
        <v>1.024851</v>
      </c>
      <c r="I8886">
        <v>137.89240000000001</v>
      </c>
      <c r="J8886">
        <v>-139.41829999999999</v>
      </c>
      <c r="K8886">
        <v>1.121335</v>
      </c>
      <c r="L8886">
        <v>137.94890000000001</v>
      </c>
      <c r="M8886">
        <v>0.99869850000000004</v>
      </c>
      <c r="N8886">
        <v>-1.4061290000000001E-2</v>
      </c>
      <c r="O8886">
        <v>-4.902919E-2</v>
      </c>
      <c r="P8886">
        <v>0.99841000000000002</v>
      </c>
      <c r="Q8886">
        <v>2.0175370000000001E-2</v>
      </c>
      <c r="R8886">
        <v>-5.263495E-2</v>
      </c>
      <c r="S8886">
        <v>2.9987339999999998</v>
      </c>
      <c r="T8886">
        <v>-0.32332709999999998</v>
      </c>
      <c r="U8886">
        <v>-0.24017330000000001</v>
      </c>
      <c r="V8886">
        <v>3.613359E-3</v>
      </c>
      <c r="W8886">
        <v>3.4231949999999997E-2</v>
      </c>
      <c r="X8886">
        <v>0.99940739999999995</v>
      </c>
      <c r="Y8886">
        <v>3.0874390000000002E-2</v>
      </c>
      <c r="Z8886">
        <v>2.6962829999999998E-3</v>
      </c>
      <c r="AA8886">
        <v>0.99951959999999995</v>
      </c>
      <c r="AB8886">
        <v>27</v>
      </c>
      <c r="AC8886">
        <v>0.58489999999997599</v>
      </c>
      <c r="AD8886">
        <v>-9.6484E-2</v>
      </c>
      <c r="AE8886">
        <v>-5.6499999999999703E-2</v>
      </c>
      <c r="AF8886">
        <v>2.70234890243388E-2</v>
      </c>
      <c r="AG8886">
        <v>-9.6484E-2</v>
      </c>
      <c r="AH8886">
        <v>0.57155787100857403</v>
      </c>
      <c r="AI8886">
        <v>99.571204945882798</v>
      </c>
      <c r="AJ8886">
        <v>87.293048071705996</v>
      </c>
      <c r="AK8886">
        <v>0.58027392766425601</v>
      </c>
      <c r="AL8886">
        <v>88.038270512108198</v>
      </c>
      <c r="AM8886">
        <v>89.792847923196007</v>
      </c>
      <c r="AN8886">
        <v>1.0000000169694101</v>
      </c>
    </row>
    <row r="8887" spans="1:40" x14ac:dyDescent="0.25">
      <c r="A8887" t="str">
        <f>"20190303155022956"</f>
        <v>20190303155022956</v>
      </c>
      <c r="B8887" t="str">
        <f>"1551599422949501"</f>
        <v>1551599422949501</v>
      </c>
      <c r="C8887" t="s">
        <v>40</v>
      </c>
      <c r="D8887">
        <v>5.9582819999999996</v>
      </c>
      <c r="E8887">
        <v>0.50741650000000005</v>
      </c>
      <c r="F8887" t="s">
        <v>42</v>
      </c>
      <c r="G8887">
        <v>-138.58600000000001</v>
      </c>
      <c r="H8887">
        <v>1.0298830000000001</v>
      </c>
      <c r="I8887">
        <v>137.88419999999999</v>
      </c>
      <c r="J8887">
        <v>-139.1206</v>
      </c>
      <c r="K8887">
        <v>1.121378</v>
      </c>
      <c r="L8887">
        <v>137.93440000000001</v>
      </c>
      <c r="M8887">
        <v>0.99870590000000004</v>
      </c>
      <c r="N8887">
        <v>-1.405756E-2</v>
      </c>
      <c r="O8887">
        <v>-4.8879029999999997E-2</v>
      </c>
      <c r="P8887">
        <v>0.99851979999999996</v>
      </c>
      <c r="Q8887">
        <v>1.94381E-2</v>
      </c>
      <c r="R8887">
        <v>-5.0798509999999998E-2</v>
      </c>
      <c r="S8887">
        <v>2.9991300000000001</v>
      </c>
      <c r="T8887">
        <v>-0.32951799999999998</v>
      </c>
      <c r="U8887">
        <v>-0.23315429999999901</v>
      </c>
      <c r="V8887">
        <v>1.920422E-3</v>
      </c>
      <c r="W8887">
        <v>3.3491380000000001E-2</v>
      </c>
      <c r="X8887">
        <v>0.99943720000000003</v>
      </c>
      <c r="Y8887">
        <v>2.870545E-2</v>
      </c>
      <c r="Z8887">
        <v>2.8846700000000002E-3</v>
      </c>
      <c r="AA8887">
        <v>0.99958380000000002</v>
      </c>
      <c r="AB8887">
        <v>27</v>
      </c>
      <c r="AC8887">
        <v>0.53459999999998298</v>
      </c>
      <c r="AD8887">
        <v>-9.1495000000000104E-2</v>
      </c>
      <c r="AE8887">
        <v>-5.0200000000018001E-2</v>
      </c>
      <c r="AF8887">
        <v>2.3329305859714398E-2</v>
      </c>
      <c r="AG8887">
        <v>-9.1495000000000104E-2</v>
      </c>
      <c r="AH8887">
        <v>0.52127940976640696</v>
      </c>
      <c r="AI8887">
        <v>99.945399625327099</v>
      </c>
      <c r="AJ8887">
        <v>87.437498205295398</v>
      </c>
      <c r="AK8887">
        <v>0.52976203580787995</v>
      </c>
      <c r="AL8887">
        <v>88.080726436621902</v>
      </c>
      <c r="AM8887">
        <v>89.889906099087398</v>
      </c>
      <c r="AN8887">
        <v>1.0000000386493999</v>
      </c>
    </row>
    <row r="8888" spans="1:40" x14ac:dyDescent="0.25">
      <c r="A8888" t="str">
        <f>"20190303155022979"</f>
        <v>20190303155022979</v>
      </c>
      <c r="B8888" t="str">
        <f>"1551599422969021"</f>
        <v>1551599422969021</v>
      </c>
      <c r="C8888" t="s">
        <v>40</v>
      </c>
      <c r="D8888">
        <v>5.9148670000000001</v>
      </c>
      <c r="E8888">
        <v>0.48271550000000002</v>
      </c>
      <c r="F8888" t="s">
        <v>42</v>
      </c>
      <c r="G8888">
        <v>-138.3383</v>
      </c>
      <c r="H8888">
        <v>1.0360969999999901</v>
      </c>
      <c r="I8888">
        <v>137.876</v>
      </c>
      <c r="J8888">
        <v>-138.83330000000001</v>
      </c>
      <c r="K8888">
        <v>1.121432</v>
      </c>
      <c r="L8888">
        <v>137.9205</v>
      </c>
      <c r="M8888">
        <v>0.99871639999999995</v>
      </c>
      <c r="N8888">
        <v>-1.4053980000000001E-2</v>
      </c>
      <c r="O8888">
        <v>-4.8665479999999997E-2</v>
      </c>
      <c r="P8888">
        <v>0.99862240000000002</v>
      </c>
      <c r="Q8888">
        <v>1.913399E-2</v>
      </c>
      <c r="R8888">
        <v>-4.886368E-2</v>
      </c>
      <c r="S8888">
        <v>2.9994200000000002</v>
      </c>
      <c r="T8888">
        <v>-0.3270439</v>
      </c>
      <c r="U8888">
        <v>-0.22373960000000001</v>
      </c>
      <c r="V8888">
        <v>1.9257540000000001E-4</v>
      </c>
      <c r="W8888">
        <v>3.3183980000000002E-2</v>
      </c>
      <c r="X8888">
        <v>0.99944929999999998</v>
      </c>
      <c r="Y8888">
        <v>2.5809459999999999E-2</v>
      </c>
      <c r="Z8888">
        <v>3.0143610000000001E-3</v>
      </c>
      <c r="AA8888">
        <v>0.9996623</v>
      </c>
      <c r="AB8888">
        <v>27</v>
      </c>
      <c r="AC8888">
        <v>0.49500000000000399</v>
      </c>
      <c r="AD8888">
        <v>-8.5335000000000105E-2</v>
      </c>
      <c r="AE8888">
        <v>-4.4499999999999297E-2</v>
      </c>
      <c r="AF8888">
        <v>1.9772551942482199E-2</v>
      </c>
      <c r="AG8888">
        <v>-8.5335000000000105E-2</v>
      </c>
      <c r="AH8888">
        <v>0.482358592960766</v>
      </c>
      <c r="AI8888">
        <v>100.024255094054</v>
      </c>
      <c r="AJ8888">
        <v>87.652680172293401</v>
      </c>
      <c r="AK8888">
        <v>0.490247721298537</v>
      </c>
      <c r="AL8888">
        <v>88.098348991848795</v>
      </c>
      <c r="AM8888">
        <v>89.9889601628402</v>
      </c>
      <c r="AN8888">
        <v>1.0000000584422</v>
      </c>
    </row>
    <row r="8889" spans="1:40" x14ac:dyDescent="0.25">
      <c r="A8889" t="str">
        <f>"20190303155022997"</f>
        <v>20190303155022997</v>
      </c>
      <c r="B8889" t="str">
        <f>"1551599422989517"</f>
        <v>1551599422989517</v>
      </c>
      <c r="C8889" t="s">
        <v>40</v>
      </c>
      <c r="D8889">
        <v>5.9727930000000002</v>
      </c>
      <c r="E8889">
        <v>0.48246499999999998</v>
      </c>
      <c r="F8889" t="s">
        <v>41</v>
      </c>
      <c r="G8889">
        <v>-124.9624</v>
      </c>
      <c r="H8889" s="1">
        <v>-2.4593089999999999E-6</v>
      </c>
      <c r="I8889">
        <v>137.83539999999999</v>
      </c>
      <c r="J8889">
        <v>-138.6208</v>
      </c>
      <c r="K8889">
        <v>1.1214850000000001</v>
      </c>
      <c r="L8889">
        <v>137.91040000000001</v>
      </c>
      <c r="M8889">
        <v>0.99872669999999997</v>
      </c>
      <c r="N8889">
        <v>-1.405154E-2</v>
      </c>
      <c r="O8889">
        <v>-4.8454589999999999E-2</v>
      </c>
      <c r="P8889">
        <v>0.99868809999999997</v>
      </c>
      <c r="Q8889">
        <v>1.9100140000000002E-2</v>
      </c>
      <c r="R8889">
        <v>-4.751267E-2</v>
      </c>
      <c r="S8889">
        <v>3.007889</v>
      </c>
      <c r="T8889">
        <v>-0.2431816</v>
      </c>
      <c r="U8889">
        <v>-1.8463130000000001E-2</v>
      </c>
      <c r="V8889">
        <v>-9.5249899999999999E-4</v>
      </c>
      <c r="W8889">
        <v>3.3147290000000003E-2</v>
      </c>
      <c r="X8889">
        <v>0.99944999999999995</v>
      </c>
      <c r="Y8889">
        <v>-4.2058610000000003E-2</v>
      </c>
      <c r="Z8889">
        <v>5.2230089999999998E-3</v>
      </c>
      <c r="AA8889">
        <v>0.99910149999999998</v>
      </c>
      <c r="AB8889">
        <v>27</v>
      </c>
      <c r="AC8889">
        <v>13.6584</v>
      </c>
      <c r="AD8889">
        <v>-1.1214874593089901</v>
      </c>
      <c r="AE8889">
        <v>-7.5000000000016998E-2</v>
      </c>
      <c r="AF8889">
        <v>-0.58303482085276903</v>
      </c>
      <c r="AG8889">
        <v>-1.1214874593089901</v>
      </c>
      <c r="AH8889">
        <v>13.554605459026201</v>
      </c>
      <c r="AI8889">
        <v>94.725442885204899</v>
      </c>
      <c r="AJ8889">
        <v>92.462989823210506</v>
      </c>
      <c r="AK8889">
        <v>13.613412242108</v>
      </c>
      <c r="AL8889">
        <v>88.100452174887295</v>
      </c>
      <c r="AM8889">
        <v>90.0546041884717</v>
      </c>
      <c r="AN8889">
        <v>0.99999997629434401</v>
      </c>
    </row>
    <row r="8890" spans="1:40" x14ac:dyDescent="0.25">
      <c r="A8890" t="str">
        <f>"20190303155023018"</f>
        <v>20190303155023018</v>
      </c>
      <c r="B8890" t="str">
        <f>"1551599423009037"</f>
        <v>1551599423009037</v>
      </c>
      <c r="C8890" t="s">
        <v>40</v>
      </c>
      <c r="D8890">
        <v>5.7939819999999997</v>
      </c>
      <c r="E8890">
        <v>0.48241070000000003</v>
      </c>
      <c r="F8890" t="s">
        <v>41</v>
      </c>
      <c r="G8890">
        <v>-124.6159</v>
      </c>
      <c r="H8890" s="1">
        <v>-2.604761E-6</v>
      </c>
      <c r="I8890">
        <v>137.8535</v>
      </c>
      <c r="J8890">
        <v>-138.36009999999999</v>
      </c>
      <c r="K8890">
        <v>1.1215409999999999</v>
      </c>
      <c r="L8890">
        <v>137.898</v>
      </c>
      <c r="M8890">
        <v>0.99874169999999995</v>
      </c>
      <c r="N8890">
        <v>-1.4048710000000001E-2</v>
      </c>
      <c r="O8890">
        <v>-4.8144239999999998E-2</v>
      </c>
      <c r="P8890">
        <v>0.99875020000000003</v>
      </c>
      <c r="Q8890">
        <v>1.9084750000000001E-2</v>
      </c>
      <c r="R8890">
        <v>-4.6198299999999998E-2</v>
      </c>
      <c r="S8890">
        <v>3.007965</v>
      </c>
      <c r="T8890">
        <v>-0.24087140000000001</v>
      </c>
      <c r="U8890">
        <v>-1.2207030000000001E-2</v>
      </c>
      <c r="V8890">
        <v>-1.961885E-3</v>
      </c>
      <c r="W8890">
        <v>3.3127749999999997E-2</v>
      </c>
      <c r="X8890">
        <v>0.99944920000000004</v>
      </c>
      <c r="Y8890">
        <v>-4.3825450000000002E-2</v>
      </c>
      <c r="Z8890">
        <v>5.2325360000000003E-3</v>
      </c>
      <c r="AA8890">
        <v>0.99902550000000001</v>
      </c>
      <c r="AB8890">
        <v>27</v>
      </c>
      <c r="AC8890">
        <v>13.7441999999999</v>
      </c>
      <c r="AD8890">
        <v>-1.1215436047609999</v>
      </c>
      <c r="AE8890">
        <v>-4.4499999999999297E-2</v>
      </c>
      <c r="AF8890">
        <v>-0.61323755361785404</v>
      </c>
      <c r="AG8890">
        <v>-1.1215436047609999</v>
      </c>
      <c r="AH8890">
        <v>13.6395798813056</v>
      </c>
      <c r="AI8890">
        <v>94.695970074985098</v>
      </c>
      <c r="AJ8890">
        <v>92.574293187731698</v>
      </c>
      <c r="AK8890">
        <v>13.6993452286255</v>
      </c>
      <c r="AL8890">
        <v>88.101572394847395</v>
      </c>
      <c r="AM8890">
        <v>90.112469534231906</v>
      </c>
      <c r="AN8890">
        <v>1.00000000009672</v>
      </c>
    </row>
    <row r="8891" spans="1:40" x14ac:dyDescent="0.25">
      <c r="A8891" t="str">
        <f>"20190303155023042"</f>
        <v>20190303155023042</v>
      </c>
      <c r="B8891" t="str">
        <f>"1551599423029533"</f>
        <v>1551599423029533</v>
      </c>
      <c r="C8891" t="s">
        <v>40</v>
      </c>
      <c r="D8891">
        <v>5.9668869999999998</v>
      </c>
      <c r="E8891">
        <v>0.4826261</v>
      </c>
      <c r="F8891" t="s">
        <v>41</v>
      </c>
      <c r="G8891">
        <v>-124.1229</v>
      </c>
      <c r="H8891" s="1">
        <v>-2.814895E-6</v>
      </c>
      <c r="I8891">
        <v>137.86109999999999</v>
      </c>
      <c r="J8891">
        <v>-138.0763</v>
      </c>
      <c r="K8891">
        <v>1.1215980000000001</v>
      </c>
      <c r="L8891">
        <v>137.88480000000001</v>
      </c>
      <c r="M8891">
        <v>0.99876109999999896</v>
      </c>
      <c r="N8891">
        <v>-1.404561E-2</v>
      </c>
      <c r="O8891">
        <v>-4.7738639999999999E-2</v>
      </c>
      <c r="P8891">
        <v>0.99881799999999998</v>
      </c>
      <c r="Q8891">
        <v>1.971243E-2</v>
      </c>
      <c r="R8891">
        <v>-4.4433640000000003E-2</v>
      </c>
      <c r="S8891">
        <v>3.0079039999999999</v>
      </c>
      <c r="T8891">
        <v>-0.23694850000000001</v>
      </c>
      <c r="U8891">
        <v>-7.7972409999999999E-3</v>
      </c>
      <c r="V8891">
        <v>-3.3267230000000002E-3</v>
      </c>
      <c r="W8891">
        <v>3.3751110000000001E-2</v>
      </c>
      <c r="X8891">
        <v>0.9994248</v>
      </c>
      <c r="Y8891">
        <v>-4.4890220000000002E-2</v>
      </c>
      <c r="Z8891">
        <v>5.1650009999999998E-3</v>
      </c>
      <c r="AA8891">
        <v>0.99897860000000005</v>
      </c>
      <c r="AB8891">
        <v>27</v>
      </c>
      <c r="AC8891">
        <v>13.9534</v>
      </c>
      <c r="AD8891">
        <v>-1.1216008148950001</v>
      </c>
      <c r="AE8891">
        <v>-2.3700000000019299E-2</v>
      </c>
      <c r="AF8891">
        <v>-0.63838433502658498</v>
      </c>
      <c r="AG8891">
        <v>-1.1216008148950001</v>
      </c>
      <c r="AH8891">
        <v>13.849137084630801</v>
      </c>
      <c r="AI8891">
        <v>94.625221329289005</v>
      </c>
      <c r="AJ8891">
        <v>92.639215333329602</v>
      </c>
      <c r="AK8891">
        <v>13.909138037135</v>
      </c>
      <c r="AL8891">
        <v>88.065836642486502</v>
      </c>
      <c r="AM8891">
        <v>90.1907161834975</v>
      </c>
      <c r="AN8891">
        <v>1.0000000676835901</v>
      </c>
    </row>
    <row r="8892" spans="1:40" x14ac:dyDescent="0.25">
      <c r="A8892" t="str">
        <f>"20190303155023065"</f>
        <v>20190303155023065</v>
      </c>
      <c r="B8892" t="str">
        <f>"1551599423059790"</f>
        <v>1551599423059790</v>
      </c>
      <c r="C8892" t="s">
        <v>40</v>
      </c>
      <c r="D8892">
        <v>5.9784300000000004</v>
      </c>
      <c r="E8892">
        <v>0.48287639999999998</v>
      </c>
      <c r="F8892" t="s">
        <v>41</v>
      </c>
      <c r="G8892">
        <v>-122.99630000000001</v>
      </c>
      <c r="H8892" s="1">
        <v>-3.2976669999999999E-6</v>
      </c>
      <c r="I8892">
        <v>137.86410000000001</v>
      </c>
      <c r="J8892">
        <v>-137.78440000000001</v>
      </c>
      <c r="K8892">
        <v>1.1216360000000001</v>
      </c>
      <c r="L8892">
        <v>137.87139999999999</v>
      </c>
      <c r="M8892">
        <v>0.99878449999999996</v>
      </c>
      <c r="N8892">
        <v>-1.4042529999999999E-2</v>
      </c>
      <c r="O8892">
        <v>-4.7248810000000002E-2</v>
      </c>
      <c r="P8892">
        <v>0.99888589999999999</v>
      </c>
      <c r="Q8892">
        <v>2.0687819999999999E-2</v>
      </c>
      <c r="R8892">
        <v>-4.2417110000000001E-2</v>
      </c>
      <c r="S8892">
        <v>3.0077820000000002</v>
      </c>
      <c r="T8892">
        <v>-0.22370889999999999</v>
      </c>
      <c r="U8892">
        <v>-4.1198729999999996E-3</v>
      </c>
      <c r="V8892">
        <v>-4.8577539999999997E-3</v>
      </c>
      <c r="W8892">
        <v>3.4721380000000003E-2</v>
      </c>
      <c r="X8892">
        <v>0.99938519999999997</v>
      </c>
      <c r="Y8892">
        <v>-4.5649469999999998E-2</v>
      </c>
      <c r="Z8892">
        <v>4.8617219999999997E-3</v>
      </c>
      <c r="AA8892">
        <v>0.99894570000000005</v>
      </c>
      <c r="AB8892">
        <v>27</v>
      </c>
      <c r="AC8892">
        <v>14.7881</v>
      </c>
      <c r="AD8892">
        <v>-1.121639297667</v>
      </c>
      <c r="AE8892">
        <v>-7.2999999999865299E-3</v>
      </c>
      <c r="AF8892">
        <v>-0.68754182967225097</v>
      </c>
      <c r="AG8892">
        <v>-1.121639297667</v>
      </c>
      <c r="AH8892">
        <v>14.687431321400799</v>
      </c>
      <c r="AI8892">
        <v>94.362288464378295</v>
      </c>
      <c r="AJ8892">
        <v>92.680149274519394</v>
      </c>
      <c r="AK8892">
        <v>14.7462343431293</v>
      </c>
      <c r="AL8892">
        <v>88.0102114744125</v>
      </c>
      <c r="AM8892">
        <v>90.278497830602205</v>
      </c>
      <c r="AN8892">
        <v>0.99999997499103399</v>
      </c>
    </row>
    <row r="8893" spans="1:40" x14ac:dyDescent="0.25">
      <c r="A8893" t="str">
        <f>"20190303155023087"</f>
        <v>20190303155023087</v>
      </c>
      <c r="B8893" t="str">
        <f>"1551599423079309"</f>
        <v>1551599423079309</v>
      </c>
      <c r="C8893" t="s">
        <v>40</v>
      </c>
      <c r="D8893">
        <v>5.9602629999999897</v>
      </c>
      <c r="E8893">
        <v>0.48306460000000001</v>
      </c>
      <c r="F8893" t="s">
        <v>41</v>
      </c>
      <c r="G8893">
        <v>-122.21729999999999</v>
      </c>
      <c r="H8893" s="1">
        <v>-3.6304610000000002E-6</v>
      </c>
      <c r="I8893">
        <v>137.87190000000001</v>
      </c>
      <c r="J8893">
        <v>-137.5317</v>
      </c>
      <c r="K8893">
        <v>1.1216699999999999</v>
      </c>
      <c r="L8893">
        <v>137.85990000000001</v>
      </c>
      <c r="M8893">
        <v>0.99880650000000004</v>
      </c>
      <c r="N8893">
        <v>-1.4039859999999999E-2</v>
      </c>
      <c r="O8893">
        <v>-4.6783680000000001E-2</v>
      </c>
      <c r="P8893">
        <v>0.99894930000000004</v>
      </c>
      <c r="Q8893">
        <v>2.1060140000000001E-2</v>
      </c>
      <c r="R8893">
        <v>-4.070373E-2</v>
      </c>
      <c r="S8893">
        <v>3.0078429999999998</v>
      </c>
      <c r="T8893">
        <v>-0.21672060000000001</v>
      </c>
      <c r="U8893">
        <v>1.068115E-4</v>
      </c>
      <c r="V8893">
        <v>-6.110028E-3</v>
      </c>
      <c r="W8893">
        <v>3.5089740000000001E-2</v>
      </c>
      <c r="X8893">
        <v>0.99936550000000002</v>
      </c>
      <c r="Y8893">
        <v>-4.6600820000000001E-2</v>
      </c>
      <c r="Z8893">
        <v>4.7135199999999997E-3</v>
      </c>
      <c r="AA8893">
        <v>0.99890250000000003</v>
      </c>
      <c r="AB8893">
        <v>27</v>
      </c>
      <c r="AC8893">
        <v>15.314399999999999</v>
      </c>
      <c r="AD8893">
        <v>-1.121673630461</v>
      </c>
      <c r="AE8893">
        <v>1.2000000000000399E-2</v>
      </c>
      <c r="AF8893">
        <v>-0.72463404895297201</v>
      </c>
      <c r="AG8893">
        <v>-1.121673630461</v>
      </c>
      <c r="AH8893">
        <v>15.215442739305001</v>
      </c>
      <c r="AI8893">
        <v>94.211428910878595</v>
      </c>
      <c r="AJ8893">
        <v>92.726645965331201</v>
      </c>
      <c r="AK8893">
        <v>15.2739302077508</v>
      </c>
      <c r="AL8893">
        <v>87.989093206569805</v>
      </c>
      <c r="AM8893">
        <v>90.350296718506499</v>
      </c>
      <c r="AN8893">
        <v>1.0000000124428301</v>
      </c>
    </row>
    <row r="8894" spans="1:40" x14ac:dyDescent="0.25">
      <c r="A8894" t="str">
        <f>"20190303155023108"</f>
        <v>20190303155023108</v>
      </c>
      <c r="B8894" t="str">
        <f>"1551599423099805"</f>
        <v>1551599423099805</v>
      </c>
      <c r="C8894" t="s">
        <v>40</v>
      </c>
      <c r="D8894">
        <v>6.2727659999999998</v>
      </c>
      <c r="E8894">
        <v>0.48338510000000001</v>
      </c>
      <c r="F8894" t="s">
        <v>41</v>
      </c>
      <c r="G8894">
        <v>-121.9453</v>
      </c>
      <c r="H8894" s="1">
        <v>-3.7458510000000001E-6</v>
      </c>
      <c r="I8894">
        <v>137.87950000000001</v>
      </c>
      <c r="J8894">
        <v>-137.2739</v>
      </c>
      <c r="K8894">
        <v>1.1217010000000001</v>
      </c>
      <c r="L8894">
        <v>137.8484</v>
      </c>
      <c r="M8894">
        <v>0.99883010000000005</v>
      </c>
      <c r="N8894">
        <v>-1.403716E-2</v>
      </c>
      <c r="O8894">
        <v>-4.6276100000000001E-2</v>
      </c>
      <c r="P8894">
        <v>0.99902500000000005</v>
      </c>
      <c r="Q8894">
        <v>2.146201E-2</v>
      </c>
      <c r="R8894">
        <v>-3.8582060000000001E-2</v>
      </c>
      <c r="S8894">
        <v>3.0078740000000002</v>
      </c>
      <c r="T8894">
        <v>-0.21646080000000001</v>
      </c>
      <c r="U8894">
        <v>3.7689210000000002E-3</v>
      </c>
      <c r="V8894">
        <v>-7.726793E-3</v>
      </c>
      <c r="W8894">
        <v>3.5486709999999998E-2</v>
      </c>
      <c r="X8894">
        <v>0.99934029999999996</v>
      </c>
      <c r="Y8894">
        <v>-4.730856E-2</v>
      </c>
      <c r="Z8894">
        <v>4.7086089999999999E-3</v>
      </c>
      <c r="AA8894">
        <v>0.99886920000000001</v>
      </c>
      <c r="AB8894">
        <v>27</v>
      </c>
      <c r="AC8894">
        <v>15.3285999999999</v>
      </c>
      <c r="AD8894">
        <v>-1.1217047458509899</v>
      </c>
      <c r="AE8894">
        <v>3.11000000000092E-2</v>
      </c>
      <c r="AF8894">
        <v>-0.736540276548732</v>
      </c>
      <c r="AG8894">
        <v>-1.1217047458509899</v>
      </c>
      <c r="AH8894">
        <v>15.2291851411699</v>
      </c>
      <c r="AI8894">
        <v>94.207610263238294</v>
      </c>
      <c r="AJ8894">
        <v>92.768880399167998</v>
      </c>
      <c r="AK8894">
        <v>15.288191298511199</v>
      </c>
      <c r="AL8894">
        <v>87.966334346931703</v>
      </c>
      <c r="AM8894">
        <v>90.442996050773502</v>
      </c>
      <c r="AN8894">
        <v>1.00000002256038</v>
      </c>
    </row>
    <row r="8895" spans="1:40" x14ac:dyDescent="0.25">
      <c r="A8895" t="str">
        <f>"20190303155023131"</f>
        <v>20190303155023131</v>
      </c>
      <c r="B8895" t="str">
        <f>"1551599423119325"</f>
        <v>1551599423119325</v>
      </c>
      <c r="C8895" t="s">
        <v>40</v>
      </c>
      <c r="D8895">
        <v>5.9488589999999997</v>
      </c>
      <c r="E8895">
        <v>0.48369230000000002</v>
      </c>
      <c r="F8895" t="s">
        <v>41</v>
      </c>
      <c r="G8895">
        <v>-121.2564</v>
      </c>
      <c r="H8895" s="1">
        <v>-4.0396479999999999E-6</v>
      </c>
      <c r="I8895">
        <v>137.88910000000001</v>
      </c>
      <c r="J8895">
        <v>-136.99629999999999</v>
      </c>
      <c r="K8895">
        <v>1.121739</v>
      </c>
      <c r="L8895">
        <v>137.83619999999999</v>
      </c>
      <c r="M8895">
        <v>0.99885670000000004</v>
      </c>
      <c r="N8895">
        <v>-1.403425E-2</v>
      </c>
      <c r="O8895">
        <v>-4.5701940000000003E-2</v>
      </c>
      <c r="P8895">
        <v>0.99908039999999998</v>
      </c>
      <c r="Q8895">
        <v>2.2334650000000001E-2</v>
      </c>
      <c r="R8895">
        <v>-3.6602999999999997E-2</v>
      </c>
      <c r="S8895">
        <v>3.0077509999999998</v>
      </c>
      <c r="T8895">
        <v>-0.2106326</v>
      </c>
      <c r="U8895">
        <v>7.6293949999999998E-3</v>
      </c>
      <c r="V8895">
        <v>-9.13367E-3</v>
      </c>
      <c r="W8895">
        <v>3.6354459999999998E-2</v>
      </c>
      <c r="X8895">
        <v>0.9992972</v>
      </c>
      <c r="Y8895">
        <v>-4.8027460000000001E-2</v>
      </c>
      <c r="Z8895">
        <v>4.5719849999999998E-3</v>
      </c>
      <c r="AA8895">
        <v>0.99883560000000005</v>
      </c>
      <c r="AB8895">
        <v>27</v>
      </c>
      <c r="AC8895">
        <v>15.739899999999899</v>
      </c>
      <c r="AD8895">
        <v>-1.1217430396479999</v>
      </c>
      <c r="AE8895">
        <v>5.2900000000022297E-2</v>
      </c>
      <c r="AF8895">
        <v>-0.76835692928720101</v>
      </c>
      <c r="AG8895">
        <v>-1.1217430396479999</v>
      </c>
      <c r="AH8895">
        <v>15.6415890162765</v>
      </c>
      <c r="AI8895">
        <v>94.097044585604706</v>
      </c>
      <c r="AJ8895">
        <v>92.812262239956993</v>
      </c>
      <c r="AK8895">
        <v>15.700572816680401</v>
      </c>
      <c r="AL8895">
        <v>87.9165837432964</v>
      </c>
      <c r="AM8895">
        <v>90.523674208462197</v>
      </c>
      <c r="AN8895">
        <v>0.99999998230870002</v>
      </c>
    </row>
    <row r="8896" spans="1:40" x14ac:dyDescent="0.25">
      <c r="A8896" t="str">
        <f>"20190303155023157"</f>
        <v>20190303155023157</v>
      </c>
      <c r="B8896" t="str">
        <f>"1551599423149581"</f>
        <v>1551599423149581</v>
      </c>
      <c r="C8896" t="s">
        <v>40</v>
      </c>
      <c r="D8896">
        <v>6.0975979999999996</v>
      </c>
      <c r="E8896">
        <v>0.48394090000000001</v>
      </c>
      <c r="F8896" t="s">
        <v>41</v>
      </c>
      <c r="G8896">
        <v>-120.47069999999999</v>
      </c>
      <c r="H8896" s="1">
        <v>-4.3751809999999997E-6</v>
      </c>
      <c r="I8896">
        <v>137.89779999999999</v>
      </c>
      <c r="J8896">
        <v>-136.67740000000001</v>
      </c>
      <c r="K8896">
        <v>1.121772</v>
      </c>
      <c r="L8896">
        <v>137.82239999999999</v>
      </c>
      <c r="M8896">
        <v>0.99888750000000004</v>
      </c>
      <c r="N8896">
        <v>-1.403099E-2</v>
      </c>
      <c r="O8896">
        <v>-4.5017990000000001E-2</v>
      </c>
      <c r="P8896">
        <v>0.99914780000000003</v>
      </c>
      <c r="Q8896">
        <v>2.5087470000000001E-2</v>
      </c>
      <c r="R8896">
        <v>-3.2774940000000002E-2</v>
      </c>
      <c r="S8896">
        <v>3.007736</v>
      </c>
      <c r="T8896">
        <v>-0.20416190000000001</v>
      </c>
      <c r="U8896">
        <v>1.121521E-2</v>
      </c>
      <c r="V8896">
        <v>-1.2280599999999999E-2</v>
      </c>
      <c r="W8896">
        <v>3.9098620000000001E-2</v>
      </c>
      <c r="X8896">
        <v>0.99915989999999999</v>
      </c>
      <c r="Y8896">
        <v>-4.8547109999999997E-2</v>
      </c>
      <c r="Z8896">
        <v>4.4071290000000001E-3</v>
      </c>
      <c r="AA8896">
        <v>0.99881120000000001</v>
      </c>
      <c r="AB8896">
        <v>27</v>
      </c>
      <c r="AC8896">
        <v>16.206700000000001</v>
      </c>
      <c r="AD8896">
        <v>-1.1217763751809999</v>
      </c>
      <c r="AE8896">
        <v>7.5400000000001896E-2</v>
      </c>
      <c r="AF8896">
        <v>-0.80115032525977203</v>
      </c>
      <c r="AG8896">
        <v>-1.1217763751809999</v>
      </c>
      <c r="AH8896">
        <v>16.1096919620331</v>
      </c>
      <c r="AI8896">
        <v>93.978382723243399</v>
      </c>
      <c r="AJ8896">
        <v>92.847028174258995</v>
      </c>
      <c r="AK8896">
        <v>16.1685620631883</v>
      </c>
      <c r="AL8896">
        <v>87.759242956936305</v>
      </c>
      <c r="AM8896">
        <v>90.704182705440999</v>
      </c>
      <c r="AN8896">
        <v>1.0000000104951301</v>
      </c>
    </row>
    <row r="8897" spans="1:40" x14ac:dyDescent="0.25">
      <c r="A8897" t="str">
        <f>"20190303155023219"</f>
        <v>20190303155023219</v>
      </c>
      <c r="B8897" t="str">
        <f>"1551599423210094"</f>
        <v>1551599423210094</v>
      </c>
      <c r="C8897" t="s">
        <v>40</v>
      </c>
      <c r="D8897">
        <v>5.928496</v>
      </c>
      <c r="E8897">
        <v>0.48433599999999999</v>
      </c>
      <c r="F8897" t="s">
        <v>41</v>
      </c>
      <c r="G8897">
        <v>-119.39570000000001</v>
      </c>
      <c r="H8897" s="1">
        <v>-6.3738299999999998E-7</v>
      </c>
      <c r="I8897">
        <v>137.94120000000001</v>
      </c>
      <c r="J8897">
        <v>-135.9178</v>
      </c>
      <c r="K8897">
        <v>1.1217820000000001</v>
      </c>
      <c r="L8897">
        <v>137.79050000000001</v>
      </c>
      <c r="M8897">
        <v>0.99896240000000003</v>
      </c>
      <c r="N8897">
        <v>-1.4022949999999999E-2</v>
      </c>
      <c r="O8897">
        <v>-4.3331410000000001E-2</v>
      </c>
      <c r="P8897">
        <v>0.99944659999999996</v>
      </c>
      <c r="Q8897">
        <v>2.2823420000000001E-2</v>
      </c>
      <c r="R8897">
        <v>-2.4204509999999999E-2</v>
      </c>
      <c r="S8897">
        <v>3.0081180000000001</v>
      </c>
      <c r="T8897">
        <v>-0.1952603</v>
      </c>
      <c r="U8897">
        <v>2.0690920000000002E-2</v>
      </c>
      <c r="V8897">
        <v>-1.91688E-2</v>
      </c>
      <c r="W8897">
        <v>3.6818110000000001E-2</v>
      </c>
      <c r="X8897">
        <v>0.99913810000000003</v>
      </c>
      <c r="Y8897">
        <v>-5.0022320000000002E-2</v>
      </c>
      <c r="Z8897">
        <v>4.1748439999999996E-3</v>
      </c>
      <c r="AA8897">
        <v>0.99873940000000005</v>
      </c>
      <c r="AB8897">
        <v>27</v>
      </c>
      <c r="AC8897">
        <v>16.522099999999899</v>
      </c>
      <c r="AD8897">
        <v>-1.121782637383</v>
      </c>
      <c r="AE8897">
        <v>0.1507</v>
      </c>
      <c r="AF8897">
        <v>-0.86257864268718698</v>
      </c>
      <c r="AG8897">
        <v>-1.121782637383</v>
      </c>
      <c r="AH8897">
        <v>16.424340464373199</v>
      </c>
      <c r="AI8897">
        <v>93.901873641002098</v>
      </c>
      <c r="AJ8897">
        <v>93.006315695216699</v>
      </c>
      <c r="AK8897">
        <v>16.4851872264164</v>
      </c>
      <c r="AL8897">
        <v>87.890000751105902</v>
      </c>
      <c r="AM8897">
        <v>91.099103933794794</v>
      </c>
      <c r="AN8897">
        <v>0.99999997949451003</v>
      </c>
    </row>
    <row r="8898" spans="1:40" x14ac:dyDescent="0.25">
      <c r="A8898" t="str">
        <f>"20190303155023243"</f>
        <v>20190303155023243</v>
      </c>
      <c r="B8898" t="str">
        <f>"1551599423229614"</f>
        <v>1551599423229614</v>
      </c>
      <c r="C8898" t="s">
        <v>40</v>
      </c>
      <c r="D8898">
        <v>5.9572419999999999</v>
      </c>
      <c r="E8898">
        <v>0.48470829999999998</v>
      </c>
      <c r="F8898" t="s">
        <v>41</v>
      </c>
      <c r="G8898">
        <v>-119.3462</v>
      </c>
      <c r="H8898" s="1">
        <v>-6.3175490000000002E-7</v>
      </c>
      <c r="I8898">
        <v>138.0257</v>
      </c>
      <c r="J8898">
        <v>-135.6508</v>
      </c>
      <c r="K8898">
        <v>1.121774</v>
      </c>
      <c r="L8898">
        <v>137.77959999999999</v>
      </c>
      <c r="M8898">
        <v>0.9989884</v>
      </c>
      <c r="N8898">
        <v>-1.402022E-2</v>
      </c>
      <c r="O8898">
        <v>-4.2729179999999999E-2</v>
      </c>
      <c r="P8898">
        <v>0.99948029999999999</v>
      </c>
      <c r="Q8898">
        <v>2.2423180000000001E-2</v>
      </c>
      <c r="R8898">
        <v>-2.315741E-2</v>
      </c>
      <c r="S8898">
        <v>3.007339</v>
      </c>
      <c r="T8898">
        <v>-0.2035766</v>
      </c>
      <c r="U8898">
        <v>4.2694089999999997E-2</v>
      </c>
      <c r="V8898">
        <v>-1.9613120000000001E-2</v>
      </c>
      <c r="W8898">
        <v>3.6414500000000002E-2</v>
      </c>
      <c r="X8898">
        <v>0.99914429999999999</v>
      </c>
      <c r="Y8898">
        <v>-5.6693220000000003E-2</v>
      </c>
      <c r="Z8898">
        <v>4.6045610000000001E-3</v>
      </c>
      <c r="AA8898">
        <v>0.99838099999999996</v>
      </c>
      <c r="AB8898">
        <v>27</v>
      </c>
      <c r="AC8898">
        <v>16.304600000000001</v>
      </c>
      <c r="AD8898">
        <v>-1.1217746317549</v>
      </c>
      <c r="AE8898">
        <v>0.246100000000012</v>
      </c>
      <c r="AF8898">
        <v>-0.938185822485887</v>
      </c>
      <c r="AG8898">
        <v>-1.1217746317549</v>
      </c>
      <c r="AH8898">
        <v>16.202510635562898</v>
      </c>
      <c r="AI8898">
        <v>93.953929442530693</v>
      </c>
      <c r="AJ8898">
        <v>93.313939023353299</v>
      </c>
      <c r="AK8898">
        <v>16.2683718256466</v>
      </c>
      <c r="AL8898">
        <v>87.913141485788302</v>
      </c>
      <c r="AM8898">
        <v>91.124566984978799</v>
      </c>
      <c r="AN8898">
        <v>1.0000000112544301</v>
      </c>
    </row>
    <row r="8899" spans="1:40" x14ac:dyDescent="0.25">
      <c r="A8899" t="str">
        <f>"20190303155023263"</f>
        <v>20190303155023263</v>
      </c>
      <c r="B8899" t="str">
        <f>"1551599423250110"</f>
        <v>1551599423250110</v>
      </c>
      <c r="C8899" t="s">
        <v>40</v>
      </c>
      <c r="D8899">
        <v>6.0070600000000001</v>
      </c>
      <c r="E8899">
        <v>0.48498989999999997</v>
      </c>
      <c r="F8899" t="s">
        <v>41</v>
      </c>
      <c r="G8899">
        <v>-119.1174</v>
      </c>
      <c r="H8899" s="1">
        <v>-7.12328199999999E-7</v>
      </c>
      <c r="I8899">
        <v>138.0155</v>
      </c>
      <c r="J8899">
        <v>-135.40129999999999</v>
      </c>
      <c r="K8899">
        <v>1.1217809999999999</v>
      </c>
      <c r="L8899">
        <v>137.76949999999999</v>
      </c>
      <c r="M8899">
        <v>0.99901240000000002</v>
      </c>
      <c r="N8899">
        <v>-1.40176E-2</v>
      </c>
      <c r="O8899">
        <v>-4.2166549999999997E-2</v>
      </c>
      <c r="P8899">
        <v>0.99947949999999997</v>
      </c>
      <c r="Q8899">
        <v>2.3444909999999999E-2</v>
      </c>
      <c r="R8899">
        <v>-2.217015E-2</v>
      </c>
      <c r="S8899">
        <v>3.0071409999999998</v>
      </c>
      <c r="T8899">
        <v>-0.20403160000000001</v>
      </c>
      <c r="U8899">
        <v>4.2922969999999998E-2</v>
      </c>
      <c r="V8899">
        <v>-2.003781E-2</v>
      </c>
      <c r="W8899">
        <v>3.7432809999999997E-2</v>
      </c>
      <c r="X8899">
        <v>0.99909820000000005</v>
      </c>
      <c r="Y8899">
        <v>-5.6208969999999997E-2</v>
      </c>
      <c r="Z8899">
        <v>4.565604E-3</v>
      </c>
      <c r="AA8899">
        <v>0.99840859999999998</v>
      </c>
      <c r="AB8899">
        <v>27</v>
      </c>
      <c r="AC8899">
        <v>16.2838999999999</v>
      </c>
      <c r="AD8899">
        <v>-1.1217817123281999</v>
      </c>
      <c r="AE8899">
        <v>0.24600000000000899</v>
      </c>
      <c r="AF8899">
        <v>-0.92808103334834602</v>
      </c>
      <c r="AG8899">
        <v>-1.1217817123281999</v>
      </c>
      <c r="AH8899">
        <v>16.182261631795502</v>
      </c>
      <c r="AI8899">
        <v>93.959011330888799</v>
      </c>
      <c r="AJ8899">
        <v>93.282417540564794</v>
      </c>
      <c r="AK8899">
        <v>16.247625061357599</v>
      </c>
      <c r="AL8899">
        <v>87.854756719506</v>
      </c>
      <c r="AM8899">
        <v>91.148964182288097</v>
      </c>
      <c r="AN8899">
        <v>0.99999997116866501</v>
      </c>
    </row>
    <row r="8900" spans="1:40" x14ac:dyDescent="0.25">
      <c r="A8900" t="str">
        <f>"20190303155023291"</f>
        <v>20190303155023291</v>
      </c>
      <c r="B8900" t="str">
        <f>"1551599423279390"</f>
        <v>1551599423279390</v>
      </c>
      <c r="C8900" t="s">
        <v>40</v>
      </c>
      <c r="D8900">
        <v>6.164472</v>
      </c>
      <c r="E8900">
        <v>0.48551270000000002</v>
      </c>
      <c r="F8900" t="s">
        <v>41</v>
      </c>
      <c r="G8900">
        <v>-118.6078</v>
      </c>
      <c r="H8900" s="1">
        <v>-8.8598239999999997E-7</v>
      </c>
      <c r="I8900">
        <v>138.0146</v>
      </c>
      <c r="J8900">
        <v>-135.07230000000001</v>
      </c>
      <c r="K8900">
        <v>1.1217889999999999</v>
      </c>
      <c r="L8900">
        <v>137.75649999999999</v>
      </c>
      <c r="M8900">
        <v>0.99904329999999997</v>
      </c>
      <c r="N8900">
        <v>-1.4014230000000001E-2</v>
      </c>
      <c r="O8900">
        <v>-4.1425969999999999E-2</v>
      </c>
      <c r="P8900">
        <v>0.99942850000000005</v>
      </c>
      <c r="Q8900">
        <v>2.622768E-2</v>
      </c>
      <c r="R8900">
        <v>-2.1332340000000002E-2</v>
      </c>
      <c r="S8900">
        <v>3.0072480000000001</v>
      </c>
      <c r="T8900">
        <v>-0.2008791</v>
      </c>
      <c r="U8900">
        <v>4.3899540000000001E-2</v>
      </c>
      <c r="V8900">
        <v>-2.013378E-2</v>
      </c>
      <c r="W8900">
        <v>4.0211150000000001E-2</v>
      </c>
      <c r="X8900">
        <v>0.99898830000000005</v>
      </c>
      <c r="Y8900">
        <v>-5.5801370000000003E-2</v>
      </c>
      <c r="Z8900">
        <v>4.4365719999999997E-3</v>
      </c>
      <c r="AA8900">
        <v>0.99843199999999999</v>
      </c>
      <c r="AB8900">
        <v>27</v>
      </c>
      <c r="AC8900">
        <v>16.464500000000001</v>
      </c>
      <c r="AD8900">
        <v>-1.12178988598239</v>
      </c>
      <c r="AE8900">
        <v>0.25810000000001299</v>
      </c>
      <c r="AF8900">
        <v>-0.935660780948809</v>
      </c>
      <c r="AG8900">
        <v>-1.12178988598239</v>
      </c>
      <c r="AH8900">
        <v>16.363725219403999</v>
      </c>
      <c r="AI8900">
        <v>93.915312583639803</v>
      </c>
      <c r="AJ8900">
        <v>93.272549697057997</v>
      </c>
      <c r="AK8900">
        <v>16.428797177561599</v>
      </c>
      <c r="AL8900">
        <v>87.695449397259907</v>
      </c>
      <c r="AM8900">
        <v>91.154592567811903</v>
      </c>
      <c r="AN8900">
        <v>0.99999996460914897</v>
      </c>
    </row>
    <row r="8901" spans="1:40" x14ac:dyDescent="0.25">
      <c r="A8901" t="str">
        <f>"20190303155023312"</f>
        <v>20190303155023312</v>
      </c>
      <c r="B8901" t="str">
        <f>"1551599423299886"</f>
        <v>1551599423299886</v>
      </c>
      <c r="C8901" t="s">
        <v>40</v>
      </c>
      <c r="D8901">
        <v>5.9519449999999896</v>
      </c>
      <c r="E8901">
        <v>0.48590349999999999</v>
      </c>
      <c r="F8901" t="s">
        <v>41</v>
      </c>
      <c r="G8901">
        <v>-117.73609999999999</v>
      </c>
      <c r="H8901" s="1">
        <v>-1.2397209999999999E-6</v>
      </c>
      <c r="I8901">
        <v>138.0027</v>
      </c>
      <c r="J8901">
        <v>-134.81479999999999</v>
      </c>
      <c r="K8901">
        <v>1.1217889999999999</v>
      </c>
      <c r="L8901">
        <v>137.7465</v>
      </c>
      <c r="M8901">
        <v>0.99906719999999904</v>
      </c>
      <c r="N8901">
        <v>-1.4011610000000001E-2</v>
      </c>
      <c r="O8901">
        <v>-4.0849419999999997E-2</v>
      </c>
      <c r="P8901">
        <v>0.99938280000000002</v>
      </c>
      <c r="Q8901">
        <v>2.750476E-2</v>
      </c>
      <c r="R8901">
        <v>-2.1862639999999999E-2</v>
      </c>
      <c r="S8901">
        <v>3.007736</v>
      </c>
      <c r="T8901">
        <v>-0.1946243</v>
      </c>
      <c r="U8901">
        <v>4.2724610000000003E-2</v>
      </c>
      <c r="V8901">
        <v>-1.9026680000000001E-2</v>
      </c>
      <c r="W8901">
        <v>4.1486580000000002E-2</v>
      </c>
      <c r="X8901">
        <v>0.99895789999999995</v>
      </c>
      <c r="Y8901">
        <v>-5.4848939999999999E-2</v>
      </c>
      <c r="Z8901">
        <v>4.2254759999999997E-3</v>
      </c>
      <c r="AA8901">
        <v>0.99848570000000003</v>
      </c>
      <c r="AB8901">
        <v>27</v>
      </c>
      <c r="AC8901">
        <v>17.078699999999898</v>
      </c>
      <c r="AD8901">
        <v>-1.121790239721</v>
      </c>
      <c r="AE8901">
        <v>0.25620000000000598</v>
      </c>
      <c r="AF8901">
        <v>-0.949613472931508</v>
      </c>
      <c r="AG8901">
        <v>-1.121790239721</v>
      </c>
      <c r="AH8901">
        <v>16.980731154112298</v>
      </c>
      <c r="AI8901">
        <v>93.773733466701401</v>
      </c>
      <c r="AJ8901">
        <v>93.200818079188096</v>
      </c>
      <c r="AK8901">
        <v>17.044219243431101</v>
      </c>
      <c r="AL8901">
        <v>87.622311716203697</v>
      </c>
      <c r="AM8901">
        <v>91.091153757688204</v>
      </c>
      <c r="AN8901">
        <v>1.00000001842216</v>
      </c>
    </row>
    <row r="8902" spans="1:40" x14ac:dyDescent="0.25">
      <c r="A8902" t="str">
        <f>"20190303155023332"</f>
        <v>20190303155023332</v>
      </c>
      <c r="B8902" t="str">
        <f>"1551599423319405"</f>
        <v>1551599423319405</v>
      </c>
      <c r="C8902" t="s">
        <v>40</v>
      </c>
      <c r="D8902">
        <v>5.9120759999999999</v>
      </c>
      <c r="E8902">
        <v>0.48607640000000002</v>
      </c>
      <c r="F8902" t="s">
        <v>41</v>
      </c>
      <c r="G8902">
        <v>-117.0917</v>
      </c>
      <c r="H8902" s="1">
        <v>-1.521463E-6</v>
      </c>
      <c r="I8902">
        <v>137.97290000000001</v>
      </c>
      <c r="J8902">
        <v>-134.58240000000001</v>
      </c>
      <c r="K8902">
        <v>1.1217820000000001</v>
      </c>
      <c r="L8902">
        <v>137.73759999999999</v>
      </c>
      <c r="M8902">
        <v>0.99908830000000004</v>
      </c>
      <c r="N8902">
        <v>-1.4009219999999999E-2</v>
      </c>
      <c r="O8902">
        <v>-4.0331020000000002E-2</v>
      </c>
      <c r="P8902">
        <v>0.99940899999999999</v>
      </c>
      <c r="Q8902">
        <v>2.5416520000000001E-2</v>
      </c>
      <c r="R8902">
        <v>-2.3152699999999998E-2</v>
      </c>
      <c r="S8902">
        <v>3.0079349999999998</v>
      </c>
      <c r="T8902">
        <v>-0.1903878</v>
      </c>
      <c r="U8902">
        <v>3.8421629999999998E-2</v>
      </c>
      <c r="V8902">
        <v>-1.721754E-2</v>
      </c>
      <c r="W8902">
        <v>3.9399259999999998E-2</v>
      </c>
      <c r="X8902">
        <v>0.99907520000000005</v>
      </c>
      <c r="Y8902">
        <v>-5.2915419999999998E-2</v>
      </c>
      <c r="Z8902">
        <v>4.0291429999999998E-3</v>
      </c>
      <c r="AA8902">
        <v>0.99859089999999995</v>
      </c>
      <c r="AB8902">
        <v>27</v>
      </c>
      <c r="AC8902">
        <v>17.4907</v>
      </c>
      <c r="AD8902">
        <v>-1.1217835214630001</v>
      </c>
      <c r="AE8902">
        <v>0.23530000000002299</v>
      </c>
      <c r="AF8902">
        <v>-0.93674289512825704</v>
      </c>
      <c r="AG8902">
        <v>-1.1217835214630001</v>
      </c>
      <c r="AH8902">
        <v>17.395433603764801</v>
      </c>
      <c r="AI8902">
        <v>93.684414232672097</v>
      </c>
      <c r="AJ8902">
        <v>93.082396600169005</v>
      </c>
      <c r="AK8902">
        <v>17.456717783809999</v>
      </c>
      <c r="AL8902">
        <v>87.742004247860507</v>
      </c>
      <c r="AM8902">
        <v>90.987307794884998</v>
      </c>
      <c r="AN8902">
        <v>1.00000000031361</v>
      </c>
    </row>
    <row r="8903" spans="1:40" x14ac:dyDescent="0.25">
      <c r="A8903" t="str">
        <f>"20190303155023356"</f>
        <v>20190303155023356</v>
      </c>
      <c r="B8903" t="str">
        <f>"1551599423349194"</f>
        <v>1551599423349194</v>
      </c>
      <c r="C8903" t="s">
        <v>40</v>
      </c>
      <c r="D8903">
        <v>5.9699790000000004</v>
      </c>
      <c r="E8903">
        <v>0.48628149999999998</v>
      </c>
      <c r="F8903" t="s">
        <v>41</v>
      </c>
      <c r="G8903">
        <v>-117.4353</v>
      </c>
      <c r="H8903" s="1">
        <v>-1.382536E-6</v>
      </c>
      <c r="I8903">
        <v>137.92519999999999</v>
      </c>
      <c r="J8903">
        <v>-134.2886</v>
      </c>
      <c r="K8903">
        <v>1.121769</v>
      </c>
      <c r="L8903">
        <v>137.72649999999999</v>
      </c>
      <c r="M8903">
        <v>0.99911439999999996</v>
      </c>
      <c r="N8903">
        <v>-1.40062E-2</v>
      </c>
      <c r="O8903">
        <v>-3.9677570000000002E-2</v>
      </c>
      <c r="P8903">
        <v>0.99943510000000002</v>
      </c>
      <c r="Q8903">
        <v>2.266292E-2</v>
      </c>
      <c r="R8903">
        <v>-2.481452E-2</v>
      </c>
      <c r="S8903">
        <v>3.0075229999999999</v>
      </c>
      <c r="T8903">
        <v>-0.1967555</v>
      </c>
      <c r="U8903">
        <v>3.2913209999999998E-2</v>
      </c>
      <c r="V8903">
        <v>-1.490139E-2</v>
      </c>
      <c r="W8903">
        <v>3.6646570000000003E-2</v>
      </c>
      <c r="X8903">
        <v>0.99921720000000003</v>
      </c>
      <c r="Y8903">
        <v>-5.0430160000000002E-2</v>
      </c>
      <c r="Z8903">
        <v>4.0386190000000002E-3</v>
      </c>
      <c r="AA8903">
        <v>0.99871949999999998</v>
      </c>
      <c r="AB8903">
        <v>27</v>
      </c>
      <c r="AC8903">
        <v>16.853300000000001</v>
      </c>
      <c r="AD8903">
        <v>-1.1217703825359999</v>
      </c>
      <c r="AE8903">
        <v>0.19870000000000199</v>
      </c>
      <c r="AF8903">
        <v>-0.86348207195964399</v>
      </c>
      <c r="AG8903">
        <v>-1.1217703825359999</v>
      </c>
      <c r="AH8903">
        <v>16.757908228699002</v>
      </c>
      <c r="AI8903">
        <v>93.824593782305996</v>
      </c>
      <c r="AJ8903">
        <v>92.949661897887097</v>
      </c>
      <c r="AK8903">
        <v>16.817593712574599</v>
      </c>
      <c r="AL8903">
        <v>87.899835986852594</v>
      </c>
      <c r="AM8903">
        <v>90.854392288697497</v>
      </c>
      <c r="AN8903">
        <v>1.00000001764626</v>
      </c>
    </row>
    <row r="8904" spans="1:40" x14ac:dyDescent="0.25">
      <c r="A8904" t="str">
        <f>"20190303155023410"</f>
        <v>20190303155023410</v>
      </c>
      <c r="B8904" t="str">
        <f>"1551599423399946"</f>
        <v>1551599423399946</v>
      </c>
      <c r="C8904" t="s">
        <v>40</v>
      </c>
      <c r="D8904">
        <v>5.9594269999999998</v>
      </c>
      <c r="E8904">
        <v>0.48663820000000002</v>
      </c>
      <c r="F8904" t="s">
        <v>41</v>
      </c>
      <c r="G8904">
        <v>-118.0003</v>
      </c>
      <c r="H8904" s="1">
        <v>-1.150369E-6</v>
      </c>
      <c r="I8904">
        <v>137.86750000000001</v>
      </c>
      <c r="J8904">
        <v>-133.64619999999999</v>
      </c>
      <c r="K8904">
        <v>1.1217649999999999</v>
      </c>
      <c r="L8904">
        <v>137.7029</v>
      </c>
      <c r="M8904">
        <v>0.99917029999999996</v>
      </c>
      <c r="N8904">
        <v>-1.399971E-2</v>
      </c>
      <c r="O8904">
        <v>-3.8245700000000001E-2</v>
      </c>
      <c r="P8904">
        <v>0.99953650000000005</v>
      </c>
      <c r="Q8904">
        <v>1.7602530000000002E-2</v>
      </c>
      <c r="R8904">
        <v>-2.483542E-2</v>
      </c>
      <c r="S8904">
        <v>3.007034</v>
      </c>
      <c r="T8904">
        <v>-0.20709379999999999</v>
      </c>
      <c r="U8904">
        <v>2.604675E-2</v>
      </c>
      <c r="V8904">
        <v>-1.3446670000000001E-2</v>
      </c>
      <c r="W8904">
        <v>3.1583609999999998E-2</v>
      </c>
      <c r="X8904">
        <v>0.99941060000000004</v>
      </c>
      <c r="Y8904">
        <v>-4.6712629999999998E-2</v>
      </c>
      <c r="Z8904">
        <v>4.0295009999999996E-3</v>
      </c>
      <c r="AA8904">
        <v>0.99890020000000002</v>
      </c>
      <c r="AB8904">
        <v>27</v>
      </c>
      <c r="AC8904">
        <v>15.6458999999999</v>
      </c>
      <c r="AD8904">
        <v>-1.121766150369</v>
      </c>
      <c r="AE8904">
        <v>0.16460000000000699</v>
      </c>
      <c r="AF8904">
        <v>-0.759025269676182</v>
      </c>
      <c r="AG8904">
        <v>-1.121766150369</v>
      </c>
      <c r="AH8904">
        <v>15.548238274801101</v>
      </c>
      <c r="AI8904">
        <v>94.121704363094395</v>
      </c>
      <c r="AJ8904">
        <v>92.794814837004907</v>
      </c>
      <c r="AK8904">
        <v>15.6071199170798</v>
      </c>
      <c r="AL8904">
        <v>88.190091351128501</v>
      </c>
      <c r="AM8904">
        <v>90.770845290964502</v>
      </c>
      <c r="AN8904">
        <v>0.99999994237353795</v>
      </c>
    </row>
    <row r="8905" spans="1:40" x14ac:dyDescent="0.25">
      <c r="A8905" t="str">
        <f>"20190303155023429"</f>
        <v>20190303155023429</v>
      </c>
      <c r="B8905" t="str">
        <f>"1551599423419466"</f>
        <v>1551599423419466</v>
      </c>
      <c r="C8905" t="s">
        <v>40</v>
      </c>
      <c r="D8905">
        <v>5.9428260000000002</v>
      </c>
      <c r="E8905">
        <v>0.48672109999999902</v>
      </c>
      <c r="F8905" t="s">
        <v>41</v>
      </c>
      <c r="G8905">
        <v>-118.70480000000001</v>
      </c>
      <c r="H8905" s="1">
        <v>-9.0660140000000003E-7</v>
      </c>
      <c r="I8905">
        <v>137.81309999999999</v>
      </c>
      <c r="J8905">
        <v>-133.4238</v>
      </c>
      <c r="K8905">
        <v>1.1217649999999999</v>
      </c>
      <c r="L8905">
        <v>137.69489999999999</v>
      </c>
      <c r="M8905">
        <v>0.99918960000000001</v>
      </c>
      <c r="N8905">
        <v>-1.399748E-2</v>
      </c>
      <c r="O8905">
        <v>-3.7742980000000002E-2</v>
      </c>
      <c r="P8905">
        <v>0.99956900000000004</v>
      </c>
      <c r="Q8905">
        <v>1.6922130000000001E-2</v>
      </c>
      <c r="R8905">
        <v>-2.3995860000000001E-2</v>
      </c>
      <c r="S8905">
        <v>3.0059200000000001</v>
      </c>
      <c r="T8905">
        <v>-0.2256764</v>
      </c>
      <c r="U8905">
        <v>2.2186279999999999E-2</v>
      </c>
      <c r="V8905">
        <v>-1.3782930000000001E-2</v>
      </c>
      <c r="W8905">
        <v>3.0900629999999998E-2</v>
      </c>
      <c r="X8905">
        <v>0.99942739999999997</v>
      </c>
      <c r="Y8905">
        <v>-4.4900780000000001E-2</v>
      </c>
      <c r="Z8905">
        <v>4.2993340000000001E-3</v>
      </c>
      <c r="AA8905">
        <v>0.99898220000000004</v>
      </c>
      <c r="AB8905">
        <v>27</v>
      </c>
      <c r="AC8905">
        <v>14.7189999999999</v>
      </c>
      <c r="AD8905">
        <v>-1.1217659066014001</v>
      </c>
      <c r="AE8905">
        <v>0.118200000000001</v>
      </c>
      <c r="AF8905">
        <v>-0.66981878190298205</v>
      </c>
      <c r="AG8905">
        <v>-1.1217659066014001</v>
      </c>
      <c r="AH8905">
        <v>14.6191420500726</v>
      </c>
      <c r="AI8905">
        <v>94.383279753157794</v>
      </c>
      <c r="AJ8905">
        <v>92.623339154437602</v>
      </c>
      <c r="AK8905">
        <v>14.677408839097</v>
      </c>
      <c r="AL8905">
        <v>88.229242391576506</v>
      </c>
      <c r="AM8905">
        <v>90.790106075007699</v>
      </c>
      <c r="AN8905">
        <v>0.99999997298226995</v>
      </c>
    </row>
    <row r="8906" spans="1:40" x14ac:dyDescent="0.25">
      <c r="A8906" t="str">
        <f>"20190303155023450"</f>
        <v>20190303155023450</v>
      </c>
      <c r="B8906" t="str">
        <f>"1551599423439494"</f>
        <v>1551599423439494</v>
      </c>
      <c r="C8906" t="s">
        <v>40</v>
      </c>
      <c r="D8906">
        <v>6.4317019999999996</v>
      </c>
      <c r="E8906">
        <v>0.48672109999999902</v>
      </c>
      <c r="F8906" t="s">
        <v>41</v>
      </c>
      <c r="G8906">
        <v>-118.696</v>
      </c>
      <c r="H8906" s="1">
        <v>-9.1020170000000001E-7</v>
      </c>
      <c r="I8906">
        <v>137.8108</v>
      </c>
      <c r="J8906">
        <v>-133.18520000000001</v>
      </c>
      <c r="K8906">
        <v>1.121775</v>
      </c>
      <c r="L8906">
        <v>137.6865</v>
      </c>
      <c r="M8906">
        <v>0.99921040000000005</v>
      </c>
      <c r="N8906">
        <v>-1.3995169999999999E-2</v>
      </c>
      <c r="O8906">
        <v>-3.7189270000000003E-2</v>
      </c>
      <c r="P8906">
        <v>0.99959019999999998</v>
      </c>
      <c r="Q8906">
        <v>1.6831680000000002E-2</v>
      </c>
      <c r="R8906">
        <v>-2.3164230000000001E-2</v>
      </c>
      <c r="S8906">
        <v>3.0057369999999999</v>
      </c>
      <c r="T8906">
        <v>-0.228937</v>
      </c>
      <c r="U8906">
        <v>2.3651120000000001E-2</v>
      </c>
      <c r="V8906">
        <v>-1.4061290000000001E-2</v>
      </c>
      <c r="W8906">
        <v>3.080722E-2</v>
      </c>
      <c r="X8906">
        <v>0.99942640000000005</v>
      </c>
      <c r="Y8906">
        <v>-4.4829229999999998E-2</v>
      </c>
      <c r="Z8906">
        <v>4.3271179999999996E-3</v>
      </c>
      <c r="AA8906">
        <v>0.99898529999999996</v>
      </c>
      <c r="AB8906">
        <v>27</v>
      </c>
      <c r="AC8906">
        <v>14.4892</v>
      </c>
      <c r="AD8906">
        <v>-1.1217759102017</v>
      </c>
      <c r="AE8906">
        <v>0.124300000000005</v>
      </c>
      <c r="AF8906">
        <v>-0.65915869016552497</v>
      </c>
      <c r="AG8906">
        <v>-1.1217759102017</v>
      </c>
      <c r="AH8906">
        <v>14.3883133820441</v>
      </c>
      <c r="AI8906">
        <v>94.4533598706509</v>
      </c>
      <c r="AJ8906">
        <v>92.623005355460606</v>
      </c>
      <c r="AK8906">
        <v>14.447021608326001</v>
      </c>
      <c r="AL8906">
        <v>88.2345969289333</v>
      </c>
      <c r="AM8906">
        <v>90.806061776048296</v>
      </c>
      <c r="AN8906">
        <v>0.99999996684877501</v>
      </c>
    </row>
    <row r="8907" spans="1:40" x14ac:dyDescent="0.25">
      <c r="A8907" t="str">
        <f>"20190303155023468"</f>
        <v>20190303155023468</v>
      </c>
      <c r="B8907" t="str">
        <f>"1551599423459014"</f>
        <v>1551599423459014</v>
      </c>
      <c r="C8907" t="s">
        <v>40</v>
      </c>
      <c r="D8907">
        <v>6.2204620000000004</v>
      </c>
      <c r="E8907">
        <v>0.51396109999999995</v>
      </c>
      <c r="F8907" t="s">
        <v>41</v>
      </c>
      <c r="G8907">
        <v>-118.47069999999999</v>
      </c>
      <c r="H8907" s="1">
        <v>-9.8574009999999992E-7</v>
      </c>
      <c r="I8907">
        <v>137.8151</v>
      </c>
      <c r="J8907">
        <v>-132.9538</v>
      </c>
      <c r="K8907">
        <v>1.1217980000000001</v>
      </c>
      <c r="L8907">
        <v>137.67850000000001</v>
      </c>
      <c r="M8907">
        <v>0.99923099999999998</v>
      </c>
      <c r="N8907">
        <v>-1.3992910000000001E-2</v>
      </c>
      <c r="O8907">
        <v>-3.6629250000000002E-2</v>
      </c>
      <c r="P8907">
        <v>0.99960230000000005</v>
      </c>
      <c r="Q8907">
        <v>1.7723639999999999E-2</v>
      </c>
      <c r="R8907">
        <v>-2.1939009999999998E-2</v>
      </c>
      <c r="S8907">
        <v>3.0056919999999998</v>
      </c>
      <c r="T8907">
        <v>-0.22914080000000001</v>
      </c>
      <c r="U8907">
        <v>2.6275630000000001E-2</v>
      </c>
      <c r="V8907">
        <v>-1.4728059999999999E-2</v>
      </c>
      <c r="W8907">
        <v>3.1695609999999999E-2</v>
      </c>
      <c r="X8907">
        <v>0.99938910000000003</v>
      </c>
      <c r="Y8907">
        <v>-4.5141290000000001E-2</v>
      </c>
      <c r="Z8907">
        <v>4.3105280000000001E-3</v>
      </c>
      <c r="AA8907">
        <v>0.99897130000000001</v>
      </c>
      <c r="AB8907">
        <v>27</v>
      </c>
      <c r="AC8907">
        <v>14.4831</v>
      </c>
      <c r="AD8907">
        <v>-1.1217989857400901</v>
      </c>
      <c r="AE8907">
        <v>0.13659999999998701</v>
      </c>
      <c r="AF8907">
        <v>-0.66308755665031904</v>
      </c>
      <c r="AG8907">
        <v>-1.1217989857400901</v>
      </c>
      <c r="AH8907">
        <v>14.382098658021601</v>
      </c>
      <c r="AI8907">
        <v>94.455308145595794</v>
      </c>
      <c r="AJ8907">
        <v>92.639756128308605</v>
      </c>
      <c r="AK8907">
        <v>14.4410138107149</v>
      </c>
      <c r="AL8907">
        <v>88.183671205190294</v>
      </c>
      <c r="AM8907">
        <v>90.844310385776495</v>
      </c>
      <c r="AN8907">
        <v>1.0000000503217199</v>
      </c>
    </row>
    <row r="8908" spans="1:40" x14ac:dyDescent="0.25">
      <c r="A8908" t="str">
        <f>"20190303155023491"</f>
        <v>20190303155023491</v>
      </c>
      <c r="B8908" t="str">
        <f>"1551599423479509"</f>
        <v>1551599423479509</v>
      </c>
      <c r="C8908" t="s">
        <v>40</v>
      </c>
      <c r="D8908">
        <v>6.2357339999999999</v>
      </c>
      <c r="E8908">
        <v>0.51670249999999995</v>
      </c>
      <c r="F8908" t="s">
        <v>42</v>
      </c>
      <c r="G8908">
        <v>-132.0933</v>
      </c>
      <c r="H8908">
        <v>1.0260400000000001</v>
      </c>
      <c r="I8908">
        <v>137.62379999999999</v>
      </c>
      <c r="J8908">
        <v>-132.6926</v>
      </c>
      <c r="K8908">
        <v>1.121839</v>
      </c>
      <c r="L8908">
        <v>137.66970000000001</v>
      </c>
      <c r="M8908">
        <v>0.99925549999999996</v>
      </c>
      <c r="N8908">
        <v>-1.399047E-2</v>
      </c>
      <c r="O8908">
        <v>-3.5959369999999997E-2</v>
      </c>
      <c r="P8908">
        <v>0.9996294</v>
      </c>
      <c r="Q8908">
        <v>1.8176399999999999E-2</v>
      </c>
      <c r="R8908">
        <v>-2.027822E-2</v>
      </c>
      <c r="S8908">
        <v>3.002945</v>
      </c>
      <c r="T8908">
        <v>-0.33425270000000001</v>
      </c>
      <c r="U8908">
        <v>-0.19058230000000001</v>
      </c>
      <c r="V8908">
        <v>-1.5720950000000001E-2</v>
      </c>
      <c r="W8908">
        <v>3.2143129999999999E-2</v>
      </c>
      <c r="X8908">
        <v>0.99935960000000001</v>
      </c>
      <c r="Y8908">
        <v>2.738519E-2</v>
      </c>
      <c r="Z8908">
        <v>1.7726949999999999E-3</v>
      </c>
      <c r="AA8908">
        <v>0.99962340000000005</v>
      </c>
      <c r="AB8908">
        <v>27</v>
      </c>
      <c r="AC8908">
        <v>0.59929999999999894</v>
      </c>
      <c r="AD8908">
        <v>-9.5798999999999898E-2</v>
      </c>
      <c r="AE8908">
        <v>-4.5900000000017302E-2</v>
      </c>
      <c r="AF8908">
        <v>2.3715301299277899E-2</v>
      </c>
      <c r="AG8908">
        <v>-9.5798999999999898E-2</v>
      </c>
      <c r="AH8908">
        <v>0.58568459515611104</v>
      </c>
      <c r="AI8908">
        <v>99.281995611892896</v>
      </c>
      <c r="AJ8908">
        <v>87.681269394680101</v>
      </c>
      <c r="AK8908">
        <v>0.59394133457766096</v>
      </c>
      <c r="AL8908">
        <v>88.158016978158102</v>
      </c>
      <c r="AM8908">
        <v>90.901246953600804</v>
      </c>
      <c r="AN8908">
        <v>0.99999996959362902</v>
      </c>
    </row>
    <row r="8909" spans="1:40" x14ac:dyDescent="0.25">
      <c r="A8909" t="str">
        <f>"20190303155023532"</f>
        <v>20190303155023532</v>
      </c>
      <c r="B8909" t="str">
        <f>"1551599423529286"</f>
        <v>1551599423529286</v>
      </c>
      <c r="C8909" t="s">
        <v>40</v>
      </c>
      <c r="D8909">
        <v>6.2327830000000004</v>
      </c>
      <c r="E8909">
        <v>0.51920250000000001</v>
      </c>
      <c r="F8909" t="s">
        <v>42</v>
      </c>
      <c r="G8909">
        <v>-131.85939999999999</v>
      </c>
      <c r="H8909">
        <v>1.0213620000000001</v>
      </c>
      <c r="I8909">
        <v>137.6121</v>
      </c>
      <c r="J8909">
        <v>-132.20609999999999</v>
      </c>
      <c r="K8909">
        <v>1.1219349999999999</v>
      </c>
      <c r="L8909">
        <v>137.65389999999999</v>
      </c>
      <c r="M8909">
        <v>0.99930490000000005</v>
      </c>
      <c r="N8909">
        <v>-1.398632E-2</v>
      </c>
      <c r="O8909">
        <v>-3.4560269999999997E-2</v>
      </c>
      <c r="P8909">
        <v>0.9996872</v>
      </c>
      <c r="Q8909">
        <v>1.7674809999999999E-2</v>
      </c>
      <c r="R8909">
        <v>-1.7704049999999999E-2</v>
      </c>
      <c r="S8909">
        <v>3.0034939999999999</v>
      </c>
      <c r="T8909">
        <v>-0.36225889999999999</v>
      </c>
      <c r="U8909">
        <v>-0.20755000000000001</v>
      </c>
      <c r="V8909">
        <v>-1.690111E-2</v>
      </c>
      <c r="W8909">
        <v>3.1633170000000002E-2</v>
      </c>
      <c r="X8909">
        <v>0.99935660000000004</v>
      </c>
      <c r="Y8909">
        <v>3.4333900000000001E-2</v>
      </c>
      <c r="Z8909">
        <v>1.363097E-3</v>
      </c>
      <c r="AA8909">
        <v>0.99940949999999995</v>
      </c>
      <c r="AB8909">
        <v>27</v>
      </c>
      <c r="AC8909">
        <v>0.34669999999999801</v>
      </c>
      <c r="AD8909">
        <v>-0.100573</v>
      </c>
      <c r="AE8909">
        <v>-4.1799999999994897E-2</v>
      </c>
      <c r="AF8909">
        <v>2.7510004637141702E-2</v>
      </c>
      <c r="AG8909">
        <v>-0.100573</v>
      </c>
      <c r="AH8909">
        <v>0.32128848921067099</v>
      </c>
      <c r="AI8909">
        <v>107.32212518203001</v>
      </c>
      <c r="AJ8909">
        <v>85.106043018062394</v>
      </c>
      <c r="AK8909">
        <v>0.337783987162523</v>
      </c>
      <c r="AL8909">
        <v>88.187250383560198</v>
      </c>
      <c r="AM8909">
        <v>90.968893351719998</v>
      </c>
      <c r="AN8909">
        <v>0.99999995946351905</v>
      </c>
    </row>
    <row r="8910" spans="1:40" x14ac:dyDescent="0.25">
      <c r="A8910" t="str">
        <f>"20190303155023562"</f>
        <v>20190303155023562</v>
      </c>
      <c r="B8910" t="str">
        <f>"1551599423549313"</f>
        <v>1551599423549313</v>
      </c>
      <c r="C8910" t="s">
        <v>40</v>
      </c>
      <c r="D8910">
        <v>6.1000930000000002</v>
      </c>
      <c r="E8910">
        <v>0.52013520000000002</v>
      </c>
      <c r="F8910" t="s">
        <v>42</v>
      </c>
      <c r="G8910">
        <v>-131.3903</v>
      </c>
      <c r="H8910">
        <v>1.01586</v>
      </c>
      <c r="I8910">
        <v>137.59440000000001</v>
      </c>
      <c r="J8910">
        <v>-131.85390000000001</v>
      </c>
      <c r="K8910">
        <v>1.122007</v>
      </c>
      <c r="L8910">
        <v>137.643</v>
      </c>
      <c r="M8910">
        <v>0.99934409999999896</v>
      </c>
      <c r="N8910">
        <v>-1.3983580000000001E-2</v>
      </c>
      <c r="O8910">
        <v>-3.3407140000000002E-2</v>
      </c>
      <c r="P8910">
        <v>0.9996931</v>
      </c>
      <c r="Q8910">
        <v>1.8410429999999998E-2</v>
      </c>
      <c r="R8910">
        <v>-1.658654E-2</v>
      </c>
      <c r="S8910">
        <v>3.0039669999999998</v>
      </c>
      <c r="T8910">
        <v>-0.39064219999999999</v>
      </c>
      <c r="U8910">
        <v>-0.21896360000000001</v>
      </c>
      <c r="V8910">
        <v>-1.6871170000000001E-2</v>
      </c>
      <c r="W8910">
        <v>3.2362839999999997E-2</v>
      </c>
      <c r="X8910">
        <v>0.99933380000000005</v>
      </c>
      <c r="Y8910">
        <v>3.919479E-2</v>
      </c>
      <c r="Z8910">
        <v>1.043357E-3</v>
      </c>
      <c r="AA8910">
        <v>0.99923099999999998</v>
      </c>
      <c r="AB8910">
        <v>26</v>
      </c>
      <c r="AC8910">
        <v>0.463600000000013</v>
      </c>
      <c r="AD8910">
        <v>-0.10614700000000001</v>
      </c>
      <c r="AE8910">
        <v>-4.8599999999993301E-2</v>
      </c>
      <c r="AF8910">
        <v>3.1452849907488499E-2</v>
      </c>
      <c r="AG8910">
        <v>-0.10614700000000001</v>
      </c>
      <c r="AH8910">
        <v>0.44204323648265598</v>
      </c>
      <c r="AI8910">
        <v>103.46986356311299</v>
      </c>
      <c r="AJ8910">
        <v>85.930073437189293</v>
      </c>
      <c r="AK8910">
        <v>0.45569583089640397</v>
      </c>
      <c r="AL8910">
        <v>88.145422056907407</v>
      </c>
      <c r="AM8910">
        <v>90.967199363758695</v>
      </c>
      <c r="AN8910">
        <v>1.00000001680623</v>
      </c>
    </row>
    <row r="8911" spans="1:40" x14ac:dyDescent="0.25">
      <c r="A8911" t="str">
        <f>"20190303155023585"</f>
        <v>20190303155023585</v>
      </c>
      <c r="B8911" t="str">
        <f>"1551599423579569"</f>
        <v>1551599423579569</v>
      </c>
      <c r="C8911" t="s">
        <v>40</v>
      </c>
      <c r="D8911">
        <v>6.2367730000000003</v>
      </c>
      <c r="E8911">
        <v>0.52086779999999999</v>
      </c>
      <c r="F8911" t="s">
        <v>42</v>
      </c>
      <c r="G8911">
        <v>-130.92660000000001</v>
      </c>
      <c r="H8911">
        <v>1.0020169999999999</v>
      </c>
      <c r="I8911">
        <v>137.57409999999999</v>
      </c>
      <c r="J8911">
        <v>-131.58070000000001</v>
      </c>
      <c r="K8911">
        <v>1.122079</v>
      </c>
      <c r="L8911">
        <v>137.63499999999999</v>
      </c>
      <c r="M8911">
        <v>0.99937730000000002</v>
      </c>
      <c r="N8911">
        <v>-1.398163E-2</v>
      </c>
      <c r="O8911">
        <v>-3.2398860000000002E-2</v>
      </c>
      <c r="P8911">
        <v>0.9996893</v>
      </c>
      <c r="Q8911">
        <v>1.9317310000000001E-2</v>
      </c>
      <c r="R8911">
        <v>-1.5760469999999999E-2</v>
      </c>
      <c r="S8911">
        <v>3.0043790000000001</v>
      </c>
      <c r="T8911">
        <v>-0.38882489999999997</v>
      </c>
      <c r="U8911">
        <v>-0.22302250000000001</v>
      </c>
      <c r="V8911">
        <v>-1.6693889999999999E-2</v>
      </c>
      <c r="W8911">
        <v>3.326548E-2</v>
      </c>
      <c r="X8911">
        <v>0.9993071</v>
      </c>
      <c r="Y8911">
        <v>4.1508589999999998E-2</v>
      </c>
      <c r="Z8911">
        <v>7.5410560000000002E-4</v>
      </c>
      <c r="AA8911">
        <v>0.99913790000000002</v>
      </c>
      <c r="AB8911">
        <v>26</v>
      </c>
      <c r="AC8911">
        <v>0.65409999999999902</v>
      </c>
      <c r="AD8911">
        <v>-0.120062</v>
      </c>
      <c r="AE8911">
        <v>-6.0900000000003701E-2</v>
      </c>
      <c r="AF8911">
        <v>3.8391499626276498E-2</v>
      </c>
      <c r="AG8911">
        <v>-0.120062</v>
      </c>
      <c r="AH8911">
        <v>0.63453499561962801</v>
      </c>
      <c r="AI8911">
        <v>100.695310919791</v>
      </c>
      <c r="AJ8911">
        <v>86.537633522346397</v>
      </c>
      <c r="AK8911">
        <v>0.646933885148673</v>
      </c>
      <c r="AL8911">
        <v>88.093676655330199</v>
      </c>
      <c r="AM8911">
        <v>90.957063628284402</v>
      </c>
      <c r="AN8911">
        <v>0.99999997911668603</v>
      </c>
    </row>
    <row r="8912" spans="1:40" x14ac:dyDescent="0.25">
      <c r="A8912" t="str">
        <f>"20190303155023608"</f>
        <v>20190303155023608</v>
      </c>
      <c r="B8912" t="str">
        <f>"1551599423600065"</f>
        <v>1551599423600065</v>
      </c>
      <c r="C8912" t="s">
        <v>40</v>
      </c>
      <c r="D8912">
        <v>6.1376350000000004</v>
      </c>
      <c r="E8912">
        <v>0.52122040000000003</v>
      </c>
      <c r="F8912" t="s">
        <v>42</v>
      </c>
      <c r="G8912">
        <v>-130.6892</v>
      </c>
      <c r="H8912">
        <v>1.0069790000000001</v>
      </c>
      <c r="I8912">
        <v>137.5676</v>
      </c>
      <c r="J8912">
        <v>-131.3058</v>
      </c>
      <c r="K8912">
        <v>1.1221449999999999</v>
      </c>
      <c r="L8912">
        <v>137.62729999999999</v>
      </c>
      <c r="M8912">
        <v>0.99941250000000004</v>
      </c>
      <c r="N8912">
        <v>-1.3979790000000001E-2</v>
      </c>
      <c r="O8912">
        <v>-3.129353E-2</v>
      </c>
      <c r="P8912">
        <v>0.99967910000000004</v>
      </c>
      <c r="Q8912">
        <v>1.9979710000000001E-2</v>
      </c>
      <c r="R8912">
        <v>-1.558066E-2</v>
      </c>
      <c r="S8912">
        <v>3.0048520000000001</v>
      </c>
      <c r="T8912">
        <v>-0.38806210000000002</v>
      </c>
      <c r="U8912">
        <v>-0.2268829</v>
      </c>
      <c r="V8912">
        <v>-1.5773869999999999E-2</v>
      </c>
      <c r="W8912">
        <v>3.3925530000000002E-2</v>
      </c>
      <c r="X8912">
        <v>0.99929990000000002</v>
      </c>
      <c r="Y8912">
        <v>4.3850220000000002E-2</v>
      </c>
      <c r="Z8912">
        <v>4.577052E-4</v>
      </c>
      <c r="AA8912">
        <v>0.99903799999999998</v>
      </c>
      <c r="AB8912">
        <v>26</v>
      </c>
      <c r="AC8912">
        <v>0.61660000000000503</v>
      </c>
      <c r="AD8912">
        <v>-0.115166</v>
      </c>
      <c r="AE8912">
        <v>-5.9699999999992301E-2</v>
      </c>
      <c r="AF8912">
        <v>3.9024543282684003E-2</v>
      </c>
      <c r="AG8912">
        <v>-0.115166</v>
      </c>
      <c r="AH8912">
        <v>0.59751548640582297</v>
      </c>
      <c r="AI8912">
        <v>100.88685254028201</v>
      </c>
      <c r="AJ8912">
        <v>86.263242376323603</v>
      </c>
      <c r="AK8912">
        <v>0.60976296954571596</v>
      </c>
      <c r="AL8912">
        <v>88.055837300690996</v>
      </c>
      <c r="AM8912">
        <v>90.904334250468096</v>
      </c>
      <c r="AN8912">
        <v>1.0000000233502799</v>
      </c>
    </row>
    <row r="8913" spans="1:40" x14ac:dyDescent="0.25">
      <c r="A8913" t="str">
        <f>"20190303155023634"</f>
        <v>20190303155023634</v>
      </c>
      <c r="B8913" t="str">
        <f>"1551599423629345"</f>
        <v>1551599423629345</v>
      </c>
      <c r="C8913" t="s">
        <v>40</v>
      </c>
      <c r="D8913">
        <v>6.1467599999999996</v>
      </c>
      <c r="E8913">
        <v>0.52132670000000003</v>
      </c>
      <c r="F8913" t="s">
        <v>42</v>
      </c>
      <c r="G8913">
        <v>-130.4529</v>
      </c>
      <c r="H8913">
        <v>1.0103979999999999</v>
      </c>
      <c r="I8913">
        <v>137.56200000000001</v>
      </c>
      <c r="J8913">
        <v>-131.00899999999999</v>
      </c>
      <c r="K8913">
        <v>1.1222209999999999</v>
      </c>
      <c r="L8913">
        <v>137.61940000000001</v>
      </c>
      <c r="M8913">
        <v>0.99945260000000002</v>
      </c>
      <c r="N8913">
        <v>-1.397809E-2</v>
      </c>
      <c r="O8913">
        <v>-2.9988999999999998E-2</v>
      </c>
      <c r="P8913">
        <v>0.99969019999999997</v>
      </c>
      <c r="Q8913">
        <v>1.9195480000000001E-2</v>
      </c>
      <c r="R8913">
        <v>-1.5845040000000001E-2</v>
      </c>
      <c r="S8913">
        <v>3.0052639999999999</v>
      </c>
      <c r="T8913">
        <v>-0.39383649999999998</v>
      </c>
      <c r="U8913">
        <v>-0.22961429999999999</v>
      </c>
      <c r="V8913">
        <v>-1.420892E-2</v>
      </c>
      <c r="W8913">
        <v>3.3140139999999998E-2</v>
      </c>
      <c r="X8913">
        <v>0.99934970000000001</v>
      </c>
      <c r="Y8913">
        <v>4.6012980000000002E-2</v>
      </c>
      <c r="Z8913">
        <v>1.6753189999999999E-4</v>
      </c>
      <c r="AA8913">
        <v>0.99894079999999996</v>
      </c>
      <c r="AB8913">
        <v>26</v>
      </c>
      <c r="AC8913">
        <v>0.55609999999998605</v>
      </c>
      <c r="AD8913">
        <v>-0.11182300000000001</v>
      </c>
      <c r="AE8913">
        <v>-5.74000000000012E-2</v>
      </c>
      <c r="AF8913">
        <v>3.91301240536936E-2</v>
      </c>
      <c r="AG8913">
        <v>-0.11182300000000001</v>
      </c>
      <c r="AH8913">
        <v>0.53612185649438304</v>
      </c>
      <c r="AI8913">
        <v>101.751314176892</v>
      </c>
      <c r="AJ8913">
        <v>85.825533944573294</v>
      </c>
      <c r="AK8913">
        <v>0.54905573027557197</v>
      </c>
      <c r="AL8913">
        <v>88.100862095871804</v>
      </c>
      <c r="AM8913">
        <v>90.814586020163105</v>
      </c>
      <c r="AN8913">
        <v>0.99999999258843797</v>
      </c>
    </row>
    <row r="8914" spans="1:40" x14ac:dyDescent="0.25">
      <c r="A8914" t="str">
        <f>"20190303155023656"</f>
        <v>20190303155023656</v>
      </c>
      <c r="B8914" t="str">
        <f>"1551599423650349"</f>
        <v>1551599423650349</v>
      </c>
      <c r="C8914" t="s">
        <v>40</v>
      </c>
      <c r="D8914">
        <v>6.2920339999999904</v>
      </c>
      <c r="E8914">
        <v>0.52170070000000002</v>
      </c>
      <c r="F8914" t="s">
        <v>42</v>
      </c>
      <c r="G8914">
        <v>-130.21629999999999</v>
      </c>
      <c r="H8914">
        <v>1.014861</v>
      </c>
      <c r="I8914">
        <v>137.5583</v>
      </c>
      <c r="J8914">
        <v>-130.75229999999999</v>
      </c>
      <c r="K8914">
        <v>1.1222719999999999</v>
      </c>
      <c r="L8914">
        <v>137.6131</v>
      </c>
      <c r="M8914">
        <v>0.99948859999999995</v>
      </c>
      <c r="N8914">
        <v>-1.3976819999999999E-2</v>
      </c>
      <c r="O8914">
        <v>-2.876312E-2</v>
      </c>
      <c r="P8914">
        <v>0.99971849999999995</v>
      </c>
      <c r="Q8914">
        <v>1.6765700000000001E-2</v>
      </c>
      <c r="R8914">
        <v>-1.6790739999999998E-2</v>
      </c>
      <c r="S8914">
        <v>3.0050810000000001</v>
      </c>
      <c r="T8914">
        <v>-0.40717969999999998</v>
      </c>
      <c r="U8914">
        <v>-0.23115540000000001</v>
      </c>
      <c r="V8914">
        <v>-1.203828E-2</v>
      </c>
      <c r="W8914">
        <v>3.071285E-2</v>
      </c>
      <c r="X8914">
        <v>0.99945569999999895</v>
      </c>
      <c r="Y8914">
        <v>4.7713419999999999E-2</v>
      </c>
      <c r="Z8914" s="1">
        <v>-7.6230150000000004E-5</v>
      </c>
      <c r="AA8914">
        <v>0.99886109999999995</v>
      </c>
      <c r="AB8914">
        <v>26</v>
      </c>
      <c r="AC8914">
        <v>0.53600000000000103</v>
      </c>
      <c r="AD8914">
        <v>-0.10741099999999899</v>
      </c>
      <c r="AE8914">
        <v>-5.4800000000000099E-2</v>
      </c>
      <c r="AF8914">
        <v>3.7854369027353202E-2</v>
      </c>
      <c r="AG8914">
        <v>-0.10741099999999899</v>
      </c>
      <c r="AH8914">
        <v>0.51681518933678705</v>
      </c>
      <c r="AI8914">
        <v>101.710284452829</v>
      </c>
      <c r="AJ8914">
        <v>85.810824780595397</v>
      </c>
      <c r="AK8914">
        <v>0.52921452748831299</v>
      </c>
      <c r="AL8914">
        <v>88.240006458108695</v>
      </c>
      <c r="AM8914">
        <v>90.690084897198304</v>
      </c>
      <c r="AN8914">
        <v>0.99999994780148305</v>
      </c>
    </row>
    <row r="8915" spans="1:40" x14ac:dyDescent="0.25">
      <c r="A8915" t="str">
        <f>"20190303155023678"</f>
        <v>20190303155023678</v>
      </c>
      <c r="B8915" t="str">
        <f>"1551599423669870"</f>
        <v>1551599423669870</v>
      </c>
      <c r="C8915" t="s">
        <v>40</v>
      </c>
      <c r="D8915">
        <v>6.2707949999999997</v>
      </c>
      <c r="E8915">
        <v>0.52184220000000003</v>
      </c>
      <c r="F8915" t="s">
        <v>42</v>
      </c>
      <c r="G8915">
        <v>-129.98230000000001</v>
      </c>
      <c r="H8915">
        <v>1.014888</v>
      </c>
      <c r="I8915">
        <v>137.55240000000001</v>
      </c>
      <c r="J8915">
        <v>-130.49379999999999</v>
      </c>
      <c r="K8915">
        <v>1.122322</v>
      </c>
      <c r="L8915">
        <v>137.6071</v>
      </c>
      <c r="M8915">
        <v>0.99952589999999997</v>
      </c>
      <c r="N8915">
        <v>-1.397549E-2</v>
      </c>
      <c r="O8915">
        <v>-2.743613E-2</v>
      </c>
      <c r="P8915">
        <v>0.9997395</v>
      </c>
      <c r="Q8915">
        <v>1.500954E-2</v>
      </c>
      <c r="R8915">
        <v>-1.7196659999999999E-2</v>
      </c>
      <c r="S8915">
        <v>3.0038909999999999</v>
      </c>
      <c r="T8915">
        <v>-0.41899370000000002</v>
      </c>
      <c r="U8915">
        <v>-0.23661799999999999</v>
      </c>
      <c r="V8915">
        <v>-1.03074E-2</v>
      </c>
      <c r="W8915">
        <v>2.895791E-2</v>
      </c>
      <c r="X8915">
        <v>0.99952750000000001</v>
      </c>
      <c r="Y8915">
        <v>5.0818759999999998E-2</v>
      </c>
      <c r="Z8915">
        <v>-4.5936719999999998E-4</v>
      </c>
      <c r="AA8915">
        <v>0.99870780000000003</v>
      </c>
      <c r="AB8915">
        <v>26</v>
      </c>
      <c r="AC8915">
        <v>0.51149999999998297</v>
      </c>
      <c r="AD8915">
        <v>-0.107434</v>
      </c>
      <c r="AE8915">
        <v>-5.46999999999968E-2</v>
      </c>
      <c r="AF8915">
        <v>3.8945764762164298E-2</v>
      </c>
      <c r="AG8915">
        <v>-0.107434</v>
      </c>
      <c r="AH8915">
        <v>0.49137606845891801</v>
      </c>
      <c r="AI8915">
        <v>102.295639492414</v>
      </c>
      <c r="AJ8915">
        <v>85.468291853695902</v>
      </c>
      <c r="AK8915">
        <v>0.50448912535658597</v>
      </c>
      <c r="AL8915">
        <v>88.340602022567097</v>
      </c>
      <c r="AM8915">
        <v>90.590828751333802</v>
      </c>
      <c r="AN8915">
        <v>1.0000000131512801</v>
      </c>
    </row>
    <row r="8916" spans="1:40" x14ac:dyDescent="0.25">
      <c r="A8916" t="str">
        <f>"20190303155023700"</f>
        <v>20190303155023700</v>
      </c>
      <c r="B8916" t="str">
        <f>"1551599423690365"</f>
        <v>1551599423690365</v>
      </c>
      <c r="C8916" t="s">
        <v>40</v>
      </c>
      <c r="D8916">
        <v>6.2938000000000001</v>
      </c>
      <c r="E8916">
        <v>0.52169469999999996</v>
      </c>
      <c r="F8916" t="s">
        <v>42</v>
      </c>
      <c r="G8916">
        <v>-129.7482</v>
      </c>
      <c r="H8916">
        <v>1.0157889999999901</v>
      </c>
      <c r="I8916">
        <v>137.54769999999999</v>
      </c>
      <c r="J8916">
        <v>-130.24279999999999</v>
      </c>
      <c r="K8916">
        <v>1.122376</v>
      </c>
      <c r="L8916">
        <v>137.60169999999999</v>
      </c>
      <c r="M8916">
        <v>0.99956259999999997</v>
      </c>
      <c r="N8916">
        <v>-1.3974179999999999E-2</v>
      </c>
      <c r="O8916">
        <v>-2.6066800000000001E-2</v>
      </c>
      <c r="P8916">
        <v>0.99973579999999995</v>
      </c>
      <c r="Q8916">
        <v>1.485072E-2</v>
      </c>
      <c r="R8916">
        <v>-1.7550489999999998E-2</v>
      </c>
      <c r="S8916">
        <v>3.0031279999999998</v>
      </c>
      <c r="T8916">
        <v>-0.4292301</v>
      </c>
      <c r="U8916">
        <v>-0.23873900000000001</v>
      </c>
      <c r="V8916">
        <v>-8.5878080000000006E-3</v>
      </c>
      <c r="W8916">
        <v>2.8800619999999999E-2</v>
      </c>
      <c r="X8916">
        <v>0.99954829999999995</v>
      </c>
      <c r="Y8916">
        <v>5.2860009999999999E-2</v>
      </c>
      <c r="Z8916">
        <v>-7.8699569999999999E-4</v>
      </c>
      <c r="AA8916">
        <v>0.99860159999999998</v>
      </c>
      <c r="AB8916">
        <v>26</v>
      </c>
      <c r="AC8916">
        <v>0.49459999999999099</v>
      </c>
      <c r="AD8916">
        <v>-0.106587</v>
      </c>
      <c r="AE8916">
        <v>-5.4000000000001998E-2</v>
      </c>
      <c r="AF8916">
        <v>3.9284820289103801E-2</v>
      </c>
      <c r="AG8916">
        <v>-0.106587</v>
      </c>
      <c r="AH8916">
        <v>0.47408221303327802</v>
      </c>
      <c r="AI8916">
        <v>102.629118122397</v>
      </c>
      <c r="AJ8916">
        <v>85.263008080214206</v>
      </c>
      <c r="AK8916">
        <v>0.48750182603624997</v>
      </c>
      <c r="AL8916">
        <v>88.349617839259693</v>
      </c>
      <c r="AM8916">
        <v>90.492255398850205</v>
      </c>
      <c r="AN8916">
        <v>1.00000001509575</v>
      </c>
    </row>
    <row r="8917" spans="1:40" x14ac:dyDescent="0.25">
      <c r="A8917" t="str">
        <f>"20190303155023722"</f>
        <v>20190303155023722</v>
      </c>
      <c r="B8917" t="str">
        <f>"1551599423719645"</f>
        <v>1551599423719645</v>
      </c>
      <c r="C8917" t="s">
        <v>40</v>
      </c>
      <c r="D8917">
        <v>6.2849440000000003</v>
      </c>
      <c r="E8917">
        <v>0.52140839999999999</v>
      </c>
      <c r="F8917" t="s">
        <v>42</v>
      </c>
      <c r="G8917">
        <v>-129.51429999999999</v>
      </c>
      <c r="H8917">
        <v>1.0167440000000001</v>
      </c>
      <c r="I8917">
        <v>137.5438</v>
      </c>
      <c r="J8917">
        <v>-129.9787</v>
      </c>
      <c r="K8917">
        <v>1.1224289999999999</v>
      </c>
      <c r="L8917">
        <v>137.59649999999999</v>
      </c>
      <c r="M8917">
        <v>0.99960090000000001</v>
      </c>
      <c r="N8917">
        <v>-1.3972790000000001E-2</v>
      </c>
      <c r="O8917">
        <v>-2.4554429999999999E-2</v>
      </c>
      <c r="P8917">
        <v>0.99974819999999998</v>
      </c>
      <c r="Q8917">
        <v>1.391036E-2</v>
      </c>
      <c r="R8917">
        <v>-1.7595099999999999E-2</v>
      </c>
      <c r="S8917">
        <v>3.003098</v>
      </c>
      <c r="T8917">
        <v>-0.4354423</v>
      </c>
      <c r="U8917">
        <v>-0.23861689999999999</v>
      </c>
      <c r="V8917">
        <v>-7.0313379999999998E-3</v>
      </c>
      <c r="W8917">
        <v>2.7862100000000001E-2</v>
      </c>
      <c r="X8917">
        <v>0.99958709999999995</v>
      </c>
      <c r="Y8917">
        <v>5.4292760000000002E-2</v>
      </c>
      <c r="Z8917">
        <v>-1.0975729999999999E-3</v>
      </c>
      <c r="AA8917">
        <v>0.99852450000000004</v>
      </c>
      <c r="AB8917">
        <v>26</v>
      </c>
      <c r="AC8917">
        <v>0.46440000000001103</v>
      </c>
      <c r="AD8917">
        <v>-0.105685</v>
      </c>
      <c r="AE8917">
        <v>-5.2699999999987299E-2</v>
      </c>
      <c r="AF8917">
        <v>3.9271901384726603E-2</v>
      </c>
      <c r="AG8917">
        <v>-0.105685</v>
      </c>
      <c r="AH8917">
        <v>0.44290773071216799</v>
      </c>
      <c r="AI8917">
        <v>103.37018541194</v>
      </c>
      <c r="AJ8917">
        <v>84.932928799329304</v>
      </c>
      <c r="AK8917">
        <v>0.45703266774703799</v>
      </c>
      <c r="AL8917">
        <v>88.403412730574701</v>
      </c>
      <c r="AM8917">
        <v>90.403025756582906</v>
      </c>
      <c r="AN8917">
        <v>1.0000000534084399</v>
      </c>
    </row>
    <row r="8918" spans="1:40" x14ac:dyDescent="0.25">
      <c r="A8918" t="str">
        <f>"20190303155023747"</f>
        <v>20190303155023747</v>
      </c>
      <c r="B8918" t="str">
        <f>"1551599423739674"</f>
        <v>1551599423739674</v>
      </c>
      <c r="C8918" t="s">
        <v>40</v>
      </c>
      <c r="D8918">
        <v>6.2980039999999997</v>
      </c>
      <c r="E8918">
        <v>0.52125410000000005</v>
      </c>
      <c r="F8918" t="s">
        <v>42</v>
      </c>
      <c r="G8918">
        <v>-129.0635</v>
      </c>
      <c r="H8918">
        <v>0.98684850000000002</v>
      </c>
      <c r="I8918">
        <v>137.52440000000001</v>
      </c>
      <c r="J8918">
        <v>-129.69059999999999</v>
      </c>
      <c r="K8918">
        <v>1.1224620000000001</v>
      </c>
      <c r="L8918">
        <v>137.59139999999999</v>
      </c>
      <c r="M8918">
        <v>0.99964160000000002</v>
      </c>
      <c r="N8918">
        <v>-1.397083E-2</v>
      </c>
      <c r="O8918">
        <v>-2.2843450000000001E-2</v>
      </c>
      <c r="P8918">
        <v>0.99978350000000005</v>
      </c>
      <c r="Q8918">
        <v>1.119475E-2</v>
      </c>
      <c r="R8918">
        <v>-1.755112E-2</v>
      </c>
      <c r="S8918">
        <v>3.002777</v>
      </c>
      <c r="T8918">
        <v>-0.44482109999999903</v>
      </c>
      <c r="U8918">
        <v>-0.23664859999999999</v>
      </c>
      <c r="V8918">
        <v>-5.3601380000000004E-3</v>
      </c>
      <c r="W8918">
        <v>2.5149379999999999E-2</v>
      </c>
      <c r="X8918">
        <v>0.99966929999999998</v>
      </c>
      <c r="Y8918">
        <v>5.5316629999999999E-2</v>
      </c>
      <c r="Z8918">
        <v>-1.4157849999999999E-3</v>
      </c>
      <c r="AA8918">
        <v>0.99846789999999996</v>
      </c>
      <c r="AB8918">
        <v>26</v>
      </c>
      <c r="AC8918">
        <v>0.627099999999984</v>
      </c>
      <c r="AD8918">
        <v>-0.1356135</v>
      </c>
      <c r="AE8918">
        <v>-6.6999999999978799E-2</v>
      </c>
      <c r="AF8918">
        <v>5.0328863484226799E-2</v>
      </c>
      <c r="AG8918">
        <v>-0.1356135</v>
      </c>
      <c r="AH8918">
        <v>0.60069195090009098</v>
      </c>
      <c r="AI8918">
        <v>102.67895870073799</v>
      </c>
      <c r="AJ8918">
        <v>85.210669723540207</v>
      </c>
      <c r="AK8918">
        <v>0.61786312056799497</v>
      </c>
      <c r="AL8918">
        <v>88.558894677784807</v>
      </c>
      <c r="AM8918">
        <v>90.307211936867603</v>
      </c>
      <c r="AN8918">
        <v>0.99999996587812601</v>
      </c>
    </row>
    <row r="8919" spans="1:40" x14ac:dyDescent="0.25">
      <c r="A8919" t="str">
        <f>"20190303155023769"</f>
        <v>20190303155023769</v>
      </c>
      <c r="B8919" t="str">
        <f>"1551599423759193"</f>
        <v>1551599423759193</v>
      </c>
      <c r="C8919" t="s">
        <v>40</v>
      </c>
      <c r="D8919">
        <v>6.3159979999999996</v>
      </c>
      <c r="E8919">
        <v>0.52131439999999996</v>
      </c>
      <c r="F8919" t="s">
        <v>42</v>
      </c>
      <c r="G8919">
        <v>-128.82859999999999</v>
      </c>
      <c r="H8919">
        <v>0.99144350000000003</v>
      </c>
      <c r="I8919">
        <v>137.52369999999999</v>
      </c>
      <c r="J8919">
        <v>-129.42179999999999</v>
      </c>
      <c r="K8919">
        <v>1.1224719999999999</v>
      </c>
      <c r="L8919">
        <v>137.58709999999999</v>
      </c>
      <c r="M8919">
        <v>0.99967740000000005</v>
      </c>
      <c r="N8919">
        <v>-1.3968710000000001E-2</v>
      </c>
      <c r="O8919">
        <v>-2.1216550000000001E-2</v>
      </c>
      <c r="P8919">
        <v>0.99982130000000002</v>
      </c>
      <c r="Q8919">
        <v>7.3838749999999998E-3</v>
      </c>
      <c r="R8919">
        <v>-1.7409330000000001E-2</v>
      </c>
      <c r="S8919">
        <v>3.0016020000000001</v>
      </c>
      <c r="T8919">
        <v>-0.45629310000000001</v>
      </c>
      <c r="U8919">
        <v>-0.2355652</v>
      </c>
      <c r="V8919">
        <v>-3.8665610000000001E-3</v>
      </c>
      <c r="W8919">
        <v>2.1340959999999999E-2</v>
      </c>
      <c r="X8919">
        <v>0.99976480000000001</v>
      </c>
      <c r="Y8919">
        <v>5.6561779999999999E-2</v>
      </c>
      <c r="Z8919">
        <v>-1.75959799999999E-3</v>
      </c>
      <c r="AA8919">
        <v>0.99839750000000005</v>
      </c>
      <c r="AB8919">
        <v>26</v>
      </c>
      <c r="AC8919">
        <v>0.59319999999999595</v>
      </c>
      <c r="AD8919">
        <v>-0.13102849999999999</v>
      </c>
      <c r="AE8919">
        <v>-6.34000000000014E-2</v>
      </c>
      <c r="AF8919">
        <v>4.8461134791017997E-2</v>
      </c>
      <c r="AG8919">
        <v>-0.13102849999999999</v>
      </c>
      <c r="AH8919">
        <v>0.567057533691255</v>
      </c>
      <c r="AI8919">
        <v>102.965180387933</v>
      </c>
      <c r="AJ8919">
        <v>85.115331177837007</v>
      </c>
      <c r="AK8919">
        <v>0.58401301005499195</v>
      </c>
      <c r="AL8919">
        <v>88.777160254067098</v>
      </c>
      <c r="AM8919">
        <v>90.221588639650705</v>
      </c>
      <c r="AN8919">
        <v>1.0000000210933599</v>
      </c>
    </row>
    <row r="8920" spans="1:40" x14ac:dyDescent="0.25">
      <c r="A8920" t="str">
        <f>"20190303155023801"</f>
        <v>20190303155023801</v>
      </c>
      <c r="B8920" t="str">
        <f>"1551599423789450"</f>
        <v>1551599423789450</v>
      </c>
      <c r="C8920" t="s">
        <v>40</v>
      </c>
      <c r="D8920">
        <v>6.332694</v>
      </c>
      <c r="E8920">
        <v>0.52115329999999904</v>
      </c>
      <c r="F8920" t="s">
        <v>42</v>
      </c>
      <c r="G8920">
        <v>-128.5951</v>
      </c>
      <c r="H8920">
        <v>0.99394360000000004</v>
      </c>
      <c r="I8920">
        <v>137.52199999999999</v>
      </c>
      <c r="J8920">
        <v>-129.07470000000001</v>
      </c>
      <c r="K8920">
        <v>1.122479</v>
      </c>
      <c r="L8920">
        <v>137.5821</v>
      </c>
      <c r="M8920">
        <v>0.9997201</v>
      </c>
      <c r="N8920">
        <v>-1.396563E-2</v>
      </c>
      <c r="O8920">
        <v>-1.909835E-2</v>
      </c>
      <c r="P8920">
        <v>0.99985210000000002</v>
      </c>
      <c r="Q8920">
        <v>4.5479209999999999E-3</v>
      </c>
      <c r="R8920">
        <v>-1.659687E-2</v>
      </c>
      <c r="S8920">
        <v>2.9998930000000001</v>
      </c>
      <c r="T8920">
        <v>-0.46640769999999998</v>
      </c>
      <c r="U8920">
        <v>-0.23591609999999999</v>
      </c>
      <c r="V8920">
        <v>-2.553802E-3</v>
      </c>
      <c r="W8920">
        <v>1.8506249999999998E-2</v>
      </c>
      <c r="X8920">
        <v>0.99982550000000003</v>
      </c>
      <c r="Y8920">
        <v>5.8766970000000002E-2</v>
      </c>
      <c r="Z8920">
        <v>-2.2664220000000001E-3</v>
      </c>
      <c r="AA8920">
        <v>0.99826910000000002</v>
      </c>
      <c r="AB8920">
        <v>26</v>
      </c>
      <c r="AC8920">
        <v>0.47960000000000402</v>
      </c>
      <c r="AD8920">
        <v>-0.12853539999999999</v>
      </c>
      <c r="AE8920">
        <v>-6.0099999999977102E-2</v>
      </c>
      <c r="AF8920">
        <v>4.7564951163166398E-2</v>
      </c>
      <c r="AG8920">
        <v>-0.12853539999999999</v>
      </c>
      <c r="AH8920">
        <v>0.448914782652375</v>
      </c>
      <c r="AI8920">
        <v>105.89329138158701</v>
      </c>
      <c r="AJ8920">
        <v>83.951768250394593</v>
      </c>
      <c r="AK8920">
        <v>0.469370062654345</v>
      </c>
      <c r="AL8920">
        <v>88.939609465030898</v>
      </c>
      <c r="AM8920">
        <v>90.146347295705795</v>
      </c>
      <c r="AN8920">
        <v>1.00000001682198</v>
      </c>
    </row>
    <row r="8921" spans="1:40" x14ac:dyDescent="0.25">
      <c r="A8921" t="str">
        <f>"20190303155023831"</f>
        <v>20190303155023831</v>
      </c>
      <c r="B8921" t="str">
        <f>"1551599423819706"</f>
        <v>1551599423819706</v>
      </c>
      <c r="C8921" t="s">
        <v>40</v>
      </c>
      <c r="D8921">
        <v>6.1582819999999998</v>
      </c>
      <c r="E8921">
        <v>0.52144170000000001</v>
      </c>
      <c r="F8921" t="s">
        <v>42</v>
      </c>
      <c r="G8921">
        <v>-128.35589999999999</v>
      </c>
      <c r="H8921">
        <v>1.00823</v>
      </c>
      <c r="I8921">
        <v>137.52619999999999</v>
      </c>
      <c r="J8921">
        <v>-128.71360000000001</v>
      </c>
      <c r="K8921">
        <v>1.1224689999999999</v>
      </c>
      <c r="L8921">
        <v>137.5779</v>
      </c>
      <c r="M8921">
        <v>0.99975959999999997</v>
      </c>
      <c r="N8921">
        <v>-1.3962199999999999E-2</v>
      </c>
      <c r="O8921">
        <v>-1.6905449999999999E-2</v>
      </c>
      <c r="P8921">
        <v>0.99988770000000005</v>
      </c>
      <c r="Q8921">
        <v>6.1719469999999997E-3</v>
      </c>
      <c r="R8921">
        <v>-1.367121E-2</v>
      </c>
      <c r="S8921">
        <v>2.9987339999999998</v>
      </c>
      <c r="T8921">
        <v>-0.47675699999999999</v>
      </c>
      <c r="U8921">
        <v>-0.23258970000000001</v>
      </c>
      <c r="V8921">
        <v>-3.2898070000000001E-3</v>
      </c>
      <c r="W8921">
        <v>2.012481E-2</v>
      </c>
      <c r="X8921">
        <v>0.99979200000000001</v>
      </c>
      <c r="Y8921">
        <v>5.982498E-2</v>
      </c>
      <c r="Z8921">
        <v>-2.7080590000000001E-3</v>
      </c>
      <c r="AA8921">
        <v>0.99820520000000001</v>
      </c>
      <c r="AB8921">
        <v>26</v>
      </c>
      <c r="AC8921">
        <v>0.357700000000022</v>
      </c>
      <c r="AD8921">
        <v>-0.11423899999999999</v>
      </c>
      <c r="AE8921">
        <v>-5.1700000000010897E-2</v>
      </c>
      <c r="AF8921">
        <v>4.1498771343970002E-2</v>
      </c>
      <c r="AG8921">
        <v>-0.11423899999999999</v>
      </c>
      <c r="AH8921">
        <v>0.325956443397244</v>
      </c>
      <c r="AI8921">
        <v>109.17087115259</v>
      </c>
      <c r="AJ8921">
        <v>82.744486520774601</v>
      </c>
      <c r="AK8921">
        <v>0.34787972078901003</v>
      </c>
      <c r="AL8921">
        <v>88.846855403158003</v>
      </c>
      <c r="AM8921">
        <v>90.188530590591</v>
      </c>
      <c r="AN8921">
        <v>0.99999993703581402</v>
      </c>
    </row>
    <row r="8922" spans="1:40" x14ac:dyDescent="0.25">
      <c r="A8922" t="str">
        <f>"20190303155023857"</f>
        <v>20190303155023857</v>
      </c>
      <c r="B8922" t="str">
        <f>"1551599423849494"</f>
        <v>1551599423849494</v>
      </c>
      <c r="C8922" t="s">
        <v>40</v>
      </c>
      <c r="D8922">
        <v>6.1628480000000003</v>
      </c>
      <c r="E8922">
        <v>0.52165280000000003</v>
      </c>
      <c r="F8922" t="s">
        <v>42</v>
      </c>
      <c r="G8922">
        <v>-127.8991</v>
      </c>
      <c r="H8922">
        <v>0.99575769999999997</v>
      </c>
      <c r="I8922">
        <v>137.51650000000001</v>
      </c>
      <c r="J8922">
        <v>-128.41839999999999</v>
      </c>
      <c r="K8922">
        <v>1.1224459999999901</v>
      </c>
      <c r="L8922">
        <v>137.57490000000001</v>
      </c>
      <c r="M8922">
        <v>0.99978820000000002</v>
      </c>
      <c r="N8922">
        <v>-1.3959360000000001E-2</v>
      </c>
      <c r="O8922">
        <v>-1.513158E-2</v>
      </c>
      <c r="P8922">
        <v>0.99992130000000001</v>
      </c>
      <c r="Q8922">
        <v>5.8425369999999897E-3</v>
      </c>
      <c r="R8922">
        <v>-1.11085E-2</v>
      </c>
      <c r="S8922">
        <v>3.0001370000000001</v>
      </c>
      <c r="T8922">
        <v>-0.46681739999999999</v>
      </c>
      <c r="U8922">
        <v>-0.22549440000000001</v>
      </c>
      <c r="V8922">
        <v>-4.0769270000000002E-3</v>
      </c>
      <c r="W8922">
        <v>1.9790140000000001E-2</v>
      </c>
      <c r="X8922">
        <v>0.99979589999999996</v>
      </c>
      <c r="Y8922">
        <v>5.9227679999999998E-2</v>
      </c>
      <c r="Z8922">
        <v>-2.8637509999999999E-3</v>
      </c>
      <c r="AA8922">
        <v>0.99824040000000003</v>
      </c>
      <c r="AB8922">
        <v>26</v>
      </c>
      <c r="AC8922">
        <v>0.51929999999998699</v>
      </c>
      <c r="AD8922">
        <v>-0.126688299999999</v>
      </c>
      <c r="AE8922">
        <v>-5.8400000000005899E-2</v>
      </c>
      <c r="AF8922">
        <v>4.7729509294659897E-2</v>
      </c>
      <c r="AG8922">
        <v>-0.126688299999999</v>
      </c>
      <c r="AH8922">
        <v>0.49125192760813202</v>
      </c>
      <c r="AI8922">
        <v>104.39589494481</v>
      </c>
      <c r="AJ8922">
        <v>84.450621681700895</v>
      </c>
      <c r="AK8922">
        <v>0.50956499859498205</v>
      </c>
      <c r="AL8922">
        <v>88.866034538148199</v>
      </c>
      <c r="AM8922">
        <v>90.233637101103298</v>
      </c>
      <c r="AN8922">
        <v>1.00000005631589</v>
      </c>
    </row>
    <row r="8923" spans="1:40" x14ac:dyDescent="0.25">
      <c r="A8923" t="str">
        <f>"20190303155023887"</f>
        <v>20190303155023887</v>
      </c>
      <c r="B8923" t="str">
        <f>"1551599423879751"</f>
        <v>1551599423879751</v>
      </c>
      <c r="C8923" t="s">
        <v>40</v>
      </c>
      <c r="D8923">
        <v>6.2141960000000003</v>
      </c>
      <c r="E8923">
        <v>0.52132840000000003</v>
      </c>
      <c r="F8923" t="s">
        <v>42</v>
      </c>
      <c r="G8923">
        <v>-127.66289999999999</v>
      </c>
      <c r="H8923">
        <v>1.005755</v>
      </c>
      <c r="I8923">
        <v>137.5196</v>
      </c>
      <c r="J8923">
        <v>-128.07810000000001</v>
      </c>
      <c r="K8923">
        <v>1.12242</v>
      </c>
      <c r="L8923">
        <v>137.57220000000001</v>
      </c>
      <c r="M8923">
        <v>0.99981660000000006</v>
      </c>
      <c r="N8923">
        <v>-1.395593E-2</v>
      </c>
      <c r="O8923">
        <v>-1.3120110000000001E-2</v>
      </c>
      <c r="P8923">
        <v>0.99995239999999996</v>
      </c>
      <c r="Q8923">
        <v>3.2659410000000001E-3</v>
      </c>
      <c r="R8923">
        <v>-9.2017179999999994E-3</v>
      </c>
      <c r="S8923">
        <v>3.0005039999999998</v>
      </c>
      <c r="T8923">
        <v>-0.46356370000000002</v>
      </c>
      <c r="U8923">
        <v>-0.21936040000000001</v>
      </c>
      <c r="V8923">
        <v>-3.9641290000000003E-3</v>
      </c>
      <c r="W8923">
        <v>1.721137E-2</v>
      </c>
      <c r="X8923">
        <v>0.99984399999999996</v>
      </c>
      <c r="Y8923">
        <v>5.918615E-2</v>
      </c>
      <c r="Z8923">
        <v>-3.1250900000000001E-3</v>
      </c>
      <c r="AA8923">
        <v>0.99824210000000002</v>
      </c>
      <c r="AB8923">
        <v>26</v>
      </c>
      <c r="AC8923">
        <v>0.415200000000012</v>
      </c>
      <c r="AD8923">
        <v>-0.116665</v>
      </c>
      <c r="AE8923">
        <v>-5.2600000000012401E-2</v>
      </c>
      <c r="AF8923">
        <v>4.3748011303619098E-2</v>
      </c>
      <c r="AG8923">
        <v>-0.116665</v>
      </c>
      <c r="AH8923">
        <v>0.38587020815191098</v>
      </c>
      <c r="AI8923">
        <v>106.721213417885</v>
      </c>
      <c r="AJ8923">
        <v>83.531714314682105</v>
      </c>
      <c r="AK8923">
        <v>0.40548788916220502</v>
      </c>
      <c r="AL8923">
        <v>89.013812430507102</v>
      </c>
      <c r="AM8923">
        <v>90.227162108354307</v>
      </c>
      <c r="AN8923">
        <v>0.99999998495600195</v>
      </c>
    </row>
    <row r="8924" spans="1:40" x14ac:dyDescent="0.25">
      <c r="A8924" t="str">
        <f>"20190303155023910"</f>
        <v>20190303155023910</v>
      </c>
      <c r="B8924" t="str">
        <f>"1551599423900247"</f>
        <v>1551599423900247</v>
      </c>
      <c r="C8924" t="s">
        <v>40</v>
      </c>
      <c r="D8924">
        <v>6.1915310000000003</v>
      </c>
      <c r="E8924">
        <v>0.52111370000000001</v>
      </c>
      <c r="F8924" t="s">
        <v>42</v>
      </c>
      <c r="G8924">
        <v>-127.211</v>
      </c>
      <c r="H8924">
        <v>0.98661589999999999</v>
      </c>
      <c r="I8924">
        <v>137.511</v>
      </c>
      <c r="J8924">
        <v>-127.8002</v>
      </c>
      <c r="K8924">
        <v>1.122385</v>
      </c>
      <c r="L8924">
        <v>137.57040000000001</v>
      </c>
      <c r="M8924">
        <v>0.99983639999999996</v>
      </c>
      <c r="N8924">
        <v>-1.3952839999999999E-2</v>
      </c>
      <c r="O8924">
        <v>-1.150982E-2</v>
      </c>
      <c r="P8924">
        <v>0.99996079999999998</v>
      </c>
      <c r="Q8924">
        <v>8.441182E-4</v>
      </c>
      <c r="R8924">
        <v>-8.8284850000000005E-3</v>
      </c>
      <c r="S8924">
        <v>2.9997410000000002</v>
      </c>
      <c r="T8924">
        <v>-0.4699082</v>
      </c>
      <c r="U8924">
        <v>-0.2113495</v>
      </c>
      <c r="V8924">
        <v>-2.7203570000000001E-3</v>
      </c>
      <c r="W8924">
        <v>1.4790299999999999E-2</v>
      </c>
      <c r="X8924">
        <v>0.99988690000000002</v>
      </c>
      <c r="Y8924">
        <v>5.8141129999999999E-2</v>
      </c>
      <c r="Z8924">
        <v>-3.2994449999999998E-3</v>
      </c>
      <c r="AA8924">
        <v>0.99830289999999999</v>
      </c>
      <c r="AB8924">
        <v>26</v>
      </c>
      <c r="AC8924">
        <v>0.58920000000000505</v>
      </c>
      <c r="AD8924">
        <v>-0.135769099999999</v>
      </c>
      <c r="AE8924">
        <v>-5.9400000000010701E-2</v>
      </c>
      <c r="AF8924">
        <v>4.9986357927156701E-2</v>
      </c>
      <c r="AG8924">
        <v>-0.135769099999999</v>
      </c>
      <c r="AH8924">
        <v>0.56038869443134398</v>
      </c>
      <c r="AI8924">
        <v>103.56714359485601</v>
      </c>
      <c r="AJ8924">
        <v>84.902738822268205</v>
      </c>
      <c r="AK8924">
        <v>0.57876365931189799</v>
      </c>
      <c r="AL8924">
        <v>89.152547318858495</v>
      </c>
      <c r="AM8924">
        <v>90.155882220577993</v>
      </c>
      <c r="AN8924">
        <v>0.99999998305395299</v>
      </c>
    </row>
    <row r="8925" spans="1:40" x14ac:dyDescent="0.25">
      <c r="A8925" t="str">
        <f>"20190303155023935"</f>
        <v>20190303155023935</v>
      </c>
      <c r="B8925" t="str">
        <f>"1551599423929527"</f>
        <v>1551599423929527</v>
      </c>
      <c r="C8925" t="s">
        <v>40</v>
      </c>
      <c r="D8925">
        <v>6.2039339999999896</v>
      </c>
      <c r="E8925">
        <v>0.50196499999999999</v>
      </c>
      <c r="F8925" t="s">
        <v>42</v>
      </c>
      <c r="G8925">
        <v>-126.97799999999999</v>
      </c>
      <c r="H8925">
        <v>0.99192420000000003</v>
      </c>
      <c r="I8925">
        <v>137.51329999999999</v>
      </c>
      <c r="J8925">
        <v>-127.51819999999999</v>
      </c>
      <c r="K8925">
        <v>1.1223479999999999</v>
      </c>
      <c r="L8925">
        <v>137.56909999999999</v>
      </c>
      <c r="M8925">
        <v>0.99985369999999996</v>
      </c>
      <c r="N8925">
        <v>-1.394959E-2</v>
      </c>
      <c r="O8925">
        <v>-9.9063980000000003E-3</v>
      </c>
      <c r="P8925">
        <v>0.99996390000000002</v>
      </c>
      <c r="Q8925">
        <v>-6.7923959999999998E-4</v>
      </c>
      <c r="R8925">
        <v>-8.4910980000000007E-3</v>
      </c>
      <c r="S8925">
        <v>2.998688</v>
      </c>
      <c r="T8925">
        <v>-0.47600890000000001</v>
      </c>
      <c r="U8925">
        <v>-0.20777889999999999</v>
      </c>
      <c r="V8925">
        <v>-1.4492820000000001E-3</v>
      </c>
      <c r="W8925">
        <v>1.326695E-2</v>
      </c>
      <c r="X8925">
        <v>0.99991099999999999</v>
      </c>
      <c r="Y8925">
        <v>5.8545239999999998E-2</v>
      </c>
      <c r="Z8925">
        <v>-3.600481E-3</v>
      </c>
      <c r="AA8925">
        <v>0.99827829999999995</v>
      </c>
      <c r="AB8925">
        <v>26</v>
      </c>
      <c r="AC8925">
        <v>0.54019999999999802</v>
      </c>
      <c r="AD8925">
        <v>-0.13042379999999901</v>
      </c>
      <c r="AE8925">
        <v>-5.5800000000004901E-2</v>
      </c>
      <c r="AF8925">
        <v>4.7694477601473897E-2</v>
      </c>
      <c r="AG8925">
        <v>-0.13042379999999901</v>
      </c>
      <c r="AH8925">
        <v>0.51124003225931103</v>
      </c>
      <c r="AI8925">
        <v>104.252262297603</v>
      </c>
      <c r="AJ8925">
        <v>84.670203065736501</v>
      </c>
      <c r="AK8925">
        <v>0.52976551547323103</v>
      </c>
      <c r="AL8925">
        <v>89.239837502987001</v>
      </c>
      <c r="AM8925">
        <v>90.083045074787606</v>
      </c>
      <c r="AN8925">
        <v>1.0000000601507999</v>
      </c>
    </row>
    <row r="8926" spans="1:40" x14ac:dyDescent="0.25">
      <c r="A8926" t="str">
        <f>"20190303155023960"</f>
        <v>20190303155023960</v>
      </c>
      <c r="B8926" t="str">
        <f>"1551599423950998"</f>
        <v>1551599423950998</v>
      </c>
      <c r="C8926" t="s">
        <v>40</v>
      </c>
      <c r="D8926">
        <v>6.1939570000000002</v>
      </c>
      <c r="E8926">
        <v>0.50176699999999996</v>
      </c>
      <c r="F8926" t="s">
        <v>42</v>
      </c>
      <c r="G8926">
        <v>-126.7427</v>
      </c>
      <c r="H8926">
        <v>1.000453</v>
      </c>
      <c r="I8926">
        <v>137.55510000000001</v>
      </c>
      <c r="J8926">
        <v>-127.2302</v>
      </c>
      <c r="K8926">
        <v>1.122317</v>
      </c>
      <c r="L8926">
        <v>137.56809999999999</v>
      </c>
      <c r="M8926">
        <v>0.99986819999999998</v>
      </c>
      <c r="N8926">
        <v>-1.3946210000000001E-2</v>
      </c>
      <c r="O8926">
        <v>-8.3138229999999997E-3</v>
      </c>
      <c r="P8926">
        <v>0.99997009999999997</v>
      </c>
      <c r="Q8926">
        <v>-1.2365659999999999E-3</v>
      </c>
      <c r="R8926">
        <v>-7.6430169999999898E-3</v>
      </c>
      <c r="S8926">
        <v>2.9993289999999999</v>
      </c>
      <c r="T8926">
        <v>-0.4713947</v>
      </c>
      <c r="U8926">
        <v>-5.409241E-2</v>
      </c>
      <c r="V8926">
        <v>-7.0262639999999995E-4</v>
      </c>
      <c r="W8926">
        <v>1.270815E-2</v>
      </c>
      <c r="X8926">
        <v>0.999919</v>
      </c>
      <c r="Y8926">
        <v>9.6733400000000008E-3</v>
      </c>
      <c r="Z8926">
        <v>3.5986850000000001E-4</v>
      </c>
      <c r="AA8926">
        <v>0.99995319999999999</v>
      </c>
      <c r="AB8926">
        <v>26</v>
      </c>
      <c r="AC8926">
        <v>0.48749999999999699</v>
      </c>
      <c r="AD8926">
        <v>-0.121863999999999</v>
      </c>
      <c r="AE8926">
        <v>-1.2999999999976799E-2</v>
      </c>
      <c r="AF8926">
        <v>8.4203639328203905E-3</v>
      </c>
      <c r="AG8926">
        <v>-0.121863999999999</v>
      </c>
      <c r="AH8926">
        <v>0.45893345418523701</v>
      </c>
      <c r="AI8926">
        <v>104.86860244419501</v>
      </c>
      <c r="AJ8926">
        <v>88.948873339250696</v>
      </c>
      <c r="AK8926">
        <v>0.47491225757518002</v>
      </c>
      <c r="AL8926">
        <v>89.271857038882104</v>
      </c>
      <c r="AM8926">
        <v>90.040260781791901</v>
      </c>
      <c r="AN8926">
        <v>0.99999999866064004</v>
      </c>
    </row>
    <row r="8927" spans="1:40" x14ac:dyDescent="0.25">
      <c r="A8927" t="str">
        <f>"20190303155023987"</f>
        <v>20190303155023987</v>
      </c>
      <c r="B8927" t="str">
        <f>"1551599423979303"</f>
        <v>1551599423979303</v>
      </c>
      <c r="C8927" t="s">
        <v>40</v>
      </c>
      <c r="D8927">
        <v>6.1742809999999997</v>
      </c>
      <c r="E8927">
        <v>0.50152189999999996</v>
      </c>
      <c r="F8927" t="s">
        <v>42</v>
      </c>
      <c r="G8927">
        <v>-126.5082</v>
      </c>
      <c r="H8927">
        <v>1.0101519999999999</v>
      </c>
      <c r="I8927">
        <v>137.5557</v>
      </c>
      <c r="J8927">
        <v>-126.9293</v>
      </c>
      <c r="K8927">
        <v>1.122274</v>
      </c>
      <c r="L8927">
        <v>137.5675</v>
      </c>
      <c r="M8927">
        <v>0.9998802</v>
      </c>
      <c r="N8927">
        <v>-1.3942319999999999E-2</v>
      </c>
      <c r="O8927">
        <v>-6.7300340000000002E-3</v>
      </c>
      <c r="P8927">
        <v>0.99998039999999999</v>
      </c>
      <c r="Q8927">
        <v>-5.9108339999999998E-4</v>
      </c>
      <c r="R8927">
        <v>-6.2474419999999998E-3</v>
      </c>
      <c r="S8927">
        <v>2.9990999999999999</v>
      </c>
      <c r="T8927">
        <v>-0.46600589999999997</v>
      </c>
      <c r="U8927">
        <v>-5.111694E-2</v>
      </c>
      <c r="V8927">
        <v>-5.1333309999999997E-4</v>
      </c>
      <c r="W8927">
        <v>1.3349919999999999E-2</v>
      </c>
      <c r="X8927">
        <v>0.99991079999999999</v>
      </c>
      <c r="Y8927">
        <v>1.0244359999999999E-2</v>
      </c>
      <c r="Z8927" s="1">
        <v>8.3092479999999895E-5</v>
      </c>
      <c r="AA8927">
        <v>0.99994749999999999</v>
      </c>
      <c r="AB8927">
        <v>26</v>
      </c>
      <c r="AC8927">
        <v>0.42109999999999498</v>
      </c>
      <c r="AD8927">
        <v>-0.112122</v>
      </c>
      <c r="AE8927">
        <v>-1.17999999999938E-2</v>
      </c>
      <c r="AF8927">
        <v>8.3723537659154395E-3</v>
      </c>
      <c r="AG8927">
        <v>-0.112122</v>
      </c>
      <c r="AH8927">
        <v>0.39330844270087301</v>
      </c>
      <c r="AI8927">
        <v>105.908050332925</v>
      </c>
      <c r="AJ8927">
        <v>88.780529359493002</v>
      </c>
      <c r="AK8927">
        <v>0.409063528429714</v>
      </c>
      <c r="AL8927">
        <v>89.2350832405142</v>
      </c>
      <c r="AM8927">
        <v>90.029414441298599</v>
      </c>
      <c r="AN8927">
        <v>1.0000000459157501</v>
      </c>
    </row>
    <row r="8928" spans="1:40" x14ac:dyDescent="0.25">
      <c r="A8928" t="str">
        <f>"20190303155024013"</f>
        <v>20190303155024013</v>
      </c>
      <c r="B8928" t="str">
        <f>"1551599423999798"</f>
        <v>1551599423999798</v>
      </c>
      <c r="C8928" t="s">
        <v>40</v>
      </c>
      <c r="D8928">
        <v>6.2275939999999999</v>
      </c>
      <c r="E8928">
        <v>0.50141849999999999</v>
      </c>
      <c r="F8928" t="s">
        <v>42</v>
      </c>
      <c r="G8928">
        <v>-126.06010000000001</v>
      </c>
      <c r="H8928">
        <v>0.98853530000000001</v>
      </c>
      <c r="I8928">
        <v>137.55420000000001</v>
      </c>
      <c r="J8928">
        <v>-126.62220000000001</v>
      </c>
      <c r="K8928">
        <v>1.122217</v>
      </c>
      <c r="L8928">
        <v>137.56729999999999</v>
      </c>
      <c r="M8928">
        <v>0.99988909999999998</v>
      </c>
      <c r="N8928">
        <v>-1.3959310000000001E-2</v>
      </c>
      <c r="O8928">
        <v>-5.2076889999999997E-3</v>
      </c>
      <c r="P8928">
        <v>0.99998969999999998</v>
      </c>
      <c r="Q8928" s="1">
        <v>-3.463961E-5</v>
      </c>
      <c r="R8928">
        <v>-4.5308409999999999E-3</v>
      </c>
      <c r="S8928">
        <v>2.9994960000000002</v>
      </c>
      <c r="T8928">
        <v>-0.4616343</v>
      </c>
      <c r="U8928">
        <v>-4.5471190000000002E-2</v>
      </c>
      <c r="V8928">
        <v>-7.0690610000000002E-4</v>
      </c>
      <c r="W8928">
        <v>1.3923019999999999E-2</v>
      </c>
      <c r="X8928">
        <v>0.99990279999999998</v>
      </c>
      <c r="Y8928">
        <v>9.8738439999999997E-3</v>
      </c>
      <c r="Z8928">
        <v>-1.002576E-4</v>
      </c>
      <c r="AA8928">
        <v>0.99995120000000004</v>
      </c>
      <c r="AB8928">
        <v>26</v>
      </c>
      <c r="AC8928">
        <v>0.56210000000000004</v>
      </c>
      <c r="AD8928">
        <v>-0.13368169999999899</v>
      </c>
      <c r="AE8928">
        <v>-1.30999999999801E-2</v>
      </c>
      <c r="AF8928">
        <v>9.62802092229606E-3</v>
      </c>
      <c r="AG8928">
        <v>-0.13368169999999899</v>
      </c>
      <c r="AH8928">
        <v>0.53208188048838201</v>
      </c>
      <c r="AI8928">
        <v>104.101021936954</v>
      </c>
      <c r="AJ8928">
        <v>88.963346079275496</v>
      </c>
      <c r="AK8928">
        <v>0.54870267289837604</v>
      </c>
      <c r="AL8928">
        <v>89.202243924178902</v>
      </c>
      <c r="AM8928">
        <v>90.0405066665421</v>
      </c>
      <c r="AN8928">
        <v>0.999999979824997</v>
      </c>
    </row>
    <row r="8929" spans="1:40" x14ac:dyDescent="0.25">
      <c r="A8929" t="str">
        <f>"20190303155024035"</f>
        <v>20190303155024035</v>
      </c>
      <c r="B8929" t="str">
        <f>"1551599424030055"</f>
        <v>1551599424030055</v>
      </c>
      <c r="C8929" t="s">
        <v>40</v>
      </c>
      <c r="D8929">
        <v>6.2419500000000001</v>
      </c>
      <c r="E8929">
        <v>0.50132330000000003</v>
      </c>
      <c r="F8929" t="s">
        <v>42</v>
      </c>
      <c r="G8929">
        <v>-125.82599999999999</v>
      </c>
      <c r="H8929">
        <v>0.99933660000000002</v>
      </c>
      <c r="I8929">
        <v>137.5566</v>
      </c>
      <c r="J8929">
        <v>-126.3698</v>
      </c>
      <c r="K8929">
        <v>1.1221810000000001</v>
      </c>
      <c r="L8929">
        <v>137.56739999999999</v>
      </c>
      <c r="M8929">
        <v>0.9998937</v>
      </c>
      <c r="N8929">
        <v>-1.4016999999999899E-2</v>
      </c>
      <c r="O8929">
        <v>-4.028897E-3</v>
      </c>
      <c r="P8929">
        <v>0.99999879999999997</v>
      </c>
      <c r="Q8929">
        <v>-1.0342490000000001E-3</v>
      </c>
      <c r="R8929">
        <v>-1.1518629999999999E-3</v>
      </c>
      <c r="S8929">
        <v>2.9998320000000001</v>
      </c>
      <c r="T8929">
        <v>-0.46303260000000002</v>
      </c>
      <c r="U8929">
        <v>-4.0084839999999997E-2</v>
      </c>
      <c r="V8929">
        <v>-2.9035150000000002E-3</v>
      </c>
      <c r="W8929">
        <v>1.297706E-2</v>
      </c>
      <c r="X8929">
        <v>0.99991160000000001</v>
      </c>
      <c r="Y8929">
        <v>9.2519390000000007E-3</v>
      </c>
      <c r="Z8929">
        <v>-2.130554E-4</v>
      </c>
      <c r="AA8929">
        <v>0.99995719999999999</v>
      </c>
      <c r="AB8929">
        <v>26</v>
      </c>
      <c r="AC8929">
        <v>0.54379999999998996</v>
      </c>
      <c r="AD8929">
        <v>-0.12284439999999899</v>
      </c>
      <c r="AE8929">
        <v>-1.0799999999989001E-2</v>
      </c>
      <c r="AF8929">
        <v>8.1909567883474196E-3</v>
      </c>
      <c r="AG8929">
        <v>-0.12284439999999899</v>
      </c>
      <c r="AH8929">
        <v>0.51744393831243096</v>
      </c>
      <c r="AI8929">
        <v>103.353518041066</v>
      </c>
      <c r="AJ8929">
        <v>89.093103569371294</v>
      </c>
      <c r="AK8929">
        <v>0.531889149805434</v>
      </c>
      <c r="AL8929">
        <v>89.256448376720698</v>
      </c>
      <c r="AM8929">
        <v>90.166373395089394</v>
      </c>
      <c r="AN8929">
        <v>1.0000000211500699</v>
      </c>
    </row>
    <row r="8930" spans="1:40" x14ac:dyDescent="0.25">
      <c r="A8930" t="str">
        <f>"20190303155024063"</f>
        <v>20190303155024063</v>
      </c>
      <c r="B8930" t="str">
        <f>"1551599424059335"</f>
        <v>1551599424059335</v>
      </c>
      <c r="C8930" t="s">
        <v>40</v>
      </c>
      <c r="D8930">
        <v>6.2335779999999996</v>
      </c>
      <c r="E8930">
        <v>0.50184969999999995</v>
      </c>
      <c r="F8930" t="s">
        <v>42</v>
      </c>
      <c r="G8930">
        <v>-125.59650000000001</v>
      </c>
      <c r="H8930">
        <v>1.0014190000000001</v>
      </c>
      <c r="I8930">
        <v>137.55940000000001</v>
      </c>
      <c r="J8930">
        <v>-126.05589999999999</v>
      </c>
      <c r="K8930">
        <v>1.1222019999999999</v>
      </c>
      <c r="L8930">
        <v>137.56790000000001</v>
      </c>
      <c r="M8930">
        <v>0.99989329999999998</v>
      </c>
      <c r="N8930">
        <v>-1.436753E-2</v>
      </c>
      <c r="O8930">
        <v>-2.6644260000000001E-3</v>
      </c>
      <c r="P8930">
        <v>0.99999450000000001</v>
      </c>
      <c r="Q8930">
        <v>-1.6688149999999999E-3</v>
      </c>
      <c r="R8930">
        <v>2.926138E-3</v>
      </c>
      <c r="S8930">
        <v>2.9994809999999998</v>
      </c>
      <c r="T8930">
        <v>-0.46844599999999997</v>
      </c>
      <c r="U8930">
        <v>-3.100586E-2</v>
      </c>
      <c r="V8930">
        <v>-5.6141009999999998E-3</v>
      </c>
      <c r="W8930">
        <v>1.26886E-2</v>
      </c>
      <c r="X8930">
        <v>0.99990369999999995</v>
      </c>
      <c r="Y8930">
        <v>7.5978800000000004E-3</v>
      </c>
      <c r="Z8930">
        <v>-2.6913129999999998E-4</v>
      </c>
      <c r="AA8930">
        <v>0.9999711</v>
      </c>
      <c r="AB8930">
        <v>26</v>
      </c>
      <c r="AC8930">
        <v>0.45939999999998798</v>
      </c>
      <c r="AD8930">
        <v>-0.120783</v>
      </c>
      <c r="AE8930">
        <v>-8.4999999999979502E-3</v>
      </c>
      <c r="AF8930">
        <v>6.8055402263945504E-3</v>
      </c>
      <c r="AG8930">
        <v>-0.120783</v>
      </c>
      <c r="AH8930">
        <v>0.42972670241850403</v>
      </c>
      <c r="AI8930">
        <v>105.697173691689</v>
      </c>
      <c r="AJ8930">
        <v>89.092688129520994</v>
      </c>
      <c r="AK8930">
        <v>0.44643015941830699</v>
      </c>
      <c r="AL8930">
        <v>89.272977236483996</v>
      </c>
      <c r="AM8930">
        <v>90.321691891983306</v>
      </c>
      <c r="AN8930">
        <v>0.99999996398684299</v>
      </c>
    </row>
    <row r="8931" spans="1:40" x14ac:dyDescent="0.25">
      <c r="A8931" t="str">
        <f>"20190303155024085"</f>
        <v>20190303155024085</v>
      </c>
      <c r="B8931" t="str">
        <f>"1551599424079831"</f>
        <v>1551599424079831</v>
      </c>
      <c r="C8931" t="s">
        <v>40</v>
      </c>
      <c r="D8931">
        <v>6.2976460000000003</v>
      </c>
      <c r="E8931">
        <v>0.50165590000000004</v>
      </c>
      <c r="F8931" t="s">
        <v>42</v>
      </c>
      <c r="G8931">
        <v>-125.1536</v>
      </c>
      <c r="H8931">
        <v>0.98150440000000005</v>
      </c>
      <c r="I8931">
        <v>137.56100000000001</v>
      </c>
      <c r="J8931">
        <v>-125.8122</v>
      </c>
      <c r="K8931">
        <v>1.122322</v>
      </c>
      <c r="L8931">
        <v>137.5684</v>
      </c>
      <c r="M8931">
        <v>0.99988410000000005</v>
      </c>
      <c r="N8931">
        <v>-1.5132090000000001E-2</v>
      </c>
      <c r="O8931">
        <v>-1.6906270000000001E-3</v>
      </c>
      <c r="P8931">
        <v>0.99997150000000001</v>
      </c>
      <c r="Q8931">
        <v>-2.378598E-3</v>
      </c>
      <c r="R8931">
        <v>7.1661110000000002E-3</v>
      </c>
      <c r="S8931">
        <v>2.9992830000000001</v>
      </c>
      <c r="T8931">
        <v>-0.46780300000000002</v>
      </c>
      <c r="U8931">
        <v>-2.2491460000000001E-2</v>
      </c>
      <c r="V8931">
        <v>-8.8781740000000008E-3</v>
      </c>
      <c r="W8931">
        <v>1.2738660000000001E-2</v>
      </c>
      <c r="X8931">
        <v>0.99987939999999997</v>
      </c>
      <c r="Y8931">
        <v>5.7482899999999996E-3</v>
      </c>
      <c r="Z8931">
        <v>-2.5271099999999997E-4</v>
      </c>
      <c r="AA8931">
        <v>0.99998339999999997</v>
      </c>
      <c r="AB8931">
        <v>25</v>
      </c>
      <c r="AC8931">
        <v>0.65860000000000696</v>
      </c>
      <c r="AD8931">
        <v>-0.14081759999999999</v>
      </c>
      <c r="AE8931">
        <v>-7.3999999999898496E-3</v>
      </c>
      <c r="AF8931">
        <v>6.0116210406383997E-3</v>
      </c>
      <c r="AG8931">
        <v>-0.14081759999999999</v>
      </c>
      <c r="AH8931">
        <v>0.62982211172493296</v>
      </c>
      <c r="AI8931">
        <v>102.602535501557</v>
      </c>
      <c r="AJ8931">
        <v>89.453131213383102</v>
      </c>
      <c r="AK8931">
        <v>0.64540036293369896</v>
      </c>
      <c r="AL8931">
        <v>89.270108771256602</v>
      </c>
      <c r="AM8931">
        <v>90.508729885111194</v>
      </c>
      <c r="AN8931">
        <v>0.999999954988263</v>
      </c>
    </row>
    <row r="8932" spans="1:40" x14ac:dyDescent="0.25">
      <c r="A8932" t="str">
        <f>"20190303155024105"</f>
        <v>20190303155024105</v>
      </c>
      <c r="B8932" t="str">
        <f>"1551599424099350"</f>
        <v>1551599424099350</v>
      </c>
      <c r="C8932" t="s">
        <v>40</v>
      </c>
      <c r="D8932">
        <v>6.1223839999999896</v>
      </c>
      <c r="E8932">
        <v>0.50238119999999997</v>
      </c>
      <c r="F8932" t="s">
        <v>42</v>
      </c>
      <c r="G8932">
        <v>-124.9302</v>
      </c>
      <c r="H8932">
        <v>0.9833674</v>
      </c>
      <c r="I8932">
        <v>137.5658</v>
      </c>
      <c r="J8932">
        <v>-125.5861</v>
      </c>
      <c r="K8932">
        <v>1.1225240000000001</v>
      </c>
      <c r="L8932">
        <v>137.56899999999999</v>
      </c>
      <c r="M8932">
        <v>0.99986759999999997</v>
      </c>
      <c r="N8932">
        <v>-1.625064E-2</v>
      </c>
      <c r="O8932">
        <v>-8.4223550000000005E-4</v>
      </c>
      <c r="P8932">
        <v>0.99993529999999997</v>
      </c>
      <c r="Q8932">
        <v>-3.6282969999999999E-3</v>
      </c>
      <c r="R8932">
        <v>1.077027E-2</v>
      </c>
      <c r="S8932">
        <v>2.9990230000000002</v>
      </c>
      <c r="T8932">
        <v>-0.47247549999999999</v>
      </c>
      <c r="U8932">
        <v>-8.5296629999999998E-3</v>
      </c>
      <c r="V8932">
        <v>-1.1631560000000001E-2</v>
      </c>
      <c r="W8932">
        <v>1.260373E-2</v>
      </c>
      <c r="X8932">
        <v>0.99985290000000004</v>
      </c>
      <c r="Y8932">
        <v>1.983131E-3</v>
      </c>
      <c r="Z8932" s="1">
        <v>-5.3217950000000001E-5</v>
      </c>
      <c r="AA8932">
        <v>0.99999800000000005</v>
      </c>
      <c r="AB8932">
        <v>25</v>
      </c>
      <c r="AC8932">
        <v>0.65590000000000204</v>
      </c>
      <c r="AD8932">
        <v>-0.13915659999999899</v>
      </c>
      <c r="AE8932">
        <v>-3.19999999999254E-3</v>
      </c>
      <c r="AF8932">
        <v>2.5334688001147402E-3</v>
      </c>
      <c r="AG8932">
        <v>-0.13915659999999899</v>
      </c>
      <c r="AH8932">
        <v>0.62765104329104504</v>
      </c>
      <c r="AI8932">
        <v>102.500746548574</v>
      </c>
      <c r="AJ8932">
        <v>89.768730916649304</v>
      </c>
      <c r="AK8932">
        <v>0.642897200127718</v>
      </c>
      <c r="AL8932">
        <v>89.277840333104294</v>
      </c>
      <c r="AM8932">
        <v>90.666507279071695</v>
      </c>
      <c r="AN8932">
        <v>0.99999998441817795</v>
      </c>
    </row>
    <row r="8933" spans="1:40" x14ac:dyDescent="0.25">
      <c r="A8933" t="str">
        <f>"20190303155024127"</f>
        <v>20190303155024127</v>
      </c>
      <c r="B8933" t="str">
        <f>"1551599424119846"</f>
        <v>1551599424119846</v>
      </c>
      <c r="C8933" t="s">
        <v>40</v>
      </c>
      <c r="D8933">
        <v>6.2535449999999999</v>
      </c>
      <c r="E8933">
        <v>0.50248099999999996</v>
      </c>
      <c r="F8933" t="s">
        <v>42</v>
      </c>
      <c r="G8933">
        <v>-124.7103</v>
      </c>
      <c r="H8933">
        <v>0.98442209999999997</v>
      </c>
      <c r="I8933">
        <v>137.56790000000001</v>
      </c>
      <c r="J8933">
        <v>-125.3377</v>
      </c>
      <c r="K8933">
        <v>1.122795</v>
      </c>
      <c r="L8933">
        <v>137.56989999999999</v>
      </c>
      <c r="M8933">
        <v>0.9998416</v>
      </c>
      <c r="N8933">
        <v>-1.7794359999999999E-2</v>
      </c>
      <c r="O8933" s="1">
        <v>1.390553E-5</v>
      </c>
      <c r="P8933">
        <v>0.9998977</v>
      </c>
      <c r="Q8933">
        <v>-4.7895790000000004E-3</v>
      </c>
      <c r="R8933">
        <v>1.347159E-2</v>
      </c>
      <c r="S8933">
        <v>2.9985200000000001</v>
      </c>
      <c r="T8933">
        <v>-0.47287249999999997</v>
      </c>
      <c r="U8933">
        <v>-3.4637449999999998E-3</v>
      </c>
      <c r="V8933">
        <v>-1.3475610000000001E-2</v>
      </c>
      <c r="W8933">
        <v>1.298469E-2</v>
      </c>
      <c r="X8933">
        <v>0.99982490000000002</v>
      </c>
      <c r="Y8933">
        <v>1.153044E-3</v>
      </c>
      <c r="Z8933">
        <v>-1.026235E-4</v>
      </c>
      <c r="AA8933">
        <v>0.99999930000000004</v>
      </c>
      <c r="AB8933">
        <v>25</v>
      </c>
      <c r="AC8933">
        <v>0.62739999999999396</v>
      </c>
      <c r="AD8933">
        <v>-0.13837289999999999</v>
      </c>
      <c r="AE8933">
        <v>-1.9999999999811202E-3</v>
      </c>
      <c r="AF8933">
        <v>1.91555011890328E-3</v>
      </c>
      <c r="AG8933">
        <v>-0.13837289999999999</v>
      </c>
      <c r="AH8933">
        <v>0.59829775879519997</v>
      </c>
      <c r="AI8933">
        <v>103.022206669488</v>
      </c>
      <c r="AJ8933">
        <v>89.816558627148197</v>
      </c>
      <c r="AK8933">
        <v>0.61409358974510297</v>
      </c>
      <c r="AL8933">
        <v>89.256011166622201</v>
      </c>
      <c r="AM8933">
        <v>90.772184042037097</v>
      </c>
      <c r="AN8933">
        <v>1.00000001244963</v>
      </c>
    </row>
    <row r="8934" spans="1:40" x14ac:dyDescent="0.25">
      <c r="A8934" t="str">
        <f>"20190303155024154"</f>
        <v>20190303155024154</v>
      </c>
      <c r="B8934" t="str">
        <f>"1551599424139367"</f>
        <v>1551599424139367</v>
      </c>
      <c r="C8934" t="s">
        <v>40</v>
      </c>
      <c r="D8934">
        <v>6.2511349999999997</v>
      </c>
      <c r="E8934">
        <v>0.50267550000000005</v>
      </c>
      <c r="F8934" t="s">
        <v>42</v>
      </c>
      <c r="G8934">
        <v>-124.49250000000001</v>
      </c>
      <c r="H8934">
        <v>0.98789260000000001</v>
      </c>
      <c r="I8934">
        <v>137.571</v>
      </c>
      <c r="J8934">
        <v>-125.057</v>
      </c>
      <c r="K8934">
        <v>1.1231329999999999</v>
      </c>
      <c r="L8934">
        <v>137.5711</v>
      </c>
      <c r="M8934">
        <v>0.99980369999999996</v>
      </c>
      <c r="N8934">
        <v>-1.9801139999999998E-2</v>
      </c>
      <c r="O8934">
        <v>8.7216300000000002E-4</v>
      </c>
      <c r="P8934">
        <v>0.99986770000000003</v>
      </c>
      <c r="Q8934">
        <v>-5.9239019999999896E-3</v>
      </c>
      <c r="R8934">
        <v>1.5158990000000001E-2</v>
      </c>
      <c r="S8934">
        <v>2.9979550000000001</v>
      </c>
      <c r="T8934">
        <v>-0.4785701</v>
      </c>
      <c r="U8934">
        <v>4.3029790000000002E-3</v>
      </c>
      <c r="V8934">
        <v>-1.430499E-2</v>
      </c>
      <c r="W8934">
        <v>1.385722E-2</v>
      </c>
      <c r="X8934">
        <v>0.99980159999999996</v>
      </c>
      <c r="Y8934">
        <v>-5.6341080000000003E-4</v>
      </c>
      <c r="Z8934" s="1">
        <v>-7.0868509999999995E-5</v>
      </c>
      <c r="AA8934">
        <v>0.99999979999999999</v>
      </c>
      <c r="AB8934">
        <v>24</v>
      </c>
      <c r="AC8934">
        <v>0.56449999999999501</v>
      </c>
      <c r="AD8934">
        <v>-0.13524040000000001</v>
      </c>
      <c r="AE8934">
        <v>-1.0000000000331901E-4</v>
      </c>
      <c r="AF8934">
        <v>5.6027467838259504E-4</v>
      </c>
      <c r="AG8934">
        <v>-0.13524040000000001</v>
      </c>
      <c r="AH8934">
        <v>0.53385813915551705</v>
      </c>
      <c r="AI8934">
        <v>104.21547665160401</v>
      </c>
      <c r="AJ8934">
        <v>89.939869114471904</v>
      </c>
      <c r="AK8934">
        <v>0.55072206460470297</v>
      </c>
      <c r="AL8934">
        <v>89.206014324482396</v>
      </c>
      <c r="AM8934">
        <v>90.819722263827103</v>
      </c>
      <c r="AN8934">
        <v>0.99999994732379205</v>
      </c>
    </row>
    <row r="8935" spans="1:40" x14ac:dyDescent="0.25">
      <c r="A8935" t="str">
        <f>"20190303155024176"</f>
        <v>20190303155024176</v>
      </c>
      <c r="B8935" t="str">
        <f>"1551599424169623"</f>
        <v>1551599424169623</v>
      </c>
      <c r="C8935" t="s">
        <v>40</v>
      </c>
      <c r="D8935">
        <v>6.2681839999999998</v>
      </c>
      <c r="E8935">
        <v>0.50338099999999997</v>
      </c>
      <c r="F8935" t="s">
        <v>42</v>
      </c>
      <c r="G8935">
        <v>-124.2757</v>
      </c>
      <c r="H8935">
        <v>0.99709490000000001</v>
      </c>
      <c r="I8935">
        <v>137.57329999999999</v>
      </c>
      <c r="J8935">
        <v>-124.8252</v>
      </c>
      <c r="K8935">
        <v>1.123394</v>
      </c>
      <c r="L8935">
        <v>137.57230000000001</v>
      </c>
      <c r="M8935">
        <v>0.99976520000000002</v>
      </c>
      <c r="N8935">
        <v>-2.1616400000000001E-2</v>
      </c>
      <c r="O8935">
        <v>1.5509370000000001E-3</v>
      </c>
      <c r="P8935">
        <v>0.999861</v>
      </c>
      <c r="Q8935">
        <v>-6.2561409999999998E-3</v>
      </c>
      <c r="R8935">
        <v>1.5461300000000001E-2</v>
      </c>
      <c r="S8935">
        <v>2.9974059999999998</v>
      </c>
      <c r="T8935">
        <v>-0.48356830000000001</v>
      </c>
      <c r="U8935">
        <v>8.5906980000000008E-3</v>
      </c>
      <c r="V8935">
        <v>-1.3929489999999999E-2</v>
      </c>
      <c r="W8935">
        <v>1.534194E-2</v>
      </c>
      <c r="X8935">
        <v>0.99978520000000004</v>
      </c>
      <c r="Y8935">
        <v>-1.310526E-3</v>
      </c>
      <c r="Z8935" s="1">
        <v>-9.5956889999999995E-5</v>
      </c>
      <c r="AA8935">
        <v>0.99999919999999998</v>
      </c>
      <c r="AB8935">
        <v>24</v>
      </c>
      <c r="AC8935">
        <v>0.54949999999999399</v>
      </c>
      <c r="AD8935">
        <v>-0.1262991</v>
      </c>
      <c r="AE8935">
        <v>9.9999999997635292E-4</v>
      </c>
      <c r="AF8935">
        <v>-1.4015565348325101E-4</v>
      </c>
      <c r="AG8935">
        <v>-0.1262991</v>
      </c>
      <c r="AH8935">
        <v>0.52192848325999297</v>
      </c>
      <c r="AI8935">
        <v>103.60324667253801</v>
      </c>
      <c r="AJ8935">
        <v>90.015385876578904</v>
      </c>
      <c r="AK8935">
        <v>0.536992387229553</v>
      </c>
      <c r="AL8935">
        <v>89.120937036157798</v>
      </c>
      <c r="AM8935">
        <v>90.798220810735401</v>
      </c>
      <c r="AN8935">
        <v>0.99999992597682896</v>
      </c>
    </row>
    <row r="8936" spans="1:40" x14ac:dyDescent="0.25">
      <c r="A8936" t="str">
        <f>"20190303155024216"</f>
        <v>20190303155024216</v>
      </c>
      <c r="B8936" t="str">
        <f>"1551599424209638"</f>
        <v>1551599424209638</v>
      </c>
      <c r="C8936" t="s">
        <v>40</v>
      </c>
      <c r="D8936">
        <v>6.1828349999999999</v>
      </c>
      <c r="E8936">
        <v>0.516646099999999</v>
      </c>
      <c r="F8936" t="s">
        <v>42</v>
      </c>
      <c r="G8936">
        <v>-124.06529999999999</v>
      </c>
      <c r="H8936">
        <v>1.0012760000000001</v>
      </c>
      <c r="I8936">
        <v>137.57339999999999</v>
      </c>
      <c r="J8936">
        <v>-124.4239</v>
      </c>
      <c r="K8936">
        <v>1.123786</v>
      </c>
      <c r="L8936">
        <v>137.5746</v>
      </c>
      <c r="M8936">
        <v>0.99968420000000002</v>
      </c>
      <c r="N8936">
        <v>-2.4975239999999999E-2</v>
      </c>
      <c r="O8936">
        <v>2.8134480000000001E-3</v>
      </c>
      <c r="P8936">
        <v>0.99987859999999995</v>
      </c>
      <c r="Q8936">
        <v>-4.6432950000000004E-3</v>
      </c>
      <c r="R8936">
        <v>1.4879170000000001E-2</v>
      </c>
      <c r="S8936">
        <v>2.9973299999999998</v>
      </c>
      <c r="T8936">
        <v>-0.48160239999999999</v>
      </c>
      <c r="U8936">
        <v>4.379272E-3</v>
      </c>
      <c r="V8936">
        <v>-1.208629E-2</v>
      </c>
      <c r="W8936">
        <v>2.0319319999999998E-2</v>
      </c>
      <c r="X8936">
        <v>0.99972050000000001</v>
      </c>
      <c r="Y8936">
        <v>1.308116E-3</v>
      </c>
      <c r="Z8936">
        <v>-5.0015669999999999E-4</v>
      </c>
      <c r="AA8936">
        <v>0.99999899999999997</v>
      </c>
      <c r="AB8936">
        <v>24</v>
      </c>
      <c r="AC8936">
        <v>0.35860000000000902</v>
      </c>
      <c r="AD8936">
        <v>-0.12250999999999899</v>
      </c>
      <c r="AE8936">
        <v>-1.20000000001141E-3</v>
      </c>
      <c r="AF8936">
        <v>1.9783178481894799E-3</v>
      </c>
      <c r="AG8936">
        <v>-0.12250999999999899</v>
      </c>
      <c r="AH8936">
        <v>0.32111683088281701</v>
      </c>
      <c r="AI8936">
        <v>110.88210276993</v>
      </c>
      <c r="AJ8936">
        <v>89.647019968058004</v>
      </c>
      <c r="AK8936">
        <v>0.34369846219867201</v>
      </c>
      <c r="AL8936">
        <v>88.835708612511795</v>
      </c>
      <c r="AM8936">
        <v>90.692653268216603</v>
      </c>
      <c r="AN8936">
        <v>1.00000001564573</v>
      </c>
    </row>
    <row r="8937" spans="1:40" x14ac:dyDescent="0.25">
      <c r="A8937" t="str">
        <f>"20190303155024239"</f>
        <v>20190303155024239</v>
      </c>
      <c r="B8937" t="str">
        <f>"1551599424229159"</f>
        <v>1551599424229159</v>
      </c>
      <c r="C8937" t="s">
        <v>40</v>
      </c>
      <c r="D8937">
        <v>6.2656919999999996</v>
      </c>
      <c r="E8937">
        <v>0.51393549999999999</v>
      </c>
      <c r="F8937" t="s">
        <v>42</v>
      </c>
      <c r="G8937">
        <v>-123.6563</v>
      </c>
      <c r="H8937">
        <v>1.012311</v>
      </c>
      <c r="I8937">
        <v>137.54849999999999</v>
      </c>
      <c r="J8937">
        <v>-124.1815</v>
      </c>
      <c r="K8937">
        <v>1.124001</v>
      </c>
      <c r="L8937">
        <v>137.5762</v>
      </c>
      <c r="M8937">
        <v>0.99962810000000002</v>
      </c>
      <c r="N8937">
        <v>-2.7030390000000001E-2</v>
      </c>
      <c r="O8937">
        <v>3.6098129999999999E-3</v>
      </c>
      <c r="P8937">
        <v>0.99988149999999998</v>
      </c>
      <c r="Q8937">
        <v>-4.1782829999999997E-3</v>
      </c>
      <c r="R8937">
        <v>1.4817739999999999E-2</v>
      </c>
      <c r="S8937">
        <v>2.9998629999999999</v>
      </c>
      <c r="T8937">
        <v>-0.4356894</v>
      </c>
      <c r="U8937">
        <v>-0.1021118</v>
      </c>
      <c r="V8937">
        <v>-1.122856E-2</v>
      </c>
      <c r="W8937">
        <v>2.2841199999999999E-2</v>
      </c>
      <c r="X8937">
        <v>0.99967600000000001</v>
      </c>
      <c r="Y8937">
        <v>3.7140319999999998E-2</v>
      </c>
      <c r="Z8937">
        <v>-3.6117810000000001E-3</v>
      </c>
      <c r="AA8937">
        <v>0.99930350000000001</v>
      </c>
      <c r="AB8937">
        <v>23</v>
      </c>
      <c r="AC8937">
        <v>0.525199999999998</v>
      </c>
      <c r="AD8937">
        <v>-0.11169</v>
      </c>
      <c r="AE8937">
        <v>-2.7700000000010001E-2</v>
      </c>
      <c r="AF8937">
        <v>2.8319201328956399E-2</v>
      </c>
      <c r="AG8937">
        <v>-0.11169</v>
      </c>
      <c r="AH8937">
        <v>0.50243684356180196</v>
      </c>
      <c r="AI8937">
        <v>102.51363412951</v>
      </c>
      <c r="AJ8937">
        <v>86.774010956120094</v>
      </c>
      <c r="AK8937">
        <v>0.51547979109976505</v>
      </c>
      <c r="AL8937">
        <v>88.691181756407701</v>
      </c>
      <c r="AM8937">
        <v>90.643530548487703</v>
      </c>
      <c r="AN8937">
        <v>0.99999995297655497</v>
      </c>
    </row>
    <row r="8938" spans="1:40" x14ac:dyDescent="0.25">
      <c r="A8938" t="str">
        <f>"20190303155024263"</f>
        <v>20190303155024263</v>
      </c>
      <c r="B8938" t="str">
        <f>"1551599424259415"</f>
        <v>1551599424259415</v>
      </c>
      <c r="C8938" t="s">
        <v>40</v>
      </c>
      <c r="D8938">
        <v>6.1501900000000003</v>
      </c>
      <c r="E8938">
        <v>0.51259480000000002</v>
      </c>
      <c r="F8938" t="s">
        <v>42</v>
      </c>
      <c r="G8938">
        <v>-123.4599</v>
      </c>
      <c r="H8938">
        <v>1.0142519999999999</v>
      </c>
      <c r="I8938">
        <v>137.5564</v>
      </c>
      <c r="J8938">
        <v>-123.9682</v>
      </c>
      <c r="K8938">
        <v>1.1241620000000001</v>
      </c>
      <c r="L8938">
        <v>137.5779</v>
      </c>
      <c r="M8938">
        <v>0.99957720000000005</v>
      </c>
      <c r="N8938">
        <v>-2.875701E-2</v>
      </c>
      <c r="O8938">
        <v>4.2995739999999996E-3</v>
      </c>
      <c r="P8938">
        <v>0.99988449999999995</v>
      </c>
      <c r="Q8938">
        <v>-3.8426139999999998E-3</v>
      </c>
      <c r="R8938">
        <v>1.471416E-2</v>
      </c>
      <c r="S8938">
        <v>2.9996640000000001</v>
      </c>
      <c r="T8938">
        <v>-0.45635209999999998</v>
      </c>
      <c r="U8938">
        <v>-8.1710820000000003E-2</v>
      </c>
      <c r="V8938">
        <v>-1.043675E-2</v>
      </c>
      <c r="W8938">
        <v>2.490436E-2</v>
      </c>
      <c r="X8938">
        <v>0.9996353</v>
      </c>
      <c r="Y8938">
        <v>3.10712E-2</v>
      </c>
      <c r="Z8938">
        <v>-3.3267169999999999E-3</v>
      </c>
      <c r="AA8938">
        <v>0.9995117</v>
      </c>
      <c r="AB8938">
        <v>22</v>
      </c>
      <c r="AC8938">
        <v>0.50829999999999098</v>
      </c>
      <c r="AD8938">
        <v>-0.10990999999999899</v>
      </c>
      <c r="AE8938">
        <v>-2.15000000000031E-2</v>
      </c>
      <c r="AF8938">
        <v>2.2629988341383502E-2</v>
      </c>
      <c r="AG8938">
        <v>-0.10990999999999899</v>
      </c>
      <c r="AH8938">
        <v>0.48554154648088199</v>
      </c>
      <c r="AI8938">
        <v>102.741466148518</v>
      </c>
      <c r="AJ8938">
        <v>87.331505013371299</v>
      </c>
      <c r="AK8938">
        <v>0.49834016277175303</v>
      </c>
      <c r="AL8938">
        <v>88.572937656039898</v>
      </c>
      <c r="AM8938">
        <v>90.598178156112795</v>
      </c>
      <c r="AN8938">
        <v>0.99999994295182904</v>
      </c>
    </row>
    <row r="8939" spans="1:40" x14ac:dyDescent="0.25">
      <c r="A8939" t="str">
        <f>"20190303155024287"</f>
        <v>20190303155024287</v>
      </c>
      <c r="B8939" t="str">
        <f>"1551599424279910"</f>
        <v>1551599424279910</v>
      </c>
      <c r="C8939" t="s">
        <v>40</v>
      </c>
      <c r="D8939">
        <v>6.169772</v>
      </c>
      <c r="E8939">
        <v>0.51327129999999999</v>
      </c>
      <c r="F8939" t="s">
        <v>42</v>
      </c>
      <c r="G8939">
        <v>-123.0955</v>
      </c>
      <c r="H8939">
        <v>0.9891491</v>
      </c>
      <c r="I8939">
        <v>137.55680000000001</v>
      </c>
      <c r="J8939">
        <v>-123.7406</v>
      </c>
      <c r="K8939">
        <v>1.124298</v>
      </c>
      <c r="L8939">
        <v>137.57980000000001</v>
      </c>
      <c r="M8939">
        <v>0.99952339999999995</v>
      </c>
      <c r="N8939">
        <v>-3.0459739999999999E-2</v>
      </c>
      <c r="O8939">
        <v>5.0217020000000003E-3</v>
      </c>
      <c r="P8939">
        <v>0.9998823</v>
      </c>
      <c r="Q8939">
        <v>-2.9000919999999999E-3</v>
      </c>
      <c r="R8939">
        <v>1.506156E-2</v>
      </c>
      <c r="S8939">
        <v>2.999619</v>
      </c>
      <c r="T8939">
        <v>-0.46413470000000001</v>
      </c>
      <c r="U8939">
        <v>-7.2158810000000004E-2</v>
      </c>
      <c r="V8939">
        <v>-1.0063300000000001E-2</v>
      </c>
      <c r="W8939">
        <v>2.7550379999999999E-2</v>
      </c>
      <c r="X8939">
        <v>0.99956979999999995</v>
      </c>
      <c r="Y8939">
        <v>2.8624420000000001E-2</v>
      </c>
      <c r="Z8939">
        <v>-3.26041E-3</v>
      </c>
      <c r="AA8939">
        <v>0.9995849</v>
      </c>
      <c r="AB8939">
        <v>21</v>
      </c>
      <c r="AC8939">
        <v>0.64509999999999901</v>
      </c>
      <c r="AD8939">
        <v>-0.13514889999999999</v>
      </c>
      <c r="AE8939">
        <v>-2.29999999999961E-2</v>
      </c>
      <c r="AF8939">
        <v>2.5138760402810201E-2</v>
      </c>
      <c r="AG8939">
        <v>-0.13514889999999999</v>
      </c>
      <c r="AH8939">
        <v>0.61789115742854595</v>
      </c>
      <c r="AI8939">
        <v>102.327891971432</v>
      </c>
      <c r="AJ8939">
        <v>87.670219206534895</v>
      </c>
      <c r="AK8939">
        <v>0.63299815550615002</v>
      </c>
      <c r="AL8939">
        <v>88.421279806766293</v>
      </c>
      <c r="AM8939">
        <v>90.576813283899895</v>
      </c>
      <c r="AN8939">
        <v>1.00000003925853</v>
      </c>
    </row>
    <row r="8940" spans="1:40" x14ac:dyDescent="0.25">
      <c r="A8940" t="str">
        <f>"20190303155024311"</f>
        <v>20190303155024311</v>
      </c>
      <c r="B8940" t="str">
        <f>"1551599424299432"</f>
        <v>1551599424299432</v>
      </c>
      <c r="C8940" t="s">
        <v>40</v>
      </c>
      <c r="D8940">
        <v>6.2731149999999998</v>
      </c>
      <c r="E8940">
        <v>0.512243</v>
      </c>
      <c r="F8940" t="s">
        <v>42</v>
      </c>
      <c r="G8940">
        <v>-122.9097</v>
      </c>
      <c r="H8940">
        <v>0.99691129999999994</v>
      </c>
      <c r="I8940">
        <v>137.55850000000001</v>
      </c>
      <c r="J8940">
        <v>-123.53400000000001</v>
      </c>
      <c r="K8940">
        <v>1.1243840000000001</v>
      </c>
      <c r="L8940">
        <v>137.58160000000001</v>
      </c>
      <c r="M8940">
        <v>0.99947600000000003</v>
      </c>
      <c r="N8940">
        <v>-3.1870040000000002E-2</v>
      </c>
      <c r="O8940">
        <v>5.6827719999999896E-3</v>
      </c>
      <c r="P8940">
        <v>0.99987079999999995</v>
      </c>
      <c r="Q8940">
        <v>-2.2121850000000002E-3</v>
      </c>
      <c r="R8940">
        <v>1.592474E-2</v>
      </c>
      <c r="S8940">
        <v>3.0001679999999999</v>
      </c>
      <c r="T8940">
        <v>-0.45994400000000002</v>
      </c>
      <c r="U8940">
        <v>-7.6736449999999998E-2</v>
      </c>
      <c r="V8940">
        <v>-1.026668E-2</v>
      </c>
      <c r="W8940">
        <v>2.964808E-2</v>
      </c>
      <c r="X8940">
        <v>0.9995077</v>
      </c>
      <c r="Y8940">
        <v>3.0775750000000001E-2</v>
      </c>
      <c r="Z8940">
        <v>-3.5247669999999998E-3</v>
      </c>
      <c r="AA8940">
        <v>0.99952010000000002</v>
      </c>
      <c r="AB8940">
        <v>21</v>
      </c>
      <c r="AC8940">
        <v>0.62429999999999097</v>
      </c>
      <c r="AD8940">
        <v>-0.127472699999999</v>
      </c>
      <c r="AE8940">
        <v>-2.3099999999999399E-2</v>
      </c>
      <c r="AF8940">
        <v>2.55840061183563E-2</v>
      </c>
      <c r="AG8940">
        <v>-0.127472699999999</v>
      </c>
      <c r="AH8940">
        <v>0.59921072253784102</v>
      </c>
      <c r="AI8940">
        <v>101.99913076538699</v>
      </c>
      <c r="AJ8940">
        <v>87.555174235320706</v>
      </c>
      <c r="AK8940">
        <v>0.613153586484395</v>
      </c>
      <c r="AL8940">
        <v>88.301041230752602</v>
      </c>
      <c r="AM8940">
        <v>90.588506468624004</v>
      </c>
      <c r="AN8940">
        <v>1.00000002786259</v>
      </c>
    </row>
    <row r="8941" spans="1:40" x14ac:dyDescent="0.25">
      <c r="A8941" t="str">
        <f>"20190303155024330"</f>
        <v>20190303155024330</v>
      </c>
      <c r="B8941" t="str">
        <f>"1551599424319926"</f>
        <v>1551599424319926</v>
      </c>
      <c r="C8941" t="s">
        <v>40</v>
      </c>
      <c r="D8941">
        <v>6.3312619999999997</v>
      </c>
      <c r="E8941">
        <v>0.51033379999999995</v>
      </c>
      <c r="F8941" t="s">
        <v>42</v>
      </c>
      <c r="G8941">
        <v>-122.73009999999999</v>
      </c>
      <c r="H8941">
        <v>1.0010749999999999</v>
      </c>
      <c r="I8941">
        <v>137.56389999999999</v>
      </c>
      <c r="J8941">
        <v>-123.36069999999999</v>
      </c>
      <c r="K8941">
        <v>1.12442999999999</v>
      </c>
      <c r="L8941">
        <v>137.58340000000001</v>
      </c>
      <c r="M8941">
        <v>0.99943720000000003</v>
      </c>
      <c r="N8941">
        <v>-3.2955980000000003E-2</v>
      </c>
      <c r="O8941">
        <v>6.2554969999999996E-3</v>
      </c>
      <c r="P8941">
        <v>0.99984770000000001</v>
      </c>
      <c r="Q8941">
        <v>-9.479038E-4</v>
      </c>
      <c r="R8941">
        <v>1.7427330000000001E-2</v>
      </c>
      <c r="S8941">
        <v>3.0004270000000002</v>
      </c>
      <c r="T8941">
        <v>-0.46028269999999999</v>
      </c>
      <c r="U8941">
        <v>-6.5978999999999996E-2</v>
      </c>
      <c r="V8941">
        <v>-1.119762E-2</v>
      </c>
      <c r="W8941">
        <v>3.1996810000000001E-2</v>
      </c>
      <c r="X8941">
        <v>0.99942520000000001</v>
      </c>
      <c r="Y8941">
        <v>2.7800579999999998E-2</v>
      </c>
      <c r="Z8941">
        <v>-3.3299559999999998E-3</v>
      </c>
      <c r="AA8941">
        <v>0.99960789999999999</v>
      </c>
      <c r="AB8941">
        <v>20</v>
      </c>
      <c r="AC8941">
        <v>0.63060000000000105</v>
      </c>
      <c r="AD8941">
        <v>-0.12335499999999899</v>
      </c>
      <c r="AE8941">
        <v>-1.9500000000022E-2</v>
      </c>
      <c r="AF8941">
        <v>2.25831520220659E-2</v>
      </c>
      <c r="AG8941">
        <v>-0.12335499999999899</v>
      </c>
      <c r="AH8941">
        <v>0.60725112705453699</v>
      </c>
      <c r="AI8941">
        <v>101.474914333594</v>
      </c>
      <c r="AJ8941">
        <v>87.870200276390193</v>
      </c>
      <c r="AK8941">
        <v>0.62006482410249497</v>
      </c>
      <c r="AL8941">
        <v>88.166404787287902</v>
      </c>
      <c r="AM8941">
        <v>90.641918497465795</v>
      </c>
      <c r="AN8941">
        <v>0.99999995646943896</v>
      </c>
    </row>
    <row r="8942" spans="1:40" x14ac:dyDescent="0.25">
      <c r="A8942" t="str">
        <f>"20190303155024370"</f>
        <v>20190303155024370</v>
      </c>
      <c r="B8942" t="str">
        <f>"1551599424359942"</f>
        <v>1551599424359942</v>
      </c>
      <c r="C8942" t="s">
        <v>40</v>
      </c>
      <c r="D8942">
        <v>6.1796600000000002</v>
      </c>
      <c r="E8942">
        <v>0.50531590000000004</v>
      </c>
      <c r="F8942" t="s">
        <v>42</v>
      </c>
      <c r="G8942">
        <v>-122.55589999999999</v>
      </c>
      <c r="H8942">
        <v>1.0033430000000001</v>
      </c>
      <c r="I8942">
        <v>137.571</v>
      </c>
      <c r="J8942">
        <v>-123.0273</v>
      </c>
      <c r="K8942">
        <v>1.124466</v>
      </c>
      <c r="L8942">
        <v>137.58699999999999</v>
      </c>
      <c r="M8942">
        <v>0.99936879999999995</v>
      </c>
      <c r="N8942">
        <v>-3.4742139999999998E-2</v>
      </c>
      <c r="O8942">
        <v>7.4152619999999997E-3</v>
      </c>
      <c r="P8942">
        <v>0.99977490000000002</v>
      </c>
      <c r="Q8942">
        <v>-1.8680469999999999E-4</v>
      </c>
      <c r="R8942">
        <v>2.1225629999999999E-2</v>
      </c>
      <c r="S8942">
        <v>3.0008240000000002</v>
      </c>
      <c r="T8942">
        <v>-0.45153280000000001</v>
      </c>
      <c r="U8942">
        <v>-4.586792E-2</v>
      </c>
      <c r="V8942">
        <v>-1.3835139999999999E-2</v>
      </c>
      <c r="W8942">
        <v>3.4540759999999997E-2</v>
      </c>
      <c r="X8942">
        <v>0.99930750000000002</v>
      </c>
      <c r="Y8942">
        <v>2.2342170000000001E-2</v>
      </c>
      <c r="Z8942">
        <v>-2.9152290000000001E-3</v>
      </c>
      <c r="AA8942">
        <v>0.99974609999999997</v>
      </c>
      <c r="AB8942">
        <v>20</v>
      </c>
      <c r="AC8942">
        <v>0.47140000000000198</v>
      </c>
      <c r="AD8942">
        <v>-0.121122999999999</v>
      </c>
      <c r="AE8942">
        <v>-1.6000000000019499E-2</v>
      </c>
      <c r="AF8942">
        <v>1.8291044382891E-2</v>
      </c>
      <c r="AG8942">
        <v>-0.121122999999999</v>
      </c>
      <c r="AH8942">
        <v>0.44211364848515</v>
      </c>
      <c r="AI8942">
        <v>105.30854412654701</v>
      </c>
      <c r="AJ8942">
        <v>87.630920613482402</v>
      </c>
      <c r="AK8942">
        <v>0.45876990050619898</v>
      </c>
      <c r="AL8942">
        <v>88.020566454389396</v>
      </c>
      <c r="AM8942">
        <v>90.793193776482894</v>
      </c>
      <c r="AN8942">
        <v>0.99999997737822299</v>
      </c>
    </row>
    <row r="8943" spans="1:40" x14ac:dyDescent="0.25">
      <c r="A8943" t="str">
        <f>"20190303155024400"</f>
        <v>20190303155024400</v>
      </c>
      <c r="B8943" t="str">
        <f>"1551599424389223"</f>
        <v>1551599424389223</v>
      </c>
      <c r="C8943" t="s">
        <v>40</v>
      </c>
      <c r="D8943">
        <v>6.3250190000000002</v>
      </c>
      <c r="E8943">
        <v>0.50438490000000002</v>
      </c>
      <c r="F8943" t="s">
        <v>42</v>
      </c>
      <c r="G8943">
        <v>-122.2205</v>
      </c>
      <c r="H8943">
        <v>1.008011</v>
      </c>
      <c r="I8943">
        <v>137.58869999999999</v>
      </c>
      <c r="J8943">
        <v>-122.7771</v>
      </c>
      <c r="K8943">
        <v>1.1244419999999999</v>
      </c>
      <c r="L8943">
        <v>137.5899</v>
      </c>
      <c r="M8943">
        <v>0.99932500000000002</v>
      </c>
      <c r="N8943">
        <v>-3.5788609999999998E-2</v>
      </c>
      <c r="O8943">
        <v>8.3037819999999991E-3</v>
      </c>
      <c r="P8943">
        <v>0.99974249999999998</v>
      </c>
      <c r="Q8943">
        <v>-1.2640189999999999E-3</v>
      </c>
      <c r="R8943">
        <v>2.2667860000000001E-2</v>
      </c>
      <c r="S8943">
        <v>3.0004580000000001</v>
      </c>
      <c r="T8943">
        <v>-0.43308479999999999</v>
      </c>
      <c r="U8943">
        <v>6.3781740000000003E-3</v>
      </c>
      <c r="V8943">
        <v>-1.438647E-2</v>
      </c>
      <c r="W8943">
        <v>3.4510739999999998E-2</v>
      </c>
      <c r="X8943">
        <v>0.99930079999999999</v>
      </c>
      <c r="Y8943">
        <v>6.0562869999999996E-3</v>
      </c>
      <c r="Z8943">
        <v>-1.440179E-3</v>
      </c>
      <c r="AA8943">
        <v>0.9999806</v>
      </c>
      <c r="AB8943">
        <v>19</v>
      </c>
      <c r="AC8943">
        <v>0.55660000000000298</v>
      </c>
      <c r="AD8943">
        <v>-0.11643099999999899</v>
      </c>
      <c r="AE8943">
        <v>-1.20000000001141E-3</v>
      </c>
      <c r="AF8943">
        <v>5.5806141921530402E-3</v>
      </c>
      <c r="AG8943">
        <v>-0.11643099999999899</v>
      </c>
      <c r="AH8943">
        <v>0.53323785620571296</v>
      </c>
      <c r="AI8943">
        <v>102.316407459491</v>
      </c>
      <c r="AJ8943">
        <v>89.400391469340306</v>
      </c>
      <c r="AK8943">
        <v>0.54582958174381302</v>
      </c>
      <c r="AL8943">
        <v>88.022287594590395</v>
      </c>
      <c r="AM8943">
        <v>90.824803775868602</v>
      </c>
      <c r="AN8943">
        <v>1.0000000252875201</v>
      </c>
    </row>
    <row r="8944" spans="1:40" x14ac:dyDescent="0.25">
      <c r="A8944" t="str">
        <f>"20190303155024422"</f>
        <v>20190303155024422</v>
      </c>
      <c r="B8944" t="str">
        <f>"1551599424409719"</f>
        <v>1551599424409719</v>
      </c>
      <c r="C8944" t="s">
        <v>40</v>
      </c>
      <c r="D8944">
        <v>6.2438940000000001</v>
      </c>
      <c r="E8944">
        <v>0.50412789999999996</v>
      </c>
      <c r="F8944" t="s">
        <v>42</v>
      </c>
      <c r="G8944">
        <v>-122.0558</v>
      </c>
      <c r="H8944">
        <v>1.016961</v>
      </c>
      <c r="I8944">
        <v>137.5942</v>
      </c>
      <c r="J8944">
        <v>-122.61199999999999</v>
      </c>
      <c r="K8944">
        <v>1.124411</v>
      </c>
      <c r="L8944">
        <v>137.59200000000001</v>
      </c>
      <c r="M8944">
        <v>0.99929959999999995</v>
      </c>
      <c r="N8944">
        <v>-3.6352589999999997E-2</v>
      </c>
      <c r="O8944">
        <v>8.8758459999999997E-3</v>
      </c>
      <c r="P8944">
        <v>0.99972329999999998</v>
      </c>
      <c r="Q8944">
        <v>-3.2921529999999999E-3</v>
      </c>
      <c r="R8944">
        <v>2.3293009999999999E-2</v>
      </c>
      <c r="S8944">
        <v>2.9997859999999998</v>
      </c>
      <c r="T8944">
        <v>-0.44708589999999998</v>
      </c>
      <c r="U8944">
        <v>1.818848E-2</v>
      </c>
      <c r="V8944">
        <v>-1.4437210000000001E-2</v>
      </c>
      <c r="W8944">
        <v>3.304816E-2</v>
      </c>
      <c r="X8944">
        <v>0.9993495</v>
      </c>
      <c r="Y8944">
        <v>2.7251160000000001E-3</v>
      </c>
      <c r="Z8944">
        <v>-1.245967E-3</v>
      </c>
      <c r="AA8944">
        <v>0.99999550000000004</v>
      </c>
      <c r="AB8944">
        <v>18</v>
      </c>
      <c r="AC8944">
        <v>0.55620000000000402</v>
      </c>
      <c r="AD8944">
        <v>-0.10745</v>
      </c>
      <c r="AE8944">
        <v>2.1999999999877599E-3</v>
      </c>
      <c r="AF8944">
        <v>2.6415156640630698E-3</v>
      </c>
      <c r="AG8944">
        <v>-0.10745</v>
      </c>
      <c r="AH8944">
        <v>0.53618699050255703</v>
      </c>
      <c r="AI8944">
        <v>101.33164125743799</v>
      </c>
      <c r="AJ8944">
        <v>89.717735645674296</v>
      </c>
      <c r="AK8944">
        <v>0.54685369971244902</v>
      </c>
      <c r="AL8944">
        <v>88.106135099182893</v>
      </c>
      <c r="AM8944">
        <v>90.827672062659104</v>
      </c>
      <c r="AN8944">
        <v>1.0000000185311</v>
      </c>
    </row>
    <row r="8945" spans="1:40" x14ac:dyDescent="0.25">
      <c r="A8945" t="str">
        <f>"20190303155024441"</f>
        <v>20190303155024441</v>
      </c>
      <c r="B8945" t="str">
        <f>"1551599424429238"</f>
        <v>1551599424429238</v>
      </c>
      <c r="C8945" t="s">
        <v>40</v>
      </c>
      <c r="D8945">
        <v>6.2412229999999997</v>
      </c>
      <c r="E8945">
        <v>0.50376239999999906</v>
      </c>
      <c r="F8945" t="s">
        <v>42</v>
      </c>
      <c r="G8945">
        <v>-121.76009999999999</v>
      </c>
      <c r="H8945">
        <v>0.99467680000000003</v>
      </c>
      <c r="I8945">
        <v>137.59829999999999</v>
      </c>
      <c r="J8945">
        <v>-122.4683</v>
      </c>
      <c r="K8945">
        <v>1.124396</v>
      </c>
      <c r="L8945">
        <v>137.59389999999999</v>
      </c>
      <c r="M8945">
        <v>0.99927929999999998</v>
      </c>
      <c r="N8945">
        <v>-3.678563E-2</v>
      </c>
      <c r="O8945">
        <v>9.3657740000000003E-3</v>
      </c>
      <c r="P8945">
        <v>0.99970789999999998</v>
      </c>
      <c r="Q8945">
        <v>-3.8442609999999999E-3</v>
      </c>
      <c r="R8945">
        <v>2.3858620000000001E-2</v>
      </c>
      <c r="S8945">
        <v>2.9988100000000002</v>
      </c>
      <c r="T8945">
        <v>-0.45676739999999999</v>
      </c>
      <c r="U8945">
        <v>2.2552490000000001E-2</v>
      </c>
      <c r="V8945">
        <v>-1.4511130000000001E-2</v>
      </c>
      <c r="W8945">
        <v>3.2929489999999999E-2</v>
      </c>
      <c r="X8945">
        <v>0.99935229999999997</v>
      </c>
      <c r="Y8945">
        <v>1.7644939999999999E-3</v>
      </c>
      <c r="Z8945">
        <v>-1.2414909999999999E-3</v>
      </c>
      <c r="AA8945">
        <v>0.99999769999999999</v>
      </c>
      <c r="AB8945">
        <v>17</v>
      </c>
      <c r="AC8945">
        <v>0.70820000000000505</v>
      </c>
      <c r="AD8945">
        <v>-0.12971919999999901</v>
      </c>
      <c r="AE8945">
        <v>4.4000000000039502E-3</v>
      </c>
      <c r="AF8945">
        <v>2.1648964414702301E-3</v>
      </c>
      <c r="AG8945">
        <v>-0.12971919999999901</v>
      </c>
      <c r="AH8945">
        <v>0.68522161596553499</v>
      </c>
      <c r="AI8945">
        <v>100.719744965562</v>
      </c>
      <c r="AJ8945">
        <v>89.818979708788802</v>
      </c>
      <c r="AK8945">
        <v>0.69739545496917499</v>
      </c>
      <c r="AL8945">
        <v>88.112938003842103</v>
      </c>
      <c r="AM8945">
        <v>90.831906904158998</v>
      </c>
      <c r="AN8945">
        <v>0.99999997186041301</v>
      </c>
    </row>
    <row r="8946" spans="1:40" x14ac:dyDescent="0.25">
      <c r="A8946" t="str">
        <f>"20190303155024463"</f>
        <v>20190303155024463</v>
      </c>
      <c r="B8946" t="str">
        <f>"1551599424459496"</f>
        <v>1551599424459496</v>
      </c>
      <c r="C8946" t="s">
        <v>40</v>
      </c>
      <c r="D8946">
        <v>6.157921</v>
      </c>
      <c r="E8946">
        <v>0.50391929999999996</v>
      </c>
      <c r="F8946" t="s">
        <v>42</v>
      </c>
      <c r="G8946">
        <v>-121.61360000000001</v>
      </c>
      <c r="H8946">
        <v>0.99303810000000003</v>
      </c>
      <c r="I8946">
        <v>137.60159999999999</v>
      </c>
      <c r="J8946">
        <v>-122.3074</v>
      </c>
      <c r="K8946">
        <v>1.124377</v>
      </c>
      <c r="L8946">
        <v>137.59620000000001</v>
      </c>
      <c r="M8946">
        <v>0.99925920000000001</v>
      </c>
      <c r="N8946">
        <v>-3.7185530000000001E-2</v>
      </c>
      <c r="O8946">
        <v>9.9174420000000003E-3</v>
      </c>
      <c r="P8946">
        <v>0.99970409999999998</v>
      </c>
      <c r="Q8946">
        <v>-2.9834409999999999E-3</v>
      </c>
      <c r="R8946">
        <v>2.4147640000000001E-2</v>
      </c>
      <c r="S8946">
        <v>2.9984739999999999</v>
      </c>
      <c r="T8946">
        <v>-0.46086719999999998</v>
      </c>
      <c r="U8946">
        <v>2.6901250000000002E-2</v>
      </c>
      <c r="V8946">
        <v>-1.424748E-2</v>
      </c>
      <c r="W8946">
        <v>3.4190970000000001E-2</v>
      </c>
      <c r="X8946">
        <v>0.99931380000000003</v>
      </c>
      <c r="Y8946">
        <v>8.7343070000000004E-4</v>
      </c>
      <c r="Z8946">
        <v>-1.2311640000000001E-3</v>
      </c>
      <c r="AA8946">
        <v>0.99999890000000002</v>
      </c>
      <c r="AB8946">
        <v>17</v>
      </c>
      <c r="AC8946">
        <v>0.69379999999999598</v>
      </c>
      <c r="AD8946">
        <v>-0.13133890000000001</v>
      </c>
      <c r="AE8946">
        <v>5.3999999999802999E-3</v>
      </c>
      <c r="AF8946">
        <v>1.43435097834856E-3</v>
      </c>
      <c r="AG8946">
        <v>-0.13133890000000001</v>
      </c>
      <c r="AH8946">
        <v>0.66981737775143801</v>
      </c>
      <c r="AI8946">
        <v>101.093876070227</v>
      </c>
      <c r="AJ8946">
        <v>89.877306659231195</v>
      </c>
      <c r="AK8946">
        <v>0.68257401324233802</v>
      </c>
      <c r="AL8946">
        <v>88.040619917437098</v>
      </c>
      <c r="AM8946">
        <v>90.816825674185694</v>
      </c>
      <c r="AN8946">
        <v>1.0000000419931601</v>
      </c>
    </row>
    <row r="8947" spans="1:40" x14ac:dyDescent="0.25">
      <c r="A8947" t="str">
        <f>"20190303155024485"</f>
        <v>20190303155024485</v>
      </c>
      <c r="B8947" t="str">
        <f>"1551599424479015"</f>
        <v>1551599424479015</v>
      </c>
      <c r="C8947" t="s">
        <v>40</v>
      </c>
      <c r="D8947">
        <v>6.1979550000000003</v>
      </c>
      <c r="E8947">
        <v>0.50382109999999902</v>
      </c>
      <c r="F8947" t="s">
        <v>42</v>
      </c>
      <c r="G8947">
        <v>-121.4689</v>
      </c>
      <c r="H8947">
        <v>0.99604680000000001</v>
      </c>
      <c r="I8947">
        <v>137.6035</v>
      </c>
      <c r="J8947">
        <v>-122.1497</v>
      </c>
      <c r="K8947">
        <v>1.1243559999999999</v>
      </c>
      <c r="L8947">
        <v>137.5984</v>
      </c>
      <c r="M8947">
        <v>0.99924219999999997</v>
      </c>
      <c r="N8947">
        <v>-3.7491139999999999E-2</v>
      </c>
      <c r="O8947">
        <v>1.046688E-2</v>
      </c>
      <c r="P8947">
        <v>0.99968270000000004</v>
      </c>
      <c r="Q8947">
        <v>-2.3486330000000001E-3</v>
      </c>
      <c r="R8947">
        <v>2.509078E-2</v>
      </c>
      <c r="S8947">
        <v>2.9988709999999998</v>
      </c>
      <c r="T8947">
        <v>-0.45902660000000001</v>
      </c>
      <c r="U8947">
        <v>2.6458740000000001E-2</v>
      </c>
      <c r="V8947">
        <v>-1.4639650000000001E-2</v>
      </c>
      <c r="W8947">
        <v>3.5131199999999897E-2</v>
      </c>
      <c r="X8947">
        <v>0.99927549999999998</v>
      </c>
      <c r="Y8947">
        <v>1.5596609999999999E-3</v>
      </c>
      <c r="Z8947">
        <v>-1.3500729999999901E-3</v>
      </c>
      <c r="AA8947">
        <v>0.9999979</v>
      </c>
      <c r="AB8947">
        <v>16</v>
      </c>
      <c r="AC8947">
        <v>0.68079999999998997</v>
      </c>
      <c r="AD8947">
        <v>-0.12830919999999901</v>
      </c>
      <c r="AE8947">
        <v>5.0999999999987696E-3</v>
      </c>
      <c r="AF8947">
        <v>1.96147624733172E-3</v>
      </c>
      <c r="AG8947">
        <v>-0.12830919999999901</v>
      </c>
      <c r="AH8947">
        <v>0.65746406863418705</v>
      </c>
      <c r="AI8947">
        <v>101.042867422341</v>
      </c>
      <c r="AJ8947">
        <v>89.829064457634701</v>
      </c>
      <c r="AK8947">
        <v>0.66987021111460598</v>
      </c>
      <c r="AL8947">
        <v>87.986716278768398</v>
      </c>
      <c r="AM8947">
        <v>90.839338256931896</v>
      </c>
      <c r="AN8947">
        <v>1.0000000227329</v>
      </c>
    </row>
    <row r="8948" spans="1:40" x14ac:dyDescent="0.25">
      <c r="A8948" t="str">
        <f>"20190303155024508"</f>
        <v>20190303155024508</v>
      </c>
      <c r="B8948" t="str">
        <f>"1551599424499511"</f>
        <v>1551599424499511</v>
      </c>
      <c r="C8948" t="s">
        <v>40</v>
      </c>
      <c r="D8948">
        <v>6.2469270000000003</v>
      </c>
      <c r="E8948">
        <v>0.50366769999999905</v>
      </c>
      <c r="F8948" t="s">
        <v>42</v>
      </c>
      <c r="G8948">
        <v>-121.3282</v>
      </c>
      <c r="H8948">
        <v>0.99885139999999994</v>
      </c>
      <c r="I8948">
        <v>137.60669999999999</v>
      </c>
      <c r="J8948">
        <v>-121.986</v>
      </c>
      <c r="K8948">
        <v>1.124322</v>
      </c>
      <c r="L8948">
        <v>137.6009</v>
      </c>
      <c r="M8948">
        <v>0.99922710000000003</v>
      </c>
      <c r="N8948">
        <v>-3.7726559999999999E-2</v>
      </c>
      <c r="O8948">
        <v>1.1042410000000001E-2</v>
      </c>
      <c r="P8948">
        <v>0.99968299999999999</v>
      </c>
      <c r="Q8948">
        <v>-1.826177E-3</v>
      </c>
      <c r="R8948">
        <v>2.5111049999999999E-2</v>
      </c>
      <c r="S8948">
        <v>2.9991300000000001</v>
      </c>
      <c r="T8948">
        <v>-0.45821079999999997</v>
      </c>
      <c r="U8948">
        <v>3.0075069999999999E-2</v>
      </c>
      <c r="V8948">
        <v>-1.4082249999999999E-2</v>
      </c>
      <c r="W8948">
        <v>3.5890329999999998E-2</v>
      </c>
      <c r="X8948">
        <v>0.99925649999999999</v>
      </c>
      <c r="Y8948">
        <v>9.3672660000000002E-4</v>
      </c>
      <c r="Z8948">
        <v>-1.3512649999999999E-3</v>
      </c>
      <c r="AA8948">
        <v>0.99999859999999896</v>
      </c>
      <c r="AB8948">
        <v>16</v>
      </c>
      <c r="AC8948">
        <v>0.65780000000000804</v>
      </c>
      <c r="AD8948">
        <v>-0.12547059999999999</v>
      </c>
      <c r="AE8948">
        <v>5.7999999999935803E-3</v>
      </c>
      <c r="AF8948">
        <v>1.4176518946476999E-3</v>
      </c>
      <c r="AG8948">
        <v>-0.12547059999999999</v>
      </c>
      <c r="AH8948">
        <v>0.63473237802389204</v>
      </c>
      <c r="AI8948">
        <v>101.18174841223799</v>
      </c>
      <c r="AJ8948">
        <v>89.872032153811503</v>
      </c>
      <c r="AK8948">
        <v>0.64701628489020302</v>
      </c>
      <c r="AL8948">
        <v>87.943193814709403</v>
      </c>
      <c r="AM8948">
        <v>90.807400384557397</v>
      </c>
      <c r="AN8948">
        <v>0.99999998917240995</v>
      </c>
    </row>
    <row r="8949" spans="1:40" x14ac:dyDescent="0.25">
      <c r="A8949" t="str">
        <f>"20190303155024530"</f>
        <v>20190303155024530</v>
      </c>
      <c r="B8949" t="str">
        <f>"1551599424520006"</f>
        <v>1551599424520006</v>
      </c>
      <c r="C8949" t="s">
        <v>40</v>
      </c>
      <c r="D8949">
        <v>6.2372930000000002</v>
      </c>
      <c r="E8949">
        <v>0.5036351</v>
      </c>
      <c r="F8949" t="s">
        <v>42</v>
      </c>
      <c r="G8949">
        <v>-121.1909</v>
      </c>
      <c r="H8949">
        <v>1.0030429999999999</v>
      </c>
      <c r="I8949">
        <v>137.60910000000001</v>
      </c>
      <c r="J8949">
        <v>-121.8386</v>
      </c>
      <c r="K8949">
        <v>1.124296</v>
      </c>
      <c r="L8949">
        <v>137.60310000000001</v>
      </c>
      <c r="M8949">
        <v>0.99921539999999998</v>
      </c>
      <c r="N8949">
        <v>-3.788263E-2</v>
      </c>
      <c r="O8949">
        <v>1.1554780000000001E-2</v>
      </c>
      <c r="P8949">
        <v>0.99969129999999995</v>
      </c>
      <c r="Q8949">
        <v>-2.4276390000000001E-3</v>
      </c>
      <c r="R8949">
        <v>2.4726890000000001E-2</v>
      </c>
      <c r="S8949">
        <v>2.9993289999999999</v>
      </c>
      <c r="T8949">
        <v>-0.45756859999999999</v>
      </c>
      <c r="U8949">
        <v>3.1387329999999998E-2</v>
      </c>
      <c r="V8949">
        <v>-1.3182849999999999E-2</v>
      </c>
      <c r="W8949">
        <v>3.5446680000000001E-2</v>
      </c>
      <c r="X8949">
        <v>0.99928459999999997</v>
      </c>
      <c r="Y8949">
        <v>1.008866E-3</v>
      </c>
      <c r="Z8949">
        <v>-1.4122920000000001E-3</v>
      </c>
      <c r="AA8949">
        <v>0.99999850000000001</v>
      </c>
      <c r="AB8949">
        <v>16</v>
      </c>
      <c r="AC8949">
        <v>0.64770000000000005</v>
      </c>
      <c r="AD8949">
        <v>-0.121252999999999</v>
      </c>
      <c r="AE8949">
        <v>6.0000000000002196E-3</v>
      </c>
      <c r="AF8949">
        <v>1.4393683523677499E-3</v>
      </c>
      <c r="AG8949">
        <v>-0.121252999999999</v>
      </c>
      <c r="AH8949">
        <v>0.62579636315682097</v>
      </c>
      <c r="AI8949">
        <v>100.965605599203</v>
      </c>
      <c r="AJ8949">
        <v>89.868216577816497</v>
      </c>
      <c r="AK8949">
        <v>0.63743662424633096</v>
      </c>
      <c r="AL8949">
        <v>87.968629260875204</v>
      </c>
      <c r="AM8949">
        <v>90.755818566295801</v>
      </c>
      <c r="AN8949">
        <v>0.999999983227152</v>
      </c>
    </row>
    <row r="8950" spans="1:40" x14ac:dyDescent="0.25">
      <c r="A8950" t="str">
        <f>"20190303155024555"</f>
        <v>20190303155024555</v>
      </c>
      <c r="B8950" t="str">
        <f>"1551599424549287"</f>
        <v>1551599424549287</v>
      </c>
      <c r="C8950" t="s">
        <v>40</v>
      </c>
      <c r="D8950">
        <v>6.2442869999999999</v>
      </c>
      <c r="E8950">
        <v>0.50390509999999999</v>
      </c>
      <c r="F8950" t="s">
        <v>42</v>
      </c>
      <c r="G8950">
        <v>-121.059</v>
      </c>
      <c r="H8950">
        <v>1.004691</v>
      </c>
      <c r="I8950">
        <v>137.61109999999999</v>
      </c>
      <c r="J8950">
        <v>-121.6866</v>
      </c>
      <c r="K8950">
        <v>1.124352</v>
      </c>
      <c r="L8950">
        <v>137.60560000000001</v>
      </c>
      <c r="M8950">
        <v>0.99919270000000004</v>
      </c>
      <c r="N8950">
        <v>-3.8325049999999999E-2</v>
      </c>
      <c r="O8950">
        <v>1.2057500000000001E-2</v>
      </c>
      <c r="P8950">
        <v>0.99969350000000001</v>
      </c>
      <c r="Q8950">
        <v>-3.0013040000000002E-3</v>
      </c>
      <c r="R8950">
        <v>2.457875E-2</v>
      </c>
      <c r="S8950">
        <v>2.999069</v>
      </c>
      <c r="T8950">
        <v>-0.46011879999999999</v>
      </c>
      <c r="U8950">
        <v>3.067017E-2</v>
      </c>
      <c r="V8950">
        <v>-1.252963E-2</v>
      </c>
      <c r="W8950">
        <v>3.531753E-2</v>
      </c>
      <c r="X8950">
        <v>0.99929760000000001</v>
      </c>
      <c r="Y8950">
        <v>1.735685E-3</v>
      </c>
      <c r="Z8950">
        <v>-1.54462E-3</v>
      </c>
      <c r="AA8950">
        <v>0.99999729999999998</v>
      </c>
      <c r="AB8950">
        <v>15</v>
      </c>
      <c r="AC8950">
        <v>0.62760000000000005</v>
      </c>
      <c r="AD8950">
        <v>-0.119661</v>
      </c>
      <c r="AE8950">
        <v>5.4999999999836204E-3</v>
      </c>
      <c r="AF8950">
        <v>2.0005305056776399E-3</v>
      </c>
      <c r="AG8950">
        <v>-0.119661</v>
      </c>
      <c r="AH8950">
        <v>0.60560678624486597</v>
      </c>
      <c r="AI8950">
        <v>101.176962820578</v>
      </c>
      <c r="AJ8950">
        <v>89.810732738724099</v>
      </c>
      <c r="AK8950">
        <v>0.61731866696961202</v>
      </c>
      <c r="AL8950">
        <v>87.976033694172202</v>
      </c>
      <c r="AM8950">
        <v>90.718361878130395</v>
      </c>
      <c r="AN8950">
        <v>1.0000000064594901</v>
      </c>
    </row>
    <row r="8951" spans="1:40" x14ac:dyDescent="0.25">
      <c r="A8951" t="str">
        <f>"20190303155024580"</f>
        <v>20190303155024580</v>
      </c>
      <c r="B8951" t="str">
        <f>"1551599424569783"</f>
        <v>1551599424569783</v>
      </c>
      <c r="C8951" t="s">
        <v>40</v>
      </c>
      <c r="D8951">
        <v>6.1768029999999996</v>
      </c>
      <c r="E8951">
        <v>0.50424219999999997</v>
      </c>
      <c r="F8951" t="s">
        <v>42</v>
      </c>
      <c r="G8951">
        <v>-120.9316</v>
      </c>
      <c r="H8951">
        <v>1.00823</v>
      </c>
      <c r="I8951">
        <v>137.61269999999999</v>
      </c>
      <c r="J8951">
        <v>-121.5356</v>
      </c>
      <c r="K8951">
        <v>1.1245210000000001</v>
      </c>
      <c r="L8951">
        <v>137.608</v>
      </c>
      <c r="M8951">
        <v>0.99915109999999996</v>
      </c>
      <c r="N8951">
        <v>-3.9248119999999997E-2</v>
      </c>
      <c r="O8951">
        <v>1.252558E-2</v>
      </c>
      <c r="P8951">
        <v>0.99970440000000005</v>
      </c>
      <c r="Q8951">
        <v>-3.5424509999999998E-3</v>
      </c>
      <c r="R8951">
        <v>2.405643E-2</v>
      </c>
      <c r="S8951">
        <v>2.9988250000000001</v>
      </c>
      <c r="T8951">
        <v>-0.46135409999999999</v>
      </c>
      <c r="U8951">
        <v>2.8594970000000001E-2</v>
      </c>
      <c r="V8951">
        <v>-1.1535480000000001E-2</v>
      </c>
      <c r="W8951">
        <v>3.5701620000000003E-2</v>
      </c>
      <c r="X8951">
        <v>0.99929590000000001</v>
      </c>
      <c r="Y8951">
        <v>2.8762000000000002E-3</v>
      </c>
      <c r="Z8951">
        <v>-1.702786E-3</v>
      </c>
      <c r="AA8951">
        <v>0.99999439999999995</v>
      </c>
      <c r="AB8951">
        <v>15</v>
      </c>
      <c r="AC8951">
        <v>0.60399999999999898</v>
      </c>
      <c r="AD8951">
        <v>-0.11629099999999901</v>
      </c>
      <c r="AE8951">
        <v>4.6999999999854901E-3</v>
      </c>
      <c r="AF8951">
        <v>2.7690123776058801E-3</v>
      </c>
      <c r="AG8951">
        <v>-0.11629099999999901</v>
      </c>
      <c r="AH8951">
        <v>0.58242257369513195</v>
      </c>
      <c r="AI8951">
        <v>101.29150216474901</v>
      </c>
      <c r="AJ8951">
        <v>89.727600655477005</v>
      </c>
      <c r="AK8951">
        <v>0.59392534754816495</v>
      </c>
      <c r="AL8951">
        <v>87.954013025386601</v>
      </c>
      <c r="AM8951">
        <v>90.661370634493295</v>
      </c>
      <c r="AN8951">
        <v>0.99999998436313198</v>
      </c>
    </row>
    <row r="8952" spans="1:40" x14ac:dyDescent="0.25">
      <c r="A8952" t="str">
        <f>"20190303155024604"</f>
        <v>20190303155024604</v>
      </c>
      <c r="B8952" t="str">
        <f>"1551599424599063"</f>
        <v>1551599424599063</v>
      </c>
      <c r="C8952" t="s">
        <v>40</v>
      </c>
      <c r="D8952">
        <v>6.1531449999999897</v>
      </c>
      <c r="E8952">
        <v>0.50433509999999904</v>
      </c>
      <c r="F8952" t="s">
        <v>42</v>
      </c>
      <c r="G8952">
        <v>-120.8096</v>
      </c>
      <c r="H8952">
        <v>1.0126740000000001</v>
      </c>
      <c r="I8952">
        <v>137.614</v>
      </c>
      <c r="J8952">
        <v>-121.3994</v>
      </c>
      <c r="K8952">
        <v>1.124684</v>
      </c>
      <c r="L8952">
        <v>137.6103</v>
      </c>
      <c r="M8952">
        <v>0.99910739999999998</v>
      </c>
      <c r="N8952">
        <v>-4.0213199999999998E-2</v>
      </c>
      <c r="O8952">
        <v>1.294386E-2</v>
      </c>
      <c r="P8952">
        <v>0.99971429999999994</v>
      </c>
      <c r="Q8952">
        <v>-4.1613759999999996E-3</v>
      </c>
      <c r="R8952">
        <v>2.354699E-2</v>
      </c>
      <c r="S8952">
        <v>2.998672</v>
      </c>
      <c r="T8952">
        <v>-0.46191480000000001</v>
      </c>
      <c r="U8952">
        <v>2.4581909999999998E-2</v>
      </c>
      <c r="V8952">
        <v>-1.060474E-2</v>
      </c>
      <c r="W8952">
        <v>3.6049970000000001E-2</v>
      </c>
      <c r="X8952">
        <v>0.99929369999999995</v>
      </c>
      <c r="Y8952">
        <v>4.6053140000000001E-3</v>
      </c>
      <c r="Z8952">
        <v>-1.9095379999999999E-3</v>
      </c>
      <c r="AA8952">
        <v>0.99998750000000003</v>
      </c>
      <c r="AB8952">
        <v>14</v>
      </c>
      <c r="AC8952">
        <v>0.58979999999999599</v>
      </c>
      <c r="AD8952">
        <v>-0.112009999999999</v>
      </c>
      <c r="AE8952">
        <v>3.70000000000914E-3</v>
      </c>
      <c r="AF8952">
        <v>3.8036011778294302E-3</v>
      </c>
      <c r="AG8952">
        <v>-0.112009999999999</v>
      </c>
      <c r="AH8952">
        <v>0.56926775024806597</v>
      </c>
      <c r="AI8952">
        <v>101.13116613973401</v>
      </c>
      <c r="AJ8952">
        <v>89.617180050360602</v>
      </c>
      <c r="AK8952">
        <v>0.58019520762792798</v>
      </c>
      <c r="AL8952">
        <v>87.934041174114498</v>
      </c>
      <c r="AM8952">
        <v>90.608013476825406</v>
      </c>
      <c r="AN8952">
        <v>0.99999997985357902</v>
      </c>
    </row>
    <row r="8953" spans="1:40" x14ac:dyDescent="0.25">
      <c r="A8953" t="str">
        <f>"20190303155024637"</f>
        <v>20190303155024637</v>
      </c>
      <c r="B8953" t="str">
        <f>"1551599424629319"</f>
        <v>1551599424629319</v>
      </c>
      <c r="C8953" t="s">
        <v>40</v>
      </c>
      <c r="D8953">
        <v>6.1639619999999997</v>
      </c>
      <c r="E8953">
        <v>0.50429159999999995</v>
      </c>
      <c r="F8953" t="s">
        <v>42</v>
      </c>
      <c r="G8953">
        <v>-120.5925</v>
      </c>
      <c r="H8953">
        <v>0.99966310000000003</v>
      </c>
      <c r="I8953">
        <v>137.6163</v>
      </c>
      <c r="J8953">
        <v>-121.21720000000001</v>
      </c>
      <c r="K8953">
        <v>1.124687</v>
      </c>
      <c r="L8953">
        <v>137.61340000000001</v>
      </c>
      <c r="M8953">
        <v>0.99907950000000001</v>
      </c>
      <c r="N8953">
        <v>-4.0707130000000001E-2</v>
      </c>
      <c r="O8953">
        <v>1.3546509999999999E-2</v>
      </c>
      <c r="P8953">
        <v>0.99972550000000004</v>
      </c>
      <c r="Q8953">
        <v>-1.192015E-3</v>
      </c>
      <c r="R8953">
        <v>2.3406690000000001E-2</v>
      </c>
      <c r="S8953">
        <v>2.9984130000000002</v>
      </c>
      <c r="T8953">
        <v>-0.46457619999999999</v>
      </c>
      <c r="U8953">
        <v>2.2216799999999998E-2</v>
      </c>
      <c r="V8953">
        <v>-9.8596280000000005E-3</v>
      </c>
      <c r="W8953">
        <v>3.9512190000000003E-2</v>
      </c>
      <c r="X8953">
        <v>0.99917040000000001</v>
      </c>
      <c r="Y8953">
        <v>5.9707669999999897E-3</v>
      </c>
      <c r="Z8953">
        <v>-2.1193850000000001E-3</v>
      </c>
      <c r="AA8953">
        <v>0.99997990000000003</v>
      </c>
      <c r="AB8953">
        <v>13</v>
      </c>
      <c r="AC8953">
        <v>0.62470000000000403</v>
      </c>
      <c r="AD8953">
        <v>-0.12502389999999999</v>
      </c>
      <c r="AE8953">
        <v>2.8999999999825801E-3</v>
      </c>
      <c r="AF8953">
        <v>5.3552947794735604E-3</v>
      </c>
      <c r="AG8953">
        <v>-0.12502389999999999</v>
      </c>
      <c r="AH8953">
        <v>0.60062513648567195</v>
      </c>
      <c r="AI8953">
        <v>101.75811234568</v>
      </c>
      <c r="AJ8953">
        <v>89.489152818203607</v>
      </c>
      <c r="AK8953">
        <v>0.61352278631833801</v>
      </c>
      <c r="AL8953">
        <v>87.73552869465</v>
      </c>
      <c r="AM8953">
        <v>90.565365764510204</v>
      </c>
      <c r="AN8953">
        <v>0.99999995682952603</v>
      </c>
    </row>
    <row r="8954" spans="1:40" x14ac:dyDescent="0.25">
      <c r="A8954" t="str">
        <f>"20190303155024665"</f>
        <v>20190303155024665</v>
      </c>
      <c r="B8954" t="str">
        <f>"1551599424659575"</f>
        <v>1551599424659575</v>
      </c>
      <c r="C8954" t="s">
        <v>40</v>
      </c>
      <c r="D8954">
        <v>6.2613659999999998</v>
      </c>
      <c r="E8954">
        <v>0.50404769999999999</v>
      </c>
      <c r="F8954" t="s">
        <v>42</v>
      </c>
      <c r="G8954">
        <v>-120.4794</v>
      </c>
      <c r="H8954">
        <v>1.012467</v>
      </c>
      <c r="I8954">
        <v>137.61850000000001</v>
      </c>
      <c r="J8954">
        <v>-121.07989999999999</v>
      </c>
      <c r="K8954">
        <v>1.1244959999999999</v>
      </c>
      <c r="L8954">
        <v>137.61590000000001</v>
      </c>
      <c r="M8954">
        <v>0.99909650000000005</v>
      </c>
      <c r="N8954">
        <v>-4.0122980000000003E-2</v>
      </c>
      <c r="O8954">
        <v>1.402025E-2</v>
      </c>
      <c r="P8954">
        <v>0.99972269999999996</v>
      </c>
      <c r="Q8954">
        <v>1.0519119999999999E-3</v>
      </c>
      <c r="R8954">
        <v>2.3533220000000001E-2</v>
      </c>
      <c r="S8954">
        <v>2.9997859999999998</v>
      </c>
      <c r="T8954">
        <v>-0.45632339999999999</v>
      </c>
      <c r="U8954">
        <v>2.107239E-2</v>
      </c>
      <c r="V8954">
        <v>-9.5135710000000002E-3</v>
      </c>
      <c r="W8954">
        <v>4.1169749999999998E-2</v>
      </c>
      <c r="X8954">
        <v>0.99910690000000002</v>
      </c>
      <c r="Y8954">
        <v>6.8206830000000001E-3</v>
      </c>
      <c r="Z8954">
        <v>-2.2137179999999999E-3</v>
      </c>
      <c r="AA8954">
        <v>0.99997429999999998</v>
      </c>
      <c r="AB8954">
        <v>12</v>
      </c>
      <c r="AC8954">
        <v>0.60049999999999604</v>
      </c>
      <c r="AD8954">
        <v>-0.112028999999999</v>
      </c>
      <c r="AE8954">
        <v>2.6000000000010398E-3</v>
      </c>
      <c r="AF8954">
        <v>5.6302460874686098E-3</v>
      </c>
      <c r="AG8954">
        <v>-0.112028999999999</v>
      </c>
      <c r="AH8954">
        <v>0.58028136390145002</v>
      </c>
      <c r="AI8954">
        <v>100.92657471079001</v>
      </c>
      <c r="AJ8954">
        <v>89.444098611225002</v>
      </c>
      <c r="AK8954">
        <v>0.59102339869359799</v>
      </c>
      <c r="AL8954">
        <v>87.640480280715195</v>
      </c>
      <c r="AM8954">
        <v>90.545558231005501</v>
      </c>
      <c r="AN8954">
        <v>1.0000000269879199</v>
      </c>
    </row>
    <row r="8955" spans="1:40" x14ac:dyDescent="0.25">
      <c r="A8955" t="str">
        <f>"20190303155024683"</f>
        <v>20190303155024683</v>
      </c>
      <c r="B8955" t="str">
        <f>"1551599424679095"</f>
        <v>1551599424679095</v>
      </c>
      <c r="C8955" t="s">
        <v>40</v>
      </c>
      <c r="D8955">
        <v>6.0534939999999997</v>
      </c>
      <c r="E8955">
        <v>0.50403500000000001</v>
      </c>
      <c r="F8955" t="s">
        <v>42</v>
      </c>
      <c r="G8955">
        <v>-120.2801</v>
      </c>
      <c r="H8955">
        <v>1.0041230000000001</v>
      </c>
      <c r="I8955">
        <v>137.62200000000001</v>
      </c>
      <c r="J8955">
        <v>-120.9815</v>
      </c>
      <c r="K8955">
        <v>1.12439</v>
      </c>
      <c r="L8955">
        <v>137.61770000000001</v>
      </c>
      <c r="M8955">
        <v>0.99910869999999996</v>
      </c>
      <c r="N8955">
        <v>-3.9694409999999999E-2</v>
      </c>
      <c r="O8955">
        <v>1.435936E-2</v>
      </c>
      <c r="P8955">
        <v>0.99975159999999996</v>
      </c>
      <c r="Q8955">
        <v>2.1750369999999999E-3</v>
      </c>
      <c r="R8955">
        <v>2.2182650000000002E-2</v>
      </c>
      <c r="S8955">
        <v>3.0007480000000002</v>
      </c>
      <c r="T8955">
        <v>-0.45176090000000002</v>
      </c>
      <c r="U8955">
        <v>2.3529049999999999E-2</v>
      </c>
      <c r="V8955">
        <v>-7.8244539999999998E-3</v>
      </c>
      <c r="W8955">
        <v>4.186438E-2</v>
      </c>
      <c r="X8955">
        <v>0.9990926</v>
      </c>
      <c r="Y8955">
        <v>6.351906E-3</v>
      </c>
      <c r="Z8955">
        <v>-2.1841550000000001E-3</v>
      </c>
      <c r="AA8955">
        <v>0.99997749999999996</v>
      </c>
      <c r="AB8955">
        <v>12</v>
      </c>
      <c r="AC8955">
        <v>0.70139999999999203</v>
      </c>
      <c r="AD8955">
        <v>-0.120267</v>
      </c>
      <c r="AE8955">
        <v>4.3000000000006297E-3</v>
      </c>
      <c r="AF8955">
        <v>5.6149639521976998E-3</v>
      </c>
      <c r="AG8955">
        <v>-0.120267</v>
      </c>
      <c r="AH8955">
        <v>0.681357555116615</v>
      </c>
      <c r="AI8955">
        <v>100.009883833972</v>
      </c>
      <c r="AJ8955">
        <v>89.527844885897906</v>
      </c>
      <c r="AK8955">
        <v>0.69191314268748705</v>
      </c>
      <c r="AL8955">
        <v>87.600646350116605</v>
      </c>
      <c r="AM8955">
        <v>90.448706182108594</v>
      </c>
      <c r="AN8955">
        <v>0.99999993588396896</v>
      </c>
    </row>
    <row r="8956" spans="1:40" x14ac:dyDescent="0.25">
      <c r="A8956" t="str">
        <f>"20190303155024710"</f>
        <v>20190303155024710</v>
      </c>
      <c r="B8956" t="str">
        <f>"1551599424689830"</f>
        <v>1551599424689830</v>
      </c>
      <c r="C8956" t="s">
        <v>40</v>
      </c>
      <c r="D8956">
        <v>6.2402300000000004</v>
      </c>
      <c r="E8956">
        <v>0.50395270000000003</v>
      </c>
      <c r="F8956" t="s">
        <v>42</v>
      </c>
      <c r="G8956">
        <v>-120.184</v>
      </c>
      <c r="H8956">
        <v>1.0050840000000001</v>
      </c>
      <c r="I8956">
        <v>137.6232</v>
      </c>
      <c r="J8956">
        <v>-120.8604</v>
      </c>
      <c r="K8956">
        <v>1.1243529999999999</v>
      </c>
      <c r="L8956">
        <v>137.62</v>
      </c>
      <c r="M8956">
        <v>0.99911070000000002</v>
      </c>
      <c r="N8956">
        <v>-3.948952E-2</v>
      </c>
      <c r="O8956">
        <v>1.47869E-2</v>
      </c>
      <c r="P8956">
        <v>0.99979479999999998</v>
      </c>
      <c r="Q8956">
        <v>2.4398010000000001E-3</v>
      </c>
      <c r="R8956">
        <v>2.0109060000000002E-2</v>
      </c>
      <c r="S8956">
        <v>3.0012509999999999</v>
      </c>
      <c r="T8956">
        <v>-0.44893119999999997</v>
      </c>
      <c r="U8956">
        <v>2.055359E-2</v>
      </c>
      <c r="V8956">
        <v>-5.3209119999999997E-3</v>
      </c>
      <c r="W8956">
        <v>4.1925839999999999E-2</v>
      </c>
      <c r="X8956">
        <v>0.99910659999999896</v>
      </c>
      <c r="Y8956">
        <v>7.7523430000000001E-3</v>
      </c>
      <c r="Z8956">
        <v>-2.3484920000000002E-3</v>
      </c>
      <c r="AA8956">
        <v>0.99996719999999895</v>
      </c>
      <c r="AB8956">
        <v>11</v>
      </c>
      <c r="AC8956">
        <v>0.676400000000001</v>
      </c>
      <c r="AD8956">
        <v>-0.119269</v>
      </c>
      <c r="AE8956">
        <v>3.19999999999254E-3</v>
      </c>
      <c r="AF8956">
        <v>6.6046685063495102E-3</v>
      </c>
      <c r="AG8956">
        <v>-0.119269</v>
      </c>
      <c r="AH8956">
        <v>0.65597810537814905</v>
      </c>
      <c r="AI8956">
        <v>100.304356817857</v>
      </c>
      <c r="AJ8956">
        <v>89.423141045466195</v>
      </c>
      <c r="AK8956">
        <v>0.66676531909104597</v>
      </c>
      <c r="AL8956">
        <v>87.597122114758605</v>
      </c>
      <c r="AM8956">
        <v>90.3051355266104</v>
      </c>
      <c r="AN8956">
        <v>1.00000004316388</v>
      </c>
    </row>
    <row r="8957" spans="1:40" x14ac:dyDescent="0.25">
      <c r="A8957" t="str">
        <f>"20190303155024735"</f>
        <v>20190303155024735</v>
      </c>
      <c r="B8957" t="str">
        <f>"1551599424729847"</f>
        <v>1551599424729847</v>
      </c>
      <c r="C8957" t="s">
        <v>40</v>
      </c>
      <c r="D8957">
        <v>6.3585659999999997</v>
      </c>
      <c r="E8957">
        <v>0.50356939999999994</v>
      </c>
      <c r="F8957" t="s">
        <v>42</v>
      </c>
      <c r="G8957">
        <v>-120.0907</v>
      </c>
      <c r="H8957">
        <v>1.009285</v>
      </c>
      <c r="I8957">
        <v>137.62379999999999</v>
      </c>
      <c r="J8957">
        <v>-120.7471</v>
      </c>
      <c r="K8957">
        <v>1.124371</v>
      </c>
      <c r="L8957">
        <v>137.62219999999999</v>
      </c>
      <c r="M8957">
        <v>0.99910549999999998</v>
      </c>
      <c r="N8957">
        <v>-3.9461629999999998E-2</v>
      </c>
      <c r="O8957">
        <v>1.520558E-2</v>
      </c>
      <c r="P8957">
        <v>0.99980970000000002</v>
      </c>
      <c r="Q8957">
        <v>3.5592610000000002E-3</v>
      </c>
      <c r="R8957">
        <v>1.9181770000000001E-2</v>
      </c>
      <c r="S8957">
        <v>3.001404</v>
      </c>
      <c r="T8957">
        <v>-0.4488046</v>
      </c>
      <c r="U8957">
        <v>1.542664E-2</v>
      </c>
      <c r="V8957">
        <v>-3.9724799999999996E-3</v>
      </c>
      <c r="W8957">
        <v>4.301729E-2</v>
      </c>
      <c r="X8957">
        <v>0.99906640000000002</v>
      </c>
      <c r="Y8957">
        <v>9.8478360000000004E-3</v>
      </c>
      <c r="Z8957">
        <v>-2.5911440000000001E-3</v>
      </c>
      <c r="AA8957">
        <v>0.99994810000000001</v>
      </c>
      <c r="AB8957">
        <v>11</v>
      </c>
      <c r="AC8957">
        <v>0.65640000000000498</v>
      </c>
      <c r="AD8957">
        <v>-0.11508599999999999</v>
      </c>
      <c r="AE8957">
        <v>1.59999999999627E-3</v>
      </c>
      <c r="AF8957">
        <v>8.1387220549477505E-3</v>
      </c>
      <c r="AG8957">
        <v>-0.11508599999999999</v>
      </c>
      <c r="AH8957">
        <v>0.63677385073220205</v>
      </c>
      <c r="AI8957">
        <v>100.243825127992</v>
      </c>
      <c r="AJ8957">
        <v>89.267732124718506</v>
      </c>
      <c r="AK8957">
        <v>0.64714137803806404</v>
      </c>
      <c r="AL8957">
        <v>87.534529976381805</v>
      </c>
      <c r="AM8957">
        <v>90.227817829443694</v>
      </c>
      <c r="AN8957">
        <v>0.99999996972262595</v>
      </c>
    </row>
    <row r="8958" spans="1:40" x14ac:dyDescent="0.25">
      <c r="A8958" t="str">
        <f>"20190303155024778"</f>
        <v>20190303155024778</v>
      </c>
      <c r="B8958" t="str">
        <f>"1551599424769863"</f>
        <v>1551599424769863</v>
      </c>
      <c r="C8958" t="s">
        <v>40</v>
      </c>
      <c r="D8958">
        <v>6.1104539999999998</v>
      </c>
      <c r="E8958">
        <v>0.50298529999999997</v>
      </c>
      <c r="F8958" t="s">
        <v>42</v>
      </c>
      <c r="G8958">
        <v>-120.00149999999999</v>
      </c>
      <c r="H8958">
        <v>1.01362</v>
      </c>
      <c r="I8958">
        <v>137.62629999999999</v>
      </c>
      <c r="J8958">
        <v>-120.56959999999999</v>
      </c>
      <c r="K8958">
        <v>1.1243449999999999</v>
      </c>
      <c r="L8958">
        <v>137.62569999999999</v>
      </c>
      <c r="M8958">
        <v>0.99910549999999998</v>
      </c>
      <c r="N8958">
        <v>-3.920121E-2</v>
      </c>
      <c r="O8958">
        <v>1.5862680000000001E-2</v>
      </c>
      <c r="P8958">
        <v>0.99977179999999999</v>
      </c>
      <c r="Q8958">
        <v>5.7999990000000001E-3</v>
      </c>
      <c r="R8958">
        <v>2.05726E-2</v>
      </c>
      <c r="S8958">
        <v>3.001846</v>
      </c>
      <c r="T8958">
        <v>-0.44592599999999999</v>
      </c>
      <c r="U8958">
        <v>1.672363E-2</v>
      </c>
      <c r="V8958">
        <v>-4.7042830000000001E-3</v>
      </c>
      <c r="W8958">
        <v>4.4994720000000002E-2</v>
      </c>
      <c r="X8958">
        <v>0.99897619999999998</v>
      </c>
      <c r="Y8958">
        <v>1.007006E-2</v>
      </c>
      <c r="Z8958">
        <v>-2.6665259999999998E-3</v>
      </c>
      <c r="AA8958">
        <v>0.9999458</v>
      </c>
      <c r="AB8958">
        <v>10</v>
      </c>
      <c r="AC8958">
        <v>0.56810000000000105</v>
      </c>
      <c r="AD8958">
        <v>-0.110725</v>
      </c>
      <c r="AE8958">
        <v>5.9999999999149601E-4</v>
      </c>
      <c r="AF8958">
        <v>8.1104976412526807E-3</v>
      </c>
      <c r="AG8958">
        <v>-0.110725</v>
      </c>
      <c r="AH8958">
        <v>0.54724927577951898</v>
      </c>
      <c r="AI8958">
        <v>101.43702190667599</v>
      </c>
      <c r="AJ8958">
        <v>89.150911135795894</v>
      </c>
      <c r="AK8958">
        <v>0.55839732774987105</v>
      </c>
      <c r="AL8958">
        <v>87.421121910054694</v>
      </c>
      <c r="AM8958">
        <v>90.269809800458802</v>
      </c>
      <c r="AN8958">
        <v>1.00000005163642</v>
      </c>
    </row>
    <row r="8959" spans="1:40" x14ac:dyDescent="0.25">
      <c r="A8959" t="str">
        <f>"20190303155024826"</f>
        <v>20190303155024826</v>
      </c>
      <c r="B8959" t="str">
        <f>"1551599424819639"</f>
        <v>1551599424819639</v>
      </c>
      <c r="C8959" t="s">
        <v>40</v>
      </c>
      <c r="D8959">
        <v>6.3316879999999998</v>
      </c>
      <c r="E8959">
        <v>0.50278230000000002</v>
      </c>
      <c r="F8959" t="s">
        <v>42</v>
      </c>
      <c r="G8959">
        <v>-119.837</v>
      </c>
      <c r="H8959">
        <v>1.0171870000000001</v>
      </c>
      <c r="I8959">
        <v>137.63200000000001</v>
      </c>
      <c r="J8959">
        <v>-120.3925</v>
      </c>
      <c r="K8959">
        <v>1.1242829999999999</v>
      </c>
      <c r="L8959">
        <v>137.6294</v>
      </c>
      <c r="M8959">
        <v>0.99911459999999996</v>
      </c>
      <c r="N8959">
        <v>-3.8705709999999997E-2</v>
      </c>
      <c r="O8959">
        <v>1.6491949999999998E-2</v>
      </c>
      <c r="P8959">
        <v>0.99979700000000005</v>
      </c>
      <c r="Q8959">
        <v>-7.9559809999999896E-4</v>
      </c>
      <c r="R8959">
        <v>2.0135299999999998E-2</v>
      </c>
      <c r="S8959">
        <v>3.0026860000000002</v>
      </c>
      <c r="T8959">
        <v>-0.43931759999999997</v>
      </c>
      <c r="U8959">
        <v>2.6290890000000001E-2</v>
      </c>
      <c r="V8959">
        <v>-3.634993E-3</v>
      </c>
      <c r="W8959">
        <v>3.7910260000000001E-2</v>
      </c>
      <c r="X8959">
        <v>0.99927460000000001</v>
      </c>
      <c r="Y8959">
        <v>7.5526329999999996E-3</v>
      </c>
      <c r="Z8959">
        <v>-2.4606279999999999E-3</v>
      </c>
      <c r="AA8959">
        <v>0.99996850000000004</v>
      </c>
      <c r="AB8959">
        <v>8</v>
      </c>
      <c r="AC8959">
        <v>0.555499999999995</v>
      </c>
      <c r="AD8959">
        <v>-0.107095999999999</v>
      </c>
      <c r="AE8959">
        <v>2.6000000000010398E-3</v>
      </c>
      <c r="AF8959">
        <v>6.3331130548896298E-3</v>
      </c>
      <c r="AG8959">
        <v>-0.107095999999999</v>
      </c>
      <c r="AH8959">
        <v>0.53556151393614104</v>
      </c>
      <c r="AI8959">
        <v>101.30748523733401</v>
      </c>
      <c r="AJ8959">
        <v>89.322498484923102</v>
      </c>
      <c r="AK8959">
        <v>0.54620124198553199</v>
      </c>
      <c r="AL8959">
        <v>87.827381617780205</v>
      </c>
      <c r="AM8959">
        <v>90.208420026720404</v>
      </c>
      <c r="AN8959">
        <v>1.00000006359626</v>
      </c>
    </row>
    <row r="8960" spans="1:40" x14ac:dyDescent="0.25">
      <c r="A8960" t="str">
        <f>"20190303155024849"</f>
        <v>20190303155024849</v>
      </c>
      <c r="B8960" t="str">
        <f>"1551599424840135"</f>
        <v>1551599424840135</v>
      </c>
      <c r="C8960" t="s">
        <v>40</v>
      </c>
      <c r="D8960">
        <v>6.1862919999999999</v>
      </c>
      <c r="E8960">
        <v>0.50328390000000001</v>
      </c>
      <c r="F8960" t="s">
        <v>42</v>
      </c>
      <c r="G8960">
        <v>-119.6276</v>
      </c>
      <c r="H8960">
        <v>1.0068859999999999</v>
      </c>
      <c r="I8960">
        <v>137.636</v>
      </c>
      <c r="J8960">
        <v>-120.3184</v>
      </c>
      <c r="K8960">
        <v>1.1242799999999999</v>
      </c>
      <c r="L8960">
        <v>137.6309</v>
      </c>
      <c r="M8960">
        <v>0.99911640000000002</v>
      </c>
      <c r="N8960">
        <v>-3.8538349999999999E-2</v>
      </c>
      <c r="O8960">
        <v>1.6770239999999999E-2</v>
      </c>
      <c r="P8960">
        <v>0.99980469999999999</v>
      </c>
      <c r="Q8960">
        <v>-1.8101840000000001E-3</v>
      </c>
      <c r="R8960">
        <v>1.9684480000000001E-2</v>
      </c>
      <c r="S8960">
        <v>2.9997099999999999</v>
      </c>
      <c r="T8960">
        <v>-0.46045740000000002</v>
      </c>
      <c r="U8960">
        <v>2.6184079999999998E-2</v>
      </c>
      <c r="V8960">
        <v>-2.9046599999999999E-3</v>
      </c>
      <c r="W8960">
        <v>3.6728999999999998E-2</v>
      </c>
      <c r="X8960">
        <v>0.99932100000000001</v>
      </c>
      <c r="Y8960">
        <v>7.8296770000000002E-3</v>
      </c>
      <c r="Z8960">
        <v>-2.6647799999999998E-3</v>
      </c>
      <c r="AA8960">
        <v>0.99996580000000002</v>
      </c>
      <c r="AB8960">
        <v>8</v>
      </c>
      <c r="AC8960">
        <v>0.69079999999999497</v>
      </c>
      <c r="AD8960">
        <v>-0.117394</v>
      </c>
      <c r="AE8960">
        <v>5.0999999999987696E-3</v>
      </c>
      <c r="AF8960">
        <v>6.3119378613670698E-3</v>
      </c>
      <c r="AG8960">
        <v>-0.117394</v>
      </c>
      <c r="AH8960">
        <v>0.67139977947202101</v>
      </c>
      <c r="AI8960">
        <v>99.917455938024901</v>
      </c>
      <c r="AJ8960">
        <v>89.461368982723997</v>
      </c>
      <c r="AK8960">
        <v>0.68161488809344895</v>
      </c>
      <c r="AL8960">
        <v>87.8951097901341</v>
      </c>
      <c r="AM8960">
        <v>90.166537369115503</v>
      </c>
      <c r="AN8960">
        <v>0.99999995876585701</v>
      </c>
    </row>
    <row r="8961" spans="1:40" x14ac:dyDescent="0.25">
      <c r="A8961" t="str">
        <f>"20190303155024872"</f>
        <v>20190303155024872</v>
      </c>
      <c r="B8961" t="str">
        <f>"1551599424859656"</f>
        <v>1551599424859656</v>
      </c>
      <c r="C8961" t="s">
        <v>40</v>
      </c>
      <c r="D8961">
        <v>6.1396379999999997</v>
      </c>
      <c r="E8961">
        <v>0.50367839999999997</v>
      </c>
      <c r="F8961" t="s">
        <v>42</v>
      </c>
      <c r="G8961">
        <v>-119.56310000000001</v>
      </c>
      <c r="H8961">
        <v>1.0079070000000001</v>
      </c>
      <c r="I8961">
        <v>137.6361</v>
      </c>
      <c r="J8961">
        <v>-120.2431</v>
      </c>
      <c r="K8961">
        <v>1.1241289999999999</v>
      </c>
      <c r="L8961">
        <v>137.63249999999999</v>
      </c>
      <c r="M8961">
        <v>0.99914369999999997</v>
      </c>
      <c r="N8961">
        <v>-3.7688270000000003E-2</v>
      </c>
      <c r="O8961">
        <v>1.7077019999999998E-2</v>
      </c>
      <c r="P8961">
        <v>0.99979419999999997</v>
      </c>
      <c r="Q8961">
        <v>1.4233589999999999E-3</v>
      </c>
      <c r="R8961">
        <v>2.02401E-2</v>
      </c>
      <c r="S8961">
        <v>2.9993439999999998</v>
      </c>
      <c r="T8961">
        <v>-0.46214870000000002</v>
      </c>
      <c r="U8961">
        <v>2.053833E-2</v>
      </c>
      <c r="V8961">
        <v>-3.154067E-3</v>
      </c>
      <c r="W8961">
        <v>3.9110520000000003E-2</v>
      </c>
      <c r="X8961">
        <v>0.9992299</v>
      </c>
      <c r="Y8961">
        <v>9.9804620000000007E-3</v>
      </c>
      <c r="Z8961">
        <v>-2.9285890000000001E-3</v>
      </c>
      <c r="AA8961">
        <v>0.99994590000000005</v>
      </c>
      <c r="AB8961">
        <v>8</v>
      </c>
      <c r="AC8961">
        <v>0.67999999999999206</v>
      </c>
      <c r="AD8961">
        <v>-0.11622200000000001</v>
      </c>
      <c r="AE8961">
        <v>3.6000000000058199E-3</v>
      </c>
      <c r="AF8961">
        <v>7.7934982763194398E-3</v>
      </c>
      <c r="AG8961">
        <v>-0.11622200000000001</v>
      </c>
      <c r="AH8961">
        <v>0.66066356506458601</v>
      </c>
      <c r="AI8961">
        <v>99.976540380505995</v>
      </c>
      <c r="AJ8961">
        <v>89.324143374245097</v>
      </c>
      <c r="AK8961">
        <v>0.670853663702623</v>
      </c>
      <c r="AL8961">
        <v>87.758560562533901</v>
      </c>
      <c r="AM8961">
        <v>90.1808534024278</v>
      </c>
      <c r="AN8961">
        <v>0.99999998698365999</v>
      </c>
    </row>
    <row r="8962" spans="1:40" x14ac:dyDescent="0.25">
      <c r="A8962" t="str">
        <f>"20190303155024894"</f>
        <v>20190303155024894</v>
      </c>
      <c r="B8962" t="str">
        <f>"1551599424889911"</f>
        <v>1551599424889911</v>
      </c>
      <c r="C8962" t="s">
        <v>40</v>
      </c>
      <c r="D8962">
        <v>6.1116000000000001</v>
      </c>
      <c r="E8962">
        <v>0.50437860000000001</v>
      </c>
      <c r="F8962" t="s">
        <v>42</v>
      </c>
      <c r="G8962">
        <v>-119.4969</v>
      </c>
      <c r="H8962">
        <v>1.011768</v>
      </c>
      <c r="I8962">
        <v>137.63679999999999</v>
      </c>
      <c r="J8962">
        <v>-120.17019999999999</v>
      </c>
      <c r="K8962">
        <v>1.1237649999999999</v>
      </c>
      <c r="L8962">
        <v>137.63409999999999</v>
      </c>
      <c r="M8962">
        <v>0.99920699999999996</v>
      </c>
      <c r="N8962">
        <v>-3.581699E-2</v>
      </c>
      <c r="O8962">
        <v>1.7400099999999901E-2</v>
      </c>
      <c r="P8962">
        <v>0.99974850000000004</v>
      </c>
      <c r="Q8962">
        <v>5.4676489999999998E-3</v>
      </c>
      <c r="R8962">
        <v>2.1755139999999999E-2</v>
      </c>
      <c r="S8962">
        <v>3.0009160000000001</v>
      </c>
      <c r="T8962">
        <v>-0.4519261</v>
      </c>
      <c r="U8962">
        <v>1.768494E-2</v>
      </c>
      <c r="V8962">
        <v>-4.3491479999999997E-3</v>
      </c>
      <c r="W8962">
        <v>4.1280289999999997E-2</v>
      </c>
      <c r="X8962">
        <v>0.99913810000000003</v>
      </c>
      <c r="Y8962">
        <v>1.124754E-2</v>
      </c>
      <c r="Z8962">
        <v>-3.0298149999999999E-3</v>
      </c>
      <c r="AA8962">
        <v>0.99993220000000005</v>
      </c>
      <c r="AB8962">
        <v>7</v>
      </c>
      <c r="AC8962">
        <v>0.67329999999999701</v>
      </c>
      <c r="AD8962">
        <v>-0.111996999999999</v>
      </c>
      <c r="AE8962">
        <v>2.7000000000043599E-3</v>
      </c>
      <c r="AF8962">
        <v>8.7804728740243903E-3</v>
      </c>
      <c r="AG8962">
        <v>-0.111996999999999</v>
      </c>
      <c r="AH8962">
        <v>0.65511867230569298</v>
      </c>
      <c r="AI8962">
        <v>99.700463673619893</v>
      </c>
      <c r="AJ8962">
        <v>89.232117877035506</v>
      </c>
      <c r="AK8962">
        <v>0.66468105096840702</v>
      </c>
      <c r="AL8962">
        <v>87.634141258452203</v>
      </c>
      <c r="AM8962">
        <v>90.249401209950094</v>
      </c>
      <c r="AN8962">
        <v>0.99999996015120896</v>
      </c>
    </row>
    <row r="8963" spans="1:40" x14ac:dyDescent="0.25">
      <c r="A8963" t="str">
        <f>"20190303155024917"</f>
        <v>20190303155024917</v>
      </c>
      <c r="B8963" t="str">
        <f>"1551599424910408"</f>
        <v>1551599424910408</v>
      </c>
      <c r="C8963" t="s">
        <v>40</v>
      </c>
      <c r="D8963">
        <v>6.2067600000000001</v>
      </c>
      <c r="E8963">
        <v>0.50480009999999997</v>
      </c>
      <c r="F8963" t="s">
        <v>42</v>
      </c>
      <c r="G8963">
        <v>-119.43049999999999</v>
      </c>
      <c r="H8963">
        <v>1.0160359999999999</v>
      </c>
      <c r="I8963">
        <v>137.63810000000001</v>
      </c>
      <c r="J8963">
        <v>-120.1009</v>
      </c>
      <c r="K8963">
        <v>1.1234980000000001</v>
      </c>
      <c r="L8963">
        <v>137.63570000000001</v>
      </c>
      <c r="M8963">
        <v>0.9992607</v>
      </c>
      <c r="N8963">
        <v>-3.4126780000000002E-2</v>
      </c>
      <c r="O8963">
        <v>1.770505E-2</v>
      </c>
      <c r="P8963">
        <v>0.99968360000000001</v>
      </c>
      <c r="Q8963">
        <v>8.4647590000000005E-3</v>
      </c>
      <c r="R8963">
        <v>2.3686639999999998E-2</v>
      </c>
      <c r="S8963">
        <v>3.002777</v>
      </c>
      <c r="T8963">
        <v>-0.4372858</v>
      </c>
      <c r="U8963">
        <v>1.6281130000000001E-2</v>
      </c>
      <c r="V8963">
        <v>-5.9781909999999999E-3</v>
      </c>
      <c r="W8963">
        <v>4.2583759999999998E-2</v>
      </c>
      <c r="X8963">
        <v>0.99907500000000005</v>
      </c>
      <c r="Y8963">
        <v>1.2027680000000001E-2</v>
      </c>
      <c r="Z8963">
        <v>-3.0404709999999999E-3</v>
      </c>
      <c r="AA8963">
        <v>0.99992309999999995</v>
      </c>
      <c r="AB8963">
        <v>7</v>
      </c>
      <c r="AC8963">
        <v>0.6704</v>
      </c>
      <c r="AD8963">
        <v>-0.107461999999999</v>
      </c>
      <c r="AE8963">
        <v>2.3999999999944001E-3</v>
      </c>
      <c r="AF8963">
        <v>9.2393610663670696E-3</v>
      </c>
      <c r="AG8963">
        <v>-0.107461999999999</v>
      </c>
      <c r="AH8963">
        <v>0.653544951798809</v>
      </c>
      <c r="AI8963">
        <v>99.336638772676295</v>
      </c>
      <c r="AJ8963">
        <v>89.190046331713305</v>
      </c>
      <c r="AK8963">
        <v>0.66238542500467401</v>
      </c>
      <c r="AL8963">
        <v>87.559392237968098</v>
      </c>
      <c r="AM8963">
        <v>90.3428381507658</v>
      </c>
      <c r="AN8963">
        <v>0.99999998550418501</v>
      </c>
    </row>
    <row r="8964" spans="1:40" x14ac:dyDescent="0.25">
      <c r="A8964" t="str">
        <f>"20190303155024940"</f>
        <v>20190303155024940</v>
      </c>
      <c r="B8964" t="str">
        <f>"1551599424929928"</f>
        <v>1551599424929928</v>
      </c>
      <c r="C8964" t="s">
        <v>40</v>
      </c>
      <c r="D8964">
        <v>6.2019010000000003</v>
      </c>
      <c r="E8964">
        <v>0.50502539999999996</v>
      </c>
      <c r="F8964" t="s">
        <v>42</v>
      </c>
      <c r="G8964">
        <v>-119.3669</v>
      </c>
      <c r="H8964">
        <v>1.0190790000000001</v>
      </c>
      <c r="I8964">
        <v>137.6404</v>
      </c>
      <c r="J8964">
        <v>-120.03360000000001</v>
      </c>
      <c r="K8964">
        <v>1.1235999999999999</v>
      </c>
      <c r="L8964">
        <v>137.63720000000001</v>
      </c>
      <c r="M8964">
        <v>0.99926910000000002</v>
      </c>
      <c r="N8964">
        <v>-3.3734859999999998E-2</v>
      </c>
      <c r="O8964">
        <v>1.7983740000000002E-2</v>
      </c>
      <c r="P8964">
        <v>0.99963860000000004</v>
      </c>
      <c r="Q8964">
        <v>8.7134050000000005E-3</v>
      </c>
      <c r="R8964">
        <v>2.5436360000000002E-2</v>
      </c>
      <c r="S8964">
        <v>3.004105</v>
      </c>
      <c r="T8964">
        <v>-0.42748520000000001</v>
      </c>
      <c r="U8964">
        <v>1.9638059999999999E-2</v>
      </c>
      <c r="V8964">
        <v>-7.4483880000000002E-3</v>
      </c>
      <c r="W8964">
        <v>4.2440840000000001E-2</v>
      </c>
      <c r="X8964">
        <v>0.99907120000000005</v>
      </c>
      <c r="Y8964">
        <v>1.121233E-2</v>
      </c>
      <c r="Z8964">
        <v>-2.9256479999999999E-3</v>
      </c>
      <c r="AA8964">
        <v>0.99993290000000001</v>
      </c>
      <c r="AB8964">
        <v>7</v>
      </c>
      <c r="AC8964">
        <v>0.66670000000000496</v>
      </c>
      <c r="AD8964">
        <v>-0.104520999999999</v>
      </c>
      <c r="AE8964">
        <v>3.19999999999254E-3</v>
      </c>
      <c r="AF8964">
        <v>8.5860809863269605E-3</v>
      </c>
      <c r="AG8964">
        <v>-0.104520999999999</v>
      </c>
      <c r="AH8964">
        <v>0.65065814381541498</v>
      </c>
      <c r="AI8964">
        <v>99.125184073144595</v>
      </c>
      <c r="AJ8964">
        <v>89.243969116751899</v>
      </c>
      <c r="AK8964">
        <v>0.65905567317262703</v>
      </c>
      <c r="AL8964">
        <v>87.567588354629706</v>
      </c>
      <c r="AM8964">
        <v>90.427150027082604</v>
      </c>
      <c r="AN8964">
        <v>0.999999983026572</v>
      </c>
    </row>
    <row r="8965" spans="1:40" x14ac:dyDescent="0.25">
      <c r="A8965" t="str">
        <f>"20190303155024964"</f>
        <v>20190303155024964</v>
      </c>
      <c r="B8965" t="str">
        <f>"1551599424959209"</f>
        <v>1551599424959209</v>
      </c>
      <c r="C8965" t="s">
        <v>40</v>
      </c>
      <c r="D8965">
        <v>6.2139419999999896</v>
      </c>
      <c r="E8965">
        <v>0.50533899999999998</v>
      </c>
      <c r="F8965" t="s">
        <v>42</v>
      </c>
      <c r="G8965">
        <v>-119.3098</v>
      </c>
      <c r="H8965">
        <v>1.0205029999999999</v>
      </c>
      <c r="I8965">
        <v>137.64279999999999</v>
      </c>
      <c r="J8965">
        <v>-119.9768</v>
      </c>
      <c r="K8965">
        <v>1.1239250000000001</v>
      </c>
      <c r="L8965">
        <v>137.6386</v>
      </c>
      <c r="M8965">
        <v>0.9992415</v>
      </c>
      <c r="N8965">
        <v>-3.4419940000000003E-2</v>
      </c>
      <c r="O8965">
        <v>1.821147E-2</v>
      </c>
      <c r="P8965">
        <v>0.99961029999999995</v>
      </c>
      <c r="Q8965">
        <v>8.7372549999999993E-3</v>
      </c>
      <c r="R8965">
        <v>2.6516350000000001E-2</v>
      </c>
      <c r="S8965">
        <v>3.0042270000000002</v>
      </c>
      <c r="T8965">
        <v>-0.42805599999999999</v>
      </c>
      <c r="U8965">
        <v>2.3666380000000001E-2</v>
      </c>
      <c r="V8965">
        <v>-8.2975440000000004E-3</v>
      </c>
      <c r="W8965">
        <v>4.3149729999999997E-2</v>
      </c>
      <c r="X8965">
        <v>0.99903419999999998</v>
      </c>
      <c r="Y8965">
        <v>1.011277E-2</v>
      </c>
      <c r="Z8965">
        <v>-2.8489700000000001E-3</v>
      </c>
      <c r="AA8965">
        <v>0.99994479999999997</v>
      </c>
      <c r="AB8965">
        <v>7</v>
      </c>
      <c r="AC8965">
        <v>0.66700000000000104</v>
      </c>
      <c r="AD8965">
        <v>-0.103421999999999</v>
      </c>
      <c r="AE8965">
        <v>4.1999999999973101E-3</v>
      </c>
      <c r="AF8965">
        <v>7.7681929288483699E-3</v>
      </c>
      <c r="AG8965">
        <v>-0.103421999999999</v>
      </c>
      <c r="AH8965">
        <v>0.65130754035497995</v>
      </c>
      <c r="AI8965">
        <v>99.022110786341798</v>
      </c>
      <c r="AJ8965">
        <v>89.316661425968604</v>
      </c>
      <c r="AK8965">
        <v>0.65951343203048796</v>
      </c>
      <c r="AL8965">
        <v>87.526934846071995</v>
      </c>
      <c r="AM8965">
        <v>90.475862908631996</v>
      </c>
      <c r="AN8965">
        <v>1.00000004060257</v>
      </c>
    </row>
    <row r="8966" spans="1:40" x14ac:dyDescent="0.25">
      <c r="A8966" t="str">
        <f>"20190303155024988"</f>
        <v>20190303155024988</v>
      </c>
      <c r="B8966" t="str">
        <f>"1551599424979704"</f>
        <v>1551599424979704</v>
      </c>
      <c r="C8966" t="s">
        <v>40</v>
      </c>
      <c r="D8966">
        <v>6.1606709999999998</v>
      </c>
      <c r="E8966">
        <v>0.5056427</v>
      </c>
      <c r="F8966" t="s">
        <v>42</v>
      </c>
      <c r="G8966">
        <v>-119.2163</v>
      </c>
      <c r="H8966">
        <v>1.015004</v>
      </c>
      <c r="I8966">
        <v>137.6448</v>
      </c>
      <c r="J8966">
        <v>-119.923</v>
      </c>
      <c r="K8966">
        <v>1.1242780000000001</v>
      </c>
      <c r="L8966">
        <v>137.63980000000001</v>
      </c>
      <c r="M8966">
        <v>0.9991987</v>
      </c>
      <c r="N8966">
        <v>-3.5532210000000002E-2</v>
      </c>
      <c r="O8966">
        <v>1.842473E-2</v>
      </c>
      <c r="P8966">
        <v>0.99964399999999998</v>
      </c>
      <c r="Q8966">
        <v>6.4579149999999998E-3</v>
      </c>
      <c r="R8966">
        <v>2.5890030000000001E-2</v>
      </c>
      <c r="S8966">
        <v>3.0042879999999998</v>
      </c>
      <c r="T8966">
        <v>-0.43030170000000001</v>
      </c>
      <c r="U8966">
        <v>2.4566649999999999E-2</v>
      </c>
      <c r="V8966">
        <v>-7.4528190000000003E-3</v>
      </c>
      <c r="W8966">
        <v>4.198491E-2</v>
      </c>
      <c r="X8966">
        <v>0.99909040000000005</v>
      </c>
      <c r="Y8966">
        <v>1.002604E-2</v>
      </c>
      <c r="Z8966">
        <v>-2.8666170000000001E-3</v>
      </c>
      <c r="AA8966">
        <v>0.99994559999999999</v>
      </c>
      <c r="AB8966">
        <v>6</v>
      </c>
      <c r="AC8966">
        <v>0.70669999999998301</v>
      </c>
      <c r="AD8966">
        <v>-0.109274</v>
      </c>
      <c r="AE8966">
        <v>4.9999999999954499E-3</v>
      </c>
      <c r="AF8966">
        <v>7.8423395609508607E-3</v>
      </c>
      <c r="AG8966">
        <v>-0.109274</v>
      </c>
      <c r="AH8966">
        <v>0.69017150424418705</v>
      </c>
      <c r="AI8966">
        <v>98.996316659315596</v>
      </c>
      <c r="AJ8966">
        <v>89.3489826535573</v>
      </c>
      <c r="AK8966">
        <v>0.69881257475554404</v>
      </c>
      <c r="AL8966">
        <v>87.593734451684796</v>
      </c>
      <c r="AM8966">
        <v>90.427395913244993</v>
      </c>
      <c r="AN8966">
        <v>0.99999995227545602</v>
      </c>
    </row>
    <row r="8967" spans="1:40" x14ac:dyDescent="0.25">
      <c r="A8967" t="str">
        <f>"20190303155025012"</f>
        <v>20190303155025012</v>
      </c>
      <c r="B8967" t="str">
        <f>"1551599424999729"</f>
        <v>1551599424999729</v>
      </c>
      <c r="C8967" t="s">
        <v>40</v>
      </c>
      <c r="D8967">
        <v>6.1163239999999996</v>
      </c>
      <c r="E8967">
        <v>0.50605089999999997</v>
      </c>
      <c r="F8967" t="s">
        <v>42</v>
      </c>
      <c r="G8967">
        <v>-119.17570000000001</v>
      </c>
      <c r="H8967">
        <v>1.0153989999999999</v>
      </c>
      <c r="I8967">
        <v>137.64490000000001</v>
      </c>
      <c r="J8967">
        <v>-119.8758</v>
      </c>
      <c r="K8967">
        <v>1.124544</v>
      </c>
      <c r="L8967">
        <v>137.64089999999999</v>
      </c>
      <c r="M8967">
        <v>0.99915399999999999</v>
      </c>
      <c r="N8967">
        <v>-3.6680560000000001E-2</v>
      </c>
      <c r="O8967">
        <v>1.8597030000000001E-2</v>
      </c>
      <c r="P8967">
        <v>0.99971840000000001</v>
      </c>
      <c r="Q8967">
        <v>2.0132990000000001E-3</v>
      </c>
      <c r="R8967">
        <v>2.3648869999999999E-2</v>
      </c>
      <c r="S8967">
        <v>3.003342</v>
      </c>
      <c r="T8967">
        <v>-0.43765929999999997</v>
      </c>
      <c r="U8967">
        <v>2.079773E-2</v>
      </c>
      <c r="V8967">
        <v>-5.0361980000000004E-3</v>
      </c>
      <c r="W8967">
        <v>3.8692659999999997E-2</v>
      </c>
      <c r="X8967">
        <v>0.99923850000000003</v>
      </c>
      <c r="Y8967">
        <v>1.142435E-2</v>
      </c>
      <c r="Z8967">
        <v>-3.0548760000000002E-3</v>
      </c>
      <c r="AA8967">
        <v>0.99993010000000004</v>
      </c>
      <c r="AB8967">
        <v>5</v>
      </c>
      <c r="AC8967">
        <v>0.70009999999999195</v>
      </c>
      <c r="AD8967">
        <v>-0.10914500000000001</v>
      </c>
      <c r="AE8967">
        <v>4.0000000000190898E-3</v>
      </c>
      <c r="AF8967">
        <v>8.8150032064098303E-3</v>
      </c>
      <c r="AG8967">
        <v>-0.10914500000000001</v>
      </c>
      <c r="AH8967">
        <v>0.68344297025172196</v>
      </c>
      <c r="AI8967">
        <v>99.072705521051603</v>
      </c>
      <c r="AJ8967">
        <v>89.261043718274905</v>
      </c>
      <c r="AK8967">
        <v>0.69215939558242301</v>
      </c>
      <c r="AL8967">
        <v>87.782520414966896</v>
      </c>
      <c r="AM8967">
        <v>90.288770345577703</v>
      </c>
      <c r="AN8967">
        <v>1.0000000325552001</v>
      </c>
    </row>
    <row r="8968" spans="1:40" x14ac:dyDescent="0.25">
      <c r="A8968" t="str">
        <f>"20190303155025040"</f>
        <v>20190303155025040</v>
      </c>
      <c r="B8968" t="str">
        <f>"1551599425029009"</f>
        <v>1551599425029009</v>
      </c>
      <c r="C8968" t="s">
        <v>40</v>
      </c>
      <c r="D8968">
        <v>6.135275</v>
      </c>
      <c r="E8968">
        <v>0.50655629999999996</v>
      </c>
      <c r="F8968" t="s">
        <v>42</v>
      </c>
      <c r="G8968">
        <v>-119.14060000000001</v>
      </c>
      <c r="H8968">
        <v>1.0143979999999999</v>
      </c>
      <c r="I8968">
        <v>137.6437</v>
      </c>
      <c r="J8968">
        <v>-119.8312</v>
      </c>
      <c r="K8968">
        <v>1.1247370000000001</v>
      </c>
      <c r="L8968">
        <v>137.64189999999999</v>
      </c>
      <c r="M8968">
        <v>0.99910659999999896</v>
      </c>
      <c r="N8968">
        <v>-3.7884399999999999E-2</v>
      </c>
      <c r="O8968">
        <v>1.8733699999999999E-2</v>
      </c>
      <c r="P8968">
        <v>0.99984779999999995</v>
      </c>
      <c r="Q8968">
        <v>-2.0658460000000001E-3</v>
      </c>
      <c r="R8968">
        <v>1.733237E-2</v>
      </c>
      <c r="S8968">
        <v>3.0014799999999999</v>
      </c>
      <c r="T8968">
        <v>-0.4497507</v>
      </c>
      <c r="U8968">
        <v>1.167297E-2</v>
      </c>
      <c r="V8968">
        <v>1.4206010000000001E-3</v>
      </c>
      <c r="W8968">
        <v>3.5819810000000001E-2</v>
      </c>
      <c r="X8968">
        <v>0.9993573</v>
      </c>
      <c r="Y8968">
        <v>1.453816E-2</v>
      </c>
      <c r="Z8968">
        <v>-3.4448859999999999E-3</v>
      </c>
      <c r="AA8968">
        <v>0.99988840000000001</v>
      </c>
      <c r="AB8968">
        <v>4</v>
      </c>
      <c r="AC8968">
        <v>0.690599999999989</v>
      </c>
      <c r="AD8968">
        <v>-0.11033900000000001</v>
      </c>
      <c r="AE8968">
        <v>1.8000000000029099E-3</v>
      </c>
      <c r="AF8968">
        <v>1.0869632028997E-2</v>
      </c>
      <c r="AG8968">
        <v>-0.11033900000000001</v>
      </c>
      <c r="AH8968">
        <v>0.67332433862658503</v>
      </c>
      <c r="AI8968">
        <v>99.305265285435198</v>
      </c>
      <c r="AJ8968">
        <v>89.075141187012406</v>
      </c>
      <c r="AK8968">
        <v>0.68239175611108704</v>
      </c>
      <c r="AL8968">
        <v>87.947237027444004</v>
      </c>
      <c r="AM8968">
        <v>89.918553267337401</v>
      </c>
      <c r="AN8968">
        <v>1.0000000449794599</v>
      </c>
    </row>
    <row r="8969" spans="1:40" x14ac:dyDescent="0.25">
      <c r="A8969" t="str">
        <f>"20190303155025070"</f>
        <v>20190303155025070</v>
      </c>
      <c r="B8969" t="str">
        <f>"1551599425059266"</f>
        <v>1551599425059266</v>
      </c>
      <c r="C8969" t="s">
        <v>40</v>
      </c>
      <c r="D8969">
        <v>6.3941249999999998</v>
      </c>
      <c r="E8969">
        <v>0.50686089999999995</v>
      </c>
      <c r="F8969" t="s">
        <v>42</v>
      </c>
      <c r="G8969">
        <v>-119.11020000000001</v>
      </c>
      <c r="H8969">
        <v>1.014132</v>
      </c>
      <c r="I8969">
        <v>137.63900000000001</v>
      </c>
      <c r="J8969">
        <v>-119.7958</v>
      </c>
      <c r="K8969">
        <v>1.124876</v>
      </c>
      <c r="L8969">
        <v>137.64269999999999</v>
      </c>
      <c r="M8969">
        <v>0.99905940000000004</v>
      </c>
      <c r="N8969">
        <v>-3.9072229999999999E-2</v>
      </c>
      <c r="O8969">
        <v>1.881302E-2</v>
      </c>
      <c r="P8969">
        <v>0.99988869999999996</v>
      </c>
      <c r="Q8969">
        <v>-5.2917600000000004E-3</v>
      </c>
      <c r="R8969">
        <v>1.395125E-2</v>
      </c>
      <c r="S8969">
        <v>2.9997099999999999</v>
      </c>
      <c r="T8969">
        <v>-0.46032070000000003</v>
      </c>
      <c r="U8969">
        <v>-1.145935E-2</v>
      </c>
      <c r="V8969">
        <v>4.8833840000000002E-3</v>
      </c>
      <c r="W8969">
        <v>3.3782550000000001E-2</v>
      </c>
      <c r="X8969">
        <v>0.99941729999999995</v>
      </c>
      <c r="Y8969">
        <v>2.219759E-2</v>
      </c>
      <c r="Z8969">
        <v>-4.2681059999999998E-3</v>
      </c>
      <c r="AA8969">
        <v>0.99974450000000004</v>
      </c>
      <c r="AB8969">
        <v>4</v>
      </c>
      <c r="AC8969">
        <v>0.68559999999999299</v>
      </c>
      <c r="AD8969">
        <v>-0.110743999999999</v>
      </c>
      <c r="AE8969">
        <v>-3.69999999998071E-3</v>
      </c>
      <c r="AF8969">
        <v>1.6185124162583799E-2</v>
      </c>
      <c r="AG8969">
        <v>-0.110743999999999</v>
      </c>
      <c r="AH8969">
        <v>0.66798071424138195</v>
      </c>
      <c r="AI8969">
        <v>99.410687268975394</v>
      </c>
      <c r="AJ8969">
        <v>88.611999010563295</v>
      </c>
      <c r="AK8969">
        <v>0.67729198015227199</v>
      </c>
      <c r="AL8969">
        <v>88.064034150528002</v>
      </c>
      <c r="AM8969">
        <v>89.720041802128407</v>
      </c>
      <c r="AN8969">
        <v>1.0000000238315401</v>
      </c>
    </row>
    <row r="8970" spans="1:40" x14ac:dyDescent="0.25">
      <c r="A8970" t="str">
        <f>"20190303155025091"</f>
        <v>20190303155025091</v>
      </c>
      <c r="B8970" t="str">
        <f>"1551599425079762"</f>
        <v>1551599425079762</v>
      </c>
      <c r="C8970" t="s">
        <v>40</v>
      </c>
      <c r="D8970">
        <v>6.1875489999999997</v>
      </c>
      <c r="E8970">
        <v>0.5069555</v>
      </c>
      <c r="F8970" t="s">
        <v>42</v>
      </c>
      <c r="G8970">
        <v>-119.0663</v>
      </c>
      <c r="H8970">
        <v>1.0103930000000001</v>
      </c>
      <c r="I8970">
        <v>137.63659999999999</v>
      </c>
      <c r="J8970">
        <v>-119.7773</v>
      </c>
      <c r="K8970">
        <v>1.124903</v>
      </c>
      <c r="L8970">
        <v>137.6431</v>
      </c>
      <c r="M8970">
        <v>0.99902800000000003</v>
      </c>
      <c r="N8970">
        <v>-3.9849469999999998E-2</v>
      </c>
      <c r="O8970">
        <v>1.884079E-2</v>
      </c>
      <c r="P8970">
        <v>0.99988069999999896</v>
      </c>
      <c r="Q8970">
        <v>-1.178299E-2</v>
      </c>
      <c r="R8970">
        <v>9.970629E-3</v>
      </c>
      <c r="S8970">
        <v>2.9981840000000002</v>
      </c>
      <c r="T8970">
        <v>-0.47068330000000003</v>
      </c>
      <c r="U8970">
        <v>-2.4429320000000001E-2</v>
      </c>
      <c r="V8970">
        <v>8.8911570000000002E-3</v>
      </c>
      <c r="W8970">
        <v>2.8069449999999999E-2</v>
      </c>
      <c r="X8970">
        <v>0.99956639999999997</v>
      </c>
      <c r="Y8970">
        <v>2.6465550000000001E-2</v>
      </c>
      <c r="Z8970">
        <v>-4.7882899999999997E-3</v>
      </c>
      <c r="AA8970">
        <v>0.99963829999999998</v>
      </c>
      <c r="AB8970">
        <v>3</v>
      </c>
      <c r="AC8970">
        <v>0.71099999999999797</v>
      </c>
      <c r="AD8970">
        <v>-0.114509999999999</v>
      </c>
      <c r="AE8970">
        <v>-6.5000000000168196E-3</v>
      </c>
      <c r="AF8970">
        <v>1.9402073727790299E-2</v>
      </c>
      <c r="AG8970">
        <v>-0.114509999999999</v>
      </c>
      <c r="AH8970">
        <v>0.692782675492981</v>
      </c>
      <c r="AI8970">
        <v>99.381942707828699</v>
      </c>
      <c r="AJ8970">
        <v>88.3957935485099</v>
      </c>
      <c r="AK8970">
        <v>0.70245057906457198</v>
      </c>
      <c r="AL8970">
        <v>88.391527664433099</v>
      </c>
      <c r="AM8970">
        <v>89.490366686740998</v>
      </c>
      <c r="AN8970">
        <v>0.99999996735253005</v>
      </c>
    </row>
    <row r="8971" spans="1:40" x14ac:dyDescent="0.25">
      <c r="A8971" t="str">
        <f>"20190303155025110"</f>
        <v>20190303155025110</v>
      </c>
      <c r="B8971" t="str">
        <f>"1551599425099788"</f>
        <v>1551599425099788</v>
      </c>
      <c r="C8971" t="s">
        <v>40</v>
      </c>
      <c r="D8971">
        <v>6.214302</v>
      </c>
      <c r="E8971">
        <v>0.50725140000000002</v>
      </c>
      <c r="F8971" t="s">
        <v>42</v>
      </c>
      <c r="G8971">
        <v>-119.0531</v>
      </c>
      <c r="H8971">
        <v>1.006494</v>
      </c>
      <c r="I8971">
        <v>137.63399999999999</v>
      </c>
      <c r="J8971">
        <v>-119.76439999999999</v>
      </c>
      <c r="K8971">
        <v>1.124884</v>
      </c>
      <c r="L8971">
        <v>137.64330000000001</v>
      </c>
      <c r="M8971">
        <v>0.99900330000000004</v>
      </c>
      <c r="N8971">
        <v>-4.0465580000000001E-2</v>
      </c>
      <c r="O8971">
        <v>1.8843950000000002E-2</v>
      </c>
      <c r="P8971">
        <v>0.99978370000000005</v>
      </c>
      <c r="Q8971">
        <v>-1.9730689999999999E-2</v>
      </c>
      <c r="R8971">
        <v>6.5844519999999898E-3</v>
      </c>
      <c r="S8971">
        <v>2.9949490000000001</v>
      </c>
      <c r="T8971">
        <v>-0.48976150000000002</v>
      </c>
      <c r="U8971">
        <v>-3.7155149999999998E-2</v>
      </c>
      <c r="V8971">
        <v>1.227725E-2</v>
      </c>
      <c r="W8971">
        <v>2.0736939999999999E-2</v>
      </c>
      <c r="X8971">
        <v>0.99970959999999998</v>
      </c>
      <c r="Y8971">
        <v>3.0610450000000001E-2</v>
      </c>
      <c r="Z8971">
        <v>-5.4129699999999996E-3</v>
      </c>
      <c r="AA8971">
        <v>0.99951670000000004</v>
      </c>
      <c r="AB8971">
        <v>2</v>
      </c>
      <c r="AC8971">
        <v>0.71129999999999405</v>
      </c>
      <c r="AD8971">
        <v>-0.11839</v>
      </c>
      <c r="AE8971">
        <v>-9.3000000000245091E-3</v>
      </c>
      <c r="AF8971">
        <v>2.2100881386776999E-2</v>
      </c>
      <c r="AG8971">
        <v>-0.11839</v>
      </c>
      <c r="AH8971">
        <v>0.69183556011857805</v>
      </c>
      <c r="AI8971">
        <v>99.705795032873596</v>
      </c>
      <c r="AJ8971">
        <v>88.170292459089495</v>
      </c>
      <c r="AK8971">
        <v>0.70224004678077101</v>
      </c>
      <c r="AL8971">
        <v>88.811775708754496</v>
      </c>
      <c r="AM8971">
        <v>89.296396424934201</v>
      </c>
      <c r="AN8971">
        <v>1.00000001794014</v>
      </c>
    </row>
    <row r="8972" spans="1:40" x14ac:dyDescent="0.25">
      <c r="A8972" t="str">
        <f>"20190303155025133"</f>
        <v>20190303155025133</v>
      </c>
      <c r="B8972" t="str">
        <f>"1551599425130044"</f>
        <v>1551599425130044</v>
      </c>
      <c r="C8972" t="s">
        <v>40</v>
      </c>
      <c r="D8972">
        <v>6.1870830000000003</v>
      </c>
      <c r="E8972">
        <v>0.50747059999999999</v>
      </c>
      <c r="F8972" t="s">
        <v>42</v>
      </c>
      <c r="G8972">
        <v>-119.0448</v>
      </c>
      <c r="H8972">
        <v>1.001973</v>
      </c>
      <c r="I8972">
        <v>137.63120000000001</v>
      </c>
      <c r="J8972">
        <v>-119.7538</v>
      </c>
      <c r="K8972">
        <v>1.1247450000000001</v>
      </c>
      <c r="L8972">
        <v>137.64349999999999</v>
      </c>
      <c r="M8972">
        <v>0.99899870000000002</v>
      </c>
      <c r="N8972">
        <v>-4.058643E-2</v>
      </c>
      <c r="O8972">
        <v>1.88211E-2</v>
      </c>
      <c r="P8972">
        <v>0.99967240000000002</v>
      </c>
      <c r="Q8972">
        <v>-2.4847569999999999E-2</v>
      </c>
      <c r="R8972">
        <v>6.1573729999999998E-3</v>
      </c>
      <c r="S8972">
        <v>2.990891</v>
      </c>
      <c r="T8972">
        <v>-0.51095259999999998</v>
      </c>
      <c r="U8972">
        <v>-4.9758910000000003E-2</v>
      </c>
      <c r="V8972">
        <v>1.267776E-2</v>
      </c>
      <c r="W8972">
        <v>1.5740999999999901E-2</v>
      </c>
      <c r="X8972">
        <v>0.99979569999999995</v>
      </c>
      <c r="Y8972">
        <v>3.468355E-2</v>
      </c>
      <c r="Z8972">
        <v>-6.0835719999999998E-3</v>
      </c>
      <c r="AA8972">
        <v>0.99937980000000004</v>
      </c>
      <c r="AB8972">
        <v>2</v>
      </c>
      <c r="AC8972">
        <v>0.70900000000000296</v>
      </c>
      <c r="AD8972">
        <v>-0.12277200000000001</v>
      </c>
      <c r="AE8972">
        <v>-1.22999999999819E-2</v>
      </c>
      <c r="AF8972">
        <v>2.4906385566926901E-2</v>
      </c>
      <c r="AG8972">
        <v>-0.12277200000000001</v>
      </c>
      <c r="AH8972">
        <v>0.68801838949823602</v>
      </c>
      <c r="AI8972">
        <v>100.111049109989</v>
      </c>
      <c r="AJ8972">
        <v>87.926788098576196</v>
      </c>
      <c r="AK8972">
        <v>0.69933010539641005</v>
      </c>
      <c r="AL8972">
        <v>89.098069861334594</v>
      </c>
      <c r="AM8972">
        <v>89.273508364297598</v>
      </c>
      <c r="AN8972">
        <v>0.99999997320905298</v>
      </c>
    </row>
    <row r="8973" spans="1:40" x14ac:dyDescent="0.25">
      <c r="A8973" t="str">
        <f>"20190303155025155"</f>
        <v>20190303155025155</v>
      </c>
      <c r="B8973" t="str">
        <f>"1551599425149565"</f>
        <v>1551599425149565</v>
      </c>
      <c r="C8973" t="s">
        <v>40</v>
      </c>
      <c r="D8973">
        <v>6.1161130000000004</v>
      </c>
      <c r="E8973">
        <v>0.50757099999999999</v>
      </c>
      <c r="F8973" t="s">
        <v>42</v>
      </c>
      <c r="G8973">
        <v>-119.038</v>
      </c>
      <c r="H8973">
        <v>0.99925229999999998</v>
      </c>
      <c r="I8973">
        <v>137.63059999999999</v>
      </c>
      <c r="J8973">
        <v>-119.7441</v>
      </c>
      <c r="K8973">
        <v>1.124331</v>
      </c>
      <c r="L8973">
        <v>137.64359999999999</v>
      </c>
      <c r="M8973">
        <v>0.99904780000000004</v>
      </c>
      <c r="N8973">
        <v>-3.9365789999999998E-2</v>
      </c>
      <c r="O8973">
        <v>1.881118E-2</v>
      </c>
      <c r="P8973">
        <v>0.99964960000000003</v>
      </c>
      <c r="Q8973">
        <v>-2.523276E-2</v>
      </c>
      <c r="R8973">
        <v>8.0032980000000007E-3</v>
      </c>
      <c r="S8973">
        <v>2.9882970000000002</v>
      </c>
      <c r="T8973">
        <v>-0.52397550000000004</v>
      </c>
      <c r="U8973">
        <v>-5.3726200000000002E-2</v>
      </c>
      <c r="V8973">
        <v>1.0819870000000001E-2</v>
      </c>
      <c r="W8973">
        <v>1.4135669999999999E-2</v>
      </c>
      <c r="X8973">
        <v>0.9998416</v>
      </c>
      <c r="Y8973">
        <v>3.5949549999999997E-2</v>
      </c>
      <c r="Z8973">
        <v>-6.3789010000000002E-3</v>
      </c>
      <c r="AA8973">
        <v>0.99933329999999998</v>
      </c>
      <c r="AB8973">
        <v>1</v>
      </c>
      <c r="AC8973">
        <v>0.70610000000000595</v>
      </c>
      <c r="AD8973">
        <v>-0.12507869999999899</v>
      </c>
      <c r="AE8973">
        <v>-1.30000000000052E-2</v>
      </c>
      <c r="AF8973">
        <v>2.54909725226607E-2</v>
      </c>
      <c r="AG8973">
        <v>-0.12507869999999899</v>
      </c>
      <c r="AH8973">
        <v>0.68426605799514495</v>
      </c>
      <c r="AI8973">
        <v>100.35184966725301</v>
      </c>
      <c r="AJ8973">
        <v>87.866546128367602</v>
      </c>
      <c r="AK8973">
        <v>0.69607076436096305</v>
      </c>
      <c r="AL8973">
        <v>89.190058838819994</v>
      </c>
      <c r="AM8973">
        <v>89.379993102754995</v>
      </c>
      <c r="AN8973">
        <v>1.00000005592186</v>
      </c>
    </row>
    <row r="8974" spans="1:40" x14ac:dyDescent="0.25">
      <c r="A8974" t="str">
        <f>"20190303155025177"</f>
        <v>20190303155025177</v>
      </c>
      <c r="B8974" t="str">
        <f>"1551599425169085"</f>
        <v>1551599425169085</v>
      </c>
      <c r="C8974" t="s">
        <v>40</v>
      </c>
      <c r="D8974">
        <v>6.1201210000000001</v>
      </c>
      <c r="E8974">
        <v>0.50784810000000002</v>
      </c>
      <c r="F8974" t="s">
        <v>42</v>
      </c>
      <c r="G8974">
        <v>-119.0292</v>
      </c>
      <c r="H8974">
        <v>0.99906030000000001</v>
      </c>
      <c r="I8974">
        <v>137.63159999999999</v>
      </c>
      <c r="J8974">
        <v>-119.7328</v>
      </c>
      <c r="K8974">
        <v>1.1236969999999999</v>
      </c>
      <c r="L8974">
        <v>137.6438</v>
      </c>
      <c r="M8974">
        <v>0.99914119999999995</v>
      </c>
      <c r="N8974">
        <v>-3.6898220000000002E-2</v>
      </c>
      <c r="O8974">
        <v>1.8856660000000001E-2</v>
      </c>
      <c r="P8974">
        <v>0.99969419999999998</v>
      </c>
      <c r="Q8974">
        <v>-2.2548740000000001E-2</v>
      </c>
      <c r="R8974">
        <v>1.015798E-2</v>
      </c>
      <c r="S8974">
        <v>2.988235</v>
      </c>
      <c r="T8974">
        <v>-0.52369449999999995</v>
      </c>
      <c r="U8974">
        <v>-4.9926760000000001E-2</v>
      </c>
      <c r="V8974">
        <v>8.7095719999999901E-3</v>
      </c>
      <c r="W8974">
        <v>1.4353090000000001E-2</v>
      </c>
      <c r="X8974">
        <v>0.99985900000000005</v>
      </c>
      <c r="Y8974">
        <v>3.4747550000000002E-2</v>
      </c>
      <c r="Z8974">
        <v>-6.2563860000000001E-3</v>
      </c>
      <c r="AA8974">
        <v>0.9993765</v>
      </c>
      <c r="AB8974">
        <v>1</v>
      </c>
      <c r="AC8974">
        <v>0.70359999999999401</v>
      </c>
      <c r="AD8974">
        <v>-0.124636699999999</v>
      </c>
      <c r="AE8974">
        <v>-1.2200000000007E-2</v>
      </c>
      <c r="AF8974">
        <v>2.4699595868623199E-2</v>
      </c>
      <c r="AG8974">
        <v>-0.124636699999999</v>
      </c>
      <c r="AH8974">
        <v>0.68185496805379597</v>
      </c>
      <c r="AI8974">
        <v>100.352128725707</v>
      </c>
      <c r="AJ8974">
        <v>87.925417929834694</v>
      </c>
      <c r="AK8974">
        <v>0.69359251328327198</v>
      </c>
      <c r="AL8974">
        <v>89.177600234948798</v>
      </c>
      <c r="AM8974">
        <v>89.500920533851996</v>
      </c>
      <c r="AN8974">
        <v>0.99999994385898405</v>
      </c>
    </row>
    <row r="8975" spans="1:40" x14ac:dyDescent="0.25">
      <c r="A8975" t="str">
        <f>"20190303155025203"</f>
        <v>20190303155025203</v>
      </c>
      <c r="B8975" t="str">
        <f>"1551599425199846"</f>
        <v>1551599425199846</v>
      </c>
      <c r="C8975" t="s">
        <v>40</v>
      </c>
      <c r="D8975">
        <v>6.0124709999999997</v>
      </c>
      <c r="E8975">
        <v>0.50783500000000004</v>
      </c>
      <c r="F8975" t="s">
        <v>42</v>
      </c>
      <c r="G8975">
        <v>-119.01779999999999</v>
      </c>
      <c r="H8975">
        <v>1.001207</v>
      </c>
      <c r="I8975">
        <v>137.63290000000001</v>
      </c>
      <c r="J8975">
        <v>-119.7189</v>
      </c>
      <c r="K8975">
        <v>1.12304</v>
      </c>
      <c r="L8975">
        <v>137.64410000000001</v>
      </c>
      <c r="M8975">
        <v>0.99925180000000002</v>
      </c>
      <c r="N8975">
        <v>-3.3721189999999998E-2</v>
      </c>
      <c r="O8975">
        <v>1.8945509999999999E-2</v>
      </c>
      <c r="P8975">
        <v>0.99972209999999995</v>
      </c>
      <c r="Q8975">
        <v>-2.0364170000000001E-2</v>
      </c>
      <c r="R8975">
        <v>1.1878100000000001E-2</v>
      </c>
      <c r="S8975">
        <v>2.9898220000000002</v>
      </c>
      <c r="T8975">
        <v>-0.51218030000000003</v>
      </c>
      <c r="U8975">
        <v>-4.5486449999999998E-2</v>
      </c>
      <c r="V8975">
        <v>7.0761349999999999E-3</v>
      </c>
      <c r="W8975">
        <v>1.336041E-2</v>
      </c>
      <c r="X8975">
        <v>0.99988569999999999</v>
      </c>
      <c r="Y8975">
        <v>3.3401680000000003E-2</v>
      </c>
      <c r="Z8975">
        <v>-5.9949189999999996E-3</v>
      </c>
      <c r="AA8975">
        <v>0.99942399999999998</v>
      </c>
      <c r="AB8975">
        <v>1</v>
      </c>
      <c r="AC8975">
        <v>0.70110000000001005</v>
      </c>
      <c r="AD8975">
        <v>-0.121833</v>
      </c>
      <c r="AE8975">
        <v>-1.12000000000023E-2</v>
      </c>
      <c r="AF8975">
        <v>2.3770613387157399E-2</v>
      </c>
      <c r="AG8975">
        <v>-0.121833</v>
      </c>
      <c r="AH8975">
        <v>0.68022588050364796</v>
      </c>
      <c r="AI8975">
        <v>100.14832327937501</v>
      </c>
      <c r="AJ8975">
        <v>87.998603291493495</v>
      </c>
      <c r="AK8975">
        <v>0.69145901574624402</v>
      </c>
      <c r="AL8975">
        <v>89.234482113431397</v>
      </c>
      <c r="AM8975">
        <v>89.594527752000204</v>
      </c>
      <c r="AN8975">
        <v>0.99999999265319806</v>
      </c>
    </row>
    <row r="8976" spans="1:40" x14ac:dyDescent="0.25">
      <c r="A8976" t="str">
        <f>"20190303155025227"</f>
        <v>20190303155025227</v>
      </c>
      <c r="B8976" t="str">
        <f>"1551599425219368"</f>
        <v>1551599425219368</v>
      </c>
      <c r="C8976" t="s">
        <v>40</v>
      </c>
      <c r="D8976">
        <v>6.1167350000000003</v>
      </c>
      <c r="E8976">
        <v>0.50787740000000003</v>
      </c>
      <c r="F8976" t="s">
        <v>42</v>
      </c>
      <c r="G8976">
        <v>-118.9974</v>
      </c>
      <c r="H8976">
        <v>1.0021329999999999</v>
      </c>
      <c r="I8976">
        <v>137.63470000000001</v>
      </c>
      <c r="J8976">
        <v>-119.7079</v>
      </c>
      <c r="K8976">
        <v>1.122735</v>
      </c>
      <c r="L8976">
        <v>137.64439999999999</v>
      </c>
      <c r="M8976">
        <v>0.99932310000000002</v>
      </c>
      <c r="N8976">
        <v>-3.1500229999999997E-2</v>
      </c>
      <c r="O8976">
        <v>1.901102E-2</v>
      </c>
      <c r="P8976">
        <v>0.99971690000000002</v>
      </c>
      <c r="Q8976">
        <v>-1.972838E-2</v>
      </c>
      <c r="R8976">
        <v>1.332069E-2</v>
      </c>
      <c r="S8976">
        <v>2.9910739999999998</v>
      </c>
      <c r="T8976">
        <v>-0.50131190000000003</v>
      </c>
      <c r="U8976">
        <v>-3.9016719999999998E-2</v>
      </c>
      <c r="V8976">
        <v>5.6971060000000004E-3</v>
      </c>
      <c r="W8976">
        <v>1.177457E-2</v>
      </c>
      <c r="X8976">
        <v>0.99991450000000004</v>
      </c>
      <c r="Y8976">
        <v>3.1364110000000001E-2</v>
      </c>
      <c r="Z8976">
        <v>-5.6766840000000004E-3</v>
      </c>
      <c r="AA8976">
        <v>0.99949189999999999</v>
      </c>
      <c r="AB8976">
        <v>1</v>
      </c>
      <c r="AC8976">
        <v>0.71049999999999602</v>
      </c>
      <c r="AD8976">
        <v>-0.120602</v>
      </c>
      <c r="AE8976">
        <v>-9.6999999999809391E-3</v>
      </c>
      <c r="AF8976">
        <v>2.2562323364071001E-2</v>
      </c>
      <c r="AG8976">
        <v>-0.120602</v>
      </c>
      <c r="AH8976">
        <v>0.69030137058478402</v>
      </c>
      <c r="AI8976">
        <v>99.904893762485202</v>
      </c>
      <c r="AJ8976">
        <v>88.127968568184201</v>
      </c>
      <c r="AK8976">
        <v>0.70112044833310705</v>
      </c>
      <c r="AL8976">
        <v>89.325351279228101</v>
      </c>
      <c r="AM8976">
        <v>89.673555491832204</v>
      </c>
      <c r="AN8976">
        <v>1.0000000524128501</v>
      </c>
    </row>
    <row r="8977" spans="1:40" x14ac:dyDescent="0.25">
      <c r="A8977" t="str">
        <f>"20190303155025253"</f>
        <v>20190303155025253</v>
      </c>
      <c r="B8977" t="str">
        <f>"1551599425239864"</f>
        <v>1551599425239864</v>
      </c>
      <c r="C8977" t="s">
        <v>40</v>
      </c>
      <c r="D8977">
        <v>6.1212679999999997</v>
      </c>
      <c r="E8977">
        <v>0.50803880000000001</v>
      </c>
      <c r="F8977" t="s">
        <v>42</v>
      </c>
      <c r="G8977">
        <v>-118.9892</v>
      </c>
      <c r="H8977">
        <v>1.003347</v>
      </c>
      <c r="I8977">
        <v>137.6361</v>
      </c>
      <c r="J8977">
        <v>-119.6987</v>
      </c>
      <c r="K8977">
        <v>1.122647</v>
      </c>
      <c r="L8977">
        <v>137.6447</v>
      </c>
      <c r="M8977">
        <v>0.99937350000000003</v>
      </c>
      <c r="N8977">
        <v>-2.982982E-2</v>
      </c>
      <c r="O8977">
        <v>1.9050520000000001E-2</v>
      </c>
      <c r="P8977">
        <v>0.9996969</v>
      </c>
      <c r="Q8977">
        <v>-1.9525689999999998E-2</v>
      </c>
      <c r="R8977">
        <v>1.5012019999999999E-2</v>
      </c>
      <c r="S8977">
        <v>2.9914860000000001</v>
      </c>
      <c r="T8977">
        <v>-0.49707210000000002</v>
      </c>
      <c r="U8977">
        <v>-3.4210209999999998E-2</v>
      </c>
      <c r="V8977">
        <v>4.0440709999999998E-3</v>
      </c>
      <c r="W8977">
        <v>1.030696E-2</v>
      </c>
      <c r="X8977">
        <v>0.99993869999999896</v>
      </c>
      <c r="Y8977">
        <v>2.983154E-2</v>
      </c>
      <c r="Z8977">
        <v>-5.4886630000000004E-3</v>
      </c>
      <c r="AA8977">
        <v>0.99953990000000004</v>
      </c>
      <c r="AB8977">
        <v>1</v>
      </c>
      <c r="AC8977">
        <v>0.70950000000000502</v>
      </c>
      <c r="AD8977">
        <v>-0.119299999999999</v>
      </c>
      <c r="AE8977">
        <v>-8.6000000000012698E-3</v>
      </c>
      <c r="AF8977">
        <v>2.1512654693168501E-2</v>
      </c>
      <c r="AG8977">
        <v>-0.119299999999999</v>
      </c>
      <c r="AH8977">
        <v>0.68970973259286705</v>
      </c>
      <c r="AI8977">
        <v>99.808748230239203</v>
      </c>
      <c r="AJ8977">
        <v>88.213473321092195</v>
      </c>
      <c r="AK8977">
        <v>0.70028194289533896</v>
      </c>
      <c r="AL8977">
        <v>89.409444233495094</v>
      </c>
      <c r="AM8977">
        <v>89.768278858443296</v>
      </c>
      <c r="AN8977">
        <v>0.99999999584619204</v>
      </c>
    </row>
    <row r="8978" spans="1:40" x14ac:dyDescent="0.25">
      <c r="A8978" t="str">
        <f>"20190303155025274"</f>
        <v>20190303155025274</v>
      </c>
      <c r="B8978" t="str">
        <f>"1551599425269143"</f>
        <v>1551599425269143</v>
      </c>
      <c r="C8978" t="s">
        <v>40</v>
      </c>
      <c r="D8978">
        <v>6.0718100000000002</v>
      </c>
      <c r="E8978">
        <v>0.5082354</v>
      </c>
      <c r="F8978" t="s">
        <v>42</v>
      </c>
      <c r="G8978">
        <v>-118.9828</v>
      </c>
      <c r="H8978">
        <v>1.0046120000000001</v>
      </c>
      <c r="I8978">
        <v>137.63749999999999</v>
      </c>
      <c r="J8978">
        <v>-119.69329999999999</v>
      </c>
      <c r="K8978">
        <v>1.122657</v>
      </c>
      <c r="L8978">
        <v>137.6448</v>
      </c>
      <c r="M8978">
        <v>0.99940309999999999</v>
      </c>
      <c r="N8978">
        <v>-2.8810949999999998E-2</v>
      </c>
      <c r="O8978">
        <v>1.906561E-2</v>
      </c>
      <c r="P8978">
        <v>0.99961630000000001</v>
      </c>
      <c r="Q8978">
        <v>-2.1483800000000001E-2</v>
      </c>
      <c r="R8978">
        <v>1.749268E-2</v>
      </c>
      <c r="S8978">
        <v>2.991714</v>
      </c>
      <c r="T8978">
        <v>-0.49333519999999997</v>
      </c>
      <c r="U8978">
        <v>-2.966309E-2</v>
      </c>
      <c r="V8978">
        <v>1.5767859999999999E-3</v>
      </c>
      <c r="W8978">
        <v>7.3297010000000001E-3</v>
      </c>
      <c r="X8978">
        <v>0.99997190000000002</v>
      </c>
      <c r="Y8978">
        <v>2.8359240000000001E-2</v>
      </c>
      <c r="Z8978">
        <v>-5.3106630000000002E-3</v>
      </c>
      <c r="AA8978">
        <v>0.99958369999999996</v>
      </c>
      <c r="AB8978">
        <v>1</v>
      </c>
      <c r="AC8978">
        <v>0.71049999999999602</v>
      </c>
      <c r="AD8978">
        <v>-0.118044999999999</v>
      </c>
      <c r="AE8978">
        <v>-7.3000000000149603E-3</v>
      </c>
      <c r="AF8978">
        <v>2.02903825273557E-2</v>
      </c>
      <c r="AG8978">
        <v>-0.118044999999999</v>
      </c>
      <c r="AH8978">
        <v>0.69115509940295805</v>
      </c>
      <c r="AI8978">
        <v>99.688148150358003</v>
      </c>
      <c r="AJ8978">
        <v>88.318438977484803</v>
      </c>
      <c r="AK8978">
        <v>0.70145683621932098</v>
      </c>
      <c r="AL8978">
        <v>89.580035309577397</v>
      </c>
      <c r="AM8978">
        <v>89.909654353168094</v>
      </c>
      <c r="AN8978">
        <v>1.0000000057802201</v>
      </c>
    </row>
    <row r="8979" spans="1:40" x14ac:dyDescent="0.25">
      <c r="A8979" t="str">
        <f>"20190303155025307"</f>
        <v>20190303155025307</v>
      </c>
      <c r="B8979" t="str">
        <f>"1551599425299907"</f>
        <v>1551599425299907</v>
      </c>
      <c r="C8979" t="s">
        <v>40</v>
      </c>
      <c r="D8979">
        <v>6.1289809999999996</v>
      </c>
      <c r="E8979">
        <v>0.50835759999999997</v>
      </c>
      <c r="F8979" t="s">
        <v>42</v>
      </c>
      <c r="G8979">
        <v>-118.9787</v>
      </c>
      <c r="H8979">
        <v>1.0044409999999999</v>
      </c>
      <c r="I8979">
        <v>137.63910000000001</v>
      </c>
      <c r="J8979">
        <v>-119.68729999999999</v>
      </c>
      <c r="K8979">
        <v>1.1226080000000001</v>
      </c>
      <c r="L8979">
        <v>137.64500000000001</v>
      </c>
      <c r="M8979">
        <v>0.99944679999999997</v>
      </c>
      <c r="N8979">
        <v>-2.72365E-2</v>
      </c>
      <c r="O8979">
        <v>1.908733E-2</v>
      </c>
      <c r="P8979">
        <v>0.9994305</v>
      </c>
      <c r="Q8979">
        <v>-2.597035E-2</v>
      </c>
      <c r="R8979">
        <v>2.1547420000000001E-2</v>
      </c>
      <c r="S8979">
        <v>2.9909210000000002</v>
      </c>
      <c r="T8979">
        <v>-0.49485489999999999</v>
      </c>
      <c r="U8979">
        <v>-2.351379E-2</v>
      </c>
      <c r="V8979">
        <v>-2.4598240000000002E-3</v>
      </c>
      <c r="W8979">
        <v>1.266781E-3</v>
      </c>
      <c r="X8979">
        <v>0.9999962</v>
      </c>
      <c r="Y8979">
        <v>2.6354740000000001E-2</v>
      </c>
      <c r="Z8979">
        <v>-5.1468269999999997E-3</v>
      </c>
      <c r="AA8979">
        <v>0.99963939999999996</v>
      </c>
      <c r="AB8979">
        <v>1</v>
      </c>
      <c r="AC8979">
        <v>0.70859999999998902</v>
      </c>
      <c r="AD8979">
        <v>-0.11816699999999999</v>
      </c>
      <c r="AE8979">
        <v>-5.8999999999968999E-3</v>
      </c>
      <c r="AF8979">
        <v>1.8903566880940699E-2</v>
      </c>
      <c r="AG8979">
        <v>-0.11816699999999999</v>
      </c>
      <c r="AH8979">
        <v>0.68919349172439803</v>
      </c>
      <c r="AI8979">
        <v>99.725569151849399</v>
      </c>
      <c r="AJ8979">
        <v>88.428854708134395</v>
      </c>
      <c r="AK8979">
        <v>0.69950586399621495</v>
      </c>
      <c r="AL8979">
        <v>89.927418777733806</v>
      </c>
      <c r="AM8979">
        <v>90.140937784848902</v>
      </c>
      <c r="AN8979">
        <v>1.0000000277413199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2020-05-20T14:49:10Z</dcterms:created>
  <dcterms:modified xsi:type="dcterms:W3CDTF">2020-05-20T14:49:11Z</dcterms:modified>
</cp:coreProperties>
</file>